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trlProps/ctrlProp9.xml" ContentType="application/vnd.ms-excel.controlproperties+xml"/>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GitHub\Manuales-de-Rol\Anima\Fichas\"/>
    </mc:Choice>
  </mc:AlternateContent>
  <xr:revisionPtr revIDLastSave="0" documentId="13_ncr:1_{EA1FFBF6-1E15-4BEA-9748-2FC7ABCF2A6B}" xr6:coauthVersionLast="47" xr6:coauthVersionMax="47" xr10:uidLastSave="{00000000-0000-0000-0000-000000000000}"/>
  <bookViews>
    <workbookView xWindow="-120" yWindow="-120" windowWidth="29040" windowHeight="15720" tabRatio="809" firstSheet="1" activeTab="2"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Sheele" sheetId="14" r:id="rId9"/>
    <sheet name="Místicos" sheetId="6" r:id="rId10"/>
    <sheet name="Metamagia" sheetId="7" r:id="rId11"/>
    <sheet name="Psíquicos" sheetId="8" r:id="rId12"/>
    <sheet name="Red Neuronal" sheetId="28" r:id="rId13"/>
    <sheet name="Constructos" sheetId="29" r:id="rId14"/>
    <sheet name="Elan" sheetId="23" r:id="rId15"/>
    <sheet name="Tablas Técnicas" sheetId="26" state="hidden" r:id="rId16"/>
    <sheet name="Personalización" sheetId="9" r:id="rId17"/>
    <sheet name="Tablas" sheetId="11" state="hidden" r:id="rId18"/>
    <sheet name="Tablas Invocaciones" sheetId="31" state="hidden" r:id="rId19"/>
    <sheet name="Grimorio Invocaciones" sheetId="32" r:id="rId20"/>
    <sheet name="Tablas Magia" sheetId="19" state="hidden" r:id="rId21"/>
    <sheet name="Tablas Sheele" sheetId="13" state="hidden" r:id="rId22"/>
    <sheet name="Tablas constructos" sheetId="30" state="hidden" r:id="rId23"/>
    <sheet name="Grimorio Magia" sheetId="20" r:id="rId24"/>
    <sheet name="Grimorio de Vía" sheetId="22" r:id="rId25"/>
    <sheet name="Tablas psiquica" sheetId="18" state="hidden" r:id="rId26"/>
    <sheet name="Grimorio Psíquica" sheetId="24" r:id="rId27"/>
    <sheet name="Grimorio Poderes Psi" sheetId="34" r:id="rId28"/>
  </sheets>
  <externalReferences>
    <externalReference r:id="rId29"/>
    <externalReference r:id="rId30"/>
    <externalReference r:id="rId31"/>
    <externalReference r:id="rId32"/>
  </externalReferences>
  <definedNames>
    <definedName name="_xleta.AND" hidden="1" xlm="1">#NAME?</definedName>
    <definedName name="_xleta.COUNTIF" hidden="1" xlm="1">#NAME?</definedName>
    <definedName name="_xleta.IF" hidden="1" xlm="1">#NAME?</definedName>
    <definedName name="_xleta.IFERROR" hidden="1" xlm="1">#NAME?</definedName>
    <definedName name="_xleta.INDEX" hidden="1" xlm="1">#NAME?</definedName>
    <definedName name="_xleta.ISNA" hidden="1" xlm="1">#NAME?</definedName>
    <definedName name="_xleta.MAX" hidden="1" xlm="1">#NAME?</definedName>
    <definedName name="_xleta.N" hidden="1" xlm="1">#NAME?</definedName>
    <definedName name="_xleta.OR" hidden="1" xlm="1">#NAME?</definedName>
    <definedName name="_xleta.ROUND" hidden="1" xlm="1">#NAME?</definedName>
    <definedName name="_xleta.SUM" hidden="1" xlm="1">#NAME?</definedName>
    <definedName name="_xleta.TRANSPOSE" hidden="1" xlm="1">#NAME?</definedName>
    <definedName name="_xleta.VLOOKUP" hidden="1" xlm="1">#NAME?</definedName>
    <definedName name="Abbadon">Tablas!$E$2053:$E$2063</definedName>
    <definedName name="Acrobacias_final" localSheetId="22">[1]PDs!$AA$139</definedName>
    <definedName name="Acrobacias_final">PDs!$AA$144</definedName>
    <definedName name="ACT_final" localSheetId="22">[1]PDs!$AA$99</definedName>
    <definedName name="ACT_final">PDs!$AA$104</definedName>
    <definedName name="Acumulacion" localSheetId="22">[1]Principal!$Y$13</definedName>
    <definedName name="Acumulacion">Principal!$Y$13</definedName>
    <definedName name="Advertir_final" localSheetId="22">[1]PDs!$AA$153</definedName>
    <definedName name="Advertir_final">PDs!$AA$158</definedName>
    <definedName name="AGI" localSheetId="22">[1]Principal!$G$11</definedName>
    <definedName name="AGI">Principal!$G$11</definedName>
    <definedName name="AGI_DES">Psíquicos!$AR$10:$AR$11</definedName>
    <definedName name="AGI_DES_AMBOS">Psíquicos!$AR$12</definedName>
    <definedName name="AhorrarTinta">Resumen!$AU$16</definedName>
    <definedName name="AjusteNivel" localSheetId="22">[1]Principal!$AA$27</definedName>
    <definedName name="AjusteNivel">Principal!$AA$27</definedName>
    <definedName name="AlcanceIncrementado" localSheetId="22">[1]Ki!$R$39</definedName>
    <definedName name="AlcanceIncrementado">Ki!$R$39</definedName>
    <definedName name="Alquimia_final" localSheetId="22">[1]PDs!$AA$183</definedName>
    <definedName name="Alquimia_final">PDs!$AA$188</definedName>
    <definedName name="Alt_Paladín">Tablas!$G$8:$G$9</definedName>
    <definedName name="Animales_final" localSheetId="22">[1]PDs!$AA$156</definedName>
    <definedName name="Animales_final">PDs!$AA$161</definedName>
    <definedName name="Animismo_final" localSheetId="22">[1]PDs!$AA$184</definedName>
    <definedName name="Animismo_final">PDs!$AA$189</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4">'Grimorio de Vía'!$A$1:$AL$335</definedName>
    <definedName name="_xlnm.Print_Area" localSheetId="23">'Grimorio Magia'!$A$1:$BX$67</definedName>
    <definedName name="_xlnm.Print_Area" localSheetId="27">'Grimorio Poderes Psi'!$A$1:$DD$80</definedName>
    <definedName name="_xlnm.Print_Area" localSheetId="26">'Grimorio Psíquica'!$A$1:$DD$80</definedName>
    <definedName name="_xlnm.Print_Area" localSheetId="6">Ki!$A$1:$AL$89</definedName>
    <definedName name="_xlnm.Print_Area" localSheetId="9">Místicos!$A$1:$AY$80</definedName>
    <definedName name="_xlnm.Print_Area" localSheetId="4">PDs!$A$1:$AC$217</definedName>
    <definedName name="_xlnm.Print_Area" localSheetId="16">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8">Sheele!$A$1:$U$90</definedName>
    <definedName name="Arma_Desarrollada" localSheetId="22">[1]Principal!$F$31</definedName>
    <definedName name="Arma_Desarrollada">Principal!$F$31</definedName>
    <definedName name="Armad_Ene">Ki!$R$33</definedName>
    <definedName name="ArmaduraArcana" localSheetId="22">[1]Ki!$R$35</definedName>
    <definedName name="ArmaduraArcana">Ki!$R$35</definedName>
    <definedName name="ArmaduradeEnergia" localSheetId="22">[1]Ki!$R$33</definedName>
    <definedName name="ArmaduradeEnergia">Ki!$R$33</definedName>
    <definedName name="ArmaduraMayor">Ki!$R$34</definedName>
    <definedName name="Armaduras" localSheetId="22">[1]Tablas!$D$590:$D$642</definedName>
    <definedName name="Armaduras">Tablas!$D$594:$D$647</definedName>
    <definedName name="Armas_Arquetipo">Tablas!$X$600:$X$615</definedName>
    <definedName name="Armas_Conocidas" localSheetId="22">[1]Tablas!$AG$624</definedName>
    <definedName name="Armas_Conocidas">Tablas!$AG$629</definedName>
    <definedName name="ArmasAM" localSheetId="22">[1]Tablas!$I$957:$I$987</definedName>
    <definedName name="ArmasAM">Tablas!$I$1020:$I$1054</definedName>
    <definedName name="ArmasAM_HA" localSheetId="22">[1]Tablas!$K$957:$K$987</definedName>
    <definedName name="ArmasAM_HA">Tablas!$K$1020:$K$1054</definedName>
    <definedName name="ArmasAM_HE" localSheetId="22">[1]Tablas!$L$957:$L$987</definedName>
    <definedName name="ArmasAM_HE">Tablas!$L$1020:$L$1054</definedName>
    <definedName name="ArmasAM_HP" localSheetId="22">[1]Tablas!$M$957:$M$987</definedName>
    <definedName name="ArmasAM_HP">Tablas!$M$1020:$M$1054</definedName>
    <definedName name="ArmasNaturales_Daño" localSheetId="22">[1]Tablas!$E$649</definedName>
    <definedName name="ArmasNaturales_Daño">Tablas!$E$654</definedName>
    <definedName name="Ars_Cognitiam" localSheetId="22">[1]Tablas!$T$995:$T$1028</definedName>
    <definedName name="Ars_Cognitiam">Tablas!$AL$1068:$AL$1108</definedName>
    <definedName name="Ars_Inanimis">Tablas!$U$1068:$U$1092</definedName>
    <definedName name="Ars_Magnus" localSheetId="22">[1]Tablas!$C$995:$C$1056</definedName>
    <definedName name="Ars_Magnus">Tablas!$C$1068:$C$1156</definedName>
    <definedName name="Arte_final" localSheetId="22">[1]PDs!$AA$179</definedName>
    <definedName name="Arte_final">PDs!$AA$184</definedName>
    <definedName name="ArtesM_Daño" localSheetId="22">[1]Tablas!$Q$951</definedName>
    <definedName name="ArtesM_Daño">Tablas!$Q$1014</definedName>
    <definedName name="Atar_final" localSheetId="22">[1]PDs!$AA$105</definedName>
    <definedName name="Atar_final">PDs!$AA$110</definedName>
    <definedName name="Atletismo_final" localSheetId="22">[1]PDs!$AA$140</definedName>
    <definedName name="Atletismo_final">PDs!$AA$145</definedName>
    <definedName name="AuradeVacío">Ki!$B$61</definedName>
    <definedName name="Azrael">Tablas!$E$2040:$E$2051</definedName>
    <definedName name="Baile_final" localSheetId="22">[1]PDs!$AA$180</definedName>
    <definedName name="Baile_final">PDs!$AA$185</definedName>
    <definedName name="Barakiel">Tablas!$E$2065:$E$2077</definedName>
    <definedName name="Bono_Agi" localSheetId="22">[1]Principal!$H$11</definedName>
    <definedName name="Bono_Agi">Principal!$H$11</definedName>
    <definedName name="Bono_Con" localSheetId="22">[1]Principal!$H$12</definedName>
    <definedName name="Bono_Con">Principal!$H$12</definedName>
    <definedName name="Bono_Des" localSheetId="22">[1]Principal!$H$13</definedName>
    <definedName name="Bono_Des">Principal!$H$13</definedName>
    <definedName name="Bono_Fue" localSheetId="22">[1]Principal!$H$14</definedName>
    <definedName name="Bono_Fue">Principal!$H$14</definedName>
    <definedName name="Bono_IncremTotal" localSheetId="22">'[1]Tablas psiquica'!$AM$62</definedName>
    <definedName name="Bono_IncremTotal">'Tablas psiquica'!$AO$63</definedName>
    <definedName name="Bono_Int">Principal!$H$15</definedName>
    <definedName name="Bono_Per">Principal!$H$16</definedName>
    <definedName name="Bono_Pod" localSheetId="22">[1]Principal!$H$17</definedName>
    <definedName name="Bono_Pod">Principal!$H$17</definedName>
    <definedName name="Bono_Tamaño_Criatura" localSheetId="22">[1]Tablas!$J$1317</definedName>
    <definedName name="Bono_Tamaño_Criatura">Tablas!$J$1434</definedName>
    <definedName name="Bono_Tamaño_PCs" localSheetId="22">[1]Tablas!$K$327</definedName>
    <definedName name="Bono_Tamaño_PCs">Tablas!$K$324</definedName>
    <definedName name="Bono_Vol" localSheetId="22">[1]Principal!$H$18</definedName>
    <definedName name="Bono_Vol">Principal!$H$18</definedName>
    <definedName name="BonoMaestro_HA" localSheetId="22">[1]Tablas!$O$950</definedName>
    <definedName name="BonoMaestro_HA">Tablas!$O$1013</definedName>
    <definedName name="BonoMaestro_HD" localSheetId="22">[1]Tablas!$P$950</definedName>
    <definedName name="BonoMaestro_HD">Tablas!$P$1013</definedName>
    <definedName name="Bonos_Cat_Base" localSheetId="22">[1]Tablas!$E$232:$CI$233</definedName>
    <definedName name="Bonos_Cat_Base">Tablas!$E$229:$CM$230</definedName>
    <definedName name="Bonos_Raza_Base" localSheetId="22">[1]Tablas!$K$130:$AB$131</definedName>
    <definedName name="Bonos_Raza_Base">Tablas!$K$130:$AB$131</definedName>
    <definedName name="Buscar_final" localSheetId="22">[1]PDs!$AA$154</definedName>
    <definedName name="Buscar_final">PDs!$AA$159</definedName>
    <definedName name="Calidades" localSheetId="22">[1]Tablas!$AC$608:$AC$616</definedName>
    <definedName name="Calidades">Tablas!$AC$612:$AC$620</definedName>
    <definedName name="Caligrafíaritual_final" localSheetId="22">[1]PDs!$AA$187</definedName>
    <definedName name="Caligrafíaritual_final">PDs!$AA$192</definedName>
    <definedName name="Callejeo_final" localSheetId="22">[1]PDs!$AA$151</definedName>
    <definedName name="Callejeo_final">PDs!$AA$156</definedName>
    <definedName name="Cansancio" localSheetId="22">[1]Principal!$N$16</definedName>
    <definedName name="Cansancio">Principal!$N$16</definedName>
    <definedName name="Características" localSheetId="22">[1]Principal!$D$11:$D$18</definedName>
    <definedName name="Características">Principal!$D$11:$D$18</definedName>
    <definedName name="Características_10">Principal!$D$11:$D$18</definedName>
    <definedName name="Categoría_1" localSheetId="22">[1]PDs!$O$7</definedName>
    <definedName name="Categoría_1">PDs!$O$7</definedName>
    <definedName name="Categoría_2" localSheetId="22">[1]PDs!$O$9</definedName>
    <definedName name="Categoría_2">PDs!$O$9</definedName>
    <definedName name="Categoría_3" localSheetId="22">[1]PDs!$O$11</definedName>
    <definedName name="Categoría_3">PDs!$O$11</definedName>
    <definedName name="Categoría_4" localSheetId="22">[1]PDs!$O$13</definedName>
    <definedName name="Categoría_4">PDs!$O$13</definedName>
    <definedName name="Categoría_5" localSheetId="22">[1]PDs!$O$15</definedName>
    <definedName name="Categoría_5">PDs!$O$15</definedName>
    <definedName name="Categorías" localSheetId="22">[1]Tablas!$D$202:$D$231</definedName>
    <definedName name="Categorías">Tablas!$D$202:$D$228</definedName>
    <definedName name="Cercanía_Dragón" localSheetId="14">Elan!$U$10:$Y$12</definedName>
    <definedName name="Cercanía_Dragón" localSheetId="22">[1]Personalización!$C$40:$G$42</definedName>
    <definedName name="Cercanía_Dragón">Personalización!$C$40:$G$42</definedName>
    <definedName name="Cerrajería_final" localSheetId="22">[1]PDs!$AA$172</definedName>
    <definedName name="Cerrajería_final">PDs!$AA$177</definedName>
    <definedName name="Ciencia_final" localSheetId="22">[1]PDs!$AA$157</definedName>
    <definedName name="Ciencia_final">PDs!$AA$162</definedName>
    <definedName name="Clases_Sociales">Tablas!$F$136:$F$139</definedName>
    <definedName name="ClaseSocial" localSheetId="22">[1]General!$N$26</definedName>
    <definedName name="ClaseSocial">General!$N$26</definedName>
    <definedName name="CM_final" localSheetId="22">[1]PDs!$AA$42</definedName>
    <definedName name="CM_final">PDs!$AA$42</definedName>
    <definedName name="Comercio_final" localSheetId="22">[1]PDs!$AA$150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22">[1]PDs!$E$43:$AA$48</definedName>
    <definedName name="Compra_TablasArmas">PDs!$E$43:$AA$48</definedName>
    <definedName name="Compra_TablasEstilo" localSheetId="22">[1]PDs!$E$49:$K$58</definedName>
    <definedName name="Compra_TablasEstilo">PDs!$E$49:$K$58</definedName>
    <definedName name="Compra_TablasEstilos">PDs!$E$49:$AA$58</definedName>
    <definedName name="CON" localSheetId="22">[1]Principal!$G$12</definedName>
    <definedName name="CON">Principal!$G$12</definedName>
    <definedName name="Con.TodasMaterias" localSheetId="22">[1]Tablas!$G$318</definedName>
    <definedName name="Con.TodasMaterias">Tablas!$G$315</definedName>
    <definedName name="Conf.marionetas_final" localSheetId="22">[1]PDs!$AA$190</definedName>
    <definedName name="Conf.marionetas_final">PDs!$AA$195</definedName>
    <definedName name="Confección_final" localSheetId="22">[1]PDs!$AA$189</definedName>
    <definedName name="Confección_final">PDs!$AA$194</definedName>
    <definedName name="ConfMarionetas_final">PDs!$AA$195</definedName>
    <definedName name="Conjuros" localSheetId="22">'[1]Tablas Magia'!$D$6:$D$680</definedName>
    <definedName name="Conjuros">'Tablas Magia'!$D$6:$D$779</definedName>
    <definedName name="Conjuros_Agua">'Tablas Magia'!$D$201:$D$231</definedName>
    <definedName name="Conjuros_Aire">'Tablas Magia'!$D$170:$D$200</definedName>
    <definedName name="Conjuros_Apuestas">'Tablas Magia'!$D$736:$D$746</definedName>
    <definedName name="Conjuros_Caos">'Tablas Magia'!$D$527:$D$537</definedName>
    <definedName name="Conjuros_Conocimiento">'Tablas Magia'!$D$615:$D$625</definedName>
    <definedName name="Conjuros_Creación">'Tablas Magia'!$D$88:$D$128</definedName>
    <definedName name="Conjuros_Curación">'Tablas Magia'!$D$692:$D$702</definedName>
    <definedName name="Conjuros_Destrucción">'Tablas Magia'!$D$129:$D$169</definedName>
    <definedName name="Conjuros_Energía">'Tablas Magia'!$D$725:$D$735</definedName>
    <definedName name="Conjuros_Esencia">'Tablas Magia'!$D$294:$D$324</definedName>
    <definedName name="Conjuros_Espacio">'Tablas Magia'!$D$703:$D$713</definedName>
    <definedName name="Conjuros_Estaciones">'Tablas Magia'!$D$769:$D$779</definedName>
    <definedName name="Conjuros_Fantasía">'Tablas Magia'!$D$758:$D$768</definedName>
    <definedName name="Conjuros_Fuego">'Tablas Magia'!$D$232:$D$262</definedName>
    <definedName name="Conjuros_Gemas">'Tablas Magia'!$D$747:$D$757</definedName>
    <definedName name="Conjuros_grimorio" localSheetId="22">'[1]Tablas Magia'!$D$6:$D$680</definedName>
    <definedName name="Conjuros_grimorio">'Tablas Magia'!$D$6:$D$779</definedName>
    <definedName name="Conjuros_Guerra">'Tablas Magia'!$D$538:$D$548</definedName>
    <definedName name="Conjuros_Ilusión">'Tablas Magia'!$D$325:$D$355</definedName>
    <definedName name="Conjuros_Ley">'Tablas Magia'!$D$714:$D$724</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lvido">'Tablas Magia'!$D$681:$D$691</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22">[1]PDs!$AA$104</definedName>
    <definedName name="Controlar_final">PDs!$AA$109</definedName>
    <definedName name="ControldelKi">Ki!$R$12</definedName>
    <definedName name="Convocar_final" localSheetId="22">[1]PDs!$AA$103</definedName>
    <definedName name="Convocar_final">PDs!$AA$108</definedName>
    <definedName name="cristales_psi">'Tablas constructos'!$P$31:$R$37</definedName>
    <definedName name="Crítico" localSheetId="22">[1]Tablas!$Q$49:$Q$56</definedName>
    <definedName name="Crítico">Tablas!$Q$49:$Q$56</definedName>
    <definedName name="CuerpodeVacío" localSheetId="22">[1]Ki!$B$56</definedName>
    <definedName name="CuerpodeVacío">Ki!$B$56</definedName>
    <definedName name="CV_final" localSheetId="22">[1]PDs!$AA$116</definedName>
    <definedName name="CV_final">PDs!$AA$121</definedName>
    <definedName name="DañoIncrementado" localSheetId="22">[1]Ki!$R$38</definedName>
    <definedName name="DañoIncrementado">Ki!$R$38</definedName>
    <definedName name="DES" localSheetId="22">[1]Principal!$G$13</definedName>
    <definedName name="DES">Principal!$G$13</definedName>
    <definedName name="Desconvocar_final" localSheetId="22">[1]PDs!$AA$106</definedName>
    <definedName name="Desconvocar_final">PDs!$AA$111</definedName>
    <definedName name="DestrucciónporKi">Ki!$R$41</definedName>
    <definedName name="DeteccióndelKi" localSheetId="22">[1]Ki!$R$13</definedName>
    <definedName name="DeteccióndelKi">Ki!$R$13</definedName>
    <definedName name="Disciplinas_Psi" localSheetId="22">[1]Tablas!$D$1178:$D$1201</definedName>
    <definedName name="Disciplinas_Psi">Tablas!$C$1292:$C$1312</definedName>
    <definedName name="Disciplinas_Psi_Totales" localSheetId="22">[1]Tablas!$D$1178:$D$1202</definedName>
    <definedName name="Disciplinas_Psi_Totales">Tablas!$C$1292:$C$1314</definedName>
    <definedName name="Disfraz_final" localSheetId="22">[1]PDs!$AA$173</definedName>
    <definedName name="Disfraz_final">PDs!$AA$178</definedName>
    <definedName name="Dominiofísico" localSheetId="22">[1]Ki!$R$16</definedName>
    <definedName name="Dominiofísico">Ki!$R$16</definedName>
    <definedName name="Don" localSheetId="22">[1]Principal!$AN$36</definedName>
    <definedName name="Don">Principal!$AN$36</definedName>
    <definedName name="Edamiel">Tablas!$E$2091:$E$2101</definedName>
    <definedName name="Elan">Elan!$G$11</definedName>
    <definedName name="ElanPersonalizado">Tablas!$E$2117:$E$2132</definedName>
    <definedName name="Eliminacióndepeso">Ki!$R$27</definedName>
    <definedName name="Erebus">Tablas!$E$2028:$E$2038</definedName>
    <definedName name="Eriol">Tablas!$E$2079:$E$2089</definedName>
    <definedName name="Erudición" localSheetId="22">[1]Ki!$R$14</definedName>
    <definedName name="Erudición">Ki!$R$14</definedName>
    <definedName name="EsenciadeVacío">Ki!$B$59</definedName>
    <definedName name="Especialización_Conjurador" localSheetId="22">[1]Tablas!$C$1085:$C$1091</definedName>
    <definedName name="Especialización_Conjurador">Tablas!$C$1175:$C$1181</definedName>
    <definedName name="Estaciones">'Tablas Sheele'!$C$464:$C$474</definedName>
    <definedName name="Estilo_final" localSheetId="22">[1]PDs!$AA$146</definedName>
    <definedName name="Estilo_final">PDs!$AA$151</definedName>
    <definedName name="Etiqueta_final" localSheetId="22">[1]PDs!$AA$152</definedName>
    <definedName name="Etiqueta_final">PDs!$AA$157</definedName>
    <definedName name="Etnias" localSheetId="22">[1]Tablas!$C$113:$C$128</definedName>
    <definedName name="Etnias">Tablas!$C$113:$C$128</definedName>
    <definedName name="Extensióndelauraalarma" localSheetId="22">[1]Ki!$R$36</definedName>
    <definedName name="Extensióndelauraalarma">Ki!$R$36</definedName>
    <definedName name="Extrusióndepresencia" localSheetId="22">[1]Ki!$R$32</definedName>
    <definedName name="Extrusióndepresencia">Ki!$R$32</definedName>
    <definedName name="Extrusióndevacío" localSheetId="22">[1]Ki!$B$54</definedName>
    <definedName name="Extrusióndevacío">Ki!$B$54</definedName>
    <definedName name="Forja_final" localSheetId="22">[1]PDs!$AA$181</definedName>
    <definedName name="Forja_final">PDs!$AA$186</definedName>
    <definedName name="Frialdad_final" localSheetId="22">[1]PDs!$AA$169</definedName>
    <definedName name="Frialdad_final">PDs!$AA$174</definedName>
    <definedName name="FUE" localSheetId="22">[1]Principal!$G$14</definedName>
    <definedName name="FUE">Principal!$G$14</definedName>
    <definedName name="Gabriel">Tablas!$E$1988:$E$1999</definedName>
    <definedName name="Género" localSheetId="22">[1]Tablas!$C$107:$C$109</definedName>
    <definedName name="Género">Tablas!$C$107:$C$109</definedName>
    <definedName name="Grado_AM_Avanzadas" localSheetId="22">[1]Tablas!$AG$865:$AG$866</definedName>
    <definedName name="Grado_AM_Avanzadas">Tablas!$AG$898:$AG$899</definedName>
    <definedName name="Grado_AM_Básicas" localSheetId="22">[1]Tablas!$AF$865:$AF$867</definedName>
    <definedName name="Grado_AM_Básicas">Tablas!$AF$898:$AF$900</definedName>
    <definedName name="HA_final" localSheetId="22">[1]PDs!$AA$25</definedName>
    <definedName name="HA_final">PDs!$AA$25</definedName>
    <definedName name="HA_SinArmas" localSheetId="22">[1]Combate!$AT$17</definedName>
    <definedName name="HA_SinArmas">Combate!$AT$17</definedName>
    <definedName name="HA_SinArmas_final" localSheetId="22">[1]Combate!$I$21</definedName>
    <definedName name="HA_SinArmas_final">Combate!$I$21</definedName>
    <definedName name="Habilidades_Esenciales">Tablas!$E$1376:$E$1595</definedName>
    <definedName name="Habilidades_Secundarias" localSheetId="22">[1]Tablas!$M$289:$M$345</definedName>
    <definedName name="Habilidades_Secundarias">Tablas!$M$310:$M$366</definedName>
    <definedName name="Habilidades_Secundarias_Oficial" localSheetId="22">[1]Tablas!$M$289:$M$340</definedName>
    <definedName name="Habilidades_Secundarias_Oficial">Tablas!$M$310:$M$361</definedName>
    <definedName name="HabilidadesEsenciales_Adquiridas" localSheetId="22">[1]Principal!$AM$12:$AM$23</definedName>
    <definedName name="HabilidadesEsenciales_Adquiridas">Principal!$AM$12:$AM$23</definedName>
    <definedName name="HD_final" localSheetId="22">[1]PDs!$AD$26</definedName>
    <definedName name="HD_final">PDs!$AD$26</definedName>
    <definedName name="HD_SinArmas" localSheetId="22">[1]Combate!$AT$23</definedName>
    <definedName name="HD_SinArmas">Combate!$AT$23</definedName>
    <definedName name="HD_SinArmas_final" localSheetId="22">[1]Combate!$J$21</definedName>
    <definedName name="HD_SinArmas_final">Combate!$J$21</definedName>
    <definedName name="HE_final" localSheetId="22">[1]PDs!$AA$27</definedName>
    <definedName name="HE_final">PDs!$AA$27</definedName>
    <definedName name="HE_SinArmas" localSheetId="22">[1]Combate!$AT$21</definedName>
    <definedName name="HE_SinArmas">Combate!$AT$21</definedName>
    <definedName name="HE_SinArmas_final" localSheetId="22">[1]Combate!$AT$27</definedName>
    <definedName name="HE_SinArmas_final">Combate!$AT$27</definedName>
    <definedName name="Herbolaria_final" localSheetId="22">[1]PDs!$AA$159</definedName>
    <definedName name="Herbolaria_final">PDs!$AA$164</definedName>
    <definedName name="Historia_final" localSheetId="22">[1]PDs!$AA$160</definedName>
    <definedName name="Historia_final">PDs!$AA$165</definedName>
    <definedName name="HP_final" localSheetId="22">[1]PDs!$AA$26</definedName>
    <definedName name="HP_final">PDs!$AA$26</definedName>
    <definedName name="HP_SinArmas" localSheetId="22">[1]Combate!$AT$19</definedName>
    <definedName name="HP_SinArmas">Combate!$AT$19</definedName>
    <definedName name="HP_SinArmas_final" localSheetId="22">[1]Combate!$AT$25</definedName>
    <definedName name="HP_SinArmas_final">Combate!$AT$25</definedName>
    <definedName name="Incansable" localSheetId="22">[1]Tablas!$AA$58</definedName>
    <definedName name="Incansable">Tablas!$AA$58</definedName>
    <definedName name="Indetección">Ki!$B$62</definedName>
    <definedName name="Inhumanidad" localSheetId="22">[1]Tablas!$AI$55</definedName>
    <definedName name="Inhumanidad">Tablas!$AI$55</definedName>
    <definedName name="Inhumanidad_IP" localSheetId="22">[1]Tablas!$AI$65</definedName>
    <definedName name="Inhumanidad_IP">Tablas!$AI$65</definedName>
    <definedName name="Inhumanidad_TM" localSheetId="22">[1]Tablas!$AI$64</definedName>
    <definedName name="Inhumanidad_TM">Tablas!$AI$64</definedName>
    <definedName name="INT" localSheetId="22">[1]Principal!$G$15</definedName>
    <definedName name="INT">Principal!$G$15</definedName>
    <definedName name="Intimidar_final" localSheetId="22">[1]PDs!$AA$147</definedName>
    <definedName name="Intimidar_final">PDs!$AA$152</definedName>
    <definedName name="InvestigacionPsi_Final">PDs!$AA$173</definedName>
    <definedName name="Invocaciones" localSheetId="22">[1]Tablas!$Z$1075:$Z$1249</definedName>
    <definedName name="Invocaciones">Tablas!$Z$1165:$Z$1309</definedName>
    <definedName name="InvPod_Aeriel">'Tablas Invocaciones'!$AQ$97:$AS$97</definedName>
    <definedName name="InvPod_Ambrose">'Tablas Invocaciones'!$AQ$93:$AS$93</definedName>
    <definedName name="InvPod_Amon">'Tablas Invocaciones'!$AQ$119:$AS$119</definedName>
    <definedName name="InvPod_Anassilish">'Tablas Invocaciones'!$AQ$92:$AS$92</definedName>
    <definedName name="InvPod_Arturia">'Tablas Invocaciones'!$AQ$90:$AS$90</definedName>
    <definedName name="InvPod_Athoz">'Tablas Invocaciones'!$AQ$110:$AS$110</definedName>
    <definedName name="InvPod_BaalBeelzebub">'Tablas Invocaciones'!$AQ$115:$AS$115</definedName>
    <definedName name="InvPod_Barbatos">'Tablas Invocaciones'!$AQ$114:$AR$114</definedName>
    <definedName name="InvPod_Behemoth">'Tablas Invocaciones'!$AQ$73:$AR$73</definedName>
    <definedName name="InvPod_Boreas">'Tablas Invocaciones'!#REF!</definedName>
    <definedName name="InvPod_Buer">'Tablas Invocaciones'!$AQ$116:$AS$116</definedName>
    <definedName name="InvPod_Byakko">'Tablas Invocaciones'!$AQ$79:$AT$79</definedName>
    <definedName name="InvPod_Caronte">'Tablas Invocaciones'!$AQ$68</definedName>
    <definedName name="InvPod_Decarabian">'Tablas Invocaciones'!$AQ$120:$AT$120</definedName>
    <definedName name="InvPod_Devah">'Tablas Invocaciones'!$AQ$124:$AT$124</definedName>
    <definedName name="InvPod_DoloresDei">'Tablas Invocaciones'!$AQ$102:$AS$102</definedName>
    <definedName name="InvPod_Druaga">'Tablas Invocaciones'!$AQ$72:$AR$72</definedName>
    <definedName name="InvPod_Eiko">'Tablas Invocaciones'!$AQ$87:$AS$87</definedName>
    <definedName name="InvPod_Eir">'Tablas Invocaciones'!$AQ$65:$AR$65</definedName>
    <definedName name="InvPod_ElCarro">'Tablas Invocaciones'!$AQ$16</definedName>
    <definedName name="InvPod_ElCarroInvertido">'Tablas Invocaciones'!$AQ$38</definedName>
    <definedName name="InvPod_ElColgado">'Tablas Invocaciones'!$AQ$21</definedName>
    <definedName name="InvPod_ElColgadoInvertido">'Tablas Invocaciones'!$AQ$43</definedName>
    <definedName name="InvPod_ElDiablo">'Tablas Invocaciones'!$AQ$24</definedName>
    <definedName name="InvPod_ElDiabloInvertido">'Tablas Invocaciones'!$AQ$46</definedName>
    <definedName name="InvPod_ElEmperador">'Tablas Invocaciones'!$AQ$13</definedName>
    <definedName name="InvPod_ElEmperadorInvertido">'Tablas Invocaciones'!$AQ$35</definedName>
    <definedName name="InvPod_ElErmitaño">'Tablas Invocaciones'!$AQ$18</definedName>
    <definedName name="InvPod_ElErmitañoInvertido">'Tablas Invocaciones'!$AQ$40</definedName>
    <definedName name="InvPod_ElHierofante">'Tablas Invocaciones'!$AQ$10</definedName>
    <definedName name="InvPod_ElHierofanteInvertido">'Tablas Invocaciones'!$AQ$32</definedName>
    <definedName name="InvPod_ElJuicio">'Tablas Invocaciones'!$AQ$29</definedName>
    <definedName name="InvPod_ElJuicioInvertido">'Tablas Invocaciones'!$AQ$51</definedName>
    <definedName name="InvPod_ElLoco">'Tablas Invocaciones'!$AQ$9</definedName>
    <definedName name="InvPod_ElLocoInvertido">'Tablas Invocaciones'!$AQ$31</definedName>
    <definedName name="InvPod_ElMundo">'Tablas Invocaciones'!$AQ$30</definedName>
    <definedName name="InvPod_ElMundoInvertido">'Tablas Invocaciones'!$AQ$52</definedName>
    <definedName name="InvPod_ElSol">'Tablas Invocaciones'!$AQ$28</definedName>
    <definedName name="InvPod_ElSolInvertido">'Tablas Invocaciones'!$AQ$50</definedName>
    <definedName name="InvPod_ElSumoSacerdote">'Tablas Invocaciones'!$AQ$14</definedName>
    <definedName name="InvPod_ElSumoSacerdoteInvertido">'Tablas Invocaciones'!$AQ$36</definedName>
    <definedName name="InvPod_ElVendedor">'Tablas Invocaciones'!$AQ$81</definedName>
    <definedName name="InvPod_Emiya">'Tablas Invocaciones'!$AQ$108:$AS$108</definedName>
    <definedName name="InvPod_Enamon">'Tablas Invocaciones'!$AQ$55</definedName>
    <definedName name="InvPod_Ethelthryth">'Tablas Invocaciones'!$AQ$64:$AR$64</definedName>
    <definedName name="InvPod_Foçalors">'Tablas Invocaciones'!$AQ$117:$AS$117</definedName>
    <definedName name="InvPod_Forseti">'Tablas Invocaciones'!$AQ$71:$AR$71</definedName>
    <definedName name="InvPod_Galgaliel">'Tablas Invocaciones'!$AQ$59</definedName>
    <definedName name="InvPod_Garuda">'Tablas Invocaciones'!$AQ$61</definedName>
    <definedName name="InvPod_Gaucho">'Tablas Invocaciones'!#REF!</definedName>
    <definedName name="InvPod_Genbu">'Tablas Invocaciones'!$AQ$77:$AT$77</definedName>
    <definedName name="InvPod_Gygjur">'Tablas Invocaciones'!$AQ$89:$AS$89</definedName>
    <definedName name="InvPod_Hellshet">'Tablas Invocaciones'!#REF!</definedName>
    <definedName name="InvPod_Hermod">'Tablas Invocaciones'!$AQ$54</definedName>
    <definedName name="InvPod_Holst">'Tablas Invocaciones'!$AQ$99:$AS$99</definedName>
    <definedName name="InvPod_HuginnMuninn">'Tablas Invocaciones'!$AQ$57:$AR$57</definedName>
    <definedName name="InvPod_Idea">'Tablas Invocaciones'!$AQ$58</definedName>
    <definedName name="InvPod_Idun">'Tablas Invocaciones'!$AQ$63:$AR$63</definedName>
    <definedName name="InvPod_Kagutsuchi">'Tablas Invocaciones'!$AQ$70:$AR$70</definedName>
    <definedName name="InvPod_Kha">'Tablas Invocaciones'!$AQ$91:$AS$91</definedName>
    <definedName name="InvPod_Kirin">'Tablas Invocaciones'!$AQ$80</definedName>
    <definedName name="InvPod_Kristoff">'Tablas Invocaciones'!$AQ$95:$AS$95</definedName>
    <definedName name="InvPod_Kvri">'Tablas Invocaciones'!#REF!</definedName>
    <definedName name="InvPod_LaEmperatriz">'Tablas Invocaciones'!$AQ$12</definedName>
    <definedName name="InvPod_LaEmperatrizInvertida">'Tablas Invocaciones'!$AQ$34</definedName>
    <definedName name="InvPod_LaEstrella">'Tablas Invocaciones'!$AQ$26</definedName>
    <definedName name="InvPod_LaEstrellaInvertida">'Tablas Invocaciones'!$AQ$48</definedName>
    <definedName name="InvPod_LaFuerza">'Tablas Invocaciones'!$AQ$17</definedName>
    <definedName name="InvPod_LaFuerzaInvertida">'Tablas Invocaciones'!$AQ$39</definedName>
    <definedName name="InvPod_LaJusticia">'Tablas Invocaciones'!$AQ$20</definedName>
    <definedName name="InvPod_LaJusticiaInvertida">'Tablas Invocaciones'!$AQ$42</definedName>
    <definedName name="InvPod_LaLuna">'Tablas Invocaciones'!$AQ$27</definedName>
    <definedName name="InvPod_LaLunaInvertida">'Tablas Invocaciones'!$AQ$49</definedName>
    <definedName name="InvPod_LaMuerte">'Tablas Invocaciones'!$AQ$22</definedName>
    <definedName name="InvPod_LaMuerteInvertida">'Tablas Invocaciones'!$AQ$44</definedName>
    <definedName name="InvPod_Lark’in">'Tablas Invocaciones'!#REF!</definedName>
    <definedName name="InvPod_LaRueda">'Tablas Invocaciones'!$AQ$19</definedName>
    <definedName name="InvPod_LaRuedaInvertida">'Tablas Invocaciones'!$AQ$41</definedName>
    <definedName name="InvPod_LaSumaSacerdotisa">'Tablas Invocaciones'!$AQ$11</definedName>
    <definedName name="InvPod_LaSumaSacerdotisaInvertida">'Tablas Invocaciones'!$AQ$33</definedName>
    <definedName name="InvPod_LaTemplanza">'Tablas Invocaciones'!$AQ$23</definedName>
    <definedName name="InvPod_LaTemplanzaInvertida">'Tablas Invocaciones'!$AQ$45</definedName>
    <definedName name="InvPod_LaTorre">'Tablas Invocaciones'!$AQ$25</definedName>
    <definedName name="InvPod_LaTorreInvertida">'Tablas Invocaciones'!$AQ$47</definedName>
    <definedName name="InvPod_Leviathan">'Tablas Invocaciones'!$AQ$74:$AR$74</definedName>
    <definedName name="InvPod_Linx">'Tablas Invocaciones'!$AQ$85:$AS$85</definedName>
    <definedName name="InvPod_LixTetrax">'Tablas Invocaciones'!$AQ$60</definedName>
    <definedName name="InvPod_Loly">'Tablas Invocaciones'!$AQ$96:$AS$96</definedName>
    <definedName name="InvPod_LoPao">'Tablas Invocaciones'!$AQ$103:$AR$103</definedName>
    <definedName name="InvPod_LosEnamorados">'Tablas Invocaciones'!$AQ$15</definedName>
    <definedName name="InvPod_LosEnamoradosInvertidos">'Tablas Invocaciones'!$AQ$37</definedName>
    <definedName name="InvPod_Mebagaresi">'Tablas Invocaciones'!$AQ$106</definedName>
    <definedName name="InvPod_Mephisto">'Tablas Invocaciones'!$AQ$118:$AR$118</definedName>
    <definedName name="InvPod_Morax">'Tablas Invocaciones'!$AQ$113:$AR$113</definedName>
    <definedName name="InvPod_Murata">'Tablas Invocaciones'!$AQ$122:$AT$122</definedName>
    <definedName name="InvPod_Myyah">'Tablas Invocaciones'!$AQ$107</definedName>
    <definedName name="InvPod_Naaga">'Tablas Invocaciones'!$AQ$56</definedName>
    <definedName name="InvPod_Nataraka">'Tablas Invocaciones'!#REF!</definedName>
    <definedName name="InvPod_Nerval">'Tablas Invocaciones'!$AQ$86:$AS$86</definedName>
    <definedName name="InvPod_Niflheim">'Tablas Invocaciones'!#REF!</definedName>
    <definedName name="InvPod_Nilf">'Tablas Invocaciones'!#REF!</definedName>
    <definedName name="InvPod_Osial">'Tablas Invocaciones'!$AQ$121:$AT$121</definedName>
    <definedName name="InvPod_Paimon">'Tablas Invocaciones'!$AQ$112:$AR$112</definedName>
    <definedName name="InvPod_Pandora">'Tablas Invocaciones'!$AQ$69</definedName>
    <definedName name="InvPod_Phandemonium">'Tablas Invocaciones'!$AQ$101:$AT$101</definedName>
    <definedName name="InvPod_Quezcatli">'Tablas Invocaciones'!$AQ$88:$AS$88</definedName>
    <definedName name="InvPod_Raksasha">'Tablas Invocaciones'!$AQ$62</definedName>
    <definedName name="InvPod_Ran">'Tablas Invocaciones'!#REF!</definedName>
    <definedName name="InvPod_Ruatha">'Tablas Invocaciones'!$AQ$94:$AS$94</definedName>
    <definedName name="InvPod_Rudraskha">'Tablas Invocaciones'!$AQ$53</definedName>
    <definedName name="InvPod_Ryukka">'Tablas Invocaciones'!$AQ$104</definedName>
    <definedName name="InvPod_Seiryu">'Tablas Invocaciones'!$AQ$76:$AT$76</definedName>
    <definedName name="InvPod_Shalash">'Tablas Invocaciones'!#REF!</definedName>
    <definedName name="InvPod_Shephirah">'Tablas Invocaciones'!$AQ$100:$AT$100</definedName>
    <definedName name="InvPod_Shi’nen">'Tablas Invocaciones'!#REF!</definedName>
    <definedName name="InvPod_Sonya">'Tablas Invocaciones'!#REF!</definedName>
    <definedName name="InvPod_Suzaku">'Tablas Invocaciones'!$AQ$78:$AT$78</definedName>
    <definedName name="InvPod_Sylphrena">'Tablas Invocaciones'!#REF!</definedName>
    <definedName name="InvPod_T’xalazarh">'Tablas Invocaciones'!$AQ$111:$AS$111</definedName>
    <definedName name="InvPod_Tawil">'Tablas Invocaciones'!$AQ$82:$AT$82</definedName>
    <definedName name="InvPod_Thanathos">'Tablas Invocaciones'!$AQ$67</definedName>
    <definedName name="InvPod_Thelxie’kalarr">'Tablas Invocaciones'!$AQ$109:$AS$109</definedName>
    <definedName name="InvPod_Titania">'Tablas Invocaciones'!#REF!</definedName>
    <definedName name="InvPod_Toa">'Tablas Invocaciones'!#REF!</definedName>
    <definedName name="InvPod_UlriokaSeñor">'Tablas Invocaciones'!$AQ$123:$AT$123</definedName>
    <definedName name="InvPod_Vanitas">'Tablas Invocaciones'!$AQ$105</definedName>
    <definedName name="InvPod_Veles">'Tablas Invocaciones'!$AQ$66</definedName>
    <definedName name="InvPod_Vilfain">'Tablas Invocaciones'!$AQ$84</definedName>
    <definedName name="InvPod_Wang">'Tablas Invocaciones'!$AQ$98:$AS$98</definedName>
    <definedName name="InvPod_Ziz">'Tablas Invocaciones'!$AQ$75:$AR$75</definedName>
    <definedName name="InvPod_Zvilpogghua">'Tablas Invocaciones'!$AQ$83</definedName>
    <definedName name="Jedah">Tablas!$E$1974:$E$1986</definedName>
    <definedName name="Lenguas" localSheetId="22">[1]Tablas!$BO$107:$DB$107</definedName>
    <definedName name="Lenguas">Tablas!$BO$107:$DC$107</definedName>
    <definedName name="Levitación">Ki!$R$28</definedName>
    <definedName name="Ley_final" localSheetId="22">[1]PDs!$AA$158</definedName>
    <definedName name="Ley_final">PDs!$AA$163</definedName>
    <definedName name="Liderazgo_final" localSheetId="22">[1]PDs!$AA$148</definedName>
    <definedName name="Liderazgo_final">PDs!$AA$153</definedName>
    <definedName name="Limite_Primarias_Combinado" localSheetId="22">[1]PDs!$AI$6</definedName>
    <definedName name="Limite_Primarias_Combinado">PDs!$AI$6</definedName>
    <definedName name="Limite_Primarias_Individual" localSheetId="22">[1]PDs!$AI$8</definedName>
    <definedName name="Limite_Primarias_Individual">PDs!$AI$8</definedName>
    <definedName name="Limite_Primarias_MasConveniente" localSheetId="22">[1]PDs!$AI$7</definedName>
    <definedName name="Limite_Primarias_MasConveniente">PDs!$AI$7</definedName>
    <definedName name="Limite_Primarias_Maximo" localSheetId="22">[1]PDs!$AI$10</definedName>
    <definedName name="Limite_Primarias_Maximo">PDs!$AI$10</definedName>
    <definedName name="Límites" localSheetId="22">[1]Tablas!$D$1075:$D$1081</definedName>
    <definedName name="Límites">Tablas!$D$1165:$D$1171</definedName>
    <definedName name="Lista_A1Mano" localSheetId="22">[1]Tablas!$AB$649</definedName>
    <definedName name="Lista_A1Mano">Tablas!$AC$652</definedName>
    <definedName name="Lista_A2Manos" localSheetId="22">[1]Tablas!$AC$649</definedName>
    <definedName name="Lista_A2Manos">Tablas!$AH$652</definedName>
    <definedName name="Lista_Armas" localSheetId="22">[1]Tablas!$D$648:$D$784</definedName>
    <definedName name="Lista_Armas">Tablas!$D$653:$D$789</definedName>
    <definedName name="Lista_ArmasArquetipo">Tablas!$X$600:$X$615</definedName>
    <definedName name="Lista_ArmasYVirgo">Tablas!$AX$655:$AX$796</definedName>
    <definedName name="Lista_ArtesMarciales">Tablas!$AE$898:$AE$938</definedName>
    <definedName name="Lista_Calidad" localSheetId="22">[1]Tablas!$AC$608:$AC$620</definedName>
    <definedName name="Lista_Calidad">Tablas!$AC$612:$AC$624</definedName>
    <definedName name="Lista_ClaseSocial" localSheetId="22">[1]Tablas!$F$136:INDEX([1]Tablas!$F$136:$F$140,SUMPRODUCT(--([1]Tablas!$F$136:$F$140&lt;&gt;"")))</definedName>
    <definedName name="Lista_ClaseSocial">Tablas!$F$136:INDEX(Tablas!$F$136:$F$140,SUMPRODUCT(--(Tablas!$F$136:$F$140&lt;&gt;"")))</definedName>
    <definedName name="Lista_Desventajas" localSheetId="22">[1]Tablas!$AA$505</definedName>
    <definedName name="Lista_Desventajas">Tablas!$AB$507</definedName>
    <definedName name="Lista_Dificultades" localSheetId="22">[1]Tablas!$U$27:$U$36</definedName>
    <definedName name="Lista_Dificultades">Tablas!$U$27:$U$36</definedName>
    <definedName name="Lista_EquipoArtesMarciales" localSheetId="22">[1]Tablas!$AC$600:$AC$604</definedName>
    <definedName name="Lista_EquipoArtesMarciales">Tablas!$AC$604:$AC$608</definedName>
    <definedName name="Lista_HabEsenciales" localSheetId="22">[1]Tablas!$W$1348:$W$1435</definedName>
    <definedName name="Lista_HabEsenciales">Tablas!$W$1471:$W$1563</definedName>
    <definedName name="Lista_LegadosSangre">Tablas!$L$240:$L$292</definedName>
    <definedName name="Lista_LuzyOscuridad" localSheetId="22">[1]Tablas!$C$1780:$C$1793</definedName>
    <definedName name="Lista_LuzyOscuridad">Tablas!$C$1932:$C$1945</definedName>
    <definedName name="Lista_LuzyOscuridadmasuno" localSheetId="22">[1]Tablas!$C$1780:$C$1794</definedName>
    <definedName name="Lista_LuzyOscuridadmasuno">Tablas!$C$1932:$C$1946</definedName>
    <definedName name="Lista_ManosArma" localSheetId="22">[1]Tablas!$AE$588:$AE$589</definedName>
    <definedName name="Lista_ManosArma">Tablas!$AE$592:$AE$593</definedName>
    <definedName name="Lista_Nephilims" localSheetId="22">[1]Tablas!$J$109:$J$118</definedName>
    <definedName name="Lista_Nephilims">Tablas!$J$109:$J$118</definedName>
    <definedName name="Lista_OpcionesAplicaciónRC">Tablas!$C$132:$C$134</definedName>
    <definedName name="Lista_PoderesCriatura" localSheetId="22">[1]Tablas!$W$1257:$W$1346</definedName>
    <definedName name="Lista_PoderesCriatura">Tablas!$W$1374:$W$1469</definedName>
    <definedName name="Lista_ProyA1Mano" localSheetId="22">[1]Tablas!$AD$649</definedName>
    <definedName name="Lista_ProyA1Mano">Tablas!$AM$652</definedName>
    <definedName name="Lista_ProyA2manos" localSheetId="22">[1]Tablas!$AE$649</definedName>
    <definedName name="Lista_ProyA2manos">Tablas!$AR$652</definedName>
    <definedName name="Lista_Razas" localSheetId="22">[1]Tablas!$J$118:$J$129</definedName>
    <definedName name="Lista_Razas">Tablas!$J$118:$J$129</definedName>
    <definedName name="Lista_TablasArtesArmas" localSheetId="22">[1]Tablas!$E$957:$E$987</definedName>
    <definedName name="Lista_TablasArtesArmas">Tablas!$E$1020:$E$1054</definedName>
    <definedName name="Lista_Tipologías" localSheetId="22">[1]Tablas!$X$613:$X$624</definedName>
    <definedName name="Lista_Tipologías">Tablas!$X$618:$X$629</definedName>
    <definedName name="Lista_VentajasComun" localSheetId="22">[1]Tablas!$AA$243</definedName>
    <definedName name="Lista_VentajasComun">Tablas!$AB$236</definedName>
    <definedName name="Lista_VentajasDon">Tablas!$AB$387:$AB$436</definedName>
    <definedName name="Lista_VentajasDonYPsi">Tablas!$AB$387:$AB$481</definedName>
    <definedName name="Lista_VentajasPsi">Tablas!$AB$437:$AB$481</definedName>
    <definedName name="Lista_VentajasTrasfondo">Tablas!$AB$484:$AB$506</definedName>
    <definedName name="Lista_Vías" localSheetId="22">[1]Tablas!$E$1099:$E$1109</definedName>
    <definedName name="Lista_Vías">Tablas!$E$1189:$E$1199</definedName>
    <definedName name="ListaLímitePrimarias" localSheetId="22">[1]PDs!$AH$6:$AH$9</definedName>
    <definedName name="ListaLímitePrimarias">PDs!$AH$6:$AH$9</definedName>
    <definedName name="LlevarArmadura_final" localSheetId="22">[1]PDs!$AA$28</definedName>
    <definedName name="LlevarArmadura_final">PDs!$AA$28</definedName>
    <definedName name="Localización" localSheetId="22">[1]Tablas!$AC$593:$AC$596</definedName>
    <definedName name="Localización">Tablas!$AC$597:$AC$600</definedName>
    <definedName name="Magnitud">Ki!$R$22</definedName>
    <definedName name="MagnitudArcana">Ki!$R$23</definedName>
    <definedName name="MarcaBordeFinalEquipo">General!$AL$64</definedName>
    <definedName name="MarcaBordeInicioEquipo">General!$X$3</definedName>
    <definedName name="MarcaBordeSheele">Sheele!$S$89</definedName>
    <definedName name="MarcaFinalEquipo">General!$AN$66</definedName>
    <definedName name="MarcaFinalNotas">Resumen!$AL$190</definedName>
    <definedName name="MarcaFinalResumen">Resumen!$AL$109</definedName>
    <definedName name="MarcaFinalSheele">Sheele!$U$90</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22">[1]PDs!$AA$162</definedName>
    <definedName name="Medicina_final">PDs!$AA$167</definedName>
    <definedName name="Mejoras_Agua">'Tablas Sheele'!$C$145:$C$155</definedName>
    <definedName name="Mejoras_Aire">'Tablas Sheele'!$C$134:$C$144</definedName>
    <definedName name="Mejoras_Apuestas">'Tablas Sheele'!$C$431:$C$441</definedName>
    <definedName name="Mejoras_Caos">'Tablas Sheele'!$C$343:$C$353</definedName>
    <definedName name="Mejoras_Conocimiento">'Tablas Sheele'!$C$277:$C$287</definedName>
    <definedName name="Mejoras_Curación">'Tablas Sheele'!$C$387:$C$397</definedName>
    <definedName name="Mejoras_Energía">'Tablas Sheele'!$C$420:$C$430</definedName>
    <definedName name="Mejoras_Espacio">'Tablas Sheele'!$C$398:$C$408</definedName>
    <definedName name="Mejoras_Estaciones">'Tablas Sheele'!$C$464:$C$474</definedName>
    <definedName name="Mejoras_Fantasía">'Tablas Sheele'!$C$453:$C$463</definedName>
    <definedName name="Mejoras_Fuego">'Tablas Sheele'!$C$156:$C$166</definedName>
    <definedName name="Mejoras_Gemas">'Tablas Sheele'!$C$442:$C$452</definedName>
    <definedName name="Mejoras_Guerra">'Tablas Sheele'!$C$222:$C$232</definedName>
    <definedName name="Mejoras_Ilusión">'Tablas Sheele'!$C$211:$C$221</definedName>
    <definedName name="Mejoras_Ley">'Tablas Sheele'!$C$409:$C$419</definedName>
    <definedName name="Mejoras_Literae">'Tablas Sheele'!$C$266:$C$276</definedName>
    <definedName name="Mejoras_Luz">'Tablas Sheele'!$C$178:$C$188</definedName>
    <definedName name="Mejoras_Muerte">'Tablas Sheele'!$C$333:$C$342</definedName>
    <definedName name="Mejoras_Musical">'Tablas Sheele'!$C$354:$C$364</definedName>
    <definedName name="Mejoras_Naturaleza">'Tablas Sheele'!$C$200:$C$210</definedName>
    <definedName name="Mejoras_Nobleza">'Tablas Sheele'!$C$244:$C$254</definedName>
    <definedName name="Mejoras_Olvido">'Tablas Sheele'!$C$376:$C$386</definedName>
    <definedName name="Mejoras_Oscuridad">'Tablas Sheele'!$C$189:$C$199</definedName>
    <definedName name="Mejoras_Paz">'Tablas Sheele'!$C$310:$C$320</definedName>
    <definedName name="Mejoras_Pecado">'Tablas Sheele'!$C$365:$C$375</definedName>
    <definedName name="Mejoras_Sangre">'Tablas Sheele'!$C$288:$C$298</definedName>
    <definedName name="Mejoras_Sheele" localSheetId="22">'[1]Tablas Sheele'!$M$29:$M$57</definedName>
    <definedName name="Mejoras_Sheele">'Tablas Sheele'!$AJ$53:$AJ$81</definedName>
    <definedName name="Mejoras_Sueños">'Tablas Sheele'!$C$321:$C$331</definedName>
    <definedName name="Mejoras_Tiempo">'Tablas Sheele'!$C$299:$C$309</definedName>
    <definedName name="Mejoras_Tierra">'Tablas Sheele'!$C$167:$C$177</definedName>
    <definedName name="Mejoras_Umbral">'Tablas Sheele'!$C$255:$C$265</definedName>
    <definedName name="Mejoras_Vacío">'Tablas Sheele'!$C$233:$C$243</definedName>
    <definedName name="MejorasSheele_General">'Tablas Sheele'!$C$115:$C$132</definedName>
    <definedName name="Memorizar_final" localSheetId="22">[1]PDs!$AA$163</definedName>
    <definedName name="Memorizar_final">PDs!$AA$168</definedName>
    <definedName name="Meseguis">Tablas!$E$2103:$E$2115</definedName>
    <definedName name="Mikael">Tablas!$E$1934:$E$1945</definedName>
    <definedName name="Mod_ATA" localSheetId="22">[1]Combate!$AD$15</definedName>
    <definedName name="Mod_ATA">Combate!$AD$15</definedName>
    <definedName name="Mod_Fisico" localSheetId="22">[1]Combate!$AF$15</definedName>
    <definedName name="Mod_Fisico">Combate!$AF$15</definedName>
    <definedName name="Modulos">'Tablas constructos'!$K$33:$M$41</definedName>
    <definedName name="Montar_final" localSheetId="22">[1]PDs!$AA$141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22">[1]Ki!$R$30</definedName>
    <definedName name="MovimientodeMasas">Ki!$R$30</definedName>
    <definedName name="MovimientodeObjetos">Ki!$R$29</definedName>
    <definedName name="MovimientodeVacío" localSheetId="22">[1]Ki!$B$58</definedName>
    <definedName name="MovimientodeVacío">Ki!$B$58</definedName>
    <definedName name="MultdeCuerpos" localSheetId="22">[1]Ki!$R$19</definedName>
    <definedName name="MultdeCuerpos">Ki!$R$19</definedName>
    <definedName name="MultdeCuerposArcana">Ki!$R$21</definedName>
    <definedName name="MultdeCuerposMayor">Ki!$R$20</definedName>
    <definedName name="MúltiplesCategorías" localSheetId="22">[1]PDs!$AI$5</definedName>
    <definedName name="MúltiplesCategorías">PDs!$AI$5</definedName>
    <definedName name="Múltiploderegeneración_final" localSheetId="22">[1]PDs!$AA$100</definedName>
    <definedName name="Múltiploderegeneración_final">PDs!$AA$105</definedName>
    <definedName name="Munición">Tablas!#REF!</definedName>
    <definedName name="Música_final" localSheetId="22">[1]PDs!$AA$185</definedName>
    <definedName name="Música_final">PDs!$AA$190</definedName>
    <definedName name="Nadar_final" localSheetId="22">[1]PDs!$AA$142</definedName>
    <definedName name="Nadar_final">PDs!$AA$147</definedName>
    <definedName name="Name_Tabla_Cat" localSheetId="22">[1]Tablas!$D$201:$CM$201</definedName>
    <definedName name="Name_Tabla_Cat">Tablas!$D$201:$CQ$201</definedName>
    <definedName name="Navegación_final" localSheetId="22">[1]PDs!$AA$164</definedName>
    <definedName name="Navegación_final">PDs!$AA$169</definedName>
    <definedName name="Nephilim" localSheetId="22">[1]General!$J$23</definedName>
    <definedName name="Nephilim">General!$J$23</definedName>
    <definedName name="Nivel_Sobrenatural" localSheetId="14">Personalización!$F$6</definedName>
    <definedName name="Nivel_Sobrenatural" localSheetId="22">[1]Personalización!$F$6</definedName>
    <definedName name="Nivel_Sobrenatural">Personalización!$F$6</definedName>
    <definedName name="Nivel_Total" localSheetId="22">[1]PDs!$R$17</definedName>
    <definedName name="Nivel_Total">PDs!$R$17</definedName>
    <definedName name="NiveldeMagia_final" localSheetId="22">[1]PDs!$AA$102</definedName>
    <definedName name="NiveldeMagia_final">PDs!$AA$107</definedName>
    <definedName name="NivelesLA_ViaMayorNoSubvía" localSheetId="22">[1]Tablas!$U$1100:$U$1109</definedName>
    <definedName name="NivelesLA_ViaMayorNoSubvía">Tablas!$U$1190:$U$1199</definedName>
    <definedName name="NivelesLA_ViaMenorNosubvía" localSheetId="22">[1]Tablas!$V$1100:$V$1119</definedName>
    <definedName name="NivelesLA_ViaMenorNosubvía">Tablas!$V$1190:$V$1209</definedName>
    <definedName name="NivelesLA_ViaMenorSubvía" localSheetId="22">[1]Tablas!$W$1100:$W$1109</definedName>
    <definedName name="NivelesLA_ViaMenorSubvía">Tablas!$W$1190:$W$1199</definedName>
    <definedName name="Noah">Tablas!$E$2001:$E$2012</definedName>
    <definedName name="Nombre">General!$F$22</definedName>
    <definedName name="NotasCapacidadesCombate" localSheetId="22">[1]Combate!$C$74</definedName>
    <definedName name="NotasCapacidadesCombate">Combate!$AB$91</definedName>
    <definedName name="NotasCapacidadesCombateTitulo" localSheetId="22">[1]Combate!$C$73</definedName>
    <definedName name="NotasCapacidadesCombateTitulo">Combate!$AB$90</definedName>
    <definedName name="NotasConstructos">Constructos!$Q$113</definedName>
    <definedName name="NotasConstructosTitulo">Constructos!$Q$112</definedName>
    <definedName name="NotasEquipoCombate" localSheetId="22">[1]Combate!$C$67</definedName>
    <definedName name="NotasEquipoCombate">Combate!$C$68</definedName>
    <definedName name="NotasEquipoCombateTitulo" localSheetId="22">[1]Combate!$C$66</definedName>
    <definedName name="NotasEquipoCombateTitulo">Combate!$C$67</definedName>
    <definedName name="NotasIdiomas" localSheetId="22">[1]Principal!$D$79</definedName>
    <definedName name="NotasIdiomas">Principal!$E$79</definedName>
    <definedName name="NotasIdiomasTitulo" localSheetId="22">[1]Principal!$C$67</definedName>
    <definedName name="NotasIdiomasTitulo">Principal!$C$68</definedName>
    <definedName name="NotasKi" localSheetId="22">[1]Ki!$C$67</definedName>
    <definedName name="NotasKi">Ki!$C$78</definedName>
    <definedName name="NotasKiTitulo" localSheetId="22">[1]Ki!$C$66</definedName>
    <definedName name="NotasKiTitulo">Ki!$C$77</definedName>
    <definedName name="NotasMisticos" localSheetId="22">[1]Místicos!$C$64</definedName>
    <definedName name="NotasMisticos">Místicos!$J$64</definedName>
    <definedName name="NotasMisticosTitulo" localSheetId="22">[1]Místicos!$C$63</definedName>
    <definedName name="NotasMisticosTitulo">Místicos!$J$63</definedName>
    <definedName name="NotasPDs" localSheetId="22">[1]PDs!$D$208</definedName>
    <definedName name="NotasPDs">PDs!$D$213</definedName>
    <definedName name="NotasPDsTitulo" localSheetId="22">[1]PDs!$C$208</definedName>
    <definedName name="NotasPDsTitulo">PDs!$C$213</definedName>
    <definedName name="NotasPersonalizacion" localSheetId="22">[1]Personalización!$C$134</definedName>
    <definedName name="NotasPersonalizacion">Personalización!$C$146</definedName>
    <definedName name="NotasPersonalizacionTitulo" localSheetId="22">[1]Personalización!$C$133</definedName>
    <definedName name="NotasPersonalizacionTitulo">Personalización!$C$145</definedName>
    <definedName name="NotasPoderes" localSheetId="22">[1]Principal!$W$74</definedName>
    <definedName name="NotasPoderes">Principal!$W$75</definedName>
    <definedName name="NotasPoderesTitulo" localSheetId="22">[1]Principal!$V$74</definedName>
    <definedName name="NotasPoderesTitulo">Principal!$V$75</definedName>
    <definedName name="NotasPrincipal" localSheetId="22">[1]Principal!$G$68</definedName>
    <definedName name="NotasPrincipal">Principal!$G$69</definedName>
    <definedName name="NotasPrincipalTitulo" localSheetId="22">[1]Principal!$G$67</definedName>
    <definedName name="NotasPrincipalTitulo">Principal!$G$68</definedName>
    <definedName name="NotasPsiquicos" localSheetId="22">[1]Psíquicos!$V$76</definedName>
    <definedName name="NotasPsiquicos">Psíquicos!$V$81</definedName>
    <definedName name="NotasPsiquicosTitulo" localSheetId="22">[1]Psíquicos!$V$75</definedName>
    <definedName name="NotasPsiquicosTitulo">Psíquicos!$V$80</definedName>
    <definedName name="NotasResumen">Resumen!$D$115</definedName>
    <definedName name="NotasSheele" localSheetId="22">[1]Sheele!$C$92</definedName>
    <definedName name="NotasSheele">Sheele!$C$94</definedName>
    <definedName name="NotasSheeleTitulo" localSheetId="22">[1]Sheele!$C$91</definedName>
    <definedName name="NotasSheeleTitulo">Sheele!$C$93</definedName>
    <definedName name="OcultacióndelKi" localSheetId="22">[1]Ki!$R$50</definedName>
    <definedName name="OcultacióndelKi">Ki!$R$50</definedName>
    <definedName name="Ocultarse_final" localSheetId="22">[1]PDs!$AA$174</definedName>
    <definedName name="Ocultarse_final">PDs!$AA$179</definedName>
    <definedName name="Ocultismo_final" localSheetId="22">[1]PDs!$AA$165</definedName>
    <definedName name="Ocultismo_final">PDs!$AA$170</definedName>
    <definedName name="Ojos_de_la_Muerte" localSheetId="22">[1]Tablas!$P$252</definedName>
    <definedName name="Ojos_de_la_Muerte">Tablas!$P$257</definedName>
    <definedName name="Onmyodo">Místicos!$BA$11:$BH$24</definedName>
    <definedName name="Orden_VíasAprendidas" localSheetId="22">[1]Místicos!$C$15:$C$25</definedName>
    <definedName name="Orden_VíasAprendidas">Místicos!$C$15:$C$25</definedName>
    <definedName name="Orfebrería_final" localSheetId="22">[1]PDs!$AA$188</definedName>
    <definedName name="Orfebrería_final">PDs!$AA$193</definedName>
    <definedName name="P.Fuerza_final" localSheetId="22">[1]PDs!$AA$170</definedName>
    <definedName name="P.Fuerza_final">PDs!$AA$175</definedName>
    <definedName name="Par_Esq" localSheetId="22">[1]Combate!$K$21</definedName>
    <definedName name="Par_Esq">Combate!$K$21</definedName>
    <definedName name="Patrones" localSheetId="22">[1]Tablas!$D$1210:$D$1235</definedName>
    <definedName name="Patrones">Tablas!$D$1328:$D$1341</definedName>
    <definedName name="PD_o_PC" localSheetId="22">[1]Tablas!$W$41:$W$42</definedName>
    <definedName name="PD_o_PC">Tablas!$W$41:$W$42</definedName>
    <definedName name="PDTotales" localSheetId="22">[1]PDs!$Z$205</definedName>
    <definedName name="PDTotales">PDs!$Z$210</definedName>
    <definedName name="PenNatural" localSheetId="22">[1]Combate!$S$17</definedName>
    <definedName name="PenNatural">Combate!$S$17</definedName>
    <definedName name="PER" localSheetId="22">[1]Principal!$G$16</definedName>
    <definedName name="PER">Principal!$G$16</definedName>
    <definedName name="Persuasión_final" localSheetId="22">[1]PDs!$AA$149</definedName>
    <definedName name="Persuasión_final">PDs!$AA$154</definedName>
    <definedName name="Pilotar_final" localSheetId="22">[1]PDs!$AA$145</definedName>
    <definedName name="Pilotar_final">PDs!$AA$150</definedName>
    <definedName name="POD" localSheetId="22">[1]Principal!$G$17</definedName>
    <definedName name="POD">Principal!$G$17</definedName>
    <definedName name="Pod_Psi_Innatos_Disponibles" localSheetId="13">INDIRECT('[2]Tablas psiquica'!$AQ$6)</definedName>
    <definedName name="Pod_Psi_Innatos_Disponibles" localSheetId="19">INDIRECT('[3]Tablas psiquica'!$AS$6)</definedName>
    <definedName name="Pod_Psi_Innatos_Disponibles" localSheetId="12">INDIRECT('[1]Tablas psiquica'!$AQ$6)</definedName>
    <definedName name="Pod_Psi_Innatos_Disponibles" localSheetId="22">INDIRECT('[1]Tablas psiquica'!$AQ$6)</definedName>
    <definedName name="Pod_Psi_Innatos_Disponibles" localSheetId="18">INDIRECT('[3]Tablas psiquica'!$AS$6)</definedName>
    <definedName name="Pod_Psi_Innatos_Disponibles">INDIRECT('Tablas psiquica'!$AS$6)</definedName>
    <definedName name="Poderes_psi" localSheetId="22">'[1]Tablas psiquica'!$D$7:$D$297</definedName>
    <definedName name="Poderes_psi">'Tablas psiquica'!$D$7:$D$296</definedName>
    <definedName name="Poderes_Psi_Disponibles" localSheetId="13">INDIRECT('[2]Tablas psiquica'!$AP$6)</definedName>
    <definedName name="Poderes_Psi_Disponibles" localSheetId="19">INDIRECT('[3]Tablas psiquica'!$AR$6)</definedName>
    <definedName name="Poderes_Psi_Disponibles" localSheetId="12">INDIRECT('[1]Tablas psiquica'!$AP$6)</definedName>
    <definedName name="Poderes_Psi_Disponibles" localSheetId="22">INDIRECT('[1]Tablas psiquica'!$AP$6)</definedName>
    <definedName name="Poderes_Psi_Disponibles" localSheetId="18">INDIRECT('[3]Tablas psiquica'!$AR$6)</definedName>
    <definedName name="Poderes_Psi_Disponibles">INDIRECT('Tablas psiquica'!$AR$6)</definedName>
    <definedName name="PoderesDeCriatura_Adquiridos" localSheetId="22">[1]Principal!$AO$42:$AO$69</definedName>
    <definedName name="PoderesDeCriatura_Adquiridos">Principal!$AO$42:$AO$69</definedName>
    <definedName name="PoderesDeCriatura_AdquiridosNombres" localSheetId="22">[1]Principal!$AM$42:$AM$69</definedName>
    <definedName name="PoderesDeCriatura_AdquiridosNombres">Principal!$AM$42:$AM$69</definedName>
    <definedName name="PodHab_AbsorciónElemental">Tablas!$Z$1454:$AF$1454</definedName>
    <definedName name="PodHab_Acumularataque">Tablas!$Z$1420:$AG$1420</definedName>
    <definedName name="PodHab_Armadurafísica">Tablas!$Z$1405:$AQ$1405</definedName>
    <definedName name="PodHab_Armaduramística">Tablas!$Z$1406:$AG$1406</definedName>
    <definedName name="PodHab_Armanaturaladistancia">Tablas!$Z$1421:$AI$1421</definedName>
    <definedName name="PodHab_Ataqueadicional">Tablas!$Z$1376:$AL$1376</definedName>
    <definedName name="PodHab_Ataqueautomáticocondicionado">Tablas!$Z$1422:$AW$1422+Tablas!$Z$1422:$AO$1422</definedName>
    <definedName name="PodHab_Ataquecamuflado">Tablas!$Z$1424:$AD$1424</definedName>
    <definedName name="PodHab_Ataqueelemental">Tablas!$Z$1377:$AJ$1377</definedName>
    <definedName name="PodHab_Ataqueespecial">Tablas!$Z$1378:$BK$1378</definedName>
    <definedName name="PodHab_Ataqueespecialincrementado">Tablas!$Z$1425:$AD$1425</definedName>
    <definedName name="PodHab_Ataquemantenido">Tablas!$Z$1426:$AD$1426</definedName>
    <definedName name="PodHab_Ataqueretardado">Tablas!$Z$1427:$AC$1427</definedName>
    <definedName name="PodHab_Ataquesmúltiplesaleatorios">Tablas!$Z$1428:$AL$1428</definedName>
    <definedName name="PodHab_Ataquevenenoso">Tablas!$Z$1380:$AJ$1380</definedName>
    <definedName name="PodHab_Aura">Tablas!$Z$1410:$BH$1410</definedName>
    <definedName name="PodHab_Barreradedaño">Tablas!$Z$1403:$AF$1403</definedName>
    <definedName name="PodHab_CaracterísticaIncrementada">Tablas!$Z$1482:$BM$1482</definedName>
    <definedName name="PodHab_ConNaturaldeVía">Tablas!$Z$1503:$CB$1503</definedName>
    <definedName name="PodHab_Críticoincrementado">Tablas!$Z$1381:$AI$1381</definedName>
    <definedName name="PodHab_Dañoincrementado">Tablas!$Z$1383:$AH$1383</definedName>
    <definedName name="PodHab_Degeneración">Tablas!$Z$1399:$AD$1399</definedName>
    <definedName name="PodHab_Desplazamientoespecial">Tablas!$Z$1389:$AE$1389</definedName>
    <definedName name="PodHab_Detecciónsobrenatural">Tablas!$Z$1417:$AM$1417</definedName>
    <definedName name="PodHab_DisrupciónSobrenatural">Tablas!$Z$1455:$AG$1455</definedName>
    <definedName name="PodHab_Efectomísticoañadido">Tablas!$Z$1384:$BJ$1384</definedName>
    <definedName name="PodHab_Efectopermanente">Tablas!$Z$1439:$AA$1439</definedName>
    <definedName name="PodHab_Escudo">Tablas!$Z$1431:$AG$1431</definedName>
    <definedName name="PodHab_Espaciocerrado">Tablas!$Z$1450:$AB$1450</definedName>
    <definedName name="PodHab_Existenciacompacta">Tablas!$Z$1451:$AA$1451</definedName>
    <definedName name="PodHab_Forma">Tablas!$Z$1411:$AE$1411</definedName>
    <definedName name="PodHab_HabilidadesEspirituales">Tablas!$Z$1408:$AB$1408</definedName>
    <definedName name="PodHab_Imparable">Tablas!$Z$1434:$AB$1434</definedName>
    <definedName name="PodHab_Indetecciones">Tablas!$Z$1412:$AK$1412</definedName>
    <definedName name="PodHab_Inmunidad">Tablas!$Z$1401:$AQ$1401</definedName>
    <definedName name="PodHab_Maestríasobrenatural">Tablas!$Z$1444:$AE$1444</definedName>
    <definedName name="PodHab_MagiaInnata">Tablas!$Z$1413:$AI$1413</definedName>
    <definedName name="PodHab_Magianatural">Tablas!$Z$1445:$AA$1445</definedName>
    <definedName name="PodHab_Metamorfismo">Tablas!$Z$1415:$AC$1415</definedName>
    <definedName name="PodHab_Modificadordearmadura">Tablas!$Z$1385:$AD$1385</definedName>
    <definedName name="PodHab_MovimientoExistencial">Tablas!$Z$1456:$AG$1456</definedName>
    <definedName name="PodHab_Mutabilidad">Tablas!$Z$1457:$AD$1457</definedName>
    <definedName name="PodHab_PenalaResistenciamística">Tablas!$Z$1397:$AI$1397</definedName>
    <definedName name="PodHab_Presaespecial">Tablas!$Z$1386:$AE$1386</definedName>
    <definedName name="PodHab_Psíquicainnata">Tablas!$Z$1414:$AI$1414</definedName>
    <definedName name="PodHab_Reacciónincrementada">Tablas!$Z$1387:$AB$1387</definedName>
    <definedName name="PodHab_Reduccióndedaño">Tablas!$Z$1435:$AE$1435</definedName>
    <definedName name="PodHab_Reflejarataques">Tablas!$Z$1436:$AC$1436</definedName>
    <definedName name="PodHab_Regeneración">Tablas!$Z$1398:$AL$1398</definedName>
    <definedName name="PodHab_Resistenciafísicamejorada">Tablas!$Z$1395:$AG$1395</definedName>
    <definedName name="PodHab_Resistenciamísticamejorada">Tablas!$Z$1396:$AI$1396</definedName>
    <definedName name="PodHab_Rotura">Tablas!$Z$1437:$AD$1437</definedName>
    <definedName name="PodHab_Sentidoagudizado">Tablas!$Z$1498:$AD$1498</definedName>
    <definedName name="PodHab_Sentidosespeciales">Tablas!$Z$1441:$AB$1441</definedName>
    <definedName name="PodHab_Tamañononatural">Tablas!$Z$1500:$AI$1500</definedName>
    <definedName name="PodHab_Tipodemovimiento">Tablas!$Z$1391:$AC$1391</definedName>
    <definedName name="PodHab_Transformación">Tablas!$Z$1442:$AD$1442</definedName>
    <definedName name="PodHab_Transporteautomático">Tablas!$Z$1390:$AO$1390</definedName>
    <definedName name="PodHab_Visiónespecial">Tablas!$Z$1418:$AJ$1418</definedName>
    <definedName name="PodHab_Vórtice">Tablas!$Z$1458:$AD$1458</definedName>
    <definedName name="PodHab_Vuelomístico">Tablas!$Z$1393:$AG$1393</definedName>
    <definedName name="PodHab_Vuelonatural">Tablas!$Z$1392:$AD$1392</definedName>
    <definedName name="PodHab_Vulaelemento">Tablas!$Z$1530:$AA$1530</definedName>
    <definedName name="PodHab_Vulnerabilidadextrema">Tablas!$Z$1402:$AP$1402</definedName>
    <definedName name="PodPsi_IncremHab" localSheetId="22">[1]Psíquicos!$AO$12</definedName>
    <definedName name="PodPsi_IncremHab">Psíquicos!$AO$12</definedName>
    <definedName name="Presencia_final" localSheetId="22">[1]Principal!$J$57</definedName>
    <definedName name="Presencia_final">Principal!$J$57</definedName>
    <definedName name="ProyecciónMágica_final" localSheetId="22">[1]PDs!$AA$101</definedName>
    <definedName name="ProyecciónMágica_final">PDs!$AA$106</definedName>
    <definedName name="Proyecciónpsíquica_final" localSheetId="22">[1]PDs!$AA$117</definedName>
    <definedName name="Proyecciónpsíquica_final">PDs!$AA$122</definedName>
    <definedName name="Proyectiles1M">Tablas!$AM$662:$AM$677</definedName>
    <definedName name="Proyectiles2M">Tablas!$AR$662:$AR$682</definedName>
    <definedName name="Psíquico" localSheetId="22">[1]Principal!$AN$37</definedName>
    <definedName name="Psíquico">Principal!$AN$37</definedName>
    <definedName name="Rafael">Tablas!$E$2014:$E$2026</definedName>
    <definedName name="RaícesCulturales_Especial1" localSheetId="22">[1]Tablas!$L$136:$L$137</definedName>
    <definedName name="RaícesCulturales_Especial1">Tablas!$L$136:$L$137</definedName>
    <definedName name="RaícesCulturales_Especial2" localSheetId="22">[1]Tablas!$N$136:$N$137</definedName>
    <definedName name="RaícesCulturales_Especial2">Tablas!$N$136:$N$137</definedName>
    <definedName name="Raiz_noblanco">Tablas!$F$136:$F$139</definedName>
    <definedName name="Rastrear_final" localSheetId="22">[1]PDs!$AA$155</definedName>
    <definedName name="Rastrear_final">PDs!$AA$160</definedName>
    <definedName name="Raza" localSheetId="22">[1]General!$F$23</definedName>
    <definedName name="Raza">General!$F$23</definedName>
    <definedName name="Regeneración" localSheetId="22">[1]Principal!$J$11</definedName>
    <definedName name="Regeneración">Principal!$J$11</definedName>
    <definedName name="Regeneración_final" localSheetId="22">[1]Principal!$J$11</definedName>
    <definedName name="Regeneración_final">Principal!$J$11</definedName>
    <definedName name="Region" localSheetId="22">[1]General!$I$26</definedName>
    <definedName name="Region">General!$I$26</definedName>
    <definedName name="Regiones" localSheetId="22">[1]Tablas!$C$138:$C$194</definedName>
    <definedName name="Regiones">Tablas!$C$138:$C$194</definedName>
    <definedName name="Res.Dolor_final" localSheetId="22">[1]PDs!$AA$171</definedName>
    <definedName name="Res.Dolor_final">PDs!$AA$176</definedName>
    <definedName name="ResumenNombre">Resumen!$M$3</definedName>
    <definedName name="Robo_final" localSheetId="22">[1]PDs!$AA$175</definedName>
    <definedName name="Robo_final">PDs!$AA$180</definedName>
    <definedName name="Runas_final" localSheetId="22">[1]PDs!$AA$182</definedName>
    <definedName name="Runas_final">PDs!$AA$187</definedName>
    <definedName name="Saltar_final" localSheetId="22">[1]PDs!$AA$144</definedName>
    <definedName name="Saltar_final">PDs!$AA$149</definedName>
    <definedName name="Secundarias_extra">PDs!$F$192:$F$200</definedName>
    <definedName name="Sexo" localSheetId="22">[1]General!$F$24</definedName>
    <definedName name="Sexo">General!$F$24</definedName>
    <definedName name="Sheele_Vinculada" localSheetId="22">'[1]Tablas Sheele'!$L$4:$L$6</definedName>
    <definedName name="Sheele_Vinculada">'Tablas Sheele'!$L$4:$L$6</definedName>
    <definedName name="Sigilo_final" localSheetId="22">[1]PDs!$AA$176</definedName>
    <definedName name="Sigilo_final">PDs!$AA$181</definedName>
    <definedName name="SinNecesidades">Ki!$B$57</definedName>
    <definedName name="Subvia_Agua">Tablas!$R$1223:$R$1229</definedName>
    <definedName name="Subvia_Aire">Tablas!$T$1223:$T$1231</definedName>
    <definedName name="Subvia_Creación">Tablas!$O$1223:$O$1230</definedName>
    <definedName name="Subvia_Destrucción">Tablas!$P$1223:$P$1229</definedName>
    <definedName name="Subvia_Esencia">Tablas!$U$1223:$U$1227</definedName>
    <definedName name="Subvia_Fuego">Tablas!$Q$1223:$Q$1226</definedName>
    <definedName name="Subvia_Ilusión">Tablas!$V$1223:$V$1227</definedName>
    <definedName name="Subvia_Luz">Tablas!$M$1223:$M$1230</definedName>
    <definedName name="Subvia_Nigromancia">Tablas!$W$1223:$W$1230</definedName>
    <definedName name="Subvia_Oscuridad">Tablas!$N$1223:$N$1235</definedName>
    <definedName name="Subvia_Tierra">Tablas!$S$1223:$S$1226</definedName>
    <definedName name="Subvias" localSheetId="22">[1]Tablas!$C$1129:$C$1142</definedName>
    <definedName name="Subvias">Tablas!$C$1222:$C$1235</definedName>
    <definedName name="Subvías_Agua">Tablas!$R$1222:$R$1246</definedName>
    <definedName name="Subvías_Aire">Tablas!$AM$1220:$AM$1235</definedName>
    <definedName name="Subvías_Creación">Tablas!$AH$1220:$AH$1235</definedName>
    <definedName name="Subvías_Destrucción">Tablas!$AI$1220:$AI$1235</definedName>
    <definedName name="Subvías_Esencia">Tablas!$AN$1220:$AN$1235</definedName>
    <definedName name="Subvías_Fuego">Tablas!$AJ$1220:$AJ$1235</definedName>
    <definedName name="Subvías_Ilusión">Tablas!$AO$1220:$AO$1235</definedName>
    <definedName name="Subvías_Luz">Tablas!$AF$1220:$AF$1235</definedName>
    <definedName name="Subvías_Nigromancia">Tablas!$AP$1220:$AP$1235</definedName>
    <definedName name="Subvías_Oscuridad">Tablas!$AG$1220:$AG$1235</definedName>
    <definedName name="Subvías_Tierra">Tablas!$AL$1220:$AL$1235</definedName>
    <definedName name="SueAman" localSheetId="22">[1]Personalización!$E$50</definedName>
    <definedName name="SueAman">Personalización!$E$50</definedName>
    <definedName name="T.Manos_final" localSheetId="22">[1]PDs!$AA$186</definedName>
    <definedName name="T.Manos_final">PDs!$AA$191</definedName>
    <definedName name="Tabla_Acum" localSheetId="22">[1]Tablas!$P$14:$Q$33</definedName>
    <definedName name="Tabla_Acum">Tablas!$P$14:$Q$33</definedName>
    <definedName name="Tabla_AlcanceFUE" localSheetId="22">[1]Tablas!$L$14:$N$33</definedName>
    <definedName name="Tabla_AlcanceFUE">Tablas!$L$14:$N$33</definedName>
    <definedName name="Tabla_AM_Armas" localSheetId="22">[1]Tablas!$E$957:$N$987</definedName>
    <definedName name="Tabla_AM_Armas">Tablas!$E$1020:$N$1063</definedName>
    <definedName name="Tabla_ArmaDistinta" localSheetId="22">[1]Tablas!$T$588:$U$591</definedName>
    <definedName name="Tabla_ArmaDistinta">Tablas!$T$592:$U$595</definedName>
    <definedName name="Tabla_Armaduras" localSheetId="22">[1]Tablas!$D$590:$R$642</definedName>
    <definedName name="Tabla_Armaduras">Tablas!$D$594:$R$647</definedName>
    <definedName name="Tabla_ArmasArquetípicas" localSheetId="22">[1]Tablas!$X$596:$AA$611</definedName>
    <definedName name="Tabla_ArmasArquetípicas">Tablas!$X$600:$AA$615</definedName>
    <definedName name="Tabla_ArmasEnormes" localSheetId="22">[1]Tablas!$AE$608:$AK$610</definedName>
    <definedName name="Tabla_ArmasEnormes">Tablas!$AE$612:$AK$614</definedName>
    <definedName name="Tabla_ArmasyEscudos" localSheetId="22">[1]Tablas!$D$648:$Y$850</definedName>
    <definedName name="Tabla_ArmasyEscudos">Tablas!$D$653:$Y$882</definedName>
    <definedName name="Tabla_ArsCognitiam">Tablas!$AN$1068:$BA$1108</definedName>
    <definedName name="Tabla_ArsInanimis">Tablas!$W$1068:$AJ$1096</definedName>
    <definedName name="Tabla_ArsMagnus" localSheetId="22">[1]Tablas!$E$995:$R$1056</definedName>
    <definedName name="Tabla_ArsMagnus">Tablas!$E$1068:$R$1156</definedName>
    <definedName name="Tabla_ArtesMarciales" localSheetId="22">[1]Tablas!$D$860:$AC$949</definedName>
    <definedName name="Tabla_ArtesMarciales">Tablas!$D$893:$AC$1012</definedName>
    <definedName name="Tabla_BonoStats" localSheetId="22">[1]Tablas!$C$14:$E$33</definedName>
    <definedName name="Tabla_BonoStats">Tablas!$C$14:$E$33</definedName>
    <definedName name="Tabla_Características" localSheetId="22">[1]Principal!$D$11:$H$18</definedName>
    <definedName name="Tabla_Características">Principal!$D$11:$H$18</definedName>
    <definedName name="Tabla_CaracterísticasGéminis" localSheetId="22">[1]Tablas!$AH$589:$AK$596</definedName>
    <definedName name="Tabla_CaracterísticasGéminis">Tablas!$AH$593:$AK$600</definedName>
    <definedName name="Tabla_Categorías" localSheetId="22">[1]Tablas!$D$202:$CM$231</definedName>
    <definedName name="Tabla_Categorías">Tablas!$D$202:$CQ$228</definedName>
    <definedName name="Tabla_Cercanía_Dragón" localSheetId="22">[1]Tablas!$F$112:$F$117</definedName>
    <definedName name="Tabla_Cercanía_Dragón">Tablas!$F$112:$F$117</definedName>
    <definedName name="Tabla_Combate" localSheetId="22">[1]Combate!$AW$30:$BF$46</definedName>
    <definedName name="Tabla_Combate">Combate!$AW$30:$BF$46</definedName>
    <definedName name="Tabla_Conjuros" localSheetId="22">'[1]Tablas Magia'!$D$6:$Z$680</definedName>
    <definedName name="Tabla_Conjuros">'Tablas Magia'!$D$6:$Z$779</definedName>
    <definedName name="Tabla_Conjuros_LA" localSheetId="22">'[1]Tablas Magia'!$D$397:$Z$526</definedName>
    <definedName name="Tabla_Conjuros_LA">'Tablas Magia'!$D$397:$Z$526</definedName>
    <definedName name="Tabla_Constructos">'Tablas constructos'!$D$4:$P$22</definedName>
    <definedName name="Tabla_Cordura" localSheetId="22">[1]Tablas!$AA$27:$AC$36</definedName>
    <definedName name="Tabla_Cordura">Tablas!$AA$27:$AC$36</definedName>
    <definedName name="Tabla_CosteConjuros">Tablas!$F$1204:$G$1214</definedName>
    <definedName name="Tabla_CreaciónSeres" localSheetId="22">[1]Tablas!$W$47:$AF$54</definedName>
    <definedName name="Tabla_CreaciónSeres">Tablas!$W$47:$AF$54</definedName>
    <definedName name="Tabla_CualidadesGéminis" localSheetId="22">[1]Tablas!$AG$589:$AG$596</definedName>
    <definedName name="Tabla_CualidadesGéminis">Tablas!$AG$593:$AG$600</definedName>
    <definedName name="Tabla_DesElemental">Tablas!$H$1204:$I$1215</definedName>
    <definedName name="Tabla_Desvío" localSheetId="22">[1]Tablas!$AC$962</definedName>
    <definedName name="Tabla_Desvío">Tablas!$AC$1025</definedName>
    <definedName name="Tabla_Dificultades" localSheetId="22">[1]Tablas!$T$26:$U$38</definedName>
    <definedName name="Tabla_Dificultades">Tablas!$T$26:$U$38</definedName>
    <definedName name="Tabla_DisciplinasPsi" localSheetId="22">[1]Tablas!$D$1178:$N$1201</definedName>
    <definedName name="Tabla_DisciplinasPsi">Tablas!$E$1292:$N$1312</definedName>
    <definedName name="Tabla_Elan" localSheetId="22">[1]Tablas!$E$1781:$R$1980</definedName>
    <definedName name="Tabla_Elan">Tablas!$E$1933:$R$2132</definedName>
    <definedName name="Tabla_ElementosKi" localSheetId="22">[1]Tablas!$O$1120:$O$1125</definedName>
    <definedName name="Tabla_ElementosKi">Tablas!$O$1210:$O$1215</definedName>
    <definedName name="Tabla_ElementosKiCrit">Tablas!$O$1210:$P$1215</definedName>
    <definedName name="Tabla_EquipoArtesMarciales" localSheetId="22">[1]Tablas!$AC$600:$AF$604</definedName>
    <definedName name="Tabla_EquipoArtesMarciales">Tablas!$AC$604:$AF$608</definedName>
    <definedName name="Tabla_ExpNecesaria" localSheetId="22">[1]Tablas!$P$69:$AA$99</definedName>
    <definedName name="Tabla_ExpNecesaria">Tablas!$P$69:$AA$99</definedName>
    <definedName name="Tabla_ExpTotal" localSheetId="22">[1]Tablas!$C$69:$N$99</definedName>
    <definedName name="Tabla_ExpTotal">Tablas!$C$69:$N$99</definedName>
    <definedName name="Tabla_Fama" localSheetId="22">[1]Tablas!$AE$27:$AG$34</definedName>
    <definedName name="Tabla_Fama">Tablas!$AE$27:$AG$34</definedName>
    <definedName name="Tabla_FamiliarDemonio" localSheetId="22">[1]Personalización!$AN$59:$AN$63</definedName>
    <definedName name="Tabla_FamiliarDemonio">Personalización!$AN$59:$AN$63</definedName>
    <definedName name="Tabla_Fuerza" localSheetId="22">[1]Tablas!$G$14:$J$33</definedName>
    <definedName name="Tabla_Fuerza">Tablas!$G$14:$J$33</definedName>
    <definedName name="Tabla_Gnosis" localSheetId="22">[1]Tablas!$W$27:$Y$37</definedName>
    <definedName name="Tabla_Gnosis">Tablas!$W$27:$Y$37</definedName>
    <definedName name="Tabla_GrimorioInvocaciones">'Tablas Invocaciones'!$AO$9:$AT$148</definedName>
    <definedName name="Tabla_HabEsenciales" localSheetId="22">[1]Tablas!$E$1259:$J$1474</definedName>
    <definedName name="Tabla_HabEsenciales">Tablas!$E$1376:$J$1595</definedName>
    <definedName name="Tabla_Idiomas" localSheetId="22">[1]Tablas!$AI$27:$AJ$46</definedName>
    <definedName name="Tabla_Idiomas">Tablas!$AI$27:$AJ$46</definedName>
    <definedName name="Tabla_LegadosSangre">Tablas!$N$240:$S$270</definedName>
    <definedName name="Tabla_Límites">Tablas!$C$1165:$M$1171</definedName>
    <definedName name="Tabla_LímiteSecundarias" localSheetId="22">[1]Tablas!$T$42:$U$45</definedName>
    <definedName name="Tabla_LímiteSecundarias">Tablas!$T$42:$U$45</definedName>
    <definedName name="Tabla_Listas_PodHabMonstruo" localSheetId="22">[1]Tablas!$W$1257:$Y$1435</definedName>
    <definedName name="Tabla_Listas_PodHabMonstruo">Tablas!$W$1374:$Y$14371:'Tablas'!$Y$15309</definedName>
    <definedName name="Tabla_MagiaInnata" localSheetId="22">[1]Tablas!$E$1114:$F$1123</definedName>
    <definedName name="Tabla_MagiaInnata">Tablas!$E$1204:$F$1213</definedName>
    <definedName name="Tabla_MagiaNatural_DifBase" localSheetId="22">[1]Tablas!$G$1088:$H$1092</definedName>
    <definedName name="Tabla_MagiaNatural_DifBase">Tablas!$G$1178:$H$1184</definedName>
    <definedName name="Tabla_ModElan" localSheetId="22">[1]Tablas!$T$1781:$Y$1901</definedName>
    <definedName name="Tabla_ModElan">Tablas!$T$1933:$Y$2053</definedName>
    <definedName name="Tabla_Municiones" localSheetId="22">[1]Tablas!$AB$790:$AU$823</definedName>
    <definedName name="Tabla_Municiones">Tablas!$AC$820:$AV$843</definedName>
    <definedName name="Tabla_NivelMagia" localSheetId="22">[1]Tablas!$P$1075:$Q$1094</definedName>
    <definedName name="Tabla_NivelMagia">Tablas!$P$1165:$Q$1184</definedName>
    <definedName name="Tabla_NivelPsiquico">Tablas!$AM$26:$AN$45</definedName>
    <definedName name="Tabla_NumAcciones" localSheetId="22">[1]Tablas!$Q$38:$R$45</definedName>
    <definedName name="Tabla_NumAcciones">Tablas!$Q$38:$R$45</definedName>
    <definedName name="Tabla_NumeroConjurosLA" localSheetId="22">[1]Tablas!$S$1075:$U$1094</definedName>
    <definedName name="Tabla_NumeroConjurosLA">Tablas!$S$1165:$U$1184</definedName>
    <definedName name="Tabla_PatronesM" localSheetId="22">[1]Tablas!$D$1210:$X$1235</definedName>
    <definedName name="Tabla_PatronesM">Tablas!$D$1328:$W$1341</definedName>
    <definedName name="Tabla_PodCriatura" localSheetId="22">[1]Tablas!$O$1259:$S$1772</definedName>
    <definedName name="Tabla_PodCriatura">Tablas!$O$1376:$S$1923</definedName>
    <definedName name="Tabla_PoderesInvocaciones">'Tablas Invocaciones'!$AW$9:$BD$276</definedName>
    <definedName name="Tabla_PoderesPsi" localSheetId="22">'[1]Tablas psiquica'!$D$7:$S$297</definedName>
    <definedName name="Tabla_PoderesPsi">'Tablas psiquica'!$D$7:$T$296</definedName>
    <definedName name="Tabla_PotPsi" localSheetId="22">[1]Tablas!$W$1074:$X$1093</definedName>
    <definedName name="Tabla_PotPsi">Tablas!$W$1164:$X$1183</definedName>
    <definedName name="Tabla_PotPsitporCV" localSheetId="22">[1]Tablas!$L$1114:$M$1123</definedName>
    <definedName name="Tabla_PotPsitporCV">Tablas!$L$1204:$M$1213</definedName>
    <definedName name="Tabla_RaicesCulturales" localSheetId="22">[1]Tablas!$G$141:$DF$196</definedName>
    <definedName name="Tabla_RaicesCulturales">Tablas!$G$141:$DF$197</definedName>
    <definedName name="Tabla_Razas" localSheetId="22">[1]Tablas!$J$109:$BL$129</definedName>
    <definedName name="Tabla_Razas">Tablas!$J$109:$BL$129</definedName>
    <definedName name="Tabla_Regen" localSheetId="22">[1]Tablas!$C$38:$H$65</definedName>
    <definedName name="Tabla_Regen">Tablas!$C$38:$H$65</definedName>
    <definedName name="Tabla_SelecciónConjuros">Tablas!$M$1175:$N$1185</definedName>
    <definedName name="Tabla_SiNo" localSheetId="22">[1]Tablas!$C$8:$C$9</definedName>
    <definedName name="Tabla_SiNo">Tablas!$C$8:$C$9</definedName>
    <definedName name="Tabla_Subvías_VíasPermitidas">Tablas!$M$1223:$W$1236</definedName>
    <definedName name="Tabla_Subvías_VíasProhibidas">Tablas!$C$1222:$K$1235</definedName>
    <definedName name="Tabla_SueAman" localSheetId="22">[1]Tablas!$F$107:$F$108</definedName>
    <definedName name="Tabla_SueAman">Tablas!$F$107:$F$108</definedName>
    <definedName name="Tabla_Tabla_Estilos" localSheetId="22">[1]Tablas!$R$957:$AB$978</definedName>
    <definedName name="Tabla_Tabla_Estilos">Tablas!$R$1020:$AB$1045</definedName>
    <definedName name="Tabla_TablasArmas" localSheetId="22">[1]Tablas!$X$589:$AA$594</definedName>
    <definedName name="Tabla_TablasArmas">Tablas!$X$593:$AA$598</definedName>
    <definedName name="Tabla_TablasSobrenat" localSheetId="22">[1]Tablas!$E$1061:$L$1063</definedName>
    <definedName name="Tabla_TablasSobrenat">Tablas!$Y$1133:$AF$1135</definedName>
    <definedName name="Tabla_Tipologías" localSheetId="22">[1]Tablas!$X$613:$AA$624</definedName>
    <definedName name="Tabla_Tipologías">Tablas!$X$618:$AA$629</definedName>
    <definedName name="Tabla_TipoMovimiento" localSheetId="22">[1]Tablas!$J$38:$K$57</definedName>
    <definedName name="Tabla_TipoMovimiento">Tablas!$J$38:$K$57</definedName>
    <definedName name="Tabla_Valores_Base" localSheetId="22">[1]Tablas!$M$37:$O$56</definedName>
    <definedName name="Tabla_Valores_Base">Tablas!$M$37:$O$56</definedName>
    <definedName name="Tabla_ValoresBase" localSheetId="22">[1]Tablas!$M$37:$O$56</definedName>
    <definedName name="Tabla_ValoresBase">Tablas!$M$37:$O$56</definedName>
    <definedName name="Tabla_Ventajas" localSheetId="22">[1]Tablas!$AC$243:$AH$577</definedName>
    <definedName name="Tabla_Ventajas">Tablas!$AD$236:$AI$575738</definedName>
    <definedName name="Tabla_VíasDesarolladas">Místicos!$D$15:$H$25</definedName>
    <definedName name="Tabla_VíasOpuestas" localSheetId="22">[1]Tablas!$E$1099:$K$1109</definedName>
    <definedName name="Tabla_VíasOpuestas">Tablas!$E$1189:$K$1199</definedName>
    <definedName name="Tabla_Yelmos" localSheetId="22">[1]Tablas!$V$629:$AI$638</definedName>
    <definedName name="Tabla_Yelmos">Tablas!$V$633:$AI$642</definedName>
    <definedName name="Tablas_de_Armas" localSheetId="22">[1]Tablas!$X$589:$X$594</definedName>
    <definedName name="Tablas_de_Armas">Tablas!$X$593:$X$598</definedName>
    <definedName name="Tablas_Estilo" localSheetId="22">[1]Tablas!$R$957:$R$978</definedName>
    <definedName name="Tablas_Estilo">Tablas!$R$1020:$R$1045</definedName>
    <definedName name="Tablas_Místicas" localSheetId="22">[1]Tablas!$E$1061:$E$1062</definedName>
    <definedName name="Tablas_Místicas">Tablas!$Y$1133:$Y$1134</definedName>
    <definedName name="Tablas_Psíquicas">Tablas!$Y$1135</definedName>
    <definedName name="Tactica_final" localSheetId="22">[1]PDs!$AA$161</definedName>
    <definedName name="Tactica_final">PDs!$AA$166</definedName>
    <definedName name="Tamaño" localSheetId="22">[1]Principal!$K$6</definedName>
    <definedName name="Tamaño">Principal!$K$6</definedName>
    <definedName name="Tamaño_Armas" localSheetId="22">[1]Tablas!$AE$608:$AE$610</definedName>
    <definedName name="Tamaño_Armas">Tablas!$AE$612:$AE$614</definedName>
    <definedName name="Tasación_final" localSheetId="22">[1]PDs!$AA$166</definedName>
    <definedName name="Tasación_final">PDs!$AA$171</definedName>
    <definedName name="Teoremas_Magia" localSheetId="22">[1]Tablas!$E$1085:$E$1089</definedName>
    <definedName name="Teoremas_Magia">Tablas!$E$1175:$E$1179</definedName>
    <definedName name="Tipo_Acción">Tablas!$E$8:$E$9</definedName>
    <definedName name="Tipo_Armadura" localSheetId="22">[1]Tablas!$AC$588:$AC$590</definedName>
    <definedName name="Tipo_Armadura">Tablas!$AC$592:$AC$594</definedName>
    <definedName name="Tipo_Conjuro">Tablas!$K$1175:$K$1180</definedName>
    <definedName name="Tipo_Ser" localSheetId="22">[1]Tablas!$F$121:$F$129</definedName>
    <definedName name="Tipo_Ser">Tablas!$F$121:$F$129</definedName>
    <definedName name="Tipo_Sheele" localSheetId="22">'[1]Tablas Sheele'!$C$5:$C$12</definedName>
    <definedName name="Tipo_Sheele">'Tablas Sheele'!$C$5:$C$12</definedName>
    <definedName name="TipoDeCriatura" localSheetId="22">[1]Principal!$Y$11</definedName>
    <definedName name="TipoDeCriatura">Principal!$Y$11</definedName>
    <definedName name="TipodeMovimiento" localSheetId="22">[1]Tablas!$U$58</definedName>
    <definedName name="TipodeMovimiento">Tablas!$AO$50</definedName>
    <definedName name="Tipologías_Conocidas" localSheetId="22">[1]Tablas!$Z$647</definedName>
    <definedName name="Tipologías_Conocidas">Tablas!$Z$652</definedName>
    <definedName name="_xlnm.Print_Titles" localSheetId="7">'Creación de Técnicas'!$1:$10</definedName>
    <definedName name="Trampería_final" localSheetId="22">[1]PDs!$AA$177</definedName>
    <definedName name="Trampería_final">PDs!$AA$182</definedName>
    <definedName name="TransmisióndelKi">Ki!$R$44</definedName>
    <definedName name="Trepar_final" localSheetId="22">[1]PDs!$AA$143</definedName>
    <definedName name="Trepar_final">PDs!$AA$148</definedName>
    <definedName name="Turno_Nat_final" localSheetId="22">[1]Principal!$D$31</definedName>
    <definedName name="Turno_Nat_final">Principal!$D$31</definedName>
    <definedName name="Turno_SinArmas_final" localSheetId="22">[1]Combate!$H$21</definedName>
    <definedName name="Turno_SinArmas_final">Combate!$H$21</definedName>
    <definedName name="Unoconlanada">Ki!$B$60</definedName>
    <definedName name="Uriel">Tablas!$E$1960:$E$1972</definedName>
    <definedName name="Usodelaenergíanecesaria" localSheetId="22">[1]Ki!$R$49</definedName>
    <definedName name="Usodelaenergíanecesaria">Ki!$R$49</definedName>
    <definedName name="UsodelKi" localSheetId="22">[1]Ki!$R$10</definedName>
    <definedName name="UsodelKi">Ki!$R$10</definedName>
    <definedName name="V.Mágica_final" localSheetId="22">[1]PDs!$AA$167</definedName>
    <definedName name="V.Mágica_final">PDs!$AA$172</definedName>
    <definedName name="VelocidadIncrementada">Ki!$R$40</definedName>
    <definedName name="Venenos_final" localSheetId="22">[1]PDs!$AA$178</definedName>
    <definedName name="Venenos_final">PDs!$AA$183</definedName>
    <definedName name="Ventajas_Lista">Tablas!$E$310:$E$409</definedName>
    <definedName name="VentajasyDesventajas_Lista" localSheetId="22">[1]Tablas!$AA$243:$AA$573</definedName>
    <definedName name="VentajasyDesventajas_Lista">Tablas!$C$261:$C$574</definedName>
    <definedName name="Version" localSheetId="22">[1]Resumen!$AK$105</definedName>
    <definedName name="Version">Resumen!$AK$108</definedName>
    <definedName name="Versión">Resumen!$AK$108</definedName>
    <definedName name="VersionEquipo">General!$AM$66</definedName>
    <definedName name="VersionSheele">Sheele!$T$91</definedName>
    <definedName name="Vías" localSheetId="22">[1]Tablas!$E$1099:$E$1110</definedName>
    <definedName name="Vías">Tablas!$E$1189:$E$1200</definedName>
    <definedName name="ViasMayores" localSheetId="22">[1]Tablas!$E$1099:$F$1109</definedName>
    <definedName name="ViasMayores">Tablas!$E$1189:$F$1199</definedName>
    <definedName name="VíasYSubvías" localSheetId="22">[1]Tablas!$C$1095:$C$1120</definedName>
    <definedName name="VíasYSubvías">Tablas!$C$1185:$C$1210</definedName>
    <definedName name="VirgoAprendido">Tablas!$S$1103</definedName>
    <definedName name="Vodoun" localSheetId="22">[1]Místicos!#REF!</definedName>
    <definedName name="Vodoun">Místicos!#REF!</definedName>
    <definedName name="VOL" localSheetId="22">[1]Principal!$G$18</definedName>
    <definedName name="VOL">Principal!$G$18</definedName>
    <definedName name="VueloKi">Ki!$R$31</definedName>
    <definedName name="Yelmos" localSheetId="22">[1]Tablas!$V$630:$V$638</definedName>
    <definedName name="Yelmos">Tablas!$V$634:$V$642</definedName>
    <definedName name="Zemial">Tablas!$E$1947:$E$1958</definedName>
    <definedName name="Zen" localSheetId="22">[1]Tablas!$AJ$55</definedName>
    <definedName name="Zen">Tablas!$AJ$55</definedName>
    <definedName name="Zen_IP" localSheetId="22">[1]Tablas!$AJ$65</definedName>
    <definedName name="Zen_IP">Tablas!$AJ$65</definedName>
    <definedName name="Zen_TM" localSheetId="22">[1]Tablas!$AJ$64</definedName>
    <definedName name="Zen_TM">Tablas!$AJ$64</definedName>
    <definedName name="Zeón_final" localSheetId="22">[1]PDs!$AA$98</definedName>
    <definedName name="Zeón_final">PDs!$AA$103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8" i="3" l="1"/>
  <c r="L47" i="3"/>
  <c r="L46" i="3"/>
  <c r="L45" i="3"/>
  <c r="L44" i="3"/>
  <c r="L43" i="3" l="1"/>
  <c r="Y7" i="3"/>
  <c r="Y13" i="3"/>
  <c r="Y11" i="3"/>
  <c r="Y9" i="3"/>
  <c r="P24" i="5"/>
  <c r="P23" i="5"/>
  <c r="P22" i="5"/>
  <c r="P21" i="5"/>
  <c r="P20" i="5"/>
  <c r="AW1098" i="11"/>
  <c r="AX1097" i="11"/>
  <c r="AW1088" i="11"/>
  <c r="AX1086" i="11"/>
  <c r="AX1085" i="11"/>
  <c r="L854" i="11"/>
  <c r="C2242" i="11"/>
  <c r="C2241" i="11"/>
  <c r="C2240" i="11"/>
  <c r="C2239" i="11"/>
  <c r="C2238" i="11"/>
  <c r="C2237" i="11"/>
  <c r="C2236" i="11"/>
  <c r="C2235" i="11"/>
  <c r="C2234" i="11"/>
  <c r="C2233" i="11"/>
  <c r="C2232" i="11"/>
  <c r="C2231" i="11"/>
  <c r="C2230" i="11"/>
  <c r="C2229" i="11"/>
  <c r="C2228" i="11"/>
  <c r="C2227" i="11"/>
  <c r="C2226" i="11"/>
  <c r="C2225" i="11"/>
  <c r="C2223" i="11"/>
  <c r="C2222" i="11"/>
  <c r="C2219" i="11"/>
  <c r="C2218" i="11"/>
  <c r="C2217" i="11"/>
  <c r="C2216" i="11"/>
  <c r="C2215" i="11"/>
  <c r="C2214" i="11"/>
  <c r="C2213" i="11"/>
  <c r="C2212" i="11"/>
  <c r="C2211" i="11"/>
  <c r="C2210" i="11"/>
  <c r="C2209" i="11"/>
  <c r="C2208" i="11"/>
  <c r="C2207" i="11"/>
  <c r="C2206" i="11"/>
  <c r="C2205" i="11"/>
  <c r="C2204" i="11"/>
  <c r="C2203" i="11"/>
  <c r="C2202" i="11"/>
  <c r="C2201" i="11"/>
  <c r="C2200" i="11"/>
  <c r="C2199" i="11"/>
  <c r="C2198" i="11"/>
  <c r="C2197" i="11"/>
  <c r="C2196" i="11"/>
  <c r="C2195" i="11"/>
  <c r="C2194" i="11"/>
  <c r="C2224" i="11"/>
  <c r="G1146" i="11" l="1"/>
  <c r="F1146" i="11"/>
  <c r="G1145" i="11"/>
  <c r="F1145" i="11"/>
  <c r="G1144" i="11"/>
  <c r="F1144" i="11"/>
  <c r="C127" i="30" l="1"/>
  <c r="U330" i="25" l="1"/>
  <c r="S330" i="25"/>
  <c r="N330" i="25"/>
  <c r="U329" i="25"/>
  <c r="S329" i="25"/>
  <c r="N329" i="25"/>
  <c r="U328" i="25"/>
  <c r="S328" i="25"/>
  <c r="N328" i="25"/>
  <c r="U296" i="25"/>
  <c r="S296" i="25"/>
  <c r="N296" i="25"/>
  <c r="U295" i="25"/>
  <c r="S295" i="25"/>
  <c r="N295" i="25"/>
  <c r="U294" i="25"/>
  <c r="S294" i="25"/>
  <c r="N294" i="25"/>
  <c r="U262" i="25"/>
  <c r="S262" i="25"/>
  <c r="N262" i="25"/>
  <c r="U261" i="25"/>
  <c r="S261" i="25"/>
  <c r="N261" i="25"/>
  <c r="U260" i="25"/>
  <c r="S260" i="25"/>
  <c r="N260" i="25"/>
  <c r="U228" i="25"/>
  <c r="S228" i="25"/>
  <c r="N228" i="25"/>
  <c r="U227" i="25"/>
  <c r="S227" i="25"/>
  <c r="N227" i="25"/>
  <c r="U226" i="25"/>
  <c r="S226" i="25"/>
  <c r="N226" i="25"/>
  <c r="U194" i="25"/>
  <c r="S194" i="25"/>
  <c r="N194" i="25"/>
  <c r="U193" i="25"/>
  <c r="S193" i="25"/>
  <c r="N193" i="25"/>
  <c r="U192" i="25"/>
  <c r="S192" i="25"/>
  <c r="N192" i="25"/>
  <c r="U159" i="25"/>
  <c r="S159" i="25"/>
  <c r="N159" i="25"/>
  <c r="U158" i="25"/>
  <c r="S158" i="25"/>
  <c r="N158" i="25"/>
  <c r="U157" i="25"/>
  <c r="S157" i="25"/>
  <c r="N157" i="25"/>
  <c r="U125" i="25"/>
  <c r="S125" i="25"/>
  <c r="N125" i="25"/>
  <c r="U124" i="25"/>
  <c r="S124" i="25"/>
  <c r="N124" i="25"/>
  <c r="U123" i="25"/>
  <c r="S123" i="25"/>
  <c r="N123" i="25"/>
  <c r="U91" i="25"/>
  <c r="S91" i="25"/>
  <c r="N91" i="25"/>
  <c r="U90" i="25"/>
  <c r="S90" i="25"/>
  <c r="N90" i="25"/>
  <c r="U89" i="25"/>
  <c r="S89" i="25"/>
  <c r="N89" i="25"/>
  <c r="U57" i="25"/>
  <c r="S57" i="25"/>
  <c r="N57" i="25"/>
  <c r="U56" i="25"/>
  <c r="S56" i="25"/>
  <c r="N56" i="25"/>
  <c r="U55" i="25"/>
  <c r="S55" i="25"/>
  <c r="N55" i="25"/>
  <c r="U23" i="25"/>
  <c r="S23" i="25"/>
  <c r="N23" i="25"/>
  <c r="U22" i="25"/>
  <c r="S22" i="25"/>
  <c r="N22" i="25"/>
  <c r="U21" i="25"/>
  <c r="S21" i="25"/>
  <c r="N21" i="25"/>
  <c r="AA1243" i="11" l="1"/>
  <c r="Z1243" i="11" s="1"/>
  <c r="AA1244" i="11"/>
  <c r="Z1244" i="11" s="1"/>
  <c r="AA1245" i="11"/>
  <c r="AA1246" i="11"/>
  <c r="AA1247" i="11"/>
  <c r="AA1248" i="11"/>
  <c r="AA1249" i="11"/>
  <c r="AA1250" i="11"/>
  <c r="AA1251" i="11"/>
  <c r="Z1252" i="11"/>
  <c r="AA1252" i="11"/>
  <c r="AA1253" i="11"/>
  <c r="AA1254" i="11"/>
  <c r="AA1255" i="11"/>
  <c r="AA1256" i="11"/>
  <c r="AA1257" i="11"/>
  <c r="Z1242" i="11"/>
  <c r="AA1242" i="11"/>
  <c r="AA1241" i="11"/>
  <c r="AA1240" i="11"/>
  <c r="AA1239" i="11"/>
  <c r="AA1238" i="11"/>
  <c r="AA1237" i="11"/>
  <c r="AA1236" i="11"/>
  <c r="AA1235" i="11"/>
  <c r="AA1234" i="11"/>
  <c r="AA1233" i="11"/>
  <c r="AA1232" i="11"/>
  <c r="AA1231" i="11"/>
  <c r="AA1230" i="11"/>
  <c r="AA1229" i="11"/>
  <c r="AA1228" i="11"/>
  <c r="AA1227" i="11"/>
  <c r="AA1226" i="11"/>
  <c r="AA1225" i="11"/>
  <c r="AA1224" i="11"/>
  <c r="AA1223" i="11"/>
  <c r="AA1222" i="11"/>
  <c r="AA1221" i="11"/>
  <c r="AA1220" i="11"/>
  <c r="AA1219" i="11"/>
  <c r="AA1218" i="11"/>
  <c r="AA1217" i="11"/>
  <c r="AA1216" i="11"/>
  <c r="AA1215" i="11"/>
  <c r="AA1214" i="11"/>
  <c r="AA1213" i="11"/>
  <c r="AA1212" i="11"/>
  <c r="AA1211" i="11"/>
  <c r="Z1241" i="11" s="1"/>
  <c r="AA1210" i="11"/>
  <c r="Z1210" i="11"/>
  <c r="W75" i="34" a="1"/>
  <c r="W75" i="34" s="1"/>
  <c r="O75" i="34" a="1"/>
  <c r="O75" i="34" s="1"/>
  <c r="G75" i="34" a="1"/>
  <c r="G75" i="34" s="1"/>
  <c r="W59" i="34" a="1"/>
  <c r="W59" i="34" s="1"/>
  <c r="O59" i="34" a="1"/>
  <c r="O59" i="34" s="1"/>
  <c r="G59" i="34" a="1"/>
  <c r="G59" i="34" s="1"/>
  <c r="W43" i="34" a="1"/>
  <c r="W43" i="34" s="1"/>
  <c r="O43" i="34" a="1"/>
  <c r="O43" i="34" s="1"/>
  <c r="G43" i="34" a="1"/>
  <c r="G43" i="34" s="1"/>
  <c r="W27" i="34" a="1"/>
  <c r="W27" i="34" s="1"/>
  <c r="O27" i="34" a="1"/>
  <c r="O27" i="34" s="1"/>
  <c r="Y75" i="34"/>
  <c r="AF105" i="24" a="1"/>
  <c r="AF105" i="24" s="1"/>
  <c r="CV74" i="24" a="1"/>
  <c r="CV74" i="24" s="1"/>
  <c r="CN74" i="24" a="1"/>
  <c r="CN74" i="24" s="1"/>
  <c r="CF74" i="24" a="1"/>
  <c r="CF74" i="24" s="1"/>
  <c r="AT74" i="24" a="1"/>
  <c r="AT74" i="24" s="1"/>
  <c r="AL74" i="24" a="1"/>
  <c r="AL74" i="24" s="1"/>
  <c r="AD74" i="24" a="1"/>
  <c r="AD74" i="24" s="1"/>
  <c r="CV58" i="24" a="1"/>
  <c r="CV58" i="24" s="1"/>
  <c r="CN58" i="24" a="1"/>
  <c r="CN58" i="24" s="1"/>
  <c r="CF58" i="24" a="1"/>
  <c r="CF58" i="24" s="1"/>
  <c r="AT58" i="24" a="1"/>
  <c r="AT58" i="24" s="1"/>
  <c r="AL58" i="24" a="1"/>
  <c r="AL58" i="24" s="1"/>
  <c r="AD58" i="24" a="1"/>
  <c r="AD58" i="24" s="1"/>
  <c r="DB7" i="24"/>
  <c r="CA7" i="24"/>
  <c r="BE74" i="24" s="1" a="1"/>
  <c r="BE74" i="24" s="1"/>
  <c r="AZ7" i="24"/>
  <c r="Y7" i="24"/>
  <c r="S74" i="24" s="1" a="1"/>
  <c r="S74" i="24" s="1"/>
  <c r="Z1250" i="11" l="1"/>
  <c r="Z1256" i="11"/>
  <c r="Z1254" i="11"/>
  <c r="Z1248" i="11"/>
  <c r="Z1246" i="11"/>
  <c r="Z1257" i="11"/>
  <c r="Z1255" i="11"/>
  <c r="Z1253" i="11"/>
  <c r="Z1251" i="11"/>
  <c r="Z1249" i="11"/>
  <c r="Z1247" i="11"/>
  <c r="Z1245" i="11"/>
  <c r="Z1216" i="11"/>
  <c r="Z1222" i="11"/>
  <c r="Z1240" i="11"/>
  <c r="Z1212" i="11"/>
  <c r="Z1214" i="11"/>
  <c r="Z1218" i="11"/>
  <c r="Z1220" i="11"/>
  <c r="Z1224" i="11"/>
  <c r="Z1226" i="11"/>
  <c r="Z1228" i="11"/>
  <c r="Z1230" i="11"/>
  <c r="Z1232" i="11"/>
  <c r="Z1234" i="11"/>
  <c r="Z1236" i="11"/>
  <c r="Z1238" i="11"/>
  <c r="Z1211" i="11"/>
  <c r="Z1213" i="11"/>
  <c r="Z1215" i="11"/>
  <c r="Z1217" i="11"/>
  <c r="Z1219" i="11"/>
  <c r="Z1221" i="11"/>
  <c r="Z1223" i="11"/>
  <c r="Z1225" i="11"/>
  <c r="Z1227" i="11"/>
  <c r="Z1229" i="11"/>
  <c r="Z1231" i="11"/>
  <c r="Z1233" i="11"/>
  <c r="Z1235" i="11"/>
  <c r="Z1237" i="11"/>
  <c r="Z1239" i="11"/>
  <c r="BU74" i="24" a="1"/>
  <c r="BU74" i="24" s="1"/>
  <c r="BM74" i="24" a="1"/>
  <c r="BM74" i="24" s="1"/>
  <c r="BE58" i="24" a="1"/>
  <c r="BE58" i="24" s="1"/>
  <c r="BG70" i="24" s="1"/>
  <c r="BU58" i="24" a="1"/>
  <c r="BU58" i="24" s="1"/>
  <c r="BZ70" i="24" s="1"/>
  <c r="BM58" i="24" a="1"/>
  <c r="BM58" i="24" s="1"/>
  <c r="C74" i="24" a="1"/>
  <c r="C74" i="24" s="1"/>
  <c r="K74" i="24" a="1"/>
  <c r="K74" i="24" s="1"/>
  <c r="C58" i="24" a="1"/>
  <c r="C58" i="24" s="1"/>
  <c r="K58" i="24" a="1"/>
  <c r="K58" i="24" s="1"/>
  <c r="S58" i="24" a="1"/>
  <c r="S58" i="24" s="1"/>
  <c r="CV42" i="24" a="1"/>
  <c r="CV42" i="24" s="1"/>
  <c r="CZ43" i="24" s="1" a="1"/>
  <c r="CZ43" i="24" s="1"/>
  <c r="CN42" i="24" a="1"/>
  <c r="CN42" i="24" s="1"/>
  <c r="CR43" i="24" s="1" a="1"/>
  <c r="CR43" i="24" s="1"/>
  <c r="CF42" i="24" a="1"/>
  <c r="CF42" i="24" s="1"/>
  <c r="CJ43" i="24" s="1" a="1"/>
  <c r="CJ43" i="24" s="1"/>
  <c r="BU42" i="24" a="1"/>
  <c r="BU42" i="24" s="1"/>
  <c r="BY43" i="24" s="1" a="1"/>
  <c r="BY43" i="24" s="1"/>
  <c r="BM42" i="24" a="1"/>
  <c r="BM42" i="24" s="1"/>
  <c r="BQ43" i="24" s="1" a="1"/>
  <c r="BQ43" i="24" s="1"/>
  <c r="BE42" i="24" a="1"/>
  <c r="BE42" i="24" s="1"/>
  <c r="BI43" i="24" s="1" a="1"/>
  <c r="BI43" i="24" s="1"/>
  <c r="AT42" i="24" a="1"/>
  <c r="AT42" i="24" s="1"/>
  <c r="AX43" i="24" s="1" a="1"/>
  <c r="AX43" i="24" s="1"/>
  <c r="AL42" i="24" a="1"/>
  <c r="AL42" i="24" s="1"/>
  <c r="AP43" i="24" s="1" a="1"/>
  <c r="AP43" i="24" s="1"/>
  <c r="AD42" i="24" a="1"/>
  <c r="AD42" i="24" s="1"/>
  <c r="AH43" i="24" s="1" a="1"/>
  <c r="AH43" i="24" s="1"/>
  <c r="CV26" i="24" a="1"/>
  <c r="CV26" i="24" s="1"/>
  <c r="CZ27" i="24" s="1" a="1"/>
  <c r="CZ27" i="24" s="1"/>
  <c r="CN26" i="24" a="1"/>
  <c r="CN26" i="24" s="1"/>
  <c r="CR27" i="24" s="1" a="1"/>
  <c r="CR27" i="24" s="1"/>
  <c r="CF26" i="24" a="1"/>
  <c r="CF26" i="24" s="1"/>
  <c r="CJ27" i="24" s="1" a="1"/>
  <c r="CJ27" i="24" s="1"/>
  <c r="BU26" i="24" a="1"/>
  <c r="BU26" i="24" s="1"/>
  <c r="BY27" i="24" s="1" a="1"/>
  <c r="BY27" i="24" s="1"/>
  <c r="BM26" i="24" a="1"/>
  <c r="BM26" i="24" s="1"/>
  <c r="BQ27" i="24" s="1" a="1"/>
  <c r="BQ27" i="24" s="1"/>
  <c r="BE26" i="24" a="1"/>
  <c r="BE26" i="24" s="1"/>
  <c r="BI27" i="24" s="1" a="1"/>
  <c r="BI27" i="24" s="1"/>
  <c r="AT26" i="24" a="1"/>
  <c r="AT26" i="24" s="1"/>
  <c r="AX27" i="24" s="1" a="1"/>
  <c r="AX27" i="24" s="1"/>
  <c r="AL26" i="24" a="1"/>
  <c r="AL26" i="24" s="1"/>
  <c r="AP27" i="24" s="1" a="1"/>
  <c r="AP27" i="24" s="1"/>
  <c r="AD26" i="24" a="1"/>
  <c r="AD26"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L10" i="24" a="1"/>
  <c r="AL10" i="24" s="1"/>
  <c r="AD10" i="24" a="1"/>
  <c r="AD10" i="24" s="1"/>
  <c r="K4" i="34"/>
  <c r="CV75" i="24"/>
  <c r="BG87" i="24"/>
  <c r="CP71" i="24"/>
  <c r="C42" i="24" a="1"/>
  <c r="C42" i="24" s="1"/>
  <c r="CN4" i="24"/>
  <c r="BM4" i="24"/>
  <c r="AL4" i="24"/>
  <c r="K4" i="24"/>
  <c r="K10" i="24" l="1" a="1"/>
  <c r="K10" i="24" s="1"/>
  <c r="N20" i="24" s="1"/>
  <c r="K26" i="24" a="1"/>
  <c r="K26" i="24" s="1"/>
  <c r="P38" i="24" s="1"/>
  <c r="K42" i="24" a="1"/>
  <c r="K42" i="24" s="1"/>
  <c r="S10" i="24" a="1"/>
  <c r="S10" i="24" s="1"/>
  <c r="S26" i="24" a="1"/>
  <c r="S26" i="24" s="1"/>
  <c r="S42" i="24" a="1"/>
  <c r="S42" i="24" s="1"/>
  <c r="W43" i="24" s="1" a="1"/>
  <c r="W43" i="24" s="1"/>
  <c r="C10" i="24" a="1"/>
  <c r="C10" i="24" s="1"/>
  <c r="C26" i="24" a="1"/>
  <c r="C26" i="24" s="1"/>
  <c r="P71" i="24"/>
  <c r="U71" i="24"/>
  <c r="H86" i="24"/>
  <c r="H70" i="24"/>
  <c r="Q75" i="24"/>
  <c r="AQ71" i="24"/>
  <c r="AD75" i="24"/>
  <c r="BR71" i="24"/>
  <c r="BR70" i="24"/>
  <c r="BP69" i="24"/>
  <c r="BP68" i="24"/>
  <c r="BP67" i="24"/>
  <c r="BP66" i="24"/>
  <c r="BO71" i="24"/>
  <c r="BM59" i="24"/>
  <c r="BP63" i="24"/>
  <c r="BP61" i="24"/>
  <c r="BP60" i="24"/>
  <c r="BO70" i="24"/>
  <c r="BQ59" i="24" a="1"/>
  <c r="BQ59" i="24" s="1"/>
  <c r="BP65" i="24"/>
  <c r="BP64" i="24"/>
  <c r="BP62" i="24"/>
  <c r="BS59" i="24"/>
  <c r="CA75" i="24"/>
  <c r="BZ86" i="24"/>
  <c r="BX85" i="24"/>
  <c r="BX83" i="24"/>
  <c r="BX81" i="24"/>
  <c r="BX79" i="24"/>
  <c r="BX77" i="24"/>
  <c r="BZ87" i="24"/>
  <c r="BY75" i="24" a="1"/>
  <c r="BY75" i="24" s="1"/>
  <c r="BW87" i="24"/>
  <c r="BW86" i="24"/>
  <c r="BX84" i="24"/>
  <c r="BX82" i="24"/>
  <c r="BX80" i="24"/>
  <c r="BX78" i="24"/>
  <c r="BX76" i="24"/>
  <c r="BU75" i="24"/>
  <c r="AY71" i="24"/>
  <c r="AY70" i="24"/>
  <c r="AW67" i="24"/>
  <c r="AT59" i="24"/>
  <c r="AV71" i="24"/>
  <c r="AW68" i="24"/>
  <c r="AW64" i="24"/>
  <c r="AW61" i="24"/>
  <c r="AV70" i="24"/>
  <c r="AW66" i="24"/>
  <c r="AZ59" i="24"/>
  <c r="AW63" i="24"/>
  <c r="AW69" i="24"/>
  <c r="AW65" i="24"/>
  <c r="AW62" i="24"/>
  <c r="AW60" i="24"/>
  <c r="Y75" i="24"/>
  <c r="V85" i="24"/>
  <c r="V84" i="24"/>
  <c r="V83" i="24"/>
  <c r="V82" i="24"/>
  <c r="V81" i="24"/>
  <c r="V80" i="24"/>
  <c r="V79" i="24"/>
  <c r="V78" i="24"/>
  <c r="V77" i="24"/>
  <c r="V76" i="24"/>
  <c r="X87" i="24"/>
  <c r="X86" i="24"/>
  <c r="U87" i="24"/>
  <c r="U86" i="24"/>
  <c r="S75" i="24"/>
  <c r="P70" i="24"/>
  <c r="N66" i="24"/>
  <c r="K59" i="24"/>
  <c r="Q59" i="24"/>
  <c r="N68" i="24"/>
  <c r="M70" i="24"/>
  <c r="N62" i="24"/>
  <c r="N60" i="24"/>
  <c r="N67" i="24"/>
  <c r="N64" i="24"/>
  <c r="N63" i="24"/>
  <c r="CK71" i="24"/>
  <c r="CK70" i="24"/>
  <c r="CI68" i="24"/>
  <c r="CF59" i="24"/>
  <c r="CI67" i="24"/>
  <c r="CI65" i="24"/>
  <c r="CI63" i="24"/>
  <c r="CI62" i="24"/>
  <c r="CI60" i="24"/>
  <c r="CH71" i="24"/>
  <c r="CL59" i="24"/>
  <c r="CJ59" i="24" a="1"/>
  <c r="CJ59" i="24" s="1"/>
  <c r="CI66" i="24"/>
  <c r="CH70" i="24"/>
  <c r="CI69" i="24"/>
  <c r="CI64" i="24"/>
  <c r="CI61" i="24"/>
  <c r="H87" i="24"/>
  <c r="F81" i="24"/>
  <c r="E87" i="24"/>
  <c r="F80" i="24"/>
  <c r="AR75" i="24"/>
  <c r="AQ87" i="24"/>
  <c r="AQ86" i="24"/>
  <c r="AL75" i="24"/>
  <c r="AO84" i="24"/>
  <c r="AO82" i="24"/>
  <c r="AO80" i="24"/>
  <c r="AO78" i="24"/>
  <c r="AO76" i="24"/>
  <c r="AP75" i="24" a="1"/>
  <c r="AP75" i="24" s="1"/>
  <c r="AN87" i="24"/>
  <c r="AN86" i="24"/>
  <c r="AO85" i="24"/>
  <c r="AO83" i="24"/>
  <c r="AO81" i="24"/>
  <c r="AO79" i="24"/>
  <c r="AO77" i="24"/>
  <c r="AI71" i="24"/>
  <c r="AI70" i="24"/>
  <c r="AG69" i="24"/>
  <c r="AG68" i="24"/>
  <c r="AG67" i="24"/>
  <c r="AG66" i="24"/>
  <c r="AF70" i="24"/>
  <c r="AD59" i="24"/>
  <c r="AG65" i="24"/>
  <c r="AG64" i="24"/>
  <c r="AG63" i="24"/>
  <c r="AG62" i="24"/>
  <c r="AG61" i="24"/>
  <c r="AG60" i="24"/>
  <c r="AJ59" i="24"/>
  <c r="AF71" i="24"/>
  <c r="DA71" i="24"/>
  <c r="DA70" i="24"/>
  <c r="CY69" i="24"/>
  <c r="CY68" i="24"/>
  <c r="CY67" i="24"/>
  <c r="CY66" i="24"/>
  <c r="CY65" i="24"/>
  <c r="CX70" i="24"/>
  <c r="CV59" i="24"/>
  <c r="CY64" i="24"/>
  <c r="CY62" i="24"/>
  <c r="CY61" i="24"/>
  <c r="CY60" i="24"/>
  <c r="DB59" i="24"/>
  <c r="CY63" i="24"/>
  <c r="CX71" i="24"/>
  <c r="CZ59" i="24" a="1"/>
  <c r="CZ59" i="24" s="1"/>
  <c r="CT75" i="24"/>
  <c r="CQ85" i="24"/>
  <c r="CQ84" i="24"/>
  <c r="CQ83" i="24"/>
  <c r="CQ82" i="24"/>
  <c r="CQ81" i="24"/>
  <c r="CQ80" i="24"/>
  <c r="CQ79" i="24"/>
  <c r="CQ78" i="24"/>
  <c r="CQ77" i="24"/>
  <c r="CQ76" i="24"/>
  <c r="CS87" i="24"/>
  <c r="CS86" i="24"/>
  <c r="CP87" i="24"/>
  <c r="CP86" i="24"/>
  <c r="CR75" i="24" a="1"/>
  <c r="CR75" i="24" s="1"/>
  <c r="CN75" i="24"/>
  <c r="BI59" i="24" a="1"/>
  <c r="BI59" i="24" s="1"/>
  <c r="BY59" i="24" a="1"/>
  <c r="BY59" i="24" s="1"/>
  <c r="F68" i="24"/>
  <c r="CQ68" i="24"/>
  <c r="AN70" i="24"/>
  <c r="BW71" i="24"/>
  <c r="P87" i="24"/>
  <c r="P86" i="24"/>
  <c r="M87" i="24"/>
  <c r="M86" i="24"/>
  <c r="CK87" i="24"/>
  <c r="CK86" i="24"/>
  <c r="CL75" i="24"/>
  <c r="CH87" i="24"/>
  <c r="CH86" i="24"/>
  <c r="BE75" i="24"/>
  <c r="BH60" i="24"/>
  <c r="V61" i="24"/>
  <c r="V62" i="24"/>
  <c r="CQ62" i="24"/>
  <c r="BH63" i="24"/>
  <c r="V64" i="24"/>
  <c r="CQ64" i="24"/>
  <c r="CQ65" i="24"/>
  <c r="BX67" i="24"/>
  <c r="BH68" i="24"/>
  <c r="U70" i="24"/>
  <c r="AQ70" i="24"/>
  <c r="CP70" i="24"/>
  <c r="BZ71" i="24"/>
  <c r="BR87" i="24"/>
  <c r="BR86" i="24"/>
  <c r="BP85" i="24"/>
  <c r="BP84" i="24"/>
  <c r="BP83" i="24"/>
  <c r="BP82" i="24"/>
  <c r="BP81" i="24"/>
  <c r="BP80" i="24"/>
  <c r="BP79" i="24"/>
  <c r="BP78" i="24"/>
  <c r="BP77" i="24"/>
  <c r="BP76" i="24"/>
  <c r="BS75" i="24"/>
  <c r="BO87" i="24"/>
  <c r="BO86" i="24"/>
  <c r="N76" i="24"/>
  <c r="CI76" i="24"/>
  <c r="CI80" i="24"/>
  <c r="N84" i="24"/>
  <c r="CI84" i="24"/>
  <c r="I59" i="24"/>
  <c r="AO67" i="24"/>
  <c r="V68" i="24"/>
  <c r="BH69" i="24"/>
  <c r="CS70" i="24"/>
  <c r="AN71" i="24"/>
  <c r="BJ71" i="24"/>
  <c r="AY87" i="24"/>
  <c r="AY86" i="24"/>
  <c r="AZ75" i="24"/>
  <c r="AV87" i="24"/>
  <c r="AV86" i="24"/>
  <c r="K75" i="24"/>
  <c r="AT75" i="24"/>
  <c r="BM75" i="24"/>
  <c r="CF75" i="24"/>
  <c r="BG86" i="24"/>
  <c r="CR59" i="24" a="1"/>
  <c r="CR59" i="24" s="1"/>
  <c r="BX66" i="24"/>
  <c r="BH67" i="24"/>
  <c r="AO69" i="24"/>
  <c r="BJ70" i="24"/>
  <c r="E71" i="24"/>
  <c r="CS71" i="24"/>
  <c r="BK75" i="24"/>
  <c r="BH85" i="24"/>
  <c r="BH84" i="24"/>
  <c r="BH83" i="24"/>
  <c r="BH82" i="24"/>
  <c r="BH81" i="24"/>
  <c r="BH80" i="24"/>
  <c r="BH79" i="24"/>
  <c r="BH78" i="24"/>
  <c r="BH77" i="24"/>
  <c r="BH76" i="24"/>
  <c r="CQ60" i="24"/>
  <c r="BH61" i="24"/>
  <c r="CQ61" i="24"/>
  <c r="BH62" i="24"/>
  <c r="CQ63" i="24"/>
  <c r="BH64" i="24"/>
  <c r="BH65" i="24"/>
  <c r="AO66" i="24"/>
  <c r="V67" i="24"/>
  <c r="F69" i="24"/>
  <c r="CQ69" i="24"/>
  <c r="H71" i="24"/>
  <c r="BG71" i="24"/>
  <c r="BI75" i="24" a="1"/>
  <c r="BI75" i="24" s="1"/>
  <c r="N78" i="24"/>
  <c r="CI78" i="24"/>
  <c r="N82" i="24"/>
  <c r="CI82" i="24"/>
  <c r="AR59" i="24"/>
  <c r="BK59" i="24"/>
  <c r="CA59" i="24"/>
  <c r="CT59" i="24"/>
  <c r="F66" i="24"/>
  <c r="CQ66" i="24"/>
  <c r="BX68" i="24"/>
  <c r="E70" i="24"/>
  <c r="BW70" i="24"/>
  <c r="C59" i="24"/>
  <c r="AL59" i="24"/>
  <c r="BE59" i="24"/>
  <c r="BU59" i="24"/>
  <c r="CN59" i="24"/>
  <c r="F60" i="24"/>
  <c r="AO60" i="24"/>
  <c r="BX60" i="24"/>
  <c r="F61" i="24"/>
  <c r="AO61" i="24"/>
  <c r="BX61" i="24"/>
  <c r="F62" i="24"/>
  <c r="AO62" i="24"/>
  <c r="BX62" i="24"/>
  <c r="F63" i="24"/>
  <c r="AO63" i="24"/>
  <c r="BX63" i="24"/>
  <c r="F64" i="24"/>
  <c r="AO64" i="24"/>
  <c r="BX64" i="24"/>
  <c r="F65" i="24"/>
  <c r="AO65" i="24"/>
  <c r="BX65" i="24"/>
  <c r="BH66" i="24"/>
  <c r="F67" i="24"/>
  <c r="CQ67" i="24"/>
  <c r="AO68" i="24"/>
  <c r="V69" i="24"/>
  <c r="BX69" i="24"/>
  <c r="AG85" i="24"/>
  <c r="AG81" i="24"/>
  <c r="AG77" i="24"/>
  <c r="AF86" i="24"/>
  <c r="DA87" i="24"/>
  <c r="DA86" i="24"/>
  <c r="CY85" i="24"/>
  <c r="CY84" i="24"/>
  <c r="CY83" i="24"/>
  <c r="CY82" i="24"/>
  <c r="CY81" i="24"/>
  <c r="CY80" i="24"/>
  <c r="CY79" i="24"/>
  <c r="CY78" i="24"/>
  <c r="CY77" i="24"/>
  <c r="CY76" i="24"/>
  <c r="DB75" i="24"/>
  <c r="CX87" i="24"/>
  <c r="CX86" i="24"/>
  <c r="AX75" i="24" a="1"/>
  <c r="AX75" i="24" s="1"/>
  <c r="BQ75" i="24" a="1"/>
  <c r="BQ75" i="24" s="1"/>
  <c r="CJ75" i="24" a="1"/>
  <c r="CJ75" i="24" s="1"/>
  <c r="CZ75" i="24" a="1"/>
  <c r="CZ75" i="24" s="1"/>
  <c r="AW76" i="24"/>
  <c r="N77" i="24"/>
  <c r="CI77" i="24"/>
  <c r="AW78" i="24"/>
  <c r="N79" i="24"/>
  <c r="CI79" i="24"/>
  <c r="AW80" i="24"/>
  <c r="CI81" i="24"/>
  <c r="AW82" i="24"/>
  <c r="N83" i="24"/>
  <c r="CI83" i="24"/>
  <c r="AW84" i="24"/>
  <c r="N85" i="24"/>
  <c r="CI85" i="24"/>
  <c r="BJ86" i="24"/>
  <c r="BJ87" i="24"/>
  <c r="CI18" i="24"/>
  <c r="CK38" i="24"/>
  <c r="AD11" i="24"/>
  <c r="AF22" i="24"/>
  <c r="AI22" i="24"/>
  <c r="AG21" i="24"/>
  <c r="AG20" i="24"/>
  <c r="AG19" i="24"/>
  <c r="AG18" i="24"/>
  <c r="AG17" i="24"/>
  <c r="AG16" i="24"/>
  <c r="AG15" i="24"/>
  <c r="AG14" i="24"/>
  <c r="AG13" i="24"/>
  <c r="AG12" i="24"/>
  <c r="AJ11" i="24"/>
  <c r="BM11" i="24"/>
  <c r="BO22" i="24"/>
  <c r="BR22" i="24"/>
  <c r="BP21" i="24"/>
  <c r="BP20" i="24"/>
  <c r="BP19" i="24"/>
  <c r="BP18" i="24"/>
  <c r="BP17" i="24"/>
  <c r="BP16" i="24"/>
  <c r="BP15" i="24"/>
  <c r="BP14" i="24"/>
  <c r="BP13" i="24"/>
  <c r="BP12" i="24"/>
  <c r="BS11" i="24"/>
  <c r="CI15" i="24"/>
  <c r="CV11" i="24"/>
  <c r="CX23" i="24"/>
  <c r="CX22" i="24"/>
  <c r="DA23" i="24"/>
  <c r="DA22" i="24"/>
  <c r="CY21" i="24"/>
  <c r="CY20" i="24"/>
  <c r="CY19" i="24"/>
  <c r="CY18" i="24"/>
  <c r="CY17" i="24"/>
  <c r="CY16" i="24"/>
  <c r="CY15" i="24"/>
  <c r="CY14" i="24"/>
  <c r="CY13" i="24"/>
  <c r="CY12" i="24"/>
  <c r="DB11" i="24"/>
  <c r="CL27" i="24"/>
  <c r="CK39" i="24"/>
  <c r="CH22" i="24"/>
  <c r="CI16" i="24"/>
  <c r="CI17" i="24"/>
  <c r="N34" i="24" l="1"/>
  <c r="N35" i="24"/>
  <c r="N30" i="24"/>
  <c r="Q27" i="24"/>
  <c r="K27" i="24"/>
  <c r="M38" i="24"/>
  <c r="N37" i="24"/>
  <c r="N28" i="24"/>
  <c r="N29" i="24"/>
  <c r="N32" i="24"/>
  <c r="N36" i="24"/>
  <c r="N31" i="24"/>
  <c r="N33" i="24"/>
  <c r="C75" i="24"/>
  <c r="F82" i="24"/>
  <c r="F83" i="24"/>
  <c r="I75" i="24"/>
  <c r="Y59" i="24"/>
  <c r="V63" i="24"/>
  <c r="F76" i="24"/>
  <c r="F84" i="24"/>
  <c r="F77" i="24"/>
  <c r="F85" i="24"/>
  <c r="N81" i="24"/>
  <c r="S59" i="24"/>
  <c r="V65" i="24"/>
  <c r="V60" i="24"/>
  <c r="X70" i="24"/>
  <c r="N80" i="24"/>
  <c r="X71" i="24"/>
  <c r="V66" i="24"/>
  <c r="F78" i="24"/>
  <c r="E86" i="24"/>
  <c r="F79" i="24"/>
  <c r="N61" i="24"/>
  <c r="M71" i="24"/>
  <c r="N65" i="24"/>
  <c r="N69" i="24"/>
  <c r="U39" i="34"/>
  <c r="U38" i="34"/>
  <c r="Y27" i="34"/>
  <c r="V37" i="34"/>
  <c r="V36" i="34"/>
  <c r="V35" i="34"/>
  <c r="V34" i="34"/>
  <c r="V33" i="34"/>
  <c r="V32" i="34"/>
  <c r="V31" i="34"/>
  <c r="V30" i="34"/>
  <c r="V29" i="34"/>
  <c r="V28" i="34"/>
  <c r="X39" i="34"/>
  <c r="S27" i="34"/>
  <c r="Z27" i="34" s="1"/>
  <c r="X38" i="34"/>
  <c r="I11" i="34"/>
  <c r="F20" i="34"/>
  <c r="F19" i="34"/>
  <c r="F17" i="34"/>
  <c r="F15" i="34"/>
  <c r="F13" i="34"/>
  <c r="H23" i="34"/>
  <c r="H22" i="34"/>
  <c r="E23" i="34"/>
  <c r="E22" i="34"/>
  <c r="F21" i="34"/>
  <c r="F18" i="34"/>
  <c r="F16" i="34"/>
  <c r="F14" i="34"/>
  <c r="F12" i="34"/>
  <c r="C11" i="34"/>
  <c r="J11" i="34" s="1"/>
  <c r="E55" i="34"/>
  <c r="E54" i="34"/>
  <c r="F53" i="34"/>
  <c r="F50" i="34"/>
  <c r="F49" i="34"/>
  <c r="F48" i="34"/>
  <c r="F47" i="34"/>
  <c r="F46" i="34"/>
  <c r="F45" i="34"/>
  <c r="F44" i="34"/>
  <c r="C43" i="34"/>
  <c r="J43" i="34" s="1"/>
  <c r="F52" i="34"/>
  <c r="I43" i="34"/>
  <c r="F51" i="34"/>
  <c r="H55" i="34"/>
  <c r="H54" i="34"/>
  <c r="X71" i="34"/>
  <c r="U71" i="34"/>
  <c r="U70" i="34"/>
  <c r="X70" i="34"/>
  <c r="S59" i="34"/>
  <c r="Z59" i="34" s="1"/>
  <c r="V68" i="34"/>
  <c r="Y59" i="34"/>
  <c r="V65" i="34"/>
  <c r="V64" i="34"/>
  <c r="V63" i="34"/>
  <c r="V62" i="34"/>
  <c r="V61" i="34"/>
  <c r="V60" i="34"/>
  <c r="V69" i="34"/>
  <c r="V66" i="34"/>
  <c r="V67" i="34"/>
  <c r="BJ55" i="24"/>
  <c r="BG55" i="24"/>
  <c r="N85" i="34"/>
  <c r="N84" i="34"/>
  <c r="N83" i="34"/>
  <c r="N82" i="34"/>
  <c r="N81" i="34"/>
  <c r="N80" i="34"/>
  <c r="N79" i="34"/>
  <c r="N78" i="34"/>
  <c r="N77" i="34"/>
  <c r="N76" i="34"/>
  <c r="K75" i="34"/>
  <c r="R75" i="34" s="1"/>
  <c r="P87" i="34"/>
  <c r="P86" i="34"/>
  <c r="Q75" i="34"/>
  <c r="M87" i="34"/>
  <c r="M86" i="34"/>
  <c r="CK55" i="24"/>
  <c r="CH55" i="24"/>
  <c r="CK54" i="24"/>
  <c r="CI12" i="24"/>
  <c r="BW55" i="24"/>
  <c r="BZ55" i="24"/>
  <c r="CH23" i="24"/>
  <c r="CI13" i="24"/>
  <c r="M55" i="24"/>
  <c r="P55" i="24"/>
  <c r="DA55" i="24"/>
  <c r="DA54" i="24"/>
  <c r="CX55" i="24"/>
  <c r="CX54" i="24"/>
  <c r="BR55" i="24"/>
  <c r="BO55" i="24"/>
  <c r="CK22" i="24"/>
  <c r="CF11" i="24"/>
  <c r="CI14" i="24"/>
  <c r="P39" i="34"/>
  <c r="P38" i="34"/>
  <c r="Q27" i="34"/>
  <c r="M39" i="34"/>
  <c r="M38" i="34"/>
  <c r="N35" i="34"/>
  <c r="N33" i="34"/>
  <c r="N31" i="34"/>
  <c r="N29" i="34"/>
  <c r="N36" i="34"/>
  <c r="K27" i="34"/>
  <c r="R27" i="34" s="1"/>
  <c r="N37" i="34"/>
  <c r="N34" i="34"/>
  <c r="N32" i="34"/>
  <c r="N30" i="34"/>
  <c r="N28" i="34"/>
  <c r="U55" i="34"/>
  <c r="U54" i="34"/>
  <c r="V53" i="34"/>
  <c r="V51" i="34"/>
  <c r="S43" i="34"/>
  <c r="Z43" i="34" s="1"/>
  <c r="X54" i="34"/>
  <c r="Y43" i="34"/>
  <c r="X55" i="34"/>
  <c r="V50" i="34"/>
  <c r="V49" i="34"/>
  <c r="V48" i="34"/>
  <c r="V47" i="34"/>
  <c r="V46" i="34"/>
  <c r="V45" i="34"/>
  <c r="V44" i="34"/>
  <c r="V52" i="34"/>
  <c r="H87" i="34"/>
  <c r="H86" i="34"/>
  <c r="E87" i="34"/>
  <c r="E86" i="34"/>
  <c r="F85" i="34"/>
  <c r="F84" i="34"/>
  <c r="F83" i="34"/>
  <c r="F82" i="34"/>
  <c r="F81" i="34"/>
  <c r="F80" i="34"/>
  <c r="F79" i="34"/>
  <c r="F78" i="34"/>
  <c r="F77" i="34"/>
  <c r="F76" i="34"/>
  <c r="C75" i="34"/>
  <c r="J75" i="34" s="1"/>
  <c r="I75" i="34"/>
  <c r="H55" i="24"/>
  <c r="E55" i="24"/>
  <c r="Y11" i="34"/>
  <c r="V21" i="34"/>
  <c r="V20" i="34"/>
  <c r="V19" i="34"/>
  <c r="V18" i="34"/>
  <c r="V17" i="34"/>
  <c r="V16" i="34"/>
  <c r="V15" i="34"/>
  <c r="V14" i="34"/>
  <c r="V13" i="34"/>
  <c r="V12" i="34"/>
  <c r="U23" i="34"/>
  <c r="U22" i="34"/>
  <c r="X23" i="34"/>
  <c r="X22" i="34"/>
  <c r="S11" i="34"/>
  <c r="Z11" i="34" s="1"/>
  <c r="W11" i="34" s="1" a="1"/>
  <c r="W11" i="34" s="1"/>
  <c r="E71" i="34"/>
  <c r="E70" i="34"/>
  <c r="F69" i="34"/>
  <c r="F68" i="34"/>
  <c r="F67" i="34"/>
  <c r="F65" i="34"/>
  <c r="F64" i="34"/>
  <c r="F63" i="34"/>
  <c r="F62" i="34"/>
  <c r="F61" i="34"/>
  <c r="F60" i="34"/>
  <c r="C59" i="34"/>
  <c r="J59" i="34" s="1"/>
  <c r="F66" i="34"/>
  <c r="I59" i="34"/>
  <c r="H71" i="34"/>
  <c r="H70" i="34"/>
  <c r="X55" i="24"/>
  <c r="U55" i="24"/>
  <c r="CL11" i="24"/>
  <c r="CS54" i="24"/>
  <c r="CP54" i="24"/>
  <c r="CS55" i="24"/>
  <c r="CP55" i="24"/>
  <c r="CI21" i="24"/>
  <c r="CI20" i="24"/>
  <c r="CK23" i="24"/>
  <c r="CI19" i="24"/>
  <c r="P23" i="34"/>
  <c r="P22" i="34"/>
  <c r="Q11" i="34"/>
  <c r="M23" i="34"/>
  <c r="M22" i="34"/>
  <c r="K11" i="34"/>
  <c r="R11" i="34" s="1"/>
  <c r="N21" i="34"/>
  <c r="N20" i="34"/>
  <c r="N19" i="34"/>
  <c r="N18" i="34"/>
  <c r="N17" i="34"/>
  <c r="N16" i="34"/>
  <c r="N15" i="34"/>
  <c r="N14" i="34"/>
  <c r="N13" i="34"/>
  <c r="N12" i="34"/>
  <c r="E39" i="34"/>
  <c r="E38" i="34"/>
  <c r="F37" i="34"/>
  <c r="F36" i="34"/>
  <c r="I27" i="34"/>
  <c r="H39" i="34"/>
  <c r="F35" i="34"/>
  <c r="F33" i="34"/>
  <c r="F31" i="34"/>
  <c r="F29" i="34"/>
  <c r="F34" i="34"/>
  <c r="F30" i="34"/>
  <c r="H38" i="34"/>
  <c r="F32" i="34"/>
  <c r="F28" i="34"/>
  <c r="C27" i="34"/>
  <c r="J27" i="34" s="1"/>
  <c r="G27" i="34" s="1" a="1"/>
  <c r="G27" i="34" s="1"/>
  <c r="P55" i="34"/>
  <c r="P54" i="34"/>
  <c r="M55" i="34"/>
  <c r="N52" i="34"/>
  <c r="K43" i="34"/>
  <c r="R43" i="34" s="1"/>
  <c r="N53" i="34"/>
  <c r="N51" i="34"/>
  <c r="Q43" i="34"/>
  <c r="M54" i="34"/>
  <c r="N47" i="34"/>
  <c r="N48" i="34"/>
  <c r="N44" i="34"/>
  <c r="N49" i="34"/>
  <c r="N45" i="34"/>
  <c r="N50" i="34"/>
  <c r="N46" i="34"/>
  <c r="P71" i="34"/>
  <c r="P70" i="34"/>
  <c r="N69" i="34"/>
  <c r="N67" i="34"/>
  <c r="N66" i="34"/>
  <c r="K59" i="34"/>
  <c r="R59" i="34" s="1"/>
  <c r="M71" i="34"/>
  <c r="M70" i="34"/>
  <c r="Q59" i="34"/>
  <c r="N68" i="34"/>
  <c r="N65" i="34"/>
  <c r="N61" i="34"/>
  <c r="N62" i="34"/>
  <c r="N63" i="34"/>
  <c r="N60" i="34"/>
  <c r="N64" i="34"/>
  <c r="X87" i="34"/>
  <c r="X86" i="34"/>
  <c r="U87" i="34"/>
  <c r="U86" i="34"/>
  <c r="S75" i="34"/>
  <c r="Z75" i="34" s="1"/>
  <c r="V83" i="34"/>
  <c r="V79" i="34"/>
  <c r="V84" i="34"/>
  <c r="V80" i="34"/>
  <c r="V76" i="34"/>
  <c r="V85" i="34"/>
  <c r="V81" i="34"/>
  <c r="V77" i="34"/>
  <c r="V78" i="34"/>
  <c r="V82" i="34"/>
  <c r="AQ55" i="24"/>
  <c r="AN55" i="24"/>
  <c r="AF87" i="24"/>
  <c r="AI55" i="24"/>
  <c r="AF55" i="24"/>
  <c r="AJ75" i="24"/>
  <c r="AG79" i="24"/>
  <c r="AG83" i="24"/>
  <c r="AI87" i="24"/>
  <c r="AW85" i="24"/>
  <c r="AW77" i="24"/>
  <c r="AW81" i="24"/>
  <c r="AW79" i="24"/>
  <c r="AW83" i="24"/>
  <c r="AG78" i="24"/>
  <c r="AG82" i="24"/>
  <c r="AI86" i="24"/>
  <c r="AY55" i="24"/>
  <c r="AV55" i="24"/>
  <c r="AH75" i="24" a="1"/>
  <c r="AH75" i="24" s="1"/>
  <c r="AG76" i="24"/>
  <c r="AG80" i="24"/>
  <c r="AG84" i="24"/>
  <c r="CI36" i="24"/>
  <c r="N19" i="24"/>
  <c r="CI37" i="24"/>
  <c r="N18" i="24"/>
  <c r="N17" i="24"/>
  <c r="K11" i="24"/>
  <c r="CI30" i="24"/>
  <c r="N16" i="24"/>
  <c r="CI32" i="24"/>
  <c r="CI33" i="24"/>
  <c r="N12" i="24"/>
  <c r="N15" i="24"/>
  <c r="N21" i="24"/>
  <c r="Q11" i="24"/>
  <c r="P22" i="24"/>
  <c r="CF27" i="24"/>
  <c r="CI34" i="24"/>
  <c r="CH38" i="24"/>
  <c r="N14" i="24"/>
  <c r="M22" i="24"/>
  <c r="CI29" i="24"/>
  <c r="CI31" i="24"/>
  <c r="CI35" i="24"/>
  <c r="CH39" i="24"/>
  <c r="N13" i="24"/>
  <c r="CI28" i="24"/>
  <c r="BG22" i="24"/>
  <c r="BE11" i="24"/>
  <c r="BK11" i="24"/>
  <c r="BH21" i="24"/>
  <c r="BH20" i="24"/>
  <c r="BH19" i="24"/>
  <c r="BH18" i="24"/>
  <c r="BH17" i="24"/>
  <c r="BH16" i="24"/>
  <c r="BH15" i="24"/>
  <c r="BH14" i="24"/>
  <c r="BJ22" i="24"/>
  <c r="BH13" i="24"/>
  <c r="BH12" i="24"/>
  <c r="BH53" i="24"/>
  <c r="BH52" i="24"/>
  <c r="BH51" i="24"/>
  <c r="BH50" i="24"/>
  <c r="BH49" i="24"/>
  <c r="BH48" i="24"/>
  <c r="BH47" i="24"/>
  <c r="BH46" i="24"/>
  <c r="BH45" i="24"/>
  <c r="BH44" i="24"/>
  <c r="BJ54" i="24"/>
  <c r="BG54" i="24"/>
  <c r="BE43" i="24"/>
  <c r="BK43" i="24"/>
  <c r="CP23" i="24"/>
  <c r="CP22" i="24"/>
  <c r="CN11" i="24"/>
  <c r="CQ21" i="24"/>
  <c r="CQ20" i="24"/>
  <c r="CQ19" i="24"/>
  <c r="CQ18" i="24"/>
  <c r="CQ17" i="24"/>
  <c r="CQ16" i="24"/>
  <c r="CQ15" i="24"/>
  <c r="CQ14" i="24"/>
  <c r="CT11" i="24"/>
  <c r="CS23" i="24"/>
  <c r="CQ12" i="24"/>
  <c r="CQ13" i="24"/>
  <c r="CS22" i="24"/>
  <c r="V53" i="24"/>
  <c r="V52" i="24"/>
  <c r="V51" i="24"/>
  <c r="V50" i="24"/>
  <c r="V49" i="24"/>
  <c r="V48" i="24"/>
  <c r="V47" i="24"/>
  <c r="V46" i="24"/>
  <c r="V45" i="24"/>
  <c r="V44" i="24"/>
  <c r="X54" i="24"/>
  <c r="U54" i="24"/>
  <c r="S43" i="24"/>
  <c r="Y43" i="24"/>
  <c r="CH54" i="24"/>
  <c r="CI53" i="24"/>
  <c r="CI52" i="24"/>
  <c r="CI51" i="24"/>
  <c r="CI50" i="24"/>
  <c r="CI49" i="24"/>
  <c r="CI48" i="24"/>
  <c r="CI47" i="24"/>
  <c r="CI46" i="24"/>
  <c r="CI45" i="24"/>
  <c r="CI44" i="24"/>
  <c r="CF43" i="24"/>
  <c r="CL43" i="24"/>
  <c r="BW22" i="24"/>
  <c r="BX21" i="24"/>
  <c r="BX20" i="24"/>
  <c r="BX19" i="24"/>
  <c r="BX18" i="24"/>
  <c r="BX17" i="24"/>
  <c r="BX16" i="24"/>
  <c r="BX15" i="24"/>
  <c r="BX14" i="24"/>
  <c r="BX13" i="24"/>
  <c r="BX12" i="24"/>
  <c r="BU11" i="24"/>
  <c r="CA11" i="24"/>
  <c r="BZ22" i="24"/>
  <c r="BZ54" i="24"/>
  <c r="BW54" i="24"/>
  <c r="BX53" i="24"/>
  <c r="BX52" i="24"/>
  <c r="BX51" i="24"/>
  <c r="BX50" i="24"/>
  <c r="BX49" i="24"/>
  <c r="BX48" i="24"/>
  <c r="BX47" i="24"/>
  <c r="BX46" i="24"/>
  <c r="BX45" i="24"/>
  <c r="BX44" i="24"/>
  <c r="BU43" i="24"/>
  <c r="CA43" i="24"/>
  <c r="AN22" i="24"/>
  <c r="AO21" i="24"/>
  <c r="AO20" i="24"/>
  <c r="AO19" i="24"/>
  <c r="AO18" i="24"/>
  <c r="AO17" i="24"/>
  <c r="AO16" i="24"/>
  <c r="AO15" i="24"/>
  <c r="AO14" i="24"/>
  <c r="AO13" i="24"/>
  <c r="AO12" i="24"/>
  <c r="AL11" i="24"/>
  <c r="AR11" i="24"/>
  <c r="AQ22" i="24"/>
  <c r="AV54" i="24"/>
  <c r="AW53" i="24"/>
  <c r="AW52" i="24"/>
  <c r="AW51" i="24"/>
  <c r="AW50" i="24"/>
  <c r="AW49" i="24"/>
  <c r="AW48" i="24"/>
  <c r="AW47" i="24"/>
  <c r="AW46" i="24"/>
  <c r="AW45" i="24"/>
  <c r="AW44" i="24"/>
  <c r="AT43" i="24"/>
  <c r="AZ43" i="24"/>
  <c r="AY54" i="24"/>
  <c r="CX39" i="24"/>
  <c r="CX38" i="24"/>
  <c r="CV27" i="24"/>
  <c r="DA39" i="24"/>
  <c r="CY37" i="24"/>
  <c r="CY33" i="24"/>
  <c r="CY29" i="24"/>
  <c r="DB27" i="24"/>
  <c r="DA38" i="24"/>
  <c r="CY35" i="24"/>
  <c r="CY31" i="24"/>
  <c r="CY34" i="24"/>
  <c r="CY30" i="24"/>
  <c r="CY28" i="24"/>
  <c r="CY36" i="24"/>
  <c r="CY32" i="24"/>
  <c r="BH37" i="24"/>
  <c r="BH36" i="24"/>
  <c r="BH35" i="24"/>
  <c r="BH34" i="24"/>
  <c r="BH33" i="24"/>
  <c r="BH32" i="24"/>
  <c r="BH31" i="24"/>
  <c r="BH30" i="24"/>
  <c r="BH29" i="24"/>
  <c r="BH28" i="24"/>
  <c r="BJ38" i="24"/>
  <c r="BG38" i="24"/>
  <c r="BE27" i="24"/>
  <c r="BK27" i="24"/>
  <c r="BO54" i="24"/>
  <c r="BM43" i="24"/>
  <c r="BR54" i="24"/>
  <c r="BP52" i="24"/>
  <c r="BP48" i="24"/>
  <c r="BP44" i="24"/>
  <c r="BP50" i="24"/>
  <c r="BS43" i="24"/>
  <c r="BP53" i="24"/>
  <c r="BP49" i="24"/>
  <c r="BP45" i="24"/>
  <c r="BP46" i="24"/>
  <c r="BP47" i="24"/>
  <c r="BP51" i="24"/>
  <c r="AQ38" i="24"/>
  <c r="AN38" i="24"/>
  <c r="AO37" i="24"/>
  <c r="AO36" i="24"/>
  <c r="AO35" i="24"/>
  <c r="AO34" i="24"/>
  <c r="AO33" i="24"/>
  <c r="AO32" i="24"/>
  <c r="AO31" i="24"/>
  <c r="AO30" i="24"/>
  <c r="AO29" i="24"/>
  <c r="AO28" i="24"/>
  <c r="AL27" i="24"/>
  <c r="AR27" i="24"/>
  <c r="H38" i="24"/>
  <c r="E38" i="24"/>
  <c r="F37" i="24"/>
  <c r="F36" i="24"/>
  <c r="F35" i="24"/>
  <c r="F34" i="24"/>
  <c r="F33" i="24"/>
  <c r="F32" i="24"/>
  <c r="F31" i="24"/>
  <c r="F30" i="24"/>
  <c r="F29" i="24"/>
  <c r="F28" i="24"/>
  <c r="C27" i="24"/>
  <c r="I27" i="24"/>
  <c r="H54" i="24"/>
  <c r="E54" i="24"/>
  <c r="F53" i="24"/>
  <c r="F52" i="24"/>
  <c r="F51" i="24"/>
  <c r="F50" i="24"/>
  <c r="F49" i="24"/>
  <c r="F48" i="24"/>
  <c r="F47" i="24"/>
  <c r="F46" i="24"/>
  <c r="F45" i="24"/>
  <c r="F44" i="24"/>
  <c r="C43" i="24"/>
  <c r="I43" i="24"/>
  <c r="AT11" i="24"/>
  <c r="AV22" i="24"/>
  <c r="AY22" i="24"/>
  <c r="AZ11" i="24"/>
  <c r="AW20" i="24"/>
  <c r="AW16" i="24"/>
  <c r="AW13" i="24"/>
  <c r="AW19" i="24"/>
  <c r="AW15" i="24"/>
  <c r="AW21" i="24"/>
  <c r="AW17" i="24"/>
  <c r="AW18" i="24"/>
  <c r="AW14" i="24"/>
  <c r="AW12" i="24"/>
  <c r="AV38" i="24"/>
  <c r="AW37" i="24"/>
  <c r="AW36" i="24"/>
  <c r="AW35" i="24"/>
  <c r="AW34" i="24"/>
  <c r="AW33" i="24"/>
  <c r="AW32" i="24"/>
  <c r="AW31" i="24"/>
  <c r="AT27" i="24"/>
  <c r="AZ27" i="24"/>
  <c r="AY38" i="24"/>
  <c r="AW30" i="24"/>
  <c r="AW28" i="24"/>
  <c r="AW29" i="24"/>
  <c r="AF54" i="24"/>
  <c r="AD43" i="24"/>
  <c r="AG51" i="24"/>
  <c r="AG47" i="24"/>
  <c r="AI54" i="24"/>
  <c r="AG53" i="24"/>
  <c r="AG49" i="24"/>
  <c r="AG45" i="24"/>
  <c r="AJ43" i="24"/>
  <c r="AG52" i="24"/>
  <c r="AG48" i="24"/>
  <c r="AG44" i="24"/>
  <c r="AG46" i="24"/>
  <c r="AG50" i="24"/>
  <c r="CQ37" i="24"/>
  <c r="CQ36" i="24"/>
  <c r="CQ35" i="24"/>
  <c r="CQ34" i="24"/>
  <c r="CQ33" i="24"/>
  <c r="CQ32" i="24"/>
  <c r="CQ31" i="24"/>
  <c r="CQ30" i="24"/>
  <c r="CQ29" i="24"/>
  <c r="CQ28" i="24"/>
  <c r="CS39" i="24"/>
  <c r="CS38" i="24"/>
  <c r="CP39" i="24"/>
  <c r="CP38" i="24"/>
  <c r="CN27" i="24"/>
  <c r="CT27" i="24"/>
  <c r="U22" i="24"/>
  <c r="S11" i="24"/>
  <c r="Y11" i="24"/>
  <c r="V21" i="24"/>
  <c r="V20" i="24"/>
  <c r="V19" i="24"/>
  <c r="V18" i="24"/>
  <c r="V17" i="24"/>
  <c r="V16" i="24"/>
  <c r="V15" i="24"/>
  <c r="V14" i="24"/>
  <c r="V12" i="24"/>
  <c r="V13" i="24"/>
  <c r="X22" i="24"/>
  <c r="M54" i="24"/>
  <c r="N53" i="24"/>
  <c r="N52" i="24"/>
  <c r="N51" i="24"/>
  <c r="N50" i="24"/>
  <c r="N49" i="24"/>
  <c r="N48" i="24"/>
  <c r="N47" i="24"/>
  <c r="N46" i="24"/>
  <c r="N45" i="24"/>
  <c r="N44" i="24"/>
  <c r="K43" i="24"/>
  <c r="Q43" i="24"/>
  <c r="P54" i="24"/>
  <c r="CV43" i="24"/>
  <c r="CY53" i="24"/>
  <c r="CY49" i="24"/>
  <c r="CY45" i="24"/>
  <c r="CY51" i="24"/>
  <c r="CY47" i="24"/>
  <c r="DB43" i="24"/>
  <c r="CY50" i="24"/>
  <c r="CY46" i="24"/>
  <c r="CY48" i="24"/>
  <c r="CY52" i="24"/>
  <c r="CY44" i="24"/>
  <c r="V37" i="24"/>
  <c r="V36" i="24"/>
  <c r="V35" i="24"/>
  <c r="V34" i="24"/>
  <c r="V33" i="24"/>
  <c r="V32" i="24"/>
  <c r="V31" i="24"/>
  <c r="V30" i="24"/>
  <c r="V29" i="24"/>
  <c r="V28" i="24"/>
  <c r="X38" i="24"/>
  <c r="U38" i="24"/>
  <c r="S27" i="24"/>
  <c r="Y27" i="24"/>
  <c r="E22" i="24"/>
  <c r="F21" i="24"/>
  <c r="F20" i="24"/>
  <c r="F19" i="24"/>
  <c r="F18" i="24"/>
  <c r="F17" i="24"/>
  <c r="F16" i="24"/>
  <c r="F15" i="24"/>
  <c r="F14" i="24"/>
  <c r="F13" i="24"/>
  <c r="F12" i="24"/>
  <c r="C11" i="24"/>
  <c r="I11" i="24"/>
  <c r="H22" i="24"/>
  <c r="CQ53" i="24"/>
  <c r="CQ52" i="24"/>
  <c r="CQ51" i="24"/>
  <c r="CQ50" i="24"/>
  <c r="CQ49" i="24"/>
  <c r="CQ48" i="24"/>
  <c r="CQ47" i="24"/>
  <c r="CQ46" i="24"/>
  <c r="CQ45" i="24"/>
  <c r="CQ44" i="24"/>
  <c r="CN43" i="24"/>
  <c r="CT43" i="24"/>
  <c r="BO38" i="24"/>
  <c r="BM27" i="24"/>
  <c r="BR38" i="24"/>
  <c r="BP36" i="24"/>
  <c r="BP32" i="24"/>
  <c r="BP30" i="24"/>
  <c r="BP28" i="24"/>
  <c r="BS27" i="24"/>
  <c r="BP34" i="24"/>
  <c r="BP29" i="24"/>
  <c r="BP37" i="24"/>
  <c r="BP33" i="24"/>
  <c r="BP31" i="24"/>
  <c r="BP35" i="24"/>
  <c r="BZ38" i="24"/>
  <c r="BW38" i="24"/>
  <c r="BX37" i="24"/>
  <c r="BX36" i="24"/>
  <c r="BX35" i="24"/>
  <c r="BX34" i="24"/>
  <c r="BX33" i="24"/>
  <c r="BX32" i="24"/>
  <c r="BX31" i="24"/>
  <c r="BX30" i="24"/>
  <c r="BX29" i="24"/>
  <c r="BX28" i="24"/>
  <c r="BU27" i="24"/>
  <c r="CA27" i="24"/>
  <c r="AF38" i="24"/>
  <c r="AD27" i="24"/>
  <c r="AG35" i="24"/>
  <c r="AG31" i="24"/>
  <c r="AG29" i="24"/>
  <c r="AJ27" i="24"/>
  <c r="AI38" i="24"/>
  <c r="AG37" i="24"/>
  <c r="AG33" i="24"/>
  <c r="AG30" i="24"/>
  <c r="AG28" i="24"/>
  <c r="AG36" i="24"/>
  <c r="AG32" i="24"/>
  <c r="AG34" i="24"/>
  <c r="AQ54" i="24"/>
  <c r="AN54" i="24"/>
  <c r="AO53" i="24"/>
  <c r="AO52" i="24"/>
  <c r="AO51" i="24"/>
  <c r="AO50" i="24"/>
  <c r="AO49" i="24"/>
  <c r="AO48" i="24"/>
  <c r="AO47" i="24"/>
  <c r="AO46" i="24"/>
  <c r="AO45" i="24"/>
  <c r="AO44" i="24"/>
  <c r="AL43" i="24"/>
  <c r="AR43" i="24"/>
  <c r="E112" i="13" l="1"/>
  <c r="F112" i="13"/>
  <c r="G112" i="13"/>
  <c r="H112" i="13"/>
  <c r="I112" i="13"/>
  <c r="J112" i="13"/>
  <c r="K112" i="13"/>
  <c r="L112" i="13"/>
  <c r="M112" i="13"/>
  <c r="N112" i="13"/>
  <c r="O112" i="13"/>
  <c r="P112" i="13"/>
  <c r="Q112" i="13"/>
  <c r="R112" i="13"/>
  <c r="S112" i="13"/>
  <c r="T112" i="13"/>
  <c r="U112" i="13"/>
  <c r="V112" i="13"/>
  <c r="X112" i="13"/>
  <c r="Y112" i="13"/>
  <c r="AA112" i="13"/>
  <c r="AB112" i="13"/>
  <c r="AC112" i="13"/>
  <c r="AD112" i="13"/>
  <c r="AE112" i="13"/>
  <c r="AF112" i="13"/>
  <c r="AG112" i="13"/>
  <c r="AH112" i="13"/>
  <c r="D112" i="13"/>
  <c r="Z55" i="13"/>
  <c r="Z56" i="13"/>
  <c r="Z57" i="13"/>
  <c r="Z58" i="13"/>
  <c r="Z59" i="13"/>
  <c r="Z60" i="13"/>
  <c r="Z61" i="13"/>
  <c r="Z62" i="13"/>
  <c r="Z63" i="13"/>
  <c r="Z64" i="13"/>
  <c r="Z65" i="13"/>
  <c r="Z66" i="13"/>
  <c r="Z67" i="13"/>
  <c r="Z68" i="13"/>
  <c r="Z69" i="13"/>
  <c r="Z70" i="13"/>
  <c r="Z71"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Q56" i="14" s="1"/>
  <c r="X56" i="14" s="1"/>
  <c r="Z100" i="13"/>
  <c r="Z101" i="13"/>
  <c r="Z102" i="13"/>
  <c r="Q59" i="14" s="1"/>
  <c r="X59" i="14" s="1"/>
  <c r="Z103" i="13"/>
  <c r="Z104" i="13"/>
  <c r="Z105" i="13"/>
  <c r="Z106" i="13"/>
  <c r="Z107" i="13"/>
  <c r="Z108" i="13"/>
  <c r="Z109" i="13"/>
  <c r="Z110" i="13"/>
  <c r="Z111" i="13"/>
  <c r="Z54" i="13"/>
  <c r="P6" i="13" a="1"/>
  <c r="P6" i="13" s="1"/>
  <c r="W29" i="14"/>
  <c r="W51" i="14"/>
  <c r="W38" i="14"/>
  <c r="W34" i="14"/>
  <c r="Q45" i="14"/>
  <c r="X45" i="14" s="1"/>
  <c r="Q49" i="14"/>
  <c r="X49" i="14" s="1"/>
  <c r="Q61" i="14"/>
  <c r="X61" i="14" s="1"/>
  <c r="Q44" i="14"/>
  <c r="X44" i="14" s="1"/>
  <c r="W57" i="14"/>
  <c r="W52" i="14"/>
  <c r="W49" i="14"/>
  <c r="W39" i="14"/>
  <c r="W32" i="14"/>
  <c r="W54" i="13"/>
  <c r="W55" i="13"/>
  <c r="W56" i="13"/>
  <c r="W57" i="13"/>
  <c r="W58" i="13"/>
  <c r="W59" i="13"/>
  <c r="W60" i="13"/>
  <c r="W61" i="13"/>
  <c r="W62" i="13"/>
  <c r="W63" i="13"/>
  <c r="W64" i="13"/>
  <c r="W65" i="13"/>
  <c r="W66" i="13"/>
  <c r="W67" i="13"/>
  <c r="W68" i="13"/>
  <c r="W69" i="13"/>
  <c r="W70" i="13"/>
  <c r="W71"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J3" i="14"/>
  <c r="D326" i="13"/>
  <c r="D325" i="13"/>
  <c r="D324" i="13"/>
  <c r="D323" i="13"/>
  <c r="D322" i="13"/>
  <c r="B255" i="13"/>
  <c r="B266" i="13"/>
  <c r="B277" i="13"/>
  <c r="B288" i="13"/>
  <c r="B299" i="13"/>
  <c r="B310" i="13"/>
  <c r="B321" i="13"/>
  <c r="B332" i="13"/>
  <c r="B343" i="13"/>
  <c r="B354" i="13"/>
  <c r="B365" i="13"/>
  <c r="B376" i="13"/>
  <c r="B387" i="13"/>
  <c r="B398" i="13"/>
  <c r="B409" i="13"/>
  <c r="B420" i="13"/>
  <c r="B431" i="13"/>
  <c r="B442" i="13"/>
  <c r="B453" i="13"/>
  <c r="B464" i="13"/>
  <c r="L326" i="13"/>
  <c r="K325" i="13"/>
  <c r="L325" i="13"/>
  <c r="L324" i="13"/>
  <c r="I323" i="13"/>
  <c r="L323" i="13"/>
  <c r="L322" i="13"/>
  <c r="C326" i="13"/>
  <c r="C325" i="13"/>
  <c r="C324" i="13"/>
  <c r="C323" i="13"/>
  <c r="C322" i="13"/>
  <c r="Q62" i="14" l="1"/>
  <c r="X62" i="14" s="1"/>
  <c r="S62" i="14" s="1"/>
  <c r="S44" i="14"/>
  <c r="S61" i="14"/>
  <c r="S45" i="14"/>
  <c r="S59" i="14"/>
  <c r="AJ71" i="13" a="1"/>
  <c r="AJ71" i="13" l="1"/>
  <c r="F474" i="13" l="1"/>
  <c r="H474" i="13" s="1"/>
  <c r="B474" i="13" s="1"/>
  <c r="F473" i="13"/>
  <c r="F472" i="13"/>
  <c r="H472" i="13" s="1"/>
  <c r="B472" i="13" s="1"/>
  <c r="F471" i="13"/>
  <c r="H471" i="13" s="1"/>
  <c r="B471" i="13" s="1"/>
  <c r="F470" i="13"/>
  <c r="H470" i="13" s="1"/>
  <c r="B470" i="13" s="1"/>
  <c r="F469" i="13"/>
  <c r="H469" i="13" s="1"/>
  <c r="B469" i="13" s="1"/>
  <c r="F468" i="13"/>
  <c r="H468" i="13" s="1"/>
  <c r="B468" i="13" s="1"/>
  <c r="F467" i="13"/>
  <c r="H467" i="13" s="1"/>
  <c r="B467" i="13" s="1"/>
  <c r="F466" i="13"/>
  <c r="H466" i="13" s="1"/>
  <c r="B466" i="13" s="1"/>
  <c r="F465" i="13"/>
  <c r="H465" i="13" s="1"/>
  <c r="B465" i="13" s="1"/>
  <c r="F463" i="13"/>
  <c r="H463" i="13" s="1"/>
  <c r="B463" i="13" s="1"/>
  <c r="F462" i="13"/>
  <c r="H462" i="13" s="1"/>
  <c r="B462" i="13" s="1"/>
  <c r="F461" i="13"/>
  <c r="H461" i="13" s="1"/>
  <c r="B461" i="13" s="1"/>
  <c r="F460" i="13"/>
  <c r="H460" i="13" s="1"/>
  <c r="B460" i="13" s="1"/>
  <c r="F459" i="13"/>
  <c r="H459" i="13" s="1"/>
  <c r="B459" i="13" s="1"/>
  <c r="F458" i="13"/>
  <c r="H458" i="13" s="1"/>
  <c r="B458" i="13" s="1"/>
  <c r="F457" i="13"/>
  <c r="H457" i="13" s="1"/>
  <c r="B457" i="13" s="1"/>
  <c r="F456" i="13"/>
  <c r="H456" i="13" s="1"/>
  <c r="B456" i="13" s="1"/>
  <c r="F455" i="13"/>
  <c r="F454" i="13"/>
  <c r="H454" i="13" s="1"/>
  <c r="B454" i="13" s="1"/>
  <c r="F452" i="13"/>
  <c r="H452" i="13" s="1"/>
  <c r="B452" i="13" s="1"/>
  <c r="F451" i="13"/>
  <c r="H451" i="13" s="1"/>
  <c r="B451" i="13" s="1"/>
  <c r="F450" i="13"/>
  <c r="F449" i="13"/>
  <c r="H449" i="13" s="1"/>
  <c r="B449" i="13" s="1"/>
  <c r="F448" i="13"/>
  <c r="H448" i="13" s="1"/>
  <c r="B448" i="13" s="1"/>
  <c r="F447" i="13"/>
  <c r="H447" i="13" s="1"/>
  <c r="B447" i="13" s="1"/>
  <c r="F446" i="13"/>
  <c r="H446" i="13" s="1"/>
  <c r="B446" i="13" s="1"/>
  <c r="F445" i="13"/>
  <c r="H445" i="13" s="1"/>
  <c r="B445" i="13" s="1"/>
  <c r="F444" i="13"/>
  <c r="H444" i="13" s="1"/>
  <c r="B444" i="13" s="1"/>
  <c r="F443" i="13"/>
  <c r="H443" i="13" s="1"/>
  <c r="B443" i="13" s="1"/>
  <c r="F441" i="13"/>
  <c r="H441" i="13" s="1"/>
  <c r="B441" i="13" s="1"/>
  <c r="F440" i="13"/>
  <c r="F439" i="13"/>
  <c r="H439" i="13" s="1"/>
  <c r="B439" i="13" s="1"/>
  <c r="F438" i="13"/>
  <c r="H438" i="13" s="1"/>
  <c r="B438" i="13" s="1"/>
  <c r="F437" i="13"/>
  <c r="H437" i="13" s="1"/>
  <c r="B437" i="13" s="1"/>
  <c r="F436" i="13"/>
  <c r="H436" i="13" s="1"/>
  <c r="B436" i="13" s="1"/>
  <c r="F435" i="13"/>
  <c r="H435" i="13" s="1"/>
  <c r="B435" i="13" s="1"/>
  <c r="F434" i="13"/>
  <c r="H434" i="13" s="1"/>
  <c r="B434" i="13" s="1"/>
  <c r="F433" i="13"/>
  <c r="H433" i="13" s="1"/>
  <c r="B433" i="13" s="1"/>
  <c r="F432" i="13"/>
  <c r="H432" i="13" s="1"/>
  <c r="B432" i="13" s="1"/>
  <c r="F430" i="13"/>
  <c r="H430" i="13" s="1"/>
  <c r="B430" i="13" s="1"/>
  <c r="F429" i="13"/>
  <c r="F428" i="13"/>
  <c r="H428" i="13" s="1"/>
  <c r="B428" i="13" s="1"/>
  <c r="F427" i="13"/>
  <c r="F426" i="13"/>
  <c r="H426" i="13" s="1"/>
  <c r="B426" i="13" s="1"/>
  <c r="F425" i="13"/>
  <c r="H425" i="13" s="1"/>
  <c r="B425" i="13" s="1"/>
  <c r="F424" i="13"/>
  <c r="H424" i="13" s="1"/>
  <c r="B424" i="13" s="1"/>
  <c r="F423" i="13"/>
  <c r="F422" i="13"/>
  <c r="H422" i="13" s="1"/>
  <c r="B422" i="13" s="1"/>
  <c r="F421" i="13"/>
  <c r="H421" i="13" s="1"/>
  <c r="B421" i="13" s="1"/>
  <c r="F419" i="13"/>
  <c r="H419" i="13" s="1"/>
  <c r="B419" i="13" s="1"/>
  <c r="F418" i="13"/>
  <c r="F417" i="13"/>
  <c r="H417" i="13" s="1"/>
  <c r="B417" i="13" s="1"/>
  <c r="F416" i="13"/>
  <c r="H416" i="13" s="1"/>
  <c r="B416" i="13" s="1"/>
  <c r="F415" i="13"/>
  <c r="H415" i="13" s="1"/>
  <c r="B415" i="13" s="1"/>
  <c r="F414" i="13"/>
  <c r="H414" i="13" s="1"/>
  <c r="B414" i="13" s="1"/>
  <c r="F413" i="13"/>
  <c r="H413" i="13" s="1"/>
  <c r="B413" i="13" s="1"/>
  <c r="F412" i="13"/>
  <c r="H412" i="13" s="1"/>
  <c r="B412" i="13" s="1"/>
  <c r="F411" i="13"/>
  <c r="H411" i="13" s="1"/>
  <c r="B411" i="13" s="1"/>
  <c r="F410" i="13"/>
  <c r="H410" i="13" s="1"/>
  <c r="B410" i="13" s="1"/>
  <c r="F408" i="13"/>
  <c r="H408" i="13" s="1"/>
  <c r="B408" i="13" s="1"/>
  <c r="F407" i="13"/>
  <c r="F406" i="13"/>
  <c r="H406" i="13" s="1"/>
  <c r="B406" i="13" s="1"/>
  <c r="F405" i="13"/>
  <c r="H405" i="13" s="1"/>
  <c r="B405" i="13" s="1"/>
  <c r="F404" i="13"/>
  <c r="H404" i="13" s="1"/>
  <c r="B404" i="13" s="1"/>
  <c r="F403" i="13"/>
  <c r="H403" i="13" s="1"/>
  <c r="B403" i="13" s="1"/>
  <c r="F402" i="13"/>
  <c r="H402" i="13" s="1"/>
  <c r="B402" i="13" s="1"/>
  <c r="F401" i="13"/>
  <c r="H401" i="13" s="1"/>
  <c r="B401" i="13" s="1"/>
  <c r="F400" i="13"/>
  <c r="H400" i="13" s="1"/>
  <c r="B400" i="13" s="1"/>
  <c r="F399" i="13"/>
  <c r="H399" i="13" s="1"/>
  <c r="B399" i="13" s="1"/>
  <c r="F397" i="13"/>
  <c r="H397" i="13" s="1"/>
  <c r="B397" i="13" s="1"/>
  <c r="F396" i="13"/>
  <c r="F395" i="13"/>
  <c r="H395" i="13" s="1"/>
  <c r="B395" i="13" s="1"/>
  <c r="F394" i="13"/>
  <c r="H394" i="13" s="1"/>
  <c r="B394" i="13" s="1"/>
  <c r="F393" i="13"/>
  <c r="H393" i="13" s="1"/>
  <c r="B393" i="13" s="1"/>
  <c r="F392" i="13"/>
  <c r="H392" i="13" s="1"/>
  <c r="B392" i="13" s="1"/>
  <c r="F391" i="13"/>
  <c r="H391" i="13" s="1"/>
  <c r="B391" i="13" s="1"/>
  <c r="F390" i="13"/>
  <c r="H390" i="13" s="1"/>
  <c r="B390" i="13" s="1"/>
  <c r="F389" i="13"/>
  <c r="H389" i="13" s="1"/>
  <c r="B389" i="13" s="1"/>
  <c r="F388" i="13"/>
  <c r="H388" i="13" s="1"/>
  <c r="B388" i="13" s="1"/>
  <c r="F386" i="13"/>
  <c r="H386" i="13" s="1"/>
  <c r="B386" i="13" s="1"/>
  <c r="F385" i="13"/>
  <c r="H385" i="13" s="1"/>
  <c r="B385" i="13" s="1"/>
  <c r="F384" i="13"/>
  <c r="H384" i="13" s="1"/>
  <c r="B384" i="13" s="1"/>
  <c r="F383" i="13"/>
  <c r="H383" i="13" s="1"/>
  <c r="B383" i="13" s="1"/>
  <c r="F382" i="13"/>
  <c r="H382" i="13" s="1"/>
  <c r="B382" i="13" s="1"/>
  <c r="F381" i="13"/>
  <c r="H381" i="13" s="1"/>
  <c r="B381" i="13" s="1"/>
  <c r="F380" i="13"/>
  <c r="H380" i="13" s="1"/>
  <c r="B380" i="13" s="1"/>
  <c r="F379" i="13"/>
  <c r="H379" i="13" s="1"/>
  <c r="B379" i="13" s="1"/>
  <c r="F378" i="13"/>
  <c r="H378" i="13" s="1"/>
  <c r="B378" i="13" s="1"/>
  <c r="F377" i="13"/>
  <c r="H377" i="13" s="1"/>
  <c r="B377" i="13" s="1"/>
  <c r="F375" i="13"/>
  <c r="H375" i="13" s="1"/>
  <c r="B375" i="13" s="1"/>
  <c r="F374" i="13"/>
  <c r="H374" i="13" s="1"/>
  <c r="B374" i="13" s="1"/>
  <c r="F373" i="13"/>
  <c r="H373" i="13" s="1"/>
  <c r="B373" i="13" s="1"/>
  <c r="F372" i="13"/>
  <c r="H372" i="13" s="1"/>
  <c r="B372" i="13" s="1"/>
  <c r="F371" i="13"/>
  <c r="H371" i="13" s="1"/>
  <c r="B371" i="13" s="1"/>
  <c r="F370" i="13"/>
  <c r="H370" i="13" s="1"/>
  <c r="B370" i="13" s="1"/>
  <c r="F369" i="13"/>
  <c r="H369" i="13" s="1"/>
  <c r="B369" i="13" s="1"/>
  <c r="F368" i="13"/>
  <c r="H368" i="13" s="1"/>
  <c r="B368" i="13" s="1"/>
  <c r="F367" i="13"/>
  <c r="H367" i="13" s="1"/>
  <c r="B367" i="13" s="1"/>
  <c r="F366" i="13"/>
  <c r="H366" i="13" s="1"/>
  <c r="B366" i="13" s="1"/>
  <c r="F364" i="13"/>
  <c r="H364" i="13" s="1"/>
  <c r="B364" i="13" s="1"/>
  <c r="F363" i="13"/>
  <c r="H363" i="13" s="1"/>
  <c r="B363" i="13" s="1"/>
  <c r="F362" i="13"/>
  <c r="H362" i="13" s="1"/>
  <c r="B362" i="13" s="1"/>
  <c r="F361" i="13"/>
  <c r="H361" i="13" s="1"/>
  <c r="B361" i="13" s="1"/>
  <c r="F360" i="13"/>
  <c r="H360" i="13" s="1"/>
  <c r="B360" i="13" s="1"/>
  <c r="F359" i="13"/>
  <c r="H359" i="13" s="1"/>
  <c r="B359" i="13" s="1"/>
  <c r="F358" i="13"/>
  <c r="H358" i="13" s="1"/>
  <c r="B358" i="13" s="1"/>
  <c r="F357" i="13"/>
  <c r="H357" i="13" s="1"/>
  <c r="B357" i="13" s="1"/>
  <c r="F356" i="13"/>
  <c r="F355" i="13"/>
  <c r="H355" i="13" s="1"/>
  <c r="B355" i="13" s="1"/>
  <c r="F353" i="13"/>
  <c r="H353" i="13" s="1"/>
  <c r="B353" i="13" s="1"/>
  <c r="F352" i="13"/>
  <c r="H352" i="13" s="1"/>
  <c r="B352" i="13" s="1"/>
  <c r="F351" i="13"/>
  <c r="H351" i="13" s="1"/>
  <c r="B351" i="13" s="1"/>
  <c r="F350" i="13"/>
  <c r="H350" i="13" s="1"/>
  <c r="B350" i="13" s="1"/>
  <c r="F349" i="13"/>
  <c r="H349" i="13" s="1"/>
  <c r="B349" i="13" s="1"/>
  <c r="F348" i="13"/>
  <c r="H348" i="13" s="1"/>
  <c r="B348" i="13" s="1"/>
  <c r="F347" i="13"/>
  <c r="H347" i="13" s="1"/>
  <c r="B347" i="13" s="1"/>
  <c r="F346" i="13"/>
  <c r="H346" i="13" s="1"/>
  <c r="B346" i="13" s="1"/>
  <c r="F345" i="13"/>
  <c r="H345" i="13" s="1"/>
  <c r="B345" i="13" s="1"/>
  <c r="F344" i="13"/>
  <c r="H344" i="13" s="1"/>
  <c r="B344" i="13" s="1"/>
  <c r="F342" i="13"/>
  <c r="H342" i="13" s="1"/>
  <c r="B342" i="13" s="1"/>
  <c r="F341" i="13"/>
  <c r="H341" i="13" s="1"/>
  <c r="B341" i="13" s="1"/>
  <c r="F340" i="13"/>
  <c r="H340" i="13" s="1"/>
  <c r="B340" i="13" s="1"/>
  <c r="F339" i="13"/>
  <c r="H339" i="13" s="1"/>
  <c r="B339" i="13" s="1"/>
  <c r="F338" i="13"/>
  <c r="H338" i="13" s="1"/>
  <c r="B338" i="13" s="1"/>
  <c r="F337" i="13"/>
  <c r="H337" i="13" s="1"/>
  <c r="B337" i="13" s="1"/>
  <c r="F336" i="13"/>
  <c r="H336" i="13" s="1"/>
  <c r="B336" i="13" s="1"/>
  <c r="F335" i="13"/>
  <c r="H335" i="13" s="1"/>
  <c r="B335" i="13" s="1"/>
  <c r="F334" i="13"/>
  <c r="H334" i="13" s="1"/>
  <c r="B334" i="13" s="1"/>
  <c r="F333" i="13"/>
  <c r="H333" i="13" s="1"/>
  <c r="B333" i="13" s="1"/>
  <c r="F331" i="13"/>
  <c r="H331" i="13" s="1"/>
  <c r="B331" i="13" s="1"/>
  <c r="F330" i="13"/>
  <c r="H330" i="13" s="1"/>
  <c r="B330" i="13" s="1"/>
  <c r="F329" i="13"/>
  <c r="H329" i="13" s="1"/>
  <c r="B329" i="13" s="1"/>
  <c r="F328" i="13"/>
  <c r="H328" i="13" s="1"/>
  <c r="B328" i="13" s="1"/>
  <c r="F327" i="13"/>
  <c r="H327" i="13" s="1"/>
  <c r="B327" i="13" s="1"/>
  <c r="F326" i="13"/>
  <c r="H326" i="13" s="1"/>
  <c r="B326" i="13" s="1"/>
  <c r="F325" i="13"/>
  <c r="H325" i="13" s="1"/>
  <c r="B325" i="13" s="1"/>
  <c r="F324" i="13"/>
  <c r="H324" i="13" s="1"/>
  <c r="B324" i="13" s="1"/>
  <c r="F323" i="13"/>
  <c r="H323" i="13" s="1"/>
  <c r="B323" i="13" s="1"/>
  <c r="F322" i="13"/>
  <c r="H322" i="13" s="1"/>
  <c r="B322" i="13" s="1"/>
  <c r="F320" i="13"/>
  <c r="H320" i="13" s="1"/>
  <c r="B320" i="13" s="1"/>
  <c r="F319" i="13"/>
  <c r="H319" i="13" s="1"/>
  <c r="B319" i="13" s="1"/>
  <c r="F318" i="13"/>
  <c r="H318" i="13" s="1"/>
  <c r="B318" i="13" s="1"/>
  <c r="F317" i="13"/>
  <c r="F316" i="13"/>
  <c r="H316" i="13" s="1"/>
  <c r="B316" i="13" s="1"/>
  <c r="F315" i="13"/>
  <c r="H315" i="13" s="1"/>
  <c r="B315" i="13" s="1"/>
  <c r="F314" i="13"/>
  <c r="H314" i="13" s="1"/>
  <c r="B314" i="13" s="1"/>
  <c r="F313" i="13"/>
  <c r="H313" i="13" s="1"/>
  <c r="B313" i="13" s="1"/>
  <c r="F312" i="13"/>
  <c r="H312" i="13" s="1"/>
  <c r="B312" i="13" s="1"/>
  <c r="F311" i="13"/>
  <c r="H311" i="13" s="1"/>
  <c r="B311" i="13" s="1"/>
  <c r="F309" i="13"/>
  <c r="H309" i="13" s="1"/>
  <c r="B309" i="13" s="1"/>
  <c r="F308" i="13"/>
  <c r="H308" i="13" s="1"/>
  <c r="B308" i="13" s="1"/>
  <c r="F307" i="13"/>
  <c r="H307" i="13" s="1"/>
  <c r="B307" i="13" s="1"/>
  <c r="F306" i="13"/>
  <c r="F305" i="13"/>
  <c r="H305" i="13" s="1"/>
  <c r="B305" i="13" s="1"/>
  <c r="F304" i="13"/>
  <c r="H304" i="13" s="1"/>
  <c r="B304" i="13" s="1"/>
  <c r="F303" i="13"/>
  <c r="H303" i="13" s="1"/>
  <c r="B303" i="13" s="1"/>
  <c r="F302" i="13"/>
  <c r="H302" i="13" s="1"/>
  <c r="B302" i="13" s="1"/>
  <c r="F301" i="13"/>
  <c r="H301" i="13" s="1"/>
  <c r="B301" i="13" s="1"/>
  <c r="F300" i="13"/>
  <c r="H300" i="13" s="1"/>
  <c r="B300" i="13" s="1"/>
  <c r="Q23" i="14"/>
  <c r="X23" i="14" s="1"/>
  <c r="Q16" i="14"/>
  <c r="X16" i="14" s="1"/>
  <c r="Q15" i="14"/>
  <c r="X15" i="14" s="1"/>
  <c r="Q13" i="14"/>
  <c r="X13" i="14" s="1"/>
  <c r="C72" i="14"/>
  <c r="C73" i="14"/>
  <c r="H73" i="14" s="1"/>
  <c r="C74" i="14"/>
  <c r="C71" i="14"/>
  <c r="H71" i="14" s="1"/>
  <c r="W256" i="13" a="1"/>
  <c r="Z256" i="13" s="1"/>
  <c r="W266" i="13" a="1"/>
  <c r="Z266" i="13" s="1"/>
  <c r="W261" i="13" a="1"/>
  <c r="Z261" i="13" s="1"/>
  <c r="W251" i="13" a="1"/>
  <c r="Z251" i="13" s="1"/>
  <c r="W246" i="13" a="1"/>
  <c r="Z246" i="13" s="1"/>
  <c r="W241" i="13" a="1"/>
  <c r="Z241" i="13" s="1"/>
  <c r="W236" i="13" a="1"/>
  <c r="Z236" i="13" s="1"/>
  <c r="W231" i="13" a="1"/>
  <c r="Z231" i="13" s="1"/>
  <c r="W226" i="13" a="1"/>
  <c r="Z226" i="13" s="1"/>
  <c r="W221" i="13" a="1"/>
  <c r="Z221" i="13" s="1"/>
  <c r="W216" i="13" a="1"/>
  <c r="Z216" i="13" s="1"/>
  <c r="W211" i="13" a="1"/>
  <c r="Z211" i="13" s="1"/>
  <c r="W206" i="13" a="1"/>
  <c r="Z206" i="13" s="1"/>
  <c r="W201" i="13" a="1"/>
  <c r="Z201" i="13" s="1"/>
  <c r="W196" i="13" a="1"/>
  <c r="Z196" i="13" s="1"/>
  <c r="W191" i="13" a="1"/>
  <c r="Z191" i="13" s="1"/>
  <c r="W186" i="13" a="1"/>
  <c r="Z186" i="13" s="1"/>
  <c r="W181" i="13" a="1"/>
  <c r="Y181" i="13" s="1"/>
  <c r="W176" i="13" a="1"/>
  <c r="Z176" i="13" s="1"/>
  <c r="W171" i="13" a="1"/>
  <c r="Z171" i="13" s="1"/>
  <c r="W166" i="13" a="1"/>
  <c r="Z166" i="13" s="1"/>
  <c r="W161" i="13" a="1"/>
  <c r="Z161" i="13" s="1"/>
  <c r="W156" i="13" a="1"/>
  <c r="Z156" i="13" s="1"/>
  <c r="E14" i="14"/>
  <c r="E13" i="14"/>
  <c r="E11" i="14"/>
  <c r="Z42" i="13"/>
  <c r="Z43" i="13"/>
  <c r="E12" i="14" s="1"/>
  <c r="Z44" i="13"/>
  <c r="Z45" i="13"/>
  <c r="Z46" i="13"/>
  <c r="E15" i="14" s="1"/>
  <c r="Z47" i="13"/>
  <c r="E16" i="14" s="1"/>
  <c r="Z48" i="13"/>
  <c r="E17" i="14" s="1"/>
  <c r="Z41" i="13"/>
  <c r="E10" i="14" s="1"/>
  <c r="C106" i="13"/>
  <c r="C107" i="13"/>
  <c r="C108" i="13"/>
  <c r="C109" i="13"/>
  <c r="C110" i="13"/>
  <c r="C111" i="13"/>
  <c r="AJ75" i="13" a="1"/>
  <c r="AJ80" i="13" a="1"/>
  <c r="AJ74" i="13" a="1"/>
  <c r="AJ79" i="13" a="1"/>
  <c r="AJ77" i="13" a="1"/>
  <c r="AJ78" i="13" a="1"/>
  <c r="AJ73" i="13" a="1"/>
  <c r="AJ81" i="13" a="1"/>
  <c r="AJ72" i="13" a="1"/>
  <c r="AJ76" i="13" a="1"/>
  <c r="H473" i="13" l="1"/>
  <c r="B473" i="13" s="1"/>
  <c r="V37" i="14"/>
  <c r="H450" i="13"/>
  <c r="B450" i="13" s="1"/>
  <c r="V60" i="14"/>
  <c r="V12" i="14"/>
  <c r="V16" i="14"/>
  <c r="V13" i="14"/>
  <c r="V17" i="14"/>
  <c r="V14" i="14"/>
  <c r="V11" i="14"/>
  <c r="V15" i="14"/>
  <c r="G15" i="14"/>
  <c r="H418" i="13"/>
  <c r="B418" i="13" s="1"/>
  <c r="V30" i="14"/>
  <c r="H407" i="13"/>
  <c r="B407" i="13" s="1"/>
  <c r="H396" i="13"/>
  <c r="B396" i="13" s="1"/>
  <c r="V29" i="14"/>
  <c r="H356" i="13"/>
  <c r="B356" i="13" s="1"/>
  <c r="V18" i="14"/>
  <c r="H317" i="13"/>
  <c r="B317" i="13" s="1"/>
  <c r="V21" i="14"/>
  <c r="H74" i="14"/>
  <c r="AJ72" i="13"/>
  <c r="AJ74" i="13"/>
  <c r="AJ76" i="13"/>
  <c r="AJ78" i="13"/>
  <c r="AJ80" i="13"/>
  <c r="AJ73" i="13"/>
  <c r="AJ75" i="13"/>
  <c r="AJ77" i="13"/>
  <c r="AJ79" i="13"/>
  <c r="AJ81" i="13"/>
  <c r="X256" i="13"/>
  <c r="W256" i="13"/>
  <c r="Y256" i="13"/>
  <c r="X251" i="13"/>
  <c r="Y251" i="13"/>
  <c r="W251" i="13"/>
  <c r="X226" i="13"/>
  <c r="Y226" i="13"/>
  <c r="W226" i="13"/>
  <c r="W266" i="13"/>
  <c r="X266" i="13"/>
  <c r="Y266" i="13"/>
  <c r="W261" i="13"/>
  <c r="X261" i="13"/>
  <c r="Y261" i="13"/>
  <c r="W246" i="13"/>
  <c r="X246" i="13"/>
  <c r="Y246" i="13"/>
  <c r="X241" i="13"/>
  <c r="W241" i="13"/>
  <c r="Y241" i="13"/>
  <c r="W236" i="13"/>
  <c r="X236" i="13"/>
  <c r="Y236" i="13"/>
  <c r="W231" i="13"/>
  <c r="X231" i="13"/>
  <c r="Y231" i="13"/>
  <c r="W221" i="13"/>
  <c r="X221" i="13"/>
  <c r="Y221" i="13"/>
  <c r="W216" i="13"/>
  <c r="X216" i="13"/>
  <c r="Y216" i="13"/>
  <c r="W211" i="13"/>
  <c r="X211" i="13"/>
  <c r="Y211" i="13"/>
  <c r="W206" i="13"/>
  <c r="X206" i="13"/>
  <c r="Y206" i="13"/>
  <c r="W201" i="13"/>
  <c r="X201" i="13"/>
  <c r="Y201" i="13"/>
  <c r="W196" i="13"/>
  <c r="X196" i="13"/>
  <c r="Y196" i="13"/>
  <c r="W191" i="13"/>
  <c r="X191" i="13"/>
  <c r="Y191" i="13"/>
  <c r="W186" i="13"/>
  <c r="X186" i="13"/>
  <c r="Y186" i="13"/>
  <c r="Z181" i="13"/>
  <c r="W181" i="13"/>
  <c r="X181" i="13"/>
  <c r="W176" i="13"/>
  <c r="X176" i="13"/>
  <c r="Y176" i="13"/>
  <c r="W171" i="13"/>
  <c r="X171" i="13"/>
  <c r="Y171" i="13"/>
  <c r="W166" i="13"/>
  <c r="X166" i="13"/>
  <c r="Y166" i="13"/>
  <c r="W161" i="13"/>
  <c r="X161" i="13"/>
  <c r="Y161" i="13"/>
  <c r="W156" i="13"/>
  <c r="X156" i="13"/>
  <c r="Y156"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F230" i="13" l="1"/>
  <c r="F254" i="13"/>
  <c r="H254" i="13" s="1"/>
  <c r="B254" i="13" s="1"/>
  <c r="F223" i="13"/>
  <c r="H223" i="13" s="1"/>
  <c r="B223" i="13" s="1"/>
  <c r="F224" i="13"/>
  <c r="H224" i="13" s="1"/>
  <c r="B224" i="13" s="1"/>
  <c r="F225" i="13"/>
  <c r="H225" i="13" s="1"/>
  <c r="B225" i="13" s="1"/>
  <c r="F226" i="13"/>
  <c r="F227" i="13"/>
  <c r="H227" i="13" s="1"/>
  <c r="B227" i="13" s="1"/>
  <c r="F228" i="13"/>
  <c r="F229" i="13"/>
  <c r="F231" i="13"/>
  <c r="F232" i="13"/>
  <c r="H232" i="13" s="1"/>
  <c r="B232" i="13" s="1"/>
  <c r="F234" i="13"/>
  <c r="H234" i="13" s="1"/>
  <c r="B234" i="13" s="1"/>
  <c r="F235" i="13"/>
  <c r="H235" i="13" s="1"/>
  <c r="B235" i="13" s="1"/>
  <c r="F236" i="13"/>
  <c r="H236" i="13" s="1"/>
  <c r="B236" i="13" s="1"/>
  <c r="F237" i="13"/>
  <c r="H237" i="13" s="1"/>
  <c r="B237" i="13" s="1"/>
  <c r="F238" i="13"/>
  <c r="F239" i="13"/>
  <c r="H239" i="13" s="1"/>
  <c r="B239" i="13" s="1"/>
  <c r="F240" i="13"/>
  <c r="H240" i="13" s="1"/>
  <c r="B240" i="13" s="1"/>
  <c r="F241" i="13"/>
  <c r="F242" i="13"/>
  <c r="H242" i="13" s="1"/>
  <c r="B242" i="13" s="1"/>
  <c r="F243" i="13"/>
  <c r="H243" i="13" s="1"/>
  <c r="B243" i="13" s="1"/>
  <c r="F245" i="13"/>
  <c r="F246" i="13"/>
  <c r="H246" i="13" s="1"/>
  <c r="B246" i="13" s="1"/>
  <c r="F247" i="13"/>
  <c r="H247" i="13" s="1"/>
  <c r="B247" i="13" s="1"/>
  <c r="F248" i="13"/>
  <c r="F249" i="13"/>
  <c r="H249" i="13" s="1"/>
  <c r="B249" i="13" s="1"/>
  <c r="F250" i="13"/>
  <c r="H250" i="13" s="1"/>
  <c r="B250" i="13" s="1"/>
  <c r="F251" i="13"/>
  <c r="H251" i="13" s="1"/>
  <c r="B251" i="13" s="1"/>
  <c r="F252" i="13"/>
  <c r="F253" i="13"/>
  <c r="H253" i="13" s="1"/>
  <c r="B253" i="13" s="1"/>
  <c r="F256" i="13"/>
  <c r="F257" i="13"/>
  <c r="H257" i="13" s="1"/>
  <c r="B257" i="13" s="1"/>
  <c r="F258" i="13"/>
  <c r="H258" i="13" s="1"/>
  <c r="B258" i="13" s="1"/>
  <c r="F259" i="13"/>
  <c r="H259" i="13" s="1"/>
  <c r="B259" i="13" s="1"/>
  <c r="F260" i="13"/>
  <c r="H260" i="13" s="1"/>
  <c r="B260" i="13" s="1"/>
  <c r="F261" i="13"/>
  <c r="H261" i="13" s="1"/>
  <c r="B261" i="13" s="1"/>
  <c r="F262" i="13"/>
  <c r="H262" i="13" s="1"/>
  <c r="B262" i="13" s="1"/>
  <c r="F263" i="13"/>
  <c r="H263" i="13" s="1"/>
  <c r="B263" i="13" s="1"/>
  <c r="F264" i="13"/>
  <c r="H264" i="13" s="1"/>
  <c r="B264" i="13" s="1"/>
  <c r="F265" i="13"/>
  <c r="H265" i="13" s="1"/>
  <c r="B265" i="13" s="1"/>
  <c r="F267" i="13"/>
  <c r="H267" i="13" s="1"/>
  <c r="B267" i="13" s="1"/>
  <c r="F268" i="13"/>
  <c r="H268" i="13" s="1"/>
  <c r="B268" i="13" s="1"/>
  <c r="F269" i="13"/>
  <c r="H269" i="13" s="1"/>
  <c r="B269" i="13" s="1"/>
  <c r="F270" i="13"/>
  <c r="H270" i="13" s="1"/>
  <c r="B270" i="13" s="1"/>
  <c r="F271" i="13"/>
  <c r="H271" i="13" s="1"/>
  <c r="B271" i="13" s="1"/>
  <c r="F272" i="13"/>
  <c r="H272" i="13" s="1"/>
  <c r="B272" i="13" s="1"/>
  <c r="F273" i="13"/>
  <c r="H273" i="13" s="1"/>
  <c r="B273" i="13" s="1"/>
  <c r="F274" i="13"/>
  <c r="H274" i="13" s="1"/>
  <c r="B274" i="13" s="1"/>
  <c r="F275" i="13"/>
  <c r="G14" i="14" s="1"/>
  <c r="F276" i="13"/>
  <c r="H276" i="13" s="1"/>
  <c r="B276" i="13" s="1"/>
  <c r="F278" i="13"/>
  <c r="H278" i="13" s="1"/>
  <c r="B278" i="13" s="1"/>
  <c r="F279" i="13"/>
  <c r="H279" i="13" s="1"/>
  <c r="B279" i="13" s="1"/>
  <c r="F280" i="13"/>
  <c r="F281" i="13"/>
  <c r="H281" i="13" s="1"/>
  <c r="B281" i="13" s="1"/>
  <c r="F282" i="13"/>
  <c r="H282" i="13" s="1"/>
  <c r="B282" i="13" s="1"/>
  <c r="F283" i="13"/>
  <c r="H283" i="13" s="1"/>
  <c r="B283" i="13" s="1"/>
  <c r="F284" i="13"/>
  <c r="H284" i="13" s="1"/>
  <c r="B284" i="13" s="1"/>
  <c r="F285" i="13"/>
  <c r="H285" i="13" s="1"/>
  <c r="B285" i="13" s="1"/>
  <c r="F286" i="13"/>
  <c r="H286" i="13" s="1"/>
  <c r="B286" i="13" s="1"/>
  <c r="F287" i="13"/>
  <c r="H287" i="13" s="1"/>
  <c r="B287" i="13" s="1"/>
  <c r="F289" i="13"/>
  <c r="H289" i="13" s="1"/>
  <c r="B289" i="13" s="1"/>
  <c r="F290" i="13"/>
  <c r="H290" i="13" s="1"/>
  <c r="B290" i="13" s="1"/>
  <c r="F291" i="13"/>
  <c r="H291" i="13" s="1"/>
  <c r="B291" i="13" s="1"/>
  <c r="F292" i="13"/>
  <c r="H292" i="13" s="1"/>
  <c r="B292" i="13" s="1"/>
  <c r="F293" i="13"/>
  <c r="H293" i="13" s="1"/>
  <c r="B293" i="13" s="1"/>
  <c r="F294" i="13"/>
  <c r="H294" i="13" s="1"/>
  <c r="B294" i="13" s="1"/>
  <c r="F295" i="13"/>
  <c r="H295" i="13" s="1"/>
  <c r="B295" i="13" s="1"/>
  <c r="F296" i="13"/>
  <c r="H296" i="13" s="1"/>
  <c r="B296" i="13" s="1"/>
  <c r="F297" i="13"/>
  <c r="V31" i="14" s="1"/>
  <c r="F298" i="13"/>
  <c r="H298" i="13" s="1"/>
  <c r="B298" i="13" s="1"/>
  <c r="CI229" i="11"/>
  <c r="BW229" i="11"/>
  <c r="S99" i="32"/>
  <c r="K99" i="32"/>
  <c r="C99" i="32"/>
  <c r="S77" i="32"/>
  <c r="K77" i="32"/>
  <c r="C77" i="32"/>
  <c r="S66" i="32"/>
  <c r="K66" i="32"/>
  <c r="C66" i="32"/>
  <c r="S55" i="32"/>
  <c r="K55" i="32"/>
  <c r="C55" i="32"/>
  <c r="S44" i="32"/>
  <c r="K44" i="32"/>
  <c r="C44" i="32"/>
  <c r="S33" i="32"/>
  <c r="K33" i="32"/>
  <c r="C33" i="32"/>
  <c r="S22" i="32"/>
  <c r="K22" i="32"/>
  <c r="C22" i="32"/>
  <c r="S11" i="32"/>
  <c r="U4" i="32"/>
  <c r="AL78" i="6"/>
  <c r="AL79" i="6"/>
  <c r="AL80" i="6"/>
  <c r="AL81" i="6"/>
  <c r="AL82" i="6"/>
  <c r="AL83" i="6"/>
  <c r="AL84" i="6"/>
  <c r="AL85" i="6"/>
  <c r="AL86" i="6"/>
  <c r="AL87" i="6"/>
  <c r="B222" i="13"/>
  <c r="B233" i="13"/>
  <c r="B244" i="13"/>
  <c r="B562" i="19"/>
  <c r="B563" i="19"/>
  <c r="B564" i="19"/>
  <c r="B565" i="19"/>
  <c r="B566" i="19"/>
  <c r="B567" i="19"/>
  <c r="B568" i="19"/>
  <c r="B569" i="19"/>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AW74" i="6"/>
  <c r="AW73" i="6"/>
  <c r="AW72" i="6"/>
  <c r="AW71" i="6"/>
  <c r="AW70" i="6"/>
  <c r="AW69" i="6"/>
  <c r="AW68" i="6"/>
  <c r="AW67" i="6"/>
  <c r="AW66" i="6"/>
  <c r="AW65" i="6"/>
  <c r="AW64" i="6"/>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681" i="19"/>
  <c r="B682" i="19"/>
  <c r="AF430" i="11"/>
  <c r="AG430" i="11" s="1"/>
  <c r="AF431" i="11"/>
  <c r="AG431" i="11" s="1"/>
  <c r="AF432" i="11"/>
  <c r="AG432" i="11" s="1"/>
  <c r="AF433" i="11"/>
  <c r="AG433" i="11" s="1"/>
  <c r="AF434" i="11"/>
  <c r="AG434" i="11" s="1"/>
  <c r="AF435" i="11"/>
  <c r="AG435" i="11" s="1"/>
  <c r="AF436" i="11"/>
  <c r="AG436" i="11" s="1"/>
  <c r="AF561" i="11"/>
  <c r="AG561" i="11" s="1"/>
  <c r="AF562" i="11"/>
  <c r="AG562" i="11" s="1"/>
  <c r="AF563" i="11"/>
  <c r="AG563" i="11" s="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386" i="11"/>
  <c r="AB394" i="11" s="1"/>
  <c r="AQ22" i="6"/>
  <c r="AQ21" i="6"/>
  <c r="AQ20" i="6"/>
  <c r="AL74" i="6"/>
  <c r="AL75" i="6"/>
  <c r="AL76" i="6"/>
  <c r="AL77" i="6"/>
  <c r="U106" i="32"/>
  <c r="T105" i="32"/>
  <c r="T104" i="32"/>
  <c r="T103" i="32"/>
  <c r="T102" i="32"/>
  <c r="U101" i="32"/>
  <c r="T101" i="32"/>
  <c r="S108" i="32"/>
  <c r="U95" i="32"/>
  <c r="T94" i="32"/>
  <c r="T93" i="32"/>
  <c r="T92" i="32"/>
  <c r="T91" i="32"/>
  <c r="U90" i="32"/>
  <c r="T90" i="32"/>
  <c r="S88" i="32"/>
  <c r="S97" i="32" s="1"/>
  <c r="M106" i="32"/>
  <c r="L105" i="32"/>
  <c r="L104" i="32"/>
  <c r="L103" i="32"/>
  <c r="L102" i="32"/>
  <c r="M101" i="32"/>
  <c r="L101" i="32"/>
  <c r="K108" i="32"/>
  <c r="M95" i="32"/>
  <c r="L94" i="32"/>
  <c r="L93" i="32"/>
  <c r="L92" i="32"/>
  <c r="L91" i="32"/>
  <c r="M90" i="32"/>
  <c r="L90" i="32"/>
  <c r="K88" i="32"/>
  <c r="K97" i="32" s="1"/>
  <c r="E106" i="32"/>
  <c r="D105" i="32"/>
  <c r="D104" i="32"/>
  <c r="D103" i="32"/>
  <c r="D102" i="32"/>
  <c r="E101" i="32"/>
  <c r="D101" i="32"/>
  <c r="G100" i="32"/>
  <c r="E95" i="32"/>
  <c r="D94" i="32"/>
  <c r="D93" i="32"/>
  <c r="D92" i="32"/>
  <c r="D91" i="32"/>
  <c r="E90" i="32"/>
  <c r="D90" i="32"/>
  <c r="C88" i="32"/>
  <c r="C97" i="32" s="1"/>
  <c r="U84" i="32"/>
  <c r="T83" i="32"/>
  <c r="T82" i="32"/>
  <c r="T81" i="32"/>
  <c r="T80" i="32"/>
  <c r="U79" i="32"/>
  <c r="T79" i="32"/>
  <c r="S86" i="32"/>
  <c r="M84" i="32"/>
  <c r="L83" i="32"/>
  <c r="L82" i="32"/>
  <c r="L81" i="32"/>
  <c r="L80" i="32"/>
  <c r="M79" i="32"/>
  <c r="L79" i="32"/>
  <c r="K86" i="32"/>
  <c r="E84" i="32"/>
  <c r="D83" i="32"/>
  <c r="D82" i="32"/>
  <c r="D81" i="32"/>
  <c r="D80" i="32"/>
  <c r="E79" i="32"/>
  <c r="D79" i="32"/>
  <c r="C86" i="32"/>
  <c r="U73" i="32"/>
  <c r="T72" i="32"/>
  <c r="T71" i="32"/>
  <c r="T70" i="32"/>
  <c r="T69" i="32"/>
  <c r="U68" i="32"/>
  <c r="T68" i="32"/>
  <c r="S75" i="32"/>
  <c r="M73" i="32"/>
  <c r="L72" i="32"/>
  <c r="L71" i="32"/>
  <c r="L70" i="32"/>
  <c r="L69" i="32"/>
  <c r="M68" i="32"/>
  <c r="L68" i="32"/>
  <c r="K75" i="32"/>
  <c r="E73" i="32"/>
  <c r="D72" i="32"/>
  <c r="D71" i="32"/>
  <c r="D70" i="32"/>
  <c r="D69" i="32"/>
  <c r="E68" i="32"/>
  <c r="D68" i="32"/>
  <c r="C75" i="32"/>
  <c r="E62" i="32"/>
  <c r="D61" i="32"/>
  <c r="D60" i="32"/>
  <c r="D59" i="32"/>
  <c r="D58" i="32"/>
  <c r="E57" i="32"/>
  <c r="D57" i="32"/>
  <c r="C64" i="32"/>
  <c r="M62" i="32"/>
  <c r="L61" i="32"/>
  <c r="L60" i="32"/>
  <c r="L59" i="32"/>
  <c r="L58" i="32"/>
  <c r="M57" i="32"/>
  <c r="L57" i="32"/>
  <c r="K64" i="32"/>
  <c r="U62" i="32"/>
  <c r="T61" i="32"/>
  <c r="T60" i="32"/>
  <c r="T59" i="32"/>
  <c r="T58" i="32"/>
  <c r="U57" i="32"/>
  <c r="T57" i="32"/>
  <c r="S64" i="32"/>
  <c r="U51" i="32"/>
  <c r="T50" i="32"/>
  <c r="T49" i="32"/>
  <c r="T48" i="32"/>
  <c r="T47" i="32"/>
  <c r="U46" i="32"/>
  <c r="T46" i="32"/>
  <c r="S53" i="32"/>
  <c r="M51" i="32"/>
  <c r="L50" i="32"/>
  <c r="L49" i="32"/>
  <c r="L48" i="32"/>
  <c r="L47" i="32"/>
  <c r="M46" i="32"/>
  <c r="L46" i="32"/>
  <c r="K53" i="32"/>
  <c r="E51" i="32"/>
  <c r="D50" i="32"/>
  <c r="D49" i="32"/>
  <c r="D48" i="32"/>
  <c r="D47" i="32"/>
  <c r="E46" i="32"/>
  <c r="D46" i="32"/>
  <c r="G45" i="32"/>
  <c r="U40" i="32"/>
  <c r="T39" i="32"/>
  <c r="T38" i="32"/>
  <c r="T37" i="32"/>
  <c r="T36" i="32"/>
  <c r="U35" i="32"/>
  <c r="T35" i="32"/>
  <c r="S42" i="32"/>
  <c r="M40" i="32"/>
  <c r="L39" i="32"/>
  <c r="L38" i="32"/>
  <c r="L37" i="32"/>
  <c r="L36" i="32"/>
  <c r="M35" i="32"/>
  <c r="L35" i="32"/>
  <c r="K42" i="32"/>
  <c r="E40" i="32"/>
  <c r="D39" i="32"/>
  <c r="D38" i="32"/>
  <c r="D37" i="32"/>
  <c r="D36" i="32"/>
  <c r="E35" i="32"/>
  <c r="D35" i="32"/>
  <c r="C42" i="32"/>
  <c r="U29" i="32"/>
  <c r="T28" i="32"/>
  <c r="T27" i="32"/>
  <c r="T26" i="32"/>
  <c r="T25" i="32"/>
  <c r="U24" i="32"/>
  <c r="T24" i="32"/>
  <c r="S31" i="32"/>
  <c r="M29" i="32"/>
  <c r="L28" i="32"/>
  <c r="L27" i="32"/>
  <c r="L26" i="32"/>
  <c r="L25" i="32"/>
  <c r="M24" i="32"/>
  <c r="L24" i="32"/>
  <c r="K31" i="32"/>
  <c r="E29" i="32"/>
  <c r="D28" i="32"/>
  <c r="D27" i="32"/>
  <c r="D26" i="32"/>
  <c r="D25" i="32"/>
  <c r="E24" i="32"/>
  <c r="D24" i="32"/>
  <c r="C31" i="32"/>
  <c r="U18" i="32"/>
  <c r="T17" i="32"/>
  <c r="T16" i="32"/>
  <c r="T15" i="32"/>
  <c r="T14" i="32"/>
  <c r="U13" i="32"/>
  <c r="T13" i="32"/>
  <c r="W12" i="32"/>
  <c r="K11" i="32"/>
  <c r="O12" i="32" s="1"/>
  <c r="M18" i="32"/>
  <c r="L17" i="32"/>
  <c r="L16" i="32"/>
  <c r="L15" i="32"/>
  <c r="L14" i="32"/>
  <c r="M13" i="32"/>
  <c r="L13" i="32"/>
  <c r="E18" i="32"/>
  <c r="E13" i="32"/>
  <c r="D17" i="32"/>
  <c r="D16" i="32"/>
  <c r="D13" i="32"/>
  <c r="D15" i="32"/>
  <c r="D14" i="32"/>
  <c r="AB432" i="11" l="1"/>
  <c r="AB398" i="11"/>
  <c r="V34" i="14"/>
  <c r="V57" i="14"/>
  <c r="V51" i="14"/>
  <c r="G16" i="14"/>
  <c r="G17" i="14"/>
  <c r="H297" i="13"/>
  <c r="B297" i="13" s="1"/>
  <c r="H275" i="13"/>
  <c r="B275" i="13" s="1"/>
  <c r="V52" i="14"/>
  <c r="H248" i="13"/>
  <c r="B248" i="13" s="1"/>
  <c r="H241" i="13"/>
  <c r="B241" i="13" s="1"/>
  <c r="V27" i="14"/>
  <c r="V33" i="14"/>
  <c r="H226" i="13"/>
  <c r="B226" i="13" s="1"/>
  <c r="L230" i="13"/>
  <c r="W89" i="32"/>
  <c r="O45" i="32"/>
  <c r="AB422" i="11"/>
  <c r="AB391" i="11"/>
  <c r="AB414" i="11"/>
  <c r="AB390" i="11"/>
  <c r="AB433" i="11"/>
  <c r="AB400" i="11"/>
  <c r="AB402" i="11"/>
  <c r="AB395" i="11"/>
  <c r="AB392" i="11"/>
  <c r="AB389" i="11"/>
  <c r="AB430" i="11"/>
  <c r="AB410" i="11"/>
  <c r="AB396" i="11"/>
  <c r="AB434" i="11"/>
  <c r="AB426" i="11"/>
  <c r="AB406" i="11"/>
  <c r="AB388" i="11"/>
  <c r="AB429" i="11"/>
  <c r="AB425" i="11"/>
  <c r="AB421" i="11"/>
  <c r="AB417" i="11"/>
  <c r="AB413" i="11"/>
  <c r="AB409" i="11"/>
  <c r="AB405" i="11"/>
  <c r="AB401" i="11"/>
  <c r="AB397" i="11"/>
  <c r="AB393" i="11"/>
  <c r="AB418" i="11"/>
  <c r="AB436" i="11"/>
  <c r="AB428" i="11"/>
  <c r="AB424" i="11"/>
  <c r="AB420" i="11"/>
  <c r="AB416" i="11"/>
  <c r="AB412" i="11"/>
  <c r="AB408" i="11"/>
  <c r="AB404" i="11"/>
  <c r="AB435" i="11"/>
  <c r="AB431" i="11"/>
  <c r="AB427" i="11"/>
  <c r="AB423" i="11"/>
  <c r="AB419" i="11"/>
  <c r="AB415" i="11"/>
  <c r="AB411" i="11"/>
  <c r="AB407" i="11"/>
  <c r="AB403" i="11"/>
  <c r="AB399" i="11"/>
  <c r="W67" i="32"/>
  <c r="W45" i="32"/>
  <c r="I45" i="32"/>
  <c r="C53" i="32"/>
  <c r="G89" i="32"/>
  <c r="Q89" i="32"/>
  <c r="I89" i="32"/>
  <c r="I100" i="32"/>
  <c r="C108" i="32"/>
  <c r="Y100" i="32"/>
  <c r="S20" i="32"/>
  <c r="W56" i="32"/>
  <c r="O100" i="32"/>
  <c r="O23" i="32"/>
  <c r="Q45" i="32"/>
  <c r="W78" i="32"/>
  <c r="W100" i="32"/>
  <c r="K20" i="32"/>
  <c r="Y89" i="32"/>
  <c r="Q100" i="32"/>
  <c r="O89" i="32"/>
  <c r="Y78" i="32"/>
  <c r="O78" i="32"/>
  <c r="Q78" i="32"/>
  <c r="G78" i="32"/>
  <c r="I78" i="32"/>
  <c r="Y67" i="32"/>
  <c r="O67" i="32"/>
  <c r="Q67" i="32"/>
  <c r="G67" i="32"/>
  <c r="I67" i="32"/>
  <c r="G56" i="32"/>
  <c r="I56" i="32"/>
  <c r="O56" i="32"/>
  <c r="Q56" i="32"/>
  <c r="Y56" i="32"/>
  <c r="Y45" i="32"/>
  <c r="W34" i="32"/>
  <c r="Y34" i="32"/>
  <c r="O34" i="32"/>
  <c r="Q34" i="32"/>
  <c r="G34" i="32"/>
  <c r="I34" i="32"/>
  <c r="W23" i="32"/>
  <c r="Y23" i="32"/>
  <c r="Q23" i="32"/>
  <c r="G23" i="32"/>
  <c r="I23" i="32"/>
  <c r="Y12" i="32"/>
  <c r="Q12" i="32"/>
  <c r="I41" i="5"/>
  <c r="I40" i="5"/>
  <c r="R267" i="26"/>
  <c r="Q267" i="26"/>
  <c r="O267" i="26"/>
  <c r="S267" i="26" s="1"/>
  <c r="R265" i="26"/>
  <c r="Q265" i="26"/>
  <c r="O265" i="26"/>
  <c r="S265" i="26" s="1"/>
  <c r="R263" i="26"/>
  <c r="Q263" i="26"/>
  <c r="O263" i="26"/>
  <c r="S263" i="26" s="1"/>
  <c r="AD803" i="11" l="1"/>
  <c r="AE803" i="11"/>
  <c r="H1142" i="11"/>
  <c r="H1141" i="11"/>
  <c r="H1140" i="11"/>
  <c r="H1139" i="11"/>
  <c r="H1138" i="11"/>
  <c r="L849" i="11" s="1"/>
  <c r="H1137" i="11"/>
  <c r="L848" i="11" s="1"/>
  <c r="H1136" i="11"/>
  <c r="L847" i="11" s="1"/>
  <c r="H1135" i="11"/>
  <c r="L845" i="11" s="1"/>
  <c r="H1134" i="11"/>
  <c r="L843" i="11" s="1"/>
  <c r="H1133" i="11"/>
  <c r="L842" i="11" s="1"/>
  <c r="H1132" i="11"/>
  <c r="L841" i="11" s="1"/>
  <c r="H1131" i="11"/>
  <c r="L840" i="11" s="1"/>
  <c r="H1130" i="11"/>
  <c r="L839" i="11" s="1"/>
  <c r="H1129" i="11"/>
  <c r="L838" i="11" s="1"/>
  <c r="H1128" i="11"/>
  <c r="L837" i="11" s="1"/>
  <c r="H1127" i="11"/>
  <c r="L835" i="11" s="1"/>
  <c r="Y1455" i="11"/>
  <c r="Y1456" i="11"/>
  <c r="Y1457" i="11"/>
  <c r="Y1458" i="11"/>
  <c r="Y1454" i="11"/>
  <c r="P249" i="11"/>
  <c r="P250" i="11"/>
  <c r="P251" i="11"/>
  <c r="P252" i="11"/>
  <c r="P253" i="11"/>
  <c r="P254" i="11"/>
  <c r="P255" i="11"/>
  <c r="P256" i="11"/>
  <c r="T256" i="11" s="1"/>
  <c r="P248" i="11"/>
  <c r="T248" i="11" s="1"/>
  <c r="P247" i="11"/>
  <c r="T247" i="11" s="1"/>
  <c r="O247" i="11"/>
  <c r="P246" i="11"/>
  <c r="T246" i="11" s="1"/>
  <c r="P245" i="11"/>
  <c r="T245" i="11" s="1"/>
  <c r="O245" i="11"/>
  <c r="P244" i="11"/>
  <c r="T244" i="11" s="1"/>
  <c r="P243" i="11"/>
  <c r="T243" i="11" s="1"/>
  <c r="O243" i="11"/>
  <c r="P242" i="11"/>
  <c r="T242" i="11" s="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L499" i="26"/>
  <c r="L491" i="26"/>
  <c r="L492" i="26"/>
  <c r="L493" i="26"/>
  <c r="L494" i="26"/>
  <c r="L495" i="26"/>
  <c r="L496" i="26"/>
  <c r="L497" i="26"/>
  <c r="L490" i="26"/>
  <c r="L209" i="26"/>
  <c r="H63" i="5"/>
  <c r="L846" i="11" l="1"/>
  <c r="L836" i="11"/>
  <c r="L844" i="11"/>
  <c r="Q248" i="11"/>
  <c r="Q256" i="11"/>
  <c r="Q247" i="11"/>
  <c r="Q246" i="11"/>
  <c r="Q245" i="11"/>
  <c r="Q244" i="11"/>
  <c r="Q243" i="11"/>
  <c r="Q242" i="11"/>
  <c r="AF36" i="5"/>
  <c r="AB36" i="5"/>
  <c r="AJ35" i="5"/>
  <c r="AF35" i="5"/>
  <c r="AB35" i="5"/>
  <c r="X35" i="5"/>
  <c r="X36" i="5"/>
  <c r="U36" i="5"/>
  <c r="U37" i="5"/>
  <c r="AJ81" i="5"/>
  <c r="AI81" i="5"/>
  <c r="AD81" i="5"/>
  <c r="AB81" i="5"/>
  <c r="AA81" i="5"/>
  <c r="V81" i="5"/>
  <c r="AJ73" i="5"/>
  <c r="AI73" i="5"/>
  <c r="AD73" i="5"/>
  <c r="AB73" i="5"/>
  <c r="AA73" i="5"/>
  <c r="V73" i="5"/>
  <c r="AJ65" i="5"/>
  <c r="AI65" i="5"/>
  <c r="AD65" i="5"/>
  <c r="AB65" i="5"/>
  <c r="AA65" i="5"/>
  <c r="V65" i="5"/>
  <c r="AJ57" i="5"/>
  <c r="AI57" i="5"/>
  <c r="AD57" i="5"/>
  <c r="AB57" i="5"/>
  <c r="AA57" i="5"/>
  <c r="V57" i="5"/>
  <c r="AJ49" i="5"/>
  <c r="AI49" i="5"/>
  <c r="AD49" i="5"/>
  <c r="AB49" i="5"/>
  <c r="AA49" i="5"/>
  <c r="V49" i="5"/>
  <c r="U34" i="5" s="1"/>
  <c r="AJ41" i="5"/>
  <c r="AI41" i="5"/>
  <c r="AD41" i="5"/>
  <c r="AB41" i="5"/>
  <c r="AA41" i="5"/>
  <c r="V41" i="5"/>
  <c r="V241" i="11" l="1" a="1"/>
  <c r="V241" i="11" s="1"/>
  <c r="G892" i="26"/>
  <c r="G891" i="26"/>
  <c r="G890" i="26"/>
  <c r="G889" i="26"/>
  <c r="G888" i="26"/>
  <c r="G887" i="26"/>
  <c r="C11" i="32"/>
  <c r="H1125" i="11"/>
  <c r="H1124" i="11"/>
  <c r="H1123" i="11"/>
  <c r="L833" i="11" s="1"/>
  <c r="H1122" i="11"/>
  <c r="F1107" i="11" s="1"/>
  <c r="H1121" i="11"/>
  <c r="L832" i="11" s="1"/>
  <c r="H1120" i="11"/>
  <c r="L831" i="11" s="1"/>
  <c r="H1119" i="11"/>
  <c r="L830" i="11" s="1"/>
  <c r="H1118" i="11"/>
  <c r="H1117" i="11"/>
  <c r="L829" i="11" s="1"/>
  <c r="H1116" i="11"/>
  <c r="H1115" i="11"/>
  <c r="H1114" i="11"/>
  <c r="H1113" i="11"/>
  <c r="H1112" i="11"/>
  <c r="H1111" i="11"/>
  <c r="H1110" i="11"/>
  <c r="H1109" i="11"/>
  <c r="H1108" i="11"/>
  <c r="H1107" i="11"/>
  <c r="H1106" i="11"/>
  <c r="H1105" i="11"/>
  <c r="H1104" i="11"/>
  <c r="H1103" i="11"/>
  <c r="H1101" i="11"/>
  <c r="H1100" i="11"/>
  <c r="H1099" i="11"/>
  <c r="W1096" i="11"/>
  <c r="W1095" i="11"/>
  <c r="W1094" i="11"/>
  <c r="Z1092" i="11"/>
  <c r="Z1091" i="11"/>
  <c r="L856" i="11" s="1"/>
  <c r="Z1090" i="11"/>
  <c r="L855" i="11" s="1"/>
  <c r="Z1089" i="11"/>
  <c r="Z1088" i="11"/>
  <c r="Z1087" i="11"/>
  <c r="Z1086" i="11"/>
  <c r="Z1085" i="11"/>
  <c r="Z1084" i="11"/>
  <c r="Z1083" i="11"/>
  <c r="Z1082" i="11"/>
  <c r="Z1081" i="11"/>
  <c r="Z1080" i="11"/>
  <c r="Z1079" i="11"/>
  <c r="Z1078" i="11"/>
  <c r="Z1077" i="11"/>
  <c r="Z1076" i="11"/>
  <c r="Z1075" i="11"/>
  <c r="Z1074" i="11"/>
  <c r="Z1073" i="11"/>
  <c r="Z1072" i="11"/>
  <c r="Z1071" i="11"/>
  <c r="Z1070" i="11"/>
  <c r="Z1069" i="11"/>
  <c r="G1063" i="11"/>
  <c r="G1062" i="11"/>
  <c r="G1061" i="11"/>
  <c r="G1060" i="11"/>
  <c r="G1059" i="11"/>
  <c r="G1058" i="11"/>
  <c r="G1057" i="11"/>
  <c r="G1056" i="11"/>
  <c r="G1055" i="11"/>
  <c r="G1042" i="11"/>
  <c r="G1041" i="11"/>
  <c r="G1040" i="11"/>
  <c r="G1039" i="11"/>
  <c r="V1092" i="11"/>
  <c r="V1091" i="11"/>
  <c r="V1090" i="11"/>
  <c r="V1089" i="11"/>
  <c r="V1088" i="11"/>
  <c r="V1087" i="11"/>
  <c r="V1086" i="11"/>
  <c r="U1086" i="11" s="1"/>
  <c r="V1085" i="11"/>
  <c r="V1084" i="11"/>
  <c r="V1083" i="11"/>
  <c r="V1082" i="11"/>
  <c r="V1081" i="11"/>
  <c r="V1080" i="11"/>
  <c r="V1079" i="11"/>
  <c r="V1078" i="11"/>
  <c r="V1077" i="11"/>
  <c r="V1076" i="11"/>
  <c r="V1075" i="11"/>
  <c r="V1074" i="11"/>
  <c r="V1073" i="11"/>
  <c r="V1072" i="11"/>
  <c r="V1071" i="11"/>
  <c r="V1070" i="11"/>
  <c r="V1069" i="11"/>
  <c r="V1068" i="11"/>
  <c r="U1068" i="11" s="1"/>
  <c r="AC1034" i="11"/>
  <c r="AC1035" i="11"/>
  <c r="AC1036" i="11"/>
  <c r="AC1037" i="11"/>
  <c r="AC1038" i="11"/>
  <c r="AC1039" i="11"/>
  <c r="AC1040" i="11"/>
  <c r="AC1041" i="11"/>
  <c r="AC1042" i="11"/>
  <c r="AC1028" i="11"/>
  <c r="AC1029" i="11"/>
  <c r="D1127" i="11"/>
  <c r="D1128" i="11"/>
  <c r="D1129" i="11"/>
  <c r="D1130" i="11"/>
  <c r="D1131" i="11"/>
  <c r="D1132" i="11"/>
  <c r="D1133" i="11"/>
  <c r="D1134" i="11"/>
  <c r="D1135" i="11"/>
  <c r="D1136" i="11"/>
  <c r="D1137" i="11"/>
  <c r="D1138" i="11"/>
  <c r="D1139" i="11"/>
  <c r="D1140" i="11"/>
  <c r="D1141" i="11"/>
  <c r="D1142" i="11"/>
  <c r="D1126" i="11"/>
  <c r="C1126" i="11" s="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02" i="11"/>
  <c r="C1102" i="11" s="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078" i="11"/>
  <c r="C1078" i="11" s="1"/>
  <c r="D1077" i="11"/>
  <c r="D1076" i="11"/>
  <c r="D1075" i="11"/>
  <c r="H1075" i="11"/>
  <c r="H1076" i="11"/>
  <c r="H1077" i="11"/>
  <c r="D1069" i="11"/>
  <c r="D1070" i="11"/>
  <c r="D1071" i="11"/>
  <c r="D1072" i="11"/>
  <c r="D1073" i="11"/>
  <c r="D1074" i="11"/>
  <c r="D1068" i="11"/>
  <c r="C1068" i="11" s="1"/>
  <c r="S994" i="11"/>
  <c r="S993" i="11"/>
  <c r="S992" i="11"/>
  <c r="S991" i="11"/>
  <c r="S990" i="11"/>
  <c r="S989" i="11"/>
  <c r="S988" i="11"/>
  <c r="S987" i="11"/>
  <c r="S986" i="11"/>
  <c r="S985" i="11"/>
  <c r="S984" i="11"/>
  <c r="S983" i="11"/>
  <c r="S982" i="11"/>
  <c r="S981" i="11"/>
  <c r="S980" i="11"/>
  <c r="S979" i="11"/>
  <c r="S978" i="11"/>
  <c r="S977" i="11"/>
  <c r="S976" i="11"/>
  <c r="S975" i="11"/>
  <c r="S974" i="11"/>
  <c r="S973" i="11"/>
  <c r="S972" i="11"/>
  <c r="S971" i="11"/>
  <c r="S970" i="11"/>
  <c r="S969" i="11"/>
  <c r="S968" i="11"/>
  <c r="S967" i="11"/>
  <c r="S964" i="11"/>
  <c r="S963" i="11"/>
  <c r="S962" i="11"/>
  <c r="S961" i="11"/>
  <c r="S959" i="11"/>
  <c r="S958" i="11"/>
  <c r="S957" i="11"/>
  <c r="S956" i="11"/>
  <c r="S955" i="11"/>
  <c r="S954" i="11"/>
  <c r="S953" i="11"/>
  <c r="S952" i="11"/>
  <c r="S951" i="11"/>
  <c r="S950" i="11"/>
  <c r="S949" i="11"/>
  <c r="S948" i="11"/>
  <c r="S1012" i="11"/>
  <c r="S1011" i="11"/>
  <c r="S1010" i="11"/>
  <c r="S1009" i="11"/>
  <c r="S1008" i="11"/>
  <c r="S1007" i="11"/>
  <c r="S1006" i="11"/>
  <c r="S1005" i="11"/>
  <c r="S1004" i="11"/>
  <c r="S1003" i="11"/>
  <c r="S1002" i="11"/>
  <c r="S1001" i="11"/>
  <c r="S1000" i="11"/>
  <c r="S999" i="11"/>
  <c r="S998" i="11"/>
  <c r="S997" i="11"/>
  <c r="S996" i="11"/>
  <c r="S995" i="11"/>
  <c r="O146" i="26"/>
  <c r="O266" i="26" s="1"/>
  <c r="S266" i="26" s="1"/>
  <c r="O145" i="26"/>
  <c r="O264" i="26" s="1"/>
  <c r="S264" i="26" s="1"/>
  <c r="O144" i="26"/>
  <c r="Q146" i="26"/>
  <c r="Q145" i="26"/>
  <c r="Q144" i="26"/>
  <c r="G28" i="5"/>
  <c r="S261" i="26"/>
  <c r="S259" i="26"/>
  <c r="S258" i="26"/>
  <c r="S257" i="26"/>
  <c r="S255" i="26"/>
  <c r="S254" i="26"/>
  <c r="S253" i="26"/>
  <c r="S252" i="26"/>
  <c r="S251" i="26"/>
  <c r="S250" i="26"/>
  <c r="S249" i="26"/>
  <c r="S248" i="26"/>
  <c r="S247" i="26"/>
  <c r="S246" i="26"/>
  <c r="S245" i="26"/>
  <c r="S244" i="26"/>
  <c r="S242" i="26"/>
  <c r="S241" i="26"/>
  <c r="S240" i="26"/>
  <c r="S239" i="26"/>
  <c r="S238" i="26"/>
  <c r="S237" i="26"/>
  <c r="S236" i="26"/>
  <c r="S235" i="26"/>
  <c r="S234" i="26"/>
  <c r="S233" i="26"/>
  <c r="S232" i="26"/>
  <c r="S231" i="26"/>
  <c r="S230" i="26"/>
  <c r="S229" i="26"/>
  <c r="S228" i="26"/>
  <c r="S227" i="26"/>
  <c r="S226" i="26"/>
  <c r="S225" i="26"/>
  <c r="S224" i="26"/>
  <c r="S223" i="26"/>
  <c r="S222" i="26"/>
  <c r="S221" i="26"/>
  <c r="S220" i="26"/>
  <c r="S219" i="26"/>
  <c r="S218" i="26"/>
  <c r="S217" i="26"/>
  <c r="S216" i="26"/>
  <c r="S215" i="26"/>
  <c r="S214" i="26"/>
  <c r="S213" i="26"/>
  <c r="S212" i="26"/>
  <c r="S211" i="26"/>
  <c r="S210" i="26"/>
  <c r="S209" i="26"/>
  <c r="S208" i="26"/>
  <c r="S207" i="26"/>
  <c r="S206" i="26"/>
  <c r="S205" i="26"/>
  <c r="S204" i="26"/>
  <c r="S203" i="26"/>
  <c r="S202" i="26"/>
  <c r="S201" i="26"/>
  <c r="S200" i="26"/>
  <c r="S199" i="26"/>
  <c r="S198" i="26"/>
  <c r="S197" i="26"/>
  <c r="S196" i="26"/>
  <c r="S195" i="26"/>
  <c r="S194" i="26"/>
  <c r="S193" i="26"/>
  <c r="S192" i="26"/>
  <c r="S191" i="26"/>
  <c r="S190" i="26"/>
  <c r="S189" i="26"/>
  <c r="S188" i="26"/>
  <c r="S187" i="26"/>
  <c r="S186" i="26"/>
  <c r="S185" i="26"/>
  <c r="S184" i="26"/>
  <c r="S183" i="26"/>
  <c r="S182" i="26"/>
  <c r="S181" i="26"/>
  <c r="S180" i="26"/>
  <c r="S179" i="26"/>
  <c r="S178" i="26"/>
  <c r="S177" i="26"/>
  <c r="S176" i="26"/>
  <c r="S175" i="26"/>
  <c r="S174" i="26"/>
  <c r="S173" i="26"/>
  <c r="S172" i="26"/>
  <c r="S170" i="26"/>
  <c r="S169" i="26"/>
  <c r="S168" i="26"/>
  <c r="S167" i="26"/>
  <c r="S166" i="26"/>
  <c r="S165" i="26"/>
  <c r="S164" i="26"/>
  <c r="S163" i="26"/>
  <c r="S162" i="26"/>
  <c r="S161" i="26"/>
  <c r="S160" i="26"/>
  <c r="S159" i="26"/>
  <c r="S158" i="26"/>
  <c r="S157" i="26"/>
  <c r="S156" i="26"/>
  <c r="S155" i="26"/>
  <c r="S154" i="26"/>
  <c r="S153" i="26"/>
  <c r="S152" i="26"/>
  <c r="C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8"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CP202" i="11"/>
  <c r="CP211" i="11"/>
  <c r="CP210" i="11"/>
  <c r="CP209" i="11"/>
  <c r="CP216" i="11"/>
  <c r="X152" i="9" l="1"/>
  <c r="AH150" i="9"/>
  <c r="X150" i="9"/>
  <c r="AF147" i="9"/>
  <c r="AJ134" i="9"/>
  <c r="AH131" i="9"/>
  <c r="AD131" i="9"/>
  <c r="X120" i="9"/>
  <c r="AH118" i="9"/>
  <c r="AJ115" i="9"/>
  <c r="AD115" i="9"/>
  <c r="AJ147" i="9"/>
  <c r="AE147" i="9"/>
  <c r="AC134" i="9"/>
  <c r="AG131" i="9"/>
  <c r="AC131" i="9"/>
  <c r="AE118" i="9"/>
  <c r="AF115" i="9"/>
  <c r="X151" i="9"/>
  <c r="AE150" i="9"/>
  <c r="AI134" i="9"/>
  <c r="X119" i="9"/>
  <c r="AH115" i="9"/>
  <c r="AJ150" i="9"/>
  <c r="AH147" i="9"/>
  <c r="AD147" i="9"/>
  <c r="X136" i="9"/>
  <c r="AH134" i="9"/>
  <c r="X134" i="9"/>
  <c r="AF131" i="9"/>
  <c r="AJ118" i="9"/>
  <c r="AC118" i="9"/>
  <c r="AG115" i="9"/>
  <c r="AI150" i="9"/>
  <c r="AC150" i="9"/>
  <c r="AG147" i="9"/>
  <c r="AC147" i="9"/>
  <c r="X135" i="9"/>
  <c r="AE134" i="9"/>
  <c r="AJ131" i="9"/>
  <c r="AI118" i="9"/>
  <c r="X118" i="9"/>
  <c r="L814" i="11"/>
  <c r="AL296" i="25"/>
  <c r="AL261" i="25"/>
  <c r="AL226" i="25"/>
  <c r="AL159" i="25"/>
  <c r="AL124" i="25"/>
  <c r="AL89" i="25"/>
  <c r="O262" i="26"/>
  <c r="AL23" i="25"/>
  <c r="AL329" i="25"/>
  <c r="AL193" i="25"/>
  <c r="AL91" i="25"/>
  <c r="AL125" i="25"/>
  <c r="AL330" i="25"/>
  <c r="AL295" i="25"/>
  <c r="AL260" i="25"/>
  <c r="AL194" i="25"/>
  <c r="AL158" i="25"/>
  <c r="AL123" i="25"/>
  <c r="AL57" i="25"/>
  <c r="AL22" i="25"/>
  <c r="AL294" i="25"/>
  <c r="AL228" i="25"/>
  <c r="AL157" i="25"/>
  <c r="AL56" i="25"/>
  <c r="AL328" i="25"/>
  <c r="AL262" i="25"/>
  <c r="AL227" i="25"/>
  <c r="AL192" i="25"/>
  <c r="AL90" i="25"/>
  <c r="AL55" i="25"/>
  <c r="C20" i="32"/>
  <c r="G12" i="32"/>
  <c r="U1085" i="11"/>
  <c r="U1084" i="11"/>
  <c r="U1091" i="11"/>
  <c r="U1070" i="11"/>
  <c r="U1072" i="11"/>
  <c r="U1074" i="11"/>
  <c r="U1076" i="11"/>
  <c r="U1078" i="11"/>
  <c r="U1080" i="11"/>
  <c r="U1082" i="11"/>
  <c r="U1088" i="11"/>
  <c r="U1090" i="11"/>
  <c r="U1092" i="11"/>
  <c r="U1069" i="11"/>
  <c r="U1071" i="11"/>
  <c r="U1073" i="11"/>
  <c r="U1075" i="11"/>
  <c r="U1077" i="11"/>
  <c r="U1079" i="11"/>
  <c r="U1081" i="11"/>
  <c r="U1083" i="11"/>
  <c r="U1087" i="11"/>
  <c r="U1089" i="11"/>
  <c r="V1093" i="11"/>
  <c r="V1094" i="11" s="1"/>
  <c r="V1095" i="11" s="1"/>
  <c r="V1096" i="11" s="1"/>
  <c r="Y243" i="11"/>
  <c r="X246" i="11"/>
  <c r="W244" i="11"/>
  <c r="Y246" i="11"/>
  <c r="X242" i="11"/>
  <c r="W245" i="11"/>
  <c r="Y247" i="11"/>
  <c r="Y242" i="11"/>
  <c r="X245" i="11"/>
  <c r="W248" i="11"/>
  <c r="W243" i="11"/>
  <c r="X244" i="11"/>
  <c r="Y245" i="11"/>
  <c r="W247" i="11"/>
  <c r="X248" i="11"/>
  <c r="W242" i="11"/>
  <c r="X243" i="11"/>
  <c r="Y244" i="11"/>
  <c r="W246" i="11"/>
  <c r="X247" i="11"/>
  <c r="Y248" i="11"/>
  <c r="W241" i="11"/>
  <c r="Y241" i="11"/>
  <c r="X241" i="11"/>
  <c r="W240" i="11"/>
  <c r="Y240" i="11"/>
  <c r="X240" i="11"/>
  <c r="I12" i="32"/>
  <c r="C1127" i="11"/>
  <c r="C1142" i="11"/>
  <c r="C1140" i="11"/>
  <c r="C1138" i="11"/>
  <c r="C1136" i="11"/>
  <c r="C1134" i="11"/>
  <c r="C1132" i="11"/>
  <c r="C1130" i="11"/>
  <c r="C1128" i="11"/>
  <c r="C1141" i="11"/>
  <c r="C1139" i="11"/>
  <c r="C1137" i="11"/>
  <c r="C1135" i="11"/>
  <c r="C1133" i="11"/>
  <c r="C1131" i="11"/>
  <c r="C1129" i="11"/>
  <c r="F1108" i="11"/>
  <c r="C1106" i="11"/>
  <c r="C1104" i="11"/>
  <c r="C1103" i="11"/>
  <c r="C1124" i="11"/>
  <c r="C1122" i="11"/>
  <c r="C1120" i="11"/>
  <c r="C1118" i="11"/>
  <c r="C1116" i="11"/>
  <c r="C1114" i="11"/>
  <c r="C1112" i="11"/>
  <c r="C1110" i="11"/>
  <c r="C1108" i="11"/>
  <c r="C1125" i="11"/>
  <c r="C1123" i="11"/>
  <c r="C1121" i="11"/>
  <c r="C1119" i="11"/>
  <c r="C1117" i="11"/>
  <c r="C1115" i="11"/>
  <c r="C1113" i="11"/>
  <c r="C1111" i="11"/>
  <c r="C1109" i="11"/>
  <c r="C1107" i="11"/>
  <c r="C1105" i="11"/>
  <c r="C1073" i="11"/>
  <c r="C1070" i="11"/>
  <c r="C1077" i="11"/>
  <c r="C1072" i="11"/>
  <c r="C1076" i="11"/>
  <c r="C1075" i="11"/>
  <c r="C1071" i="11"/>
  <c r="C1082" i="11"/>
  <c r="C1074" i="11"/>
  <c r="C1079" i="11"/>
  <c r="C1100" i="11"/>
  <c r="C1096" i="11"/>
  <c r="C1092" i="11"/>
  <c r="C1090" i="11"/>
  <c r="C1086" i="11"/>
  <c r="C1080" i="11"/>
  <c r="C1098" i="11"/>
  <c r="C1094" i="11"/>
  <c r="C1088" i="11"/>
  <c r="C1084" i="11"/>
  <c r="C1101" i="11"/>
  <c r="C1099" i="11"/>
  <c r="C1097" i="11"/>
  <c r="C1095" i="11"/>
  <c r="C1093" i="11"/>
  <c r="C1091" i="11"/>
  <c r="C1089" i="11"/>
  <c r="C1087" i="11"/>
  <c r="C1085" i="11"/>
  <c r="C1083" i="11"/>
  <c r="C1081" i="11"/>
  <c r="C1069" i="11"/>
  <c r="S262" i="26" l="1"/>
  <c r="P129" i="26"/>
  <c r="P125" i="26"/>
  <c r="P137" i="26"/>
  <c r="P117" i="26"/>
  <c r="P141" i="26"/>
  <c r="P121" i="26"/>
  <c r="P133" i="26"/>
  <c r="P118" i="26"/>
  <c r="P134" i="26"/>
  <c r="P123" i="26"/>
  <c r="P139" i="26"/>
  <c r="P132" i="26"/>
  <c r="P126" i="26"/>
  <c r="P131" i="26"/>
  <c r="P140" i="26"/>
  <c r="P135" i="26"/>
  <c r="P122" i="26"/>
  <c r="P138" i="26"/>
  <c r="P127" i="26"/>
  <c r="P120" i="26"/>
  <c r="P136" i="26"/>
  <c r="P142" i="26"/>
  <c r="P124" i="26"/>
  <c r="P130" i="26"/>
  <c r="P119" i="26"/>
  <c r="P128" i="26"/>
  <c r="P145" i="26"/>
  <c r="U1093" i="11"/>
  <c r="U1095" i="11"/>
  <c r="U1094" i="11"/>
  <c r="U1096" i="11"/>
  <c r="P144" i="26"/>
  <c r="P146" i="26"/>
  <c r="AL21" i="25"/>
  <c r="H75" i="5" l="1"/>
  <c r="H74" i="5"/>
  <c r="H73" i="5"/>
  <c r="H72" i="5"/>
  <c r="H71" i="5"/>
  <c r="H70" i="5"/>
  <c r="H69" i="5"/>
  <c r="H68" i="5"/>
  <c r="H67" i="5"/>
  <c r="H66" i="5"/>
  <c r="R66" i="5"/>
  <c r="P66" i="5"/>
  <c r="AJ50" i="11" s="1"/>
  <c r="C2221" i="11" s="1"/>
  <c r="H65" i="5"/>
  <c r="R65" i="5"/>
  <c r="P65" i="5"/>
  <c r="AI50" i="11" s="1"/>
  <c r="C2220" i="11" s="1"/>
  <c r="H64" i="5"/>
  <c r="P64" i="5"/>
  <c r="C2193" i="11" s="1"/>
  <c r="P63" i="5"/>
  <c r="C2192" i="11" s="1"/>
  <c r="P62" i="5"/>
  <c r="C2191" i="11" s="1"/>
  <c r="H62" i="5"/>
  <c r="B62" i="5"/>
  <c r="P61" i="5"/>
  <c r="C2190" i="11" s="1"/>
  <c r="H61" i="5"/>
  <c r="B61" i="5"/>
  <c r="P60" i="5"/>
  <c r="C2189" i="11" s="1"/>
  <c r="H60" i="5"/>
  <c r="B58" i="5" s="1"/>
  <c r="B60" i="5"/>
  <c r="P59" i="5"/>
  <c r="C2188" i="11" s="1"/>
  <c r="H59" i="5"/>
  <c r="B57" i="5" s="1"/>
  <c r="B59" i="5"/>
  <c r="P58" i="5"/>
  <c r="C2187" i="11" s="1"/>
  <c r="H58" i="5"/>
  <c r="B56" i="5" s="1"/>
  <c r="P57" i="5"/>
  <c r="C2186" i="11" s="1"/>
  <c r="H57" i="5"/>
  <c r="P56" i="5"/>
  <c r="C2185" i="11" s="1"/>
  <c r="H56" i="5"/>
  <c r="P55" i="5"/>
  <c r="C2184" i="11" s="1"/>
  <c r="H55" i="5"/>
  <c r="B54" i="5" s="1"/>
  <c r="B55" i="5"/>
  <c r="P54" i="5"/>
  <c r="C2183" i="11" s="1"/>
  <c r="H54" i="5"/>
  <c r="B53" i="5" s="1"/>
  <c r="P53" i="5"/>
  <c r="C2182" i="11" s="1"/>
  <c r="H53" i="5"/>
  <c r="B52" i="5" s="1"/>
  <c r="P52" i="5"/>
  <c r="H52" i="5"/>
  <c r="P51" i="5"/>
  <c r="C2180" i="11" s="1"/>
  <c r="H51" i="5"/>
  <c r="B50" i="5" s="1"/>
  <c r="P50" i="5"/>
  <c r="C2179" i="11" s="1"/>
  <c r="H50" i="5"/>
  <c r="R49" i="5"/>
  <c r="C2178" i="11" s="1"/>
  <c r="P49" i="5"/>
  <c r="R48" i="5" s="1"/>
  <c r="H49" i="5"/>
  <c r="B48" i="5" s="1"/>
  <c r="B49" i="5"/>
  <c r="P48" i="5"/>
  <c r="C2177" i="11" s="1"/>
  <c r="H48" i="5"/>
  <c r="B47" i="5" s="1"/>
  <c r="P47" i="5"/>
  <c r="C2176" i="11" s="1"/>
  <c r="H47" i="5"/>
  <c r="P46" i="5"/>
  <c r="C2175" i="11" s="1"/>
  <c r="H46" i="5"/>
  <c r="B46" i="5"/>
  <c r="P45" i="5"/>
  <c r="C2174" i="11" s="1"/>
  <c r="H45" i="5"/>
  <c r="B45" i="5" s="1"/>
  <c r="P44" i="5"/>
  <c r="C2173" i="11" s="1"/>
  <c r="P43" i="5"/>
  <c r="C2172" i="11" s="1"/>
  <c r="H43" i="5"/>
  <c r="P42" i="5"/>
  <c r="C2171" i="11" s="1"/>
  <c r="P41" i="5"/>
  <c r="C2170" i="11" s="1"/>
  <c r="P40" i="5"/>
  <c r="C2169" i="11" s="1"/>
  <c r="P39" i="5"/>
  <c r="C2168" i="11" s="1"/>
  <c r="M39" i="5"/>
  <c r="P38" i="5"/>
  <c r="C2167" i="11" s="1"/>
  <c r="P37" i="5"/>
  <c r="C2166" i="11" s="1"/>
  <c r="P36" i="5"/>
  <c r="R36" i="5" s="1"/>
  <c r="C2165" i="11" s="1"/>
  <c r="P35" i="5"/>
  <c r="C2164" i="11" s="1"/>
  <c r="P34" i="5"/>
  <c r="C2163" i="11" s="1"/>
  <c r="P33" i="5"/>
  <c r="C2162" i="11" s="1"/>
  <c r="P32" i="5"/>
  <c r="C2161" i="11" s="1"/>
  <c r="P31" i="5"/>
  <c r="C2160" i="11" s="1"/>
  <c r="P30" i="5"/>
  <c r="C2159" i="11" s="1"/>
  <c r="P29" i="5"/>
  <c r="C2158" i="11" s="1"/>
  <c r="P28" i="5"/>
  <c r="C2157" i="11" s="1"/>
  <c r="P27" i="5"/>
  <c r="C2156" i="11" s="1"/>
  <c r="P26" i="5"/>
  <c r="C2155" i="11" s="1"/>
  <c r="P25" i="5"/>
  <c r="C2154" i="11" s="1"/>
  <c r="C2153" i="11"/>
  <c r="G24" i="5"/>
  <c r="C2152" i="11"/>
  <c r="C2151" i="11"/>
  <c r="C2150" i="11"/>
  <c r="C2149" i="11"/>
  <c r="P19" i="5"/>
  <c r="C2148" i="11" s="1"/>
  <c r="P18" i="5"/>
  <c r="C2147" i="11" s="1"/>
  <c r="P17" i="5"/>
  <c r="C2146" i="11" s="1"/>
  <c r="P16" i="5"/>
  <c r="C2145" i="11" s="1"/>
  <c r="P15" i="5"/>
  <c r="C2144" i="11" s="1"/>
  <c r="P14" i="5"/>
  <c r="R14" i="5" s="1"/>
  <c r="C2143" i="11" s="1"/>
  <c r="P13" i="5"/>
  <c r="P12" i="5"/>
  <c r="C2141" i="11" s="1"/>
  <c r="R11" i="5"/>
  <c r="P10" i="5"/>
  <c r="R10" i="5" s="1"/>
  <c r="C2140" i="11" s="1"/>
  <c r="T129" i="3"/>
  <c r="T128" i="3"/>
  <c r="T127" i="3"/>
  <c r="T126" i="3"/>
  <c r="T125" i="3"/>
  <c r="R129" i="3"/>
  <c r="R128" i="3"/>
  <c r="R127" i="3"/>
  <c r="R126" i="3"/>
  <c r="R125" i="3"/>
  <c r="P129" i="3"/>
  <c r="P128" i="3"/>
  <c r="P127" i="3"/>
  <c r="P126" i="3"/>
  <c r="P125" i="3"/>
  <c r="N129" i="3"/>
  <c r="N128" i="3"/>
  <c r="N127" i="3"/>
  <c r="N126" i="3"/>
  <c r="N125" i="3"/>
  <c r="O292" i="11"/>
  <c r="O291" i="11"/>
  <c r="O290" i="11"/>
  <c r="N292" i="11"/>
  <c r="N291" i="11"/>
  <c r="N290" i="11"/>
  <c r="U76" i="8"/>
  <c r="U74" i="8"/>
  <c r="AS1077" i="11"/>
  <c r="AS1078" i="11"/>
  <c r="AS1079" i="11"/>
  <c r="AS1080" i="11"/>
  <c r="AS1081" i="11"/>
  <c r="AS1082" i="11"/>
  <c r="AS1083" i="11"/>
  <c r="AS1084" i="11"/>
  <c r="AS1085" i="11"/>
  <c r="AS1086" i="11"/>
  <c r="AS1087" i="11"/>
  <c r="AS1088" i="11"/>
  <c r="AS1089" i="11"/>
  <c r="AS1090" i="11"/>
  <c r="AS1091" i="11"/>
  <c r="AS1092" i="11"/>
  <c r="AS1093" i="11"/>
  <c r="AS1094" i="11"/>
  <c r="AS1095" i="11"/>
  <c r="AS1096" i="11"/>
  <c r="AS1097" i="11"/>
  <c r="AS1098" i="11"/>
  <c r="AS1099" i="11"/>
  <c r="AS1100" i="11"/>
  <c r="AS1101" i="11"/>
  <c r="AS1102" i="11"/>
  <c r="AS1103" i="11"/>
  <c r="AS1104" i="11"/>
  <c r="AS1070" i="11"/>
  <c r="AS1071" i="11"/>
  <c r="AS1072" i="11"/>
  <c r="AS1073" i="11"/>
  <c r="AS1074" i="11"/>
  <c r="AS1075" i="11"/>
  <c r="AS1069" i="11"/>
  <c r="R53" i="5" l="1"/>
  <c r="R52" i="5"/>
  <c r="R20" i="5"/>
  <c r="R23" i="5"/>
  <c r="R28" i="5"/>
  <c r="R32" i="5"/>
  <c r="R39" i="5"/>
  <c r="R44" i="5"/>
  <c r="R51" i="5"/>
  <c r="R54" i="5"/>
  <c r="R56" i="5"/>
  <c r="R60" i="5"/>
  <c r="R25" i="5"/>
  <c r="R50" i="5"/>
  <c r="R59" i="5"/>
  <c r="R61" i="5"/>
  <c r="R24" i="5"/>
  <c r="Z943" i="11"/>
  <c r="R21" i="5"/>
  <c r="R15" i="5"/>
  <c r="R18" i="5"/>
  <c r="R22" i="5"/>
  <c r="R26" i="5"/>
  <c r="R30" i="5"/>
  <c r="R34" i="5"/>
  <c r="R38" i="5"/>
  <c r="R41" i="5"/>
  <c r="R55" i="5"/>
  <c r="R58" i="5"/>
  <c r="R62" i="5"/>
  <c r="R17" i="5"/>
  <c r="R29" i="5"/>
  <c r="R33" i="5"/>
  <c r="R37" i="5"/>
  <c r="R40" i="5"/>
  <c r="R43" i="5"/>
  <c r="R46" i="5"/>
  <c r="R12" i="5"/>
  <c r="R16" i="5"/>
  <c r="R19" i="5"/>
  <c r="R27" i="5"/>
  <c r="R31" i="5"/>
  <c r="R35" i="5"/>
  <c r="R42" i="5"/>
  <c r="R45" i="5"/>
  <c r="R47" i="5"/>
  <c r="R57" i="5"/>
  <c r="R64" i="5"/>
  <c r="R13" i="5"/>
  <c r="R63" i="5"/>
  <c r="B51" i="5"/>
  <c r="AH174" i="3"/>
  <c r="AT802" i="11"/>
  <c r="AS802" i="11"/>
  <c r="AO802" i="11"/>
  <c r="AN802" i="11"/>
  <c r="AJ802" i="11"/>
  <c r="AI802" i="11"/>
  <c r="F20" i="8"/>
  <c r="F17" i="8"/>
  <c r="V90" i="3"/>
  <c r="V89" i="3"/>
  <c r="V88" i="3"/>
  <c r="L90" i="3"/>
  <c r="L89" i="3"/>
  <c r="L88" i="3"/>
  <c r="AS46" i="8" a="1"/>
  <c r="AS46" i="8" s="1"/>
  <c r="AS45" i="8" a="1"/>
  <c r="AS45" i="8" s="1"/>
  <c r="AC198" i="18" a="1"/>
  <c r="AC198" i="18" s="1"/>
  <c r="AC197" i="18" a="1"/>
  <c r="AC197" i="18" s="1"/>
  <c r="AC196" i="18" a="1"/>
  <c r="AC196" i="18" s="1"/>
  <c r="AC195" i="18" a="1"/>
  <c r="AC195" i="18" s="1"/>
  <c r="AC193" i="18" a="1"/>
  <c r="AC193" i="18" s="1"/>
  <c r="AC192" i="18" a="1"/>
  <c r="AC192" i="18" s="1"/>
  <c r="AC191" i="18" a="1"/>
  <c r="AC191" i="18" s="1"/>
  <c r="AC190" i="18" a="1"/>
  <c r="AC190" i="18" s="1"/>
  <c r="AC189" i="18" a="1"/>
  <c r="AC189" i="18" s="1"/>
  <c r="AC188" i="18" a="1"/>
  <c r="AC188" i="18" s="1"/>
  <c r="AC187" i="18" a="1"/>
  <c r="AC187" i="18" s="1"/>
  <c r="AC186" i="18" a="1"/>
  <c r="AC186" i="18" s="1"/>
  <c r="AC185" i="18" a="1"/>
  <c r="AC185" i="18" s="1"/>
  <c r="AC184" i="18" a="1"/>
  <c r="AC184" i="18" s="1"/>
  <c r="AC183" i="18" a="1"/>
  <c r="AC183" i="18" s="1"/>
  <c r="AC182" i="18" a="1"/>
  <c r="AC182" i="18" s="1"/>
  <c r="AC181" i="18" a="1"/>
  <c r="AC181" i="18" s="1"/>
  <c r="AC180" i="18" a="1"/>
  <c r="AC180" i="18" s="1"/>
  <c r="AC179" i="18" a="1"/>
  <c r="AC179" i="18" s="1"/>
  <c r="AC178" i="18" a="1"/>
  <c r="AC178" i="18" s="1"/>
  <c r="AC177" i="18" a="1"/>
  <c r="AC177" i="18" s="1"/>
  <c r="AC176" i="18" a="1"/>
  <c r="AC176" i="18" s="1"/>
  <c r="AC175" i="18" a="1"/>
  <c r="AC175" i="18" s="1"/>
  <c r="AC174" i="18" a="1"/>
  <c r="AC174" i="18" s="1"/>
  <c r="AC173" i="18" a="1"/>
  <c r="AC173" i="18" s="1"/>
  <c r="AC172" i="18" a="1"/>
  <c r="AC172" i="18" s="1"/>
  <c r="AC171" i="18" a="1"/>
  <c r="AC171" i="18" s="1"/>
  <c r="AC170" i="18" a="1"/>
  <c r="AC170" i="18" s="1"/>
  <c r="AC169" i="18" a="1"/>
  <c r="AC169" i="18" s="1"/>
  <c r="AC168" i="18" a="1"/>
  <c r="AC168" i="18" s="1"/>
  <c r="AC167" i="18" a="1"/>
  <c r="AC167" i="18" s="1"/>
  <c r="AC166" i="18" a="1"/>
  <c r="AC166" i="18" s="1"/>
  <c r="AC165" i="18" a="1"/>
  <c r="AC165" i="18" s="1"/>
  <c r="AC164" i="18" a="1"/>
  <c r="AC164" i="18" s="1"/>
  <c r="AC163" i="18" a="1"/>
  <c r="AC163" i="18" s="1"/>
  <c r="AC162" i="18" a="1"/>
  <c r="AC162" i="18" s="1"/>
  <c r="AC161" i="18" a="1"/>
  <c r="AC161" i="18" s="1"/>
  <c r="AC160" i="18" a="1"/>
  <c r="AC160" i="18" s="1"/>
  <c r="AC159" i="18" a="1"/>
  <c r="AC159" i="18" s="1"/>
  <c r="AC158" i="18" a="1"/>
  <c r="AC158" i="18" s="1"/>
  <c r="AC156" i="18" a="1"/>
  <c r="AC156" i="18" s="1"/>
  <c r="AC155" i="18" a="1"/>
  <c r="AC155" i="18" s="1"/>
  <c r="AC154" i="18" a="1"/>
  <c r="AC154" i="18" s="1"/>
  <c r="AC153" i="18" a="1"/>
  <c r="AC153" i="18" s="1"/>
  <c r="AC151" i="18" a="1"/>
  <c r="AC151" i="18" s="1"/>
  <c r="AC150" i="18" a="1"/>
  <c r="AC150" i="18" s="1"/>
  <c r="AC149" i="18" a="1"/>
  <c r="AC149" i="18" s="1"/>
  <c r="AC148" i="18" a="1"/>
  <c r="AC148" i="18" s="1"/>
  <c r="AC147" i="18" a="1"/>
  <c r="AC147" i="18" s="1"/>
  <c r="AC146" i="18" a="1"/>
  <c r="AC146" i="18" s="1"/>
  <c r="AC145" i="18" a="1"/>
  <c r="AC145" i="18" s="1"/>
  <c r="AC144" i="18" a="1"/>
  <c r="AC144" i="18" s="1"/>
  <c r="AC142" i="18" a="1"/>
  <c r="AC142" i="18" s="1"/>
  <c r="AC141" i="18" a="1"/>
  <c r="AC141" i="18" s="1"/>
  <c r="AC140" i="18" a="1"/>
  <c r="AC140" i="18" s="1"/>
  <c r="AC139" i="18" a="1"/>
  <c r="AC139" i="18" s="1"/>
  <c r="AC136" i="18" a="1"/>
  <c r="AC136" i="18" s="1"/>
  <c r="AC134" i="18" a="1"/>
  <c r="AC134" i="18" s="1"/>
  <c r="AC133" i="18" a="1"/>
  <c r="AC133" i="18" s="1"/>
  <c r="AC132" i="18" a="1"/>
  <c r="AC132" i="18" s="1"/>
  <c r="AC131" i="18" a="1"/>
  <c r="AC131" i="18" s="1"/>
  <c r="AC130" i="18" a="1"/>
  <c r="AC130" i="18" s="1"/>
  <c r="AC128" i="18" a="1"/>
  <c r="AC128" i="18" s="1"/>
  <c r="AC127" i="18" a="1"/>
  <c r="AC127" i="18" s="1"/>
  <c r="AC126" i="18" a="1"/>
  <c r="AC126" i="18" s="1"/>
  <c r="AC124" i="18" a="1"/>
  <c r="AC124" i="18" s="1"/>
  <c r="AC123" i="18" a="1"/>
  <c r="AC123" i="18" s="1"/>
  <c r="AC122" i="18" a="1"/>
  <c r="AC122" i="18" s="1"/>
  <c r="AC120" i="18" a="1"/>
  <c r="AC120" i="18" s="1"/>
  <c r="AC119" i="18" a="1"/>
  <c r="AC119" i="18" s="1"/>
  <c r="AC118" i="18" a="1"/>
  <c r="AC118" i="18" s="1"/>
  <c r="AC117" i="18" a="1"/>
  <c r="AC117" i="18" s="1"/>
  <c r="AC116" i="18" a="1"/>
  <c r="AC116" i="18" s="1"/>
  <c r="AC114" i="18" a="1"/>
  <c r="AC114" i="18" s="1"/>
  <c r="AC113" i="18" a="1"/>
  <c r="AC113" i="18" s="1"/>
  <c r="AC112" i="18" a="1"/>
  <c r="AC112" i="18" s="1"/>
  <c r="AC111" i="18" a="1"/>
  <c r="AC111" i="18" s="1"/>
  <c r="AC110" i="18" a="1"/>
  <c r="AC110" i="18" s="1"/>
  <c r="AC108" i="18" a="1"/>
  <c r="AC108" i="18" s="1"/>
  <c r="AC107" i="18" a="1"/>
  <c r="AC107" i="18" s="1"/>
  <c r="AC106" i="18" a="1"/>
  <c r="AC106" i="18" s="1"/>
  <c r="AC105" i="18" a="1"/>
  <c r="AC105" i="18" s="1"/>
  <c r="AC103" i="18" a="1"/>
  <c r="AC103" i="18" s="1"/>
  <c r="AC102" i="18" a="1"/>
  <c r="AC102" i="18" s="1"/>
  <c r="AC100" i="18" a="1"/>
  <c r="AC100" i="18" s="1"/>
  <c r="AC99" i="18" a="1"/>
  <c r="AC99" i="18" s="1"/>
  <c r="AC98" i="18" a="1"/>
  <c r="AC98" i="18" s="1"/>
  <c r="AC97" i="18" a="1"/>
  <c r="AC97" i="18" s="1"/>
  <c r="AC96" i="18" a="1"/>
  <c r="AC96" i="18" s="1"/>
  <c r="AC95" i="18" a="1"/>
  <c r="AC95" i="18" s="1"/>
  <c r="AC93" i="18" a="1"/>
  <c r="AC93" i="18" s="1"/>
  <c r="AC92" i="18" a="1"/>
  <c r="AC92" i="18" s="1"/>
  <c r="AC91" i="18" a="1"/>
  <c r="AC91" i="18" s="1"/>
  <c r="AC90" i="18" a="1"/>
  <c r="AC90" i="18" s="1"/>
  <c r="AC88" i="18" a="1"/>
  <c r="AC88" i="18" s="1"/>
  <c r="AC87" i="18" a="1"/>
  <c r="AC87" i="18" s="1"/>
  <c r="AC86" i="18" a="1"/>
  <c r="AC86" i="18" s="1"/>
  <c r="AC84" i="18" a="1"/>
  <c r="AC84" i="18" s="1"/>
  <c r="AC83" i="18" a="1"/>
  <c r="AC83" i="18" s="1"/>
  <c r="AC82" i="18" a="1"/>
  <c r="AC82" i="18" s="1"/>
  <c r="AC81" i="18" a="1"/>
  <c r="AC81" i="18" s="1"/>
  <c r="AC80" i="18" a="1"/>
  <c r="AC80" i="18" s="1"/>
  <c r="AC79" i="18" a="1"/>
  <c r="AC79" i="18" s="1"/>
  <c r="AC78" i="18" a="1"/>
  <c r="AC78" i="18" s="1"/>
  <c r="AC77" i="18" a="1"/>
  <c r="AC77" i="18" s="1"/>
  <c r="AC76" i="18" a="1"/>
  <c r="AC76" i="18" s="1"/>
  <c r="AC75" i="18" a="1"/>
  <c r="AC75" i="18" s="1"/>
  <c r="AC74" i="18" a="1"/>
  <c r="AC74" i="18" s="1"/>
  <c r="AC72" i="18" a="1"/>
  <c r="AC72" i="18" s="1"/>
  <c r="AC71" i="18" a="1"/>
  <c r="AC71" i="18" s="1"/>
  <c r="AC70" i="18" a="1"/>
  <c r="AC70" i="18" s="1"/>
  <c r="AC69" i="18" a="1"/>
  <c r="AC69" i="18" s="1"/>
  <c r="AC68" i="18" a="1"/>
  <c r="AC68" i="18" s="1"/>
  <c r="AC67" i="18" a="1"/>
  <c r="AC67" i="18" s="1"/>
  <c r="AC66" i="18" a="1"/>
  <c r="AC66" i="18" s="1"/>
  <c r="AC64" i="18" a="1"/>
  <c r="AC64" i="18" s="1"/>
  <c r="AC63" i="18" a="1"/>
  <c r="AC63" i="18" s="1"/>
  <c r="AC62" i="18" a="1"/>
  <c r="AC62" i="18" s="1"/>
  <c r="AC61" i="18" a="1"/>
  <c r="AC61" i="18" s="1"/>
  <c r="AC60" i="18" a="1"/>
  <c r="AC60" i="18" s="1"/>
  <c r="AC59" i="18" a="1"/>
  <c r="AC59" i="18" s="1"/>
  <c r="AC58" i="18" a="1"/>
  <c r="AC58" i="18" s="1"/>
  <c r="AC57" i="18" a="1"/>
  <c r="AC57" i="18" s="1"/>
  <c r="AC56" i="18" a="1"/>
  <c r="AC56" i="18" s="1"/>
  <c r="AC55" i="18" a="1"/>
  <c r="AC55" i="18" s="1"/>
  <c r="AC54" i="18" a="1"/>
  <c r="AC54" i="18" s="1"/>
  <c r="AC53" i="18" a="1"/>
  <c r="AC53" i="18" s="1"/>
  <c r="AC51" i="18" a="1"/>
  <c r="AC51" i="18" s="1"/>
  <c r="AC50" i="18" a="1"/>
  <c r="AC50" i="18" s="1"/>
  <c r="AC49" i="18" a="1"/>
  <c r="AC49" i="18" s="1"/>
  <c r="AC48" i="18" a="1"/>
  <c r="AC48" i="18" s="1"/>
  <c r="AC47" i="18" a="1"/>
  <c r="AC47" i="18" s="1"/>
  <c r="AC46" i="18" a="1"/>
  <c r="AC46" i="18" s="1"/>
  <c r="AC45" i="18" a="1"/>
  <c r="AC45" i="18" s="1"/>
  <c r="AC44" i="18" a="1"/>
  <c r="AC44" i="18" s="1"/>
  <c r="AC43" i="18" a="1"/>
  <c r="AC43" i="18" s="1"/>
  <c r="AC42" i="18" a="1"/>
  <c r="AC42" i="18" s="1"/>
  <c r="AC41" i="18" a="1"/>
  <c r="AC41" i="18" s="1"/>
  <c r="AC39" i="18" a="1"/>
  <c r="AC39" i="18" s="1"/>
  <c r="AC38" i="18" a="1"/>
  <c r="AC38" i="18" s="1"/>
  <c r="AC37" i="18" a="1"/>
  <c r="AC37" i="18" s="1"/>
  <c r="AC36" i="18" a="1"/>
  <c r="AC36" i="18" s="1"/>
  <c r="AC35" i="18" a="1"/>
  <c r="AC35" i="18" s="1"/>
  <c r="AC34" i="18" a="1"/>
  <c r="AC34" i="18" s="1"/>
  <c r="AC33" i="18" a="1"/>
  <c r="AC33" i="18" s="1"/>
  <c r="AC32" i="18" a="1"/>
  <c r="AC32" i="18" s="1"/>
  <c r="AC31" i="18" a="1"/>
  <c r="AC31" i="18" s="1"/>
  <c r="AC29" i="18" a="1"/>
  <c r="AC29" i="18" s="1"/>
  <c r="AC28" i="18" a="1"/>
  <c r="AC28" i="18" s="1"/>
  <c r="AC27" i="18" a="1"/>
  <c r="AC27" i="18" s="1"/>
  <c r="AC26" i="18" a="1"/>
  <c r="AC26" i="18" s="1"/>
  <c r="AC25" i="18" a="1"/>
  <c r="AC25" i="18" s="1"/>
  <c r="AC24" i="18" a="1"/>
  <c r="AC24" i="18" s="1"/>
  <c r="AC23" i="18" a="1"/>
  <c r="AC23" i="18" s="1"/>
  <c r="AC22" i="18" a="1"/>
  <c r="AC22" i="18" s="1"/>
  <c r="AC21" i="18" a="1"/>
  <c r="AC21" i="18" s="1"/>
  <c r="AC19" i="18" a="1"/>
  <c r="AC19" i="18" s="1"/>
  <c r="AC18" i="18" a="1"/>
  <c r="AC18" i="18" s="1"/>
  <c r="AC17" i="18" a="1"/>
  <c r="AC17" i="18" s="1"/>
  <c r="AC16" i="18" a="1"/>
  <c r="AC16" i="18" s="1"/>
  <c r="AC15" i="18" a="1"/>
  <c r="AC15" i="18" s="1"/>
  <c r="AC14" i="18" a="1"/>
  <c r="AC14" i="18" s="1"/>
  <c r="AC13" i="18" a="1"/>
  <c r="AC13" i="18" s="1"/>
  <c r="AC12" i="18" a="1"/>
  <c r="AC12" i="18" s="1"/>
  <c r="AC11" i="18" a="1"/>
  <c r="AC11" i="18" s="1"/>
  <c r="AC10" i="18" a="1"/>
  <c r="AC10" i="18" s="1"/>
  <c r="AC9" i="18" a="1"/>
  <c r="AC9" i="18" s="1"/>
  <c r="AC8" i="18" a="1"/>
  <c r="AC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AX11" i="24" l="1" a="1"/>
  <c r="AX11" i="24" s="1"/>
  <c r="AH11" i="24" a="1"/>
  <c r="AH11" i="24" s="1"/>
  <c r="AH27" i="24" a="1"/>
  <c r="AH27" i="24" s="1"/>
  <c r="AP11" i="24" a="1"/>
  <c r="AP11" i="24" s="1"/>
  <c r="BQ5" i="18"/>
  <c r="S225" i="18"/>
  <c r="AE382" i="11"/>
  <c r="AE383" i="11"/>
  <c r="AE384" i="11"/>
  <c r="AE381" i="11"/>
  <c r="AE581" i="11"/>
  <c r="AE582" i="11"/>
  <c r="AE583" i="11"/>
  <c r="AE58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J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83" i="11" l="1"/>
  <c r="AD582" i="11"/>
  <c r="AD581" i="11"/>
  <c r="AD580" i="11"/>
  <c r="AV4" i="10" l="1" a="1"/>
  <c r="AV4" i="10" s="1"/>
  <c r="Z616" i="11"/>
  <c r="AG628" i="11" s="1"/>
  <c r="AI806" i="11"/>
  <c r="AJ806" i="11"/>
  <c r="AN806" i="11"/>
  <c r="AO806" i="11"/>
  <c r="AS806" i="11"/>
  <c r="AT806" i="11"/>
  <c r="AI807" i="11"/>
  <c r="AJ807" i="11"/>
  <c r="AN807" i="11"/>
  <c r="AO807" i="11"/>
  <c r="AS807" i="11"/>
  <c r="AT807" i="11"/>
  <c r="AI808" i="11"/>
  <c r="AJ808" i="11"/>
  <c r="AN808" i="11"/>
  <c r="AO808" i="11"/>
  <c r="AS808" i="11"/>
  <c r="AT808" i="11"/>
  <c r="AI797" i="11"/>
  <c r="AJ797" i="11"/>
  <c r="AN797" i="11"/>
  <c r="AO797" i="11"/>
  <c r="AS797" i="11"/>
  <c r="AT797" i="11"/>
  <c r="AI798" i="11"/>
  <c r="AJ798" i="11"/>
  <c r="AN798" i="11"/>
  <c r="AO798" i="11"/>
  <c r="AS798" i="11"/>
  <c r="AT798" i="11"/>
  <c r="AI799" i="11"/>
  <c r="AJ799" i="11"/>
  <c r="AN799" i="11"/>
  <c r="AO799" i="11"/>
  <c r="AS799" i="11"/>
  <c r="AT799" i="11"/>
  <c r="AI800" i="11"/>
  <c r="AJ800" i="11"/>
  <c r="AN800" i="11"/>
  <c r="AO800" i="11"/>
  <c r="AS800" i="11"/>
  <c r="AT800" i="11"/>
  <c r="V856" i="11"/>
  <c r="T856" i="11"/>
  <c r="R644" i="11"/>
  <c r="Q644" i="11"/>
  <c r="P644" i="11"/>
  <c r="O644" i="11"/>
  <c r="N644" i="11"/>
  <c r="M644" i="11"/>
  <c r="L644" i="11"/>
  <c r="M10" i="2"/>
  <c r="X856" i="11"/>
  <c r="I856" i="11"/>
  <c r="AO141" i="9"/>
  <c r="AO140" i="9"/>
  <c r="AO139" i="9"/>
  <c r="AO125" i="9"/>
  <c r="AO124" i="9"/>
  <c r="AO123" i="9"/>
  <c r="AO109" i="9"/>
  <c r="AO108" i="9"/>
  <c r="AO107" i="9"/>
  <c r="L852" i="11"/>
  <c r="L853" i="11"/>
  <c r="CB229" i="11"/>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73" i="11"/>
  <c r="AF574" i="11"/>
  <c r="AF575" i="11"/>
  <c r="AF576" i="11"/>
  <c r="AF577" i="11"/>
  <c r="AF578" i="11"/>
  <c r="AF572" i="11"/>
  <c r="AF566" i="11"/>
  <c r="AF567" i="11"/>
  <c r="AF568" i="11"/>
  <c r="AF569" i="11"/>
  <c r="AF570" i="11"/>
  <c r="AF565" i="11"/>
  <c r="AF554" i="11"/>
  <c r="AF555" i="11"/>
  <c r="AF556" i="11"/>
  <c r="AF557" i="11"/>
  <c r="AF558" i="11"/>
  <c r="AF559" i="11"/>
  <c r="AF560" i="11"/>
  <c r="AF553" i="11"/>
  <c r="AF545" i="11"/>
  <c r="AF546" i="11"/>
  <c r="AF547" i="11"/>
  <c r="AF548" i="11"/>
  <c r="AF549" i="11"/>
  <c r="AF550" i="11"/>
  <c r="AF551" i="11"/>
  <c r="AF544"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36" i="11"/>
  <c r="AF537" i="11"/>
  <c r="AF538" i="11"/>
  <c r="AF539" i="11"/>
  <c r="AF540" i="11"/>
  <c r="AF541" i="11"/>
  <c r="AF542" i="11"/>
  <c r="AF508" i="11"/>
  <c r="AF486" i="11"/>
  <c r="AF487" i="11"/>
  <c r="AF488" i="11"/>
  <c r="AF489" i="11"/>
  <c r="AF490" i="11"/>
  <c r="AF491" i="11"/>
  <c r="AF492" i="11"/>
  <c r="AF493" i="11"/>
  <c r="AF494" i="11"/>
  <c r="AF495" i="11"/>
  <c r="AF496" i="11"/>
  <c r="AF497" i="11"/>
  <c r="AF498" i="11"/>
  <c r="AF499" i="11"/>
  <c r="AF500" i="11"/>
  <c r="AF501" i="11"/>
  <c r="AF502" i="11"/>
  <c r="AF503" i="11"/>
  <c r="AF504" i="11"/>
  <c r="AF505" i="11"/>
  <c r="AF506" i="11"/>
  <c r="AF485" i="11"/>
  <c r="AF474" i="11"/>
  <c r="AF475" i="11"/>
  <c r="AF476" i="11"/>
  <c r="AF477" i="11"/>
  <c r="AF478" i="11"/>
  <c r="AF479" i="11"/>
  <c r="AF480" i="11"/>
  <c r="AF481" i="11"/>
  <c r="AF482" i="11"/>
  <c r="AF483" i="11"/>
  <c r="AF473" i="11"/>
  <c r="AF471" i="11"/>
  <c r="AF470"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62" i="11"/>
  <c r="AF463" i="11"/>
  <c r="AF464" i="11"/>
  <c r="AF465" i="11"/>
  <c r="AF466" i="11"/>
  <c r="AF467" i="11"/>
  <c r="AF468" i="11"/>
  <c r="AF438" i="11"/>
  <c r="R28" i="28"/>
  <c r="AM25"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38" i="11"/>
  <c r="AC437" i="11"/>
  <c r="AO45" i="8"/>
  <c r="AO44" i="8"/>
  <c r="AO43" i="8"/>
  <c r="AO42" i="8"/>
  <c r="AO40" i="8"/>
  <c r="AO39" i="8"/>
  <c r="AO38" i="8"/>
  <c r="AO37" i="8"/>
  <c r="AO36" i="8"/>
  <c r="AO35" i="8"/>
  <c r="AO33" i="8"/>
  <c r="AO32" i="8"/>
  <c r="AO31" i="8"/>
  <c r="AO30" i="8"/>
  <c r="AO29" i="8"/>
  <c r="AO28" i="8"/>
  <c r="AO26" i="8"/>
  <c r="AO25" i="8"/>
  <c r="AO24" i="8"/>
  <c r="AO23" i="8"/>
  <c r="AO22" i="8"/>
  <c r="AO21" i="8"/>
  <c r="AO19" i="8"/>
  <c r="L851" i="11" l="1"/>
  <c r="AB440" i="11"/>
  <c r="AB483" i="11"/>
  <c r="AB479" i="11"/>
  <c r="AB475" i="11"/>
  <c r="AB471" i="11"/>
  <c r="AB467" i="11"/>
  <c r="AB463" i="11"/>
  <c r="AB459" i="11"/>
  <c r="AB455" i="11"/>
  <c r="AB451" i="11"/>
  <c r="AB447" i="11"/>
  <c r="AB443" i="11"/>
  <c r="AB439" i="11"/>
  <c r="AB482" i="11"/>
  <c r="AB478" i="11"/>
  <c r="AB474" i="11"/>
  <c r="AB470" i="11"/>
  <c r="AB466" i="11"/>
  <c r="AB462" i="11"/>
  <c r="AB458" i="11"/>
  <c r="AB454" i="11"/>
  <c r="AB450" i="11"/>
  <c r="AB446" i="11"/>
  <c r="AB442" i="11"/>
  <c r="AB438" i="11"/>
  <c r="AB481" i="11"/>
  <c r="AB477" i="11"/>
  <c r="AB473" i="11"/>
  <c r="AB469" i="11"/>
  <c r="AB465" i="11"/>
  <c r="AB461" i="11"/>
  <c r="AB457" i="11"/>
  <c r="AB453" i="11"/>
  <c r="AB449" i="11"/>
  <c r="AB445" i="11"/>
  <c r="AB441" i="11"/>
  <c r="AB480" i="11"/>
  <c r="AB476" i="11"/>
  <c r="AB472" i="11"/>
  <c r="AB468" i="11"/>
  <c r="AB464" i="11"/>
  <c r="AB460" i="11"/>
  <c r="AB456" i="11"/>
  <c r="AB452" i="11"/>
  <c r="AB448" i="11"/>
  <c r="AB444" i="11"/>
  <c r="S2138" i="11" l="1"/>
  <c r="R2142" i="11"/>
  <c r="R2143" i="11"/>
  <c r="R2144" i="11"/>
  <c r="AF2144" i="11"/>
  <c r="R2145" i="11"/>
  <c r="R2146" i="11"/>
  <c r="R2147" i="11"/>
  <c r="R2148" i="11"/>
  <c r="AF2148" i="11"/>
  <c r="R2149" i="11"/>
  <c r="AF2149" i="11"/>
  <c r="R2150" i="11"/>
  <c r="AF2150" i="11"/>
  <c r="R2151" i="11"/>
  <c r="AF2151" i="11"/>
  <c r="R2152" i="11"/>
  <c r="AF2152" i="11"/>
  <c r="R2153" i="11"/>
  <c r="AF2153" i="11"/>
  <c r="R2154" i="11"/>
  <c r="AF2154" i="11"/>
  <c r="R2155" i="11"/>
  <c r="AF2155" i="11"/>
  <c r="R2156" i="11"/>
  <c r="R2157" i="11"/>
  <c r="R2158" i="11"/>
  <c r="AF2158" i="11"/>
  <c r="R2159" i="11"/>
  <c r="AF2159" i="11"/>
  <c r="R2160" i="11"/>
  <c r="AF2160" i="11"/>
  <c r="R2161" i="11"/>
  <c r="AF2161" i="11"/>
  <c r="R2162" i="11"/>
  <c r="AF2162" i="11"/>
  <c r="R2163" i="11"/>
  <c r="AF2163" i="11"/>
  <c r="R2164" i="11"/>
  <c r="AF2164" i="11"/>
  <c r="R2165" i="11"/>
  <c r="AF2165" i="11"/>
  <c r="R2166" i="11"/>
  <c r="AF2166" i="11"/>
  <c r="R2167" i="11"/>
  <c r="AF2167" i="11"/>
  <c r="R2168" i="11"/>
  <c r="AF2168" i="11"/>
  <c r="R2169" i="11"/>
  <c r="AF2169" i="11"/>
  <c r="R2170" i="11"/>
  <c r="AF2170" i="11"/>
  <c r="R2171" i="11"/>
  <c r="AF2171" i="11"/>
  <c r="R2172" i="11"/>
  <c r="AF2172" i="11"/>
  <c r="R2173" i="11"/>
  <c r="R2174" i="11"/>
  <c r="AF2174" i="11"/>
  <c r="R2175" i="11"/>
  <c r="AF2175" i="11"/>
  <c r="R2176" i="11"/>
  <c r="AF2176" i="11"/>
  <c r="R2177" i="11"/>
  <c r="R2178" i="11"/>
  <c r="AF2178" i="11"/>
  <c r="R2179" i="11"/>
  <c r="R2180" i="11"/>
  <c r="AF2180" i="11"/>
  <c r="R2181" i="11"/>
  <c r="AF2181" i="11"/>
  <c r="R2182" i="11"/>
  <c r="AF2182" i="11"/>
  <c r="R2183" i="11"/>
  <c r="R2184" i="11"/>
  <c r="AF2184" i="11"/>
  <c r="R2185" i="11"/>
  <c r="AF2185" i="11"/>
  <c r="R2186" i="11"/>
  <c r="AF2186" i="11"/>
  <c r="R2187" i="11"/>
  <c r="AF2187" i="11"/>
  <c r="R2188" i="11"/>
  <c r="AF2188" i="11"/>
  <c r="R2189" i="11"/>
  <c r="AF2189" i="11"/>
  <c r="R2190" i="11"/>
  <c r="AF2190" i="11"/>
  <c r="R2191" i="11"/>
  <c r="AF2191" i="11"/>
  <c r="R2192" i="11"/>
  <c r="AF2192" i="11"/>
  <c r="R2193" i="11"/>
  <c r="AF2193" i="11"/>
  <c r="P2194" i="11"/>
  <c r="R2194" i="11"/>
  <c r="S2194" i="11"/>
  <c r="AF2194" i="11"/>
  <c r="P2195" i="11"/>
  <c r="R2195" i="11"/>
  <c r="S2195" i="11"/>
  <c r="AF2195" i="11"/>
  <c r="P2196" i="11"/>
  <c r="R2196" i="11"/>
  <c r="S2196" i="11"/>
  <c r="AF2196" i="11"/>
  <c r="P2197" i="11"/>
  <c r="R2197" i="11"/>
  <c r="S2197" i="11"/>
  <c r="AF2197" i="11"/>
  <c r="P2198" i="11"/>
  <c r="R2198" i="11"/>
  <c r="S2198" i="11"/>
  <c r="AF2198" i="11"/>
  <c r="K2199" i="11"/>
  <c r="N2199" i="11"/>
  <c r="AN136" i="9"/>
  <c r="AN131" i="9" s="1"/>
  <c r="AN135" i="9"/>
  <c r="AQ132" i="9"/>
  <c r="AP132" i="9"/>
  <c r="AQ131" i="9"/>
  <c r="AP131" i="9"/>
  <c r="AN120" i="9"/>
  <c r="AN115" i="9" s="1"/>
  <c r="AN119" i="9"/>
  <c r="AQ116" i="9"/>
  <c r="AP116" i="9"/>
  <c r="AQ115" i="9"/>
  <c r="AP115" i="9"/>
  <c r="AN104" i="9"/>
  <c r="AN99" i="9" s="1"/>
  <c r="AN103" i="9"/>
  <c r="AQ100" i="9"/>
  <c r="AP100" i="9"/>
  <c r="AQ99" i="9"/>
  <c r="AP99" i="9"/>
  <c r="S263" i="18"/>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197" i="11" l="1"/>
  <c r="AC2196" i="11"/>
  <c r="AC2164" i="11"/>
  <c r="AC2190" i="11"/>
  <c r="AC2186" i="11"/>
  <c r="AC2175" i="11"/>
  <c r="AC2170" i="11"/>
  <c r="AC2195" i="11"/>
  <c r="AC2191" i="11"/>
  <c r="AC2187" i="11"/>
  <c r="AC2182" i="11"/>
  <c r="AC2171" i="11"/>
  <c r="AC2198" i="11"/>
  <c r="AC2194" i="11"/>
  <c r="AC2192" i="11"/>
  <c r="AC2188" i="11"/>
  <c r="AC2183" i="11"/>
  <c r="AC2178" i="11"/>
  <c r="AC2168" i="11"/>
  <c r="AC2161" i="11"/>
  <c r="AC2193" i="11"/>
  <c r="AC2189" i="11"/>
  <c r="AC2179" i="11"/>
  <c r="AC2174" i="11"/>
  <c r="AC2169" i="11"/>
  <c r="AC2152" i="11"/>
  <c r="AC2153" i="11"/>
  <c r="AC2154" i="11"/>
  <c r="AC2155" i="11"/>
  <c r="AC2142" i="11"/>
  <c r="AC2143" i="11"/>
  <c r="AC2144" i="11"/>
  <c r="AC2145" i="11"/>
  <c r="AC2146" i="11"/>
  <c r="AC2147" i="11"/>
  <c r="AC2148" i="11"/>
  <c r="AC2149" i="11"/>
  <c r="AC2150" i="11"/>
  <c r="AC2151" i="11"/>
  <c r="AC2156" i="11"/>
  <c r="AC2157" i="11"/>
  <c r="AC2159" i="11"/>
  <c r="AC2165" i="11"/>
  <c r="AC2158" i="11"/>
  <c r="AC2162" i="11"/>
  <c r="AC2166" i="11"/>
  <c r="AC2185" i="11"/>
  <c r="AC2181" i="11"/>
  <c r="AC2177" i="11"/>
  <c r="AC2173" i="11"/>
  <c r="AC2167" i="11"/>
  <c r="AC2163" i="11"/>
  <c r="AC2184" i="11"/>
  <c r="AC2180" i="11"/>
  <c r="AC2176" i="11"/>
  <c r="AC2172" i="11"/>
  <c r="AC2160" i="11"/>
  <c r="AC8" i="29"/>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146" i="11"/>
  <c r="E1145" i="11"/>
  <c r="E1144" i="11"/>
  <c r="AN1106" i="11"/>
  <c r="AN1107" i="11"/>
  <c r="AN1108" i="11"/>
  <c r="B113" i="30" l="1"/>
  <c r="B109" i="30"/>
  <c r="B101" i="30"/>
  <c r="B112" i="30"/>
  <c r="B108" i="30"/>
  <c r="B104" i="30"/>
  <c r="B100" i="30"/>
  <c r="B98" i="30"/>
  <c r="B111" i="30"/>
  <c r="B107" i="30"/>
  <c r="B103" i="30"/>
  <c r="B99" i="30"/>
  <c r="B114" i="30"/>
  <c r="B110" i="30"/>
  <c r="B106" i="30"/>
  <c r="AE121" i="3"/>
  <c r="AD121" i="3"/>
  <c r="M132" i="30" l="1"/>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Q4" i="20"/>
  <c r="AX4" i="20"/>
  <c r="AE4" i="20"/>
  <c r="L4" i="20"/>
  <c r="Z292" i="18"/>
  <c r="Y292" i="18"/>
  <c r="S292" i="18"/>
  <c r="Z225" i="18"/>
  <c r="Y225" i="18"/>
  <c r="S224" i="18"/>
  <c r="S223" i="18"/>
  <c r="S222" i="18"/>
  <c r="S221" i="18"/>
  <c r="S220" i="18"/>
  <c r="S219" i="18"/>
  <c r="S218" i="18"/>
  <c r="S217" i="18"/>
  <c r="S216" i="18"/>
  <c r="S215" i="18"/>
  <c r="S214" i="18" s="1"/>
  <c r="Z214" i="18"/>
  <c r="Y214" i="18"/>
  <c r="S213" i="18"/>
  <c r="S212" i="18"/>
  <c r="S211" i="18"/>
  <c r="S210" i="18"/>
  <c r="S209" i="18"/>
  <c r="S208" i="18"/>
  <c r="S207" i="18"/>
  <c r="S206" i="18"/>
  <c r="S205" i="18"/>
  <c r="Z204" i="18"/>
  <c r="Y204" i="18"/>
  <c r="S203" i="18"/>
  <c r="S202" i="18"/>
  <c r="S201" i="18"/>
  <c r="S200" i="18"/>
  <c r="S199" i="18"/>
  <c r="S198" i="18"/>
  <c r="S197" i="18"/>
  <c r="S196" i="18"/>
  <c r="S195" i="18" s="1"/>
  <c r="Z195" i="18"/>
  <c r="Y195" i="18"/>
  <c r="S194" i="18"/>
  <c r="S193" i="18"/>
  <c r="S192" i="18"/>
  <c r="S191" i="18"/>
  <c r="AC137" i="18" s="1" a="1"/>
  <c r="AC137" i="18" s="1"/>
  <c r="S190" i="18"/>
  <c r="S189" i="18"/>
  <c r="S188" i="18"/>
  <c r="S187" i="18"/>
  <c r="Z186" i="18"/>
  <c r="Y186" i="18"/>
  <c r="S185" i="18"/>
  <c r="S184" i="18"/>
  <c r="S183" i="18"/>
  <c r="S182" i="18"/>
  <c r="S181" i="18"/>
  <c r="S180" i="18"/>
  <c r="Z179" i="18"/>
  <c r="Y179" i="18"/>
  <c r="S178" i="18"/>
  <c r="S177" i="18"/>
  <c r="S176" i="18"/>
  <c r="S175" i="18"/>
  <c r="S174" i="18"/>
  <c r="S173" i="18"/>
  <c r="S172" i="18"/>
  <c r="S171" i="18"/>
  <c r="S170" i="18"/>
  <c r="S169" i="18"/>
  <c r="Z168" i="18"/>
  <c r="Y168" i="18"/>
  <c r="S167" i="18"/>
  <c r="S166" i="18"/>
  <c r="S165" i="18"/>
  <c r="S164" i="18"/>
  <c r="S163" i="18"/>
  <c r="S162" i="18"/>
  <c r="S161" i="18"/>
  <c r="Z160" i="18"/>
  <c r="Y160" i="18"/>
  <c r="S159" i="18"/>
  <c r="S158" i="18"/>
  <c r="S157" i="18"/>
  <c r="S156" i="18"/>
  <c r="S155" i="18"/>
  <c r="S154" i="18"/>
  <c r="S153" i="18"/>
  <c r="S152" i="18"/>
  <c r="S151" i="18" s="1"/>
  <c r="Z151" i="18"/>
  <c r="Y151" i="18"/>
  <c r="S150" i="18"/>
  <c r="S149" i="18"/>
  <c r="S148" i="18"/>
  <c r="S147" i="18"/>
  <c r="S146" i="18"/>
  <c r="Z145" i="18"/>
  <c r="Y145" i="18"/>
  <c r="S144" i="18"/>
  <c r="S143" i="18"/>
  <c r="S142" i="18"/>
  <c r="S141" i="18"/>
  <c r="S140" i="18"/>
  <c r="S139" i="18"/>
  <c r="Z138" i="18"/>
  <c r="Y138" i="18"/>
  <c r="T137" i="18"/>
  <c r="Y137" i="18" s="1"/>
  <c r="S137" i="18"/>
  <c r="S136" i="18"/>
  <c r="S135" i="18"/>
  <c r="S134" i="18"/>
  <c r="S133" i="18"/>
  <c r="S132" i="18"/>
  <c r="S131" i="18"/>
  <c r="S130" i="18" s="1"/>
  <c r="Z130" i="18"/>
  <c r="Y130" i="18"/>
  <c r="S129" i="18"/>
  <c r="S128" i="18"/>
  <c r="S127" i="18"/>
  <c r="S126" i="18"/>
  <c r="S125" i="18"/>
  <c r="S123" i="18"/>
  <c r="S122" i="18"/>
  <c r="S121" i="18"/>
  <c r="Z120" i="18"/>
  <c r="Y120" i="18"/>
  <c r="S119" i="18"/>
  <c r="S118" i="18"/>
  <c r="S117" i="18"/>
  <c r="S116" i="18"/>
  <c r="S114" i="18"/>
  <c r="S113" i="18" s="1"/>
  <c r="Z113" i="18"/>
  <c r="Y113" i="18"/>
  <c r="S112" i="18"/>
  <c r="S111" i="18"/>
  <c r="S110" i="18"/>
  <c r="S107" i="18"/>
  <c r="Z106" i="18"/>
  <c r="Y106" i="18"/>
  <c r="S105" i="18"/>
  <c r="S104" i="18"/>
  <c r="S103" i="18"/>
  <c r="S102" i="18"/>
  <c r="S101" i="18"/>
  <c r="S100" i="18"/>
  <c r="S99" i="18"/>
  <c r="S98" i="18"/>
  <c r="S97" i="18"/>
  <c r="S95" i="18"/>
  <c r="S94" i="18"/>
  <c r="S93" i="18"/>
  <c r="Z92" i="18"/>
  <c r="Y92" i="18"/>
  <c r="S91" i="18"/>
  <c r="S90" i="18"/>
  <c r="S89" i="18"/>
  <c r="S88" i="18"/>
  <c r="S87" i="18"/>
  <c r="S86" i="18"/>
  <c r="S85" i="18"/>
  <c r="S84" i="18"/>
  <c r="S83" i="18"/>
  <c r="S82" i="18"/>
  <c r="S81" i="18"/>
  <c r="S80" i="18" s="1"/>
  <c r="Z80" i="18"/>
  <c r="Y80" i="18"/>
  <c r="S79" i="18"/>
  <c r="S78" i="18"/>
  <c r="S77" i="18"/>
  <c r="S76" i="18"/>
  <c r="S75" i="18"/>
  <c r="S74" i="18"/>
  <c r="S73" i="18"/>
  <c r="S72" i="18"/>
  <c r="S71" i="18"/>
  <c r="S70" i="18"/>
  <c r="S69" i="18"/>
  <c r="S68" i="18"/>
  <c r="S67" i="18"/>
  <c r="S66" i="18" s="1"/>
  <c r="Z66" i="18"/>
  <c r="Y66" i="18"/>
  <c r="S65" i="18"/>
  <c r="AN63" i="18"/>
  <c r="AM63" i="18"/>
  <c r="AL63" i="18"/>
  <c r="AK63" i="18"/>
  <c r="AJ63" i="18"/>
  <c r="AI63" i="18"/>
  <c r="AH63" i="18"/>
  <c r="AG63" i="18"/>
  <c r="AF63" i="18"/>
  <c r="AE63" i="18"/>
  <c r="S64" i="18"/>
  <c r="BF61" i="18"/>
  <c r="AN62" i="18"/>
  <c r="AM62" i="18"/>
  <c r="AL62" i="18"/>
  <c r="AK62" i="18"/>
  <c r="AJ62" i="18"/>
  <c r="AI62" i="18"/>
  <c r="AH62" i="18"/>
  <c r="AG62" i="18"/>
  <c r="AF62" i="18"/>
  <c r="AE62" i="18"/>
  <c r="S63" i="18"/>
  <c r="AN61" i="18"/>
  <c r="AM61" i="18"/>
  <c r="AL61" i="18"/>
  <c r="AK61" i="18"/>
  <c r="AJ61" i="18"/>
  <c r="AI61" i="18"/>
  <c r="AH61" i="18"/>
  <c r="AG61" i="18"/>
  <c r="AF61" i="18"/>
  <c r="AE61" i="18"/>
  <c r="S62" i="18"/>
  <c r="AN60" i="18"/>
  <c r="AM60" i="18"/>
  <c r="AL60" i="18"/>
  <c r="AK60" i="18"/>
  <c r="AJ60" i="18"/>
  <c r="AI60" i="18"/>
  <c r="AH60" i="18"/>
  <c r="AG60" i="18"/>
  <c r="AF60" i="18"/>
  <c r="AE60" i="18"/>
  <c r="S61" i="18"/>
  <c r="AN59" i="18"/>
  <c r="AM59" i="18"/>
  <c r="AL59" i="18"/>
  <c r="AK59" i="18"/>
  <c r="AJ59" i="18"/>
  <c r="AI59" i="18"/>
  <c r="AH59" i="18"/>
  <c r="AG59" i="18"/>
  <c r="AF59" i="18"/>
  <c r="AE59" i="18"/>
  <c r="S60" i="18"/>
  <c r="AN58" i="18"/>
  <c r="AM58" i="18"/>
  <c r="AL58" i="18"/>
  <c r="AK58" i="18"/>
  <c r="AJ58" i="18"/>
  <c r="AI58" i="18"/>
  <c r="AH58" i="18"/>
  <c r="AG58" i="18"/>
  <c r="AF58" i="18"/>
  <c r="AE58" i="18"/>
  <c r="S59" i="18"/>
  <c r="AN57" i="18"/>
  <c r="AM57" i="18"/>
  <c r="AL57" i="18"/>
  <c r="AK57" i="18"/>
  <c r="AJ57" i="18"/>
  <c r="AI57" i="18"/>
  <c r="AH57" i="18"/>
  <c r="AG57" i="18"/>
  <c r="AF57" i="18"/>
  <c r="AE57" i="18"/>
  <c r="S58" i="18"/>
  <c r="AN56" i="18"/>
  <c r="AM56" i="18"/>
  <c r="AL56" i="18"/>
  <c r="AK56" i="18"/>
  <c r="AJ56" i="18"/>
  <c r="AI56" i="18"/>
  <c r="AH56" i="18"/>
  <c r="AF56" i="18"/>
  <c r="AE56" i="18"/>
  <c r="S57" i="18"/>
  <c r="AN55" i="18"/>
  <c r="AM55" i="18"/>
  <c r="AL55" i="18"/>
  <c r="AK55" i="18"/>
  <c r="AJ55" i="18"/>
  <c r="AI55" i="18"/>
  <c r="AH55" i="18"/>
  <c r="AG55" i="18"/>
  <c r="AF55" i="18"/>
  <c r="AE55" i="18"/>
  <c r="S56" i="18"/>
  <c r="AN54" i="18"/>
  <c r="AM54" i="18"/>
  <c r="AL54" i="18"/>
  <c r="AK54" i="18"/>
  <c r="AJ54" i="18"/>
  <c r="AI54" i="18"/>
  <c r="AH54" i="18"/>
  <c r="AG54" i="18"/>
  <c r="AF54" i="18"/>
  <c r="AE54" i="18"/>
  <c r="S55" i="18"/>
  <c r="AN53" i="18"/>
  <c r="AM53" i="18"/>
  <c r="AL53" i="18"/>
  <c r="AK53" i="18"/>
  <c r="AJ53" i="18"/>
  <c r="AI53" i="18"/>
  <c r="AH53" i="18"/>
  <c r="AG53" i="18"/>
  <c r="AF53" i="18"/>
  <c r="AE53" i="18"/>
  <c r="S54" i="18"/>
  <c r="S53" i="18"/>
  <c r="Z52" i="18"/>
  <c r="Y52" i="18"/>
  <c r="S51" i="18"/>
  <c r="S50" i="18"/>
  <c r="S49" i="18"/>
  <c r="S48" i="18"/>
  <c r="S47" i="18"/>
  <c r="S46" i="18"/>
  <c r="S45" i="18"/>
  <c r="S43" i="18"/>
  <c r="S42" i="18"/>
  <c r="S41" i="18"/>
  <c r="S40" i="18"/>
  <c r="Z39" i="18"/>
  <c r="Y39" i="18"/>
  <c r="S38" i="18"/>
  <c r="S37" i="18"/>
  <c r="S36" i="18"/>
  <c r="S35" i="18"/>
  <c r="S34" i="18"/>
  <c r="S33" i="18"/>
  <c r="S32" i="18"/>
  <c r="AX30" i="18"/>
  <c r="AV30" i="18"/>
  <c r="S31" i="18"/>
  <c r="AX29" i="18"/>
  <c r="AV29" i="18"/>
  <c r="S30" i="18"/>
  <c r="AX28" i="18"/>
  <c r="AV28" i="18"/>
  <c r="S29" i="18"/>
  <c r="AN27" i="18"/>
  <c r="AM27" i="18"/>
  <c r="AL27" i="18"/>
  <c r="AK27" i="18"/>
  <c r="AJ27" i="18"/>
  <c r="AI27" i="18"/>
  <c r="AH27" i="18"/>
  <c r="S28" i="18"/>
  <c r="S27" i="18"/>
  <c r="AV25" i="18"/>
  <c r="S26" i="18"/>
  <c r="AV24" i="18"/>
  <c r="AU24" i="18" s="1"/>
  <c r="S25" i="18"/>
  <c r="AN23" i="18"/>
  <c r="AM23" i="18"/>
  <c r="AL23" i="18"/>
  <c r="AK23" i="18"/>
  <c r="AJ23" i="18"/>
  <c r="AI23" i="18"/>
  <c r="AH23" i="18"/>
  <c r="AG23" i="18"/>
  <c r="Z24" i="18"/>
  <c r="Y24" i="18"/>
  <c r="S23" i="18"/>
  <c r="S22" i="18"/>
  <c r="S21" i="18"/>
  <c r="S19" i="18"/>
  <c r="S18" i="18"/>
  <c r="S17" i="18"/>
  <c r="S16" i="18"/>
  <c r="S15" i="18"/>
  <c r="S14" i="18"/>
  <c r="S13" i="18"/>
  <c r="S12" i="18"/>
  <c r="S11" i="18"/>
  <c r="S10" i="18"/>
  <c r="S9" i="18"/>
  <c r="AN8" i="18"/>
  <c r="AM8" i="18"/>
  <c r="AL8" i="18"/>
  <c r="AK8" i="18"/>
  <c r="AJ8" i="18"/>
  <c r="AI8" i="18"/>
  <c r="AH8" i="18"/>
  <c r="AG8" i="18"/>
  <c r="S8" i="18"/>
  <c r="Z7" i="18"/>
  <c r="Y7" i="18"/>
  <c r="BO5" i="18"/>
  <c r="BN5" i="18"/>
  <c r="BM5" i="18"/>
  <c r="BL5" i="18"/>
  <c r="BK5" i="18"/>
  <c r="BJ5" i="18"/>
  <c r="BI5" i="18"/>
  <c r="BH5" i="18"/>
  <c r="BG5" i="18"/>
  <c r="BF5" i="18"/>
  <c r="BE5" i="18"/>
  <c r="BD5" i="18"/>
  <c r="BC5" i="18"/>
  <c r="BB5" i="18"/>
  <c r="BA5" i="18"/>
  <c r="AZ5" i="18"/>
  <c r="AY5" i="18"/>
  <c r="AX5" i="18"/>
  <c r="AW5" i="18"/>
  <c r="AV5" i="18"/>
  <c r="G11" i="34" s="1" a="1"/>
  <c r="G11" i="34" s="1"/>
  <c r="AU5" i="18"/>
  <c r="W151" i="13" a="1"/>
  <c r="Y151" i="13" s="1"/>
  <c r="W146" i="13" a="1"/>
  <c r="Z146" i="13" s="1"/>
  <c r="W141" i="13" a="1"/>
  <c r="Z141" i="13" s="1"/>
  <c r="W136" i="13" a="1"/>
  <c r="Z136" i="13" s="1"/>
  <c r="W131" i="13" a="1"/>
  <c r="Y131" i="13" s="1"/>
  <c r="W126" i="13" a="1"/>
  <c r="Z126" i="13" s="1"/>
  <c r="W121" i="13" a="1"/>
  <c r="Z121" i="13" s="1"/>
  <c r="W116" i="13" a="1"/>
  <c r="W116" i="13" s="1"/>
  <c r="F221" i="13"/>
  <c r="H221" i="13" s="1"/>
  <c r="B221" i="13" s="1"/>
  <c r="F220" i="13"/>
  <c r="H220" i="13" s="1"/>
  <c r="B220" i="13" s="1"/>
  <c r="F219" i="13"/>
  <c r="H219" i="13" s="1"/>
  <c r="B219" i="13" s="1"/>
  <c r="J218" i="13"/>
  <c r="F218" i="13"/>
  <c r="H218" i="13" s="1"/>
  <c r="B218" i="13" s="1"/>
  <c r="F217" i="13"/>
  <c r="H217" i="13" s="1"/>
  <c r="B217" i="13" s="1"/>
  <c r="F216" i="13"/>
  <c r="H216" i="13" s="1"/>
  <c r="B216" i="13" s="1"/>
  <c r="F215" i="13"/>
  <c r="H215" i="13" s="1"/>
  <c r="B215" i="13" s="1"/>
  <c r="F214" i="13"/>
  <c r="H214" i="13" s="1"/>
  <c r="B214" i="13" s="1"/>
  <c r="F213" i="13"/>
  <c r="H213" i="13" s="1"/>
  <c r="B213" i="13" s="1"/>
  <c r="F212" i="13"/>
  <c r="H212" i="13" s="1"/>
  <c r="B212" i="13" s="1"/>
  <c r="B211" i="13"/>
  <c r="F210" i="13"/>
  <c r="H210" i="13" s="1"/>
  <c r="B210" i="13" s="1"/>
  <c r="F209" i="13"/>
  <c r="H209" i="13" s="1"/>
  <c r="B209" i="13" s="1"/>
  <c r="F208" i="13"/>
  <c r="H208" i="13" s="1"/>
  <c r="B208" i="13" s="1"/>
  <c r="F207" i="13"/>
  <c r="H207" i="13" s="1"/>
  <c r="B207" i="13" s="1"/>
  <c r="F206" i="13"/>
  <c r="H206" i="13" s="1"/>
  <c r="B206" i="13" s="1"/>
  <c r="F205" i="13"/>
  <c r="H205" i="13" s="1"/>
  <c r="B205" i="13" s="1"/>
  <c r="F204" i="13"/>
  <c r="H204" i="13" s="1"/>
  <c r="B204" i="13" s="1"/>
  <c r="F203" i="13"/>
  <c r="H203" i="13" s="1"/>
  <c r="B203" i="13" s="1"/>
  <c r="F202" i="13"/>
  <c r="H202" i="13" s="1"/>
  <c r="B202" i="13" s="1"/>
  <c r="F201" i="13"/>
  <c r="H201" i="13" s="1"/>
  <c r="B201" i="13" s="1"/>
  <c r="B200" i="13"/>
  <c r="L199" i="13"/>
  <c r="F199" i="13"/>
  <c r="H199" i="13" s="1"/>
  <c r="B199" i="13" s="1"/>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B189" i="13"/>
  <c r="F188" i="13"/>
  <c r="H188" i="13" s="1"/>
  <c r="B188"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B178" i="13"/>
  <c r="F177" i="13"/>
  <c r="H177" i="13" s="1"/>
  <c r="B177" i="13" s="1"/>
  <c r="F176" i="13"/>
  <c r="K24" i="14"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B167" i="13"/>
  <c r="F166" i="13"/>
  <c r="G12" i="14" s="1"/>
  <c r="F165" i="13"/>
  <c r="H165" i="13" s="1"/>
  <c r="B165" i="13" s="1"/>
  <c r="F164" i="13"/>
  <c r="H164" i="13" s="1"/>
  <c r="B164" i="13" s="1"/>
  <c r="F163" i="13"/>
  <c r="H163" i="13" s="1"/>
  <c r="B163" i="13" s="1"/>
  <c r="F162" i="13"/>
  <c r="H162" i="13" s="1"/>
  <c r="B162" i="13" s="1"/>
  <c r="F161" i="13"/>
  <c r="F160" i="13"/>
  <c r="H160" i="13" s="1"/>
  <c r="B160" i="13" s="1"/>
  <c r="F159" i="13"/>
  <c r="H159" i="13" s="1"/>
  <c r="B159" i="13" s="1"/>
  <c r="F158" i="13"/>
  <c r="H158" i="13" s="1"/>
  <c r="B158" i="13" s="1"/>
  <c r="F157" i="13"/>
  <c r="H157" i="13" s="1"/>
  <c r="B157" i="13" s="1"/>
  <c r="B156" i="13"/>
  <c r="F155" i="13"/>
  <c r="H155" i="13" s="1"/>
  <c r="B155" i="13" s="1"/>
  <c r="F154" i="13"/>
  <c r="H154" i="13" s="1"/>
  <c r="B154" i="13" s="1"/>
  <c r="F153" i="13"/>
  <c r="H153" i="13" s="1"/>
  <c r="B153" i="13" s="1"/>
  <c r="F152" i="13"/>
  <c r="F151" i="13"/>
  <c r="H151" i="13" s="1"/>
  <c r="B151" i="13" s="1"/>
  <c r="F150" i="13"/>
  <c r="H150" i="13" s="1"/>
  <c r="B150" i="13" s="1"/>
  <c r="F149" i="13"/>
  <c r="F148" i="13"/>
  <c r="H148" i="13" s="1"/>
  <c r="B148" i="13" s="1"/>
  <c r="F147" i="13"/>
  <c r="H147" i="13" s="1"/>
  <c r="B147" i="13" s="1"/>
  <c r="F146" i="13"/>
  <c r="H146" i="13" s="1"/>
  <c r="B146" i="13" s="1"/>
  <c r="B145" i="13"/>
  <c r="F144" i="13"/>
  <c r="H144" i="13" s="1"/>
  <c r="B144" i="13" s="1"/>
  <c r="F143" i="13"/>
  <c r="H143" i="13" s="1"/>
  <c r="B143" i="13" s="1"/>
  <c r="F142" i="13"/>
  <c r="H142" i="13" s="1"/>
  <c r="B142" i="13" s="1"/>
  <c r="F141" i="13"/>
  <c r="H141" i="13" s="1"/>
  <c r="B141" i="13" s="1"/>
  <c r="F140" i="13"/>
  <c r="F139" i="13"/>
  <c r="H139" i="13" s="1"/>
  <c r="B139" i="13" s="1"/>
  <c r="F138" i="13"/>
  <c r="H138" i="13" s="1"/>
  <c r="B138" i="13" s="1"/>
  <c r="F137" i="13"/>
  <c r="H137" i="13" s="1"/>
  <c r="B137" i="13" s="1"/>
  <c r="F136" i="13"/>
  <c r="H136" i="13" s="1"/>
  <c r="B136" i="13" s="1"/>
  <c r="F135" i="13"/>
  <c r="H135" i="13" s="1"/>
  <c r="B134" i="13"/>
  <c r="B133" i="13"/>
  <c r="F132" i="13"/>
  <c r="H132" i="13" s="1"/>
  <c r="B132" i="13" s="1"/>
  <c r="F131" i="13"/>
  <c r="H131" i="13" s="1"/>
  <c r="B131" i="13" s="1"/>
  <c r="B130" i="13"/>
  <c r="F129" i="13"/>
  <c r="F128" i="13"/>
  <c r="F51" i="14" s="1"/>
  <c r="F127" i="13"/>
  <c r="H127" i="13" s="1"/>
  <c r="B127" i="13" s="1"/>
  <c r="B126" i="13"/>
  <c r="F125" i="13"/>
  <c r="H125" i="13" s="1"/>
  <c r="B125" i="13" s="1"/>
  <c r="F124" i="13"/>
  <c r="H124" i="13" s="1"/>
  <c r="B124" i="13" s="1"/>
  <c r="F123" i="13"/>
  <c r="H123" i="13" s="1"/>
  <c r="B123" i="13" s="1"/>
  <c r="F122" i="13"/>
  <c r="I59" i="14" s="1"/>
  <c r="B121" i="13"/>
  <c r="F120" i="13"/>
  <c r="H120" i="13" s="1"/>
  <c r="B120" i="13" s="1"/>
  <c r="F119" i="13"/>
  <c r="F118" i="13"/>
  <c r="H118" i="13" s="1"/>
  <c r="B118" i="13" s="1"/>
  <c r="F117" i="13"/>
  <c r="F116" i="13"/>
  <c r="H116" i="13" s="1"/>
  <c r="B116" i="13" s="1"/>
  <c r="B115" i="13"/>
  <c r="AJ70" i="13"/>
  <c r="AJ69" i="13"/>
  <c r="AJ68" i="13"/>
  <c r="AJ67" i="13"/>
  <c r="AJ66" i="13"/>
  <c r="AJ65" i="13"/>
  <c r="AJ64" i="13"/>
  <c r="AJ63" i="13"/>
  <c r="AJ62" i="13"/>
  <c r="AJ61" i="13"/>
  <c r="AJ60" i="13"/>
  <c r="AJ59" i="13"/>
  <c r="AJ58" i="13"/>
  <c r="AJ57" i="13"/>
  <c r="AJ56" i="13"/>
  <c r="AJ55" i="13"/>
  <c r="AJ54" i="13"/>
  <c r="AJ53" i="13"/>
  <c r="D48" i="13"/>
  <c r="D47" i="13"/>
  <c r="D46" i="13"/>
  <c r="D45" i="13"/>
  <c r="D44" i="13"/>
  <c r="D43" i="13"/>
  <c r="D42" i="13"/>
  <c r="G11" i="14" s="1"/>
  <c r="D41"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14" i="19"/>
  <c r="B501" i="19"/>
  <c r="B488" i="19"/>
  <c r="B475" i="19"/>
  <c r="B462" i="19"/>
  <c r="B449" i="19"/>
  <c r="B436" i="19"/>
  <c r="B423" i="19"/>
  <c r="F422" i="19"/>
  <c r="B422" i="19" s="1"/>
  <c r="F421" i="19"/>
  <c r="F434" i="19" s="1"/>
  <c r="F420" i="19"/>
  <c r="B420" i="19" s="1"/>
  <c r="F419" i="19"/>
  <c r="F432" i="19" s="1"/>
  <c r="F418" i="19"/>
  <c r="B418" i="19" s="1"/>
  <c r="F417" i="19"/>
  <c r="F430" i="19" s="1"/>
  <c r="B417" i="19"/>
  <c r="F416" i="19"/>
  <c r="B416" i="19" s="1"/>
  <c r="F415" i="19"/>
  <c r="F428" i="19" s="1"/>
  <c r="F414" i="19"/>
  <c r="B414" i="19" s="1"/>
  <c r="F413" i="19"/>
  <c r="F426" i="19" s="1"/>
  <c r="F412" i="19"/>
  <c r="B412" i="19" s="1"/>
  <c r="F411" i="19"/>
  <c r="F424" i="19" s="1"/>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81" i="26"/>
  <c r="D882" i="26" s="1"/>
  <c r="D883" i="26" s="1"/>
  <c r="D884" i="26" s="1"/>
  <c r="D885" i="26" s="1"/>
  <c r="M880" i="26"/>
  <c r="G880" i="26"/>
  <c r="D879" i="26"/>
  <c r="M878" i="26"/>
  <c r="G878" i="26"/>
  <c r="D877" i="26"/>
  <c r="M876" i="26"/>
  <c r="G876" i="26"/>
  <c r="D871" i="26"/>
  <c r="D872" i="26" s="1"/>
  <c r="D873" i="26" s="1"/>
  <c r="D874" i="26" s="1"/>
  <c r="D875" i="26" s="1"/>
  <c r="M870" i="26"/>
  <c r="G870" i="26"/>
  <c r="D865" i="26"/>
  <c r="D866" i="26" s="1"/>
  <c r="D867" i="26" s="1"/>
  <c r="D868" i="26" s="1"/>
  <c r="D869" i="26" s="1"/>
  <c r="M864" i="26"/>
  <c r="G864" i="26"/>
  <c r="D859" i="26"/>
  <c r="D860" i="26" s="1"/>
  <c r="D861" i="26" s="1"/>
  <c r="D862" i="26" s="1"/>
  <c r="D863" i="26" s="1"/>
  <c r="M858" i="26"/>
  <c r="G858" i="26"/>
  <c r="D849" i="26"/>
  <c r="D850" i="26" s="1"/>
  <c r="D851" i="26" s="1"/>
  <c r="D852" i="26" s="1"/>
  <c r="D853" i="26" s="1"/>
  <c r="D854" i="26" s="1"/>
  <c r="D855" i="26" s="1"/>
  <c r="D856" i="26" s="1"/>
  <c r="D857" i="26" s="1"/>
  <c r="M848" i="26"/>
  <c r="G848" i="26"/>
  <c r="D842" i="26"/>
  <c r="D843" i="26" s="1"/>
  <c r="D844" i="26" s="1"/>
  <c r="D845" i="26" s="1"/>
  <c r="D846" i="26" s="1"/>
  <c r="D847" i="26" s="1"/>
  <c r="M841" i="26"/>
  <c r="G841" i="26"/>
  <c r="D835" i="26"/>
  <c r="D836" i="26" s="1"/>
  <c r="D837" i="26" s="1"/>
  <c r="D838" i="26" s="1"/>
  <c r="D839" i="26" s="1"/>
  <c r="D840" i="26" s="1"/>
  <c r="M834" i="26"/>
  <c r="G834" i="26"/>
  <c r="D828" i="26"/>
  <c r="D829" i="26" s="1"/>
  <c r="D830" i="26" s="1"/>
  <c r="D831" i="26" s="1"/>
  <c r="D832" i="26" s="1"/>
  <c r="D833" i="26" s="1"/>
  <c r="M827" i="26"/>
  <c r="G827" i="26"/>
  <c r="D818" i="26"/>
  <c r="D819" i="26" s="1"/>
  <c r="D820" i="26" s="1"/>
  <c r="D821" i="26" s="1"/>
  <c r="D822" i="26" s="1"/>
  <c r="D823" i="26" s="1"/>
  <c r="D824" i="26" s="1"/>
  <c r="D825" i="26" s="1"/>
  <c r="D826" i="26" s="1"/>
  <c r="M817" i="26"/>
  <c r="G817" i="26"/>
  <c r="D811" i="26"/>
  <c r="D812" i="26" s="1"/>
  <c r="D813" i="26" s="1"/>
  <c r="D814" i="26" s="1"/>
  <c r="D815" i="26" s="1"/>
  <c r="D816" i="26" s="1"/>
  <c r="M810" i="26"/>
  <c r="G810" i="26"/>
  <c r="D804" i="26"/>
  <c r="D805" i="26" s="1"/>
  <c r="D806" i="26" s="1"/>
  <c r="D807" i="26" s="1"/>
  <c r="D808" i="26" s="1"/>
  <c r="D809" i="26" s="1"/>
  <c r="M803" i="26"/>
  <c r="G803" i="26"/>
  <c r="D796" i="26"/>
  <c r="D797" i="26" s="1"/>
  <c r="D798" i="26" s="1"/>
  <c r="D799" i="26" s="1"/>
  <c r="D800" i="26" s="1"/>
  <c r="D801" i="26" s="1"/>
  <c r="D802" i="26" s="1"/>
  <c r="M795" i="26"/>
  <c r="G795" i="26"/>
  <c r="D790" i="26"/>
  <c r="D791" i="26" s="1"/>
  <c r="D792" i="26" s="1"/>
  <c r="D793" i="26" s="1"/>
  <c r="D794" i="26" s="1"/>
  <c r="M789" i="26"/>
  <c r="G789" i="26"/>
  <c r="D784" i="26"/>
  <c r="D785" i="26" s="1"/>
  <c r="D786" i="26" s="1"/>
  <c r="D787" i="26" s="1"/>
  <c r="D788" i="26" s="1"/>
  <c r="M783" i="26"/>
  <c r="G783" i="26"/>
  <c r="D778" i="26"/>
  <c r="D779" i="26" s="1"/>
  <c r="D780" i="26" s="1"/>
  <c r="D781" i="26" s="1"/>
  <c r="D782" i="26" s="1"/>
  <c r="M777" i="26"/>
  <c r="G777" i="26"/>
  <c r="D772" i="26"/>
  <c r="D773" i="26" s="1"/>
  <c r="D774" i="26" s="1"/>
  <c r="D775" i="26" s="1"/>
  <c r="D776" i="26" s="1"/>
  <c r="M771" i="26"/>
  <c r="G771" i="26"/>
  <c r="D765" i="26"/>
  <c r="D766" i="26" s="1"/>
  <c r="D767" i="26" s="1"/>
  <c r="D768" i="26" s="1"/>
  <c r="D769" i="26" s="1"/>
  <c r="D770" i="26" s="1"/>
  <c r="M764" i="26"/>
  <c r="G764" i="26"/>
  <c r="D759" i="26"/>
  <c r="D760" i="26" s="1"/>
  <c r="D761" i="26" s="1"/>
  <c r="D762" i="26" s="1"/>
  <c r="D763" i="26" s="1"/>
  <c r="M758" i="26"/>
  <c r="G758" i="26"/>
  <c r="D753" i="26"/>
  <c r="D754" i="26" s="1"/>
  <c r="D755" i="26" s="1"/>
  <c r="D756" i="26" s="1"/>
  <c r="D757" i="26" s="1"/>
  <c r="M752" i="26"/>
  <c r="G752" i="26"/>
  <c r="D746" i="26"/>
  <c r="D747" i="26" s="1"/>
  <c r="D748" i="26" s="1"/>
  <c r="D749" i="26" s="1"/>
  <c r="D750" i="26" s="1"/>
  <c r="D751" i="26" s="1"/>
  <c r="M745" i="26"/>
  <c r="G745" i="26"/>
  <c r="D740" i="26"/>
  <c r="D741" i="26" s="1"/>
  <c r="D742" i="26" s="1"/>
  <c r="D743" i="26" s="1"/>
  <c r="D744" i="26" s="1"/>
  <c r="M739" i="26"/>
  <c r="G739" i="26"/>
  <c r="D734" i="26"/>
  <c r="D735" i="26" s="1"/>
  <c r="D736" i="26" s="1"/>
  <c r="D737" i="26" s="1"/>
  <c r="D738" i="26" s="1"/>
  <c r="M733" i="26"/>
  <c r="G733" i="26"/>
  <c r="D728" i="26"/>
  <c r="D729" i="26" s="1"/>
  <c r="D730" i="26" s="1"/>
  <c r="D731" i="26" s="1"/>
  <c r="D732" i="26" s="1"/>
  <c r="M727" i="26"/>
  <c r="G727" i="26"/>
  <c r="D722" i="26"/>
  <c r="D723" i="26" s="1"/>
  <c r="D724" i="26" s="1"/>
  <c r="D725" i="26" s="1"/>
  <c r="D726" i="26" s="1"/>
  <c r="M721" i="26"/>
  <c r="G721" i="26"/>
  <c r="D716" i="26"/>
  <c r="D717" i="26" s="1"/>
  <c r="D718" i="26" s="1"/>
  <c r="D719" i="26" s="1"/>
  <c r="D720" i="26" s="1"/>
  <c r="M715" i="26"/>
  <c r="G715" i="26"/>
  <c r="D710" i="26"/>
  <c r="D711" i="26" s="1"/>
  <c r="D712" i="26" s="1"/>
  <c r="D713" i="26" s="1"/>
  <c r="D714" i="26" s="1"/>
  <c r="M709" i="26"/>
  <c r="G709" i="26"/>
  <c r="D704" i="26"/>
  <c r="D705" i="26" s="1"/>
  <c r="D706" i="26" s="1"/>
  <c r="D707" i="26" s="1"/>
  <c r="D708" i="26" s="1"/>
  <c r="M703" i="26"/>
  <c r="G703" i="26"/>
  <c r="D698" i="26"/>
  <c r="D699" i="26" s="1"/>
  <c r="D700" i="26" s="1"/>
  <c r="D701" i="26" s="1"/>
  <c r="D702" i="26" s="1"/>
  <c r="L696" i="26"/>
  <c r="L695" i="26"/>
  <c r="E695" i="26" s="1"/>
  <c r="L694" i="26"/>
  <c r="L693" i="26"/>
  <c r="E693" i="26" s="1"/>
  <c r="L692" i="26"/>
  <c r="L691" i="26"/>
  <c r="E691" i="26" s="1"/>
  <c r="L690" i="26"/>
  <c r="L689" i="26"/>
  <c r="E689" i="26" s="1"/>
  <c r="L688" i="26"/>
  <c r="L687" i="26"/>
  <c r="E687" i="26" s="1"/>
  <c r="D687" i="26"/>
  <c r="D688" i="26" s="1"/>
  <c r="D689" i="26" s="1"/>
  <c r="D690" i="26" s="1"/>
  <c r="D691" i="26" s="1"/>
  <c r="D692" i="26" s="1"/>
  <c r="D693" i="26" s="1"/>
  <c r="D694" i="26" s="1"/>
  <c r="D695" i="26" s="1"/>
  <c r="D696" i="26" s="1"/>
  <c r="X66" i="26"/>
  <c r="X64" i="26"/>
  <c r="X54" i="26"/>
  <c r="X49" i="26"/>
  <c r="X42" i="26"/>
  <c r="X38" i="26"/>
  <c r="X33" i="26"/>
  <c r="X26" i="26"/>
  <c r="X18" i="26"/>
  <c r="L9" i="26"/>
  <c r="K9" i="26"/>
  <c r="J9" i="26"/>
  <c r="I9" i="26"/>
  <c r="H9" i="26"/>
  <c r="G9" i="26"/>
  <c r="F9" i="26"/>
  <c r="E9" i="26"/>
  <c r="D9" i="26"/>
  <c r="C9" i="26"/>
  <c r="AQ2266" i="11"/>
  <c r="AQ2265" i="11"/>
  <c r="AQ2264" i="11"/>
  <c r="AQ2263" i="11"/>
  <c r="AQ2262" i="11"/>
  <c r="AQ2261" i="11"/>
  <c r="AQ2260" i="11"/>
  <c r="AQ2259" i="11"/>
  <c r="AQ2258" i="11"/>
  <c r="AQ2257" i="11"/>
  <c r="AQ2256" i="11"/>
  <c r="AQ2255" i="11"/>
  <c r="AQ2254" i="11"/>
  <c r="AQ2253" i="11"/>
  <c r="AQ2252" i="11"/>
  <c r="AQ2251" i="11"/>
  <c r="AQ2250" i="11"/>
  <c r="AQ2249" i="11"/>
  <c r="AQ2248" i="11"/>
  <c r="AQ2247" i="11"/>
  <c r="AQ2246" i="11"/>
  <c r="AQ2245" i="11"/>
  <c r="AQ2244" i="11"/>
  <c r="AQ2243" i="11"/>
  <c r="AQ2242" i="11"/>
  <c r="AQ2241" i="11"/>
  <c r="AQ2240" i="11"/>
  <c r="AQ2239" i="11"/>
  <c r="I2196" i="11"/>
  <c r="I2195" i="11"/>
  <c r="I2194" i="11"/>
  <c r="I2193" i="11"/>
  <c r="I2192" i="11"/>
  <c r="I2191" i="11"/>
  <c r="I2190" i="11"/>
  <c r="I2189" i="11"/>
  <c r="I2188" i="11"/>
  <c r="G2178" i="11"/>
  <c r="H2178" i="11" s="1"/>
  <c r="H2170" i="11"/>
  <c r="H2169" i="11"/>
  <c r="H2168" i="11"/>
  <c r="H2167" i="11"/>
  <c r="H2166" i="11"/>
  <c r="H2165" i="11"/>
  <c r="H2164" i="11"/>
  <c r="H2163" i="11"/>
  <c r="H2162" i="11"/>
  <c r="H2161" i="11"/>
  <c r="H2160" i="11"/>
  <c r="H2159" i="11"/>
  <c r="H2158" i="11"/>
  <c r="H2157" i="11"/>
  <c r="H2156" i="11"/>
  <c r="H2155" i="11"/>
  <c r="H2154" i="11"/>
  <c r="H2153" i="11"/>
  <c r="H2152" i="11"/>
  <c r="H2151" i="11"/>
  <c r="H2150" i="11"/>
  <c r="H2149" i="11"/>
  <c r="H2148" i="11"/>
  <c r="H2147" i="11"/>
  <c r="H2146" i="11"/>
  <c r="H2145" i="11"/>
  <c r="H2144" i="11"/>
  <c r="H2143" i="11"/>
  <c r="H2142" i="11"/>
  <c r="H2141" i="11"/>
  <c r="H2140" i="11"/>
  <c r="G2140" i="11" s="1"/>
  <c r="E2132" i="11"/>
  <c r="E2131" i="11"/>
  <c r="L2131" i="11" s="1"/>
  <c r="E2130" i="11"/>
  <c r="E2129" i="11"/>
  <c r="L2129" i="11" s="1"/>
  <c r="E2128" i="11"/>
  <c r="E2127" i="11"/>
  <c r="L2127" i="11" s="1"/>
  <c r="E2126" i="11"/>
  <c r="E2125" i="11"/>
  <c r="E2124" i="11"/>
  <c r="I2124" i="11" s="1"/>
  <c r="E2123" i="11"/>
  <c r="L2123" i="11" s="1"/>
  <c r="E2122" i="11"/>
  <c r="I2122" i="11" s="1"/>
  <c r="E2121" i="11"/>
  <c r="L2121" i="11" s="1"/>
  <c r="E2120" i="11"/>
  <c r="E2119" i="11"/>
  <c r="E2118" i="11"/>
  <c r="I2118" i="11" s="1"/>
  <c r="E2117" i="11"/>
  <c r="R2116" i="11"/>
  <c r="E2116" i="11"/>
  <c r="C1946" i="11" s="1"/>
  <c r="J2115" i="11"/>
  <c r="R2115" i="11" s="1"/>
  <c r="J2114" i="11"/>
  <c r="R2114" i="11" s="1"/>
  <c r="J2113" i="11"/>
  <c r="R2113" i="11" s="1"/>
  <c r="J2112" i="11"/>
  <c r="R2112" i="11" s="1"/>
  <c r="J2111" i="11"/>
  <c r="R2111" i="11" s="1"/>
  <c r="J2110" i="11"/>
  <c r="R2110" i="11" s="1"/>
  <c r="J2109" i="11"/>
  <c r="R2109" i="11" s="1"/>
  <c r="J2108" i="11"/>
  <c r="R2108" i="11" s="1"/>
  <c r="J2107" i="11"/>
  <c r="H2111" i="11" s="1"/>
  <c r="J2106" i="11"/>
  <c r="R2106" i="11" s="1"/>
  <c r="J2105" i="11"/>
  <c r="R2105" i="11" s="1"/>
  <c r="J2104" i="11"/>
  <c r="R2104" i="11" s="1"/>
  <c r="J2103" i="11"/>
  <c r="R2103" i="11" s="1"/>
  <c r="R2102" i="11"/>
  <c r="F2102" i="11"/>
  <c r="J2101" i="11"/>
  <c r="R2101" i="11" s="1"/>
  <c r="J2100" i="11"/>
  <c r="R2100" i="11" s="1"/>
  <c r="J2099" i="11"/>
  <c r="R2099" i="11" s="1"/>
  <c r="J2098" i="11"/>
  <c r="R2098" i="11" s="1"/>
  <c r="J2097" i="11"/>
  <c r="R2097" i="11" s="1"/>
  <c r="J2096" i="11"/>
  <c r="H2098" i="11" s="1"/>
  <c r="J2095" i="11"/>
  <c r="R2095" i="11" s="1"/>
  <c r="J2094" i="11"/>
  <c r="R2094" i="11" s="1"/>
  <c r="J2093" i="11"/>
  <c r="R2093" i="11" s="1"/>
  <c r="J2092" i="11"/>
  <c r="R2092" i="11" s="1"/>
  <c r="J2091" i="11"/>
  <c r="R2091" i="11" s="1"/>
  <c r="R2090" i="11"/>
  <c r="F2090" i="11"/>
  <c r="L2098" i="11" s="1"/>
  <c r="J2089" i="11"/>
  <c r="R2089" i="11" s="1"/>
  <c r="J2088" i="11"/>
  <c r="R2088" i="11" s="1"/>
  <c r="J2087" i="11"/>
  <c r="R2087" i="11" s="1"/>
  <c r="J2086" i="11"/>
  <c r="R2086" i="11" s="1"/>
  <c r="J2085" i="11"/>
  <c r="H2089" i="11" s="1"/>
  <c r="J2084" i="11"/>
  <c r="R2084" i="11" s="1"/>
  <c r="J2083" i="11"/>
  <c r="H2086" i="11" s="1"/>
  <c r="J2082" i="11"/>
  <c r="R2082" i="11" s="1"/>
  <c r="J2081" i="11"/>
  <c r="R2081" i="11" s="1"/>
  <c r="J2080" i="11"/>
  <c r="R2080" i="11" s="1"/>
  <c r="J2079" i="11"/>
  <c r="R2079" i="11" s="1"/>
  <c r="R2078" i="11"/>
  <c r="F2078" i="11"/>
  <c r="L2087" i="11" s="1"/>
  <c r="J2077" i="11"/>
  <c r="R2077" i="11" s="1"/>
  <c r="J2076" i="11"/>
  <c r="R2076" i="11" s="1"/>
  <c r="J2075" i="11"/>
  <c r="R2075" i="11" s="1"/>
  <c r="J2074" i="11"/>
  <c r="R2074" i="11" s="1"/>
  <c r="J2073" i="11"/>
  <c r="R2073" i="11" s="1"/>
  <c r="J2072" i="11"/>
  <c r="R2072" i="11" s="1"/>
  <c r="J2071" i="11"/>
  <c r="R2071" i="11" s="1"/>
  <c r="J2070" i="11"/>
  <c r="H2075" i="11" s="1"/>
  <c r="J2069" i="11"/>
  <c r="R2069" i="11" s="1"/>
  <c r="J2068" i="11"/>
  <c r="R2068" i="11" s="1"/>
  <c r="J2067" i="11"/>
  <c r="R2067" i="11" s="1"/>
  <c r="J2066" i="11"/>
  <c r="R2066" i="11" s="1"/>
  <c r="J2065" i="11"/>
  <c r="R2065" i="11" s="1"/>
  <c r="R2064" i="11"/>
  <c r="F2064" i="11"/>
  <c r="J2063" i="11"/>
  <c r="R2063" i="11" s="1"/>
  <c r="J2062" i="11"/>
  <c r="R2062" i="11" s="1"/>
  <c r="J2061" i="11"/>
  <c r="R2061" i="11" s="1"/>
  <c r="J2060" i="11"/>
  <c r="R2060" i="11" s="1"/>
  <c r="J2059" i="11"/>
  <c r="R2059" i="11" s="1"/>
  <c r="J2058" i="11"/>
  <c r="R2058" i="11" s="1"/>
  <c r="J2057" i="11"/>
  <c r="R2057" i="11" s="1"/>
  <c r="J2056" i="11"/>
  <c r="H2060" i="11" s="1"/>
  <c r="J2055" i="11"/>
  <c r="R2055" i="11" s="1"/>
  <c r="J2054" i="11"/>
  <c r="R2054" i="11" s="1"/>
  <c r="W2053" i="11"/>
  <c r="V2053" i="11"/>
  <c r="U2053" i="11"/>
  <c r="T2053" i="11"/>
  <c r="J2053" i="11"/>
  <c r="R2053" i="11" s="1"/>
  <c r="W2052" i="11"/>
  <c r="V2052" i="11"/>
  <c r="U2052" i="11"/>
  <c r="T2052" i="11"/>
  <c r="R2052" i="11"/>
  <c r="F2052" i="11"/>
  <c r="L2055" i="11" s="1"/>
  <c r="Y2051" i="11"/>
  <c r="X2051" i="11"/>
  <c r="W2051" i="11"/>
  <c r="V2051" i="11"/>
  <c r="U2051" i="11"/>
  <c r="T2051" i="11"/>
  <c r="J2051" i="11"/>
  <c r="R2051" i="11" s="1"/>
  <c r="Y2050" i="11"/>
  <c r="X2050" i="11"/>
  <c r="W2050" i="11"/>
  <c r="V2050" i="11"/>
  <c r="U2050" i="11"/>
  <c r="T2050" i="11"/>
  <c r="J2050" i="11"/>
  <c r="R2050" i="11" s="1"/>
  <c r="Y2049" i="11"/>
  <c r="X2049" i="11"/>
  <c r="W2049" i="11"/>
  <c r="V2049" i="11"/>
  <c r="U2049" i="11"/>
  <c r="T2049" i="11"/>
  <c r="J2049" i="11"/>
  <c r="K2049" i="11" s="1"/>
  <c r="Y2048" i="11"/>
  <c r="X2048" i="11"/>
  <c r="W2048" i="11"/>
  <c r="V2048" i="11"/>
  <c r="U2048" i="11"/>
  <c r="T2048" i="11"/>
  <c r="J2048" i="11"/>
  <c r="R2048" i="11" s="1"/>
  <c r="Y2047" i="11"/>
  <c r="X2047" i="11"/>
  <c r="W2047" i="11"/>
  <c r="V2047" i="11"/>
  <c r="U2047" i="11"/>
  <c r="T2047" i="11"/>
  <c r="J2047" i="11"/>
  <c r="R2047" i="11" s="1"/>
  <c r="J2046" i="11"/>
  <c r="R2046" i="11" s="1"/>
  <c r="J2045" i="11"/>
  <c r="H2050" i="11" s="1"/>
  <c r="J2044" i="11"/>
  <c r="H2045" i="11" s="1"/>
  <c r="J2043" i="11"/>
  <c r="R2043" i="11" s="1"/>
  <c r="J2042" i="11"/>
  <c r="R2042" i="11" s="1"/>
  <c r="J2041" i="11"/>
  <c r="J2040" i="11"/>
  <c r="R2039" i="11"/>
  <c r="F2039" i="11"/>
  <c r="L2045" i="11" s="1"/>
  <c r="T2038" i="11"/>
  <c r="J2038" i="11"/>
  <c r="R2038" i="11" s="1"/>
  <c r="J2037" i="11"/>
  <c r="R2037" i="11" s="1"/>
  <c r="J2036" i="11"/>
  <c r="R2036" i="11" s="1"/>
  <c r="J2035" i="11"/>
  <c r="H2037" i="11" s="1"/>
  <c r="J2034" i="11"/>
  <c r="R2034" i="11" s="1"/>
  <c r="J2033" i="11"/>
  <c r="R2033" i="11" s="1"/>
  <c r="J2032" i="11"/>
  <c r="R2032" i="11" s="1"/>
  <c r="J2031" i="11"/>
  <c r="R2031" i="11" s="1"/>
  <c r="T2030" i="11"/>
  <c r="J2030" i="11"/>
  <c r="R2030" i="11" s="1"/>
  <c r="J2029" i="11"/>
  <c r="R2029" i="11" s="1"/>
  <c r="J2028" i="11"/>
  <c r="R2028" i="11" s="1"/>
  <c r="R2027" i="11"/>
  <c r="F2027" i="11"/>
  <c r="L2032" i="11" s="1"/>
  <c r="J2026" i="11"/>
  <c r="R2026" i="11" s="1"/>
  <c r="J2025" i="11"/>
  <c r="R2025" i="11" s="1"/>
  <c r="J2024" i="11"/>
  <c r="R2024" i="11" s="1"/>
  <c r="J2023" i="11"/>
  <c r="H2024" i="11" s="1"/>
  <c r="T2022" i="11"/>
  <c r="J2022" i="11"/>
  <c r="R2022" i="11" s="1"/>
  <c r="J2021" i="11"/>
  <c r="R2021" i="11" s="1"/>
  <c r="J2020" i="11"/>
  <c r="R2020" i="11" s="1"/>
  <c r="J2019" i="11"/>
  <c r="R2019" i="11" s="1"/>
  <c r="J2018" i="11"/>
  <c r="R2018" i="11" s="1"/>
  <c r="J2017" i="11"/>
  <c r="R2017" i="11" s="1"/>
  <c r="J2016" i="11"/>
  <c r="H2020" i="11" s="1"/>
  <c r="J2015" i="11"/>
  <c r="R2015" i="11" s="1"/>
  <c r="T2014" i="11"/>
  <c r="J2014" i="11"/>
  <c r="R2013" i="11"/>
  <c r="F2013" i="11"/>
  <c r="L2021" i="11" s="1"/>
  <c r="J2012" i="11"/>
  <c r="R2012" i="11" s="1"/>
  <c r="J2011" i="11"/>
  <c r="R2011" i="11" s="1"/>
  <c r="J2010" i="11"/>
  <c r="R2010" i="11" s="1"/>
  <c r="J2009" i="11"/>
  <c r="R2009" i="11" s="1"/>
  <c r="J2008" i="11"/>
  <c r="R2008" i="11" s="1"/>
  <c r="J2007" i="11"/>
  <c r="R2007" i="11" s="1"/>
  <c r="T2006" i="11"/>
  <c r="J2006" i="11"/>
  <c r="R2006" i="11" s="1"/>
  <c r="J2005" i="11"/>
  <c r="R2005" i="11" s="1"/>
  <c r="J2004" i="11"/>
  <c r="R2004" i="11" s="1"/>
  <c r="J2003" i="11"/>
  <c r="R2003" i="11" s="1"/>
  <c r="J2002" i="11"/>
  <c r="R2002" i="11" s="1"/>
  <c r="J2001" i="11"/>
  <c r="R2001" i="11" s="1"/>
  <c r="R2000" i="11"/>
  <c r="F2000" i="11"/>
  <c r="L2010" i="11" s="1"/>
  <c r="J1999" i="11"/>
  <c r="R1999" i="11" s="1"/>
  <c r="T1998" i="11"/>
  <c r="J1998" i="11"/>
  <c r="R1998" i="11" s="1"/>
  <c r="J1997" i="11"/>
  <c r="R1997" i="11" s="1"/>
  <c r="J1996" i="11"/>
  <c r="R1996" i="11" s="1"/>
  <c r="J1995" i="11"/>
  <c r="R1995" i="11" s="1"/>
  <c r="J1994" i="11"/>
  <c r="R1994" i="11" s="1"/>
  <c r="J1993" i="11"/>
  <c r="R1993" i="11" s="1"/>
  <c r="J1992" i="11"/>
  <c r="R1992" i="11" s="1"/>
  <c r="J1991" i="11"/>
  <c r="R1991" i="11" s="1"/>
  <c r="T1990" i="11"/>
  <c r="J1990" i="11"/>
  <c r="R1990" i="11" s="1"/>
  <c r="J1989" i="11"/>
  <c r="R1989" i="11" s="1"/>
  <c r="J1988" i="11"/>
  <c r="R1987" i="11"/>
  <c r="F1987" i="11"/>
  <c r="L1994" i="11" s="1"/>
  <c r="J1986" i="11"/>
  <c r="R1986" i="11" s="1"/>
  <c r="J1985" i="11"/>
  <c r="R1985" i="11" s="1"/>
  <c r="J1984" i="11"/>
  <c r="R1984" i="11" s="1"/>
  <c r="J1983" i="11"/>
  <c r="H1985" i="11" s="1"/>
  <c r="T1982" i="11"/>
  <c r="J1982" i="11"/>
  <c r="K1982" i="11" s="1"/>
  <c r="J1981" i="11"/>
  <c r="R1981" i="11" s="1"/>
  <c r="J1980" i="11"/>
  <c r="R1980" i="11" s="1"/>
  <c r="J1979" i="11"/>
  <c r="H1983" i="11" s="1"/>
  <c r="J1978" i="11"/>
  <c r="R1978" i="11" s="1"/>
  <c r="J1977" i="11"/>
  <c r="R1977" i="11" s="1"/>
  <c r="J1976" i="11"/>
  <c r="R1976" i="11" s="1"/>
  <c r="J1975" i="11"/>
  <c r="R1975" i="11" s="1"/>
  <c r="T1974" i="11"/>
  <c r="J1974" i="11"/>
  <c r="R1974" i="11" s="1"/>
  <c r="R1973" i="11"/>
  <c r="F1973" i="11"/>
  <c r="L1979" i="11" s="1"/>
  <c r="J1972" i="11"/>
  <c r="R1972" i="11" s="1"/>
  <c r="J1971" i="11"/>
  <c r="R1971" i="11" s="1"/>
  <c r="J1970" i="11"/>
  <c r="R1970" i="11" s="1"/>
  <c r="J1969" i="11"/>
  <c r="R1969" i="11" s="1"/>
  <c r="J1968" i="11"/>
  <c r="R1968" i="11" s="1"/>
  <c r="J1967" i="11"/>
  <c r="R1967" i="11" s="1"/>
  <c r="T1966" i="11"/>
  <c r="J1966" i="11"/>
  <c r="R1966" i="11" s="1"/>
  <c r="J1965" i="11"/>
  <c r="R1965" i="11" s="1"/>
  <c r="J1964" i="11"/>
  <c r="R1964" i="11" s="1"/>
  <c r="J1963" i="11"/>
  <c r="R1963" i="11" s="1"/>
  <c r="J1962" i="11"/>
  <c r="R1962" i="11" s="1"/>
  <c r="J1961" i="11"/>
  <c r="R1961" i="11" s="1"/>
  <c r="J1960" i="11"/>
  <c r="R1960" i="11" s="1"/>
  <c r="R1959" i="11"/>
  <c r="F1959" i="11"/>
  <c r="L1966" i="11" s="1"/>
  <c r="J1958" i="11"/>
  <c r="R1958" i="11" s="1"/>
  <c r="T1957" i="11"/>
  <c r="J1957" i="11"/>
  <c r="R1957" i="11" s="1"/>
  <c r="J1956" i="11"/>
  <c r="R1956" i="11" s="1"/>
  <c r="J1955" i="11"/>
  <c r="R1955" i="11" s="1"/>
  <c r="J1954" i="11"/>
  <c r="H1955" i="11" s="1"/>
  <c r="J1953" i="11"/>
  <c r="R1953" i="11" s="1"/>
  <c r="J1952" i="11"/>
  <c r="H1954" i="11" s="1"/>
  <c r="J1951" i="11"/>
  <c r="R1951" i="11" s="1"/>
  <c r="J1950" i="11"/>
  <c r="R1950" i="11" s="1"/>
  <c r="T1949" i="11"/>
  <c r="J1949" i="11"/>
  <c r="R1949" i="11" s="1"/>
  <c r="J1948" i="11"/>
  <c r="R1948" i="11" s="1"/>
  <c r="J1947" i="11"/>
  <c r="H1950" i="11" s="1"/>
  <c r="R1946" i="11"/>
  <c r="F1946" i="11"/>
  <c r="L1955" i="11" s="1"/>
  <c r="J1945" i="11"/>
  <c r="R1945" i="11" s="1"/>
  <c r="J1944" i="11"/>
  <c r="R1944" i="11" s="1"/>
  <c r="J1943" i="11"/>
  <c r="R1943" i="11" s="1"/>
  <c r="J1942" i="11"/>
  <c r="R1942" i="11" s="1"/>
  <c r="T1941" i="11"/>
  <c r="J1941" i="11"/>
  <c r="R1941" i="11" s="1"/>
  <c r="J1940" i="11"/>
  <c r="R1940" i="11" s="1"/>
  <c r="J1939" i="11"/>
  <c r="R1939" i="11" s="1"/>
  <c r="J1938" i="11"/>
  <c r="R1938" i="11" s="1"/>
  <c r="J1937" i="11"/>
  <c r="H1939" i="11" s="1"/>
  <c r="J1936" i="11"/>
  <c r="R1936" i="11" s="1"/>
  <c r="J1935" i="11"/>
  <c r="R1935" i="11" s="1"/>
  <c r="J1934" i="11"/>
  <c r="R1934" i="11" s="1"/>
  <c r="F1933" i="11"/>
  <c r="L1935" i="11" s="1"/>
  <c r="Q1923" i="11"/>
  <c r="P1923" i="11"/>
  <c r="O1923" i="11"/>
  <c r="Q1922" i="11"/>
  <c r="P1922" i="11"/>
  <c r="O1922" i="11"/>
  <c r="Q1921" i="11"/>
  <c r="P1921" i="11"/>
  <c r="O1921" i="11"/>
  <c r="Q1920" i="11"/>
  <c r="P1920" i="11"/>
  <c r="O1920" i="11"/>
  <c r="Q1919" i="11"/>
  <c r="P1919" i="11"/>
  <c r="O1919" i="11"/>
  <c r="Q1918" i="11"/>
  <c r="P1918" i="11"/>
  <c r="O1918" i="11"/>
  <c r="Q1917" i="11"/>
  <c r="P1917" i="11"/>
  <c r="O1917" i="11"/>
  <c r="Q1916" i="11"/>
  <c r="P1916" i="11"/>
  <c r="O1916" i="11"/>
  <c r="Q1915" i="11"/>
  <c r="P1915" i="11"/>
  <c r="O1915" i="11"/>
  <c r="Q1914" i="11"/>
  <c r="P1914" i="11"/>
  <c r="O1914" i="11"/>
  <c r="Q1823" i="11"/>
  <c r="Q1822" i="11"/>
  <c r="Q1821" i="11"/>
  <c r="Q1820" i="11"/>
  <c r="Q1819" i="11"/>
  <c r="Q1816" i="11"/>
  <c r="Q1815" i="11"/>
  <c r="Q1814" i="11"/>
  <c r="Q1803" i="11"/>
  <c r="Q1802" i="11"/>
  <c r="Q1801" i="11"/>
  <c r="Q1800" i="11"/>
  <c r="Q1799" i="11"/>
  <c r="Q1798" i="11"/>
  <c r="Q1792" i="11"/>
  <c r="Q1791" i="11"/>
  <c r="Q1790" i="11"/>
  <c r="Q1789" i="11"/>
  <c r="Q1787" i="11"/>
  <c r="Q1786" i="11"/>
  <c r="Q1764" i="11"/>
  <c r="Q1763" i="11"/>
  <c r="Q1762" i="11"/>
  <c r="Q1761" i="11"/>
  <c r="Q1760" i="11"/>
  <c r="Q1759" i="11"/>
  <c r="Q1758" i="11"/>
  <c r="C1742" i="11"/>
  <c r="Q1737" i="11"/>
  <c r="Q1736" i="11"/>
  <c r="Q1735" i="11"/>
  <c r="Q1734" i="11"/>
  <c r="Q1733" i="11"/>
  <c r="Q1732" i="11"/>
  <c r="Q1731" i="11"/>
  <c r="Q1730" i="11"/>
  <c r="Q1729" i="11"/>
  <c r="Q1728" i="11"/>
  <c r="Q1727" i="11"/>
  <c r="Q1726" i="11"/>
  <c r="Q1725" i="11"/>
  <c r="Q1724" i="11"/>
  <c r="Q1723" i="11"/>
  <c r="Q1722" i="11"/>
  <c r="Q1721" i="11"/>
  <c r="Q1720" i="11"/>
  <c r="Q1719" i="11"/>
  <c r="Q1718" i="11"/>
  <c r="Q1717" i="11"/>
  <c r="Q1716" i="11"/>
  <c r="Q1715" i="11"/>
  <c r="Q1714" i="11"/>
  <c r="Q1713" i="11"/>
  <c r="Q1712" i="11"/>
  <c r="Q1711" i="11"/>
  <c r="Q1710" i="11"/>
  <c r="Q1683" i="11"/>
  <c r="Q1682" i="11"/>
  <c r="Q1674" i="11"/>
  <c r="Q1673" i="11"/>
  <c r="Q1670" i="11"/>
  <c r="Q1668" i="11"/>
  <c r="P1631" i="11"/>
  <c r="P1630" i="11"/>
  <c r="P1629" i="11"/>
  <c r="P1628" i="11"/>
  <c r="P1627" i="11"/>
  <c r="G1595" i="11"/>
  <c r="F1595" i="11"/>
  <c r="E1595" i="11"/>
  <c r="W1563" i="11" s="1"/>
  <c r="G1594" i="11"/>
  <c r="F1594" i="11"/>
  <c r="E1594" i="11"/>
  <c r="G1593" i="11"/>
  <c r="F1593" i="11"/>
  <c r="E1593" i="11"/>
  <c r="G1592" i="11"/>
  <c r="F1592" i="11"/>
  <c r="E1592" i="11"/>
  <c r="W1560" i="11" s="1"/>
  <c r="G1591" i="11"/>
  <c r="F1591" i="11"/>
  <c r="E1591" i="11"/>
  <c r="W1559" i="11" s="1"/>
  <c r="Y1557" i="11"/>
  <c r="Y1556" i="11"/>
  <c r="Y1555" i="11"/>
  <c r="Y1554" i="11"/>
  <c r="Y1553" i="11"/>
  <c r="Y1552" i="11"/>
  <c r="Y1551" i="11"/>
  <c r="Y1550" i="11"/>
  <c r="Y1549" i="11"/>
  <c r="Y1548" i="11"/>
  <c r="Y1547" i="11"/>
  <c r="Y1546" i="11"/>
  <c r="Y1545" i="11"/>
  <c r="Y1544" i="11"/>
  <c r="Y1543" i="11"/>
  <c r="Y1542" i="11"/>
  <c r="Y1541" i="11"/>
  <c r="Y1540" i="11"/>
  <c r="Y1539" i="11"/>
  <c r="Y1538" i="11"/>
  <c r="Y1537" i="11"/>
  <c r="Y1536" i="11"/>
  <c r="Y1535" i="11"/>
  <c r="Y1534" i="11"/>
  <c r="Y1533" i="11"/>
  <c r="Y1532" i="11"/>
  <c r="Y1531" i="11"/>
  <c r="Y1530" i="11"/>
  <c r="Y1529" i="11"/>
  <c r="Y1528" i="11"/>
  <c r="Q1522" i="11"/>
  <c r="Y1527" i="11"/>
  <c r="Q1521" i="11"/>
  <c r="Y1526" i="11"/>
  <c r="Q1520" i="11"/>
  <c r="Y1525" i="11"/>
  <c r="Y1524" i="11"/>
  <c r="Y1523" i="11"/>
  <c r="Y1522" i="11"/>
  <c r="Y1521" i="11"/>
  <c r="Y1515" i="11"/>
  <c r="Y1511" i="11"/>
  <c r="Y1510" i="11"/>
  <c r="Y1509" i="11"/>
  <c r="Y1508" i="11"/>
  <c r="Y1507" i="11"/>
  <c r="Y1506" i="11"/>
  <c r="Y1503" i="11"/>
  <c r="Y1502" i="11"/>
  <c r="Y1500" i="11"/>
  <c r="Y1499" i="11"/>
  <c r="Y1498" i="11"/>
  <c r="Y1497" i="11"/>
  <c r="Y1496" i="11"/>
  <c r="Y1495" i="11"/>
  <c r="Y1494" i="11"/>
  <c r="Y1493" i="11"/>
  <c r="Y1492" i="11"/>
  <c r="Y1491" i="11"/>
  <c r="Y1490" i="11"/>
  <c r="Y1489" i="11"/>
  <c r="Y1488" i="11"/>
  <c r="Y1487" i="11"/>
  <c r="Y1486" i="11"/>
  <c r="Y1485" i="11"/>
  <c r="Q1479" i="11"/>
  <c r="Y1484" i="11"/>
  <c r="Q1478" i="11"/>
  <c r="Q1477" i="11"/>
  <c r="Y1482" i="11"/>
  <c r="Q1476" i="11"/>
  <c r="Y1481" i="11"/>
  <c r="Q1475" i="11"/>
  <c r="Y1480" i="11"/>
  <c r="Q1474" i="11"/>
  <c r="Y1479" i="11"/>
  <c r="Q1473" i="11"/>
  <c r="Y1478" i="11"/>
  <c r="Q1472" i="11"/>
  <c r="Y1477" i="11"/>
  <c r="Q1471" i="11"/>
  <c r="Y1476" i="11"/>
  <c r="Q1470" i="11"/>
  <c r="Y1475" i="11"/>
  <c r="Q1469" i="11"/>
  <c r="Y1474" i="11"/>
  <c r="Q1468" i="11"/>
  <c r="Y1473" i="11"/>
  <c r="Q1467" i="11"/>
  <c r="Y1472" i="11"/>
  <c r="Q1466" i="11"/>
  <c r="Q1465" i="11"/>
  <c r="Q1464" i="11"/>
  <c r="Q1463" i="11"/>
  <c r="Q1462" i="11"/>
  <c r="Q1461" i="11"/>
  <c r="K1461" i="11" a="1"/>
  <c r="K1468" i="11" s="1"/>
  <c r="Q1460" i="11"/>
  <c r="Q1459" i="11"/>
  <c r="Q1458" i="11"/>
  <c r="Q1457" i="11"/>
  <c r="Q1456" i="11"/>
  <c r="Q1455" i="11"/>
  <c r="Q1453" i="11"/>
  <c r="Y1452" i="11"/>
  <c r="Y1451" i="11"/>
  <c r="Y1450" i="11"/>
  <c r="Y1449" i="11"/>
  <c r="Y1448" i="11"/>
  <c r="Y1447" i="11"/>
  <c r="Y1446" i="11"/>
  <c r="Y1445" i="11"/>
  <c r="Y1444" i="11"/>
  <c r="Y1443" i="11"/>
  <c r="Y1442" i="11"/>
  <c r="Y1441" i="11"/>
  <c r="Y1440" i="11"/>
  <c r="Y1439" i="11"/>
  <c r="Y1438" i="11"/>
  <c r="Y1437" i="11"/>
  <c r="Y1436" i="11"/>
  <c r="Y1435" i="11"/>
  <c r="Y1434" i="11"/>
  <c r="Y1433" i="11"/>
  <c r="X1433" i="11"/>
  <c r="Y1432" i="11"/>
  <c r="Y1431" i="11"/>
  <c r="Y1430" i="11"/>
  <c r="Y1429" i="11"/>
  <c r="Y1428" i="11"/>
  <c r="Q1428" i="11"/>
  <c r="Y1427" i="11"/>
  <c r="Q1427" i="11"/>
  <c r="Y1426" i="11"/>
  <c r="Q1426" i="11"/>
  <c r="Y1425" i="11"/>
  <c r="Q1425" i="11"/>
  <c r="Y1424" i="11"/>
  <c r="Q1424" i="11"/>
  <c r="Y1423" i="11"/>
  <c r="Q1423" i="11"/>
  <c r="Y1422" i="11"/>
  <c r="Q1422" i="11"/>
  <c r="Y1421" i="11"/>
  <c r="Q1421" i="11"/>
  <c r="Y1420" i="11"/>
  <c r="Q1420" i="11"/>
  <c r="Y1419" i="11"/>
  <c r="Q1419" i="11"/>
  <c r="Y1418" i="11"/>
  <c r="Q1418" i="11"/>
  <c r="Y1417" i="11"/>
  <c r="Q1417" i="11"/>
  <c r="Y1416" i="11"/>
  <c r="Q1416" i="11"/>
  <c r="Y1415" i="11"/>
  <c r="Q1415" i="11"/>
  <c r="Y1414" i="11"/>
  <c r="Q1414" i="11"/>
  <c r="Y1413" i="11"/>
  <c r="Q1413" i="11"/>
  <c r="Y1412" i="11"/>
  <c r="Q1412" i="11"/>
  <c r="Y1411" i="11"/>
  <c r="Q1411" i="11"/>
  <c r="Y1410" i="11"/>
  <c r="Y1409" i="11"/>
  <c r="Y1408" i="11"/>
  <c r="Y1407" i="11"/>
  <c r="Y1406" i="11"/>
  <c r="Y1405" i="11"/>
  <c r="Y1404" i="11"/>
  <c r="Y1403" i="11"/>
  <c r="Y1402" i="11"/>
  <c r="Y1401" i="11"/>
  <c r="Y1399" i="11"/>
  <c r="Y1398" i="11"/>
  <c r="Y1397" i="11"/>
  <c r="Y1396" i="11"/>
  <c r="Y1395" i="11"/>
  <c r="Y1393" i="11"/>
  <c r="Y1392" i="11"/>
  <c r="AC1391" i="11"/>
  <c r="AB1391" i="11"/>
  <c r="AA1391" i="11"/>
  <c r="Z1391" i="11"/>
  <c r="Y1391" i="11" s="1"/>
  <c r="Y1390" i="11"/>
  <c r="Y1389" i="11"/>
  <c r="Y1387" i="11"/>
  <c r="Y1386" i="11"/>
  <c r="Y1385" i="11"/>
  <c r="Y1384" i="11"/>
  <c r="Y1383" i="11"/>
  <c r="Y1381" i="11"/>
  <c r="Y1380" i="11"/>
  <c r="Y1379" i="11"/>
  <c r="Y1378" i="11"/>
  <c r="Y1377" i="11"/>
  <c r="Y1376" i="11"/>
  <c r="AK42" i="2" s="1"/>
  <c r="Y1375" i="11"/>
  <c r="AD1265" i="11"/>
  <c r="AC1265" i="11"/>
  <c r="AB1265" i="11"/>
  <c r="Z1265" i="11" s="1"/>
  <c r="AD1264" i="11"/>
  <c r="AC1264" i="11"/>
  <c r="AB1264" i="11"/>
  <c r="Z1264" i="11" s="1"/>
  <c r="AD1263" i="11"/>
  <c r="AC1263" i="11"/>
  <c r="AB1263" i="11"/>
  <c r="Z1263" i="11" s="1"/>
  <c r="AD1262" i="11"/>
  <c r="AC1262" i="11"/>
  <c r="AB1262" i="11"/>
  <c r="Z1262" i="11" s="1"/>
  <c r="AD1261" i="11"/>
  <c r="AC1261" i="11"/>
  <c r="AB1261" i="11"/>
  <c r="Z1261" i="11" s="1"/>
  <c r="AD1260" i="11"/>
  <c r="AC1260" i="11"/>
  <c r="AB1260" i="11"/>
  <c r="Z1260" i="11" s="1"/>
  <c r="AD1259" i="11"/>
  <c r="AC1259" i="11"/>
  <c r="AB1259" i="11"/>
  <c r="Z1259" i="11" s="1"/>
  <c r="Z1258" i="11"/>
  <c r="O1343" i="11"/>
  <c r="O1342" i="11"/>
  <c r="O1341" i="11"/>
  <c r="O1340" i="11"/>
  <c r="R1337" i="11"/>
  <c r="J1337" i="11"/>
  <c r="G1337" i="11"/>
  <c r="E1337" i="11"/>
  <c r="D1337" i="11"/>
  <c r="R1336" i="11"/>
  <c r="J1336" i="11"/>
  <c r="G1336" i="11"/>
  <c r="E1336" i="11"/>
  <c r="D1336" i="11"/>
  <c r="D1312" i="11"/>
  <c r="D1311" i="11"/>
  <c r="D1310" i="11"/>
  <c r="D1309" i="11"/>
  <c r="D1308" i="11"/>
  <c r="S1307" i="11"/>
  <c r="Q1307" i="11"/>
  <c r="D1307" i="11"/>
  <c r="S1306" i="11"/>
  <c r="Q1306" i="11"/>
  <c r="D1306" i="11"/>
  <c r="S1305" i="11"/>
  <c r="Q1305" i="11"/>
  <c r="D1305" i="11"/>
  <c r="S1304" i="11"/>
  <c r="Q1304" i="11"/>
  <c r="D1304" i="11"/>
  <c r="S1303" i="11"/>
  <c r="Q1303" i="11"/>
  <c r="D1303" i="11"/>
  <c r="S1302" i="11"/>
  <c r="Q1302" i="11"/>
  <c r="D1302" i="11"/>
  <c r="S1301" i="11"/>
  <c r="Q1301" i="11"/>
  <c r="D1301" i="11"/>
  <c r="T1300" i="11"/>
  <c r="S1300" i="11"/>
  <c r="Q1300" i="11"/>
  <c r="D1300" i="11"/>
  <c r="T1299" i="11"/>
  <c r="S1299" i="11"/>
  <c r="Q1299" i="11"/>
  <c r="D1299" i="11"/>
  <c r="T1298" i="11"/>
  <c r="S1298" i="11"/>
  <c r="Q1298" i="11"/>
  <c r="D1298" i="11"/>
  <c r="T1297" i="11"/>
  <c r="S1297" i="11"/>
  <c r="Q1297" i="11"/>
  <c r="D1297" i="11"/>
  <c r="T1296" i="11"/>
  <c r="S1296" i="11"/>
  <c r="Q1296" i="11"/>
  <c r="D1296" i="11"/>
  <c r="T1295" i="11"/>
  <c r="S1295" i="11"/>
  <c r="Q1295" i="11"/>
  <c r="D1295" i="11"/>
  <c r="T1294" i="11"/>
  <c r="S1294" i="11"/>
  <c r="Q1294" i="11"/>
  <c r="D1294" i="11"/>
  <c r="S1293" i="11"/>
  <c r="Q1293" i="11"/>
  <c r="D1293" i="11"/>
  <c r="S1292" i="11"/>
  <c r="Q1292" i="11"/>
  <c r="D1292" i="11"/>
  <c r="S1291" i="11"/>
  <c r="Q1291" i="11"/>
  <c r="S1290" i="11"/>
  <c r="Q1290" i="11"/>
  <c r="S1289" i="11"/>
  <c r="Q1289" i="11"/>
  <c r="S1288" i="11"/>
  <c r="Q1288" i="11"/>
  <c r="S1287" i="11"/>
  <c r="Q1287" i="11"/>
  <c r="S1286" i="11"/>
  <c r="Q1286" i="11"/>
  <c r="S1285" i="11"/>
  <c r="Q1285" i="11"/>
  <c r="S1284" i="11"/>
  <c r="Q1284" i="11"/>
  <c r="S1283" i="11"/>
  <c r="Q1283" i="11"/>
  <c r="S1282" i="11"/>
  <c r="Q1282" i="11"/>
  <c r="S1281" i="11"/>
  <c r="Q1281" i="11"/>
  <c r="S1280" i="11"/>
  <c r="Q1280" i="11"/>
  <c r="S1279" i="11"/>
  <c r="Q1279" i="11"/>
  <c r="S1278" i="11"/>
  <c r="Q1278" i="11"/>
  <c r="S1277" i="11"/>
  <c r="Q1277" i="11"/>
  <c r="S1276" i="11"/>
  <c r="Q1276" i="11"/>
  <c r="S1275" i="11"/>
  <c r="Q1275" i="11"/>
  <c r="S1274" i="11"/>
  <c r="Q1274" i="11"/>
  <c r="S1273" i="11"/>
  <c r="Q1273" i="11"/>
  <c r="S1272" i="11"/>
  <c r="Q1272" i="11"/>
  <c r="S1271" i="11"/>
  <c r="Q1271" i="11"/>
  <c r="S1269" i="11"/>
  <c r="Q1269" i="11"/>
  <c r="S1268" i="11"/>
  <c r="Q1268" i="11"/>
  <c r="S1267" i="11"/>
  <c r="Q1267" i="11"/>
  <c r="S1266" i="11"/>
  <c r="Q1266" i="11"/>
  <c r="M1266" i="11"/>
  <c r="L1266" i="11"/>
  <c r="K1266" i="11"/>
  <c r="J1266" i="11"/>
  <c r="I1266" i="11"/>
  <c r="H1266" i="11"/>
  <c r="G1266" i="11"/>
  <c r="F1266" i="11"/>
  <c r="E1266" i="11"/>
  <c r="D1266" i="11"/>
  <c r="C1266" i="11"/>
  <c r="K1235" i="11"/>
  <c r="K1234" i="11"/>
  <c r="K1233" i="11"/>
  <c r="K1232" i="11"/>
  <c r="K1231" i="11"/>
  <c r="K1230" i="11"/>
  <c r="K1229" i="11"/>
  <c r="K1228" i="11"/>
  <c r="K1227" i="11"/>
  <c r="K1226" i="11"/>
  <c r="K1225" i="11"/>
  <c r="K1224" i="11"/>
  <c r="K1223" i="11"/>
  <c r="K1222" i="11"/>
  <c r="AA1209" i="11"/>
  <c r="AA1208" i="11"/>
  <c r="AA1207" i="11"/>
  <c r="AA1206" i="11"/>
  <c r="AA1205" i="11"/>
  <c r="AA1204" i="11"/>
  <c r="AA1203" i="11"/>
  <c r="AA1202" i="11"/>
  <c r="AA1201" i="11"/>
  <c r="AA1200" i="11"/>
  <c r="AA1199" i="11"/>
  <c r="J1199" i="11"/>
  <c r="L1199" i="11" s="1"/>
  <c r="AA1198" i="11"/>
  <c r="J1198" i="11"/>
  <c r="G1198" i="11"/>
  <c r="AA1197" i="11"/>
  <c r="J1197" i="11"/>
  <c r="L1197" i="11" s="1"/>
  <c r="G1197" i="11"/>
  <c r="AA1196" i="11"/>
  <c r="J1196" i="11"/>
  <c r="L1196" i="11" s="1"/>
  <c r="G1196" i="11"/>
  <c r="AA1195" i="11"/>
  <c r="J1195" i="11"/>
  <c r="G1195" i="11"/>
  <c r="AA1194" i="11"/>
  <c r="J1194" i="11"/>
  <c r="L1194" i="11" s="1"/>
  <c r="G1194" i="11"/>
  <c r="AA1193" i="11"/>
  <c r="V1193" i="11"/>
  <c r="V1195" i="11" s="1"/>
  <c r="V1197" i="11" s="1"/>
  <c r="V1199" i="11" s="1"/>
  <c r="V1201" i="11" s="1"/>
  <c r="V1203" i="11" s="1"/>
  <c r="V1205" i="11" s="1"/>
  <c r="V1207" i="11" s="1"/>
  <c r="V1209" i="11" s="1"/>
  <c r="J1193" i="11"/>
  <c r="G1193" i="11"/>
  <c r="AA1192" i="11"/>
  <c r="V1192" i="11"/>
  <c r="V1194" i="11" s="1"/>
  <c r="V1196" i="11" s="1"/>
  <c r="V1198" i="11" s="1"/>
  <c r="V1200" i="11" s="1"/>
  <c r="V1202" i="11" s="1"/>
  <c r="V1204" i="11" s="1"/>
  <c r="V1206" i="11" s="1"/>
  <c r="V1208" i="11" s="1"/>
  <c r="J1192" i="11"/>
  <c r="L1192" i="11" s="1"/>
  <c r="G1192" i="11"/>
  <c r="AA1191" i="11"/>
  <c r="W1191" i="11"/>
  <c r="W1192" i="11" s="1"/>
  <c r="W1193" i="11" s="1"/>
  <c r="W1194" i="11" s="1"/>
  <c r="W1195" i="11" s="1"/>
  <c r="W1196" i="11" s="1"/>
  <c r="W1197" i="11" s="1"/>
  <c r="W1198" i="11" s="1"/>
  <c r="W1199" i="11" s="1"/>
  <c r="U1191" i="11"/>
  <c r="U1192" i="11" s="1"/>
  <c r="U1193" i="11" s="1"/>
  <c r="U1194" i="11" s="1"/>
  <c r="U1195" i="11" s="1"/>
  <c r="U1196" i="11" s="1"/>
  <c r="U1197" i="11" s="1"/>
  <c r="U1198" i="11" s="1"/>
  <c r="U1199" i="11" s="1"/>
  <c r="J1191" i="11"/>
  <c r="G1191" i="11"/>
  <c r="AA1190" i="11"/>
  <c r="J1190" i="11"/>
  <c r="G1190" i="11"/>
  <c r="AA1189" i="11"/>
  <c r="J1189" i="11"/>
  <c r="L1189" i="11" s="1"/>
  <c r="G1189" i="11"/>
  <c r="AA1188" i="11"/>
  <c r="AA1187" i="11"/>
  <c r="AA1186" i="11"/>
  <c r="AA1185" i="11"/>
  <c r="AA1184" i="11"/>
  <c r="AA1183" i="11"/>
  <c r="AA1182" i="11"/>
  <c r="AA1181" i="11"/>
  <c r="AA1180" i="11"/>
  <c r="AA1179" i="11"/>
  <c r="AA1178" i="11"/>
  <c r="AA1177" i="11"/>
  <c r="AA1176" i="11"/>
  <c r="AA1175" i="11"/>
  <c r="AA1174" i="11"/>
  <c r="AA1173" i="11"/>
  <c r="AA1172" i="11"/>
  <c r="AA1171" i="11"/>
  <c r="AA1170" i="11"/>
  <c r="AA1169" i="11"/>
  <c r="AA1168" i="11"/>
  <c r="AA1167" i="11"/>
  <c r="AA1166" i="11"/>
  <c r="AA1165" i="11"/>
  <c r="H1156" i="11"/>
  <c r="D1156" i="11"/>
  <c r="H1155" i="11"/>
  <c r="D1155" i="11"/>
  <c r="H1154" i="11"/>
  <c r="D1154" i="11"/>
  <c r="H1153" i="11"/>
  <c r="D1153" i="11"/>
  <c r="H1152" i="11"/>
  <c r="D1152" i="11"/>
  <c r="H1151" i="11"/>
  <c r="D1151" i="11"/>
  <c r="H1150" i="11"/>
  <c r="D1150" i="11"/>
  <c r="H1149" i="11"/>
  <c r="D1149" i="11"/>
  <c r="H1148" i="11"/>
  <c r="D1148" i="11"/>
  <c r="D1147" i="11"/>
  <c r="J1146" i="11"/>
  <c r="H1146" i="11"/>
  <c r="J1145" i="11"/>
  <c r="H1145" i="11"/>
  <c r="J1144" i="11"/>
  <c r="H1144" i="11"/>
  <c r="D1143" i="11"/>
  <c r="AM1108" i="11"/>
  <c r="AM1107" i="11"/>
  <c r="AM1106" i="11"/>
  <c r="AM1105" i="11"/>
  <c r="AL1105" i="11" s="1"/>
  <c r="AM1104" i="11"/>
  <c r="AM1103" i="11"/>
  <c r="AM1102" i="11"/>
  <c r="AM1101" i="11"/>
  <c r="AM1100" i="11"/>
  <c r="AV1099" i="11"/>
  <c r="AM1099" i="11"/>
  <c r="AM1098" i="11"/>
  <c r="AM1097" i="11"/>
  <c r="L812" i="11"/>
  <c r="AM1096" i="11"/>
  <c r="AM1095" i="11"/>
  <c r="H1098" i="11"/>
  <c r="AM1094" i="11"/>
  <c r="H1097" i="11"/>
  <c r="AM1093" i="11"/>
  <c r="H1096" i="11"/>
  <c r="AM1092" i="11"/>
  <c r="H1095" i="11"/>
  <c r="AV1091" i="11"/>
  <c r="AM1091" i="11"/>
  <c r="H1094" i="11"/>
  <c r="AM1090" i="11"/>
  <c r="H1093" i="11"/>
  <c r="AM1089" i="11"/>
  <c r="H1092" i="11"/>
  <c r="AM1088" i="11"/>
  <c r="H1091" i="11"/>
  <c r="AV1087" i="11"/>
  <c r="AM1087" i="11"/>
  <c r="H1090" i="11"/>
  <c r="AM1086" i="11"/>
  <c r="H1089" i="11"/>
  <c r="AM1085" i="11"/>
  <c r="H1088" i="11"/>
  <c r="AM1084" i="11"/>
  <c r="H1087" i="11"/>
  <c r="L821" i="11" s="1"/>
  <c r="AX1083" i="11"/>
  <c r="AM1083" i="11"/>
  <c r="H1086" i="11"/>
  <c r="AM1082" i="11"/>
  <c r="H1085" i="11"/>
  <c r="AU1081" i="11"/>
  <c r="AM1081" i="11"/>
  <c r="H1084" i="11"/>
  <c r="AU1080" i="11"/>
  <c r="AM1080" i="11"/>
  <c r="H1083" i="11"/>
  <c r="AW1079" i="11"/>
  <c r="AM1079" i="11"/>
  <c r="H1082" i="11"/>
  <c r="AM1078" i="11"/>
  <c r="H1081" i="11"/>
  <c r="AM1077" i="11"/>
  <c r="H1080" i="11"/>
  <c r="AM1076" i="11"/>
  <c r="H1079" i="11"/>
  <c r="AM1075" i="11"/>
  <c r="AM1074" i="11"/>
  <c r="H1074" i="11"/>
  <c r="AM1073" i="11"/>
  <c r="H1073" i="11"/>
  <c r="AM1072" i="11"/>
  <c r="H1072" i="11"/>
  <c r="AM1071" i="11"/>
  <c r="H1071" i="11"/>
  <c r="AM1070" i="11"/>
  <c r="I1070" i="11"/>
  <c r="H1070" i="11"/>
  <c r="AM1069" i="11"/>
  <c r="H1069" i="11"/>
  <c r="AM1068" i="11"/>
  <c r="G1054" i="11"/>
  <c r="G1053" i="11"/>
  <c r="G1052" i="11"/>
  <c r="G1051" i="11"/>
  <c r="G1050" i="11"/>
  <c r="G1049" i="11"/>
  <c r="G1048" i="11"/>
  <c r="G1047" i="11"/>
  <c r="G1046" i="11"/>
  <c r="AC1045" i="11"/>
  <c r="G1045" i="11"/>
  <c r="AC1044" i="11"/>
  <c r="G1044" i="11"/>
  <c r="AC1043" i="11"/>
  <c r="G1038" i="11"/>
  <c r="G1037" i="11"/>
  <c r="G1036" i="11"/>
  <c r="G1035" i="11"/>
  <c r="AC1033" i="11"/>
  <c r="G1034" i="11"/>
  <c r="AC1032" i="11"/>
  <c r="G1033" i="11"/>
  <c r="AC1031" i="11"/>
  <c r="G1032" i="11"/>
  <c r="AC1030" i="11"/>
  <c r="G1031" i="11"/>
  <c r="G1030" i="11"/>
  <c r="G1029" i="11"/>
  <c r="G1028" i="11"/>
  <c r="AC1027" i="11"/>
  <c r="G1027" i="11"/>
  <c r="AC1026" i="11"/>
  <c r="G1026" i="11"/>
  <c r="AC1025" i="11"/>
  <c r="G1025" i="11"/>
  <c r="AC1024" i="11"/>
  <c r="G1024" i="11"/>
  <c r="AC1023" i="11"/>
  <c r="G1023" i="11"/>
  <c r="AC1022" i="11"/>
  <c r="G1022" i="11"/>
  <c r="AC1021" i="11"/>
  <c r="G1021" i="11"/>
  <c r="AC1020" i="11"/>
  <c r="S947" i="11"/>
  <c r="S946" i="11"/>
  <c r="S945" i="11"/>
  <c r="S944" i="11"/>
  <c r="S943" i="11"/>
  <c r="S942" i="11"/>
  <c r="S941" i="11"/>
  <c r="S940" i="11"/>
  <c r="S939" i="11"/>
  <c r="S938" i="11"/>
  <c r="S937" i="11"/>
  <c r="S936" i="11"/>
  <c r="S935" i="11"/>
  <c r="S934" i="11"/>
  <c r="S933" i="11"/>
  <c r="S932" i="11"/>
  <c r="S931" i="11"/>
  <c r="S930" i="11"/>
  <c r="S929" i="11"/>
  <c r="S928" i="11"/>
  <c r="S927" i="11"/>
  <c r="S926" i="11"/>
  <c r="S925" i="11"/>
  <c r="S924" i="11"/>
  <c r="S923" i="11"/>
  <c r="S922" i="11"/>
  <c r="S921" i="11"/>
  <c r="S920" i="11"/>
  <c r="S919" i="11"/>
  <c r="S918" i="11"/>
  <c r="S917" i="11"/>
  <c r="S916" i="11"/>
  <c r="S915" i="11"/>
  <c r="S914" i="11"/>
  <c r="S913" i="11"/>
  <c r="S912" i="11"/>
  <c r="AJ911" i="11"/>
  <c r="AI911" i="11"/>
  <c r="S911" i="11"/>
  <c r="AJ910" i="11"/>
  <c r="AI910" i="11"/>
  <c r="S910" i="11"/>
  <c r="AJ909" i="11"/>
  <c r="AI909" i="11"/>
  <c r="AK909" i="11" s="1"/>
  <c r="S909" i="11"/>
  <c r="AJ908" i="11"/>
  <c r="AI908" i="11"/>
  <c r="AK908" i="11" s="1"/>
  <c r="S908" i="11"/>
  <c r="AJ907" i="11"/>
  <c r="AI907" i="11"/>
  <c r="S907" i="11"/>
  <c r="AJ906" i="11"/>
  <c r="AI906" i="11"/>
  <c r="S906" i="11"/>
  <c r="AJ905" i="11"/>
  <c r="AI905" i="11"/>
  <c r="AK905" i="11" s="1"/>
  <c r="S905" i="11"/>
  <c r="AJ904" i="11"/>
  <c r="AI904" i="11"/>
  <c r="S904" i="11"/>
  <c r="AJ903" i="11"/>
  <c r="AI903" i="11"/>
  <c r="S903" i="11"/>
  <c r="AJ902" i="11"/>
  <c r="AI902" i="11"/>
  <c r="S902" i="11"/>
  <c r="AJ901" i="11"/>
  <c r="AI901" i="11"/>
  <c r="S901" i="11"/>
  <c r="AJ900" i="11"/>
  <c r="AI900" i="11"/>
  <c r="S900" i="11"/>
  <c r="AJ899" i="11"/>
  <c r="AI899" i="11"/>
  <c r="S899" i="11"/>
  <c r="AJ898" i="11"/>
  <c r="AI898" i="11"/>
  <c r="AK898" i="11" s="1"/>
  <c r="S898" i="11"/>
  <c r="AJ897" i="11"/>
  <c r="AI897" i="11"/>
  <c r="AK897" i="11" s="1"/>
  <c r="S897" i="11"/>
  <c r="AJ896" i="11"/>
  <c r="AI896" i="11"/>
  <c r="S896" i="11"/>
  <c r="AJ895" i="11"/>
  <c r="AI895" i="11"/>
  <c r="S895" i="11"/>
  <c r="AJ894" i="11"/>
  <c r="AI894" i="11"/>
  <c r="AK894" i="11" s="1"/>
  <c r="S894" i="11"/>
  <c r="AJ893" i="11"/>
  <c r="AI893" i="11"/>
  <c r="AK893" i="11" s="1"/>
  <c r="X893" i="11"/>
  <c r="S893" i="11"/>
  <c r="AK891" i="11"/>
  <c r="BG890" i="11"/>
  <c r="BB890" i="11"/>
  <c r="AW890" i="11"/>
  <c r="AR890" i="11"/>
  <c r="AM890" i="11"/>
  <c r="AK890" i="11"/>
  <c r="AK857" i="11"/>
  <c r="AJ857" i="11"/>
  <c r="AK856" i="11"/>
  <c r="AJ856" i="11"/>
  <c r="AK855" i="11"/>
  <c r="AJ855" i="11"/>
  <c r="AK854" i="11"/>
  <c r="AJ854" i="11"/>
  <c r="AK853" i="11"/>
  <c r="AJ853" i="11"/>
  <c r="AK852" i="11"/>
  <c r="AJ852" i="11"/>
  <c r="AK851" i="11"/>
  <c r="AJ851" i="11"/>
  <c r="AK850" i="11"/>
  <c r="AJ850" i="11"/>
  <c r="AK849" i="11"/>
  <c r="AJ849" i="11"/>
  <c r="AK848" i="11"/>
  <c r="AJ848" i="11"/>
  <c r="E833" i="11"/>
  <c r="E832" i="11"/>
  <c r="E831" i="11"/>
  <c r="E830" i="11"/>
  <c r="E826" i="11"/>
  <c r="T825" i="11"/>
  <c r="E825" i="11"/>
  <c r="T824" i="11"/>
  <c r="E824" i="11"/>
  <c r="T823" i="11"/>
  <c r="E823" i="11"/>
  <c r="T822" i="11"/>
  <c r="E822" i="11"/>
  <c r="CK797" i="11"/>
  <c r="CJ797" i="11"/>
  <c r="CI797" i="11"/>
  <c r="CD797" i="11"/>
  <c r="CC797" i="11"/>
  <c r="CB797" i="11"/>
  <c r="BW797" i="11"/>
  <c r="BV797" i="11"/>
  <c r="BU797" i="11"/>
  <c r="BP797" i="11"/>
  <c r="BO797" i="11"/>
  <c r="BN797" i="11"/>
  <c r="BI797" i="11"/>
  <c r="BH797" i="11"/>
  <c r="BG797" i="11"/>
  <c r="BB797" i="11"/>
  <c r="BA797" i="11"/>
  <c r="AZ797" i="11"/>
  <c r="AX796" i="11"/>
  <c r="AX795" i="11"/>
  <c r="AX794" i="11"/>
  <c r="AX793" i="11"/>
  <c r="AX792" i="11"/>
  <c r="AX791" i="11"/>
  <c r="AX790" i="11"/>
  <c r="X790" i="11"/>
  <c r="AX789" i="11"/>
  <c r="Y789" i="11"/>
  <c r="AX788" i="11"/>
  <c r="AT805" i="11"/>
  <c r="AS805" i="11"/>
  <c r="AO805" i="11"/>
  <c r="AN805" i="11"/>
  <c r="AJ805" i="11"/>
  <c r="AI805" i="11"/>
  <c r="Y788" i="11"/>
  <c r="AX787" i="11"/>
  <c r="AT804" i="11"/>
  <c r="AS804" i="11"/>
  <c r="AO804" i="11"/>
  <c r="AN804" i="11"/>
  <c r="AJ804" i="11"/>
  <c r="AI804" i="11"/>
  <c r="Y787" i="11"/>
  <c r="AX786" i="11"/>
  <c r="AT803" i="11"/>
  <c r="AS803" i="11"/>
  <c r="AO803" i="11"/>
  <c r="AN803" i="11"/>
  <c r="AJ803" i="11"/>
  <c r="AI803" i="11"/>
  <c r="AX785" i="11"/>
  <c r="AT801" i="11"/>
  <c r="AS801" i="11"/>
  <c r="AO801" i="11"/>
  <c r="AN801" i="11"/>
  <c r="AJ801" i="11"/>
  <c r="AI801" i="11"/>
  <c r="Y785" i="11"/>
  <c r="AX784" i="11"/>
  <c r="AT796" i="11"/>
  <c r="AS796" i="11"/>
  <c r="AO796" i="11"/>
  <c r="AN796" i="11"/>
  <c r="AJ796" i="11"/>
  <c r="AI796" i="11"/>
  <c r="AX783" i="11"/>
  <c r="AT795" i="11"/>
  <c r="AS795" i="11"/>
  <c r="AO795" i="11"/>
  <c r="AN795" i="11"/>
  <c r="AJ795" i="11"/>
  <c r="AI795" i="11"/>
  <c r="AX782" i="11"/>
  <c r="AT794" i="11"/>
  <c r="AS794" i="11"/>
  <c r="AO794" i="11"/>
  <c r="AN794" i="11"/>
  <c r="AJ794" i="11"/>
  <c r="AI794" i="11"/>
  <c r="AX781" i="11"/>
  <c r="AT793" i="11"/>
  <c r="AS793" i="11"/>
  <c r="AO793" i="11"/>
  <c r="AN793" i="11"/>
  <c r="AJ793" i="11"/>
  <c r="AI793" i="11"/>
  <c r="Y781" i="11"/>
  <c r="AX780" i="11"/>
  <c r="AT780" i="11"/>
  <c r="AS780" i="11"/>
  <c r="AO780" i="11"/>
  <c r="AN780" i="11"/>
  <c r="AJ780" i="11"/>
  <c r="AI780" i="11"/>
  <c r="Y780" i="11"/>
  <c r="AX779" i="11"/>
  <c r="AT779" i="11"/>
  <c r="AS779" i="11"/>
  <c r="AO779" i="11"/>
  <c r="AN779" i="11"/>
  <c r="AJ779" i="11"/>
  <c r="AI779" i="11"/>
  <c r="Y779" i="11"/>
  <c r="AX778" i="11"/>
  <c r="AT778" i="11"/>
  <c r="AS778" i="11"/>
  <c r="AO778" i="11"/>
  <c r="AN778" i="11"/>
  <c r="AJ778" i="11"/>
  <c r="AI778" i="11"/>
  <c r="Y778" i="11"/>
  <c r="AX777" i="11"/>
  <c r="AT777" i="11"/>
  <c r="AS777" i="11"/>
  <c r="AO777" i="11"/>
  <c r="AN777" i="11"/>
  <c r="AJ777" i="11"/>
  <c r="AI777" i="11"/>
  <c r="AX776" i="11"/>
  <c r="AT776" i="11"/>
  <c r="AS776" i="11"/>
  <c r="AO776" i="11"/>
  <c r="AN776" i="11"/>
  <c r="AJ776" i="11"/>
  <c r="AI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AX770" i="11"/>
  <c r="AT770" i="11"/>
  <c r="AS770" i="11"/>
  <c r="AO770" i="11"/>
  <c r="AN770" i="11"/>
  <c r="AJ770" i="11"/>
  <c r="AI770" i="11"/>
  <c r="X770" i="11"/>
  <c r="AX769" i="11"/>
  <c r="AT769" i="11"/>
  <c r="AS769" i="11"/>
  <c r="AO769" i="11"/>
  <c r="AN769" i="11"/>
  <c r="AJ769" i="11"/>
  <c r="AI769" i="11"/>
  <c r="X769" i="11"/>
  <c r="AX768" i="11"/>
  <c r="AT768" i="11"/>
  <c r="AS768" i="11"/>
  <c r="AO768" i="11"/>
  <c r="AN768" i="11"/>
  <c r="AJ768" i="11"/>
  <c r="AI768" i="11"/>
  <c r="X768" i="11"/>
  <c r="AX767" i="11"/>
  <c r="AT767" i="11"/>
  <c r="AS767" i="11"/>
  <c r="AO767" i="11"/>
  <c r="AN767" i="11"/>
  <c r="AJ767" i="11"/>
  <c r="AI767" i="11"/>
  <c r="X767" i="11"/>
  <c r="AX766" i="11"/>
  <c r="AT766" i="11"/>
  <c r="AS766" i="11"/>
  <c r="AO766" i="11"/>
  <c r="AN766" i="11"/>
  <c r="AJ766" i="11"/>
  <c r="AI766" i="11"/>
  <c r="X766" i="11"/>
  <c r="AX765" i="11"/>
  <c r="AT765" i="11"/>
  <c r="AS765" i="11"/>
  <c r="AO765" i="11"/>
  <c r="AN765" i="11"/>
  <c r="AJ765" i="11"/>
  <c r="AI765" i="11"/>
  <c r="X765" i="11"/>
  <c r="AX764" i="11"/>
  <c r="AT764" i="11"/>
  <c r="AS764" i="11"/>
  <c r="AO764" i="11"/>
  <c r="AN764" i="11"/>
  <c r="AJ764" i="11"/>
  <c r="AI764" i="11"/>
  <c r="X764" i="11"/>
  <c r="AX763" i="11"/>
  <c r="AT763" i="11"/>
  <c r="AS763" i="11"/>
  <c r="AO763" i="11"/>
  <c r="AN763" i="11"/>
  <c r="AJ763" i="11"/>
  <c r="AI763" i="11"/>
  <c r="X763" i="11"/>
  <c r="AX762" i="11"/>
  <c r="AT762" i="11"/>
  <c r="AS762" i="11"/>
  <c r="AO762" i="11"/>
  <c r="AN762" i="11"/>
  <c r="AJ762" i="11"/>
  <c r="AI762" i="11"/>
  <c r="X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AX733" i="11"/>
  <c r="AT733" i="11"/>
  <c r="AS733" i="11"/>
  <c r="AO733" i="11"/>
  <c r="AN733" i="11"/>
  <c r="AJ733" i="11"/>
  <c r="AI733" i="11"/>
  <c r="Q733" i="11"/>
  <c r="V733" i="11" s="1"/>
  <c r="AX732" i="11"/>
  <c r="AT732" i="11"/>
  <c r="AS732" i="11"/>
  <c r="AO732" i="11"/>
  <c r="AN732" i="11"/>
  <c r="AJ732" i="11"/>
  <c r="AI732" i="11"/>
  <c r="Q732" i="11"/>
  <c r="V732" i="11" s="1"/>
  <c r="AX731" i="11"/>
  <c r="AT731" i="11"/>
  <c r="AS731" i="11"/>
  <c r="AO731" i="11"/>
  <c r="AN731" i="11"/>
  <c r="AJ731" i="11"/>
  <c r="AI731" i="11"/>
  <c r="Q731" i="11"/>
  <c r="V731" i="11" s="1"/>
  <c r="AX730" i="11"/>
  <c r="AT730" i="11"/>
  <c r="AS730" i="11"/>
  <c r="AO730" i="11"/>
  <c r="AN730" i="11"/>
  <c r="AJ730" i="11"/>
  <c r="AI730" i="11"/>
  <c r="AX729" i="11"/>
  <c r="AT729" i="11"/>
  <c r="AS729" i="11"/>
  <c r="AO729" i="11"/>
  <c r="AN729" i="11"/>
  <c r="AJ729" i="11"/>
  <c r="AI729" i="11"/>
  <c r="X729" i="11"/>
  <c r="AX728" i="11"/>
  <c r="AT728" i="11"/>
  <c r="AS728" i="11"/>
  <c r="AO728" i="11"/>
  <c r="AN728" i="11"/>
  <c r="AI728" i="11"/>
  <c r="X728" i="11"/>
  <c r="AX727" i="11"/>
  <c r="AT727" i="11"/>
  <c r="AS727" i="11"/>
  <c r="AO727" i="11"/>
  <c r="AN727" i="11"/>
  <c r="AI727" i="11"/>
  <c r="X727" i="11"/>
  <c r="AX726" i="11"/>
  <c r="AT726" i="11"/>
  <c r="AS726" i="11"/>
  <c r="AO726" i="11"/>
  <c r="AN726" i="11"/>
  <c r="AI726" i="11"/>
  <c r="X726" i="11"/>
  <c r="AX725" i="11"/>
  <c r="AT725" i="11"/>
  <c r="AS725" i="11"/>
  <c r="AO725" i="11"/>
  <c r="AN725" i="11"/>
  <c r="AI725" i="11"/>
  <c r="X725" i="11"/>
  <c r="AX724" i="11"/>
  <c r="AT724" i="11"/>
  <c r="AS724" i="11"/>
  <c r="AO724" i="11"/>
  <c r="AN724" i="11"/>
  <c r="X724" i="11"/>
  <c r="AX723" i="11"/>
  <c r="AT723" i="11"/>
  <c r="AS723" i="11"/>
  <c r="AO723" i="11"/>
  <c r="AN723" i="11"/>
  <c r="AI723" i="11"/>
  <c r="X723" i="11"/>
  <c r="AX722" i="11"/>
  <c r="AT722" i="11"/>
  <c r="AS722" i="11"/>
  <c r="AO722" i="11"/>
  <c r="AN722" i="11"/>
  <c r="X722" i="11"/>
  <c r="AX721" i="11"/>
  <c r="AT721" i="11"/>
  <c r="AS721" i="11"/>
  <c r="AO721" i="11"/>
  <c r="AN721" i="11"/>
  <c r="X721" i="11"/>
  <c r="AX720" i="11"/>
  <c r="AT720" i="11"/>
  <c r="AS720" i="11"/>
  <c r="AO720" i="11"/>
  <c r="AN720" i="11"/>
  <c r="X720" i="11"/>
  <c r="AX719" i="11"/>
  <c r="AT719" i="11"/>
  <c r="AS719" i="11"/>
  <c r="AO719" i="11"/>
  <c r="AN719" i="11"/>
  <c r="X719" i="11"/>
  <c r="AX718" i="11"/>
  <c r="AT718" i="11"/>
  <c r="AS718" i="11"/>
  <c r="AO718" i="11"/>
  <c r="AN718" i="11"/>
  <c r="X718" i="11"/>
  <c r="AX717" i="11"/>
  <c r="AT717" i="11"/>
  <c r="AS717" i="11"/>
  <c r="AO717" i="11"/>
  <c r="AN717" i="11"/>
  <c r="X717" i="11"/>
  <c r="AX716" i="11"/>
  <c r="AT716" i="11"/>
  <c r="AS716" i="11"/>
  <c r="AO716" i="11"/>
  <c r="AN716" i="11"/>
  <c r="X716" i="11"/>
  <c r="AX715" i="11"/>
  <c r="AT715" i="11"/>
  <c r="AS715" i="11"/>
  <c r="AO715" i="11"/>
  <c r="AN715" i="11"/>
  <c r="X715" i="11"/>
  <c r="AX714" i="11"/>
  <c r="AT714" i="11"/>
  <c r="AS714" i="11"/>
  <c r="AO714" i="11"/>
  <c r="AN714" i="11"/>
  <c r="X714" i="11"/>
  <c r="AX713" i="11"/>
  <c r="AT713" i="11"/>
  <c r="AS713" i="11"/>
  <c r="AO713" i="11"/>
  <c r="AN713" i="11"/>
  <c r="X713" i="11"/>
  <c r="AX712" i="11"/>
  <c r="AT712" i="11"/>
  <c r="AS712" i="11"/>
  <c r="AO712" i="11"/>
  <c r="AN712" i="11"/>
  <c r="X712" i="11"/>
  <c r="AX711" i="11"/>
  <c r="AT711" i="11"/>
  <c r="AS711" i="11"/>
  <c r="AO711" i="11"/>
  <c r="AN711" i="11"/>
  <c r="X711" i="11"/>
  <c r="AX710" i="11"/>
  <c r="AT710" i="11"/>
  <c r="AS710" i="11"/>
  <c r="AO710" i="11"/>
  <c r="AN710" i="11"/>
  <c r="X710" i="11"/>
  <c r="AX709" i="11"/>
  <c r="AT709" i="11"/>
  <c r="AS709" i="11"/>
  <c r="AO709" i="11"/>
  <c r="AN709" i="11"/>
  <c r="X709" i="11"/>
  <c r="AX708" i="11"/>
  <c r="AT708" i="11"/>
  <c r="AS708" i="11"/>
  <c r="AO708" i="11"/>
  <c r="AN708" i="11"/>
  <c r="X708" i="11"/>
  <c r="AX707" i="11"/>
  <c r="AT707" i="11"/>
  <c r="AS707" i="11"/>
  <c r="AO707" i="11"/>
  <c r="AN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O682" i="11"/>
  <c r="AN682" i="11"/>
  <c r="X682" i="11"/>
  <c r="AX681" i="11"/>
  <c r="AO681" i="11"/>
  <c r="AN681" i="11"/>
  <c r="X681" i="11"/>
  <c r="AX680" i="11"/>
  <c r="AO680" i="11"/>
  <c r="AN680" i="11"/>
  <c r="X680" i="11"/>
  <c r="AX679" i="11"/>
  <c r="AO679" i="11"/>
  <c r="AN679" i="11"/>
  <c r="X679" i="11"/>
  <c r="AX678" i="11"/>
  <c r="AO678" i="11"/>
  <c r="AN678" i="11"/>
  <c r="X678" i="11"/>
  <c r="AX677" i="11"/>
  <c r="X677" i="11"/>
  <c r="AX676" i="11"/>
  <c r="X676" i="11"/>
  <c r="AX675" i="11"/>
  <c r="X675" i="11"/>
  <c r="AX674" i="11"/>
  <c r="X674" i="11"/>
  <c r="AX673" i="11"/>
  <c r="X673" i="11"/>
  <c r="AX672" i="11"/>
  <c r="X672" i="11"/>
  <c r="AX671" i="11"/>
  <c r="X671" i="11"/>
  <c r="AX670" i="11"/>
  <c r="X670" i="11"/>
  <c r="AX669" i="11"/>
  <c r="X669" i="11"/>
  <c r="AX668" i="11"/>
  <c r="X668" i="11"/>
  <c r="AX667" i="11"/>
  <c r="X667" i="11"/>
  <c r="AX666" i="11"/>
  <c r="X666" i="11"/>
  <c r="AX665" i="11"/>
  <c r="X665" i="11"/>
  <c r="AX664" i="11"/>
  <c r="X664" i="11"/>
  <c r="AX663" i="11"/>
  <c r="X663" i="11"/>
  <c r="AX662" i="11"/>
  <c r="X662" i="11"/>
  <c r="AX661" i="11"/>
  <c r="X661" i="11"/>
  <c r="AX660" i="11"/>
  <c r="X660" i="11"/>
  <c r="X659" i="11"/>
  <c r="X658" i="11"/>
  <c r="V657" i="11"/>
  <c r="T657" i="11"/>
  <c r="O657" i="11"/>
  <c r="N657" i="11"/>
  <c r="M657" i="11"/>
  <c r="K657" i="11"/>
  <c r="Q657" i="11" s="1"/>
  <c r="J657" i="11"/>
  <c r="I657" i="11"/>
  <c r="H657" i="11"/>
  <c r="G657" i="11"/>
  <c r="F657" i="11"/>
  <c r="E657" i="11"/>
  <c r="D657" i="11"/>
  <c r="AX659" i="11" s="1"/>
  <c r="AX656" i="11"/>
  <c r="V656" i="11"/>
  <c r="T656" i="11"/>
  <c r="O656" i="11"/>
  <c r="N656" i="11"/>
  <c r="M656" i="11"/>
  <c r="K656" i="11"/>
  <c r="U656" i="11" s="1"/>
  <c r="J656" i="11"/>
  <c r="I656" i="11"/>
  <c r="H656" i="11"/>
  <c r="G656" i="11"/>
  <c r="F656" i="11"/>
  <c r="E656" i="11"/>
  <c r="D656" i="11"/>
  <c r="AX655" i="11"/>
  <c r="V655" i="11"/>
  <c r="T655" i="11"/>
  <c r="O655" i="11"/>
  <c r="N655" i="11"/>
  <c r="M655" i="11"/>
  <c r="K655" i="11"/>
  <c r="Q655" i="11" s="1"/>
  <c r="J655" i="11"/>
  <c r="I655" i="11"/>
  <c r="H655" i="11"/>
  <c r="G655" i="11"/>
  <c r="F655" i="11"/>
  <c r="E655" i="11"/>
  <c r="D655" i="11"/>
  <c r="K654" i="11"/>
  <c r="X654" i="11" s="1"/>
  <c r="CN651" i="11"/>
  <c r="CG651" i="11"/>
  <c r="BZ651" i="11"/>
  <c r="BS651" i="11"/>
  <c r="BL651" i="11"/>
  <c r="BE651" i="11"/>
  <c r="R647" i="11"/>
  <c r="Q647" i="11"/>
  <c r="P647" i="11"/>
  <c r="O647" i="11"/>
  <c r="N647" i="11"/>
  <c r="M647" i="11"/>
  <c r="L647" i="11"/>
  <c r="K647" i="11"/>
  <c r="J647" i="11"/>
  <c r="I647" i="11"/>
  <c r="H647" i="11"/>
  <c r="G647" i="11"/>
  <c r="F647" i="11"/>
  <c r="E647" i="11"/>
  <c r="D647" i="11"/>
  <c r="R646" i="11"/>
  <c r="Q646" i="11"/>
  <c r="P646" i="11"/>
  <c r="O646" i="11"/>
  <c r="N646" i="11"/>
  <c r="M646" i="11"/>
  <c r="L646" i="11"/>
  <c r="K646" i="11"/>
  <c r="J646" i="11"/>
  <c r="I646" i="11"/>
  <c r="H646" i="11"/>
  <c r="G646" i="11"/>
  <c r="F646" i="11"/>
  <c r="E646" i="11"/>
  <c r="D646" i="11"/>
  <c r="AI635" i="11"/>
  <c r="AH635" i="11"/>
  <c r="AG635" i="11"/>
  <c r="AF635" i="11"/>
  <c r="AE635" i="11"/>
  <c r="AD635" i="11"/>
  <c r="AC635" i="11"/>
  <c r="AB635" i="11"/>
  <c r="AA635" i="11"/>
  <c r="Z635" i="11"/>
  <c r="Y635" i="11"/>
  <c r="X635" i="11"/>
  <c r="W635" i="11"/>
  <c r="V635" i="11"/>
  <c r="AI634" i="11"/>
  <c r="AH634" i="11"/>
  <c r="AG634" i="11"/>
  <c r="AF634" i="11"/>
  <c r="AE634" i="11"/>
  <c r="AD634" i="11"/>
  <c r="AC634" i="11"/>
  <c r="AB634" i="11"/>
  <c r="AA634" i="11"/>
  <c r="Z634" i="11"/>
  <c r="Y634" i="11"/>
  <c r="X634" i="11"/>
  <c r="W634" i="11"/>
  <c r="V634" i="11"/>
  <c r="AA629" i="11"/>
  <c r="AA628" i="11"/>
  <c r="AJ626" i="11"/>
  <c r="AI626" i="11"/>
  <c r="AH626" i="11"/>
  <c r="AA627" i="11"/>
  <c r="AA626" i="11"/>
  <c r="AA625" i="11"/>
  <c r="AG623" i="11"/>
  <c r="AA624" i="11"/>
  <c r="AA623" i="11"/>
  <c r="AA622" i="11"/>
  <c r="AA621" i="11"/>
  <c r="AA620" i="11"/>
  <c r="AA619" i="11"/>
  <c r="X617" i="11"/>
  <c r="AA615" i="11"/>
  <c r="AA614" i="11"/>
  <c r="AA613" i="11"/>
  <c r="AA612" i="11"/>
  <c r="AA611" i="11"/>
  <c r="AA610" i="11"/>
  <c r="AA609" i="11"/>
  <c r="AA608" i="11"/>
  <c r="AA607" i="11"/>
  <c r="AA606" i="11"/>
  <c r="AA605" i="11"/>
  <c r="AA604" i="11"/>
  <c r="Z603" i="11"/>
  <c r="X603" i="11"/>
  <c r="AA603" i="11" s="1"/>
  <c r="Z602" i="11"/>
  <c r="X602" i="11"/>
  <c r="AA602" i="11" s="1"/>
  <c r="Z601" i="11"/>
  <c r="X601" i="11"/>
  <c r="AA601" i="11" s="1"/>
  <c r="Z600" i="11"/>
  <c r="X600" i="11"/>
  <c r="AA600" i="11" s="1"/>
  <c r="X599" i="11"/>
  <c r="F574" i="11"/>
  <c r="E574" i="11"/>
  <c r="G574" i="11" s="1"/>
  <c r="AF583" i="11"/>
  <c r="F573" i="11"/>
  <c r="E573" i="11"/>
  <c r="G573" i="11" s="1"/>
  <c r="AF582" i="11"/>
  <c r="F572" i="11"/>
  <c r="E572" i="11"/>
  <c r="AF581" i="11"/>
  <c r="F571" i="11"/>
  <c r="E571" i="11"/>
  <c r="G571" i="11" s="1"/>
  <c r="AF580" i="11"/>
  <c r="G569" i="11"/>
  <c r="H569" i="11" s="1"/>
  <c r="G568" i="11"/>
  <c r="H568" i="11" s="1"/>
  <c r="AG577" i="11"/>
  <c r="G567" i="11"/>
  <c r="H567" i="11" s="1"/>
  <c r="AG576" i="11"/>
  <c r="G566" i="11"/>
  <c r="H566" i="11" s="1"/>
  <c r="AG575" i="11"/>
  <c r="G565" i="11"/>
  <c r="H565" i="11" s="1"/>
  <c r="AG574" i="11"/>
  <c r="G564" i="11"/>
  <c r="H564" i="11" s="1"/>
  <c r="AG573" i="11"/>
  <c r="G563" i="11"/>
  <c r="H563" i="11" s="1"/>
  <c r="AG572" i="11"/>
  <c r="G561" i="11"/>
  <c r="H561" i="11" s="1"/>
  <c r="AG570" i="11"/>
  <c r="G560" i="11"/>
  <c r="H560" i="11" s="1"/>
  <c r="AG569" i="11"/>
  <c r="G559" i="11"/>
  <c r="H559" i="11" s="1"/>
  <c r="AG568" i="11"/>
  <c r="G558" i="11"/>
  <c r="H558" i="11" s="1"/>
  <c r="AG567" i="11"/>
  <c r="AG566" i="11"/>
  <c r="G556" i="11"/>
  <c r="H556" i="11" s="1"/>
  <c r="AG565" i="11"/>
  <c r="G555" i="11"/>
  <c r="H555" i="11" s="1"/>
  <c r="G554" i="11"/>
  <c r="H554" i="11" s="1"/>
  <c r="AG560" i="11"/>
  <c r="G553" i="11"/>
  <c r="H553" i="11" s="1"/>
  <c r="AG559" i="11"/>
  <c r="G552" i="11"/>
  <c r="H552" i="11" s="1"/>
  <c r="AG558" i="11"/>
  <c r="G551" i="11"/>
  <c r="H551" i="11" s="1"/>
  <c r="AG557" i="11"/>
  <c r="G550" i="11"/>
  <c r="H550" i="11" s="1"/>
  <c r="AG556" i="11"/>
  <c r="G549" i="11"/>
  <c r="H549" i="11" s="1"/>
  <c r="AG555" i="11"/>
  <c r="AG554" i="11"/>
  <c r="G547" i="11"/>
  <c r="H547" i="11" s="1"/>
  <c r="D547" i="11"/>
  <c r="AG553" i="11"/>
  <c r="G546" i="11"/>
  <c r="H546" i="11" s="1"/>
  <c r="D546" i="11"/>
  <c r="G545" i="11"/>
  <c r="H545" i="11" s="1"/>
  <c r="D545" i="11"/>
  <c r="AG551" i="11"/>
  <c r="AC551" i="11"/>
  <c r="G544" i="11"/>
  <c r="H544" i="11" s="1"/>
  <c r="D544" i="11"/>
  <c r="AG550" i="11"/>
  <c r="AC550" i="11"/>
  <c r="G543" i="11"/>
  <c r="H543" i="11" s="1"/>
  <c r="D543" i="11"/>
  <c r="AG549" i="11"/>
  <c r="AC549" i="11"/>
  <c r="G542" i="11"/>
  <c r="H542" i="11" s="1"/>
  <c r="D542" i="11"/>
  <c r="AG548" i="11"/>
  <c r="AC548" i="11"/>
  <c r="G541" i="11"/>
  <c r="H541" i="11" s="1"/>
  <c r="D541" i="11"/>
  <c r="AG547" i="11"/>
  <c r="AC547" i="11"/>
  <c r="G540" i="11"/>
  <c r="H540" i="11" s="1"/>
  <c r="D540" i="11"/>
  <c r="AG546" i="11"/>
  <c r="AC546" i="11"/>
  <c r="D539" i="11"/>
  <c r="AG545" i="11"/>
  <c r="AC545" i="11"/>
  <c r="G538" i="11"/>
  <c r="H538" i="11" s="1"/>
  <c r="D538" i="11"/>
  <c r="AG544" i="11"/>
  <c r="AC544" i="11"/>
  <c r="G537" i="11"/>
  <c r="H537" i="11" s="1"/>
  <c r="D537" i="11"/>
  <c r="AC543" i="11"/>
  <c r="G536" i="11"/>
  <c r="H536" i="11" s="1"/>
  <c r="D536" i="11"/>
  <c r="AG542" i="11"/>
  <c r="AC542" i="11"/>
  <c r="G535" i="11"/>
  <c r="H535" i="11" s="1"/>
  <c r="D535" i="11"/>
  <c r="AG541" i="11"/>
  <c r="AC541" i="11"/>
  <c r="G534" i="11"/>
  <c r="H534" i="11" s="1"/>
  <c r="D534" i="11"/>
  <c r="AG540" i="11"/>
  <c r="AC540" i="11"/>
  <c r="G533" i="11"/>
  <c r="H533" i="11" s="1"/>
  <c r="D533" i="11"/>
  <c r="AG539" i="11"/>
  <c r="AC539" i="11"/>
  <c r="G532" i="11"/>
  <c r="H532" i="11" s="1"/>
  <c r="D532" i="11"/>
  <c r="AG538" i="11"/>
  <c r="AC538" i="11"/>
  <c r="G531" i="11"/>
  <c r="H531" i="11" s="1"/>
  <c r="D531" i="11"/>
  <c r="AG537" i="11"/>
  <c r="AC537" i="11"/>
  <c r="G530" i="11"/>
  <c r="H530" i="11" s="1"/>
  <c r="D530" i="11"/>
  <c r="AG536" i="11"/>
  <c r="AC536" i="11"/>
  <c r="G529" i="11"/>
  <c r="H529" i="11" s="1"/>
  <c r="D529" i="11"/>
  <c r="AG535" i="11"/>
  <c r="AC535" i="11"/>
  <c r="G528" i="11"/>
  <c r="H528" i="11" s="1"/>
  <c r="D528" i="11"/>
  <c r="AG534" i="11"/>
  <c r="AC534" i="11"/>
  <c r="G527" i="11"/>
  <c r="H527" i="11" s="1"/>
  <c r="D527" i="11"/>
  <c r="AG533" i="11"/>
  <c r="AC533" i="11"/>
  <c r="G526" i="11"/>
  <c r="H526" i="11" s="1"/>
  <c r="D526" i="11"/>
  <c r="AG532" i="11"/>
  <c r="AC532" i="11"/>
  <c r="G525" i="11"/>
  <c r="H525" i="11" s="1"/>
  <c r="D525" i="11"/>
  <c r="AG531" i="11"/>
  <c r="AC531" i="11"/>
  <c r="G524" i="11"/>
  <c r="H524" i="11" s="1"/>
  <c r="D524" i="11"/>
  <c r="AG530" i="11"/>
  <c r="AC530" i="11"/>
  <c r="G523" i="11"/>
  <c r="H523" i="11" s="1"/>
  <c r="D523" i="11"/>
  <c r="AG529" i="11"/>
  <c r="AC529" i="11"/>
  <c r="G522" i="11"/>
  <c r="H522" i="11" s="1"/>
  <c r="D522" i="11"/>
  <c r="AG528" i="11"/>
  <c r="AC528" i="11"/>
  <c r="G521" i="11"/>
  <c r="E63" i="11" s="1"/>
  <c r="D521" i="11"/>
  <c r="AG527" i="11"/>
  <c r="AC527" i="11"/>
  <c r="G520" i="11"/>
  <c r="H520" i="11" s="1"/>
  <c r="D520" i="11"/>
  <c r="AG526" i="11"/>
  <c r="AC526" i="11"/>
  <c r="G519" i="11"/>
  <c r="H519" i="11" s="1"/>
  <c r="D519" i="11"/>
  <c r="AG525" i="11"/>
  <c r="AC525" i="11"/>
  <c r="G518" i="11"/>
  <c r="H518" i="11" s="1"/>
  <c r="D518" i="11"/>
  <c r="AG524" i="11"/>
  <c r="AC524" i="11"/>
  <c r="G517" i="11"/>
  <c r="H517" i="11" s="1"/>
  <c r="D517" i="11"/>
  <c r="AG523" i="11"/>
  <c r="AC523" i="11"/>
  <c r="G516" i="11"/>
  <c r="H516" i="11" s="1"/>
  <c r="D516" i="11"/>
  <c r="AG522" i="11"/>
  <c r="AC522" i="11"/>
  <c r="G515" i="11"/>
  <c r="H515" i="11" s="1"/>
  <c r="D515" i="11"/>
  <c r="AG521" i="11"/>
  <c r="AC521" i="11"/>
  <c r="G514" i="11"/>
  <c r="H514" i="11" s="1"/>
  <c r="D514" i="11"/>
  <c r="AG520" i="11"/>
  <c r="AC520" i="11"/>
  <c r="G513" i="11"/>
  <c r="H513" i="11" s="1"/>
  <c r="D513" i="11"/>
  <c r="AG519" i="11"/>
  <c r="AC519" i="11"/>
  <c r="G512" i="11"/>
  <c r="K61" i="4" s="1"/>
  <c r="D512" i="11"/>
  <c r="AG518" i="11"/>
  <c r="AC518" i="11"/>
  <c r="G511" i="11"/>
  <c r="H511" i="11" s="1"/>
  <c r="D511" i="11"/>
  <c r="AG517" i="11"/>
  <c r="AC517" i="11"/>
  <c r="G510" i="11"/>
  <c r="H510" i="11" s="1"/>
  <c r="D510" i="11"/>
  <c r="AG516" i="11"/>
  <c r="AC516" i="11"/>
  <c r="G509" i="11"/>
  <c r="H509" i="11" s="1"/>
  <c r="D509" i="11"/>
  <c r="AG515" i="11"/>
  <c r="AC515" i="11"/>
  <c r="G508" i="11"/>
  <c r="H508" i="11" s="1"/>
  <c r="D508" i="11"/>
  <c r="AG514" i="11"/>
  <c r="AC514" i="11"/>
  <c r="G507" i="11"/>
  <c r="H507" i="11" s="1"/>
  <c r="D507" i="11"/>
  <c r="AG513" i="11"/>
  <c r="AC513" i="11"/>
  <c r="G506" i="11"/>
  <c r="H506" i="11" s="1"/>
  <c r="D506" i="11"/>
  <c r="AG512" i="11"/>
  <c r="AC512" i="11"/>
  <c r="G505" i="11"/>
  <c r="H505" i="11" s="1"/>
  <c r="D505" i="11"/>
  <c r="AG511" i="11"/>
  <c r="AC511" i="11"/>
  <c r="G504" i="11"/>
  <c r="H504" i="11" s="1"/>
  <c r="D504" i="11"/>
  <c r="C504" i="11"/>
  <c r="AG510" i="11"/>
  <c r="AC510" i="11"/>
  <c r="D503" i="11"/>
  <c r="C509" i="11" s="1"/>
  <c r="AG509" i="11"/>
  <c r="AC509" i="11"/>
  <c r="G502" i="11"/>
  <c r="H502" i="11" s="1"/>
  <c r="D502" i="11"/>
  <c r="AG508" i="11"/>
  <c r="AC508" i="11"/>
  <c r="AB508" i="11"/>
  <c r="G501" i="11"/>
  <c r="H501" i="11" s="1"/>
  <c r="D501" i="11"/>
  <c r="AC507" i="11"/>
  <c r="G500" i="11"/>
  <c r="H500" i="11" s="1"/>
  <c r="D500" i="11"/>
  <c r="AG506" i="11"/>
  <c r="AC506" i="11"/>
  <c r="G499" i="11"/>
  <c r="H499" i="11" s="1"/>
  <c r="D499" i="11"/>
  <c r="AG505" i="11"/>
  <c r="AC505" i="11"/>
  <c r="G498" i="11"/>
  <c r="H498" i="11" s="1"/>
  <c r="D498" i="11"/>
  <c r="AG504" i="11"/>
  <c r="AC504" i="11"/>
  <c r="G497" i="11"/>
  <c r="H497" i="11" s="1"/>
  <c r="D497" i="11"/>
  <c r="AG503" i="11"/>
  <c r="AC503" i="11"/>
  <c r="G496" i="11"/>
  <c r="H496" i="11" s="1"/>
  <c r="D496" i="11"/>
  <c r="AG502" i="11"/>
  <c r="AC502" i="11"/>
  <c r="G495" i="11"/>
  <c r="H495" i="11" s="1"/>
  <c r="D495" i="11"/>
  <c r="AG501" i="11"/>
  <c r="AC501" i="11"/>
  <c r="G494" i="11"/>
  <c r="H494" i="11" s="1"/>
  <c r="D494" i="11"/>
  <c r="AG500" i="11"/>
  <c r="AC500" i="11"/>
  <c r="G493" i="11"/>
  <c r="H493" i="11" s="1"/>
  <c r="D493" i="11"/>
  <c r="AG499" i="11"/>
  <c r="AC499" i="11"/>
  <c r="G492" i="11"/>
  <c r="D492" i="11"/>
  <c r="AG498" i="11"/>
  <c r="AC498" i="11"/>
  <c r="G491" i="11"/>
  <c r="H491" i="11" s="1"/>
  <c r="D491" i="11"/>
  <c r="AG497" i="11"/>
  <c r="AC497" i="11"/>
  <c r="G490" i="11"/>
  <c r="H490" i="11" s="1"/>
  <c r="D490" i="11"/>
  <c r="AG496" i="11"/>
  <c r="AC496" i="11"/>
  <c r="G489" i="11"/>
  <c r="H489" i="11" s="1"/>
  <c r="D489" i="11"/>
  <c r="AG495" i="11"/>
  <c r="AC495" i="11"/>
  <c r="G488" i="11"/>
  <c r="H488" i="11" s="1"/>
  <c r="D488" i="11"/>
  <c r="AG494" i="11"/>
  <c r="AC494" i="11"/>
  <c r="G487" i="11"/>
  <c r="H487" i="11" s="1"/>
  <c r="D487" i="11"/>
  <c r="AG493" i="11"/>
  <c r="AC493" i="11"/>
  <c r="G486" i="11"/>
  <c r="H486" i="11" s="1"/>
  <c r="D486" i="11"/>
  <c r="AG492" i="11"/>
  <c r="AC492" i="11"/>
  <c r="G485" i="11"/>
  <c r="H485" i="11" s="1"/>
  <c r="D485" i="11"/>
  <c r="AG491" i="11"/>
  <c r="AC491" i="11"/>
  <c r="G484" i="11"/>
  <c r="H484" i="11" s="1"/>
  <c r="D484" i="11"/>
  <c r="AG490" i="11"/>
  <c r="AC490" i="11"/>
  <c r="G483" i="11"/>
  <c r="H483" i="11" s="1"/>
  <c r="D483" i="11"/>
  <c r="AG489" i="11"/>
  <c r="AC489" i="11"/>
  <c r="G482" i="11"/>
  <c r="H482" i="11" s="1"/>
  <c r="D482" i="11"/>
  <c r="AG488" i="11"/>
  <c r="AC488" i="11"/>
  <c r="G481" i="11"/>
  <c r="H481" i="11" s="1"/>
  <c r="D481" i="11"/>
  <c r="AG487" i="11"/>
  <c r="AC487" i="11"/>
  <c r="D480" i="11"/>
  <c r="AG486" i="11"/>
  <c r="AC486" i="11"/>
  <c r="G479" i="11"/>
  <c r="H479" i="11" s="1"/>
  <c r="D479" i="11"/>
  <c r="AG485" i="11"/>
  <c r="AC485" i="11"/>
  <c r="G478" i="11"/>
  <c r="H478" i="11" s="1"/>
  <c r="D478" i="11"/>
  <c r="AC484" i="11"/>
  <c r="AB484" i="11" s="1"/>
  <c r="D477" i="11"/>
  <c r="AG483" i="11"/>
  <c r="G476" i="11"/>
  <c r="H476" i="11" s="1"/>
  <c r="D476" i="11"/>
  <c r="AG482" i="11"/>
  <c r="G475" i="11"/>
  <c r="H475" i="11" s="1"/>
  <c r="D475" i="11"/>
  <c r="AG481" i="11"/>
  <c r="G474" i="11"/>
  <c r="H474" i="11" s="1"/>
  <c r="D474" i="11"/>
  <c r="AG480" i="11"/>
  <c r="G473" i="11"/>
  <c r="X123" i="3" s="1"/>
  <c r="D473" i="11"/>
  <c r="AG479" i="11"/>
  <c r="G472" i="11"/>
  <c r="H472" i="11" s="1"/>
  <c r="D472" i="11"/>
  <c r="AG478" i="11"/>
  <c r="G471" i="11"/>
  <c r="H471" i="11" s="1"/>
  <c r="D471" i="11"/>
  <c r="AG477" i="11"/>
  <c r="G470" i="11"/>
  <c r="H470" i="11" s="1"/>
  <c r="D470" i="11"/>
  <c r="AG476" i="11"/>
  <c r="G469" i="11"/>
  <c r="H469" i="11" s="1"/>
  <c r="D469" i="11"/>
  <c r="AG475" i="11"/>
  <c r="G468" i="11"/>
  <c r="H468" i="11" s="1"/>
  <c r="D468" i="11"/>
  <c r="AG474" i="11"/>
  <c r="G467" i="11"/>
  <c r="H467" i="11" s="1"/>
  <c r="D467" i="11"/>
  <c r="AG473" i="11"/>
  <c r="G466" i="11"/>
  <c r="H466" i="11" s="1"/>
  <c r="D466" i="11"/>
  <c r="AG472" i="11"/>
  <c r="G465" i="11"/>
  <c r="H465" i="11" s="1"/>
  <c r="D465" i="11"/>
  <c r="AG471" i="11"/>
  <c r="G464" i="11"/>
  <c r="H464" i="11" s="1"/>
  <c r="D464" i="11"/>
  <c r="AG470" i="11"/>
  <c r="G463" i="11"/>
  <c r="H463" i="11" s="1"/>
  <c r="D463" i="11"/>
  <c r="G462" i="11"/>
  <c r="H462" i="11" s="1"/>
  <c r="D462" i="11"/>
  <c r="G461" i="11"/>
  <c r="H461" i="11" s="1"/>
  <c r="D461" i="11"/>
  <c r="AG467" i="11"/>
  <c r="G460" i="11"/>
  <c r="H460" i="11" s="1"/>
  <c r="D460" i="11"/>
  <c r="AG466" i="11"/>
  <c r="G459" i="11"/>
  <c r="H459" i="11" s="1"/>
  <c r="D459" i="11"/>
  <c r="AG465" i="11"/>
  <c r="G458" i="11"/>
  <c r="H458" i="11" s="1"/>
  <c r="D458" i="11"/>
  <c r="AG464" i="11"/>
  <c r="G457" i="11"/>
  <c r="H457" i="11" s="1"/>
  <c r="D457" i="11"/>
  <c r="AG463" i="11"/>
  <c r="G456" i="11"/>
  <c r="H456" i="11" s="1"/>
  <c r="D456" i="11"/>
  <c r="AG462" i="11"/>
  <c r="D455" i="11"/>
  <c r="C455" i="11"/>
  <c r="AG461" i="11"/>
  <c r="G454" i="11"/>
  <c r="H454" i="11" s="1"/>
  <c r="D454" i="11"/>
  <c r="AG460" i="11"/>
  <c r="G453" i="11"/>
  <c r="H453" i="11" s="1"/>
  <c r="D453" i="11"/>
  <c r="AG459" i="11"/>
  <c r="G452" i="11"/>
  <c r="H452" i="11" s="1"/>
  <c r="D452" i="11"/>
  <c r="AG458" i="11"/>
  <c r="D451" i="11"/>
  <c r="AG457" i="11"/>
  <c r="G450" i="11"/>
  <c r="H450" i="11" s="1"/>
  <c r="D450" i="11"/>
  <c r="AG456" i="11"/>
  <c r="G449" i="11"/>
  <c r="H449" i="11" s="1"/>
  <c r="D449" i="11"/>
  <c r="AG455" i="11"/>
  <c r="G448" i="11"/>
  <c r="H448" i="11" s="1"/>
  <c r="D448" i="11"/>
  <c r="AG454" i="11"/>
  <c r="G447" i="11"/>
  <c r="H447" i="11" s="1"/>
  <c r="D447" i="11"/>
  <c r="AG453" i="11"/>
  <c r="G446" i="11"/>
  <c r="H446" i="11" s="1"/>
  <c r="D446" i="11"/>
  <c r="AG452" i="11"/>
  <c r="G445" i="11"/>
  <c r="D445" i="11"/>
  <c r="AG451" i="11"/>
  <c r="D444" i="11"/>
  <c r="AG450" i="11"/>
  <c r="G443" i="11"/>
  <c r="H443" i="11" s="1"/>
  <c r="D443" i="11"/>
  <c r="AG449" i="11"/>
  <c r="G442" i="11"/>
  <c r="H442" i="11" s="1"/>
  <c r="D442" i="11"/>
  <c r="AG448" i="11"/>
  <c r="G441" i="11"/>
  <c r="H441" i="11" s="1"/>
  <c r="D441" i="11"/>
  <c r="AG447" i="11"/>
  <c r="G440" i="11"/>
  <c r="H440" i="11" s="1"/>
  <c r="D440" i="11"/>
  <c r="AG446" i="11"/>
  <c r="G439" i="11"/>
  <c r="H439" i="11" s="1"/>
  <c r="D439" i="11"/>
  <c r="AG445" i="11"/>
  <c r="G438" i="11"/>
  <c r="H438" i="11" s="1"/>
  <c r="D438" i="11"/>
  <c r="AG444" i="11"/>
  <c r="G437" i="11"/>
  <c r="H437" i="11" s="1"/>
  <c r="D437" i="11"/>
  <c r="AG443" i="11"/>
  <c r="G436" i="11"/>
  <c r="H436" i="11" s="1"/>
  <c r="D436" i="11"/>
  <c r="AG442" i="11"/>
  <c r="G435" i="11"/>
  <c r="H435" i="11" s="1"/>
  <c r="D435" i="11"/>
  <c r="AG441" i="11"/>
  <c r="G434" i="11"/>
  <c r="H434" i="11" s="1"/>
  <c r="D434" i="11"/>
  <c r="AG440" i="11"/>
  <c r="G433" i="11"/>
  <c r="H433" i="11" s="1"/>
  <c r="D433" i="11"/>
  <c r="AG439" i="11"/>
  <c r="G432" i="11"/>
  <c r="H432" i="11" s="1"/>
  <c r="D432" i="11"/>
  <c r="G431" i="11"/>
  <c r="H431" i="11" s="1"/>
  <c r="D431" i="11"/>
  <c r="AB437" i="11"/>
  <c r="G430" i="11"/>
  <c r="H430" i="11" s="1"/>
  <c r="D430" i="11"/>
  <c r="AG429" i="11"/>
  <c r="G429" i="11"/>
  <c r="H429" i="11" s="1"/>
  <c r="D429" i="11"/>
  <c r="AG428" i="11"/>
  <c r="G428" i="11"/>
  <c r="H428" i="11" s="1"/>
  <c r="D428" i="11"/>
  <c r="AG427" i="11"/>
  <c r="G427" i="11"/>
  <c r="H427" i="11" s="1"/>
  <c r="D427" i="11"/>
  <c r="G426" i="11"/>
  <c r="D426" i="11"/>
  <c r="AG425" i="11"/>
  <c r="G425" i="11"/>
  <c r="H425" i="11" s="1"/>
  <c r="D425" i="11"/>
  <c r="AG424" i="11"/>
  <c r="G424" i="11"/>
  <c r="H424" i="11" s="1"/>
  <c r="D424" i="11"/>
  <c r="AG423" i="11"/>
  <c r="G423" i="11"/>
  <c r="H423" i="11" s="1"/>
  <c r="D423" i="11"/>
  <c r="AG422" i="11"/>
  <c r="G422" i="11"/>
  <c r="H422" i="11" s="1"/>
  <c r="D422" i="11"/>
  <c r="AG421" i="11"/>
  <c r="G421" i="11"/>
  <c r="H421" i="11" s="1"/>
  <c r="D421" i="11"/>
  <c r="AG420" i="11"/>
  <c r="G420" i="11"/>
  <c r="H420" i="11" s="1"/>
  <c r="D420" i="11"/>
  <c r="G419" i="11"/>
  <c r="H419" i="11" s="1"/>
  <c r="D419" i="11"/>
  <c r="AG418" i="11"/>
  <c r="G418" i="11"/>
  <c r="H418" i="11" s="1"/>
  <c r="D418" i="11"/>
  <c r="AG417" i="11"/>
  <c r="G417" i="11"/>
  <c r="H417" i="11" s="1"/>
  <c r="D417" i="11"/>
  <c r="AG416" i="11"/>
  <c r="G416" i="11"/>
  <c r="H416" i="11" s="1"/>
  <c r="D416" i="11"/>
  <c r="AG415" i="11"/>
  <c r="G415" i="11"/>
  <c r="D415" i="11"/>
  <c r="AG414" i="11"/>
  <c r="G414" i="11"/>
  <c r="H414" i="11" s="1"/>
  <c r="D414" i="11"/>
  <c r="AG413" i="11"/>
  <c r="G413" i="11"/>
  <c r="H413" i="11" s="1"/>
  <c r="D413" i="11"/>
  <c r="AG412" i="11"/>
  <c r="G412" i="11"/>
  <c r="H412" i="11" s="1"/>
  <c r="D412" i="11"/>
  <c r="C412" i="11"/>
  <c r="AG411" i="11"/>
  <c r="G411" i="11"/>
  <c r="H411" i="11" s="1"/>
  <c r="D411" i="11"/>
  <c r="AG410" i="11"/>
  <c r="AG409" i="11"/>
  <c r="F409" i="11"/>
  <c r="E409" i="11"/>
  <c r="G409" i="11" s="1"/>
  <c r="AG408" i="11"/>
  <c r="F408" i="11"/>
  <c r="E408" i="11"/>
  <c r="G408" i="11" s="1"/>
  <c r="AG407" i="11"/>
  <c r="F407" i="11"/>
  <c r="E407" i="11"/>
  <c r="G407" i="11" s="1"/>
  <c r="AG406" i="11"/>
  <c r="F406" i="11"/>
  <c r="E406" i="11"/>
  <c r="G406" i="11" s="1"/>
  <c r="AG405" i="11"/>
  <c r="AG404" i="11"/>
  <c r="G404" i="11"/>
  <c r="H404" i="11" s="1"/>
  <c r="AG403" i="11"/>
  <c r="AG402" i="11"/>
  <c r="G402" i="11"/>
  <c r="H402" i="11" s="1"/>
  <c r="AG401" i="11"/>
  <c r="G401" i="11"/>
  <c r="H401" i="11" s="1"/>
  <c r="AG400" i="11"/>
  <c r="G400" i="11"/>
  <c r="H400" i="11" s="1"/>
  <c r="AG399" i="11"/>
  <c r="G399" i="11"/>
  <c r="H399" i="11" s="1"/>
  <c r="AG398" i="11"/>
  <c r="G398" i="11"/>
  <c r="H398" i="11" s="1"/>
  <c r="AG397" i="11"/>
  <c r="G397" i="11"/>
  <c r="H397" i="11" s="1"/>
  <c r="AG396" i="11"/>
  <c r="G396" i="11"/>
  <c r="H396" i="11" s="1"/>
  <c r="AG395" i="11"/>
  <c r="AG394" i="11"/>
  <c r="G394" i="11"/>
  <c r="H394" i="11" s="1"/>
  <c r="AG393" i="11"/>
  <c r="G393" i="11"/>
  <c r="H393" i="11" s="1"/>
  <c r="AG392" i="11"/>
  <c r="G392" i="11"/>
  <c r="AG391" i="11"/>
  <c r="G391" i="11"/>
  <c r="H391" i="11" s="1"/>
  <c r="AG390" i="11"/>
  <c r="G390" i="11"/>
  <c r="H390" i="11" s="1"/>
  <c r="AG389" i="11"/>
  <c r="G389" i="11"/>
  <c r="H389" i="11" s="1"/>
  <c r="AG388" i="11"/>
  <c r="G388" i="11"/>
  <c r="H388" i="11" s="1"/>
  <c r="AG387" i="11"/>
  <c r="AB387" i="11"/>
  <c r="G387" i="11"/>
  <c r="AG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203" i="11" s="1"/>
  <c r="AG289" i="11"/>
  <c r="G289" i="11"/>
  <c r="H289" i="11" s="1"/>
  <c r="AG288" i="11"/>
  <c r="G288" i="11"/>
  <c r="H288" i="11" s="1"/>
  <c r="AG287" i="11"/>
  <c r="G287" i="11"/>
  <c r="H287" i="11" s="1"/>
  <c r="AG286" i="11"/>
  <c r="G286" i="11"/>
  <c r="H286" i="11" s="1"/>
  <c r="AG285" i="11"/>
  <c r="G285" i="11"/>
  <c r="H285" i="11" s="1"/>
  <c r="AG284" i="11"/>
  <c r="G284" i="11"/>
  <c r="H284" i="11" s="1"/>
  <c r="AG283" i="11"/>
  <c r="R291" i="11"/>
  <c r="G283" i="11"/>
  <c r="H283" i="11" s="1"/>
  <c r="AG282" i="11"/>
  <c r="L290" i="11"/>
  <c r="G282" i="11"/>
  <c r="H282" i="11" s="1"/>
  <c r="AG281" i="11"/>
  <c r="T289" i="11"/>
  <c r="M289" i="11"/>
  <c r="L289" i="11"/>
  <c r="G281" i="11"/>
  <c r="H281" i="11" s="1"/>
  <c r="AG280" i="11"/>
  <c r="P288" i="11"/>
  <c r="G280" i="11"/>
  <c r="H280" i="11" s="1"/>
  <c r="AG279" i="11"/>
  <c r="P287" i="11"/>
  <c r="G279" i="11"/>
  <c r="H279" i="11" s="1"/>
  <c r="AG278" i="11"/>
  <c r="P286" i="11"/>
  <c r="G278" i="11"/>
  <c r="H278" i="11" s="1"/>
  <c r="AG277" i="11"/>
  <c r="P285" i="11"/>
  <c r="G277" i="11"/>
  <c r="H277" i="11" s="1"/>
  <c r="AG276" i="11"/>
  <c r="P284" i="11"/>
  <c r="G276" i="11"/>
  <c r="H276" i="11" s="1"/>
  <c r="AG275" i="11"/>
  <c r="P283" i="11"/>
  <c r="G275" i="11"/>
  <c r="H275" i="11" s="1"/>
  <c r="AG274" i="11"/>
  <c r="P282" i="11"/>
  <c r="G274" i="11"/>
  <c r="H274" i="11" s="1"/>
  <c r="AG273" i="11"/>
  <c r="P281" i="11"/>
  <c r="G273" i="11"/>
  <c r="H273" i="11" s="1"/>
  <c r="AG272" i="11"/>
  <c r="P280" i="11"/>
  <c r="G272" i="11"/>
  <c r="H272" i="11" s="1"/>
  <c r="AG271" i="11"/>
  <c r="P279" i="11"/>
  <c r="G271" i="11"/>
  <c r="H271" i="11" s="1"/>
  <c r="AG270" i="11"/>
  <c r="P278" i="11"/>
  <c r="G270" i="11"/>
  <c r="H270" i="11" s="1"/>
  <c r="AG269" i="11"/>
  <c r="P277" i="11"/>
  <c r="G269" i="11"/>
  <c r="H269" i="11" s="1"/>
  <c r="AG268" i="11"/>
  <c r="P276" i="11"/>
  <c r="G268" i="11"/>
  <c r="H268" i="11" s="1"/>
  <c r="AG267" i="11"/>
  <c r="P275" i="11"/>
  <c r="O275" i="11"/>
  <c r="G267" i="11"/>
  <c r="H267" i="11" s="1"/>
  <c r="P274" i="11"/>
  <c r="T274" i="11" s="1"/>
  <c r="O274" i="11"/>
  <c r="G266" i="11"/>
  <c r="H266" i="11" s="1"/>
  <c r="AG265" i="11"/>
  <c r="P273" i="11"/>
  <c r="H2207" i="11" s="1"/>
  <c r="O273" i="11"/>
  <c r="G265" i="11"/>
  <c r="H265" i="11" s="1"/>
  <c r="AG264" i="11"/>
  <c r="P272" i="11"/>
  <c r="O272" i="11"/>
  <c r="G264" i="11"/>
  <c r="H264" i="11" s="1"/>
  <c r="AG263" i="11"/>
  <c r="P271" i="11"/>
  <c r="O271" i="11"/>
  <c r="G263" i="11"/>
  <c r="H263" i="11" s="1"/>
  <c r="AG262" i="11"/>
  <c r="P270" i="11"/>
  <c r="T270" i="11" s="1"/>
  <c r="O270" i="11"/>
  <c r="G262" i="11"/>
  <c r="H262" i="11" s="1"/>
  <c r="C262" i="11"/>
  <c r="AG261" i="11"/>
  <c r="O269" i="11"/>
  <c r="AG260" i="11"/>
  <c r="P268" i="11"/>
  <c r="O268" i="11"/>
  <c r="AG259" i="11"/>
  <c r="P267" i="11"/>
  <c r="T267" i="11" s="1"/>
  <c r="O267" i="11"/>
  <c r="AG258" i="11"/>
  <c r="P266" i="11"/>
  <c r="O266" i="11"/>
  <c r="AG257" i="11"/>
  <c r="P265" i="11"/>
  <c r="O265" i="11"/>
  <c r="AG256" i="11"/>
  <c r="P264" i="11"/>
  <c r="O264" i="11"/>
  <c r="AG255" i="11"/>
  <c r="P263" i="11"/>
  <c r="O263" i="11"/>
  <c r="AG254" i="11"/>
  <c r="P262" i="11"/>
  <c r="O262" i="11"/>
  <c r="F254" i="11"/>
  <c r="AG253" i="11"/>
  <c r="P261" i="11"/>
  <c r="O261" i="11"/>
  <c r="F253" i="11"/>
  <c r="AG252" i="11"/>
  <c r="P260" i="11"/>
  <c r="O260" i="11"/>
  <c r="F252" i="11"/>
  <c r="AG251" i="11"/>
  <c r="P259" i="11"/>
  <c r="O259" i="11"/>
  <c r="F251" i="11"/>
  <c r="AG250" i="11"/>
  <c r="P258" i="11"/>
  <c r="O258" i="11"/>
  <c r="F250" i="11"/>
  <c r="AG249" i="11"/>
  <c r="P257" i="11"/>
  <c r="O257" i="11"/>
  <c r="F249" i="11"/>
  <c r="AG248" i="11"/>
  <c r="O255" i="11"/>
  <c r="F248" i="11"/>
  <c r="AG247" i="11"/>
  <c r="F247" i="11"/>
  <c r="AG246" i="11"/>
  <c r="O253" i="11"/>
  <c r="AG245" i="11"/>
  <c r="T252" i="11"/>
  <c r="AG244" i="11"/>
  <c r="O251" i="11"/>
  <c r="AG243" i="11"/>
  <c r="T250" i="11"/>
  <c r="AG242" i="11"/>
  <c r="O249" i="11"/>
  <c r="AG241" i="11"/>
  <c r="P241" i="11"/>
  <c r="O241" i="11"/>
  <c r="M241" i="11"/>
  <c r="AG240" i="11"/>
  <c r="M240" i="11"/>
  <c r="L240" i="11"/>
  <c r="AG239" i="11"/>
  <c r="AG238" i="11"/>
  <c r="AG237" i="11"/>
  <c r="AB237" i="11"/>
  <c r="CK229" i="11"/>
  <c r="CJ229" i="11"/>
  <c r="CH229" i="11"/>
  <c r="CG229" i="11"/>
  <c r="CF229" i="11"/>
  <c r="CE229" i="11"/>
  <c r="CD229" i="11"/>
  <c r="CC229" i="11"/>
  <c r="CA229" i="11"/>
  <c r="BZ229" i="11"/>
  <c r="BY229" i="11"/>
  <c r="BX229" i="11"/>
  <c r="BV229" i="11"/>
  <c r="BU229" i="11"/>
  <c r="BT229" i="11"/>
  <c r="BS229" i="11"/>
  <c r="BR229" i="11"/>
  <c r="BQ229" i="11"/>
  <c r="BP229" i="11"/>
  <c r="BO229" i="11"/>
  <c r="BN229" i="11"/>
  <c r="BM229" i="11"/>
  <c r="BL229" i="11"/>
  <c r="BK229" i="11"/>
  <c r="BI229" i="11"/>
  <c r="BH229" i="11"/>
  <c r="BF229" i="11"/>
  <c r="BE229" i="11"/>
  <c r="Q229" i="11"/>
  <c r="P229" i="11"/>
  <c r="O229" i="11"/>
  <c r="N229" i="11"/>
  <c r="H229" i="11"/>
  <c r="F229" i="11"/>
  <c r="E229" i="11"/>
  <c r="CR228" i="11"/>
  <c r="CP228" i="11"/>
  <c r="CR227" i="11"/>
  <c r="CP227" i="11"/>
  <c r="CR226" i="11"/>
  <c r="CP226" i="11"/>
  <c r="CR225" i="11"/>
  <c r="CP225" i="11"/>
  <c r="CR224" i="11"/>
  <c r="CP224" i="11"/>
  <c r="CR223" i="11"/>
  <c r="CP223" i="11"/>
  <c r="CR222" i="11"/>
  <c r="CP222" i="11"/>
  <c r="CR221" i="11"/>
  <c r="CP221" i="11"/>
  <c r="CR220" i="11"/>
  <c r="CP220" i="11"/>
  <c r="CR219" i="11"/>
  <c r="CP219" i="11"/>
  <c r="CR218" i="11"/>
  <c r="CP218" i="11"/>
  <c r="CR217" i="11"/>
  <c r="CP217" i="11"/>
  <c r="CR216" i="11"/>
  <c r="CR215" i="11"/>
  <c r="CP215" i="11"/>
  <c r="CR214" i="11"/>
  <c r="CP214" i="11"/>
  <c r="CR213" i="11"/>
  <c r="CP213" i="11"/>
  <c r="CR212" i="11"/>
  <c r="CP212" i="11"/>
  <c r="CR211" i="11"/>
  <c r="CR210" i="11"/>
  <c r="CR209" i="11"/>
  <c r="CR208" i="11"/>
  <c r="CP208" i="11"/>
  <c r="CR207" i="11"/>
  <c r="CP207" i="11"/>
  <c r="CR206" i="11"/>
  <c r="CP206" i="11"/>
  <c r="CR205" i="11"/>
  <c r="CP205" i="11"/>
  <c r="CR204" i="11"/>
  <c r="CP204" i="11"/>
  <c r="CR203" i="11"/>
  <c r="CP203" i="11"/>
  <c r="CR202" i="11"/>
  <c r="CM201" i="11"/>
  <c r="CM229" i="11" s="1"/>
  <c r="CL201" i="11"/>
  <c r="CL229" i="11" s="1"/>
  <c r="BJ201" i="11"/>
  <c r="BJ229" i="11" s="1"/>
  <c r="BG201" i="11"/>
  <c r="BG229" i="11" s="1"/>
  <c r="BD201" i="11"/>
  <c r="BD229" i="11" s="1"/>
  <c r="BC201" i="11"/>
  <c r="BC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1" i="11"/>
  <c r="AI60" i="11"/>
  <c r="AD54" i="11"/>
  <c r="AC54" i="11"/>
  <c r="AJ53" i="11"/>
  <c r="AD53" i="11"/>
  <c r="AC53"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W14" i="11"/>
  <c r="U14" i="11"/>
  <c r="V9" i="11"/>
  <c r="AG160" i="9"/>
  <c r="AB160" i="9"/>
  <c r="AF151" i="9"/>
  <c r="AA151" i="9"/>
  <c r="Z147" i="9"/>
  <c r="X147" i="9"/>
  <c r="Z145" i="9"/>
  <c r="AG143" i="9"/>
  <c r="AB143" i="9"/>
  <c r="AF135" i="9"/>
  <c r="AA135" i="9"/>
  <c r="Z131" i="9"/>
  <c r="X131" i="9"/>
  <c r="Z129" i="9"/>
  <c r="AG127" i="9"/>
  <c r="AB127" i="9"/>
  <c r="AF119" i="9"/>
  <c r="AA119" i="9"/>
  <c r="Z115" i="9"/>
  <c r="X115" i="9"/>
  <c r="Z113" i="9"/>
  <c r="AC80" i="9"/>
  <c r="AC79" i="9"/>
  <c r="AC78" i="9"/>
  <c r="AC77" i="9"/>
  <c r="AC76" i="9"/>
  <c r="AC75"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59" i="26" s="1"/>
  <c r="AZ52" i="9"/>
  <c r="J659" i="26" s="1"/>
  <c r="AY52" i="9"/>
  <c r="I659" i="26" s="1"/>
  <c r="AX52" i="9"/>
  <c r="H659" i="26" s="1"/>
  <c r="AW52" i="9"/>
  <c r="G659" i="26" s="1"/>
  <c r="AV52" i="9"/>
  <c r="F659" i="26" s="1"/>
  <c r="AU52" i="9"/>
  <c r="E659" i="26" s="1"/>
  <c r="AT52" i="9"/>
  <c r="AS52" i="9"/>
  <c r="AR52" i="9"/>
  <c r="AQ52" i="9"/>
  <c r="AP52" i="9"/>
  <c r="S88" i="26" s="1"/>
  <c r="AO52" i="9"/>
  <c r="R88" i="26" s="1"/>
  <c r="AN52" i="9"/>
  <c r="Q88" i="26" s="1"/>
  <c r="AM52" i="9"/>
  <c r="O88" i="26" s="1"/>
  <c r="C659" i="26" s="1"/>
  <c r="L659" i="26" s="1"/>
  <c r="BD51" i="9"/>
  <c r="V87" i="26" s="1"/>
  <c r="BC51" i="9"/>
  <c r="U87" i="26" s="1"/>
  <c r="BB51" i="9"/>
  <c r="T87" i="26" s="1"/>
  <c r="BA51" i="9"/>
  <c r="K658" i="26" s="1"/>
  <c r="AZ51" i="9"/>
  <c r="J658" i="26" s="1"/>
  <c r="AY51" i="9"/>
  <c r="I658" i="26" s="1"/>
  <c r="AX51" i="9"/>
  <c r="H658" i="26" s="1"/>
  <c r="AW51" i="9"/>
  <c r="G658" i="26" s="1"/>
  <c r="AV51" i="9"/>
  <c r="F658" i="26" s="1"/>
  <c r="AU51" i="9"/>
  <c r="E658" i="26" s="1"/>
  <c r="AT51" i="9"/>
  <c r="AS51" i="9"/>
  <c r="AR51" i="9"/>
  <c r="AQ51" i="9"/>
  <c r="AP51" i="9"/>
  <c r="S87" i="26" s="1"/>
  <c r="AO51" i="9"/>
  <c r="R87" i="26" s="1"/>
  <c r="AN51" i="9"/>
  <c r="Q87" i="26" s="1"/>
  <c r="AM51" i="9"/>
  <c r="O87" i="26" s="1"/>
  <c r="C658" i="26" s="1"/>
  <c r="L658" i="26" s="1"/>
  <c r="BD50" i="9"/>
  <c r="V86" i="26" s="1"/>
  <c r="BC50" i="9"/>
  <c r="U86" i="26" s="1"/>
  <c r="BB50" i="9"/>
  <c r="T86" i="26" s="1"/>
  <c r="X86" i="26" s="1"/>
  <c r="BA50" i="9"/>
  <c r="K657" i="26" s="1"/>
  <c r="AZ50" i="9"/>
  <c r="J657" i="26" s="1"/>
  <c r="AY50" i="9"/>
  <c r="I657" i="26" s="1"/>
  <c r="AX50" i="9"/>
  <c r="H657" i="26" s="1"/>
  <c r="AW50" i="9"/>
  <c r="G657" i="26" s="1"/>
  <c r="AV50" i="9"/>
  <c r="F657" i="26" s="1"/>
  <c r="AU50" i="9"/>
  <c r="E657" i="26" s="1"/>
  <c r="AT50" i="9"/>
  <c r="AS50" i="9"/>
  <c r="AR50" i="9"/>
  <c r="AQ50" i="9"/>
  <c r="AP50" i="9"/>
  <c r="S86" i="26" s="1"/>
  <c r="AO50" i="9"/>
  <c r="R86" i="26" s="1"/>
  <c r="AN50" i="9"/>
  <c r="Q86" i="26" s="1"/>
  <c r="AM50" i="9"/>
  <c r="O86" i="26" s="1"/>
  <c r="C657" i="26" s="1"/>
  <c r="L657" i="26" s="1"/>
  <c r="BD49" i="9"/>
  <c r="V85" i="26" s="1"/>
  <c r="BC49" i="9"/>
  <c r="U85" i="26" s="1"/>
  <c r="BB49" i="9"/>
  <c r="T85" i="26" s="1"/>
  <c r="BA49" i="9"/>
  <c r="K656" i="26" s="1"/>
  <c r="AZ49" i="9"/>
  <c r="J656" i="26" s="1"/>
  <c r="AY49" i="9"/>
  <c r="I656" i="26" s="1"/>
  <c r="AX49" i="9"/>
  <c r="H656" i="26" s="1"/>
  <c r="AW49" i="9"/>
  <c r="G656" i="26" s="1"/>
  <c r="AV49" i="9"/>
  <c r="F656" i="26" s="1"/>
  <c r="AU49" i="9"/>
  <c r="E656" i="26" s="1"/>
  <c r="AT49" i="9"/>
  <c r="AS49" i="9"/>
  <c r="AR49" i="9"/>
  <c r="AQ49" i="9"/>
  <c r="AP49" i="9"/>
  <c r="S85" i="26" s="1"/>
  <c r="AO49" i="9"/>
  <c r="R85" i="26" s="1"/>
  <c r="AN49" i="9"/>
  <c r="Q85" i="26" s="1"/>
  <c r="AM49" i="9"/>
  <c r="O85" i="26" s="1"/>
  <c r="C656" i="26" s="1"/>
  <c r="L656" i="26" s="1"/>
  <c r="BD48" i="9"/>
  <c r="V84" i="26" s="1"/>
  <c r="BC48" i="9"/>
  <c r="U84" i="26" s="1"/>
  <c r="BB48" i="9"/>
  <c r="T84" i="26" s="1"/>
  <c r="X84" i="26" s="1"/>
  <c r="BA48" i="9"/>
  <c r="K655" i="26" s="1"/>
  <c r="AZ48" i="9"/>
  <c r="J655" i="26" s="1"/>
  <c r="AY48" i="9"/>
  <c r="I655" i="26" s="1"/>
  <c r="AX48" i="9"/>
  <c r="H655" i="26" s="1"/>
  <c r="AW48" i="9"/>
  <c r="G655" i="26" s="1"/>
  <c r="AV48" i="9"/>
  <c r="F655" i="26" s="1"/>
  <c r="AU48" i="9"/>
  <c r="E655" i="26" s="1"/>
  <c r="AT48" i="9"/>
  <c r="AS48" i="9"/>
  <c r="AR48" i="9"/>
  <c r="AQ48" i="9"/>
  <c r="AP48" i="9"/>
  <c r="S84" i="26" s="1"/>
  <c r="AO48" i="9"/>
  <c r="R84" i="26" s="1"/>
  <c r="AN48" i="9"/>
  <c r="Q84" i="26" s="1"/>
  <c r="AM48" i="9"/>
  <c r="O84" i="26" s="1"/>
  <c r="C655" i="26" s="1"/>
  <c r="L655"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V62" i="18" s="1"/>
  <c r="AG56" i="28"/>
  <c r="AV61" i="18" s="1"/>
  <c r="AX61" i="18" s="1"/>
  <c r="AC56" i="28"/>
  <c r="Y56" i="28"/>
  <c r="T56" i="28"/>
  <c r="O56" i="28"/>
  <c r="K56" i="28"/>
  <c r="G56" i="28"/>
  <c r="C56" i="28"/>
  <c r="AV46" i="18" s="1"/>
  <c r="AK51" i="28"/>
  <c r="AV60" i="18" s="1"/>
  <c r="AX60" i="18" s="1"/>
  <c r="AG51" i="28"/>
  <c r="AC51" i="28"/>
  <c r="Y51" i="28"/>
  <c r="O51" i="28"/>
  <c r="K51" i="28"/>
  <c r="G51" i="28"/>
  <c r="C51" i="28"/>
  <c r="AX43" i="18" s="1"/>
  <c r="T50" i="28"/>
  <c r="AK46" i="28"/>
  <c r="AG46" i="28"/>
  <c r="Y46" i="28"/>
  <c r="O46" i="28"/>
  <c r="G46" i="28"/>
  <c r="C46" i="28"/>
  <c r="V44" i="28"/>
  <c r="AV26" i="18" s="1"/>
  <c r="R44" i="28"/>
  <c r="AK41" i="28"/>
  <c r="AG41" i="28"/>
  <c r="AC41" i="28"/>
  <c r="Y41" i="28"/>
  <c r="AV55" i="18" s="1"/>
  <c r="AX55" i="18" s="1"/>
  <c r="O41" i="28"/>
  <c r="AX40" i="18" s="1"/>
  <c r="K41" i="28"/>
  <c r="G41" i="28"/>
  <c r="C41" i="28"/>
  <c r="AK36" i="28"/>
  <c r="T36" i="28"/>
  <c r="AX24" i="18" s="1"/>
  <c r="C36" i="28"/>
  <c r="AP34" i="28"/>
  <c r="C32" i="28"/>
  <c r="AK31" i="28"/>
  <c r="AG31" i="28"/>
  <c r="AC31" i="28"/>
  <c r="Y31" i="28"/>
  <c r="O31" i="28"/>
  <c r="K31" i="28"/>
  <c r="G31" i="28"/>
  <c r="C31" i="28"/>
  <c r="V28" i="28"/>
  <c r="AX27" i="18" s="1"/>
  <c r="Y27" i="28"/>
  <c r="G27" i="28"/>
  <c r="AK26" i="28"/>
  <c r="AG26" i="28"/>
  <c r="AC26" i="28"/>
  <c r="Y26" i="28"/>
  <c r="O26" i="28"/>
  <c r="K26" i="28"/>
  <c r="G26" i="28"/>
  <c r="C26" i="28"/>
  <c r="T22" i="28"/>
  <c r="C22" i="28"/>
  <c r="AK21" i="28"/>
  <c r="AV52" i="18" s="1"/>
  <c r="AX52" i="18" s="1"/>
  <c r="AC21" i="28"/>
  <c r="Y21" i="28"/>
  <c r="O21" i="28"/>
  <c r="K21" i="28"/>
  <c r="C21" i="28"/>
  <c r="AV37" i="18" s="1"/>
  <c r="O17" i="28"/>
  <c r="AK16" i="28"/>
  <c r="AV54" i="18" s="1"/>
  <c r="AG16" i="28"/>
  <c r="AV53" i="18" s="1"/>
  <c r="AX53" i="18" s="1"/>
  <c r="AC16" i="28"/>
  <c r="Y16" i="28"/>
  <c r="T16" i="28"/>
  <c r="O16" i="28"/>
  <c r="K16" i="28"/>
  <c r="G16" i="28"/>
  <c r="AX36" i="18" s="1"/>
  <c r="C16" i="28"/>
  <c r="AX38" i="18" s="1"/>
  <c r="AQ14" i="28"/>
  <c r="O12" i="28"/>
  <c r="K12" i="28"/>
  <c r="W6" i="28"/>
  <c r="AK5" i="28"/>
  <c r="AH77" i="8"/>
  <c r="AD77" i="8"/>
  <c r="Z77" i="8"/>
  <c r="V77" i="8"/>
  <c r="AC76" i="8"/>
  <c r="AB76" i="8" s="1"/>
  <c r="AH75" i="8"/>
  <c r="AD75" i="8"/>
  <c r="Z75" i="8"/>
  <c r="V75" i="8"/>
  <c r="AC74" i="8"/>
  <c r="AB74" i="8" s="1"/>
  <c r="AH73" i="8"/>
  <c r="AD73" i="8"/>
  <c r="Z73" i="8"/>
  <c r="V73" i="8"/>
  <c r="AC72" i="8"/>
  <c r="AB72" i="8" s="1"/>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X11" i="8"/>
  <c r="U20" i="8"/>
  <c r="L11" i="8"/>
  <c r="K11" i="8"/>
  <c r="J11" i="8"/>
  <c r="AC10" i="8"/>
  <c r="AE4" i="8"/>
  <c r="L4" i="8"/>
  <c r="G74" i="14"/>
  <c r="E72" i="14"/>
  <c r="O67" i="14"/>
  <c r="W110" i="13" s="1"/>
  <c r="Q67" i="14" s="1"/>
  <c r="X67" i="14" s="1"/>
  <c r="S67" i="14" s="1"/>
  <c r="O66" i="14"/>
  <c r="W109" i="13" s="1"/>
  <c r="Q66" i="14" s="1"/>
  <c r="X66" i="14" s="1"/>
  <c r="S66" i="14" s="1"/>
  <c r="O65" i="14"/>
  <c r="W108" i="13" s="1"/>
  <c r="Q65" i="14" s="1"/>
  <c r="X65" i="14" s="1"/>
  <c r="S65" i="14" s="1"/>
  <c r="O64" i="14"/>
  <c r="W107" i="13" s="1"/>
  <c r="Q64" i="14" s="1"/>
  <c r="X64" i="14" s="1"/>
  <c r="S64" i="14" s="1"/>
  <c r="O63" i="14"/>
  <c r="W106" i="13" s="1"/>
  <c r="Q63" i="14" s="1"/>
  <c r="X63" i="14" s="1"/>
  <c r="S63" i="14" s="1"/>
  <c r="F50" i="14"/>
  <c r="E38" i="14"/>
  <c r="O29" i="14"/>
  <c r="Z72" i="13" s="1"/>
  <c r="Z112" i="13" s="1"/>
  <c r="S23" i="14"/>
  <c r="H23" i="14"/>
  <c r="S16" i="14"/>
  <c r="S15" i="14"/>
  <c r="S13" i="14"/>
  <c r="V6" i="14"/>
  <c r="X5"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265" i="11" s="1"/>
  <c r="P1265" i="11" s="1"/>
  <c r="AD30" i="7"/>
  <c r="X30" i="7"/>
  <c r="L30" i="7"/>
  <c r="F30" i="7"/>
  <c r="Q1270" i="11" s="1"/>
  <c r="AA29" i="7"/>
  <c r="R29" i="7"/>
  <c r="I29" i="7"/>
  <c r="AG24" i="7"/>
  <c r="AD24" i="7"/>
  <c r="AA24" i="7"/>
  <c r="X24" i="7"/>
  <c r="U24" i="7"/>
  <c r="R24" i="7"/>
  <c r="O24" i="7"/>
  <c r="L24" i="7"/>
  <c r="I24" i="7"/>
  <c r="F24" i="7"/>
  <c r="C24" i="7"/>
  <c r="AA19" i="7"/>
  <c r="R19" i="7"/>
  <c r="I19" i="7"/>
  <c r="AD15" i="7"/>
  <c r="X15" i="7"/>
  <c r="L15" i="7"/>
  <c r="F15" i="7"/>
  <c r="AA14" i="7"/>
  <c r="I14" i="7"/>
  <c r="T12" i="7"/>
  <c r="AC4" i="7"/>
  <c r="AD85" i="6"/>
  <c r="AO72" i="6"/>
  <c r="AD84" i="6"/>
  <c r="AO71" i="6"/>
  <c r="AD83" i="6"/>
  <c r="AO70" i="6"/>
  <c r="AD82" i="6"/>
  <c r="AO69" i="6"/>
  <c r="AD81" i="6"/>
  <c r="AO68" i="6"/>
  <c r="AD80" i="6"/>
  <c r="AO67" i="6"/>
  <c r="AD79" i="6"/>
  <c r="AO66" i="6"/>
  <c r="AO65" i="6"/>
  <c r="AO64" i="6"/>
  <c r="AO63" i="6"/>
  <c r="AO62" i="6"/>
  <c r="H61" i="6"/>
  <c r="BD60" i="6"/>
  <c r="BA60" i="6"/>
  <c r="BC60" i="6" s="1"/>
  <c r="Q60" i="6"/>
  <c r="P60" i="6"/>
  <c r="BA59" i="6"/>
  <c r="BD59" i="6" s="1"/>
  <c r="Q59" i="6"/>
  <c r="P59" i="6"/>
  <c r="BA58" i="6"/>
  <c r="BD58" i="6" s="1"/>
  <c r="Q58" i="6"/>
  <c r="P58" i="6"/>
  <c r="BF57" i="6"/>
  <c r="BA57" i="6"/>
  <c r="BD57" i="6" s="1"/>
  <c r="Q57" i="6"/>
  <c r="P57" i="6"/>
  <c r="BA56" i="6"/>
  <c r="BC56" i="6" s="1"/>
  <c r="Q56" i="6"/>
  <c r="P56" i="6"/>
  <c r="BA55" i="6"/>
  <c r="BD55" i="6" s="1"/>
  <c r="Q55" i="6"/>
  <c r="P55" i="6"/>
  <c r="BF54" i="6"/>
  <c r="BB54" i="6"/>
  <c r="BE54" i="6" s="1"/>
  <c r="BA54" i="6"/>
  <c r="BD54" i="6" s="1"/>
  <c r="Q54" i="6"/>
  <c r="P54" i="6"/>
  <c r="BD53" i="6"/>
  <c r="BB53" i="6"/>
  <c r="BE53" i="6" s="1"/>
  <c r="BA53" i="6"/>
  <c r="BF53" i="6" s="1"/>
  <c r="Q53" i="6"/>
  <c r="P53" i="6"/>
  <c r="BD52" i="6"/>
  <c r="BA52" i="6"/>
  <c r="BC52" i="6" s="1"/>
  <c r="Q52" i="6"/>
  <c r="P52" i="6"/>
  <c r="BA51" i="6"/>
  <c r="BD51" i="6" s="1"/>
  <c r="Q51" i="6"/>
  <c r="P51" i="6"/>
  <c r="BC50" i="6"/>
  <c r="BA50" i="6"/>
  <c r="BD50" i="6" s="1"/>
  <c r="AO50" i="6"/>
  <c r="AN50" i="6"/>
  <c r="AM50" i="6"/>
  <c r="AL50" i="6"/>
  <c r="AD50" i="6"/>
  <c r="AC50" i="6"/>
  <c r="V50" i="6" s="1"/>
  <c r="T50" i="6"/>
  <c r="Q50" i="6"/>
  <c r="P50" i="6"/>
  <c r="BA49" i="6"/>
  <c r="BF49" i="6" s="1"/>
  <c r="AO49" i="6"/>
  <c r="AN49" i="6"/>
  <c r="AM49" i="6"/>
  <c r="AL49" i="6"/>
  <c r="AD49" i="6"/>
  <c r="AC49" i="6"/>
  <c r="V49" i="6" s="1"/>
  <c r="T49" i="6"/>
  <c r="Q49" i="6"/>
  <c r="P49" i="6"/>
  <c r="BD48" i="6"/>
  <c r="BC48" i="6"/>
  <c r="BB48" i="6"/>
  <c r="BE48" i="6" s="1"/>
  <c r="BA48" i="6"/>
  <c r="BF48" i="6" s="1"/>
  <c r="AO48" i="6"/>
  <c r="AN48" i="6"/>
  <c r="AM48" i="6"/>
  <c r="AL48" i="6"/>
  <c r="AD48" i="6"/>
  <c r="AC48" i="6"/>
  <c r="V48" i="6" s="1"/>
  <c r="T48" i="6"/>
  <c r="Q48" i="6"/>
  <c r="P48" i="6"/>
  <c r="BA47" i="6"/>
  <c r="BD47" i="6" s="1"/>
  <c r="AO47" i="6"/>
  <c r="AN47" i="6"/>
  <c r="AM47" i="6"/>
  <c r="AL47" i="6"/>
  <c r="AD47" i="6"/>
  <c r="AC47" i="6"/>
  <c r="V47" i="6" s="1"/>
  <c r="T47" i="6"/>
  <c r="Q47" i="6"/>
  <c r="P47" i="6"/>
  <c r="BD46" i="6"/>
  <c r="BC46" i="6"/>
  <c r="BB46" i="6"/>
  <c r="BE46" i="6" s="1"/>
  <c r="BA46" i="6"/>
  <c r="BF46" i="6" s="1"/>
  <c r="AO46" i="6"/>
  <c r="AN46" i="6"/>
  <c r="AM46" i="6"/>
  <c r="AL46" i="6"/>
  <c r="AD46" i="6"/>
  <c r="AC46" i="6"/>
  <c r="V46" i="6" s="1"/>
  <c r="T46" i="6"/>
  <c r="Q46" i="6"/>
  <c r="P46" i="6"/>
  <c r="BD45" i="6"/>
  <c r="BC45" i="6"/>
  <c r="BA45" i="6"/>
  <c r="BF45" i="6" s="1"/>
  <c r="AO45" i="6"/>
  <c r="AN45" i="6"/>
  <c r="AM45" i="6"/>
  <c r="AL45" i="6"/>
  <c r="AD45" i="6"/>
  <c r="AC45" i="6"/>
  <c r="V45" i="6" s="1"/>
  <c r="T45" i="6"/>
  <c r="Q45" i="6"/>
  <c r="P45" i="6"/>
  <c r="BD44" i="6"/>
  <c r="BC44" i="6"/>
  <c r="BA44" i="6"/>
  <c r="BF44" i="6" s="1"/>
  <c r="AP46" i="6"/>
  <c r="BC11" i="6" s="1"/>
  <c r="AO44" i="6"/>
  <c r="AN44" i="6"/>
  <c r="AM44" i="6"/>
  <c r="AL44" i="6"/>
  <c r="AD44" i="6"/>
  <c r="AC44" i="6"/>
  <c r="V44" i="6" s="1"/>
  <c r="T44" i="6"/>
  <c r="Q44" i="6"/>
  <c r="P44" i="6"/>
  <c r="BD43" i="6"/>
  <c r="BA43" i="6"/>
  <c r="BC43" i="6" s="1"/>
  <c r="AO43" i="6"/>
  <c r="AN43" i="6"/>
  <c r="AM43" i="6"/>
  <c r="AL43" i="6"/>
  <c r="AD43" i="6"/>
  <c r="AC43" i="6"/>
  <c r="V43" i="6" s="1"/>
  <c r="T43" i="6"/>
  <c r="Q43" i="6"/>
  <c r="P43" i="6"/>
  <c r="BD42" i="6"/>
  <c r="BA42" i="6"/>
  <c r="BC42" i="6" s="1"/>
  <c r="AO42" i="6"/>
  <c r="AN42" i="6"/>
  <c r="AM42" i="6"/>
  <c r="AL42" i="6"/>
  <c r="AD42" i="6"/>
  <c r="AC42" i="6"/>
  <c r="V42" i="6" s="1"/>
  <c r="T42" i="6"/>
  <c r="Q42" i="6"/>
  <c r="P42" i="6"/>
  <c r="BA41" i="6"/>
  <c r="BC41" i="6" s="1"/>
  <c r="AO41" i="6"/>
  <c r="AN41" i="6"/>
  <c r="AM41" i="6"/>
  <c r="AL41" i="6"/>
  <c r="AD41" i="6"/>
  <c r="AC41" i="6"/>
  <c r="V41" i="6" s="1"/>
  <c r="T41" i="6"/>
  <c r="Q41" i="6"/>
  <c r="P41" i="6"/>
  <c r="BA40" i="6"/>
  <c r="BC40" i="6" s="1"/>
  <c r="AO40" i="6"/>
  <c r="AN40" i="6"/>
  <c r="AM40" i="6"/>
  <c r="AL40" i="6"/>
  <c r="AD40" i="6"/>
  <c r="AC40" i="6"/>
  <c r="V40" i="6" s="1"/>
  <c r="T40" i="6"/>
  <c r="Q40" i="6"/>
  <c r="P40" i="6"/>
  <c r="BA39" i="6"/>
  <c r="BC39" i="6" s="1"/>
  <c r="AO39" i="6"/>
  <c r="AN39" i="6"/>
  <c r="AM39" i="6"/>
  <c r="AL39" i="6"/>
  <c r="AD39" i="6"/>
  <c r="AC39" i="6"/>
  <c r="V39" i="6" s="1"/>
  <c r="T39" i="6"/>
  <c r="Q39" i="6"/>
  <c r="P39" i="6"/>
  <c r="BA38" i="6"/>
  <c r="BD38" i="6" s="1"/>
  <c r="AO38" i="6"/>
  <c r="AN38" i="6"/>
  <c r="AM38" i="6"/>
  <c r="AL38" i="6"/>
  <c r="AD38" i="6"/>
  <c r="AC38" i="6"/>
  <c r="V38" i="6" s="1"/>
  <c r="T38" i="6"/>
  <c r="Q38" i="6"/>
  <c r="P38" i="6"/>
  <c r="BA37" i="6"/>
  <c r="BD37" i="6" s="1"/>
  <c r="AO37" i="6"/>
  <c r="AN37" i="6"/>
  <c r="AM37" i="6"/>
  <c r="AL37" i="6"/>
  <c r="AD37" i="6"/>
  <c r="AC37" i="6"/>
  <c r="V37" i="6" s="1"/>
  <c r="T37" i="6"/>
  <c r="Q37" i="6"/>
  <c r="P37" i="6"/>
  <c r="BA36" i="6"/>
  <c r="BD36" i="6" s="1"/>
  <c r="AO36" i="6"/>
  <c r="AN36" i="6"/>
  <c r="AM36" i="6"/>
  <c r="AL36" i="6"/>
  <c r="AD36" i="6"/>
  <c r="AC36" i="6"/>
  <c r="V36" i="6" s="1"/>
  <c r="T36" i="6"/>
  <c r="Q36" i="6"/>
  <c r="P36" i="6"/>
  <c r="BA35" i="6"/>
  <c r="BD35" i="6" s="1"/>
  <c r="AO35" i="6"/>
  <c r="AN35" i="6"/>
  <c r="AM35" i="6"/>
  <c r="AL35" i="6"/>
  <c r="AD35" i="6"/>
  <c r="AC35" i="6"/>
  <c r="V35" i="6" s="1"/>
  <c r="T35" i="6"/>
  <c r="Q35" i="6"/>
  <c r="P35" i="6"/>
  <c r="BA34" i="6"/>
  <c r="BD34" i="6" s="1"/>
  <c r="AO34" i="6"/>
  <c r="AN34" i="6"/>
  <c r="AM34" i="6"/>
  <c r="AL34" i="6"/>
  <c r="AD34" i="6"/>
  <c r="AC34" i="6"/>
  <c r="V34" i="6" s="1"/>
  <c r="T34" i="6"/>
  <c r="Q34" i="6"/>
  <c r="P34" i="6"/>
  <c r="AO33" i="6"/>
  <c r="AN33" i="6"/>
  <c r="AM33" i="6"/>
  <c r="AL33" i="6"/>
  <c r="AD33" i="6"/>
  <c r="AC33" i="6"/>
  <c r="V33" i="6" s="1"/>
  <c r="T33" i="6"/>
  <c r="Q33" i="6"/>
  <c r="P33" i="6"/>
  <c r="AO32" i="6"/>
  <c r="AN32" i="6"/>
  <c r="AM32" i="6"/>
  <c r="AL32" i="6"/>
  <c r="AD32" i="6"/>
  <c r="AC32" i="6"/>
  <c r="V32" i="6" s="1"/>
  <c r="T32" i="6"/>
  <c r="AO31" i="6"/>
  <c r="AN31" i="6"/>
  <c r="AM31" i="6"/>
  <c r="AL31" i="6"/>
  <c r="AD31" i="6"/>
  <c r="AC31" i="6"/>
  <c r="V31" i="6" s="1"/>
  <c r="T31" i="6"/>
  <c r="AO30" i="6"/>
  <c r="AN30" i="6"/>
  <c r="AM30" i="6"/>
  <c r="AL30" i="6"/>
  <c r="AD30" i="6"/>
  <c r="AC30" i="6"/>
  <c r="V30" i="6" s="1"/>
  <c r="T30" i="6"/>
  <c r="AO29" i="6"/>
  <c r="AN29" i="6"/>
  <c r="AM29" i="6"/>
  <c r="AL29" i="6"/>
  <c r="AD29" i="6"/>
  <c r="AC29" i="6"/>
  <c r="V29" i="6" s="1"/>
  <c r="T29" i="6"/>
  <c r="AO28" i="6"/>
  <c r="AN28" i="6"/>
  <c r="AM28" i="6"/>
  <c r="AL28" i="6"/>
  <c r="AD28" i="6"/>
  <c r="AC28" i="6"/>
  <c r="V28" i="6" s="1"/>
  <c r="T28" i="6"/>
  <c r="AO27" i="6"/>
  <c r="AN27" i="6"/>
  <c r="AM27" i="6"/>
  <c r="AL27" i="6"/>
  <c r="AD27" i="6"/>
  <c r="AC27" i="6"/>
  <c r="V27" i="6" s="1"/>
  <c r="T27" i="6"/>
  <c r="N27" i="6"/>
  <c r="AO26" i="6"/>
  <c r="AN26" i="6"/>
  <c r="AM26" i="6"/>
  <c r="AL26" i="6"/>
  <c r="AD26" i="6"/>
  <c r="AC26" i="6"/>
  <c r="V26" i="6" s="1"/>
  <c r="T26" i="6"/>
  <c r="AO25" i="6"/>
  <c r="AN25" i="6"/>
  <c r="AM25" i="6"/>
  <c r="AL25" i="6"/>
  <c r="AD25" i="6"/>
  <c r="AC25" i="6"/>
  <c r="V25" i="6" s="1"/>
  <c r="T25" i="6"/>
  <c r="H25" i="6"/>
  <c r="G2196" i="11" s="1"/>
  <c r="AO24" i="6"/>
  <c r="AN24" i="6"/>
  <c r="AM24" i="6"/>
  <c r="AL24" i="6"/>
  <c r="AD24" i="6"/>
  <c r="AC24" i="6"/>
  <c r="V24" i="6" s="1"/>
  <c r="T24" i="6"/>
  <c r="H24" i="6"/>
  <c r="G2195" i="11" s="1"/>
  <c r="AO23" i="6"/>
  <c r="AN23" i="6"/>
  <c r="AM23" i="6"/>
  <c r="AL23" i="6"/>
  <c r="AD23" i="6"/>
  <c r="AC23" i="6"/>
  <c r="V23" i="6" s="1"/>
  <c r="T23" i="6"/>
  <c r="H23" i="6"/>
  <c r="I23" i="6" s="1"/>
  <c r="AO22" i="6"/>
  <c r="AN22" i="6"/>
  <c r="AM22" i="6"/>
  <c r="AL22" i="6"/>
  <c r="AD22" i="6"/>
  <c r="AC22" i="6"/>
  <c r="V22" i="6" s="1"/>
  <c r="T22" i="6"/>
  <c r="J22" i="6"/>
  <c r="H22" i="6"/>
  <c r="AO21" i="6"/>
  <c r="AN21" i="6"/>
  <c r="AM21" i="6"/>
  <c r="AL21" i="6"/>
  <c r="AD21" i="6"/>
  <c r="AC21" i="6"/>
  <c r="V21" i="6" s="1"/>
  <c r="T21" i="6"/>
  <c r="H21" i="6"/>
  <c r="G2192" i="11" s="1"/>
  <c r="AO20" i="6"/>
  <c r="AN20" i="6"/>
  <c r="AM20" i="6"/>
  <c r="AL20" i="6"/>
  <c r="AD20" i="6"/>
  <c r="AC20" i="6"/>
  <c r="V20" i="6" s="1"/>
  <c r="T20" i="6"/>
  <c r="H20" i="6"/>
  <c r="AQ19" i="6"/>
  <c r="AO19" i="6"/>
  <c r="AN19" i="6"/>
  <c r="AM19" i="6"/>
  <c r="AL19" i="6"/>
  <c r="AD19" i="6"/>
  <c r="AC19" i="6"/>
  <c r="V19" i="6" s="1"/>
  <c r="T19" i="6"/>
  <c r="H19" i="6"/>
  <c r="AQ18" i="6"/>
  <c r="AO18" i="6"/>
  <c r="AN18" i="6"/>
  <c r="AM18" i="6"/>
  <c r="AL18" i="6"/>
  <c r="AD18" i="6"/>
  <c r="AC18" i="6"/>
  <c r="V18" i="6" s="1"/>
  <c r="T18" i="6"/>
  <c r="H18" i="6"/>
  <c r="AQ17" i="6"/>
  <c r="AO17" i="6"/>
  <c r="AN17" i="6"/>
  <c r="AM17" i="6"/>
  <c r="AL17" i="6"/>
  <c r="AD17" i="6"/>
  <c r="AC17" i="6"/>
  <c r="V17" i="6" s="1"/>
  <c r="T17" i="6"/>
  <c r="H17" i="6"/>
  <c r="G2188" i="11" s="1"/>
  <c r="AQ16" i="6"/>
  <c r="AO16" i="6"/>
  <c r="AN16" i="6"/>
  <c r="AM16" i="6"/>
  <c r="AL16" i="6"/>
  <c r="AD16" i="6"/>
  <c r="AC16" i="6"/>
  <c r="V16" i="6" s="1"/>
  <c r="T16" i="6"/>
  <c r="AO15" i="6"/>
  <c r="AN15" i="6"/>
  <c r="AM15" i="6"/>
  <c r="AL15" i="6"/>
  <c r="AD15" i="6"/>
  <c r="AC15" i="6"/>
  <c r="V15" i="6" s="1"/>
  <c r="T15" i="6"/>
  <c r="AO14" i="6"/>
  <c r="AN14" i="6"/>
  <c r="AM14" i="6"/>
  <c r="AL14" i="6"/>
  <c r="AD14" i="6"/>
  <c r="AC14" i="6"/>
  <c r="V14" i="6" s="1"/>
  <c r="T14" i="6"/>
  <c r="AO13" i="6"/>
  <c r="AN13" i="6"/>
  <c r="AM13" i="6"/>
  <c r="AL13" i="6"/>
  <c r="AD13" i="6"/>
  <c r="AC13" i="6"/>
  <c r="V13" i="6" s="1"/>
  <c r="T13" i="6"/>
  <c r="AO12" i="6"/>
  <c r="AN12" i="6"/>
  <c r="AM12" i="6"/>
  <c r="AL12" i="6"/>
  <c r="AD12" i="6"/>
  <c r="AC12" i="6"/>
  <c r="V12" i="6" s="1"/>
  <c r="T12" i="6"/>
  <c r="BA6" i="6"/>
  <c r="I2197" i="11" s="1"/>
  <c r="AF4" i="6"/>
  <c r="L4" i="6"/>
  <c r="BA3" i="6"/>
  <c r="B349" i="25"/>
  <c r="AM348" i="25"/>
  <c r="B348" i="25"/>
  <c r="AM347" i="25"/>
  <c r="B347" i="25"/>
  <c r="AM346" i="25"/>
  <c r="B346" i="25"/>
  <c r="AM345" i="25"/>
  <c r="B345" i="25"/>
  <c r="AM344" i="25"/>
  <c r="B344" i="25"/>
  <c r="B343" i="25"/>
  <c r="AM342" i="25"/>
  <c r="AH342" i="25"/>
  <c r="AG342" i="25"/>
  <c r="O342" i="25"/>
  <c r="I342" i="25"/>
  <c r="B342" i="25"/>
  <c r="AM341" i="25" a="1"/>
  <c r="AH341" i="25"/>
  <c r="AG341" i="25"/>
  <c r="O341" i="25"/>
  <c r="I341" i="25"/>
  <c r="B341" i="25"/>
  <c r="AH340" i="25"/>
  <c r="AG340" i="25"/>
  <c r="O340" i="25"/>
  <c r="I340" i="25"/>
  <c r="B340" i="25"/>
  <c r="AH339" i="25"/>
  <c r="AG339" i="25"/>
  <c r="O339" i="25"/>
  <c r="I339" i="25"/>
  <c r="B339" i="25"/>
  <c r="AH338" i="25"/>
  <c r="AG338" i="25"/>
  <c r="O338" i="25"/>
  <c r="I338" i="25"/>
  <c r="B338" i="25"/>
  <c r="AM337" i="25"/>
  <c r="AL337" i="25"/>
  <c r="AH337" i="25"/>
  <c r="AG337" i="25"/>
  <c r="O337" i="25"/>
  <c r="I337" i="25"/>
  <c r="B337" i="25"/>
  <c r="AM336" i="25" a="1"/>
  <c r="AM336" i="25" s="1"/>
  <c r="AH336" i="25"/>
  <c r="AG336" i="25"/>
  <c r="O336" i="25"/>
  <c r="I336" i="25"/>
  <c r="B336" i="25"/>
  <c r="AP335" i="25"/>
  <c r="AO335" i="25"/>
  <c r="AN335" i="25"/>
  <c r="AM335" i="25"/>
  <c r="AL335" i="25"/>
  <c r="AK335" i="25"/>
  <c r="B335" i="25"/>
  <c r="B334" i="25"/>
  <c r="B333" i="25"/>
  <c r="AB332" i="25"/>
  <c r="V332" i="25"/>
  <c r="AA338" i="25" s="1"/>
  <c r="P332" i="25"/>
  <c r="U342" i="25" s="1"/>
  <c r="J332" i="25"/>
  <c r="D332" i="25"/>
  <c r="B332" i="25"/>
  <c r="B331" i="25"/>
  <c r="AY330" i="25"/>
  <c r="AK330" i="25"/>
  <c r="B330" i="25"/>
  <c r="AY329" i="25"/>
  <c r="AK329" i="25"/>
  <c r="AF329" i="25"/>
  <c r="AD329" i="25"/>
  <c r="AB329" i="25"/>
  <c r="Z329" i="25"/>
  <c r="X329" i="25"/>
  <c r="V329" i="25"/>
  <c r="B329" i="25"/>
  <c r="AY328" i="25"/>
  <c r="AO332" i="25" s="1"/>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O308" i="25"/>
  <c r="I308" i="25"/>
  <c r="B308" i="25"/>
  <c r="AM307" i="25" a="1"/>
  <c r="AH307" i="25"/>
  <c r="AG307" i="25"/>
  <c r="O307" i="25"/>
  <c r="I307" i="25"/>
  <c r="B307" i="25"/>
  <c r="AH306" i="25"/>
  <c r="AG306" i="25"/>
  <c r="O306" i="25"/>
  <c r="I306" i="25"/>
  <c r="B306" i="25"/>
  <c r="AH305" i="25"/>
  <c r="AG305" i="25"/>
  <c r="O305" i="25"/>
  <c r="I305" i="25"/>
  <c r="B305" i="25"/>
  <c r="AH304" i="25"/>
  <c r="AG304" i="25"/>
  <c r="O304" i="25"/>
  <c r="I304" i="25"/>
  <c r="B304" i="25"/>
  <c r="AM303" i="25"/>
  <c r="AL303" i="25"/>
  <c r="AH303" i="25"/>
  <c r="AG303" i="25"/>
  <c r="O303" i="25"/>
  <c r="I303" i="25"/>
  <c r="B303" i="25"/>
  <c r="AM302" i="25" a="1"/>
  <c r="AM302" i="25" s="1"/>
  <c r="AH302" i="25"/>
  <c r="AG302" i="25"/>
  <c r="O302" i="25"/>
  <c r="I302" i="25"/>
  <c r="B302" i="25"/>
  <c r="AP301" i="25"/>
  <c r="AO301" i="25"/>
  <c r="AN301" i="25"/>
  <c r="AM301" i="25"/>
  <c r="AL301" i="25"/>
  <c r="AK301" i="25"/>
  <c r="B301" i="25"/>
  <c r="B300" i="25"/>
  <c r="B299" i="25"/>
  <c r="AB298" i="25"/>
  <c r="V298" i="25"/>
  <c r="AA308" i="25" s="1"/>
  <c r="P298" i="25"/>
  <c r="U305" i="25" s="1"/>
  <c r="J298" i="25"/>
  <c r="D298" i="25"/>
  <c r="B298" i="25"/>
  <c r="B297" i="25"/>
  <c r="AY296" i="25"/>
  <c r="AK296" i="25"/>
  <c r="B296" i="25"/>
  <c r="AY295" i="25"/>
  <c r="AK295" i="25"/>
  <c r="AF295" i="25"/>
  <c r="AD295" i="25"/>
  <c r="AB295" i="25"/>
  <c r="Z295" i="25"/>
  <c r="X295" i="25"/>
  <c r="V295" i="25"/>
  <c r="B295" i="25"/>
  <c r="AY294" i="25"/>
  <c r="AO298" i="25" s="1"/>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O274" i="25"/>
  <c r="I274" i="25"/>
  <c r="B274" i="25"/>
  <c r="AM273" i="25" a="1"/>
  <c r="AH273" i="25"/>
  <c r="AG273" i="25"/>
  <c r="O273" i="25"/>
  <c r="I273" i="25"/>
  <c r="B273" i="25"/>
  <c r="AH272" i="25"/>
  <c r="AG272" i="25"/>
  <c r="O272" i="25"/>
  <c r="I272" i="25"/>
  <c r="B272" i="25"/>
  <c r="AH271" i="25"/>
  <c r="AG271" i="25"/>
  <c r="O271" i="25"/>
  <c r="I271" i="25"/>
  <c r="B271" i="25"/>
  <c r="AH270" i="25"/>
  <c r="AG270" i="25"/>
  <c r="O270" i="25"/>
  <c r="I270" i="25"/>
  <c r="B270" i="25"/>
  <c r="AM269" i="25"/>
  <c r="AL269" i="25"/>
  <c r="AH269" i="25"/>
  <c r="AG269" i="25"/>
  <c r="O269" i="25"/>
  <c r="I269" i="25"/>
  <c r="B269" i="25"/>
  <c r="AM268" i="25" a="1"/>
  <c r="AM268" i="25" s="1"/>
  <c r="AH268" i="25"/>
  <c r="AG268" i="25"/>
  <c r="O268" i="25"/>
  <c r="I268" i="25"/>
  <c r="B268" i="25"/>
  <c r="AP267" i="25"/>
  <c r="AO267" i="25"/>
  <c r="AN267" i="25"/>
  <c r="AM267" i="25"/>
  <c r="AL267" i="25"/>
  <c r="AK267" i="25"/>
  <c r="B267" i="25"/>
  <c r="B266" i="25"/>
  <c r="B265" i="25"/>
  <c r="AB264" i="25"/>
  <c r="V264" i="25"/>
  <c r="P264" i="25"/>
  <c r="U271" i="25" s="1"/>
  <c r="J264" i="25"/>
  <c r="D264" i="25"/>
  <c r="B264" i="25"/>
  <c r="B263" i="25"/>
  <c r="AY262" i="25"/>
  <c r="AK262" i="25"/>
  <c r="B262" i="25"/>
  <c r="AY261" i="25"/>
  <c r="AK261" i="25"/>
  <c r="AF261" i="25"/>
  <c r="AD261" i="25"/>
  <c r="AB261" i="25"/>
  <c r="Z261" i="25"/>
  <c r="X261" i="25"/>
  <c r="V261" i="25"/>
  <c r="B261" i="25"/>
  <c r="AY260" i="25"/>
  <c r="AO264" i="25" s="1"/>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O240" i="25"/>
  <c r="I240" i="25"/>
  <c r="B240" i="25"/>
  <c r="AM239" i="25" a="1"/>
  <c r="AH239" i="25"/>
  <c r="AG239" i="25"/>
  <c r="O239" i="25"/>
  <c r="I239" i="25"/>
  <c r="B239" i="25"/>
  <c r="AH238" i="25"/>
  <c r="AG238" i="25"/>
  <c r="O238" i="25"/>
  <c r="I238" i="25"/>
  <c r="B238" i="25"/>
  <c r="AH237" i="25"/>
  <c r="AG237" i="25"/>
  <c r="O237" i="25"/>
  <c r="I237" i="25"/>
  <c r="B237" i="25"/>
  <c r="AH236" i="25"/>
  <c r="AG236" i="25"/>
  <c r="O236" i="25"/>
  <c r="I236" i="25"/>
  <c r="B236" i="25"/>
  <c r="AM235" i="25"/>
  <c r="AL235" i="25"/>
  <c r="AH235" i="25"/>
  <c r="AG235" i="25"/>
  <c r="O235" i="25"/>
  <c r="I235" i="25"/>
  <c r="B235" i="25"/>
  <c r="AM234" i="25" a="1"/>
  <c r="AM234" i="25" s="1"/>
  <c r="AH234" i="25"/>
  <c r="AG234" i="25"/>
  <c r="O234" i="25"/>
  <c r="I234" i="25"/>
  <c r="B234" i="25"/>
  <c r="AP233" i="25"/>
  <c r="AO233" i="25"/>
  <c r="AN233" i="25"/>
  <c r="AM233" i="25"/>
  <c r="AL233" i="25"/>
  <c r="AK233" i="25"/>
  <c r="B233" i="25"/>
  <c r="B232" i="25"/>
  <c r="B231" i="25"/>
  <c r="AB230" i="25"/>
  <c r="V230" i="25"/>
  <c r="AA237" i="25" s="1"/>
  <c r="P230" i="25"/>
  <c r="U236" i="25" s="1"/>
  <c r="J230" i="25"/>
  <c r="D230" i="25"/>
  <c r="B230" i="25"/>
  <c r="B229" i="25"/>
  <c r="AY228" i="25"/>
  <c r="AK228" i="25"/>
  <c r="B228" i="25"/>
  <c r="AY227" i="25"/>
  <c r="AK227" i="25"/>
  <c r="AF227" i="25"/>
  <c r="AD227" i="25"/>
  <c r="AB227" i="25"/>
  <c r="Z227" i="25"/>
  <c r="X227" i="25"/>
  <c r="V227" i="25"/>
  <c r="B227" i="25"/>
  <c r="AY226" i="25"/>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O206" i="25"/>
  <c r="I206" i="25"/>
  <c r="B206" i="25"/>
  <c r="AM205" i="25" a="1"/>
  <c r="AH205" i="25"/>
  <c r="AG205" i="25"/>
  <c r="O205" i="25"/>
  <c r="I205" i="25"/>
  <c r="B205" i="25"/>
  <c r="AH204" i="25"/>
  <c r="AG204" i="25"/>
  <c r="O204" i="25"/>
  <c r="I204" i="25"/>
  <c r="B204" i="25"/>
  <c r="AH203" i="25"/>
  <c r="AG203" i="25"/>
  <c r="O203" i="25"/>
  <c r="I203" i="25"/>
  <c r="B203" i="25"/>
  <c r="AH202" i="25"/>
  <c r="AG202" i="25"/>
  <c r="O202" i="25"/>
  <c r="I202" i="25"/>
  <c r="B202" i="25"/>
  <c r="AM201" i="25"/>
  <c r="AL201" i="25"/>
  <c r="AH201" i="25"/>
  <c r="AG201" i="25"/>
  <c r="O201" i="25"/>
  <c r="I201" i="25"/>
  <c r="B201" i="25"/>
  <c r="AM200" i="25" a="1"/>
  <c r="AM200" i="25" s="1"/>
  <c r="AH200" i="25"/>
  <c r="AG200" i="25"/>
  <c r="O200" i="25"/>
  <c r="I200" i="25"/>
  <c r="B200" i="25"/>
  <c r="AP199" i="25"/>
  <c r="AO199" i="25"/>
  <c r="AN199" i="25"/>
  <c r="AM199" i="25"/>
  <c r="AL199" i="25"/>
  <c r="AK199" i="25"/>
  <c r="B199" i="25"/>
  <c r="B198" i="25"/>
  <c r="B197" i="25"/>
  <c r="AB196" i="25"/>
  <c r="V196" i="25"/>
  <c r="AA202" i="25" s="1"/>
  <c r="P196" i="25"/>
  <c r="U206" i="25" s="1"/>
  <c r="J196" i="25"/>
  <c r="D196" i="25"/>
  <c r="B196" i="25"/>
  <c r="B195" i="25"/>
  <c r="AY194" i="25"/>
  <c r="AK194" i="25"/>
  <c r="B194" i="25"/>
  <c r="AY193" i="25"/>
  <c r="AK193" i="25"/>
  <c r="AF193" i="25"/>
  <c r="AD193" i="25"/>
  <c r="AB193" i="25"/>
  <c r="Z193" i="25"/>
  <c r="X193" i="25"/>
  <c r="V193" i="25"/>
  <c r="B193" i="25"/>
  <c r="AY192" i="25"/>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O171" i="25"/>
  <c r="I171" i="25"/>
  <c r="B171" i="25"/>
  <c r="AM170" i="25" a="1"/>
  <c r="AH170" i="25"/>
  <c r="AG170" i="25"/>
  <c r="O170" i="25"/>
  <c r="I170" i="25"/>
  <c r="B170" i="25"/>
  <c r="AH169" i="25"/>
  <c r="AG169" i="25"/>
  <c r="O169" i="25"/>
  <c r="I169" i="25"/>
  <c r="B169" i="25"/>
  <c r="AH168" i="25"/>
  <c r="AG168" i="25"/>
  <c r="O168" i="25"/>
  <c r="I168" i="25"/>
  <c r="B168" i="25"/>
  <c r="AH167" i="25"/>
  <c r="AG167" i="25"/>
  <c r="O167" i="25"/>
  <c r="I167" i="25"/>
  <c r="B167" i="25"/>
  <c r="AM166" i="25"/>
  <c r="AL166" i="25"/>
  <c r="AH166" i="25"/>
  <c r="AG166" i="25"/>
  <c r="O166" i="25"/>
  <c r="I166" i="25"/>
  <c r="B166" i="25"/>
  <c r="AM165" i="25" a="1"/>
  <c r="AM165" i="25" s="1"/>
  <c r="AH165" i="25"/>
  <c r="AG165" i="25"/>
  <c r="O165" i="25"/>
  <c r="I165" i="25"/>
  <c r="B165" i="25"/>
  <c r="AP164" i="25"/>
  <c r="AO164" i="25"/>
  <c r="AN164" i="25"/>
  <c r="AM164" i="25"/>
  <c r="AL164" i="25"/>
  <c r="AK164" i="25"/>
  <c r="B164" i="25"/>
  <c r="B163" i="25"/>
  <c r="B162" i="25"/>
  <c r="AB161" i="25"/>
  <c r="V161" i="25"/>
  <c r="AA171" i="25" s="1"/>
  <c r="P161" i="25"/>
  <c r="U166" i="25" s="1"/>
  <c r="J161" i="25"/>
  <c r="D161" i="25"/>
  <c r="B161" i="25"/>
  <c r="B160" i="25"/>
  <c r="AY159" i="25"/>
  <c r="AK159" i="25"/>
  <c r="B159" i="25"/>
  <c r="AY158" i="25"/>
  <c r="AK158" i="25"/>
  <c r="AF158" i="25"/>
  <c r="AD158" i="25"/>
  <c r="AB158" i="25"/>
  <c r="Z158" i="25"/>
  <c r="X158" i="25"/>
  <c r="V158" i="25"/>
  <c r="B158" i="25"/>
  <c r="AY157" i="25"/>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O137" i="25"/>
  <c r="I137" i="25"/>
  <c r="B137" i="25"/>
  <c r="AM136" i="25" a="1"/>
  <c r="AH136" i="25"/>
  <c r="AG136" i="25"/>
  <c r="O136" i="25"/>
  <c r="I136" i="25"/>
  <c r="B136" i="25"/>
  <c r="AH135" i="25"/>
  <c r="AG135" i="25"/>
  <c r="O135" i="25"/>
  <c r="I135" i="25"/>
  <c r="B135" i="25"/>
  <c r="AH134" i="25"/>
  <c r="AG134" i="25"/>
  <c r="O134" i="25"/>
  <c r="I134" i="25"/>
  <c r="B134" i="25"/>
  <c r="AH133" i="25"/>
  <c r="AG133" i="25"/>
  <c r="O133" i="25"/>
  <c r="I133" i="25"/>
  <c r="B133" i="25"/>
  <c r="AM132" i="25"/>
  <c r="AL132" i="25"/>
  <c r="AH132" i="25"/>
  <c r="AG132" i="25"/>
  <c r="O132" i="25"/>
  <c r="I132" i="25"/>
  <c r="B132" i="25"/>
  <c r="AM131" i="25" a="1"/>
  <c r="AM131" i="25" s="1"/>
  <c r="AH131" i="25"/>
  <c r="AG131" i="25"/>
  <c r="O131" i="25"/>
  <c r="I131" i="25"/>
  <c r="B131" i="25"/>
  <c r="AP130" i="25"/>
  <c r="AO130" i="25"/>
  <c r="AN130" i="25"/>
  <c r="AM130" i="25"/>
  <c r="AL130" i="25"/>
  <c r="AK130" i="25"/>
  <c r="B130" i="25"/>
  <c r="B129" i="25"/>
  <c r="B128" i="25"/>
  <c r="AB127" i="25"/>
  <c r="V127" i="25"/>
  <c r="AA131" i="25" s="1"/>
  <c r="P127" i="25"/>
  <c r="U134" i="25" s="1"/>
  <c r="J127" i="25"/>
  <c r="D127" i="25"/>
  <c r="B127" i="25"/>
  <c r="B126" i="25"/>
  <c r="AY125" i="25"/>
  <c r="AK125" i="25"/>
  <c r="B125" i="25"/>
  <c r="AY124" i="25"/>
  <c r="AK124" i="25"/>
  <c r="AF124" i="25"/>
  <c r="AD124" i="25"/>
  <c r="AB124" i="25"/>
  <c r="Z124" i="25"/>
  <c r="X124" i="25"/>
  <c r="V124" i="25"/>
  <c r="B124" i="25"/>
  <c r="AY123" i="25"/>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O103" i="25"/>
  <c r="I103" i="25"/>
  <c r="B103" i="25"/>
  <c r="AM102" i="25" a="1"/>
  <c r="AH102" i="25"/>
  <c r="AG102" i="25"/>
  <c r="O102" i="25"/>
  <c r="I102" i="25"/>
  <c r="B102" i="25"/>
  <c r="AH101" i="25"/>
  <c r="AG101" i="25"/>
  <c r="O101" i="25"/>
  <c r="I101" i="25"/>
  <c r="B101" i="25"/>
  <c r="AH100" i="25"/>
  <c r="AG100" i="25"/>
  <c r="O100" i="25"/>
  <c r="I100" i="25"/>
  <c r="B100" i="25"/>
  <c r="AH99" i="25"/>
  <c r="AG99" i="25"/>
  <c r="O99" i="25"/>
  <c r="I99" i="25"/>
  <c r="B99" i="25"/>
  <c r="AM98" i="25"/>
  <c r="AL98" i="25"/>
  <c r="AH98" i="25"/>
  <c r="AG98" i="25"/>
  <c r="O98" i="25"/>
  <c r="I98" i="25"/>
  <c r="B98" i="25"/>
  <c r="AM97" i="25" a="1"/>
  <c r="AM97" i="25" s="1"/>
  <c r="AH97" i="25"/>
  <c r="AG97" i="25"/>
  <c r="O97" i="25"/>
  <c r="I97" i="25"/>
  <c r="B97" i="25"/>
  <c r="AP96" i="25"/>
  <c r="AO96" i="25"/>
  <c r="AN96" i="25"/>
  <c r="AM96" i="25"/>
  <c r="AL96" i="25"/>
  <c r="AK96" i="25"/>
  <c r="B96" i="25"/>
  <c r="B95" i="25"/>
  <c r="B94" i="25"/>
  <c r="AB93" i="25"/>
  <c r="V93" i="25"/>
  <c r="AA100" i="25" s="1"/>
  <c r="P93" i="25"/>
  <c r="U99" i="25" s="1"/>
  <c r="J93" i="25"/>
  <c r="D93" i="25"/>
  <c r="B93" i="25"/>
  <c r="B92" i="25"/>
  <c r="AY91" i="25"/>
  <c r="AK91" i="25"/>
  <c r="B91" i="25"/>
  <c r="AY90" i="25"/>
  <c r="AK90" i="25"/>
  <c r="AF90" i="25"/>
  <c r="AD90" i="25"/>
  <c r="AB90" i="25"/>
  <c r="Z90" i="25"/>
  <c r="X90" i="25"/>
  <c r="V90" i="25"/>
  <c r="B90" i="25"/>
  <c r="AY89" i="25"/>
  <c r="AO93" i="25" s="1"/>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O69" i="25"/>
  <c r="B69" i="25"/>
  <c r="AM68" i="25" a="1"/>
  <c r="AH68" i="25"/>
  <c r="AG68" i="25"/>
  <c r="O68" i="25"/>
  <c r="B68" i="25"/>
  <c r="AH67" i="25"/>
  <c r="AG67" i="25"/>
  <c r="O67" i="25"/>
  <c r="B67" i="25"/>
  <c r="AH66" i="25"/>
  <c r="AG66" i="25"/>
  <c r="O66" i="25"/>
  <c r="B66" i="25"/>
  <c r="AH65" i="25"/>
  <c r="AG65" i="25"/>
  <c r="O65" i="25"/>
  <c r="B65" i="25"/>
  <c r="AM64" i="25"/>
  <c r="AL64" i="25"/>
  <c r="AH64" i="25"/>
  <c r="AG64" i="25"/>
  <c r="O64" i="25"/>
  <c r="B64" i="25"/>
  <c r="AH63" i="25"/>
  <c r="AG63" i="25"/>
  <c r="O63" i="25"/>
  <c r="B63" i="25"/>
  <c r="AP62" i="25"/>
  <c r="AO62" i="25"/>
  <c r="AN62" i="25"/>
  <c r="AM62" i="25"/>
  <c r="AL62" i="25"/>
  <c r="AK62" i="25"/>
  <c r="B62" i="25"/>
  <c r="B61" i="25"/>
  <c r="B60" i="25"/>
  <c r="AB59" i="25"/>
  <c r="V59" i="25"/>
  <c r="AA65" i="25" s="1"/>
  <c r="P59" i="25"/>
  <c r="U69" i="25" s="1"/>
  <c r="J59" i="25"/>
  <c r="D59" i="25"/>
  <c r="I69" i="25" s="1"/>
  <c r="B59" i="25"/>
  <c r="B58" i="25"/>
  <c r="AY57" i="25"/>
  <c r="AK57" i="25"/>
  <c r="B57" i="25"/>
  <c r="AY56" i="25"/>
  <c r="AO59" i="25" s="1"/>
  <c r="AK56" i="25"/>
  <c r="AF56" i="25"/>
  <c r="AD56" i="25"/>
  <c r="AB56" i="25"/>
  <c r="Z56" i="25"/>
  <c r="X56" i="25"/>
  <c r="V56" i="25"/>
  <c r="B56" i="25"/>
  <c r="AY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U50" i="25"/>
  <c r="AS50" i="25"/>
  <c r="AK50" i="25"/>
  <c r="P50" i="25" a="1"/>
  <c r="P50" i="25" s="1"/>
  <c r="AM63" i="25" s="1" a="1"/>
  <c r="AM63" i="25" s="1"/>
  <c r="B50" i="25"/>
  <c r="B49" i="25"/>
  <c r="B48" i="25"/>
  <c r="B47" i="25"/>
  <c r="X46" i="25"/>
  <c r="C46" i="25"/>
  <c r="B46" i="25"/>
  <c r="AM41" i="25"/>
  <c r="AM40" i="25"/>
  <c r="AM39" i="25"/>
  <c r="AM38" i="25"/>
  <c r="AM37" i="25"/>
  <c r="AM35" i="25"/>
  <c r="AH35" i="25"/>
  <c r="AG35" i="25"/>
  <c r="AM34" i="25" a="1"/>
  <c r="AH34" i="25"/>
  <c r="AG34" i="25"/>
  <c r="AH33" i="25"/>
  <c r="AG33" i="25"/>
  <c r="AH32" i="25"/>
  <c r="AG32" i="25"/>
  <c r="AH31" i="25"/>
  <c r="AG31" i="25"/>
  <c r="AM30" i="25"/>
  <c r="AL30" i="25"/>
  <c r="AH30" i="25"/>
  <c r="AG30" i="25"/>
  <c r="AH29" i="25"/>
  <c r="AG29" i="25"/>
  <c r="AP28" i="25"/>
  <c r="AO28" i="25"/>
  <c r="AN28" i="25"/>
  <c r="AM28" i="25"/>
  <c r="AL28" i="25"/>
  <c r="AK28" i="25"/>
  <c r="AB25" i="25"/>
  <c r="V25" i="25"/>
  <c r="AA34" i="25" s="1"/>
  <c r="P25" i="25"/>
  <c r="U35" i="25" s="1"/>
  <c r="J25" i="25"/>
  <c r="O31" i="25" s="1"/>
  <c r="D25" i="25"/>
  <c r="I35" i="25" s="1"/>
  <c r="AY23" i="25"/>
  <c r="AK23" i="25"/>
  <c r="AY22" i="25"/>
  <c r="AK22" i="25"/>
  <c r="AF22" i="25"/>
  <c r="AD22" i="25"/>
  <c r="AB22" i="25"/>
  <c r="Z22" i="25"/>
  <c r="X22" i="25"/>
  <c r="V22" i="25"/>
  <c r="AY21" i="25"/>
  <c r="AO25" i="25" s="1"/>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S17" i="25"/>
  <c r="AK17" i="25"/>
  <c r="P17" i="25" a="1"/>
  <c r="P17" i="25" s="1"/>
  <c r="AS16" i="25"/>
  <c r="AK16" i="25"/>
  <c r="P16" i="25" a="1"/>
  <c r="P16" i="25" s="1"/>
  <c r="AM29" i="25" s="1" a="1"/>
  <c r="AM29" i="25" s="1"/>
  <c r="C12" i="25"/>
  <c r="L4" i="25"/>
  <c r="U67" i="5"/>
  <c r="U65" i="5"/>
  <c r="U61" i="5"/>
  <c r="U59" i="5"/>
  <c r="U57" i="5"/>
  <c r="U53" i="5"/>
  <c r="U51" i="5"/>
  <c r="U49" i="5"/>
  <c r="U45" i="5"/>
  <c r="U43" i="5"/>
  <c r="AM26" i="5"/>
  <c r="AN26" i="5" s="1"/>
  <c r="G43" i="10" s="1"/>
  <c r="U41" i="5"/>
  <c r="U33" i="5"/>
  <c r="U31" i="5"/>
  <c r="U29" i="5"/>
  <c r="U25" i="5"/>
  <c r="AE4" i="5"/>
  <c r="L4" i="5"/>
  <c r="AB75" i="4"/>
  <c r="AB67" i="4"/>
  <c r="P65" i="4"/>
  <c r="E65" i="4"/>
  <c r="P64" i="4"/>
  <c r="O64" i="4"/>
  <c r="N64" i="4"/>
  <c r="E64" i="4"/>
  <c r="D64" i="4"/>
  <c r="C64" i="4"/>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E56" i="4"/>
  <c r="AB55" i="4"/>
  <c r="AH55" i="4" s="1"/>
  <c r="P55" i="4"/>
  <c r="O55" i="4"/>
  <c r="N55" i="4"/>
  <c r="E55" i="4"/>
  <c r="D55" i="4"/>
  <c r="P54" i="4"/>
  <c r="R53" i="4"/>
  <c r="Q53" i="4"/>
  <c r="P53" i="4"/>
  <c r="O53" i="4"/>
  <c r="N53" i="4"/>
  <c r="BD36" i="4" s="1"/>
  <c r="G53" i="4"/>
  <c r="F53" i="4"/>
  <c r="E53" i="4"/>
  <c r="D53" i="4"/>
  <c r="C53" i="4"/>
  <c r="BC36" i="4" s="1"/>
  <c r="AB52" i="4"/>
  <c r="D2326" i="11" s="1"/>
  <c r="AB51" i="4"/>
  <c r="D2325" i="11" s="1"/>
  <c r="N51" i="4"/>
  <c r="BD32" i="4" s="1"/>
  <c r="AB50" i="4"/>
  <c r="D2324" i="11" s="1"/>
  <c r="E2324" i="11" s="1"/>
  <c r="O48" i="4"/>
  <c r="D48" i="4"/>
  <c r="N46" i="4"/>
  <c r="C46" i="4"/>
  <c r="R45" i="4"/>
  <c r="Q45" i="4"/>
  <c r="P45" i="4"/>
  <c r="O45" i="4"/>
  <c r="N45" i="4"/>
  <c r="BB36" i="4" s="1"/>
  <c r="G45" i="4"/>
  <c r="F45" i="4"/>
  <c r="E45" i="4"/>
  <c r="D45" i="4"/>
  <c r="C45" i="4"/>
  <c r="BA36" i="4" s="1"/>
  <c r="N43" i="4"/>
  <c r="BB32" i="4" s="1"/>
  <c r="C43" i="4"/>
  <c r="BA32" i="4" s="1"/>
  <c r="O41" i="4"/>
  <c r="D41" i="4"/>
  <c r="N39" i="4"/>
  <c r="R38" i="4"/>
  <c r="Q38" i="4"/>
  <c r="P38" i="4"/>
  <c r="O38" i="4"/>
  <c r="N38" i="4"/>
  <c r="AZ36" i="4" s="1"/>
  <c r="G38" i="4"/>
  <c r="E38" i="4"/>
  <c r="D38" i="4"/>
  <c r="C38" i="4"/>
  <c r="AY36" i="4" s="1"/>
  <c r="BF37" i="4"/>
  <c r="BE37" i="4"/>
  <c r="BD37" i="4"/>
  <c r="BC37" i="4"/>
  <c r="BB37" i="4"/>
  <c r="BA37" i="4"/>
  <c r="AZ37" i="4"/>
  <c r="AY37" i="4"/>
  <c r="AX37" i="4"/>
  <c r="AW37" i="4"/>
  <c r="N36" i="4"/>
  <c r="AZ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304" i="11" s="1"/>
  <c r="D2304" i="11" s="1"/>
  <c r="AB27" i="4"/>
  <c r="H2303" i="11" s="1"/>
  <c r="D2303" i="11" s="1"/>
  <c r="O27" i="4"/>
  <c r="D27" i="4"/>
  <c r="BB26" i="4"/>
  <c r="BA26" i="4"/>
  <c r="AZ26" i="4"/>
  <c r="AY26" i="4"/>
  <c r="AB26" i="4"/>
  <c r="H2302" i="11" s="1"/>
  <c r="AB25" i="4"/>
  <c r="H2301" i="11" s="1"/>
  <c r="D2301" i="11" s="1"/>
  <c r="AB24" i="4"/>
  <c r="H2300" i="11" s="1"/>
  <c r="D2300" i="11" s="1"/>
  <c r="BE23" i="4"/>
  <c r="BD23" i="4"/>
  <c r="BC23" i="4"/>
  <c r="BB23" i="4"/>
  <c r="BA23" i="4"/>
  <c r="AZ23" i="4"/>
  <c r="AY23" i="4"/>
  <c r="AB23" i="4"/>
  <c r="H2299" i="11" s="1"/>
  <c r="J23" i="4"/>
  <c r="L23" i="4" s="1"/>
  <c r="H23" i="4"/>
  <c r="AB22" i="4"/>
  <c r="H2298" i="11" s="1"/>
  <c r="D2298" i="11" s="1"/>
  <c r="C2298" i="11" s="1" a="1"/>
  <c r="C2298" i="11" s="1"/>
  <c r="AB21" i="4"/>
  <c r="H2297" i="11" s="1"/>
  <c r="D2297" i="11" s="1"/>
  <c r="AX20" i="4"/>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AF74" i="3"/>
  <c r="AD74" i="3"/>
  <c r="V74" i="3" s="1"/>
  <c r="AF73" i="3"/>
  <c r="AD73" i="3"/>
  <c r="V73" i="3" s="1"/>
  <c r="AF72" i="3"/>
  <c r="AD72" i="3"/>
  <c r="AB44" i="4" s="1"/>
  <c r="AQ44" i="4" s="1"/>
  <c r="AF71" i="3"/>
  <c r="AD71" i="3"/>
  <c r="AB43" i="4" s="1"/>
  <c r="AF70" i="3"/>
  <c r="AD70" i="3"/>
  <c r="AB42" i="4" s="1"/>
  <c r="AQ42" i="4" s="1"/>
  <c r="AF69" i="3"/>
  <c r="AD69" i="3"/>
  <c r="AB41" i="4" s="1"/>
  <c r="AF68" i="3"/>
  <c r="AD68" i="3"/>
  <c r="AB40" i="4" s="1"/>
  <c r="AF67" i="3"/>
  <c r="AD67" i="3"/>
  <c r="V67" i="3" s="1"/>
  <c r="AF66" i="3"/>
  <c r="AD66" i="3"/>
  <c r="V66" i="3" s="1"/>
  <c r="AF65" i="3"/>
  <c r="AD65" i="3"/>
  <c r="V65" i="3" s="1"/>
  <c r="AF64" i="3"/>
  <c r="AD64" i="3"/>
  <c r="AB36" i="4" s="1"/>
  <c r="AF63" i="3"/>
  <c r="AD63" i="3"/>
  <c r="AB35" i="4" s="1"/>
  <c r="AQ35" i="4" s="1"/>
  <c r="AF62" i="3"/>
  <c r="AD62" i="3"/>
  <c r="AB34" i="4" s="1"/>
  <c r="AF61" i="3"/>
  <c r="AD61" i="3"/>
  <c r="AB33" i="4"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T50" i="3"/>
  <c r="R50" i="3"/>
  <c r="P50" i="3"/>
  <c r="N50" i="3"/>
  <c r="V50" i="3" s="1"/>
  <c r="AH20" i="4" s="1"/>
  <c r="L50" i="3"/>
  <c r="AV49" i="3"/>
  <c r="AU49" i="3"/>
  <c r="AT49" i="3"/>
  <c r="AS49" i="3"/>
  <c r="AR49" i="3"/>
  <c r="AQ49" i="3"/>
  <c r="AP49" i="3"/>
  <c r="AO49" i="3"/>
  <c r="AN49" i="3"/>
  <c r="AM49" i="3"/>
  <c r="AL49" i="3"/>
  <c r="AK49" i="3"/>
  <c r="AJ49" i="3"/>
  <c r="AI49" i="3"/>
  <c r="AH49" i="3"/>
  <c r="AD49" i="3"/>
  <c r="T49" i="3"/>
  <c r="R49" i="3"/>
  <c r="P49" i="3"/>
  <c r="AD48" i="3"/>
  <c r="V48" i="3"/>
  <c r="AM627" i="11" s="1"/>
  <c r="T48" i="3"/>
  <c r="R48" i="3"/>
  <c r="P48" i="3"/>
  <c r="N48" i="3"/>
  <c r="AD47" i="3"/>
  <c r="V47" i="3"/>
  <c r="AL627" i="11" s="1"/>
  <c r="T47" i="3"/>
  <c r="R47" i="3"/>
  <c r="P47" i="3"/>
  <c r="N47" i="3"/>
  <c r="AD46" i="3"/>
  <c r="V46" i="3"/>
  <c r="AK627" i="11" s="1"/>
  <c r="T46" i="3"/>
  <c r="R46" i="3"/>
  <c r="P46" i="3"/>
  <c r="N46" i="3"/>
  <c r="AD45" i="3"/>
  <c r="V45" i="3"/>
  <c r="AJ627" i="11" s="1"/>
  <c r="T45" i="3"/>
  <c r="R45" i="3"/>
  <c r="P45" i="3"/>
  <c r="N45" i="3"/>
  <c r="V44" i="3"/>
  <c r="AI627" i="11" s="1"/>
  <c r="T44" i="3"/>
  <c r="R44" i="3"/>
  <c r="P44" i="3"/>
  <c r="N44" i="3"/>
  <c r="V43" i="3"/>
  <c r="AH627" i="11" s="1"/>
  <c r="V42" i="3"/>
  <c r="T22" i="3"/>
  <c r="R22" i="3"/>
  <c r="P22" i="3"/>
  <c r="N22" i="3"/>
  <c r="N49" i="3" s="1"/>
  <c r="L22" i="3"/>
  <c r="AB21" i="3"/>
  <c r="AB17" i="3"/>
  <c r="R17" i="3"/>
  <c r="J48" i="2" s="1"/>
  <c r="AB16" i="3"/>
  <c r="AB15" i="3"/>
  <c r="T15" i="3"/>
  <c r="R210" i="3" s="1"/>
  <c r="AB14" i="3"/>
  <c r="AB13" i="3"/>
  <c r="V13" i="3"/>
  <c r="T13" i="3"/>
  <c r="V11" i="3"/>
  <c r="T11" i="3"/>
  <c r="N206" i="3" s="1"/>
  <c r="E11" i="3"/>
  <c r="AF10" i="3"/>
  <c r="AE10" i="3"/>
  <c r="AD10" i="3"/>
  <c r="AF9" i="3"/>
  <c r="AE9" i="3"/>
  <c r="AD9" i="3"/>
  <c r="V9" i="3"/>
  <c r="T9" i="3"/>
  <c r="L210" i="3" s="1"/>
  <c r="AF8" i="3"/>
  <c r="AE8" i="3"/>
  <c r="AD8" i="3"/>
  <c r="AF7" i="3"/>
  <c r="AE7" i="3"/>
  <c r="AD7" i="3"/>
  <c r="V7" i="3"/>
  <c r="J210" i="3"/>
  <c r="AF6" i="3"/>
  <c r="AE6" i="3"/>
  <c r="AD6" i="3"/>
  <c r="AI5" i="3"/>
  <c r="AI8" i="3" s="1"/>
  <c r="I5" i="3"/>
  <c r="E79" i="2"/>
  <c r="D79" i="2"/>
  <c r="M78" i="2"/>
  <c r="M77" i="2"/>
  <c r="M76" i="2"/>
  <c r="M75" i="2"/>
  <c r="M74" i="2"/>
  <c r="AO69" i="2"/>
  <c r="AN69" i="2"/>
  <c r="AM69" i="2"/>
  <c r="AK69" i="2"/>
  <c r="AJ69" i="2"/>
  <c r="AI69" i="2"/>
  <c r="U69" i="2"/>
  <c r="T69" i="2"/>
  <c r="AO68" i="2"/>
  <c r="AN68" i="2"/>
  <c r="AM68" i="2"/>
  <c r="AK68" i="2"/>
  <c r="AJ68" i="2"/>
  <c r="AI68" i="2"/>
  <c r="U68" i="2"/>
  <c r="T68" i="2"/>
  <c r="AO67" i="2"/>
  <c r="AN67" i="2"/>
  <c r="AM67" i="2"/>
  <c r="AK67" i="2"/>
  <c r="AJ67" i="2"/>
  <c r="AI67" i="2"/>
  <c r="U67" i="2"/>
  <c r="T67" i="2"/>
  <c r="AO66" i="2"/>
  <c r="AM66" i="2"/>
  <c r="AN66" i="2" s="1"/>
  <c r="AK66" i="2"/>
  <c r="AJ66" i="2"/>
  <c r="AI66" i="2"/>
  <c r="U66" i="2"/>
  <c r="T66" i="2"/>
  <c r="AO65" i="2"/>
  <c r="AN65" i="2"/>
  <c r="AM65" i="2"/>
  <c r="AK65" i="2"/>
  <c r="AJ65" i="2"/>
  <c r="AI65" i="2"/>
  <c r="U65" i="2"/>
  <c r="T65" i="2"/>
  <c r="AO64" i="2"/>
  <c r="AN64" i="2"/>
  <c r="AM64" i="2"/>
  <c r="AK64" i="2"/>
  <c r="AJ64" i="2"/>
  <c r="AI64" i="2"/>
  <c r="U64" i="2"/>
  <c r="T64" i="2"/>
  <c r="AO63" i="2"/>
  <c r="AN63" i="2"/>
  <c r="AM63" i="2"/>
  <c r="AK63" i="2"/>
  <c r="AJ63" i="2"/>
  <c r="AI63" i="2"/>
  <c r="U63" i="2"/>
  <c r="T63" i="2"/>
  <c r="AO62" i="2"/>
  <c r="AM62" i="2"/>
  <c r="AN62" i="2" s="1"/>
  <c r="AK62" i="2"/>
  <c r="AJ62" i="2"/>
  <c r="AI62" i="2"/>
  <c r="U62" i="2"/>
  <c r="T62" i="2"/>
  <c r="H62" i="2"/>
  <c r="AO61" i="2"/>
  <c r="AN61" i="2"/>
  <c r="AM61" i="2"/>
  <c r="AK61" i="2"/>
  <c r="AJ61" i="2"/>
  <c r="AI61" i="2"/>
  <c r="U61" i="2"/>
  <c r="T61" i="2"/>
  <c r="H61" i="2"/>
  <c r="AO60" i="2"/>
  <c r="AM60" i="2"/>
  <c r="AN60" i="2" s="1"/>
  <c r="AK60" i="2"/>
  <c r="AJ60" i="2"/>
  <c r="AI60" i="2"/>
  <c r="U60" i="2"/>
  <c r="T60" i="2"/>
  <c r="H60" i="2"/>
  <c r="AO59" i="2"/>
  <c r="AN59" i="2"/>
  <c r="AM59" i="2"/>
  <c r="AK59" i="2"/>
  <c r="AJ59" i="2"/>
  <c r="AI59" i="2"/>
  <c r="U59" i="2"/>
  <c r="T59" i="2"/>
  <c r="H59" i="2"/>
  <c r="AO58" i="2"/>
  <c r="AM58" i="2"/>
  <c r="AN58" i="2" s="1"/>
  <c r="AK58" i="2"/>
  <c r="AJ58" i="2"/>
  <c r="AI58" i="2"/>
  <c r="U58" i="2"/>
  <c r="T58" i="2"/>
  <c r="H58" i="2"/>
  <c r="AO57" i="2"/>
  <c r="AN57" i="2"/>
  <c r="AM57" i="2"/>
  <c r="AK57" i="2"/>
  <c r="AJ57" i="2"/>
  <c r="AI57" i="2"/>
  <c r="U57" i="2"/>
  <c r="T57" i="2"/>
  <c r="F57" i="2"/>
  <c r="F61" i="2" s="1"/>
  <c r="AO56" i="2"/>
  <c r="AM56" i="2"/>
  <c r="AN56" i="2" s="1"/>
  <c r="AK56" i="2"/>
  <c r="AJ56" i="2"/>
  <c r="AI56" i="2"/>
  <c r="U56" i="2"/>
  <c r="T56" i="2"/>
  <c r="AO55" i="2"/>
  <c r="AN55" i="2"/>
  <c r="AM55" i="2"/>
  <c r="AK55" i="2"/>
  <c r="AJ55" i="2"/>
  <c r="AI55" i="2"/>
  <c r="U55" i="2"/>
  <c r="T55" i="2"/>
  <c r="AO54" i="2"/>
  <c r="AN54" i="2"/>
  <c r="AM54" i="2"/>
  <c r="AK54" i="2"/>
  <c r="AJ54" i="2"/>
  <c r="AI54" i="2"/>
  <c r="U54" i="2"/>
  <c r="T54" i="2"/>
  <c r="AT53" i="2"/>
  <c r="AO53" i="2"/>
  <c r="AM53" i="2"/>
  <c r="AN53" i="2" s="1"/>
  <c r="AK53" i="2"/>
  <c r="AJ53" i="2"/>
  <c r="AI53" i="2"/>
  <c r="U53" i="2"/>
  <c r="T53" i="2"/>
  <c r="AT52" i="2"/>
  <c r="AO52" i="2"/>
  <c r="AN52" i="2"/>
  <c r="AM52" i="2"/>
  <c r="AK52" i="2"/>
  <c r="AJ52" i="2"/>
  <c r="AI52" i="2"/>
  <c r="U52" i="2"/>
  <c r="T52" i="2"/>
  <c r="AT51" i="2"/>
  <c r="AO51" i="2"/>
  <c r="AM51" i="2"/>
  <c r="AN51" i="2" s="1"/>
  <c r="AK51" i="2"/>
  <c r="AJ51" i="2"/>
  <c r="AI51" i="2"/>
  <c r="U51" i="2"/>
  <c r="T51" i="2"/>
  <c r="AT50" i="2"/>
  <c r="AO50" i="2"/>
  <c r="AN50" i="2"/>
  <c r="AM50" i="2"/>
  <c r="AK50" i="2"/>
  <c r="AJ50" i="2"/>
  <c r="AI50" i="2"/>
  <c r="U50" i="2"/>
  <c r="T50" i="2"/>
  <c r="AT49" i="2"/>
  <c r="AO49" i="2"/>
  <c r="AM49" i="2"/>
  <c r="AN49" i="2" s="1"/>
  <c r="AK49" i="2"/>
  <c r="AJ49" i="2"/>
  <c r="AI49" i="2"/>
  <c r="U49" i="2"/>
  <c r="T49" i="2"/>
  <c r="AT48" i="2"/>
  <c r="AO48" i="2"/>
  <c r="AN48" i="2"/>
  <c r="AM48" i="2"/>
  <c r="AK48" i="2"/>
  <c r="AJ48" i="2"/>
  <c r="AI48" i="2"/>
  <c r="U48" i="2"/>
  <c r="T48" i="2"/>
  <c r="AT47" i="2"/>
  <c r="AO47" i="2"/>
  <c r="AM47" i="2"/>
  <c r="AN47" i="2" s="1"/>
  <c r="AK47" i="2"/>
  <c r="AJ47" i="2"/>
  <c r="AI47" i="2"/>
  <c r="U47" i="2"/>
  <c r="T47" i="2"/>
  <c r="AT46" i="2"/>
  <c r="AO46" i="2"/>
  <c r="AN46" i="2"/>
  <c r="AM46" i="2"/>
  <c r="AK46" i="2"/>
  <c r="AJ46" i="2"/>
  <c r="AI46" i="2"/>
  <c r="U46" i="2"/>
  <c r="T46" i="2"/>
  <c r="AT45" i="2"/>
  <c r="AS45" i="2"/>
  <c r="AO45" i="2"/>
  <c r="AM45" i="2"/>
  <c r="AN45" i="2" s="1"/>
  <c r="AK45" i="2"/>
  <c r="AJ45" i="2"/>
  <c r="U45" i="2"/>
  <c r="T45" i="2"/>
  <c r="AT44" i="2"/>
  <c r="AS44" i="2"/>
  <c r="AQ44" i="2"/>
  <c r="AO44" i="2"/>
  <c r="AM44" i="2"/>
  <c r="AN44" i="2" s="1"/>
  <c r="AK44" i="2"/>
  <c r="AS41" i="2" s="1"/>
  <c r="AJ44" i="2"/>
  <c r="AI44" i="2"/>
  <c r="U44" i="2"/>
  <c r="T44" i="2"/>
  <c r="S44" i="2"/>
  <c r="AT43" i="2"/>
  <c r="AS43" i="2"/>
  <c r="AQ43" i="2"/>
  <c r="AO43" i="2"/>
  <c r="J2238" i="11" s="1"/>
  <c r="AM43" i="2"/>
  <c r="AN43" i="2" s="1"/>
  <c r="AK43" i="2"/>
  <c r="AJ43" i="2"/>
  <c r="U43" i="2"/>
  <c r="T43" i="2"/>
  <c r="S43" i="2"/>
  <c r="AT42" i="2"/>
  <c r="AP42" i="2"/>
  <c r="AO42" i="2"/>
  <c r="AM42" i="2"/>
  <c r="AN42" i="2" s="1"/>
  <c r="U42" i="2"/>
  <c r="T42" i="2"/>
  <c r="S42" i="2"/>
  <c r="AN39" i="2"/>
  <c r="AG39" i="2"/>
  <c r="AF39" i="2"/>
  <c r="AE39" i="2"/>
  <c r="AD39" i="2"/>
  <c r="AC39" i="2"/>
  <c r="AB39" i="2"/>
  <c r="AA39" i="2"/>
  <c r="Z39" i="2"/>
  <c r="Y39" i="2"/>
  <c r="X39" i="2"/>
  <c r="W39" i="2"/>
  <c r="V39" i="2"/>
  <c r="V37" i="2"/>
  <c r="O37" i="2"/>
  <c r="AF2157" i="11" s="1"/>
  <c r="O36" i="2"/>
  <c r="AF2156" i="11" s="1"/>
  <c r="AT33" i="2"/>
  <c r="V30" i="2"/>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K66" i="10"/>
  <c r="O60" i="10"/>
  <c r="AU18" i="10"/>
  <c r="AU17" i="10"/>
  <c r="AU16" i="10"/>
  <c r="AU15" i="10"/>
  <c r="AU14" i="10"/>
  <c r="AU13" i="10"/>
  <c r="AU12" i="10"/>
  <c r="AU11" i="10"/>
  <c r="AU10" i="10"/>
  <c r="AU9" i="10"/>
  <c r="AU8" i="10"/>
  <c r="AU7" i="10"/>
  <c r="AU6" i="10"/>
  <c r="AU5" i="10"/>
  <c r="AU4" i="10"/>
  <c r="Y3" i="10"/>
  <c r="M3" i="10"/>
  <c r="C17" i="27"/>
  <c r="R1988" i="11" l="1"/>
  <c r="AI63" i="11"/>
  <c r="H376" i="11"/>
  <c r="Y905" i="11"/>
  <c r="Y904" i="11" s="1"/>
  <c r="Y903" i="11" s="1"/>
  <c r="Y914" i="11"/>
  <c r="Y929" i="11"/>
  <c r="Y928" i="11" s="1"/>
  <c r="Y927" i="11" s="1"/>
  <c r="Y938" i="11"/>
  <c r="Y937" i="11" s="1"/>
  <c r="Y936" i="11" s="1"/>
  <c r="H1035" i="11" s="1"/>
  <c r="Y953" i="11"/>
  <c r="Y959" i="11"/>
  <c r="Y968" i="11"/>
  <c r="Y967" i="11" s="1"/>
  <c r="Y976" i="11"/>
  <c r="Y975" i="11" s="1"/>
  <c r="Y984" i="11"/>
  <c r="Y983" i="11" s="1"/>
  <c r="Y992" i="11"/>
  <c r="Y991" i="11" s="1"/>
  <c r="Y1000" i="11"/>
  <c r="Y999" i="11" s="1"/>
  <c r="Y1008" i="11"/>
  <c r="Y1007" i="11" s="1"/>
  <c r="Y986" i="11"/>
  <c r="Y985" i="11" s="1"/>
  <c r="Y1002" i="11"/>
  <c r="Y1001" i="11" s="1"/>
  <c r="Y1012" i="11"/>
  <c r="Y1011" i="11" s="1"/>
  <c r="Y896" i="11"/>
  <c r="Y895" i="11" s="1"/>
  <c r="Y935" i="11"/>
  <c r="Y934" i="11" s="1"/>
  <c r="Y933" i="11" s="1"/>
  <c r="Y966" i="11"/>
  <c r="Y990" i="11"/>
  <c r="Y989" i="11" s="1"/>
  <c r="Y899" i="11"/>
  <c r="Y898" i="11" s="1"/>
  <c r="Y897" i="11" s="1"/>
  <c r="H1022" i="11" s="1"/>
  <c r="Y908" i="11"/>
  <c r="Y907" i="11" s="1"/>
  <c r="Y906" i="11" s="1"/>
  <c r="H1025" i="11" s="1"/>
  <c r="Y923" i="11"/>
  <c r="Y922" i="11" s="1"/>
  <c r="Y921" i="11" s="1"/>
  <c r="Y932" i="11"/>
  <c r="Y931" i="11" s="1"/>
  <c r="Y930" i="11" s="1"/>
  <c r="H1033" i="11" s="1"/>
  <c r="Y947" i="11"/>
  <c r="Y946" i="11" s="1"/>
  <c r="Y945" i="11" s="1"/>
  <c r="H1038" i="11" s="1"/>
  <c r="Y962" i="11"/>
  <c r="Y970" i="11"/>
  <c r="Y969" i="11" s="1"/>
  <c r="Y978" i="11"/>
  <c r="Y977" i="11" s="1"/>
  <c r="Y994" i="11"/>
  <c r="Y993" i="11" s="1"/>
  <c r="AW63" i="4" s="1"/>
  <c r="Y1010" i="11"/>
  <c r="Y1009" i="11" s="1"/>
  <c r="Y911" i="11"/>
  <c r="Y910" i="11" s="1"/>
  <c r="Y909" i="11" s="1"/>
  <c r="Y944" i="11"/>
  <c r="Y982" i="11"/>
  <c r="Y981" i="11" s="1"/>
  <c r="Y1006" i="11"/>
  <c r="Y1005" i="11" s="1"/>
  <c r="Y902" i="11"/>
  <c r="Y901" i="11" s="1"/>
  <c r="Y917" i="11"/>
  <c r="Y916" i="11" s="1"/>
  <c r="Y926" i="11"/>
  <c r="Y941" i="11"/>
  <c r="Y940" i="11" s="1"/>
  <c r="Y939" i="11" s="1"/>
  <c r="Y950" i="11"/>
  <c r="Y956" i="11"/>
  <c r="Y964" i="11"/>
  <c r="Y963" i="11" s="1"/>
  <c r="Y972" i="11"/>
  <c r="Y971" i="11" s="1"/>
  <c r="Y980" i="11"/>
  <c r="Y979" i="11" s="1"/>
  <c r="Y988" i="11"/>
  <c r="Y987" i="11" s="1"/>
  <c r="Y996" i="11"/>
  <c r="Y995" i="11" s="1"/>
  <c r="Y1004" i="11"/>
  <c r="Y1003" i="11" s="1"/>
  <c r="Y920" i="11"/>
  <c r="Y919" i="11" s="1"/>
  <c r="Y918" i="11" s="1"/>
  <c r="Y974" i="11"/>
  <c r="Y973" i="11" s="1"/>
  <c r="Y998" i="11"/>
  <c r="Y997" i="11" s="1"/>
  <c r="AO230" i="25"/>
  <c r="AO196" i="25"/>
  <c r="AO161" i="25"/>
  <c r="AO127" i="25"/>
  <c r="L49" i="3"/>
  <c r="L86" i="3"/>
  <c r="L87" i="3"/>
  <c r="V22" i="22"/>
  <c r="V156" i="22"/>
  <c r="C223" i="22"/>
  <c r="C22" i="22"/>
  <c r="V223" i="22"/>
  <c r="C89" i="22"/>
  <c r="V89" i="22"/>
  <c r="C290" i="22"/>
  <c r="AT90" i="10"/>
  <c r="K87" i="10" s="1"/>
  <c r="J2239" i="11"/>
  <c r="S45" i="2"/>
  <c r="J2240" i="11" s="1"/>
  <c r="AI43" i="2"/>
  <c r="G43" i="24" a="1"/>
  <c r="G43" i="24" s="1"/>
  <c r="G11" i="24" a="1"/>
  <c r="G11" i="24" s="1"/>
  <c r="G27" i="24" a="1"/>
  <c r="G27" i="24" s="1"/>
  <c r="O43" i="24" a="1"/>
  <c r="O43" i="24" s="1"/>
  <c r="O27" i="24" a="1"/>
  <c r="O27" i="24" s="1"/>
  <c r="W27" i="24" a="1"/>
  <c r="W27" i="24" s="1"/>
  <c r="O11" i="24" a="1"/>
  <c r="O11" i="24" s="1"/>
  <c r="W11" i="24" a="1"/>
  <c r="W11" i="24" s="1"/>
  <c r="W75" i="24" a="1"/>
  <c r="W75" i="24" s="1"/>
  <c r="O59" i="24" a="1"/>
  <c r="O59" i="24" s="1"/>
  <c r="G59" i="24" a="1"/>
  <c r="G59" i="24" s="1"/>
  <c r="O75" i="24" a="1"/>
  <c r="O75" i="24" s="1"/>
  <c r="W59" i="24" a="1"/>
  <c r="W59" i="24" s="1"/>
  <c r="G75" i="24" a="1"/>
  <c r="G75" i="24" s="1"/>
  <c r="AX59" i="24" a="1"/>
  <c r="AX59" i="24" s="1"/>
  <c r="AH59" i="24" a="1"/>
  <c r="AH59" i="24" s="1"/>
  <c r="AP59" i="24" a="1"/>
  <c r="AP59" i="24" s="1"/>
  <c r="K5" i="34"/>
  <c r="K5" i="24"/>
  <c r="H140" i="13"/>
  <c r="B140" i="13" s="1"/>
  <c r="J22" i="14"/>
  <c r="K23" i="14" s="1"/>
  <c r="H12" i="14"/>
  <c r="K50" i="14" s="1"/>
  <c r="G10" i="14"/>
  <c r="H10" i="14" s="1"/>
  <c r="W72" i="13"/>
  <c r="W112" i="13" s="1"/>
  <c r="H129" i="13"/>
  <c r="B129" i="13" s="1"/>
  <c r="F54" i="14"/>
  <c r="H166" i="13"/>
  <c r="B166" i="13" s="1"/>
  <c r="G13" i="14"/>
  <c r="H13" i="14" s="1"/>
  <c r="V45" i="14"/>
  <c r="H152" i="13"/>
  <c r="B152" i="13" s="1"/>
  <c r="H149" i="13"/>
  <c r="B149" i="13" s="1"/>
  <c r="V47" i="14"/>
  <c r="H117" i="13"/>
  <c r="B117" i="13" s="1"/>
  <c r="F71" i="14"/>
  <c r="H14" i="14"/>
  <c r="L59" i="14"/>
  <c r="V25" i="14"/>
  <c r="X116" i="13"/>
  <c r="H15" i="14"/>
  <c r="V26" i="14"/>
  <c r="H11" i="14"/>
  <c r="W121" i="13"/>
  <c r="V290" i="22"/>
  <c r="C156" i="22"/>
  <c r="F425" i="19"/>
  <c r="B425" i="19" s="1"/>
  <c r="B411" i="19"/>
  <c r="F435" i="19"/>
  <c r="B435" i="19" s="1"/>
  <c r="AG5" i="1"/>
  <c r="U5" i="32"/>
  <c r="BF47" i="6"/>
  <c r="BD41" i="6"/>
  <c r="BB47" i="6"/>
  <c r="BE47" i="6" s="1"/>
  <c r="BB49" i="6"/>
  <c r="BE49" i="6" s="1"/>
  <c r="BF50" i="6"/>
  <c r="BC53" i="6"/>
  <c r="BC54" i="6"/>
  <c r="BD56" i="6"/>
  <c r="BB57" i="6"/>
  <c r="BB58" i="6"/>
  <c r="BE58" i="6" s="1"/>
  <c r="BD61" i="6"/>
  <c r="AI58" i="11" s="1"/>
  <c r="BD40" i="6"/>
  <c r="BC47" i="6"/>
  <c r="BC49" i="6"/>
  <c r="BC57" i="6"/>
  <c r="BC58" i="6"/>
  <c r="BD39" i="6"/>
  <c r="BD49" i="6"/>
  <c r="BB50" i="6"/>
  <c r="BE50" i="6" s="1"/>
  <c r="BF58" i="6"/>
  <c r="BG53" i="6"/>
  <c r="H122" i="13"/>
  <c r="B122" i="13" s="1"/>
  <c r="H128" i="13"/>
  <c r="B128" i="13" s="1"/>
  <c r="X121" i="13"/>
  <c r="W136" i="13"/>
  <c r="E59" i="14"/>
  <c r="C61" i="14"/>
  <c r="J24" i="14"/>
  <c r="K25" i="14" s="1"/>
  <c r="Y116" i="13"/>
  <c r="B135" i="13"/>
  <c r="W141" i="13"/>
  <c r="G72" i="14"/>
  <c r="W126" i="13"/>
  <c r="X136" i="13"/>
  <c r="X141" i="13"/>
  <c r="Y136" i="13"/>
  <c r="W146" i="13"/>
  <c r="Z131" i="13"/>
  <c r="Z151" i="13"/>
  <c r="X9" i="14"/>
  <c r="F73" i="14"/>
  <c r="H176" i="13"/>
  <c r="B176" i="13" s="1"/>
  <c r="Z116" i="13"/>
  <c r="Y121" i="13"/>
  <c r="X126" i="13"/>
  <c r="W131" i="13"/>
  <c r="Y141" i="13"/>
  <c r="X146" i="13"/>
  <c r="W151" i="13"/>
  <c r="H17" i="14"/>
  <c r="Y126" i="13"/>
  <c r="X131" i="13"/>
  <c r="Y146" i="13"/>
  <c r="X151" i="13"/>
  <c r="G71" i="14"/>
  <c r="L174" i="13"/>
  <c r="E73" i="14"/>
  <c r="W128" i="13"/>
  <c r="H72" i="14" s="1"/>
  <c r="L161" i="13"/>
  <c r="H16" i="14"/>
  <c r="L181" i="13" s="1"/>
  <c r="L218" i="13"/>
  <c r="L180" i="13"/>
  <c r="L201" i="13"/>
  <c r="E74" i="14"/>
  <c r="E71" i="14"/>
  <c r="G73" i="14"/>
  <c r="F74" i="14"/>
  <c r="F427" i="19"/>
  <c r="B427" i="19" s="1"/>
  <c r="B419" i="19"/>
  <c r="F433" i="19"/>
  <c r="B433" i="19" s="1"/>
  <c r="F429" i="19"/>
  <c r="B429" i="19" s="1"/>
  <c r="B415" i="19"/>
  <c r="F431" i="19"/>
  <c r="B431" i="19" s="1"/>
  <c r="B413" i="19"/>
  <c r="B421" i="19"/>
  <c r="F437" i="19"/>
  <c r="B424" i="19"/>
  <c r="F445" i="19"/>
  <c r="B432" i="19"/>
  <c r="F443" i="19"/>
  <c r="B430" i="19"/>
  <c r="F441" i="19"/>
  <c r="B428" i="19"/>
  <c r="F439" i="19"/>
  <c r="B426" i="19"/>
  <c r="F447" i="19"/>
  <c r="B434" i="19"/>
  <c r="F438" i="19"/>
  <c r="F440" i="19"/>
  <c r="F444" i="19"/>
  <c r="F448" i="19"/>
  <c r="C323" i="22"/>
  <c r="C301" i="22"/>
  <c r="C256" i="22"/>
  <c r="C234" i="22"/>
  <c r="C189" i="22"/>
  <c r="C167" i="22"/>
  <c r="C122" i="22"/>
  <c r="C100" i="22"/>
  <c r="C55" i="22"/>
  <c r="C33" i="22"/>
  <c r="C312" i="22"/>
  <c r="C245" i="22"/>
  <c r="C178" i="22"/>
  <c r="C111" i="22"/>
  <c r="C44" i="22"/>
  <c r="V301" i="22"/>
  <c r="V256" i="22"/>
  <c r="V189" i="22"/>
  <c r="V122" i="22"/>
  <c r="V55" i="22"/>
  <c r="V312" i="22"/>
  <c r="V279" i="22"/>
  <c r="V245" i="22"/>
  <c r="V212" i="22"/>
  <c r="V178" i="22"/>
  <c r="V145" i="22"/>
  <c r="V111" i="22"/>
  <c r="V78" i="22"/>
  <c r="V44" i="22"/>
  <c r="V11" i="22"/>
  <c r="C279" i="22"/>
  <c r="C212" i="22"/>
  <c r="C145" i="22"/>
  <c r="C78" i="22"/>
  <c r="C11" i="22"/>
  <c r="V323" i="22"/>
  <c r="V234" i="22"/>
  <c r="V167" i="22"/>
  <c r="V100" i="22"/>
  <c r="V33" i="22"/>
  <c r="AP2263" i="11"/>
  <c r="E241" i="11"/>
  <c r="BB34" i="6"/>
  <c r="BB35" i="6"/>
  <c r="BB36" i="6"/>
  <c r="BF37" i="6"/>
  <c r="BB38" i="6"/>
  <c r="BF38" i="6"/>
  <c r="BG46" i="6"/>
  <c r="BG47" i="6"/>
  <c r="BG48" i="6"/>
  <c r="BG49" i="6"/>
  <c r="BG50" i="6"/>
  <c r="BB51" i="6"/>
  <c r="BF51" i="6"/>
  <c r="BG54" i="6"/>
  <c r="BB55" i="6"/>
  <c r="BF55" i="6"/>
  <c r="BG58" i="6"/>
  <c r="BB59" i="6"/>
  <c r="BF59" i="6"/>
  <c r="BF34" i="6"/>
  <c r="BF35" i="6"/>
  <c r="BF36" i="6"/>
  <c r="BB37" i="6"/>
  <c r="E1267" i="11"/>
  <c r="BC34" i="6"/>
  <c r="BC35" i="6"/>
  <c r="BC36" i="6"/>
  <c r="BC37" i="6"/>
  <c r="BC38" i="6"/>
  <c r="BB39" i="6"/>
  <c r="BF39" i="6"/>
  <c r="BB40" i="6"/>
  <c r="BF40" i="6"/>
  <c r="BB41" i="6"/>
  <c r="BF41" i="6"/>
  <c r="BB42" i="6"/>
  <c r="BF42" i="6"/>
  <c r="BB43" i="6"/>
  <c r="BF43" i="6"/>
  <c r="BC51" i="6"/>
  <c r="BB52" i="6"/>
  <c r="BF52" i="6"/>
  <c r="BC55" i="6"/>
  <c r="BB56" i="6"/>
  <c r="BF56" i="6"/>
  <c r="BC59" i="6"/>
  <c r="BB60" i="6"/>
  <c r="BF60" i="6"/>
  <c r="BB44" i="6"/>
  <c r="BB45" i="6"/>
  <c r="BA11" i="6"/>
  <c r="BB11" i="6"/>
  <c r="N91" i="9"/>
  <c r="AI721" i="11"/>
  <c r="AD799" i="11"/>
  <c r="AD793" i="11"/>
  <c r="AD790" i="11"/>
  <c r="AD783" i="11"/>
  <c r="AD791" i="11"/>
  <c r="AD784" i="11"/>
  <c r="AD786" i="11"/>
  <c r="AD782" i="11"/>
  <c r="AD792" i="11"/>
  <c r="AD789" i="11"/>
  <c r="AD787" i="11"/>
  <c r="AD781" i="11"/>
  <c r="AD796" i="11"/>
  <c r="AD795" i="11"/>
  <c r="AD794" i="11"/>
  <c r="AI718" i="11"/>
  <c r="AI717" i="11"/>
  <c r="AI716" i="11"/>
  <c r="AI722" i="11"/>
  <c r="E29" i="5"/>
  <c r="R1866" i="11"/>
  <c r="AI45" i="2"/>
  <c r="H1589" i="11"/>
  <c r="H1394" i="11"/>
  <c r="H1381" i="11"/>
  <c r="H1427" i="11"/>
  <c r="H1498" i="11"/>
  <c r="H1554" i="11"/>
  <c r="H1403" i="11"/>
  <c r="H1436" i="11"/>
  <c r="H1458" i="11"/>
  <c r="H1461" i="11"/>
  <c r="H1484" i="11"/>
  <c r="H1515" i="11"/>
  <c r="H1562" i="11"/>
  <c r="H1387" i="11"/>
  <c r="H1411" i="11"/>
  <c r="H1444" i="11"/>
  <c r="AI52" i="11" s="1"/>
  <c r="H1469" i="11"/>
  <c r="H1492" i="11"/>
  <c r="H1524" i="11"/>
  <c r="K19" i="8" s="1"/>
  <c r="H1572" i="11"/>
  <c r="H1397" i="11"/>
  <c r="H1419" i="11"/>
  <c r="H1452" i="11"/>
  <c r="H1477" i="11"/>
  <c r="H1509" i="11"/>
  <c r="H1532" i="11"/>
  <c r="H1581" i="11"/>
  <c r="K1190" i="11" s="1"/>
  <c r="H1379" i="11"/>
  <c r="H1385" i="11"/>
  <c r="H1392" i="11"/>
  <c r="H1395" i="11"/>
  <c r="H1401" i="11"/>
  <c r="H1409" i="11"/>
  <c r="H1418" i="11"/>
  <c r="H1426" i="11"/>
  <c r="H1432" i="11"/>
  <c r="H1434" i="11"/>
  <c r="H1442" i="11"/>
  <c r="H1450" i="11"/>
  <c r="H1456" i="11"/>
  <c r="H1466" i="11"/>
  <c r="H1474" i="11"/>
  <c r="H1482" i="11"/>
  <c r="H1490" i="11"/>
  <c r="H1496" i="11"/>
  <c r="H1499" i="11"/>
  <c r="H1505" i="11"/>
  <c r="H1530" i="11"/>
  <c r="H1555" i="11"/>
  <c r="H1563" i="11"/>
  <c r="H1573" i="11"/>
  <c r="H1582" i="11"/>
  <c r="H1377" i="11"/>
  <c r="H1383" i="11"/>
  <c r="H1407" i="11"/>
  <c r="H1415" i="11"/>
  <c r="H1423" i="11"/>
  <c r="H1430" i="11"/>
  <c r="H1440" i="11"/>
  <c r="H1448" i="11"/>
  <c r="H1464" i="11"/>
  <c r="H1473" i="11"/>
  <c r="H1480" i="11"/>
  <c r="H1488" i="11"/>
  <c r="H1503" i="11"/>
  <c r="H1511" i="11"/>
  <c r="H1521" i="11"/>
  <c r="H1528" i="11"/>
  <c r="H1536" i="11"/>
  <c r="H1551" i="11"/>
  <c r="H1558" i="11"/>
  <c r="H1567" i="11"/>
  <c r="H1577" i="11"/>
  <c r="H1585" i="11"/>
  <c r="H1390" i="11"/>
  <c r="H1399" i="11"/>
  <c r="H1405" i="11"/>
  <c r="H1414" i="11"/>
  <c r="H1422" i="11"/>
  <c r="H1438" i="11"/>
  <c r="H1446" i="11"/>
  <c r="H1454" i="11"/>
  <c r="H1462" i="11"/>
  <c r="H1470" i="11"/>
  <c r="H1486" i="11"/>
  <c r="H1494" i="11"/>
  <c r="H1501" i="11"/>
  <c r="H1508" i="11"/>
  <c r="H1512" i="11"/>
  <c r="H1517" i="11"/>
  <c r="H1520" i="11"/>
  <c r="H1526" i="11"/>
  <c r="H1534" i="11"/>
  <c r="H1559" i="11"/>
  <c r="H1568" i="11"/>
  <c r="H1578" i="11"/>
  <c r="H1586" i="11"/>
  <c r="I30" i="2" s="1"/>
  <c r="H1384" i="11"/>
  <c r="H1386" i="11"/>
  <c r="H1388" i="11"/>
  <c r="H1393" i="11"/>
  <c r="H1402" i="11"/>
  <c r="H1404" i="11"/>
  <c r="H1406" i="11"/>
  <c r="H1408" i="11"/>
  <c r="H1410" i="11"/>
  <c r="H1413" i="11"/>
  <c r="H1417" i="11"/>
  <c r="H1421" i="11"/>
  <c r="H1425" i="11"/>
  <c r="H1429" i="11"/>
  <c r="H1431" i="11"/>
  <c r="H1433" i="11"/>
  <c r="H1455" i="11"/>
  <c r="H1457" i="11"/>
  <c r="H1463" i="11"/>
  <c r="H1465" i="11"/>
  <c r="H1468" i="11"/>
  <c r="H1472" i="11"/>
  <c r="H1476" i="11"/>
  <c r="H1479" i="11"/>
  <c r="H1497" i="11"/>
  <c r="H1500" i="11"/>
  <c r="H1502" i="11"/>
  <c r="H1504" i="11"/>
  <c r="H1506" i="11"/>
  <c r="H1513" i="11"/>
  <c r="H1516" i="11"/>
  <c r="H1518" i="11"/>
  <c r="F1204" i="11" s="1"/>
  <c r="H1523" i="11"/>
  <c r="H1525" i="11"/>
  <c r="H1527" i="11"/>
  <c r="H1529" i="11"/>
  <c r="H1531" i="11"/>
  <c r="H1533" i="11"/>
  <c r="H1535" i="11"/>
  <c r="H1537" i="11"/>
  <c r="H1556" i="11"/>
  <c r="H1560" i="11"/>
  <c r="H1565" i="11"/>
  <c r="H1569" i="11"/>
  <c r="L19" i="8" s="1"/>
  <c r="H1574" i="11"/>
  <c r="H1579" i="11"/>
  <c r="H1583" i="11"/>
  <c r="H1588" i="11"/>
  <c r="H1593" i="11"/>
  <c r="H1378" i="11"/>
  <c r="AN36" i="2" s="1"/>
  <c r="H1380" i="11"/>
  <c r="AN37" i="2" s="1"/>
  <c r="H1382" i="11"/>
  <c r="H1389" i="11"/>
  <c r="H1391" i="11"/>
  <c r="H1396" i="11"/>
  <c r="J1393" i="11" s="1" a="1"/>
  <c r="H1398" i="11"/>
  <c r="H1400" i="11"/>
  <c r="H1412" i="11"/>
  <c r="H1416" i="11"/>
  <c r="H1420" i="11"/>
  <c r="H1424" i="11"/>
  <c r="H1428" i="11"/>
  <c r="H1435" i="11"/>
  <c r="H1437" i="11"/>
  <c r="H1439" i="11"/>
  <c r="H1441" i="11"/>
  <c r="H1443" i="11"/>
  <c r="H1445" i="11"/>
  <c r="AJ52" i="11" s="1"/>
  <c r="H1447" i="11"/>
  <c r="H1449" i="11"/>
  <c r="H1451" i="11"/>
  <c r="H1453" i="11"/>
  <c r="H1460" i="11"/>
  <c r="H1467" i="11"/>
  <c r="H1471" i="11"/>
  <c r="H1475" i="11"/>
  <c r="H1478" i="11"/>
  <c r="H1481" i="11"/>
  <c r="H1483" i="11"/>
  <c r="H1485" i="11"/>
  <c r="H1487" i="11"/>
  <c r="H1489" i="11"/>
  <c r="H1491" i="11"/>
  <c r="H1493" i="11"/>
  <c r="H1495" i="11"/>
  <c r="H1507" i="11"/>
  <c r="H1510" i="11"/>
  <c r="H1514" i="11"/>
  <c r="H1522" i="11"/>
  <c r="H1553" i="11"/>
  <c r="H1557" i="11"/>
  <c r="H1561" i="11"/>
  <c r="H1566" i="11"/>
  <c r="H1570" i="11"/>
  <c r="H1576" i="11"/>
  <c r="H1580" i="11"/>
  <c r="H1584" i="11"/>
  <c r="AQ32" i="4"/>
  <c r="AK901" i="11"/>
  <c r="AL901" i="11" s="1"/>
  <c r="H2314" i="11"/>
  <c r="D2314" i="11" s="1"/>
  <c r="AQ40" i="4"/>
  <c r="AK900" i="11"/>
  <c r="AL900" i="11" s="1"/>
  <c r="AK904" i="11"/>
  <c r="AL904" i="11" s="1"/>
  <c r="AK903" i="11"/>
  <c r="AL903" i="11" s="1"/>
  <c r="AK907" i="11"/>
  <c r="AL907" i="11" s="1"/>
  <c r="AK911" i="11"/>
  <c r="AL911" i="11" s="1"/>
  <c r="AF41" i="4"/>
  <c r="AQ41" i="4"/>
  <c r="AF43" i="4"/>
  <c r="AQ43" i="4"/>
  <c r="H2321" i="11"/>
  <c r="D2321" i="11" s="1"/>
  <c r="C2321" i="11" s="1" a="1"/>
  <c r="C2321" i="11" s="1"/>
  <c r="AQ47" i="4"/>
  <c r="AK902" i="11"/>
  <c r="AL902" i="11" s="1"/>
  <c r="AK906" i="11"/>
  <c r="AL906" i="11" s="1"/>
  <c r="AK910" i="11"/>
  <c r="AL910" i="11" s="1"/>
  <c r="AK896" i="11"/>
  <c r="AL896" i="11" s="1"/>
  <c r="AF36" i="4"/>
  <c r="AQ36" i="4"/>
  <c r="AK899" i="11"/>
  <c r="AL899" i="11" s="1"/>
  <c r="AF34" i="4"/>
  <c r="AQ34" i="4"/>
  <c r="H2307" i="11"/>
  <c r="D2307" i="11" s="1"/>
  <c r="AQ33" i="4"/>
  <c r="AK895" i="11"/>
  <c r="AL895" i="11" s="1"/>
  <c r="L81" i="3"/>
  <c r="U624" i="11"/>
  <c r="U628" i="11"/>
  <c r="V618" i="11"/>
  <c r="U626" i="11"/>
  <c r="E814" i="11" s="1"/>
  <c r="V620" i="11"/>
  <c r="V617" i="11"/>
  <c r="U625" i="11"/>
  <c r="U623" i="11"/>
  <c r="V619" i="11"/>
  <c r="V616" i="11"/>
  <c r="U627" i="11"/>
  <c r="V615" i="11"/>
  <c r="E829" i="11" s="1"/>
  <c r="R1608" i="11"/>
  <c r="R1857" i="11"/>
  <c r="R1383" i="11"/>
  <c r="R1481" i="11"/>
  <c r="R1624" i="11"/>
  <c r="AI42" i="2"/>
  <c r="R1462" i="11"/>
  <c r="R1489" i="11"/>
  <c r="R1497" i="11"/>
  <c r="R1499" i="11"/>
  <c r="R1508" i="11"/>
  <c r="R1510" i="11"/>
  <c r="R1533" i="11"/>
  <c r="R1683" i="11"/>
  <c r="R1446" i="11"/>
  <c r="R1577" i="11"/>
  <c r="R1875" i="11"/>
  <c r="R1393" i="11"/>
  <c r="R1395" i="11"/>
  <c r="R1403" i="11"/>
  <c r="R1656" i="11"/>
  <c r="R1777" i="11"/>
  <c r="R1669" i="11"/>
  <c r="R1678" i="11"/>
  <c r="R1699" i="11"/>
  <c r="R1716" i="11"/>
  <c r="R1808" i="11"/>
  <c r="R1429" i="11"/>
  <c r="R1438" i="11"/>
  <c r="R1550" i="11"/>
  <c r="R1640" i="11"/>
  <c r="R1732" i="11"/>
  <c r="R1837" i="11"/>
  <c r="AP69" i="2"/>
  <c r="AP67" i="2"/>
  <c r="AP65" i="2"/>
  <c r="AP63" i="2"/>
  <c r="AP60" i="2"/>
  <c r="AP56" i="2"/>
  <c r="AP54" i="2"/>
  <c r="AP50" i="2"/>
  <c r="AP46" i="2"/>
  <c r="AP45" i="2"/>
  <c r="AP47" i="2"/>
  <c r="AP58" i="2"/>
  <c r="AP61" i="2"/>
  <c r="AJ42" i="2"/>
  <c r="AJ40" i="2" s="1"/>
  <c r="AI12" i="3" s="1"/>
  <c r="AP43" i="2"/>
  <c r="AP53" i="2"/>
  <c r="AP55" i="2"/>
  <c r="AP57" i="2"/>
  <c r="AP66" i="2"/>
  <c r="R1390" i="11"/>
  <c r="R1400" i="11"/>
  <c r="R1410" i="11"/>
  <c r="R1412" i="11"/>
  <c r="R1414" i="11"/>
  <c r="R1416" i="11"/>
  <c r="R1418" i="11"/>
  <c r="R1419" i="11"/>
  <c r="R1421" i="11"/>
  <c r="R1423" i="11"/>
  <c r="R1426" i="11"/>
  <c r="R1427" i="11"/>
  <c r="R1437" i="11"/>
  <c r="R1458" i="11"/>
  <c r="R1461" i="11"/>
  <c r="R1494" i="11"/>
  <c r="R1503" i="11"/>
  <c r="R1506" i="11"/>
  <c r="R1570" i="11"/>
  <c r="R1599" i="11"/>
  <c r="R1647" i="11"/>
  <c r="R1684" i="11"/>
  <c r="R1714" i="11"/>
  <c r="R1747" i="11"/>
  <c r="R1784" i="11"/>
  <c r="R1791" i="11"/>
  <c r="R1809" i="11"/>
  <c r="R1820" i="11"/>
  <c r="R1843" i="11"/>
  <c r="R1878" i="11"/>
  <c r="AP44" i="2"/>
  <c r="AP49" i="2"/>
  <c r="AP52" i="2"/>
  <c r="AP64" i="2"/>
  <c r="R1380" i="11"/>
  <c r="R1387" i="11"/>
  <c r="R1389" i="11"/>
  <c r="R1399" i="11"/>
  <c r="R1407" i="11"/>
  <c r="R1433" i="11"/>
  <c r="R1434" i="11"/>
  <c r="R1442" i="11"/>
  <c r="R1450" i="11"/>
  <c r="R1457" i="11"/>
  <c r="R1466" i="11"/>
  <c r="R1467" i="11"/>
  <c r="R1468" i="11"/>
  <c r="R1469" i="11"/>
  <c r="R1470" i="11"/>
  <c r="R1471" i="11"/>
  <c r="R1472" i="11"/>
  <c r="R1473" i="11"/>
  <c r="R1474" i="11"/>
  <c r="R1475" i="11"/>
  <c r="R1476" i="11"/>
  <c r="R1477" i="11"/>
  <c r="R1485" i="11"/>
  <c r="R1493" i="11"/>
  <c r="R1502" i="11"/>
  <c r="R1505" i="11"/>
  <c r="AN55" i="11" s="1"/>
  <c r="AP55" i="11" s="1"/>
  <c r="R1514" i="11"/>
  <c r="R1525" i="11"/>
  <c r="R1541" i="11"/>
  <c r="R1557" i="11"/>
  <c r="R1568" i="11"/>
  <c r="R1585" i="11"/>
  <c r="R1600" i="11"/>
  <c r="R1616" i="11"/>
  <c r="R1631" i="11"/>
  <c r="R1648" i="11"/>
  <c r="R1666" i="11"/>
  <c r="R1691" i="11"/>
  <c r="R1707" i="11"/>
  <c r="R1724" i="11"/>
  <c r="R1739" i="11"/>
  <c r="R1750" i="11"/>
  <c r="R1762" i="11"/>
  <c r="R1769" i="11"/>
  <c r="R1785" i="11"/>
  <c r="R1802" i="11"/>
  <c r="R1818" i="11"/>
  <c r="R1829" i="11"/>
  <c r="R1849" i="11"/>
  <c r="AP68" i="2"/>
  <c r="R1743" i="11"/>
  <c r="R1881" i="11"/>
  <c r="R1885" i="11"/>
  <c r="R1889" i="11"/>
  <c r="R1893" i="11"/>
  <c r="R1897" i="11"/>
  <c r="R1901" i="11"/>
  <c r="R1905" i="11"/>
  <c r="R1909" i="11"/>
  <c r="R1880" i="11"/>
  <c r="R1842" i="11"/>
  <c r="R1888" i="11"/>
  <c r="R1896" i="11"/>
  <c r="R1900" i="11"/>
  <c r="R1912" i="11"/>
  <c r="R1744" i="11"/>
  <c r="R1882" i="11"/>
  <c r="R1886" i="11"/>
  <c r="R1890" i="11"/>
  <c r="R1894" i="11"/>
  <c r="R1898" i="11"/>
  <c r="R1902" i="11"/>
  <c r="R1906" i="11"/>
  <c r="R1910" i="11"/>
  <c r="R1908" i="11"/>
  <c r="R1745" i="11"/>
  <c r="R1883" i="11"/>
  <c r="R1887" i="11"/>
  <c r="R1891" i="11"/>
  <c r="R1895" i="11"/>
  <c r="R1899" i="11"/>
  <c r="R1903" i="11"/>
  <c r="R1907" i="11"/>
  <c r="R1911" i="11"/>
  <c r="R1841" i="11"/>
  <c r="R1746" i="11"/>
  <c r="R1884" i="11"/>
  <c r="R1892" i="11"/>
  <c r="R1904" i="11"/>
  <c r="R1840" i="11"/>
  <c r="J2237" i="11"/>
  <c r="K2237" i="11" s="1"/>
  <c r="K2238" i="11" s="1"/>
  <c r="R1877" i="11"/>
  <c r="R1873" i="11"/>
  <c r="R1868" i="11"/>
  <c r="R1864" i="11"/>
  <c r="R1859" i="11"/>
  <c r="R1855" i="11"/>
  <c r="R1851" i="11"/>
  <c r="R1846" i="11"/>
  <c r="R1839" i="11"/>
  <c r="R1835" i="11"/>
  <c r="R1831" i="11"/>
  <c r="R1827" i="11"/>
  <c r="R1823" i="11"/>
  <c r="R1821" i="11"/>
  <c r="R1819" i="11"/>
  <c r="R1816" i="11"/>
  <c r="R1814" i="11"/>
  <c r="R1811" i="11"/>
  <c r="R1807" i="11"/>
  <c r="R1803" i="11"/>
  <c r="R1801" i="11"/>
  <c r="R1799" i="11"/>
  <c r="R1797" i="11"/>
  <c r="R1793" i="11"/>
  <c r="R1786" i="11"/>
  <c r="R1783" i="11"/>
  <c r="R1779" i="11"/>
  <c r="R1775" i="11"/>
  <c r="R1771" i="11"/>
  <c r="R1767" i="11"/>
  <c r="R1763" i="11"/>
  <c r="R1761" i="11"/>
  <c r="R1759" i="11"/>
  <c r="R1757" i="11"/>
  <c r="R1753" i="11"/>
  <c r="R1749" i="11"/>
  <c r="R1738" i="11"/>
  <c r="R1706" i="11"/>
  <c r="R1702" i="11"/>
  <c r="R1698" i="11"/>
  <c r="R1694" i="11"/>
  <c r="R1690" i="11"/>
  <c r="R1686" i="11"/>
  <c r="R1680" i="11"/>
  <c r="R1676" i="11"/>
  <c r="R1673" i="11"/>
  <c r="R1670" i="11"/>
  <c r="R1663" i="11"/>
  <c r="R1658" i="11"/>
  <c r="R1654" i="11"/>
  <c r="R1650" i="11"/>
  <c r="R1646" i="11"/>
  <c r="R1642" i="11"/>
  <c r="R1638" i="11"/>
  <c r="R1633" i="11"/>
  <c r="R1630" i="11"/>
  <c r="R1628" i="11"/>
  <c r="R1626" i="11"/>
  <c r="R1622" i="11"/>
  <c r="R1618" i="11"/>
  <c r="R1614" i="11"/>
  <c r="R1610" i="11"/>
  <c r="R1606" i="11"/>
  <c r="R1602" i="11"/>
  <c r="R1598" i="11"/>
  <c r="R1586" i="11"/>
  <c r="R1584" i="11"/>
  <c r="R1582" i="11"/>
  <c r="R1580" i="11"/>
  <c r="R1578" i="11"/>
  <c r="R1576" i="11"/>
  <c r="R1569" i="11"/>
  <c r="R1567" i="11"/>
  <c r="R1565" i="11"/>
  <c r="R1549" i="11"/>
  <c r="R1547" i="11"/>
  <c r="R1545" i="11"/>
  <c r="R1534" i="11"/>
  <c r="R1530" i="11"/>
  <c r="R1526" i="11"/>
  <c r="R1522" i="11"/>
  <c r="R1876" i="11"/>
  <c r="R1872" i="11"/>
  <c r="R1867" i="11"/>
  <c r="R1863" i="11"/>
  <c r="R1858" i="11"/>
  <c r="R1854" i="11"/>
  <c r="R1850" i="11"/>
  <c r="R1845" i="11"/>
  <c r="R1838" i="11"/>
  <c r="R1834" i="11"/>
  <c r="R1830" i="11"/>
  <c r="R1826" i="11"/>
  <c r="R1810" i="11"/>
  <c r="R1806" i="11"/>
  <c r="R1796" i="11"/>
  <c r="R1792" i="11"/>
  <c r="R1790" i="11"/>
  <c r="R1788" i="11"/>
  <c r="O56" i="4" s="1"/>
  <c r="R1782" i="11"/>
  <c r="R1778" i="11"/>
  <c r="R1774" i="11"/>
  <c r="R1770" i="11"/>
  <c r="R1766" i="11"/>
  <c r="R1756" i="11"/>
  <c r="R1752" i="11"/>
  <c r="R1748" i="11"/>
  <c r="R1741" i="11"/>
  <c r="R1737" i="11"/>
  <c r="R1735" i="11"/>
  <c r="R1733" i="11"/>
  <c r="R1731" i="11"/>
  <c r="R1729" i="11"/>
  <c r="R1727" i="11"/>
  <c r="R1725" i="11"/>
  <c r="R1723" i="11"/>
  <c r="R1721" i="11"/>
  <c r="R1719" i="11"/>
  <c r="R1717" i="11"/>
  <c r="R1715" i="11"/>
  <c r="R1713" i="11"/>
  <c r="R1711" i="11"/>
  <c r="R1709" i="11"/>
  <c r="R1705" i="11"/>
  <c r="R1701" i="11"/>
  <c r="R1697" i="11"/>
  <c r="R1693" i="11"/>
  <c r="R1689" i="11"/>
  <c r="R1685" i="11"/>
  <c r="R1682" i="11"/>
  <c r="R1679" i="11"/>
  <c r="R1675" i="11"/>
  <c r="R1667" i="11"/>
  <c r="R1662" i="11"/>
  <c r="R1657" i="11"/>
  <c r="R1653" i="11"/>
  <c r="R1649" i="11"/>
  <c r="R1645" i="11"/>
  <c r="R1641" i="11"/>
  <c r="R1637" i="11"/>
  <c r="R1632" i="11"/>
  <c r="R1625" i="11"/>
  <c r="R1621" i="11"/>
  <c r="R1617" i="11"/>
  <c r="R1613" i="11"/>
  <c r="R1609" i="11"/>
  <c r="R1605" i="11"/>
  <c r="R1601" i="11"/>
  <c r="R1597" i="11"/>
  <c r="R1588" i="11"/>
  <c r="R1573" i="11"/>
  <c r="R1571" i="11"/>
  <c r="R1562" i="11"/>
  <c r="R1560" i="11"/>
  <c r="R1558" i="11"/>
  <c r="R1556" i="11"/>
  <c r="R1554" i="11"/>
  <c r="R1552" i="11"/>
  <c r="R1542" i="11"/>
  <c r="R1540" i="11"/>
  <c r="R1538" i="11"/>
  <c r="R1535" i="11"/>
  <c r="R1531" i="11"/>
  <c r="R1527" i="11"/>
  <c r="R1523" i="11"/>
  <c r="R1517" i="11"/>
  <c r="R1874" i="11"/>
  <c r="R1865" i="11"/>
  <c r="R1856" i="11"/>
  <c r="R1847" i="11"/>
  <c r="R1836" i="11"/>
  <c r="R1828" i="11"/>
  <c r="R1822" i="11"/>
  <c r="R1813" i="11"/>
  <c r="R1805" i="11"/>
  <c r="R1794" i="11"/>
  <c r="R1781" i="11"/>
  <c r="R1773" i="11"/>
  <c r="R1764" i="11"/>
  <c r="R1754" i="11"/>
  <c r="R1742" i="11"/>
  <c r="R1734" i="11"/>
  <c r="R1726" i="11"/>
  <c r="R1718" i="11"/>
  <c r="R1710" i="11"/>
  <c r="R1704" i="11"/>
  <c r="R1696" i="11"/>
  <c r="R1688" i="11"/>
  <c r="R1677" i="11"/>
  <c r="R1672" i="11"/>
  <c r="R1668" i="11"/>
  <c r="R1660" i="11"/>
  <c r="R1652" i="11"/>
  <c r="R1644" i="11"/>
  <c r="R1636" i="11"/>
  <c r="R1627" i="11"/>
  <c r="R1620" i="11"/>
  <c r="R1612" i="11"/>
  <c r="R1604" i="11"/>
  <c r="R1596" i="11"/>
  <c r="R1590" i="11"/>
  <c r="R1587" i="11"/>
  <c r="R1581" i="11"/>
  <c r="R1564" i="11"/>
  <c r="R1561" i="11"/>
  <c r="R1553" i="11"/>
  <c r="R1546" i="11"/>
  <c r="R1543" i="11"/>
  <c r="R1536" i="11"/>
  <c r="R1528" i="11"/>
  <c r="R1518" i="11"/>
  <c r="R1515" i="11"/>
  <c r="R1513" i="11"/>
  <c r="R1511" i="11"/>
  <c r="R1500" i="11"/>
  <c r="AY63" i="4" s="1"/>
  <c r="AY64" i="4" s="1"/>
  <c r="R1498" i="11"/>
  <c r="AX63" i="4" s="1"/>
  <c r="AX64" i="4" s="1"/>
  <c r="R1495" i="11"/>
  <c r="R1491" i="11"/>
  <c r="R1487" i="11"/>
  <c r="R1483" i="11"/>
  <c r="R1479" i="11"/>
  <c r="R1478" i="11"/>
  <c r="R1463" i="11"/>
  <c r="R1455" i="11"/>
  <c r="R1451" i="11"/>
  <c r="R1447" i="11"/>
  <c r="R1443" i="11"/>
  <c r="R1439" i="11"/>
  <c r="R1435" i="11"/>
  <c r="R1430" i="11"/>
  <c r="R1408" i="11"/>
  <c r="R1404" i="11"/>
  <c r="R1397" i="11"/>
  <c r="R1394" i="11"/>
  <c r="R1391" i="11"/>
  <c r="R1388" i="11"/>
  <c r="R1384" i="11"/>
  <c r="R1381" i="11"/>
  <c r="R1377" i="11"/>
  <c r="R1871" i="11"/>
  <c r="R1862" i="11"/>
  <c r="R1853" i="11"/>
  <c r="R1844" i="11"/>
  <c r="R1833" i="11"/>
  <c r="R1825" i="11"/>
  <c r="R1815" i="11"/>
  <c r="R1812" i="11"/>
  <c r="R1804" i="11"/>
  <c r="R1798" i="11"/>
  <c r="R1789" i="11"/>
  <c r="R1780" i="11"/>
  <c r="R1772" i="11"/>
  <c r="R1758" i="11"/>
  <c r="R1751" i="11"/>
  <c r="R1736" i="11"/>
  <c r="R1728" i="11"/>
  <c r="R1720" i="11"/>
  <c r="R1712" i="11"/>
  <c r="R1703" i="11"/>
  <c r="R1695" i="11"/>
  <c r="R1687" i="11"/>
  <c r="R1674" i="11"/>
  <c r="R1671" i="11"/>
  <c r="R1659" i="11"/>
  <c r="R1651" i="11"/>
  <c r="R1643" i="11"/>
  <c r="R1635" i="11"/>
  <c r="R1629" i="11"/>
  <c r="R1619" i="11"/>
  <c r="R1611" i="11"/>
  <c r="R1603" i="11"/>
  <c r="R1595" i="11"/>
  <c r="R1594" i="11"/>
  <c r="R1593" i="11"/>
  <c r="R1592" i="11"/>
  <c r="R1589" i="11"/>
  <c r="R1583" i="11"/>
  <c r="R1575" i="11"/>
  <c r="R1572" i="11"/>
  <c r="R1566" i="11"/>
  <c r="R1563" i="11"/>
  <c r="R1555" i="11"/>
  <c r="R1548" i="11"/>
  <c r="R1537" i="11"/>
  <c r="R1529" i="11"/>
  <c r="R1516" i="11"/>
  <c r="R1509" i="11"/>
  <c r="R1507" i="11"/>
  <c r="R1501" i="11"/>
  <c r="R1492" i="11"/>
  <c r="R1488" i="11"/>
  <c r="R1484" i="11"/>
  <c r="R1480" i="11"/>
  <c r="R1464" i="11"/>
  <c r="R1459" i="11"/>
  <c r="R1456" i="11"/>
  <c r="R1453" i="11"/>
  <c r="R1452" i="11"/>
  <c r="R1448" i="11"/>
  <c r="R1444" i="11"/>
  <c r="R1440" i="11"/>
  <c r="R1436" i="11"/>
  <c r="R1431" i="11"/>
  <c r="R1409" i="11"/>
  <c r="R1405" i="11"/>
  <c r="R1401" i="11"/>
  <c r="R1398" i="11"/>
  <c r="R1385" i="11"/>
  <c r="R1382" i="11"/>
  <c r="R1378" i="11"/>
  <c r="R1392" i="11"/>
  <c r="R1402" i="11"/>
  <c r="R1411" i="11"/>
  <c r="R1413" i="11"/>
  <c r="R1415" i="11"/>
  <c r="R1417" i="11"/>
  <c r="R1420" i="11"/>
  <c r="R1422" i="11"/>
  <c r="R1424" i="11"/>
  <c r="R1425" i="11"/>
  <c r="R1428" i="11"/>
  <c r="R1445" i="11"/>
  <c r="R1460" i="11"/>
  <c r="R1486" i="11"/>
  <c r="R1496" i="11"/>
  <c r="R1532" i="11"/>
  <c r="R1559" i="11"/>
  <c r="R1574" i="11"/>
  <c r="R1615" i="11"/>
  <c r="R1664" i="11"/>
  <c r="R1681" i="11"/>
  <c r="R1700" i="11"/>
  <c r="R1730" i="11"/>
  <c r="R1768" i="11"/>
  <c r="R1787" i="11"/>
  <c r="R1817" i="11"/>
  <c r="R1824" i="11"/>
  <c r="R1861" i="11"/>
  <c r="AP48" i="2"/>
  <c r="AP51" i="2"/>
  <c r="AP59" i="2"/>
  <c r="AP62" i="2"/>
  <c r="R1379" i="11"/>
  <c r="R1386" i="11"/>
  <c r="R1396" i="11"/>
  <c r="R1406" i="11"/>
  <c r="R1432" i="11"/>
  <c r="R1441" i="11"/>
  <c r="R1449" i="11"/>
  <c r="R1454" i="11"/>
  <c r="R1465" i="11"/>
  <c r="R1482" i="11"/>
  <c r="R1490" i="11"/>
  <c r="R1512" i="11"/>
  <c r="R1519" i="11"/>
  <c r="R1520" i="11"/>
  <c r="R1521" i="11"/>
  <c r="R1524" i="11"/>
  <c r="R1539" i="11"/>
  <c r="R1551" i="11"/>
  <c r="R1579" i="11"/>
  <c r="R1607" i="11"/>
  <c r="R1623" i="11"/>
  <c r="R1639" i="11"/>
  <c r="R1655" i="11"/>
  <c r="R1692" i="11"/>
  <c r="R1708" i="11"/>
  <c r="R1722" i="11"/>
  <c r="R1740" i="11"/>
  <c r="R1755" i="11"/>
  <c r="R1760" i="11"/>
  <c r="R1776" i="11"/>
  <c r="R1795" i="11"/>
  <c r="R1800" i="11"/>
  <c r="R1832" i="11"/>
  <c r="R1852" i="11"/>
  <c r="AN54" i="11" s="1"/>
  <c r="AP54" i="11" s="1"/>
  <c r="R1869" i="11"/>
  <c r="L262" i="11"/>
  <c r="L263" i="11"/>
  <c r="L244" i="11"/>
  <c r="L283" i="11"/>
  <c r="L275" i="11"/>
  <c r="L267" i="11"/>
  <c r="L257" i="11"/>
  <c r="L249" i="11"/>
  <c r="L288" i="11"/>
  <c r="L280" i="11"/>
  <c r="L272" i="11"/>
  <c r="L264" i="11"/>
  <c r="L254" i="11"/>
  <c r="L246" i="11"/>
  <c r="L281" i="11"/>
  <c r="L273" i="11"/>
  <c r="L265" i="11"/>
  <c r="L255" i="11"/>
  <c r="L247" i="11"/>
  <c r="L286" i="11"/>
  <c r="L278" i="11"/>
  <c r="L270" i="11"/>
  <c r="L260" i="11"/>
  <c r="L252" i="11"/>
  <c r="L277" i="11"/>
  <c r="L259" i="11"/>
  <c r="L243" i="11"/>
  <c r="L274" i="11"/>
  <c r="L256" i="11"/>
  <c r="L242" i="11"/>
  <c r="L287" i="11"/>
  <c r="L279" i="11"/>
  <c r="L271" i="11"/>
  <c r="L261" i="11"/>
  <c r="L253" i="11"/>
  <c r="L245" i="11"/>
  <c r="L284" i="11"/>
  <c r="L276" i="11"/>
  <c r="L268" i="11"/>
  <c r="L258" i="11"/>
  <c r="L250" i="11"/>
  <c r="L285" i="11"/>
  <c r="L269" i="11"/>
  <c r="L251" i="11"/>
  <c r="L282" i="11"/>
  <c r="L266" i="11"/>
  <c r="L248" i="11"/>
  <c r="I67" i="25"/>
  <c r="I68" i="25"/>
  <c r="I63" i="25"/>
  <c r="I65" i="25"/>
  <c r="I64" i="25"/>
  <c r="I66" i="25"/>
  <c r="X12" i="25"/>
  <c r="O32" i="25"/>
  <c r="O33" i="25"/>
  <c r="O29" i="25"/>
  <c r="O30" i="25"/>
  <c r="O34" i="25"/>
  <c r="O35" i="25"/>
  <c r="I30" i="25"/>
  <c r="I31" i="25"/>
  <c r="I32" i="25"/>
  <c r="I33" i="25"/>
  <c r="I34" i="25"/>
  <c r="I29" i="25"/>
  <c r="AB20" i="4"/>
  <c r="H2296" i="11" s="1"/>
  <c r="D2296" i="11" s="1"/>
  <c r="C2296" i="11" s="1" a="1"/>
  <c r="C2296" i="11" s="1"/>
  <c r="AE69" i="3"/>
  <c r="AE62" i="3"/>
  <c r="AL893" i="11"/>
  <c r="X14" i="11"/>
  <c r="AD733" i="11"/>
  <c r="AD771" i="11"/>
  <c r="AD765" i="11"/>
  <c r="AD668" i="11"/>
  <c r="AD766" i="11"/>
  <c r="AD729" i="11"/>
  <c r="AD767" i="11"/>
  <c r="H387" i="11"/>
  <c r="F18" i="5"/>
  <c r="M35" i="10" s="1"/>
  <c r="F16" i="5"/>
  <c r="Q35" i="10" s="1"/>
  <c r="F20" i="5"/>
  <c r="AC35" i="10" s="1"/>
  <c r="F22" i="5"/>
  <c r="AG35" i="10" s="1"/>
  <c r="F14" i="5"/>
  <c r="Y35" i="10" s="1"/>
  <c r="F12" i="5"/>
  <c r="U35" i="10" s="1"/>
  <c r="H392" i="11"/>
  <c r="I39" i="5"/>
  <c r="P43" i="3"/>
  <c r="P133" i="3"/>
  <c r="P132" i="3"/>
  <c r="P131" i="3"/>
  <c r="P134" i="3"/>
  <c r="P130" i="3"/>
  <c r="T43" i="3"/>
  <c r="T131" i="3"/>
  <c r="T134" i="3"/>
  <c r="T130" i="3"/>
  <c r="T133" i="3"/>
  <c r="T132" i="3"/>
  <c r="R43" i="3"/>
  <c r="R132" i="3"/>
  <c r="R131" i="3"/>
  <c r="R134" i="3"/>
  <c r="R130" i="3"/>
  <c r="R133" i="3"/>
  <c r="B64" i="5"/>
  <c r="B63" i="5"/>
  <c r="C209" i="11"/>
  <c r="C216" i="11"/>
  <c r="C202" i="11"/>
  <c r="C211" i="11"/>
  <c r="C210" i="11"/>
  <c r="U33" i="25"/>
  <c r="AA304" i="25"/>
  <c r="U202" i="25"/>
  <c r="U240" i="25"/>
  <c r="AA132" i="25"/>
  <c r="AA341" i="25"/>
  <c r="U303" i="25"/>
  <c r="U34" i="25"/>
  <c r="U135" i="25"/>
  <c r="U239" i="25"/>
  <c r="U103" i="25"/>
  <c r="U133" i="25"/>
  <c r="AA306" i="25"/>
  <c r="AA99" i="25"/>
  <c r="U31" i="25"/>
  <c r="U65" i="25"/>
  <c r="AA69" i="25"/>
  <c r="U102" i="25"/>
  <c r="AA205" i="25"/>
  <c r="U272" i="25"/>
  <c r="U340" i="25"/>
  <c r="U67" i="25"/>
  <c r="U168" i="25"/>
  <c r="AA206" i="25"/>
  <c r="U30" i="25"/>
  <c r="U32" i="25"/>
  <c r="AA68" i="25"/>
  <c r="AA167" i="25"/>
  <c r="AA169" i="25"/>
  <c r="AA238" i="25"/>
  <c r="U270" i="25"/>
  <c r="U338" i="25"/>
  <c r="AA342" i="25"/>
  <c r="AA101" i="25"/>
  <c r="U204" i="25"/>
  <c r="AA236" i="25"/>
  <c r="AA272" i="25"/>
  <c r="AA274" i="25"/>
  <c r="AA273" i="25"/>
  <c r="AA270" i="25"/>
  <c r="AA271" i="25"/>
  <c r="U169" i="25"/>
  <c r="U171" i="25"/>
  <c r="U170" i="25"/>
  <c r="U167" i="25"/>
  <c r="U165" i="25"/>
  <c r="AA135" i="25"/>
  <c r="AA136" i="25"/>
  <c r="AA137" i="25"/>
  <c r="AA133" i="25"/>
  <c r="AA134" i="25"/>
  <c r="AA269" i="25"/>
  <c r="AA268" i="25"/>
  <c r="U306" i="25"/>
  <c r="U308" i="25"/>
  <c r="U307" i="25"/>
  <c r="U304" i="25"/>
  <c r="U302" i="25"/>
  <c r="U29" i="25"/>
  <c r="AA30" i="25"/>
  <c r="AA31" i="25"/>
  <c r="AA33" i="25"/>
  <c r="U63" i="25"/>
  <c r="U64" i="25"/>
  <c r="U66" i="25"/>
  <c r="AA67" i="25"/>
  <c r="U101" i="25"/>
  <c r="AA102" i="25"/>
  <c r="AA103" i="25"/>
  <c r="U136" i="25"/>
  <c r="U137" i="25"/>
  <c r="AA165" i="25"/>
  <c r="AA166" i="25"/>
  <c r="AA168" i="25"/>
  <c r="U200" i="25"/>
  <c r="U201" i="25"/>
  <c r="U203" i="25"/>
  <c r="AA204" i="25"/>
  <c r="U238" i="25"/>
  <c r="AA239" i="25"/>
  <c r="AA240" i="25"/>
  <c r="U273" i="25"/>
  <c r="U274" i="25"/>
  <c r="AA302" i="25"/>
  <c r="AA303" i="25"/>
  <c r="AA305" i="25"/>
  <c r="U336" i="25"/>
  <c r="U337" i="25"/>
  <c r="U339" i="25"/>
  <c r="AA340" i="25"/>
  <c r="U98" i="25"/>
  <c r="U100" i="25"/>
  <c r="U234" i="25"/>
  <c r="U235" i="25"/>
  <c r="AA336" i="25"/>
  <c r="AA337" i="25"/>
  <c r="AA339" i="25"/>
  <c r="AA29" i="25"/>
  <c r="AA35" i="25"/>
  <c r="AA63" i="25"/>
  <c r="AA64" i="25"/>
  <c r="AA66" i="25"/>
  <c r="U97" i="25"/>
  <c r="AA200" i="25"/>
  <c r="AA201" i="25"/>
  <c r="AA203" i="25"/>
  <c r="U237" i="25"/>
  <c r="AA32" i="25"/>
  <c r="U68" i="25"/>
  <c r="AA97" i="25"/>
  <c r="AA98" i="25"/>
  <c r="U131" i="25"/>
  <c r="U132" i="25"/>
  <c r="AA170" i="25"/>
  <c r="U205" i="25"/>
  <c r="AA234" i="25"/>
  <c r="AA235" i="25"/>
  <c r="U268" i="25"/>
  <c r="U269" i="25"/>
  <c r="AA307" i="25"/>
  <c r="U341" i="25"/>
  <c r="D1286" i="11"/>
  <c r="S1270" i="11"/>
  <c r="S1265" i="11"/>
  <c r="I1267" i="11"/>
  <c r="G1268" i="11"/>
  <c r="F1269" i="11"/>
  <c r="D1270" i="11"/>
  <c r="L1270" i="11"/>
  <c r="F1271" i="11"/>
  <c r="E1272" i="11"/>
  <c r="M1272" i="11"/>
  <c r="C1273" i="11"/>
  <c r="K1273" i="11"/>
  <c r="D1274" i="11"/>
  <c r="L1274" i="11"/>
  <c r="J1275" i="11"/>
  <c r="L1276" i="11"/>
  <c r="F1277" i="11"/>
  <c r="J1279" i="11"/>
  <c r="D1280" i="11"/>
  <c r="H1282" i="11"/>
  <c r="L1284" i="11"/>
  <c r="F1285" i="11"/>
  <c r="J1267" i="11"/>
  <c r="I1269" i="11"/>
  <c r="H1272" i="11"/>
  <c r="E1274" i="11"/>
  <c r="C1275" i="11"/>
  <c r="J1277" i="11"/>
  <c r="H1280" i="11"/>
  <c r="L1282" i="11"/>
  <c r="M1286" i="11"/>
  <c r="I1286" i="11"/>
  <c r="E1286" i="11"/>
  <c r="K1285" i="11"/>
  <c r="G1285" i="11"/>
  <c r="C1285" i="11"/>
  <c r="M1284" i="11"/>
  <c r="I1284" i="11"/>
  <c r="E1284" i="11"/>
  <c r="K1283" i="11"/>
  <c r="G1283" i="11"/>
  <c r="C1283" i="11"/>
  <c r="M1282" i="11"/>
  <c r="I1282" i="11"/>
  <c r="E1282" i="11"/>
  <c r="K1281" i="11"/>
  <c r="G1281" i="11"/>
  <c r="C1281" i="11"/>
  <c r="M1280" i="11"/>
  <c r="I1280" i="11"/>
  <c r="E1280" i="11"/>
  <c r="K1279" i="11"/>
  <c r="G1279" i="11"/>
  <c r="C1279" i="11"/>
  <c r="M1278" i="11"/>
  <c r="I1278" i="11"/>
  <c r="E1278" i="11"/>
  <c r="K1277" i="11"/>
  <c r="G1277" i="11"/>
  <c r="C1277" i="11"/>
  <c r="M1276" i="11"/>
  <c r="I1276" i="11"/>
  <c r="H1268" i="11"/>
  <c r="G1270" i="11"/>
  <c r="G1271" i="11"/>
  <c r="F1273" i="11"/>
  <c r="M1274" i="11"/>
  <c r="K1275" i="11"/>
  <c r="D1276" i="11"/>
  <c r="D1278" i="11"/>
  <c r="F1283" i="11"/>
  <c r="J1285" i="11"/>
  <c r="J1286" i="11"/>
  <c r="M1267" i="11"/>
  <c r="C1268" i="11"/>
  <c r="K1268" i="11"/>
  <c r="J1269" i="11"/>
  <c r="H1270" i="11"/>
  <c r="J1271" i="11"/>
  <c r="I1272" i="11"/>
  <c r="G1273" i="11"/>
  <c r="H1274" i="11"/>
  <c r="F1275" i="11"/>
  <c r="E1276" i="11"/>
  <c r="H1278" i="11"/>
  <c r="L1280" i="11"/>
  <c r="F1281" i="11"/>
  <c r="J1283" i="11"/>
  <c r="D1284" i="11"/>
  <c r="H1286" i="11"/>
  <c r="F1267" i="11"/>
  <c r="D1268" i="11"/>
  <c r="L1268" i="11"/>
  <c r="E1269" i="11"/>
  <c r="M1269" i="11"/>
  <c r="C1270" i="11"/>
  <c r="K1270" i="11"/>
  <c r="C1271" i="11"/>
  <c r="K1271" i="11"/>
  <c r="D1272" i="11"/>
  <c r="L1272" i="11"/>
  <c r="J1273" i="11"/>
  <c r="I1274" i="11"/>
  <c r="G1275" i="11"/>
  <c r="H1276" i="11"/>
  <c r="L1278" i="11"/>
  <c r="F1279" i="11"/>
  <c r="J1281" i="11"/>
  <c r="D1282" i="11"/>
  <c r="H1284" i="11"/>
  <c r="L1286" i="11"/>
  <c r="D1267" i="11"/>
  <c r="H1267" i="11"/>
  <c r="L1267" i="11"/>
  <c r="F1268" i="11"/>
  <c r="J1268" i="11"/>
  <c r="D1269" i="11"/>
  <c r="H1269" i="11"/>
  <c r="L1269" i="11"/>
  <c r="F1270" i="11"/>
  <c r="J1270" i="11"/>
  <c r="E1271" i="11"/>
  <c r="I1271" i="11"/>
  <c r="M1271" i="11"/>
  <c r="C1272" i="11"/>
  <c r="G1272" i="11"/>
  <c r="K1272" i="11"/>
  <c r="E1273" i="11"/>
  <c r="I1273" i="11"/>
  <c r="M1273" i="11"/>
  <c r="C1274" i="11"/>
  <c r="G1274" i="11"/>
  <c r="K1274" i="11"/>
  <c r="E1275" i="11"/>
  <c r="I1275" i="11"/>
  <c r="M1275" i="11"/>
  <c r="C1276" i="11"/>
  <c r="G1276" i="11"/>
  <c r="K1276" i="11"/>
  <c r="E1277" i="11"/>
  <c r="I1277" i="11"/>
  <c r="M1277" i="11"/>
  <c r="C1278" i="11"/>
  <c r="G1278" i="11"/>
  <c r="K1278" i="11"/>
  <c r="E1279" i="11"/>
  <c r="I1279" i="11"/>
  <c r="M1279" i="11"/>
  <c r="C1280" i="11"/>
  <c r="G1280" i="11"/>
  <c r="K1280" i="11"/>
  <c r="E1281" i="11"/>
  <c r="I1281" i="11"/>
  <c r="M1281" i="11"/>
  <c r="C1282" i="11"/>
  <c r="G1282" i="11"/>
  <c r="K1282" i="11"/>
  <c r="E1283" i="11"/>
  <c r="I1283" i="11"/>
  <c r="M1283" i="11"/>
  <c r="C1284" i="11"/>
  <c r="G1284" i="11"/>
  <c r="K1284" i="11"/>
  <c r="E1285" i="11"/>
  <c r="I1285" i="11"/>
  <c r="M1285" i="11"/>
  <c r="C1286" i="11"/>
  <c r="G1286" i="11"/>
  <c r="K1286" i="11"/>
  <c r="C1267" i="11"/>
  <c r="G1267" i="11"/>
  <c r="K1267" i="11"/>
  <c r="E1268" i="11"/>
  <c r="I1268" i="11"/>
  <c r="M1268" i="11"/>
  <c r="C1269" i="11"/>
  <c r="G1269" i="11"/>
  <c r="K1269" i="11"/>
  <c r="E1270" i="11"/>
  <c r="I1270" i="11"/>
  <c r="M1270" i="11"/>
  <c r="D1271" i="11"/>
  <c r="H1271" i="11"/>
  <c r="L1271" i="11"/>
  <c r="F1272" i="11"/>
  <c r="J1272" i="11"/>
  <c r="D1273" i="11"/>
  <c r="H1273" i="11"/>
  <c r="L1273" i="11"/>
  <c r="F1274" i="11"/>
  <c r="J1274" i="11"/>
  <c r="D1275" i="11"/>
  <c r="H1275" i="11"/>
  <c r="L1275" i="11"/>
  <c r="F1276" i="11"/>
  <c r="J1276" i="11"/>
  <c r="D1277" i="11"/>
  <c r="H1277" i="11"/>
  <c r="L1277" i="11"/>
  <c r="F1278" i="11"/>
  <c r="J1278" i="11"/>
  <c r="D1279" i="11"/>
  <c r="H1279" i="11"/>
  <c r="L1279" i="11"/>
  <c r="F1280" i="11"/>
  <c r="J1280" i="11"/>
  <c r="D1281" i="11"/>
  <c r="H1281" i="11"/>
  <c r="L1281" i="11"/>
  <c r="F1282" i="11"/>
  <c r="J1282" i="11"/>
  <c r="D1283" i="11"/>
  <c r="H1283" i="11"/>
  <c r="L1283" i="11"/>
  <c r="F1284" i="11"/>
  <c r="J1284" i="11"/>
  <c r="D1285" i="11"/>
  <c r="H1285" i="11"/>
  <c r="L1285" i="11"/>
  <c r="F1286" i="11"/>
  <c r="AC7" i="22"/>
  <c r="L133" i="3"/>
  <c r="L131" i="3"/>
  <c r="L134" i="3"/>
  <c r="L130" i="3"/>
  <c r="L132" i="3"/>
  <c r="N133" i="3"/>
  <c r="N132" i="3"/>
  <c r="N134" i="3"/>
  <c r="N130" i="3"/>
  <c r="N131" i="3"/>
  <c r="N210" i="3"/>
  <c r="Z210" i="3" s="1"/>
  <c r="N43" i="3"/>
  <c r="F16" i="8"/>
  <c r="R2014" i="11"/>
  <c r="P91" i="9"/>
  <c r="Q276" i="11"/>
  <c r="T276" i="11"/>
  <c r="Q277" i="11"/>
  <c r="T277" i="11"/>
  <c r="Q278" i="11"/>
  <c r="T278" i="11"/>
  <c r="Q279" i="11"/>
  <c r="T279" i="11"/>
  <c r="Q280" i="11"/>
  <c r="T280" i="11"/>
  <c r="Q281" i="11"/>
  <c r="T281" i="11"/>
  <c r="Q282" i="11"/>
  <c r="T282" i="11"/>
  <c r="Q283" i="11"/>
  <c r="T283" i="11"/>
  <c r="Q284" i="11"/>
  <c r="T284" i="11"/>
  <c r="Q285" i="11"/>
  <c r="T285" i="11"/>
  <c r="Q286" i="11"/>
  <c r="T286" i="11"/>
  <c r="Q287" i="11"/>
  <c r="T287" i="11"/>
  <c r="Q288" i="11"/>
  <c r="T288" i="11"/>
  <c r="AE174" i="3"/>
  <c r="H379" i="11"/>
  <c r="E65" i="11"/>
  <c r="P89" i="3"/>
  <c r="P87" i="3"/>
  <c r="P86" i="3"/>
  <c r="P88" i="3"/>
  <c r="P90" i="3"/>
  <c r="R88" i="3"/>
  <c r="R90" i="3"/>
  <c r="R89" i="3"/>
  <c r="R87" i="3"/>
  <c r="R86" i="3"/>
  <c r="D2336" i="11"/>
  <c r="E2336" i="11" s="1"/>
  <c r="AH75" i="4"/>
  <c r="T87" i="3"/>
  <c r="T88" i="3"/>
  <c r="T90" i="3"/>
  <c r="T86" i="3"/>
  <c r="T89" i="3"/>
  <c r="AV47" i="18"/>
  <c r="AP35" i="28"/>
  <c r="AQ34" i="28" s="1"/>
  <c r="D2332" i="11"/>
  <c r="E2332" i="11" s="1"/>
  <c r="AH67" i="4"/>
  <c r="L206" i="3"/>
  <c r="N89" i="3"/>
  <c r="N90" i="3"/>
  <c r="N86" i="3"/>
  <c r="N88" i="3"/>
  <c r="N87" i="3"/>
  <c r="N78" i="3"/>
  <c r="V71" i="3"/>
  <c r="J74" i="22"/>
  <c r="J275" i="22"/>
  <c r="AC275" i="22"/>
  <c r="J141" i="22"/>
  <c r="AC208" i="22"/>
  <c r="J208" i="22"/>
  <c r="AC74" i="22"/>
  <c r="AC141" i="22"/>
  <c r="AV40" i="18"/>
  <c r="AA16" i="8"/>
  <c r="E91" i="3"/>
  <c r="L91" i="3" s="1"/>
  <c r="E92" i="3"/>
  <c r="L92" i="3" s="1"/>
  <c r="V62" i="29"/>
  <c r="V61" i="4"/>
  <c r="F30" i="2"/>
  <c r="V52" i="4"/>
  <c r="V75" i="3"/>
  <c r="V72" i="3"/>
  <c r="F48" i="8"/>
  <c r="F50" i="8"/>
  <c r="C23" i="8"/>
  <c r="F43" i="8"/>
  <c r="AT60" i="10"/>
  <c r="X60" i="10" s="1"/>
  <c r="AG55" i="28"/>
  <c r="AF121" i="3"/>
  <c r="AD122" i="3" s="1"/>
  <c r="AG49" i="3"/>
  <c r="AB19" i="4"/>
  <c r="H2295" i="11" s="1"/>
  <c r="I2295" i="11" s="1"/>
  <c r="V49" i="3"/>
  <c r="AH19" i="4" s="1"/>
  <c r="AB511" i="11"/>
  <c r="AB515" i="11"/>
  <c r="AB519" i="11"/>
  <c r="AB523" i="11"/>
  <c r="AB527" i="11"/>
  <c r="AB531" i="11"/>
  <c r="AB535" i="11"/>
  <c r="AB539" i="11"/>
  <c r="AB543" i="11"/>
  <c r="AB547" i="11"/>
  <c r="AB551" i="11"/>
  <c r="AB517" i="11"/>
  <c r="AB525" i="11"/>
  <c r="AB529" i="11"/>
  <c r="AB537" i="11"/>
  <c r="AB545" i="11"/>
  <c r="AB509" i="11"/>
  <c r="AB518" i="11"/>
  <c r="AB526" i="11"/>
  <c r="AB534" i="11"/>
  <c r="AB546" i="11"/>
  <c r="AB512" i="11"/>
  <c r="AB516" i="11"/>
  <c r="AB520" i="11"/>
  <c r="AB524" i="11"/>
  <c r="AB528" i="11"/>
  <c r="AB532" i="11"/>
  <c r="AB536" i="11"/>
  <c r="AB540" i="11"/>
  <c r="AB544" i="11"/>
  <c r="AB548" i="11"/>
  <c r="AB510" i="11"/>
  <c r="AB513" i="11"/>
  <c r="AB521" i="11"/>
  <c r="AB533" i="11"/>
  <c r="AB541" i="11"/>
  <c r="AB549" i="11"/>
  <c r="AB514" i="11"/>
  <c r="AB522" i="11"/>
  <c r="AB530" i="11"/>
  <c r="AB538" i="11"/>
  <c r="AB542" i="11"/>
  <c r="AB550"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D115" i="10" a="1"/>
  <c r="D115" i="10" s="1"/>
  <c r="R135" i="3"/>
  <c r="T135" i="3"/>
  <c r="T96" i="3"/>
  <c r="O114" i="3"/>
  <c r="Q114" i="3" s="1"/>
  <c r="S114" i="3" s="1"/>
  <c r="U114" i="3" s="1"/>
  <c r="AI10" i="3"/>
  <c r="AB37" i="4"/>
  <c r="AB39" i="4"/>
  <c r="AB46" i="4"/>
  <c r="AA200" i="3"/>
  <c r="Q2198" i="11" s="1"/>
  <c r="W2198" i="11" s="1"/>
  <c r="AI6" i="3"/>
  <c r="V69" i="3"/>
  <c r="V70" i="3"/>
  <c r="O96" i="3"/>
  <c r="AB202" i="3"/>
  <c r="AB38" i="4"/>
  <c r="AQ38" i="4" s="1"/>
  <c r="AB45" i="4"/>
  <c r="AB49" i="4"/>
  <c r="F44" i="8"/>
  <c r="AI7" i="3"/>
  <c r="V68" i="3"/>
  <c r="Z58" i="30"/>
  <c r="Y58" i="30"/>
  <c r="Z57" i="30"/>
  <c r="Y57" i="30"/>
  <c r="Z60" i="30"/>
  <c r="Y60" i="30"/>
  <c r="Z59" i="30"/>
  <c r="Y59" i="30"/>
  <c r="N92" i="3"/>
  <c r="N93" i="3"/>
  <c r="N94" i="3"/>
  <c r="N95" i="3"/>
  <c r="P92" i="3"/>
  <c r="P93" i="3"/>
  <c r="P94" i="3"/>
  <c r="P95" i="3"/>
  <c r="T114" i="3"/>
  <c r="AH52" i="4"/>
  <c r="Y56" i="30"/>
  <c r="R92" i="3"/>
  <c r="R93" i="3"/>
  <c r="R94" i="3"/>
  <c r="R95" i="3"/>
  <c r="AA203" i="3"/>
  <c r="T92" i="3"/>
  <c r="T93" i="3"/>
  <c r="T94" i="3"/>
  <c r="T95" i="3"/>
  <c r="R96" i="3"/>
  <c r="R114" i="3"/>
  <c r="T25" i="3"/>
  <c r="AX59" i="18"/>
  <c r="AV51" i="18"/>
  <c r="AX51" i="18" s="1"/>
  <c r="AV33" i="18"/>
  <c r="AV35" i="18"/>
  <c r="AV45" i="18"/>
  <c r="I1151" i="11"/>
  <c r="AN51" i="11"/>
  <c r="AP51" i="11" s="1"/>
  <c r="AW60" i="4"/>
  <c r="AV60" i="4"/>
  <c r="F62" i="2"/>
  <c r="L96" i="3"/>
  <c r="X121" i="3"/>
  <c r="L135" i="3"/>
  <c r="F58" i="2"/>
  <c r="F59" i="2"/>
  <c r="F60" i="2"/>
  <c r="J57" i="2"/>
  <c r="T17" i="3"/>
  <c r="L114" i="3"/>
  <c r="AX56" i="18"/>
  <c r="AV59" i="18"/>
  <c r="AV56" i="18"/>
  <c r="AV57" i="18"/>
  <c r="AX58" i="18"/>
  <c r="AV58" i="18"/>
  <c r="AX57" i="18"/>
  <c r="AX25" i="18"/>
  <c r="AV44" i="18"/>
  <c r="AX42" i="18"/>
  <c r="AX44" i="18"/>
  <c r="AV43" i="18"/>
  <c r="AX46" i="18"/>
  <c r="AV41" i="18"/>
  <c r="AX45" i="18"/>
  <c r="AV42" i="18"/>
  <c r="AX41" i="18"/>
  <c r="AV39" i="18"/>
  <c r="AX39" i="18"/>
  <c r="AX50" i="18"/>
  <c r="AX49" i="18"/>
  <c r="AV49" i="18"/>
  <c r="AX48" i="18"/>
  <c r="AX47" i="18"/>
  <c r="AO138" i="9"/>
  <c r="AO122" i="9"/>
  <c r="AO106" i="9"/>
  <c r="R1983" i="11"/>
  <c r="N32" i="3"/>
  <c r="AF25" i="23"/>
  <c r="O91" i="9"/>
  <c r="AP148" i="3"/>
  <c r="N148" i="3" s="1"/>
  <c r="AT174" i="3"/>
  <c r="R174" i="3" s="1"/>
  <c r="AP26" i="2"/>
  <c r="AN26" i="2" s="1"/>
  <c r="N20" i="23"/>
  <c r="AF22" i="23"/>
  <c r="N23" i="23"/>
  <c r="F89" i="9"/>
  <c r="AP194" i="3"/>
  <c r="N194" i="3" s="1"/>
  <c r="DB108" i="11"/>
  <c r="N26" i="3"/>
  <c r="AP171" i="3"/>
  <c r="N171" i="3" s="1"/>
  <c r="AD191" i="3"/>
  <c r="L2005" i="11"/>
  <c r="AE144" i="3"/>
  <c r="AT162" i="3"/>
  <c r="R162" i="3" s="1"/>
  <c r="AR189" i="3"/>
  <c r="P189" i="3" s="1"/>
  <c r="R2049" i="11"/>
  <c r="N25" i="3"/>
  <c r="L40" i="3"/>
  <c r="AL157" i="3"/>
  <c r="J157" i="3" s="1"/>
  <c r="AT195" i="3"/>
  <c r="R195" i="3" s="1"/>
  <c r="R1952" i="11"/>
  <c r="AL909" i="11"/>
  <c r="L75" i="3" s="1"/>
  <c r="AE75" i="3"/>
  <c r="AL908" i="11"/>
  <c r="AM908" i="11" s="1"/>
  <c r="AE74" i="3"/>
  <c r="AL897" i="11"/>
  <c r="AE63" i="3"/>
  <c r="AL898" i="11"/>
  <c r="AE64" i="3"/>
  <c r="AP2245" i="11"/>
  <c r="AP2247" i="11"/>
  <c r="L1962"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96" i="11"/>
  <c r="R31" i="4"/>
  <c r="C1155" i="11"/>
  <c r="Z1207" i="11"/>
  <c r="R26" i="3"/>
  <c r="N34" i="3"/>
  <c r="N30" i="3"/>
  <c r="N38" i="3"/>
  <c r="R106" i="3"/>
  <c r="AL149" i="3"/>
  <c r="J149" i="3" s="1"/>
  <c r="AT154" i="3"/>
  <c r="R154" i="3" s="1"/>
  <c r="AP163" i="3"/>
  <c r="N163" i="3" s="1"/>
  <c r="AE168" i="3"/>
  <c r="AP172" i="3"/>
  <c r="N172" i="3" s="1"/>
  <c r="AP175" i="3"/>
  <c r="N175" i="3" s="1"/>
  <c r="AE187" i="3"/>
  <c r="AR188" i="3"/>
  <c r="P188" i="3"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905" i="11"/>
  <c r="L71" i="3" s="1"/>
  <c r="AE71" i="3"/>
  <c r="R27" i="3"/>
  <c r="R30" i="3"/>
  <c r="R32" i="3"/>
  <c r="R34" i="3"/>
  <c r="R36" i="3"/>
  <c r="R38" i="3"/>
  <c r="P4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C461" i="11"/>
  <c r="D72" i="1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G250" i="11"/>
  <c r="AP14" i="2" s="1"/>
  <c r="AU14" i="2" s="1"/>
  <c r="G251" i="11"/>
  <c r="AP15" i="2" s="1"/>
  <c r="AU15" i="2" s="1"/>
  <c r="L1967" i="11"/>
  <c r="K2058" i="11"/>
  <c r="L2058" i="11" s="1"/>
  <c r="AP2239" i="11"/>
  <c r="C496" i="11"/>
  <c r="C507" i="11"/>
  <c r="AP2241" i="11"/>
  <c r="AP2243" i="11"/>
  <c r="AP2246" i="11"/>
  <c r="R1937" i="11"/>
  <c r="R2023" i="11"/>
  <c r="L2080" i="11"/>
  <c r="L2082" i="11"/>
  <c r="R2085" i="11"/>
  <c r="AP2248" i="11"/>
  <c r="AP2250" i="11"/>
  <c r="AP2252" i="11"/>
  <c r="AP2254" i="11"/>
  <c r="AP2256" i="11"/>
  <c r="AP2258" i="11"/>
  <c r="AP2260" i="11"/>
  <c r="C478" i="11"/>
  <c r="P1266" i="11"/>
  <c r="P1267" i="11" s="1"/>
  <c r="P1268" i="11" s="1"/>
  <c r="P1269" i="11" s="1"/>
  <c r="P1270" i="11" s="1"/>
  <c r="P1271" i="11" s="1"/>
  <c r="P1272" i="11" s="1"/>
  <c r="P1273" i="11" s="1"/>
  <c r="P1274" i="11" s="1"/>
  <c r="P1275" i="11" s="1"/>
  <c r="P1276" i="11" s="1"/>
  <c r="P1277" i="11" s="1"/>
  <c r="P1278" i="11" s="1"/>
  <c r="P1279" i="11" s="1"/>
  <c r="P1280" i="11" s="1"/>
  <c r="P1281" i="11" s="1"/>
  <c r="P1282" i="11" s="1"/>
  <c r="P1283" i="11" s="1"/>
  <c r="P1284" i="11" s="1"/>
  <c r="P1285" i="11" s="1"/>
  <c r="P1286" i="11" s="1"/>
  <c r="P1287" i="11" s="1"/>
  <c r="P1288" i="11" s="1"/>
  <c r="P1289" i="11" s="1"/>
  <c r="P1290" i="11" s="1"/>
  <c r="P1291" i="11" s="1"/>
  <c r="P1292" i="11" s="1"/>
  <c r="P1293" i="11" s="1"/>
  <c r="P1294" i="11" s="1"/>
  <c r="P1295" i="11" s="1"/>
  <c r="P1296" i="11" s="1"/>
  <c r="P1297" i="11" s="1"/>
  <c r="P1298" i="11" s="1"/>
  <c r="G2141" i="11"/>
  <c r="I2141" i="11" s="1"/>
  <c r="AP2240" i="11"/>
  <c r="AP2242"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C462" i="11"/>
  <c r="K2041" i="11"/>
  <c r="K2067" i="11"/>
  <c r="L2067" i="11" s="1"/>
  <c r="H2070" i="11"/>
  <c r="R2083" i="11"/>
  <c r="K2093" i="11"/>
  <c r="G2142" i="11"/>
  <c r="I2142" i="11" s="1"/>
  <c r="G2144" i="11"/>
  <c r="I2144" i="11" s="1"/>
  <c r="G2146" i="11"/>
  <c r="I2146" i="11" s="1"/>
  <c r="AP2244" i="11"/>
  <c r="Q241" i="11"/>
  <c r="Q253" i="11"/>
  <c r="Q258" i="11"/>
  <c r="Q263" i="11"/>
  <c r="Q265" i="11"/>
  <c r="Q272" i="11"/>
  <c r="C456" i="11"/>
  <c r="C457" i="11"/>
  <c r="C458" i="11"/>
  <c r="C459" i="11"/>
  <c r="C460" i="11"/>
  <c r="AL1099" i="11"/>
  <c r="C1307" i="11"/>
  <c r="K1949" i="11"/>
  <c r="L1949" i="11" s="1"/>
  <c r="K1969" i="11"/>
  <c r="K2014" i="11"/>
  <c r="R2041" i="11"/>
  <c r="L2046" i="11"/>
  <c r="L2050" i="11"/>
  <c r="R2056" i="11"/>
  <c r="L2088" i="11"/>
  <c r="L2095" i="11"/>
  <c r="L2100" i="11"/>
  <c r="C501" i="11"/>
  <c r="R1947" i="11"/>
  <c r="L1951" i="11"/>
  <c r="H2025" i="11"/>
  <c r="K2040" i="11"/>
  <c r="L2040" i="11" s="1"/>
  <c r="R2107" i="11"/>
  <c r="G2143" i="11"/>
  <c r="I2143" i="11" s="1"/>
  <c r="G2145" i="11"/>
  <c r="I2145" i="11" s="1"/>
  <c r="G2147" i="11"/>
  <c r="I2147" i="11" s="1"/>
  <c r="AP2262" i="11"/>
  <c r="AP2264" i="11"/>
  <c r="AP2266" i="11"/>
  <c r="W366" i="11"/>
  <c r="C499" i="11"/>
  <c r="C547" i="11"/>
  <c r="C505" i="11"/>
  <c r="AL1074" i="11"/>
  <c r="AL1069" i="11"/>
  <c r="R1982" i="11"/>
  <c r="L2020" i="11"/>
  <c r="R2040" i="11"/>
  <c r="H2058" i="11"/>
  <c r="L2083" i="11"/>
  <c r="K2103" i="11"/>
  <c r="AF26" i="23"/>
  <c r="BF17" i="4"/>
  <c r="AD130" i="3"/>
  <c r="AF130" i="3" s="1"/>
  <c r="AG130" i="3" s="1"/>
  <c r="DC108" i="11"/>
  <c r="P31" i="4"/>
  <c r="N31" i="4"/>
  <c r="O31" i="4"/>
  <c r="H695" i="26"/>
  <c r="DA108" i="11"/>
  <c r="AG582" i="11"/>
  <c r="AG377" i="11"/>
  <c r="AF381" i="11"/>
  <c r="AG381" i="11" s="1"/>
  <c r="AG379" i="11"/>
  <c r="AF383" i="11"/>
  <c r="AG383" i="11" s="1"/>
  <c r="T2046" i="11"/>
  <c r="AG318" i="11"/>
  <c r="AF322" i="11"/>
  <c r="AG328" i="11"/>
  <c r="AF332" i="11"/>
  <c r="AG332" i="11" s="1"/>
  <c r="D308" i="11"/>
  <c r="AG438" i="11"/>
  <c r="AV27" i="18"/>
  <c r="AV48" i="18"/>
  <c r="AV32" i="18"/>
  <c r="AX34" i="18"/>
  <c r="AV36" i="18"/>
  <c r="AV38" i="18"/>
  <c r="AX37" i="18"/>
  <c r="AV31" i="18"/>
  <c r="AX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80" i="11"/>
  <c r="AL1076" i="11"/>
  <c r="AE56" i="3"/>
  <c r="S70" i="11"/>
  <c r="Q255" i="11"/>
  <c r="L131" i="11"/>
  <c r="K131" i="11"/>
  <c r="L241" i="11"/>
  <c r="M131" i="11"/>
  <c r="AG300" i="11"/>
  <c r="AJ299" i="11" a="1"/>
  <c r="X871" i="11"/>
  <c r="X867" i="11"/>
  <c r="X863" i="11"/>
  <c r="X869" i="11"/>
  <c r="X864" i="11"/>
  <c r="X868" i="11"/>
  <c r="X862" i="11"/>
  <c r="X866" i="11"/>
  <c r="X870" i="11"/>
  <c r="X865" i="11"/>
  <c r="Q249"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K324" i="11" a="1"/>
  <c r="Q363" i="11"/>
  <c r="W363" i="11"/>
  <c r="O363" i="11"/>
  <c r="S363" i="11"/>
  <c r="Q251" i="11"/>
  <c r="Q254" i="11"/>
  <c r="Q257" i="11"/>
  <c r="Q259" i="11"/>
  <c r="Q261" i="11"/>
  <c r="Q264" i="11"/>
  <c r="Q268" i="11"/>
  <c r="G253" i="11"/>
  <c r="AP17" i="2" s="1"/>
  <c r="AU17" i="2" s="1"/>
  <c r="Q364" i="11"/>
  <c r="O365" i="11"/>
  <c r="W365"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83" i="11"/>
  <c r="C480" i="11"/>
  <c r="C481" i="11"/>
  <c r="C485" i="11"/>
  <c r="C489" i="11"/>
  <c r="C493" i="11"/>
  <c r="C497" i="11"/>
  <c r="C538" i="11"/>
  <c r="C541" i="11"/>
  <c r="C543" i="11"/>
  <c r="C545" i="11"/>
  <c r="C546" i="11"/>
  <c r="Q260" i="11"/>
  <c r="Q262" i="11"/>
  <c r="Q266" i="11"/>
  <c r="S365" i="11"/>
  <c r="C482" i="11"/>
  <c r="C486" i="11"/>
  <c r="C490" i="11"/>
  <c r="C494" i="11"/>
  <c r="C498" i="11"/>
  <c r="C502" i="11"/>
  <c r="C506" i="11"/>
  <c r="C508" i="11"/>
  <c r="C510" i="11"/>
  <c r="C512" i="11"/>
  <c r="C514" i="11"/>
  <c r="C516" i="11"/>
  <c r="C518" i="11"/>
  <c r="C520" i="11"/>
  <c r="C522" i="11"/>
  <c r="C524" i="11"/>
  <c r="C526" i="11"/>
  <c r="C528" i="11"/>
  <c r="C530" i="11"/>
  <c r="C532" i="11"/>
  <c r="C534" i="11"/>
  <c r="C536" i="11"/>
  <c r="AB486" i="11"/>
  <c r="AB505" i="11"/>
  <c r="C483" i="11"/>
  <c r="C487" i="11"/>
  <c r="C491" i="11"/>
  <c r="C495" i="11"/>
  <c r="C537" i="11"/>
  <c r="C539" i="11"/>
  <c r="C540" i="11"/>
  <c r="C542" i="11"/>
  <c r="C544" i="11"/>
  <c r="AL1075" i="11"/>
  <c r="AL1086" i="11"/>
  <c r="AL1091" i="11"/>
  <c r="AL1092" i="11"/>
  <c r="AL1094" i="11"/>
  <c r="AL1098" i="11"/>
  <c r="AL1101" i="11"/>
  <c r="AL1103" i="11"/>
  <c r="C1149" i="11"/>
  <c r="C1154" i="11"/>
  <c r="Z1189" i="11"/>
  <c r="Z1191" i="11"/>
  <c r="Z1192" i="11"/>
  <c r="Z1193" i="11"/>
  <c r="Z1194" i="11"/>
  <c r="Z1195" i="11"/>
  <c r="Z1196" i="11"/>
  <c r="Z1197" i="11"/>
  <c r="Z1198" i="11"/>
  <c r="Z1202" i="11"/>
  <c r="Z1206" i="11"/>
  <c r="AL1068" i="11"/>
  <c r="AL1070" i="11"/>
  <c r="AL1071" i="11"/>
  <c r="AL1072" i="11"/>
  <c r="AL1073" i="11"/>
  <c r="AL1081" i="11"/>
  <c r="AL1087" i="11"/>
  <c r="AL1090" i="11"/>
  <c r="AL1097" i="11"/>
  <c r="C1148" i="11"/>
  <c r="C1153" i="11"/>
  <c r="Z1165" i="11"/>
  <c r="Z1167" i="11"/>
  <c r="Z1169" i="11"/>
  <c r="Z1171" i="11"/>
  <c r="Z1173" i="11"/>
  <c r="Z1175" i="11"/>
  <c r="Z1177" i="11"/>
  <c r="Z1179" i="11"/>
  <c r="Z1181" i="11"/>
  <c r="Z1183" i="11"/>
  <c r="Z1185" i="11"/>
  <c r="Z1187" i="11"/>
  <c r="Z1190" i="11"/>
  <c r="Z1201" i="11"/>
  <c r="Z1205" i="11"/>
  <c r="Z1209" i="11"/>
  <c r="AL1082" i="11"/>
  <c r="AL1083" i="11"/>
  <c r="AL1088" i="11"/>
  <c r="AL1089" i="11"/>
  <c r="AL1093" i="11"/>
  <c r="AL1095" i="11"/>
  <c r="AL1100" i="11"/>
  <c r="AL1102" i="11"/>
  <c r="AL1104" i="11"/>
  <c r="AI714" i="11"/>
  <c r="C1151" i="11"/>
  <c r="C1152" i="11"/>
  <c r="C1156" i="11"/>
  <c r="Z1200" i="11"/>
  <c r="Z1204" i="11"/>
  <c r="Z1208" i="11"/>
  <c r="AL1077" i="11"/>
  <c r="AL1078" i="11"/>
  <c r="AL1079" i="11"/>
  <c r="AL1084" i="11"/>
  <c r="AL1085" i="11"/>
  <c r="AL1096" i="11"/>
  <c r="C1147" i="11"/>
  <c r="C1150" i="11"/>
  <c r="Z1166" i="11"/>
  <c r="Z1168" i="11"/>
  <c r="Z1170" i="11"/>
  <c r="Z1172" i="11"/>
  <c r="Z1174" i="11"/>
  <c r="Z1176" i="11"/>
  <c r="Z1178" i="11"/>
  <c r="Z1180" i="11"/>
  <c r="Z1182" i="11"/>
  <c r="Z1184" i="11"/>
  <c r="Z1186" i="11"/>
  <c r="Z1188" i="11"/>
  <c r="Z1199" i="11"/>
  <c r="Z1203" i="11"/>
  <c r="C1292" i="11"/>
  <c r="C1296" i="11"/>
  <c r="C1300" i="11"/>
  <c r="K1937" i="11"/>
  <c r="L1937" i="11" s="1"/>
  <c r="L1938" i="11"/>
  <c r="L1939" i="11"/>
  <c r="R1954" i="11"/>
  <c r="H1967" i="11"/>
  <c r="K1978" i="11"/>
  <c r="R1979" i="11"/>
  <c r="H1981" i="11"/>
  <c r="K1988" i="11"/>
  <c r="L1992" i="11"/>
  <c r="C1295" i="11"/>
  <c r="C1299" i="11"/>
  <c r="C1302" i="11"/>
  <c r="C1304" i="11"/>
  <c r="C1306" i="11"/>
  <c r="C1308" i="11"/>
  <c r="C1309" i="11"/>
  <c r="C1310" i="11"/>
  <c r="C1311" i="11"/>
  <c r="C1312" i="11"/>
  <c r="L1952" i="11"/>
  <c r="K1974" i="11"/>
  <c r="L1983" i="11"/>
  <c r="L1997" i="11"/>
  <c r="L1998" i="11"/>
  <c r="C1294" i="11"/>
  <c r="C1298" i="11"/>
  <c r="K1975" i="11"/>
  <c r="L1975" i="11" s="1"/>
  <c r="L1980" i="11"/>
  <c r="L1981" i="11"/>
  <c r="L1985" i="11"/>
  <c r="C1293" i="11"/>
  <c r="C1297" i="11"/>
  <c r="C1301" i="11"/>
  <c r="C1303" i="11"/>
  <c r="C1305" i="11"/>
  <c r="L1954" i="11"/>
  <c r="H2010" i="11"/>
  <c r="L2014" i="11"/>
  <c r="K2015" i="11"/>
  <c r="L2016" i="11"/>
  <c r="K2028" i="11"/>
  <c r="L2028" i="11" s="1"/>
  <c r="K2029" i="11"/>
  <c r="R2035" i="11"/>
  <c r="R2044" i="11"/>
  <c r="R2045" i="11"/>
  <c r="L2057" i="11"/>
  <c r="R2070" i="11"/>
  <c r="H2076" i="11"/>
  <c r="L2108" i="11"/>
  <c r="L2111" i="11"/>
  <c r="H2113" i="11"/>
  <c r="AP2249" i="11"/>
  <c r="AP2253" i="11"/>
  <c r="AP2257" i="11"/>
  <c r="AP2261" i="11"/>
  <c r="AP2265" i="11"/>
  <c r="K2003" i="11"/>
  <c r="L2003" i="11" s="1"/>
  <c r="L2015" i="11"/>
  <c r="R2016" i="11"/>
  <c r="L2018" i="11"/>
  <c r="L2022" i="11"/>
  <c r="L2023" i="11"/>
  <c r="L2024" i="11"/>
  <c r="L2025" i="11"/>
  <c r="K2065" i="11"/>
  <c r="L2084" i="11"/>
  <c r="L2093" i="11"/>
  <c r="R2096" i="11"/>
  <c r="L2107" i="11"/>
  <c r="H2115" i="11"/>
  <c r="L2006" i="11"/>
  <c r="L2009" i="11"/>
  <c r="AP2251" i="11"/>
  <c r="AP2255" i="11"/>
  <c r="AP2259" i="11"/>
  <c r="L2097" i="11"/>
  <c r="AE52" i="3"/>
  <c r="AF55" i="3"/>
  <c r="AF56" i="3"/>
  <c r="H687" i="26"/>
  <c r="AL13" i="4"/>
  <c r="D2292" i="11" s="1"/>
  <c r="AG52" i="3"/>
  <c r="AE54" i="3"/>
  <c r="AE58" i="3"/>
  <c r="H691" i="26"/>
  <c r="AG58" i="3"/>
  <c r="K1464" i="11"/>
  <c r="AL15" i="4"/>
  <c r="D2294" i="11" s="1"/>
  <c r="E2294" i="11" s="1"/>
  <c r="AG54" i="3"/>
  <c r="M116" i="3"/>
  <c r="H26" i="6"/>
  <c r="G2197" i="11" s="1"/>
  <c r="H693" i="26"/>
  <c r="H689" i="26"/>
  <c r="H1029" i="11"/>
  <c r="Y894" i="11"/>
  <c r="AE50" i="3"/>
  <c r="AF51" i="3"/>
  <c r="AG55" i="3"/>
  <c r="AE57" i="3"/>
  <c r="T204" i="3"/>
  <c r="AG50" i="3"/>
  <c r="AF57" i="3"/>
  <c r="AB485" i="11"/>
  <c r="AB488" i="11"/>
  <c r="AB490" i="11"/>
  <c r="AB492" i="11"/>
  <c r="AB494" i="11"/>
  <c r="AB496" i="11"/>
  <c r="AB498" i="11"/>
  <c r="AB500" i="11"/>
  <c r="AB502" i="11"/>
  <c r="AB504" i="11"/>
  <c r="AB506" i="11"/>
  <c r="J694" i="26"/>
  <c r="C694" i="26"/>
  <c r="H694" i="26"/>
  <c r="E694" i="26"/>
  <c r="AB487" i="11"/>
  <c r="AB489" i="11"/>
  <c r="AB491" i="11"/>
  <c r="AB493" i="11"/>
  <c r="AB495" i="11"/>
  <c r="AB497" i="11"/>
  <c r="AB499" i="11"/>
  <c r="AB501" i="11"/>
  <c r="AB503" i="11"/>
  <c r="AG626" i="11"/>
  <c r="K1471" i="11"/>
  <c r="K1467" i="11"/>
  <c r="K1463" i="11"/>
  <c r="K1470" i="11"/>
  <c r="K1466" i="11"/>
  <c r="K1462" i="11"/>
  <c r="K1469" i="11"/>
  <c r="K1465" i="11"/>
  <c r="K1461" i="11"/>
  <c r="J688" i="26"/>
  <c r="C688" i="26"/>
  <c r="H688" i="26"/>
  <c r="E688" i="26"/>
  <c r="J696" i="26"/>
  <c r="C696" i="26"/>
  <c r="H696" i="26"/>
  <c r="E696" i="26"/>
  <c r="J690" i="26"/>
  <c r="C690" i="26"/>
  <c r="H690" i="26"/>
  <c r="E690" i="26"/>
  <c r="J692" i="26"/>
  <c r="C692" i="26"/>
  <c r="H692" i="26"/>
  <c r="E692" i="26"/>
  <c r="C687" i="26"/>
  <c r="J687" i="26"/>
  <c r="C689" i="26"/>
  <c r="J689" i="26"/>
  <c r="C691" i="26"/>
  <c r="J691" i="26"/>
  <c r="C693" i="26"/>
  <c r="J693" i="26"/>
  <c r="C695" i="26"/>
  <c r="J695" i="26"/>
  <c r="AX26" i="18"/>
  <c r="U2152" i="11"/>
  <c r="F47" i="8"/>
  <c r="AI710" i="11"/>
  <c r="S1103" i="11"/>
  <c r="AV34" i="18"/>
  <c r="AX35" i="18"/>
  <c r="AX33" i="18"/>
  <c r="AV50" i="18"/>
  <c r="P61" i="28"/>
  <c r="H573" i="11"/>
  <c r="P351" i="25"/>
  <c r="D272" i="11"/>
  <c r="D279" i="11"/>
  <c r="AC260" i="11"/>
  <c r="D301" i="11"/>
  <c r="BG20" i="4"/>
  <c r="AC254" i="11"/>
  <c r="AD131" i="3"/>
  <c r="AF131" i="3" s="1"/>
  <c r="AG131" i="3" s="1"/>
  <c r="BF19" i="4"/>
  <c r="W122" i="11"/>
  <c r="W131" i="11" s="1"/>
  <c r="AO17" i="2" s="1"/>
  <c r="D265" i="11"/>
  <c r="D287" i="11"/>
  <c r="D305" i="11"/>
  <c r="D326" i="11"/>
  <c r="D327" i="11"/>
  <c r="D328" i="11"/>
  <c r="D329" i="11"/>
  <c r="D333" i="11"/>
  <c r="BF18" i="4"/>
  <c r="Y131" i="11"/>
  <c r="X127" i="11"/>
  <c r="X131" i="11" s="1"/>
  <c r="AO18" i="2" s="1"/>
  <c r="AC251" i="11"/>
  <c r="D297" i="11"/>
  <c r="I95" i="25"/>
  <c r="D281" i="11"/>
  <c r="D312" i="11"/>
  <c r="D313" i="11"/>
  <c r="D314" i="11"/>
  <c r="D303" i="11"/>
  <c r="BG18" i="4"/>
  <c r="BG19" i="4"/>
  <c r="BF20" i="4"/>
  <c r="O26" i="25"/>
  <c r="AF21" i="23"/>
  <c r="AC244" i="11"/>
  <c r="AC250" i="11"/>
  <c r="AC253" i="11"/>
  <c r="D264" i="11"/>
  <c r="D268" i="11"/>
  <c r="D275" i="11"/>
  <c r="D277" i="11"/>
  <c r="D293" i="11"/>
  <c r="D296" i="11"/>
  <c r="D299" i="11"/>
  <c r="D300" i="11"/>
  <c r="D304" i="11"/>
  <c r="D307" i="11"/>
  <c r="AC822" i="11"/>
  <c r="AD132" i="3"/>
  <c r="AF132" i="3" s="1"/>
  <c r="AG132" i="3" s="1"/>
  <c r="AD133" i="3"/>
  <c r="AF133" i="3" s="1"/>
  <c r="AG133" i="3" s="1"/>
  <c r="AD134" i="3"/>
  <c r="AF134" i="3" s="1"/>
  <c r="AG134" i="3" s="1"/>
  <c r="Q85" i="25"/>
  <c r="I266" i="25"/>
  <c r="AF20" i="23"/>
  <c r="N21" i="23"/>
  <c r="N22" i="23"/>
  <c r="AF23" i="23"/>
  <c r="N24" i="23"/>
  <c r="N25" i="23"/>
  <c r="Q333" i="25"/>
  <c r="Z131" i="11"/>
  <c r="AC242" i="11"/>
  <c r="AC247" i="11"/>
  <c r="D263" i="11"/>
  <c r="D267" i="11"/>
  <c r="D271" i="11"/>
  <c r="D273" i="11"/>
  <c r="D280" i="11"/>
  <c r="D284" i="11"/>
  <c r="D289" i="11"/>
  <c r="D292" i="11"/>
  <c r="D295" i="11"/>
  <c r="D310" i="11"/>
  <c r="H408" i="11"/>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2122" i="11"/>
  <c r="R2122" i="11" s="1"/>
  <c r="Q88" i="25"/>
  <c r="U162" i="25"/>
  <c r="U232" i="25"/>
  <c r="J2129" i="11"/>
  <c r="R2129" i="11" s="1"/>
  <c r="H406" i="11"/>
  <c r="H409" i="11"/>
  <c r="W1297" i="11"/>
  <c r="G2121" i="11"/>
  <c r="G2123"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Q188" i="25"/>
  <c r="AG198" i="25"/>
  <c r="Q291" i="25"/>
  <c r="AG299" i="25"/>
  <c r="AB317" i="25"/>
  <c r="I333" i="25"/>
  <c r="P122" i="11"/>
  <c r="AA22" i="2" s="1"/>
  <c r="Y22" i="2" s="1"/>
  <c r="T127" i="11"/>
  <c r="T131" i="11" s="1"/>
  <c r="AO14" i="2" s="1"/>
  <c r="AC277" i="11"/>
  <c r="D337" i="11"/>
  <c r="D338" i="11"/>
  <c r="D339" i="11"/>
  <c r="D340" i="11"/>
  <c r="H574" i="11"/>
  <c r="G2129"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U16" i="25" s="1"/>
  <c r="K26" i="25"/>
  <c r="AA26" i="25"/>
  <c r="U27"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2131" i="11"/>
  <c r="AC282" i="11"/>
  <c r="D341" i="11"/>
  <c r="D342" i="11"/>
  <c r="D343" i="11"/>
  <c r="D344" i="11"/>
  <c r="D345" i="11"/>
  <c r="D346" i="11"/>
  <c r="D347" i="11"/>
  <c r="I2123"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E265" i="25"/>
  <c r="AA265" i="25"/>
  <c r="AG266" i="25"/>
  <c r="Q289" i="25"/>
  <c r="U299" i="25"/>
  <c r="I300" i="25"/>
  <c r="J317" i="25"/>
  <c r="D320" i="11"/>
  <c r="D321" i="11"/>
  <c r="D322" i="11"/>
  <c r="D354" i="11"/>
  <c r="H407" i="11"/>
  <c r="W1294" i="11"/>
  <c r="G2124" i="11"/>
  <c r="J2127" i="11"/>
  <c r="R2127" i="11" s="1"/>
  <c r="I2129" i="11"/>
  <c r="G2131" i="11"/>
  <c r="AN34" i="2"/>
  <c r="Q17" i="25"/>
  <c r="AU17" i="25" s="1"/>
  <c r="Q19" i="25"/>
  <c r="I26" i="25"/>
  <c r="U26" i="25"/>
  <c r="AG26" i="25"/>
  <c r="AA27"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Q131" i="11" s="1"/>
  <c r="AO11" i="2" s="1"/>
  <c r="I51" i="9"/>
  <c r="P78" i="26"/>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U131" i="11" s="1"/>
  <c r="AO15" i="2" s="1"/>
  <c r="AC268" i="11"/>
  <c r="AC272" i="11"/>
  <c r="AC274" i="11"/>
  <c r="AC313" i="11"/>
  <c r="AC317" i="11"/>
  <c r="AC280" i="11"/>
  <c r="AC269" i="11"/>
  <c r="AC261" i="11"/>
  <c r="AC258" i="11"/>
  <c r="AC249" i="11"/>
  <c r="AC246" i="11"/>
  <c r="AC237" i="11"/>
  <c r="AB337" i="11" s="1"/>
  <c r="P290" i="11"/>
  <c r="Q290" i="11" s="1"/>
  <c r="R290" i="11"/>
  <c r="AC315" i="11"/>
  <c r="U26" i="23"/>
  <c r="AC276" i="11"/>
  <c r="D286" i="11"/>
  <c r="D290" i="11"/>
  <c r="D294" i="11"/>
  <c r="D298" i="11"/>
  <c r="D318" i="11"/>
  <c r="D334" i="11"/>
  <c r="D352" i="11"/>
  <c r="AG384" i="11"/>
  <c r="AG578" i="11"/>
  <c r="F239" i="11" s="1"/>
  <c r="F54" i="2" s="1"/>
  <c r="C54" i="2" s="1"/>
  <c r="H571" i="11"/>
  <c r="H1591" i="11"/>
  <c r="H1592" i="11"/>
  <c r="I2121" i="11"/>
  <c r="L2122" i="11"/>
  <c r="J2123" i="11"/>
  <c r="R2123" i="11" s="1"/>
  <c r="AC300" i="11"/>
  <c r="AC301" i="11"/>
  <c r="AC302" i="11"/>
  <c r="AC303" i="11"/>
  <c r="AC304" i="11"/>
  <c r="AC305" i="11"/>
  <c r="AC306" i="11"/>
  <c r="AC307" i="11"/>
  <c r="AC308" i="11"/>
  <c r="AC309" i="11"/>
  <c r="AC314" i="11"/>
  <c r="D330" i="11"/>
  <c r="AG580" i="11"/>
  <c r="J2121" i="11"/>
  <c r="R2121" i="11" s="1"/>
  <c r="AC319" i="11"/>
  <c r="D359" i="11"/>
  <c r="D360" i="11"/>
  <c r="AG581" i="11"/>
  <c r="P292" i="11"/>
  <c r="T292" i="11" s="1"/>
  <c r="L292" i="11"/>
  <c r="L2125" i="11"/>
  <c r="I2125" i="11"/>
  <c r="G2125" i="11"/>
  <c r="J2125" i="11"/>
  <c r="R2125" i="11" s="1"/>
  <c r="AO92" i="25"/>
  <c r="I689" i="26" s="1"/>
  <c r="AO160" i="25"/>
  <c r="I691" i="26" s="1"/>
  <c r="AO229" i="25"/>
  <c r="I693" i="26" s="1"/>
  <c r="AO297" i="25"/>
  <c r="I695" i="26" s="1"/>
  <c r="DF141" i="11"/>
  <c r="AG173" i="3" s="1"/>
  <c r="AC270" i="11"/>
  <c r="AC273" i="11"/>
  <c r="AC278" i="11"/>
  <c r="AC281" i="11"/>
  <c r="AC310" i="11"/>
  <c r="AC311" i="11"/>
  <c r="AC318" i="11"/>
  <c r="L2119" i="11"/>
  <c r="I2119" i="11"/>
  <c r="G2119" i="11"/>
  <c r="J2119" i="11"/>
  <c r="R2119" i="11" s="1"/>
  <c r="R292"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594" i="11"/>
  <c r="W1562" i="11"/>
  <c r="L2117" i="11"/>
  <c r="I2117" i="11"/>
  <c r="G2117" i="11"/>
  <c r="J2117" i="11"/>
  <c r="R2117" i="11" s="1"/>
  <c r="I2120" i="11"/>
  <c r="G2120" i="11"/>
  <c r="AJ10" i="2"/>
  <c r="AO195" i="25"/>
  <c r="I692" i="26" s="1"/>
  <c r="AO263" i="25"/>
  <c r="I694" i="26" s="1"/>
  <c r="AO331" i="25"/>
  <c r="I696" i="26" s="1"/>
  <c r="R131" i="11"/>
  <c r="AO12" i="2" s="1"/>
  <c r="D325" i="11"/>
  <c r="D331" i="11"/>
  <c r="D332" i="11"/>
  <c r="D356" i="11"/>
  <c r="D357" i="11"/>
  <c r="L2118" i="11"/>
  <c r="I2127" i="11"/>
  <c r="W85" i="26"/>
  <c r="W87" i="26"/>
  <c r="Q656" i="11"/>
  <c r="X656" i="11"/>
  <c r="AF24" i="23"/>
  <c r="D270" i="11"/>
  <c r="D274" i="11"/>
  <c r="D278" i="11"/>
  <c r="D282" i="11"/>
  <c r="D283" i="11"/>
  <c r="D311" i="11"/>
  <c r="D315" i="11"/>
  <c r="D319" i="11"/>
  <c r="D323" i="11"/>
  <c r="D324" i="11"/>
  <c r="D335" i="11"/>
  <c r="D403" i="11"/>
  <c r="D348" i="11"/>
  <c r="D349" i="11"/>
  <c r="D350" i="11"/>
  <c r="D358" i="11"/>
  <c r="S656" i="11"/>
  <c r="W1561" i="11"/>
  <c r="J2118" i="11"/>
  <c r="R2118" i="11" s="1"/>
  <c r="G2127" i="11"/>
  <c r="J2131" i="11"/>
  <c r="R2131"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F42" i="8"/>
  <c r="L103" i="3"/>
  <c r="L110" i="3"/>
  <c r="L122" i="3"/>
  <c r="L111" i="3"/>
  <c r="L109" i="3"/>
  <c r="L104" i="3"/>
  <c r="L105" i="3" s="1"/>
  <c r="L108" i="3"/>
  <c r="L121" i="3"/>
  <c r="C222" i="11"/>
  <c r="C218" i="11"/>
  <c r="C214" i="11"/>
  <c r="C206" i="11"/>
  <c r="C223" i="11"/>
  <c r="C219" i="11"/>
  <c r="C215" i="11"/>
  <c r="C207" i="11"/>
  <c r="C203" i="11"/>
  <c r="C227" i="11"/>
  <c r="C224" i="11"/>
  <c r="C220" i="11"/>
  <c r="C212" i="11"/>
  <c r="C208" i="11"/>
  <c r="C204" i="11"/>
  <c r="C228" i="11"/>
  <c r="C225" i="11"/>
  <c r="C221" i="11"/>
  <c r="C217" i="11"/>
  <c r="C213" i="11"/>
  <c r="C205" i="11"/>
  <c r="C226" i="11"/>
  <c r="L106" i="3"/>
  <c r="AN911" i="11"/>
  <c r="N77" i="3" s="1"/>
  <c r="AN910" i="11"/>
  <c r="N76" i="3" s="1"/>
  <c r="AN909" i="11"/>
  <c r="N75" i="3" s="1"/>
  <c r="AN908" i="11"/>
  <c r="N74" i="3" s="1"/>
  <c r="AN907" i="11"/>
  <c r="N73" i="3" s="1"/>
  <c r="AN905" i="11"/>
  <c r="N71" i="3" s="1"/>
  <c r="AN904" i="11"/>
  <c r="N70" i="3" s="1"/>
  <c r="AN903" i="11"/>
  <c r="N69" i="3" s="1"/>
  <c r="AN893" i="11"/>
  <c r="N59" i="3" s="1"/>
  <c r="AN894" i="11"/>
  <c r="N60" i="3" s="1"/>
  <c r="AN895" i="11"/>
  <c r="N61" i="3" s="1"/>
  <c r="AN896" i="11"/>
  <c r="N62" i="3" s="1"/>
  <c r="AN897" i="11"/>
  <c r="N63" i="3" s="1"/>
  <c r="AN898" i="11"/>
  <c r="N64" i="3" s="1"/>
  <c r="AN899" i="11"/>
  <c r="N65" i="3" s="1"/>
  <c r="AN901" i="11"/>
  <c r="N67" i="3" s="1"/>
  <c r="AF5" i="28"/>
  <c r="L5" i="5"/>
  <c r="M5" i="4"/>
  <c r="AE5" i="8"/>
  <c r="L12" i="10"/>
  <c r="L5" i="20"/>
  <c r="L5" i="23"/>
  <c r="L5" i="8"/>
  <c r="AF5" i="6"/>
  <c r="AL5" i="4"/>
  <c r="AC5" i="7"/>
  <c r="L5" i="6"/>
  <c r="L5" i="25"/>
  <c r="AE5" i="5"/>
  <c r="M137" i="3"/>
  <c r="I23" i="7"/>
  <c r="X23" i="7"/>
  <c r="R28" i="7"/>
  <c r="L29" i="7"/>
  <c r="AD29" i="7"/>
  <c r="AG38" i="7"/>
  <c r="AD40" i="7"/>
  <c r="AA43" i="7"/>
  <c r="AG45" i="7"/>
  <c r="L47" i="7"/>
  <c r="I48" i="7"/>
  <c r="AA48" i="7"/>
  <c r="R53" i="7"/>
  <c r="AD53" i="7"/>
  <c r="I4" i="14"/>
  <c r="G15" i="28"/>
  <c r="Y15" i="28"/>
  <c r="O20" i="28"/>
  <c r="AC25" i="28"/>
  <c r="R27" i="28"/>
  <c r="G30" i="28"/>
  <c r="AK40" i="28"/>
  <c r="C45" i="28"/>
  <c r="G50" i="28"/>
  <c r="Y50" i="28"/>
  <c r="C55" i="28"/>
  <c r="T55" i="28"/>
  <c r="AK55" i="28"/>
  <c r="J206" i="3"/>
  <c r="L23" i="7"/>
  <c r="AA23" i="7"/>
  <c r="AA28" i="7"/>
  <c r="C31" i="7"/>
  <c r="I33" i="7"/>
  <c r="F36" i="7"/>
  <c r="X47" i="7"/>
  <c r="F53" i="7"/>
  <c r="U53" i="7"/>
  <c r="AG53" i="7"/>
  <c r="R58" i="7"/>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63" i="11"/>
  <c r="X341" i="11"/>
  <c r="AG627" i="11"/>
  <c r="AL16" i="4"/>
  <c r="AE49" i="3"/>
  <c r="AG51" i="3"/>
  <c r="AE53" i="3"/>
  <c r="AJ624" i="11"/>
  <c r="AJ625" i="11"/>
  <c r="AF49" i="3"/>
  <c r="AF53" i="3"/>
  <c r="AK624" i="11"/>
  <c r="AK625" i="11"/>
  <c r="AL14" i="4"/>
  <c r="D2293" i="11" s="1"/>
  <c r="E2293" i="11" s="1"/>
  <c r="AH624" i="11"/>
  <c r="AL624" i="11"/>
  <c r="AH625" i="11"/>
  <c r="AL625" i="11"/>
  <c r="AI624" i="11"/>
  <c r="AM624" i="11"/>
  <c r="AI625" i="11"/>
  <c r="AM625" i="11"/>
  <c r="H1036" i="11"/>
  <c r="H1034" i="11"/>
  <c r="AB31" i="4"/>
  <c r="AQ31" i="4" s="1"/>
  <c r="AF32" i="4"/>
  <c r="AL894" i="11"/>
  <c r="AE60" i="3"/>
  <c r="AX38" i="4"/>
  <c r="AY39" i="4"/>
  <c r="BB38" i="4"/>
  <c r="BC39" i="4"/>
  <c r="AF33" i="4"/>
  <c r="BF38" i="4"/>
  <c r="I2299" i="11"/>
  <c r="D2299" i="11"/>
  <c r="C2299" i="11" s="1" a="1"/>
  <c r="C2299" i="11" s="1"/>
  <c r="D2302" i="11"/>
  <c r="C2302" i="11" s="1" a="1"/>
  <c r="C2302" i="11" s="1"/>
  <c r="I2302" i="11"/>
  <c r="AW38" i="4"/>
  <c r="BA38" i="4"/>
  <c r="BE38" i="4"/>
  <c r="AX39" i="4"/>
  <c r="BB39" i="4"/>
  <c r="BF39" i="4"/>
  <c r="AZ47" i="4"/>
  <c r="BD47" i="4"/>
  <c r="AH50" i="4"/>
  <c r="AH51" i="4"/>
  <c r="H2306" i="11"/>
  <c r="D2306" i="11" s="1"/>
  <c r="H2318" i="11"/>
  <c r="D2318" i="11" s="1"/>
  <c r="AW47" i="4"/>
  <c r="BA47" i="4"/>
  <c r="BE47" i="4"/>
  <c r="AX60" i="4"/>
  <c r="H2310" i="11"/>
  <c r="D2310" i="11" s="1"/>
  <c r="H2316" i="11"/>
  <c r="D2316" i="11" s="1"/>
  <c r="C2316" i="11" s="1" a="1"/>
  <c r="C2316" i="11" s="1"/>
  <c r="H2317" i="11"/>
  <c r="D2317" i="11" s="1"/>
  <c r="C2317" i="11" s="1" a="1"/>
  <c r="C2317" i="11" s="1"/>
  <c r="AF35" i="4"/>
  <c r="AY38" i="4"/>
  <c r="BC38" i="4"/>
  <c r="AZ39" i="4"/>
  <c r="BD39" i="4"/>
  <c r="AF40" i="4"/>
  <c r="AF42" i="4"/>
  <c r="AF44" i="4"/>
  <c r="AF48" i="4"/>
  <c r="H2308" i="11"/>
  <c r="D2308" i="11" s="1"/>
  <c r="H2309" i="11"/>
  <c r="D2309" i="11" s="1"/>
  <c r="H2315" i="11"/>
  <c r="D2315" i="11" s="1"/>
  <c r="C2315" i="11" s="1" a="1"/>
  <c r="C2315" i="11" s="1"/>
  <c r="H2322" i="11"/>
  <c r="D2322" i="11" s="1"/>
  <c r="C2322" i="11" s="1" a="1"/>
  <c r="C2322" i="11" s="1"/>
  <c r="BF26" i="4"/>
  <c r="AF47" i="4"/>
  <c r="C2303" i="11" a="1"/>
  <c r="C2303" i="11" s="1"/>
  <c r="I2297" i="11"/>
  <c r="E2297" i="11" s="1"/>
  <c r="I2298" i="11"/>
  <c r="E2298" i="11" s="1"/>
  <c r="I2303" i="11"/>
  <c r="E2303" i="11" s="1"/>
  <c r="I2301" i="11"/>
  <c r="E2301" i="11" s="1"/>
  <c r="C2304" i="11" a="1"/>
  <c r="C2304" i="11" s="1"/>
  <c r="C2301" i="11" a="1"/>
  <c r="C2301" i="11" s="1"/>
  <c r="C2300" i="11" a="1"/>
  <c r="C2300" i="11" s="1"/>
  <c r="C2297" i="11" a="1"/>
  <c r="C2297" i="11" s="1"/>
  <c r="C2314" i="11" a="1"/>
  <c r="C2314" i="11" s="1"/>
  <c r="I2300" i="11"/>
  <c r="E2300" i="11" s="1"/>
  <c r="I2304" i="11"/>
  <c r="E2304" i="11" s="1"/>
  <c r="AU3" i="10"/>
  <c r="AD49" i="30"/>
  <c r="AE49" i="30" s="1"/>
  <c r="AD44" i="30"/>
  <c r="AD45" i="30" s="1"/>
  <c r="BE39" i="30" s="1"/>
  <c r="I131" i="30"/>
  <c r="I132" i="30" s="1"/>
  <c r="H14" i="29" s="1"/>
  <c r="K14" i="29" s="1"/>
  <c r="AC20" i="30"/>
  <c r="BE4" i="30" s="1"/>
  <c r="AC15" i="30"/>
  <c r="BB4" i="30" s="1"/>
  <c r="L810" i="11"/>
  <c r="AD776" i="11" s="1"/>
  <c r="L826" i="11"/>
  <c r="AD770" i="11" s="1"/>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AO126" i="25"/>
  <c r="I690" i="26" s="1"/>
  <c r="P291" i="11"/>
  <c r="Q291" i="11" s="1"/>
  <c r="AC322" i="11"/>
  <c r="AC323" i="11"/>
  <c r="AC333" i="11"/>
  <c r="L291"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AC331" i="11"/>
  <c r="AC327" i="11"/>
  <c r="AG329" i="11"/>
  <c r="AC332" i="11"/>
  <c r="D361" i="11"/>
  <c r="D371" i="11"/>
  <c r="D373" i="11"/>
  <c r="D375" i="11"/>
  <c r="D380" i="11"/>
  <c r="D386" i="11"/>
  <c r="D389" i="11"/>
  <c r="D392" i="11"/>
  <c r="G572" i="11"/>
  <c r="H572" i="11" s="1"/>
  <c r="S655" i="11"/>
  <c r="X655" i="11"/>
  <c r="AX657" i="11"/>
  <c r="AM665" i="11"/>
  <c r="AO665" i="11" s="1"/>
  <c r="AI708" i="11"/>
  <c r="AH835" i="11"/>
  <c r="AI835" i="11" s="1"/>
  <c r="AJ835" i="11" s="1"/>
  <c r="W1462" i="11"/>
  <c r="R1916" i="11"/>
  <c r="R1920" i="11"/>
  <c r="W1466" i="11"/>
  <c r="J2128" i="11"/>
  <c r="R2128" i="11" s="1"/>
  <c r="I2128" i="11"/>
  <c r="L2128" i="11"/>
  <c r="G2128"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57" i="11"/>
  <c r="AI693" i="11"/>
  <c r="W1461" i="11"/>
  <c r="R1915" i="11"/>
  <c r="R1919" i="11"/>
  <c r="W1465" i="11"/>
  <c r="R1923" i="11"/>
  <c r="W1469" i="11"/>
  <c r="J2130" i="11"/>
  <c r="R2130" i="11" s="1"/>
  <c r="I2130" i="11"/>
  <c r="L2130" i="11"/>
  <c r="G2130" i="11"/>
  <c r="D372" i="11"/>
  <c r="D374" i="11"/>
  <c r="D388" i="11"/>
  <c r="D393" i="11"/>
  <c r="D399" i="11"/>
  <c r="P655" i="11"/>
  <c r="U655" i="11"/>
  <c r="AC821" i="11"/>
  <c r="AX658" i="11"/>
  <c r="P657" i="11"/>
  <c r="AH664" i="11"/>
  <c r="AH663" i="11" s="1"/>
  <c r="AC667" i="11"/>
  <c r="AS675" i="11"/>
  <c r="AF831" i="11"/>
  <c r="AG831" i="11" s="1"/>
  <c r="AH831" i="11" s="1"/>
  <c r="AD831" i="11" s="1"/>
  <c r="W1460" i="11"/>
  <c r="R1914" i="11"/>
  <c r="W1464" i="11"/>
  <c r="R1918" i="11"/>
  <c r="R1922" i="11"/>
  <c r="W1468" i="11"/>
  <c r="J2132" i="11"/>
  <c r="R2132" i="11" s="1"/>
  <c r="I2132" i="11"/>
  <c r="L2132" i="11"/>
  <c r="G2132" i="11"/>
  <c r="D353" i="11"/>
  <c r="D362" i="11"/>
  <c r="D364" i="11"/>
  <c r="D366" i="11"/>
  <c r="D368" i="11"/>
  <c r="D370" i="11"/>
  <c r="D377" i="11"/>
  <c r="D379" i="11"/>
  <c r="D391" i="11"/>
  <c r="D394" i="11"/>
  <c r="D397" i="11"/>
  <c r="AF843" i="11"/>
  <c r="AG843" i="11" s="1"/>
  <c r="AH843" i="11" s="1"/>
  <c r="AF841" i="11"/>
  <c r="AG841" i="11" s="1"/>
  <c r="AH841" i="11" s="1"/>
  <c r="AF839" i="11"/>
  <c r="AG839" i="11" s="1"/>
  <c r="AH839" i="11" s="1"/>
  <c r="AD839" i="11" s="1"/>
  <c r="AF834" i="11"/>
  <c r="AG834" i="11" s="1"/>
  <c r="AH834" i="11" s="1"/>
  <c r="AD834" i="11" s="1"/>
  <c r="AH828" i="11"/>
  <c r="AI828" i="11" s="1"/>
  <c r="AJ828" i="11" s="1"/>
  <c r="AT821" i="11"/>
  <c r="AU821" i="11" s="1"/>
  <c r="AV821" i="11" s="1"/>
  <c r="AI709" i="11"/>
  <c r="AN675" i="11"/>
  <c r="AF838" i="11"/>
  <c r="AG838" i="11" s="1"/>
  <c r="AH838" i="11" s="1"/>
  <c r="AD838" i="11" s="1"/>
  <c r="AF836" i="11"/>
  <c r="AG836" i="11" s="1"/>
  <c r="AH836" i="11" s="1"/>
  <c r="AF833" i="11"/>
  <c r="AG833" i="11" s="1"/>
  <c r="AH833" i="11" s="1"/>
  <c r="AF830" i="11"/>
  <c r="AG830" i="11" s="1"/>
  <c r="AH830" i="11" s="1"/>
  <c r="AD830" i="11" s="1"/>
  <c r="AF829" i="11"/>
  <c r="AG829" i="11" s="1"/>
  <c r="AH829" i="11" s="1"/>
  <c r="AF840" i="11"/>
  <c r="AG840" i="11" s="1"/>
  <c r="AH840" i="11" s="1"/>
  <c r="AD840" i="11" s="1"/>
  <c r="AF837" i="11"/>
  <c r="AG837" i="11" s="1"/>
  <c r="AH837" i="11" s="1"/>
  <c r="AD837" i="11" s="1"/>
  <c r="AG827" i="11"/>
  <c r="AH827" i="11" s="1"/>
  <c r="AI827" i="11" s="1"/>
  <c r="AD827" i="11" s="1"/>
  <c r="AF824" i="11"/>
  <c r="AG824" i="11" s="1"/>
  <c r="AH824" i="11" s="1"/>
  <c r="AT820" i="11"/>
  <c r="AU820" i="11" s="1"/>
  <c r="AV820" i="11" s="1"/>
  <c r="AI707" i="11"/>
  <c r="AS679" i="11"/>
  <c r="AN666" i="11"/>
  <c r="AS665" i="11"/>
  <c r="AF842" i="11"/>
  <c r="AG842" i="11" s="1"/>
  <c r="AH842" i="11" s="1"/>
  <c r="AD842" i="11" s="1"/>
  <c r="AF832" i="11"/>
  <c r="AG832" i="11" s="1"/>
  <c r="AH832" i="11" s="1"/>
  <c r="AD832" i="11" s="1"/>
  <c r="AH826" i="11"/>
  <c r="AI826" i="11" s="1"/>
  <c r="AJ826" i="11" s="1"/>
  <c r="AT822" i="11"/>
  <c r="AU822" i="11" s="1"/>
  <c r="AV822" i="11" s="1"/>
  <c r="AD822" i="11" s="1"/>
  <c r="AC820" i="11"/>
  <c r="S657" i="11"/>
  <c r="X657" i="11"/>
  <c r="AR664" i="11"/>
  <c r="AS664" i="11" s="1"/>
  <c r="AI665" i="11"/>
  <c r="AH825" i="11"/>
  <c r="AI825" i="11" s="1"/>
  <c r="AJ825" i="11" s="1"/>
  <c r="W1463" i="11"/>
  <c r="R1917" i="11"/>
  <c r="R1921" i="11"/>
  <c r="W1467" i="11"/>
  <c r="J2126" i="11"/>
  <c r="R2126" i="11" s="1"/>
  <c r="I2126" i="11"/>
  <c r="L2126" i="11"/>
  <c r="G2126" i="11"/>
  <c r="P62" i="26"/>
  <c r="P22" i="26"/>
  <c r="P71" i="26"/>
  <c r="P37" i="26"/>
  <c r="J2120" i="11"/>
  <c r="J2124" i="11"/>
  <c r="R2124" i="11" s="1"/>
  <c r="P76" i="26"/>
  <c r="P656" i="11"/>
  <c r="H1595" i="11"/>
  <c r="F2116" i="11"/>
  <c r="G2118" i="11"/>
  <c r="L2120" i="11"/>
  <c r="G2122" i="11"/>
  <c r="L2124" i="11"/>
  <c r="P11" i="26"/>
  <c r="X85" i="26"/>
  <c r="X87" i="26"/>
  <c r="B96" i="30"/>
  <c r="B94" i="30"/>
  <c r="BB21" i="4"/>
  <c r="AD38" i="3"/>
  <c r="AD158" i="3"/>
  <c r="AD159" i="3"/>
  <c r="N14" i="2"/>
  <c r="AT35" i="2"/>
  <c r="AA199" i="3"/>
  <c r="BC21" i="4"/>
  <c r="H315" i="11"/>
  <c r="AD37" i="3"/>
  <c r="AD41" i="3"/>
  <c r="AA197" i="3"/>
  <c r="AA198" i="3"/>
  <c r="AY21" i="4"/>
  <c r="AD40" i="3"/>
  <c r="AZ21" i="4"/>
  <c r="BD21" i="4"/>
  <c r="Q270" i="11"/>
  <c r="AB24" i="2"/>
  <c r="AD39" i="3"/>
  <c r="BA21" i="4"/>
  <c r="BE21" i="4"/>
  <c r="K13" i="9"/>
  <c r="T268" i="11"/>
  <c r="T272" i="11"/>
  <c r="X323" i="11"/>
  <c r="X339" i="11"/>
  <c r="AI13" i="3"/>
  <c r="Q25" i="6"/>
  <c r="Q274" i="11"/>
  <c r="X315" i="11"/>
  <c r="X361" i="11"/>
  <c r="AL11" i="8"/>
  <c r="AJ299" i="11"/>
  <c r="X345" i="11"/>
  <c r="H473" i="11"/>
  <c r="G2160" i="11"/>
  <c r="I2160" i="11" s="1"/>
  <c r="C129" i="30"/>
  <c r="F27" i="29" s="1"/>
  <c r="C76" i="29"/>
  <c r="C94" i="29"/>
  <c r="J94" i="29"/>
  <c r="AL1106" i="11"/>
  <c r="AL1108" i="11"/>
  <c r="AL1107" i="11"/>
  <c r="D1144" i="11"/>
  <c r="D1145" i="11" s="1"/>
  <c r="D1146" i="11" s="1"/>
  <c r="C1143" i="11"/>
  <c r="I24" i="6"/>
  <c r="I18" i="6"/>
  <c r="G2189" i="11"/>
  <c r="G2191" i="11"/>
  <c r="I20" i="6"/>
  <c r="X310" i="11"/>
  <c r="X322" i="11"/>
  <c r="X324" i="11"/>
  <c r="X344" i="11"/>
  <c r="X353" i="11"/>
  <c r="X358" i="11"/>
  <c r="X359" i="11"/>
  <c r="V193" i="3" s="1"/>
  <c r="T261" i="11"/>
  <c r="T265" i="11"/>
  <c r="T266" i="11"/>
  <c r="X347" i="11"/>
  <c r="X320" i="11"/>
  <c r="X326" i="11"/>
  <c r="X342" i="11"/>
  <c r="X346" i="11"/>
  <c r="X355" i="11"/>
  <c r="P269" i="11"/>
  <c r="H290" i="11"/>
  <c r="X321" i="11"/>
  <c r="X330" i="11"/>
  <c r="X314" i="11"/>
  <c r="X318" i="11"/>
  <c r="X332" i="11"/>
  <c r="X340" i="11"/>
  <c r="X349" i="11"/>
  <c r="G2166" i="11"/>
  <c r="I2166" i="11" s="1"/>
  <c r="G2194" i="11"/>
  <c r="I17" i="6"/>
  <c r="AI53" i="11"/>
  <c r="T241" i="11"/>
  <c r="T251" i="11"/>
  <c r="T257" i="11"/>
  <c r="X312" i="11"/>
  <c r="X316" i="11"/>
  <c r="V150" i="3" s="1"/>
  <c r="X336" i="11"/>
  <c r="X351" i="11"/>
  <c r="X357" i="11"/>
  <c r="X360" i="11"/>
  <c r="V194" i="3" s="1"/>
  <c r="G2152" i="11"/>
  <c r="I2152" i="11" s="1"/>
  <c r="G2153" i="11"/>
  <c r="I2153" i="11" s="1"/>
  <c r="J2203" i="11"/>
  <c r="AU25" i="18"/>
  <c r="AU26" i="18" s="1"/>
  <c r="AX32" i="18"/>
  <c r="AX54" i="18"/>
  <c r="AX62" i="18"/>
  <c r="Z137" i="18"/>
  <c r="Q252" i="11"/>
  <c r="T260" i="11"/>
  <c r="Q267" i="11"/>
  <c r="M1189" i="11"/>
  <c r="X338" i="11"/>
  <c r="H339" i="11"/>
  <c r="AF59" i="1"/>
  <c r="X107" i="3"/>
  <c r="Q250" i="11"/>
  <c r="T254" i="11"/>
  <c r="T271" i="11"/>
  <c r="Q271" i="11"/>
  <c r="T275" i="11"/>
  <c r="Q275" i="11"/>
  <c r="G2193" i="11"/>
  <c r="I22" i="6"/>
  <c r="F1208" i="11"/>
  <c r="H426" i="11"/>
  <c r="G2190" i="11"/>
  <c r="I19" i="6"/>
  <c r="T249" i="11"/>
  <c r="T255" i="11"/>
  <c r="X335" i="11"/>
  <c r="T259" i="11"/>
  <c r="T264" i="11"/>
  <c r="T273" i="11"/>
  <c r="Q273" i="11"/>
  <c r="AG266" i="11"/>
  <c r="H311" i="11"/>
  <c r="X328" i="11"/>
  <c r="H382" i="11"/>
  <c r="AD36" i="3"/>
  <c r="I21" i="6"/>
  <c r="I25" i="6"/>
  <c r="T253" i="11"/>
  <c r="T258" i="11"/>
  <c r="T262" i="11"/>
  <c r="I2202" i="11"/>
  <c r="J2202" i="11"/>
  <c r="K11" i="9"/>
  <c r="H2202" i="11"/>
  <c r="I2204" i="11"/>
  <c r="H2204" i="11"/>
  <c r="J2204" i="11"/>
  <c r="I2205" i="11"/>
  <c r="J2205" i="11"/>
  <c r="H2205" i="11"/>
  <c r="K14" i="9"/>
  <c r="H313" i="11"/>
  <c r="K324" i="11"/>
  <c r="H323" i="11"/>
  <c r="H415" i="11"/>
  <c r="G2148" i="11"/>
  <c r="I2148" i="11" s="1"/>
  <c r="G2169" i="11"/>
  <c r="I2169" i="11" s="1"/>
  <c r="G2167" i="11"/>
  <c r="I2167" i="11" s="1"/>
  <c r="G2165" i="11"/>
  <c r="I2165" i="11" s="1"/>
  <c r="G2163" i="11"/>
  <c r="I2163" i="11" s="1"/>
  <c r="G2161" i="11"/>
  <c r="I2161" i="11" s="1"/>
  <c r="G2159" i="11"/>
  <c r="I2159" i="11" s="1"/>
  <c r="G2158" i="11"/>
  <c r="I2158" i="11" s="1"/>
  <c r="G2157" i="11"/>
  <c r="I2157" i="11" s="1"/>
  <c r="G2156" i="11"/>
  <c r="I2156" i="11" s="1"/>
  <c r="G2154" i="11"/>
  <c r="I2154" i="11" s="1"/>
  <c r="G2151" i="11"/>
  <c r="I2151" i="11" s="1"/>
  <c r="G2164" i="11"/>
  <c r="I2164" i="11" s="1"/>
  <c r="G2150" i="11"/>
  <c r="I2150" i="11" s="1"/>
  <c r="G2170" i="11"/>
  <c r="I2170" i="11" s="1"/>
  <c r="G2162" i="11"/>
  <c r="I2162" i="11" s="1"/>
  <c r="G2155" i="11"/>
  <c r="I2155" i="11" s="1"/>
  <c r="G2149" i="11"/>
  <c r="I2149" i="11" s="1"/>
  <c r="G2168" i="11"/>
  <c r="I2168" i="11" s="1"/>
  <c r="H2203" i="11"/>
  <c r="I2206" i="11"/>
  <c r="J2206" i="11"/>
  <c r="X325" i="11"/>
  <c r="X327" i="11"/>
  <c r="X329" i="11"/>
  <c r="V163" i="3" s="1"/>
  <c r="X331" i="11"/>
  <c r="X334" i="11"/>
  <c r="X348" i="11"/>
  <c r="X350" i="11"/>
  <c r="X352" i="11"/>
  <c r="X354" i="11"/>
  <c r="X356" i="11"/>
  <c r="I1215" i="11"/>
  <c r="H2206" i="11"/>
  <c r="H300" i="11"/>
  <c r="H301" i="11"/>
  <c r="H302" i="11"/>
  <c r="H304" i="11"/>
  <c r="H305" i="11"/>
  <c r="H306" i="11"/>
  <c r="H307" i="11"/>
  <c r="X311" i="11"/>
  <c r="X313" i="11"/>
  <c r="X317" i="11"/>
  <c r="X319" i="11"/>
  <c r="X333" i="11"/>
  <c r="X337" i="11"/>
  <c r="X343" i="11"/>
  <c r="H445"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325" i="11"/>
  <c r="C2325" i="11" a="1"/>
  <c r="C2325" i="11" s="1"/>
  <c r="E2326" i="11"/>
  <c r="C2326" i="11" a="1"/>
  <c r="C2326" i="11" s="1"/>
  <c r="G2214" i="11"/>
  <c r="D2329" i="11"/>
  <c r="E2329" i="11" s="1"/>
  <c r="D2330" i="11"/>
  <c r="G2215" i="11"/>
  <c r="D2331" i="11"/>
  <c r="G2216" i="11"/>
  <c r="D2327" i="11"/>
  <c r="E2327" i="11" s="1"/>
  <c r="D2328" i="11"/>
  <c r="E2328" i="11" s="1"/>
  <c r="G2213" i="11"/>
  <c r="AH61" i="4"/>
  <c r="AH57" i="4"/>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S106" i="18"/>
  <c r="S186" i="18"/>
  <c r="S24" i="18"/>
  <c r="S52" i="18"/>
  <c r="S145" i="18"/>
  <c r="S39" i="18"/>
  <c r="B183" i="18" s="1"/>
  <c r="S204" i="18"/>
  <c r="S7" i="18"/>
  <c r="B142" i="18" s="1"/>
  <c r="S92" i="18"/>
  <c r="B141" i="18" l="1"/>
  <c r="B140" i="18"/>
  <c r="B138" i="18"/>
  <c r="B139" i="18"/>
  <c r="B144" i="18"/>
  <c r="B143" i="18"/>
  <c r="Y915" i="11"/>
  <c r="AD980" i="11"/>
  <c r="M1013" i="11"/>
  <c r="AV63" i="4"/>
  <c r="Y943" i="11"/>
  <c r="Y913" i="11"/>
  <c r="Y900" i="11"/>
  <c r="H1023" i="11" s="1"/>
  <c r="Y925" i="11"/>
  <c r="Y955" i="11"/>
  <c r="Y954" i="11"/>
  <c r="H1041" i="11" s="1"/>
  <c r="Y948" i="11"/>
  <c r="H1039" i="11" s="1"/>
  <c r="Y949" i="11"/>
  <c r="L1013" i="11"/>
  <c r="Y965" i="11"/>
  <c r="O1013" i="11"/>
  <c r="Y957" i="11"/>
  <c r="H1042" i="11" s="1"/>
  <c r="Y958" i="11"/>
  <c r="Y961" i="11"/>
  <c r="J1013" i="11" s="1"/>
  <c r="P1013" i="11"/>
  <c r="AZ24" i="4"/>
  <c r="BD24" i="4"/>
  <c r="BA24" i="4"/>
  <c r="BE24" i="4"/>
  <c r="BB24" i="4"/>
  <c r="AY24" i="4"/>
  <c r="BC24" i="4"/>
  <c r="Y951" i="11"/>
  <c r="H1040" i="11" s="1"/>
  <c r="Y952" i="11"/>
  <c r="L64" i="3"/>
  <c r="L63" i="3"/>
  <c r="AI11" i="8"/>
  <c r="O11" i="34" a="1"/>
  <c r="O11" i="34" s="1"/>
  <c r="K2239" i="11"/>
  <c r="K2240" i="11" s="1"/>
  <c r="J2241" i="11"/>
  <c r="S46" i="2"/>
  <c r="K1197" i="11"/>
  <c r="K1193" i="11"/>
  <c r="K1192" i="11"/>
  <c r="K1191" i="11"/>
  <c r="K1194" i="11"/>
  <c r="K1189" i="11"/>
  <c r="K1195" i="11"/>
  <c r="K1199" i="11"/>
  <c r="K1198" i="11"/>
  <c r="CN5" i="24"/>
  <c r="BM5" i="24"/>
  <c r="AL5" i="24"/>
  <c r="K229" i="13"/>
  <c r="K336" i="13"/>
  <c r="K426" i="13"/>
  <c r="Q60" i="14"/>
  <c r="X60" i="14" s="1"/>
  <c r="S60" i="14" s="1"/>
  <c r="Q14" i="14"/>
  <c r="X14" i="14" s="1"/>
  <c r="S14" i="14" s="1"/>
  <c r="Q18" i="14"/>
  <c r="X18" i="14" s="1"/>
  <c r="S18" i="14" s="1"/>
  <c r="Q11" i="14"/>
  <c r="X11" i="14" s="1"/>
  <c r="S11" i="14" s="1"/>
  <c r="Q47" i="14"/>
  <c r="Q55" i="14"/>
  <c r="H119" i="13"/>
  <c r="B119" i="13" s="1"/>
  <c r="Q17" i="14"/>
  <c r="Q12" i="14"/>
  <c r="H161" i="13"/>
  <c r="B161" i="13" s="1"/>
  <c r="Q48" i="14"/>
  <c r="Q46" i="14"/>
  <c r="Q40" i="14"/>
  <c r="Q32" i="14"/>
  <c r="X32" i="14" s="1"/>
  <c r="Q42" i="14"/>
  <c r="Q53" i="14"/>
  <c r="Q43" i="14"/>
  <c r="Q51" i="14"/>
  <c r="X51" i="14" s="1"/>
  <c r="Q50" i="14"/>
  <c r="Q41" i="14"/>
  <c r="Q54" i="14"/>
  <c r="Q52" i="14"/>
  <c r="X52" i="14" s="1"/>
  <c r="Q57" i="14"/>
  <c r="Q58" i="14"/>
  <c r="Q35" i="14"/>
  <c r="H228" i="13"/>
  <c r="B228" i="13" s="1"/>
  <c r="Q27" i="14"/>
  <c r="Q36" i="14"/>
  <c r="Q20" i="14"/>
  <c r="Q34" i="14"/>
  <c r="X34" i="14" s="1"/>
  <c r="Q22" i="14"/>
  <c r="Q29" i="14"/>
  <c r="X29" i="14" s="1"/>
  <c r="Q28" i="14"/>
  <c r="Q31" i="14"/>
  <c r="Q33" i="14"/>
  <c r="Q24" i="14"/>
  <c r="Q38" i="14"/>
  <c r="X38" i="14" s="1"/>
  <c r="Q30" i="14"/>
  <c r="Q26" i="14"/>
  <c r="Q37" i="14"/>
  <c r="Q25" i="14"/>
  <c r="Q21" i="14"/>
  <c r="Q39" i="14"/>
  <c r="X39" i="14" s="1"/>
  <c r="Q19" i="14"/>
  <c r="C263" i="11"/>
  <c r="J15" i="14"/>
  <c r="K16" i="14" s="1"/>
  <c r="CI230" i="11"/>
  <c r="V184" i="3" s="1"/>
  <c r="BW230" i="11"/>
  <c r="V165" i="3" s="1"/>
  <c r="X15" i="11"/>
  <c r="T11" i="11" s="1"/>
  <c r="AR48" i="6"/>
  <c r="BE57" i="6"/>
  <c r="BG57" i="6"/>
  <c r="J20" i="14"/>
  <c r="L176" i="13" s="1"/>
  <c r="L141" i="13"/>
  <c r="K54" i="14"/>
  <c r="L163" i="13"/>
  <c r="K138" i="13"/>
  <c r="L195" i="13"/>
  <c r="K46" i="14"/>
  <c r="L179" i="13"/>
  <c r="F442" i="19"/>
  <c r="F446" i="19"/>
  <c r="AA169" i="22"/>
  <c r="AB168" i="22"/>
  <c r="AA171" i="22"/>
  <c r="Y172" i="22"/>
  <c r="Y170" i="22"/>
  <c r="Z169" i="22"/>
  <c r="X172" i="22"/>
  <c r="AA172" i="22"/>
  <c r="AJ168" i="22"/>
  <c r="AF167" i="22"/>
  <c r="X171" i="22"/>
  <c r="Y171" i="22"/>
  <c r="Z172" i="22"/>
  <c r="X170" i="22"/>
  <c r="AA170" i="22"/>
  <c r="Z170" i="22"/>
  <c r="Z171" i="22"/>
  <c r="X169" i="22"/>
  <c r="Y169" i="22"/>
  <c r="AF168" i="22"/>
  <c r="V173" i="22"/>
  <c r="H82" i="22"/>
  <c r="I79" i="22"/>
  <c r="E81" i="22"/>
  <c r="F82" i="22"/>
  <c r="F80" i="22"/>
  <c r="H80" i="22"/>
  <c r="E83" i="22"/>
  <c r="G83" i="22"/>
  <c r="F83" i="22"/>
  <c r="G82" i="22"/>
  <c r="G81" i="22"/>
  <c r="F81" i="22"/>
  <c r="H83" i="22"/>
  <c r="G80" i="22"/>
  <c r="M78" i="22"/>
  <c r="H81" i="22"/>
  <c r="C84" i="22"/>
  <c r="Q79" i="22"/>
  <c r="E82" i="22"/>
  <c r="M79" i="22"/>
  <c r="E80" i="22"/>
  <c r="Z16" i="22"/>
  <c r="AB12" i="22"/>
  <c r="AA14" i="22"/>
  <c r="AJ12" i="22"/>
  <c r="Y14" i="22"/>
  <c r="Y13" i="22"/>
  <c r="AA13" i="22"/>
  <c r="Y16" i="22"/>
  <c r="V17" i="22"/>
  <c r="X14" i="22"/>
  <c r="AA16" i="22"/>
  <c r="X15" i="22"/>
  <c r="AA15" i="22"/>
  <c r="X16" i="22"/>
  <c r="X13" i="22"/>
  <c r="Y15" i="22"/>
  <c r="AF11" i="22"/>
  <c r="AF12" i="22"/>
  <c r="Z14" i="22"/>
  <c r="Z13" i="22"/>
  <c r="Z15" i="22"/>
  <c r="Y147" i="22"/>
  <c r="AA148" i="22"/>
  <c r="Z147" i="22"/>
  <c r="AA149" i="22"/>
  <c r="AJ146" i="22"/>
  <c r="Y150" i="22"/>
  <c r="Y148" i="22"/>
  <c r="V151" i="22"/>
  <c r="AB146" i="22"/>
  <c r="AA147" i="22"/>
  <c r="Y149" i="22"/>
  <c r="AA150" i="22"/>
  <c r="Z149" i="22"/>
  <c r="X149" i="22"/>
  <c r="Z150" i="22"/>
  <c r="X148" i="22"/>
  <c r="AF145" i="22"/>
  <c r="Z148" i="22"/>
  <c r="X147" i="22"/>
  <c r="AF146" i="22"/>
  <c r="X150" i="22"/>
  <c r="Z282" i="22"/>
  <c r="AF280" i="22"/>
  <c r="Z284" i="22"/>
  <c r="Z283" i="22"/>
  <c r="V285" i="22"/>
  <c r="Y281" i="22"/>
  <c r="X283" i="22"/>
  <c r="AA283" i="22"/>
  <c r="Y284" i="22"/>
  <c r="AB280" i="22"/>
  <c r="X282" i="22"/>
  <c r="AA282" i="22"/>
  <c r="Y283" i="22"/>
  <c r="AF279" i="22"/>
  <c r="X281" i="22"/>
  <c r="AA281" i="22"/>
  <c r="Y282" i="22"/>
  <c r="X284" i="22"/>
  <c r="AA284" i="22"/>
  <c r="AJ280" i="22"/>
  <c r="Z281" i="22"/>
  <c r="Z194" i="22"/>
  <c r="Y192" i="22"/>
  <c r="AF190" i="22"/>
  <c r="AA193" i="22"/>
  <c r="Z192" i="22"/>
  <c r="AF189" i="22"/>
  <c r="X191" i="22"/>
  <c r="AA194" i="22"/>
  <c r="AJ190" i="22"/>
  <c r="AB190" i="22"/>
  <c r="X194" i="22"/>
  <c r="V195" i="22"/>
  <c r="Y193" i="22"/>
  <c r="AA191" i="22"/>
  <c r="X193" i="22"/>
  <c r="Z193" i="22"/>
  <c r="AA192" i="22"/>
  <c r="X192" i="22"/>
  <c r="Z191" i="22"/>
  <c r="Y191" i="22"/>
  <c r="Y194" i="22"/>
  <c r="H113" i="22"/>
  <c r="F114" i="22"/>
  <c r="F116" i="22"/>
  <c r="G114" i="22"/>
  <c r="G116" i="22"/>
  <c r="I112" i="22"/>
  <c r="H115" i="22"/>
  <c r="E114" i="22"/>
  <c r="F115" i="22"/>
  <c r="C117" i="22"/>
  <c r="E113" i="22"/>
  <c r="E116" i="22"/>
  <c r="Q112" i="22"/>
  <c r="H116" i="22"/>
  <c r="E115" i="22"/>
  <c r="M112" i="22"/>
  <c r="M111" i="22"/>
  <c r="F113" i="22"/>
  <c r="G115" i="22"/>
  <c r="H114" i="22"/>
  <c r="G113" i="22"/>
  <c r="Q34" i="22"/>
  <c r="E35" i="22"/>
  <c r="H36" i="22"/>
  <c r="H35" i="22"/>
  <c r="E37" i="22"/>
  <c r="G35" i="22"/>
  <c r="F36" i="22"/>
  <c r="M34" i="22"/>
  <c r="C39" i="22"/>
  <c r="E36" i="22"/>
  <c r="H38" i="22"/>
  <c r="G38" i="22"/>
  <c r="I34" i="22"/>
  <c r="F35" i="22"/>
  <c r="H37" i="22"/>
  <c r="E38" i="22"/>
  <c r="G37" i="22"/>
  <c r="F38" i="22"/>
  <c r="M33" i="22"/>
  <c r="G36" i="22"/>
  <c r="F37" i="22"/>
  <c r="H172" i="22"/>
  <c r="G169" i="22"/>
  <c r="E172" i="22"/>
  <c r="Q168" i="22"/>
  <c r="I168" i="22"/>
  <c r="H169" i="22"/>
  <c r="E171" i="22"/>
  <c r="M167" i="22"/>
  <c r="F172" i="22"/>
  <c r="F171" i="22"/>
  <c r="M168" i="22"/>
  <c r="E170" i="22"/>
  <c r="G172" i="22"/>
  <c r="H171" i="22"/>
  <c r="C173" i="22"/>
  <c r="E169" i="22"/>
  <c r="G170" i="22"/>
  <c r="F170" i="22"/>
  <c r="F169" i="22"/>
  <c r="H170" i="22"/>
  <c r="G171" i="22"/>
  <c r="G304" i="22"/>
  <c r="F303" i="22"/>
  <c r="E304" i="22"/>
  <c r="H306" i="22"/>
  <c r="M302" i="22"/>
  <c r="G303" i="22"/>
  <c r="F306" i="22"/>
  <c r="C307" i="22"/>
  <c r="E303" i="22"/>
  <c r="H305" i="22"/>
  <c r="G305" i="22"/>
  <c r="F305" i="22"/>
  <c r="E306" i="22"/>
  <c r="Q302" i="22"/>
  <c r="H304" i="22"/>
  <c r="G306" i="22"/>
  <c r="F304" i="22"/>
  <c r="E305" i="22"/>
  <c r="M301" i="22"/>
  <c r="H303" i="22"/>
  <c r="I302" i="22"/>
  <c r="B444" i="19"/>
  <c r="F457" i="19"/>
  <c r="Z239" i="22"/>
  <c r="AA236" i="22"/>
  <c r="Z238" i="22"/>
  <c r="Y238" i="22"/>
  <c r="Y237" i="22"/>
  <c r="AB235" i="22"/>
  <c r="AA239" i="22"/>
  <c r="AJ235" i="22"/>
  <c r="X237" i="22"/>
  <c r="Z237" i="22"/>
  <c r="Y236" i="22"/>
  <c r="AA238" i="22"/>
  <c r="V240" i="22"/>
  <c r="Z236" i="22"/>
  <c r="AF234" i="22"/>
  <c r="AF235" i="22"/>
  <c r="AA237" i="22"/>
  <c r="X239" i="22"/>
  <c r="Y239" i="22"/>
  <c r="X238" i="22"/>
  <c r="X236" i="22"/>
  <c r="M146" i="22"/>
  <c r="F147" i="22"/>
  <c r="G150" i="22"/>
  <c r="I146" i="22"/>
  <c r="H150" i="22"/>
  <c r="F149" i="22"/>
  <c r="H148" i="22"/>
  <c r="G148" i="22"/>
  <c r="C151" i="22"/>
  <c r="E147" i="22"/>
  <c r="E150" i="22"/>
  <c r="Q146" i="22"/>
  <c r="E149" i="22"/>
  <c r="M145" i="22"/>
  <c r="F148" i="22"/>
  <c r="G147" i="22"/>
  <c r="G149" i="22"/>
  <c r="H149" i="22"/>
  <c r="E148" i="22"/>
  <c r="H147" i="22"/>
  <c r="F150" i="22"/>
  <c r="Z47" i="22"/>
  <c r="Z46" i="22"/>
  <c r="X49" i="22"/>
  <c r="AA46" i="22"/>
  <c r="AJ45" i="22"/>
  <c r="AF45" i="22"/>
  <c r="Z49" i="22"/>
  <c r="V50" i="22"/>
  <c r="AA49" i="22"/>
  <c r="AF44" i="22"/>
  <c r="AB45" i="22"/>
  <c r="AA48" i="22"/>
  <c r="AA47" i="22"/>
  <c r="Y48" i="22"/>
  <c r="Y47" i="22"/>
  <c r="Z48" i="22"/>
  <c r="Y49" i="22"/>
  <c r="Y46" i="22"/>
  <c r="X47" i="22"/>
  <c r="X46" i="22"/>
  <c r="X48" i="22"/>
  <c r="AA183" i="22"/>
  <c r="V184" i="22"/>
  <c r="X180" i="22"/>
  <c r="AA182" i="22"/>
  <c r="AF178" i="22"/>
  <c r="X183" i="22"/>
  <c r="AA180" i="22"/>
  <c r="AA181" i="22"/>
  <c r="Y181" i="22"/>
  <c r="AB179" i="22"/>
  <c r="X181" i="22"/>
  <c r="AJ179" i="22"/>
  <c r="X182" i="22"/>
  <c r="Y183" i="22"/>
  <c r="Z182" i="22"/>
  <c r="Z181" i="22"/>
  <c r="Z180" i="22"/>
  <c r="Y182" i="22"/>
  <c r="Z183" i="22"/>
  <c r="AF179" i="22"/>
  <c r="Y180" i="22"/>
  <c r="X314" i="22"/>
  <c r="Y314" i="22"/>
  <c r="X315" i="22"/>
  <c r="Y315" i="22"/>
  <c r="Y316" i="22"/>
  <c r="X317" i="22"/>
  <c r="AA317" i="22"/>
  <c r="AJ313" i="22"/>
  <c r="Z314" i="22"/>
  <c r="X316" i="22"/>
  <c r="AA316" i="22"/>
  <c r="Z317" i="22"/>
  <c r="AF313" i="22"/>
  <c r="Y317" i="22"/>
  <c r="AA315" i="22"/>
  <c r="Z316" i="22"/>
  <c r="V318" i="22"/>
  <c r="AB313" i="22"/>
  <c r="AA314" i="22"/>
  <c r="Z315" i="22"/>
  <c r="AF312" i="22"/>
  <c r="Y261" i="22"/>
  <c r="X260" i="22"/>
  <c r="AA258" i="22"/>
  <c r="Z259" i="22"/>
  <c r="AF256" i="22"/>
  <c r="X258" i="22"/>
  <c r="AA261" i="22"/>
  <c r="AJ257" i="22"/>
  <c r="Z258" i="22"/>
  <c r="X261" i="22"/>
  <c r="Y260" i="22"/>
  <c r="AA260" i="22"/>
  <c r="Z261" i="22"/>
  <c r="AF257" i="22"/>
  <c r="Y258" i="22"/>
  <c r="X259" i="22"/>
  <c r="AB257" i="22"/>
  <c r="AA259" i="22"/>
  <c r="Z260" i="22"/>
  <c r="V262" i="22"/>
  <c r="Y259" i="22"/>
  <c r="Q179" i="22"/>
  <c r="F180" i="22"/>
  <c r="E183" i="22"/>
  <c r="M178" i="22"/>
  <c r="H182" i="22"/>
  <c r="F182" i="22"/>
  <c r="H180" i="22"/>
  <c r="E181" i="22"/>
  <c r="G183" i="22"/>
  <c r="I179" i="22"/>
  <c r="F181" i="22"/>
  <c r="G182" i="22"/>
  <c r="G181" i="22"/>
  <c r="H181" i="22"/>
  <c r="C184" i="22"/>
  <c r="M179" i="22"/>
  <c r="E182" i="22"/>
  <c r="G180" i="22"/>
  <c r="E180" i="22"/>
  <c r="F183" i="22"/>
  <c r="H183" i="22"/>
  <c r="H57" i="22"/>
  <c r="Q56" i="22"/>
  <c r="H60" i="22"/>
  <c r="H58" i="22"/>
  <c r="G58" i="22"/>
  <c r="F59" i="22"/>
  <c r="H59" i="22"/>
  <c r="G57" i="22"/>
  <c r="F58" i="22"/>
  <c r="M56" i="22"/>
  <c r="G60" i="22"/>
  <c r="I56" i="22"/>
  <c r="F57" i="22"/>
  <c r="G59" i="22"/>
  <c r="F60" i="22"/>
  <c r="E58" i="22"/>
  <c r="E59" i="22"/>
  <c r="M55" i="22"/>
  <c r="E60" i="22"/>
  <c r="E57" i="22"/>
  <c r="C61" i="22"/>
  <c r="F192" i="22"/>
  <c r="G191" i="22"/>
  <c r="H193" i="22"/>
  <c r="E193" i="22"/>
  <c r="M189" i="22"/>
  <c r="F191" i="22"/>
  <c r="I190" i="22"/>
  <c r="F194" i="22"/>
  <c r="E192" i="22"/>
  <c r="H194" i="22"/>
  <c r="M190" i="22"/>
  <c r="C195" i="22"/>
  <c r="E191" i="22"/>
  <c r="F193" i="22"/>
  <c r="G194" i="22"/>
  <c r="G193" i="22"/>
  <c r="E194" i="22"/>
  <c r="Q190" i="22"/>
  <c r="H192" i="22"/>
  <c r="G192" i="22"/>
  <c r="H191" i="22"/>
  <c r="G325" i="22"/>
  <c r="F325" i="22"/>
  <c r="E326" i="22"/>
  <c r="H327" i="22"/>
  <c r="M324" i="22"/>
  <c r="F328" i="22"/>
  <c r="C329" i="22"/>
  <c r="E325" i="22"/>
  <c r="G326" i="22"/>
  <c r="G328" i="22"/>
  <c r="F327" i="22"/>
  <c r="E328" i="22"/>
  <c r="Q324" i="22"/>
  <c r="H328" i="22"/>
  <c r="H325" i="22"/>
  <c r="H326" i="22"/>
  <c r="F326" i="22"/>
  <c r="E327" i="22"/>
  <c r="M323" i="22"/>
  <c r="G327" i="22"/>
  <c r="I324" i="22"/>
  <c r="B442" i="19"/>
  <c r="F455" i="19"/>
  <c r="F460" i="19"/>
  <c r="B447" i="19"/>
  <c r="F454" i="19"/>
  <c r="B441" i="19"/>
  <c r="F458" i="19"/>
  <c r="B445" i="19"/>
  <c r="X35" i="22"/>
  <c r="X37" i="22"/>
  <c r="X36" i="22"/>
  <c r="X38" i="22"/>
  <c r="Z37" i="22"/>
  <c r="V39" i="22"/>
  <c r="Y35" i="22"/>
  <c r="AA37" i="22"/>
  <c r="Z36" i="22"/>
  <c r="Y38" i="22"/>
  <c r="AB34" i="22"/>
  <c r="AJ34" i="22"/>
  <c r="AA38" i="22"/>
  <c r="Z35" i="22"/>
  <c r="Y37" i="22"/>
  <c r="AF33" i="22"/>
  <c r="AA35" i="22"/>
  <c r="Z38" i="22"/>
  <c r="AF34" i="22"/>
  <c r="Y36" i="22"/>
  <c r="AA36" i="22"/>
  <c r="Y326" i="22"/>
  <c r="X328" i="22"/>
  <c r="AA328" i="22"/>
  <c r="AJ324" i="22"/>
  <c r="Z326" i="22"/>
  <c r="Z327" i="22"/>
  <c r="V329" i="22"/>
  <c r="Y325" i="22"/>
  <c r="X327" i="22"/>
  <c r="AA327" i="22"/>
  <c r="Z328" i="22"/>
  <c r="Y328" i="22"/>
  <c r="AB324" i="22"/>
  <c r="X326" i="22"/>
  <c r="AA326" i="22"/>
  <c r="AF324" i="22"/>
  <c r="Y327" i="22"/>
  <c r="AF323" i="22"/>
  <c r="X325" i="22"/>
  <c r="AA325" i="22"/>
  <c r="Z325" i="22"/>
  <c r="F215" i="22"/>
  <c r="M212" i="22"/>
  <c r="E215" i="22"/>
  <c r="H214" i="22"/>
  <c r="E217" i="22"/>
  <c r="F217" i="22"/>
  <c r="H216" i="22"/>
  <c r="G216" i="22"/>
  <c r="H215" i="22"/>
  <c r="G215" i="22"/>
  <c r="G214" i="22"/>
  <c r="G217" i="22"/>
  <c r="M213" i="22"/>
  <c r="C218" i="22"/>
  <c r="I213" i="22"/>
  <c r="E214" i="22"/>
  <c r="Q213" i="22"/>
  <c r="F216" i="22"/>
  <c r="E216" i="22"/>
  <c r="F214" i="22"/>
  <c r="H217" i="22"/>
  <c r="AA82" i="22"/>
  <c r="AF78" i="22"/>
  <c r="X80" i="22"/>
  <c r="X81" i="22"/>
  <c r="V84" i="22"/>
  <c r="AA81" i="22"/>
  <c r="Y83" i="22"/>
  <c r="AF79" i="22"/>
  <c r="X83" i="22"/>
  <c r="AA80" i="22"/>
  <c r="X82" i="22"/>
  <c r="AA83" i="22"/>
  <c r="AJ79" i="22"/>
  <c r="Y81" i="22"/>
  <c r="AB79" i="22"/>
  <c r="Z82" i="22"/>
  <c r="Y80" i="22"/>
  <c r="Z81" i="22"/>
  <c r="Z80" i="22"/>
  <c r="Z83" i="22"/>
  <c r="Y82" i="22"/>
  <c r="AA217" i="22"/>
  <c r="AF212" i="22"/>
  <c r="X216" i="22"/>
  <c r="Y216" i="22"/>
  <c r="AA215" i="22"/>
  <c r="Y217" i="22"/>
  <c r="Y215" i="22"/>
  <c r="Y214" i="22"/>
  <c r="AJ213" i="22"/>
  <c r="X214" i="22"/>
  <c r="AB213" i="22"/>
  <c r="Z217" i="22"/>
  <c r="AF213" i="22"/>
  <c r="X215" i="22"/>
  <c r="V218" i="22"/>
  <c r="Z216" i="22"/>
  <c r="Z215" i="22"/>
  <c r="AA216" i="22"/>
  <c r="Z214" i="22"/>
  <c r="AA214" i="22"/>
  <c r="X217" i="22"/>
  <c r="AA59" i="22"/>
  <c r="AA58" i="22"/>
  <c r="X60" i="22"/>
  <c r="X59" i="22"/>
  <c r="AA60" i="22"/>
  <c r="X58" i="22"/>
  <c r="X57" i="22"/>
  <c r="AA57" i="22"/>
  <c r="AJ56" i="22"/>
  <c r="Z59" i="22"/>
  <c r="V61" i="22"/>
  <c r="Y57" i="22"/>
  <c r="Z58" i="22"/>
  <c r="Y60" i="22"/>
  <c r="AB56" i="22"/>
  <c r="Z57" i="22"/>
  <c r="Y59" i="22"/>
  <c r="AF55" i="22"/>
  <c r="Z60" i="22"/>
  <c r="AF56" i="22"/>
  <c r="Y58" i="22"/>
  <c r="Z305" i="22"/>
  <c r="AA306" i="22"/>
  <c r="Y306" i="22"/>
  <c r="AB302" i="22"/>
  <c r="X304" i="22"/>
  <c r="AF302" i="22"/>
  <c r="AA305" i="22"/>
  <c r="Y305" i="22"/>
  <c r="AF301" i="22"/>
  <c r="X303" i="22"/>
  <c r="AA304" i="22"/>
  <c r="Y304" i="22"/>
  <c r="X306" i="22"/>
  <c r="Z306" i="22"/>
  <c r="Z303" i="22"/>
  <c r="V307" i="22"/>
  <c r="Y303" i="22"/>
  <c r="X305" i="22"/>
  <c r="AA303" i="22"/>
  <c r="Z304" i="22"/>
  <c r="AJ302" i="22"/>
  <c r="H247" i="22"/>
  <c r="G249" i="22"/>
  <c r="H248" i="22"/>
  <c r="G248" i="22"/>
  <c r="M246" i="22"/>
  <c r="F250" i="22"/>
  <c r="C251" i="22"/>
  <c r="H249" i="22"/>
  <c r="F249" i="22"/>
  <c r="E250" i="22"/>
  <c r="G247" i="22"/>
  <c r="F248" i="22"/>
  <c r="E249" i="22"/>
  <c r="Q246" i="22"/>
  <c r="M245" i="22"/>
  <c r="I246" i="22"/>
  <c r="G250" i="22"/>
  <c r="F247" i="22"/>
  <c r="E247" i="22"/>
  <c r="H250" i="22"/>
  <c r="E248" i="22"/>
  <c r="E105" i="22"/>
  <c r="F103" i="22"/>
  <c r="G102" i="22"/>
  <c r="Q101" i="22"/>
  <c r="H103" i="22"/>
  <c r="G105" i="22"/>
  <c r="I101" i="22"/>
  <c r="C106" i="22"/>
  <c r="E102" i="22"/>
  <c r="H102" i="22"/>
  <c r="G104" i="22"/>
  <c r="F104" i="22"/>
  <c r="H105" i="22"/>
  <c r="M101" i="22"/>
  <c r="M100" i="22"/>
  <c r="G103" i="22"/>
  <c r="F102" i="22"/>
  <c r="E104" i="22"/>
  <c r="F105" i="22"/>
  <c r="E103" i="22"/>
  <c r="H104" i="22"/>
  <c r="F237" i="22"/>
  <c r="H236" i="22"/>
  <c r="Q235" i="22"/>
  <c r="M234" i="22"/>
  <c r="G237" i="22"/>
  <c r="H239" i="22"/>
  <c r="M235" i="22"/>
  <c r="E237" i="22"/>
  <c r="C240" i="22"/>
  <c r="G236" i="22"/>
  <c r="H238" i="22"/>
  <c r="F238" i="22"/>
  <c r="E236" i="22"/>
  <c r="F239" i="22"/>
  <c r="H237" i="22"/>
  <c r="F236" i="22"/>
  <c r="G239" i="22"/>
  <c r="G238" i="22"/>
  <c r="I235" i="22"/>
  <c r="E238" i="22"/>
  <c r="E239" i="22"/>
  <c r="B448" i="19"/>
  <c r="F461" i="19"/>
  <c r="B440" i="19"/>
  <c r="F453" i="19"/>
  <c r="AA105" i="22"/>
  <c r="X104" i="22"/>
  <c r="Y103" i="22"/>
  <c r="X102" i="22"/>
  <c r="AA103" i="22"/>
  <c r="AF100" i="22"/>
  <c r="AJ101" i="22"/>
  <c r="Z104" i="22"/>
  <c r="V106" i="22"/>
  <c r="AA102" i="22"/>
  <c r="AB101" i="22"/>
  <c r="Z103" i="22"/>
  <c r="X105" i="22"/>
  <c r="Y104" i="22"/>
  <c r="Z102" i="22"/>
  <c r="AA104" i="22"/>
  <c r="Y102" i="22"/>
  <c r="Z105" i="22"/>
  <c r="AF101" i="22"/>
  <c r="X103" i="22"/>
  <c r="Y105" i="22"/>
  <c r="E16" i="22"/>
  <c r="E13" i="22"/>
  <c r="M11" i="22"/>
  <c r="G16" i="22"/>
  <c r="E14" i="22"/>
  <c r="H16" i="22"/>
  <c r="E15" i="22"/>
  <c r="H13" i="22"/>
  <c r="C17" i="22"/>
  <c r="H15" i="22"/>
  <c r="H14" i="22"/>
  <c r="Q12" i="22"/>
  <c r="M12" i="22"/>
  <c r="F16" i="22"/>
  <c r="F13" i="22"/>
  <c r="F14" i="22"/>
  <c r="F15" i="22"/>
  <c r="I12" i="22"/>
  <c r="G14" i="22"/>
  <c r="G13" i="22"/>
  <c r="G15" i="22"/>
  <c r="H283" i="22"/>
  <c r="G281" i="22"/>
  <c r="G282" i="22"/>
  <c r="H282" i="22"/>
  <c r="F281" i="22"/>
  <c r="E282" i="22"/>
  <c r="F284" i="22"/>
  <c r="F282" i="22"/>
  <c r="E281" i="22"/>
  <c r="G284" i="22"/>
  <c r="G283" i="22"/>
  <c r="C285" i="22"/>
  <c r="Q280" i="22"/>
  <c r="H284" i="22"/>
  <c r="E284" i="22"/>
  <c r="M279" i="22"/>
  <c r="I280" i="22"/>
  <c r="M280" i="22"/>
  <c r="F283" i="22"/>
  <c r="E283" i="22"/>
  <c r="H281" i="22"/>
  <c r="AA114" i="22"/>
  <c r="AF111" i="22"/>
  <c r="Z115" i="22"/>
  <c r="Z113" i="22"/>
  <c r="Z116" i="22"/>
  <c r="Y115" i="22"/>
  <c r="AJ112" i="22"/>
  <c r="AF112" i="22"/>
  <c r="Z114" i="22"/>
  <c r="V117" i="22"/>
  <c r="AA116" i="22"/>
  <c r="Y113" i="22"/>
  <c r="X115" i="22"/>
  <c r="AA113" i="22"/>
  <c r="Y116" i="22"/>
  <c r="X114" i="22"/>
  <c r="Y114" i="22"/>
  <c r="X113" i="22"/>
  <c r="AB112" i="22"/>
  <c r="X116" i="22"/>
  <c r="AA115" i="22"/>
  <c r="Z249" i="22"/>
  <c r="X247" i="22"/>
  <c r="AJ246" i="22"/>
  <c r="AA250" i="22"/>
  <c r="Z250" i="22"/>
  <c r="Z247" i="22"/>
  <c r="AA249" i="22"/>
  <c r="Z248" i="22"/>
  <c r="AF246" i="22"/>
  <c r="Y248" i="22"/>
  <c r="X250" i="22"/>
  <c r="AA248" i="22"/>
  <c r="V251" i="22"/>
  <c r="Y247" i="22"/>
  <c r="X249" i="22"/>
  <c r="Y250" i="22"/>
  <c r="AB246" i="22"/>
  <c r="X248" i="22"/>
  <c r="Y249" i="22"/>
  <c r="AF245" i="22"/>
  <c r="AA247" i="22"/>
  <c r="Y124" i="22"/>
  <c r="AJ123" i="22"/>
  <c r="AA127" i="22"/>
  <c r="X124" i="22"/>
  <c r="AF122" i="22"/>
  <c r="X126" i="22"/>
  <c r="AA125" i="22"/>
  <c r="Z126" i="22"/>
  <c r="Y127" i="22"/>
  <c r="X127" i="22"/>
  <c r="Z125" i="22"/>
  <c r="Y125" i="22"/>
  <c r="AA126" i="22"/>
  <c r="Z124" i="22"/>
  <c r="AB123" i="22"/>
  <c r="X125" i="22"/>
  <c r="Y126" i="22"/>
  <c r="Z127" i="22"/>
  <c r="AF123" i="22"/>
  <c r="V128" i="22"/>
  <c r="AA124" i="22"/>
  <c r="G47" i="22"/>
  <c r="C50" i="22"/>
  <c r="F49" i="22"/>
  <c r="F48" i="22"/>
  <c r="G49" i="22"/>
  <c r="G48" i="22"/>
  <c r="F47" i="22"/>
  <c r="F46" i="22"/>
  <c r="G46" i="22"/>
  <c r="I45" i="22"/>
  <c r="H48" i="22"/>
  <c r="H46" i="22"/>
  <c r="M44" i="22"/>
  <c r="E47" i="22"/>
  <c r="E49" i="22"/>
  <c r="H47" i="22"/>
  <c r="Q45" i="22"/>
  <c r="H49" i="22"/>
  <c r="E46" i="22"/>
  <c r="E48" i="22"/>
  <c r="M45" i="22"/>
  <c r="M312" i="22"/>
  <c r="C318" i="22"/>
  <c r="E314" i="22"/>
  <c r="E317" i="22"/>
  <c r="H316" i="22"/>
  <c r="G317" i="22"/>
  <c r="I313" i="22"/>
  <c r="F314" i="22"/>
  <c r="H315" i="22"/>
  <c r="G316" i="22"/>
  <c r="F317" i="22"/>
  <c r="H314" i="22"/>
  <c r="G315" i="22"/>
  <c r="F316" i="22"/>
  <c r="H317" i="22"/>
  <c r="M313" i="22"/>
  <c r="Q313" i="22"/>
  <c r="G314" i="22"/>
  <c r="E316" i="22"/>
  <c r="F315" i="22"/>
  <c r="E315" i="22"/>
  <c r="F127" i="22"/>
  <c r="G126" i="22"/>
  <c r="M123" i="22"/>
  <c r="G125" i="22"/>
  <c r="H127" i="22"/>
  <c r="G124" i="22"/>
  <c r="E125" i="22"/>
  <c r="E126" i="22"/>
  <c r="G127" i="22"/>
  <c r="I123" i="22"/>
  <c r="H124" i="22"/>
  <c r="E127" i="22"/>
  <c r="F124" i="22"/>
  <c r="E124" i="22"/>
  <c r="H126" i="22"/>
  <c r="Q123" i="22"/>
  <c r="F125" i="22"/>
  <c r="H125" i="22"/>
  <c r="M122" i="22"/>
  <c r="F126" i="22"/>
  <c r="C128" i="22"/>
  <c r="E259" i="22"/>
  <c r="H258" i="22"/>
  <c r="G259" i="22"/>
  <c r="F260" i="22"/>
  <c r="Q257" i="22"/>
  <c r="E258" i="22"/>
  <c r="H261" i="22"/>
  <c r="M257" i="22"/>
  <c r="G258" i="22"/>
  <c r="F259" i="22"/>
  <c r="E261" i="22"/>
  <c r="H260" i="22"/>
  <c r="G261" i="22"/>
  <c r="I257" i="22"/>
  <c r="F258" i="22"/>
  <c r="M256" i="22"/>
  <c r="H259" i="22"/>
  <c r="G260" i="22"/>
  <c r="F261" i="22"/>
  <c r="E260" i="22"/>
  <c r="C262" i="22"/>
  <c r="B446" i="19"/>
  <c r="F459" i="19"/>
  <c r="B438" i="19"/>
  <c r="F451" i="19"/>
  <c r="F452" i="19"/>
  <c r="B439" i="19"/>
  <c r="F456" i="19"/>
  <c r="B443" i="19"/>
  <c r="F450" i="19"/>
  <c r="B437" i="19"/>
  <c r="AC555" i="11"/>
  <c r="AC559" i="11"/>
  <c r="AC563" i="11"/>
  <c r="AC557" i="11"/>
  <c r="AC561" i="11"/>
  <c r="AC552" i="11"/>
  <c r="AC554" i="11"/>
  <c r="AC558" i="11"/>
  <c r="AC562" i="11"/>
  <c r="AC556" i="11"/>
  <c r="AC560" i="11"/>
  <c r="AC553" i="11"/>
  <c r="F140" i="11"/>
  <c r="J1395" i="11" a="1"/>
  <c r="S1641" i="11" a="1"/>
  <c r="S1641" i="11" s="1"/>
  <c r="BE22" i="4" s="1"/>
  <c r="S1587" i="11" a="1"/>
  <c r="BG56" i="6"/>
  <c r="BE56" i="6"/>
  <c r="BG42" i="6"/>
  <c r="BE42" i="6"/>
  <c r="BG40" i="6"/>
  <c r="BE40" i="6"/>
  <c r="BF61" i="6"/>
  <c r="AI59" i="11" s="1"/>
  <c r="BG51" i="6"/>
  <c r="BE51" i="6"/>
  <c r="BG60" i="6"/>
  <c r="BE60" i="6"/>
  <c r="BG37" i="6"/>
  <c r="BE37" i="6"/>
  <c r="BG55" i="6"/>
  <c r="BE55" i="6"/>
  <c r="BG36" i="6"/>
  <c r="BE36" i="6"/>
  <c r="BE45" i="6"/>
  <c r="BG45" i="6"/>
  <c r="BG43" i="6"/>
  <c r="BE43" i="6"/>
  <c r="BG41" i="6"/>
  <c r="BE41" i="6"/>
  <c r="BG39" i="6"/>
  <c r="BE39" i="6"/>
  <c r="BG59" i="6"/>
  <c r="BE59" i="6"/>
  <c r="BG35" i="6"/>
  <c r="BE35" i="6"/>
  <c r="BE44" i="6"/>
  <c r="BG44" i="6"/>
  <c r="BG52" i="6"/>
  <c r="BE52" i="6"/>
  <c r="BC61" i="6"/>
  <c r="AJ57" i="11" s="1"/>
  <c r="BG38" i="6"/>
  <c r="BE38" i="6"/>
  <c r="BG34" i="6"/>
  <c r="BB61" i="6"/>
  <c r="AI57" i="11" s="1"/>
  <c r="BE34" i="6"/>
  <c r="AR54" i="6"/>
  <c r="AP51" i="6"/>
  <c r="AV54" i="6"/>
  <c r="AP57" i="6"/>
  <c r="AP49" i="6"/>
  <c r="AP54" i="6"/>
  <c r="AP60" i="6"/>
  <c r="AP52" i="6"/>
  <c r="AR50" i="6"/>
  <c r="AR59" i="6"/>
  <c r="AV53" i="6"/>
  <c r="AR55" i="6"/>
  <c r="AP58" i="6"/>
  <c r="AV55" i="6"/>
  <c r="AV49" i="6"/>
  <c r="AR56" i="6"/>
  <c r="AP53" i="6"/>
  <c r="AV51" i="6"/>
  <c r="AV52" i="6"/>
  <c r="AR58" i="6"/>
  <c r="AP56" i="6"/>
  <c r="AR49" i="6"/>
  <c r="AR57" i="6"/>
  <c r="AR60" i="6"/>
  <c r="AV56" i="6"/>
  <c r="AR52" i="6"/>
  <c r="AP55" i="6"/>
  <c r="AV50" i="6"/>
  <c r="AR51" i="6"/>
  <c r="AR53" i="6"/>
  <c r="AP59" i="6"/>
  <c r="AV57" i="6"/>
  <c r="AP50" i="6"/>
  <c r="AE65" i="3"/>
  <c r="AE76" i="3"/>
  <c r="S1536" i="11" a="1"/>
  <c r="S1536" i="11" s="1"/>
  <c r="J1399" i="11" a="1"/>
  <c r="J1399" i="11" s="1"/>
  <c r="AQ17" i="2" s="1"/>
  <c r="AS17" i="2" s="1"/>
  <c r="G17" i="2" s="1"/>
  <c r="AE70" i="3"/>
  <c r="AE67" i="3"/>
  <c r="J1434" i="11" a="1"/>
  <c r="J1434" i="11" s="1"/>
  <c r="AQ21" i="2" s="1"/>
  <c r="S1531" i="11" a="1"/>
  <c r="S1531" i="11" s="1"/>
  <c r="S1528" i="11" a="1"/>
  <c r="S1528" i="11" s="1"/>
  <c r="J1394" i="11" a="1"/>
  <c r="J1396" i="11" a="1"/>
  <c r="J1396" i="11" s="1"/>
  <c r="AQ14" i="2" s="1"/>
  <c r="J1397" i="11" a="1"/>
  <c r="J1397" i="11" s="1"/>
  <c r="AQ15" i="2" s="1"/>
  <c r="AE122" i="3" s="1"/>
  <c r="W123" i="3" s="1"/>
  <c r="J1400" i="11" a="1"/>
  <c r="J1400" i="11" s="1"/>
  <c r="AQ18" i="2" s="1"/>
  <c r="AS18" i="2" s="1"/>
  <c r="G18" i="2" s="1"/>
  <c r="AW1090" i="11" s="1"/>
  <c r="J1398" i="11" a="1"/>
  <c r="J1398" i="11" s="1"/>
  <c r="AQ16" i="2" s="1"/>
  <c r="S1804" i="11" a="1"/>
  <c r="S1804" i="11" s="1"/>
  <c r="H1032" i="11"/>
  <c r="H1024" i="11"/>
  <c r="S1638" i="11" a="1"/>
  <c r="S1638" i="11" s="1"/>
  <c r="BB22" i="4" s="1"/>
  <c r="AO54" i="11"/>
  <c r="F1210" i="11"/>
  <c r="F1206" i="11"/>
  <c r="O23" i="8"/>
  <c r="AA58" i="11"/>
  <c r="AV5" i="4" s="1"/>
  <c r="AW5" i="4" s="1"/>
  <c r="J1388" i="11"/>
  <c r="T3" i="2" s="1"/>
  <c r="Q20" i="8"/>
  <c r="J1462" i="11" a="1"/>
  <c r="J1462" i="11" s="1"/>
  <c r="I1190" i="11" s="1"/>
  <c r="H16" i="6" s="1"/>
  <c r="F1209" i="11"/>
  <c r="Q19" i="8"/>
  <c r="F1212" i="11"/>
  <c r="Q17" i="8"/>
  <c r="J1387" i="11"/>
  <c r="T2" i="2" s="1"/>
  <c r="J12" i="8"/>
  <c r="J15" i="6"/>
  <c r="Q21" i="8"/>
  <c r="D548" i="11"/>
  <c r="D549" i="11" s="1"/>
  <c r="Q18" i="8"/>
  <c r="J1468" i="11" a="1"/>
  <c r="J1468" i="11" s="1"/>
  <c r="I1196" i="11" s="1"/>
  <c r="J1381" i="11"/>
  <c r="V2156" i="11" s="1"/>
  <c r="J1469" i="11" a="1"/>
  <c r="J1469" i="11" s="1"/>
  <c r="I1197" i="11" s="1"/>
  <c r="J1463" i="11" a="1"/>
  <c r="J1463" i="11" s="1"/>
  <c r="I1191" i="11" s="1"/>
  <c r="AN33" i="2"/>
  <c r="J1467" i="11" a="1"/>
  <c r="J1467" i="11" s="1"/>
  <c r="I1195" i="11" s="1"/>
  <c r="F1205" i="11"/>
  <c r="F1213" i="11"/>
  <c r="J1461" i="11" a="1"/>
  <c r="J1461" i="11" s="1"/>
  <c r="I1189" i="11" s="1"/>
  <c r="J1466" i="11" a="1"/>
  <c r="J1466" i="11" s="1"/>
  <c r="I1194" i="11" s="1"/>
  <c r="J1471" i="11" a="1"/>
  <c r="J1471" i="11" s="1"/>
  <c r="I1199" i="11" s="1"/>
  <c r="J1395" i="11"/>
  <c r="AQ13" i="2" s="1"/>
  <c r="L1381" i="11"/>
  <c r="K1381" i="11" s="1"/>
  <c r="F1211" i="11"/>
  <c r="F1207" i="11"/>
  <c r="J1465" i="11" a="1"/>
  <c r="J1465" i="11" s="1"/>
  <c r="I1193" i="11" s="1"/>
  <c r="J1470" i="11" a="1"/>
  <c r="J1470" i="11" s="1"/>
  <c r="I1198" i="11" s="1"/>
  <c r="J1464" i="11" a="1"/>
  <c r="J1464" i="11" s="1"/>
  <c r="I1192" i="11" s="1"/>
  <c r="J1394" i="11"/>
  <c r="AQ12" i="2" s="1"/>
  <c r="J1393" i="11"/>
  <c r="AQ11" i="2" s="1"/>
  <c r="AE61" i="3"/>
  <c r="AE73" i="3"/>
  <c r="AE66" i="3"/>
  <c r="AN900" i="11"/>
  <c r="N66" i="3" s="1"/>
  <c r="AN902" i="11"/>
  <c r="N68" i="3" s="1"/>
  <c r="AN906" i="11"/>
  <c r="N72" i="3" s="1"/>
  <c r="AE72" i="3"/>
  <c r="AE77" i="3"/>
  <c r="AE68" i="3"/>
  <c r="L72" i="3"/>
  <c r="AM906" i="11"/>
  <c r="AM911" i="11"/>
  <c r="L77" i="3"/>
  <c r="AM900" i="11"/>
  <c r="L66" i="3"/>
  <c r="AM902" i="11"/>
  <c r="L68" i="3"/>
  <c r="L73" i="3"/>
  <c r="AM907" i="11"/>
  <c r="L69" i="3"/>
  <c r="AM903" i="11"/>
  <c r="L76" i="3"/>
  <c r="AM910" i="11"/>
  <c r="L70" i="3"/>
  <c r="AM904" i="11"/>
  <c r="L67" i="3"/>
  <c r="AM901" i="11"/>
  <c r="H2323" i="11"/>
  <c r="D2323" i="11" s="1"/>
  <c r="C2323" i="11" s="1" a="1"/>
  <c r="C2323" i="11" s="1"/>
  <c r="AQ49" i="4"/>
  <c r="AF45" i="4"/>
  <c r="AQ45" i="4"/>
  <c r="H2320" i="11"/>
  <c r="D2320" i="11" s="1"/>
  <c r="C2320" i="11" s="1" a="1"/>
  <c r="C2320" i="11" s="1"/>
  <c r="AQ46" i="4"/>
  <c r="AF39" i="4"/>
  <c r="AQ39" i="4"/>
  <c r="L65" i="3"/>
  <c r="AM899" i="11"/>
  <c r="L62" i="3"/>
  <c r="AM896" i="11"/>
  <c r="AF37" i="4"/>
  <c r="AQ37" i="4"/>
  <c r="AM895" i="11"/>
  <c r="S1553" i="11" a="1"/>
  <c r="S1553" i="11" s="1"/>
  <c r="S1563" i="11" a="1"/>
  <c r="S1563" i="11" s="1"/>
  <c r="AJ55" i="11"/>
  <c r="Z152" i="9" s="1"/>
  <c r="AK143" i="9" s="1"/>
  <c r="S1545" i="11" a="1"/>
  <c r="S1545" i="11" s="1"/>
  <c r="V70" i="2"/>
  <c r="S654" i="11"/>
  <c r="AN52" i="11"/>
  <c r="AP52" i="11" s="1"/>
  <c r="S1395" i="11"/>
  <c r="D28" i="2" s="1"/>
  <c r="S1546" i="11" a="1"/>
  <c r="S1546" i="11" s="1"/>
  <c r="S1573" i="11"/>
  <c r="S1639" i="11" a="1"/>
  <c r="S1639" i="11" s="1"/>
  <c r="BC22" i="4" s="1"/>
  <c r="S1873" i="11"/>
  <c r="AN56" i="11"/>
  <c r="AP56" i="11" s="1"/>
  <c r="O65" i="4"/>
  <c r="S1640" i="11" a="1"/>
  <c r="S1640" i="11" s="1"/>
  <c r="BD22" i="4" s="1"/>
  <c r="AZ63" i="4"/>
  <c r="AZ64" i="4" s="1"/>
  <c r="AO55" i="11"/>
  <c r="AN661" i="11"/>
  <c r="S1587" i="11"/>
  <c r="S1637" i="11" a="1"/>
  <c r="S1637" i="11" s="1"/>
  <c r="BA22" i="4" s="1"/>
  <c r="S1547" i="11" a="1"/>
  <c r="S1547" i="11" s="1"/>
  <c r="U1777" i="11"/>
  <c r="S1635" i="11" a="1"/>
  <c r="S1635" i="11" s="1"/>
  <c r="AY22" i="4" s="1"/>
  <c r="S1636" i="11" a="1"/>
  <c r="S1636" i="11" s="1"/>
  <c r="AZ22" i="4" s="1"/>
  <c r="T654" i="11"/>
  <c r="D65" i="4"/>
  <c r="D56" i="4"/>
  <c r="I2296" i="11"/>
  <c r="E2296" i="11" s="1"/>
  <c r="AD82" i="5"/>
  <c r="AD77" i="5"/>
  <c r="AD66" i="5"/>
  <c r="AD61" i="5"/>
  <c r="AD50" i="5"/>
  <c r="AD45" i="5"/>
  <c r="AD58" i="5"/>
  <c r="AD53" i="5"/>
  <c r="V82" i="5"/>
  <c r="V77" i="5"/>
  <c r="V66" i="5"/>
  <c r="U55" i="5" s="1"/>
  <c r="V61" i="5"/>
  <c r="V50" i="5"/>
  <c r="U35" i="5" s="1"/>
  <c r="AD42" i="5"/>
  <c r="V45" i="5"/>
  <c r="V85" i="5"/>
  <c r="V74" i="5"/>
  <c r="U63" i="5" s="1"/>
  <c r="V69" i="5"/>
  <c r="V58" i="5"/>
  <c r="U47" i="5" s="1"/>
  <c r="AD85" i="5"/>
  <c r="AD74" i="5"/>
  <c r="AD69" i="5"/>
  <c r="V42" i="5"/>
  <c r="U27" i="5" s="1"/>
  <c r="V53" i="5"/>
  <c r="N24" i="4"/>
  <c r="AM275" i="25"/>
  <c r="AM104" i="25"/>
  <c r="AM138" i="25"/>
  <c r="I654" i="11"/>
  <c r="I808" i="11" s="1"/>
  <c r="V601" i="11"/>
  <c r="F654" i="11" s="1"/>
  <c r="V600" i="11"/>
  <c r="V602" i="11"/>
  <c r="V606" i="11"/>
  <c r="V610" i="11"/>
  <c r="V608" i="11"/>
  <c r="V605" i="11"/>
  <c r="V603" i="11"/>
  <c r="V607" i="11"/>
  <c r="V611" i="11"/>
  <c r="V604" i="11"/>
  <c r="V612" i="11"/>
  <c r="V609" i="11"/>
  <c r="X991" i="11"/>
  <c r="X992" i="11"/>
  <c r="X976" i="11"/>
  <c r="X1006" i="11"/>
  <c r="X1002" i="11"/>
  <c r="X966" i="11"/>
  <c r="X982" i="11"/>
  <c r="X996" i="11"/>
  <c r="X964" i="11"/>
  <c r="X963" i="11"/>
  <c r="X980" i="11"/>
  <c r="X990" i="11"/>
  <c r="H1054" i="11"/>
  <c r="X1012" i="11"/>
  <c r="X985" i="11"/>
  <c r="X986" i="11"/>
  <c r="H1051" i="11"/>
  <c r="X1000" i="11"/>
  <c r="X968" i="11"/>
  <c r="X984" i="11"/>
  <c r="X994" i="11"/>
  <c r="X993" i="11"/>
  <c r="X974" i="11"/>
  <c r="X1010" i="11"/>
  <c r="X972" i="11"/>
  <c r="X971" i="11"/>
  <c r="X988" i="11"/>
  <c r="X987" i="11"/>
  <c r="H1052" i="11"/>
  <c r="X998" i="11"/>
  <c r="X962" i="11"/>
  <c r="X977" i="11"/>
  <c r="X978" i="11"/>
  <c r="X1008" i="11"/>
  <c r="C2336" i="11" a="1"/>
  <c r="C2336" i="11" s="1"/>
  <c r="AM893" i="11"/>
  <c r="C264" i="11"/>
  <c r="C362" i="11"/>
  <c r="N965" i="11"/>
  <c r="S965" i="11" s="1"/>
  <c r="N966" i="11"/>
  <c r="S966" i="11" s="1"/>
  <c r="H1026" i="11"/>
  <c r="Z963" i="11"/>
  <c r="K1287" i="11"/>
  <c r="I1287" i="11"/>
  <c r="H1287" i="11"/>
  <c r="M1287" i="11"/>
  <c r="L1287" i="11"/>
  <c r="I2187" i="11" s="1"/>
  <c r="G1287" i="11"/>
  <c r="E1287" i="11"/>
  <c r="C1287" i="11"/>
  <c r="D1287" i="11"/>
  <c r="J1287" i="11"/>
  <c r="F1287" i="11"/>
  <c r="L74" i="3"/>
  <c r="P45" i="26"/>
  <c r="P79" i="26"/>
  <c r="P32" i="26"/>
  <c r="AM36" i="25"/>
  <c r="AM343" i="25"/>
  <c r="AM207" i="25"/>
  <c r="AM70" i="25"/>
  <c r="AM309" i="25"/>
  <c r="P80" i="26"/>
  <c r="P55" i="26"/>
  <c r="P44" i="26"/>
  <c r="P72" i="26"/>
  <c r="P27" i="26"/>
  <c r="J44" i="25" s="1"/>
  <c r="P63" i="26"/>
  <c r="P12" i="26"/>
  <c r="P52" i="26"/>
  <c r="P19" i="26"/>
  <c r="P68" i="26"/>
  <c r="P21" i="26"/>
  <c r="P29" i="26"/>
  <c r="P39" i="26"/>
  <c r="P47" i="26"/>
  <c r="P57" i="26"/>
  <c r="P65" i="26"/>
  <c r="P73" i="26"/>
  <c r="P81" i="26"/>
  <c r="P14" i="26"/>
  <c r="P24" i="26"/>
  <c r="P34" i="26"/>
  <c r="P46" i="26"/>
  <c r="P56" i="26"/>
  <c r="P66" i="26"/>
  <c r="P17" i="26"/>
  <c r="P13" i="26"/>
  <c r="D44" i="25" s="1"/>
  <c r="P23" i="26"/>
  <c r="P31" i="26"/>
  <c r="P41" i="26"/>
  <c r="P51" i="26"/>
  <c r="P59" i="26"/>
  <c r="P67" i="26"/>
  <c r="P75" i="26"/>
  <c r="P16" i="26"/>
  <c r="P28" i="26"/>
  <c r="P36" i="26"/>
  <c r="P48" i="26"/>
  <c r="P58" i="26"/>
  <c r="P82" i="26"/>
  <c r="P74" i="26"/>
  <c r="P25" i="26"/>
  <c r="P35" i="26"/>
  <c r="P43" i="26"/>
  <c r="P53" i="26"/>
  <c r="P61" i="26"/>
  <c r="P69" i="26"/>
  <c r="P77" i="26"/>
  <c r="P10" i="26"/>
  <c r="P20" i="26"/>
  <c r="P30" i="26"/>
  <c r="P40" i="26"/>
  <c r="P50" i="26"/>
  <c r="P60" i="26"/>
  <c r="AM241" i="25"/>
  <c r="AM172" i="25"/>
  <c r="F139" i="11"/>
  <c r="AK174" i="3"/>
  <c r="L2041" i="11"/>
  <c r="AD174" i="3"/>
  <c r="V169" i="3"/>
  <c r="V146" i="3"/>
  <c r="V192" i="3"/>
  <c r="V156" i="3"/>
  <c r="V171" i="3"/>
  <c r="V147" i="3"/>
  <c r="V188" i="3"/>
  <c r="V185" i="3"/>
  <c r="V189" i="3"/>
  <c r="V187" i="3"/>
  <c r="V190" i="3"/>
  <c r="V148" i="3"/>
  <c r="V195" i="3"/>
  <c r="H2319" i="11"/>
  <c r="D2319" i="11" s="1"/>
  <c r="C2319" i="11" s="1" a="1"/>
  <c r="C2319" i="11" s="1"/>
  <c r="V167" i="3"/>
  <c r="V186" i="3"/>
  <c r="V155" i="3"/>
  <c r="V157" i="3"/>
  <c r="N136" i="11"/>
  <c r="N137" i="11" s="1"/>
  <c r="O136" i="11"/>
  <c r="M137" i="11"/>
  <c r="O137" i="11"/>
  <c r="M136" i="11"/>
  <c r="AG174" i="3"/>
  <c r="S2172" i="11" s="1"/>
  <c r="X364" i="11"/>
  <c r="V198" i="3" s="1"/>
  <c r="H2311" i="11"/>
  <c r="D2311" i="11" s="1"/>
  <c r="C2311" i="11" s="1" a="1"/>
  <c r="C2311" i="11" s="1"/>
  <c r="O137" i="3"/>
  <c r="Q137" i="3" s="1"/>
  <c r="S137" i="3" s="1"/>
  <c r="U137" i="3" s="1"/>
  <c r="O116" i="3"/>
  <c r="Q116" i="3" s="1"/>
  <c r="S116" i="3" s="1"/>
  <c r="U116" i="3" s="1"/>
  <c r="AF38" i="4"/>
  <c r="H2312" i="11"/>
  <c r="D2312" i="11" s="1"/>
  <c r="C2312" i="11" s="1" a="1"/>
  <c r="C2312" i="11" s="1"/>
  <c r="O98" i="3"/>
  <c r="Q98" i="3" s="1"/>
  <c r="S98" i="3" s="1"/>
  <c r="U98" i="3" s="1"/>
  <c r="AU173" i="3"/>
  <c r="AO898" i="11"/>
  <c r="AP898" i="11" s="1"/>
  <c r="P64" i="3" s="1"/>
  <c r="AO904" i="11"/>
  <c r="AP904" i="11" s="1"/>
  <c r="P70" i="3" s="1"/>
  <c r="AO908" i="11"/>
  <c r="AP908" i="11" s="1"/>
  <c r="P74" i="3" s="1"/>
  <c r="AO896" i="11"/>
  <c r="AP896" i="11" s="1"/>
  <c r="P62" i="3" s="1"/>
  <c r="AO895" i="11"/>
  <c r="AP895" i="11" s="1"/>
  <c r="P61" i="3" s="1"/>
  <c r="AO897" i="11"/>
  <c r="AP897" i="11" s="1"/>
  <c r="P63" i="3" s="1"/>
  <c r="AO893" i="11"/>
  <c r="AP893" i="11" s="1"/>
  <c r="P59" i="3" s="1"/>
  <c r="AO905" i="11"/>
  <c r="AP905" i="11" s="1"/>
  <c r="P71" i="3" s="1"/>
  <c r="AO909" i="11"/>
  <c r="AP909" i="11" s="1"/>
  <c r="P75" i="3" s="1"/>
  <c r="O824" i="11"/>
  <c r="O860" i="11"/>
  <c r="B109" i="18"/>
  <c r="B108" i="18"/>
  <c r="Q96" i="3"/>
  <c r="M210" i="3"/>
  <c r="AF46" i="4"/>
  <c r="AF49" i="4"/>
  <c r="V825" i="11"/>
  <c r="O825" i="11"/>
  <c r="I2140" i="11"/>
  <c r="G2173" i="11" s="1"/>
  <c r="K76" i="10" s="1"/>
  <c r="B126" i="18"/>
  <c r="B129" i="18"/>
  <c r="B125" i="18"/>
  <c r="B127" i="18"/>
  <c r="B128" i="18"/>
  <c r="B122" i="18"/>
  <c r="B120" i="18"/>
  <c r="B124" i="18"/>
  <c r="B121" i="18"/>
  <c r="B123" i="18"/>
  <c r="B181" i="18"/>
  <c r="B182" i="18"/>
  <c r="B184" i="18"/>
  <c r="B185" i="18"/>
  <c r="B179" i="18"/>
  <c r="B180" i="18"/>
  <c r="V16" i="3"/>
  <c r="D2295" i="11"/>
  <c r="E2295" i="11" s="1"/>
  <c r="O654" i="11"/>
  <c r="O810"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22" i="11"/>
  <c r="H15" i="10"/>
  <c r="O822" i="11"/>
  <c r="O826" i="11"/>
  <c r="V823" i="11"/>
  <c r="O833" i="11"/>
  <c r="O823" i="11"/>
  <c r="E810" i="11"/>
  <c r="V824"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U27" i="18"/>
  <c r="AU28" i="18" s="1"/>
  <c r="F136" i="11"/>
  <c r="F137" i="11"/>
  <c r="L136" i="11" s="1"/>
  <c r="B98" i="18"/>
  <c r="B103" i="18"/>
  <c r="B111" i="18"/>
  <c r="B107" i="18"/>
  <c r="B110" i="18"/>
  <c r="B106" i="18"/>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P2138" i="11"/>
  <c r="X2197" i="11" s="1"/>
  <c r="D201" i="3"/>
  <c r="O2198" i="11"/>
  <c r="N2198" i="11" s="1"/>
  <c r="AB200" i="3"/>
  <c r="Q78" i="2"/>
  <c r="H2313" i="11"/>
  <c r="D2313" i="11" s="1"/>
  <c r="C2313" i="11" s="1" a="1"/>
  <c r="C2313" i="11" s="1"/>
  <c r="X365" i="11"/>
  <c r="V199" i="3" s="1"/>
  <c r="X362" i="11"/>
  <c r="V196" i="3" s="1"/>
  <c r="X366" i="11"/>
  <c r="V200" i="3" s="1"/>
  <c r="B67" i="18"/>
  <c r="B76" i="18"/>
  <c r="B75" i="18"/>
  <c r="B74" i="18"/>
  <c r="B73" i="18"/>
  <c r="B70" i="18"/>
  <c r="B72" i="18"/>
  <c r="B71" i="18"/>
  <c r="B79" i="18"/>
  <c r="B66" i="18"/>
  <c r="B78" i="18"/>
  <c r="B68" i="18"/>
  <c r="B77" i="18"/>
  <c r="B69" i="18"/>
  <c r="AO21" i="2"/>
  <c r="AM905" i="11"/>
  <c r="BE27" i="4"/>
  <c r="BF27" i="4" s="1"/>
  <c r="BG26" i="4" s="1"/>
  <c r="O853" i="11"/>
  <c r="O858" i="11"/>
  <c r="O852" i="11"/>
  <c r="O859" i="11"/>
  <c r="O856" i="11"/>
  <c r="O851" i="11"/>
  <c r="E851" i="11"/>
  <c r="AC666" i="11"/>
  <c r="X363" i="11"/>
  <c r="V197" i="3" s="1"/>
  <c r="P15" i="26"/>
  <c r="AR256" i="25"/>
  <c r="AQ256" i="25" s="1"/>
  <c r="AP256" i="25" s="1"/>
  <c r="AO256" i="25" s="1"/>
  <c r="AN256" i="25" s="1"/>
  <c r="AM256" i="25" s="1"/>
  <c r="AL256" i="25" s="1"/>
  <c r="V108" i="3"/>
  <c r="T145" i="3"/>
  <c r="T160" i="3"/>
  <c r="T147" i="3"/>
  <c r="T162" i="3"/>
  <c r="T163" i="3"/>
  <c r="T173" i="3"/>
  <c r="T172" i="3"/>
  <c r="T189" i="3"/>
  <c r="T184" i="3"/>
  <c r="T190" i="3"/>
  <c r="T174" i="3"/>
  <c r="T193" i="3"/>
  <c r="T150" i="3"/>
  <c r="T158" i="3"/>
  <c r="T195" i="3"/>
  <c r="T192" i="3"/>
  <c r="C267" i="11"/>
  <c r="H2305" i="11"/>
  <c r="D2305" i="11" s="1"/>
  <c r="C265" i="11"/>
  <c r="T154" i="3"/>
  <c r="T171" i="3"/>
  <c r="T180" i="3"/>
  <c r="T148" i="3"/>
  <c r="T194" i="3"/>
  <c r="T144" i="3"/>
  <c r="T170" i="3"/>
  <c r="T169" i="3"/>
  <c r="T191" i="3"/>
  <c r="T187" i="3"/>
  <c r="T166" i="3"/>
  <c r="T165" i="3"/>
  <c r="T186" i="3"/>
  <c r="T185" i="3"/>
  <c r="T149" i="3"/>
  <c r="T167" i="3"/>
  <c r="T161" i="3"/>
  <c r="V121" i="3"/>
  <c r="AA121" i="3" s="1"/>
  <c r="C12" i="8" s="1"/>
  <c r="V106" i="3"/>
  <c r="E12" i="6"/>
  <c r="R37" i="7" s="1"/>
  <c r="T146" i="3"/>
  <c r="T168" i="3"/>
  <c r="T188" i="3"/>
  <c r="T175" i="3"/>
  <c r="V109" i="3"/>
  <c r="V110" i="3"/>
  <c r="T152" i="3"/>
  <c r="AM898" i="11"/>
  <c r="T176" i="3"/>
  <c r="V111" i="3"/>
  <c r="V103" i="3"/>
  <c r="T177" i="3"/>
  <c r="AM909" i="11"/>
  <c r="V122" i="3"/>
  <c r="V40" i="3"/>
  <c r="T153" i="3"/>
  <c r="C364" i="11"/>
  <c r="C268" i="11"/>
  <c r="V34" i="3"/>
  <c r="V41" i="3"/>
  <c r="V30" i="3"/>
  <c r="AB240" i="11"/>
  <c r="C269" i="11"/>
  <c r="J77" i="2"/>
  <c r="V33" i="3"/>
  <c r="V27" i="3"/>
  <c r="V38" i="3"/>
  <c r="V37" i="3"/>
  <c r="V32" i="3"/>
  <c r="T178" i="3"/>
  <c r="T182" i="3"/>
  <c r="T156" i="3"/>
  <c r="T164" i="3"/>
  <c r="T159" i="3"/>
  <c r="T157" i="3"/>
  <c r="T183" i="3"/>
  <c r="V39" i="3"/>
  <c r="V25" i="3"/>
  <c r="V28" i="3"/>
  <c r="V35" i="3"/>
  <c r="T151" i="3"/>
  <c r="T179" i="3"/>
  <c r="T181" i="3"/>
  <c r="V26" i="3"/>
  <c r="V31" i="3"/>
  <c r="T155" i="3"/>
  <c r="V36" i="3"/>
  <c r="AM897" i="11"/>
  <c r="H17" i="4"/>
  <c r="AB239" i="11"/>
  <c r="AG2236" i="11"/>
  <c r="AG2267" i="11" s="1"/>
  <c r="L2236" i="11"/>
  <c r="L2267"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236" i="11"/>
  <c r="AT65" i="2" s="1"/>
  <c r="L2103" i="11"/>
  <c r="AD176" i="3"/>
  <c r="AD201" i="3"/>
  <c r="E2292" i="11"/>
  <c r="C2294" i="11" a="1"/>
  <c r="C2294" i="11" s="1"/>
  <c r="AX36" i="4"/>
  <c r="CB230" i="11"/>
  <c r="V166" i="3" s="1"/>
  <c r="L858" i="11"/>
  <c r="C266" i="11"/>
  <c r="C363" i="11"/>
  <c r="C379" i="11"/>
  <c r="C315" i="11"/>
  <c r="AB263" i="11"/>
  <c r="AB300" i="11"/>
  <c r="AB238" i="11"/>
  <c r="AG322" i="11"/>
  <c r="D239" i="11" s="1"/>
  <c r="AG468" i="11"/>
  <c r="F241" i="11" s="1"/>
  <c r="E239" i="11" s="1"/>
  <c r="J54" i="2" s="1"/>
  <c r="G54" i="2" s="1"/>
  <c r="M230" i="11"/>
  <c r="X25" i="3" s="1"/>
  <c r="L859" i="11"/>
  <c r="AD800" i="11" s="1"/>
  <c r="AB79" i="4"/>
  <c r="AA92" i="3"/>
  <c r="AB81" i="4"/>
  <c r="R91" i="3"/>
  <c r="L860" i="11"/>
  <c r="AD801" i="11" s="1"/>
  <c r="AA95" i="3"/>
  <c r="AB87" i="4"/>
  <c r="AB73" i="4"/>
  <c r="AH73" i="4" s="1"/>
  <c r="AA94" i="3"/>
  <c r="AB85" i="4"/>
  <c r="AB71" i="4"/>
  <c r="AH71" i="4" s="1"/>
  <c r="L94" i="3"/>
  <c r="AA93" i="3"/>
  <c r="AB83" i="4"/>
  <c r="AB69" i="4"/>
  <c r="AH69" i="4" s="1"/>
  <c r="AA91" i="3"/>
  <c r="T91" i="3"/>
  <c r="P91" i="3"/>
  <c r="N91" i="3"/>
  <c r="BY230" i="11"/>
  <c r="V168" i="3" s="1"/>
  <c r="BZ230" i="11"/>
  <c r="V177" i="3" s="1"/>
  <c r="E230" i="11"/>
  <c r="D26" i="2" s="1"/>
  <c r="U59" i="28"/>
  <c r="W59" i="28" s="1"/>
  <c r="BH230" i="11"/>
  <c r="V151" i="3" s="1"/>
  <c r="CC230" i="11"/>
  <c r="V181" i="3" s="1"/>
  <c r="BR230" i="11"/>
  <c r="V160" i="3" s="1"/>
  <c r="BI230" i="11"/>
  <c r="V153" i="3" s="1"/>
  <c r="CK230" i="11"/>
  <c r="X110" i="3" s="1"/>
  <c r="CF230" i="11"/>
  <c r="V170" i="3" s="1"/>
  <c r="BN230" i="11"/>
  <c r="X111" i="3" s="1"/>
  <c r="BU230" i="11"/>
  <c r="V164" i="3" s="1"/>
  <c r="BE230" i="11"/>
  <c r="V149" i="3" s="1"/>
  <c r="CM230" i="11"/>
  <c r="BT230" i="11"/>
  <c r="V161" i="3" s="1"/>
  <c r="BD230" i="11"/>
  <c r="V144" i="3" s="1"/>
  <c r="BS230" i="11"/>
  <c r="V182" i="3" s="1"/>
  <c r="CG230" i="11"/>
  <c r="V172" i="3" s="1"/>
  <c r="AJ2236" i="11"/>
  <c r="L2065" i="11"/>
  <c r="AD151" i="3"/>
  <c r="O2236" i="11"/>
  <c r="L1974" i="11"/>
  <c r="AD153" i="3"/>
  <c r="AD154" i="3"/>
  <c r="L1988"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CA230" i="11"/>
  <c r="V173" i="3" s="1"/>
  <c r="BF230" i="11"/>
  <c r="V145" i="3" s="1"/>
  <c r="CJ230" i="11"/>
  <c r="X108" i="3" s="1"/>
  <c r="BQ230" i="11"/>
  <c r="V159" i="3" s="1"/>
  <c r="P230" i="11"/>
  <c r="Y28" i="3" s="1"/>
  <c r="CH230" i="11"/>
  <c r="V178" i="3" s="1"/>
  <c r="BP230" i="11"/>
  <c r="V158" i="3" s="1"/>
  <c r="O230" i="11"/>
  <c r="X27" i="3" s="1"/>
  <c r="BK230" i="11"/>
  <c r="V152" i="3" s="1"/>
  <c r="R2236" i="11"/>
  <c r="X2236" i="11"/>
  <c r="AD2236" i="11"/>
  <c r="AA2236" i="11"/>
  <c r="AO894" i="11"/>
  <c r="AP894" i="11" s="1"/>
  <c r="P60" i="3" s="1"/>
  <c r="BV230" i="11"/>
  <c r="V179" i="3" s="1"/>
  <c r="Q230" i="11"/>
  <c r="X103" i="3" s="1"/>
  <c r="CE230" i="11"/>
  <c r="V183" i="3" s="1"/>
  <c r="BM230" i="11"/>
  <c r="V154" i="3" s="1"/>
  <c r="H230" i="11"/>
  <c r="X42" i="3" s="1"/>
  <c r="CD230" i="11"/>
  <c r="V180" i="3" s="1"/>
  <c r="BL230" i="11"/>
  <c r="V174" i="3" s="1"/>
  <c r="F230" i="11"/>
  <c r="V204" i="3" s="1"/>
  <c r="CL230" i="11"/>
  <c r="BC230" i="11"/>
  <c r="V175" i="3" s="1"/>
  <c r="BJ230" i="11"/>
  <c r="V176" i="3" s="1"/>
  <c r="U2236" i="11"/>
  <c r="C397" i="11"/>
  <c r="L2029" i="11"/>
  <c r="AD152" i="3"/>
  <c r="L1978" i="11"/>
  <c r="AD165" i="3"/>
  <c r="AD162" i="3"/>
  <c r="AD173" i="3"/>
  <c r="AD170" i="3"/>
  <c r="AD166" i="3"/>
  <c r="AD163" i="3"/>
  <c r="AD172" i="3"/>
  <c r="AD171" i="3"/>
  <c r="AD167" i="3"/>
  <c r="AD164" i="3"/>
  <c r="AD161" i="3"/>
  <c r="AD169" i="3"/>
  <c r="AD168" i="3"/>
  <c r="H16" i="4"/>
  <c r="AF135" i="3"/>
  <c r="T290" i="11"/>
  <c r="Q292" i="11"/>
  <c r="AF31" i="4"/>
  <c r="B225" i="18"/>
  <c r="Q76" i="2"/>
  <c r="Q2196" i="11"/>
  <c r="W2196" i="11" s="1"/>
  <c r="O2196" i="11"/>
  <c r="Q77" i="2"/>
  <c r="Q2197" i="11"/>
  <c r="W2197" i="11" s="1"/>
  <c r="O2197" i="11"/>
  <c r="Q75" i="2"/>
  <c r="O2195" i="11"/>
  <c r="Q2195" i="11"/>
  <c r="W2195" i="11" s="1"/>
  <c r="C384" i="11"/>
  <c r="C368" i="11"/>
  <c r="P70" i="26"/>
  <c r="C270" i="11"/>
  <c r="C357" i="11"/>
  <c r="C317" i="11"/>
  <c r="C274" i="11"/>
  <c r="C367" i="11"/>
  <c r="AN25" i="2"/>
  <c r="AB254" i="11"/>
  <c r="C276" i="11"/>
  <c r="AB343" i="11"/>
  <c r="C386" i="11"/>
  <c r="C361" i="11"/>
  <c r="AB342" i="11"/>
  <c r="C302" i="11"/>
  <c r="AB336" i="11"/>
  <c r="C290" i="11"/>
  <c r="C337" i="11"/>
  <c r="T291" i="11"/>
  <c r="AB285" i="11"/>
  <c r="C283" i="11"/>
  <c r="C365" i="11"/>
  <c r="C360" i="11"/>
  <c r="C366" i="11"/>
  <c r="AB284" i="11"/>
  <c r="AB281" i="11"/>
  <c r="C289" i="11"/>
  <c r="C291" i="11"/>
  <c r="C307" i="11"/>
  <c r="C297" i="11"/>
  <c r="AB244" i="11"/>
  <c r="AB249" i="11"/>
  <c r="C2293" i="11" a="1"/>
  <c r="C2293"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AB299" i="11"/>
  <c r="AB308" i="11"/>
  <c r="AB291" i="11"/>
  <c r="AB274" i="11"/>
  <c r="AB241" i="11"/>
  <c r="AG193" i="3"/>
  <c r="S2191" i="11" s="1"/>
  <c r="AG190" i="3"/>
  <c r="S2188" i="11" s="1"/>
  <c r="AG186" i="3"/>
  <c r="S2184" i="11" s="1"/>
  <c r="AG179" i="3"/>
  <c r="S2177" i="11" s="1"/>
  <c r="AG176" i="3"/>
  <c r="S2174" i="11" s="1"/>
  <c r="AG172" i="3"/>
  <c r="S2170" i="11" s="1"/>
  <c r="AG170" i="3"/>
  <c r="S2168" i="11" s="1"/>
  <c r="AG168" i="3"/>
  <c r="S2166" i="11" s="1"/>
  <c r="AG166" i="3"/>
  <c r="S2164" i="11" s="1"/>
  <c r="AG164" i="3"/>
  <c r="S2162" i="11" s="1"/>
  <c r="AG162" i="3"/>
  <c r="AG160" i="3"/>
  <c r="S2158" i="11" s="1"/>
  <c r="AG153" i="3"/>
  <c r="S2151" i="11" s="1"/>
  <c r="AG145" i="3"/>
  <c r="S2143" i="11" s="1"/>
  <c r="AG191" i="3"/>
  <c r="S2189" i="11" s="1"/>
  <c r="AG188" i="3"/>
  <c r="S2186" i="11" s="1"/>
  <c r="AG185" i="3"/>
  <c r="S2183" i="11" s="1"/>
  <c r="AG182" i="3"/>
  <c r="S2180" i="11" s="1"/>
  <c r="AG159" i="3"/>
  <c r="S2157" i="11" s="1"/>
  <c r="AG144" i="3"/>
  <c r="S2142" i="11" s="1"/>
  <c r="AG192" i="3"/>
  <c r="S2190" i="11" s="1"/>
  <c r="AG184" i="3"/>
  <c r="S2182" i="11" s="1"/>
  <c r="AG152" i="3"/>
  <c r="S2150" i="11" s="1"/>
  <c r="AG147" i="3"/>
  <c r="S2145" i="11" s="1"/>
  <c r="AG177" i="3"/>
  <c r="S2175" i="11" s="1"/>
  <c r="AG157" i="3"/>
  <c r="S2155" i="11" s="1"/>
  <c r="AG154" i="3"/>
  <c r="S2152" i="11" s="1"/>
  <c r="AG149" i="3"/>
  <c r="S2147" i="11" s="1"/>
  <c r="AG146" i="3"/>
  <c r="S2144" i="11" s="1"/>
  <c r="AG189" i="3"/>
  <c r="S2187" i="11" s="1"/>
  <c r="AG178" i="3"/>
  <c r="S2176" i="11" s="1"/>
  <c r="AG175" i="3"/>
  <c r="S2173" i="11" s="1"/>
  <c r="AG156" i="3"/>
  <c r="S2154" i="11" s="1"/>
  <c r="AG151" i="3"/>
  <c r="S2149" i="11" s="1"/>
  <c r="AG195" i="3"/>
  <c r="S2193" i="11" s="1"/>
  <c r="AG183" i="3"/>
  <c r="S2181" i="11" s="1"/>
  <c r="AG180" i="3"/>
  <c r="S2178" i="11" s="1"/>
  <c r="S2171" i="11"/>
  <c r="AG171" i="3"/>
  <c r="S2169" i="11" s="1"/>
  <c r="AG169" i="3"/>
  <c r="S2167" i="11" s="1"/>
  <c r="AG167" i="3"/>
  <c r="S2165" i="11" s="1"/>
  <c r="AG165" i="3"/>
  <c r="S2163" i="11" s="1"/>
  <c r="AG163" i="3"/>
  <c r="S2161" i="11" s="1"/>
  <c r="AG161" i="3"/>
  <c r="S2159" i="11" s="1"/>
  <c r="AG155" i="3"/>
  <c r="S2153" i="11" s="1"/>
  <c r="AG150" i="3"/>
  <c r="S2148" i="11" s="1"/>
  <c r="AG148" i="3"/>
  <c r="S2146" i="11" s="1"/>
  <c r="AG187" i="3"/>
  <c r="S2185" i="11" s="1"/>
  <c r="AG181" i="3"/>
  <c r="S2179" i="11" s="1"/>
  <c r="AG194" i="3"/>
  <c r="S2192" i="11" s="1"/>
  <c r="AG158" i="3"/>
  <c r="S2156" i="11" s="1"/>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26" i="11"/>
  <c r="AD825" i="11"/>
  <c r="G124" i="30"/>
  <c r="N17" i="29" s="1"/>
  <c r="AD50" i="30"/>
  <c r="BH39" i="30" s="1"/>
  <c r="AE44" i="30"/>
  <c r="AF44" i="30" s="1"/>
  <c r="AG44" i="30" s="1"/>
  <c r="AG45" i="30" s="1"/>
  <c r="BE42" i="30" s="1"/>
  <c r="AB197" i="3"/>
  <c r="BO230" i="11"/>
  <c r="X109" i="3" s="1"/>
  <c r="N230" i="11"/>
  <c r="X26" i="3" s="1"/>
  <c r="AO901" i="11"/>
  <c r="AP901" i="11" s="1"/>
  <c r="P67" i="3" s="1"/>
  <c r="AO910" i="11"/>
  <c r="AP910" i="11" s="1"/>
  <c r="P76" i="3" s="1"/>
  <c r="BX230" i="11"/>
  <c r="V162" i="3" s="1"/>
  <c r="BG230" i="11"/>
  <c r="V191" i="3" s="1"/>
  <c r="AO899" i="11"/>
  <c r="AP899" i="11" s="1"/>
  <c r="P65" i="3" s="1"/>
  <c r="AO903" i="11"/>
  <c r="AP903" i="11" s="1"/>
  <c r="P69" i="3" s="1"/>
  <c r="AO907" i="11"/>
  <c r="AP907" i="11" s="1"/>
  <c r="P73" i="3" s="1"/>
  <c r="AO911" i="11"/>
  <c r="AP911" i="11" s="1"/>
  <c r="P77" i="3" s="1"/>
  <c r="AX5" i="20"/>
  <c r="AE5" i="20"/>
  <c r="BQ5" i="20"/>
  <c r="L28" i="14"/>
  <c r="I5" i="14"/>
  <c r="S9" i="14"/>
  <c r="AD824" i="11"/>
  <c r="AB27" i="2"/>
  <c r="V20" i="3" s="1"/>
  <c r="W20" i="3" s="1"/>
  <c r="K210" i="3" s="1"/>
  <c r="AG624" i="11"/>
  <c r="AG625" i="11"/>
  <c r="H1021" i="11"/>
  <c r="AM894" i="11"/>
  <c r="AD820" i="11"/>
  <c r="E2302" i="11"/>
  <c r="E2299" i="11"/>
  <c r="C2318" i="11" a="1"/>
  <c r="C2318" i="11" s="1"/>
  <c r="AD843" i="11"/>
  <c r="AE40" i="30"/>
  <c r="BB40" i="30" s="1"/>
  <c r="L124" i="30"/>
  <c r="N22" i="29" s="1"/>
  <c r="AE4" i="30"/>
  <c r="AE5" i="30" s="1"/>
  <c r="AV6" i="30" s="1"/>
  <c r="F124" i="30"/>
  <c r="N16" i="29" s="1"/>
  <c r="H124" i="30"/>
  <c r="N18" i="29" s="1"/>
  <c r="AR663" i="11"/>
  <c r="AT663" i="11" s="1"/>
  <c r="AN665" i="11"/>
  <c r="AM664" i="11"/>
  <c r="AM663" i="11" s="1"/>
  <c r="AT664" i="11"/>
  <c r="AD829" i="11"/>
  <c r="AH662" i="11"/>
  <c r="AD821" i="11"/>
  <c r="AE29" i="30"/>
  <c r="AF29" i="30" s="1"/>
  <c r="K124" i="30"/>
  <c r="N21" i="29" s="1"/>
  <c r="P1299" i="11"/>
  <c r="P1300" i="11" s="1"/>
  <c r="P1301" i="11" s="1"/>
  <c r="P1302" i="11" s="1"/>
  <c r="P1303" i="11" s="1"/>
  <c r="P1304" i="11" s="1"/>
  <c r="P1305" i="11" s="1"/>
  <c r="P1306" i="11" s="1"/>
  <c r="P1307" i="11" s="1"/>
  <c r="AR324" i="25"/>
  <c r="AQ324" i="25" s="1"/>
  <c r="AP324" i="25" s="1"/>
  <c r="AO324" i="25" s="1"/>
  <c r="AN324" i="25" s="1"/>
  <c r="AM324" i="25" s="1"/>
  <c r="AL324" i="25" s="1"/>
  <c r="AR292" i="25"/>
  <c r="AQ292" i="25" s="1"/>
  <c r="AP292" i="25" s="1"/>
  <c r="AO292" i="25" s="1"/>
  <c r="AN292" i="25" s="1"/>
  <c r="AM292" i="25" s="1"/>
  <c r="AL292" i="25" s="1"/>
  <c r="AR188" i="25"/>
  <c r="AQ188" i="25" s="1"/>
  <c r="AP188" i="25" s="1"/>
  <c r="AO188" i="25" s="1"/>
  <c r="AN188" i="25" s="1"/>
  <c r="AM188" i="25" s="1"/>
  <c r="AL188" i="25" s="1"/>
  <c r="AR155" i="25"/>
  <c r="AQ155" i="25" s="1"/>
  <c r="AP155" i="25" s="1"/>
  <c r="AO155" i="25" s="1"/>
  <c r="AN155" i="25" s="1"/>
  <c r="AM155" i="25" s="1"/>
  <c r="AL155" i="25" s="1"/>
  <c r="AR289" i="25"/>
  <c r="AQ289" i="25" s="1"/>
  <c r="AP289" i="25" s="1"/>
  <c r="AO289" i="25" s="1"/>
  <c r="AN289" i="25" s="1"/>
  <c r="AM289" i="25" s="1"/>
  <c r="AL289" i="25" s="1"/>
  <c r="AR257" i="25"/>
  <c r="AQ257" i="25" s="1"/>
  <c r="AP257" i="25" s="1"/>
  <c r="AO257" i="25" s="1"/>
  <c r="AN257" i="25" s="1"/>
  <c r="AM257" i="25" s="1"/>
  <c r="AL257" i="25" s="1"/>
  <c r="AR290" i="25"/>
  <c r="AQ290" i="25" s="1"/>
  <c r="AP290" i="25" s="1"/>
  <c r="AO290" i="25" s="1"/>
  <c r="AN290" i="25" s="1"/>
  <c r="AM290" i="25" s="1"/>
  <c r="AL290" i="25" s="1"/>
  <c r="AR258" i="25"/>
  <c r="AQ258" i="25" s="1"/>
  <c r="AP258" i="25" s="1"/>
  <c r="AO258" i="25" s="1"/>
  <c r="AN258" i="25" s="1"/>
  <c r="AM258" i="25" s="1"/>
  <c r="AL258" i="25" s="1"/>
  <c r="AR153" i="25"/>
  <c r="AQ153" i="25" s="1"/>
  <c r="AP153" i="25" s="1"/>
  <c r="AO153" i="25" s="1"/>
  <c r="AN153" i="25" s="1"/>
  <c r="AM153" i="25" s="1"/>
  <c r="AL153" i="25" s="1"/>
  <c r="AR323" i="25"/>
  <c r="AQ323" i="25" s="1"/>
  <c r="AP323" i="25" s="1"/>
  <c r="AO323" i="25" s="1"/>
  <c r="AN323" i="25" s="1"/>
  <c r="AM323" i="25" s="1"/>
  <c r="AL323" i="25" s="1"/>
  <c r="AR255" i="25"/>
  <c r="AQ255" i="25" s="1"/>
  <c r="AP255" i="25" s="1"/>
  <c r="AO255" i="25" s="1"/>
  <c r="AN255" i="25" s="1"/>
  <c r="AM255" i="25" s="1"/>
  <c r="AL255" i="25" s="1"/>
  <c r="AR223" i="25"/>
  <c r="AQ223" i="25" s="1"/>
  <c r="AP223" i="25" s="1"/>
  <c r="AO223" i="25" s="1"/>
  <c r="AN223" i="25" s="1"/>
  <c r="AM223" i="25" s="1"/>
  <c r="AL223" i="25" s="1"/>
  <c r="AR154" i="25"/>
  <c r="AQ154" i="25" s="1"/>
  <c r="AP154" i="25" s="1"/>
  <c r="AO154" i="25" s="1"/>
  <c r="AN154" i="25" s="1"/>
  <c r="AM154" i="25" s="1"/>
  <c r="AL154"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7" i="25"/>
  <c r="AQ17" i="25" s="1"/>
  <c r="AP17" i="25" s="1"/>
  <c r="AO17" i="25" s="1"/>
  <c r="AN17" i="25" s="1"/>
  <c r="AM17" i="25" s="1"/>
  <c r="AL17" i="25" s="1"/>
  <c r="AX17" i="25" s="1"/>
  <c r="AY17" i="25" s="1"/>
  <c r="AR221" i="25"/>
  <c r="AQ221" i="25" s="1"/>
  <c r="AP221" i="25" s="1"/>
  <c r="AO221" i="25" s="1"/>
  <c r="AN221" i="25" s="1"/>
  <c r="AM221" i="25" s="1"/>
  <c r="AL221" i="25" s="1"/>
  <c r="AR152" i="25"/>
  <c r="AQ152" i="25" s="1"/>
  <c r="AP152" i="25" s="1"/>
  <c r="AO152" i="25" s="1"/>
  <c r="AN152" i="25" s="1"/>
  <c r="AM152" i="25" s="1"/>
  <c r="AL152"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X50" i="25" s="1"/>
  <c r="AY50" i="25" s="1"/>
  <c r="AO58" i="25" s="1"/>
  <c r="I688" i="26" s="1"/>
  <c r="AR18" i="25"/>
  <c r="AQ18" i="25" s="1"/>
  <c r="AP18" i="25" s="1"/>
  <c r="AO18" i="25" s="1"/>
  <c r="AN18" i="25" s="1"/>
  <c r="AM18" i="25" s="1"/>
  <c r="AL18" i="25" s="1"/>
  <c r="AR16" i="25"/>
  <c r="AQ16" i="25" s="1"/>
  <c r="AP16" i="25" s="1"/>
  <c r="AO16" i="25" s="1"/>
  <c r="AN16" i="25" s="1"/>
  <c r="AM16" i="25" s="1"/>
  <c r="AL16" i="25" s="1"/>
  <c r="AX16" i="25" s="1"/>
  <c r="AY16" i="25" s="1"/>
  <c r="AR189" i="25"/>
  <c r="AQ189" i="25" s="1"/>
  <c r="AP189" i="25" s="1"/>
  <c r="AO189" i="25" s="1"/>
  <c r="AN189" i="25" s="1"/>
  <c r="AM189" i="25" s="1"/>
  <c r="AL189"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2120" i="11"/>
  <c r="P1931"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Q269" i="11"/>
  <c r="C19" i="2"/>
  <c r="J654" i="11"/>
  <c r="J808" i="11" s="1"/>
  <c r="AB198" i="3"/>
  <c r="AA24" i="2"/>
  <c r="T269" i="11"/>
  <c r="AB199" i="3"/>
  <c r="L654" i="11"/>
  <c r="AD663" i="11" s="1"/>
  <c r="C133" i="30"/>
  <c r="C134" i="30" s="1"/>
  <c r="C137" i="30" s="1"/>
  <c r="M25" i="29" s="1"/>
  <c r="N26" i="29" s="1"/>
  <c r="C1146" i="11"/>
  <c r="C1145" i="11"/>
  <c r="C1144" i="11"/>
  <c r="Q47" i="4"/>
  <c r="F40" i="4"/>
  <c r="F33" i="4"/>
  <c r="E654" i="11"/>
  <c r="Q33" i="4"/>
  <c r="Q40" i="4"/>
  <c r="F47" i="4"/>
  <c r="B220" i="18"/>
  <c r="B9" i="18"/>
  <c r="B21" i="18"/>
  <c r="I1212" i="11"/>
  <c r="I1209" i="11"/>
  <c r="I1207" i="11"/>
  <c r="I1205" i="11"/>
  <c r="I1211" i="11"/>
  <c r="I1206" i="11"/>
  <c r="I1214" i="11"/>
  <c r="I1213" i="11"/>
  <c r="I1204" i="11"/>
  <c r="I1208" i="11"/>
  <c r="I1210" i="11"/>
  <c r="I16" i="9"/>
  <c r="AL60" i="1"/>
  <c r="AK57" i="1"/>
  <c r="AD25" i="30"/>
  <c r="BH5" i="30" s="1"/>
  <c r="AE24" i="30"/>
  <c r="AE35" i="30"/>
  <c r="AY40" i="30" s="1"/>
  <c r="AF34" i="30"/>
  <c r="E2331" i="11"/>
  <c r="V814" i="11"/>
  <c r="C2330" i="11" a="1"/>
  <c r="C2330" i="11" s="1"/>
  <c r="E2330" i="11"/>
  <c r="V829" i="11"/>
  <c r="AD836" i="11"/>
  <c r="AD833" i="11"/>
  <c r="AD828" i="11"/>
  <c r="AD841" i="11"/>
  <c r="B87" i="18"/>
  <c r="B17" i="18"/>
  <c r="AD835"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AO906" i="11" l="1"/>
  <c r="AP906" i="11" s="1"/>
  <c r="P72" i="3" s="1"/>
  <c r="Y912" i="11"/>
  <c r="H1027" i="11" s="1"/>
  <c r="Y942" i="11"/>
  <c r="H1013" i="11"/>
  <c r="Y924" i="11"/>
  <c r="H1031" i="11" s="1"/>
  <c r="K1013" i="11"/>
  <c r="D24" i="4" s="1"/>
  <c r="I1013" i="11"/>
  <c r="L61" i="3"/>
  <c r="K2241" i="11"/>
  <c r="P256" i="22"/>
  <c r="G2187" i="11"/>
  <c r="I16" i="6"/>
  <c r="H15" i="6"/>
  <c r="P6" i="22" s="1"/>
  <c r="P274" i="22" s="1"/>
  <c r="J2242" i="11"/>
  <c r="S47" i="2"/>
  <c r="R1195" i="11"/>
  <c r="R1197" i="11" s="1"/>
  <c r="R1199" i="11" s="1"/>
  <c r="E27" i="6" s="1"/>
  <c r="AO900" i="11"/>
  <c r="AP900" i="11" s="1"/>
  <c r="P66" i="3" s="1"/>
  <c r="T9" i="11"/>
  <c r="X21" i="14"/>
  <c r="S21" i="14" s="1"/>
  <c r="X30" i="14"/>
  <c r="S30" i="14" s="1"/>
  <c r="X33" i="14"/>
  <c r="S33" i="14" s="1"/>
  <c r="X22" i="14"/>
  <c r="S22" i="14" s="1"/>
  <c r="X27" i="14"/>
  <c r="S27" i="14" s="1"/>
  <c r="X57" i="14"/>
  <c r="X50" i="14"/>
  <c r="S50" i="14" s="1"/>
  <c r="X53" i="14"/>
  <c r="S53" i="14" s="1"/>
  <c r="X46" i="14"/>
  <c r="S46" i="14" s="1"/>
  <c r="X17" i="14"/>
  <c r="S17" i="14" s="1"/>
  <c r="X25" i="14"/>
  <c r="S25" i="14" s="1"/>
  <c r="X31" i="14"/>
  <c r="S31" i="14" s="1"/>
  <c r="X42" i="14"/>
  <c r="S42" i="14" s="1"/>
  <c r="X48" i="14"/>
  <c r="S48" i="14" s="1"/>
  <c r="X19" i="14"/>
  <c r="S19" i="14" s="1"/>
  <c r="X37" i="14"/>
  <c r="S37" i="14" s="1"/>
  <c r="X28" i="14"/>
  <c r="S28" i="14" s="1"/>
  <c r="X20" i="14"/>
  <c r="S20" i="14" s="1"/>
  <c r="X35" i="14"/>
  <c r="S35" i="14" s="1"/>
  <c r="X54" i="14"/>
  <c r="S54" i="14" s="1"/>
  <c r="X55" i="14"/>
  <c r="S55" i="14" s="1"/>
  <c r="X26" i="14"/>
  <c r="S26" i="14" s="1"/>
  <c r="X24" i="14"/>
  <c r="S24" i="14" s="1"/>
  <c r="X36" i="14"/>
  <c r="S36" i="14" s="1"/>
  <c r="X58" i="14"/>
  <c r="S58" i="14" s="1"/>
  <c r="X41" i="14"/>
  <c r="S41" i="14" s="1"/>
  <c r="X43" i="14"/>
  <c r="S43" i="14" s="1"/>
  <c r="X40" i="14"/>
  <c r="S40" i="14" s="1"/>
  <c r="X12" i="14"/>
  <c r="S12" i="14" s="1"/>
  <c r="X47" i="14"/>
  <c r="S47" i="14" s="1"/>
  <c r="H133" i="13"/>
  <c r="C85" i="14" s="1"/>
  <c r="E85" i="14" s="1"/>
  <c r="H229" i="13"/>
  <c r="H230" i="13" s="1"/>
  <c r="B230" i="13" s="1"/>
  <c r="M10" i="14"/>
  <c r="K15" i="14" s="1"/>
  <c r="C20" i="14"/>
  <c r="AI256" i="22"/>
  <c r="AI111" i="22"/>
  <c r="P312" i="22"/>
  <c r="P245" i="22"/>
  <c r="P301" i="22"/>
  <c r="P78" i="22"/>
  <c r="U10" i="11"/>
  <c r="T10" i="11"/>
  <c r="U9" i="11"/>
  <c r="U11" i="11"/>
  <c r="BE61" i="6"/>
  <c r="AJ58" i="11" s="1"/>
  <c r="K21" i="14"/>
  <c r="F472" i="19"/>
  <c r="B459" i="19"/>
  <c r="F466" i="19"/>
  <c r="B453" i="19"/>
  <c r="F468" i="19"/>
  <c r="B455" i="19"/>
  <c r="F470" i="19"/>
  <c r="B457" i="19"/>
  <c r="B450" i="19"/>
  <c r="F463" i="19"/>
  <c r="B452" i="19"/>
  <c r="F465" i="19"/>
  <c r="B454" i="19"/>
  <c r="F467" i="19"/>
  <c r="F464" i="19"/>
  <c r="B451" i="19"/>
  <c r="F474" i="19"/>
  <c r="B461" i="19"/>
  <c r="B456" i="19"/>
  <c r="F469" i="19"/>
  <c r="B458" i="19"/>
  <c r="F471" i="19"/>
  <c r="B460" i="19"/>
  <c r="F473" i="19"/>
  <c r="I2186" i="11"/>
  <c r="P44" i="22"/>
  <c r="P279" i="22"/>
  <c r="P145" i="22"/>
  <c r="AI167" i="22"/>
  <c r="AI212" i="22"/>
  <c r="P323" i="22"/>
  <c r="AI44" i="22"/>
  <c r="AI234" i="22"/>
  <c r="AI301" i="22"/>
  <c r="P122" i="22"/>
  <c r="P178" i="22"/>
  <c r="P234" i="22"/>
  <c r="P100" i="22"/>
  <c r="AI189" i="22"/>
  <c r="AI178" i="22"/>
  <c r="AI323" i="22"/>
  <c r="P212" i="22"/>
  <c r="AI55" i="22"/>
  <c r="AI312" i="22"/>
  <c r="AI245" i="22"/>
  <c r="AI11" i="22"/>
  <c r="AI100" i="22"/>
  <c r="P189" i="22"/>
  <c r="AI122" i="22"/>
  <c r="AI145" i="22"/>
  <c r="AI279" i="22"/>
  <c r="P167" i="22"/>
  <c r="AI78" i="22"/>
  <c r="Z993" i="11"/>
  <c r="BG61" i="6"/>
  <c r="AJ59" i="11" s="1"/>
  <c r="AC564" i="11"/>
  <c r="AC565" i="11" s="1"/>
  <c r="AC566" i="11" s="1"/>
  <c r="AC567" i="11" s="1"/>
  <c r="AO52" i="11"/>
  <c r="V2158" i="11"/>
  <c r="Z118" i="9"/>
  <c r="Z151" i="9"/>
  <c r="Z134" i="9"/>
  <c r="Z120" i="9"/>
  <c r="V2157" i="11"/>
  <c r="U2158" i="11"/>
  <c r="Z150" i="9"/>
  <c r="Z136" i="9"/>
  <c r="AK127" i="9" s="1"/>
  <c r="AE131" i="9" s="1"/>
  <c r="AS21" i="2"/>
  <c r="K6" i="2" s="1"/>
  <c r="M654" i="11" s="1"/>
  <c r="M808" i="11" s="1"/>
  <c r="AI55" i="11"/>
  <c r="I1109" i="11" s="1"/>
  <c r="U2157" i="11"/>
  <c r="U2156" i="11"/>
  <c r="Z119" i="9"/>
  <c r="Z135" i="9"/>
  <c r="W42" i="3"/>
  <c r="AA42" i="3" s="1"/>
  <c r="AO902" i="11"/>
  <c r="AP902" i="11" s="1"/>
  <c r="P68" i="3" s="1"/>
  <c r="L60" i="3"/>
  <c r="L59" i="3"/>
  <c r="G2212" i="11"/>
  <c r="BE13" i="4" a="1"/>
  <c r="BE13" i="4" s="1"/>
  <c r="BF23" i="4"/>
  <c r="AO56" i="11"/>
  <c r="AU63" i="4"/>
  <c r="AU64" i="4" s="1"/>
  <c r="AV64" i="4"/>
  <c r="U39" i="5"/>
  <c r="AO24" i="25"/>
  <c r="I687" i="26" s="1"/>
  <c r="V654" i="11"/>
  <c r="H1061" i="11"/>
  <c r="X1007" i="11"/>
  <c r="X961" i="11"/>
  <c r="H1060" i="11"/>
  <c r="X1005" i="11"/>
  <c r="H1056" i="11"/>
  <c r="X997" i="11"/>
  <c r="H1062" i="11"/>
  <c r="X1009" i="11"/>
  <c r="H1059" i="11"/>
  <c r="X983" i="11"/>
  <c r="H1050" i="11"/>
  <c r="H1057" i="11"/>
  <c r="X999" i="11"/>
  <c r="X979" i="11"/>
  <c r="H1048" i="11"/>
  <c r="H1055" i="11"/>
  <c r="X995" i="11"/>
  <c r="X965" i="11"/>
  <c r="H1044" i="11"/>
  <c r="X973" i="11"/>
  <c r="H1046" i="11"/>
  <c r="X967" i="11"/>
  <c r="H1045" i="11"/>
  <c r="H1063" i="11"/>
  <c r="X1011" i="11"/>
  <c r="X989" i="11"/>
  <c r="H1053" i="11"/>
  <c r="X981" i="11"/>
  <c r="H1049" i="11"/>
  <c r="H1058" i="11"/>
  <c r="X1001" i="11"/>
  <c r="X975" i="11"/>
  <c r="H1047" i="11"/>
  <c r="AU174" i="3"/>
  <c r="AN12" i="9"/>
  <c r="C16" i="9"/>
  <c r="AQ895" i="11"/>
  <c r="AG61" i="3" s="1"/>
  <c r="AN2248" i="11"/>
  <c r="AO2248" i="11" s="1"/>
  <c r="AM2267" i="11"/>
  <c r="AG2243" i="11"/>
  <c r="AM2261" i="11"/>
  <c r="AH2264" i="11"/>
  <c r="AI2264" i="11" s="1"/>
  <c r="AM2266" i="11"/>
  <c r="L2265" i="11"/>
  <c r="L2264" i="11"/>
  <c r="L2261" i="11"/>
  <c r="L2266" i="11"/>
  <c r="AN2249" i="11"/>
  <c r="AO2249" i="11" s="1"/>
  <c r="AM2253" i="11"/>
  <c r="AN2253" i="11"/>
  <c r="AO2253" i="11" s="1"/>
  <c r="AN2242" i="11"/>
  <c r="AO2242" i="11" s="1"/>
  <c r="AN2261" i="11"/>
  <c r="AO2261" i="11" s="1"/>
  <c r="AM2250" i="11"/>
  <c r="AN2259" i="11"/>
  <c r="AO2259" i="11" s="1"/>
  <c r="AM2254" i="11"/>
  <c r="AM2249" i="11"/>
  <c r="AN2266" i="11"/>
  <c r="AO2266" i="11" s="1"/>
  <c r="AM2243" i="11"/>
  <c r="M2246" i="11"/>
  <c r="N2246" i="11" s="1"/>
  <c r="M2257" i="11"/>
  <c r="N2257" i="11" s="1"/>
  <c r="AH2253" i="11"/>
  <c r="AI2253" i="11" s="1"/>
  <c r="AR224" i="25"/>
  <c r="AQ224" i="25" s="1"/>
  <c r="AP224" i="25" s="1"/>
  <c r="AO224" i="25" s="1"/>
  <c r="AN224" i="25" s="1"/>
  <c r="AM224" i="25" s="1"/>
  <c r="AL224" i="25" s="1"/>
  <c r="AW224" i="25" s="1" a="1"/>
  <c r="AW224" i="25" s="1"/>
  <c r="N224" i="25" s="1"/>
  <c r="AR187" i="25"/>
  <c r="AQ187" i="25" s="1"/>
  <c r="AP187" i="25" s="1"/>
  <c r="AO187" i="25" s="1"/>
  <c r="AN187" i="25" s="1"/>
  <c r="AM187" i="25" s="1"/>
  <c r="AL187" i="25" s="1"/>
  <c r="AW187" i="25" s="1" a="1"/>
  <c r="AW187" i="25" s="1"/>
  <c r="N187" i="25" s="1"/>
  <c r="AR259" i="25"/>
  <c r="AQ259" i="25" s="1"/>
  <c r="AP259" i="25" s="1"/>
  <c r="AO259" i="25" s="1"/>
  <c r="AN259" i="25" s="1"/>
  <c r="AM259" i="25" s="1"/>
  <c r="AL259" i="25" s="1"/>
  <c r="AV259" i="25" s="1"/>
  <c r="AT259" i="25" s="1" a="1"/>
  <c r="AT259" i="25" s="1"/>
  <c r="O259" i="25" s="1"/>
  <c r="AR190" i="25"/>
  <c r="AQ190" i="25" s="1"/>
  <c r="AP190" i="25" s="1"/>
  <c r="AO190" i="25" s="1"/>
  <c r="AN190" i="25" s="1"/>
  <c r="AM190" i="25" s="1"/>
  <c r="AL190" i="25" s="1"/>
  <c r="AW190" i="25" s="1" a="1"/>
  <c r="AW190" i="25" s="1"/>
  <c r="N190" i="25" s="1"/>
  <c r="AR326" i="25"/>
  <c r="AQ326" i="25" s="1"/>
  <c r="AP326" i="25" s="1"/>
  <c r="AO326" i="25" s="1"/>
  <c r="AN326" i="25" s="1"/>
  <c r="AM326" i="25" s="1"/>
  <c r="AL326" i="25" s="1"/>
  <c r="AW326" i="25" s="1" a="1"/>
  <c r="AW326" i="25" s="1"/>
  <c r="N326" i="25" s="1"/>
  <c r="AR293" i="25"/>
  <c r="AQ293" i="25" s="1"/>
  <c r="AP293" i="25" s="1"/>
  <c r="AO293" i="25" s="1"/>
  <c r="AN293" i="25" s="1"/>
  <c r="AM293" i="25" s="1"/>
  <c r="AL293" i="25" s="1"/>
  <c r="AW293" i="25" s="1" a="1"/>
  <c r="AW293" i="25" s="1"/>
  <c r="N293" i="25" s="1"/>
  <c r="AR327" i="25"/>
  <c r="AQ327" i="25" s="1"/>
  <c r="AP327" i="25" s="1"/>
  <c r="AO327" i="25" s="1"/>
  <c r="AN327" i="25" s="1"/>
  <c r="AM327" i="25" s="1"/>
  <c r="AL327" i="25" s="1"/>
  <c r="AR156" i="25"/>
  <c r="AQ156" i="25" s="1"/>
  <c r="AP156" i="25" s="1"/>
  <c r="AO156" i="25" s="1"/>
  <c r="AN156" i="25" s="1"/>
  <c r="AM156" i="25" s="1"/>
  <c r="AL156" i="25" s="1"/>
  <c r="AW156" i="25" s="1" a="1"/>
  <c r="AW156" i="25" s="1"/>
  <c r="N156" i="25" s="1"/>
  <c r="AR20" i="25"/>
  <c r="AQ20" i="25" s="1"/>
  <c r="AP20" i="25" s="1"/>
  <c r="AO20" i="25" s="1"/>
  <c r="AN20" i="25" s="1"/>
  <c r="AM20" i="25" s="1"/>
  <c r="AL20" i="25" s="1"/>
  <c r="AW20" i="25" s="1" a="1"/>
  <c r="AW20" i="25" s="1"/>
  <c r="N20" i="25" s="1"/>
  <c r="AR118" i="25"/>
  <c r="AQ118" i="25" s="1"/>
  <c r="AP118" i="25" s="1"/>
  <c r="AO118" i="25" s="1"/>
  <c r="AN118" i="25" s="1"/>
  <c r="AM118" i="25" s="1"/>
  <c r="AL118" i="25" s="1"/>
  <c r="AV118" i="25" s="1"/>
  <c r="AT118" i="25" s="1" a="1"/>
  <c r="AT118" i="25" s="1"/>
  <c r="AR121" i="25"/>
  <c r="AQ121" i="25" s="1"/>
  <c r="AP121" i="25" s="1"/>
  <c r="AO121" i="25" s="1"/>
  <c r="AN121" i="25" s="1"/>
  <c r="AM121" i="25" s="1"/>
  <c r="AL121" i="25" s="1"/>
  <c r="AW121" i="25" s="1" a="1"/>
  <c r="AW121" i="25" s="1"/>
  <c r="N121" i="25" s="1"/>
  <c r="AR19" i="25"/>
  <c r="AQ19" i="25" s="1"/>
  <c r="AP19" i="25" s="1"/>
  <c r="AO19" i="25" s="1"/>
  <c r="AN19" i="25" s="1"/>
  <c r="AM19" i="25" s="1"/>
  <c r="AL19" i="25" s="1"/>
  <c r="AW19" i="25" s="1" a="1"/>
  <c r="AW19" i="25" s="1"/>
  <c r="N19" i="25" s="1"/>
  <c r="AR120" i="25"/>
  <c r="AQ120" i="25" s="1"/>
  <c r="AP120" i="25" s="1"/>
  <c r="AO120" i="25" s="1"/>
  <c r="AN120" i="25" s="1"/>
  <c r="AM120" i="25" s="1"/>
  <c r="AL120" i="25" s="1"/>
  <c r="AW120" i="25" s="1" a="1"/>
  <c r="AW120" i="25" s="1"/>
  <c r="N120" i="25" s="1"/>
  <c r="AR191" i="25"/>
  <c r="AQ191" i="25" s="1"/>
  <c r="AP191" i="25" s="1"/>
  <c r="AO191" i="25" s="1"/>
  <c r="AN191" i="25" s="1"/>
  <c r="AM191" i="25" s="1"/>
  <c r="AL191" i="25" s="1"/>
  <c r="AV191" i="25" s="1"/>
  <c r="AT191" i="25" s="1" a="1"/>
  <c r="AT191" i="25" s="1"/>
  <c r="O191" i="25" s="1"/>
  <c r="AR291" i="25"/>
  <c r="AQ291" i="25" s="1"/>
  <c r="AP291" i="25" s="1"/>
  <c r="AO291" i="25" s="1"/>
  <c r="AN291" i="25" s="1"/>
  <c r="AM291" i="25" s="1"/>
  <c r="AL291" i="25" s="1"/>
  <c r="AW291" i="25" s="1" a="1"/>
  <c r="AW291" i="25" s="1"/>
  <c r="N291" i="25" s="1"/>
  <c r="AR222" i="25"/>
  <c r="AQ222" i="25" s="1"/>
  <c r="AP222" i="25" s="1"/>
  <c r="AO222" i="25" s="1"/>
  <c r="AN222" i="25" s="1"/>
  <c r="AM222" i="25" s="1"/>
  <c r="AL222" i="25" s="1"/>
  <c r="AW222" i="25" s="1" a="1"/>
  <c r="AW222" i="25" s="1"/>
  <c r="N222" i="25" s="1"/>
  <c r="AR225" i="25"/>
  <c r="AQ225" i="25" s="1"/>
  <c r="AP225" i="25" s="1"/>
  <c r="AO225" i="25" s="1"/>
  <c r="AN225" i="25" s="1"/>
  <c r="AM225" i="25" s="1"/>
  <c r="AL225" i="25" s="1"/>
  <c r="AV225" i="25" s="1"/>
  <c r="AT225" i="25" s="1" a="1"/>
  <c r="AT225" i="25" s="1"/>
  <c r="O225" i="25" s="1"/>
  <c r="AR325" i="25"/>
  <c r="AQ325" i="25" s="1"/>
  <c r="AP325" i="25" s="1"/>
  <c r="AO325" i="25" s="1"/>
  <c r="AN325" i="25" s="1"/>
  <c r="AM325" i="25" s="1"/>
  <c r="AL325" i="25" s="1"/>
  <c r="AW325" i="25" s="1" a="1"/>
  <c r="AW325" i="25" s="1"/>
  <c r="N325" i="25" s="1"/>
  <c r="P55" i="22"/>
  <c r="P11" i="22"/>
  <c r="P33" i="22"/>
  <c r="AI33" i="22"/>
  <c r="P111" i="22"/>
  <c r="N114" i="3"/>
  <c r="N135" i="3"/>
  <c r="P96" i="3"/>
  <c r="P135" i="3"/>
  <c r="S96" i="3"/>
  <c r="U96" i="3" s="1"/>
  <c r="O210" i="3"/>
  <c r="AA210" i="3" s="1"/>
  <c r="T210" i="3" s="1"/>
  <c r="P114" i="3"/>
  <c r="N96" i="3"/>
  <c r="AQ898" i="11"/>
  <c r="AR898" i="11" s="1"/>
  <c r="R64" i="3" s="1" a="1"/>
  <c r="R64" i="3" s="1"/>
  <c r="AJ174" i="3"/>
  <c r="AI174" i="3"/>
  <c r="T2172" i="11" s="1"/>
  <c r="X2172" i="11" s="1"/>
  <c r="Y2172" i="11" s="1"/>
  <c r="R293" i="11"/>
  <c r="AF30" i="2" s="1"/>
  <c r="P100" i="26" s="1"/>
  <c r="E2320" i="11"/>
  <c r="AQ896" i="11"/>
  <c r="AS896" i="11" s="1"/>
  <c r="AT896" i="11" s="1"/>
  <c r="T62" i="3" s="1"/>
  <c r="E2322" i="11"/>
  <c r="AQ905" i="11"/>
  <c r="AS905" i="11" s="1"/>
  <c r="AT905" i="11" s="1"/>
  <c r="T71" i="3" s="1"/>
  <c r="E2308" i="11"/>
  <c r="E2312" i="11"/>
  <c r="E2309" i="11"/>
  <c r="E2318" i="11"/>
  <c r="AQ908" i="11"/>
  <c r="AR908" i="11" s="1"/>
  <c r="R74" i="3" s="1" a="1"/>
  <c r="R74" i="3" s="1"/>
  <c r="E2323" i="11"/>
  <c r="E2313" i="11"/>
  <c r="AQ897" i="11"/>
  <c r="AG63" i="3" s="1"/>
  <c r="AQ904" i="11"/>
  <c r="AS904" i="11" s="1"/>
  <c r="AT904" i="11" s="1"/>
  <c r="T70" i="3" s="1"/>
  <c r="AC665" i="11"/>
  <c r="N860" i="11"/>
  <c r="T860" i="11"/>
  <c r="AQ893" i="11"/>
  <c r="AG59" i="3" s="1"/>
  <c r="AE46" i="3" s="1" a="1"/>
  <c r="AE46" i="3" s="1"/>
  <c r="AQ909" i="11"/>
  <c r="AR909" i="11" s="1"/>
  <c r="R75" i="3" s="1" a="1"/>
  <c r="R75" i="3" s="1"/>
  <c r="AN11" i="9"/>
  <c r="E2305" i="11"/>
  <c r="L137" i="11"/>
  <c r="AN9" i="9" s="1"/>
  <c r="C15" i="9"/>
  <c r="AA123" i="3"/>
  <c r="AY6" i="4"/>
  <c r="AY5" i="4" s="1"/>
  <c r="AD15" i="4" s="1"/>
  <c r="I19" i="2" s="1"/>
  <c r="AB236" i="11"/>
  <c r="AN32" i="2" s="1"/>
  <c r="Y111" i="3"/>
  <c r="X28" i="3"/>
  <c r="X2198" i="11"/>
  <c r="AA2198" i="11" s="1"/>
  <c r="Y42" i="3"/>
  <c r="X2196" i="11"/>
  <c r="Y2196" i="11" s="1"/>
  <c r="Q293" i="11"/>
  <c r="G239" i="11" s="1"/>
  <c r="C239" i="11" s="1"/>
  <c r="J34" i="2" s="1"/>
  <c r="X2195" i="11"/>
  <c r="AA2195" i="11" s="1"/>
  <c r="X2194" i="11"/>
  <c r="AA2194" i="11" s="1"/>
  <c r="H58" i="29"/>
  <c r="C58" i="29" s="1"/>
  <c r="Z134" i="29" s="1"/>
  <c r="O40" i="29" s="1"/>
  <c r="M41" i="29" s="1"/>
  <c r="AH44" i="30"/>
  <c r="AH45" i="30" s="1"/>
  <c r="BE43" i="30" s="1"/>
  <c r="AD2191" i="11"/>
  <c r="K2191" i="11" s="1"/>
  <c r="AG629" i="11"/>
  <c r="E2307" i="11"/>
  <c r="E2316" i="11"/>
  <c r="E2317" i="11"/>
  <c r="E2311" i="11"/>
  <c r="E2310" i="11"/>
  <c r="AS15" i="2"/>
  <c r="G15" i="2" s="1"/>
  <c r="J14" i="10" s="1"/>
  <c r="E2315" i="11"/>
  <c r="E2306" i="11"/>
  <c r="E2319" i="11"/>
  <c r="E2314" i="11"/>
  <c r="W107" i="3"/>
  <c r="AA107" i="3" s="1"/>
  <c r="C12" i="6" s="1"/>
  <c r="C29" i="6" s="1"/>
  <c r="W34" i="3"/>
  <c r="AA34" i="3" s="1"/>
  <c r="AO51" i="11"/>
  <c r="E2321" i="11"/>
  <c r="T859" i="11"/>
  <c r="N858" i="11"/>
  <c r="N859" i="11"/>
  <c r="N14" i="10"/>
  <c r="E854" i="11"/>
  <c r="E855" i="11"/>
  <c r="M2252" i="11"/>
  <c r="N2252" i="11" s="1"/>
  <c r="L2239" i="11"/>
  <c r="M2260" i="11"/>
  <c r="N2260" i="11" s="1"/>
  <c r="M2239" i="11"/>
  <c r="N2239" i="11" s="1"/>
  <c r="L2241" i="11"/>
  <c r="M2262" i="11"/>
  <c r="N2262" i="11" s="1"/>
  <c r="M2249" i="11"/>
  <c r="N2249" i="11" s="1"/>
  <c r="L2251" i="11"/>
  <c r="M2264" i="11"/>
  <c r="N2264" i="11" s="1"/>
  <c r="L2242" i="11"/>
  <c r="M2254" i="11"/>
  <c r="N2254" i="11" s="1"/>
  <c r="M2266" i="11"/>
  <c r="N2266" i="11" s="1"/>
  <c r="L2248" i="11"/>
  <c r="M2238" i="11"/>
  <c r="N2238" i="11" s="1"/>
  <c r="L2255" i="11"/>
  <c r="M2253" i="11"/>
  <c r="N2253" i="11" s="1"/>
  <c r="L2257" i="11"/>
  <c r="M2245" i="11"/>
  <c r="N2245" i="11" s="1"/>
  <c r="L2258" i="11"/>
  <c r="L2262" i="11"/>
  <c r="L2263" i="11"/>
  <c r="M2251" i="11"/>
  <c r="N2251" i="11" s="1"/>
  <c r="L2238" i="11"/>
  <c r="L2260" i="11"/>
  <c r="AG2260" i="11"/>
  <c r="AH2265" i="11"/>
  <c r="AI2265" i="11" s="1"/>
  <c r="AH2239" i="11"/>
  <c r="AI2239" i="11" s="1"/>
  <c r="AH2242" i="11"/>
  <c r="AI2242" i="11" s="1"/>
  <c r="AH2249" i="11"/>
  <c r="AI2249" i="11" s="1"/>
  <c r="AG2262" i="11"/>
  <c r="AG2251" i="11"/>
  <c r="AG2257" i="11"/>
  <c r="AG2249" i="11"/>
  <c r="M2244" i="11"/>
  <c r="N2244" i="11" s="1"/>
  <c r="L2240" i="11"/>
  <c r="M2255" i="11"/>
  <c r="N2255" i="11" s="1"/>
  <c r="L2243" i="11"/>
  <c r="L2253" i="11"/>
  <c r="M2259" i="11"/>
  <c r="N2259" i="11" s="1"/>
  <c r="M2242" i="11"/>
  <c r="N2242" i="11" s="1"/>
  <c r="M2240" i="11"/>
  <c r="N2240" i="11" s="1"/>
  <c r="M2243" i="11"/>
  <c r="N2243" i="11" s="1"/>
  <c r="L2246" i="11"/>
  <c r="L2252" i="11"/>
  <c r="L2245" i="11"/>
  <c r="M2256" i="11"/>
  <c r="N2256" i="11" s="1"/>
  <c r="M2261" i="11"/>
  <c r="N2261" i="11" s="1"/>
  <c r="AT56" i="2"/>
  <c r="M2241" i="11"/>
  <c r="N2241" i="11" s="1"/>
  <c r="L2244" i="11"/>
  <c r="L2254" i="11"/>
  <c r="L2247" i="11"/>
  <c r="M2258" i="11"/>
  <c r="N2258" i="11" s="1"/>
  <c r="M2263" i="11"/>
  <c r="N2263" i="11" s="1"/>
  <c r="M2250" i="11"/>
  <c r="N2250" i="11" s="1"/>
  <c r="M2248" i="11"/>
  <c r="N2248" i="11" s="1"/>
  <c r="M2247" i="11"/>
  <c r="N2247" i="11" s="1"/>
  <c r="L2250" i="11"/>
  <c r="L2256" i="11"/>
  <c r="L2249" i="11"/>
  <c r="L2259" i="11"/>
  <c r="M2265" i="11"/>
  <c r="N2265" i="11" s="1"/>
  <c r="AG2244" i="11"/>
  <c r="AH2240" i="11"/>
  <c r="AI2240" i="11" s="1"/>
  <c r="AG2250" i="11"/>
  <c r="Y108" i="3"/>
  <c r="AN2238" i="11"/>
  <c r="AO2238" i="11" s="1"/>
  <c r="AM2255" i="11"/>
  <c r="AN2265" i="11"/>
  <c r="AO2265" i="11" s="1"/>
  <c r="AM2259" i="11"/>
  <c r="AN2262" i="11"/>
  <c r="AO2262" i="11" s="1"/>
  <c r="AN2264" i="11"/>
  <c r="AO2264" i="11" s="1"/>
  <c r="AM2251" i="11"/>
  <c r="AM2252" i="11"/>
  <c r="AN2239" i="11"/>
  <c r="AO2239" i="11" s="1"/>
  <c r="AN2255" i="11"/>
  <c r="AO2255" i="11" s="1"/>
  <c r="AN2263" i="11"/>
  <c r="AO2263" i="11" s="1"/>
  <c r="AM2265" i="11"/>
  <c r="AM2240" i="11"/>
  <c r="AN2246" i="11"/>
  <c r="AO2246" i="11" s="1"/>
  <c r="AN2252" i="11"/>
  <c r="AO2252" i="11" s="1"/>
  <c r="AN2241" i="11"/>
  <c r="AO2241" i="11" s="1"/>
  <c r="AM2257" i="11"/>
  <c r="AM2258" i="11"/>
  <c r="AM2263" i="11"/>
  <c r="AM2239" i="11"/>
  <c r="AM2242" i="11"/>
  <c r="AN2240" i="11"/>
  <c r="AO2240" i="11" s="1"/>
  <c r="AM2256" i="11"/>
  <c r="AN2243" i="11"/>
  <c r="AO2243" i="11" s="1"/>
  <c r="AN2258" i="11"/>
  <c r="AO2258" i="11" s="1"/>
  <c r="AM2260" i="11"/>
  <c r="AM2245" i="11"/>
  <c r="AM2244" i="11"/>
  <c r="AN2250" i="11"/>
  <c r="AO2250" i="11" s="1"/>
  <c r="AN2256" i="11"/>
  <c r="AO2256" i="11" s="1"/>
  <c r="AN2245" i="11"/>
  <c r="AO2245" i="11" s="1"/>
  <c r="AN2257" i="11"/>
  <c r="AO2257" i="11" s="1"/>
  <c r="AM2262" i="11"/>
  <c r="AM2241" i="11"/>
  <c r="AM2247" i="11"/>
  <c r="AM2246" i="11"/>
  <c r="AN2244" i="11"/>
  <c r="AO2244" i="11" s="1"/>
  <c r="AN2254" i="11"/>
  <c r="AO2254" i="11" s="1"/>
  <c r="AN2247" i="11"/>
  <c r="AO2247" i="11" s="1"/>
  <c r="AN2251" i="11"/>
  <c r="AO2251" i="11" s="1"/>
  <c r="AM2264" i="11"/>
  <c r="AM2238" i="11"/>
  <c r="AM2248" i="11"/>
  <c r="AN2260" i="11"/>
  <c r="AO2260" i="11" s="1"/>
  <c r="W104" i="3"/>
  <c r="AH2246" i="11"/>
  <c r="AI2246" i="11" s="1"/>
  <c r="AH2252" i="11"/>
  <c r="AI2252" i="11" s="1"/>
  <c r="AG2264" i="11"/>
  <c r="AG2248" i="11"/>
  <c r="AG2247" i="11"/>
  <c r="AG2254" i="11"/>
  <c r="AH2251" i="11"/>
  <c r="AI2251" i="11" s="1"/>
  <c r="AH2244" i="11"/>
  <c r="AI2244" i="11" s="1"/>
  <c r="AH2258" i="11"/>
  <c r="AI2258" i="11" s="1"/>
  <c r="AG2261" i="11"/>
  <c r="AG2266" i="11"/>
  <c r="AH2263" i="11"/>
  <c r="AI2263" i="11" s="1"/>
  <c r="AG2252" i="11"/>
  <c r="AH2243" i="11"/>
  <c r="AI2243" i="11" s="1"/>
  <c r="AH2257" i="11"/>
  <c r="AI2257" i="11" s="1"/>
  <c r="AH2250" i="11"/>
  <c r="AI2250" i="11" s="1"/>
  <c r="AG2259" i="11"/>
  <c r="AH2254" i="11"/>
  <c r="AI2254" i="11" s="1"/>
  <c r="AH2261" i="11"/>
  <c r="AI2261" i="11" s="1"/>
  <c r="AH2241" i="11"/>
  <c r="AI2241" i="11" s="1"/>
  <c r="AH2259" i="11"/>
  <c r="AI2259" i="11" s="1"/>
  <c r="AH2255" i="11"/>
  <c r="AI2255" i="11" s="1"/>
  <c r="AH2248" i="11"/>
  <c r="AI2248" i="11" s="1"/>
  <c r="AH2260" i="11"/>
  <c r="AI2260" i="11" s="1"/>
  <c r="AG2265" i="11"/>
  <c r="AG2242" i="11"/>
  <c r="AG2241" i="11"/>
  <c r="AH2266" i="11"/>
  <c r="AI2266" i="11" s="1"/>
  <c r="AH2247" i="11"/>
  <c r="AI2247" i="11" s="1"/>
  <c r="AT63" i="2"/>
  <c r="AG2238" i="11"/>
  <c r="AG2263" i="11"/>
  <c r="AG2240" i="11"/>
  <c r="AG2239" i="11"/>
  <c r="AH2245" i="11"/>
  <c r="AI2245" i="11" s="1"/>
  <c r="AG2253" i="11"/>
  <c r="AG2256" i="11"/>
  <c r="AH2256" i="11"/>
  <c r="AI2256" i="11" s="1"/>
  <c r="AH2262" i="11"/>
  <c r="AI2262" i="11" s="1"/>
  <c r="AG2258" i="11"/>
  <c r="AG2246" i="11"/>
  <c r="AG2245" i="11"/>
  <c r="AH2238" i="11"/>
  <c r="AI2238" i="11" s="1"/>
  <c r="AG2255" i="11"/>
  <c r="F14" i="10"/>
  <c r="W103" i="3"/>
  <c r="AA103" i="3" s="1"/>
  <c r="K18" i="6" s="1"/>
  <c r="V48" i="10" s="1"/>
  <c r="H17" i="2"/>
  <c r="W40" i="3"/>
  <c r="AX1084" i="11"/>
  <c r="AX1096" i="11"/>
  <c r="AW1095" i="11"/>
  <c r="D2333" i="11"/>
  <c r="E2333" i="11" s="1"/>
  <c r="D2338" i="11"/>
  <c r="AH81" i="4"/>
  <c r="D2335" i="11"/>
  <c r="D2340" i="11"/>
  <c r="E2340" i="11" s="1"/>
  <c r="AH85" i="4"/>
  <c r="D2339" i="11"/>
  <c r="E2339" i="11" s="1"/>
  <c r="AH83" i="4"/>
  <c r="D2334" i="11"/>
  <c r="D2341" i="11"/>
  <c r="C2341" i="11" s="1" a="1"/>
  <c r="C2341" i="11" s="1"/>
  <c r="AH87" i="4"/>
  <c r="D2337" i="11"/>
  <c r="E2337" i="11" s="1"/>
  <c r="AN57" i="11"/>
  <c r="AO57" i="11" s="1"/>
  <c r="AH79" i="4"/>
  <c r="Y110" i="3"/>
  <c r="Y103" i="3"/>
  <c r="Y109" i="3"/>
  <c r="AW1093" i="11"/>
  <c r="AX1103" i="11"/>
  <c r="U2267" i="11"/>
  <c r="AT59" i="2"/>
  <c r="V2255" i="11"/>
  <c r="W2255" i="11" s="1"/>
  <c r="V2251" i="11"/>
  <c r="W2251" i="11" s="1"/>
  <c r="V2265" i="11"/>
  <c r="W2265" i="11" s="1"/>
  <c r="V2263" i="11"/>
  <c r="W2263" i="11" s="1"/>
  <c r="V2261" i="11"/>
  <c r="W2261" i="11" s="1"/>
  <c r="V2259" i="11"/>
  <c r="W2259" i="11" s="1"/>
  <c r="U2257" i="11"/>
  <c r="U2253" i="11"/>
  <c r="V2249" i="11"/>
  <c r="W2249" i="11" s="1"/>
  <c r="V2245" i="11"/>
  <c r="W2245" i="11" s="1"/>
  <c r="V2241" i="11"/>
  <c r="W2241" i="11" s="1"/>
  <c r="U2247" i="11"/>
  <c r="U2243" i="11"/>
  <c r="U2239" i="11"/>
  <c r="U2251" i="11"/>
  <c r="U2246" i="11"/>
  <c r="V2264" i="11"/>
  <c r="W2264" i="11" s="1"/>
  <c r="U2248" i="11"/>
  <c r="U2240" i="11"/>
  <c r="U2264" i="11"/>
  <c r="U2260" i="11"/>
  <c r="U2263" i="11"/>
  <c r="U2259" i="11"/>
  <c r="V2262" i="11"/>
  <c r="W2262" i="11" s="1"/>
  <c r="U2258" i="11"/>
  <c r="V2254" i="11"/>
  <c r="W2254" i="11" s="1"/>
  <c r="U2238" i="11"/>
  <c r="V2252" i="11"/>
  <c r="W2252" i="11" s="1"/>
  <c r="V2250" i="11"/>
  <c r="W2250" i="11" s="1"/>
  <c r="V2246" i="11"/>
  <c r="W2246" i="11" s="1"/>
  <c r="V2242" i="11"/>
  <c r="W2242" i="11" s="1"/>
  <c r="V2257" i="11"/>
  <c r="W2257" i="11" s="1"/>
  <c r="V2253" i="11"/>
  <c r="W2253" i="11" s="1"/>
  <c r="V2266" i="11"/>
  <c r="W2266" i="11" s="1"/>
  <c r="U2255" i="11"/>
  <c r="V2247" i="11"/>
  <c r="W2247" i="11" s="1"/>
  <c r="V2243" i="11"/>
  <c r="W2243" i="11" s="1"/>
  <c r="V2239" i="11"/>
  <c r="W2239" i="11" s="1"/>
  <c r="V2238" i="11"/>
  <c r="W2238" i="11" s="1"/>
  <c r="V2260" i="11"/>
  <c r="W2260" i="11" s="1"/>
  <c r="U2249" i="11"/>
  <c r="U2245" i="11"/>
  <c r="U2241" i="11"/>
  <c r="U2250" i="11"/>
  <c r="U2242" i="11"/>
  <c r="U2244" i="11"/>
  <c r="U2266" i="11"/>
  <c r="U2262" i="11"/>
  <c r="U2265" i="11"/>
  <c r="U2261" i="11"/>
  <c r="V2256" i="11"/>
  <c r="W2256" i="11" s="1"/>
  <c r="U2256" i="11"/>
  <c r="U2254" i="11"/>
  <c r="V2248" i="11"/>
  <c r="W2248" i="11" s="1"/>
  <c r="V2244" i="11"/>
  <c r="W2244" i="11" s="1"/>
  <c r="V2240" i="11"/>
  <c r="W2240" i="11" s="1"/>
  <c r="V2258" i="11"/>
  <c r="W2258" i="11" s="1"/>
  <c r="U2252" i="11"/>
  <c r="AD2267" i="11"/>
  <c r="AT62" i="2"/>
  <c r="AE2263" i="11"/>
  <c r="AF2263" i="11" s="1"/>
  <c r="AE2259" i="11"/>
  <c r="AF2259" i="11" s="1"/>
  <c r="AE2266" i="11"/>
  <c r="AF2266" i="11" s="1"/>
  <c r="AE2262" i="11"/>
  <c r="AF2262" i="11" s="1"/>
  <c r="AE2258" i="11"/>
  <c r="AF2258" i="11" s="1"/>
  <c r="AD2258" i="11"/>
  <c r="AE2257" i="11"/>
  <c r="AF2257" i="11" s="1"/>
  <c r="AD2254" i="11"/>
  <c r="AE2255" i="11"/>
  <c r="AF2255" i="11" s="1"/>
  <c r="AD2252" i="11"/>
  <c r="AD2250" i="11"/>
  <c r="AD2246" i="11"/>
  <c r="AD2242" i="11"/>
  <c r="AE2238" i="11"/>
  <c r="AF2238" i="11" s="1"/>
  <c r="AD2260" i="11"/>
  <c r="AD2257" i="11"/>
  <c r="AD2253" i="11"/>
  <c r="AE2254" i="11"/>
  <c r="AF2254" i="11" s="1"/>
  <c r="AD2247" i="11"/>
  <c r="AD2243" i="11"/>
  <c r="AD2239" i="11"/>
  <c r="AD2238" i="11"/>
  <c r="AE2248" i="11"/>
  <c r="AF2248" i="11" s="1"/>
  <c r="AE2244" i="11"/>
  <c r="AF2244" i="11" s="1"/>
  <c r="AE2240" i="11"/>
  <c r="AF2240" i="11" s="1"/>
  <c r="AE2245" i="11"/>
  <c r="AF2245" i="11" s="1"/>
  <c r="AE2247" i="11"/>
  <c r="AF2247" i="11" s="1"/>
  <c r="AE2239" i="11"/>
  <c r="AF2239" i="11" s="1"/>
  <c r="AE2265" i="11"/>
  <c r="AF2265" i="11" s="1"/>
  <c r="AE2261" i="11"/>
  <c r="AF2261" i="11" s="1"/>
  <c r="AE2264" i="11"/>
  <c r="AF2264" i="11" s="1"/>
  <c r="AE2260" i="11"/>
  <c r="AF2260" i="11" s="1"/>
  <c r="AD2256" i="11"/>
  <c r="AD2262" i="11"/>
  <c r="AD2248" i="11"/>
  <c r="AD2244" i="11"/>
  <c r="AD2240" i="11"/>
  <c r="AE2253" i="11"/>
  <c r="AF2253" i="11" s="1"/>
  <c r="AD2255" i="11"/>
  <c r="AD2251" i="11"/>
  <c r="AD2265" i="11"/>
  <c r="AD2263" i="11"/>
  <c r="AD2261" i="11"/>
  <c r="AD2259" i="11"/>
  <c r="AE2256" i="11"/>
  <c r="AF2256" i="11" s="1"/>
  <c r="AE2252" i="11"/>
  <c r="AF2252" i="11" s="1"/>
  <c r="AD2249" i="11"/>
  <c r="AD2245" i="11"/>
  <c r="AD2241" i="11"/>
  <c r="AD2264" i="11"/>
  <c r="AE2250" i="11"/>
  <c r="AF2250" i="11" s="1"/>
  <c r="AE2246" i="11"/>
  <c r="AF2246" i="11" s="1"/>
  <c r="AE2242" i="11"/>
  <c r="AF2242" i="11" s="1"/>
  <c r="AD2266" i="11"/>
  <c r="AE2251" i="11"/>
  <c r="AF2251" i="11" s="1"/>
  <c r="AE2249" i="11"/>
  <c r="AF2249" i="11" s="1"/>
  <c r="AE2241" i="11"/>
  <c r="AF2241" i="11" s="1"/>
  <c r="AE2243" i="11"/>
  <c r="AF2243" i="11" s="1"/>
  <c r="AQ894"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267" i="11"/>
  <c r="AT60" i="2"/>
  <c r="Y2264" i="11"/>
  <c r="Z2264" i="11" s="1"/>
  <c r="Y2260" i="11"/>
  <c r="Z2260" i="11" s="1"/>
  <c r="Y2263" i="11"/>
  <c r="Z2263" i="11" s="1"/>
  <c r="Y2259" i="11"/>
  <c r="Z2259" i="11" s="1"/>
  <c r="X2265" i="11"/>
  <c r="X2261" i="11"/>
  <c r="X2257" i="11"/>
  <c r="Y2238" i="11"/>
  <c r="Z2238" i="11" s="1"/>
  <c r="X2247" i="11"/>
  <c r="X2243" i="11"/>
  <c r="X2239" i="11"/>
  <c r="Y2250" i="11"/>
  <c r="Z2250" i="11" s="1"/>
  <c r="Y2246" i="11"/>
  <c r="Z2246" i="11" s="1"/>
  <c r="Y2242" i="11"/>
  <c r="Z2242" i="11" s="1"/>
  <c r="Y2251" i="11"/>
  <c r="Z2251" i="11" s="1"/>
  <c r="Y2256" i="11"/>
  <c r="Z2256" i="11" s="1"/>
  <c r="X2266" i="11"/>
  <c r="X2258" i="11"/>
  <c r="X2254" i="11"/>
  <c r="Y2255" i="11"/>
  <c r="Z2255" i="11" s="1"/>
  <c r="X2260" i="11"/>
  <c r="X2248" i="11"/>
  <c r="X2244" i="11"/>
  <c r="X2240" i="11"/>
  <c r="Y2252" i="11"/>
  <c r="Z2252" i="11" s="1"/>
  <c r="Y2249" i="11"/>
  <c r="Z2249" i="11" s="1"/>
  <c r="Y2245" i="11"/>
  <c r="Z2245" i="11" s="1"/>
  <c r="Y2241" i="11"/>
  <c r="Z2241" i="11" s="1"/>
  <c r="Y2258" i="11"/>
  <c r="Z2258" i="11" s="1"/>
  <c r="X2262" i="11"/>
  <c r="Y2266" i="11"/>
  <c r="Z2266" i="11" s="1"/>
  <c r="Y2262" i="11"/>
  <c r="Z2262" i="11" s="1"/>
  <c r="Y2265" i="11"/>
  <c r="Z2265" i="11" s="1"/>
  <c r="Y2261" i="11"/>
  <c r="Z2261" i="11" s="1"/>
  <c r="X2263" i="11"/>
  <c r="X2259" i="11"/>
  <c r="X2251" i="11"/>
  <c r="X2255" i="11"/>
  <c r="X2253" i="11"/>
  <c r="X2249" i="11"/>
  <c r="X2245" i="11"/>
  <c r="X2241" i="11"/>
  <c r="X2238" i="11"/>
  <c r="Y2248" i="11"/>
  <c r="Z2248" i="11" s="1"/>
  <c r="Y2244" i="11"/>
  <c r="Z2244" i="11" s="1"/>
  <c r="Y2240" i="11"/>
  <c r="Z2240" i="11" s="1"/>
  <c r="X2256" i="11"/>
  <c r="X2252" i="11"/>
  <c r="Y2257" i="11"/>
  <c r="Z2257" i="11" s="1"/>
  <c r="Y2253" i="11"/>
  <c r="Z2253" i="11" s="1"/>
  <c r="Y2254" i="11"/>
  <c r="Z2254" i="11" s="1"/>
  <c r="X2250" i="11"/>
  <c r="X2246" i="11"/>
  <c r="X2242" i="11"/>
  <c r="Y2247" i="11"/>
  <c r="Z2247" i="11" s="1"/>
  <c r="Y2243" i="11"/>
  <c r="Z2243" i="11" s="1"/>
  <c r="Y2239" i="11"/>
  <c r="Z2239" i="11" s="1"/>
  <c r="X2264" i="11"/>
  <c r="R2267" i="11"/>
  <c r="AT58" i="2"/>
  <c r="S2265" i="11"/>
  <c r="T2265" i="11" s="1"/>
  <c r="S2261" i="11"/>
  <c r="T2261" i="11" s="1"/>
  <c r="S2264" i="11"/>
  <c r="T2264" i="11" s="1"/>
  <c r="S2260" i="11"/>
  <c r="T2260" i="11" s="1"/>
  <c r="R2252" i="11"/>
  <c r="R2248" i="11"/>
  <c r="R2244" i="11"/>
  <c r="R2240" i="11"/>
  <c r="R2255" i="11"/>
  <c r="R2251" i="11"/>
  <c r="S2256" i="11"/>
  <c r="T2256" i="11" s="1"/>
  <c r="S2252" i="11"/>
  <c r="T2252" i="11" s="1"/>
  <c r="S2255" i="11"/>
  <c r="T2255" i="11" s="1"/>
  <c r="R2249" i="11"/>
  <c r="R2245" i="11"/>
  <c r="R2241" i="11"/>
  <c r="S2250" i="11"/>
  <c r="T2250" i="11" s="1"/>
  <c r="S2246" i="11"/>
  <c r="T2246" i="11" s="1"/>
  <c r="S2242" i="11"/>
  <c r="T2242" i="11" s="1"/>
  <c r="R2263" i="11"/>
  <c r="R2254" i="11"/>
  <c r="S2249" i="11"/>
  <c r="T2249" i="11" s="1"/>
  <c r="S2245" i="11"/>
  <c r="T2245" i="11" s="1"/>
  <c r="S2241" i="11"/>
  <c r="T2241" i="11" s="1"/>
  <c r="S2263" i="11"/>
  <c r="T2263" i="11" s="1"/>
  <c r="S2259" i="11"/>
  <c r="T2259" i="11" s="1"/>
  <c r="S2266" i="11"/>
  <c r="T2266" i="11" s="1"/>
  <c r="S2262" i="11"/>
  <c r="T2262" i="11" s="1"/>
  <c r="R2264" i="11"/>
  <c r="R2262" i="11"/>
  <c r="R2260" i="11"/>
  <c r="R2265" i="11"/>
  <c r="R2258" i="11"/>
  <c r="R2256" i="11"/>
  <c r="R2250" i="11"/>
  <c r="R2246" i="11"/>
  <c r="R2242" i="11"/>
  <c r="R2266" i="11"/>
  <c r="R2257" i="11"/>
  <c r="R2253" i="11"/>
  <c r="S2258" i="11"/>
  <c r="T2258" i="11" s="1"/>
  <c r="S2254" i="11"/>
  <c r="T2254" i="11" s="1"/>
  <c r="R2259" i="11"/>
  <c r="S2251" i="11"/>
  <c r="T2251" i="11" s="1"/>
  <c r="R2247" i="11"/>
  <c r="R2243" i="11"/>
  <c r="R2239" i="11"/>
  <c r="R2238" i="11"/>
  <c r="S2253" i="11"/>
  <c r="T2253" i="11" s="1"/>
  <c r="S2248" i="11"/>
  <c r="T2248" i="11" s="1"/>
  <c r="S2244" i="11"/>
  <c r="T2244" i="11" s="1"/>
  <c r="S2240" i="11"/>
  <c r="T2240" i="11" s="1"/>
  <c r="R2261" i="11"/>
  <c r="S2247" i="11"/>
  <c r="T2247" i="11" s="1"/>
  <c r="S2243" i="11"/>
  <c r="T2243" i="11" s="1"/>
  <c r="S2239" i="11"/>
  <c r="T2239" i="11" s="1"/>
  <c r="S2257" i="11"/>
  <c r="T2257" i="11" s="1"/>
  <c r="S2238" i="11"/>
  <c r="T2238"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267" i="11"/>
  <c r="AT64" i="2"/>
  <c r="AK2266" i="11"/>
  <c r="AL2266" i="11" s="1"/>
  <c r="AK2262" i="11"/>
  <c r="AL2262" i="11" s="1"/>
  <c r="AK2258" i="11"/>
  <c r="AL2258" i="11" s="1"/>
  <c r="AK2265" i="11"/>
  <c r="AL2265" i="11" s="1"/>
  <c r="AK2261" i="11"/>
  <c r="AL2261" i="11" s="1"/>
  <c r="AJ2262" i="11"/>
  <c r="AJ2258" i="11"/>
  <c r="AJ2253" i="11"/>
  <c r="AJ2263" i="11"/>
  <c r="AJ2249" i="11"/>
  <c r="AJ2245" i="11"/>
  <c r="AJ2241" i="11"/>
  <c r="AJ2238" i="11"/>
  <c r="AJ2255" i="11"/>
  <c r="AJ2256" i="11"/>
  <c r="AJ2252" i="11"/>
  <c r="AK2257" i="11"/>
  <c r="AL2257" i="11" s="1"/>
  <c r="AK2253" i="11"/>
  <c r="AL2253" i="11" s="1"/>
  <c r="AJ2250" i="11"/>
  <c r="AJ2246" i="11"/>
  <c r="AJ2242" i="11"/>
  <c r="AK2247" i="11"/>
  <c r="AL2247" i="11" s="1"/>
  <c r="AK2243" i="11"/>
  <c r="AL2243" i="11" s="1"/>
  <c r="AK2239" i="11"/>
  <c r="AL2239" i="11" s="1"/>
  <c r="AK2250" i="11"/>
  <c r="AL2250" i="11" s="1"/>
  <c r="AK2242" i="11"/>
  <c r="AL2242" i="11" s="1"/>
  <c r="AK2244" i="11"/>
  <c r="AL2244" i="11" s="1"/>
  <c r="AK2264" i="11"/>
  <c r="AL2264" i="11" s="1"/>
  <c r="AK2260" i="11"/>
  <c r="AL2260" i="11" s="1"/>
  <c r="AK2263" i="11"/>
  <c r="AL2263" i="11" s="1"/>
  <c r="AK2259" i="11"/>
  <c r="AL2259" i="11" s="1"/>
  <c r="AJ2264" i="11"/>
  <c r="AJ2260" i="11"/>
  <c r="AK2256" i="11"/>
  <c r="AL2256" i="11" s="1"/>
  <c r="AK2238" i="11"/>
  <c r="AL2238" i="11" s="1"/>
  <c r="AJ2257" i="11"/>
  <c r="AK2254" i="11"/>
  <c r="AL2254" i="11" s="1"/>
  <c r="AK2251" i="11"/>
  <c r="AL2251" i="11" s="1"/>
  <c r="AJ2247" i="11"/>
  <c r="AJ2243" i="11"/>
  <c r="AJ2239" i="11"/>
  <c r="AJ2259" i="11"/>
  <c r="AK2252" i="11"/>
  <c r="AL2252" i="11" s="1"/>
  <c r="AJ2266" i="11"/>
  <c r="AJ2254" i="11"/>
  <c r="AK2255" i="11"/>
  <c r="AL2255" i="11" s="1"/>
  <c r="AJ2265" i="11"/>
  <c r="AJ2248" i="11"/>
  <c r="AJ2244" i="11"/>
  <c r="AJ2240" i="11"/>
  <c r="AK2249" i="11"/>
  <c r="AL2249" i="11" s="1"/>
  <c r="AK2245" i="11"/>
  <c r="AL2245" i="11" s="1"/>
  <c r="AK2241" i="11"/>
  <c r="AL2241" i="11" s="1"/>
  <c r="AJ2261" i="11"/>
  <c r="AK2246" i="11"/>
  <c r="AL2246" i="11" s="1"/>
  <c r="AJ2251" i="11"/>
  <c r="AK2248" i="11"/>
  <c r="AL2248" i="11" s="1"/>
  <c r="AK2240" i="11"/>
  <c r="AL2240" i="11" s="1"/>
  <c r="AB375" i="11"/>
  <c r="AB379" i="11"/>
  <c r="AA2267" i="11"/>
  <c r="AT61" i="2"/>
  <c r="AB2266" i="11"/>
  <c r="AC2266" i="11" s="1"/>
  <c r="AB2254" i="11"/>
  <c r="AC2254" i="11" s="1"/>
  <c r="AA2256" i="11"/>
  <c r="AA2252" i="11"/>
  <c r="AA2255" i="11"/>
  <c r="AB2248" i="11"/>
  <c r="AC2248" i="11" s="1"/>
  <c r="AB2244" i="11"/>
  <c r="AC2244" i="11" s="1"/>
  <c r="AB2240" i="11"/>
  <c r="AC2240" i="11" s="1"/>
  <c r="AB2251" i="11"/>
  <c r="AC2251" i="11" s="1"/>
  <c r="AA2250" i="11"/>
  <c r="AA2246" i="11"/>
  <c r="AA2242" i="11"/>
  <c r="AB2265" i="11"/>
  <c r="AC2265" i="11" s="1"/>
  <c r="AB2255" i="11"/>
  <c r="AC2255" i="11" s="1"/>
  <c r="AA2263" i="11"/>
  <c r="AA2259" i="11"/>
  <c r="AA2266" i="11"/>
  <c r="AA2262" i="11"/>
  <c r="AA2258" i="11"/>
  <c r="AB2262" i="11"/>
  <c r="AC2262" i="11" s="1"/>
  <c r="AB2253" i="11"/>
  <c r="AC2253" i="11" s="1"/>
  <c r="AB2249" i="11"/>
  <c r="AC2249" i="11" s="1"/>
  <c r="AB2245" i="11"/>
  <c r="AC2245" i="11" s="1"/>
  <c r="AB2241" i="11"/>
  <c r="AC2241" i="11" s="1"/>
  <c r="AB2238" i="11"/>
  <c r="AC2238" i="11" s="1"/>
  <c r="AB2263" i="11"/>
  <c r="AC2263" i="11" s="1"/>
  <c r="AA2249" i="11"/>
  <c r="AA2245" i="11"/>
  <c r="AA2241" i="11"/>
  <c r="AB2256" i="11"/>
  <c r="AC2256" i="11" s="1"/>
  <c r="AB2252" i="11"/>
  <c r="AC2252" i="11" s="1"/>
  <c r="AB2258" i="11"/>
  <c r="AC2258" i="11" s="1"/>
  <c r="AA2254" i="11"/>
  <c r="AB2261" i="11"/>
  <c r="AC2261" i="11" s="1"/>
  <c r="AB2250" i="11"/>
  <c r="AC2250" i="11" s="1"/>
  <c r="AB2246" i="11"/>
  <c r="AC2246" i="11" s="1"/>
  <c r="AB2242" i="11"/>
  <c r="AC2242" i="11" s="1"/>
  <c r="AA2253" i="11"/>
  <c r="AA2248" i="11"/>
  <c r="AA2244" i="11"/>
  <c r="AA2240" i="11"/>
  <c r="AA2265" i="11"/>
  <c r="AA2261" i="11"/>
  <c r="AA2264" i="11"/>
  <c r="AA2260" i="11"/>
  <c r="AB2264" i="11"/>
  <c r="AC2264" i="11" s="1"/>
  <c r="AB2260" i="11"/>
  <c r="AC2260" i="11" s="1"/>
  <c r="AB2259" i="11"/>
  <c r="AC2259" i="11" s="1"/>
  <c r="AB2257" i="11"/>
  <c r="AC2257" i="11" s="1"/>
  <c r="AA2251" i="11"/>
  <c r="AB2247" i="11"/>
  <c r="AC2247" i="11" s="1"/>
  <c r="AB2243" i="11"/>
  <c r="AC2243" i="11" s="1"/>
  <c r="AB2239" i="11"/>
  <c r="AC2239" i="11" s="1"/>
  <c r="AA2247" i="11"/>
  <c r="AA2243" i="11"/>
  <c r="AA2239" i="11"/>
  <c r="AA2238" i="11"/>
  <c r="AA2257" i="11"/>
  <c r="O2267" i="11"/>
  <c r="AT57" i="2"/>
  <c r="P2256" i="11"/>
  <c r="Q2256" i="11" s="1"/>
  <c r="P2252" i="11"/>
  <c r="Q2252" i="11" s="1"/>
  <c r="O2258" i="11"/>
  <c r="O2254" i="11"/>
  <c r="P2264" i="11"/>
  <c r="Q2264" i="11" s="1"/>
  <c r="P2250" i="11"/>
  <c r="Q2250" i="11" s="1"/>
  <c r="P2246" i="11"/>
  <c r="Q2246" i="11" s="1"/>
  <c r="P2242" i="11"/>
  <c r="Q2242" i="11" s="1"/>
  <c r="O2248" i="11"/>
  <c r="O2244" i="11"/>
  <c r="O2240" i="11"/>
  <c r="P2260" i="11"/>
  <c r="Q2260" i="11" s="1"/>
  <c r="O2249" i="11"/>
  <c r="O2241" i="11"/>
  <c r="O2251" i="11"/>
  <c r="O2243" i="11"/>
  <c r="O2265" i="11"/>
  <c r="O2261" i="11"/>
  <c r="O2264" i="11"/>
  <c r="O2260" i="11"/>
  <c r="P2265" i="11"/>
  <c r="Q2265" i="11" s="1"/>
  <c r="P2261" i="11"/>
  <c r="Q2261" i="11" s="1"/>
  <c r="P2257" i="11"/>
  <c r="Q2257" i="11" s="1"/>
  <c r="P2262" i="11"/>
  <c r="Q2262" i="11" s="1"/>
  <c r="O2257" i="11"/>
  <c r="O2255" i="11"/>
  <c r="P2251" i="11"/>
  <c r="Q2251" i="11" s="1"/>
  <c r="P2247" i="11"/>
  <c r="Q2247" i="11" s="1"/>
  <c r="P2243" i="11"/>
  <c r="Q2243" i="11" s="1"/>
  <c r="P2239" i="11"/>
  <c r="Q2239" i="11" s="1"/>
  <c r="O2238" i="11"/>
  <c r="O2253" i="11"/>
  <c r="P2266" i="11"/>
  <c r="Q2266" i="11" s="1"/>
  <c r="P2258" i="11"/>
  <c r="Q2258" i="11" s="1"/>
  <c r="P2254" i="11"/>
  <c r="Q2254" i="11" s="1"/>
  <c r="O2256" i="11"/>
  <c r="O2252" i="11"/>
  <c r="P2248" i="11"/>
  <c r="Q2248" i="11" s="1"/>
  <c r="P2244" i="11"/>
  <c r="Q2244" i="11" s="1"/>
  <c r="P2240" i="11"/>
  <c r="Q2240" i="11" s="1"/>
  <c r="O2250" i="11"/>
  <c r="O2246" i="11"/>
  <c r="O2242" i="11"/>
  <c r="O2245" i="11"/>
  <c r="O2247" i="11"/>
  <c r="O2239" i="11"/>
  <c r="O2263" i="11"/>
  <c r="O2259" i="11"/>
  <c r="O2266" i="11"/>
  <c r="O2262" i="11"/>
  <c r="P2263" i="11"/>
  <c r="Q2263" i="11" s="1"/>
  <c r="P2259" i="11"/>
  <c r="Q2259" i="11" s="1"/>
  <c r="P2255" i="11"/>
  <c r="Q2255" i="11" s="1"/>
  <c r="P2253" i="11"/>
  <c r="Q2253" i="11" s="1"/>
  <c r="P2249" i="11"/>
  <c r="Q2249" i="11" s="1"/>
  <c r="P2245" i="11"/>
  <c r="Q2245" i="11" s="1"/>
  <c r="P2241" i="11"/>
  <c r="Q2241" i="11" s="1"/>
  <c r="P2238" i="11"/>
  <c r="Q2238" i="11" s="1"/>
  <c r="AW1080" i="11"/>
  <c r="AX1091" i="11"/>
  <c r="AW1097" i="11"/>
  <c r="AW1086" i="11"/>
  <c r="AX1104" i="11"/>
  <c r="AW1085" i="11"/>
  <c r="AW1081" i="11"/>
  <c r="W35" i="3"/>
  <c r="AA35" i="3" s="1"/>
  <c r="W41" i="3"/>
  <c r="H18" i="2"/>
  <c r="AW1078" i="11"/>
  <c r="D550" i="11"/>
  <c r="AA26" i="2"/>
  <c r="AA27" i="2" s="1"/>
  <c r="O6" i="2" s="1"/>
  <c r="BJ656" i="11"/>
  <c r="Y2197" i="11"/>
  <c r="Z2197" i="11"/>
  <c r="AA2197" i="11"/>
  <c r="N2196" i="11"/>
  <c r="AD2189" i="11"/>
  <c r="K2189" i="11" s="1"/>
  <c r="N2197" i="11"/>
  <c r="AD2190" i="11"/>
  <c r="K2190" i="11" s="1"/>
  <c r="N2195" i="11"/>
  <c r="AD2188" i="11"/>
  <c r="K2188" i="11" s="1"/>
  <c r="W55" i="6"/>
  <c r="AL55" i="6" s="1"/>
  <c r="AB62" i="6"/>
  <c r="AB384" i="11"/>
  <c r="W66" i="6"/>
  <c r="AL66" i="6" s="1"/>
  <c r="W60" i="6"/>
  <c r="AL60" i="6" s="1"/>
  <c r="AB61" i="6"/>
  <c r="AB377" i="11"/>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AB380" i="11"/>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64" i="11"/>
  <c r="AF45" i="30"/>
  <c r="BE41" i="30" s="1"/>
  <c r="AE45" i="30"/>
  <c r="BE40" i="30" s="1"/>
  <c r="AE30" i="30"/>
  <c r="AV40" i="30" s="1"/>
  <c r="AO664" i="11"/>
  <c r="AQ899" i="11"/>
  <c r="AQ911" i="11"/>
  <c r="AQ903" i="11"/>
  <c r="AQ910" i="11"/>
  <c r="AQ901" i="11"/>
  <c r="AQ907" i="11"/>
  <c r="AQ906" i="11"/>
  <c r="L196" i="13"/>
  <c r="L194" i="13"/>
  <c r="K191" i="13"/>
  <c r="L187" i="13"/>
  <c r="L182" i="13"/>
  <c r="L169" i="13"/>
  <c r="K168" i="13"/>
  <c r="K160" i="13"/>
  <c r="L158" i="13"/>
  <c r="K157" i="13"/>
  <c r="L147" i="13"/>
  <c r="F48" i="14"/>
  <c r="K212" i="13"/>
  <c r="K180" i="13"/>
  <c r="L171" i="13"/>
  <c r="L149" i="13"/>
  <c r="K147" i="13"/>
  <c r="F46" i="14"/>
  <c r="F72" i="14" s="1"/>
  <c r="K205" i="13"/>
  <c r="L202" i="13"/>
  <c r="K199" i="13"/>
  <c r="L143" i="13"/>
  <c r="L131" i="13"/>
  <c r="J10" i="14"/>
  <c r="L221" i="13" s="1"/>
  <c r="L215" i="13"/>
  <c r="L204" i="13"/>
  <c r="L192" i="13"/>
  <c r="L164" i="13"/>
  <c r="L160" i="13"/>
  <c r="K135" i="13"/>
  <c r="J1213" i="11"/>
  <c r="AR662" i="11"/>
  <c r="AS662" i="11" s="1"/>
  <c r="BX656" i="11"/>
  <c r="AS663" i="11"/>
  <c r="BC656" i="11"/>
  <c r="BK656" i="11"/>
  <c r="BD656" i="11"/>
  <c r="BY656" i="11"/>
  <c r="CF656" i="11"/>
  <c r="BQ656" i="11"/>
  <c r="CL656" i="11"/>
  <c r="CM656" i="11"/>
  <c r="CE656" i="11"/>
  <c r="BR656" i="11"/>
  <c r="I1071" i="11"/>
  <c r="H1030" i="11"/>
  <c r="AW64" i="4"/>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V85" i="25"/>
  <c r="AT85" i="25" s="1" a="1"/>
  <c r="AT85" i="25" s="1"/>
  <c r="O85" i="25" s="1"/>
  <c r="AW85" i="25" a="1"/>
  <c r="AW85" i="25" s="1"/>
  <c r="N85"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153" i="25" a="1"/>
  <c r="AW153" i="25" s="1"/>
  <c r="N153" i="25" s="1"/>
  <c r="AV153" i="25"/>
  <c r="AT153" i="25" s="1" a="1"/>
  <c r="AT153" i="25" s="1"/>
  <c r="O153" i="25" s="1"/>
  <c r="AW51" i="25" a="1"/>
  <c r="AW51" i="25" s="1"/>
  <c r="N51" i="25" s="1"/>
  <c r="AV51" i="25"/>
  <c r="AT51" i="25" s="1" a="1"/>
  <c r="AT51" i="25" s="1"/>
  <c r="O51"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AV17" i="25"/>
  <c r="AT17" i="25" s="1" a="1"/>
  <c r="AT17" i="25" s="1"/>
  <c r="O17" i="25" s="1"/>
  <c r="AV187" i="25"/>
  <c r="AT187" i="25" s="1" a="1"/>
  <c r="AT187" i="25" s="1"/>
  <c r="AW323" i="25" a="1"/>
  <c r="AW323" i="25" s="1"/>
  <c r="N323" i="25" s="1"/>
  <c r="AV323" i="25"/>
  <c r="AT323" i="25" s="1" a="1"/>
  <c r="AT323" i="25" s="1"/>
  <c r="AW188" i="25" a="1"/>
  <c r="AW188" i="25" s="1"/>
  <c r="N188" i="25" s="1"/>
  <c r="AV188" i="25"/>
  <c r="AT188" i="25" s="1" a="1"/>
  <c r="AT188" i="25" s="1"/>
  <c r="O188" i="25" s="1"/>
  <c r="AW16" i="25" a="1"/>
  <c r="AW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52" i="25" a="1"/>
  <c r="AW52" i="25" s="1"/>
  <c r="N52" i="25" s="1"/>
  <c r="AV52" i="25"/>
  <c r="AT52" i="25" s="1" a="1"/>
  <c r="AT52" i="25" s="1"/>
  <c r="O52" i="25" s="1"/>
  <c r="AW155" i="25" a="1"/>
  <c r="AW155" i="25" s="1"/>
  <c r="N155" i="25" s="1"/>
  <c r="AV155" i="25"/>
  <c r="AT155" i="25" s="1" a="1"/>
  <c r="AT155" i="25" s="1"/>
  <c r="O155"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V190" i="25"/>
  <c r="AT190" i="25" s="1" a="1"/>
  <c r="AT190" i="25" s="1"/>
  <c r="O190" i="25" s="1"/>
  <c r="AW292" i="25" a="1"/>
  <c r="AW292" i="25" s="1"/>
  <c r="N292" i="25" s="1"/>
  <c r="AV292" i="25"/>
  <c r="AT292" i="25" s="1" a="1"/>
  <c r="AT292" i="25" s="1"/>
  <c r="O292" i="25" s="1"/>
  <c r="AW327" i="25" a="1"/>
  <c r="AW327" i="25" s="1"/>
  <c r="N327" i="25" s="1"/>
  <c r="AV327" i="25"/>
  <c r="AT327" i="25" s="1" a="1"/>
  <c r="AT327" i="25" s="1"/>
  <c r="O327" i="25" s="1"/>
  <c r="AV257" i="25"/>
  <c r="AT257" i="25" s="1" a="1"/>
  <c r="AT257" i="25" s="1"/>
  <c r="O257" i="25" s="1"/>
  <c r="AW257" i="25" a="1"/>
  <c r="AW257" i="25" s="1"/>
  <c r="N257" i="25" s="1"/>
  <c r="AV291" i="25"/>
  <c r="AT291" i="25" s="1" a="1"/>
  <c r="AT291" i="25" s="1"/>
  <c r="O291" i="25" s="1"/>
  <c r="AV289" i="25"/>
  <c r="AT289" i="25" s="1" a="1"/>
  <c r="AT289" i="25" s="1"/>
  <c r="AW289" i="25" a="1"/>
  <c r="AW289" i="25" s="1"/>
  <c r="N289"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J1214" i="11"/>
  <c r="J1210" i="11"/>
  <c r="J1207" i="11"/>
  <c r="J1204" i="11"/>
  <c r="AU29" i="18"/>
  <c r="J1211" i="11"/>
  <c r="J1212" i="11"/>
  <c r="J1208" i="11"/>
  <c r="J1205" i="11"/>
  <c r="L1193" i="11" s="1"/>
  <c r="J1206" i="11"/>
  <c r="J1209" i="11"/>
  <c r="AT32" i="2"/>
  <c r="AF35" i="30"/>
  <c r="AY41" i="30" s="1"/>
  <c r="AG34" i="30"/>
  <c r="AE25" i="30"/>
  <c r="BH6" i="30" s="1"/>
  <c r="AF24" i="30"/>
  <c r="AN663" i="11"/>
  <c r="AO663" i="11"/>
  <c r="AF50" i="30"/>
  <c r="BH41" i="30" s="1"/>
  <c r="AG49" i="30"/>
  <c r="AH39" i="30"/>
  <c r="AG40" i="30"/>
  <c r="BB42" i="30" s="1"/>
  <c r="AF20" i="30"/>
  <c r="BE7" i="30" s="1"/>
  <c r="AG19" i="30"/>
  <c r="AF15" i="30"/>
  <c r="BB7" i="30" s="1"/>
  <c r="AG14" i="30"/>
  <c r="AG29" i="30"/>
  <c r="AF30" i="30"/>
  <c r="AV41" i="30" s="1"/>
  <c r="AF10" i="30"/>
  <c r="AY7" i="30" s="1"/>
  <c r="AG9" i="30"/>
  <c r="AP848" i="11"/>
  <c r="AU855" i="11"/>
  <c r="AN857" i="11" a="1"/>
  <c r="AP850" i="11"/>
  <c r="AT852" i="11"/>
  <c r="AT848" i="11"/>
  <c r="AU852" i="11"/>
  <c r="AM856" i="11"/>
  <c r="AU853" i="11"/>
  <c r="AU854" i="11"/>
  <c r="AT854" i="11"/>
  <c r="AN848" i="11" a="1"/>
  <c r="AN853" i="11" a="1"/>
  <c r="AP849" i="11"/>
  <c r="AM848" i="11"/>
  <c r="AU857" i="11"/>
  <c r="AP853" i="11"/>
  <c r="AP852" i="11"/>
  <c r="AM854" i="11"/>
  <c r="AM849" i="11"/>
  <c r="AU849" i="11"/>
  <c r="AT850" i="11"/>
  <c r="AN856" i="11" a="1"/>
  <c r="AM855" i="11"/>
  <c r="AP856" i="11"/>
  <c r="AT855" i="11"/>
  <c r="AM857" i="11"/>
  <c r="AP855" i="11"/>
  <c r="AT857" i="11"/>
  <c r="AT849" i="11"/>
  <c r="AN854" i="11" a="1"/>
  <c r="AN849" i="11" a="1"/>
  <c r="AP857" i="11"/>
  <c r="AP851" i="11"/>
  <c r="AU848" i="11"/>
  <c r="AN850" i="11" a="1"/>
  <c r="AM853" i="11"/>
  <c r="AU850" i="11"/>
  <c r="AN851" i="11" a="1"/>
  <c r="AM852" i="11"/>
  <c r="AU851" i="11"/>
  <c r="AU856" i="11"/>
  <c r="AT856" i="11"/>
  <c r="AT853" i="11"/>
  <c r="AN855" i="11" a="1"/>
  <c r="AM851" i="11"/>
  <c r="AP854" i="11"/>
  <c r="AM850" i="11"/>
  <c r="AN852" i="11" a="1"/>
  <c r="AT851" i="11"/>
  <c r="AK111" i="9" l="1"/>
  <c r="AE115" i="9" s="1"/>
  <c r="AQ900" i="11"/>
  <c r="AS900" i="11" s="1"/>
  <c r="AT900" i="11" s="1"/>
  <c r="T66" i="3" s="1"/>
  <c r="K2242" i="11"/>
  <c r="Z698" i="11"/>
  <c r="L825" i="11"/>
  <c r="AD780" i="11" s="1"/>
  <c r="L822" i="11"/>
  <c r="L823" i="11"/>
  <c r="L824" i="11"/>
  <c r="AI274" i="22"/>
  <c r="AI207" i="22"/>
  <c r="AI73" i="22"/>
  <c r="G2186" i="11"/>
  <c r="P73" i="22"/>
  <c r="AI6" i="22"/>
  <c r="P207" i="22"/>
  <c r="I15" i="6"/>
  <c r="AK10" i="6" s="1"/>
  <c r="P140" i="22"/>
  <c r="AI140" i="22"/>
  <c r="J2243" i="11"/>
  <c r="K2243" i="11" s="1"/>
  <c r="S48" i="2"/>
  <c r="W5" i="32"/>
  <c r="BS5" i="24"/>
  <c r="CT5" i="24"/>
  <c r="AR5" i="24"/>
  <c r="Q5" i="24"/>
  <c r="Q5" i="34"/>
  <c r="C86" i="14"/>
  <c r="C87" i="14" s="1"/>
  <c r="E87" i="14" s="1"/>
  <c r="J469" i="13"/>
  <c r="J433" i="13"/>
  <c r="J381" i="13"/>
  <c r="J467" i="13"/>
  <c r="J432" i="13"/>
  <c r="J379" i="13"/>
  <c r="J447" i="13"/>
  <c r="J367" i="13"/>
  <c r="J448" i="13"/>
  <c r="J399" i="13"/>
  <c r="J346" i="13"/>
  <c r="J322" i="13"/>
  <c r="J336" i="13"/>
  <c r="J307" i="13"/>
  <c r="J267" i="13"/>
  <c r="J260" i="13"/>
  <c r="J258" i="13"/>
  <c r="J303" i="13"/>
  <c r="J262" i="13"/>
  <c r="J290" i="13"/>
  <c r="J291" i="13"/>
  <c r="H231" i="13"/>
  <c r="B229" i="13"/>
  <c r="J252" i="13"/>
  <c r="J234" i="13"/>
  <c r="J239" i="13"/>
  <c r="J240" i="13"/>
  <c r="J150" i="13"/>
  <c r="J225" i="13"/>
  <c r="B471" i="19"/>
  <c r="F484" i="19"/>
  <c r="B467" i="19"/>
  <c r="F480" i="19"/>
  <c r="B463" i="19"/>
  <c r="F476" i="19"/>
  <c r="F487" i="19"/>
  <c r="B474" i="19"/>
  <c r="F481" i="19"/>
  <c r="B468" i="19"/>
  <c r="F485" i="19"/>
  <c r="B472" i="19"/>
  <c r="B473" i="19"/>
  <c r="F486" i="19"/>
  <c r="B469" i="19"/>
  <c r="F482" i="19"/>
  <c r="B465" i="19"/>
  <c r="F478" i="19"/>
  <c r="F477" i="19"/>
  <c r="B464" i="19"/>
  <c r="F483" i="19"/>
  <c r="B470" i="19"/>
  <c r="F479" i="19"/>
  <c r="B466" i="19"/>
  <c r="AC568" i="11"/>
  <c r="AC569" i="11" s="1"/>
  <c r="AC570" i="11" s="1"/>
  <c r="AV325" i="25"/>
  <c r="AT325" i="25" s="1" a="1"/>
  <c r="AT325" i="25" s="1"/>
  <c r="O325" i="25" s="1"/>
  <c r="AW191" i="25" a="1"/>
  <c r="AW191" i="25" s="1"/>
  <c r="N191" i="25" s="1"/>
  <c r="AM214" i="25" s="1"/>
  <c r="AW118" i="25" a="1"/>
  <c r="AW118" i="25" s="1"/>
  <c r="N118" i="25" s="1"/>
  <c r="AM145" i="25" s="1"/>
  <c r="E1004" i="11"/>
  <c r="X1004" i="11" s="1"/>
  <c r="E1003" i="11"/>
  <c r="X1003" i="11" s="1"/>
  <c r="H1037" i="11"/>
  <c r="N654" i="11"/>
  <c r="N808" i="11" s="1"/>
  <c r="K62" i="4"/>
  <c r="J46" i="4"/>
  <c r="V62" i="4"/>
  <c r="U39" i="4"/>
  <c r="V53" i="4"/>
  <c r="U46" i="4"/>
  <c r="K53" i="4"/>
  <c r="AV19" i="25"/>
  <c r="AT19" i="25" s="1" a="1"/>
  <c r="AT19" i="25" s="1"/>
  <c r="O19" i="25" s="1"/>
  <c r="J39" i="4"/>
  <c r="J32" i="4"/>
  <c r="L6" i="2"/>
  <c r="D24" i="2" s="1"/>
  <c r="U32" i="4"/>
  <c r="BE10" i="4" a="1"/>
  <c r="BE10" i="4" s="1"/>
  <c r="O15" i="4" s="1"/>
  <c r="AQ902" i="11"/>
  <c r="AG68" i="3" s="1"/>
  <c r="BE14" i="4" a="1"/>
  <c r="BE14" i="4" s="1"/>
  <c r="BE12" i="4" a="1"/>
  <c r="BE12" i="4" s="1"/>
  <c r="E849" i="11"/>
  <c r="E848" i="11"/>
  <c r="E840" i="11"/>
  <c r="AV222" i="25"/>
  <c r="AT222" i="25" s="1" a="1"/>
  <c r="AT222" i="25" s="1"/>
  <c r="O222" i="25" s="1"/>
  <c r="AL97" i="25"/>
  <c r="AV65" i="4"/>
  <c r="U80" i="25"/>
  <c r="F689" i="26" s="1"/>
  <c r="G689" i="26" s="1"/>
  <c r="U319" i="25"/>
  <c r="U46" i="25"/>
  <c r="U285" i="25"/>
  <c r="U148" i="25"/>
  <c r="AL302" i="25"/>
  <c r="AL200" i="25"/>
  <c r="AL63" i="25"/>
  <c r="AL268" i="25"/>
  <c r="AZ65" i="4"/>
  <c r="BF24" i="4"/>
  <c r="AW259" i="25" a="1"/>
  <c r="AW259" i="25" s="1"/>
  <c r="N259" i="25" s="1"/>
  <c r="AM282" i="25" s="1"/>
  <c r="E21" i="4"/>
  <c r="AR895" i="11"/>
  <c r="R61" i="3" s="1" a="1"/>
  <c r="R61" i="3" s="1"/>
  <c r="AS895" i="11"/>
  <c r="AT895" i="11" s="1"/>
  <c r="T61" i="3" s="1"/>
  <c r="L1062" i="11"/>
  <c r="L1042" i="11"/>
  <c r="K1039" i="11"/>
  <c r="M1042" i="11"/>
  <c r="M1041" i="11"/>
  <c r="L1040" i="11"/>
  <c r="K1042" i="11"/>
  <c r="K1040" i="11"/>
  <c r="M1039" i="11"/>
  <c r="M1040" i="11"/>
  <c r="L1041" i="11"/>
  <c r="L1039" i="11"/>
  <c r="K1041" i="11"/>
  <c r="K1062" i="11"/>
  <c r="K1056" i="11"/>
  <c r="M1057" i="11"/>
  <c r="M1059" i="11"/>
  <c r="L1058" i="11"/>
  <c r="K1055" i="11"/>
  <c r="L1060" i="11"/>
  <c r="L1063" i="11"/>
  <c r="K1063" i="11"/>
  <c r="M1063" i="11"/>
  <c r="M1061" i="11"/>
  <c r="L1055" i="11"/>
  <c r="L1056" i="11"/>
  <c r="K1059" i="11"/>
  <c r="M1062" i="11"/>
  <c r="K1061" i="11"/>
  <c r="L1061" i="11"/>
  <c r="K1058" i="11"/>
  <c r="M1055" i="11"/>
  <c r="M1060" i="11"/>
  <c r="M1058" i="11"/>
  <c r="L1057" i="11"/>
  <c r="K1060" i="11"/>
  <c r="M1056" i="11"/>
  <c r="K1057" i="11"/>
  <c r="L1059" i="11"/>
  <c r="AV156" i="25"/>
  <c r="AT156" i="25" s="1" a="1"/>
  <c r="AT156" i="25" s="1"/>
  <c r="O156" i="25" s="1"/>
  <c r="AS908" i="11"/>
  <c r="AT908" i="11" s="1"/>
  <c r="T74" i="3" s="1"/>
  <c r="AG62" i="3"/>
  <c r="AV20" i="25"/>
  <c r="AT20" i="25" s="1" a="1"/>
  <c r="AT20" i="25" s="1"/>
  <c r="O20" i="25" s="1"/>
  <c r="AV326" i="25"/>
  <c r="AT326" i="25" s="1" a="1"/>
  <c r="AT326" i="25" s="1"/>
  <c r="O326" i="25" s="1"/>
  <c r="AW225" i="25" a="1"/>
  <c r="AW225" i="25" s="1"/>
  <c r="N225" i="25" s="1"/>
  <c r="U217" i="25" s="1"/>
  <c r="AV224" i="25"/>
  <c r="AT224" i="25" s="1" a="1"/>
  <c r="AT224" i="25" s="1"/>
  <c r="O224" i="25" s="1"/>
  <c r="AV120" i="25"/>
  <c r="AT120" i="25" s="1" a="1"/>
  <c r="AT120" i="25" s="1"/>
  <c r="O120" i="25" s="1"/>
  <c r="AG70" i="3"/>
  <c r="U196" i="3"/>
  <c r="B196" i="3" s="1"/>
  <c r="F992" i="11"/>
  <c r="J24" i="4"/>
  <c r="F24" i="4"/>
  <c r="H24" i="4"/>
  <c r="AR896" i="11"/>
  <c r="R62" i="3" s="1" a="1"/>
  <c r="R62" i="3" s="1"/>
  <c r="AR904" i="11"/>
  <c r="R70" i="3" s="1" a="1"/>
  <c r="R70" i="3" s="1"/>
  <c r="AG74" i="3"/>
  <c r="AR893" i="11"/>
  <c r="AV893" i="11" s="1"/>
  <c r="AH59" i="3" s="1"/>
  <c r="AS893" i="11"/>
  <c r="AT893" i="11" s="1"/>
  <c r="T59" i="3" s="1"/>
  <c r="AR900" i="11"/>
  <c r="R66" i="3" s="1" a="1"/>
  <c r="R66" i="3" s="1"/>
  <c r="Q68" i="5"/>
  <c r="C29" i="5"/>
  <c r="V114" i="3"/>
  <c r="AL72" i="6"/>
  <c r="AS898" i="11"/>
  <c r="AT898" i="11" s="1"/>
  <c r="T64" i="3" s="1"/>
  <c r="AR897" i="11"/>
  <c r="R63" i="3" s="1" a="1"/>
  <c r="R63" i="3" s="1"/>
  <c r="AG64" i="3"/>
  <c r="AF174" i="3"/>
  <c r="AG71" i="3"/>
  <c r="AR905" i="11"/>
  <c r="R71" i="3" s="1" a="1"/>
  <c r="R71" i="3" s="1"/>
  <c r="AS897" i="11"/>
  <c r="AT897" i="11" s="1"/>
  <c r="T63" i="3" s="1"/>
  <c r="AS909" i="11"/>
  <c r="AT909" i="11" s="1"/>
  <c r="T75" i="3" s="1"/>
  <c r="E859" i="11"/>
  <c r="E860" i="11"/>
  <c r="AG75" i="3"/>
  <c r="AU896" i="11"/>
  <c r="AU904" i="11"/>
  <c r="AU905" i="11"/>
  <c r="AH162" i="3"/>
  <c r="AU900" i="11"/>
  <c r="AF154" i="3"/>
  <c r="P59" i="28"/>
  <c r="I71" i="10"/>
  <c r="H11" i="8"/>
  <c r="V11" i="8" s="1"/>
  <c r="AA41" i="3"/>
  <c r="AA40" i="3"/>
  <c r="D20" i="5" s="1"/>
  <c r="E20" i="5" s="1"/>
  <c r="AA2172" i="11"/>
  <c r="AA2196" i="11"/>
  <c r="Z2198" i="11"/>
  <c r="T2175" i="11"/>
  <c r="X2175" i="11" s="1"/>
  <c r="Y2175" i="11" s="1"/>
  <c r="AF177" i="3"/>
  <c r="T2144" i="11"/>
  <c r="X2144" i="11" s="1"/>
  <c r="AA2144" i="11" s="1"/>
  <c r="AF146" i="3"/>
  <c r="T2187" i="11"/>
  <c r="X2187" i="11" s="1"/>
  <c r="AA2187" i="11" s="1"/>
  <c r="AF189" i="3"/>
  <c r="T2171" i="11"/>
  <c r="X2171" i="11" s="1"/>
  <c r="Z2171" i="11" s="1"/>
  <c r="AF173" i="3"/>
  <c r="T2168" i="11"/>
  <c r="X2168" i="11" s="1"/>
  <c r="Y2168" i="11" s="1"/>
  <c r="AF170" i="3"/>
  <c r="T2169" i="11"/>
  <c r="X2169" i="11" s="1"/>
  <c r="Z2169" i="11" s="1"/>
  <c r="AF171" i="3"/>
  <c r="T2193" i="11"/>
  <c r="X2193" i="11" s="1"/>
  <c r="AA2193" i="11" s="1"/>
  <c r="AF195" i="3"/>
  <c r="T2156" i="11"/>
  <c r="X2156" i="11" s="1"/>
  <c r="AA2156" i="11" s="1"/>
  <c r="AF158" i="3"/>
  <c r="T2142" i="11"/>
  <c r="X2142" i="11" s="1"/>
  <c r="Y2142" i="11" s="1"/>
  <c r="AF144" i="3"/>
  <c r="T2173" i="11"/>
  <c r="X2173" i="11" s="1"/>
  <c r="Y2173" i="11" s="1"/>
  <c r="AF175" i="3"/>
  <c r="T2181" i="11"/>
  <c r="X2181" i="11" s="1"/>
  <c r="AA2181" i="11" s="1"/>
  <c r="AF183" i="3"/>
  <c r="T2191" i="11"/>
  <c r="X2191" i="11" s="1"/>
  <c r="Z2191" i="11" s="1"/>
  <c r="AF193" i="3"/>
  <c r="T2174" i="11"/>
  <c r="X2174" i="11" s="1"/>
  <c r="AA2174" i="11" s="1"/>
  <c r="AF176" i="3"/>
  <c r="T2164" i="11"/>
  <c r="X2164" i="11" s="1"/>
  <c r="AA2164" i="11" s="1"/>
  <c r="AF166" i="3"/>
  <c r="T2190" i="11"/>
  <c r="X2190" i="11" s="1"/>
  <c r="Y2190" i="11" s="1"/>
  <c r="AF192" i="3"/>
  <c r="T2154" i="11"/>
  <c r="X2154" i="11" s="1"/>
  <c r="AA2154" i="11" s="1"/>
  <c r="AF156" i="3"/>
  <c r="T2178" i="11"/>
  <c r="X2178" i="11" s="1"/>
  <c r="Z2178" i="11" s="1"/>
  <c r="AF180" i="3"/>
  <c r="T2165" i="11"/>
  <c r="X2165" i="11" s="1"/>
  <c r="AA2165" i="11" s="1"/>
  <c r="AF167" i="3"/>
  <c r="T2179" i="11"/>
  <c r="X2179" i="11" s="1"/>
  <c r="AA2179" i="11" s="1"/>
  <c r="AF181" i="3"/>
  <c r="T2170" i="11"/>
  <c r="X2170" i="11" s="1"/>
  <c r="AA2170" i="11" s="1"/>
  <c r="AF172" i="3"/>
  <c r="T2180" i="11"/>
  <c r="X2180" i="11" s="1"/>
  <c r="Z2180" i="11" s="1"/>
  <c r="AF182" i="3"/>
  <c r="T2149" i="11"/>
  <c r="X2149" i="11" s="1"/>
  <c r="Y2149" i="11" s="1"/>
  <c r="AF151" i="3"/>
  <c r="T2163" i="11"/>
  <c r="X2163" i="11" s="1"/>
  <c r="AA2163" i="11" s="1"/>
  <c r="AF165" i="3"/>
  <c r="T2192" i="11"/>
  <c r="X2192" i="11" s="1"/>
  <c r="Z2192" i="11" s="1"/>
  <c r="AF194" i="3"/>
  <c r="T2189" i="11"/>
  <c r="X2189" i="11" s="1"/>
  <c r="Y2189" i="11" s="1"/>
  <c r="AF191" i="3"/>
  <c r="T2161" i="11"/>
  <c r="X2161" i="11" s="1"/>
  <c r="Z2161" i="11" s="1"/>
  <c r="AF163" i="3"/>
  <c r="T2158" i="11"/>
  <c r="X2158" i="11" s="1"/>
  <c r="Z2158" i="11" s="1"/>
  <c r="AF160" i="3"/>
  <c r="T2159" i="11"/>
  <c r="X2159" i="11" s="1"/>
  <c r="Y2159" i="11" s="1"/>
  <c r="AF161" i="3"/>
  <c r="T2183" i="11"/>
  <c r="X2183" i="11" s="1"/>
  <c r="AA2183" i="11" s="1"/>
  <c r="AF185" i="3"/>
  <c r="T2162" i="11"/>
  <c r="X2162" i="11" s="1"/>
  <c r="AA2162" i="11" s="1"/>
  <c r="AF164" i="3"/>
  <c r="T2155" i="11"/>
  <c r="X2155" i="11" s="1"/>
  <c r="Z2155" i="11" s="1"/>
  <c r="AF157" i="3"/>
  <c r="T2184" i="11"/>
  <c r="X2184" i="11" s="1"/>
  <c r="Y2184" i="11" s="1"/>
  <c r="AF186" i="3"/>
  <c r="T2146" i="11"/>
  <c r="X2146" i="11" s="1"/>
  <c r="Y2146" i="11" s="1"/>
  <c r="AF148" i="3"/>
  <c r="T2166" i="11"/>
  <c r="X2166" i="11" s="1"/>
  <c r="Z2166" i="11" s="1"/>
  <c r="AF168" i="3"/>
  <c r="T2147" i="11"/>
  <c r="X2147" i="11" s="1"/>
  <c r="Z2147" i="11" s="1"/>
  <c r="AF149" i="3"/>
  <c r="T2182" i="11"/>
  <c r="X2182" i="11" s="1"/>
  <c r="Z2182" i="11" s="1"/>
  <c r="AF184" i="3"/>
  <c r="T2148" i="11"/>
  <c r="X2148" i="11" s="1"/>
  <c r="AA2148" i="11" s="1"/>
  <c r="AF150" i="3"/>
  <c r="T2157" i="11"/>
  <c r="X2157" i="11" s="1"/>
  <c r="Y2157" i="11" s="1"/>
  <c r="AF159" i="3"/>
  <c r="T2176" i="11"/>
  <c r="X2176" i="11" s="1"/>
  <c r="Z2176" i="11" s="1"/>
  <c r="AF178" i="3"/>
  <c r="T2177" i="11"/>
  <c r="X2177" i="11" s="1"/>
  <c r="AA2177" i="11" s="1"/>
  <c r="AF179" i="3"/>
  <c r="T2186" i="11"/>
  <c r="X2186" i="11" s="1"/>
  <c r="Z2186" i="11" s="1"/>
  <c r="AF188" i="3"/>
  <c r="T2145" i="11"/>
  <c r="X2145" i="11" s="1"/>
  <c r="Z2145" i="11" s="1"/>
  <c r="AF147" i="3"/>
  <c r="T2151" i="11"/>
  <c r="X2151" i="11" s="1"/>
  <c r="Z2151" i="11" s="1"/>
  <c r="AF153" i="3"/>
  <c r="T2153" i="11"/>
  <c r="X2153" i="11" s="1"/>
  <c r="Y2153" i="11" s="1"/>
  <c r="AF155" i="3"/>
  <c r="T2188" i="11"/>
  <c r="X2188" i="11" s="1"/>
  <c r="AF190" i="3"/>
  <c r="T2143" i="11"/>
  <c r="X2143" i="11" s="1"/>
  <c r="Z2143" i="11" s="1"/>
  <c r="AF145" i="3"/>
  <c r="T2150" i="11"/>
  <c r="X2150" i="11" s="1"/>
  <c r="Y2150" i="11" s="1"/>
  <c r="AF152" i="3"/>
  <c r="T2167" i="11"/>
  <c r="X2167" i="11" s="1"/>
  <c r="AA2167" i="11" s="1"/>
  <c r="AF169" i="3"/>
  <c r="T2185" i="11"/>
  <c r="X2185" i="11" s="1"/>
  <c r="Y2185" i="11" s="1"/>
  <c r="AF187" i="3"/>
  <c r="Y2198" i="11"/>
  <c r="Z2172" i="11"/>
  <c r="AP57" i="11"/>
  <c r="Z2195" i="11"/>
  <c r="Y2195" i="11"/>
  <c r="Z2196" i="11"/>
  <c r="Z2194" i="11"/>
  <c r="Y2194" i="11"/>
  <c r="V74" i="29"/>
  <c r="AI44" i="30"/>
  <c r="AI45" i="30" s="1"/>
  <c r="BE44" i="30" s="1"/>
  <c r="P105" i="26"/>
  <c r="AF35" i="2"/>
  <c r="P104" i="26"/>
  <c r="M710" i="26" s="1"/>
  <c r="G710" i="26" s="1"/>
  <c r="P103" i="26"/>
  <c r="AT34" i="2"/>
  <c r="AT36" i="2" s="1"/>
  <c r="D65" i="2" s="1"/>
  <c r="AI63" i="1"/>
  <c r="AJ63" i="1"/>
  <c r="H15" i="2"/>
  <c r="U157" i="3" s="1"/>
  <c r="AW1102" i="11"/>
  <c r="P37" i="7"/>
  <c r="E68" i="2"/>
  <c r="I2198" i="11"/>
  <c r="G2198" i="11" s="1"/>
  <c r="E942" i="11"/>
  <c r="X942" i="11" s="1"/>
  <c r="T851" i="11"/>
  <c r="AN848" i="11"/>
  <c r="M759" i="26"/>
  <c r="G759" i="26" s="1"/>
  <c r="X39" i="26"/>
  <c r="M773" i="26"/>
  <c r="G773" i="26" s="1"/>
  <c r="P101" i="26"/>
  <c r="X34" i="26" s="1"/>
  <c r="P102" i="26"/>
  <c r="AN857"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55" i="11"/>
  <c r="V104" i="3"/>
  <c r="AA104" i="3" s="1"/>
  <c r="L12" i="6" s="1"/>
  <c r="L1190" i="11" s="1"/>
  <c r="V105" i="3"/>
  <c r="Z719" i="11"/>
  <c r="L2268" i="11"/>
  <c r="Z666" i="11"/>
  <c r="U151" i="3"/>
  <c r="Z682" i="11"/>
  <c r="Z773" i="11"/>
  <c r="U195" i="3"/>
  <c r="U184" i="3"/>
  <c r="G61" i="2"/>
  <c r="J61" i="2" s="1"/>
  <c r="W108" i="3"/>
  <c r="AA108" i="3" s="1"/>
  <c r="M26" i="6" s="1"/>
  <c r="S50" i="10" s="1"/>
  <c r="Y821" i="11"/>
  <c r="W110" i="3"/>
  <c r="AA110" i="3" s="1"/>
  <c r="M28" i="6" s="1"/>
  <c r="AB50" i="10" s="1"/>
  <c r="U172" i="3"/>
  <c r="F944" i="11"/>
  <c r="U189" i="3"/>
  <c r="E943" i="11"/>
  <c r="X943" i="11" s="1"/>
  <c r="U190" i="3"/>
  <c r="E821" i="11"/>
  <c r="Z777" i="11"/>
  <c r="Z788" i="11"/>
  <c r="Z712" i="11"/>
  <c r="Z704" i="11"/>
  <c r="Z693" i="11"/>
  <c r="Z753" i="11"/>
  <c r="Z806" i="11"/>
  <c r="AA653" i="11"/>
  <c r="Z701" i="11"/>
  <c r="Z783" i="11"/>
  <c r="Z778" i="11"/>
  <c r="Z692" i="11"/>
  <c r="E944" i="11"/>
  <c r="X944" i="11" s="1"/>
  <c r="W111" i="3"/>
  <c r="AA111" i="3" s="1"/>
  <c r="M29" i="6" s="1"/>
  <c r="AH50" i="10" s="1"/>
  <c r="Y810" i="11"/>
  <c r="U153" i="3"/>
  <c r="M772" i="26"/>
  <c r="G772" i="26" s="1"/>
  <c r="M829" i="26"/>
  <c r="G829" i="26" s="1"/>
  <c r="X15" i="26"/>
  <c r="X37" i="26"/>
  <c r="X14" i="26"/>
  <c r="E2334" i="11"/>
  <c r="C2334" i="11" a="1"/>
  <c r="C2334" i="11" s="1"/>
  <c r="E2338" i="11"/>
  <c r="C2340" i="11" a="1"/>
  <c r="C2340" i="11" s="1"/>
  <c r="C2335" i="11" a="1"/>
  <c r="C2335" i="11" s="1"/>
  <c r="E2335" i="11"/>
  <c r="Z655" i="11"/>
  <c r="Z769" i="11"/>
  <c r="Z694" i="11"/>
  <c r="Z688" i="11"/>
  <c r="Z800" i="11"/>
  <c r="Z667" i="11"/>
  <c r="Z737" i="11"/>
  <c r="Z668" i="11"/>
  <c r="Z672" i="11"/>
  <c r="Z740" i="11"/>
  <c r="Z784" i="11"/>
  <c r="Z710" i="11"/>
  <c r="Z658" i="11"/>
  <c r="Z680" i="11"/>
  <c r="Z749" i="11"/>
  <c r="Z665" i="11"/>
  <c r="X17" i="8"/>
  <c r="AN849" i="11"/>
  <c r="AN851" i="11"/>
  <c r="AN856" i="11"/>
  <c r="AN850" i="11"/>
  <c r="AN854" i="11"/>
  <c r="AN853" i="11"/>
  <c r="AN852" i="11"/>
  <c r="AR894" i="11"/>
  <c r="AG60" i="3"/>
  <c r="AS894" i="11"/>
  <c r="AT894"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T2152" i="11"/>
  <c r="X2152" i="11" s="1"/>
  <c r="V2152" i="11"/>
  <c r="AB2197" i="11"/>
  <c r="Z677" i="11"/>
  <c r="Z714" i="11"/>
  <c r="Z767" i="11"/>
  <c r="Z659" i="11"/>
  <c r="Z678" i="11"/>
  <c r="Z718" i="11"/>
  <c r="Z717" i="11"/>
  <c r="Z734" i="11"/>
  <c r="Z754" i="11"/>
  <c r="Z770" i="11"/>
  <c r="Z791" i="11"/>
  <c r="Z759" i="11"/>
  <c r="Z802" i="11"/>
  <c r="Z671" i="11"/>
  <c r="Z681" i="11"/>
  <c r="Z700" i="11"/>
  <c r="Z724" i="11"/>
  <c r="Z755" i="11"/>
  <c r="Z764" i="11"/>
  <c r="Z787" i="11"/>
  <c r="Z663" i="11"/>
  <c r="Z732" i="11"/>
  <c r="Z786" i="11"/>
  <c r="Z653" i="11"/>
  <c r="Z706" i="11"/>
  <c r="Z702" i="11"/>
  <c r="Z733" i="11"/>
  <c r="Z797" i="11"/>
  <c r="Z768" i="11"/>
  <c r="Z796" i="11"/>
  <c r="Z679" i="11"/>
  <c r="Z709" i="11"/>
  <c r="Z743" i="11"/>
  <c r="Z785" i="11"/>
  <c r="Z657" i="11"/>
  <c r="Z691" i="11"/>
  <c r="Z686" i="11"/>
  <c r="Z775" i="11"/>
  <c r="Z751" i="11"/>
  <c r="Z781" i="11"/>
  <c r="Z790" i="11"/>
  <c r="Z654" i="11"/>
  <c r="Z794" i="11"/>
  <c r="Z664" i="11"/>
  <c r="Z673" i="11"/>
  <c r="Z707" i="11"/>
  <c r="Z723" i="11"/>
  <c r="Z752" i="11"/>
  <c r="Z793" i="11"/>
  <c r="Z799" i="11"/>
  <c r="Z687" i="11"/>
  <c r="Z729" i="11"/>
  <c r="Z674" i="11"/>
  <c r="Z676" i="11"/>
  <c r="Z711" i="11"/>
  <c r="Z731" i="11"/>
  <c r="Z727" i="11"/>
  <c r="Z782" i="11"/>
  <c r="Z810" i="11"/>
  <c r="Z742" i="11"/>
  <c r="Z684" i="11"/>
  <c r="Z746" i="11"/>
  <c r="Z789" i="11"/>
  <c r="Z670" i="11"/>
  <c r="Z699" i="11"/>
  <c r="Z696" i="11"/>
  <c r="Z720" i="11"/>
  <c r="Z747" i="11"/>
  <c r="Z757" i="11"/>
  <c r="Z808" i="11"/>
  <c r="Z697" i="11"/>
  <c r="Z774" i="11"/>
  <c r="Z660" i="11"/>
  <c r="Z683" i="11"/>
  <c r="Z722" i="11"/>
  <c r="Z721" i="11"/>
  <c r="Z738" i="11"/>
  <c r="Z758" i="11"/>
  <c r="Z771" i="11"/>
  <c r="Z807" i="11"/>
  <c r="Z713" i="11"/>
  <c r="Z736" i="11"/>
  <c r="Z685" i="11"/>
  <c r="Z730" i="11"/>
  <c r="Z728" i="11"/>
  <c r="Z766" i="11"/>
  <c r="Z761" i="11"/>
  <c r="Z776" i="11"/>
  <c r="Z798" i="11"/>
  <c r="Z661" i="11"/>
  <c r="Z656" i="11"/>
  <c r="Z669" i="11"/>
  <c r="Z695" i="11"/>
  <c r="Z690" i="11"/>
  <c r="Z708" i="11"/>
  <c r="Z763" i="11"/>
  <c r="Z744" i="11"/>
  <c r="Z760" i="11"/>
  <c r="Z795" i="11"/>
  <c r="Z801" i="11"/>
  <c r="Z662" i="11"/>
  <c r="Z705" i="11"/>
  <c r="Z703" i="11"/>
  <c r="Z716" i="11"/>
  <c r="Z748" i="11"/>
  <c r="Z750" i="11"/>
  <c r="Z803" i="11"/>
  <c r="Z792" i="11"/>
  <c r="Z675" i="11"/>
  <c r="Z715" i="11"/>
  <c r="Z756" i="11"/>
  <c r="Z735" i="11"/>
  <c r="Z741" i="11"/>
  <c r="Z765" i="11"/>
  <c r="Z805" i="11"/>
  <c r="Z689" i="11"/>
  <c r="Z739" i="11"/>
  <c r="Z725" i="11"/>
  <c r="Z726" i="11"/>
  <c r="Z762" i="11"/>
  <c r="Z745" i="11"/>
  <c r="Z772" i="11"/>
  <c r="Z804" i="11"/>
  <c r="AN654" i="11" a="1"/>
  <c r="AN654" i="11" s="1"/>
  <c r="AO654" i="11" s="1"/>
  <c r="AG4" i="30"/>
  <c r="AH4" i="30" s="1"/>
  <c r="AT662" i="11"/>
  <c r="AS907" i="11"/>
  <c r="AT907" i="11" s="1"/>
  <c r="T73" i="3" s="1"/>
  <c r="AR907" i="11"/>
  <c r="AG73" i="3"/>
  <c r="AS899" i="11"/>
  <c r="AT899" i="11" s="1"/>
  <c r="T65" i="3" s="1"/>
  <c r="AR899" i="11"/>
  <c r="AG65" i="3"/>
  <c r="AV909" i="11"/>
  <c r="AS901" i="11"/>
  <c r="AT901" i="11" s="1"/>
  <c r="T67" i="3" s="1"/>
  <c r="AR901" i="11"/>
  <c r="AG67" i="3"/>
  <c r="AS903" i="11"/>
  <c r="AT903" i="11" s="1"/>
  <c r="T69" i="3" s="1"/>
  <c r="AR903" i="11"/>
  <c r="AG69" i="3"/>
  <c r="AS906" i="11"/>
  <c r="AT906" i="11" s="1"/>
  <c r="T72" i="3" s="1"/>
  <c r="AR906" i="11"/>
  <c r="AG72" i="3"/>
  <c r="AS911" i="11"/>
  <c r="AT911" i="11" s="1"/>
  <c r="T77" i="3" s="1"/>
  <c r="AR911" i="11"/>
  <c r="AG77" i="3"/>
  <c r="AS910" i="11"/>
  <c r="AT910" i="11" s="1"/>
  <c r="T76" i="3" s="1"/>
  <c r="AR910" i="11"/>
  <c r="AG76" i="3"/>
  <c r="AV908" i="11"/>
  <c r="AV898" i="11"/>
  <c r="J192" i="13"/>
  <c r="J202" i="13"/>
  <c r="K48" i="14"/>
  <c r="J201" i="13"/>
  <c r="J138" i="13"/>
  <c r="J135" i="13"/>
  <c r="J191" i="13"/>
  <c r="J160" i="13"/>
  <c r="J157" i="13"/>
  <c r="J212" i="13"/>
  <c r="J180" i="13"/>
  <c r="J147" i="13"/>
  <c r="J146" i="13"/>
  <c r="J205" i="13"/>
  <c r="J179" i="13"/>
  <c r="J174" i="13"/>
  <c r="J161" i="13"/>
  <c r="J136" i="13"/>
  <c r="AS654" i="11" a="1"/>
  <c r="AS654" i="11" s="1"/>
  <c r="AT654" i="11" s="1"/>
  <c r="AM77" i="25"/>
  <c r="AM350" i="25"/>
  <c r="AM316" i="25"/>
  <c r="AM179" i="25"/>
  <c r="F11" i="10"/>
  <c r="H1028" i="11"/>
  <c r="M1022" i="11"/>
  <c r="K1037" i="11"/>
  <c r="K1027" i="11"/>
  <c r="L1048" i="11"/>
  <c r="K1031" i="11"/>
  <c r="K1053" i="11"/>
  <c r="K1023" i="11"/>
  <c r="L1025" i="11"/>
  <c r="M1037" i="11"/>
  <c r="M1027" i="11"/>
  <c r="M1050" i="11"/>
  <c r="M1049" i="11"/>
  <c r="M1036" i="11"/>
  <c r="K1029" i="11"/>
  <c r="K1025" i="11"/>
  <c r="L1046" i="11"/>
  <c r="M1054" i="11"/>
  <c r="M1024" i="11"/>
  <c r="M1038" i="11"/>
  <c r="M1028" i="11"/>
  <c r="K1049" i="11"/>
  <c r="M1032" i="11"/>
  <c r="K1021" i="11"/>
  <c r="M1023" i="11"/>
  <c r="M1025" i="11"/>
  <c r="M1044" i="11"/>
  <c r="M1031" i="11"/>
  <c r="L1029" i="11"/>
  <c r="M1053" i="11"/>
  <c r="M1047" i="11"/>
  <c r="M1033" i="11"/>
  <c r="K1046" i="11"/>
  <c r="M1051" i="11"/>
  <c r="M1034" i="11"/>
  <c r="M1026" i="11"/>
  <c r="L1050" i="11"/>
  <c r="M1030" i="11"/>
  <c r="K1054" i="11"/>
  <c r="K1044" i="11"/>
  <c r="M1021" i="11"/>
  <c r="L1023" i="11"/>
  <c r="M1029" i="11"/>
  <c r="L1035" i="11"/>
  <c r="M1035" i="11"/>
  <c r="L1052" i="11"/>
  <c r="L1054" i="11"/>
  <c r="K1035" i="11"/>
  <c r="L1045" i="11"/>
  <c r="L1021" i="11"/>
  <c r="K1052" i="11"/>
  <c r="L1037" i="11"/>
  <c r="K1024" i="11"/>
  <c r="K1051" i="11"/>
  <c r="L1033" i="11"/>
  <c r="L1047" i="11"/>
  <c r="L1031" i="11"/>
  <c r="L1027" i="11"/>
  <c r="K1028" i="11"/>
  <c r="L1026" i="11"/>
  <c r="M1046" i="11"/>
  <c r="K1033" i="11"/>
  <c r="M1048" i="11"/>
  <c r="L1051" i="11"/>
  <c r="L1036" i="11"/>
  <c r="K1022" i="11"/>
  <c r="M1045" i="11"/>
  <c r="L1032" i="11"/>
  <c r="K1045" i="11"/>
  <c r="L1030" i="11"/>
  <c r="L1024" i="11"/>
  <c r="L1022" i="11"/>
  <c r="K1034" i="11"/>
  <c r="L1038" i="11"/>
  <c r="K1050" i="11"/>
  <c r="L1034" i="11"/>
  <c r="K1036" i="11"/>
  <c r="L1053" i="11"/>
  <c r="L1044" i="11"/>
  <c r="L1028" i="11"/>
  <c r="L1049" i="11"/>
  <c r="K1048" i="11"/>
  <c r="K1038" i="11"/>
  <c r="K1026" i="11"/>
  <c r="M1052" i="11"/>
  <c r="K1032" i="11"/>
  <c r="K1047" i="11"/>
  <c r="K1030" i="11"/>
  <c r="AW65" i="4"/>
  <c r="AY65" i="4"/>
  <c r="O16" i="25"/>
  <c r="O255" i="25"/>
  <c r="O50" i="25"/>
  <c r="AA12" i="1"/>
  <c r="X14" i="1" s="1"/>
  <c r="AM111" i="25"/>
  <c r="O118" i="25"/>
  <c r="O221" i="25"/>
  <c r="O152" i="25"/>
  <c r="O289" i="25"/>
  <c r="O84" i="25"/>
  <c r="O323" i="25"/>
  <c r="O187" i="25"/>
  <c r="AU30" i="18"/>
  <c r="BU5" i="20"/>
  <c r="AI5" i="20"/>
  <c r="AI5" i="8"/>
  <c r="P5" i="6"/>
  <c r="P5" i="25"/>
  <c r="AP5" i="4"/>
  <c r="E15" i="3"/>
  <c r="AI5" i="5"/>
  <c r="Q5" i="4"/>
  <c r="P5" i="5"/>
  <c r="P5" i="8"/>
  <c r="P5" i="20"/>
  <c r="AG5" i="7"/>
  <c r="AJ5" i="6"/>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49" i="11"/>
  <c r="AO851" i="11"/>
  <c r="AO853" i="11"/>
  <c r="AO855" i="11"/>
  <c r="AO856" i="11"/>
  <c r="AO850" i="11"/>
  <c r="AO854" i="11"/>
  <c r="AO852" i="11"/>
  <c r="AO857" i="11"/>
  <c r="AO848" i="11"/>
  <c r="U183" i="25" l="1"/>
  <c r="AU908" i="11"/>
  <c r="AG66" i="3"/>
  <c r="C31" i="5"/>
  <c r="F1013" i="11"/>
  <c r="L24" i="4" s="1"/>
  <c r="G2182" i="11"/>
  <c r="G52" i="10" s="1"/>
  <c r="L1198" i="11"/>
  <c r="S49" i="2"/>
  <c r="S50" i="2"/>
  <c r="H245" i="13"/>
  <c r="H238" i="13"/>
  <c r="B238" i="13" s="1"/>
  <c r="C88" i="14"/>
  <c r="E88" i="14" s="1"/>
  <c r="E86" i="14"/>
  <c r="B245" i="13"/>
  <c r="H252" i="13"/>
  <c r="B252" i="13" s="1"/>
  <c r="H455" i="13"/>
  <c r="B455" i="13" s="1"/>
  <c r="H280" i="13"/>
  <c r="B231" i="13"/>
  <c r="F495" i="19"/>
  <c r="B482" i="19"/>
  <c r="B479" i="19"/>
  <c r="F492" i="19"/>
  <c r="B477" i="19"/>
  <c r="F490" i="19"/>
  <c r="F491" i="19"/>
  <c r="B478" i="19"/>
  <c r="F499" i="19"/>
  <c r="B486" i="19"/>
  <c r="F489" i="19"/>
  <c r="B476" i="19"/>
  <c r="F497" i="19"/>
  <c r="B484" i="19"/>
  <c r="B483" i="19"/>
  <c r="F496" i="19"/>
  <c r="B481" i="19"/>
  <c r="F494" i="19"/>
  <c r="B485" i="19"/>
  <c r="F498" i="19"/>
  <c r="B487" i="19"/>
  <c r="F500" i="19"/>
  <c r="F493" i="19"/>
  <c r="B480" i="19"/>
  <c r="L1191" i="11"/>
  <c r="M1193" i="11" s="1"/>
  <c r="U114" i="25"/>
  <c r="AM135" i="25" s="1"/>
  <c r="AR902" i="11"/>
  <c r="AV902" i="11" s="1"/>
  <c r="AS902" i="11"/>
  <c r="AT902" i="11" s="1"/>
  <c r="T68" i="3" s="1"/>
  <c r="G96" i="10"/>
  <c r="BE9" i="4"/>
  <c r="O16" i="4" s="1"/>
  <c r="AF32" i="10" s="1"/>
  <c r="U251" i="25"/>
  <c r="AM272" i="25" s="1"/>
  <c r="AL165" i="25"/>
  <c r="AM178" i="25" s="1"/>
  <c r="AL29" i="25"/>
  <c r="AD21" i="25" s="1"/>
  <c r="AL234" i="25"/>
  <c r="AD226" i="25" s="1"/>
  <c r="AL336" i="25"/>
  <c r="AM349" i="25" s="1"/>
  <c r="AL131" i="25"/>
  <c r="AM144" i="25" s="1"/>
  <c r="AV897" i="11"/>
  <c r="AY897" i="11" s="1"/>
  <c r="AZ897" i="11" s="1"/>
  <c r="AV895" i="11"/>
  <c r="AX895" i="11" s="1"/>
  <c r="AY895" i="11" s="1"/>
  <c r="AZ895" i="11" s="1"/>
  <c r="AV904" i="11"/>
  <c r="AW904" i="11" s="1"/>
  <c r="BA904" i="11" s="1"/>
  <c r="AU895" i="11"/>
  <c r="AU898" i="11"/>
  <c r="AU893" i="11"/>
  <c r="AM248" i="25"/>
  <c r="AV896" i="11"/>
  <c r="AW896" i="11" s="1"/>
  <c r="BA896" i="11" s="1"/>
  <c r="AV900" i="11"/>
  <c r="AX900" i="11" s="1"/>
  <c r="AA196" i="3"/>
  <c r="AB196" i="3" s="1"/>
  <c r="R59" i="3" a="1"/>
  <c r="R59" i="3" s="1"/>
  <c r="D22" i="5"/>
  <c r="E22" i="5" s="1"/>
  <c r="AV905" i="11"/>
  <c r="AX905" i="11" s="1"/>
  <c r="AA190" i="3"/>
  <c r="O2188" i="11" s="1"/>
  <c r="L1195" i="11"/>
  <c r="M1190" i="11" s="1"/>
  <c r="AA174" i="3"/>
  <c r="O2172" i="11" s="1"/>
  <c r="AU909" i="11"/>
  <c r="AU897" i="11"/>
  <c r="AD778" i="11"/>
  <c r="AD777" i="11"/>
  <c r="AX893" i="11"/>
  <c r="AY893" i="11" s="1"/>
  <c r="AZ893" i="11" s="1"/>
  <c r="AW893" i="11"/>
  <c r="BA893" i="11" s="1"/>
  <c r="BC893" i="11" s="1"/>
  <c r="R65" i="3" a="1"/>
  <c r="R65" i="3" s="1"/>
  <c r="R73" i="3" a="1"/>
  <c r="R73" i="3" s="1"/>
  <c r="R72" i="3" a="1"/>
  <c r="R72" i="3" s="1"/>
  <c r="R69" i="3" a="1"/>
  <c r="R69" i="3" s="1"/>
  <c r="R67" i="3" a="1"/>
  <c r="R67" i="3" s="1"/>
  <c r="R60" i="3" a="1"/>
  <c r="R60" i="3" s="1"/>
  <c r="R76" i="3" a="1"/>
  <c r="R76" i="3" s="1"/>
  <c r="R77" i="3" a="1"/>
  <c r="R77" i="3" s="1"/>
  <c r="S2160" i="11"/>
  <c r="AI162" i="3"/>
  <c r="AJ162" i="3"/>
  <c r="AU162" i="3"/>
  <c r="AE201" i="3" s="1"/>
  <c r="D202" i="3" s="1"/>
  <c r="AU911" i="11"/>
  <c r="AU903" i="11"/>
  <c r="AU899" i="11"/>
  <c r="AU910" i="11"/>
  <c r="AU901" i="11"/>
  <c r="AU907" i="11"/>
  <c r="AU894" i="11"/>
  <c r="AU902" i="11"/>
  <c r="AU906" i="11"/>
  <c r="AA157" i="3"/>
  <c r="O2155"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170" i="11" s="1"/>
  <c r="W2170" i="11" s="1"/>
  <c r="E858" i="11"/>
  <c r="J62" i="10"/>
  <c r="H9" i="8"/>
  <c r="O5" i="29" s="1"/>
  <c r="AD5" i="29" s="1"/>
  <c r="O6" i="29" s="1"/>
  <c r="AA195" i="3"/>
  <c r="O2193" i="11" s="1"/>
  <c r="N2193" i="11" s="1"/>
  <c r="M823" i="26"/>
  <c r="G823" i="26" s="1"/>
  <c r="X32" i="26"/>
  <c r="AC37" i="10"/>
  <c r="M725" i="26"/>
  <c r="G725" i="26" s="1"/>
  <c r="M877" i="26"/>
  <c r="G877" i="26" s="1"/>
  <c r="M822" i="26"/>
  <c r="G822" i="26" s="1"/>
  <c r="AA184" i="3"/>
  <c r="AA151" i="3"/>
  <c r="AA189" i="3"/>
  <c r="Q2187" i="11" s="1"/>
  <c r="W2187" i="11" s="1"/>
  <c r="M825" i="26"/>
  <c r="G825" i="26" s="1"/>
  <c r="M873" i="26"/>
  <c r="G873" i="26" s="1"/>
  <c r="M708" i="26"/>
  <c r="G708" i="26" s="1"/>
  <c r="X11" i="26"/>
  <c r="AB2198" i="11"/>
  <c r="AB2196" i="11"/>
  <c r="Y2191" i="11"/>
  <c r="Z2170" i="11"/>
  <c r="Y2182" i="11"/>
  <c r="Z2175" i="11"/>
  <c r="AA2175" i="11"/>
  <c r="Y2165" i="11"/>
  <c r="AA2149" i="11"/>
  <c r="Z2159" i="11"/>
  <c r="Y2177" i="11"/>
  <c r="AA2191" i="11"/>
  <c r="Y2162" i="11"/>
  <c r="Y2154" i="11"/>
  <c r="Y2161" i="11"/>
  <c r="AA2166" i="11"/>
  <c r="AA2184" i="11"/>
  <c r="Z2177" i="11"/>
  <c r="Z2164" i="11"/>
  <c r="Z2168" i="11"/>
  <c r="AA2161" i="11"/>
  <c r="Z2165" i="11"/>
  <c r="Y2192" i="11"/>
  <c r="AA2159" i="11"/>
  <c r="AA2173" i="11"/>
  <c r="Z2187" i="11"/>
  <c r="Z2162" i="11"/>
  <c r="Y2170" i="11"/>
  <c r="AA2192" i="11"/>
  <c r="Z2153" i="11"/>
  <c r="Z2156" i="11"/>
  <c r="Y2187" i="11"/>
  <c r="Y2164" i="11"/>
  <c r="Z2149" i="11"/>
  <c r="Z2173" i="11"/>
  <c r="Y2156" i="11"/>
  <c r="Y2143" i="11"/>
  <c r="AA2157" i="11"/>
  <c r="Y2166" i="11"/>
  <c r="AA2145" i="11"/>
  <c r="Y2151" i="11"/>
  <c r="Y2145" i="11"/>
  <c r="AA2182" i="11"/>
  <c r="AA2143" i="11"/>
  <c r="AA2153" i="11"/>
  <c r="Z2157" i="11"/>
  <c r="Z2184" i="11"/>
  <c r="Z2167" i="11"/>
  <c r="Y2167" i="11"/>
  <c r="AA2146" i="11"/>
  <c r="AA2142" i="11"/>
  <c r="Z2179" i="11"/>
  <c r="Y2180" i="11"/>
  <c r="AA2169" i="11"/>
  <c r="Z2190" i="11"/>
  <c r="AA2171" i="11"/>
  <c r="Y2144" i="11"/>
  <c r="Y2174" i="11"/>
  <c r="AA2185" i="11"/>
  <c r="AA2176" i="11"/>
  <c r="Y2178" i="11"/>
  <c r="Z2189" i="11"/>
  <c r="Y2188" i="11"/>
  <c r="AA2186" i="11"/>
  <c r="Y2183" i="11"/>
  <c r="AA2151" i="11"/>
  <c r="Y2158" i="11"/>
  <c r="Z2150" i="11"/>
  <c r="Z2183" i="11"/>
  <c r="Z2146" i="11"/>
  <c r="Z2188" i="11"/>
  <c r="Z2163" i="11"/>
  <c r="Y2181" i="11"/>
  <c r="Z2174" i="11"/>
  <c r="AA2158" i="11"/>
  <c r="Y2169" i="11"/>
  <c r="AA2190" i="11"/>
  <c r="Y2193" i="11"/>
  <c r="Y2147" i="11"/>
  <c r="AA2178" i="11"/>
  <c r="Y2171" i="11"/>
  <c r="Z2193" i="11"/>
  <c r="AA153" i="3"/>
  <c r="O2151" i="11" s="1"/>
  <c r="AA2180" i="11"/>
  <c r="AA2189" i="11"/>
  <c r="Z2185" i="11"/>
  <c r="Y2148" i="11"/>
  <c r="Y2179" i="11"/>
  <c r="AA2150" i="11"/>
  <c r="Y2186" i="11"/>
  <c r="Y2176" i="11"/>
  <c r="AA2155" i="11"/>
  <c r="Z2181" i="11"/>
  <c r="Z2148" i="11"/>
  <c r="Z2142" i="11"/>
  <c r="AA2147" i="11"/>
  <c r="Z2144" i="11"/>
  <c r="Y2155" i="11"/>
  <c r="AA176" i="3"/>
  <c r="X20" i="26"/>
  <c r="X78" i="26"/>
  <c r="M800" i="26"/>
  <c r="G800" i="26" s="1"/>
  <c r="M790" i="26"/>
  <c r="G790" i="26" s="1"/>
  <c r="M734" i="26"/>
  <c r="G734" i="26" s="1"/>
  <c r="M840" i="26"/>
  <c r="G840" i="26" s="1"/>
  <c r="X24" i="26"/>
  <c r="M806" i="26"/>
  <c r="G806" i="26" s="1"/>
  <c r="M838" i="26"/>
  <c r="G838" i="26" s="1"/>
  <c r="M804" i="26"/>
  <c r="G804" i="26" s="1"/>
  <c r="M701" i="26"/>
  <c r="G701" i="26" s="1"/>
  <c r="M883" i="26"/>
  <c r="G883" i="26" s="1"/>
  <c r="X46" i="26"/>
  <c r="X75" i="26"/>
  <c r="M879" i="26"/>
  <c r="G879" i="26" s="1"/>
  <c r="M774" i="26"/>
  <c r="G774" i="26" s="1"/>
  <c r="M747" i="26"/>
  <c r="G747" i="26" s="1"/>
  <c r="M748" i="26"/>
  <c r="G748" i="26" s="1"/>
  <c r="M757" i="26"/>
  <c r="G757" i="26" s="1"/>
  <c r="M802" i="26"/>
  <c r="G802" i="26" s="1"/>
  <c r="M857" i="26"/>
  <c r="G857" i="26" s="1"/>
  <c r="M801" i="26"/>
  <c r="G801" i="26" s="1"/>
  <c r="X79" i="26"/>
  <c r="M706" i="26"/>
  <c r="G706" i="26" s="1"/>
  <c r="X23" i="26"/>
  <c r="M720" i="26"/>
  <c r="G720" i="26" s="1"/>
  <c r="X40" i="26"/>
  <c r="M726" i="26"/>
  <c r="G726" i="26" s="1"/>
  <c r="M735" i="26"/>
  <c r="G735" i="26" s="1"/>
  <c r="M744" i="26"/>
  <c r="G744" i="26" s="1"/>
  <c r="M785" i="26"/>
  <c r="G785" i="26" s="1"/>
  <c r="M713" i="26"/>
  <c r="G713" i="26" s="1"/>
  <c r="X48" i="26"/>
  <c r="M799" i="26"/>
  <c r="G799" i="26" s="1"/>
  <c r="M780" i="26"/>
  <c r="G780" i="26" s="1"/>
  <c r="X68" i="26"/>
  <c r="X36" i="26"/>
  <c r="M884" i="26"/>
  <c r="G884" i="26" s="1"/>
  <c r="M722" i="26"/>
  <c r="G722" i="26" s="1"/>
  <c r="X51" i="26"/>
  <c r="M862" i="26"/>
  <c r="G862" i="26" s="1"/>
  <c r="X71" i="26"/>
  <c r="M788" i="26"/>
  <c r="G788" i="26" s="1"/>
  <c r="M831" i="26"/>
  <c r="G831" i="26" s="1"/>
  <c r="M740" i="26"/>
  <c r="G740" i="26" s="1"/>
  <c r="X73" i="26"/>
  <c r="M724" i="26"/>
  <c r="G724" i="26" s="1"/>
  <c r="M853" i="26"/>
  <c r="G853" i="26" s="1"/>
  <c r="M775" i="26"/>
  <c r="G775" i="26" s="1"/>
  <c r="M815" i="26"/>
  <c r="G815" i="26" s="1"/>
  <c r="M837" i="26"/>
  <c r="G837" i="26" s="1"/>
  <c r="M863" i="26"/>
  <c r="G863" i="26" s="1"/>
  <c r="M796" i="26"/>
  <c r="G796" i="26" s="1"/>
  <c r="X67" i="26"/>
  <c r="M768" i="26"/>
  <c r="G768" i="26" s="1"/>
  <c r="M779" i="26"/>
  <c r="G779" i="26" s="1"/>
  <c r="M814" i="26"/>
  <c r="G814" i="26" s="1"/>
  <c r="M751" i="26"/>
  <c r="G751" i="26" s="1"/>
  <c r="M753" i="26"/>
  <c r="G753" i="26" s="1"/>
  <c r="X77" i="26"/>
  <c r="M769" i="26"/>
  <c r="G769" i="26" s="1"/>
  <c r="AB2195" i="11"/>
  <c r="M766" i="26"/>
  <c r="G766" i="26" s="1"/>
  <c r="M826" i="26"/>
  <c r="G826" i="26" s="1"/>
  <c r="X61" i="26"/>
  <c r="X41" i="26"/>
  <c r="M832" i="26"/>
  <c r="G832" i="26" s="1"/>
  <c r="M835" i="26"/>
  <c r="G835" i="26" s="1"/>
  <c r="M809" i="26"/>
  <c r="G809" i="26" s="1"/>
  <c r="M737" i="26"/>
  <c r="G737" i="26" s="1"/>
  <c r="M875" i="26"/>
  <c r="G875" i="26" s="1"/>
  <c r="M807" i="26"/>
  <c r="G807" i="26" s="1"/>
  <c r="M836" i="26"/>
  <c r="G836" i="26" s="1"/>
  <c r="X52" i="26"/>
  <c r="X58" i="26"/>
  <c r="M833" i="26"/>
  <c r="G833" i="26" s="1"/>
  <c r="M707" i="26"/>
  <c r="G707" i="26" s="1"/>
  <c r="X45" i="26"/>
  <c r="M782" i="26"/>
  <c r="G782" i="26" s="1"/>
  <c r="M812" i="26"/>
  <c r="G812" i="26" s="1"/>
  <c r="M731" i="26"/>
  <c r="G731" i="26" s="1"/>
  <c r="M730" i="26"/>
  <c r="G730" i="26" s="1"/>
  <c r="X80" i="26"/>
  <c r="M761" i="26"/>
  <c r="G761" i="26" s="1"/>
  <c r="X70" i="26"/>
  <c r="M767" i="26"/>
  <c r="G767" i="26" s="1"/>
  <c r="M763" i="26"/>
  <c r="G763" i="26" s="1"/>
  <c r="M881" i="26"/>
  <c r="G881" i="26" s="1"/>
  <c r="M855" i="26"/>
  <c r="G855" i="26" s="1"/>
  <c r="X21" i="26"/>
  <c r="M843" i="26"/>
  <c r="G843" i="26" s="1"/>
  <c r="X55" i="26"/>
  <c r="M820" i="26"/>
  <c r="G820" i="26" s="1"/>
  <c r="M781" i="26"/>
  <c r="G781" i="26" s="1"/>
  <c r="X12" i="26"/>
  <c r="X10" i="26"/>
  <c r="M787" i="26"/>
  <c r="G787" i="26" s="1"/>
  <c r="M865" i="26"/>
  <c r="G865" i="26" s="1"/>
  <c r="M712" i="26"/>
  <c r="G712" i="26" s="1"/>
  <c r="M765" i="26"/>
  <c r="G765" i="26" s="1"/>
  <c r="X50" i="26"/>
  <c r="M851" i="26"/>
  <c r="G851" i="26" s="1"/>
  <c r="M846" i="26"/>
  <c r="G846" i="26" s="1"/>
  <c r="X30" i="26"/>
  <c r="X72" i="26"/>
  <c r="M704" i="26"/>
  <c r="G704" i="26" s="1"/>
  <c r="M736" i="26"/>
  <c r="G736" i="26" s="1"/>
  <c r="X28" i="26"/>
  <c r="X56" i="26"/>
  <c r="M723" i="26"/>
  <c r="G723" i="26" s="1"/>
  <c r="X81" i="26"/>
  <c r="X65" i="26"/>
  <c r="X44" i="26"/>
  <c r="X27" i="26"/>
  <c r="N17" i="25" s="1"/>
  <c r="X29" i="26"/>
  <c r="M791" i="26"/>
  <c r="G791" i="26" s="1"/>
  <c r="M828" i="26"/>
  <c r="G828" i="26" s="1"/>
  <c r="M729" i="26"/>
  <c r="G729" i="26" s="1"/>
  <c r="AJ44" i="30"/>
  <c r="AK44" i="30" s="1"/>
  <c r="AG5" i="30"/>
  <c r="AV8" i="30" s="1"/>
  <c r="U188" i="3"/>
  <c r="AA188" i="3" s="1"/>
  <c r="Q2186" i="11" s="1"/>
  <c r="W2186" i="11" s="1"/>
  <c r="U162" i="3"/>
  <c r="U169" i="3"/>
  <c r="AA169" i="3" s="1"/>
  <c r="AB169" i="3" s="1"/>
  <c r="U170" i="3"/>
  <c r="AA170" i="3" s="1"/>
  <c r="Q2168" i="11" s="1"/>
  <c r="W2168" i="11" s="1"/>
  <c r="AA2168" i="11" s="1"/>
  <c r="U155" i="3"/>
  <c r="AA155" i="3" s="1"/>
  <c r="Q33" i="2" s="1"/>
  <c r="U167" i="3"/>
  <c r="AA167" i="3" s="1"/>
  <c r="U171" i="3"/>
  <c r="AA171" i="3" s="1"/>
  <c r="U168" i="3"/>
  <c r="AA168" i="3" s="1"/>
  <c r="U165" i="3"/>
  <c r="AA165" i="3" s="1"/>
  <c r="O2163" i="11" s="1"/>
  <c r="U154" i="3"/>
  <c r="U163" i="3"/>
  <c r="AA163" i="3" s="1"/>
  <c r="Q2161" i="11" s="1"/>
  <c r="W2161" i="11" s="1"/>
  <c r="U156" i="3"/>
  <c r="AA156" i="3" s="1"/>
  <c r="O2154" i="11" s="1"/>
  <c r="X35" i="26"/>
  <c r="U183" i="3"/>
  <c r="AA183" i="3" s="1"/>
  <c r="U164" i="3"/>
  <c r="AA164" i="3" s="1"/>
  <c r="U166" i="3"/>
  <c r="AA166" i="3" s="1"/>
  <c r="U161" i="3"/>
  <c r="AA161" i="3" s="1"/>
  <c r="F52" i="14"/>
  <c r="L14" i="6"/>
  <c r="AC574" i="11"/>
  <c r="AC571" i="11"/>
  <c r="AC577" i="11"/>
  <c r="AC572" i="11"/>
  <c r="AC578" i="11"/>
  <c r="AC576" i="11"/>
  <c r="AC575" i="11"/>
  <c r="AC573" i="11"/>
  <c r="M871" i="26"/>
  <c r="G871" i="26" s="1"/>
  <c r="X31" i="26"/>
  <c r="M700" i="26"/>
  <c r="G700" i="26" s="1"/>
  <c r="X76" i="26"/>
  <c r="M794" i="26"/>
  <c r="G794" i="26" s="1"/>
  <c r="M705" i="26"/>
  <c r="G705" i="26" s="1"/>
  <c r="M861" i="26"/>
  <c r="G861" i="26" s="1"/>
  <c r="M755" i="26"/>
  <c r="G755" i="26" s="1"/>
  <c r="M714" i="26"/>
  <c r="G714" i="26" s="1"/>
  <c r="M872" i="26"/>
  <c r="G872" i="26" s="1"/>
  <c r="X25" i="26"/>
  <c r="M749" i="26"/>
  <c r="G749" i="26" s="1"/>
  <c r="M716" i="26"/>
  <c r="G716" i="26" s="1"/>
  <c r="M849" i="26"/>
  <c r="G849" i="26" s="1"/>
  <c r="M845" i="26"/>
  <c r="G845" i="26" s="1"/>
  <c r="X17" i="26"/>
  <c r="M743" i="26"/>
  <c r="G743" i="26" s="1"/>
  <c r="X60" i="26"/>
  <c r="M702" i="26"/>
  <c r="G702" i="26" s="1"/>
  <c r="M874" i="26"/>
  <c r="G874" i="26" s="1"/>
  <c r="M816" i="26"/>
  <c r="G816" i="26" s="1"/>
  <c r="M844" i="26"/>
  <c r="G844" i="26" s="1"/>
  <c r="M719" i="26"/>
  <c r="G719" i="26" s="1"/>
  <c r="M741" i="26"/>
  <c r="G741" i="26" s="1"/>
  <c r="M882" i="26"/>
  <c r="G882" i="26" s="1"/>
  <c r="X47" i="26"/>
  <c r="M718" i="26"/>
  <c r="G718" i="26" s="1"/>
  <c r="M756" i="26"/>
  <c r="G756" i="26" s="1"/>
  <c r="M754" i="26"/>
  <c r="G754" i="26" s="1"/>
  <c r="X22" i="26"/>
  <c r="M746" i="26"/>
  <c r="G746" i="26" s="1"/>
  <c r="M811" i="26"/>
  <c r="G811" i="26" s="1"/>
  <c r="X13" i="26"/>
  <c r="N16" i="25" s="1"/>
  <c r="M818" i="26"/>
  <c r="G818" i="26" s="1"/>
  <c r="M717" i="26"/>
  <c r="G717" i="26" s="1"/>
  <c r="M854" i="26"/>
  <c r="G854" i="26" s="1"/>
  <c r="X19" i="26"/>
  <c r="M776" i="26"/>
  <c r="G776" i="26" s="1"/>
  <c r="X74" i="26"/>
  <c r="M821" i="26"/>
  <c r="G821" i="26" s="1"/>
  <c r="M819" i="26"/>
  <c r="G819" i="26" s="1"/>
  <c r="M868" i="26"/>
  <c r="G868" i="26" s="1"/>
  <c r="X57" i="26"/>
  <c r="M778" i="26"/>
  <c r="G778" i="26" s="1"/>
  <c r="M808" i="26"/>
  <c r="G808" i="26" s="1"/>
  <c r="M850" i="26"/>
  <c r="G850" i="26" s="1"/>
  <c r="M793" i="26"/>
  <c r="G793" i="26" s="1"/>
  <c r="X53" i="26"/>
  <c r="X43" i="26"/>
  <c r="M824" i="26"/>
  <c r="G824" i="26" s="1"/>
  <c r="M860" i="26"/>
  <c r="G860" i="26" s="1"/>
  <c r="M792" i="26"/>
  <c r="G792" i="26" s="1"/>
  <c r="M813" i="26"/>
  <c r="G813" i="26" s="1"/>
  <c r="M786" i="26"/>
  <c r="G786" i="26" s="1"/>
  <c r="M852" i="26"/>
  <c r="G852" i="26" s="1"/>
  <c r="M847" i="26"/>
  <c r="G847" i="26" s="1"/>
  <c r="M784" i="26"/>
  <c r="G784" i="26" s="1"/>
  <c r="M742" i="26"/>
  <c r="G742" i="26" s="1"/>
  <c r="M830" i="26"/>
  <c r="G830" i="26" s="1"/>
  <c r="M798" i="26"/>
  <c r="G798" i="26" s="1"/>
  <c r="X82" i="26"/>
  <c r="M738" i="26"/>
  <c r="G738" i="26" s="1"/>
  <c r="M869" i="26"/>
  <c r="G869" i="26" s="1"/>
  <c r="M797" i="26"/>
  <c r="G797" i="26" s="1"/>
  <c r="M750" i="26"/>
  <c r="G750" i="26" s="1"/>
  <c r="X63" i="26"/>
  <c r="M866" i="26"/>
  <c r="G866" i="26" s="1"/>
  <c r="M770" i="26"/>
  <c r="G770" i="26" s="1"/>
  <c r="X59" i="26"/>
  <c r="X16" i="26"/>
  <c r="M728" i="26"/>
  <c r="G728" i="26" s="1"/>
  <c r="X69" i="26"/>
  <c r="M762" i="26"/>
  <c r="G762" i="26" s="1"/>
  <c r="M867" i="26"/>
  <c r="G867" i="26" s="1"/>
  <c r="M839" i="26"/>
  <c r="G839" i="26" s="1"/>
  <c r="M711" i="26"/>
  <c r="G711" i="26" s="1"/>
  <c r="M699" i="26"/>
  <c r="G699" i="26" s="1"/>
  <c r="M732" i="26"/>
  <c r="G732" i="26" s="1"/>
  <c r="M760" i="26"/>
  <c r="G760" i="26" s="1"/>
  <c r="M842" i="26"/>
  <c r="G842" i="26" s="1"/>
  <c r="M885" i="26"/>
  <c r="G885" i="26" s="1"/>
  <c r="X62" i="26"/>
  <c r="M805" i="26"/>
  <c r="G805" i="26" s="1"/>
  <c r="M856" i="26"/>
  <c r="G856" i="26" s="1"/>
  <c r="M859" i="26"/>
  <c r="G859" i="26" s="1"/>
  <c r="M698" i="26"/>
  <c r="G698" i="26" s="1"/>
  <c r="W105" i="3"/>
  <c r="AA105" i="3" s="1"/>
  <c r="I12" i="6" s="1"/>
  <c r="J12" i="6" s="1"/>
  <c r="AD48" i="10" s="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L32" i="14"/>
  <c r="J16" i="10"/>
  <c r="AV894"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7" i="14"/>
  <c r="N21" i="4"/>
  <c r="Z2152" i="11"/>
  <c r="AA2152" i="11"/>
  <c r="Y2152" i="11"/>
  <c r="D552" i="11"/>
  <c r="AM101" i="25"/>
  <c r="Z652" i="11"/>
  <c r="L739" i="11" s="1"/>
  <c r="AV910" i="11"/>
  <c r="AX908" i="11"/>
  <c r="AY908" i="11" s="1"/>
  <c r="AZ908" i="11" s="1"/>
  <c r="AW908" i="11"/>
  <c r="BA908" i="11" s="1"/>
  <c r="AH74" i="3"/>
  <c r="AV911" i="11"/>
  <c r="AV901" i="11"/>
  <c r="AX909" i="11"/>
  <c r="AY909" i="11" s="1"/>
  <c r="AZ909" i="11" s="1"/>
  <c r="AW909" i="11"/>
  <c r="BA909" i="11" s="1"/>
  <c r="AH75" i="3"/>
  <c r="AV899" i="11"/>
  <c r="AV907" i="11"/>
  <c r="AV903" i="11"/>
  <c r="AX898" i="11"/>
  <c r="AY898" i="11" s="1"/>
  <c r="AZ898" i="11" s="1"/>
  <c r="AW898" i="11"/>
  <c r="BA898" i="11" s="1"/>
  <c r="AH64" i="3"/>
  <c r="AV906" i="11"/>
  <c r="F693" i="26"/>
  <c r="G693" i="26" s="1"/>
  <c r="AM238" i="25"/>
  <c r="F696" i="26"/>
  <c r="G696" i="26" s="1"/>
  <c r="AM340" i="25"/>
  <c r="AM213" i="25"/>
  <c r="AD192" i="25"/>
  <c r="AD260" i="25"/>
  <c r="AM281" i="25"/>
  <c r="AM67" i="25"/>
  <c r="F688" i="26"/>
  <c r="G688" i="26" s="1"/>
  <c r="AD89" i="25"/>
  <c r="AM110" i="25"/>
  <c r="AM169" i="25"/>
  <c r="F691" i="26"/>
  <c r="G691" i="26" s="1"/>
  <c r="AM315" i="25"/>
  <c r="AD294" i="25"/>
  <c r="AM306" i="25"/>
  <c r="F695" i="26"/>
  <c r="G695" i="26" s="1"/>
  <c r="F692" i="26"/>
  <c r="G692" i="26" s="1"/>
  <c r="AM204" i="25"/>
  <c r="AD55" i="25"/>
  <c r="AM76" i="25"/>
  <c r="AU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AD981" i="11" l="1"/>
  <c r="R68" i="3" a="1"/>
  <c r="R68" i="3" s="1"/>
  <c r="F690" i="26"/>
  <c r="G690" i="26" s="1"/>
  <c r="S51" i="2"/>
  <c r="J2245" i="11"/>
  <c r="S52" i="2"/>
  <c r="S54" i="2" s="1"/>
  <c r="S53" i="2"/>
  <c r="J2247" i="11"/>
  <c r="J2244" i="11"/>
  <c r="K2244" i="11" s="1"/>
  <c r="C89" i="14"/>
  <c r="E89" i="14" s="1"/>
  <c r="B280" i="13"/>
  <c r="H256" i="13"/>
  <c r="B256" i="13" s="1"/>
  <c r="F694" i="26"/>
  <c r="G694" i="26" s="1"/>
  <c r="M1191" i="11"/>
  <c r="F510" i="19"/>
  <c r="B497" i="19"/>
  <c r="F512" i="19"/>
  <c r="B499" i="19"/>
  <c r="F506" i="19"/>
  <c r="B493" i="19"/>
  <c r="B498" i="19"/>
  <c r="F511" i="19"/>
  <c r="B490" i="19"/>
  <c r="F503" i="19"/>
  <c r="B500" i="19"/>
  <c r="F513" i="19"/>
  <c r="B496" i="19"/>
  <c r="F509" i="19"/>
  <c r="B492" i="19"/>
  <c r="F505" i="19"/>
  <c r="F508" i="19"/>
  <c r="B495" i="19"/>
  <c r="B494" i="19"/>
  <c r="F507" i="19"/>
  <c r="F502" i="19"/>
  <c r="B489" i="19"/>
  <c r="F504" i="19"/>
  <c r="B491" i="19"/>
  <c r="M1192" i="11"/>
  <c r="M1194" i="11"/>
  <c r="M1195" i="11"/>
  <c r="AW897" i="11"/>
  <c r="BA897" i="11" s="1"/>
  <c r="BE897" i="11" s="1"/>
  <c r="AH63" i="3"/>
  <c r="AX897" i="11"/>
  <c r="AH61" i="3"/>
  <c r="AW895" i="11"/>
  <c r="BA895" i="11" s="1"/>
  <c r="BC895" i="11" s="1"/>
  <c r="AY900" i="11"/>
  <c r="AZ900" i="11" s="1"/>
  <c r="AD123" i="25"/>
  <c r="AD328" i="25"/>
  <c r="Q2182" i="11"/>
  <c r="W2182" i="11" s="1"/>
  <c r="AB2182" i="11" s="1"/>
  <c r="U12" i="25"/>
  <c r="AM42" i="25"/>
  <c r="AD157" i="25"/>
  <c r="AM247" i="25"/>
  <c r="D248" i="25" s="1"/>
  <c r="AH70" i="3"/>
  <c r="AX904" i="11"/>
  <c r="AY904" i="11" s="1"/>
  <c r="AZ904" i="11" s="1"/>
  <c r="AZ896" i="11"/>
  <c r="AM43" i="25"/>
  <c r="AX896" i="11"/>
  <c r="AH62" i="3"/>
  <c r="O2194" i="11"/>
  <c r="N2194" i="11" s="1"/>
  <c r="Q2188" i="11"/>
  <c r="W2188" i="11" s="1"/>
  <c r="AA2188" i="11" s="1"/>
  <c r="AY896" i="11"/>
  <c r="E969" i="11"/>
  <c r="X969" i="11" s="1"/>
  <c r="E970" i="11"/>
  <c r="X970" i="11" s="1"/>
  <c r="AB176" i="3"/>
  <c r="AY905" i="11"/>
  <c r="AZ905" i="11" s="1"/>
  <c r="Q74" i="2"/>
  <c r="Q2194" i="11"/>
  <c r="W2194" i="11" s="1"/>
  <c r="AB2194" i="11" s="1"/>
  <c r="AH66" i="3"/>
  <c r="AH71" i="3"/>
  <c r="AW905" i="11"/>
  <c r="BA905" i="11" s="1"/>
  <c r="BC905" i="11" s="1"/>
  <c r="AW900" i="11"/>
  <c r="BA900" i="11" s="1"/>
  <c r="BB900" i="11" s="1"/>
  <c r="BF900" i="11" s="1"/>
  <c r="AX1101" i="11"/>
  <c r="Q2166" i="11"/>
  <c r="W2166" i="11" s="1"/>
  <c r="AB2166" i="11" s="1"/>
  <c r="Q2149" i="11"/>
  <c r="W2149" i="11" s="1"/>
  <c r="AB2149" i="11" s="1"/>
  <c r="L693" i="11"/>
  <c r="AD698" i="11" s="1"/>
  <c r="L689" i="11"/>
  <c r="L692" i="11"/>
  <c r="BX694" i="11" s="1"/>
  <c r="L688" i="11"/>
  <c r="L691" i="11"/>
  <c r="AD697" i="11" s="1"/>
  <c r="L690" i="11"/>
  <c r="AD696" i="11" s="1"/>
  <c r="Q68" i="2"/>
  <c r="S57" i="14" s="1"/>
  <c r="L663" i="11"/>
  <c r="L669" i="11"/>
  <c r="L668" i="11"/>
  <c r="AD675" i="11" s="1"/>
  <c r="AB190" i="3"/>
  <c r="AG37" i="10"/>
  <c r="D316" i="25"/>
  <c r="Q52" i="2"/>
  <c r="M1199" i="11"/>
  <c r="M1198" i="11"/>
  <c r="M1197" i="11"/>
  <c r="M1196" i="11"/>
  <c r="Q2172" i="11"/>
  <c r="W2172" i="11" s="1"/>
  <c r="AB2172" i="11" s="1"/>
  <c r="N2172" i="11" s="1"/>
  <c r="AB174" i="3"/>
  <c r="O2181" i="11"/>
  <c r="AB183" i="3"/>
  <c r="Q2181" i="11"/>
  <c r="W2181" i="11" s="1"/>
  <c r="AB2181" i="11" s="1"/>
  <c r="Q61" i="2"/>
  <c r="BD893" i="11"/>
  <c r="AI59" i="3"/>
  <c r="BE893" i="11"/>
  <c r="BB893" i="11"/>
  <c r="BF893" i="11" s="1"/>
  <c r="BH893" i="11" s="1"/>
  <c r="T2160" i="11"/>
  <c r="X2160" i="11" s="1"/>
  <c r="Z2160" i="11" s="1"/>
  <c r="AF162" i="3"/>
  <c r="AA162" i="3" s="1"/>
  <c r="O2169" i="11"/>
  <c r="AB171" i="3"/>
  <c r="Q49" i="2"/>
  <c r="S38" i="14" s="1"/>
  <c r="Q2169" i="11"/>
  <c r="W2169" i="11" s="1"/>
  <c r="AB2169" i="11" s="1"/>
  <c r="Q35" i="2"/>
  <c r="Q2155" i="11"/>
  <c r="W2155" i="11" s="1"/>
  <c r="AB2155" i="11" s="1"/>
  <c r="N2155" i="11" s="1"/>
  <c r="AB157" i="3"/>
  <c r="Q2171" i="11"/>
  <c r="W2171" i="11" s="1"/>
  <c r="AB2171" i="11" s="1"/>
  <c r="AB173" i="3"/>
  <c r="Q51" i="2"/>
  <c r="O2171" i="11"/>
  <c r="Q50" i="2"/>
  <c r="S39" i="14" s="1"/>
  <c r="AB172" i="3"/>
  <c r="O2170" i="11"/>
  <c r="AA154" i="3"/>
  <c r="O2152" i="11" s="1"/>
  <c r="AB195" i="3"/>
  <c r="O2167" i="11"/>
  <c r="N2167" i="11" s="1"/>
  <c r="K21" i="29"/>
  <c r="Q73" i="2"/>
  <c r="Q2193" i="11"/>
  <c r="W2193" i="11" s="1"/>
  <c r="AB2193" i="11" s="1"/>
  <c r="AB2186" i="11"/>
  <c r="AB2168" i="11"/>
  <c r="Q62" i="2"/>
  <c r="S51" i="14" s="1"/>
  <c r="AB184" i="3"/>
  <c r="O2182" i="11"/>
  <c r="Q67" i="2"/>
  <c r="S56" i="14" s="1"/>
  <c r="O2149" i="11"/>
  <c r="Q29" i="2"/>
  <c r="Z918" i="11"/>
  <c r="AB151" i="3"/>
  <c r="O2187" i="11"/>
  <c r="N2187" i="11" s="1"/>
  <c r="AB189" i="3"/>
  <c r="AB2170" i="11"/>
  <c r="AB2187" i="11"/>
  <c r="Q54" i="2"/>
  <c r="O2174" i="11"/>
  <c r="AB2161" i="11"/>
  <c r="O2150" i="11"/>
  <c r="Q31" i="2"/>
  <c r="Q2174" i="11"/>
  <c r="W2174" i="11" s="1"/>
  <c r="AB2174" i="11" s="1"/>
  <c r="Q2151" i="11"/>
  <c r="W2151" i="11" s="1"/>
  <c r="AB2151" i="11" s="1"/>
  <c r="N2151" i="11" s="1"/>
  <c r="AB153" i="3"/>
  <c r="AB152" i="3"/>
  <c r="Q2150" i="11"/>
  <c r="W2150" i="11" s="1"/>
  <c r="AB2150" i="11" s="1"/>
  <c r="O2165" i="11"/>
  <c r="AB167" i="3"/>
  <c r="Q45" i="2"/>
  <c r="S34" i="14" s="1"/>
  <c r="Q2165" i="11"/>
  <c r="W2165" i="11" s="1"/>
  <c r="AB2165" i="11" s="1"/>
  <c r="Q2167" i="11"/>
  <c r="W2167" i="11" s="1"/>
  <c r="AB2167" i="11" s="1"/>
  <c r="Q47" i="2"/>
  <c r="AB163" i="3"/>
  <c r="Q66" i="2"/>
  <c r="AB155" i="3"/>
  <c r="AB188" i="3"/>
  <c r="O2153" i="11"/>
  <c r="O2186" i="11"/>
  <c r="N2186" i="11" s="1"/>
  <c r="AB559" i="11"/>
  <c r="AB555" i="11"/>
  <c r="AB552" i="11"/>
  <c r="AB557" i="11"/>
  <c r="AB553" i="11"/>
  <c r="AB554" i="11"/>
  <c r="AB558" i="11"/>
  <c r="Q2154" i="11"/>
  <c r="W2154" i="11" s="1"/>
  <c r="Z2154" i="11" s="1"/>
  <c r="AB2154" i="11" s="1"/>
  <c r="N2154" i="11" s="1"/>
  <c r="Q48" i="2"/>
  <c r="AB170" i="3"/>
  <c r="CK108" i="11"/>
  <c r="CV108" i="11"/>
  <c r="O2168" i="11"/>
  <c r="Q2153" i="11"/>
  <c r="W2153" i="11" s="1"/>
  <c r="AB2153" i="11" s="1"/>
  <c r="CS108" i="11"/>
  <c r="Q34" i="2"/>
  <c r="AB156" i="3"/>
  <c r="CY108" i="11"/>
  <c r="CM108" i="11"/>
  <c r="CO108" i="11"/>
  <c r="AB165" i="3"/>
  <c r="Q2163" i="11"/>
  <c r="W2163" i="11" s="1"/>
  <c r="Q43" i="2"/>
  <c r="S32" i="14" s="1"/>
  <c r="CX108" i="11"/>
  <c r="CW108" i="11"/>
  <c r="O2166" i="11"/>
  <c r="AB168" i="3"/>
  <c r="Q46" i="2"/>
  <c r="CL108" i="11"/>
  <c r="CJ108" i="11"/>
  <c r="CU108" i="11"/>
  <c r="CP108" i="11"/>
  <c r="CN108" i="11"/>
  <c r="CQ108" i="11"/>
  <c r="CT108" i="11"/>
  <c r="O2161" i="11"/>
  <c r="Q41" i="2"/>
  <c r="AB164" i="3"/>
  <c r="Q2162" i="11"/>
  <c r="W2162" i="11" s="1"/>
  <c r="AB2162" i="11" s="1"/>
  <c r="O2162" i="11"/>
  <c r="Q42" i="2"/>
  <c r="Q2164" i="11"/>
  <c r="W2164" i="11" s="1"/>
  <c r="AB2164" i="11" s="1"/>
  <c r="O2164" i="11"/>
  <c r="AB166" i="3"/>
  <c r="Q44" i="2"/>
  <c r="Q2159" i="11"/>
  <c r="W2159" i="11" s="1"/>
  <c r="AB2159" i="11" s="1"/>
  <c r="AB161" i="3"/>
  <c r="Q39" i="2"/>
  <c r="O2159" i="11"/>
  <c r="L777" i="11"/>
  <c r="AN668" i="11" s="1"/>
  <c r="L653" i="11"/>
  <c r="AC579" i="11"/>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L723" i="11"/>
  <c r="L687" i="11"/>
  <c r="L698" i="11"/>
  <c r="L716" i="11"/>
  <c r="L738" i="11"/>
  <c r="L767" i="11"/>
  <c r="L682" i="11"/>
  <c r="L745" i="11"/>
  <c r="L742" i="11"/>
  <c r="L697" i="11"/>
  <c r="L684" i="11"/>
  <c r="L756" i="11"/>
  <c r="L694" i="11"/>
  <c r="L665" i="11"/>
  <c r="L760" i="11"/>
  <c r="L685" i="11"/>
  <c r="L784" i="11"/>
  <c r="CE786" i="11" s="1"/>
  <c r="L783" i="11"/>
  <c r="BJ785" i="11" s="1"/>
  <c r="L661" i="11"/>
  <c r="AD671" i="11" s="1"/>
  <c r="L728" i="11"/>
  <c r="U1128" i="11"/>
  <c r="L741" i="11"/>
  <c r="BC743" i="11" s="1"/>
  <c r="L700" i="11"/>
  <c r="AD704" i="11" s="1"/>
  <c r="L702" i="11"/>
  <c r="L743" i="11"/>
  <c r="CE745" i="11" s="1"/>
  <c r="L732" i="11"/>
  <c r="CM734" i="11" s="1"/>
  <c r="L664" i="11"/>
  <c r="L686" i="11"/>
  <c r="L709" i="11"/>
  <c r="BY711" i="11" s="1"/>
  <c r="L748" i="11"/>
  <c r="L707" i="11"/>
  <c r="L695" i="11"/>
  <c r="AI679" i="11" s="1"/>
  <c r="L719" i="11"/>
  <c r="AI688" i="11" s="1"/>
  <c r="L705" i="11"/>
  <c r="L775" i="11"/>
  <c r="BQ777" i="11" s="1"/>
  <c r="L703" i="11"/>
  <c r="AD707" i="11" s="1"/>
  <c r="L762" i="11"/>
  <c r="AI700" i="11" s="1"/>
  <c r="L727" i="11"/>
  <c r="U1123" i="11"/>
  <c r="L765" i="11"/>
  <c r="AD754" i="11" s="1"/>
  <c r="L725" i="11"/>
  <c r="L706" i="11"/>
  <c r="AD710" i="11" s="1"/>
  <c r="L701" i="11"/>
  <c r="L754" i="11"/>
  <c r="L672" i="11"/>
  <c r="L749" i="11"/>
  <c r="L769" i="11"/>
  <c r="AD762" i="11" s="1"/>
  <c r="L666" i="11"/>
  <c r="D111" i="25"/>
  <c r="L667" i="11"/>
  <c r="U1122" i="11"/>
  <c r="L766" i="11"/>
  <c r="AD756" i="11" s="1"/>
  <c r="L724" i="11"/>
  <c r="L778" i="11"/>
  <c r="BJ780" i="11" s="1"/>
  <c r="L680" i="11"/>
  <c r="AD686" i="11" s="1"/>
  <c r="L721" i="11"/>
  <c r="AD721" i="11" s="1"/>
  <c r="L671" i="11"/>
  <c r="L713" i="11"/>
  <c r="AD715" i="11" s="1"/>
  <c r="U1124" i="11"/>
  <c r="L776" i="11"/>
  <c r="CE778" i="11" s="1"/>
  <c r="L717" i="11"/>
  <c r="CE719" i="11" s="1"/>
  <c r="L683" i="11"/>
  <c r="L718" i="11"/>
  <c r="L774" i="11"/>
  <c r="L733" i="11"/>
  <c r="L659" i="11"/>
  <c r="L787" i="11"/>
  <c r="CL789" i="11" s="1"/>
  <c r="L726" i="11"/>
  <c r="L751" i="11"/>
  <c r="U1121" i="11"/>
  <c r="L736" i="11"/>
  <c r="L677" i="11"/>
  <c r="L781" i="11"/>
  <c r="CM783" i="11" s="1"/>
  <c r="L757" i="11"/>
  <c r="L676" i="11"/>
  <c r="L670" i="11"/>
  <c r="L681" i="11"/>
  <c r="L770" i="11"/>
  <c r="L674" i="11"/>
  <c r="L763" i="11"/>
  <c r="AD749" i="11" s="1"/>
  <c r="L699" i="11"/>
  <c r="U1127" i="11"/>
  <c r="L740"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94" i="11"/>
  <c r="BA894" i="11" s="1"/>
  <c r="AX894" i="11"/>
  <c r="AY894" i="11" s="1"/>
  <c r="AZ894" i="11" s="1"/>
  <c r="L662" i="11"/>
  <c r="U1125" i="11"/>
  <c r="L746" i="11"/>
  <c r="L679" i="11"/>
  <c r="L772" i="11"/>
  <c r="L785" i="11"/>
  <c r="L764" i="11"/>
  <c r="L773" i="11"/>
  <c r="BX775" i="11" s="1"/>
  <c r="L759" i="11"/>
  <c r="L657" i="11"/>
  <c r="L714" i="11"/>
  <c r="L660" i="11"/>
  <c r="L782" i="11"/>
  <c r="CM784" i="11" s="1"/>
  <c r="L712" i="11"/>
  <c r="AD714" i="11" s="1"/>
  <c r="L678" i="11"/>
  <c r="L758" i="11"/>
  <c r="AD746" i="11" s="1"/>
  <c r="L656" i="11"/>
  <c r="L735" i="11"/>
  <c r="L750" i="11"/>
  <c r="L655" i="11"/>
  <c r="L715" i="11"/>
  <c r="L720" i="11"/>
  <c r="AD720" i="11" s="1"/>
  <c r="L704" i="11"/>
  <c r="L761" i="11"/>
  <c r="L788" i="11"/>
  <c r="CM790" i="11" s="1"/>
  <c r="L711" i="11"/>
  <c r="L696" i="11"/>
  <c r="L708" i="11"/>
  <c r="AI682" i="11" s="1"/>
  <c r="L753" i="11"/>
  <c r="L675" i="11"/>
  <c r="L737" i="11"/>
  <c r="U1120" i="11"/>
  <c r="L722" i="11"/>
  <c r="L755" i="11"/>
  <c r="L789" i="11"/>
  <c r="L731" i="11"/>
  <c r="AD730" i="11" s="1"/>
  <c r="L673" i="11"/>
  <c r="L744" i="11"/>
  <c r="L729" i="11"/>
  <c r="L747" i="11"/>
  <c r="L710" i="11"/>
  <c r="U1126" i="11"/>
  <c r="D553" i="11"/>
  <c r="L768" i="11"/>
  <c r="AD760" i="11" s="1"/>
  <c r="D179" i="25"/>
  <c r="D350" i="25"/>
  <c r="D214" i="25"/>
  <c r="AX907" i="11"/>
  <c r="AY907" i="11" s="1"/>
  <c r="AZ907" i="11" s="1"/>
  <c r="AW907" i="11"/>
  <c r="BA907" i="11" s="1"/>
  <c r="AH73" i="3"/>
  <c r="BB904" i="11"/>
  <c r="BF904" i="11" s="1"/>
  <c r="BE904" i="11"/>
  <c r="BD904" i="11"/>
  <c r="BC904" i="11"/>
  <c r="AI70" i="3"/>
  <c r="AX902" i="11"/>
  <c r="AY902" i="11" s="1"/>
  <c r="AZ902" i="11" s="1"/>
  <c r="AW902" i="11"/>
  <c r="BA902" i="11" s="1"/>
  <c r="AH68" i="3"/>
  <c r="BB896" i="11"/>
  <c r="BF896" i="11" s="1"/>
  <c r="BE896" i="11"/>
  <c r="BD896" i="11"/>
  <c r="BC896" i="11"/>
  <c r="AI62" i="3"/>
  <c r="AX901" i="11"/>
  <c r="AY901" i="11" s="1"/>
  <c r="AZ901" i="11" s="1"/>
  <c r="AW901" i="11"/>
  <c r="BA901" i="11" s="1"/>
  <c r="AH67" i="3"/>
  <c r="AX906" i="11"/>
  <c r="AY906" i="11" s="1"/>
  <c r="AZ906" i="11" s="1"/>
  <c r="AW906" i="11"/>
  <c r="BA906" i="11" s="1"/>
  <c r="AH72" i="3"/>
  <c r="BB898" i="11"/>
  <c r="BF898" i="11" s="1"/>
  <c r="BE898" i="11"/>
  <c r="BD898" i="11"/>
  <c r="BC898" i="11"/>
  <c r="AI64" i="3"/>
  <c r="AX899" i="11"/>
  <c r="AW899" i="11"/>
  <c r="AY899" i="11"/>
  <c r="AZ899" i="11" s="1"/>
  <c r="AH65" i="3"/>
  <c r="BB909" i="11"/>
  <c r="BF909" i="11" s="1"/>
  <c r="BE909" i="11"/>
  <c r="BD909" i="11"/>
  <c r="BC909" i="11"/>
  <c r="AI75" i="3"/>
  <c r="AX903" i="11"/>
  <c r="AY903" i="11" s="1"/>
  <c r="AZ903" i="11" s="1"/>
  <c r="AW903" i="11"/>
  <c r="BA903" i="11" s="1"/>
  <c r="AH69" i="3"/>
  <c r="AX911" i="11"/>
  <c r="AY911" i="11" s="1"/>
  <c r="AZ911" i="11" s="1"/>
  <c r="AW911" i="11"/>
  <c r="AH77" i="3"/>
  <c r="BB908" i="11"/>
  <c r="BF908" i="11" s="1"/>
  <c r="BE908" i="11"/>
  <c r="BD908" i="11"/>
  <c r="BC908" i="11"/>
  <c r="AI74" i="3"/>
  <c r="AX910" i="11"/>
  <c r="AY910" i="11" s="1"/>
  <c r="AZ910" i="11" s="1"/>
  <c r="AW910" i="11"/>
  <c r="AH76" i="3"/>
  <c r="D282" i="25"/>
  <c r="D77" i="25"/>
  <c r="D145" i="25"/>
  <c r="AU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CL774" i="11" l="1"/>
  <c r="L817" i="11"/>
  <c r="L827" i="11"/>
  <c r="CE791" i="11"/>
  <c r="L819" i="11"/>
  <c r="L820" i="11" s="1"/>
  <c r="AI713" i="11" s="1"/>
  <c r="BY787" i="11"/>
  <c r="S55" i="2"/>
  <c r="S56" i="2" s="1"/>
  <c r="S57" i="2" s="1"/>
  <c r="S58" i="2" s="1"/>
  <c r="S59" i="2" s="1"/>
  <c r="S60" i="2" s="1"/>
  <c r="S61" i="2" s="1"/>
  <c r="S62" i="2" s="1"/>
  <c r="S63" i="2" s="1"/>
  <c r="S64" i="2" s="1"/>
  <c r="S65" i="2" s="1"/>
  <c r="S66" i="2" s="1"/>
  <c r="S67" i="2" s="1"/>
  <c r="S68" i="2" s="1"/>
  <c r="S69" i="2" s="1"/>
  <c r="J2248" i="11"/>
  <c r="K2245" i="11"/>
  <c r="AD2162" i="11"/>
  <c r="K2162" i="11" s="1"/>
  <c r="BB897" i="11"/>
  <c r="BF897" i="11" s="1"/>
  <c r="BH897" i="11" s="1"/>
  <c r="H306" i="13"/>
  <c r="H427" i="13"/>
  <c r="F520" i="19"/>
  <c r="B520" i="19" s="1"/>
  <c r="B507" i="19"/>
  <c r="F518" i="19"/>
  <c r="B518" i="19" s="1"/>
  <c r="B505" i="19"/>
  <c r="B512" i="19"/>
  <c r="F525" i="19"/>
  <c r="B525" i="19" s="1"/>
  <c r="F526" i="19"/>
  <c r="B526" i="19" s="1"/>
  <c r="B513" i="19"/>
  <c r="F524" i="19"/>
  <c r="B524" i="19" s="1"/>
  <c r="B511" i="19"/>
  <c r="B504" i="19"/>
  <c r="F517" i="19"/>
  <c r="B517" i="19" s="1"/>
  <c r="F522" i="19"/>
  <c r="B522" i="19" s="1"/>
  <c r="B509" i="19"/>
  <c r="F516" i="19"/>
  <c r="B516" i="19" s="1"/>
  <c r="B503" i="19"/>
  <c r="B506" i="19"/>
  <c r="F519" i="19"/>
  <c r="B519" i="19" s="1"/>
  <c r="B510" i="19"/>
  <c r="F523" i="19"/>
  <c r="B523" i="19" s="1"/>
  <c r="B502" i="19"/>
  <c r="F515" i="19"/>
  <c r="B515" i="19" s="1"/>
  <c r="B508" i="19"/>
  <c r="F521" i="19"/>
  <c r="B521" i="19" s="1"/>
  <c r="AI63" i="3"/>
  <c r="BC897" i="11"/>
  <c r="BD897" i="11"/>
  <c r="C36" i="4"/>
  <c r="AY32" i="4" s="1"/>
  <c r="BE895" i="11"/>
  <c r="BD895" i="11"/>
  <c r="AI61" i="3"/>
  <c r="BB895" i="11"/>
  <c r="BF895" i="11" s="1"/>
  <c r="BI895" i="11" s="1"/>
  <c r="AD2187" i="11"/>
  <c r="K2187" i="11" s="1"/>
  <c r="F687" i="26"/>
  <c r="G687" i="26" s="1"/>
  <c r="AM33" i="25"/>
  <c r="D43" i="25" s="1"/>
  <c r="AB2188" i="11"/>
  <c r="N2188" i="11" s="1"/>
  <c r="BB905" i="11"/>
  <c r="BF905" i="11" s="1"/>
  <c r="BI905" i="11" s="1"/>
  <c r="BC900" i="11"/>
  <c r="BD905" i="11"/>
  <c r="AI71" i="3"/>
  <c r="BE905" i="11"/>
  <c r="BD900" i="11"/>
  <c r="BE900" i="11"/>
  <c r="AI66" i="3"/>
  <c r="N1191" i="11"/>
  <c r="Q1191" i="11" s="1"/>
  <c r="N1189" i="11"/>
  <c r="P1189" i="11" s="1"/>
  <c r="O1189" i="11"/>
  <c r="N1195" i="11"/>
  <c r="P1195" i="11" s="1"/>
  <c r="N1190" i="11"/>
  <c r="Q1190" i="11" s="1"/>
  <c r="N1194" i="11"/>
  <c r="Q1194" i="11" s="1"/>
  <c r="O1192" i="11"/>
  <c r="O1199" i="11"/>
  <c r="O1196" i="11"/>
  <c r="O1197" i="11"/>
  <c r="N1192" i="11"/>
  <c r="Q1192" i="11" s="1"/>
  <c r="O1198" i="11"/>
  <c r="O1195" i="11"/>
  <c r="O1193" i="11"/>
  <c r="O1190" i="11"/>
  <c r="N1196" i="11"/>
  <c r="Q1196" i="11" s="1"/>
  <c r="N1198" i="11"/>
  <c r="P1198" i="11" s="1"/>
  <c r="O1194" i="11"/>
  <c r="O1191" i="11"/>
  <c r="N1193" i="11"/>
  <c r="Q1193" i="11" s="1"/>
  <c r="N1199" i="11"/>
  <c r="Q1199" i="11" s="1"/>
  <c r="N1197" i="11"/>
  <c r="Q1197" i="11" s="1"/>
  <c r="BR757" i="11"/>
  <c r="AD743" i="11"/>
  <c r="BX713" i="11"/>
  <c r="AD713" i="11"/>
  <c r="BQ762" i="11"/>
  <c r="AD748" i="11"/>
  <c r="CL718" i="11"/>
  <c r="AD718" i="11"/>
  <c r="CM724" i="11"/>
  <c r="AD722" i="11"/>
  <c r="BR680" i="11"/>
  <c r="BX681" i="11"/>
  <c r="AD685" i="11"/>
  <c r="CL672" i="11"/>
  <c r="AD677" i="11"/>
  <c r="CM679" i="11"/>
  <c r="CM735" i="11"/>
  <c r="AD732" i="11"/>
  <c r="CF685" i="11"/>
  <c r="CM703" i="11"/>
  <c r="CL666" i="11"/>
  <c r="AI691" i="11"/>
  <c r="AD728" i="11"/>
  <c r="BJ699" i="11"/>
  <c r="AD701" i="11"/>
  <c r="BD741" i="11"/>
  <c r="BK700" i="11"/>
  <c r="AD702" i="11"/>
  <c r="BK712" i="11"/>
  <c r="BK761" i="11"/>
  <c r="CF701" i="11"/>
  <c r="CF753" i="11"/>
  <c r="CM691" i="11"/>
  <c r="AD695" i="11"/>
  <c r="CF668" i="11"/>
  <c r="AD674" i="11"/>
  <c r="BK756" i="11"/>
  <c r="BC688" i="11"/>
  <c r="AD692" i="11"/>
  <c r="BD686" i="11"/>
  <c r="CF684" i="11"/>
  <c r="AJ59" i="3"/>
  <c r="CM717" i="11"/>
  <c r="AD717" i="11"/>
  <c r="BY716" i="11"/>
  <c r="AD716" i="11"/>
  <c r="BK766" i="11"/>
  <c r="AD750" i="11"/>
  <c r="AI703" i="11"/>
  <c r="AD753" i="11"/>
  <c r="BJ742" i="11"/>
  <c r="AD741" i="11"/>
  <c r="CM676" i="11"/>
  <c r="CM678" i="11"/>
  <c r="BK673" i="11"/>
  <c r="AD678" i="11"/>
  <c r="BJ726" i="11"/>
  <c r="AD724" i="11"/>
  <c r="CM751" i="11"/>
  <c r="BR729" i="11"/>
  <c r="AD727" i="11"/>
  <c r="N29" i="4"/>
  <c r="AX32" i="4" s="1"/>
  <c r="AD709" i="11"/>
  <c r="CF734" i="11"/>
  <c r="AD731" i="11"/>
  <c r="AI678" i="11"/>
  <c r="AD699" i="11"/>
  <c r="BR744" i="11"/>
  <c r="CE689" i="11"/>
  <c r="AD693" i="11"/>
  <c r="BJ746" i="11"/>
  <c r="AD751" i="11"/>
  <c r="BX683" i="11"/>
  <c r="AD687" i="11"/>
  <c r="AI692" i="11"/>
  <c r="AD763" i="11"/>
  <c r="CF739" i="11"/>
  <c r="BQ698" i="11"/>
  <c r="BX658" i="11"/>
  <c r="AD666" i="11"/>
  <c r="BX659" i="11"/>
  <c r="AD667" i="11"/>
  <c r="BR772" i="11"/>
  <c r="AD764" i="11"/>
  <c r="BX661" i="11"/>
  <c r="AD669" i="11"/>
  <c r="BD720" i="11"/>
  <c r="AI690" i="11"/>
  <c r="AD725" i="11"/>
  <c r="CM687" i="11"/>
  <c r="CF758" i="11"/>
  <c r="AD744" i="11"/>
  <c r="BK747" i="11"/>
  <c r="AD752" i="11"/>
  <c r="BR740" i="11"/>
  <c r="CE725" i="11"/>
  <c r="AD723" i="11"/>
  <c r="N2181" i="11"/>
  <c r="AD2145" i="11"/>
  <c r="K2145" i="11" s="1"/>
  <c r="Q2160" i="11"/>
  <c r="W2160" i="11" s="1"/>
  <c r="AB162" i="3"/>
  <c r="CR108" i="11"/>
  <c r="O2160" i="11"/>
  <c r="Q40" i="2"/>
  <c r="S29" i="14" s="1"/>
  <c r="N2162" i="11"/>
  <c r="BI893" i="11"/>
  <c r="BJ893" i="11"/>
  <c r="AA2160" i="11"/>
  <c r="Y2160" i="11"/>
  <c r="BG893" i="11"/>
  <c r="BK893" i="11" s="1"/>
  <c r="BL893" i="11" s="1"/>
  <c r="AL59" i="3" s="1"/>
  <c r="BA911" i="11"/>
  <c r="BE911" i="11" s="1"/>
  <c r="BA899" i="11"/>
  <c r="BD899" i="11" s="1"/>
  <c r="BA910" i="11"/>
  <c r="BD910" i="11" s="1"/>
  <c r="N2169" i="11"/>
  <c r="AD2195" i="11"/>
  <c r="K2195" i="11" s="1"/>
  <c r="AD2198" i="11"/>
  <c r="K2198" i="11" s="1"/>
  <c r="AD2166" i="11"/>
  <c r="K2166" i="11" s="1"/>
  <c r="AB154" i="3"/>
  <c r="Q2152" i="11"/>
  <c r="W2152" i="11" s="1"/>
  <c r="AB2152" i="11" s="1"/>
  <c r="AD2180" i="11" s="1"/>
  <c r="K2180" i="11" s="1"/>
  <c r="Q32" i="2"/>
  <c r="Y2163" i="11"/>
  <c r="AB2163" i="11" s="1"/>
  <c r="N2161" i="11"/>
  <c r="N2168" i="11"/>
  <c r="N2170" i="11"/>
  <c r="N2171" i="11"/>
  <c r="N2149" i="11"/>
  <c r="AD2169" i="11"/>
  <c r="K2169" i="11" s="1"/>
  <c r="AD2165" i="11"/>
  <c r="K2165" i="11" s="1"/>
  <c r="N2174" i="11"/>
  <c r="AD2160" i="11"/>
  <c r="K2160" i="11" s="1"/>
  <c r="AD2155" i="11"/>
  <c r="K2155" i="11" s="1"/>
  <c r="N2182" i="11"/>
  <c r="AD2175" i="11"/>
  <c r="K2175" i="11" s="1"/>
  <c r="AD2147" i="11"/>
  <c r="K2147" i="11" s="1"/>
  <c r="CM779" i="11"/>
  <c r="AD2183" i="11"/>
  <c r="K2183" i="11" s="1"/>
  <c r="AD2159" i="11"/>
  <c r="K2159" i="11" s="1"/>
  <c r="AD2146" i="11"/>
  <c r="K2146" i="11" s="1"/>
  <c r="N2150" i="11"/>
  <c r="N2165" i="11"/>
  <c r="AD2156" i="11"/>
  <c r="K2156" i="11" s="1"/>
  <c r="AD2168" i="11"/>
  <c r="K2168" i="11" s="1"/>
  <c r="AD2152" i="11"/>
  <c r="K2152" i="11" s="1"/>
  <c r="AD2194" i="11"/>
  <c r="K2194" i="11" s="1"/>
  <c r="N2153" i="11"/>
  <c r="BC673" i="11"/>
  <c r="BQ779" i="11"/>
  <c r="AD2144" i="11"/>
  <c r="K2144" i="11" s="1"/>
  <c r="AD2177" i="11"/>
  <c r="K2177" i="11" s="1"/>
  <c r="N2166" i="11"/>
  <c r="AD2170" i="11"/>
  <c r="K2170" i="11" s="1"/>
  <c r="AD2167" i="11"/>
  <c r="K2167" i="11" s="1"/>
  <c r="BK743" i="11"/>
  <c r="BY779" i="11"/>
  <c r="CL779" i="11"/>
  <c r="AI674" i="11"/>
  <c r="AD2163" i="11"/>
  <c r="K2163" i="11" s="1"/>
  <c r="N2159" i="11"/>
  <c r="N2164" i="11"/>
  <c r="BX743" i="11"/>
  <c r="CE779" i="11"/>
  <c r="CF779" i="11"/>
  <c r="CL786" i="11"/>
  <c r="CE734" i="11"/>
  <c r="CE659" i="11"/>
  <c r="CL743" i="11"/>
  <c r="BJ786" i="11"/>
  <c r="CF744" i="11"/>
  <c r="BK734" i="11"/>
  <c r="CM787" i="11"/>
  <c r="BD779" i="11"/>
  <c r="CL661" i="11"/>
  <c r="BK786" i="11"/>
  <c r="BK744" i="11"/>
  <c r="BJ664" i="11"/>
  <c r="AI668" i="11"/>
  <c r="CF740" i="11"/>
  <c r="BC745" i="11"/>
  <c r="CL725" i="11"/>
  <c r="BQ658" i="11"/>
  <c r="BR747" i="11"/>
  <c r="BD671" i="11"/>
  <c r="BD687" i="11"/>
  <c r="BY758" i="11"/>
  <c r="BY725" i="11"/>
  <c r="CF688" i="11"/>
  <c r="BK704" i="11"/>
  <c r="CL705" i="11"/>
  <c r="CM756" i="11"/>
  <c r="BR668" i="11"/>
  <c r="BR704" i="11"/>
  <c r="BD684" i="11"/>
  <c r="BJ735" i="11"/>
  <c r="BY680" i="11"/>
  <c r="BJ681" i="11"/>
  <c r="BR728" i="11"/>
  <c r="BK668" i="11"/>
  <c r="AI704" i="11"/>
  <c r="BJ705" i="11"/>
  <c r="BD728" i="11"/>
  <c r="BQ694" i="11"/>
  <c r="BX718" i="11"/>
  <c r="BK688" i="11"/>
  <c r="CE767" i="11"/>
  <c r="BQ785" i="11"/>
  <c r="CF775" i="11"/>
  <c r="BX668" i="11"/>
  <c r="BY672" i="11"/>
  <c r="BR688" i="11"/>
  <c r="BR686" i="11"/>
  <c r="BR785" i="11"/>
  <c r="CL734" i="11"/>
  <c r="BR714" i="11"/>
  <c r="CM786" i="11"/>
  <c r="CF786" i="11"/>
  <c r="BJ689" i="11"/>
  <c r="BX689" i="11"/>
  <c r="BQ689" i="11"/>
  <c r="BY734" i="11"/>
  <c r="BX734" i="11"/>
  <c r="BR658" i="11"/>
  <c r="BD658" i="11"/>
  <c r="AI664" i="11"/>
  <c r="BD772" i="11"/>
  <c r="BD743" i="11"/>
  <c r="BQ743" i="11"/>
  <c r="BR743" i="11"/>
  <c r="BD657" i="11"/>
  <c r="BQ786" i="11"/>
  <c r="BR786" i="11"/>
  <c r="BD744" i="11"/>
  <c r="BQ734" i="11"/>
  <c r="BC734" i="11"/>
  <c r="BY658" i="11"/>
  <c r="CF714" i="11"/>
  <c r="BJ659" i="11"/>
  <c r="BX787" i="11"/>
  <c r="BR787" i="11"/>
  <c r="BQ772" i="11"/>
  <c r="BJ743" i="11"/>
  <c r="CE743" i="11"/>
  <c r="CF743" i="11"/>
  <c r="CM743" i="11"/>
  <c r="BC779" i="11"/>
  <c r="BR779" i="11"/>
  <c r="BX779" i="11"/>
  <c r="CM759" i="11"/>
  <c r="BX786" i="11"/>
  <c r="BD786" i="11"/>
  <c r="AN673" i="11"/>
  <c r="BQ719" i="11"/>
  <c r="BC689" i="11"/>
  <c r="BY744" i="11"/>
  <c r="BJ734" i="11"/>
  <c r="BD734" i="11"/>
  <c r="BR734" i="11"/>
  <c r="BJ658" i="11"/>
  <c r="CM714" i="11"/>
  <c r="BC659" i="11"/>
  <c r="CM659" i="11"/>
  <c r="BC787" i="11"/>
  <c r="CM772" i="11"/>
  <c r="BY743" i="11"/>
  <c r="AI697" i="11"/>
  <c r="BJ779" i="11"/>
  <c r="BK779" i="11"/>
  <c r="BC786" i="11"/>
  <c r="BY786" i="11"/>
  <c r="BC726" i="11"/>
  <c r="CL689" i="11"/>
  <c r="CM744" i="11"/>
  <c r="BQ687" i="11"/>
  <c r="CM725" i="11"/>
  <c r="BK671" i="11"/>
  <c r="CG655" i="11"/>
  <c r="BC655" i="11"/>
  <c r="CL655" i="11"/>
  <c r="CN655" i="11"/>
  <c r="BR655" i="11"/>
  <c r="BX655" i="11"/>
  <c r="CE655" i="11"/>
  <c r="BJ655" i="11"/>
  <c r="BY655" i="11"/>
  <c r="BQ655" i="11"/>
  <c r="BE655" i="11"/>
  <c r="BK655" i="11"/>
  <c r="BZ655" i="11"/>
  <c r="BD655" i="11"/>
  <c r="BL655" i="11"/>
  <c r="C21" i="4"/>
  <c r="CM655" i="11"/>
  <c r="CF655" i="11"/>
  <c r="BS655" i="11"/>
  <c r="BK658" i="11"/>
  <c r="BK714" i="11"/>
  <c r="BQ659" i="11"/>
  <c r="BK772" i="11"/>
  <c r="CF687" i="11"/>
  <c r="BJ725" i="11"/>
  <c r="CF725" i="11"/>
  <c r="BQ791" i="11"/>
  <c r="BY671" i="11"/>
  <c r="BQ745" i="11"/>
  <c r="BC687" i="11"/>
  <c r="CE687" i="11"/>
  <c r="BC725" i="11"/>
  <c r="BD725" i="11"/>
  <c r="BK711" i="11"/>
  <c r="CF657" i="11"/>
  <c r="BD740" i="11"/>
  <c r="BR791" i="11"/>
  <c r="BJ698" i="11"/>
  <c r="AI698" i="11"/>
  <c r="BY747" i="11"/>
  <c r="BD747" i="11"/>
  <c r="CL687" i="11"/>
  <c r="BR687" i="11"/>
  <c r="BJ687" i="11"/>
  <c r="BK725" i="11"/>
  <c r="BR725" i="11"/>
  <c r="AI683" i="11"/>
  <c r="CF711" i="11"/>
  <c r="BR758" i="11"/>
  <c r="CM758" i="11"/>
  <c r="BY740" i="11"/>
  <c r="CM740" i="11"/>
  <c r="CM671" i="11"/>
  <c r="CF671" i="11"/>
  <c r="BR674" i="11"/>
  <c r="CF674" i="11"/>
  <c r="CM711" i="11"/>
  <c r="BD711" i="11"/>
  <c r="BK758" i="11"/>
  <c r="BK740" i="11"/>
  <c r="BR671" i="11"/>
  <c r="BD674" i="11"/>
  <c r="CM674" i="11"/>
  <c r="BX745" i="11"/>
  <c r="BJ745" i="11"/>
  <c r="CL745" i="11"/>
  <c r="CM747" i="11"/>
  <c r="CF747" i="11"/>
  <c r="BX687" i="11"/>
  <c r="BK687" i="11"/>
  <c r="BY687" i="11"/>
  <c r="BX725" i="11"/>
  <c r="BQ725" i="11"/>
  <c r="BR711" i="11"/>
  <c r="BD758" i="11"/>
  <c r="BK674" i="11"/>
  <c r="BY674" i="11"/>
  <c r="AC580" i="11"/>
  <c r="BY699" i="11"/>
  <c r="CE742" i="11"/>
  <c r="BY703" i="11"/>
  <c r="BY741" i="11"/>
  <c r="BR783" i="11"/>
  <c r="BR720" i="11"/>
  <c r="CL777" i="11"/>
  <c r="CE730" i="11"/>
  <c r="BD666" i="11"/>
  <c r="BY777" i="11"/>
  <c r="BC700" i="11"/>
  <c r="BK666" i="11"/>
  <c r="BY778" i="11"/>
  <c r="BC658" i="11"/>
  <c r="AI663" i="11"/>
  <c r="CM658" i="11"/>
  <c r="CF658" i="11"/>
  <c r="BD714" i="11"/>
  <c r="BY714" i="11"/>
  <c r="CL659" i="11"/>
  <c r="BK659" i="11"/>
  <c r="BY659" i="11"/>
  <c r="BD659" i="11"/>
  <c r="BQ787" i="11"/>
  <c r="CE787" i="11"/>
  <c r="CL657" i="11"/>
  <c r="CL791" i="11"/>
  <c r="BK791" i="11"/>
  <c r="BK739" i="11"/>
  <c r="BC698" i="11"/>
  <c r="BC719" i="11"/>
  <c r="CM673" i="11"/>
  <c r="CF726" i="11"/>
  <c r="BX791" i="11"/>
  <c r="BC791" i="11"/>
  <c r="CL658" i="11"/>
  <c r="CE658" i="11"/>
  <c r="BR659" i="11"/>
  <c r="CF659" i="11"/>
  <c r="CL787" i="11"/>
  <c r="CF787" i="11"/>
  <c r="BD787" i="11"/>
  <c r="BY759" i="11"/>
  <c r="BJ657" i="11"/>
  <c r="BY657" i="11"/>
  <c r="CF791" i="11"/>
  <c r="BQ673" i="11"/>
  <c r="BY726" i="11"/>
  <c r="BK775" i="11"/>
  <c r="BJ775" i="11"/>
  <c r="BY728" i="11"/>
  <c r="BX777" i="11"/>
  <c r="CE699" i="11"/>
  <c r="CM672" i="11"/>
  <c r="CL700" i="11"/>
  <c r="BD700" i="11"/>
  <c r="CF703" i="11"/>
  <c r="BQ730" i="11"/>
  <c r="BK709" i="11"/>
  <c r="BX666" i="11"/>
  <c r="BQ666" i="11"/>
  <c r="CM741" i="11"/>
  <c r="BK777" i="11"/>
  <c r="BC775" i="11"/>
  <c r="CM775" i="11"/>
  <c r="BK728" i="11"/>
  <c r="AI677" i="11"/>
  <c r="CM777" i="11"/>
  <c r="BQ699" i="11"/>
  <c r="CM699" i="11"/>
  <c r="BC735" i="11"/>
  <c r="BQ700" i="11"/>
  <c r="BR700" i="11"/>
  <c r="BR703" i="11"/>
  <c r="BX730" i="11"/>
  <c r="CF709" i="11"/>
  <c r="BR667" i="11"/>
  <c r="BD667" i="11"/>
  <c r="BR666" i="11"/>
  <c r="BK741" i="11"/>
  <c r="CL775" i="11"/>
  <c r="BD777" i="11"/>
  <c r="CL699" i="11"/>
  <c r="BK703" i="11"/>
  <c r="BR709" i="11"/>
  <c r="BK667" i="11"/>
  <c r="CE666" i="11"/>
  <c r="AS666" i="11"/>
  <c r="CM668" i="11"/>
  <c r="BD668" i="11"/>
  <c r="BY668" i="11"/>
  <c r="BQ668" i="11"/>
  <c r="BD756" i="11"/>
  <c r="CF756" i="11"/>
  <c r="CF704" i="11"/>
  <c r="BJ718" i="11"/>
  <c r="BQ718" i="11"/>
  <c r="CF783" i="11"/>
  <c r="BY684" i="11"/>
  <c r="BQ688" i="11"/>
  <c r="BD688" i="11"/>
  <c r="CL688" i="11"/>
  <c r="CL767" i="11"/>
  <c r="BJ767" i="11"/>
  <c r="BC762" i="11"/>
  <c r="CE762" i="11"/>
  <c r="BJ762" i="11"/>
  <c r="BR723" i="11"/>
  <c r="BY705" i="11"/>
  <c r="CM705" i="11"/>
  <c r="BX785" i="11"/>
  <c r="BY785" i="11"/>
  <c r="CM785" i="11"/>
  <c r="BY704" i="11"/>
  <c r="AI686" i="11"/>
  <c r="CE718" i="11"/>
  <c r="CE688" i="11"/>
  <c r="BY688" i="11"/>
  <c r="BY720" i="11"/>
  <c r="BX767" i="11"/>
  <c r="BQ767" i="11"/>
  <c r="BX762" i="11"/>
  <c r="BQ778" i="11"/>
  <c r="BX705" i="11"/>
  <c r="BD705" i="11"/>
  <c r="BQ705" i="11"/>
  <c r="CL785" i="11"/>
  <c r="CE785" i="11"/>
  <c r="BC785" i="11"/>
  <c r="BC668" i="11"/>
  <c r="CL668" i="11"/>
  <c r="BR756" i="11"/>
  <c r="BY756" i="11"/>
  <c r="BD774" i="11"/>
  <c r="CL783" i="11"/>
  <c r="BR701" i="11"/>
  <c r="BJ683" i="11"/>
  <c r="CM684" i="11"/>
  <c r="BX688" i="11"/>
  <c r="BJ668" i="11"/>
  <c r="CE668" i="11"/>
  <c r="CM704" i="11"/>
  <c r="BD704" i="11"/>
  <c r="BC718" i="11"/>
  <c r="BD783" i="11"/>
  <c r="BR753" i="11"/>
  <c r="BR691" i="11"/>
  <c r="AI673" i="11"/>
  <c r="BK684" i="11"/>
  <c r="BR684" i="11"/>
  <c r="BJ688" i="11"/>
  <c r="CM688" i="11"/>
  <c r="BC767" i="11"/>
  <c r="CL762" i="11"/>
  <c r="BX778" i="11"/>
  <c r="BC705" i="11"/>
  <c r="CE705" i="11"/>
  <c r="CM686" i="11"/>
  <c r="CF686" i="11"/>
  <c r="BK686" i="11"/>
  <c r="CF785" i="11"/>
  <c r="BD785" i="11"/>
  <c r="BX784" i="11"/>
  <c r="CF774" i="11"/>
  <c r="AN672" i="11"/>
  <c r="AS672" i="11"/>
  <c r="CE783" i="11"/>
  <c r="BY753" i="11"/>
  <c r="CM753" i="11"/>
  <c r="BD701" i="11"/>
  <c r="BY701" i="11"/>
  <c r="BY691" i="11"/>
  <c r="CL683" i="11"/>
  <c r="BC683" i="11"/>
  <c r="CM720" i="11"/>
  <c r="BK720" i="11"/>
  <c r="CF677" i="11"/>
  <c r="CF778" i="11"/>
  <c r="BD778" i="11"/>
  <c r="BY723" i="11"/>
  <c r="CF723" i="11"/>
  <c r="CL784" i="11"/>
  <c r="BY761" i="11"/>
  <c r="BK774" i="11"/>
  <c r="BK783" i="11"/>
  <c r="BQ783" i="11"/>
  <c r="BX783" i="11"/>
  <c r="BC783" i="11"/>
  <c r="BK753" i="11"/>
  <c r="CM701" i="11"/>
  <c r="BK701" i="11"/>
  <c r="BK691" i="11"/>
  <c r="CE683" i="11"/>
  <c r="BK757" i="11"/>
  <c r="BR778" i="11"/>
  <c r="CL778" i="11"/>
  <c r="BJ784" i="11"/>
  <c r="BJ774" i="11"/>
  <c r="BJ783" i="11"/>
  <c r="BY783" i="11"/>
  <c r="BD753" i="11"/>
  <c r="CF691" i="11"/>
  <c r="BD691" i="11"/>
  <c r="BQ683" i="11"/>
  <c r="CF720" i="11"/>
  <c r="BD757" i="11"/>
  <c r="BK778" i="11"/>
  <c r="CM778" i="11"/>
  <c r="BC778" i="11"/>
  <c r="BD723" i="11"/>
  <c r="CM723" i="11"/>
  <c r="BK723" i="11"/>
  <c r="BC657" i="11"/>
  <c r="BR657" i="11"/>
  <c r="BQ657" i="11"/>
  <c r="CM657" i="11"/>
  <c r="BY791" i="11"/>
  <c r="AS678" i="11"/>
  <c r="BJ791" i="11"/>
  <c r="BR739" i="11"/>
  <c r="BY739" i="11"/>
  <c r="CM739" i="11"/>
  <c r="CL698" i="11"/>
  <c r="BX698" i="11"/>
  <c r="AI699" i="11"/>
  <c r="CE657" i="11"/>
  <c r="BK657" i="11"/>
  <c r="BX657" i="11"/>
  <c r="CM791" i="11"/>
  <c r="BD791" i="11"/>
  <c r="BD739" i="11"/>
  <c r="CE698" i="11"/>
  <c r="CM716" i="11"/>
  <c r="BJ766" i="11"/>
  <c r="BY766" i="11"/>
  <c r="CF742" i="11"/>
  <c r="BQ685" i="11"/>
  <c r="BD695" i="11"/>
  <c r="BK770" i="11"/>
  <c r="BR770" i="11"/>
  <c r="CM749" i="11"/>
  <c r="BQ675" i="11"/>
  <c r="BK724" i="11"/>
  <c r="BY724" i="11"/>
  <c r="BY755" i="11"/>
  <c r="BD755" i="11"/>
  <c r="BQ790" i="11"/>
  <c r="BY790" i="11"/>
  <c r="CE790" i="11"/>
  <c r="BK790" i="11"/>
  <c r="CL790" i="11"/>
  <c r="CF790" i="11"/>
  <c r="CM752" i="11"/>
  <c r="CF752" i="11"/>
  <c r="BR752" i="11"/>
  <c r="BD752" i="11"/>
  <c r="BD775" i="11"/>
  <c r="CE775" i="11"/>
  <c r="BR775" i="11"/>
  <c r="BC681" i="11"/>
  <c r="AI672" i="11"/>
  <c r="L813" i="11"/>
  <c r="CE681" i="11"/>
  <c r="AI701" i="11"/>
  <c r="BR672" i="11"/>
  <c r="BD672" i="11"/>
  <c r="BQ672" i="11"/>
  <c r="BC672" i="11"/>
  <c r="CE672" i="11"/>
  <c r="BY679" i="11"/>
  <c r="CF679" i="11"/>
  <c r="BD679" i="11"/>
  <c r="CM728" i="11"/>
  <c r="CF728" i="11"/>
  <c r="BX735" i="11"/>
  <c r="BD735" i="11"/>
  <c r="BY735" i="11"/>
  <c r="CE735" i="11"/>
  <c r="CL735" i="11"/>
  <c r="BQ735" i="11"/>
  <c r="BC694" i="11"/>
  <c r="BJ694" i="11"/>
  <c r="CL694" i="11"/>
  <c r="CE694" i="11"/>
  <c r="BX682" i="11"/>
  <c r="CE682" i="11"/>
  <c r="CL682" i="11"/>
  <c r="BD682" i="11"/>
  <c r="BQ682" i="11"/>
  <c r="BY682" i="11"/>
  <c r="BR682" i="11"/>
  <c r="BK682" i="11"/>
  <c r="CF682" i="11"/>
  <c r="BD703" i="11"/>
  <c r="CE777" i="11"/>
  <c r="AS668" i="11"/>
  <c r="BJ777" i="11"/>
  <c r="CF777" i="11"/>
  <c r="BR777" i="11"/>
  <c r="BC777" i="11"/>
  <c r="CM709" i="11"/>
  <c r="BY709" i="11"/>
  <c r="BD709" i="11"/>
  <c r="CF666" i="11"/>
  <c r="BY666" i="11"/>
  <c r="BC666" i="11"/>
  <c r="CM666" i="11"/>
  <c r="BJ666" i="11"/>
  <c r="CL730" i="11"/>
  <c r="BJ730" i="11"/>
  <c r="BC730" i="11"/>
  <c r="CM667" i="11"/>
  <c r="BY667" i="11"/>
  <c r="CF667" i="11"/>
  <c r="BC699" i="11"/>
  <c r="BD699" i="11"/>
  <c r="BK699" i="11"/>
  <c r="CF699" i="11"/>
  <c r="BR699" i="11"/>
  <c r="BX699" i="11"/>
  <c r="CF741" i="11"/>
  <c r="BR741" i="11"/>
  <c r="CM700" i="11"/>
  <c r="BY700" i="11"/>
  <c r="CE700" i="11"/>
  <c r="BX700" i="11"/>
  <c r="CF700" i="11"/>
  <c r="BJ700" i="11"/>
  <c r="CF680" i="11"/>
  <c r="CM680" i="11"/>
  <c r="AS677" i="11"/>
  <c r="BC790" i="11"/>
  <c r="BD724" i="11"/>
  <c r="BC682" i="11"/>
  <c r="BR679" i="11"/>
  <c r="BK680" i="11"/>
  <c r="CF672" i="11"/>
  <c r="BQ681" i="11"/>
  <c r="BR735" i="11"/>
  <c r="AI689" i="11"/>
  <c r="BR790" i="11"/>
  <c r="BJ790" i="11"/>
  <c r="BJ682" i="11"/>
  <c r="BK679" i="11"/>
  <c r="BD680" i="11"/>
  <c r="BQ775" i="11"/>
  <c r="BY775" i="11"/>
  <c r="BX672" i="11"/>
  <c r="CL681" i="11"/>
  <c r="CF735" i="11"/>
  <c r="BK735" i="11"/>
  <c r="BD790" i="11"/>
  <c r="BX790" i="11"/>
  <c r="BY749" i="11"/>
  <c r="AI671" i="11"/>
  <c r="CM682" i="11"/>
  <c r="AI702" i="11"/>
  <c r="BJ778" i="11"/>
  <c r="AS669" i="11"/>
  <c r="AI675" i="11"/>
  <c r="BX664" i="11"/>
  <c r="CF705" i="11"/>
  <c r="BR705" i="11"/>
  <c r="BK705" i="11"/>
  <c r="BY686" i="11"/>
  <c r="AS674" i="11"/>
  <c r="BK785" i="11"/>
  <c r="CF770" i="11"/>
  <c r="AI706" i="11"/>
  <c r="BY770" i="11"/>
  <c r="BD749" i="11"/>
  <c r="CE675" i="11"/>
  <c r="CF724" i="11"/>
  <c r="BJ724" i="11"/>
  <c r="BQ724" i="11"/>
  <c r="BK755" i="11"/>
  <c r="CF755" i="11"/>
  <c r="BR749" i="11"/>
  <c r="BJ675" i="11"/>
  <c r="BX675" i="11"/>
  <c r="CL675" i="11"/>
  <c r="CL724" i="11"/>
  <c r="BX724" i="11"/>
  <c r="BC724" i="11"/>
  <c r="BR724" i="11"/>
  <c r="BR755" i="11"/>
  <c r="BD770" i="11"/>
  <c r="CM770" i="11"/>
  <c r="CF749" i="11"/>
  <c r="BK749" i="11"/>
  <c r="BC675" i="11"/>
  <c r="CE724" i="11"/>
  <c r="CM755" i="11"/>
  <c r="CF710" i="11"/>
  <c r="BR710" i="11"/>
  <c r="BK710" i="11"/>
  <c r="BY710" i="11"/>
  <c r="CM710" i="11"/>
  <c r="BY717" i="11"/>
  <c r="CF717" i="11"/>
  <c r="BR717" i="11"/>
  <c r="BQ670" i="11"/>
  <c r="BD670" i="11"/>
  <c r="BR670" i="11"/>
  <c r="CE766" i="11"/>
  <c r="CF766" i="11"/>
  <c r="BC766" i="11"/>
  <c r="CF676" i="11"/>
  <c r="BK676" i="11"/>
  <c r="BD676" i="11"/>
  <c r="BR676" i="11"/>
  <c r="AI694" i="11"/>
  <c r="CM776" i="11"/>
  <c r="BK776" i="11"/>
  <c r="BD776" i="11"/>
  <c r="BY776" i="11"/>
  <c r="BJ776" i="11"/>
  <c r="BR776" i="11"/>
  <c r="BC776" i="11"/>
  <c r="CF776" i="11"/>
  <c r="BQ776" i="11"/>
  <c r="BX776" i="11"/>
  <c r="BR780" i="11"/>
  <c r="BQ780" i="11"/>
  <c r="BK780" i="11"/>
  <c r="CL780" i="11"/>
  <c r="L780" i="11"/>
  <c r="BR782" i="11" s="1"/>
  <c r="CM780" i="11"/>
  <c r="CF780" i="11"/>
  <c r="BY780" i="11"/>
  <c r="BC780" i="11"/>
  <c r="AS670" i="11"/>
  <c r="AN669" i="11"/>
  <c r="BD780" i="11"/>
  <c r="AI670" i="11"/>
  <c r="CF751" i="11"/>
  <c r="BR751" i="11"/>
  <c r="BD751" i="11"/>
  <c r="BD729" i="11"/>
  <c r="CF729" i="11"/>
  <c r="CM729" i="11"/>
  <c r="CF750" i="11"/>
  <c r="BR750" i="11"/>
  <c r="BD750" i="11"/>
  <c r="CM750" i="11"/>
  <c r="BK750" i="11"/>
  <c r="CL670" i="11"/>
  <c r="BK716" i="11"/>
  <c r="CM766" i="11"/>
  <c r="BX766" i="11"/>
  <c r="CL742" i="11"/>
  <c r="BQ742" i="11"/>
  <c r="CL776" i="11"/>
  <c r="CM695" i="11"/>
  <c r="BX780" i="11"/>
  <c r="BD717" i="11"/>
  <c r="CM733" i="11"/>
  <c r="BY733" i="11"/>
  <c r="BR733" i="11"/>
  <c r="BC733" i="11"/>
  <c r="BX733" i="11"/>
  <c r="BJ733" i="11"/>
  <c r="BD733" i="11"/>
  <c r="I1153" i="11"/>
  <c r="CE733" i="11"/>
  <c r="BQ733" i="11"/>
  <c r="CL733" i="11"/>
  <c r="BY690" i="11"/>
  <c r="CM690" i="11"/>
  <c r="BD690" i="11"/>
  <c r="BR690" i="11"/>
  <c r="CF690" i="11"/>
  <c r="BK690" i="11"/>
  <c r="BY737" i="11"/>
  <c r="BK737" i="11"/>
  <c r="CF737" i="11"/>
  <c r="BR737" i="11"/>
  <c r="CM737" i="11"/>
  <c r="BR716" i="11"/>
  <c r="CE748" i="11"/>
  <c r="CL748" i="11"/>
  <c r="BX748" i="11"/>
  <c r="BJ748" i="11"/>
  <c r="BQ748" i="11"/>
  <c r="BC748" i="11"/>
  <c r="BK678" i="11"/>
  <c r="CM789" i="11"/>
  <c r="BK789" i="11"/>
  <c r="BR789" i="11"/>
  <c r="BD789" i="11"/>
  <c r="BX789" i="11"/>
  <c r="BC789" i="11"/>
  <c r="AS676" i="11"/>
  <c r="CE789" i="11"/>
  <c r="BY789" i="11"/>
  <c r="CF789" i="11"/>
  <c r="BR685" i="11"/>
  <c r="BX685" i="11"/>
  <c r="CE685" i="11"/>
  <c r="BK685" i="11"/>
  <c r="BJ685" i="11"/>
  <c r="BY685" i="11"/>
  <c r="CL685" i="11"/>
  <c r="CL715" i="11"/>
  <c r="BX715" i="11"/>
  <c r="BJ715" i="11"/>
  <c r="BQ715" i="11"/>
  <c r="CE715" i="11"/>
  <c r="BC715" i="11"/>
  <c r="BC670" i="11"/>
  <c r="CM670" i="11"/>
  <c r="BY670" i="11"/>
  <c r="AI685" i="11"/>
  <c r="CF716" i="11"/>
  <c r="BD716" i="11"/>
  <c r="BD766" i="11"/>
  <c r="CL766" i="11"/>
  <c r="AI696" i="11"/>
  <c r="CF678" i="11"/>
  <c r="BD678" i="11"/>
  <c r="BY751" i="11"/>
  <c r="BQ789" i="11"/>
  <c r="CE776" i="11"/>
  <c r="BY750" i="11"/>
  <c r="BK733" i="11"/>
  <c r="L779" i="11"/>
  <c r="CE781" i="11" s="1"/>
  <c r="BD737" i="11"/>
  <c r="BR695" i="11"/>
  <c r="BY695" i="11"/>
  <c r="BK695" i="11"/>
  <c r="CF695" i="11"/>
  <c r="AI676" i="11"/>
  <c r="BK742" i="11"/>
  <c r="BC742" i="11"/>
  <c r="BR742" i="11"/>
  <c r="L752" i="11"/>
  <c r="L815" i="11" s="1"/>
  <c r="BD742" i="11"/>
  <c r="BX742" i="11"/>
  <c r="BX670" i="11"/>
  <c r="CF670" i="11"/>
  <c r="CE670" i="11"/>
  <c r="BR766" i="11"/>
  <c r="BQ766" i="11"/>
  <c r="CM742" i="11"/>
  <c r="BY742" i="11"/>
  <c r="BY678" i="11"/>
  <c r="BR678" i="11"/>
  <c r="BK751" i="11"/>
  <c r="BY729" i="11"/>
  <c r="BK729" i="11"/>
  <c r="BJ789" i="11"/>
  <c r="AS667" i="11"/>
  <c r="CF733" i="11"/>
  <c r="BD710" i="11"/>
  <c r="CM685" i="11"/>
  <c r="CE780" i="11"/>
  <c r="BK717" i="11"/>
  <c r="BY676" i="11"/>
  <c r="AI681" i="11"/>
  <c r="U1129" i="11"/>
  <c r="F1125" i="11" s="1"/>
  <c r="BD784" i="11"/>
  <c r="BR759" i="11"/>
  <c r="CM712" i="11"/>
  <c r="CF712" i="11"/>
  <c r="BC746" i="11"/>
  <c r="BQ746" i="11"/>
  <c r="CM757" i="11"/>
  <c r="BY677" i="11"/>
  <c r="BD677" i="11"/>
  <c r="BK677" i="11"/>
  <c r="AI684" i="11"/>
  <c r="BX719" i="11"/>
  <c r="AI687" i="11"/>
  <c r="BY673" i="11"/>
  <c r="BD673" i="11"/>
  <c r="BR673" i="11"/>
  <c r="CM726" i="11"/>
  <c r="BX726" i="11"/>
  <c r="BR726" i="11"/>
  <c r="CM706" i="11"/>
  <c r="CE664" i="11"/>
  <c r="BJ772" i="11"/>
  <c r="CL772" i="11"/>
  <c r="BR774" i="11"/>
  <c r="BX774" i="11"/>
  <c r="BY774" i="11"/>
  <c r="CM774" i="11"/>
  <c r="BJ661" i="11"/>
  <c r="BR784" i="11"/>
  <c r="BK784" i="11"/>
  <c r="CE784" i="11"/>
  <c r="CM761" i="11"/>
  <c r="BR761" i="11"/>
  <c r="CF761" i="11"/>
  <c r="CF772" i="11"/>
  <c r="BX772" i="11"/>
  <c r="BY772" i="11"/>
  <c r="BQ774" i="11"/>
  <c r="AN667" i="11"/>
  <c r="BQ661" i="11"/>
  <c r="CE661" i="11"/>
  <c r="BK759" i="11"/>
  <c r="BD759" i="11"/>
  <c r="CF759" i="11"/>
  <c r="BR712" i="11"/>
  <c r="BY712" i="11"/>
  <c r="BX746" i="11"/>
  <c r="CE746" i="11"/>
  <c r="CL746" i="11"/>
  <c r="CF757" i="11"/>
  <c r="BR677" i="11"/>
  <c r="CL713" i="11"/>
  <c r="CE713" i="11"/>
  <c r="BJ719" i="11"/>
  <c r="CE673" i="11"/>
  <c r="BX673" i="11"/>
  <c r="CL673" i="11"/>
  <c r="BK726" i="11"/>
  <c r="BQ726" i="11"/>
  <c r="BD726" i="11"/>
  <c r="BK706" i="11"/>
  <c r="BR706" i="11"/>
  <c r="CF706" i="11"/>
  <c r="BC664" i="11"/>
  <c r="CL664" i="11"/>
  <c r="AS673" i="11"/>
  <c r="BC784" i="11"/>
  <c r="BC772" i="11"/>
  <c r="BQ784" i="11"/>
  <c r="BY784" i="11"/>
  <c r="CF784" i="11"/>
  <c r="BD761" i="11"/>
  <c r="CE772" i="11"/>
  <c r="BC774" i="11"/>
  <c r="CE774" i="11"/>
  <c r="BD712" i="11"/>
  <c r="BY757" i="11"/>
  <c r="CM677" i="11"/>
  <c r="BQ713" i="11"/>
  <c r="BC713" i="11"/>
  <c r="BJ713" i="11"/>
  <c r="CL719" i="11"/>
  <c r="CF673" i="11"/>
  <c r="BJ673" i="11"/>
  <c r="CE726" i="11"/>
  <c r="CL726" i="11"/>
  <c r="BD706" i="11"/>
  <c r="BY706" i="11"/>
  <c r="BK752" i="11"/>
  <c r="BY752" i="11"/>
  <c r="BQ664"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94" i="11"/>
  <c r="BF894" i="11" s="1"/>
  <c r="BE894" i="11"/>
  <c r="AI60" i="3"/>
  <c r="BD894" i="11"/>
  <c r="BC894"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D554" i="11"/>
  <c r="BJ908" i="11"/>
  <c r="BI908" i="11"/>
  <c r="BH908" i="11"/>
  <c r="BG908" i="11"/>
  <c r="BK908" i="11" s="1"/>
  <c r="AJ74" i="3"/>
  <c r="BB903" i="11"/>
  <c r="BF903" i="11" s="1"/>
  <c r="BE903" i="11"/>
  <c r="BD903" i="11"/>
  <c r="BC903" i="11"/>
  <c r="AI69" i="3"/>
  <c r="BJ909" i="11"/>
  <c r="BI909" i="11"/>
  <c r="BH909" i="11"/>
  <c r="BG909" i="11"/>
  <c r="BK909" i="11" s="1"/>
  <c r="AJ75" i="3"/>
  <c r="BB901" i="11"/>
  <c r="BF901" i="11" s="1"/>
  <c r="BE901" i="11"/>
  <c r="BD901" i="11"/>
  <c r="BC901" i="11"/>
  <c r="AI67" i="3"/>
  <c r="BJ904" i="11"/>
  <c r="BI904" i="11"/>
  <c r="BH904" i="11"/>
  <c r="BG904" i="11"/>
  <c r="BK904" i="11" s="1"/>
  <c r="AJ70" i="3"/>
  <c r="BB907" i="11"/>
  <c r="BF907" i="11" s="1"/>
  <c r="BE907" i="11"/>
  <c r="BD907" i="11"/>
  <c r="BC907" i="11"/>
  <c r="AI73" i="3"/>
  <c r="BJ898" i="11"/>
  <c r="BI898" i="11"/>
  <c r="BH898" i="11"/>
  <c r="BG898" i="11"/>
  <c r="BK898" i="11" s="1"/>
  <c r="AJ64" i="3"/>
  <c r="BB906" i="11"/>
  <c r="BF906" i="11" s="1"/>
  <c r="BE906" i="11"/>
  <c r="BD906" i="11"/>
  <c r="BC906" i="11"/>
  <c r="AI72" i="3"/>
  <c r="BJ896" i="11"/>
  <c r="BI896" i="11"/>
  <c r="BH896" i="11"/>
  <c r="BG896" i="11"/>
  <c r="BK896" i="11" s="1"/>
  <c r="AJ62" i="3"/>
  <c r="BB902" i="11"/>
  <c r="BF902" i="11" s="1"/>
  <c r="BE902" i="11"/>
  <c r="BD902" i="11"/>
  <c r="BC902" i="11"/>
  <c r="AI68" i="3"/>
  <c r="BJ900" i="11"/>
  <c r="BI900" i="11"/>
  <c r="BH900" i="11"/>
  <c r="BG900" i="11"/>
  <c r="BK900" i="11" s="1"/>
  <c r="AJ66" i="3"/>
  <c r="AU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BJ897" i="11" l="1"/>
  <c r="CN656" i="11"/>
  <c r="CN657" i="11" s="1"/>
  <c r="CN658" i="11" s="1"/>
  <c r="CN659" i="11" s="1"/>
  <c r="BS656" i="11"/>
  <c r="BL656" i="11"/>
  <c r="BL657" i="11" s="1"/>
  <c r="BE656" i="11"/>
  <c r="BE657" i="11" s="1"/>
  <c r="CG656" i="11"/>
  <c r="BI897" i="11"/>
  <c r="AJ63" i="3"/>
  <c r="BG897" i="11"/>
  <c r="BK897" i="11" s="1"/>
  <c r="AK63" i="3" s="1"/>
  <c r="J2249" i="11"/>
  <c r="J2257" i="11"/>
  <c r="J2246" i="11"/>
  <c r="K2246" i="11" s="1"/>
  <c r="J2260" i="11"/>
  <c r="J2266" i="11"/>
  <c r="J2251" i="11"/>
  <c r="J2258" i="11"/>
  <c r="J2252" i="11"/>
  <c r="J2250" i="11"/>
  <c r="J2253" i="11"/>
  <c r="J2265" i="11"/>
  <c r="J2259" i="11"/>
  <c r="J2262" i="11"/>
  <c r="J2264" i="11"/>
  <c r="J2261" i="11"/>
  <c r="J2254" i="11"/>
  <c r="J2255" i="11"/>
  <c r="J2263" i="11"/>
  <c r="J2256" i="11"/>
  <c r="B306" i="13"/>
  <c r="H423" i="13"/>
  <c r="B423" i="13" s="1"/>
  <c r="B427" i="13"/>
  <c r="E294" i="22"/>
  <c r="Y93" i="22"/>
  <c r="E26" i="22"/>
  <c r="Y226" i="22"/>
  <c r="AJ61" i="3"/>
  <c r="BJ895" i="11"/>
  <c r="BG895" i="11"/>
  <c r="BK895" i="11" s="1"/>
  <c r="BL895" i="11" s="1"/>
  <c r="AL61" i="3" s="1"/>
  <c r="BH895" i="11"/>
  <c r="BJ905" i="11"/>
  <c r="AJ71" i="3"/>
  <c r="BG905" i="11"/>
  <c r="BK905" i="11" s="1"/>
  <c r="BL905" i="11" s="1"/>
  <c r="AL71" i="3" s="1"/>
  <c r="BH905" i="11"/>
  <c r="P1197" i="11"/>
  <c r="BE910" i="11"/>
  <c r="P1191" i="11"/>
  <c r="BC910" i="11"/>
  <c r="Q1189" i="11"/>
  <c r="BB910" i="11"/>
  <c r="BF910" i="11" s="1"/>
  <c r="BH910" i="11" s="1"/>
  <c r="AI76" i="3"/>
  <c r="P1196" i="11"/>
  <c r="Q1195" i="11"/>
  <c r="P1193" i="11"/>
  <c r="Q1198" i="11"/>
  <c r="P1194" i="11"/>
  <c r="P1190" i="11"/>
  <c r="P1199" i="11"/>
  <c r="P1192" i="11"/>
  <c r="AK59" i="3"/>
  <c r="BB911" i="11"/>
  <c r="BF911" i="11" s="1"/>
  <c r="AJ77" i="3" s="1"/>
  <c r="AI712" i="11"/>
  <c r="AD769" i="11"/>
  <c r="CM754" i="11"/>
  <c r="AD735" i="11"/>
  <c r="BE899" i="11"/>
  <c r="AI715" i="11"/>
  <c r="AD775" i="11"/>
  <c r="BB899" i="11"/>
  <c r="BF899" i="11" s="1"/>
  <c r="BJ899" i="11" s="1"/>
  <c r="BC899" i="11"/>
  <c r="AI65" i="3"/>
  <c r="AB2160" i="11"/>
  <c r="AI77" i="3"/>
  <c r="BC911" i="11"/>
  <c r="BD911" i="11"/>
  <c r="N2152" i="11"/>
  <c r="N2163" i="11"/>
  <c r="AD2164" i="11"/>
  <c r="K2164" i="11" s="1"/>
  <c r="AD2173" i="11"/>
  <c r="K2173" i="11" s="1"/>
  <c r="BJ660" i="11"/>
  <c r="BK660" i="11"/>
  <c r="BH655" i="11" s="1"/>
  <c r="BD660" i="11"/>
  <c r="BX660" i="11"/>
  <c r="BU655" i="11" s="1"/>
  <c r="BS657" i="11"/>
  <c r="BP655" i="11" s="1"/>
  <c r="BZ656" i="11"/>
  <c r="CF660" i="11"/>
  <c r="CC655" i="11" s="1"/>
  <c r="BQ660" i="11"/>
  <c r="AC581" i="11"/>
  <c r="BY660" i="11"/>
  <c r="BV655" i="11" s="1"/>
  <c r="CL660" i="11"/>
  <c r="BC660" i="11"/>
  <c r="BR660" i="11"/>
  <c r="BR661" i="11" s="1"/>
  <c r="CE660" i="11"/>
  <c r="AS682" i="11"/>
  <c r="CM660" i="11"/>
  <c r="CJ655" i="11" s="1"/>
  <c r="CL782" i="11"/>
  <c r="CF782"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91" i="11"/>
  <c r="CL691" i="11"/>
  <c r="CL695" i="11" s="1"/>
  <c r="BX691" i="11"/>
  <c r="CE691" i="11"/>
  <c r="BJ672" i="11"/>
  <c r="BJ691" i="11" s="1"/>
  <c r="BJ781" i="11"/>
  <c r="BY754" i="11"/>
  <c r="BC661" i="11"/>
  <c r="BK781" i="11"/>
  <c r="AI695" i="11"/>
  <c r="AS656" i="11" a="1"/>
  <c r="AS656" i="11" s="1"/>
  <c r="AT656" i="11" s="1"/>
  <c r="CE754" i="11"/>
  <c r="BQ782" i="11"/>
  <c r="CE782" i="11"/>
  <c r="AN670" i="11"/>
  <c r="BC754" i="11"/>
  <c r="CF754" i="11"/>
  <c r="BR754" i="11"/>
  <c r="BR781" i="11"/>
  <c r="CM781" i="11"/>
  <c r="BX781" i="11"/>
  <c r="BQ754" i="11"/>
  <c r="CL781" i="11"/>
  <c r="BQ781" i="11"/>
  <c r="BD781" i="11"/>
  <c r="BX754" i="11"/>
  <c r="CL754" i="11"/>
  <c r="BK754" i="11"/>
  <c r="BY781" i="11"/>
  <c r="BC781" i="11"/>
  <c r="CF781" i="11"/>
  <c r="BJ754" i="11"/>
  <c r="BD754" i="11"/>
  <c r="AN671" i="11"/>
  <c r="AS671" i="11"/>
  <c r="AS655" i="11" s="1" a="1"/>
  <c r="AS655" i="11" s="1"/>
  <c r="AT655" i="11" s="1"/>
  <c r="BD782" i="11"/>
  <c r="L828" i="11"/>
  <c r="BC782" i="11"/>
  <c r="BJ782" i="11"/>
  <c r="CM782" i="11"/>
  <c r="BX782" i="11"/>
  <c r="BK782" i="11"/>
  <c r="BY782" i="11"/>
  <c r="L818" i="11"/>
  <c r="AS681"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94" i="11"/>
  <c r="BI894" i="11"/>
  <c r="AJ60" i="3"/>
  <c r="BH894" i="11"/>
  <c r="BG894" i="11"/>
  <c r="BK894" i="11" s="1"/>
  <c r="BL894" i="11" s="1"/>
  <c r="D555" i="11"/>
  <c r="BL900" i="11"/>
  <c r="AL66" i="3" s="1"/>
  <c r="AK66" i="3"/>
  <c r="BJ902" i="11"/>
  <c r="BI902" i="11"/>
  <c r="BH902" i="11"/>
  <c r="BG902" i="11"/>
  <c r="BK902" i="11" s="1"/>
  <c r="AJ68" i="3"/>
  <c r="BL898" i="11"/>
  <c r="AL64" i="3" s="1"/>
  <c r="AK64" i="3"/>
  <c r="BL904" i="11"/>
  <c r="AL70" i="3" s="1"/>
  <c r="AK70" i="3"/>
  <c r="BJ901" i="11"/>
  <c r="BI901" i="11"/>
  <c r="BH901" i="11"/>
  <c r="BG901" i="11"/>
  <c r="BK901" i="11" s="1"/>
  <c r="AJ67" i="3"/>
  <c r="BL909" i="11"/>
  <c r="AL75" i="3" s="1"/>
  <c r="AK75" i="3"/>
  <c r="BJ903" i="11"/>
  <c r="BI903" i="11"/>
  <c r="BH903" i="11"/>
  <c r="BG903" i="11"/>
  <c r="BK903" i="11" s="1"/>
  <c r="AJ69" i="3"/>
  <c r="BL908" i="11"/>
  <c r="AL74" i="3" s="1"/>
  <c r="AK74" i="3"/>
  <c r="BL896" i="11"/>
  <c r="AL62" i="3" s="1"/>
  <c r="AK62" i="3"/>
  <c r="BJ906" i="11"/>
  <c r="BI906" i="11"/>
  <c r="BH906" i="11"/>
  <c r="BG906" i="11"/>
  <c r="BK906" i="11" s="1"/>
  <c r="AJ72" i="3"/>
  <c r="BJ907" i="11"/>
  <c r="BI907" i="11"/>
  <c r="BH907" i="11"/>
  <c r="BG907" i="11"/>
  <c r="BK907" i="11" s="1"/>
  <c r="AJ73" i="3"/>
  <c r="AU34" i="18"/>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BL897" i="11" l="1"/>
  <c r="AL63" i="3" s="1"/>
  <c r="BD661" i="11"/>
  <c r="BD662" i="11" s="1"/>
  <c r="CG657" i="11"/>
  <c r="CG658" i="11" s="1"/>
  <c r="CD656" i="11" s="1"/>
  <c r="K2247" i="11"/>
  <c r="K2248" i="11" s="1"/>
  <c r="K2249" i="11" s="1"/>
  <c r="K2250" i="11" s="1"/>
  <c r="K2251" i="11" s="1"/>
  <c r="K2252" i="11" s="1"/>
  <c r="K2253" i="11" s="1"/>
  <c r="K2254" i="11" s="1"/>
  <c r="K2255" i="11" s="1"/>
  <c r="K2256" i="11" s="1"/>
  <c r="K2257" i="11" s="1"/>
  <c r="K2258" i="11" s="1"/>
  <c r="K2259" i="11" s="1"/>
  <c r="K2260" i="11" s="1"/>
  <c r="K2261" i="11" s="1"/>
  <c r="K2262" i="11" s="1"/>
  <c r="K2263" i="11" s="1"/>
  <c r="K2264" i="11" s="1"/>
  <c r="K2265" i="11" s="1"/>
  <c r="K2266" i="11" s="1"/>
  <c r="H429" i="13"/>
  <c r="H293" i="22"/>
  <c r="I291" i="22"/>
  <c r="E295" i="22"/>
  <c r="H295" i="22"/>
  <c r="G293" i="22"/>
  <c r="F294" i="22"/>
  <c r="G295" i="22"/>
  <c r="Q291" i="22"/>
  <c r="C296" i="22"/>
  <c r="H292" i="22"/>
  <c r="G294" i="22"/>
  <c r="F292" i="22"/>
  <c r="H294" i="22"/>
  <c r="G292" i="22"/>
  <c r="M290" i="22"/>
  <c r="P290" i="22" s="1"/>
  <c r="E292" i="22"/>
  <c r="F295" i="22"/>
  <c r="F293" i="22"/>
  <c r="M291" i="22"/>
  <c r="E293" i="22"/>
  <c r="F26" i="22"/>
  <c r="G27" i="22"/>
  <c r="C28" i="22"/>
  <c r="M23" i="22"/>
  <c r="H25" i="22"/>
  <c r="E25" i="22"/>
  <c r="F27" i="22"/>
  <c r="F25" i="22"/>
  <c r="I23" i="22"/>
  <c r="G24" i="22"/>
  <c r="H24" i="22"/>
  <c r="AF224" i="22"/>
  <c r="Q23" i="22"/>
  <c r="E24" i="22"/>
  <c r="H27" i="22"/>
  <c r="M22" i="22"/>
  <c r="P22" i="22" s="1"/>
  <c r="Z226" i="22"/>
  <c r="G26" i="22"/>
  <c r="E27" i="22"/>
  <c r="H26" i="22"/>
  <c r="F24" i="22"/>
  <c r="G25" i="22"/>
  <c r="Z94" i="22"/>
  <c r="X91" i="22"/>
  <c r="Z91" i="22"/>
  <c r="AA92" i="22"/>
  <c r="AF89" i="22"/>
  <c r="AI89" i="22" s="1"/>
  <c r="X94" i="22"/>
  <c r="AA94" i="22"/>
  <c r="Y91" i="22"/>
  <c r="AA91" i="22"/>
  <c r="AF90" i="22"/>
  <c r="V95" i="22"/>
  <c r="AA226" i="22"/>
  <c r="X227" i="22"/>
  <c r="X226" i="22"/>
  <c r="Z92" i="22"/>
  <c r="Y92" i="22"/>
  <c r="X92" i="22"/>
  <c r="Z93" i="22"/>
  <c r="Y94" i="22"/>
  <c r="Y228" i="22"/>
  <c r="AJ90" i="22"/>
  <c r="AB90" i="22"/>
  <c r="AA93" i="22"/>
  <c r="X93" i="22"/>
  <c r="Z227" i="22"/>
  <c r="AF223" i="22"/>
  <c r="AI223" i="22" s="1"/>
  <c r="Y225" i="22"/>
  <c r="X225" i="22"/>
  <c r="Z225" i="22"/>
  <c r="AA228" i="22"/>
  <c r="Z228" i="22"/>
  <c r="X228" i="22"/>
  <c r="AA225" i="22"/>
  <c r="Y227" i="22"/>
  <c r="AA227" i="22"/>
  <c r="AB224" i="22"/>
  <c r="AJ224" i="22"/>
  <c r="V229" i="22"/>
  <c r="E226" i="22"/>
  <c r="G227" i="22"/>
  <c r="H226" i="22"/>
  <c r="H225" i="22"/>
  <c r="G228" i="22"/>
  <c r="C229" i="22"/>
  <c r="E225" i="22"/>
  <c r="G225" i="22"/>
  <c r="F225" i="22"/>
  <c r="G226" i="22"/>
  <c r="I224" i="22"/>
  <c r="E228" i="22"/>
  <c r="Q224" i="22"/>
  <c r="H228" i="22"/>
  <c r="M224" i="22"/>
  <c r="F226" i="22"/>
  <c r="E227" i="22"/>
  <c r="M223" i="22"/>
  <c r="P223" i="22" s="1"/>
  <c r="F227" i="22"/>
  <c r="F228" i="22"/>
  <c r="H227" i="22"/>
  <c r="G158" i="22"/>
  <c r="E161" i="22"/>
  <c r="M156" i="22"/>
  <c r="P156" i="22" s="1"/>
  <c r="F160" i="22"/>
  <c r="M157" i="22"/>
  <c r="G161" i="22"/>
  <c r="I157" i="22"/>
  <c r="H160" i="22"/>
  <c r="C162" i="22"/>
  <c r="Q157" i="22"/>
  <c r="F158" i="22"/>
  <c r="G160" i="22"/>
  <c r="F161" i="22"/>
  <c r="E159" i="22"/>
  <c r="H159" i="22"/>
  <c r="H161" i="22"/>
  <c r="G159" i="22"/>
  <c r="F159" i="22"/>
  <c r="H158" i="22"/>
  <c r="E158" i="22"/>
  <c r="E160" i="22"/>
  <c r="AA295" i="22"/>
  <c r="AJ291" i="22"/>
  <c r="Z292" i="22"/>
  <c r="Y293" i="22"/>
  <c r="X292" i="22"/>
  <c r="X294" i="22"/>
  <c r="AA294" i="22"/>
  <c r="Z295" i="22"/>
  <c r="AF291" i="22"/>
  <c r="Y292" i="22"/>
  <c r="AF290" i="22"/>
  <c r="AI290" i="22" s="1"/>
  <c r="AA293" i="22"/>
  <c r="Z294" i="22"/>
  <c r="Y295" i="22"/>
  <c r="AB291" i="22"/>
  <c r="V296" i="22"/>
  <c r="AA292" i="22"/>
  <c r="Z293" i="22"/>
  <c r="Y294" i="22"/>
  <c r="X295" i="22"/>
  <c r="X293" i="22"/>
  <c r="X27" i="22"/>
  <c r="AA27" i="22"/>
  <c r="AJ23" i="22"/>
  <c r="Y26" i="22"/>
  <c r="Z27" i="22"/>
  <c r="AF23" i="22"/>
  <c r="X26" i="22"/>
  <c r="AA26" i="22"/>
  <c r="V28" i="22"/>
  <c r="Y25" i="22"/>
  <c r="Z26" i="22"/>
  <c r="X25" i="22"/>
  <c r="AA25" i="22"/>
  <c r="AF22" i="22"/>
  <c r="AI22" i="22" s="1"/>
  <c r="Y24" i="22"/>
  <c r="Z25" i="22"/>
  <c r="X24" i="22"/>
  <c r="AA24" i="22"/>
  <c r="Y27" i="22"/>
  <c r="AB23" i="22"/>
  <c r="Z24" i="22"/>
  <c r="E94" i="22"/>
  <c r="Q90" i="22"/>
  <c r="H92" i="22"/>
  <c r="G92" i="22"/>
  <c r="H91" i="22"/>
  <c r="E93" i="22"/>
  <c r="M89" i="22"/>
  <c r="P89" i="22" s="1"/>
  <c r="F91" i="22"/>
  <c r="I90" i="22"/>
  <c r="G91" i="22"/>
  <c r="E92" i="22"/>
  <c r="H94" i="22"/>
  <c r="M90" i="22"/>
  <c r="G93" i="22"/>
  <c r="H93" i="22"/>
  <c r="C95" i="22"/>
  <c r="E91" i="22"/>
  <c r="F93" i="22"/>
  <c r="G94" i="22"/>
  <c r="F94" i="22"/>
  <c r="F92" i="22"/>
  <c r="Z160" i="22"/>
  <c r="AA161" i="22"/>
  <c r="AJ157" i="22"/>
  <c r="AB157" i="22"/>
  <c r="Y158" i="22"/>
  <c r="Z159" i="22"/>
  <c r="X160" i="22"/>
  <c r="AF156" i="22"/>
  <c r="AI156" i="22" s="1"/>
  <c r="Y160" i="22"/>
  <c r="V162" i="22"/>
  <c r="Z158" i="22"/>
  <c r="AA159" i="22"/>
  <c r="Y161" i="22"/>
  <c r="X161" i="22"/>
  <c r="AA160" i="22"/>
  <c r="Z161" i="22"/>
  <c r="AF157" i="22"/>
  <c r="X158" i="22"/>
  <c r="Y159" i="22"/>
  <c r="AA158" i="22"/>
  <c r="X159" i="22"/>
  <c r="AB562" i="11"/>
  <c r="AK71" i="3"/>
  <c r="AK61" i="3"/>
  <c r="BG655" i="11"/>
  <c r="BI655" i="11"/>
  <c r="CK655" i="11"/>
  <c r="BB655" i="11"/>
  <c r="CD655" i="11"/>
  <c r="BI910" i="11"/>
  <c r="BG910" i="11"/>
  <c r="BK910" i="11" s="1"/>
  <c r="AK76" i="3" s="1"/>
  <c r="AJ76" i="3"/>
  <c r="BJ910" i="11"/>
  <c r="Q1200" i="11"/>
  <c r="BH911" i="11"/>
  <c r="BI911" i="11"/>
  <c r="P1200" i="11"/>
  <c r="BJ911" i="11"/>
  <c r="BG911" i="11"/>
  <c r="BK911" i="11" s="1"/>
  <c r="AK77" i="3" s="1"/>
  <c r="BG899" i="11"/>
  <c r="BK899" i="11" s="1"/>
  <c r="BL899" i="11" s="1"/>
  <c r="AL65" i="3" s="1"/>
  <c r="BI899" i="11"/>
  <c r="BH899" i="11"/>
  <c r="AJ65" i="3"/>
  <c r="L816" i="11"/>
  <c r="C51" i="4" s="1"/>
  <c r="BC32" i="4" s="1"/>
  <c r="N2160" i="11"/>
  <c r="AD2154" i="11"/>
  <c r="K2154" i="11" s="1"/>
  <c r="CF661" i="11"/>
  <c r="BK661" i="11"/>
  <c r="BY661" i="11"/>
  <c r="CN660" i="11"/>
  <c r="BE658" i="11"/>
  <c r="CF662" i="11"/>
  <c r="CF663" i="11" s="1"/>
  <c r="BK662" i="11"/>
  <c r="BR662" i="11"/>
  <c r="BY662" i="11"/>
  <c r="BY663" i="11" s="1"/>
  <c r="CK658" i="11"/>
  <c r="CK657" i="11"/>
  <c r="CK656" i="11"/>
  <c r="BX662" i="11"/>
  <c r="BX663" i="11" s="1"/>
  <c r="BJ662" i="11"/>
  <c r="BJ663" i="11" s="1"/>
  <c r="CE662" i="11"/>
  <c r="BN655" i="11"/>
  <c r="BL658" i="11"/>
  <c r="BA655" i="11"/>
  <c r="CB655" i="11"/>
  <c r="BQ662" i="11"/>
  <c r="CL662" i="11"/>
  <c r="CL663" i="11" s="1"/>
  <c r="CL665" i="11" s="1"/>
  <c r="BZ657" i="11"/>
  <c r="BZ658" i="11" s="1"/>
  <c r="BZ659" i="11" s="1"/>
  <c r="BS658" i="11"/>
  <c r="BP656" i="11"/>
  <c r="BO655" i="11"/>
  <c r="CI655" i="11"/>
  <c r="AC582" i="11"/>
  <c r="AB563" i="11" s="1"/>
  <c r="BJ665" i="11"/>
  <c r="AZ655" i="11"/>
  <c r="BC662" i="11"/>
  <c r="CM661" i="11"/>
  <c r="CM662" i="11" s="1"/>
  <c r="CE663" i="11"/>
  <c r="BQ695"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16" i="11"/>
  <c r="CL717" i="11" s="1"/>
  <c r="BJ695" i="11"/>
  <c r="BQ714" i="11"/>
  <c r="BK663" i="11"/>
  <c r="BC691" i="11"/>
  <c r="BC695" i="11" s="1"/>
  <c r="CE695" i="11"/>
  <c r="BX695" i="11"/>
  <c r="BD663" i="11"/>
  <c r="BD664" i="11" s="1"/>
  <c r="CM663" i="11"/>
  <c r="BR663" i="11"/>
  <c r="AN677" i="11"/>
  <c r="AL60" i="3"/>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907" i="11"/>
  <c r="AL73" i="3" s="1"/>
  <c r="AK73" i="3"/>
  <c r="BL901" i="11"/>
  <c r="AL67" i="3" s="1"/>
  <c r="AK67" i="3"/>
  <c r="BL906" i="11"/>
  <c r="AL72" i="3" s="1"/>
  <c r="AK72" i="3"/>
  <c r="BL903" i="11"/>
  <c r="AL69" i="3" s="1"/>
  <c r="AK69" i="3"/>
  <c r="BL902" i="11"/>
  <c r="AL68" i="3" s="1"/>
  <c r="AK68" i="3"/>
  <c r="AU35" i="18"/>
  <c r="AO44" i="30"/>
  <c r="AN45" i="30"/>
  <c r="BE49" i="30" s="1"/>
  <c r="AK25" i="30"/>
  <c r="BH12" i="30" s="1"/>
  <c r="AL24" i="30"/>
  <c r="AM34" i="30"/>
  <c r="AL35" i="30"/>
  <c r="AY47" i="30" s="1"/>
  <c r="AL30" i="30"/>
  <c r="AV47" i="30" s="1"/>
  <c r="AM29" i="30"/>
  <c r="AL5" i="30"/>
  <c r="AV13" i="30" s="1"/>
  <c r="AM4" i="30"/>
  <c r="AL20" i="30"/>
  <c r="BE13" i="30" s="1"/>
  <c r="AM19" i="30"/>
  <c r="AL15" i="30"/>
  <c r="BB13" i="30" s="1"/>
  <c r="AM14" i="30"/>
  <c r="AM40" i="30"/>
  <c r="BB48" i="30" s="1"/>
  <c r="AN39" i="30"/>
  <c r="AM49" i="30"/>
  <c r="AL50" i="30"/>
  <c r="BH47" i="30" s="1"/>
  <c r="AL10" i="30"/>
  <c r="AY13" i="30" s="1"/>
  <c r="AM9" i="30"/>
  <c r="BI656" i="11" l="1"/>
  <c r="BB656" i="11"/>
  <c r="BS659" i="11"/>
  <c r="BS660" i="11" s="1"/>
  <c r="BP658" i="11" s="1"/>
  <c r="J2267" i="11"/>
  <c r="J2269" i="11" s="1"/>
  <c r="G90" i="10" s="1"/>
  <c r="B429" i="13"/>
  <c r="H440" i="13"/>
  <c r="B440" i="13" s="1"/>
  <c r="BL910" i="11"/>
  <c r="AL76" i="3" s="1"/>
  <c r="BL911" i="11"/>
  <c r="AL77" i="3" s="1"/>
  <c r="BW655" i="11"/>
  <c r="BW658" i="11"/>
  <c r="H1200" i="11"/>
  <c r="F50" i="10" s="1"/>
  <c r="AK65" i="3"/>
  <c r="BE659" i="11"/>
  <c r="CF664" i="11"/>
  <c r="BX665" i="11"/>
  <c r="BY664" i="11"/>
  <c r="BY665" i="11" s="1"/>
  <c r="CN661" i="11"/>
  <c r="CN662" i="11" s="1"/>
  <c r="CN663" i="11" s="1"/>
  <c r="BL659" i="11"/>
  <c r="BI657" i="11" s="1"/>
  <c r="CG659" i="11"/>
  <c r="CD657" i="11"/>
  <c r="BW656" i="11"/>
  <c r="CL667" i="11"/>
  <c r="CL669" i="11" s="1"/>
  <c r="CL671" i="11" s="1"/>
  <c r="BQ663" i="11"/>
  <c r="BQ665" i="11" s="1"/>
  <c r="BJ667" i="11"/>
  <c r="BJ669" i="11" s="1"/>
  <c r="BX667" i="11"/>
  <c r="BW657" i="11"/>
  <c r="BZ660" i="11"/>
  <c r="BP657" i="11"/>
  <c r="BJ670" i="11"/>
  <c r="AC583" i="11"/>
  <c r="AB564" i="11" s="1"/>
  <c r="CE665" i="11"/>
  <c r="BC663" i="11"/>
  <c r="BC665"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9" i="11"/>
  <c r="BY675" i="11" s="1"/>
  <c r="BK664" i="11"/>
  <c r="BQ716" i="11"/>
  <c r="CM664" i="11"/>
  <c r="BR664" i="11"/>
  <c r="CF665" i="11"/>
  <c r="BD665"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U36" i="18"/>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H475" i="13" l="1"/>
  <c r="C75" i="14" s="1"/>
  <c r="G75" i="14" s="1"/>
  <c r="AB574" i="11"/>
  <c r="AB572" i="11"/>
  <c r="AB561" i="11"/>
  <c r="AB571" i="11"/>
  <c r="AB582" i="11"/>
  <c r="AB581" i="11"/>
  <c r="AB580" i="11"/>
  <c r="AB568" i="11"/>
  <c r="AB575" i="11"/>
  <c r="AB569" i="11"/>
  <c r="AB573" i="11"/>
  <c r="AB570" i="11"/>
  <c r="AB579" i="11"/>
  <c r="AB577" i="11"/>
  <c r="AB576" i="11"/>
  <c r="AB567" i="11"/>
  <c r="AB578" i="11"/>
  <c r="AB566" i="11"/>
  <c r="AB565" i="11"/>
  <c r="BJ671" i="11"/>
  <c r="CK659" i="11"/>
  <c r="BB657" i="11"/>
  <c r="BE660" i="11"/>
  <c r="BE661" i="11" s="1"/>
  <c r="BE662" i="11" s="1"/>
  <c r="CN664" i="11"/>
  <c r="CN665" i="11" s="1"/>
  <c r="AB583" i="11"/>
  <c r="AB556" i="11"/>
  <c r="AB560" i="11"/>
  <c r="AB507" i="11"/>
  <c r="AN38" i="2" s="1"/>
  <c r="BZ661" i="11"/>
  <c r="BZ662" i="11" s="1"/>
  <c r="BZ663" i="11" s="1"/>
  <c r="BJ674" i="11"/>
  <c r="BJ676" i="11" s="1"/>
  <c r="CL674" i="11"/>
  <c r="BL660" i="11"/>
  <c r="CG660" i="11"/>
  <c r="BX669" i="11"/>
  <c r="BX671" i="11" s="1"/>
  <c r="CE667" i="11"/>
  <c r="BC667" i="11"/>
  <c r="BC669" i="11" s="1"/>
  <c r="BC671" i="11" s="1"/>
  <c r="BQ667" i="11"/>
  <c r="BS661" i="11"/>
  <c r="BS662" i="11" s="1"/>
  <c r="D560" i="11"/>
  <c r="D561" i="11" s="1"/>
  <c r="CE669" i="11"/>
  <c r="CE671" i="11" s="1"/>
  <c r="BR665" i="11"/>
  <c r="BK665" i="11"/>
  <c r="BQ717" i="11"/>
  <c r="BJ714" i="11"/>
  <c r="BJ716" i="11" s="1"/>
  <c r="CL758" i="11"/>
  <c r="CE714" i="11"/>
  <c r="BX717" i="11"/>
  <c r="BC714" i="11"/>
  <c r="BR669" i="11"/>
  <c r="BR675" i="11" s="1"/>
  <c r="CM665" i="11"/>
  <c r="CF669" i="11"/>
  <c r="BY681" i="11"/>
  <c r="BK669" i="11"/>
  <c r="BD669"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U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CD658" i="11" l="1"/>
  <c r="BI658" i="11"/>
  <c r="H75" i="14"/>
  <c r="E75" i="14"/>
  <c r="F75" i="14"/>
  <c r="C76" i="14"/>
  <c r="H76" i="14" s="1"/>
  <c r="BP659" i="11"/>
  <c r="BW659" i="11"/>
  <c r="BB659" i="11"/>
  <c r="BB658" i="11"/>
  <c r="CN666" i="11"/>
  <c r="BE663" i="11"/>
  <c r="BE664" i="11" s="1"/>
  <c r="BJ677" i="11"/>
  <c r="BJ678" i="11"/>
  <c r="BC674" i="11"/>
  <c r="BC676" i="11" s="1"/>
  <c r="CL676" i="11"/>
  <c r="CE674" i="11"/>
  <c r="CE676" i="11" s="1"/>
  <c r="CE677" i="11" s="1"/>
  <c r="BX674" i="11"/>
  <c r="BL661" i="11"/>
  <c r="BS663" i="11"/>
  <c r="CG661" i="11"/>
  <c r="CD659" i="11" s="1"/>
  <c r="BQ669" i="11"/>
  <c r="BQ671" i="11" s="1"/>
  <c r="BZ664" i="11"/>
  <c r="BZ665" i="11" s="1"/>
  <c r="BK670" i="11"/>
  <c r="D567" i="11"/>
  <c r="D562" i="11"/>
  <c r="D566" i="11"/>
  <c r="D568" i="11"/>
  <c r="D563" i="11"/>
  <c r="D565" i="11"/>
  <c r="D564" i="11"/>
  <c r="D569" i="11"/>
  <c r="BY683" i="11"/>
  <c r="BY689" i="11" s="1"/>
  <c r="CL770" i="11"/>
  <c r="CE716" i="11"/>
  <c r="CE717" i="11" s="1"/>
  <c r="BK672" i="11"/>
  <c r="BC716" i="11"/>
  <c r="BJ717" i="11"/>
  <c r="CF675" i="11"/>
  <c r="BD675" i="11"/>
  <c r="CM669" i="11"/>
  <c r="BR681" i="11"/>
  <c r="BY692" i="11"/>
  <c r="AU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BI659" i="11" l="1"/>
  <c r="BS664" i="11"/>
  <c r="BS665" i="11" s="1"/>
  <c r="CN667" i="11"/>
  <c r="CN668" i="11" s="1"/>
  <c r="CN669" i="11" s="1"/>
  <c r="G76" i="14"/>
  <c r="C77" i="14"/>
  <c r="E76" i="14"/>
  <c r="F76" i="14"/>
  <c r="BJ679" i="11"/>
  <c r="D570" i="11"/>
  <c r="D571" i="11" s="1"/>
  <c r="D572" i="11" s="1"/>
  <c r="D573" i="11" s="1"/>
  <c r="BZ666" i="11"/>
  <c r="BZ667" i="11" s="1"/>
  <c r="BX676" i="11"/>
  <c r="BX677" i="11" s="1"/>
  <c r="BX678" i="11" s="1"/>
  <c r="BC677" i="11"/>
  <c r="BJ680" i="11"/>
  <c r="CE678" i="11"/>
  <c r="CE679" i="11" s="1"/>
  <c r="CE680" i="11" s="1"/>
  <c r="BQ674" i="11"/>
  <c r="BQ676" i="11" s="1"/>
  <c r="CL677" i="11"/>
  <c r="BJ684" i="11"/>
  <c r="BL662" i="11"/>
  <c r="CG662" i="11"/>
  <c r="CK660" i="11"/>
  <c r="BK675" i="11"/>
  <c r="BQ758" i="11"/>
  <c r="BD681" i="11"/>
  <c r="BQ770" i="11"/>
  <c r="BK681" i="11"/>
  <c r="BK683" i="11" s="1"/>
  <c r="BX758" i="11"/>
  <c r="BC717" i="11"/>
  <c r="BR683" i="11"/>
  <c r="BR689" i="11" s="1"/>
  <c r="CM675" i="11"/>
  <c r="CM681" i="11" s="1"/>
  <c r="BY693" i="11"/>
  <c r="CF681" i="11"/>
  <c r="BE665" i="11"/>
  <c r="BE666" i="11" s="1"/>
  <c r="BE667" i="11" s="1"/>
  <c r="BE668" i="11" s="1"/>
  <c r="BE669" i="11" s="1"/>
  <c r="BE670" i="11" s="1"/>
  <c r="BE671" i="11" s="1"/>
  <c r="BE672" i="11" s="1"/>
  <c r="BE673" i="11" s="1"/>
  <c r="BE674" i="11" s="1"/>
  <c r="BE675" i="11" s="1"/>
  <c r="BE676" i="11" s="1"/>
  <c r="BE677" i="11" s="1"/>
  <c r="AU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G77" i="14" l="1"/>
  <c r="H77" i="14"/>
  <c r="E77" i="14"/>
  <c r="F77" i="14"/>
  <c r="C78" i="14"/>
  <c r="C79" i="14" s="1"/>
  <c r="CN670" i="1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N783" i="11" s="1"/>
  <c r="CN784" i="11" s="1"/>
  <c r="CN785" i="11" s="1"/>
  <c r="CN786" i="11" s="1"/>
  <c r="CN787" i="11" s="1"/>
  <c r="CN788" i="11" s="1"/>
  <c r="CN789" i="11" s="1"/>
  <c r="CN790" i="11" s="1"/>
  <c r="CN791" i="11" s="1"/>
  <c r="CN792" i="11" s="1"/>
  <c r="CN793" i="11" s="1"/>
  <c r="CN794" i="11" s="1"/>
  <c r="CN795" i="11" s="1"/>
  <c r="CN796" i="11" s="1"/>
  <c r="CE684" i="11"/>
  <c r="CE686" i="11" s="1"/>
  <c r="CE690" i="11" s="1"/>
  <c r="BQ677" i="11"/>
  <c r="BX679" i="11"/>
  <c r="BX680" i="11" s="1"/>
  <c r="BX684" i="11" s="1"/>
  <c r="BX686" i="11" s="1"/>
  <c r="BX690" i="11" s="1"/>
  <c r="BX692" i="11" s="1"/>
  <c r="BJ686" i="11"/>
  <c r="CE692" i="11"/>
  <c r="CE693" i="11" s="1"/>
  <c r="BK689" i="11"/>
  <c r="BK692" i="11" s="1"/>
  <c r="CL678" i="11"/>
  <c r="BC678" i="11"/>
  <c r="BL663" i="11"/>
  <c r="BL664" i="11" s="1"/>
  <c r="BL665" i="11" s="1"/>
  <c r="BL666" i="11" s="1"/>
  <c r="CG663" i="11"/>
  <c r="CK661" i="11"/>
  <c r="BB660" i="11"/>
  <c r="BJ709" i="11"/>
  <c r="BJ710" i="11" s="1"/>
  <c r="BJ711" i="11" s="1"/>
  <c r="BD683" i="11"/>
  <c r="BY694" i="11"/>
  <c r="BY696" i="11" s="1"/>
  <c r="BJ758" i="11"/>
  <c r="CE758" i="11"/>
  <c r="BX770" i="11"/>
  <c r="CF683" i="11"/>
  <c r="CF689" i="11" s="1"/>
  <c r="CM683" i="11"/>
  <c r="CM689" i="11" s="1"/>
  <c r="BR692" i="11"/>
  <c r="BR693" i="11" s="1"/>
  <c r="BB661" i="11"/>
  <c r="CK663" i="11"/>
  <c r="BB662" i="11"/>
  <c r="BB663" i="11"/>
  <c r="D574" i="11"/>
  <c r="C570" i="11" s="1"/>
  <c r="BE678" i="1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BE783" i="11" s="1"/>
  <c r="BE784" i="11" s="1"/>
  <c r="BE785" i="11" s="1"/>
  <c r="BE786" i="11" s="1"/>
  <c r="BE787" i="11" s="1"/>
  <c r="BE788" i="11" s="1"/>
  <c r="BE789" i="11" s="1"/>
  <c r="BE790" i="11" s="1"/>
  <c r="BE791" i="11" s="1"/>
  <c r="BE792" i="11" s="1"/>
  <c r="BE793" i="11" s="1"/>
  <c r="BE794" i="11" s="1"/>
  <c r="BE795" i="11" s="1"/>
  <c r="BE796" i="11" s="1"/>
  <c r="C555" i="11"/>
  <c r="C552" i="11"/>
  <c r="C549" i="11"/>
  <c r="C553" i="11"/>
  <c r="C548" i="11"/>
  <c r="C558" i="11"/>
  <c r="C551" i="11"/>
  <c r="C559" i="11"/>
  <c r="C550" i="11"/>
  <c r="C556" i="11"/>
  <c r="C557" i="11"/>
  <c r="C554" i="11"/>
  <c r="BS666" i="11"/>
  <c r="BZ668" i="11"/>
  <c r="AU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BD689" i="11" l="1"/>
  <c r="BD685" i="11"/>
  <c r="E79" i="14"/>
  <c r="F79" i="14"/>
  <c r="H79" i="14"/>
  <c r="G79" i="14"/>
  <c r="G78" i="14"/>
  <c r="E78" i="14"/>
  <c r="H78" i="14"/>
  <c r="F78" i="14"/>
  <c r="C80" i="14"/>
  <c r="CK665" i="11"/>
  <c r="CK666" i="11"/>
  <c r="CK664" i="11"/>
  <c r="BK693" i="11"/>
  <c r="BK694" i="11" s="1"/>
  <c r="BK696" i="11" s="1"/>
  <c r="BD692" i="11"/>
  <c r="BD693" i="11" s="1"/>
  <c r="BX693" i="11"/>
  <c r="BX696" i="11" s="1"/>
  <c r="BX714" i="11" s="1"/>
  <c r="BX716" i="11" s="1"/>
  <c r="CK672" i="11"/>
  <c r="BB664" i="11"/>
  <c r="CL679" i="11"/>
  <c r="BQ678" i="11"/>
  <c r="CK670" i="11"/>
  <c r="BB667" i="11"/>
  <c r="BB665" i="11"/>
  <c r="BB666" i="11"/>
  <c r="BJ690" i="11"/>
  <c r="CE696" i="11"/>
  <c r="BC679" i="11"/>
  <c r="BL667" i="11"/>
  <c r="CK669" i="11"/>
  <c r="CK667" i="11"/>
  <c r="CK662" i="11"/>
  <c r="CK679" i="11"/>
  <c r="CK684" i="11"/>
  <c r="CK675" i="11"/>
  <c r="CK680" i="11"/>
  <c r="CK673" i="11"/>
  <c r="CK677" i="11"/>
  <c r="CK676" i="11"/>
  <c r="CK671" i="11"/>
  <c r="CG664" i="11"/>
  <c r="CK686" i="11"/>
  <c r="BB684" i="11"/>
  <c r="CK685" i="11"/>
  <c r="CK688" i="11"/>
  <c r="CK681" i="11"/>
  <c r="CK705" i="11"/>
  <c r="CK696" i="11"/>
  <c r="CK691" i="11"/>
  <c r="CK707" i="11"/>
  <c r="CK706" i="11"/>
  <c r="CK694" i="11"/>
  <c r="CK712" i="11"/>
  <c r="CK690" i="11"/>
  <c r="CK699" i="11"/>
  <c r="CK711" i="11"/>
  <c r="CK674" i="11"/>
  <c r="BB669" i="11"/>
  <c r="CK714" i="11"/>
  <c r="CK708" i="11"/>
  <c r="CK692" i="11"/>
  <c r="CK695" i="11"/>
  <c r="CK687" i="11"/>
  <c r="CK682" i="11"/>
  <c r="CK700" i="11"/>
  <c r="CK717" i="11"/>
  <c r="CK683" i="11"/>
  <c r="CK668" i="11"/>
  <c r="BX697" i="11"/>
  <c r="BX701" i="11" s="1"/>
  <c r="CK730" i="11"/>
  <c r="CK735" i="11"/>
  <c r="CK750" i="11"/>
  <c r="CK790" i="11"/>
  <c r="CK792" i="11"/>
  <c r="CK765" i="11"/>
  <c r="CK751" i="11"/>
  <c r="CK726" i="11"/>
  <c r="CK788" i="11"/>
  <c r="CK782" i="11"/>
  <c r="CK791" i="11"/>
  <c r="CK746" i="11"/>
  <c r="CK775" i="11"/>
  <c r="CK725" i="11"/>
  <c r="CK763" i="11"/>
  <c r="CK773" i="11"/>
  <c r="CK779" i="11"/>
  <c r="CK753" i="11"/>
  <c r="CK739" i="11"/>
  <c r="BZ669" i="11"/>
  <c r="BZ670" i="11" s="1"/>
  <c r="BZ671" i="11" s="1"/>
  <c r="BW660" i="11"/>
  <c r="CK747" i="11"/>
  <c r="CK729" i="11"/>
  <c r="CK724" i="11"/>
  <c r="CK754" i="11"/>
  <c r="CK752" i="11"/>
  <c r="CK704" i="11"/>
  <c r="CK778" i="11"/>
  <c r="CK794" i="11"/>
  <c r="CK722" i="11"/>
  <c r="CK756" i="11"/>
  <c r="CK721" i="11"/>
  <c r="CK767" i="11"/>
  <c r="CK777" i="11"/>
  <c r="CK743" i="11"/>
  <c r="CK784" i="11"/>
  <c r="CK710" i="11"/>
  <c r="CK770" i="11"/>
  <c r="CK702" i="11"/>
  <c r="CK698" i="11"/>
  <c r="CK774" i="11"/>
  <c r="CK715" i="11"/>
  <c r="CK793" i="11"/>
  <c r="CK732" i="11"/>
  <c r="CK783" i="11"/>
  <c r="CK786" i="11"/>
  <c r="CK689" i="11"/>
  <c r="CK736" i="11"/>
  <c r="CK760" i="11"/>
  <c r="CK742" i="11"/>
  <c r="CK738" i="11"/>
  <c r="CK761" i="11"/>
  <c r="CK758" i="11"/>
  <c r="CK787" i="11"/>
  <c r="CK693" i="11"/>
  <c r="CK749" i="11"/>
  <c r="CK757" i="11"/>
  <c r="CK701" i="11"/>
  <c r="CK703" i="11"/>
  <c r="BB668" i="11"/>
  <c r="CK744" i="11"/>
  <c r="CK789" i="11"/>
  <c r="CK768" i="11"/>
  <c r="CK762" i="11"/>
  <c r="CK795" i="11"/>
  <c r="CK734" i="11"/>
  <c r="CK728" i="11"/>
  <c r="CK731" i="11"/>
  <c r="CK796" i="11"/>
  <c r="CK733" i="11"/>
  <c r="CK755" i="11"/>
  <c r="CK745" i="11"/>
  <c r="CK776" i="11"/>
  <c r="CK769" i="11"/>
  <c r="CK772" i="11"/>
  <c r="CK785" i="11"/>
  <c r="CK741" i="11"/>
  <c r="CK719" i="11"/>
  <c r="CK766" i="11"/>
  <c r="CK771" i="11"/>
  <c r="CK720" i="11"/>
  <c r="CK709" i="11"/>
  <c r="CK759" i="11"/>
  <c r="CK780" i="11"/>
  <c r="CK740" i="11"/>
  <c r="CK781" i="11"/>
  <c r="CK748" i="11"/>
  <c r="CK723" i="11"/>
  <c r="CK716" i="11"/>
  <c r="CK727" i="11"/>
  <c r="CK713" i="11"/>
  <c r="CK737" i="11"/>
  <c r="CK764" i="11"/>
  <c r="CK697" i="11"/>
  <c r="CK718" i="11"/>
  <c r="CK678" i="11"/>
  <c r="C564" i="11"/>
  <c r="C563" i="11"/>
  <c r="C503" i="11"/>
  <c r="BQ729" i="11"/>
  <c r="C560" i="11"/>
  <c r="C561" i="11"/>
  <c r="C562" i="11"/>
  <c r="CM692" i="11"/>
  <c r="BY697" i="11"/>
  <c r="CE770" i="11"/>
  <c r="BB691" i="11"/>
  <c r="BB689" i="11"/>
  <c r="BB697" i="11"/>
  <c r="BB699" i="11"/>
  <c r="BB681" i="11"/>
  <c r="BB682" i="11"/>
  <c r="BD694" i="11"/>
  <c r="BD696" i="11" s="1"/>
  <c r="BB693" i="11"/>
  <c r="BB670" i="11"/>
  <c r="BC758" i="11"/>
  <c r="BJ770" i="11"/>
  <c r="BB673" i="11"/>
  <c r="BB690" i="11"/>
  <c r="BB698" i="11"/>
  <c r="BB678" i="11"/>
  <c r="BB694" i="11"/>
  <c r="BB701" i="11"/>
  <c r="BB671" i="11"/>
  <c r="BB731" i="11"/>
  <c r="BB719" i="11"/>
  <c r="BB727" i="11"/>
  <c r="BB692" i="11"/>
  <c r="BB705" i="11"/>
  <c r="BB702" i="11"/>
  <c r="BB696" i="11"/>
  <c r="BB672" i="11"/>
  <c r="BS667" i="1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B730" i="11"/>
  <c r="BB728" i="11"/>
  <c r="BB720" i="11"/>
  <c r="BB675" i="11"/>
  <c r="BB674" i="11"/>
  <c r="BR694" i="11"/>
  <c r="BR696" i="11" s="1"/>
  <c r="BB676" i="11"/>
  <c r="CF692" i="11"/>
  <c r="BB741" i="11"/>
  <c r="BB732" i="11"/>
  <c r="BB733" i="11"/>
  <c r="BB686" i="11"/>
  <c r="C572" i="11"/>
  <c r="C567" i="11"/>
  <c r="C568" i="11"/>
  <c r="C566" i="11"/>
  <c r="C565" i="11"/>
  <c r="C571" i="11"/>
  <c r="C569" i="11"/>
  <c r="C574" i="11"/>
  <c r="C573" i="11"/>
  <c r="BB711" i="11"/>
  <c r="BB695" i="11"/>
  <c r="BB677" i="11"/>
  <c r="BB750" i="11"/>
  <c r="BB740" i="11"/>
  <c r="BB734" i="11"/>
  <c r="BB757" i="11"/>
  <c r="BB735" i="11"/>
  <c r="BB753" i="11"/>
  <c r="BB713" i="11"/>
  <c r="BB725" i="11"/>
  <c r="BB748" i="11"/>
  <c r="BB752" i="11"/>
  <c r="BB756" i="11"/>
  <c r="BB737" i="11"/>
  <c r="BB746" i="11"/>
  <c r="BB714" i="11"/>
  <c r="BB743" i="11"/>
  <c r="BB715" i="11"/>
  <c r="BB724" i="11"/>
  <c r="BB700" i="11"/>
  <c r="BB718" i="11"/>
  <c r="BB708" i="11"/>
  <c r="BB723" i="11"/>
  <c r="BB706" i="11"/>
  <c r="BB717" i="11"/>
  <c r="BB680" i="11"/>
  <c r="BB679" i="11"/>
  <c r="BB770" i="11"/>
  <c r="BB779" i="11"/>
  <c r="BB755" i="11"/>
  <c r="BB747" i="11"/>
  <c r="BB742" i="11"/>
  <c r="BB738" i="11"/>
  <c r="BB749" i="11"/>
  <c r="BB759" i="11"/>
  <c r="BB736" i="11"/>
  <c r="BB745" i="11"/>
  <c r="BB726" i="11"/>
  <c r="BB763" i="11"/>
  <c r="BB739" i="11"/>
  <c r="BB758" i="11"/>
  <c r="BB765" i="11"/>
  <c r="BB744" i="11"/>
  <c r="BB716" i="11"/>
  <c r="BB729" i="11"/>
  <c r="BB721" i="11"/>
  <c r="BB712" i="11"/>
  <c r="BB703" i="11"/>
  <c r="BB707" i="11"/>
  <c r="BB685" i="11"/>
  <c r="BB683" i="11"/>
  <c r="BB782" i="11"/>
  <c r="BB786" i="11"/>
  <c r="BB777" i="11"/>
  <c r="BB774" i="11"/>
  <c r="BB785" i="11"/>
  <c r="BB771" i="11"/>
  <c r="BB710" i="11"/>
  <c r="BB754" i="11"/>
  <c r="BB766" i="11"/>
  <c r="BB778" i="11"/>
  <c r="BB776" i="11"/>
  <c r="BB775" i="11"/>
  <c r="BB760" i="11"/>
  <c r="BB767" i="11"/>
  <c r="BB709" i="11"/>
  <c r="BB688" i="11"/>
  <c r="BB787" i="11"/>
  <c r="BB796" i="11"/>
  <c r="BB781" i="11"/>
  <c r="BB764" i="11"/>
  <c r="BB769" i="11"/>
  <c r="BB791" i="11"/>
  <c r="BB790" i="11"/>
  <c r="BB751" i="11"/>
  <c r="BB761" i="11"/>
  <c r="BB687" i="11"/>
  <c r="BB789" i="11"/>
  <c r="BB772" i="11"/>
  <c r="BB795" i="11"/>
  <c r="BB768" i="11"/>
  <c r="BB784" i="11"/>
  <c r="BB762" i="11"/>
  <c r="BB722" i="11"/>
  <c r="BB788" i="11"/>
  <c r="BB793" i="11"/>
  <c r="BB780" i="11"/>
  <c r="BB794" i="11"/>
  <c r="BB783" i="11"/>
  <c r="BB792" i="11"/>
  <c r="BB773" i="11"/>
  <c r="BB704" i="11"/>
  <c r="AU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C81" i="14" l="1"/>
  <c r="C82" i="14" s="1"/>
  <c r="C83" i="14" s="1"/>
  <c r="F80" i="14"/>
  <c r="E80" i="14"/>
  <c r="H80" i="14"/>
  <c r="G80" i="14"/>
  <c r="BK697" i="11"/>
  <c r="CE697" i="11"/>
  <c r="BL668" i="11"/>
  <c r="BL669" i="11" s="1"/>
  <c r="BQ679" i="11"/>
  <c r="BI660" i="11"/>
  <c r="BC680" i="11"/>
  <c r="BJ692" i="11"/>
  <c r="BJ693" i="11" s="1"/>
  <c r="CL680" i="11"/>
  <c r="CK654" i="11"/>
  <c r="CG665" i="11"/>
  <c r="BZ672" i="11"/>
  <c r="BZ673" i="11" s="1"/>
  <c r="BX702" i="11"/>
  <c r="BX703" i="11" s="1"/>
  <c r="BX704" i="11" s="1"/>
  <c r="BX706" i="11" s="1"/>
  <c r="BI661" i="11"/>
  <c r="CE709" i="11"/>
  <c r="CE710" i="11" s="1"/>
  <c r="CE711" i="11" s="1"/>
  <c r="BY698" i="11"/>
  <c r="CM693" i="11"/>
  <c r="BD697" i="11"/>
  <c r="BK698" i="11"/>
  <c r="BK702" i="11" s="1"/>
  <c r="BC770" i="11"/>
  <c r="BP665" i="11"/>
  <c r="CF693" i="11"/>
  <c r="BP663" i="11"/>
  <c r="BR697" i="11"/>
  <c r="BP662" i="11"/>
  <c r="BP666" i="11"/>
  <c r="BP664" i="11"/>
  <c r="BB654" i="11"/>
  <c r="C2331" i="11" a="1"/>
  <c r="C2331" i="11" s="1"/>
  <c r="BP668" i="11"/>
  <c r="BP667" i="11"/>
  <c r="BP669" i="11"/>
  <c r="BS696" i="1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BS783" i="11" s="1"/>
  <c r="BS784" i="11" s="1"/>
  <c r="BS785" i="11" s="1"/>
  <c r="BS786" i="11" s="1"/>
  <c r="BS787" i="11" s="1"/>
  <c r="BS788" i="11" s="1"/>
  <c r="BS789" i="11" s="1"/>
  <c r="BS790" i="11" s="1"/>
  <c r="BS791" i="11" s="1"/>
  <c r="BS792" i="11" s="1"/>
  <c r="BS793" i="11" s="1"/>
  <c r="AU42" i="18"/>
  <c r="AS24" i="30"/>
  <c r="AR25" i="30"/>
  <c r="BH19" i="30" s="1"/>
  <c r="AC36" i="30"/>
  <c r="AS35" i="30"/>
  <c r="AY54" i="30" s="1"/>
  <c r="AE46" i="30"/>
  <c r="AD47" i="30"/>
  <c r="BE56" i="30" s="1"/>
  <c r="C2339" i="11" a="1"/>
  <c r="C2339" i="11" s="1"/>
  <c r="C2333" i="11" a="1"/>
  <c r="C2333"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BS794" i="11" l="1"/>
  <c r="BS795" i="11" s="1"/>
  <c r="E83" i="14"/>
  <c r="G83" i="14"/>
  <c r="H83" i="14"/>
  <c r="H82" i="14"/>
  <c r="F82" i="14"/>
  <c r="G82" i="14"/>
  <c r="E82" i="14"/>
  <c r="F83" i="14"/>
  <c r="F81" i="14"/>
  <c r="G81" i="14"/>
  <c r="E81" i="14"/>
  <c r="H81" i="14"/>
  <c r="BJ696" i="11"/>
  <c r="BJ697" i="11" s="1"/>
  <c r="BL670" i="11"/>
  <c r="BI663" i="11" s="1"/>
  <c r="BP672" i="11"/>
  <c r="BJ701" i="11"/>
  <c r="BP671" i="11"/>
  <c r="BP676" i="11"/>
  <c r="BP678" i="11"/>
  <c r="BP679" i="11"/>
  <c r="CL684" i="11"/>
  <c r="BP675" i="11"/>
  <c r="BP670" i="11"/>
  <c r="CE701" i="11"/>
  <c r="CE702" i="11" s="1"/>
  <c r="BP674" i="11"/>
  <c r="BP677" i="11"/>
  <c r="BP673" i="11"/>
  <c r="BC684" i="11"/>
  <c r="BC685" i="11" s="1"/>
  <c r="BQ680" i="11"/>
  <c r="BW663" i="11"/>
  <c r="CG666" i="11"/>
  <c r="CG667" i="11" s="1"/>
  <c r="BX707" i="11"/>
  <c r="BJ723" i="11"/>
  <c r="AD43" i="3"/>
  <c r="AL11" i="4" s="1"/>
  <c r="BY702" i="11"/>
  <c r="BY715" i="11" s="1"/>
  <c r="CM694" i="11"/>
  <c r="BD698" i="11"/>
  <c r="BP680" i="11"/>
  <c r="BP683" i="11"/>
  <c r="BP681" i="11"/>
  <c r="BP687" i="11"/>
  <c r="BP692" i="11"/>
  <c r="BP694" i="11"/>
  <c r="BP682" i="11"/>
  <c r="BP686" i="11"/>
  <c r="BI662" i="11"/>
  <c r="BP660" i="11"/>
  <c r="BP661" i="11"/>
  <c r="BP691" i="11"/>
  <c r="BK707" i="11"/>
  <c r="BZ674" i="11"/>
  <c r="CF694" i="11"/>
  <c r="CF696" i="11" s="1"/>
  <c r="BP689" i="11"/>
  <c r="BP685" i="11"/>
  <c r="BP688" i="11"/>
  <c r="BP684" i="11"/>
  <c r="BP690" i="11"/>
  <c r="BR698" i="11"/>
  <c r="BP693" i="11"/>
  <c r="BP708" i="11"/>
  <c r="BP723" i="11"/>
  <c r="BP706" i="11"/>
  <c r="BP705" i="11"/>
  <c r="BP700" i="11"/>
  <c r="BP704" i="11"/>
  <c r="BP725" i="11"/>
  <c r="BP717" i="11"/>
  <c r="BP696" i="11"/>
  <c r="BP697" i="11"/>
  <c r="BP755" i="11"/>
  <c r="BP790" i="11"/>
  <c r="BP771" i="11"/>
  <c r="BP784" i="11"/>
  <c r="BP777" i="11"/>
  <c r="BP758" i="11"/>
  <c r="BP714" i="11"/>
  <c r="BP753" i="11"/>
  <c r="BP769" i="11"/>
  <c r="BP778" i="11"/>
  <c r="BP772" i="11"/>
  <c r="BP750" i="11"/>
  <c r="BP698" i="11"/>
  <c r="BP764" i="11"/>
  <c r="BP760" i="11"/>
  <c r="BP709" i="11"/>
  <c r="BP780" i="11"/>
  <c r="BP732" i="11"/>
  <c r="BP774" i="11"/>
  <c r="BP724" i="11"/>
  <c r="BP756" i="11"/>
  <c r="BP707" i="11"/>
  <c r="BP754" i="11"/>
  <c r="BP728" i="11"/>
  <c r="BP726" i="11"/>
  <c r="BP781" i="11"/>
  <c r="BP768" i="11"/>
  <c r="BP751" i="11"/>
  <c r="BP765" i="11"/>
  <c r="BP744" i="11"/>
  <c r="BP713" i="11"/>
  <c r="BP734" i="11"/>
  <c r="BP766" i="11"/>
  <c r="BP749" i="11"/>
  <c r="BP727" i="11"/>
  <c r="BP761" i="11"/>
  <c r="BP738" i="11"/>
  <c r="BP746" i="11"/>
  <c r="BP701" i="11"/>
  <c r="BP759" i="11"/>
  <c r="BP745" i="11"/>
  <c r="BP770" i="11"/>
  <c r="BP719" i="11"/>
  <c r="BP703" i="11"/>
  <c r="BP779" i="11"/>
  <c r="BP789" i="11"/>
  <c r="BP787" i="11"/>
  <c r="BP747" i="11"/>
  <c r="BP763" i="11"/>
  <c r="BP710" i="11"/>
  <c r="BP702" i="11"/>
  <c r="BP722" i="11"/>
  <c r="BP699" i="11"/>
  <c r="BP775" i="11"/>
  <c r="BP748" i="11"/>
  <c r="BP783" i="11"/>
  <c r="BP788" i="11"/>
  <c r="BP742" i="11"/>
  <c r="BP740" i="11"/>
  <c r="BP767" i="11"/>
  <c r="BP731" i="11"/>
  <c r="BP786" i="11"/>
  <c r="BP718" i="11"/>
  <c r="BP776" i="11"/>
  <c r="BP785" i="11"/>
  <c r="BP752" i="11"/>
  <c r="BP715" i="11"/>
  <c r="BP782" i="11"/>
  <c r="BP757" i="11"/>
  <c r="BP733" i="11"/>
  <c r="BP711" i="11"/>
  <c r="BP730" i="11"/>
  <c r="BP729" i="11"/>
  <c r="BP721" i="11"/>
  <c r="BP735" i="11"/>
  <c r="BP743" i="11"/>
  <c r="BP712" i="11"/>
  <c r="BP773" i="11"/>
  <c r="BP741" i="11"/>
  <c r="BP737" i="11"/>
  <c r="BP762" i="11"/>
  <c r="BP716" i="11"/>
  <c r="BP739" i="11"/>
  <c r="BP695" i="11"/>
  <c r="BP736" i="11"/>
  <c r="BP720" i="11"/>
  <c r="AU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S796" i="11" l="1"/>
  <c r="BJ702" i="11"/>
  <c r="CE703" i="11"/>
  <c r="CE704" i="11" s="1"/>
  <c r="CE706" i="11" s="1"/>
  <c r="CM696" i="11"/>
  <c r="BY707" i="11"/>
  <c r="BL671" i="1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J703" i="11"/>
  <c r="BJ704" i="11" s="1"/>
  <c r="BJ706" i="11" s="1"/>
  <c r="BC686" i="11"/>
  <c r="BQ684" i="11"/>
  <c r="CL686" i="11"/>
  <c r="CG668" i="11"/>
  <c r="CD660" i="11" s="1"/>
  <c r="BX708" i="11"/>
  <c r="BX729" i="11"/>
  <c r="BJ729" i="11"/>
  <c r="CE729" i="11"/>
  <c r="D2289" i="11"/>
  <c r="D2290" i="11"/>
  <c r="E2290" i="11" s="1"/>
  <c r="CM697" i="11"/>
  <c r="BD702" i="11"/>
  <c r="BZ675" i="1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Z783" i="11" s="1"/>
  <c r="BZ784" i="11" s="1"/>
  <c r="BZ785" i="11" s="1"/>
  <c r="BZ786" i="11" s="1"/>
  <c r="BZ787" i="11" s="1"/>
  <c r="BZ788" i="11" s="1"/>
  <c r="BZ789" i="11" s="1"/>
  <c r="BZ790" i="11" s="1"/>
  <c r="BZ791" i="11" s="1"/>
  <c r="BK708" i="11"/>
  <c r="BR702" i="11"/>
  <c r="CF697" i="11"/>
  <c r="AU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BP792" i="11" l="1"/>
  <c r="BP791" i="11"/>
  <c r="BP795" i="11"/>
  <c r="BP793" i="11"/>
  <c r="BP796" i="11"/>
  <c r="BP794" i="11"/>
  <c r="BZ792" i="11"/>
  <c r="BZ793" i="11" s="1"/>
  <c r="BZ794" i="11" s="1"/>
  <c r="BZ795" i="11" s="1"/>
  <c r="BZ796" i="11" s="1"/>
  <c r="CE707" i="11"/>
  <c r="CE708" i="11" s="1"/>
  <c r="BL690" i="11"/>
  <c r="BL691" i="11" s="1"/>
  <c r="BY708" i="11"/>
  <c r="BY713" i="11" s="1"/>
  <c r="BI664" i="11"/>
  <c r="BI667" i="11"/>
  <c r="BI668" i="11"/>
  <c r="BI666" i="11"/>
  <c r="BI665" i="11"/>
  <c r="BW664" i="11"/>
  <c r="BJ707" i="11"/>
  <c r="BW665" i="11"/>
  <c r="CL690" i="11"/>
  <c r="BQ686" i="11"/>
  <c r="BC690" i="11"/>
  <c r="BC692" i="11" s="1"/>
  <c r="BC693" i="11" s="1"/>
  <c r="BC696" i="11" s="1"/>
  <c r="CG669" i="11"/>
  <c r="CG670" i="11" s="1"/>
  <c r="CG671" i="11" s="1"/>
  <c r="BX709" i="11"/>
  <c r="BW666" i="11"/>
  <c r="E2289" i="11"/>
  <c r="CM698" i="11"/>
  <c r="BD707" i="11"/>
  <c r="BW672" i="11"/>
  <c r="BW667" i="11"/>
  <c r="BW758" i="11"/>
  <c r="BW795" i="11"/>
  <c r="BW717" i="11"/>
  <c r="BW697" i="11"/>
  <c r="BW714" i="11"/>
  <c r="BW702" i="11"/>
  <c r="BW670" i="11"/>
  <c r="BW669" i="11"/>
  <c r="BW755" i="11"/>
  <c r="BW751" i="11"/>
  <c r="BW770" i="11"/>
  <c r="BW736" i="11"/>
  <c r="BW718" i="11"/>
  <c r="BW725" i="11"/>
  <c r="BW724" i="11"/>
  <c r="BW692" i="11"/>
  <c r="BW710" i="11"/>
  <c r="BW776" i="11"/>
  <c r="BW738" i="11"/>
  <c r="BW722" i="11"/>
  <c r="BW737" i="11"/>
  <c r="BW709" i="11"/>
  <c r="BW668" i="11"/>
  <c r="BW786" i="11"/>
  <c r="BW678" i="11"/>
  <c r="BW778" i="11"/>
  <c r="BW675" i="11"/>
  <c r="BW691" i="11"/>
  <c r="BW699" i="11"/>
  <c r="BW688" i="11"/>
  <c r="BW762" i="11"/>
  <c r="BW761" i="11"/>
  <c r="BW700" i="11"/>
  <c r="BW789" i="11"/>
  <c r="BW752" i="11"/>
  <c r="BW774" i="11"/>
  <c r="BW732" i="11"/>
  <c r="BW766" i="11"/>
  <c r="BW694" i="11"/>
  <c r="BW723" i="11"/>
  <c r="BW745" i="11"/>
  <c r="BW735" i="11"/>
  <c r="BW771" i="11"/>
  <c r="BW740" i="11"/>
  <c r="BW711" i="11"/>
  <c r="BW703" i="11"/>
  <c r="BW686" i="11"/>
  <c r="BW788" i="11"/>
  <c r="BW719" i="11"/>
  <c r="BW683" i="11"/>
  <c r="BW741" i="11"/>
  <c r="BW715" i="11"/>
  <c r="BW727" i="11"/>
  <c r="BW685" i="11"/>
  <c r="BW784" i="11"/>
  <c r="BW749" i="11"/>
  <c r="BW769" i="11"/>
  <c r="BW787" i="11"/>
  <c r="BW747" i="11"/>
  <c r="BW748" i="11"/>
  <c r="BW696" i="11"/>
  <c r="BW682" i="11"/>
  <c r="CF698" i="11"/>
  <c r="BK713" i="11"/>
  <c r="BW780" i="11"/>
  <c r="BW779" i="11"/>
  <c r="BW746" i="11"/>
  <c r="BW720" i="11"/>
  <c r="BW764" i="11"/>
  <c r="BW739" i="11"/>
  <c r="BW759" i="11"/>
  <c r="BW684" i="11"/>
  <c r="BW782" i="11"/>
  <c r="BW768" i="11"/>
  <c r="BW777" i="11"/>
  <c r="BW726" i="11"/>
  <c r="BW721" i="11"/>
  <c r="BW680" i="11"/>
  <c r="BW698" i="11"/>
  <c r="BW729" i="11"/>
  <c r="BW707" i="11"/>
  <c r="BW701" i="11"/>
  <c r="BW679" i="11"/>
  <c r="BW734" i="11"/>
  <c r="BW775" i="11"/>
  <c r="BW704" i="11"/>
  <c r="BW673" i="11"/>
  <c r="BW733" i="11"/>
  <c r="BW767" i="11"/>
  <c r="BW783" i="11"/>
  <c r="BW760" i="11"/>
  <c r="BW689" i="11"/>
  <c r="BW671" i="11"/>
  <c r="BW661" i="11"/>
  <c r="BW662" i="11"/>
  <c r="BW753" i="11"/>
  <c r="BR707" i="11"/>
  <c r="BW705" i="11"/>
  <c r="BW757" i="11"/>
  <c r="BW706" i="11"/>
  <c r="BW756" i="11"/>
  <c r="BW712" i="11"/>
  <c r="BW765" i="11"/>
  <c r="BW687" i="11"/>
  <c r="BW708" i="11"/>
  <c r="BW785" i="11"/>
  <c r="BW754" i="11"/>
  <c r="BW743" i="11"/>
  <c r="BW742" i="11"/>
  <c r="BW728" i="11"/>
  <c r="BW693" i="11"/>
  <c r="BW695" i="11"/>
  <c r="BW730" i="11"/>
  <c r="BW772" i="11"/>
  <c r="BW681" i="11"/>
  <c r="BW674" i="11"/>
  <c r="BW750" i="11"/>
  <c r="BW773" i="11"/>
  <c r="BW690" i="11"/>
  <c r="BW716" i="11"/>
  <c r="BW763" i="11"/>
  <c r="BW731" i="11"/>
  <c r="BW744" i="11"/>
  <c r="BW781" i="11"/>
  <c r="BW713" i="11"/>
  <c r="BW676" i="11"/>
  <c r="BW677" i="11"/>
  <c r="AU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P654" i="11" l="1"/>
  <c r="BW791" i="11"/>
  <c r="BW792" i="11"/>
  <c r="BW790" i="11"/>
  <c r="BW796" i="11"/>
  <c r="BW794" i="11"/>
  <c r="BW793" i="11"/>
  <c r="BL692" i="11"/>
  <c r="BL693" i="11" s="1"/>
  <c r="BY718" i="11"/>
  <c r="BY719" i="11" s="1"/>
  <c r="BC697" i="11"/>
  <c r="BC701" i="11" s="1"/>
  <c r="BQ690" i="11"/>
  <c r="CL692" i="11"/>
  <c r="CE712" i="11"/>
  <c r="BJ708" i="11"/>
  <c r="CD661" i="11"/>
  <c r="CG672" i="11"/>
  <c r="BX710" i="11"/>
  <c r="CL729" i="11"/>
  <c r="C2292" i="11" a="1"/>
  <c r="C2292" i="11" s="1"/>
  <c r="BK715" i="11"/>
  <c r="BK718" i="11" s="1"/>
  <c r="CM702" i="11"/>
  <c r="BD708" i="11"/>
  <c r="CF702" i="11"/>
  <c r="BR708" i="11"/>
  <c r="AU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W654" i="11" l="1"/>
  <c r="BL694" i="11"/>
  <c r="BL695" i="11" s="1"/>
  <c r="BY721" i="11"/>
  <c r="BY722" i="11" s="1"/>
  <c r="CL693" i="11"/>
  <c r="BQ692" i="11"/>
  <c r="CE720" i="11"/>
  <c r="BJ712" i="11"/>
  <c r="BC702" i="11"/>
  <c r="CG673" i="11"/>
  <c r="CD663" i="11" s="1"/>
  <c r="BX711" i="11"/>
  <c r="BX712" i="11" s="1"/>
  <c r="BX720" i="11" s="1"/>
  <c r="BC729" i="11"/>
  <c r="BQ723" i="11"/>
  <c r="CE747" i="11"/>
  <c r="CM707" i="11"/>
  <c r="BD713" i="11"/>
  <c r="BD715" i="11" s="1"/>
  <c r="BR713" i="11"/>
  <c r="BR715" i="11" s="1"/>
  <c r="BR718" i="11" s="1"/>
  <c r="BR719" i="11" s="1"/>
  <c r="BR721" i="11" s="1"/>
  <c r="BR722" i="11" s="1"/>
  <c r="BR727" i="11" s="1"/>
  <c r="BR730" i="11" s="1"/>
  <c r="BR731" i="11" s="1"/>
  <c r="BY727" i="11"/>
  <c r="BK719" i="11"/>
  <c r="CF707" i="11"/>
  <c r="AU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20" i="11" l="1"/>
  <c r="CL696" i="11"/>
  <c r="BC703" i="11"/>
  <c r="CE721" i="11"/>
  <c r="CE722" i="11" s="1"/>
  <c r="CE723" i="11" s="1"/>
  <c r="BQ693" i="11"/>
  <c r="CG674" i="11"/>
  <c r="BX721" i="11"/>
  <c r="BL696" i="11"/>
  <c r="BJ747" i="11"/>
  <c r="CE757" i="11"/>
  <c r="BC747" i="11"/>
  <c r="BR732" i="11"/>
  <c r="BR736" i="11" s="1"/>
  <c r="BR738" i="11" s="1"/>
  <c r="CM708" i="11"/>
  <c r="BD718" i="11"/>
  <c r="BY730" i="11"/>
  <c r="CF708" i="11"/>
  <c r="BK721" i="11"/>
  <c r="BK722" i="11" s="1"/>
  <c r="BK727" i="11" s="1"/>
  <c r="BK730" i="11" s="1"/>
  <c r="BK731" i="11" s="1"/>
  <c r="BK732" i="11" s="1"/>
  <c r="BK736" i="11" s="1"/>
  <c r="BK738" i="11" s="1"/>
  <c r="AU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57" i="11" l="1"/>
  <c r="CL714" i="11"/>
  <c r="CL697" i="11"/>
  <c r="BQ696" i="11"/>
  <c r="BQ697" i="11" s="1"/>
  <c r="CE727" i="11"/>
  <c r="CE728" i="11" s="1"/>
  <c r="BC704" i="11"/>
  <c r="BJ721" i="11"/>
  <c r="CG675" i="11"/>
  <c r="BX722" i="11"/>
  <c r="BL697" i="11"/>
  <c r="BJ757" i="11"/>
  <c r="BK745" i="11"/>
  <c r="BK746" i="11" s="1"/>
  <c r="BK748" i="11" s="1"/>
  <c r="BK760" i="11" s="1"/>
  <c r="BR745" i="11"/>
  <c r="BR746" i="11" s="1"/>
  <c r="BR748" i="11" s="1"/>
  <c r="BR760" i="11" s="1"/>
  <c r="CF713" i="11"/>
  <c r="CF715" i="11" s="1"/>
  <c r="CF718" i="11" s="1"/>
  <c r="CF719" i="11" s="1"/>
  <c r="CF721" i="11" s="1"/>
  <c r="CF722" i="11" s="1"/>
  <c r="CF727" i="11" s="1"/>
  <c r="CF730" i="11" s="1"/>
  <c r="CF731" i="11" s="1"/>
  <c r="BH656" i="11"/>
  <c r="BH657" i="11"/>
  <c r="BO657" i="11"/>
  <c r="BO656" i="11"/>
  <c r="CM713" i="11"/>
  <c r="BD719" i="11"/>
  <c r="BY731" i="11"/>
  <c r="AU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31" i="11" l="1"/>
  <c r="CE732" i="11" s="1"/>
  <c r="CB656" i="11" s="1"/>
  <c r="BQ701" i="11"/>
  <c r="BQ702" i="11" s="1"/>
  <c r="BQ703" i="11" s="1"/>
  <c r="BQ704" i="11" s="1"/>
  <c r="BQ706" i="11" s="1"/>
  <c r="BC706" i="11"/>
  <c r="BJ722" i="11"/>
  <c r="CL701" i="11"/>
  <c r="CG676" i="11"/>
  <c r="CG677" i="11" s="1"/>
  <c r="BX723" i="11"/>
  <c r="BX727" i="11" s="1"/>
  <c r="BL698" i="11"/>
  <c r="BK762" i="11"/>
  <c r="BK763" i="11" s="1"/>
  <c r="BK764" i="11" s="1"/>
  <c r="BK765" i="11" s="1"/>
  <c r="BR763" i="11"/>
  <c r="BR764" i="11" s="1"/>
  <c r="BR765" i="11" s="1"/>
  <c r="BR762" i="11"/>
  <c r="CF732" i="11"/>
  <c r="CF736" i="11" s="1"/>
  <c r="CF738" i="11" s="1"/>
  <c r="CM715" i="11"/>
  <c r="BD721" i="11"/>
  <c r="BY732" i="11"/>
  <c r="AU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707" i="11" l="1"/>
  <c r="BQ708" i="11" s="1"/>
  <c r="CE736" i="11"/>
  <c r="CB657" i="11" s="1"/>
  <c r="BJ727" i="11"/>
  <c r="CL702" i="11"/>
  <c r="BC707" i="11"/>
  <c r="BR767" i="11"/>
  <c r="BR768" i="11" s="1"/>
  <c r="BR769" i="11" s="1"/>
  <c r="BR771" i="11" s="1"/>
  <c r="CG678" i="11"/>
  <c r="CG679" i="11" s="1"/>
  <c r="BX728" i="11"/>
  <c r="BL699" i="11"/>
  <c r="CM718" i="11"/>
  <c r="CM719" i="11" s="1"/>
  <c r="CM721" i="11" s="1"/>
  <c r="CM722" i="11" s="1"/>
  <c r="CM727" i="11" s="1"/>
  <c r="BK767" i="11"/>
  <c r="BK768" i="11" s="1"/>
  <c r="BK769" i="11" s="1"/>
  <c r="BK771" i="11" s="1"/>
  <c r="CF745" i="11"/>
  <c r="CF746" i="11" s="1"/>
  <c r="CF748" i="11" s="1"/>
  <c r="CF760" i="11" s="1"/>
  <c r="CC656" i="11"/>
  <c r="CC657" i="11"/>
  <c r="BD722" i="11"/>
  <c r="BY736" i="11"/>
  <c r="AU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37" i="11" l="1"/>
  <c r="CE738" i="11"/>
  <c r="CE739" i="11" s="1"/>
  <c r="CE740" i="11" s="1"/>
  <c r="CE741" i="11" s="1"/>
  <c r="CE744" i="11" s="1"/>
  <c r="CE749" i="11" s="1"/>
  <c r="CE750" i="11" s="1"/>
  <c r="CE751" i="11" s="1"/>
  <c r="CE752" i="11" s="1"/>
  <c r="CE753" i="11" s="1"/>
  <c r="CE755" i="11" s="1"/>
  <c r="CE756" i="11" s="1"/>
  <c r="BR773" i="11"/>
  <c r="BR788" i="11" s="1"/>
  <c r="BO771" i="11" s="1"/>
  <c r="BQ709" i="11"/>
  <c r="CL703" i="11"/>
  <c r="BC708" i="11"/>
  <c r="BJ728" i="11"/>
  <c r="BK773" i="11"/>
  <c r="CG680" i="11"/>
  <c r="BX731" i="11"/>
  <c r="CM730" i="11"/>
  <c r="BL700" i="11"/>
  <c r="CF763" i="11"/>
  <c r="CF764" i="11" s="1"/>
  <c r="CF765" i="11" s="1"/>
  <c r="CF762" i="11"/>
  <c r="BD727" i="11"/>
  <c r="BY738" i="11"/>
  <c r="CD662" i="11"/>
  <c r="AU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BK787" i="11" l="1"/>
  <c r="BK788" i="11" s="1"/>
  <c r="CE759" i="11"/>
  <c r="BO658" i="11"/>
  <c r="CM731" i="11"/>
  <c r="CM732" i="11" s="1"/>
  <c r="BH659" i="11"/>
  <c r="BH658" i="11"/>
  <c r="BJ731" i="11"/>
  <c r="BJ732" i="11" s="1"/>
  <c r="CE760" i="11"/>
  <c r="CL704" i="11"/>
  <c r="BC709" i="11"/>
  <c r="BQ710" i="11"/>
  <c r="CG681" i="11"/>
  <c r="CF767" i="11"/>
  <c r="CF768" i="11" s="1"/>
  <c r="CF769" i="11" s="1"/>
  <c r="CF771" i="11" s="1"/>
  <c r="BX732" i="11"/>
  <c r="BX736" i="11" s="1"/>
  <c r="BL701" i="11"/>
  <c r="BO695" i="11"/>
  <c r="BO665" i="11"/>
  <c r="BO661" i="11"/>
  <c r="BO662" i="11"/>
  <c r="BO664" i="11"/>
  <c r="BO660" i="11"/>
  <c r="BO659" i="11"/>
  <c r="BO663" i="11"/>
  <c r="BO761" i="11"/>
  <c r="BO734" i="11"/>
  <c r="BO759" i="11"/>
  <c r="BO717" i="11"/>
  <c r="BO690" i="11"/>
  <c r="BO760" i="11"/>
  <c r="BO762" i="11"/>
  <c r="BO753" i="11"/>
  <c r="BO746" i="11"/>
  <c r="BO707" i="11"/>
  <c r="BO785" i="11"/>
  <c r="BO694" i="11"/>
  <c r="BO769" i="11"/>
  <c r="BO719" i="11"/>
  <c r="BO673" i="11"/>
  <c r="BO718" i="11"/>
  <c r="BO742" i="11"/>
  <c r="BO723" i="11"/>
  <c r="BO670" i="11"/>
  <c r="BO677" i="11"/>
  <c r="BO696" i="11"/>
  <c r="BO725" i="11"/>
  <c r="BO747" i="11"/>
  <c r="BO783" i="11"/>
  <c r="BO790" i="11"/>
  <c r="BO704" i="11"/>
  <c r="BO757" i="11"/>
  <c r="BO773" i="11"/>
  <c r="BO691" i="11"/>
  <c r="BO697" i="11"/>
  <c r="BO724" i="11"/>
  <c r="BO692" i="11"/>
  <c r="BO729" i="11"/>
  <c r="BO679" i="11"/>
  <c r="BO749" i="11"/>
  <c r="BO758" i="11"/>
  <c r="BO675" i="11"/>
  <c r="BO666" i="11"/>
  <c r="BO705" i="11"/>
  <c r="BO770" i="11"/>
  <c r="BO687" i="11"/>
  <c r="BO732" i="11"/>
  <c r="BO782" i="11"/>
  <c r="BO699" i="11"/>
  <c r="BO731" i="11"/>
  <c r="BO780" i="11"/>
  <c r="BO686" i="11"/>
  <c r="BO738" i="11"/>
  <c r="BO688" i="11"/>
  <c r="BO750" i="11"/>
  <c r="BO668" i="11"/>
  <c r="BO755" i="11"/>
  <c r="BO792" i="11"/>
  <c r="BO712" i="11"/>
  <c r="BY745" i="11"/>
  <c r="BY746" i="11" s="1"/>
  <c r="BY748" i="11" s="1"/>
  <c r="BY760" i="11" s="1"/>
  <c r="BO672" i="11"/>
  <c r="BO778" i="11"/>
  <c r="BO745" i="11"/>
  <c r="BO737" i="11"/>
  <c r="BO715" i="11"/>
  <c r="BO789" i="11"/>
  <c r="BO681" i="11"/>
  <c r="BO683" i="11"/>
  <c r="BO726" i="11"/>
  <c r="BO703" i="11"/>
  <c r="BO763" i="11"/>
  <c r="BO754" i="11"/>
  <c r="BO710" i="11"/>
  <c r="BO730" i="11"/>
  <c r="BO693" i="11"/>
  <c r="BO689" i="11"/>
  <c r="BO766" i="11"/>
  <c r="BO794" i="11"/>
  <c r="BO781" i="11"/>
  <c r="BO728" i="11"/>
  <c r="BO743" i="11"/>
  <c r="BO713" i="11"/>
  <c r="BO706" i="11"/>
  <c r="BO793" i="11"/>
  <c r="BO727" i="11"/>
  <c r="BO671" i="11"/>
  <c r="BO685" i="11"/>
  <c r="BO777" i="11"/>
  <c r="BO733" i="11"/>
  <c r="BO674" i="11"/>
  <c r="BO744" i="11"/>
  <c r="BO716" i="11"/>
  <c r="BO786" i="11"/>
  <c r="BO678" i="11"/>
  <c r="BO684" i="11"/>
  <c r="BO700" i="11"/>
  <c r="BO748" i="11"/>
  <c r="BO774" i="11"/>
  <c r="BO788" i="11"/>
  <c r="BO680" i="11"/>
  <c r="BO767" i="11"/>
  <c r="BO708" i="11"/>
  <c r="BO722" i="11"/>
  <c r="BO796" i="11"/>
  <c r="BO676" i="11"/>
  <c r="BO709" i="11"/>
  <c r="BO756" i="11"/>
  <c r="BO741" i="11"/>
  <c r="BO736" i="11"/>
  <c r="BO721" i="11"/>
  <c r="BO669" i="11"/>
  <c r="BO765" i="11"/>
  <c r="BO740" i="11"/>
  <c r="BO711" i="11"/>
  <c r="BO714" i="11"/>
  <c r="BO720" i="11"/>
  <c r="BO768" i="11"/>
  <c r="BO698" i="11"/>
  <c r="BO795" i="11"/>
  <c r="BO772" i="11"/>
  <c r="BO776" i="11"/>
  <c r="BO702" i="11"/>
  <c r="BO735" i="11"/>
  <c r="BO764" i="11"/>
  <c r="BO784" i="11"/>
  <c r="BO751" i="11"/>
  <c r="BO682" i="11"/>
  <c r="BO775" i="11"/>
  <c r="BO752" i="11"/>
  <c r="BO787" i="11"/>
  <c r="BO791" i="11"/>
  <c r="BO739" i="11"/>
  <c r="BO667" i="11"/>
  <c r="BO701" i="11"/>
  <c r="BO779" i="11"/>
  <c r="BV656" i="11"/>
  <c r="BV657" i="11"/>
  <c r="BD730" i="11"/>
  <c r="AU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BH669" i="11" l="1"/>
  <c r="BH701" i="11"/>
  <c r="BH667" i="11"/>
  <c r="BH660" i="11"/>
  <c r="BH787" i="11"/>
  <c r="BH664" i="11"/>
  <c r="BH685" i="11"/>
  <c r="BH696" i="11"/>
  <c r="BH721" i="11"/>
  <c r="BH741" i="11"/>
  <c r="BH675" i="11"/>
  <c r="BH751" i="11"/>
  <c r="BH796" i="11"/>
  <c r="BH730" i="11"/>
  <c r="BH687" i="11"/>
  <c r="BH704" i="11"/>
  <c r="BH692" i="11"/>
  <c r="BH686" i="11"/>
  <c r="BH671" i="11"/>
  <c r="BH766" i="11"/>
  <c r="BH705" i="11"/>
  <c r="BH710" i="11"/>
  <c r="BH770" i="11"/>
  <c r="BH776" i="11"/>
  <c r="BH753" i="11"/>
  <c r="BH729" i="11"/>
  <c r="BH763" i="11"/>
  <c r="BH725" i="11"/>
  <c r="BH742" i="11"/>
  <c r="BH786" i="11"/>
  <c r="BH700" i="11"/>
  <c r="BH714" i="11"/>
  <c r="BH706" i="11"/>
  <c r="BH693" i="11"/>
  <c r="BH661" i="11"/>
  <c r="BH663" i="11"/>
  <c r="BH689" i="11"/>
  <c r="BH737" i="11"/>
  <c r="BH668" i="11"/>
  <c r="BH783" i="11"/>
  <c r="BH782" i="11"/>
  <c r="BH719" i="11"/>
  <c r="BH778" i="11"/>
  <c r="BH683" i="11"/>
  <c r="BH781" i="11"/>
  <c r="BH666" i="11"/>
  <c r="BH771" i="11"/>
  <c r="BH691" i="11"/>
  <c r="BH755" i="11"/>
  <c r="BH672" i="11"/>
  <c r="BH695" i="11"/>
  <c r="BH713" i="11"/>
  <c r="BH726" i="11"/>
  <c r="BH728" i="11"/>
  <c r="BH780" i="11"/>
  <c r="BH765" i="11"/>
  <c r="BH772" i="11"/>
  <c r="BH747" i="11"/>
  <c r="BH757" i="11"/>
  <c r="BH702" i="11"/>
  <c r="BH791" i="11"/>
  <c r="BH735" i="11"/>
  <c r="BH746" i="11"/>
  <c r="BH759" i="11"/>
  <c r="BH711" i="11"/>
  <c r="BH739" i="11"/>
  <c r="BH688" i="11"/>
  <c r="BH764" i="11"/>
  <c r="BH703" i="11"/>
  <c r="BH793" i="11"/>
  <c r="BH690" i="11"/>
  <c r="BH723" i="11"/>
  <c r="BH731" i="11"/>
  <c r="BH699" i="11"/>
  <c r="BH670" i="11"/>
  <c r="BH756" i="11"/>
  <c r="BH761" i="11"/>
  <c r="BH777" i="11"/>
  <c r="BH680" i="11"/>
  <c r="BH788" i="11"/>
  <c r="BH732" i="11"/>
  <c r="BH754" i="11"/>
  <c r="BH734" i="11"/>
  <c r="BH779" i="11"/>
  <c r="BH743" i="11"/>
  <c r="BH715" i="11"/>
  <c r="BH684" i="11"/>
  <c r="BH678" i="11"/>
  <c r="BH758" i="11"/>
  <c r="BH749" i="11"/>
  <c r="BH762" i="11"/>
  <c r="BH775" i="11"/>
  <c r="BH745" i="11"/>
  <c r="BH752" i="11"/>
  <c r="BH784" i="11"/>
  <c r="BH789" i="11"/>
  <c r="BH677" i="11"/>
  <c r="BH681" i="11"/>
  <c r="BH716" i="11"/>
  <c r="BH679" i="11"/>
  <c r="BH718" i="11"/>
  <c r="BH697" i="11"/>
  <c r="BH712" i="11"/>
  <c r="BH724" i="11"/>
  <c r="BH733" i="11"/>
  <c r="BH769" i="11"/>
  <c r="BH750" i="11"/>
  <c r="BH662" i="11"/>
  <c r="BH785" i="11"/>
  <c r="BH748" i="11"/>
  <c r="BH773" i="11"/>
  <c r="BH673" i="11"/>
  <c r="BH738" i="11"/>
  <c r="BH790" i="11"/>
  <c r="BH760" i="11"/>
  <c r="BH694" i="11"/>
  <c r="BH682" i="11"/>
  <c r="BH792" i="11"/>
  <c r="BH674" i="11"/>
  <c r="BH794" i="11"/>
  <c r="BH795" i="11"/>
  <c r="BH774" i="11"/>
  <c r="BH707" i="11"/>
  <c r="BH717" i="11"/>
  <c r="BH708" i="11"/>
  <c r="BH720" i="11"/>
  <c r="BH709" i="11"/>
  <c r="BH768" i="11"/>
  <c r="BH767" i="11"/>
  <c r="BH727" i="11"/>
  <c r="BH722" i="11"/>
  <c r="BH665" i="11"/>
  <c r="BH744" i="11"/>
  <c r="BH736" i="11"/>
  <c r="BH740" i="11"/>
  <c r="BH698" i="11"/>
  <c r="BH676" i="11"/>
  <c r="CJ656" i="11"/>
  <c r="CM736" i="11"/>
  <c r="CM738" i="11" s="1"/>
  <c r="BH654" i="11"/>
  <c r="BG656" i="11"/>
  <c r="BJ736" i="11"/>
  <c r="BQ711" i="11"/>
  <c r="CL706" i="11"/>
  <c r="BX737" i="11"/>
  <c r="BX738" i="11" s="1"/>
  <c r="CE761" i="11"/>
  <c r="BC710" i="11"/>
  <c r="CF773" i="11"/>
  <c r="CG682" i="11"/>
  <c r="BQ747" i="11"/>
  <c r="BL702" i="1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L783" i="11" s="1"/>
  <c r="BL784" i="11" s="1"/>
  <c r="BL785" i="11" s="1"/>
  <c r="BL786" i="11" s="1"/>
  <c r="BL787" i="11" s="1"/>
  <c r="BL788" i="11" s="1"/>
  <c r="BL789" i="11" s="1"/>
  <c r="BL790" i="11" s="1"/>
  <c r="BL791" i="11" s="1"/>
  <c r="BL792" i="11" s="1"/>
  <c r="BL793" i="11" s="1"/>
  <c r="BL794" i="11" s="1"/>
  <c r="BL795" i="11" s="1"/>
  <c r="BL796" i="11" s="1"/>
  <c r="BO654" i="11"/>
  <c r="BY763" i="11"/>
  <c r="BY764" i="11" s="1"/>
  <c r="BY765" i="11" s="1"/>
  <c r="BY762" i="11"/>
  <c r="BD731" i="11"/>
  <c r="AU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45" i="11" l="1"/>
  <c r="CM746" i="11"/>
  <c r="BI738" i="11"/>
  <c r="BI669" i="11"/>
  <c r="BI673" i="11"/>
  <c r="BI674" i="11"/>
  <c r="BI672" i="11"/>
  <c r="BI676" i="11"/>
  <c r="BI677" i="11"/>
  <c r="BI671" i="11"/>
  <c r="BI670" i="11"/>
  <c r="BI678" i="11"/>
  <c r="BI675" i="11"/>
  <c r="BI679" i="11"/>
  <c r="BX747" i="11"/>
  <c r="BX739" i="11"/>
  <c r="BX740" i="11" s="1"/>
  <c r="BX741" i="11" s="1"/>
  <c r="BX744" i="11" s="1"/>
  <c r="CE763" i="11"/>
  <c r="BI680" i="11"/>
  <c r="BI681" i="11"/>
  <c r="CL707" i="11"/>
  <c r="BQ712" i="11"/>
  <c r="BG657" i="11"/>
  <c r="BJ737" i="11"/>
  <c r="BC711" i="11"/>
  <c r="CF788" i="11"/>
  <c r="CC658" i="11"/>
  <c r="CG683" i="11"/>
  <c r="BY767" i="11"/>
  <c r="BY768" i="11" s="1"/>
  <c r="BY769" i="11" s="1"/>
  <c r="BY771" i="11" s="1"/>
  <c r="BY773" i="11" s="1"/>
  <c r="BY788" i="11" s="1"/>
  <c r="BV674" i="11" s="1"/>
  <c r="BI739" i="11"/>
  <c r="BI726" i="11"/>
  <c r="BI729" i="11"/>
  <c r="BI781" i="11"/>
  <c r="BI793" i="11"/>
  <c r="BI735" i="11"/>
  <c r="BI752" i="11"/>
  <c r="BI732" i="11"/>
  <c r="BI760" i="11"/>
  <c r="BI759" i="11"/>
  <c r="BI746" i="11"/>
  <c r="BI756" i="11"/>
  <c r="BI795" i="11"/>
  <c r="BI775" i="11"/>
  <c r="BI743" i="11"/>
  <c r="BI792" i="11"/>
  <c r="BI750" i="11"/>
  <c r="BI740" i="11"/>
  <c r="BI767" i="11"/>
  <c r="BI794" i="11"/>
  <c r="BI761" i="11"/>
  <c r="BI772" i="11"/>
  <c r="BI751" i="11"/>
  <c r="BI786" i="11"/>
  <c r="BI783" i="11"/>
  <c r="BI755" i="11"/>
  <c r="BI777" i="11"/>
  <c r="BI788" i="11"/>
  <c r="BI789" i="11"/>
  <c r="BI771" i="11"/>
  <c r="BI791" i="11"/>
  <c r="BI744" i="11"/>
  <c r="BI785" i="11"/>
  <c r="BI766" i="11"/>
  <c r="BI763" i="11"/>
  <c r="BI737" i="11"/>
  <c r="BI748" i="11"/>
  <c r="BI782" i="11"/>
  <c r="BI787" i="11"/>
  <c r="BI774" i="11"/>
  <c r="BI749" i="11"/>
  <c r="BI741" i="11"/>
  <c r="BI784" i="11"/>
  <c r="BI736" i="11"/>
  <c r="BI754" i="11"/>
  <c r="BI747" i="11"/>
  <c r="BI769" i="11"/>
  <c r="BI764" i="11"/>
  <c r="BI765" i="11"/>
  <c r="BI742" i="11"/>
  <c r="BI757" i="11"/>
  <c r="BQ757" i="11"/>
  <c r="BI733" i="11"/>
  <c r="BI758" i="11"/>
  <c r="BI728" i="11"/>
  <c r="BI773" i="11"/>
  <c r="BI780" i="11"/>
  <c r="BI796" i="11"/>
  <c r="BI727" i="11"/>
  <c r="BI762" i="11"/>
  <c r="BI768" i="11"/>
  <c r="BI790" i="11"/>
  <c r="BI770" i="11"/>
  <c r="BI753" i="11"/>
  <c r="BI745" i="11"/>
  <c r="BI778" i="11"/>
  <c r="BI734" i="11"/>
  <c r="BI730" i="11"/>
  <c r="BI776" i="11"/>
  <c r="BI731" i="11"/>
  <c r="BI725" i="11"/>
  <c r="BI685" i="11"/>
  <c r="BI693" i="11"/>
  <c r="BI682" i="11"/>
  <c r="BI686" i="11"/>
  <c r="BI684" i="11"/>
  <c r="BI720" i="11"/>
  <c r="BI723" i="11"/>
  <c r="BI698" i="11"/>
  <c r="BI706" i="11"/>
  <c r="BI710" i="11"/>
  <c r="BI724" i="11"/>
  <c r="BI702" i="11"/>
  <c r="BI709" i="11"/>
  <c r="BI717" i="11"/>
  <c r="BI700" i="11"/>
  <c r="BI704" i="11"/>
  <c r="BI713" i="11"/>
  <c r="BI712" i="11"/>
  <c r="BI697" i="11"/>
  <c r="BI719" i="11"/>
  <c r="BI688" i="11"/>
  <c r="BI716" i="11"/>
  <c r="BI721" i="11"/>
  <c r="BI707" i="11"/>
  <c r="BI692" i="11"/>
  <c r="BI711" i="11"/>
  <c r="BI687" i="11"/>
  <c r="BI715" i="11"/>
  <c r="BI683" i="11"/>
  <c r="BI694" i="11"/>
  <c r="BI696" i="11"/>
  <c r="BI690" i="11"/>
  <c r="BI705" i="11"/>
  <c r="BI714" i="11"/>
  <c r="BI699" i="11"/>
  <c r="BI701" i="11"/>
  <c r="BI695" i="11"/>
  <c r="BI779" i="11"/>
  <c r="BI689" i="11"/>
  <c r="BI708" i="11"/>
  <c r="BI691" i="11"/>
  <c r="BI718" i="11"/>
  <c r="BI722" i="11"/>
  <c r="BI703" i="11"/>
  <c r="CM748" i="11"/>
  <c r="BD732" i="11"/>
  <c r="AU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64" i="11" l="1"/>
  <c r="BJ738" i="11"/>
  <c r="CL708" i="11"/>
  <c r="BC712" i="11"/>
  <c r="BQ720" i="11"/>
  <c r="BX757" i="11"/>
  <c r="BX749" i="11"/>
  <c r="CC670" i="11"/>
  <c r="CC663" i="11"/>
  <c r="CC661" i="11"/>
  <c r="CC708" i="11"/>
  <c r="CC683" i="11"/>
  <c r="CC748" i="11"/>
  <c r="CC684" i="11"/>
  <c r="CC767" i="11"/>
  <c r="CC734" i="11"/>
  <c r="CC784" i="11"/>
  <c r="CC703" i="11"/>
  <c r="CC676" i="11"/>
  <c r="CC749" i="11"/>
  <c r="CC741" i="11"/>
  <c r="CC762" i="11"/>
  <c r="CC732" i="11"/>
  <c r="CC692" i="11"/>
  <c r="CC702" i="11"/>
  <c r="CC700" i="11"/>
  <c r="CC709" i="11"/>
  <c r="CC770" i="11"/>
  <c r="CC693" i="11"/>
  <c r="CC768" i="11"/>
  <c r="CC690" i="11"/>
  <c r="CC717" i="11"/>
  <c r="CC771" i="11"/>
  <c r="CC715" i="11"/>
  <c r="CC728" i="11"/>
  <c r="CC704" i="11"/>
  <c r="CC791" i="11"/>
  <c r="CC699" i="11"/>
  <c r="CC671" i="11"/>
  <c r="CC794" i="11"/>
  <c r="CC697" i="11"/>
  <c r="CC667" i="11"/>
  <c r="CC729" i="11"/>
  <c r="CC720" i="11"/>
  <c r="CC756" i="11"/>
  <c r="CC788" i="11"/>
  <c r="CC688" i="11"/>
  <c r="CC763" i="11"/>
  <c r="CC714" i="11"/>
  <c r="CC782" i="11"/>
  <c r="CC687" i="11"/>
  <c r="CC698" i="11"/>
  <c r="CC694" i="11"/>
  <c r="CC743" i="11"/>
  <c r="CC664" i="11"/>
  <c r="CC660" i="11"/>
  <c r="CC751" i="11"/>
  <c r="CC738" i="11"/>
  <c r="CC735" i="11"/>
  <c r="CC673" i="11"/>
  <c r="CC779" i="11"/>
  <c r="CC778" i="11"/>
  <c r="CC769" i="11"/>
  <c r="CC780" i="11"/>
  <c r="CC746" i="11"/>
  <c r="CC681" i="11"/>
  <c r="CC753" i="11"/>
  <c r="CC795" i="11"/>
  <c r="CC724" i="11"/>
  <c r="CC711" i="11"/>
  <c r="CC790" i="11"/>
  <c r="CC785" i="11"/>
  <c r="CC685" i="11"/>
  <c r="CC695" i="11"/>
  <c r="CC772" i="11"/>
  <c r="CC723" i="11"/>
  <c r="CC773" i="11"/>
  <c r="CC686" i="11"/>
  <c r="CC758" i="11"/>
  <c r="CC725" i="11"/>
  <c r="CC719" i="11"/>
  <c r="CC726" i="11"/>
  <c r="CC682" i="11"/>
  <c r="CC757" i="11"/>
  <c r="CC680" i="11"/>
  <c r="CC765" i="11"/>
  <c r="CC722" i="11"/>
  <c r="CC710" i="11"/>
  <c r="CC707" i="11"/>
  <c r="CC662" i="11"/>
  <c r="CC705" i="11"/>
  <c r="CC691" i="11"/>
  <c r="CC669" i="11"/>
  <c r="CC777" i="11"/>
  <c r="CC739" i="11"/>
  <c r="CC712" i="11"/>
  <c r="CC787" i="11"/>
  <c r="CC696" i="11"/>
  <c r="CC761" i="11"/>
  <c r="CC713" i="11"/>
  <c r="CC755" i="11"/>
  <c r="CC665" i="11"/>
  <c r="CC677" i="11"/>
  <c r="CC760" i="11"/>
  <c r="CC666" i="11"/>
  <c r="CC793" i="11"/>
  <c r="CC689" i="11"/>
  <c r="CC747" i="11"/>
  <c r="CC759" i="11"/>
  <c r="CC744" i="11"/>
  <c r="CC752" i="11"/>
  <c r="CC786" i="11"/>
  <c r="CC701" i="11"/>
  <c r="CC718" i="11"/>
  <c r="CC740" i="11"/>
  <c r="CC789" i="11"/>
  <c r="CC706" i="11"/>
  <c r="CC736" i="11"/>
  <c r="CC674" i="11"/>
  <c r="CC733" i="11"/>
  <c r="CC675" i="11"/>
  <c r="CC792" i="11"/>
  <c r="CC737" i="11"/>
  <c r="CC721" i="11"/>
  <c r="CC730" i="11"/>
  <c r="CC678" i="11"/>
  <c r="CC668" i="11"/>
  <c r="CC766" i="11"/>
  <c r="CC672" i="11"/>
  <c r="CC754" i="11"/>
  <c r="CC731" i="11"/>
  <c r="CC727" i="11"/>
  <c r="CC774" i="11"/>
  <c r="CC783" i="11"/>
  <c r="CC659" i="11"/>
  <c r="CC745" i="11"/>
  <c r="CC776" i="11"/>
  <c r="CC781" i="11"/>
  <c r="CC679" i="11"/>
  <c r="CC775" i="11"/>
  <c r="CC750" i="11"/>
  <c r="CC796" i="11"/>
  <c r="CC764" i="11"/>
  <c r="CC716" i="11"/>
  <c r="CC742" i="11"/>
  <c r="CG684" i="11"/>
  <c r="BI654" i="11"/>
  <c r="AD44" i="3" s="1"/>
  <c r="AL12" i="4" s="1"/>
  <c r="D2291" i="11" s="1"/>
  <c r="C2329" i="11" s="1" a="1"/>
  <c r="C2329" i="11" s="1"/>
  <c r="BV772" i="11"/>
  <c r="BV715" i="11"/>
  <c r="BV794" i="11"/>
  <c r="BV743" i="11"/>
  <c r="BV785" i="11"/>
  <c r="BV765" i="11"/>
  <c r="BV707" i="11"/>
  <c r="BV685" i="11"/>
  <c r="BV768" i="11"/>
  <c r="BV675" i="11"/>
  <c r="BV731" i="11"/>
  <c r="BV694" i="11"/>
  <c r="BV669" i="11"/>
  <c r="BV774" i="11"/>
  <c r="BV692" i="11"/>
  <c r="BV725" i="11"/>
  <c r="BV699" i="11"/>
  <c r="BV682" i="11"/>
  <c r="BV732" i="11"/>
  <c r="BV741" i="11"/>
  <c r="BV746" i="11"/>
  <c r="BV738" i="11"/>
  <c r="BV724" i="11"/>
  <c r="BV742" i="11"/>
  <c r="BV690" i="11"/>
  <c r="BV681" i="11"/>
  <c r="BV684" i="11"/>
  <c r="BV777" i="11"/>
  <c r="BV778" i="11"/>
  <c r="BV704" i="11"/>
  <c r="BV761" i="11"/>
  <c r="BV734" i="11"/>
  <c r="BV793" i="11"/>
  <c r="BV720" i="11"/>
  <c r="BV706" i="11"/>
  <c r="BV677" i="11"/>
  <c r="BV792" i="11"/>
  <c r="BV779" i="11"/>
  <c r="BV773" i="11"/>
  <c r="BV698" i="11"/>
  <c r="BV762" i="11"/>
  <c r="BV710" i="11"/>
  <c r="BV709" i="11"/>
  <c r="BV717" i="11"/>
  <c r="BV767" i="11"/>
  <c r="BV666" i="11"/>
  <c r="BV712" i="11"/>
  <c r="BV703" i="11"/>
  <c r="BV700" i="11"/>
  <c r="BV693" i="11"/>
  <c r="BV723" i="11"/>
  <c r="BV714" i="11"/>
  <c r="BV782" i="11"/>
  <c r="BV744" i="11"/>
  <c r="BV667" i="11"/>
  <c r="BV727" i="11"/>
  <c r="BV689" i="11"/>
  <c r="BV769" i="11"/>
  <c r="BV740" i="11"/>
  <c r="BV787" i="11"/>
  <c r="BV795" i="11"/>
  <c r="BV718" i="11"/>
  <c r="BV736" i="11"/>
  <c r="BV755" i="11"/>
  <c r="BV671" i="11"/>
  <c r="BV776" i="11"/>
  <c r="BV726" i="11"/>
  <c r="BV757" i="11"/>
  <c r="BV766" i="11"/>
  <c r="BV784" i="11"/>
  <c r="BV783" i="11"/>
  <c r="BV735" i="11"/>
  <c r="BV708" i="11"/>
  <c r="BV668" i="11"/>
  <c r="BV760" i="11"/>
  <c r="BV688" i="11"/>
  <c r="BV781" i="11"/>
  <c r="BV676" i="11"/>
  <c r="BV696" i="11"/>
  <c r="BV662" i="11"/>
  <c r="BV754" i="11"/>
  <c r="BV780" i="11"/>
  <c r="BV716" i="11"/>
  <c r="BV751" i="11"/>
  <c r="BV713" i="11"/>
  <c r="BV747" i="11"/>
  <c r="BV729" i="11"/>
  <c r="BV673" i="11"/>
  <c r="BV739" i="11"/>
  <c r="BV661" i="11"/>
  <c r="BV745" i="11"/>
  <c r="BV775" i="11"/>
  <c r="BV763" i="11"/>
  <c r="BV788" i="11"/>
  <c r="BV756" i="11"/>
  <c r="BV701" i="11"/>
  <c r="BV786" i="11"/>
  <c r="BV665" i="11"/>
  <c r="BV770" i="11"/>
  <c r="BV659" i="11"/>
  <c r="BV663" i="11"/>
  <c r="BV737" i="11"/>
  <c r="BV750" i="11"/>
  <c r="BV683" i="11"/>
  <c r="BV691" i="11"/>
  <c r="BV679" i="11"/>
  <c r="BV664" i="11"/>
  <c r="BV660" i="11"/>
  <c r="BV658" i="11"/>
  <c r="BV771" i="11"/>
  <c r="BV697" i="11"/>
  <c r="BV705" i="11"/>
  <c r="BV752" i="11"/>
  <c r="BV702" i="11"/>
  <c r="BV791" i="11"/>
  <c r="BV722" i="11"/>
  <c r="BV796" i="11"/>
  <c r="BV733" i="11"/>
  <c r="BV686" i="11"/>
  <c r="BV695" i="11"/>
  <c r="BV680" i="11"/>
  <c r="BV764" i="11"/>
  <c r="BV748" i="11"/>
  <c r="BV749" i="11"/>
  <c r="BV789" i="11"/>
  <c r="BV728" i="11"/>
  <c r="BV730" i="11"/>
  <c r="BV719" i="11"/>
  <c r="BV711" i="11"/>
  <c r="BV753" i="11"/>
  <c r="BV790" i="11"/>
  <c r="BV759" i="11"/>
  <c r="BV687" i="11"/>
  <c r="BV672" i="11"/>
  <c r="BV758" i="11"/>
  <c r="BV670" i="11"/>
  <c r="BV678" i="11"/>
  <c r="BV721" i="11"/>
  <c r="BU656" i="11"/>
  <c r="CM760" i="11"/>
  <c r="CM762" i="11" s="1"/>
  <c r="BD736" i="11"/>
  <c r="BD738" i="11" s="1"/>
  <c r="AU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310" i="11" l="1" a="1"/>
  <c r="C2310" i="11" s="1"/>
  <c r="C2328" i="11" a="1"/>
  <c r="C2328" i="11" s="1"/>
  <c r="C2308" i="11" a="1"/>
  <c r="C2308" i="11" s="1"/>
  <c r="C2309" i="11" a="1"/>
  <c r="C2309" i="11" s="1"/>
  <c r="C2306" i="11" a="1"/>
  <c r="C2306" i="11" s="1"/>
  <c r="C2307" i="11" a="1"/>
  <c r="C2307" i="11" s="1"/>
  <c r="C2295" i="11" a="1"/>
  <c r="C2295" i="11" s="1"/>
  <c r="C2305" i="11" a="1"/>
  <c r="C2305" i="11" s="1"/>
  <c r="C2327" i="11" a="1"/>
  <c r="C2327" i="11" s="1"/>
  <c r="C2338" i="11" a="1"/>
  <c r="C2338" i="11" s="1"/>
  <c r="C2332" i="11" a="1"/>
  <c r="C2332" i="11" s="1"/>
  <c r="C2324" i="11" a="1"/>
  <c r="C2324" i="11" s="1"/>
  <c r="C2290" i="11" a="1"/>
  <c r="C2290" i="11" s="1"/>
  <c r="C2337" i="11" a="1"/>
  <c r="C2337" i="11" s="1"/>
  <c r="BJ739" i="11"/>
  <c r="BC720" i="11"/>
  <c r="CL709" i="11"/>
  <c r="CC654" i="11"/>
  <c r="CE765" i="11"/>
  <c r="BX750" i="11"/>
  <c r="BQ721" i="11"/>
  <c r="CG685" i="1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G783" i="11" s="1"/>
  <c r="CG784" i="11" s="1"/>
  <c r="CG785" i="11" s="1"/>
  <c r="CG786" i="11" s="1"/>
  <c r="CG787" i="11" s="1"/>
  <c r="CG788" i="11" s="1"/>
  <c r="CG789" i="11" s="1"/>
  <c r="CG790" i="11" s="1"/>
  <c r="CG791" i="11" s="1"/>
  <c r="CG792" i="11" s="1"/>
  <c r="CG793" i="11" s="1"/>
  <c r="CG794" i="11" s="1"/>
  <c r="C2289" i="11" a="1"/>
  <c r="C2289" i="11" s="1"/>
  <c r="C2291" i="11" a="1"/>
  <c r="C2291" i="11" s="1"/>
  <c r="E2291" i="11"/>
  <c r="BV654" i="11"/>
  <c r="BD745" i="11"/>
  <c r="BD746" i="11" s="1"/>
  <c r="CM763" i="11"/>
  <c r="AU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CG795" i="11" l="1"/>
  <c r="CG796" i="11" s="1"/>
  <c r="BA69" i="30"/>
  <c r="BA66" i="30"/>
  <c r="BX751" i="11"/>
  <c r="CD784" i="11"/>
  <c r="CD664" i="11"/>
  <c r="CD665" i="11"/>
  <c r="CD666" i="11"/>
  <c r="CD667" i="11"/>
  <c r="CD668" i="11"/>
  <c r="CD671" i="11"/>
  <c r="CD670" i="11"/>
  <c r="CL710" i="11"/>
  <c r="BQ722" i="11"/>
  <c r="BQ727" i="11" s="1"/>
  <c r="BQ728" i="11" s="1"/>
  <c r="CE768" i="11"/>
  <c r="BJ740" i="11"/>
  <c r="BC721" i="11"/>
  <c r="CD669" i="11"/>
  <c r="CD674" i="11"/>
  <c r="CD673" i="11"/>
  <c r="CD672" i="11"/>
  <c r="CD678" i="11"/>
  <c r="CD675" i="11"/>
  <c r="CD724" i="11"/>
  <c r="CD685" i="11"/>
  <c r="CD680" i="11"/>
  <c r="CD693" i="11"/>
  <c r="CD676" i="11"/>
  <c r="CD704" i="11"/>
  <c r="CD699" i="11"/>
  <c r="CD688" i="11"/>
  <c r="CD727" i="11"/>
  <c r="CD707" i="11"/>
  <c r="CD697" i="11"/>
  <c r="CD711" i="11"/>
  <c r="CD719" i="11"/>
  <c r="CD733" i="11"/>
  <c r="CD682" i="11"/>
  <c r="CD677" i="11"/>
  <c r="CD730" i="11"/>
  <c r="CD698" i="11"/>
  <c r="CD700" i="11"/>
  <c r="CD686" i="11"/>
  <c r="CD705" i="11"/>
  <c r="CD696" i="11"/>
  <c r="CD679" i="11"/>
  <c r="CD787" i="11"/>
  <c r="CD759" i="11"/>
  <c r="CD762" i="11"/>
  <c r="CD739" i="11"/>
  <c r="CD793" i="11"/>
  <c r="CD766" i="11"/>
  <c r="CD740" i="11"/>
  <c r="CD742" i="11"/>
  <c r="CD763" i="11"/>
  <c r="CD772" i="11"/>
  <c r="CD720" i="11"/>
  <c r="CD783" i="11"/>
  <c r="CD786" i="11"/>
  <c r="CD767" i="11"/>
  <c r="CD726" i="11"/>
  <c r="CD785" i="11"/>
  <c r="CD792" i="11"/>
  <c r="CD775" i="11"/>
  <c r="CD754" i="11"/>
  <c r="CD715" i="11"/>
  <c r="CD771" i="11"/>
  <c r="CD718" i="11"/>
  <c r="CD770" i="11"/>
  <c r="CD722" i="11"/>
  <c r="CD749" i="11"/>
  <c r="CD736" i="11"/>
  <c r="CD760" i="11"/>
  <c r="CD751" i="11"/>
  <c r="CD782" i="11"/>
  <c r="CD721" i="11"/>
  <c r="CD723" i="11"/>
  <c r="CD728" i="11"/>
  <c r="CD776" i="11"/>
  <c r="CD732" i="11"/>
  <c r="CD709" i="11"/>
  <c r="CD745" i="11"/>
  <c r="CD758" i="11"/>
  <c r="CD687" i="11"/>
  <c r="CD779" i="11"/>
  <c r="CD789" i="11"/>
  <c r="CD791" i="11"/>
  <c r="CD684" i="11"/>
  <c r="CD701" i="11"/>
  <c r="CD714" i="11"/>
  <c r="CD765" i="11"/>
  <c r="CD725" i="11"/>
  <c r="CD708" i="11"/>
  <c r="CD774" i="11"/>
  <c r="CD716" i="11"/>
  <c r="CD692" i="11"/>
  <c r="CD695" i="11"/>
  <c r="CD757" i="11"/>
  <c r="CD689" i="11"/>
  <c r="CD731" i="11"/>
  <c r="CD764" i="11"/>
  <c r="CD781" i="11"/>
  <c r="CD753" i="11"/>
  <c r="CD788" i="11"/>
  <c r="CD777" i="11"/>
  <c r="CD790" i="11"/>
  <c r="CD741" i="11"/>
  <c r="CD794" i="11"/>
  <c r="CD735" i="11"/>
  <c r="CD761" i="11"/>
  <c r="CD756" i="11"/>
  <c r="CD778" i="11"/>
  <c r="CD752" i="11"/>
  <c r="CD702" i="11"/>
  <c r="CD712" i="11"/>
  <c r="CD734" i="11"/>
  <c r="CD691" i="11"/>
  <c r="CD738" i="11"/>
  <c r="CD703" i="11"/>
  <c r="CD748" i="11"/>
  <c r="CD747" i="11"/>
  <c r="CD755" i="11"/>
  <c r="CD750" i="11"/>
  <c r="CD717" i="11"/>
  <c r="CD746" i="11"/>
  <c r="CD769" i="11"/>
  <c r="CD694" i="11"/>
  <c r="CD729" i="11"/>
  <c r="CD690" i="11"/>
  <c r="CD743" i="11"/>
  <c r="CD768" i="11"/>
  <c r="CD710" i="11"/>
  <c r="CD773" i="11"/>
  <c r="CD713" i="11"/>
  <c r="CD737" i="11"/>
  <c r="CD706" i="11"/>
  <c r="CD681" i="11"/>
  <c r="CD744" i="11"/>
  <c r="CD780" i="11"/>
  <c r="CD683" i="11"/>
  <c r="BD748" i="11"/>
  <c r="BD760" i="11" s="1"/>
  <c r="BD762" i="11" s="1"/>
  <c r="F2339" i="11"/>
  <c r="F2328" i="11"/>
  <c r="F2335" i="11"/>
  <c r="F2322" i="11"/>
  <c r="F2298" i="11"/>
  <c r="F2331" i="11"/>
  <c r="F2305" i="11"/>
  <c r="F2337" i="11"/>
  <c r="F2306" i="11"/>
  <c r="F2318" i="11"/>
  <c r="F2302" i="11"/>
  <c r="F2303" i="11"/>
  <c r="F2295" i="11"/>
  <c r="F2323" i="11"/>
  <c r="F2294" i="11"/>
  <c r="F2316" i="11"/>
  <c r="F2313" i="11"/>
  <c r="F2340" i="11"/>
  <c r="F2324" i="11"/>
  <c r="F2292" i="11"/>
  <c r="F2320" i="11"/>
  <c r="F2304" i="11"/>
  <c r="F2341" i="11"/>
  <c r="F2315" i="11"/>
  <c r="F2312" i="11"/>
  <c r="F2308" i="11"/>
  <c r="F2327" i="11"/>
  <c r="F2326" i="11"/>
  <c r="F2301" i="11"/>
  <c r="F2309" i="11"/>
  <c r="F2290" i="11"/>
  <c r="F2311" i="11"/>
  <c r="F2293" i="11"/>
  <c r="F2319" i="11"/>
  <c r="F2317" i="11"/>
  <c r="F2338" i="11"/>
  <c r="F2333" i="11"/>
  <c r="F2325" i="11"/>
  <c r="F2332" i="11"/>
  <c r="F2299" i="11"/>
  <c r="F2330" i="11"/>
  <c r="F2300" i="11"/>
  <c r="F2297" i="11"/>
  <c r="F2321" i="11"/>
  <c r="F2296" i="11"/>
  <c r="F2329" i="11"/>
  <c r="F2334" i="11"/>
  <c r="F2336" i="11"/>
  <c r="F2310" i="11"/>
  <c r="F2307" i="11"/>
  <c r="F2289" i="11"/>
  <c r="F2291" i="11"/>
  <c r="F2314" i="11"/>
  <c r="CM764" i="11"/>
  <c r="BA67" i="30"/>
  <c r="AU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CD795" i="11" l="1"/>
  <c r="CD654" i="11" s="1"/>
  <c r="CD796" i="11"/>
  <c r="BG69" i="30"/>
  <c r="BQ731" i="11"/>
  <c r="CL711" i="11"/>
  <c r="BX752" i="11"/>
  <c r="BC722" i="11"/>
  <c r="CE769" i="11"/>
  <c r="CE771" i="11" s="1"/>
  <c r="BJ741" i="11"/>
  <c r="BJ744" i="11" s="1"/>
  <c r="BJ749" i="11" s="1"/>
  <c r="BJ750" i="11" s="1"/>
  <c r="BJ751" i="11" s="1"/>
  <c r="BJ752" i="11" s="1"/>
  <c r="BJ753" i="11" s="1"/>
  <c r="BJ755" i="11" s="1"/>
  <c r="BJ756" i="11" s="1"/>
  <c r="BJ759" i="11" s="1"/>
  <c r="BJ760" i="11" s="1"/>
  <c r="BJ761" i="11" s="1"/>
  <c r="BJ763" i="11" s="1"/>
  <c r="BJ764" i="11" s="1"/>
  <c r="BJ765" i="11" s="1"/>
  <c r="BU657" i="11"/>
  <c r="G2289" i="11"/>
  <c r="K79" i="10" s="1"/>
  <c r="CM765" i="11"/>
  <c r="CM767" i="11" s="1"/>
  <c r="CM768" i="11" s="1"/>
  <c r="CM769" i="11" s="1"/>
  <c r="CM771" i="11" s="1"/>
  <c r="CM773" i="11" s="1"/>
  <c r="CM788" i="11" s="1"/>
  <c r="CJ688" i="11" s="1"/>
  <c r="BD763"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U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73" i="11" l="1"/>
  <c r="CL712" i="11"/>
  <c r="BJ768" i="11"/>
  <c r="BC723" i="11"/>
  <c r="BX753" i="11"/>
  <c r="BQ732" i="11"/>
  <c r="CJ689" i="11"/>
  <c r="CJ698" i="11"/>
  <c r="CJ791" i="11"/>
  <c r="CJ740" i="11"/>
  <c r="CJ693" i="11"/>
  <c r="CJ780" i="11"/>
  <c r="CJ762" i="11"/>
  <c r="CJ704" i="11"/>
  <c r="CJ793" i="11"/>
  <c r="CJ760" i="11"/>
  <c r="CJ705" i="11"/>
  <c r="CJ763" i="11"/>
  <c r="CJ720" i="11"/>
  <c r="CJ776" i="11"/>
  <c r="CJ790" i="11"/>
  <c r="CJ694" i="11"/>
  <c r="CJ700" i="11"/>
  <c r="CJ684" i="11"/>
  <c r="CJ736" i="11"/>
  <c r="CJ766" i="11"/>
  <c r="CJ758" i="11"/>
  <c r="CJ749" i="11"/>
  <c r="CJ752" i="11"/>
  <c r="CJ750" i="11"/>
  <c r="CJ738" i="11"/>
  <c r="CJ796" i="11"/>
  <c r="CJ687" i="11"/>
  <c r="CJ722" i="11"/>
  <c r="CJ741" i="11"/>
  <c r="CJ784" i="11"/>
  <c r="CJ725" i="11"/>
  <c r="CJ754" i="11"/>
  <c r="CJ707" i="11"/>
  <c r="CJ744" i="11"/>
  <c r="CJ692" i="11"/>
  <c r="CJ695" i="11"/>
  <c r="CJ721" i="11"/>
  <c r="CJ781" i="11"/>
  <c r="CJ748" i="11"/>
  <c r="CJ728" i="11"/>
  <c r="CJ757" i="11"/>
  <c r="CJ786" i="11"/>
  <c r="CJ712" i="11"/>
  <c r="CJ680" i="11"/>
  <c r="CJ775" i="11"/>
  <c r="CJ731" i="11"/>
  <c r="CJ683" i="11"/>
  <c r="CJ794" i="11"/>
  <c r="CJ678" i="11"/>
  <c r="CJ697" i="11"/>
  <c r="CJ706" i="11"/>
  <c r="CJ759" i="11"/>
  <c r="CJ756" i="11"/>
  <c r="CJ770" i="11"/>
  <c r="CJ732" i="11"/>
  <c r="CJ715" i="11"/>
  <c r="CJ745" i="11"/>
  <c r="CJ686" i="11"/>
  <c r="CJ730" i="11"/>
  <c r="CJ789" i="11"/>
  <c r="CJ709" i="11"/>
  <c r="CJ735" i="11"/>
  <c r="CJ696" i="11"/>
  <c r="CJ724" i="11"/>
  <c r="CJ778" i="11"/>
  <c r="CJ774" i="11"/>
  <c r="CJ771" i="11"/>
  <c r="CJ681" i="11"/>
  <c r="CJ727" i="11"/>
  <c r="CJ679" i="11"/>
  <c r="CJ708" i="11"/>
  <c r="CJ779" i="11"/>
  <c r="CJ682" i="11"/>
  <c r="CJ718" i="11"/>
  <c r="CJ788" i="11"/>
  <c r="CJ703" i="11"/>
  <c r="CJ747" i="11"/>
  <c r="CJ783" i="11"/>
  <c r="CJ739" i="11"/>
  <c r="CJ699" i="11"/>
  <c r="CJ764" i="11"/>
  <c r="CJ785" i="11"/>
  <c r="CJ795" i="11"/>
  <c r="CJ777" i="11"/>
  <c r="CJ716" i="11"/>
  <c r="CJ713" i="11"/>
  <c r="CJ719" i="11"/>
  <c r="CJ755" i="11"/>
  <c r="CJ658" i="11"/>
  <c r="CJ660" i="11"/>
  <c r="CJ657" i="11"/>
  <c r="CJ659" i="11"/>
  <c r="CJ675" i="11"/>
  <c r="CJ661" i="11"/>
  <c r="CJ662" i="11"/>
  <c r="CJ673" i="11"/>
  <c r="CJ667" i="11"/>
  <c r="CJ669" i="11"/>
  <c r="CJ670" i="11"/>
  <c r="CJ671" i="11"/>
  <c r="CJ664" i="11"/>
  <c r="CJ676" i="11"/>
  <c r="CJ665" i="11"/>
  <c r="CJ666" i="11"/>
  <c r="CJ674" i="11"/>
  <c r="CJ672" i="11"/>
  <c r="CJ663" i="11"/>
  <c r="CJ668" i="11"/>
  <c r="CJ765" i="11"/>
  <c r="CJ782" i="11"/>
  <c r="CJ733" i="11"/>
  <c r="CJ677" i="11"/>
  <c r="CJ792" i="11"/>
  <c r="CJ787" i="11"/>
  <c r="CJ714" i="11"/>
  <c r="CJ772" i="11"/>
  <c r="CJ746" i="11"/>
  <c r="CJ742" i="11"/>
  <c r="CJ711" i="11"/>
  <c r="CJ773" i="11"/>
  <c r="CJ768" i="11"/>
  <c r="CJ710" i="11"/>
  <c r="CJ737" i="11"/>
  <c r="CJ685" i="11"/>
  <c r="CJ701" i="11"/>
  <c r="CJ702" i="11"/>
  <c r="CJ743" i="11"/>
  <c r="CJ690" i="11"/>
  <c r="CJ769" i="11"/>
  <c r="CJ723" i="11"/>
  <c r="CJ751" i="11"/>
  <c r="CJ734" i="11"/>
  <c r="CJ717" i="11"/>
  <c r="CJ761" i="11"/>
  <c r="CJ767" i="11"/>
  <c r="CJ729" i="11"/>
  <c r="CJ753" i="11"/>
  <c r="CJ726" i="11"/>
  <c r="CJ691" i="11"/>
  <c r="BD764" i="11"/>
  <c r="AU35" i="30"/>
  <c r="AU33" i="30"/>
  <c r="AU32" i="30"/>
  <c r="BG37" i="30"/>
  <c r="BG30" i="30"/>
  <c r="AU29" i="30"/>
  <c r="BG32" i="30"/>
  <c r="AU30" i="30"/>
  <c r="BG35" i="30"/>
  <c r="BG33" i="30"/>
  <c r="AU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88" i="11" l="1"/>
  <c r="CB728" i="11" s="1"/>
  <c r="BQ736" i="11"/>
  <c r="BX755" i="11"/>
  <c r="BC727" i="11"/>
  <c r="CL720" i="11"/>
  <c r="BJ769" i="11"/>
  <c r="CJ654" i="11"/>
  <c r="BD765" i="11"/>
  <c r="AU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707" i="11" l="1"/>
  <c r="CB790" i="11"/>
  <c r="CB722" i="11"/>
  <c r="CB705" i="11"/>
  <c r="CB733" i="11"/>
  <c r="CB693" i="11"/>
  <c r="CB675" i="11"/>
  <c r="CB689" i="11"/>
  <c r="CB691" i="11"/>
  <c r="CB677" i="11"/>
  <c r="CB667" i="11"/>
  <c r="CB676" i="11"/>
  <c r="CB660" i="11"/>
  <c r="CB681" i="11"/>
  <c r="CB664" i="11"/>
  <c r="CB682" i="11"/>
  <c r="CB659" i="11"/>
  <c r="CB686" i="11"/>
  <c r="CB700" i="11"/>
  <c r="CB674" i="11"/>
  <c r="CB688" i="11"/>
  <c r="CB683" i="11"/>
  <c r="CB658" i="11"/>
  <c r="CB695" i="11"/>
  <c r="CB678" i="11"/>
  <c r="CB666" i="11"/>
  <c r="CB670" i="11"/>
  <c r="CB698" i="11"/>
  <c r="CB685" i="11"/>
  <c r="CB665" i="11"/>
  <c r="CB696" i="11"/>
  <c r="CB679" i="11"/>
  <c r="CB661" i="11"/>
  <c r="CB699" i="11"/>
  <c r="CB697" i="11"/>
  <c r="CB662" i="11"/>
  <c r="CB663" i="11"/>
  <c r="CB669" i="11"/>
  <c r="CB684" i="11"/>
  <c r="CB687" i="11"/>
  <c r="CB694" i="11"/>
  <c r="CB673" i="11"/>
  <c r="CB690" i="11"/>
  <c r="CB668" i="11"/>
  <c r="CB671" i="11"/>
  <c r="CB701" i="11"/>
  <c r="CB680" i="11"/>
  <c r="CB692" i="11"/>
  <c r="CB703" i="11"/>
  <c r="CB743" i="11"/>
  <c r="CB711" i="11"/>
  <c r="CB748" i="11"/>
  <c r="CB780" i="11"/>
  <c r="CB761" i="11"/>
  <c r="CB739" i="11"/>
  <c r="CB793" i="11"/>
  <c r="CB794" i="11"/>
  <c r="CB737" i="11"/>
  <c r="CB718" i="11"/>
  <c r="CB741" i="11"/>
  <c r="CB770" i="11"/>
  <c r="CB763" i="11"/>
  <c r="CB723" i="11"/>
  <c r="CB726" i="11"/>
  <c r="CB715" i="11"/>
  <c r="CB792" i="11"/>
  <c r="CB768" i="11"/>
  <c r="CB765" i="11"/>
  <c r="CB795" i="11"/>
  <c r="CB742" i="11"/>
  <c r="CB704" i="11"/>
  <c r="CB779" i="11"/>
  <c r="CB710" i="11"/>
  <c r="CB781" i="11"/>
  <c r="CB769" i="11"/>
  <c r="CB752" i="11"/>
  <c r="CB731" i="11"/>
  <c r="CB777" i="11"/>
  <c r="CB709" i="11"/>
  <c r="CB702" i="11"/>
  <c r="CB706" i="11"/>
  <c r="CB735" i="11"/>
  <c r="CB725" i="11"/>
  <c r="CB789" i="11"/>
  <c r="CB749" i="11"/>
  <c r="CB734" i="11"/>
  <c r="CB753" i="11"/>
  <c r="CB772" i="11"/>
  <c r="CB767" i="11"/>
  <c r="CB782" i="11"/>
  <c r="CB724" i="11"/>
  <c r="CB719" i="11"/>
  <c r="CB791" i="11"/>
  <c r="CB732" i="11"/>
  <c r="CB759" i="11"/>
  <c r="CB730" i="11"/>
  <c r="CB776" i="11"/>
  <c r="CB783" i="11"/>
  <c r="CB747" i="11"/>
  <c r="CB708" i="11"/>
  <c r="CB766" i="11"/>
  <c r="CB784" i="11"/>
  <c r="CB713" i="11"/>
  <c r="CB736" i="11"/>
  <c r="CB717" i="11"/>
  <c r="CB727" i="11"/>
  <c r="CB796" i="11"/>
  <c r="CB672" i="11"/>
  <c r="CB774" i="11"/>
  <c r="CB744" i="11"/>
  <c r="CB716" i="11"/>
  <c r="CB758" i="11"/>
  <c r="CB729" i="11"/>
  <c r="CB721" i="11"/>
  <c r="CB755" i="11"/>
  <c r="CB714" i="11"/>
  <c r="CB712" i="11"/>
  <c r="CB754" i="11"/>
  <c r="CB773" i="11"/>
  <c r="CB720" i="11"/>
  <c r="CB775" i="11"/>
  <c r="CB757" i="11"/>
  <c r="CB745" i="11"/>
  <c r="CB771" i="11"/>
  <c r="CB756" i="11"/>
  <c r="CB751" i="11"/>
  <c r="CB785" i="11"/>
  <c r="CB764" i="11"/>
  <c r="CB762" i="11"/>
  <c r="CB740" i="11"/>
  <c r="CB760" i="11"/>
  <c r="CB787" i="11"/>
  <c r="CB746" i="11"/>
  <c r="CB738" i="11"/>
  <c r="CB778" i="11"/>
  <c r="CB750" i="11"/>
  <c r="CB786" i="11"/>
  <c r="CB788" i="11"/>
  <c r="CL721" i="11"/>
  <c r="BC728" i="11"/>
  <c r="BC731" i="11" s="1"/>
  <c r="BC732" i="11" s="1"/>
  <c r="BC736" i="11" s="1"/>
  <c r="BQ737" i="11"/>
  <c r="BX756" i="11"/>
  <c r="BJ771" i="11"/>
  <c r="BJ773" i="11" s="1"/>
  <c r="BN656" i="11"/>
  <c r="BN657" i="11"/>
  <c r="BD767" i="11"/>
  <c r="BD768" i="11" s="1"/>
  <c r="BD769" i="11" s="1"/>
  <c r="AU62" i="18"/>
  <c r="BJ787" i="11" l="1"/>
  <c r="G92" i="8"/>
  <c r="G67" i="8"/>
  <c r="C66" i="8"/>
  <c r="CB654" i="11"/>
  <c r="BG658" i="11"/>
  <c r="BC737" i="11"/>
  <c r="BX759" i="11"/>
  <c r="BQ738" i="11"/>
  <c r="CL722" i="11"/>
  <c r="C89" i="8"/>
  <c r="G91" i="8"/>
  <c r="C86" i="8"/>
  <c r="G86" i="8"/>
  <c r="C90" i="8"/>
  <c r="G89" i="8"/>
  <c r="G87" i="8"/>
  <c r="C88" i="8"/>
  <c r="G85" i="8"/>
  <c r="C91" i="8"/>
  <c r="C85" i="8"/>
  <c r="G90" i="8"/>
  <c r="BD771"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J788" i="11" l="1"/>
  <c r="BG692" i="11" s="1"/>
  <c r="BC738" i="11"/>
  <c r="BC739" i="11" s="1"/>
  <c r="BC740" i="11" s="1"/>
  <c r="BC741" i="11" s="1"/>
  <c r="BC744" i="11" s="1"/>
  <c r="BC749" i="11" s="1"/>
  <c r="BC750" i="11" s="1"/>
  <c r="BC751" i="11" s="1"/>
  <c r="BC752" i="11" s="1"/>
  <c r="BC753" i="11" s="1"/>
  <c r="BC755" i="11" s="1"/>
  <c r="BC756" i="11" s="1"/>
  <c r="BC759" i="11" s="1"/>
  <c r="BC760" i="11" s="1"/>
  <c r="BX760" i="11"/>
  <c r="BQ739" i="11"/>
  <c r="CL723" i="11"/>
  <c r="BD773" i="11"/>
  <c r="AQ851" i="11" a="1"/>
  <c r="AL857" i="11" a="1"/>
  <c r="AR854" i="11" a="1"/>
  <c r="AQ855" i="11" a="1"/>
  <c r="AQ856" i="11" a="1"/>
  <c r="AR855" i="11" a="1"/>
  <c r="AV850" i="11" a="1"/>
  <c r="AR853" i="11" a="1"/>
  <c r="AL851" i="11" a="1"/>
  <c r="AL856" i="11" a="1"/>
  <c r="AR849" i="11" a="1"/>
  <c r="AR851" i="11" a="1"/>
  <c r="AL848" i="11" a="1"/>
  <c r="AL849" i="11" a="1"/>
  <c r="AL853" i="11" a="1"/>
  <c r="AV848" i="11" a="1"/>
  <c r="AV852" i="11" a="1"/>
  <c r="AV857" i="11" a="1"/>
  <c r="AV854" i="11" a="1"/>
  <c r="AV853" i="11" a="1"/>
  <c r="AQ853" i="11" a="1"/>
  <c r="AL852" i="11" a="1"/>
  <c r="AL850" i="11" a="1"/>
  <c r="AR852" i="11" a="1"/>
  <c r="AQ857" i="11" a="1"/>
  <c r="AR857" i="11" a="1"/>
  <c r="AL854" i="11" a="1"/>
  <c r="AQ854" i="11" a="1"/>
  <c r="AV851" i="11" a="1"/>
  <c r="AQ849" i="11" a="1"/>
  <c r="AR856" i="11" a="1"/>
  <c r="AV856" i="11" a="1"/>
  <c r="AQ852" i="11" a="1"/>
  <c r="AQ850" i="11" a="1"/>
  <c r="AQ848" i="11" a="1"/>
  <c r="AV855" i="11" a="1"/>
  <c r="AR848" i="11" a="1"/>
  <c r="AV849" i="11" a="1"/>
  <c r="AL855" i="11" a="1"/>
  <c r="AR850" i="11" a="1"/>
  <c r="BG677" i="11" l="1"/>
  <c r="BG673" i="11"/>
  <c r="BG672" i="11"/>
  <c r="BG681" i="11"/>
  <c r="BG708" i="11"/>
  <c r="BG678" i="11"/>
  <c r="BG664" i="11"/>
  <c r="BG659" i="11"/>
  <c r="BG695" i="11"/>
  <c r="BG665" i="11"/>
  <c r="BG663" i="11"/>
  <c r="BG707" i="11"/>
  <c r="BG682" i="11"/>
  <c r="BG674" i="11"/>
  <c r="BG700" i="11"/>
  <c r="BG679" i="11"/>
  <c r="BG662" i="11"/>
  <c r="BG667" i="11"/>
  <c r="BG685" i="11"/>
  <c r="BG691" i="11"/>
  <c r="BG669" i="11"/>
  <c r="BG763" i="11"/>
  <c r="BG721" i="11"/>
  <c r="BG779" i="11"/>
  <c r="BG717" i="11"/>
  <c r="BG766" i="11"/>
  <c r="BG765" i="11"/>
  <c r="BG720" i="11"/>
  <c r="BG741" i="11"/>
  <c r="BG761" i="11"/>
  <c r="BG788" i="11"/>
  <c r="BG775" i="11"/>
  <c r="BG790" i="11"/>
  <c r="BG743" i="11"/>
  <c r="BG758" i="11"/>
  <c r="BG731" i="11"/>
  <c r="BG792" i="11"/>
  <c r="BG772" i="11"/>
  <c r="BG722" i="11"/>
  <c r="BG762" i="11"/>
  <c r="BG786" i="11"/>
  <c r="BG744" i="11"/>
  <c r="BG730" i="11"/>
  <c r="BG737" i="11"/>
  <c r="BG754" i="11"/>
  <c r="BG706" i="11"/>
  <c r="BG688" i="11"/>
  <c r="BG684" i="11"/>
  <c r="BG668" i="11"/>
  <c r="BG705" i="11"/>
  <c r="BG660" i="11"/>
  <c r="BG697" i="11"/>
  <c r="BG704" i="11"/>
  <c r="BG675" i="11"/>
  <c r="BG764" i="11"/>
  <c r="BG728" i="11"/>
  <c r="BG791" i="11"/>
  <c r="BG713" i="11"/>
  <c r="BG724" i="11"/>
  <c r="BG784" i="11"/>
  <c r="BG716" i="11"/>
  <c r="BG757" i="11"/>
  <c r="BG739" i="11"/>
  <c r="BG746" i="11"/>
  <c r="BG795" i="11"/>
  <c r="BG769" i="11"/>
  <c r="BG747" i="11"/>
  <c r="BG771" i="11"/>
  <c r="BG750" i="11"/>
  <c r="BG749" i="11"/>
  <c r="BG752" i="11"/>
  <c r="BG719" i="11"/>
  <c r="BG781" i="11"/>
  <c r="BG711" i="11"/>
  <c r="BG712" i="11"/>
  <c r="BG701" i="11"/>
  <c r="BG689" i="11"/>
  <c r="BG680" i="11"/>
  <c r="BG698" i="11"/>
  <c r="BG666" i="11"/>
  <c r="BG670" i="11"/>
  <c r="BG702" i="11"/>
  <c r="BG703" i="11"/>
  <c r="BG694" i="11"/>
  <c r="BG671" i="11"/>
  <c r="BG776" i="11"/>
  <c r="BG715" i="11"/>
  <c r="BG770" i="11"/>
  <c r="BG710" i="11"/>
  <c r="BG742" i="11"/>
  <c r="BG726" i="11"/>
  <c r="BG733" i="11"/>
  <c r="BG718" i="11"/>
  <c r="BG773" i="11"/>
  <c r="BG736" i="11"/>
  <c r="BG785" i="11"/>
  <c r="BG723" i="11"/>
  <c r="BG793" i="11"/>
  <c r="BG745" i="11"/>
  <c r="BG760" i="11"/>
  <c r="BG734" i="11"/>
  <c r="BG725" i="11"/>
  <c r="BG796" i="11"/>
  <c r="BG714" i="11"/>
  <c r="BG755" i="11"/>
  <c r="BG729" i="11"/>
  <c r="BG787" i="11"/>
  <c r="BG687" i="11"/>
  <c r="BG690" i="11"/>
  <c r="BG696" i="11"/>
  <c r="BG699" i="11"/>
  <c r="BG661" i="11"/>
  <c r="BG683" i="11"/>
  <c r="BG686" i="11"/>
  <c r="BG693" i="11"/>
  <c r="BG738" i="11"/>
  <c r="BG783" i="11"/>
  <c r="BG768" i="11"/>
  <c r="BG782" i="11"/>
  <c r="BG789" i="11"/>
  <c r="BG794" i="11"/>
  <c r="BG732" i="11"/>
  <c r="BG740" i="11"/>
  <c r="BG767" i="11"/>
  <c r="BG753" i="11"/>
  <c r="BG756" i="11"/>
  <c r="BG778" i="11"/>
  <c r="BG751" i="11"/>
  <c r="BG709" i="11"/>
  <c r="BG759" i="11"/>
  <c r="BG727" i="11"/>
  <c r="BG777" i="11"/>
  <c r="BG774" i="11"/>
  <c r="BG780" i="11"/>
  <c r="BG748" i="11"/>
  <c r="BG735" i="11"/>
  <c r="BG676" i="11"/>
  <c r="BC761" i="11"/>
  <c r="AZ656" i="11"/>
  <c r="AZ657" i="11"/>
  <c r="CL727" i="11"/>
  <c r="BX761" i="11"/>
  <c r="CL747" i="11"/>
  <c r="BQ740" i="11"/>
  <c r="BD788" i="11"/>
  <c r="BA692" i="11" s="1"/>
  <c r="AL848" i="11"/>
  <c r="AH848" i="11" s="1"/>
  <c r="AQ849" i="11"/>
  <c r="AV852" i="11"/>
  <c r="AR855" i="11"/>
  <c r="AR853" i="11"/>
  <c r="AL850" i="11"/>
  <c r="AE850" i="11" s="1"/>
  <c r="AQ854" i="11"/>
  <c r="AV854" i="11"/>
  <c r="AL852" i="11"/>
  <c r="AH852" i="11" s="1"/>
  <c r="AL856" i="11"/>
  <c r="AH856" i="11" s="1"/>
  <c r="AQ855" i="11"/>
  <c r="AQ851" i="11"/>
  <c r="AR849" i="11"/>
  <c r="AR856" i="11"/>
  <c r="AR850" i="11"/>
  <c r="AR848" i="11"/>
  <c r="AQ852" i="11"/>
  <c r="AQ856" i="11"/>
  <c r="AV849" i="11"/>
  <c r="AV856" i="11"/>
  <c r="AL854" i="11"/>
  <c r="AH854" i="11" s="1"/>
  <c r="AR851" i="11"/>
  <c r="AV848" i="11"/>
  <c r="AR852" i="11"/>
  <c r="AV851" i="11"/>
  <c r="AL849" i="11"/>
  <c r="AE849" i="11" s="1"/>
  <c r="AQ853" i="11"/>
  <c r="AV850" i="11"/>
  <c r="AQ857" i="11"/>
  <c r="AV857" i="11"/>
  <c r="AL855" i="11"/>
  <c r="AI855" i="11" s="1"/>
  <c r="AR857" i="11"/>
  <c r="AV853" i="11"/>
  <c r="AQ850" i="11"/>
  <c r="AR854" i="11"/>
  <c r="AL851" i="11"/>
  <c r="AH851" i="11" s="1"/>
  <c r="AQ848" i="11"/>
  <c r="AV855" i="11"/>
  <c r="AL853" i="11"/>
  <c r="AH853" i="11" s="1"/>
  <c r="AL857" i="11"/>
  <c r="AI857" i="11" s="1"/>
  <c r="AS848" i="11"/>
  <c r="BG654" i="11" l="1"/>
  <c r="BC763" i="11"/>
  <c r="BC764" i="11" s="1"/>
  <c r="BC765" i="11" s="1"/>
  <c r="BC768" i="11" s="1"/>
  <c r="BC769" i="11" s="1"/>
  <c r="BC771" i="11" s="1"/>
  <c r="CL728" i="11"/>
  <c r="BQ741" i="11"/>
  <c r="CL757" i="11"/>
  <c r="BX763" i="11"/>
  <c r="BA689" i="11"/>
  <c r="BA683" i="11"/>
  <c r="BA679" i="11"/>
  <c r="BA678" i="11"/>
  <c r="BA795" i="11"/>
  <c r="BA660" i="11"/>
  <c r="BA659" i="11"/>
  <c r="BA657" i="11"/>
  <c r="BA662" i="11"/>
  <c r="BA661" i="11"/>
  <c r="BA666" i="11"/>
  <c r="BA663" i="11"/>
  <c r="BA664" i="11"/>
  <c r="BA665" i="11"/>
  <c r="BA667" i="11"/>
  <c r="BA656" i="11"/>
  <c r="BA669" i="11"/>
  <c r="BA668" i="11"/>
  <c r="BA670" i="11"/>
  <c r="BA658" i="11"/>
  <c r="BA672" i="11"/>
  <c r="BA671" i="11"/>
  <c r="BA673" i="11"/>
  <c r="BA674" i="11"/>
  <c r="BA675" i="11"/>
  <c r="BA676" i="11"/>
  <c r="BA677" i="11"/>
  <c r="BA680" i="11"/>
  <c r="BA686" i="11"/>
  <c r="BA687" i="11"/>
  <c r="BA685" i="11"/>
  <c r="BA695" i="11"/>
  <c r="BA688" i="11"/>
  <c r="BA682" i="11"/>
  <c r="BA694" i="11"/>
  <c r="BA691" i="11"/>
  <c r="BA684" i="11"/>
  <c r="BA681" i="11"/>
  <c r="BA693" i="11"/>
  <c r="BA690" i="11"/>
  <c r="BA727" i="11"/>
  <c r="BA784" i="11"/>
  <c r="BA719" i="11"/>
  <c r="BA717" i="11"/>
  <c r="BA730" i="11"/>
  <c r="BA733" i="11"/>
  <c r="BA779" i="11"/>
  <c r="BA751" i="11"/>
  <c r="BA768" i="11"/>
  <c r="BA734" i="11"/>
  <c r="BA741" i="11"/>
  <c r="BA715" i="11"/>
  <c r="BA777" i="11"/>
  <c r="BA744" i="11"/>
  <c r="BA696" i="11"/>
  <c r="BA753" i="11"/>
  <c r="BA771" i="11"/>
  <c r="BA747" i="11"/>
  <c r="BA703" i="11"/>
  <c r="BA774" i="11"/>
  <c r="BA708" i="11"/>
  <c r="BA724" i="11"/>
  <c r="BA736" i="11"/>
  <c r="BA780" i="11"/>
  <c r="BA782" i="11"/>
  <c r="BA706" i="11"/>
  <c r="BA709" i="11"/>
  <c r="BA762" i="11"/>
  <c r="BA750" i="11"/>
  <c r="BA766" i="11"/>
  <c r="BA789" i="11"/>
  <c r="BA761" i="11"/>
  <c r="BA778" i="11"/>
  <c r="BA758" i="11"/>
  <c r="BA732" i="11"/>
  <c r="BA772" i="11"/>
  <c r="BA757" i="11"/>
  <c r="BA718" i="11"/>
  <c r="BA722" i="11"/>
  <c r="BA702" i="11"/>
  <c r="BA698" i="11"/>
  <c r="BA711" i="11"/>
  <c r="BA781" i="11"/>
  <c r="BA752" i="11"/>
  <c r="BA769" i="11"/>
  <c r="BA699" i="11"/>
  <c r="BA759" i="11"/>
  <c r="BA728" i="11"/>
  <c r="BA743" i="11"/>
  <c r="BA790" i="11"/>
  <c r="BA700" i="11"/>
  <c r="BA760" i="11"/>
  <c r="BA716" i="11"/>
  <c r="BA773" i="11"/>
  <c r="BA704" i="11"/>
  <c r="BA725" i="11"/>
  <c r="BA726" i="11"/>
  <c r="BA707" i="11"/>
  <c r="BA794" i="11"/>
  <c r="BA756" i="11"/>
  <c r="BA712" i="11"/>
  <c r="BA720" i="11"/>
  <c r="BA785" i="11"/>
  <c r="BA705" i="11"/>
  <c r="BA749" i="11"/>
  <c r="BA721" i="11"/>
  <c r="BA767" i="11"/>
  <c r="BA714" i="11"/>
  <c r="BA748" i="11"/>
  <c r="BA742" i="11"/>
  <c r="BA791" i="11"/>
  <c r="BA792" i="11"/>
  <c r="BA770" i="11"/>
  <c r="BA793" i="11"/>
  <c r="BA701" i="11"/>
  <c r="BA764" i="11"/>
  <c r="BA723" i="11"/>
  <c r="BA755" i="11"/>
  <c r="BA788" i="11"/>
  <c r="BA713" i="11"/>
  <c r="BA776" i="11"/>
  <c r="BA737" i="11"/>
  <c r="BA739" i="11"/>
  <c r="BA729" i="11"/>
  <c r="BA710" i="11"/>
  <c r="BA763" i="11"/>
  <c r="BA697" i="11"/>
  <c r="BA735" i="11"/>
  <c r="BA754" i="11"/>
  <c r="BA796" i="11"/>
  <c r="BA746" i="11"/>
  <c r="BA740" i="11"/>
  <c r="BA765" i="11"/>
  <c r="BA731" i="11"/>
  <c r="BA775" i="11"/>
  <c r="BA738" i="11"/>
  <c r="BA786" i="11"/>
  <c r="BA787" i="11"/>
  <c r="BA783" i="11"/>
  <c r="BA745" i="11"/>
  <c r="AH849" i="11"/>
  <c r="AI850" i="11"/>
  <c r="AI853" i="11"/>
  <c r="AE856" i="11"/>
  <c r="AE851" i="11"/>
  <c r="AE855" i="11"/>
  <c r="AI849" i="11"/>
  <c r="AE854" i="11"/>
  <c r="AE852" i="11"/>
  <c r="AH855" i="11"/>
  <c r="AE857" i="11"/>
  <c r="AE853" i="11"/>
  <c r="AI851" i="11"/>
  <c r="AH857" i="11"/>
  <c r="AE848" i="11"/>
  <c r="AI854" i="11"/>
  <c r="AI852" i="11"/>
  <c r="AI848" i="11"/>
  <c r="AH850" i="11"/>
  <c r="AI856" i="11"/>
  <c r="AS853" i="11"/>
  <c r="AS856" i="11"/>
  <c r="AS854" i="11"/>
  <c r="AS857" i="11"/>
  <c r="AS849" i="11"/>
  <c r="AS851" i="11"/>
  <c r="AS855" i="11"/>
  <c r="AS852" i="11"/>
  <c r="AS850" i="11"/>
  <c r="BC773" i="11" l="1"/>
  <c r="CL731" i="11"/>
  <c r="BX764" i="11"/>
  <c r="BQ744" i="11"/>
  <c r="BA654" i="11"/>
  <c r="AD848" i="11"/>
  <c r="AG857" i="11"/>
  <c r="AG854" i="11"/>
  <c r="AD857" i="11"/>
  <c r="AD656" i="11" s="1" a="1"/>
  <c r="AD656" i="11" s="1"/>
  <c r="AE656" i="11" s="1"/>
  <c r="AG852" i="11"/>
  <c r="AG853" i="11"/>
  <c r="AG848" i="11"/>
  <c r="AG851" i="11"/>
  <c r="AG856" i="11"/>
  <c r="AG849" i="11"/>
  <c r="AD851" i="11"/>
  <c r="AG850" i="11"/>
  <c r="AG855" i="11"/>
  <c r="AD856" i="11"/>
  <c r="AD854" i="11"/>
  <c r="AD850" i="11"/>
  <c r="AD849" i="11"/>
  <c r="AD855" i="11"/>
  <c r="AD852" i="11"/>
  <c r="AD853" i="11"/>
  <c r="AZ658" i="11" l="1"/>
  <c r="BC788" i="11"/>
  <c r="AZ667" i="11" s="1"/>
  <c r="BX765" i="11"/>
  <c r="CL732" i="11"/>
  <c r="CL736" i="11" s="1"/>
  <c r="CL737" i="11" s="1"/>
  <c r="CL738" i="11" s="1"/>
  <c r="CL739" i="11" s="1"/>
  <c r="CL740" i="11" s="1"/>
  <c r="CL741" i="11" s="1"/>
  <c r="CL744" i="11" s="1"/>
  <c r="BQ749" i="11"/>
  <c r="AF851" i="11"/>
  <c r="AI823" i="11" s="1"/>
  <c r="AF856" i="11"/>
  <c r="D881" i="11" s="1"/>
  <c r="I881" i="11" s="1"/>
  <c r="AF849" i="11"/>
  <c r="AG823" i="11" s="1"/>
  <c r="AF852" i="11"/>
  <c r="D877" i="11" s="1"/>
  <c r="AF848" i="11"/>
  <c r="AF823" i="11" s="1"/>
  <c r="AF853" i="11"/>
  <c r="AF850" i="11"/>
  <c r="D875" i="11" s="1"/>
  <c r="J875" i="11" s="1"/>
  <c r="AF855" i="11"/>
  <c r="D880" i="11" s="1"/>
  <c r="AF854" i="11"/>
  <c r="D879" i="11" s="1"/>
  <c r="AF857" i="11"/>
  <c r="AC851" i="11"/>
  <c r="D865" i="11" s="1"/>
  <c r="AC849" i="11"/>
  <c r="D863" i="11" s="1"/>
  <c r="I863" i="11" s="1"/>
  <c r="AC854" i="11"/>
  <c r="D868" i="11" s="1"/>
  <c r="AC855" i="11"/>
  <c r="D869" i="11" s="1"/>
  <c r="AC852" i="11"/>
  <c r="D866" i="11" s="1"/>
  <c r="I866" i="11" s="1"/>
  <c r="AC848" i="11"/>
  <c r="D862" i="11" s="1"/>
  <c r="AC856" i="11"/>
  <c r="D870" i="11" s="1"/>
  <c r="AC807" i="11" s="1"/>
  <c r="AC850" i="11"/>
  <c r="D864" i="11" s="1"/>
  <c r="AC857" i="11"/>
  <c r="D871" i="11" s="1"/>
  <c r="E871" i="11" s="1"/>
  <c r="AC853" i="11"/>
  <c r="D867" i="11" s="1"/>
  <c r="AC804" i="11" s="1"/>
  <c r="AD804" i="11" l="1"/>
  <c r="AE804" i="11"/>
  <c r="AE807" i="11"/>
  <c r="AD807" i="11"/>
  <c r="AZ665" i="11"/>
  <c r="AZ785" i="11"/>
  <c r="AZ666" i="11"/>
  <c r="AZ669" i="11"/>
  <c r="AZ679" i="11"/>
  <c r="AZ680" i="11"/>
  <c r="AZ677" i="11"/>
  <c r="AZ670" i="11"/>
  <c r="AZ672" i="11"/>
  <c r="AZ660" i="11"/>
  <c r="AZ711" i="11"/>
  <c r="AZ676" i="11"/>
  <c r="AZ674" i="11"/>
  <c r="AZ662" i="11"/>
  <c r="AZ659" i="11"/>
  <c r="AZ671" i="11"/>
  <c r="AZ663" i="11"/>
  <c r="AZ675" i="11"/>
  <c r="AZ678" i="11"/>
  <c r="AZ668" i="11"/>
  <c r="AZ664" i="11"/>
  <c r="AZ673" i="11"/>
  <c r="AZ661" i="11"/>
  <c r="AZ699" i="11"/>
  <c r="AZ791" i="11"/>
  <c r="AZ690" i="11"/>
  <c r="AZ781" i="11"/>
  <c r="AZ748" i="11"/>
  <c r="AZ726" i="11"/>
  <c r="AZ777" i="11"/>
  <c r="AZ681" i="11"/>
  <c r="AZ770" i="11"/>
  <c r="AZ712" i="11"/>
  <c r="AZ790" i="11"/>
  <c r="AZ756" i="11"/>
  <c r="AZ734" i="11"/>
  <c r="AZ720" i="11"/>
  <c r="AZ737" i="11"/>
  <c r="AZ763" i="11"/>
  <c r="AZ749" i="11"/>
  <c r="AZ750" i="11"/>
  <c r="AZ692" i="11"/>
  <c r="AZ728" i="11"/>
  <c r="AZ783" i="11"/>
  <c r="AZ686" i="11"/>
  <c r="AZ725" i="11"/>
  <c r="AZ682" i="11"/>
  <c r="AZ794" i="11"/>
  <c r="AZ771" i="11"/>
  <c r="AZ708" i="11"/>
  <c r="AZ762" i="11"/>
  <c r="AZ743" i="11"/>
  <c r="AZ793" i="11"/>
  <c r="AZ698" i="11"/>
  <c r="AZ721" i="11"/>
  <c r="AZ784" i="11"/>
  <c r="AZ709" i="11"/>
  <c r="AZ761" i="11"/>
  <c r="AZ691" i="11"/>
  <c r="AZ684" i="11"/>
  <c r="AZ724" i="11"/>
  <c r="AZ741" i="11"/>
  <c r="AZ751" i="11"/>
  <c r="AZ714" i="11"/>
  <c r="AZ796" i="11"/>
  <c r="AZ779" i="11"/>
  <c r="AZ733" i="11"/>
  <c r="AZ745" i="11"/>
  <c r="AZ742" i="11"/>
  <c r="AZ738" i="11"/>
  <c r="AZ705" i="11"/>
  <c r="AZ729" i="11"/>
  <c r="AZ788" i="11"/>
  <c r="AZ772" i="11"/>
  <c r="AZ723" i="11"/>
  <c r="AZ736" i="11"/>
  <c r="AZ722" i="11"/>
  <c r="AZ747" i="11"/>
  <c r="AZ689" i="11"/>
  <c r="AZ732" i="11"/>
  <c r="AZ706" i="11"/>
  <c r="AZ701" i="11"/>
  <c r="AZ739" i="11"/>
  <c r="AZ778" i="11"/>
  <c r="AZ731" i="11"/>
  <c r="AZ715" i="11"/>
  <c r="AZ792" i="11"/>
  <c r="AZ735" i="11"/>
  <c r="AZ710" i="11"/>
  <c r="AZ789" i="11"/>
  <c r="AZ718" i="11"/>
  <c r="AZ746" i="11"/>
  <c r="AZ759" i="11"/>
  <c r="AZ795" i="11"/>
  <c r="AZ688" i="11"/>
  <c r="AZ787" i="11"/>
  <c r="AZ768" i="11"/>
  <c r="AZ730" i="11"/>
  <c r="AZ717" i="11"/>
  <c r="AZ755" i="11"/>
  <c r="AZ685" i="11"/>
  <c r="AZ773" i="11"/>
  <c r="AZ758" i="11"/>
  <c r="AZ703" i="11"/>
  <c r="AZ700" i="11"/>
  <c r="AZ753" i="11"/>
  <c r="AZ695" i="11"/>
  <c r="AZ757" i="11"/>
  <c r="AZ775" i="11"/>
  <c r="AZ780" i="11"/>
  <c r="AZ782" i="11"/>
  <c r="AZ696" i="11"/>
  <c r="AZ776" i="11"/>
  <c r="AZ727" i="11"/>
  <c r="AZ752" i="11"/>
  <c r="AZ693" i="11"/>
  <c r="AZ694" i="11"/>
  <c r="AZ702" i="11"/>
  <c r="AZ765" i="11"/>
  <c r="AZ687" i="11"/>
  <c r="AZ760" i="11"/>
  <c r="AZ774" i="11"/>
  <c r="AZ766" i="11"/>
  <c r="AZ707" i="11"/>
  <c r="AZ719" i="11"/>
  <c r="AZ767" i="11"/>
  <c r="AZ744" i="11"/>
  <c r="AZ786" i="11"/>
  <c r="AZ716" i="11"/>
  <c r="AZ740" i="11"/>
  <c r="AZ697" i="11"/>
  <c r="AZ754" i="11"/>
  <c r="AZ683" i="11"/>
  <c r="AZ704" i="11"/>
  <c r="AZ769" i="11"/>
  <c r="AZ764" i="11"/>
  <c r="AZ713" i="11"/>
  <c r="CL749" i="11"/>
  <c r="CL750" i="11" s="1"/>
  <c r="CL751" i="11" s="1"/>
  <c r="CL752" i="11" s="1"/>
  <c r="CL753" i="11" s="1"/>
  <c r="CL755" i="11" s="1"/>
  <c r="CL756" i="11" s="1"/>
  <c r="CI656" i="11"/>
  <c r="CI657" i="11"/>
  <c r="BX768" i="11"/>
  <c r="BQ750" i="11"/>
  <c r="I868" i="11"/>
  <c r="AC805" i="11"/>
  <c r="N869" i="11"/>
  <c r="AC806" i="11"/>
  <c r="M862" i="11"/>
  <c r="N868" i="11"/>
  <c r="AL823" i="11"/>
  <c r="E868" i="11"/>
  <c r="E869" i="11"/>
  <c r="D873" i="11"/>
  <c r="E873" i="11" s="1"/>
  <c r="M875" i="11"/>
  <c r="N881" i="11"/>
  <c r="E881" i="11"/>
  <c r="N863" i="11"/>
  <c r="M863" i="11"/>
  <c r="M871" i="11"/>
  <c r="J863" i="11"/>
  <c r="AM823" i="11"/>
  <c r="D874" i="11"/>
  <c r="J874" i="11" s="1"/>
  <c r="E863" i="11"/>
  <c r="AN823" i="11"/>
  <c r="J881" i="11"/>
  <c r="E875" i="11"/>
  <c r="D876" i="11"/>
  <c r="AI724" i="11" s="1"/>
  <c r="J869" i="11"/>
  <c r="I869" i="11"/>
  <c r="M881" i="11"/>
  <c r="AH823" i="11"/>
  <c r="N875" i="11"/>
  <c r="I865" i="11"/>
  <c r="E866" i="11"/>
  <c r="M869" i="11"/>
  <c r="I864" i="11"/>
  <c r="I875" i="11"/>
  <c r="J864" i="11"/>
  <c r="E880" i="11"/>
  <c r="J866" i="11"/>
  <c r="N864" i="11"/>
  <c r="AJ823" i="11"/>
  <c r="N866" i="11"/>
  <c r="M864" i="11"/>
  <c r="M865" i="11"/>
  <c r="D882" i="11"/>
  <c r="AO823" i="11"/>
  <c r="AK823" i="11"/>
  <c r="D878" i="11"/>
  <c r="M866" i="11"/>
  <c r="E864" i="11"/>
  <c r="N865" i="11"/>
  <c r="J865" i="11"/>
  <c r="E865" i="11"/>
  <c r="J871" i="11"/>
  <c r="I871" i="11"/>
  <c r="N862" i="11"/>
  <c r="E862" i="11"/>
  <c r="J862" i="11"/>
  <c r="N871" i="11"/>
  <c r="J867" i="11"/>
  <c r="I867" i="11"/>
  <c r="E867" i="11"/>
  <c r="N867" i="11"/>
  <c r="M867" i="11"/>
  <c r="M870" i="11"/>
  <c r="E870" i="11"/>
  <c r="J870" i="11"/>
  <c r="N870" i="11"/>
  <c r="I870" i="11"/>
  <c r="I862" i="11"/>
  <c r="AC808" i="11"/>
  <c r="M868" i="11"/>
  <c r="J868" i="11"/>
  <c r="M880" i="11"/>
  <c r="N880" i="11"/>
  <c r="J880" i="11"/>
  <c r="I880" i="11"/>
  <c r="M877" i="11"/>
  <c r="E877" i="11"/>
  <c r="I877" i="11"/>
  <c r="N877" i="11"/>
  <c r="J877" i="11"/>
  <c r="I879" i="11"/>
  <c r="M879" i="11"/>
  <c r="J879" i="11"/>
  <c r="E879" i="11"/>
  <c r="N879" i="11"/>
  <c r="AZ46" i="4" l="1" a="1"/>
  <c r="AZ46" i="4" s="1"/>
  <c r="BA46" i="4" a="1"/>
  <c r="BA46" i="4" s="1"/>
  <c r="L43" i="4" s="1" a="1"/>
  <c r="L43" i="4" s="1"/>
  <c r="BB46" i="4" a="1"/>
  <c r="BB46" i="4" s="1"/>
  <c r="W43" i="4" s="1" a="1"/>
  <c r="W43" i="4" s="1"/>
  <c r="AE806" i="11"/>
  <c r="AD806" i="11"/>
  <c r="AD808" i="11"/>
  <c r="AE808" i="11"/>
  <c r="AD805" i="11"/>
  <c r="AE805" i="11"/>
  <c r="AD788" i="11"/>
  <c r="AZ654" i="11"/>
  <c r="AD664" i="11"/>
  <c r="AD665" i="11" s="1"/>
  <c r="CL759" i="11"/>
  <c r="BX769" i="11"/>
  <c r="BQ751" i="11"/>
  <c r="C29" i="4"/>
  <c r="AW32" i="4" s="1"/>
  <c r="K32" i="4"/>
  <c r="E31" i="4"/>
  <c r="C31" i="4"/>
  <c r="K31" i="4"/>
  <c r="C33" i="4"/>
  <c r="D31" i="4"/>
  <c r="G31" i="4"/>
  <c r="J873" i="11"/>
  <c r="I873" i="11"/>
  <c r="N873" i="11"/>
  <c r="M873" i="11"/>
  <c r="E874" i="11"/>
  <c r="N874" i="11"/>
  <c r="I874" i="11"/>
  <c r="M874" i="11"/>
  <c r="AS116" i="9"/>
  <c r="AT116" i="9" s="1"/>
  <c r="AB150" i="9"/>
  <c r="E876" i="11"/>
  <c r="AA153" i="9"/>
  <c r="AB118" i="9"/>
  <c r="AD823" i="11"/>
  <c r="E882" i="11"/>
  <c r="AF139" i="9"/>
  <c r="AH135" i="9" s="1"/>
  <c r="AJ135" i="9" s="1"/>
  <c r="AA118" i="9"/>
  <c r="AR131" i="9"/>
  <c r="AU116" i="9"/>
  <c r="C47" i="4"/>
  <c r="D47" i="4" s="1"/>
  <c r="AC156" i="9"/>
  <c r="AE156" i="9" s="1"/>
  <c r="J876" i="11"/>
  <c r="M876" i="11"/>
  <c r="N876" i="11"/>
  <c r="I876" i="11"/>
  <c r="K55" i="4"/>
  <c r="AH140" i="9"/>
  <c r="AJ140" i="9" s="1"/>
  <c r="V63" i="4"/>
  <c r="AF123" i="9"/>
  <c r="AH119" i="9" s="1"/>
  <c r="AJ119" i="9" s="1"/>
  <c r="V45" i="4"/>
  <c r="BD45" i="4"/>
  <c r="Q56" i="4" s="1" a="1"/>
  <c r="Q56" i="4" s="1"/>
  <c r="AU131" i="9"/>
  <c r="AS131" i="9"/>
  <c r="AF120" i="9"/>
  <c r="K63" i="4"/>
  <c r="AU132" i="9"/>
  <c r="N65" i="4"/>
  <c r="AF124" i="9"/>
  <c r="AG124" i="9" s="1"/>
  <c r="V54" i="4"/>
  <c r="AB134" i="9"/>
  <c r="BF45" i="4"/>
  <c r="Q65" i="4" s="1" a="1"/>
  <c r="Q65" i="4" s="1"/>
  <c r="AA138" i="9"/>
  <c r="AR116" i="9"/>
  <c r="AA152" i="9"/>
  <c r="V32" i="4"/>
  <c r="AF154" i="9"/>
  <c r="AA136" i="9"/>
  <c r="AF122" i="9"/>
  <c r="AA137" i="9"/>
  <c r="AA124" i="9"/>
  <c r="AB124" i="9" s="1"/>
  <c r="BE45" i="4"/>
  <c r="F65" i="4" s="1" a="1"/>
  <c r="F65" i="4" s="1"/>
  <c r="BC45" i="4"/>
  <c r="F56" i="4" s="1" a="1"/>
  <c r="F56" i="4" s="1"/>
  <c r="C55" i="4" s="1"/>
  <c r="I878" i="11"/>
  <c r="M878" i="11"/>
  <c r="N878" i="11"/>
  <c r="J878" i="11"/>
  <c r="E878" i="11"/>
  <c r="V38" i="4"/>
  <c r="AR100" i="9"/>
  <c r="N33" i="4"/>
  <c r="K39" i="4"/>
  <c r="AY45" i="4"/>
  <c r="AU115" i="9"/>
  <c r="AH124" i="9"/>
  <c r="AJ124" i="9" s="1"/>
  <c r="AC124" i="9"/>
  <c r="AE124" i="9" s="1"/>
  <c r="K45" i="4"/>
  <c r="AF140" i="9"/>
  <c r="AG140" i="9" s="1"/>
  <c r="V46" i="4"/>
  <c r="AF137" i="9"/>
  <c r="N40" i="4"/>
  <c r="AC140" i="9"/>
  <c r="AE140" i="9" s="1"/>
  <c r="AU99" i="9"/>
  <c r="AN662" i="11"/>
  <c r="AA139" i="9"/>
  <c r="AC135" i="9" s="1"/>
  <c r="AE135" i="9" s="1"/>
  <c r="AF136" i="9"/>
  <c r="AA150" i="9"/>
  <c r="AA140" i="9"/>
  <c r="AB140" i="9" s="1"/>
  <c r="AF134" i="9"/>
  <c r="AU100" i="9"/>
  <c r="AF152" i="9"/>
  <c r="V39" i="4"/>
  <c r="AX45" i="4"/>
  <c r="AA155" i="9"/>
  <c r="AC151" i="9" s="1"/>
  <c r="AE151" i="9" s="1"/>
  <c r="AZ45" i="4"/>
  <c r="BB45" i="4"/>
  <c r="V55" i="4"/>
  <c r="AA123" i="9"/>
  <c r="AC119" i="9" s="1"/>
  <c r="AE119" i="9" s="1"/>
  <c r="AA121" i="9"/>
  <c r="K38" i="4"/>
  <c r="AG134" i="9"/>
  <c r="AI661" i="11"/>
  <c r="AI662" i="11" s="1"/>
  <c r="AI654" i="11" s="1" a="1"/>
  <c r="AI654" i="11" s="1"/>
  <c r="AJ654" i="11" s="1"/>
  <c r="AA156" i="9"/>
  <c r="AB156" i="9" s="1"/>
  <c r="V64" i="4"/>
  <c r="AH156" i="9"/>
  <c r="AJ156" i="9" s="1"/>
  <c r="V31" i="4"/>
  <c r="AA122" i="9"/>
  <c r="BA45" i="4"/>
  <c r="AF156" i="9"/>
  <c r="AG156" i="9" s="1"/>
  <c r="AF150" i="9"/>
  <c r="AF155" i="9"/>
  <c r="AH151" i="9" s="1"/>
  <c r="AJ151" i="9" s="1"/>
  <c r="AR115" i="9"/>
  <c r="AG118" i="9"/>
  <c r="AF121" i="9"/>
  <c r="AR132" i="9"/>
  <c r="K54" i="4"/>
  <c r="AG150" i="9"/>
  <c r="J882" i="11"/>
  <c r="M882" i="11"/>
  <c r="I882" i="11"/>
  <c r="N882" i="11"/>
  <c r="K46" i="4"/>
  <c r="AF138" i="9"/>
  <c r="AS115" i="9"/>
  <c r="C56" i="4"/>
  <c r="E54" i="4" s="1"/>
  <c r="AS132" i="9"/>
  <c r="AT132" i="9" s="1"/>
  <c r="AA154" i="9"/>
  <c r="AR99" i="9"/>
  <c r="AA115" i="9" s="1"/>
  <c r="AN96" i="9" s="1"/>
  <c r="AA120" i="9"/>
  <c r="K64" i="4"/>
  <c r="AA134" i="9"/>
  <c r="N47" i="4"/>
  <c r="N56" i="4"/>
  <c r="AS100" i="9"/>
  <c r="AT100" i="9" s="1"/>
  <c r="C65" i="4"/>
  <c r="C40" i="4"/>
  <c r="AF153" i="9"/>
  <c r="AS661" i="11"/>
  <c r="AF118" i="9"/>
  <c r="AT131" i="9" l="1"/>
  <c r="AD150" i="9"/>
  <c r="AB147" i="9"/>
  <c r="AA147" i="9"/>
  <c r="AN128" i="9" s="1"/>
  <c r="AA131" i="9"/>
  <c r="AN112" i="9" s="1"/>
  <c r="AB131" i="9"/>
  <c r="AT115" i="9"/>
  <c r="AD134" i="9"/>
  <c r="AO96" i="9"/>
  <c r="AP96" i="9"/>
  <c r="AR96" i="9"/>
  <c r="AN674" i="11"/>
  <c r="AN655" i="11" s="1" a="1"/>
  <c r="AN655" i="11" s="1"/>
  <c r="AO655" i="11" s="1"/>
  <c r="AS680" i="11"/>
  <c r="AS657" i="11" s="1" a="1"/>
  <c r="AS657" i="11" s="1"/>
  <c r="AT657" i="11" s="1"/>
  <c r="AD670" i="11"/>
  <c r="BD46" i="4" a="1"/>
  <c r="BD46" i="4" s="1"/>
  <c r="W50" i="4" s="1" a="1"/>
  <c r="W50" i="4" s="1"/>
  <c r="BF46" i="4" a="1"/>
  <c r="BF46" i="4" s="1"/>
  <c r="W59" i="4" s="1" a="1"/>
  <c r="W59" i="4" s="1"/>
  <c r="BE46" i="4" a="1"/>
  <c r="BE46" i="4" s="1"/>
  <c r="L59" i="4" s="1" a="1"/>
  <c r="L59" i="4" s="1"/>
  <c r="BC46" i="4" a="1"/>
  <c r="BC46" i="4" s="1"/>
  <c r="L50" i="4" s="1" a="1"/>
  <c r="L50" i="4" s="1"/>
  <c r="W36" i="4" a="1"/>
  <c r="W36" i="4" s="1"/>
  <c r="AD672" i="11"/>
  <c r="AD673" i="11" s="1"/>
  <c r="AD661" i="11" a="1"/>
  <c r="AD661" i="11" s="1"/>
  <c r="AE661" i="11" s="1"/>
  <c r="CL760" i="11"/>
  <c r="BX771" i="11"/>
  <c r="BQ752" i="11"/>
  <c r="AW36" i="4"/>
  <c r="G33" i="4"/>
  <c r="AI666" i="11"/>
  <c r="AI667" i="11" s="1"/>
  <c r="AD654" i="11" a="1"/>
  <c r="AD654" i="11" s="1"/>
  <c r="AE654" i="11" s="1"/>
  <c r="G47" i="4"/>
  <c r="E47" i="4" s="1"/>
  <c r="G40" i="4"/>
  <c r="R40" i="4"/>
  <c r="P40" i="4" s="1"/>
  <c r="O40" i="4"/>
  <c r="R33" i="4"/>
  <c r="R47" i="4"/>
  <c r="P47" i="4" s="1"/>
  <c r="O47" i="4"/>
  <c r="AP128" i="9" l="1"/>
  <c r="AR128" i="9"/>
  <c r="AQ128" i="9"/>
  <c r="AO128" i="9"/>
  <c r="AR113" i="9"/>
  <c r="AQ112" i="9"/>
  <c r="AO112" i="9"/>
  <c r="AR112" i="9"/>
  <c r="AP112" i="9"/>
  <c r="AN676" i="11"/>
  <c r="AN656" i="11" s="1" a="1"/>
  <c r="AN656" i="11" s="1"/>
  <c r="AO656" i="11" s="1"/>
  <c r="AV652" i="11"/>
  <c r="AT660" i="11" s="1"/>
  <c r="AV805" i="11" s="1"/>
  <c r="AD676" i="11"/>
  <c r="CL761" i="11"/>
  <c r="BX773" i="11"/>
  <c r="BQ753" i="11"/>
  <c r="AI669" i="11"/>
  <c r="AI680" i="11" s="1"/>
  <c r="AS4" i="9" l="1"/>
  <c r="AT4" i="9" s="1"/>
  <c r="AS3" i="9"/>
  <c r="AT3" i="9" s="1"/>
  <c r="AS6" i="9"/>
  <c r="AT6" i="9" s="1"/>
  <c r="AU655" i="11"/>
  <c r="AV748" i="11"/>
  <c r="AV699" i="11"/>
  <c r="AV807" i="11"/>
  <c r="AQ652" i="11"/>
  <c r="AO660" i="11" s="1"/>
  <c r="AQ802" i="11" s="1"/>
  <c r="AV689" i="11"/>
  <c r="AV678" i="11"/>
  <c r="AV736" i="11"/>
  <c r="AV802" i="11"/>
  <c r="AV744" i="11"/>
  <c r="AV720" i="11"/>
  <c r="AV663" i="11"/>
  <c r="AV772" i="11"/>
  <c r="AV696" i="11"/>
  <c r="AV665" i="11"/>
  <c r="AV731" i="11"/>
  <c r="AV714" i="11"/>
  <c r="AV727" i="11"/>
  <c r="AV677" i="11"/>
  <c r="AV801" i="11"/>
  <c r="AV670" i="11"/>
  <c r="AV764" i="11"/>
  <c r="AV739" i="11"/>
  <c r="AV675" i="11"/>
  <c r="AV692" i="11"/>
  <c r="AV671" i="11"/>
  <c r="AV685" i="11"/>
  <c r="AV746" i="11"/>
  <c r="AV754" i="11"/>
  <c r="AV745" i="11"/>
  <c r="AV751" i="11"/>
  <c r="AV681" i="11"/>
  <c r="AV780" i="11"/>
  <c r="AV715" i="11"/>
  <c r="AV759" i="11"/>
  <c r="AV806" i="11"/>
  <c r="AV799" i="11"/>
  <c r="AV758" i="11"/>
  <c r="AV757" i="11"/>
  <c r="AV774" i="11"/>
  <c r="AV724" i="11"/>
  <c r="AV700" i="11"/>
  <c r="AV664" i="11"/>
  <c r="AV733" i="11"/>
  <c r="AV680" i="11"/>
  <c r="AV747" i="11"/>
  <c r="AV775" i="11"/>
  <c r="AV760" i="11"/>
  <c r="AV762" i="11"/>
  <c r="AV718" i="11"/>
  <c r="AV656" i="11"/>
  <c r="AV655" i="11"/>
  <c r="AV767" i="11"/>
  <c r="AV795" i="11"/>
  <c r="AV726" i="11"/>
  <c r="AV698" i="11"/>
  <c r="AV669" i="11"/>
  <c r="AV683" i="11"/>
  <c r="AV741" i="11"/>
  <c r="AV666" i="11"/>
  <c r="AV766" i="11"/>
  <c r="AV804" i="11"/>
  <c r="AV771" i="11"/>
  <c r="AV667" i="11"/>
  <c r="AV709" i="11"/>
  <c r="AV756" i="11"/>
  <c r="AV710" i="11"/>
  <c r="AV713" i="11"/>
  <c r="AV712" i="11"/>
  <c r="AV697" i="11"/>
  <c r="AV743" i="11"/>
  <c r="AV691" i="11"/>
  <c r="AV768" i="11"/>
  <c r="AV735" i="11"/>
  <c r="AV673" i="11"/>
  <c r="AV761" i="11"/>
  <c r="AV794" i="11"/>
  <c r="AV694" i="11"/>
  <c r="AV777" i="11"/>
  <c r="AV752" i="11"/>
  <c r="AV687" i="11"/>
  <c r="AV765" i="11"/>
  <c r="AV776" i="11"/>
  <c r="AV693" i="11"/>
  <c r="AV674" i="11"/>
  <c r="AV706" i="11"/>
  <c r="AV742" i="11"/>
  <c r="AV688" i="11"/>
  <c r="AV725" i="11"/>
  <c r="AV796" i="11"/>
  <c r="AV708" i="11"/>
  <c r="AV704" i="11"/>
  <c r="AV755" i="11"/>
  <c r="AV661" i="11"/>
  <c r="AV737" i="11"/>
  <c r="AV690" i="11"/>
  <c r="AV701" i="11"/>
  <c r="AV808" i="11"/>
  <c r="AV797" i="11"/>
  <c r="AV682" i="11"/>
  <c r="AV728" i="11"/>
  <c r="AV793" i="11"/>
  <c r="AV695" i="11"/>
  <c r="AV662" i="11"/>
  <c r="AV738" i="11"/>
  <c r="AV770" i="11"/>
  <c r="AV730" i="11"/>
  <c r="AV703" i="11"/>
  <c r="AV753" i="11"/>
  <c r="AV672" i="11"/>
  <c r="AV684" i="11"/>
  <c r="AV749" i="11"/>
  <c r="AV773" i="11"/>
  <c r="AV723" i="11"/>
  <c r="AV719" i="11"/>
  <c r="AV734" i="11"/>
  <c r="AV711" i="11"/>
  <c r="AV716" i="11"/>
  <c r="AV702" i="11"/>
  <c r="AV803" i="11"/>
  <c r="AV707" i="11"/>
  <c r="AV722" i="11"/>
  <c r="AV658" i="11"/>
  <c r="AV750" i="11"/>
  <c r="AV705" i="11"/>
  <c r="AV740" i="11"/>
  <c r="AV721" i="11"/>
  <c r="AV717" i="11"/>
  <c r="AV657" i="11"/>
  <c r="AV676" i="11"/>
  <c r="AV732" i="11"/>
  <c r="AV779" i="11"/>
  <c r="AT661" i="11"/>
  <c r="AV659" i="11"/>
  <c r="AV800" i="11"/>
  <c r="AV729" i="11"/>
  <c r="AV778" i="11"/>
  <c r="AV798" i="11"/>
  <c r="AV769" i="11"/>
  <c r="AV660" i="11"/>
  <c r="AV668" i="11"/>
  <c r="AI711" i="11"/>
  <c r="AV763" i="11"/>
  <c r="AV686" i="11"/>
  <c r="AV679" i="11"/>
  <c r="AI655" i="11" a="1"/>
  <c r="AI655" i="11" s="1"/>
  <c r="AJ655" i="11" s="1"/>
  <c r="AI705" i="11"/>
  <c r="AI656" i="11" s="1" a="1"/>
  <c r="AI656" i="11" s="1"/>
  <c r="AJ656" i="11" s="1"/>
  <c r="AI719" i="11"/>
  <c r="AI720" i="11"/>
  <c r="AD679" i="11"/>
  <c r="CL763" i="11"/>
  <c r="BX788" i="11"/>
  <c r="BU707" i="11" s="1"/>
  <c r="BQ755" i="11"/>
  <c r="AQ804" i="11" l="1"/>
  <c r="AQ655" i="11"/>
  <c r="AQ665" i="11"/>
  <c r="AQ680" i="11"/>
  <c r="AQ722" i="11"/>
  <c r="AP655" i="11"/>
  <c r="AQ663" i="11"/>
  <c r="AQ744" i="11"/>
  <c r="AQ734" i="11"/>
  <c r="AQ677" i="11"/>
  <c r="AQ774" i="11"/>
  <c r="AQ703" i="11"/>
  <c r="AQ738" i="11"/>
  <c r="AQ671" i="11"/>
  <c r="AQ702" i="11"/>
  <c r="AQ737" i="11"/>
  <c r="AQ694" i="11"/>
  <c r="AQ800" i="11"/>
  <c r="AQ674" i="11"/>
  <c r="AQ735" i="11"/>
  <c r="AQ659" i="11"/>
  <c r="AQ770" i="11"/>
  <c r="AQ805" i="11"/>
  <c r="AQ772" i="11"/>
  <c r="AQ685" i="11"/>
  <c r="AQ760" i="11"/>
  <c r="AQ764" i="11"/>
  <c r="AQ688" i="11"/>
  <c r="AQ763" i="11"/>
  <c r="AQ807" i="11"/>
  <c r="AQ691" i="11"/>
  <c r="AQ705" i="11"/>
  <c r="AQ660" i="11"/>
  <c r="AQ716" i="11"/>
  <c r="AQ728" i="11"/>
  <c r="AQ729" i="11"/>
  <c r="AQ717" i="11"/>
  <c r="AQ713" i="11"/>
  <c r="AO661" i="11"/>
  <c r="AQ797" i="11"/>
  <c r="AQ740" i="11"/>
  <c r="AQ693" i="11"/>
  <c r="AQ678" i="11"/>
  <c r="AQ750" i="11"/>
  <c r="AQ709" i="11"/>
  <c r="AQ668" i="11"/>
  <c r="AQ724" i="11"/>
  <c r="AQ719" i="11"/>
  <c r="AQ768" i="11"/>
  <c r="AQ700" i="11"/>
  <c r="AQ667" i="11"/>
  <c r="AQ752" i="11"/>
  <c r="AQ801" i="11"/>
  <c r="AQ739" i="11"/>
  <c r="AQ672" i="11"/>
  <c r="AQ777" i="11"/>
  <c r="AQ798" i="11"/>
  <c r="AQ765" i="11"/>
  <c r="AQ755" i="11"/>
  <c r="AQ712" i="11"/>
  <c r="AQ676" i="11"/>
  <c r="AQ796" i="11"/>
  <c r="AQ726" i="11"/>
  <c r="AQ723" i="11"/>
  <c r="AQ793" i="11"/>
  <c r="AQ778" i="11"/>
  <c r="AQ720" i="11"/>
  <c r="AQ762" i="11"/>
  <c r="AQ727" i="11"/>
  <c r="AQ711" i="11"/>
  <c r="AQ698" i="11"/>
  <c r="AQ767" i="11"/>
  <c r="AQ806" i="11"/>
  <c r="AQ666" i="11"/>
  <c r="AQ684" i="11"/>
  <c r="AQ687" i="11"/>
  <c r="AQ749" i="11"/>
  <c r="AQ732" i="11"/>
  <c r="AQ661" i="11"/>
  <c r="AQ761" i="11"/>
  <c r="AQ704" i="11"/>
  <c r="AQ730" i="11"/>
  <c r="AQ710" i="11"/>
  <c r="AQ670" i="11"/>
  <c r="AQ681" i="11"/>
  <c r="AQ689" i="11"/>
  <c r="AQ766" i="11"/>
  <c r="AQ725" i="11"/>
  <c r="AQ679" i="11"/>
  <c r="AQ673" i="11"/>
  <c r="AQ773" i="11"/>
  <c r="AQ753" i="11"/>
  <c r="AQ746" i="11"/>
  <c r="AQ747" i="11"/>
  <c r="AQ754" i="11"/>
  <c r="AQ715" i="11"/>
  <c r="AQ699" i="11"/>
  <c r="AQ721" i="11"/>
  <c r="AQ751" i="11"/>
  <c r="AQ701" i="11"/>
  <c r="AQ682" i="11"/>
  <c r="AQ776" i="11"/>
  <c r="AQ696" i="11"/>
  <c r="AQ808" i="11"/>
  <c r="AQ731" i="11"/>
  <c r="AQ686" i="11"/>
  <c r="AQ695" i="11"/>
  <c r="AQ741" i="11"/>
  <c r="AQ697" i="11"/>
  <c r="AQ662" i="11"/>
  <c r="AQ780" i="11"/>
  <c r="AQ769" i="11"/>
  <c r="AQ718" i="11"/>
  <c r="AQ675" i="11"/>
  <c r="AQ794" i="11"/>
  <c r="AQ771" i="11"/>
  <c r="AQ779" i="11"/>
  <c r="AQ706" i="11"/>
  <c r="AQ757" i="11"/>
  <c r="AQ669" i="11"/>
  <c r="AQ683" i="11"/>
  <c r="AQ664" i="11"/>
  <c r="AQ759" i="11"/>
  <c r="AQ657" i="11"/>
  <c r="AQ799" i="11"/>
  <c r="AQ733" i="11"/>
  <c r="AQ736" i="11"/>
  <c r="AQ758" i="11"/>
  <c r="AQ742" i="11"/>
  <c r="AQ743" i="11"/>
  <c r="AQ690" i="11"/>
  <c r="AQ748" i="11"/>
  <c r="AQ745" i="11"/>
  <c r="AQ795" i="11"/>
  <c r="AQ707" i="11"/>
  <c r="AQ775" i="11"/>
  <c r="AQ756" i="11"/>
  <c r="AQ692" i="11"/>
  <c r="AQ658" i="11"/>
  <c r="AQ803" i="11"/>
  <c r="AQ708" i="11"/>
  <c r="AQ714" i="11"/>
  <c r="AT665" i="11"/>
  <c r="AR811" i="11"/>
  <c r="AN6" i="9" s="1"/>
  <c r="AI657" i="11" a="1"/>
  <c r="AI657" i="11" s="1"/>
  <c r="AJ657" i="11" s="1"/>
  <c r="AD680" i="11"/>
  <c r="CL764" i="11"/>
  <c r="BU768" i="11"/>
  <c r="BU791" i="11"/>
  <c r="BU775" i="11"/>
  <c r="BU765" i="11"/>
  <c r="BU726" i="11"/>
  <c r="BU739" i="11"/>
  <c r="BU703" i="11"/>
  <c r="BU731" i="11"/>
  <c r="BU777" i="11"/>
  <c r="BU732" i="11"/>
  <c r="BU737" i="11"/>
  <c r="BU662" i="11"/>
  <c r="BU789" i="11"/>
  <c r="BU783" i="11"/>
  <c r="BU792" i="11"/>
  <c r="BU784" i="11"/>
  <c r="BU772" i="11"/>
  <c r="BU735" i="11"/>
  <c r="BU714" i="11"/>
  <c r="BU744" i="11"/>
  <c r="BU762" i="11"/>
  <c r="BU747" i="11"/>
  <c r="BU796" i="11"/>
  <c r="BU769" i="11"/>
  <c r="BU790" i="11"/>
  <c r="BU730" i="11"/>
  <c r="BU757" i="11"/>
  <c r="BU752" i="11"/>
  <c r="BU795" i="11"/>
  <c r="BU779" i="11"/>
  <c r="BU770" i="11"/>
  <c r="BU713" i="11"/>
  <c r="BU756" i="11"/>
  <c r="BU717" i="11"/>
  <c r="BU733" i="11"/>
  <c r="BU794" i="11"/>
  <c r="BU771" i="11"/>
  <c r="BU745" i="11"/>
  <c r="BU755" i="11"/>
  <c r="BU763" i="11"/>
  <c r="BU785" i="11"/>
  <c r="BU751" i="11"/>
  <c r="BU766" i="11"/>
  <c r="BU721" i="11"/>
  <c r="BU725" i="11"/>
  <c r="BU743" i="11"/>
  <c r="BU736" i="11"/>
  <c r="BU753" i="11"/>
  <c r="BU759" i="11"/>
  <c r="BU723" i="11"/>
  <c r="BU727" i="11"/>
  <c r="BU718" i="11"/>
  <c r="BU764" i="11"/>
  <c r="BU720" i="11"/>
  <c r="BU746" i="11"/>
  <c r="BU778" i="11"/>
  <c r="BU761" i="11"/>
  <c r="BU716" i="11"/>
  <c r="BU780" i="11"/>
  <c r="BU787" i="11"/>
  <c r="BU738" i="11"/>
  <c r="BU728" i="11"/>
  <c r="BU741" i="11"/>
  <c r="BU722" i="11"/>
  <c r="BU782" i="11"/>
  <c r="BU708" i="11"/>
  <c r="BU760" i="11"/>
  <c r="BU710" i="11"/>
  <c r="BU705" i="11"/>
  <c r="BU706" i="11"/>
  <c r="BU704" i="11"/>
  <c r="BQ756" i="11"/>
  <c r="BU658" i="11"/>
  <c r="BU659" i="11"/>
  <c r="BU677" i="11"/>
  <c r="BU676" i="11"/>
  <c r="BU670" i="11"/>
  <c r="BU667" i="11"/>
  <c r="BU689" i="11"/>
  <c r="BU673" i="11"/>
  <c r="BU686" i="11"/>
  <c r="BU675" i="11"/>
  <c r="BU666" i="11"/>
  <c r="BU678" i="11"/>
  <c r="BU660" i="11"/>
  <c r="BU681" i="11"/>
  <c r="BU680" i="11"/>
  <c r="BU674" i="11"/>
  <c r="BU691" i="11"/>
  <c r="BU663" i="11"/>
  <c r="BU679" i="11"/>
  <c r="BU697" i="11"/>
  <c r="BU672" i="11"/>
  <c r="BU687" i="11"/>
  <c r="BU683" i="11"/>
  <c r="BU661" i="11"/>
  <c r="BU696" i="11"/>
  <c r="BU693" i="11"/>
  <c r="BU685" i="11"/>
  <c r="BU671" i="11"/>
  <c r="BU682" i="11"/>
  <c r="BU694" i="11"/>
  <c r="BU684" i="11"/>
  <c r="BU690" i="11"/>
  <c r="BU669" i="11"/>
  <c r="BU664" i="11"/>
  <c r="BU665" i="11"/>
  <c r="BU692" i="11"/>
  <c r="BU695" i="11"/>
  <c r="BU668" i="11"/>
  <c r="BU688" i="11"/>
  <c r="BU698" i="11"/>
  <c r="BU700" i="11"/>
  <c r="BU699" i="11"/>
  <c r="BU701" i="11"/>
  <c r="BU709" i="11"/>
  <c r="BU724" i="11"/>
  <c r="BU793" i="11"/>
  <c r="BU754" i="11"/>
  <c r="BU749" i="11"/>
  <c r="BU734" i="11"/>
  <c r="BU750" i="11"/>
  <c r="BU742" i="11"/>
  <c r="BU711" i="11"/>
  <c r="BU715" i="11"/>
  <c r="BU773" i="11"/>
  <c r="BU781" i="11"/>
  <c r="BU729" i="11"/>
  <c r="BU767" i="11"/>
  <c r="BU702" i="11"/>
  <c r="BU712" i="11"/>
  <c r="BU740" i="11"/>
  <c r="BU776" i="11"/>
  <c r="BU758" i="11"/>
  <c r="BU788" i="11"/>
  <c r="BU719" i="11"/>
  <c r="BU786" i="11"/>
  <c r="BU774" i="11"/>
  <c r="BU748" i="11"/>
  <c r="AO662" i="11" l="1"/>
  <c r="AP657" i="11" s="1"/>
  <c r="AT666" i="11"/>
  <c r="AT667" i="11" s="1"/>
  <c r="AU659" i="11" s="1"/>
  <c r="AU657" i="11"/>
  <c r="AL652" i="11"/>
  <c r="AJ660" i="11" s="1"/>
  <c r="AD683" i="11"/>
  <c r="AD681" i="11"/>
  <c r="AD682" i="11" s="1"/>
  <c r="CL765" i="11"/>
  <c r="BU654" i="11"/>
  <c r="BQ759" i="11"/>
  <c r="AO666" i="11" l="1"/>
  <c r="AO667" i="11" s="1"/>
  <c r="AU658" i="11"/>
  <c r="AT668" i="11"/>
  <c r="AT669" i="11" s="1"/>
  <c r="AU661" i="11" s="1"/>
  <c r="AL808" i="11"/>
  <c r="AL681" i="11"/>
  <c r="AL739" i="11"/>
  <c r="AL702" i="11"/>
  <c r="AL694" i="11"/>
  <c r="AL708" i="11"/>
  <c r="AL805" i="11"/>
  <c r="AL729" i="11"/>
  <c r="AL733" i="11"/>
  <c r="AL753" i="11"/>
  <c r="AL719" i="11"/>
  <c r="AL693" i="11"/>
  <c r="AL766" i="11"/>
  <c r="AL662" i="11"/>
  <c r="AL713" i="11"/>
  <c r="AL764" i="11"/>
  <c r="AL750" i="11"/>
  <c r="AL682" i="11"/>
  <c r="AL709" i="11"/>
  <c r="AL674" i="11"/>
  <c r="AL717" i="11"/>
  <c r="AL727" i="11"/>
  <c r="AL700" i="11"/>
  <c r="AL684" i="11"/>
  <c r="AL701" i="11"/>
  <c r="AL747" i="11"/>
  <c r="AL670" i="11"/>
  <c r="AL706" i="11"/>
  <c r="AL775" i="11"/>
  <c r="AL798" i="11"/>
  <c r="AL704" i="11"/>
  <c r="AL707" i="11"/>
  <c r="AL721" i="11"/>
  <c r="AL745" i="11"/>
  <c r="AL732" i="11"/>
  <c r="AL795" i="11"/>
  <c r="AL759" i="11"/>
  <c r="AL661" i="11"/>
  <c r="AL723" i="11"/>
  <c r="AL807" i="11"/>
  <c r="AL715" i="11"/>
  <c r="AL799" i="11"/>
  <c r="AL769" i="11"/>
  <c r="AL751" i="11"/>
  <c r="AL671" i="11"/>
  <c r="AL679" i="11"/>
  <c r="AL802" i="11"/>
  <c r="AL660" i="11"/>
  <c r="AL692" i="11"/>
  <c r="AL767" i="11"/>
  <c r="AL763" i="11"/>
  <c r="AL780" i="11"/>
  <c r="AL765" i="11"/>
  <c r="AL740" i="11"/>
  <c r="AL770" i="11"/>
  <c r="AL705" i="11"/>
  <c r="AL716" i="11"/>
  <c r="AL680" i="11"/>
  <c r="AL686" i="11"/>
  <c r="AL757" i="11"/>
  <c r="AL730" i="11"/>
  <c r="AL683" i="11"/>
  <c r="AL697" i="11"/>
  <c r="AL691" i="11"/>
  <c r="AL776" i="11"/>
  <c r="AL748" i="11"/>
  <c r="AL731" i="11"/>
  <c r="AL768" i="11"/>
  <c r="AL696" i="11"/>
  <c r="AL677" i="11"/>
  <c r="AL703" i="11"/>
  <c r="AL695" i="11"/>
  <c r="AL803" i="11"/>
  <c r="AL752" i="11"/>
  <c r="AL718" i="11"/>
  <c r="AL726" i="11"/>
  <c r="AL734" i="11"/>
  <c r="AL744" i="11"/>
  <c r="AL760" i="11"/>
  <c r="AL667" i="11"/>
  <c r="AL666" i="11"/>
  <c r="AL749" i="11"/>
  <c r="AL771" i="11"/>
  <c r="AL738" i="11"/>
  <c r="AL737" i="11"/>
  <c r="AL668" i="11"/>
  <c r="AL797" i="11"/>
  <c r="AL690" i="11"/>
  <c r="AL774" i="11"/>
  <c r="AL658" i="11"/>
  <c r="AL659" i="11"/>
  <c r="AL725" i="11"/>
  <c r="AL676" i="11"/>
  <c r="AL722" i="11"/>
  <c r="AL743" i="11"/>
  <c r="AL755" i="11"/>
  <c r="AL712" i="11"/>
  <c r="AL672" i="11"/>
  <c r="AL688" i="11"/>
  <c r="AL773" i="11"/>
  <c r="AL806" i="11"/>
  <c r="AL796" i="11"/>
  <c r="AL758" i="11"/>
  <c r="AL665" i="11"/>
  <c r="AL710" i="11"/>
  <c r="AL689" i="11"/>
  <c r="AL728" i="11"/>
  <c r="AL675" i="11"/>
  <c r="AL664" i="11"/>
  <c r="AL687" i="11"/>
  <c r="AL794" i="11"/>
  <c r="AL762" i="11"/>
  <c r="AL685" i="11"/>
  <c r="AL663" i="11"/>
  <c r="AL711" i="11"/>
  <c r="AL777" i="11"/>
  <c r="AL756" i="11"/>
  <c r="AL736" i="11"/>
  <c r="AL742" i="11"/>
  <c r="AL779" i="11"/>
  <c r="AL724" i="11"/>
  <c r="AL800" i="11"/>
  <c r="AL714" i="11"/>
  <c r="AL699" i="11"/>
  <c r="AL741" i="11"/>
  <c r="AL735" i="11"/>
  <c r="AL754" i="11"/>
  <c r="AL793" i="11"/>
  <c r="AL678" i="11"/>
  <c r="AL698" i="11"/>
  <c r="AL801" i="11"/>
  <c r="AL669" i="11"/>
  <c r="AL673" i="11"/>
  <c r="AL772" i="11"/>
  <c r="AL804" i="11"/>
  <c r="AL761" i="11"/>
  <c r="AL720" i="11"/>
  <c r="AJ661" i="11"/>
  <c r="AJ662" i="11" s="1"/>
  <c r="AL746" i="11"/>
  <c r="AL778" i="11"/>
  <c r="AD684" i="11"/>
  <c r="AD688" i="11" s="1"/>
  <c r="AD689" i="11" s="1"/>
  <c r="CL768" i="11"/>
  <c r="BQ760" i="11"/>
  <c r="AT670" i="11"/>
  <c r="AU662" i="11" s="1"/>
  <c r="AO668" i="11" l="1"/>
  <c r="AO669" i="11" s="1"/>
  <c r="AU660" i="11"/>
  <c r="AP659" i="11"/>
  <c r="AJ663" i="11"/>
  <c r="AD690" i="11"/>
  <c r="CL769" i="11"/>
  <c r="BQ761" i="11"/>
  <c r="AT671" i="11"/>
  <c r="AP660" i="11" l="1"/>
  <c r="AP661" i="11"/>
  <c r="AO670" i="11"/>
  <c r="AD694" i="11"/>
  <c r="AD691" i="11"/>
  <c r="AK658" i="11"/>
  <c r="AJ664" i="11"/>
  <c r="AD736" i="11"/>
  <c r="AD737" i="11" s="1"/>
  <c r="AD738" i="11" s="1"/>
  <c r="AD739" i="11" s="1"/>
  <c r="AD740" i="11" s="1"/>
  <c r="AD742" i="11" s="1"/>
  <c r="AD745" i="11" s="1"/>
  <c r="AD747" i="11" s="1"/>
  <c r="AD755" i="11" s="1"/>
  <c r="AD757" i="11" s="1"/>
  <c r="AD758" i="11" s="1"/>
  <c r="AD759" i="11" s="1"/>
  <c r="AD761" i="11" s="1"/>
  <c r="CL771" i="11"/>
  <c r="BQ763" i="11"/>
  <c r="AU663" i="11"/>
  <c r="AT672" i="11"/>
  <c r="AP662" i="11" l="1"/>
  <c r="AO671" i="11"/>
  <c r="AD785" i="11"/>
  <c r="AD703" i="11"/>
  <c r="AD705" i="11" s="1"/>
  <c r="AD706" i="11" s="1"/>
  <c r="AD708" i="11" s="1"/>
  <c r="AD700" i="11"/>
  <c r="AJ665" i="11"/>
  <c r="AK660" i="11" s="1"/>
  <c r="AK659" i="11"/>
  <c r="CL773" i="11"/>
  <c r="BQ764" i="11"/>
  <c r="AU664" i="11"/>
  <c r="AT673" i="11"/>
  <c r="AP663" i="11" l="1"/>
  <c r="AO672" i="11"/>
  <c r="AP664" i="11" s="1"/>
  <c r="AD712" i="11"/>
  <c r="AD719" i="11" s="1"/>
  <c r="AD711" i="11"/>
  <c r="AD768" i="11" s="1"/>
  <c r="AD772" i="11"/>
  <c r="AD798" i="11"/>
  <c r="AJ666" i="11"/>
  <c r="CL788" i="11"/>
  <c r="CI668" i="11" s="1"/>
  <c r="BQ765" i="11"/>
  <c r="AT674" i="11"/>
  <c r="AU665" i="11"/>
  <c r="AD734" i="11" l="1"/>
  <c r="AD657" i="11" s="1" a="1"/>
  <c r="AD657" i="11" s="1"/>
  <c r="AE657" i="11" s="1"/>
  <c r="AD726" i="11"/>
  <c r="AD655" i="11" s="1" a="1"/>
  <c r="AD655" i="11" s="1"/>
  <c r="AE655" i="11" s="1"/>
  <c r="AO673" i="11"/>
  <c r="AP665" i="11" s="1"/>
  <c r="AD773" i="11"/>
  <c r="AD774" i="11" s="1"/>
  <c r="AD779" i="11" s="1"/>
  <c r="AD797" i="11"/>
  <c r="AD659" i="11" s="1" a="1"/>
  <c r="AD659" i="11" s="1"/>
  <c r="AE659" i="11" s="1"/>
  <c r="AJ667" i="11"/>
  <c r="AK661" i="11"/>
  <c r="CI737" i="11"/>
  <c r="CI764" i="11"/>
  <c r="CI697" i="11"/>
  <c r="CI753" i="11"/>
  <c r="CI756" i="11"/>
  <c r="CI711" i="11"/>
  <c r="CI775" i="11"/>
  <c r="CI785" i="11"/>
  <c r="CI749" i="11"/>
  <c r="CI778" i="11"/>
  <c r="CI754" i="11"/>
  <c r="CI789" i="11"/>
  <c r="CI780" i="11"/>
  <c r="CI712" i="11"/>
  <c r="CI686" i="11"/>
  <c r="CI705" i="11"/>
  <c r="CI766" i="11"/>
  <c r="CI710" i="11"/>
  <c r="CI719" i="11"/>
  <c r="CI718" i="11"/>
  <c r="CI771" i="11"/>
  <c r="CI748" i="11"/>
  <c r="CI762" i="11"/>
  <c r="CI726" i="11"/>
  <c r="CI709" i="11"/>
  <c r="CI688" i="11"/>
  <c r="CI724" i="11"/>
  <c r="CI740" i="11"/>
  <c r="CI720" i="11"/>
  <c r="CI763" i="11"/>
  <c r="CI704" i="11"/>
  <c r="CI760" i="11"/>
  <c r="CI694" i="11"/>
  <c r="CI755" i="11"/>
  <c r="CI767" i="11"/>
  <c r="CI746" i="11"/>
  <c r="CI717" i="11"/>
  <c r="CI721" i="11"/>
  <c r="CI708" i="11"/>
  <c r="CI784" i="11"/>
  <c r="CI699" i="11"/>
  <c r="CI783" i="11"/>
  <c r="CI715" i="11"/>
  <c r="CI689" i="11"/>
  <c r="CI692" i="11"/>
  <c r="CI782" i="11"/>
  <c r="CI788" i="11"/>
  <c r="CI743" i="11"/>
  <c r="CI690" i="11"/>
  <c r="CI736" i="11"/>
  <c r="CI781" i="11"/>
  <c r="CI779" i="11"/>
  <c r="CI706" i="11"/>
  <c r="CI729" i="11"/>
  <c r="CI777" i="11"/>
  <c r="CI731" i="11"/>
  <c r="CI702" i="11"/>
  <c r="CI794" i="11"/>
  <c r="CI695" i="11"/>
  <c r="CI735" i="11"/>
  <c r="CI791" i="11"/>
  <c r="CI768" i="11"/>
  <c r="CI787" i="11"/>
  <c r="CI693" i="11"/>
  <c r="CI713" i="11"/>
  <c r="CI707" i="11"/>
  <c r="CI786" i="11"/>
  <c r="CI772" i="11"/>
  <c r="CI745" i="11"/>
  <c r="CI723" i="11"/>
  <c r="CI761" i="11"/>
  <c r="CI741" i="11"/>
  <c r="CI742" i="11"/>
  <c r="CI727" i="11"/>
  <c r="CI685" i="11"/>
  <c r="CI758" i="11"/>
  <c r="CI769" i="11"/>
  <c r="CI751" i="11"/>
  <c r="CI739" i="11"/>
  <c r="CI792" i="11"/>
  <c r="CI765" i="11"/>
  <c r="CI698" i="11"/>
  <c r="CI716" i="11"/>
  <c r="CI700" i="11"/>
  <c r="CI793" i="11"/>
  <c r="CI744" i="11"/>
  <c r="CI773" i="11"/>
  <c r="CI730" i="11"/>
  <c r="CI776" i="11"/>
  <c r="CI750" i="11"/>
  <c r="CI696" i="11"/>
  <c r="CI722" i="11"/>
  <c r="CI733" i="11"/>
  <c r="CI714" i="11"/>
  <c r="CI691" i="11"/>
  <c r="CI795" i="11"/>
  <c r="CI687" i="11"/>
  <c r="CI738" i="11"/>
  <c r="CI701" i="11"/>
  <c r="CI725" i="11"/>
  <c r="CI790" i="11"/>
  <c r="CI774" i="11"/>
  <c r="CI747" i="11"/>
  <c r="CI732" i="11"/>
  <c r="CI757" i="11"/>
  <c r="CI770" i="11"/>
  <c r="CI796" i="11"/>
  <c r="CI703" i="11"/>
  <c r="CI752" i="11"/>
  <c r="CI759" i="11"/>
  <c r="CI734" i="11"/>
  <c r="CI684" i="11"/>
  <c r="CI728" i="11"/>
  <c r="CI658" i="11"/>
  <c r="CI667" i="11"/>
  <c r="CI660" i="11"/>
  <c r="CI662" i="11"/>
  <c r="CI659" i="11"/>
  <c r="CI673" i="11"/>
  <c r="CI676" i="11"/>
  <c r="CI677" i="11"/>
  <c r="CI669" i="11"/>
  <c r="CI671" i="11"/>
  <c r="CI666" i="11"/>
  <c r="CI679" i="11"/>
  <c r="CI682" i="11"/>
  <c r="CI683" i="11"/>
  <c r="CI681" i="11"/>
  <c r="CI675" i="11"/>
  <c r="CI674" i="11"/>
  <c r="CI670" i="11"/>
  <c r="CI665" i="11"/>
  <c r="CI661" i="11"/>
  <c r="CI672" i="11"/>
  <c r="CI680" i="11"/>
  <c r="CI664" i="11"/>
  <c r="CI663" i="11"/>
  <c r="CI678" i="11"/>
  <c r="BQ768" i="11"/>
  <c r="AT675" i="11"/>
  <c r="AT676" i="11" s="1"/>
  <c r="AU668" i="11" s="1"/>
  <c r="AU666" i="11"/>
  <c r="AD802" i="11" l="1"/>
  <c r="AD660" i="11" s="1" a="1"/>
  <c r="AD660" i="11" s="1"/>
  <c r="AO674" i="11"/>
  <c r="AP656" i="11" s="1"/>
  <c r="AD658" i="11" a="1"/>
  <c r="AD658" i="11" s="1"/>
  <c r="AE658" i="11" s="1"/>
  <c r="AK662" i="11"/>
  <c r="AJ668" i="11"/>
  <c r="AK663" i="11" s="1"/>
  <c r="CI654" i="11"/>
  <c r="BQ769" i="11"/>
  <c r="AT677" i="11"/>
  <c r="AE660" i="11" l="1"/>
  <c r="AQ656" i="11"/>
  <c r="AM811" i="11" s="1"/>
  <c r="AN4" i="9" s="1"/>
  <c r="AO675" i="11"/>
  <c r="AP667" i="11" s="1"/>
  <c r="AP666" i="11"/>
  <c r="AG652" i="11"/>
  <c r="AJ669" i="11"/>
  <c r="AK664" i="11" s="1"/>
  <c r="BQ771" i="11"/>
  <c r="BQ773" i="11" s="1"/>
  <c r="BQ788" i="11" s="1"/>
  <c r="BN729" i="11" s="1"/>
  <c r="AT678" i="11"/>
  <c r="AU669" i="11"/>
  <c r="AE662" i="11" l="1"/>
  <c r="AG733" i="11" s="1"/>
  <c r="AO676" i="11"/>
  <c r="AG805" i="11"/>
  <c r="AG740" i="11"/>
  <c r="AG765" i="11"/>
  <c r="AG764" i="11"/>
  <c r="AG754" i="11"/>
  <c r="AG778" i="11"/>
  <c r="AG800" i="11"/>
  <c r="AJ670" i="11"/>
  <c r="BN758" i="11"/>
  <c r="BN761" i="11"/>
  <c r="BN700" i="11"/>
  <c r="BN787" i="11"/>
  <c r="BN736" i="11"/>
  <c r="BN745" i="11"/>
  <c r="BN720" i="11"/>
  <c r="BN717" i="11"/>
  <c r="BN783" i="11"/>
  <c r="BN795" i="11"/>
  <c r="BN727" i="11"/>
  <c r="BN754" i="11"/>
  <c r="BN711" i="11"/>
  <c r="BN746" i="11"/>
  <c r="BN710" i="11"/>
  <c r="BN778" i="11"/>
  <c r="BN723" i="11"/>
  <c r="BN712" i="11"/>
  <c r="BN722" i="11"/>
  <c r="BN726" i="11"/>
  <c r="BN698" i="11"/>
  <c r="BN773" i="11"/>
  <c r="BN759" i="11"/>
  <c r="BN791" i="11"/>
  <c r="BN747" i="11"/>
  <c r="BN771" i="11"/>
  <c r="BN740" i="11"/>
  <c r="BN749" i="11"/>
  <c r="BN781" i="11"/>
  <c r="BN724" i="11"/>
  <c r="BN768" i="11"/>
  <c r="BN757" i="11"/>
  <c r="BN752" i="11"/>
  <c r="BN766" i="11"/>
  <c r="BN742" i="11"/>
  <c r="BN715" i="11"/>
  <c r="BN660" i="11"/>
  <c r="BN665" i="11"/>
  <c r="BN674" i="11"/>
  <c r="BN688" i="11"/>
  <c r="BN685" i="11"/>
  <c r="BN673" i="11"/>
  <c r="BN658" i="11"/>
  <c r="BN675" i="11"/>
  <c r="BN666" i="11"/>
  <c r="BN659" i="11"/>
  <c r="BN662" i="11"/>
  <c r="BN680" i="11"/>
  <c r="BN683" i="11"/>
  <c r="BN661" i="11"/>
  <c r="BN681" i="11"/>
  <c r="BN664" i="11"/>
  <c r="BN687" i="11"/>
  <c r="BN668" i="11"/>
  <c r="BN671" i="11"/>
  <c r="BN677" i="11"/>
  <c r="BN676" i="11"/>
  <c r="BN684" i="11"/>
  <c r="BN670" i="11"/>
  <c r="BN667" i="11"/>
  <c r="BN678" i="11"/>
  <c r="BN686" i="11"/>
  <c r="BN689" i="11"/>
  <c r="BN682" i="11"/>
  <c r="BN669" i="11"/>
  <c r="BN672" i="11"/>
  <c r="BN663" i="11"/>
  <c r="BN690" i="11"/>
  <c r="BN691" i="11"/>
  <c r="BN692" i="11"/>
  <c r="BN694" i="11"/>
  <c r="BN693" i="11"/>
  <c r="BN696" i="11"/>
  <c r="BN695" i="11"/>
  <c r="BN764" i="11"/>
  <c r="BN701" i="11"/>
  <c r="BN741" i="11"/>
  <c r="BN786" i="11"/>
  <c r="BN769" i="11"/>
  <c r="BN713" i="11"/>
  <c r="BN776" i="11"/>
  <c r="BN725" i="11"/>
  <c r="BN793" i="11"/>
  <c r="BN714" i="11"/>
  <c r="BN707" i="11"/>
  <c r="BN756" i="11"/>
  <c r="BN782" i="11"/>
  <c r="BN716" i="11"/>
  <c r="BN708" i="11"/>
  <c r="BN732" i="11"/>
  <c r="BN790" i="11"/>
  <c r="BN794" i="11"/>
  <c r="BN731" i="11"/>
  <c r="BN719" i="11"/>
  <c r="BN743" i="11"/>
  <c r="BN760" i="11"/>
  <c r="BN750" i="11"/>
  <c r="BN709" i="11"/>
  <c r="BN744" i="11"/>
  <c r="BN762" i="11"/>
  <c r="BN728" i="11"/>
  <c r="BN796" i="11"/>
  <c r="BN789" i="11"/>
  <c r="BN753" i="11"/>
  <c r="BN767" i="11"/>
  <c r="BN777" i="11"/>
  <c r="BN772" i="11"/>
  <c r="BN730" i="11"/>
  <c r="BN780" i="11"/>
  <c r="BN775" i="11"/>
  <c r="BN765" i="11"/>
  <c r="BN699" i="11"/>
  <c r="BN721" i="11"/>
  <c r="BN679" i="11"/>
  <c r="BN738" i="11"/>
  <c r="BN706" i="11"/>
  <c r="BN770" i="11"/>
  <c r="BN784" i="11"/>
  <c r="BN702" i="11"/>
  <c r="BN718" i="11"/>
  <c r="BN751" i="11"/>
  <c r="BN774" i="11"/>
  <c r="BN788" i="11"/>
  <c r="BN733" i="11"/>
  <c r="BN704" i="11"/>
  <c r="BN705" i="11"/>
  <c r="BN779" i="11"/>
  <c r="BN737" i="11"/>
  <c r="BN703" i="11"/>
  <c r="BN734" i="11"/>
  <c r="BN755" i="11"/>
  <c r="BN792" i="11"/>
  <c r="BN785" i="11"/>
  <c r="BN748" i="11"/>
  <c r="BN697" i="11"/>
  <c r="BN739" i="11"/>
  <c r="BN763" i="11"/>
  <c r="BN735" i="11"/>
  <c r="AL657" i="11"/>
  <c r="AK657" i="11"/>
  <c r="AT679" i="11"/>
  <c r="AU670" i="11"/>
  <c r="AG695" i="11" l="1"/>
  <c r="AG770" i="11"/>
  <c r="AG742" i="11"/>
  <c r="AG727" i="11"/>
  <c r="AG709" i="11"/>
  <c r="AG699" i="11"/>
  <c r="AG708" i="11"/>
  <c r="AG803" i="11"/>
  <c r="AG707" i="11"/>
  <c r="AG763" i="11"/>
  <c r="AG701" i="11"/>
  <c r="AG702" i="11"/>
  <c r="AG755" i="11"/>
  <c r="AG747" i="11"/>
  <c r="AG761" i="11"/>
  <c r="AG725" i="11"/>
  <c r="AG671" i="11"/>
  <c r="AG751" i="11"/>
  <c r="AG729" i="11"/>
  <c r="AG759" i="11"/>
  <c r="AG736" i="11"/>
  <c r="AG704" i="11"/>
  <c r="AG690" i="11"/>
  <c r="AG721" i="11"/>
  <c r="AG686" i="11"/>
  <c r="AG692" i="11"/>
  <c r="AG771" i="11"/>
  <c r="AG726" i="11"/>
  <c r="AG794" i="11"/>
  <c r="AG719" i="11"/>
  <c r="AG808" i="11"/>
  <c r="AG796" i="11"/>
  <c r="AG730" i="11"/>
  <c r="AG711" i="11"/>
  <c r="AG777" i="11"/>
  <c r="AG724" i="11"/>
  <c r="AG760" i="11"/>
  <c r="AG766" i="11"/>
  <c r="AG804" i="11"/>
  <c r="AG768" i="11"/>
  <c r="AG774" i="11"/>
  <c r="AG795" i="11"/>
  <c r="AG712" i="11"/>
  <c r="AG723" i="11"/>
  <c r="AG717" i="11"/>
  <c r="AG739" i="11"/>
  <c r="AG798" i="11"/>
  <c r="AG802" i="11"/>
  <c r="AG744" i="11"/>
  <c r="AG694" i="11"/>
  <c r="AG732" i="11"/>
  <c r="AG780" i="11"/>
  <c r="AG806" i="11"/>
  <c r="AG720" i="11"/>
  <c r="AE663" i="11"/>
  <c r="AE664" i="11" s="1"/>
  <c r="AE665" i="11" s="1"/>
  <c r="AG722" i="11"/>
  <c r="AG698" i="11"/>
  <c r="AG776" i="11"/>
  <c r="AG735" i="11"/>
  <c r="AG773" i="11"/>
  <c r="AG737" i="11"/>
  <c r="AG748" i="11"/>
  <c r="AG741" i="11"/>
  <c r="AG769" i="11"/>
  <c r="AG757" i="11"/>
  <c r="AG745" i="11"/>
  <c r="AG797" i="11"/>
  <c r="AG746" i="11"/>
  <c r="AG734" i="11"/>
  <c r="AG728" i="11"/>
  <c r="AG807" i="11"/>
  <c r="AG772" i="11"/>
  <c r="AG715" i="11"/>
  <c r="AG793" i="11"/>
  <c r="AG752" i="11"/>
  <c r="AG756" i="11"/>
  <c r="AG775" i="11"/>
  <c r="AG710" i="11"/>
  <c r="AG700" i="11"/>
  <c r="AG743" i="11"/>
  <c r="AG799" i="11"/>
  <c r="AG716" i="11"/>
  <c r="AG691" i="11"/>
  <c r="AG705" i="11"/>
  <c r="AG762" i="11"/>
  <c r="AG688" i="11"/>
  <c r="AG687" i="11"/>
  <c r="AG714" i="11"/>
  <c r="AG749" i="11"/>
  <c r="AG801" i="11"/>
  <c r="AG718" i="11"/>
  <c r="AG693" i="11"/>
  <c r="AG753" i="11"/>
  <c r="AG696" i="11"/>
  <c r="AG758" i="11"/>
  <c r="AG767" i="11"/>
  <c r="AG731" i="11"/>
  <c r="AG697" i="11"/>
  <c r="AG713" i="11"/>
  <c r="AG738" i="11"/>
  <c r="AG706" i="11"/>
  <c r="AG750" i="11"/>
  <c r="AG779" i="11"/>
  <c r="AG703" i="11"/>
  <c r="AG689" i="11"/>
  <c r="AO677" i="11"/>
  <c r="AP766" i="11" s="1"/>
  <c r="AP658" i="11"/>
  <c r="AP668" i="11"/>
  <c r="AK665" i="11"/>
  <c r="AJ671" i="11"/>
  <c r="BN654" i="11"/>
  <c r="AT680" i="11"/>
  <c r="AE666" i="11" l="1"/>
  <c r="AE667" i="11" s="1"/>
  <c r="AP669" i="11"/>
  <c r="AP758" i="11"/>
  <c r="AP704" i="11"/>
  <c r="AP775" i="11"/>
  <c r="AP703" i="11"/>
  <c r="AP695" i="11"/>
  <c r="AP699" i="11"/>
  <c r="AP772" i="11"/>
  <c r="AP733" i="11"/>
  <c r="AP681" i="11"/>
  <c r="AP806" i="11"/>
  <c r="AP707" i="11"/>
  <c r="AP702" i="11"/>
  <c r="AP677" i="11"/>
  <c r="AP679" i="11"/>
  <c r="AP714" i="11"/>
  <c r="AP678" i="11"/>
  <c r="AP670" i="11"/>
  <c r="AP728" i="11"/>
  <c r="AP721" i="11"/>
  <c r="AP803" i="11"/>
  <c r="AP760" i="11"/>
  <c r="AP755" i="11"/>
  <c r="AP747" i="11"/>
  <c r="AP744" i="11"/>
  <c r="AP676" i="11"/>
  <c r="AP741" i="11"/>
  <c r="AP762" i="11"/>
  <c r="AP731" i="11"/>
  <c r="AP794" i="11"/>
  <c r="AP740" i="11"/>
  <c r="AP709" i="11"/>
  <c r="AP756" i="11"/>
  <c r="AP776" i="11"/>
  <c r="AP693" i="11"/>
  <c r="AP751" i="11"/>
  <c r="AP723" i="11"/>
  <c r="AP673" i="11"/>
  <c r="AP807" i="11"/>
  <c r="AP752" i="11"/>
  <c r="AP696" i="11"/>
  <c r="AP708" i="11"/>
  <c r="AP735" i="11"/>
  <c r="AP727" i="11"/>
  <c r="AP729" i="11"/>
  <c r="AP757" i="11"/>
  <c r="AP689" i="11"/>
  <c r="AP736" i="11"/>
  <c r="AP698" i="11"/>
  <c r="AP795" i="11"/>
  <c r="AP804" i="11"/>
  <c r="AP719" i="11"/>
  <c r="AP691" i="11"/>
  <c r="AP711" i="11"/>
  <c r="AP771" i="11"/>
  <c r="AP734" i="11"/>
  <c r="AP732" i="11"/>
  <c r="AP705" i="11"/>
  <c r="AP753" i="11"/>
  <c r="AP682" i="11"/>
  <c r="AP717" i="11"/>
  <c r="AP793" i="11"/>
  <c r="AP780" i="11"/>
  <c r="AP770" i="11"/>
  <c r="AP716" i="11"/>
  <c r="AP700" i="11"/>
  <c r="AP684" i="11"/>
  <c r="AP773" i="11"/>
  <c r="AP701" i="11"/>
  <c r="AP715" i="11"/>
  <c r="AP761" i="11"/>
  <c r="AP739" i="11"/>
  <c r="AP725" i="11"/>
  <c r="AP805" i="11"/>
  <c r="AP724" i="11"/>
  <c r="AP706" i="11"/>
  <c r="AP672" i="11"/>
  <c r="AP768" i="11"/>
  <c r="AP802" i="11"/>
  <c r="AP718" i="11"/>
  <c r="AP674" i="11"/>
  <c r="AP754" i="11"/>
  <c r="AP671" i="11"/>
  <c r="AP777" i="11"/>
  <c r="AP738" i="11"/>
  <c r="AP746" i="11"/>
  <c r="AP797" i="11"/>
  <c r="AP686" i="11"/>
  <c r="AP710" i="11"/>
  <c r="AP726" i="11"/>
  <c r="AP685" i="11"/>
  <c r="AP675" i="11"/>
  <c r="AP680" i="11"/>
  <c r="AP722" i="11"/>
  <c r="AP683" i="11"/>
  <c r="AP688" i="11"/>
  <c r="AP769" i="11"/>
  <c r="AP798" i="11"/>
  <c r="AP697" i="11"/>
  <c r="AP796" i="11"/>
  <c r="AP690" i="11"/>
  <c r="AP778" i="11"/>
  <c r="AP765" i="11"/>
  <c r="AP737" i="11"/>
  <c r="AP808" i="11"/>
  <c r="AP800" i="11"/>
  <c r="AP767" i="11"/>
  <c r="AP742" i="11"/>
  <c r="AP745" i="11"/>
  <c r="AP774" i="11"/>
  <c r="AP730" i="11"/>
  <c r="AP692" i="11"/>
  <c r="AP694" i="11"/>
  <c r="AP759" i="11"/>
  <c r="AP687" i="11"/>
  <c r="AP743" i="11"/>
  <c r="AP799" i="11"/>
  <c r="AP763" i="11"/>
  <c r="AP779" i="11"/>
  <c r="AP713" i="11"/>
  <c r="AP750" i="11"/>
  <c r="AP764" i="11"/>
  <c r="AP749" i="11"/>
  <c r="AP712" i="11"/>
  <c r="AP748" i="11"/>
  <c r="AP801" i="11"/>
  <c r="AP720" i="11"/>
  <c r="AE668" i="11"/>
  <c r="AE669" i="11" s="1"/>
  <c r="AJ672" i="11"/>
  <c r="AK666" i="11"/>
  <c r="AT681" i="11"/>
  <c r="AM652" i="11" l="1"/>
  <c r="X49" i="4" s="1"/>
  <c r="AK667" i="11"/>
  <c r="AJ673" i="11"/>
  <c r="AE670" i="11"/>
  <c r="AT682" i="11"/>
  <c r="M49" i="4" l="1"/>
  <c r="AU802" i="11"/>
  <c r="AU656" i="11"/>
  <c r="AK668" i="11"/>
  <c r="AJ674" i="11"/>
  <c r="AJ675" i="11" s="1"/>
  <c r="AE671" i="11"/>
  <c r="AU807" i="11"/>
  <c r="AU806" i="11"/>
  <c r="AU808" i="11"/>
  <c r="AU683" i="11"/>
  <c r="AU799" i="11"/>
  <c r="AU800" i="11"/>
  <c r="AU798" i="11"/>
  <c r="AU797" i="11"/>
  <c r="AU696" i="11"/>
  <c r="AU773" i="11"/>
  <c r="AU667" i="11"/>
  <c r="AU682" i="11"/>
  <c r="AU689" i="11"/>
  <c r="AU693" i="11"/>
  <c r="AU713" i="11"/>
  <c r="AU738" i="11"/>
  <c r="AU776" i="11"/>
  <c r="AU772" i="11"/>
  <c r="AU690" i="11"/>
  <c r="AU803" i="11"/>
  <c r="AU706" i="11"/>
  <c r="AU727" i="11"/>
  <c r="AU692" i="11"/>
  <c r="AU795" i="11"/>
  <c r="AU793" i="11"/>
  <c r="AU680" i="11"/>
  <c r="AU733" i="11"/>
  <c r="AU675" i="11"/>
  <c r="AU691" i="11"/>
  <c r="AU740" i="11"/>
  <c r="AU764" i="11"/>
  <c r="AU751" i="11"/>
  <c r="AU736" i="11"/>
  <c r="AU710" i="11"/>
  <c r="AU758" i="11"/>
  <c r="AU722" i="11"/>
  <c r="AU716" i="11"/>
  <c r="AU681" i="11"/>
  <c r="AU754" i="11"/>
  <c r="AU801" i="11"/>
  <c r="AU748" i="11"/>
  <c r="AU771" i="11"/>
  <c r="AU720" i="11"/>
  <c r="AU688" i="11"/>
  <c r="AU676" i="11"/>
  <c r="AU718" i="11"/>
  <c r="AU702" i="11"/>
  <c r="AU700" i="11"/>
  <c r="AU715" i="11"/>
  <c r="AU757" i="11"/>
  <c r="AU734" i="11"/>
  <c r="AU726" i="11"/>
  <c r="AU717" i="11"/>
  <c r="AU744" i="11"/>
  <c r="AU759" i="11"/>
  <c r="AU694" i="11"/>
  <c r="AU760" i="11"/>
  <c r="AU741" i="11"/>
  <c r="AU767" i="11"/>
  <c r="AU704" i="11"/>
  <c r="AU804" i="11"/>
  <c r="AU756" i="11"/>
  <c r="AU731" i="11"/>
  <c r="AU777" i="11"/>
  <c r="AU750" i="11"/>
  <c r="AU721" i="11"/>
  <c r="AU674" i="11"/>
  <c r="AU753" i="11"/>
  <c r="AU712" i="11"/>
  <c r="AU725" i="11"/>
  <c r="AU743" i="11"/>
  <c r="AU686" i="11"/>
  <c r="AU770" i="11"/>
  <c r="AU766" i="11"/>
  <c r="AU778" i="11"/>
  <c r="AU739" i="11"/>
  <c r="AU671" i="11"/>
  <c r="AU714" i="11"/>
  <c r="AU737" i="11"/>
  <c r="AU747" i="11"/>
  <c r="AU701" i="11"/>
  <c r="AU779" i="11"/>
  <c r="AU732" i="11"/>
  <c r="AU698" i="11"/>
  <c r="AU672" i="11"/>
  <c r="AU705" i="11"/>
  <c r="AU697" i="11"/>
  <c r="AU730" i="11"/>
  <c r="AU794" i="11"/>
  <c r="AU768" i="11"/>
  <c r="AU699" i="11"/>
  <c r="AU728" i="11"/>
  <c r="AU755" i="11"/>
  <c r="AU708" i="11"/>
  <c r="AU742" i="11"/>
  <c r="AU684" i="11"/>
  <c r="AU695" i="11"/>
  <c r="AU762" i="11"/>
  <c r="AU729" i="11"/>
  <c r="AU719" i="11"/>
  <c r="AU775" i="11"/>
  <c r="AU711" i="11"/>
  <c r="AU735" i="11"/>
  <c r="AU679" i="11"/>
  <c r="AU745" i="11"/>
  <c r="AU724" i="11"/>
  <c r="AU677" i="11"/>
  <c r="AU746" i="11"/>
  <c r="AU707" i="11"/>
  <c r="AU774" i="11"/>
  <c r="AU752" i="11"/>
  <c r="AU687" i="11"/>
  <c r="AU678" i="11"/>
  <c r="AU796" i="11"/>
  <c r="AU709" i="11"/>
  <c r="AU765" i="11"/>
  <c r="AU780" i="11"/>
  <c r="AU673" i="11"/>
  <c r="AU763" i="11"/>
  <c r="AU749" i="11"/>
  <c r="AU723" i="11"/>
  <c r="AU769" i="11"/>
  <c r="AU805" i="11"/>
  <c r="AU761" i="11"/>
  <c r="AU685" i="11"/>
  <c r="AU703" i="11"/>
  <c r="AK670" i="11" l="1"/>
  <c r="AJ676" i="11"/>
  <c r="AK671" i="11" s="1"/>
  <c r="AK669" i="11"/>
  <c r="AE672" i="11"/>
  <c r="AR652" i="11"/>
  <c r="AJ677" i="11" l="1"/>
  <c r="AE673" i="1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AE779" i="11" s="1"/>
  <c r="AE780" i="11" s="1"/>
  <c r="X58" i="4"/>
  <c r="M58" i="4"/>
  <c r="N9" i="2"/>
  <c r="V82" i="3"/>
  <c r="V85" i="3"/>
  <c r="V94" i="3"/>
  <c r="V95" i="3"/>
  <c r="AK52" i="8" a="1"/>
  <c r="AK52" i="8" s="1"/>
  <c r="AK38" i="8" a="1"/>
  <c r="AK38" i="8" s="1"/>
  <c r="AO16" i="8"/>
  <c r="J72" i="10" s="1"/>
  <c r="T29" i="18"/>
  <c r="Y29" i="18" s="1"/>
  <c r="T293" i="18"/>
  <c r="Z293" i="18" s="1"/>
  <c r="T158" i="18"/>
  <c r="Y158" i="18" s="1"/>
  <c r="T68" i="18"/>
  <c r="AO27" i="8"/>
  <c r="AD39" i="8"/>
  <c r="AD53" i="8"/>
  <c r="AO34" i="8"/>
  <c r="F38" i="8"/>
  <c r="T23" i="18"/>
  <c r="Y23" i="18" s="1"/>
  <c r="T172" i="18"/>
  <c r="Y172" i="18" s="1"/>
  <c r="T101" i="18"/>
  <c r="Z101" i="18" s="1"/>
  <c r="T249" i="18"/>
  <c r="T294" i="18"/>
  <c r="Y294" i="18" s="1"/>
  <c r="T164" i="18"/>
  <c r="Y164" i="18" s="1"/>
  <c r="T272" i="18"/>
  <c r="Z272" i="18" s="1"/>
  <c r="T243" i="18"/>
  <c r="T232" i="18"/>
  <c r="Y232" i="18" s="1"/>
  <c r="T187" i="18"/>
  <c r="Z187" i="18" s="1"/>
  <c r="T126" i="18"/>
  <c r="Z126" i="18" s="1"/>
  <c r="T222" i="18"/>
  <c r="T264" i="18"/>
  <c r="Y264" i="18" s="1"/>
  <c r="T100" i="18"/>
  <c r="T105" i="18"/>
  <c r="Y105" i="18" s="1"/>
  <c r="T207" i="18"/>
  <c r="Y207" i="18" s="1"/>
  <c r="T79" i="18"/>
  <c r="Y79" i="18" s="1"/>
  <c r="T281" i="18"/>
  <c r="T50" i="18"/>
  <c r="Y50" i="18" s="1"/>
  <c r="T152" i="18"/>
  <c r="Z152" i="18" s="1"/>
  <c r="T183" i="18"/>
  <c r="Z183" i="18" s="1"/>
  <c r="T277" i="18"/>
  <c r="T57" i="18"/>
  <c r="Z57" i="18" s="1"/>
  <c r="T280" i="18"/>
  <c r="Z280" i="18" s="1"/>
  <c r="T285" i="18"/>
  <c r="Y285" i="18" s="1"/>
  <c r="T254" i="18"/>
  <c r="T142" i="18"/>
  <c r="Y142" i="18" s="1"/>
  <c r="T203" i="18"/>
  <c r="Z203" i="18" s="1"/>
  <c r="T34" i="18"/>
  <c r="Y34" i="18" s="1"/>
  <c r="T251" i="18"/>
  <c r="T86" i="18"/>
  <c r="Z86" i="18" s="1"/>
  <c r="T121" i="18"/>
  <c r="Z121" i="18" s="1"/>
  <c r="T257" i="18"/>
  <c r="Y257" i="18" s="1"/>
  <c r="T258" i="18"/>
  <c r="T291" i="18"/>
  <c r="Y291" i="18" s="1"/>
  <c r="T175" i="18"/>
  <c r="T73" i="18"/>
  <c r="Z73" i="18" s="1"/>
  <c r="T49" i="18"/>
  <c r="Z49" i="18" s="1"/>
  <c r="T63" i="18"/>
  <c r="Z63" i="18" s="1"/>
  <c r="T189" i="18"/>
  <c r="T184" i="18"/>
  <c r="Y184" i="18" s="1"/>
  <c r="T56" i="18"/>
  <c r="Z56" i="18" s="1"/>
  <c r="T155" i="18"/>
  <c r="Z155" i="18" s="1"/>
  <c r="T289" i="18"/>
  <c r="T227" i="18"/>
  <c r="Y227" i="18" s="1"/>
  <c r="T58" i="18"/>
  <c r="Z58" i="18" s="1"/>
  <c r="T263" i="18"/>
  <c r="Z263" i="18" s="1"/>
  <c r="T269" i="18"/>
  <c r="T94" i="18"/>
  <c r="Z94" i="18" s="1"/>
  <c r="T146" i="18"/>
  <c r="T30" i="18"/>
  <c r="Y30" i="18" s="1"/>
  <c r="T109" i="18"/>
  <c r="Z109" i="18" s="1"/>
  <c r="T150" i="18"/>
  <c r="Z150" i="18" s="1"/>
  <c r="T166" i="18"/>
  <c r="T181" i="18"/>
  <c r="Z181" i="18" s="1"/>
  <c r="T60" i="18"/>
  <c r="Y60" i="18" s="1"/>
  <c r="T260" i="18"/>
  <c r="Z260" i="18" s="1"/>
  <c r="T115" i="18"/>
  <c r="T215" i="18"/>
  <c r="Y215" i="18" s="1"/>
  <c r="T75" i="18"/>
  <c r="Y75" i="18" s="1"/>
  <c r="T278" i="18"/>
  <c r="Z278" i="18" s="1"/>
  <c r="T211" i="18"/>
  <c r="T19" i="18"/>
  <c r="Y19" i="18" s="1"/>
  <c r="T282" i="18"/>
  <c r="Z282" i="18" s="1"/>
  <c r="T256" i="18"/>
  <c r="Y256" i="18" s="1"/>
  <c r="T268" i="18"/>
  <c r="T64" i="18"/>
  <c r="Z64" i="18" s="1"/>
  <c r="T231" i="18"/>
  <c r="Z231" i="18" s="1"/>
  <c r="T206" i="18"/>
  <c r="Z206" i="18" s="1"/>
  <c r="T108" i="18"/>
  <c r="Y108" i="18" s="1"/>
  <c r="T35" i="18"/>
  <c r="T261" i="18"/>
  <c r="Y261" i="18" s="1"/>
  <c r="T136" i="18"/>
  <c r="Z136" i="18" s="1"/>
  <c r="T9" i="18"/>
  <c r="Y9" i="18" s="1"/>
  <c r="T267" i="18"/>
  <c r="T28" i="18"/>
  <c r="T43" i="18"/>
  <c r="Y43" i="18" s="1"/>
  <c r="T287" i="18"/>
  <c r="Y287" i="18" s="1"/>
  <c r="T235" i="18"/>
  <c r="Y235" i="18" s="1"/>
  <c r="T47" i="18"/>
  <c r="T21" i="18"/>
  <c r="Y21" i="18" s="1"/>
  <c r="T13" i="18"/>
  <c r="Y13" i="18" s="1"/>
  <c r="T67" i="18"/>
  <c r="Y67" i="18" s="1"/>
  <c r="T253" i="18"/>
  <c r="T286" i="18"/>
  <c r="Y286" i="18" s="1"/>
  <c r="T259" i="18"/>
  <c r="Z259" i="18" s="1"/>
  <c r="AD67" i="8"/>
  <c r="AO41" i="8"/>
  <c r="AK66" i="8" a="1"/>
  <c r="AK66" i="8" s="1"/>
  <c r="T44" i="18"/>
  <c r="Z44" i="18" s="1"/>
  <c r="T96" i="18"/>
  <c r="Y96" i="18" s="1"/>
  <c r="T230" i="18"/>
  <c r="Y230" i="18" s="1"/>
  <c r="T216" i="18"/>
  <c r="T46" i="18"/>
  <c r="Y46" i="18" s="1"/>
  <c r="T217" i="18"/>
  <c r="Y217" i="18" s="1"/>
  <c r="T157" i="18"/>
  <c r="Y157" i="18" s="1"/>
  <c r="T70" i="18"/>
  <c r="T221" i="18"/>
  <c r="Y221" i="18" s="1"/>
  <c r="T69" i="18"/>
  <c r="Z69" i="18" s="1"/>
  <c r="T192" i="18"/>
  <c r="Y192" i="18" s="1"/>
  <c r="T276" i="18"/>
  <c r="Z276" i="18" s="1"/>
  <c r="T223" i="18"/>
  <c r="Y223" i="18" s="1"/>
  <c r="T31" i="18"/>
  <c r="T89" i="18"/>
  <c r="Y89" i="18" s="1"/>
  <c r="T262" i="18"/>
  <c r="T233" i="18"/>
  <c r="Z233" i="18" s="1"/>
  <c r="T11" i="18"/>
  <c r="Y11" i="18" s="1"/>
  <c r="T191" i="18"/>
  <c r="AU1073" i="11" s="1"/>
  <c r="T127" i="18"/>
  <c r="Y127" i="18" s="1"/>
  <c r="T188" i="18"/>
  <c r="Z188" i="18" s="1"/>
  <c r="T245" i="18"/>
  <c r="T99" i="18"/>
  <c r="Z99" i="18" s="1"/>
  <c r="T37" i="18"/>
  <c r="T284" i="18"/>
  <c r="Z284" i="18" s="1"/>
  <c r="T114" i="18"/>
  <c r="T266" i="18"/>
  <c r="Z266" i="18" s="1"/>
  <c r="T41" i="18"/>
  <c r="T51" i="18"/>
  <c r="Z51" i="18" s="1"/>
  <c r="T87" i="18"/>
  <c r="T229" i="18"/>
  <c r="Z229" i="18" s="1"/>
  <c r="T239" i="18"/>
  <c r="Y239" i="18" s="1"/>
  <c r="T226" i="18"/>
  <c r="Y226" i="18" s="1"/>
  <c r="T141" i="18"/>
  <c r="T290" i="18"/>
  <c r="Z290" i="18" s="1"/>
  <c r="T133" i="18"/>
  <c r="T93" i="18"/>
  <c r="Z93" i="18" s="1"/>
  <c r="T236" i="18"/>
  <c r="Y236" i="18" s="1"/>
  <c r="T98" i="18"/>
  <c r="AU1072" i="11" s="1"/>
  <c r="T185" i="18"/>
  <c r="Z185" i="18" s="1"/>
  <c r="T194" i="18"/>
  <c r="Z194" i="18" s="1"/>
  <c r="T237" i="18"/>
  <c r="Y237" i="18" s="1"/>
  <c r="T36" i="18"/>
  <c r="Z36" i="18" s="1"/>
  <c r="T55" i="18"/>
  <c r="T20" i="18"/>
  <c r="Z20" i="18" s="1"/>
  <c r="T228" i="18"/>
  <c r="Z228" i="18" s="1"/>
  <c r="T117" i="18"/>
  <c r="Y117" i="18" s="1"/>
  <c r="T190" i="18"/>
  <c r="T240" i="18"/>
  <c r="Y240" i="18" s="1"/>
  <c r="T83" i="18"/>
  <c r="Z83" i="18" s="1"/>
  <c r="T123" i="18"/>
  <c r="Y123" i="18" s="1"/>
  <c r="T90" i="18"/>
  <c r="T275" i="18"/>
  <c r="Y275" i="18" s="1"/>
  <c r="T201" i="18"/>
  <c r="Z201" i="18" s="1"/>
  <c r="T288" i="18"/>
  <c r="Y288" i="18" s="1"/>
  <c r="T45" i="18"/>
  <c r="T265" i="18"/>
  <c r="Z265" i="18" s="1"/>
  <c r="T250" i="18"/>
  <c r="Y250" i="18" s="1"/>
  <c r="T202" i="18"/>
  <c r="Z202" i="18" s="1"/>
  <c r="T167" i="18"/>
  <c r="T116" i="18"/>
  <c r="Y116" i="18" s="1"/>
  <c r="T273" i="18"/>
  <c r="Z273" i="18" s="1"/>
  <c r="E12" i="8"/>
  <c r="F22" i="8" s="1"/>
  <c r="I17" i="8" s="1"/>
  <c r="H60" i="10" s="1"/>
  <c r="T97" i="18"/>
  <c r="T17" i="18"/>
  <c r="Y17" i="18" s="1"/>
  <c r="T234" i="18"/>
  <c r="Z234" i="18" s="1"/>
  <c r="T218" i="18"/>
  <c r="T54" i="18"/>
  <c r="Z54" i="18" s="1"/>
  <c r="T88" i="18"/>
  <c r="Z88" i="18" s="1"/>
  <c r="T144" i="18"/>
  <c r="Z144" i="18" s="1"/>
  <c r="T270" i="18"/>
  <c r="T159" i="18"/>
  <c r="Y159" i="18" s="1"/>
  <c r="T224" i="18"/>
  <c r="Z224" i="18" s="1"/>
  <c r="T62" i="18"/>
  <c r="Z62" i="18" s="1"/>
  <c r="T279" i="18"/>
  <c r="Y279" i="18" s="1"/>
  <c r="T16" i="18"/>
  <c r="Z16" i="18" s="1"/>
  <c r="T65" i="18"/>
  <c r="T244" i="18"/>
  <c r="Y244" i="18" s="1"/>
  <c r="T255" i="18"/>
  <c r="Z255" i="18" s="1"/>
  <c r="T200" i="18"/>
  <c r="Y200" i="18" s="1"/>
  <c r="T129" i="18"/>
  <c r="T78" i="18"/>
  <c r="Y78" i="18" s="1"/>
  <c r="T219" i="18"/>
  <c r="Z219" i="18" s="1"/>
  <c r="T212" i="18"/>
  <c r="Y212" i="18" s="1"/>
  <c r="T238" i="18"/>
  <c r="T165" i="18"/>
  <c r="Z165" i="18" s="1"/>
  <c r="T283" i="18"/>
  <c r="Z283" i="18" s="1"/>
  <c r="T209" i="18"/>
  <c r="Z209" i="18" s="1"/>
  <c r="T148" i="18"/>
  <c r="T274" i="18"/>
  <c r="Z274" i="18" s="1"/>
  <c r="T173" i="18"/>
  <c r="Z173" i="18" s="1"/>
  <c r="T110" i="18"/>
  <c r="T153" i="18"/>
  <c r="T53" i="18"/>
  <c r="Z53" i="18" s="1"/>
  <c r="T61" i="18"/>
  <c r="Y61" i="18" s="1"/>
  <c r="T32" i="18"/>
  <c r="Y32" i="18" s="1"/>
  <c r="T199" i="18"/>
  <c r="Z199" i="18" s="1"/>
  <c r="T174" i="18"/>
  <c r="T128" i="18"/>
  <c r="Z128" i="18" s="1"/>
  <c r="T91" i="18"/>
  <c r="Z91" i="18" s="1"/>
  <c r="T131" i="18"/>
  <c r="Y131" i="18" s="1"/>
  <c r="T248" i="18"/>
  <c r="Z248" i="18" s="1"/>
  <c r="T271" i="18"/>
  <c r="Y271" i="18" s="1"/>
  <c r="T241" i="18"/>
  <c r="Y241" i="18" s="1"/>
  <c r="T171" i="18"/>
  <c r="Y171" i="18" s="1"/>
  <c r="T26" i="18"/>
  <c r="T107" i="18"/>
  <c r="Z107" i="18" s="1"/>
  <c r="T124" i="18"/>
  <c r="T27" i="18"/>
  <c r="T135" i="18"/>
  <c r="Z135" i="18" s="1"/>
  <c r="T198" i="18"/>
  <c r="Z198" i="18" s="1"/>
  <c r="T38" i="18"/>
  <c r="T12" i="18"/>
  <c r="T180" i="18"/>
  <c r="Y180" i="18" s="1"/>
  <c r="T161" i="18"/>
  <c r="Y161" i="18" s="1"/>
  <c r="T10" i="18"/>
  <c r="Z10" i="18" s="1"/>
  <c r="T59" i="18"/>
  <c r="Z59" i="18" s="1"/>
  <c r="T42" i="18"/>
  <c r="Y42" i="18" s="1"/>
  <c r="T122" i="18"/>
  <c r="Y122" i="18" s="1"/>
  <c r="T196" i="18"/>
  <c r="Z196" i="18" s="1"/>
  <c r="T176" i="18"/>
  <c r="T125" i="18"/>
  <c r="Z125" i="18" s="1"/>
  <c r="T104" i="18"/>
  <c r="T242" i="18"/>
  <c r="Z242" i="18" s="1"/>
  <c r="T77" i="18"/>
  <c r="T118" i="18"/>
  <c r="Y118" i="18" s="1"/>
  <c r="T14" i="18"/>
  <c r="T81" i="18"/>
  <c r="T134" i="18"/>
  <c r="T85" i="18"/>
  <c r="T147" i="18"/>
  <c r="AU1069" i="11" s="1"/>
  <c r="T15" i="18"/>
  <c r="Z15" i="18" s="1"/>
  <c r="T8" i="18"/>
  <c r="Z8" i="18" s="1"/>
  <c r="T295" i="18"/>
  <c r="T156" i="18"/>
  <c r="Z156" i="18" s="1"/>
  <c r="T48" i="18"/>
  <c r="T205" i="18"/>
  <c r="T33" i="18"/>
  <c r="Z33" i="18" s="1"/>
  <c r="T72" i="18"/>
  <c r="Y72" i="18" s="1"/>
  <c r="T74" i="18"/>
  <c r="T140" i="18"/>
  <c r="Y140" i="18" s="1"/>
  <c r="T170" i="18"/>
  <c r="Y170" i="18" s="1"/>
  <c r="T111" i="18"/>
  <c r="T169" i="18"/>
  <c r="T163" i="18"/>
  <c r="Z163" i="18" s="1"/>
  <c r="T95" i="18"/>
  <c r="T102" i="18"/>
  <c r="T71" i="18"/>
  <c r="Y71" i="18" s="1"/>
  <c r="T40" i="18"/>
  <c r="T177" i="18"/>
  <c r="AU1095" i="11" s="1"/>
  <c r="T112" i="18"/>
  <c r="AU1089" i="11" s="1"/>
  <c r="T210" i="18"/>
  <c r="AU1091" i="11" s="1"/>
  <c r="T76" i="18"/>
  <c r="Y76" i="18" s="1"/>
  <c r="T208" i="18"/>
  <c r="Z208" i="18" s="1"/>
  <c r="T182" i="18"/>
  <c r="T213" i="18"/>
  <c r="T197" i="18"/>
  <c r="Y197" i="18" s="1"/>
  <c r="T22" i="18"/>
  <c r="Z22" i="18" s="1"/>
  <c r="T18" i="18"/>
  <c r="Z18" i="18" s="1"/>
  <c r="T296" i="18"/>
  <c r="AU1102" i="11" s="1"/>
  <c r="T139" i="18"/>
  <c r="T193" i="18"/>
  <c r="Z193" i="18" s="1"/>
  <c r="T25" i="18"/>
  <c r="Y25" i="18" s="1"/>
  <c r="T82" i="18"/>
  <c r="Z82" i="18" s="1"/>
  <c r="T103" i="18"/>
  <c r="Z103" i="18" s="1"/>
  <c r="T220" i="18"/>
  <c r="Y220" i="18" s="1"/>
  <c r="T149" i="18"/>
  <c r="T162" i="18"/>
  <c r="AU1083" i="11" s="1"/>
  <c r="T119" i="18"/>
  <c r="Y119" i="18" s="1"/>
  <c r="AO20" i="8"/>
  <c r="AK24" i="8" s="1" a="1"/>
  <c r="AK24" i="8" s="1"/>
  <c r="AD25" i="8"/>
  <c r="AL19" i="8"/>
  <c r="T143" i="18"/>
  <c r="Y143" i="18" s="1"/>
  <c r="T84" i="18"/>
  <c r="Y84" i="18" s="1"/>
  <c r="T132" i="18"/>
  <c r="AU1074" i="11" s="1"/>
  <c r="T154" i="18"/>
  <c r="Y154" i="18" s="1"/>
  <c r="T178" i="18"/>
  <c r="BW23" i="24" l="1"/>
  <c r="M39" i="24"/>
  <c r="AF39" i="24"/>
  <c r="BW39" i="24"/>
  <c r="AV23" i="24"/>
  <c r="M23" i="24"/>
  <c r="AK672" i="11"/>
  <c r="AJ678" i="11"/>
  <c r="AK673" i="11" s="1"/>
  <c r="AJ723" i="11"/>
  <c r="AE781" i="11"/>
  <c r="AE782" i="11" s="1"/>
  <c r="AE783" i="11" s="1"/>
  <c r="AE784" i="11" s="1"/>
  <c r="BJ88" i="18"/>
  <c r="S291" i="18" s="1"/>
  <c r="B291" i="18" s="1"/>
  <c r="AO38" i="18"/>
  <c r="BJ87" i="18"/>
  <c r="S289" i="18" s="1"/>
  <c r="B289" i="18" s="1"/>
  <c r="BJ75" i="18"/>
  <c r="S277" i="18" s="1"/>
  <c r="BJ33" i="18"/>
  <c r="S235" i="18" s="1"/>
  <c r="B235" i="18" s="1"/>
  <c r="AO52" i="18"/>
  <c r="BJ76" i="18"/>
  <c r="S278" i="18" s="1"/>
  <c r="B278" i="18" s="1"/>
  <c r="AO83" i="18"/>
  <c r="BJ50" i="18"/>
  <c r="S252" i="18" s="1"/>
  <c r="B252" i="18" s="1"/>
  <c r="Y278" i="18"/>
  <c r="AO26" i="18"/>
  <c r="BJ45" i="18"/>
  <c r="S247" i="18" s="1"/>
  <c r="B247" i="18" s="1"/>
  <c r="AO127" i="18"/>
  <c r="Y185" i="18"/>
  <c r="BJ24" i="18"/>
  <c r="S226" i="18" s="1"/>
  <c r="AO121" i="18"/>
  <c r="AP55" i="18"/>
  <c r="AI62" i="11" s="1"/>
  <c r="AO77" i="18"/>
  <c r="AO123" i="18"/>
  <c r="Y198" i="18"/>
  <c r="BJ53" i="18"/>
  <c r="S255" i="18" s="1"/>
  <c r="B255" i="18" s="1"/>
  <c r="Z250" i="18"/>
  <c r="Z215" i="18"/>
  <c r="BJ42" i="18"/>
  <c r="S244" i="18" s="1"/>
  <c r="B244" i="18" s="1"/>
  <c r="Z154" i="18"/>
  <c r="BZ23" i="24" s="1"/>
  <c r="Y132" i="18"/>
  <c r="AO106" i="18"/>
  <c r="AO34" i="18"/>
  <c r="AO195" i="18"/>
  <c r="AO115" i="18"/>
  <c r="Y210" i="18"/>
  <c r="Y177" i="18"/>
  <c r="BJ34" i="18"/>
  <c r="S236" i="18" s="1"/>
  <c r="B236" i="18" s="1"/>
  <c r="AU1104" i="11"/>
  <c r="AO154" i="18"/>
  <c r="AO28" i="18"/>
  <c r="AO14" i="18"/>
  <c r="AO40" i="18"/>
  <c r="AO113" i="18"/>
  <c r="Y193" i="18"/>
  <c r="Z241" i="18"/>
  <c r="Z142" i="18"/>
  <c r="AO51" i="18"/>
  <c r="AU1100" i="11"/>
  <c r="AU1099" i="11"/>
  <c r="Z210" i="18"/>
  <c r="Z177" i="18"/>
  <c r="BJ83" i="18"/>
  <c r="BF83" i="18" s="1"/>
  <c r="AO131" i="18"/>
  <c r="AO197" i="18"/>
  <c r="AO63" i="18"/>
  <c r="AR12" i="2" s="1"/>
  <c r="AS12" i="2" s="1"/>
  <c r="G12" i="2" s="1"/>
  <c r="AO72" i="18"/>
  <c r="AO43" i="18"/>
  <c r="AO60" i="18"/>
  <c r="AO67" i="18"/>
  <c r="AO157" i="18"/>
  <c r="AO151" i="18"/>
  <c r="AO132" i="18"/>
  <c r="AO61" i="18"/>
  <c r="AO92" i="18"/>
  <c r="AO150" i="18"/>
  <c r="AO17" i="18"/>
  <c r="AO119" i="18"/>
  <c r="AO105" i="18"/>
  <c r="AO117" i="18"/>
  <c r="AO7" i="18"/>
  <c r="AO143" i="18"/>
  <c r="AO145" i="18"/>
  <c r="AO103" i="18"/>
  <c r="AO112" i="18"/>
  <c r="AO111" i="18"/>
  <c r="AO82" i="18"/>
  <c r="Y139" i="18"/>
  <c r="BJ62" i="18"/>
  <c r="BF62" i="18" s="1"/>
  <c r="Z271" i="18"/>
  <c r="Y274" i="18"/>
  <c r="Y165" i="18"/>
  <c r="Z78" i="18"/>
  <c r="Z244" i="18"/>
  <c r="Z159" i="18"/>
  <c r="Y54" i="18"/>
  <c r="Y201" i="18"/>
  <c r="Z123" i="18"/>
  <c r="Y228" i="18"/>
  <c r="Y36" i="18"/>
  <c r="Z236" i="18"/>
  <c r="Y290" i="18"/>
  <c r="Z226" i="18"/>
  <c r="Y229" i="18"/>
  <c r="Y51" i="18"/>
  <c r="Y266" i="18"/>
  <c r="Y284" i="18"/>
  <c r="Y99" i="18"/>
  <c r="Y188" i="18"/>
  <c r="Y44" i="18"/>
  <c r="Z286" i="18"/>
  <c r="Z67" i="18"/>
  <c r="Z21" i="18"/>
  <c r="Z235" i="18"/>
  <c r="Z43" i="18"/>
  <c r="AI39" i="24" s="1"/>
  <c r="Z261" i="18"/>
  <c r="Y206" i="18"/>
  <c r="Y150" i="18"/>
  <c r="Z30" i="18"/>
  <c r="Z285" i="18"/>
  <c r="Y57" i="18"/>
  <c r="Y183" i="18"/>
  <c r="Z50" i="18"/>
  <c r="Z79" i="18"/>
  <c r="Z105" i="18"/>
  <c r="AO20" i="18"/>
  <c r="AO10" i="18"/>
  <c r="AO118" i="18"/>
  <c r="AO138" i="18"/>
  <c r="AO88" i="18"/>
  <c r="AO29" i="18"/>
  <c r="AO95" i="18"/>
  <c r="AO32" i="18"/>
  <c r="Y182" i="18"/>
  <c r="AO128" i="18"/>
  <c r="AO8" i="18"/>
  <c r="J62" i="2" s="1"/>
  <c r="L33" i="14" s="1"/>
  <c r="AO146" i="18"/>
  <c r="AR9" i="8"/>
  <c r="AO147" i="18"/>
  <c r="AX1081" i="11"/>
  <c r="AO153" i="18"/>
  <c r="AO93" i="18"/>
  <c r="AO109" i="18"/>
  <c r="AO142" i="18"/>
  <c r="AO46" i="18"/>
  <c r="AO97" i="18"/>
  <c r="AO9" i="18"/>
  <c r="AO76" i="18"/>
  <c r="AO141" i="18"/>
  <c r="AO74" i="18"/>
  <c r="Y103" i="18"/>
  <c r="AO58" i="18"/>
  <c r="AO16" i="18"/>
  <c r="AO80" i="18"/>
  <c r="AO135" i="18"/>
  <c r="AO11" i="18"/>
  <c r="AO194" i="18"/>
  <c r="AO124" i="18"/>
  <c r="AO44" i="18"/>
  <c r="AO73" i="18"/>
  <c r="AO126" i="18"/>
  <c r="AO130" i="18"/>
  <c r="AO24" i="18"/>
  <c r="AO13" i="18"/>
  <c r="AO87" i="18"/>
  <c r="AO70" i="18"/>
  <c r="AO148" i="18"/>
  <c r="AO125" i="18"/>
  <c r="AO198" i="18"/>
  <c r="AO41" i="18"/>
  <c r="AO50" i="18"/>
  <c r="AO31" i="18"/>
  <c r="AU1094" i="11"/>
  <c r="AU1082" i="11"/>
  <c r="BJ82" i="18"/>
  <c r="S284" i="18" s="1"/>
  <c r="B284" i="18" s="1"/>
  <c r="Y135" i="18"/>
  <c r="Z131" i="18"/>
  <c r="BJ78" i="18"/>
  <c r="S280" i="18" s="1"/>
  <c r="B280" i="18" s="1"/>
  <c r="Y273" i="18"/>
  <c r="Y83" i="18"/>
  <c r="Z117" i="18"/>
  <c r="Z237" i="18"/>
  <c r="Y136" i="18"/>
  <c r="Y64" i="18"/>
  <c r="Z140" i="18"/>
  <c r="BJ70" i="18"/>
  <c r="S272" i="18" s="1"/>
  <c r="B272" i="18" s="1"/>
  <c r="Z171" i="18"/>
  <c r="Z42" i="18"/>
  <c r="AY23" i="24" s="1"/>
  <c r="Y202" i="18"/>
  <c r="Z288" i="18"/>
  <c r="Z98" i="18"/>
  <c r="Z191" i="18"/>
  <c r="Z264" i="18"/>
  <c r="Y126" i="18"/>
  <c r="Z232" i="18"/>
  <c r="Y272" i="18"/>
  <c r="Z294" i="18"/>
  <c r="Y101" i="18"/>
  <c r="Z23" i="18"/>
  <c r="Z158" i="18"/>
  <c r="Z29" i="18"/>
  <c r="AO12" i="18"/>
  <c r="AO137" i="18"/>
  <c r="AO114" i="18"/>
  <c r="AO139" i="18"/>
  <c r="AO196" i="18"/>
  <c r="AO102" i="18"/>
  <c r="AU1090" i="11"/>
  <c r="Z162" i="18"/>
  <c r="AU1092" i="11"/>
  <c r="BJ71" i="18"/>
  <c r="S273" i="18" s="1"/>
  <c r="B273" i="18" s="1"/>
  <c r="BJ89" i="18"/>
  <c r="S290" i="18" s="1"/>
  <c r="B290" i="18" s="1"/>
  <c r="BJ73" i="18"/>
  <c r="S275" i="18" s="1"/>
  <c r="B275" i="18" s="1"/>
  <c r="Y33" i="18"/>
  <c r="Y15" i="18"/>
  <c r="Y242" i="18"/>
  <c r="Y125" i="18"/>
  <c r="Y196" i="18"/>
  <c r="AU1086" i="11"/>
  <c r="Y248" i="18"/>
  <c r="Z170" i="18"/>
  <c r="Y283" i="18"/>
  <c r="Y219" i="18"/>
  <c r="Y255" i="18"/>
  <c r="Z279" i="18"/>
  <c r="Y224" i="18"/>
  <c r="Y88" i="18"/>
  <c r="BJ39" i="18"/>
  <c r="S241" i="18" s="1"/>
  <c r="Z116" i="18"/>
  <c r="Y265" i="18"/>
  <c r="Z275" i="18"/>
  <c r="Z240" i="18"/>
  <c r="Y20" i="18"/>
  <c r="Y194" i="18"/>
  <c r="Y98" i="18"/>
  <c r="Y93" i="18"/>
  <c r="Y191" i="18"/>
  <c r="Y233" i="18"/>
  <c r="Z89" i="18"/>
  <c r="Z223" i="18"/>
  <c r="Z192" i="18"/>
  <c r="Z221" i="18"/>
  <c r="Z157" i="18"/>
  <c r="BZ39" i="24" s="1"/>
  <c r="Z46" i="18"/>
  <c r="Z230" i="18"/>
  <c r="Z9" i="18"/>
  <c r="Z108" i="18"/>
  <c r="Z256" i="18"/>
  <c r="Z19" i="18"/>
  <c r="Y260" i="18"/>
  <c r="Y94" i="18"/>
  <c r="Y263" i="18"/>
  <c r="Z227" i="18"/>
  <c r="Y155" i="18"/>
  <c r="Z184" i="18"/>
  <c r="Y63" i="18"/>
  <c r="Y73" i="18"/>
  <c r="Z291" i="18"/>
  <c r="Z257" i="18"/>
  <c r="Y86" i="18"/>
  <c r="Z34" i="18"/>
  <c r="Y199" i="18"/>
  <c r="Y128" i="18"/>
  <c r="Y18" i="18"/>
  <c r="Y53" i="18"/>
  <c r="Z84" i="18"/>
  <c r="AO155" i="18"/>
  <c r="AO37" i="18"/>
  <c r="AO107" i="18"/>
  <c r="AO39" i="18"/>
  <c r="AO149" i="18"/>
  <c r="AO49" i="18"/>
  <c r="AO19" i="18"/>
  <c r="AO18" i="18"/>
  <c r="AO152" i="18"/>
  <c r="AO15" i="18"/>
  <c r="AS7" i="8"/>
  <c r="AO79" i="18"/>
  <c r="AO99" i="18"/>
  <c r="AO65" i="18"/>
  <c r="Y162" i="18"/>
  <c r="AU1087" i="11"/>
  <c r="Z25" i="18"/>
  <c r="Z182" i="18"/>
  <c r="BJ30" i="18"/>
  <c r="BF30" i="18" s="1"/>
  <c r="BJ27" i="18"/>
  <c r="BF27" i="18" s="1"/>
  <c r="Z71" i="18"/>
  <c r="Y8" i="18"/>
  <c r="BJ47" i="18"/>
  <c r="BF47" i="18" s="1"/>
  <c r="BJ59" i="18"/>
  <c r="S261" i="18" s="1"/>
  <c r="B261" i="18" s="1"/>
  <c r="Z72" i="18"/>
  <c r="Y209" i="18"/>
  <c r="Z212" i="18"/>
  <c r="Z200" i="18"/>
  <c r="P39" i="24" s="1"/>
  <c r="Y16" i="18"/>
  <c r="Y62" i="18"/>
  <c r="Y144" i="18"/>
  <c r="Y234" i="18"/>
  <c r="AU1078" i="11"/>
  <c r="Z17" i="18"/>
  <c r="Y181" i="18"/>
  <c r="B226" i="18"/>
  <c r="BJ81" i="18"/>
  <c r="BJ35" i="18"/>
  <c r="BJ74" i="18"/>
  <c r="Z143" i="18"/>
  <c r="Y68" i="18"/>
  <c r="Z68" i="18"/>
  <c r="AU1101" i="11"/>
  <c r="AU1077" i="11"/>
  <c r="AU1088" i="11"/>
  <c r="Z149" i="18"/>
  <c r="Y149" i="18"/>
  <c r="Y14" i="18"/>
  <c r="Z14" i="18"/>
  <c r="BJ26" i="18"/>
  <c r="Z178" i="18"/>
  <c r="Y178" i="18"/>
  <c r="BJ80" i="18"/>
  <c r="Z132" i="18"/>
  <c r="AU1096" i="11"/>
  <c r="AO108" i="18"/>
  <c r="AO78" i="18"/>
  <c r="AO81" i="18"/>
  <c r="AO64" i="18"/>
  <c r="AO36" i="18"/>
  <c r="AO90" i="18"/>
  <c r="AO136" i="18"/>
  <c r="AO96" i="18"/>
  <c r="AO30" i="18"/>
  <c r="AO6" i="8"/>
  <c r="AO75" i="18"/>
  <c r="AO134" i="18"/>
  <c r="AO48" i="18"/>
  <c r="AO45" i="18"/>
  <c r="AO69" i="18"/>
  <c r="AO144" i="18"/>
  <c r="AO129" i="18"/>
  <c r="AO133" i="18"/>
  <c r="AO66" i="18"/>
  <c r="Z295" i="18"/>
  <c r="Y295" i="18"/>
  <c r="AO54" i="18"/>
  <c r="AO57" i="18"/>
  <c r="AR20" i="2" s="1"/>
  <c r="AO62" i="18"/>
  <c r="AR19" i="2" s="1"/>
  <c r="AO56" i="18"/>
  <c r="AO59" i="18"/>
  <c r="D29" i="2" s="1"/>
  <c r="E26" i="2" s="1"/>
  <c r="AO53" i="18"/>
  <c r="AO27" i="18"/>
  <c r="AN53" i="11" s="1"/>
  <c r="AO86" i="18"/>
  <c r="AO47" i="18"/>
  <c r="AO55" i="18"/>
  <c r="AO120" i="18"/>
  <c r="AO110" i="18"/>
  <c r="AO71" i="18"/>
  <c r="AO156" i="18"/>
  <c r="AO84" i="18"/>
  <c r="AO85" i="18"/>
  <c r="AO100" i="18"/>
  <c r="AO122" i="18"/>
  <c r="AO42" i="18"/>
  <c r="Z213" i="18"/>
  <c r="Y213" i="18"/>
  <c r="AU1103" i="11"/>
  <c r="BJ65" i="18"/>
  <c r="Z148" i="18"/>
  <c r="Y148" i="18"/>
  <c r="Y238" i="18"/>
  <c r="Z238" i="18"/>
  <c r="Z129" i="18"/>
  <c r="Y129" i="18"/>
  <c r="Z65" i="18"/>
  <c r="Y65" i="18"/>
  <c r="BJ43" i="18"/>
  <c r="Z119" i="18"/>
  <c r="Y74" i="18"/>
  <c r="Z74" i="18"/>
  <c r="BJ67" i="18"/>
  <c r="BJ36" i="18"/>
  <c r="BJ55" i="18"/>
  <c r="Z220" i="18"/>
  <c r="AU1098" i="11"/>
  <c r="Y82" i="18"/>
  <c r="AU1084" i="11"/>
  <c r="BJ57" i="18"/>
  <c r="BJ79" i="18"/>
  <c r="BJ38" i="18"/>
  <c r="Z112" i="18"/>
  <c r="Y112" i="18"/>
  <c r="Y40" i="18"/>
  <c r="Z40" i="18"/>
  <c r="BJ56" i="18"/>
  <c r="Z85" i="18"/>
  <c r="Y85" i="18"/>
  <c r="BJ68" i="18"/>
  <c r="Z104" i="18"/>
  <c r="Y104" i="18"/>
  <c r="Z176" i="18"/>
  <c r="Y176" i="18"/>
  <c r="AU1097" i="11"/>
  <c r="Z139" i="18"/>
  <c r="AU1093" i="11"/>
  <c r="BJ44" i="18"/>
  <c r="Y22" i="18"/>
  <c r="Z76" i="18"/>
  <c r="BJ28" i="18"/>
  <c r="BJ64" i="18"/>
  <c r="BJ46" i="18"/>
  <c r="BJ25" i="18"/>
  <c r="Y174" i="18"/>
  <c r="Z174" i="18"/>
  <c r="AV1100" i="11"/>
  <c r="Y208" i="18"/>
  <c r="BJ84" i="18"/>
  <c r="Y95" i="18"/>
  <c r="Z95" i="18"/>
  <c r="Z205" i="18"/>
  <c r="BJ72" i="18"/>
  <c r="Y205" i="18"/>
  <c r="Y134" i="18"/>
  <c r="Z134" i="18"/>
  <c r="BJ63" i="18"/>
  <c r="Z118" i="18"/>
  <c r="BJ48" i="18"/>
  <c r="BJ49" i="18"/>
  <c r="Y38" i="18"/>
  <c r="Z38" i="18"/>
  <c r="BJ41" i="18"/>
  <c r="Y167" i="18"/>
  <c r="Z167" i="18"/>
  <c r="Y45" i="18"/>
  <c r="Z45" i="18"/>
  <c r="Y90" i="18"/>
  <c r="Z90" i="18"/>
  <c r="Z190" i="18"/>
  <c r="Y190" i="18"/>
  <c r="Z55" i="18"/>
  <c r="Y55" i="18"/>
  <c r="Z133" i="18"/>
  <c r="Y133" i="18"/>
  <c r="Y156" i="18"/>
  <c r="BJ31" i="18"/>
  <c r="BJ60" i="18"/>
  <c r="BJ32" i="18"/>
  <c r="Y147" i="18"/>
  <c r="Z147" i="18"/>
  <c r="BJ29" i="18"/>
  <c r="Z197" i="18"/>
  <c r="P23" i="24" s="1"/>
  <c r="Z180" i="18"/>
  <c r="BJ58" i="18"/>
  <c r="Y169" i="18"/>
  <c r="Z169" i="18"/>
  <c r="Z111" i="18"/>
  <c r="Y111" i="18"/>
  <c r="Z77" i="18"/>
  <c r="Y77" i="18"/>
  <c r="AU1079" i="11"/>
  <c r="AU1085" i="11"/>
  <c r="BJ51" i="18"/>
  <c r="Z161" i="18"/>
  <c r="Z124" i="18"/>
  <c r="Y124" i="18"/>
  <c r="Y26" i="18"/>
  <c r="Z26" i="18"/>
  <c r="BJ85" i="18"/>
  <c r="Y59" i="18"/>
  <c r="BJ69" i="18"/>
  <c r="Z270" i="18"/>
  <c r="Y270" i="18"/>
  <c r="Y218" i="18"/>
  <c r="Z218" i="18"/>
  <c r="Y97" i="18"/>
  <c r="Z97" i="18"/>
  <c r="Y10" i="18"/>
  <c r="Y12" i="18"/>
  <c r="Z12" i="18"/>
  <c r="BJ66" i="18"/>
  <c r="AV1103" i="11"/>
  <c r="BJ40" i="18"/>
  <c r="Y107" i="18"/>
  <c r="BJ54" i="18"/>
  <c r="Z122" i="18"/>
  <c r="Y91" i="18"/>
  <c r="BJ86" i="18"/>
  <c r="BJ52" i="18"/>
  <c r="Z253" i="18"/>
  <c r="Y253" i="18"/>
  <c r="Z47" i="18"/>
  <c r="Y47" i="18"/>
  <c r="Z28" i="18"/>
  <c r="AV1104" i="11"/>
  <c r="Y28" i="18"/>
  <c r="Z166" i="18"/>
  <c r="Y166" i="18"/>
  <c r="Z222" i="18"/>
  <c r="Y222" i="18"/>
  <c r="Y243" i="18"/>
  <c r="Z243" i="18"/>
  <c r="Y249" i="18"/>
  <c r="Z249" i="18"/>
  <c r="Z102" i="18"/>
  <c r="Y102" i="18"/>
  <c r="Y48" i="18"/>
  <c r="Z48" i="18"/>
  <c r="Y81" i="18"/>
  <c r="Z81" i="18"/>
  <c r="Y27" i="18"/>
  <c r="Z27" i="18"/>
  <c r="Y110" i="18"/>
  <c r="Z110" i="18"/>
  <c r="BJ37" i="18"/>
  <c r="Y163" i="18"/>
  <c r="Y141" i="18"/>
  <c r="Z141" i="18"/>
  <c r="BJ77" i="18"/>
  <c r="Z153" i="18"/>
  <c r="Y153" i="18"/>
  <c r="Z61" i="18"/>
  <c r="Z32" i="18"/>
  <c r="Z239" i="18"/>
  <c r="Z262" i="18"/>
  <c r="Y262" i="18"/>
  <c r="Z31" i="18"/>
  <c r="Y31" i="18"/>
  <c r="Y267" i="18"/>
  <c r="Z267" i="18"/>
  <c r="Y35" i="18"/>
  <c r="Z35" i="18"/>
  <c r="Z115" i="18"/>
  <c r="Y115" i="18"/>
  <c r="Y173" i="18"/>
  <c r="Y87" i="18"/>
  <c r="Z87" i="18"/>
  <c r="Z41" i="18"/>
  <c r="Y41" i="18"/>
  <c r="Z114" i="18"/>
  <c r="Y114" i="18"/>
  <c r="Y37" i="18"/>
  <c r="Z37" i="18"/>
  <c r="Z245" i="18"/>
  <c r="Y245" i="18"/>
  <c r="Y211" i="18"/>
  <c r="Z211" i="18"/>
  <c r="Y70" i="18"/>
  <c r="Z70" i="18"/>
  <c r="Y216" i="18"/>
  <c r="Z216" i="18"/>
  <c r="Z268" i="18"/>
  <c r="Y268" i="18"/>
  <c r="AU1075" i="11"/>
  <c r="Z146" i="18"/>
  <c r="Y146" i="18"/>
  <c r="Z269" i="18"/>
  <c r="Y269" i="18"/>
  <c r="Z289" i="18"/>
  <c r="Y289" i="18"/>
  <c r="Z189" i="18"/>
  <c r="Y189" i="18"/>
  <c r="Z175" i="18"/>
  <c r="Y175" i="18"/>
  <c r="Z258" i="18"/>
  <c r="Y258" i="18"/>
  <c r="Y251" i="18"/>
  <c r="Z251" i="18"/>
  <c r="Z254" i="18"/>
  <c r="Y254" i="18"/>
  <c r="Y277" i="18"/>
  <c r="Z277" i="18"/>
  <c r="Z281" i="18"/>
  <c r="Y281" i="18"/>
  <c r="Y100" i="18"/>
  <c r="Z100" i="18"/>
  <c r="Z127" i="18"/>
  <c r="Z11" i="18"/>
  <c r="Y276" i="18"/>
  <c r="Y69" i="18"/>
  <c r="Z217" i="18"/>
  <c r="Z96" i="18"/>
  <c r="Y259" i="18"/>
  <c r="Z13" i="18"/>
  <c r="Z287" i="18"/>
  <c r="Y231" i="18"/>
  <c r="Y282" i="18"/>
  <c r="Z75" i="18"/>
  <c r="Z60" i="18"/>
  <c r="Y109" i="18"/>
  <c r="Y58" i="18"/>
  <c r="Y56" i="18"/>
  <c r="Y49" i="18"/>
  <c r="Y121" i="18"/>
  <c r="Y203" i="18"/>
  <c r="Y280" i="18"/>
  <c r="Y152" i="18"/>
  <c r="Z207" i="18"/>
  <c r="Y187" i="18"/>
  <c r="Z164" i="18"/>
  <c r="Z172" i="18"/>
  <c r="Y293" i="18"/>
  <c r="BF88" i="18" l="1"/>
  <c r="X23" i="24"/>
  <c r="U23" i="24"/>
  <c r="AI23" i="24"/>
  <c r="AF23" i="24"/>
  <c r="AQ23" i="24"/>
  <c r="AN23" i="24"/>
  <c r="H39" i="24"/>
  <c r="E39" i="24"/>
  <c r="BJ39" i="24"/>
  <c r="BG39" i="24"/>
  <c r="H23" i="24"/>
  <c r="E23" i="24"/>
  <c r="AQ39" i="24"/>
  <c r="AN39" i="24"/>
  <c r="X39" i="24"/>
  <c r="U39" i="24"/>
  <c r="BJ23" i="24"/>
  <c r="BG23" i="24"/>
  <c r="BR23" i="24"/>
  <c r="BO23" i="24"/>
  <c r="BR39" i="24"/>
  <c r="BO39" i="24"/>
  <c r="AY39" i="24"/>
  <c r="AV39" i="24"/>
  <c r="W37" i="3"/>
  <c r="AA37" i="3" s="1"/>
  <c r="D14" i="5" s="1"/>
  <c r="E14" i="5" s="1"/>
  <c r="AJ679" i="11"/>
  <c r="AE785" i="11"/>
  <c r="AE786" i="11" s="1"/>
  <c r="AJ724" i="11"/>
  <c r="AG672" i="11"/>
  <c r="AG665" i="11"/>
  <c r="AG683" i="11"/>
  <c r="AG668" i="11"/>
  <c r="AG685" i="11"/>
  <c r="AG674" i="11"/>
  <c r="AG663" i="11"/>
  <c r="AG680" i="11"/>
  <c r="AG664" i="11"/>
  <c r="AG678" i="11"/>
  <c r="AG677" i="11"/>
  <c r="AG666" i="11"/>
  <c r="AG682" i="11"/>
  <c r="AG661" i="11"/>
  <c r="AG675" i="11"/>
  <c r="AG667" i="11"/>
  <c r="AG684" i="11"/>
  <c r="AG660" i="11"/>
  <c r="AG681" i="11"/>
  <c r="AG662" i="11"/>
  <c r="AG670" i="11"/>
  <c r="AG669" i="11"/>
  <c r="AG679" i="11"/>
  <c r="AG673" i="11"/>
  <c r="AG676" i="11"/>
  <c r="AG659" i="11"/>
  <c r="AF717" i="11"/>
  <c r="AF699" i="11"/>
  <c r="AF687" i="11"/>
  <c r="AF695" i="11"/>
  <c r="AF728" i="11"/>
  <c r="AF770" i="11"/>
  <c r="AF698" i="11"/>
  <c r="AF737" i="11"/>
  <c r="AF704" i="11"/>
  <c r="AF755" i="11"/>
  <c r="AF754" i="11"/>
  <c r="AF736" i="11"/>
  <c r="AF722" i="11"/>
  <c r="AF751" i="11"/>
  <c r="AF697" i="11"/>
  <c r="AF740" i="11"/>
  <c r="AF729" i="11"/>
  <c r="AF763" i="11"/>
  <c r="AF750" i="11"/>
  <c r="AF696" i="11"/>
  <c r="AF775" i="11"/>
  <c r="AF772" i="11"/>
  <c r="AF733" i="11"/>
  <c r="AF752" i="11"/>
  <c r="AF706" i="11"/>
  <c r="AF676" i="11"/>
  <c r="AF659" i="11"/>
  <c r="AF660" i="11"/>
  <c r="AF663" i="11"/>
  <c r="AF661" i="11"/>
  <c r="AF662" i="11"/>
  <c r="AF671" i="11"/>
  <c r="AF668" i="11"/>
  <c r="AF739" i="11"/>
  <c r="AF732" i="11"/>
  <c r="AF760" i="11"/>
  <c r="AF714" i="11"/>
  <c r="AF703" i="11"/>
  <c r="AF753" i="11"/>
  <c r="AF724" i="11"/>
  <c r="AF771" i="11"/>
  <c r="AF700" i="11"/>
  <c r="AF767" i="11"/>
  <c r="AF761" i="11"/>
  <c r="AF748" i="11"/>
  <c r="AF774" i="11"/>
  <c r="AF725" i="11"/>
  <c r="AF731" i="11"/>
  <c r="AF769" i="11"/>
  <c r="AF726" i="11"/>
  <c r="AF757" i="11"/>
  <c r="AF742" i="11"/>
  <c r="AF776" i="11"/>
  <c r="AF688" i="11"/>
  <c r="AF734" i="11"/>
  <c r="AF684" i="11"/>
  <c r="AF682" i="11"/>
  <c r="AF702" i="11"/>
  <c r="AF715" i="11"/>
  <c r="AF681" i="11"/>
  <c r="AF693" i="11"/>
  <c r="AF674" i="11"/>
  <c r="AF666" i="11"/>
  <c r="AF745" i="11"/>
  <c r="AF685" i="11"/>
  <c r="AF712" i="11"/>
  <c r="AF711" i="11"/>
  <c r="AF746" i="11"/>
  <c r="AF675" i="11"/>
  <c r="AF730" i="11"/>
  <c r="AF716" i="11"/>
  <c r="AF743" i="11"/>
  <c r="AF727" i="11"/>
  <c r="AF758" i="11"/>
  <c r="AF777" i="11"/>
  <c r="AF762" i="11"/>
  <c r="AF723" i="11"/>
  <c r="AF705" i="11"/>
  <c r="AF744" i="11"/>
  <c r="AF764" i="11"/>
  <c r="AF701" i="11"/>
  <c r="AF691" i="11"/>
  <c r="AF718" i="11"/>
  <c r="AF679" i="11"/>
  <c r="AF708" i="11"/>
  <c r="AF707" i="11"/>
  <c r="AF694" i="11"/>
  <c r="AF692" i="11"/>
  <c r="AF672" i="11"/>
  <c r="AF665" i="11"/>
  <c r="AF670" i="11"/>
  <c r="AF690" i="11"/>
  <c r="AF749" i="11"/>
  <c r="AF669" i="11"/>
  <c r="AF683" i="11"/>
  <c r="AF678" i="11"/>
  <c r="AF741" i="11"/>
  <c r="AF710" i="11"/>
  <c r="AF738" i="11"/>
  <c r="AF720" i="11"/>
  <c r="AF747" i="11"/>
  <c r="AF756" i="11"/>
  <c r="AF765" i="11"/>
  <c r="AF759" i="11"/>
  <c r="AF768" i="11"/>
  <c r="AF721" i="11"/>
  <c r="AF773" i="11"/>
  <c r="AF766" i="11"/>
  <c r="AF709" i="11"/>
  <c r="AF689" i="11"/>
  <c r="AF735" i="11"/>
  <c r="AF686" i="11"/>
  <c r="AF713" i="11"/>
  <c r="AF719" i="11"/>
  <c r="AF673" i="11"/>
  <c r="AF677" i="11"/>
  <c r="AF680" i="11"/>
  <c r="AF664" i="11"/>
  <c r="AF667" i="11"/>
  <c r="BF87" i="18"/>
  <c r="BF76" i="18"/>
  <c r="BF45" i="18"/>
  <c r="BF33" i="18"/>
  <c r="S264" i="18"/>
  <c r="B264" i="18" s="1"/>
  <c r="BF71" i="18"/>
  <c r="BF39" i="18"/>
  <c r="BF89" i="18"/>
  <c r="BF34" i="18"/>
  <c r="S285" i="18"/>
  <c r="B285" i="18" s="1"/>
  <c r="BF75" i="18"/>
  <c r="N16" i="10"/>
  <c r="BF78" i="18"/>
  <c r="BF70" i="18"/>
  <c r="BF50" i="18"/>
  <c r="BF42" i="18"/>
  <c r="S232" i="18"/>
  <c r="B232" i="18" s="1"/>
  <c r="BF24" i="18"/>
  <c r="BF73" i="18"/>
  <c r="BF82" i="18"/>
  <c r="AJ62" i="11"/>
  <c r="AJ65" i="11" s="1"/>
  <c r="BF53" i="18"/>
  <c r="S229" i="18"/>
  <c r="B229" i="18" s="1"/>
  <c r="AR13" i="2"/>
  <c r="AS13" i="2" s="1"/>
  <c r="G13" i="2" s="1"/>
  <c r="R13" i="10"/>
  <c r="AO22" i="2"/>
  <c r="AQ22" i="2" s="1"/>
  <c r="AS22" i="2" s="1"/>
  <c r="N16" i="2" s="1"/>
  <c r="H98" i="10" s="1"/>
  <c r="S249" i="18"/>
  <c r="B249" i="18" s="1"/>
  <c r="AO19" i="2"/>
  <c r="AQ19" i="2" s="1"/>
  <c r="AS19" i="2" s="1"/>
  <c r="W204" i="3"/>
  <c r="W31" i="3"/>
  <c r="AA31" i="3" s="1"/>
  <c r="AR16" i="2"/>
  <c r="AS16" i="2" s="1"/>
  <c r="AR11" i="2"/>
  <c r="AT11" i="2" s="1"/>
  <c r="AO20" i="2" s="1"/>
  <c r="H12" i="2"/>
  <c r="U204" i="3" s="1"/>
  <c r="AR14" i="2"/>
  <c r="AS14" i="2" s="1"/>
  <c r="G14" i="2" s="1"/>
  <c r="AW1083" i="11"/>
  <c r="BF59" i="18"/>
  <c r="Y296" i="18"/>
  <c r="AU1071" i="11" s="1"/>
  <c r="AY1071" i="11" s="1"/>
  <c r="Z296" i="18"/>
  <c r="AU1070" i="11" s="1"/>
  <c r="AY1070" i="11" s="1"/>
  <c r="BF86" i="18"/>
  <c r="S288" i="18"/>
  <c r="B288" i="18" s="1"/>
  <c r="BF58" i="18"/>
  <c r="S260" i="18"/>
  <c r="B260" i="18" s="1"/>
  <c r="S234" i="18"/>
  <c r="B234" i="18" s="1"/>
  <c r="BF32" i="18"/>
  <c r="S251" i="18"/>
  <c r="B251" i="18" s="1"/>
  <c r="BF49" i="18"/>
  <c r="BF25" i="18"/>
  <c r="S227" i="18"/>
  <c r="BF28" i="18"/>
  <c r="S230" i="18"/>
  <c r="B230" i="18" s="1"/>
  <c r="BF68" i="18"/>
  <c r="S270" i="18"/>
  <c r="BF57" i="18"/>
  <c r="S259" i="18"/>
  <c r="B259" i="18" s="1"/>
  <c r="S269" i="18"/>
  <c r="B269" i="18" s="1"/>
  <c r="BF67" i="18"/>
  <c r="S231" i="18"/>
  <c r="B231" i="18" s="1"/>
  <c r="BF29" i="18"/>
  <c r="S267" i="18"/>
  <c r="BF65" i="18"/>
  <c r="BF35" i="18"/>
  <c r="S237" i="18"/>
  <c r="B237" i="18" s="1"/>
  <c r="BF51" i="18"/>
  <c r="S253" i="18"/>
  <c r="B253" i="18" s="1"/>
  <c r="S266" i="18"/>
  <c r="B266" i="18" s="1"/>
  <c r="BF64" i="18"/>
  <c r="S240" i="18"/>
  <c r="B240" i="18" s="1"/>
  <c r="BF38" i="18"/>
  <c r="S257" i="18"/>
  <c r="BF55" i="18"/>
  <c r="S245" i="18"/>
  <c r="B245" i="18" s="1"/>
  <c r="BF43" i="18"/>
  <c r="AQ58" i="11"/>
  <c r="AO53" i="11"/>
  <c r="AP53" i="11"/>
  <c r="S283" i="18"/>
  <c r="B283" i="18" s="1"/>
  <c r="BF81" i="18"/>
  <c r="BF31" i="18"/>
  <c r="S233" i="18"/>
  <c r="B233" i="18" s="1"/>
  <c r="S242" i="18"/>
  <c r="B242" i="18" s="1"/>
  <c r="BF40" i="18"/>
  <c r="BF69" i="18"/>
  <c r="S271" i="18"/>
  <c r="B271" i="18" s="1"/>
  <c r="S243" i="18"/>
  <c r="B243" i="18" s="1"/>
  <c r="BF41" i="18"/>
  <c r="BF63" i="18"/>
  <c r="S265" i="18"/>
  <c r="B265" i="18" s="1"/>
  <c r="BF46" i="18"/>
  <c r="S248" i="18"/>
  <c r="B248" i="18" s="1"/>
  <c r="BF44" i="18"/>
  <c r="S246" i="18"/>
  <c r="B246" i="18" s="1"/>
  <c r="BF56" i="18"/>
  <c r="S258" i="18"/>
  <c r="B258" i="18" s="1"/>
  <c r="AD148" i="3"/>
  <c r="AD146" i="3"/>
  <c r="AD150" i="3"/>
  <c r="AD145" i="3"/>
  <c r="AD147" i="3"/>
  <c r="S279" i="18"/>
  <c r="B279" i="18" s="1"/>
  <c r="BF77" i="18"/>
  <c r="BF37" i="18"/>
  <c r="S239" i="18"/>
  <c r="B239" i="18" s="1"/>
  <c r="S254" i="18"/>
  <c r="B254" i="18" s="1"/>
  <c r="BF52" i="18"/>
  <c r="BF54" i="18"/>
  <c r="S256" i="18"/>
  <c r="B256" i="18" s="1"/>
  <c r="S268" i="18"/>
  <c r="B268" i="18" s="1"/>
  <c r="BF66" i="18"/>
  <c r="BF85" i="18"/>
  <c r="S287" i="18"/>
  <c r="B287" i="18" s="1"/>
  <c r="S262" i="18"/>
  <c r="B262" i="18" s="1"/>
  <c r="BF60" i="18"/>
  <c r="BF48" i="18"/>
  <c r="S250" i="18"/>
  <c r="B250" i="18" s="1"/>
  <c r="BF72" i="18"/>
  <c r="S274" i="18"/>
  <c r="B274" i="18" s="1"/>
  <c r="BF84" i="18"/>
  <c r="S286" i="18"/>
  <c r="B286" i="18" s="1"/>
  <c r="S281" i="18"/>
  <c r="B281" i="18" s="1"/>
  <c r="BF79" i="18"/>
  <c r="BF36" i="18"/>
  <c r="S238" i="18"/>
  <c r="B238" i="18" s="1"/>
  <c r="AD149" i="3"/>
  <c r="S276" i="18"/>
  <c r="B276" i="18" s="1"/>
  <c r="BF74" i="18"/>
  <c r="AD144" i="3"/>
  <c r="S282" i="18"/>
  <c r="B282" i="18" s="1"/>
  <c r="BF80" i="18"/>
  <c r="S228" i="18"/>
  <c r="B228" i="18" s="1"/>
  <c r="BF26" i="18"/>
  <c r="Y37" i="10" l="1"/>
  <c r="G16" i="2"/>
  <c r="I1077" i="11" s="1"/>
  <c r="AF778" i="11"/>
  <c r="F38" i="4"/>
  <c r="Q31" i="4"/>
  <c r="D40" i="4"/>
  <c r="E40" i="4" s="1"/>
  <c r="C39" i="4" s="1"/>
  <c r="O33" i="4"/>
  <c r="P33" i="4" s="1"/>
  <c r="N32" i="4" s="1"/>
  <c r="AJ680" i="11"/>
  <c r="AK675" i="11" s="1"/>
  <c r="AE787" i="11"/>
  <c r="AF779" i="11"/>
  <c r="AJ725" i="11"/>
  <c r="I1075" i="11"/>
  <c r="D33" i="4"/>
  <c r="E33" i="4" s="1"/>
  <c r="C32" i="4" s="1"/>
  <c r="AW1092" i="11"/>
  <c r="I1106" i="11"/>
  <c r="V83" i="3" s="1"/>
  <c r="B241" i="18"/>
  <c r="AI31" i="1"/>
  <c r="F31" i="4"/>
  <c r="Z204" i="3"/>
  <c r="N11" i="2" s="1"/>
  <c r="E12" i="10" s="1"/>
  <c r="B270" i="18"/>
  <c r="G60" i="2"/>
  <c r="J60" i="2" s="1"/>
  <c r="L31" i="14" s="1"/>
  <c r="G59" i="2"/>
  <c r="J59" i="2" s="1"/>
  <c r="V16" i="10" s="1"/>
  <c r="AX1087" i="11"/>
  <c r="H13" i="2"/>
  <c r="E843" i="11" s="1"/>
  <c r="AJ64" i="11"/>
  <c r="AI64" i="11" s="1"/>
  <c r="W38" i="3"/>
  <c r="AA38" i="3" s="1"/>
  <c r="D16" i="5" s="1"/>
  <c r="E16" i="5" s="1"/>
  <c r="B277" i="18"/>
  <c r="G58" i="2"/>
  <c r="J58" i="2" s="1"/>
  <c r="L29" i="14" s="1"/>
  <c r="B257" i="18"/>
  <c r="B267" i="18"/>
  <c r="W33" i="3"/>
  <c r="AA33" i="3" s="1"/>
  <c r="E23" i="4"/>
  <c r="W32" i="3"/>
  <c r="AA32" i="3" s="1"/>
  <c r="U866" i="11"/>
  <c r="AI65" i="11"/>
  <c r="U863" i="11"/>
  <c r="J13" i="10"/>
  <c r="U654" i="11"/>
  <c r="AS99" i="9" s="1"/>
  <c r="U862" i="11"/>
  <c r="AW45" i="4" s="1"/>
  <c r="U867" i="11"/>
  <c r="AW1082" i="11"/>
  <c r="U869" i="11"/>
  <c r="W39" i="3"/>
  <c r="AA39" i="3" s="1"/>
  <c r="D18" i="5" s="1"/>
  <c r="E18" i="5" s="1"/>
  <c r="N810" i="11"/>
  <c r="U864" i="11"/>
  <c r="U868" i="11"/>
  <c r="U777" i="11"/>
  <c r="Y777" i="11" s="1"/>
  <c r="U870" i="11"/>
  <c r="F13" i="10"/>
  <c r="AS11" i="2"/>
  <c r="G11" i="2" s="1"/>
  <c r="W36" i="3" s="1"/>
  <c r="AA36" i="3" s="1"/>
  <c r="D12" i="5" s="1"/>
  <c r="H14" i="2"/>
  <c r="U865" i="11"/>
  <c r="U871" i="11"/>
  <c r="F23" i="4"/>
  <c r="B227" i="18"/>
  <c r="B296" i="18"/>
  <c r="B294" i="18"/>
  <c r="B292" i="18"/>
  <c r="B295" i="18"/>
  <c r="B293" i="18"/>
  <c r="BG24" i="18"/>
  <c r="BK24" i="18" s="1"/>
  <c r="BQ6" i="18" s="1"/>
  <c r="BG89" i="18"/>
  <c r="BK89" i="18" s="1"/>
  <c r="BG46" i="18"/>
  <c r="BK46" i="18" s="1"/>
  <c r="BG45" i="18"/>
  <c r="BK45" i="18" s="1"/>
  <c r="BG43" i="18"/>
  <c r="BK43" i="18" s="1"/>
  <c r="BG76" i="18"/>
  <c r="BK76" i="18" s="1"/>
  <c r="BG29" i="18"/>
  <c r="BK29" i="18" s="1"/>
  <c r="BQ11" i="18" s="1"/>
  <c r="BG83" i="18"/>
  <c r="BK83" i="18" s="1"/>
  <c r="BG25" i="18"/>
  <c r="BK25" i="18" s="1"/>
  <c r="BQ7" i="18" s="1"/>
  <c r="BG27" i="18"/>
  <c r="BK27" i="18" s="1"/>
  <c r="BQ9" i="18" s="1"/>
  <c r="BG30" i="18"/>
  <c r="BK30" i="18" s="1"/>
  <c r="BQ12" i="18" s="1"/>
  <c r="BG82" i="18"/>
  <c r="BK82" i="18" s="1"/>
  <c r="BG47" i="18"/>
  <c r="BK47" i="18" s="1"/>
  <c r="BG70" i="18"/>
  <c r="BK70" i="18" s="1"/>
  <c r="BG88" i="18"/>
  <c r="BK88" i="18" s="1"/>
  <c r="BG38" i="18"/>
  <c r="BK38" i="18" s="1"/>
  <c r="BQ20" i="18" s="1"/>
  <c r="BG73" i="18"/>
  <c r="BK73" i="18" s="1"/>
  <c r="BG65" i="18"/>
  <c r="BK65" i="18" s="1"/>
  <c r="BG64" i="18"/>
  <c r="BK64" i="18" s="1"/>
  <c r="BG78" i="18"/>
  <c r="BK78" i="18" s="1"/>
  <c r="BG56" i="18"/>
  <c r="BK56" i="18" s="1"/>
  <c r="BG71" i="18"/>
  <c r="BK71" i="18" s="1"/>
  <c r="BG85" i="18"/>
  <c r="BK85" i="18" s="1"/>
  <c r="BG35" i="18"/>
  <c r="BK35" i="18" s="1"/>
  <c r="BQ17" i="18" s="1"/>
  <c r="BG67" i="18"/>
  <c r="BK67" i="18" s="1"/>
  <c r="BG57" i="18"/>
  <c r="BK57" i="18" s="1"/>
  <c r="BG36" i="18"/>
  <c r="BK36" i="18" s="1"/>
  <c r="BQ18" i="18" s="1"/>
  <c r="BG50" i="18"/>
  <c r="BK50" i="18" s="1"/>
  <c r="BG80" i="18"/>
  <c r="BK80" i="18" s="1"/>
  <c r="BG87" i="18"/>
  <c r="BK87" i="18" s="1"/>
  <c r="BG69" i="18"/>
  <c r="BK69" i="18" s="1"/>
  <c r="BG55" i="18"/>
  <c r="BK55" i="18" s="1"/>
  <c r="BG72" i="18"/>
  <c r="BK72" i="18" s="1"/>
  <c r="BG81" i="18"/>
  <c r="BK81" i="18" s="1"/>
  <c r="BG26" i="18"/>
  <c r="BK26" i="18" s="1"/>
  <c r="BQ8" i="18" s="1"/>
  <c r="BG61" i="18"/>
  <c r="BK61" i="18" s="1"/>
  <c r="BG49" i="18"/>
  <c r="BK49" i="18" s="1"/>
  <c r="BG39" i="18"/>
  <c r="BK39" i="18" s="1"/>
  <c r="BG44" i="18"/>
  <c r="BK44" i="18" s="1"/>
  <c r="BG48" i="18"/>
  <c r="BK48" i="18" s="1"/>
  <c r="BG40" i="18"/>
  <c r="BK40" i="18" s="1"/>
  <c r="BG41" i="18"/>
  <c r="BK41" i="18" s="1"/>
  <c r="BG66" i="18"/>
  <c r="BK66" i="18" s="1"/>
  <c r="BG33" i="18"/>
  <c r="BK33" i="18" s="1"/>
  <c r="BQ15" i="18" s="1"/>
  <c r="BG51" i="18"/>
  <c r="BK51" i="18" s="1"/>
  <c r="BG31" i="18"/>
  <c r="BK31" i="18" s="1"/>
  <c r="BQ13" i="18" s="1"/>
  <c r="BG59" i="18"/>
  <c r="BK59" i="18" s="1"/>
  <c r="BG60" i="18"/>
  <c r="BK60" i="18" s="1"/>
  <c r="BG53" i="18"/>
  <c r="BK53" i="18" s="1"/>
  <c r="BG58" i="18"/>
  <c r="BK58" i="18" s="1"/>
  <c r="BG75" i="18"/>
  <c r="BK75" i="18" s="1"/>
  <c r="BG77" i="18"/>
  <c r="BK77" i="18" s="1"/>
  <c r="BG37" i="18"/>
  <c r="BK37" i="18" s="1"/>
  <c r="BQ19" i="18" s="1"/>
  <c r="BG86" i="18"/>
  <c r="BK86" i="18" s="1"/>
  <c r="BG34" i="18"/>
  <c r="BK34" i="18" s="1"/>
  <c r="BQ16" i="18" s="1"/>
  <c r="BG32" i="18"/>
  <c r="BK32" i="18" s="1"/>
  <c r="BQ14" i="18" s="1"/>
  <c r="BG52" i="18"/>
  <c r="BK52" i="18" s="1"/>
  <c r="BG74" i="18"/>
  <c r="BK74" i="18" s="1"/>
  <c r="BG42" i="18"/>
  <c r="BK42" i="18" s="1"/>
  <c r="BG68" i="18"/>
  <c r="BK68" i="18" s="1"/>
  <c r="BG54" i="18"/>
  <c r="BK54" i="18" s="1"/>
  <c r="BG79" i="18"/>
  <c r="BK79" i="18" s="1"/>
  <c r="BG28" i="18"/>
  <c r="BK28" i="18" s="1"/>
  <c r="BQ10" i="18" s="1"/>
  <c r="BG62" i="18"/>
  <c r="BK62" i="18" s="1"/>
  <c r="BG84" i="18"/>
  <c r="BK84" i="18" s="1"/>
  <c r="BG63" i="18"/>
  <c r="BK63" i="18" s="1"/>
  <c r="M9" i="2"/>
  <c r="O9" i="2" s="1"/>
  <c r="J11" i="2" s="1"/>
  <c r="AQ57" i="11"/>
  <c r="AR57" i="11" s="1"/>
  <c r="AQ53" i="11"/>
  <c r="AR53" i="11" s="1"/>
  <c r="AQ54" i="11"/>
  <c r="AR54" i="11" s="1"/>
  <c r="AQ51" i="11"/>
  <c r="AQ52" i="11"/>
  <c r="AQ56" i="11"/>
  <c r="AR56" i="11" s="1"/>
  <c r="AQ55" i="11"/>
  <c r="AR55" i="11" s="1"/>
  <c r="AT99" i="9" l="1"/>
  <c r="AD118" i="9"/>
  <c r="AW1089" i="11"/>
  <c r="R14" i="10"/>
  <c r="AW1094" i="11"/>
  <c r="H16" i="2"/>
  <c r="U160" i="3" s="1"/>
  <c r="AA160" i="3" s="1"/>
  <c r="AE788" i="11"/>
  <c r="AE789" i="11" s="1"/>
  <c r="AE790" i="11" s="1"/>
  <c r="AE791" i="11" s="1"/>
  <c r="AE792" i="11" s="1"/>
  <c r="AE793" i="11" s="1"/>
  <c r="AE794" i="11" s="1"/>
  <c r="AE795" i="11" s="1"/>
  <c r="AE796" i="11" s="1"/>
  <c r="AE797" i="11" s="1"/>
  <c r="AE798" i="11" s="1"/>
  <c r="AE799" i="11" s="1"/>
  <c r="AE800" i="11" s="1"/>
  <c r="AE801" i="11" s="1"/>
  <c r="AE802" i="11" s="1"/>
  <c r="AF780" i="11"/>
  <c r="AJ681" i="11"/>
  <c r="AJ726" i="11"/>
  <c r="AG655" i="11"/>
  <c r="AG654" i="11" s="1"/>
  <c r="AF655" i="11"/>
  <c r="E846" i="11"/>
  <c r="E845" i="11"/>
  <c r="E841" i="11"/>
  <c r="E844" i="11"/>
  <c r="Y832" i="11"/>
  <c r="E707" i="11"/>
  <c r="U191" i="3"/>
  <c r="AA191" i="3" s="1"/>
  <c r="E775" i="11"/>
  <c r="E959" i="11"/>
  <c r="X959" i="11" s="1"/>
  <c r="E948" i="11"/>
  <c r="X948" i="11" s="1"/>
  <c r="E958" i="11"/>
  <c r="X958" i="11" s="1"/>
  <c r="E956" i="11"/>
  <c r="X956" i="11" s="1"/>
  <c r="E954" i="11"/>
  <c r="X954" i="11" s="1"/>
  <c r="E953" i="11"/>
  <c r="X953" i="11" s="1"/>
  <c r="E952" i="11"/>
  <c r="X952" i="11" s="1"/>
  <c r="E951" i="11"/>
  <c r="X951" i="11" s="1"/>
  <c r="E950" i="11"/>
  <c r="X950" i="11" s="1"/>
  <c r="E949" i="11"/>
  <c r="X949" i="11" s="1"/>
  <c r="E957" i="11"/>
  <c r="X957" i="11" s="1"/>
  <c r="E955" i="11"/>
  <c r="X955" i="11" s="1"/>
  <c r="E12" i="5"/>
  <c r="E24" i="5" s="1"/>
  <c r="D24" i="5"/>
  <c r="I37" i="10" s="1"/>
  <c r="AH32" i="1"/>
  <c r="R16" i="10"/>
  <c r="AH16" i="8"/>
  <c r="AH15" i="8"/>
  <c r="AD15" i="8"/>
  <c r="AD17" i="8"/>
  <c r="AD16" i="8"/>
  <c r="AH17" i="8"/>
  <c r="F16" i="10"/>
  <c r="U187" i="3"/>
  <c r="AA187" i="3" s="1"/>
  <c r="Q65" i="2" s="1"/>
  <c r="Q37" i="10"/>
  <c r="L30" i="14"/>
  <c r="W30" i="3"/>
  <c r="AA30" i="3" s="1"/>
  <c r="W25" i="3"/>
  <c r="U180" i="3"/>
  <c r="AA180" i="3" s="1"/>
  <c r="AB180" i="3" s="1"/>
  <c r="N13" i="10"/>
  <c r="AV1069" i="11"/>
  <c r="J32" i="2"/>
  <c r="AG98" i="10" s="1"/>
  <c r="U194" i="3"/>
  <c r="AA194" i="3" s="1"/>
  <c r="Q2192" i="11" s="1"/>
  <c r="W2192" i="11" s="1"/>
  <c r="AB2192" i="11" s="1"/>
  <c r="AY1069" i="11"/>
  <c r="V134" i="3" s="1"/>
  <c r="W106" i="3"/>
  <c r="AA106" i="3" s="1"/>
  <c r="U177" i="3"/>
  <c r="AA177" i="3" s="1"/>
  <c r="Q2175" i="11" s="1"/>
  <c r="W2175" i="11" s="1"/>
  <c r="AB2175" i="11" s="1"/>
  <c r="U186" i="3"/>
  <c r="AA186" i="3" s="1"/>
  <c r="AQ34" i="6"/>
  <c r="W26" i="3"/>
  <c r="U192" i="3"/>
  <c r="AA192" i="3" s="1"/>
  <c r="AB192" i="3" s="1"/>
  <c r="W122" i="3"/>
  <c r="AA122" i="3" s="1"/>
  <c r="U193" i="3"/>
  <c r="AA193" i="3" s="1"/>
  <c r="Q2191" i="11" s="1"/>
  <c r="W2191" i="11" s="1"/>
  <c r="AB2191" i="11" s="1"/>
  <c r="Y773" i="11"/>
  <c r="H11" i="2"/>
  <c r="Y776" i="11"/>
  <c r="E905" i="11"/>
  <c r="X905" i="11" s="1"/>
  <c r="Y774" i="11"/>
  <c r="E894" i="11"/>
  <c r="X894" i="11" s="1"/>
  <c r="Y654" i="11"/>
  <c r="Y749" i="11"/>
  <c r="Y866" i="11"/>
  <c r="Y830" i="11"/>
  <c r="U150" i="3"/>
  <c r="U178" i="3"/>
  <c r="AA178" i="3" s="1"/>
  <c r="U182" i="3"/>
  <c r="AA182" i="3" s="1"/>
  <c r="E915" i="11"/>
  <c r="X915" i="11" s="1"/>
  <c r="Y784" i="11"/>
  <c r="U175" i="3"/>
  <c r="AA175" i="3" s="1"/>
  <c r="Y747" i="11"/>
  <c r="Y663" i="11"/>
  <c r="E946" i="11"/>
  <c r="X946" i="11" s="1"/>
  <c r="Y875" i="11"/>
  <c r="Y675" i="11"/>
  <c r="Y702" i="11"/>
  <c r="Y733" i="11"/>
  <c r="Y770" i="11"/>
  <c r="Y697" i="11"/>
  <c r="E906" i="11"/>
  <c r="X906" i="11" s="1"/>
  <c r="Y721" i="11"/>
  <c r="Y827" i="11"/>
  <c r="Y754" i="11"/>
  <c r="Y670" i="11"/>
  <c r="E904" i="11"/>
  <c r="X904" i="11" s="1"/>
  <c r="Y676" i="11"/>
  <c r="Y881" i="11"/>
  <c r="Y878" i="11"/>
  <c r="E897" i="11"/>
  <c r="X897" i="11" s="1"/>
  <c r="E927" i="11"/>
  <c r="X927" i="11" s="1"/>
  <c r="Y731" i="11"/>
  <c r="Y729" i="11"/>
  <c r="Y763" i="11"/>
  <c r="Y718" i="11"/>
  <c r="Y756" i="11"/>
  <c r="Y882" i="11"/>
  <c r="Y871" i="11"/>
  <c r="Y698" i="11"/>
  <c r="E939" i="11"/>
  <c r="X939" i="11" s="1"/>
  <c r="E925" i="11"/>
  <c r="X925" i="11" s="1"/>
  <c r="Y745" i="11"/>
  <c r="E930" i="11"/>
  <c r="X930" i="11" s="1"/>
  <c r="Y674" i="11"/>
  <c r="Y712" i="11"/>
  <c r="Y664" i="11"/>
  <c r="Y669" i="11"/>
  <c r="Y862" i="11"/>
  <c r="Y696" i="11"/>
  <c r="Y759" i="11"/>
  <c r="Y704" i="11"/>
  <c r="Y688" i="11"/>
  <c r="Y726" i="11"/>
  <c r="Y711" i="11"/>
  <c r="E909" i="11"/>
  <c r="X909" i="11" s="1"/>
  <c r="Y813" i="11"/>
  <c r="Y735" i="11"/>
  <c r="E913" i="11"/>
  <c r="X913" i="11" s="1"/>
  <c r="E938" i="11"/>
  <c r="X938" i="11" s="1"/>
  <c r="E903" i="11"/>
  <c r="X903" i="11" s="1"/>
  <c r="E911" i="11"/>
  <c r="X911" i="11" s="1"/>
  <c r="Y768" i="11"/>
  <c r="Y738" i="11"/>
  <c r="Y665" i="11"/>
  <c r="Y741" i="11"/>
  <c r="Y713" i="11"/>
  <c r="Y683" i="11"/>
  <c r="Y876" i="11"/>
  <c r="Y743" i="11"/>
  <c r="Y686" i="11"/>
  <c r="E934" i="11"/>
  <c r="X934" i="11" s="1"/>
  <c r="Y716" i="11"/>
  <c r="Y761" i="11"/>
  <c r="Y671" i="11"/>
  <c r="Y655" i="11"/>
  <c r="Y678" i="11"/>
  <c r="Y662" i="11"/>
  <c r="E898" i="11"/>
  <c r="X898" i="11" s="1"/>
  <c r="E921" i="11"/>
  <c r="X921" i="11" s="1"/>
  <c r="E901" i="11"/>
  <c r="X901" i="11" s="1"/>
  <c r="E912" i="11"/>
  <c r="X912" i="11" s="1"/>
  <c r="Y865" i="11"/>
  <c r="Y767" i="11"/>
  <c r="Y728" i="11"/>
  <c r="Y659" i="11"/>
  <c r="Y727" i="11"/>
  <c r="Y764" i="11"/>
  <c r="Y717" i="11"/>
  <c r="E812" i="11"/>
  <c r="Y869" i="11"/>
  <c r="Y685" i="11"/>
  <c r="Y722" i="11"/>
  <c r="Y701" i="11"/>
  <c r="Y880" i="11"/>
  <c r="Y739" i="11"/>
  <c r="Y677" i="11"/>
  <c r="Y667" i="11"/>
  <c r="Y660" i="11"/>
  <c r="Y864" i="11"/>
  <c r="Y740" i="11"/>
  <c r="Y690" i="11"/>
  <c r="Y710" i="11"/>
  <c r="Y699" i="11"/>
  <c r="Y863" i="11"/>
  <c r="E935" i="11"/>
  <c r="X935" i="11" s="1"/>
  <c r="E933" i="11"/>
  <c r="X933" i="11" s="1"/>
  <c r="E941" i="11"/>
  <c r="X941" i="11" s="1"/>
  <c r="E896" i="11"/>
  <c r="X896" i="11" s="1"/>
  <c r="E924" i="11"/>
  <c r="X924" i="11" s="1"/>
  <c r="AV1096" i="11"/>
  <c r="Y757" i="11"/>
  <c r="Y656" i="11"/>
  <c r="Y826" i="11"/>
  <c r="Y723" i="11"/>
  <c r="Y879" i="11"/>
  <c r="Y815" i="11"/>
  <c r="Y693" i="11"/>
  <c r="Y673" i="11"/>
  <c r="Y709" i="11"/>
  <c r="Y689" i="11"/>
  <c r="Y752" i="11"/>
  <c r="E741" i="11"/>
  <c r="Y877" i="11"/>
  <c r="Y820" i="11"/>
  <c r="Y742" i="11"/>
  <c r="Y758" i="11"/>
  <c r="Y755" i="11"/>
  <c r="Y765" i="11"/>
  <c r="Y691" i="11"/>
  <c r="E919" i="11"/>
  <c r="X919" i="11" s="1"/>
  <c r="Y687" i="11"/>
  <c r="Y680" i="11"/>
  <c r="Y700" i="11"/>
  <c r="Y657" i="11"/>
  <c r="Y874" i="11"/>
  <c r="Y714" i="11"/>
  <c r="Y684" i="11"/>
  <c r="Y753" i="11"/>
  <c r="Y695" i="11"/>
  <c r="E910" i="11"/>
  <c r="X910" i="11" s="1"/>
  <c r="Y681" i="11"/>
  <c r="Y769" i="11"/>
  <c r="Y705" i="11"/>
  <c r="Y736" i="11"/>
  <c r="Y870" i="11"/>
  <c r="Y724" i="11"/>
  <c r="Y719" i="11"/>
  <c r="E928" i="11"/>
  <c r="X928" i="11" s="1"/>
  <c r="E917" i="11"/>
  <c r="X917" i="11" s="1"/>
  <c r="E918" i="11"/>
  <c r="X918" i="11" s="1"/>
  <c r="E908" i="11"/>
  <c r="X908" i="11" s="1"/>
  <c r="E923" i="11"/>
  <c r="X923" i="11" s="1"/>
  <c r="E895" i="11"/>
  <c r="X895" i="11" s="1"/>
  <c r="E922" i="11"/>
  <c r="X922" i="11" s="1"/>
  <c r="E945" i="11"/>
  <c r="X945" i="11" s="1"/>
  <c r="E931" i="11"/>
  <c r="X931" i="11" s="1"/>
  <c r="E914" i="11"/>
  <c r="X914" i="11" s="1"/>
  <c r="U149" i="3"/>
  <c r="Y760" i="11"/>
  <c r="Y751" i="11"/>
  <c r="W28" i="3"/>
  <c r="AA28" i="3" s="1"/>
  <c r="S17" i="4" s="1"/>
  <c r="Y817" i="11"/>
  <c r="Y692" i="11"/>
  <c r="Y748" i="11"/>
  <c r="Y783" i="11"/>
  <c r="Y732" i="11"/>
  <c r="Y707" i="11"/>
  <c r="E856" i="11"/>
  <c r="Y867" i="11"/>
  <c r="Y744" i="11"/>
  <c r="Y766" i="11"/>
  <c r="Y762" i="11"/>
  <c r="Y812" i="11"/>
  <c r="E936" i="11"/>
  <c r="X936" i="11" s="1"/>
  <c r="Y746" i="11"/>
  <c r="Y720" i="11"/>
  <c r="Y672" i="11"/>
  <c r="Y703" i="11"/>
  <c r="Y682" i="11"/>
  <c r="Y653" i="11"/>
  <c r="Y737" i="11"/>
  <c r="E899" i="11"/>
  <c r="X899" i="11" s="1"/>
  <c r="Y706" i="11"/>
  <c r="Y715" i="11"/>
  <c r="Y708" i="11"/>
  <c r="Y661" i="11"/>
  <c r="Y679" i="11"/>
  <c r="Y694" i="11"/>
  <c r="Y666" i="11"/>
  <c r="E743" i="11"/>
  <c r="Y750" i="11"/>
  <c r="E926" i="11"/>
  <c r="X926" i="11" s="1"/>
  <c r="Y873" i="11"/>
  <c r="Y668" i="11"/>
  <c r="Y725" i="11"/>
  <c r="Y828" i="11"/>
  <c r="E708" i="11"/>
  <c r="Y868" i="11"/>
  <c r="Y775" i="11"/>
  <c r="E940" i="11"/>
  <c r="X940" i="11" s="1"/>
  <c r="E947" i="11"/>
  <c r="X947" i="11" s="1"/>
  <c r="E907" i="11"/>
  <c r="X907" i="11" s="1"/>
  <c r="E900" i="11"/>
  <c r="X900" i="11" s="1"/>
  <c r="E937" i="11"/>
  <c r="X937" i="11" s="1"/>
  <c r="E916" i="11"/>
  <c r="X916" i="11" s="1"/>
  <c r="E920" i="11"/>
  <c r="X920" i="11" s="1"/>
  <c r="E932" i="11"/>
  <c r="X932" i="11" s="1"/>
  <c r="E929" i="11"/>
  <c r="X929" i="11" s="1"/>
  <c r="E902" i="11"/>
  <c r="X902" i="11" s="1"/>
  <c r="AK32" i="1"/>
  <c r="K12" i="2"/>
  <c r="M11" i="2"/>
  <c r="K11" i="2" s="1"/>
  <c r="E20" i="2"/>
  <c r="AR128" i="18"/>
  <c r="AQ128" i="18" s="1"/>
  <c r="AR69" i="18"/>
  <c r="AQ69" i="18" s="1"/>
  <c r="AR132" i="18"/>
  <c r="AQ132" i="18" s="1"/>
  <c r="AR98" i="18"/>
  <c r="AQ98" i="18" s="1"/>
  <c r="AR103" i="18"/>
  <c r="AQ103" i="18" s="1"/>
  <c r="AR59" i="18"/>
  <c r="AR104" i="18"/>
  <c r="AQ104" i="18" s="1"/>
  <c r="AR101" i="18"/>
  <c r="AQ101" i="18" s="1"/>
  <c r="AR100" i="18"/>
  <c r="AQ100" i="18" s="1"/>
  <c r="AR121" i="18"/>
  <c r="AQ121" i="18" s="1"/>
  <c r="AR109" i="18"/>
  <c r="AQ109" i="18" s="1"/>
  <c r="AR133" i="18"/>
  <c r="AQ133" i="18" s="1"/>
  <c r="AR81" i="18"/>
  <c r="AQ81" i="18" s="1"/>
  <c r="AR117" i="18"/>
  <c r="AQ117" i="18" s="1"/>
  <c r="AR61" i="18"/>
  <c r="AQ61" i="18" s="1"/>
  <c r="AR92" i="18"/>
  <c r="AQ92" i="18" s="1"/>
  <c r="AR67" i="18"/>
  <c r="AQ67" i="18" s="1"/>
  <c r="AR134" i="18"/>
  <c r="AQ134" i="18" s="1"/>
  <c r="AR18" i="18"/>
  <c r="AR30" i="18"/>
  <c r="AR44" i="18"/>
  <c r="AR29" i="18"/>
  <c r="AR39" i="18"/>
  <c r="AR7" i="18"/>
  <c r="AR136" i="18"/>
  <c r="AQ136" i="18" s="1"/>
  <c r="AR14" i="18"/>
  <c r="AR17" i="18"/>
  <c r="AR16" i="18"/>
  <c r="AR43" i="18"/>
  <c r="AR47" i="18"/>
  <c r="AR21" i="18"/>
  <c r="AR35" i="18"/>
  <c r="AR51" i="18"/>
  <c r="AR68" i="18"/>
  <c r="AQ68" i="18" s="1"/>
  <c r="AR110" i="18"/>
  <c r="AQ110" i="18" s="1"/>
  <c r="AR120" i="18"/>
  <c r="AQ120" i="18" s="1"/>
  <c r="AR57" i="18"/>
  <c r="AR24" i="18"/>
  <c r="AR56" i="18"/>
  <c r="AR9" i="18"/>
  <c r="AR33" i="18"/>
  <c r="AR130" i="18"/>
  <c r="AQ130" i="18" s="1"/>
  <c r="AR38" i="18"/>
  <c r="AR78" i="18"/>
  <c r="AQ78" i="18" s="1"/>
  <c r="AR42" i="18"/>
  <c r="AR46" i="18"/>
  <c r="AR88" i="18"/>
  <c r="AQ88" i="18" s="1"/>
  <c r="AR135" i="18"/>
  <c r="AQ135" i="18" s="1"/>
  <c r="AR85" i="18"/>
  <c r="AQ85" i="18" s="1"/>
  <c r="AR53" i="18"/>
  <c r="AR13" i="18"/>
  <c r="AR37" i="18"/>
  <c r="AR31" i="18"/>
  <c r="AR34" i="18"/>
  <c r="AR131" i="18"/>
  <c r="AQ131" i="18" s="1"/>
  <c r="AR79" i="18"/>
  <c r="AQ79" i="18" s="1"/>
  <c r="AR73" i="18"/>
  <c r="AQ73" i="18" s="1"/>
  <c r="AR70" i="18"/>
  <c r="AQ70" i="18" s="1"/>
  <c r="AR72" i="18"/>
  <c r="AQ72" i="18" s="1"/>
  <c r="AR119" i="18"/>
  <c r="AQ119" i="18" s="1"/>
  <c r="AR80" i="18"/>
  <c r="AQ80" i="18" s="1"/>
  <c r="AR143" i="18"/>
  <c r="AQ143" i="18" s="1"/>
  <c r="AR63" i="18"/>
  <c r="AQ63" i="18" s="1"/>
  <c r="AR113" i="18"/>
  <c r="AQ113" i="18" s="1"/>
  <c r="AR91" i="18"/>
  <c r="AQ91" i="18" s="1"/>
  <c r="AR97" i="18"/>
  <c r="AQ97" i="18" s="1"/>
  <c r="AR75" i="18"/>
  <c r="AQ75" i="18" s="1"/>
  <c r="AR84" i="18"/>
  <c r="AQ84" i="18" s="1"/>
  <c r="AR125" i="18"/>
  <c r="AQ125" i="18" s="1"/>
  <c r="AR124" i="18"/>
  <c r="AQ124" i="18" s="1"/>
  <c r="AR141" i="18"/>
  <c r="AQ141" i="18" s="1"/>
  <c r="AR20" i="18"/>
  <c r="AR41" i="18"/>
  <c r="AR22" i="18"/>
  <c r="AR25" i="18"/>
  <c r="AR36" i="18"/>
  <c r="AR8" i="18"/>
  <c r="AR40" i="18"/>
  <c r="AR45" i="18"/>
  <c r="AR54" i="18"/>
  <c r="AR15" i="18"/>
  <c r="AR83" i="18"/>
  <c r="AQ83" i="18" s="1"/>
  <c r="AR145" i="18"/>
  <c r="AQ145" i="18" s="1"/>
  <c r="AR129" i="18"/>
  <c r="AQ129" i="18" s="1"/>
  <c r="AR93" i="18"/>
  <c r="AQ93" i="18" s="1"/>
  <c r="AR10" i="18"/>
  <c r="AR89" i="18"/>
  <c r="AQ89" i="18" s="1"/>
  <c r="AR27" i="18"/>
  <c r="AR28" i="18"/>
  <c r="AR138" i="18"/>
  <c r="AQ138" i="18" s="1"/>
  <c r="AR106" i="18"/>
  <c r="AQ106" i="18" s="1"/>
  <c r="AR142" i="18"/>
  <c r="AQ142" i="18" s="1"/>
  <c r="AR86" i="18"/>
  <c r="AQ86" i="18" s="1"/>
  <c r="AR82" i="18"/>
  <c r="AQ82" i="18" s="1"/>
  <c r="AR108" i="18"/>
  <c r="AQ108" i="18" s="1"/>
  <c r="AR66" i="18"/>
  <c r="AQ66" i="18" s="1"/>
  <c r="AR126" i="18"/>
  <c r="AQ126" i="18" s="1"/>
  <c r="AR137" i="18"/>
  <c r="AQ137" i="18" s="1"/>
  <c r="AR123" i="18"/>
  <c r="AQ123" i="18" s="1"/>
  <c r="AR122" i="18"/>
  <c r="AQ122" i="18" s="1"/>
  <c r="AR102" i="18"/>
  <c r="AQ102" i="18" s="1"/>
  <c r="AR74" i="18"/>
  <c r="AQ74" i="18" s="1"/>
  <c r="AR140" i="18"/>
  <c r="AQ140" i="18" s="1"/>
  <c r="AR77" i="18"/>
  <c r="AQ77" i="18" s="1"/>
  <c r="AR62" i="18"/>
  <c r="AQ62" i="18" s="1"/>
  <c r="AR95" i="18"/>
  <c r="AQ95" i="18" s="1"/>
  <c r="AR114" i="18"/>
  <c r="AQ114" i="18" s="1"/>
  <c r="AR71" i="18"/>
  <c r="AQ71" i="18" s="1"/>
  <c r="AR32" i="18"/>
  <c r="AR55" i="18"/>
  <c r="AR49" i="18"/>
  <c r="AR50" i="18"/>
  <c r="AR112" i="18"/>
  <c r="AQ112" i="18" s="1"/>
  <c r="AR12" i="18"/>
  <c r="AR48" i="18"/>
  <c r="AR99" i="18"/>
  <c r="AQ99" i="18" s="1"/>
  <c r="AR58" i="18"/>
  <c r="AR11" i="18"/>
  <c r="AR96" i="18"/>
  <c r="AQ96" i="18" s="1"/>
  <c r="AR23" i="18"/>
  <c r="AR76" i="18"/>
  <c r="AQ76" i="18" s="1"/>
  <c r="AR118" i="18"/>
  <c r="AQ118" i="18" s="1"/>
  <c r="AR127" i="18"/>
  <c r="AQ127" i="18" s="1"/>
  <c r="AR115" i="18"/>
  <c r="AQ115" i="18" s="1"/>
  <c r="AR90" i="18"/>
  <c r="AQ90" i="18" s="1"/>
  <c r="AR94" i="18"/>
  <c r="AQ94" i="18" s="1"/>
  <c r="AR19" i="18"/>
  <c r="AR87" i="18"/>
  <c r="AQ87" i="18" s="1"/>
  <c r="AR111" i="18"/>
  <c r="AQ111" i="18" s="1"/>
  <c r="AR64" i="18"/>
  <c r="AQ64" i="18" s="1"/>
  <c r="AR107" i="18"/>
  <c r="AQ107" i="18" s="1"/>
  <c r="AR105" i="18"/>
  <c r="AQ105" i="18" s="1"/>
  <c r="AR65" i="18"/>
  <c r="AQ65" i="18" s="1"/>
  <c r="AR139" i="18"/>
  <c r="AQ139" i="18" s="1"/>
  <c r="AR116" i="18"/>
  <c r="AQ116" i="18" s="1"/>
  <c r="AR52" i="18"/>
  <c r="AR26" i="18"/>
  <c r="AR60" i="18"/>
  <c r="AR144" i="18"/>
  <c r="AQ144" i="18" s="1"/>
  <c r="M37" i="10"/>
  <c r="R5" i="25"/>
  <c r="U37" i="10"/>
  <c r="Z954" i="11" l="1"/>
  <c r="Z957" i="11"/>
  <c r="Q12" i="8"/>
  <c r="F23" i="29"/>
  <c r="AF658" i="11"/>
  <c r="AG658" i="11"/>
  <c r="U158" i="3"/>
  <c r="AA158" i="3" s="1"/>
  <c r="U179" i="3"/>
  <c r="AA179" i="3" s="1"/>
  <c r="U159" i="3"/>
  <c r="AA159" i="3" s="1"/>
  <c r="Q2157" i="11" s="1"/>
  <c r="W2157" i="11" s="1"/>
  <c r="AB2157" i="11" s="1"/>
  <c r="O2158" i="11"/>
  <c r="AD2182" i="11" s="1"/>
  <c r="K2182" i="11" s="1"/>
  <c r="Q38" i="2"/>
  <c r="AB160" i="3"/>
  <c r="Q2158" i="11"/>
  <c r="W2158" i="11" s="1"/>
  <c r="AB2158" i="11" s="1"/>
  <c r="Q1014" i="11"/>
  <c r="L21" i="4" s="1"/>
  <c r="AV51" i="4" s="1"/>
  <c r="AF657" i="11"/>
  <c r="AG657" i="11"/>
  <c r="AF781" i="11"/>
  <c r="AF782" i="11"/>
  <c r="AF790" i="11"/>
  <c r="AF788" i="11"/>
  <c r="AF800" i="11"/>
  <c r="AF786" i="11"/>
  <c r="AF783" i="11"/>
  <c r="AF787" i="11"/>
  <c r="AF785" i="11"/>
  <c r="AF804" i="11"/>
  <c r="AF791" i="11"/>
  <c r="AF796" i="11"/>
  <c r="AF784" i="11"/>
  <c r="AF808" i="11"/>
  <c r="AF797" i="11"/>
  <c r="AF789" i="11"/>
  <c r="AF803" i="11"/>
  <c r="AG656" i="11"/>
  <c r="AF801" i="11"/>
  <c r="AF805" i="11"/>
  <c r="AF799" i="11"/>
  <c r="AF807" i="11"/>
  <c r="AF794" i="11"/>
  <c r="AF798" i="11"/>
  <c r="AF802" i="11"/>
  <c r="AF792" i="11"/>
  <c r="AF793" i="11"/>
  <c r="AF795" i="11"/>
  <c r="AF806" i="11"/>
  <c r="AF656" i="11"/>
  <c r="AY46" i="4" a="1"/>
  <c r="AY46" i="4" s="1"/>
  <c r="L36" i="4" s="1" a="1"/>
  <c r="L36" i="4" s="1"/>
  <c r="AX46" i="4" a="1"/>
  <c r="AX46" i="4" s="1"/>
  <c r="W29" i="4" s="1" a="1"/>
  <c r="W29" i="4" s="1"/>
  <c r="AW46" i="4" a="1"/>
  <c r="AW46" i="4" s="1"/>
  <c r="L29" i="4" s="1" a="1"/>
  <c r="L29" i="4" s="1"/>
  <c r="Q2189" i="11"/>
  <c r="W2189" i="11" s="1"/>
  <c r="AB2189" i="11" s="1"/>
  <c r="AJ682" i="11"/>
  <c r="AJ727" i="11"/>
  <c r="AJ728" i="11" s="1"/>
  <c r="AL655" i="11"/>
  <c r="U145" i="3"/>
  <c r="E847" i="11"/>
  <c r="H28" i="2"/>
  <c r="S16" i="4"/>
  <c r="AF15" i="4" s="1"/>
  <c r="I25" i="2" s="1"/>
  <c r="Z921" i="11"/>
  <c r="Z945" i="11"/>
  <c r="I1107" i="11"/>
  <c r="Z912" i="11"/>
  <c r="Q69" i="2"/>
  <c r="O2189" i="11"/>
  <c r="AB191" i="3"/>
  <c r="Z894" i="11"/>
  <c r="Q2173" i="11"/>
  <c r="Z951" i="11"/>
  <c r="F24" i="5"/>
  <c r="I35" i="10" s="1"/>
  <c r="Q2184" i="11"/>
  <c r="W2184" i="11" s="1"/>
  <c r="AB2184" i="11" s="1"/>
  <c r="Q64" i="2"/>
  <c r="AB186" i="3"/>
  <c r="O2184" i="11"/>
  <c r="AD19" i="18"/>
  <c r="AD11" i="18"/>
  <c r="AD74" i="18"/>
  <c r="AD25" i="18"/>
  <c r="AO25" i="18" s="1"/>
  <c r="AD81" i="18"/>
  <c r="AD136" i="18"/>
  <c r="AD120" i="18"/>
  <c r="AD179" i="18"/>
  <c r="AD38" i="18"/>
  <c r="AD183" i="18"/>
  <c r="AD47" i="18"/>
  <c r="AD58" i="18"/>
  <c r="AD61" i="18"/>
  <c r="AD57" i="18"/>
  <c r="AD72" i="18"/>
  <c r="AD16" i="18"/>
  <c r="AD28" i="18"/>
  <c r="AD18" i="18"/>
  <c r="AD88" i="18"/>
  <c r="AO91" i="18" s="1"/>
  <c r="AD168" i="18"/>
  <c r="AD175" i="18"/>
  <c r="AD126" i="18"/>
  <c r="AD71" i="18"/>
  <c r="AD68" i="18"/>
  <c r="AO68" i="18" s="1"/>
  <c r="AD191" i="18"/>
  <c r="AD134" i="18"/>
  <c r="AD193" i="18"/>
  <c r="AD51" i="18"/>
  <c r="AD79" i="18"/>
  <c r="AD46" i="18"/>
  <c r="AD29" i="18"/>
  <c r="AD164" i="18"/>
  <c r="AD140" i="18"/>
  <c r="AO140" i="18" s="1"/>
  <c r="AD147" i="18"/>
  <c r="AD116" i="18"/>
  <c r="AO116" i="18" s="1"/>
  <c r="AD10" i="18"/>
  <c r="AD189" i="18"/>
  <c r="AD97" i="18"/>
  <c r="AD162" i="18"/>
  <c r="AD153" i="18"/>
  <c r="AD184" i="18"/>
  <c r="AD161" i="18"/>
  <c r="AD149" i="18"/>
  <c r="AD83" i="18"/>
  <c r="AD63" i="18"/>
  <c r="AD192" i="18"/>
  <c r="AD155" i="18"/>
  <c r="AD33" i="18"/>
  <c r="AO33" i="18" s="1"/>
  <c r="AD148" i="18"/>
  <c r="AD26" i="18"/>
  <c r="AD99" i="18"/>
  <c r="AO101" i="18" s="1"/>
  <c r="AD86" i="18"/>
  <c r="AO89" i="18" s="1"/>
  <c r="AD106" i="18"/>
  <c r="AD69" i="18"/>
  <c r="AD142" i="18"/>
  <c r="AD70" i="18"/>
  <c r="AD64" i="18"/>
  <c r="AD87" i="18"/>
  <c r="AD187" i="18"/>
  <c r="AD181" i="18"/>
  <c r="AD160" i="18"/>
  <c r="AD15" i="18"/>
  <c r="AD127" i="18"/>
  <c r="AD198" i="18"/>
  <c r="AD75" i="18"/>
  <c r="AD67" i="18"/>
  <c r="AD41" i="18"/>
  <c r="AD76" i="18"/>
  <c r="AD113" i="18"/>
  <c r="AD82" i="18"/>
  <c r="AD122" i="18"/>
  <c r="AD90" i="18"/>
  <c r="AD78" i="18"/>
  <c r="AD195" i="18"/>
  <c r="AD77" i="18"/>
  <c r="AD45" i="18"/>
  <c r="AD53" i="18"/>
  <c r="AD166" i="18"/>
  <c r="AD22" i="18"/>
  <c r="AO22" i="18" s="1"/>
  <c r="AD145" i="18"/>
  <c r="AD17" i="18"/>
  <c r="AD117" i="18"/>
  <c r="AD105" i="18"/>
  <c r="AD91" i="18"/>
  <c r="AD151" i="18"/>
  <c r="AD102" i="18"/>
  <c r="AO104" i="18" s="1"/>
  <c r="AD180" i="18"/>
  <c r="AD182" i="18"/>
  <c r="AD93" i="18"/>
  <c r="AD132" i="18"/>
  <c r="AD110" i="18"/>
  <c r="AD103" i="18"/>
  <c r="AD49" i="18"/>
  <c r="AD196" i="18"/>
  <c r="AD141" i="18"/>
  <c r="AD44" i="18"/>
  <c r="AD108" i="18"/>
  <c r="AD190" i="18"/>
  <c r="AD173" i="18"/>
  <c r="AD154" i="18"/>
  <c r="AD185" i="18"/>
  <c r="AD174" i="18"/>
  <c r="AD178" i="18"/>
  <c r="AD131" i="18"/>
  <c r="AD146" i="18"/>
  <c r="AD156" i="18"/>
  <c r="AD98" i="18"/>
  <c r="AD84" i="18"/>
  <c r="AD8" i="18"/>
  <c r="AD186" i="18"/>
  <c r="AD54" i="18"/>
  <c r="AD163" i="18"/>
  <c r="AD172" i="18"/>
  <c r="AD80" i="18"/>
  <c r="AD92" i="18"/>
  <c r="AO94" i="18" s="1"/>
  <c r="AD119" i="18"/>
  <c r="AD42" i="18"/>
  <c r="AD114" i="18"/>
  <c r="AD171" i="18"/>
  <c r="AD165" i="18"/>
  <c r="AD100" i="18"/>
  <c r="AD37" i="18"/>
  <c r="AD112" i="18"/>
  <c r="AD14" i="18"/>
  <c r="AD107" i="18"/>
  <c r="AD96" i="18"/>
  <c r="AO98" i="18" s="1"/>
  <c r="AD137" i="18"/>
  <c r="AD144" i="18"/>
  <c r="AD133" i="18"/>
  <c r="AD130" i="18"/>
  <c r="AD48" i="18"/>
  <c r="AD12" i="18"/>
  <c r="AD27" i="18"/>
  <c r="AD188" i="18"/>
  <c r="AD170" i="18"/>
  <c r="AD9" i="18"/>
  <c r="AD39" i="18"/>
  <c r="AD159" i="18"/>
  <c r="AD167" i="18"/>
  <c r="AD55" i="18"/>
  <c r="AD128" i="18"/>
  <c r="AD35" i="18"/>
  <c r="AO35" i="18" s="1"/>
  <c r="AD169" i="18"/>
  <c r="AD34" i="18"/>
  <c r="AD43" i="18"/>
  <c r="AD62" i="18"/>
  <c r="AD139" i="18"/>
  <c r="AD118" i="18"/>
  <c r="AD50" i="18"/>
  <c r="AD36" i="18"/>
  <c r="AD95" i="18"/>
  <c r="AD13" i="18"/>
  <c r="AD177" i="18"/>
  <c r="AD32" i="18"/>
  <c r="AD111" i="18"/>
  <c r="AD60" i="18"/>
  <c r="AD23" i="18"/>
  <c r="AO23" i="18" s="1"/>
  <c r="BC25" i="4" s="1"/>
  <c r="AD123" i="18"/>
  <c r="AD197" i="18"/>
  <c r="AD31" i="18"/>
  <c r="AD66" i="18"/>
  <c r="AD124" i="18"/>
  <c r="AD56" i="18"/>
  <c r="AD150" i="18"/>
  <c r="AD59" i="18"/>
  <c r="AD176" i="18"/>
  <c r="AD24" i="18"/>
  <c r="AD158" i="18"/>
  <c r="AD21" i="18"/>
  <c r="AO21" i="18" s="1"/>
  <c r="O2192" i="11"/>
  <c r="AD2157" i="11" s="1"/>
  <c r="K2157" i="11" s="1"/>
  <c r="AB187" i="3"/>
  <c r="Q2185" i="11"/>
  <c r="W2185" i="11" s="1"/>
  <c r="AB2185" i="11" s="1"/>
  <c r="O2185" i="11"/>
  <c r="Q2190" i="11"/>
  <c r="W2190" i="11" s="1"/>
  <c r="AB2190" i="11" s="1"/>
  <c r="Q70" i="2"/>
  <c r="AB193" i="3"/>
  <c r="U148" i="3"/>
  <c r="Q71" i="2"/>
  <c r="U185" i="3"/>
  <c r="AA185" i="3" s="1"/>
  <c r="O2191" i="11"/>
  <c r="AD2178" i="11" s="1"/>
  <c r="K2178" i="11" s="1"/>
  <c r="Q2178" i="11"/>
  <c r="W2178" i="11" s="1"/>
  <c r="AB2178" i="11" s="1"/>
  <c r="Q58" i="2"/>
  <c r="O2178" i="11"/>
  <c r="O2175" i="11"/>
  <c r="N2175" i="11" s="1"/>
  <c r="U181" i="3"/>
  <c r="AA181" i="3" s="1"/>
  <c r="W27" i="3"/>
  <c r="Q55" i="2"/>
  <c r="O2190" i="11"/>
  <c r="U147" i="3"/>
  <c r="U144" i="3"/>
  <c r="U146" i="3"/>
  <c r="Q72" i="2"/>
  <c r="AB194" i="3"/>
  <c r="AB177" i="3"/>
  <c r="D25" i="2"/>
  <c r="P12" i="8"/>
  <c r="K64" i="10" s="1"/>
  <c r="AV1102" i="11"/>
  <c r="AY1102" i="11" s="1"/>
  <c r="Q12" i="6"/>
  <c r="P12" i="6"/>
  <c r="O2173" i="11"/>
  <c r="Q2176" i="11"/>
  <c r="W2176" i="11" s="1"/>
  <c r="AB2176" i="11" s="1"/>
  <c r="AB178" i="3"/>
  <c r="Q56" i="2"/>
  <c r="O2176" i="11"/>
  <c r="Z897" i="11"/>
  <c r="Z903" i="11"/>
  <c r="AB175" i="3"/>
  <c r="Z924" i="11"/>
  <c r="Q60" i="2"/>
  <c r="S49" i="14" s="1"/>
  <c r="Q2180" i="11"/>
  <c r="W2180" i="11" s="1"/>
  <c r="AB2180" i="11" s="1"/>
  <c r="AB182" i="3"/>
  <c r="O2180" i="11"/>
  <c r="O27" i="2"/>
  <c r="E16" i="4"/>
  <c r="L16" i="2" s="1"/>
  <c r="AQ20" i="2" s="1"/>
  <c r="AS20" i="2" s="1"/>
  <c r="AO50" i="11" s="1"/>
  <c r="AN58" i="11" s="1"/>
  <c r="S96" i="10" s="1"/>
  <c r="Q98" i="10"/>
  <c r="AR6" i="18"/>
  <c r="AR155" i="18"/>
  <c r="AQ7" i="18"/>
  <c r="AQ8" i="18" s="1"/>
  <c r="Q2177" i="11" l="1"/>
  <c r="F36" i="5"/>
  <c r="C2181" i="11" s="1"/>
  <c r="Q36" i="2"/>
  <c r="F35" i="5"/>
  <c r="AD2193" i="11"/>
  <c r="K2193" i="11" s="1"/>
  <c r="Q2156" i="11"/>
  <c r="W2156" i="11" s="1"/>
  <c r="AB2156" i="11" s="1"/>
  <c r="Z936" i="11"/>
  <c r="AV1072" i="11"/>
  <c r="AB179" i="3"/>
  <c r="O2156" i="11"/>
  <c r="N2158" i="11"/>
  <c r="O2177" i="11"/>
  <c r="I1072" i="11"/>
  <c r="AB159" i="3"/>
  <c r="O2157" i="11"/>
  <c r="N2157" i="11" s="1"/>
  <c r="Q37" i="2"/>
  <c r="AB158" i="3"/>
  <c r="AC811" i="11"/>
  <c r="AN3" i="9" s="1"/>
  <c r="AC652" i="11"/>
  <c r="X42" i="4" s="1"/>
  <c r="AW51" i="4" a="1"/>
  <c r="AW51" i="4" s="1"/>
  <c r="AK674" i="11"/>
  <c r="AK676" i="11"/>
  <c r="AK677" i="11"/>
  <c r="AJ683" i="11"/>
  <c r="AK655" i="11"/>
  <c r="AA148" i="3"/>
  <c r="O2146" i="11" s="1"/>
  <c r="AA147" i="3"/>
  <c r="Q2145" i="11" s="1"/>
  <c r="AA146" i="3"/>
  <c r="Q24" i="2" s="1"/>
  <c r="AA144" i="3"/>
  <c r="AA27" i="3"/>
  <c r="AB994" i="11" s="1" a="1"/>
  <c r="AA25" i="3"/>
  <c r="AA150" i="3"/>
  <c r="Q2148" i="11" s="1"/>
  <c r="W2148" i="11" s="1"/>
  <c r="AB2148" i="11" s="1"/>
  <c r="AA149" i="3"/>
  <c r="Q27" i="2" s="1"/>
  <c r="AA145" i="3"/>
  <c r="AA26" i="3"/>
  <c r="N2189" i="11"/>
  <c r="AB181" i="3"/>
  <c r="V93" i="3"/>
  <c r="V132" i="3"/>
  <c r="V92" i="3"/>
  <c r="V131" i="3"/>
  <c r="AD2185" i="11"/>
  <c r="K2185" i="11" s="1"/>
  <c r="AD2161" i="11"/>
  <c r="K2161" i="11" s="1"/>
  <c r="N2184" i="11"/>
  <c r="Q2183" i="11"/>
  <c r="AB185" i="3"/>
  <c r="O2183" i="11"/>
  <c r="Z900" i="11"/>
  <c r="AD2184" i="11"/>
  <c r="K2184" i="11" s="1"/>
  <c r="N2192" i="11"/>
  <c r="AY25" i="4"/>
  <c r="AY13" i="4" s="1" a="1"/>
  <c r="AY13" i="4" s="1"/>
  <c r="BD25" i="4"/>
  <c r="BD13" i="4" s="1" a="1"/>
  <c r="BD13" i="4" s="1"/>
  <c r="BB25" i="4"/>
  <c r="BB13" i="4" s="1" a="1"/>
  <c r="BB13" i="4" s="1"/>
  <c r="AZ25" i="4"/>
  <c r="AZ12" i="4" s="1" a="1"/>
  <c r="AZ12" i="4" s="1"/>
  <c r="BA25" i="4"/>
  <c r="N2185" i="11"/>
  <c r="BC13" i="4" a="1"/>
  <c r="BC13" i="4" s="1"/>
  <c r="BC10" i="4" a="1"/>
  <c r="BC10" i="4" s="1"/>
  <c r="M15" i="4" s="1"/>
  <c r="BC14" i="4" a="1"/>
  <c r="BC14" i="4" s="1"/>
  <c r="BC12" i="4" a="1"/>
  <c r="BC12" i="4" s="1"/>
  <c r="N2191" i="11"/>
  <c r="O2179" i="11"/>
  <c r="Q2179" i="11"/>
  <c r="N2178" i="11"/>
  <c r="O59" i="2"/>
  <c r="AF2179" i="11" s="1"/>
  <c r="AD2153" i="11"/>
  <c r="K2153" i="11" s="1"/>
  <c r="N2190" i="11"/>
  <c r="AD2151" i="11"/>
  <c r="K2151" i="11" s="1"/>
  <c r="O22" i="2"/>
  <c r="AF2142" i="11" s="1"/>
  <c r="O57" i="2"/>
  <c r="AF2177" i="11" s="1"/>
  <c r="J48" i="10"/>
  <c r="O63" i="2"/>
  <c r="AF2183" i="11" s="1"/>
  <c r="O25" i="2"/>
  <c r="AF2145" i="11" s="1"/>
  <c r="O53" i="2"/>
  <c r="AF2173" i="11" s="1"/>
  <c r="W2173" i="11" s="1"/>
  <c r="AB2173" i="11" s="1"/>
  <c r="N2173" i="11" s="1"/>
  <c r="N2180" i="11"/>
  <c r="AD2196" i="11"/>
  <c r="K2196" i="11" s="1"/>
  <c r="N2176" i="11"/>
  <c r="AD2158" i="11"/>
  <c r="K2158" i="11" s="1"/>
  <c r="O23" i="2"/>
  <c r="AF2143" i="11" s="1"/>
  <c r="O26" i="2"/>
  <c r="AF2146" i="11" s="1"/>
  <c r="D27" i="2"/>
  <c r="E25" i="2" s="1"/>
  <c r="D31" i="2" s="1"/>
  <c r="J16" i="2"/>
  <c r="K17" i="2" s="1"/>
  <c r="AF2147" i="11"/>
  <c r="AQ9" i="18"/>
  <c r="AS7" i="18"/>
  <c r="N2156" i="11" l="1"/>
  <c r="AX51" i="4" a="1"/>
  <c r="AX51" i="4" s="1"/>
  <c r="AY51" i="4" s="1" a="1"/>
  <c r="AY51" i="4" s="1"/>
  <c r="AZ51" i="4" s="1" a="1"/>
  <c r="AZ51" i="4" s="1"/>
  <c r="BA51" i="4" s="1" a="1"/>
  <c r="BA51" i="4" s="1"/>
  <c r="BB51" i="4" s="1" a="1"/>
  <c r="BB51" i="4" s="1"/>
  <c r="BC51" i="4" s="1" a="1"/>
  <c r="BC51" i="4" s="1"/>
  <c r="BD51" i="4" s="1" a="1"/>
  <c r="BD51" i="4" s="1"/>
  <c r="BE51" i="4" s="1" a="1"/>
  <c r="BE51" i="4" s="1"/>
  <c r="BF51" i="4" s="1" a="1"/>
  <c r="BF51" i="4" s="1"/>
  <c r="W2177" i="11"/>
  <c r="AB2177" i="11" s="1"/>
  <c r="C2142" i="11"/>
  <c r="AT39" i="10" s="1"/>
  <c r="H39" i="10" s="1"/>
  <c r="AD2179" i="11"/>
  <c r="K2179" i="11" s="1"/>
  <c r="AV1079" i="11"/>
  <c r="AY1079" i="11" s="1"/>
  <c r="I1124" i="11"/>
  <c r="I1104" i="11"/>
  <c r="I1123" i="11"/>
  <c r="AD2143" i="11"/>
  <c r="K2143" i="11" s="1"/>
  <c r="AD2150" i="11"/>
  <c r="K2150" i="11" s="1"/>
  <c r="X28" i="4"/>
  <c r="M35" i="4"/>
  <c r="M42" i="4"/>
  <c r="AB906" i="11"/>
  <c r="I1150" i="11"/>
  <c r="AY42" i="4" a="1"/>
  <c r="AY42" i="4" s="1"/>
  <c r="I36" i="4" s="1" a="1"/>
  <c r="I36" i="4" s="1"/>
  <c r="AX42" i="4" a="1"/>
  <c r="AX42" i="4" s="1"/>
  <c r="T29" i="4" s="1" a="1"/>
  <c r="T29" i="4" s="1"/>
  <c r="BE42" i="4" a="1"/>
  <c r="BE42" i="4" s="1"/>
  <c r="I59" i="4" s="1" a="1"/>
  <c r="I59" i="4" s="1"/>
  <c r="BD42" i="4" a="1"/>
  <c r="BD42" i="4" s="1"/>
  <c r="T50" i="4" s="1" a="1"/>
  <c r="T50" i="4" s="1"/>
  <c r="BB42" i="4" a="1"/>
  <c r="BB42" i="4" s="1"/>
  <c r="T43" i="4" s="1" a="1"/>
  <c r="T43" i="4" s="1"/>
  <c r="BF42" i="4" a="1"/>
  <c r="BF42" i="4" s="1"/>
  <c r="T59" i="4" s="1" a="1"/>
  <c r="T59" i="4" s="1"/>
  <c r="BA42" i="4" a="1"/>
  <c r="BA42" i="4" s="1"/>
  <c r="I43" i="4" s="1" a="1"/>
  <c r="I43" i="4" s="1"/>
  <c r="BC42" i="4" a="1"/>
  <c r="BC42" i="4" s="1"/>
  <c r="I50" i="4" s="1" a="1"/>
  <c r="I50" i="4" s="1"/>
  <c r="AZ42" i="4" a="1"/>
  <c r="AZ42" i="4" s="1"/>
  <c r="T36" i="4" s="1" a="1"/>
  <c r="T36" i="4" s="1"/>
  <c r="AW42" i="4" a="1"/>
  <c r="AW42" i="4" s="1"/>
  <c r="I29" i="4" s="1" a="1"/>
  <c r="I29" i="4" s="1"/>
  <c r="AW40" i="4" a="1"/>
  <c r="AW40" i="4" s="1"/>
  <c r="AW41" i="4" s="1" a="1"/>
  <c r="AW41" i="4" s="1"/>
  <c r="H29" i="4" s="1" a="1"/>
  <c r="H29" i="4" s="1"/>
  <c r="AY40" i="4" a="1"/>
  <c r="AY40" i="4" s="1"/>
  <c r="AY41" i="4" s="1" a="1"/>
  <c r="AY41" i="4" s="1"/>
  <c r="H36" i="4" s="1" a="1"/>
  <c r="H36" i="4" s="1"/>
  <c r="AX40" i="4" a="1"/>
  <c r="AX40" i="4" s="1"/>
  <c r="AX41" i="4" s="1" a="1"/>
  <c r="AX41" i="4" s="1"/>
  <c r="S29" i="4" s="1" a="1"/>
  <c r="S29" i="4" s="1"/>
  <c r="BE40" i="4" a="1"/>
  <c r="BE40" i="4" s="1"/>
  <c r="BE41" i="4" s="1" a="1"/>
  <c r="BE41" i="4" s="1"/>
  <c r="H59" i="4" s="1" a="1"/>
  <c r="H59" i="4" s="1"/>
  <c r="BA40" i="4" a="1"/>
  <c r="BA40" i="4" s="1"/>
  <c r="BA41" i="4" s="1" a="1"/>
  <c r="BA41" i="4" s="1"/>
  <c r="H43" i="4" s="1" a="1"/>
  <c r="H43" i="4" s="1"/>
  <c r="BB40" i="4" a="1"/>
  <c r="BB40" i="4" s="1"/>
  <c r="BB41" i="4" s="1" a="1"/>
  <c r="BB41" i="4" s="1"/>
  <c r="S43" i="4" s="1" a="1"/>
  <c r="S43" i="4" s="1"/>
  <c r="BC40" i="4" a="1"/>
  <c r="BC40" i="4" s="1"/>
  <c r="BC41" i="4" s="1" a="1"/>
  <c r="BC41" i="4" s="1"/>
  <c r="H50" i="4" s="1" a="1"/>
  <c r="H50" i="4" s="1"/>
  <c r="BF40" i="4" a="1"/>
  <c r="BF40" i="4" s="1"/>
  <c r="BF41" i="4" s="1" a="1"/>
  <c r="BF41" i="4" s="1"/>
  <c r="S59" i="4" s="1" a="1"/>
  <c r="S59" i="4" s="1"/>
  <c r="BD40" i="4" a="1"/>
  <c r="BD40" i="4" s="1"/>
  <c r="BD41" i="4" s="1" a="1"/>
  <c r="BD41" i="4" s="1"/>
  <c r="S50" i="4" s="1" a="1"/>
  <c r="S50" i="4" s="1"/>
  <c r="AZ40" i="4" a="1"/>
  <c r="AZ40" i="4" s="1"/>
  <c r="AZ41" i="4" s="1" a="1"/>
  <c r="AZ41" i="4" s="1"/>
  <c r="S36" i="4" s="1" a="1"/>
  <c r="S36" i="4" s="1"/>
  <c r="AB1003" i="11" a="1"/>
  <c r="AB1003" i="11" s="1"/>
  <c r="AX44" i="4" a="1"/>
  <c r="AX44" i="4" s="1"/>
  <c r="AX54" i="4" s="1" a="1"/>
  <c r="AX54" i="4" s="1"/>
  <c r="AW44" i="4" a="1"/>
  <c r="AW44" i="4" s="1"/>
  <c r="AW54" i="4" s="1" a="1"/>
  <c r="AW54" i="4" s="1"/>
  <c r="AY44" i="4" a="1"/>
  <c r="AY44" i="4" s="1"/>
  <c r="AY54" i="4" s="1" a="1"/>
  <c r="AY54" i="4" s="1"/>
  <c r="AZ44" i="4" a="1"/>
  <c r="AZ44" i="4" s="1"/>
  <c r="AZ54" i="4" s="1" a="1"/>
  <c r="AZ54" i="4" s="1"/>
  <c r="BC44" i="4" a="1"/>
  <c r="BC44" i="4" s="1"/>
  <c r="BC54" i="4" s="1" a="1"/>
  <c r="BC54" i="4" s="1"/>
  <c r="BD44" i="4" a="1"/>
  <c r="BD44" i="4" s="1"/>
  <c r="BD54" i="4" s="1" a="1"/>
  <c r="BD54" i="4" s="1"/>
  <c r="BB44" i="4" a="1"/>
  <c r="BB44" i="4" s="1"/>
  <c r="BB54" i="4" s="1" a="1"/>
  <c r="BB54" i="4" s="1"/>
  <c r="BF44" i="4" a="1"/>
  <c r="BF44" i="4" s="1"/>
  <c r="BF54" i="4" s="1" a="1"/>
  <c r="BF54" i="4" s="1"/>
  <c r="BE44" i="4" a="1"/>
  <c r="BE44" i="4" s="1"/>
  <c r="BE54" i="4" s="1" a="1"/>
  <c r="BE54" i="4" s="1"/>
  <c r="BA44" i="4" a="1"/>
  <c r="BA44" i="4" s="1"/>
  <c r="AX28" i="4" s="1" a="1"/>
  <c r="AX28" i="4" s="1"/>
  <c r="AX43" i="4" a="1"/>
  <c r="AX43" i="4" s="1"/>
  <c r="AY43" i="4" a="1"/>
  <c r="AY43" i="4" s="1"/>
  <c r="BF43" i="4" a="1"/>
  <c r="BF43" i="4" s="1"/>
  <c r="BD43" i="4" a="1"/>
  <c r="BD43" i="4" s="1"/>
  <c r="AZ43" i="4" a="1"/>
  <c r="AZ43" i="4" s="1"/>
  <c r="BE43" i="4" a="1"/>
  <c r="BE43" i="4" s="1"/>
  <c r="BB43" i="4" a="1"/>
  <c r="BB43" i="4" s="1"/>
  <c r="BC43" i="4" a="1"/>
  <c r="BC43" i="4" s="1"/>
  <c r="BA43" i="4" a="1"/>
  <c r="BA43" i="4" s="1"/>
  <c r="AW43" i="4" a="1"/>
  <c r="AW43" i="4" s="1"/>
  <c r="AB909" i="11"/>
  <c r="AB931" i="11"/>
  <c r="AB913" i="11"/>
  <c r="AB938" i="11"/>
  <c r="AB926" i="11"/>
  <c r="AB927" i="11"/>
  <c r="AB894" i="11"/>
  <c r="AB940" i="11"/>
  <c r="AB910" i="11"/>
  <c r="AB942" i="11"/>
  <c r="AB946" i="11"/>
  <c r="AJ684" i="11"/>
  <c r="AB1008" i="11" a="1"/>
  <c r="AB1008" i="11" s="1"/>
  <c r="AB936" i="11"/>
  <c r="AB921" i="11"/>
  <c r="AB928" i="11"/>
  <c r="AB923" i="11"/>
  <c r="AB897" i="11"/>
  <c r="AB902" i="11"/>
  <c r="Z902" i="11" s="1"/>
  <c r="AB920" i="11"/>
  <c r="AB904" i="11"/>
  <c r="AB943" i="11"/>
  <c r="AB895" i="11"/>
  <c r="AB918" i="11"/>
  <c r="AB900" i="11"/>
  <c r="AB935" i="11"/>
  <c r="AB961" i="11" a="1"/>
  <c r="AB961" i="11" s="1"/>
  <c r="AT21" i="4"/>
  <c r="AT27" i="4" s="1"/>
  <c r="AV54" i="4" s="1"/>
  <c r="AB916" i="11"/>
  <c r="AB914" i="11"/>
  <c r="AB941" i="11"/>
  <c r="AB917" i="11"/>
  <c r="AB922" i="11"/>
  <c r="AB899" i="11"/>
  <c r="AB945" i="11"/>
  <c r="AB934" i="11"/>
  <c r="AB907" i="11"/>
  <c r="AB929" i="11"/>
  <c r="AB908" i="11"/>
  <c r="AB915" i="11"/>
  <c r="AB939" i="11"/>
  <c r="AB947" i="11"/>
  <c r="AB994" i="11"/>
  <c r="AB1010" i="11" a="1"/>
  <c r="AB1010" i="11" s="1"/>
  <c r="AB925" i="11"/>
  <c r="AB944" i="11"/>
  <c r="AB924" i="11"/>
  <c r="AB919" i="11"/>
  <c r="AB903" i="11"/>
  <c r="AB905" i="11"/>
  <c r="AB911" i="11"/>
  <c r="AB896" i="11"/>
  <c r="AB930" i="11"/>
  <c r="AB932" i="11"/>
  <c r="AB912" i="11"/>
  <c r="AB901" i="11"/>
  <c r="Z901" i="11" s="1"/>
  <c r="AB937" i="11"/>
  <c r="AB933" i="11"/>
  <c r="AB898" i="11"/>
  <c r="AB958" i="11"/>
  <c r="AB988" i="11" a="1"/>
  <c r="AB988" i="11" s="1"/>
  <c r="AB956" i="11"/>
  <c r="AB955" i="11"/>
  <c r="AB954" i="11"/>
  <c r="AB977" i="11" a="1"/>
  <c r="AB977" i="11" s="1"/>
  <c r="AB963" i="11" a="1"/>
  <c r="AB963" i="11" s="1"/>
  <c r="AB976" i="11" a="1"/>
  <c r="AB976" i="11" s="1"/>
  <c r="AB989" i="11" a="1"/>
  <c r="AB989" i="11" s="1"/>
  <c r="AB973" i="11" a="1"/>
  <c r="AB973" i="11" s="1"/>
  <c r="AB1009" i="11" a="1"/>
  <c r="AB1009" i="11" s="1"/>
  <c r="AB1005" i="11" a="1"/>
  <c r="AB1005" i="11" s="1"/>
  <c r="I1134" i="11"/>
  <c r="I1131" i="11"/>
  <c r="I1139" i="11"/>
  <c r="I1142" i="11"/>
  <c r="I1127" i="11"/>
  <c r="I1130" i="11"/>
  <c r="AB148" i="3"/>
  <c r="AB957" i="11"/>
  <c r="AB964" i="11" a="1"/>
  <c r="AB964" i="11" s="1"/>
  <c r="AB978" i="11" a="1"/>
  <c r="AB978" i="11" s="1"/>
  <c r="Q2146" i="11"/>
  <c r="W2146" i="11" s="1"/>
  <c r="AB2146" i="11" s="1"/>
  <c r="AB146" i="3"/>
  <c r="AB971" i="11" a="1"/>
  <c r="AB971" i="11" s="1"/>
  <c r="AB985" i="11" a="1"/>
  <c r="AB985" i="11" s="1"/>
  <c r="AB972" i="11" a="1"/>
  <c r="AB972" i="11" s="1"/>
  <c r="AB1007" i="11" a="1"/>
  <c r="AB1007" i="11" s="1"/>
  <c r="AB967" i="11" a="1"/>
  <c r="AB967" i="11" s="1"/>
  <c r="W2145" i="11"/>
  <c r="AB2145" i="11" s="1"/>
  <c r="AB147" i="3"/>
  <c r="O2145" i="11"/>
  <c r="AD2174" i="11" s="1"/>
  <c r="K2174" i="11" s="1"/>
  <c r="AB995" i="11" a="1"/>
  <c r="AB995" i="11" s="1"/>
  <c r="AB981" i="11" a="1"/>
  <c r="AB981" i="11" s="1"/>
  <c r="AB952" i="11"/>
  <c r="AB997" i="11" a="1"/>
  <c r="AB997" i="11" s="1"/>
  <c r="AB1002" i="11" a="1"/>
  <c r="AB1002" i="11" s="1"/>
  <c r="AB993" i="11" a="1"/>
  <c r="AB993" i="11" s="1"/>
  <c r="AB951" i="11"/>
  <c r="AB979" i="11" a="1"/>
  <c r="AB979" i="11" s="1"/>
  <c r="AA957" i="11"/>
  <c r="AA947" i="11"/>
  <c r="I1141" i="11"/>
  <c r="I1132" i="11"/>
  <c r="I1135" i="11"/>
  <c r="I1133" i="11"/>
  <c r="Z915" i="11"/>
  <c r="AB992" i="11" a="1"/>
  <c r="AB992" i="11" s="1"/>
  <c r="AB949" i="11"/>
  <c r="AB959" i="11"/>
  <c r="AB1001" i="11" a="1"/>
  <c r="AB1001" i="11" s="1"/>
  <c r="AB1012" i="11" a="1"/>
  <c r="AB1012" i="11" s="1"/>
  <c r="AB984" i="11" a="1"/>
  <c r="AB984" i="11" s="1"/>
  <c r="AB953" i="11"/>
  <c r="AB950" i="11"/>
  <c r="AB983" i="11" a="1"/>
  <c r="AB983" i="11" s="1"/>
  <c r="AB975" i="11" a="1"/>
  <c r="AB975" i="11" s="1"/>
  <c r="AB948" i="11"/>
  <c r="AB1004" i="11" a="1"/>
  <c r="AB1004" i="11" s="1"/>
  <c r="AB962" i="11" a="1"/>
  <c r="AB962" i="11" s="1"/>
  <c r="AB969" i="11" a="1"/>
  <c r="AB969" i="11" s="1"/>
  <c r="AB987" i="11" a="1"/>
  <c r="AB987" i="11" s="1"/>
  <c r="AB1006" i="11" a="1"/>
  <c r="AB1006" i="11" s="1"/>
  <c r="AA1078" i="11"/>
  <c r="AB1078" i="11" s="1"/>
  <c r="AB968" i="11" a="1"/>
  <c r="AB968" i="11" s="1"/>
  <c r="AB966" i="11" a="1"/>
  <c r="AB966" i="11" s="1"/>
  <c r="AB1000" i="11" a="1"/>
  <c r="AB1000" i="11" s="1"/>
  <c r="AB991" i="11" a="1"/>
  <c r="AB991" i="11" s="1"/>
  <c r="AB990" i="11" a="1"/>
  <c r="AB990" i="11" s="1"/>
  <c r="AB980" i="11" a="1"/>
  <c r="AB980" i="11" s="1"/>
  <c r="AB974" i="11" a="1"/>
  <c r="AB974" i="11" s="1"/>
  <c r="AB970" i="11" a="1"/>
  <c r="AB970" i="11" s="1"/>
  <c r="AB982" i="11" a="1"/>
  <c r="AB982" i="11" s="1"/>
  <c r="AB999" i="11" a="1"/>
  <c r="AB999" i="11" s="1"/>
  <c r="AB998" i="11" a="1"/>
  <c r="AB998" i="11" s="1"/>
  <c r="AB1011" i="11" a="1"/>
  <c r="AB1011" i="11" s="1"/>
  <c r="AB965" i="11" a="1"/>
  <c r="AB965" i="11" s="1"/>
  <c r="AB996" i="11" a="1"/>
  <c r="AB996" i="11" s="1"/>
  <c r="AB986" i="11" a="1"/>
  <c r="AB986" i="11" s="1"/>
  <c r="AV1083" i="11"/>
  <c r="AY1083" i="11" s="1"/>
  <c r="I1148" i="11"/>
  <c r="AA958" i="11"/>
  <c r="Z958" i="11" s="1"/>
  <c r="O2144" i="11"/>
  <c r="N2144" i="11" s="1"/>
  <c r="AA1011" i="11" a="1"/>
  <c r="AA1011" i="11" s="1"/>
  <c r="Z1011" i="11" s="1"/>
  <c r="AA940" i="11"/>
  <c r="I1119" i="11"/>
  <c r="AA1071" i="11"/>
  <c r="AB1071" i="11" s="1"/>
  <c r="AA1090" i="11"/>
  <c r="AA999" i="11" a="1"/>
  <c r="AA999" i="11" s="1"/>
  <c r="Z999" i="11" s="1"/>
  <c r="AA995" i="11" a="1"/>
  <c r="AA995" i="11" s="1"/>
  <c r="Z995" i="11" s="1"/>
  <c r="AA932" i="11"/>
  <c r="AW1096" i="11"/>
  <c r="AY1096" i="11" s="1"/>
  <c r="AV1088" i="11"/>
  <c r="AY1088" i="11" s="1"/>
  <c r="AA1089" i="11"/>
  <c r="AB1089" i="11" s="1"/>
  <c r="AA989" i="11" a="1"/>
  <c r="AA989" i="11" s="1"/>
  <c r="AW1077" i="11"/>
  <c r="I1110" i="11"/>
  <c r="Q2144" i="11"/>
  <c r="W2144" i="11" s="1"/>
  <c r="AB2144" i="11" s="1"/>
  <c r="Q28" i="2"/>
  <c r="AV1097" i="11"/>
  <c r="AY1097" i="11" s="1"/>
  <c r="AA962" i="11" a="1"/>
  <c r="AA962" i="11" s="1"/>
  <c r="AA982" i="11" a="1"/>
  <c r="AA982" i="11" s="1"/>
  <c r="Z982" i="11" s="1"/>
  <c r="AA975" i="11" a="1"/>
  <c r="AA975" i="11" s="1"/>
  <c r="AA922" i="11"/>
  <c r="AA997" i="11" a="1"/>
  <c r="AA997" i="11" s="1"/>
  <c r="I1115" i="11"/>
  <c r="AA908" i="11"/>
  <c r="AA955" i="11"/>
  <c r="Z955" i="11" s="1"/>
  <c r="AW1072" i="11"/>
  <c r="AY1072" i="11" s="1"/>
  <c r="AA956" i="11"/>
  <c r="Z956" i="11" s="1"/>
  <c r="AA911" i="11"/>
  <c r="Z911" i="11" s="1"/>
  <c r="Z948" i="11"/>
  <c r="Q2142" i="11"/>
  <c r="W2142" i="11" s="1"/>
  <c r="AA923" i="11"/>
  <c r="AA926" i="11"/>
  <c r="AV1101" i="11"/>
  <c r="O2142" i="11"/>
  <c r="AB144" i="3"/>
  <c r="AW1084" i="11"/>
  <c r="AV1094" i="11"/>
  <c r="AY1094" i="11" s="1"/>
  <c r="AA1088" i="11"/>
  <c r="AB1088" i="11" s="1"/>
  <c r="AA1070" i="11"/>
  <c r="AB1070" i="11" s="1"/>
  <c r="AA963" i="11" a="1"/>
  <c r="AA963" i="11" s="1"/>
  <c r="AA1006" i="11" a="1"/>
  <c r="AA1006" i="11" s="1"/>
  <c r="Z1006" i="11" s="1"/>
  <c r="AA1009" i="11" a="1"/>
  <c r="AA1009" i="11" s="1"/>
  <c r="Z1009" i="11" s="1"/>
  <c r="I1099" i="11"/>
  <c r="I1112" i="11"/>
  <c r="AA907" i="11"/>
  <c r="AA921" i="11"/>
  <c r="AV1092" i="11"/>
  <c r="AY1092" i="11" s="1"/>
  <c r="AA896" i="11"/>
  <c r="AV1095" i="11"/>
  <c r="AY1095" i="11" s="1"/>
  <c r="AA1079" i="11"/>
  <c r="AB1079" i="11" s="1"/>
  <c r="AA991" i="11" a="1"/>
  <c r="AA991" i="11" s="1"/>
  <c r="Z991" i="11" s="1"/>
  <c r="AA1004" i="11" a="1"/>
  <c r="AA1004" i="11" s="1"/>
  <c r="Z1004" i="11" s="1"/>
  <c r="AA1002" i="11" a="1"/>
  <c r="AA1002" i="11" s="1"/>
  <c r="AA979" i="11" a="1"/>
  <c r="AA979" i="11" s="1"/>
  <c r="AA909" i="11"/>
  <c r="AA945" i="11"/>
  <c r="AA895" i="11"/>
  <c r="AA943" i="11"/>
  <c r="AW1103" i="11"/>
  <c r="AY1103" i="11" s="1"/>
  <c r="AA1084" i="11"/>
  <c r="AB1084" i="11" s="1"/>
  <c r="AA1012" i="11" a="1"/>
  <c r="AA1012" i="11" s="1"/>
  <c r="Z1012" i="11" s="1"/>
  <c r="AA993" i="11" a="1"/>
  <c r="AA993" i="11" s="1"/>
  <c r="AA965" i="11" a="1"/>
  <c r="AA965" i="11" s="1"/>
  <c r="Z965" i="11" s="1"/>
  <c r="AA1000" i="11" a="1"/>
  <c r="AA1000" i="11" s="1"/>
  <c r="Z1000" i="11" s="1"/>
  <c r="I1117" i="11"/>
  <c r="AV1082" i="11"/>
  <c r="AY1082" i="11" s="1"/>
  <c r="AW1100" i="11"/>
  <c r="AY1100" i="11" s="1"/>
  <c r="AV1093" i="11"/>
  <c r="AY1093" i="11" s="1"/>
  <c r="AA901" i="11"/>
  <c r="AV1081" i="11"/>
  <c r="AY1081" i="11" s="1"/>
  <c r="AV1080" i="11"/>
  <c r="AY1080" i="11" s="1"/>
  <c r="AA1072" i="11"/>
  <c r="AB1072" i="11" s="1"/>
  <c r="AA967" i="11" a="1"/>
  <c r="AA967" i="11" s="1"/>
  <c r="AA984" i="11" a="1"/>
  <c r="AA984" i="11" s="1"/>
  <c r="AA952" i="11"/>
  <c r="Z952" i="11" s="1"/>
  <c r="AA1007" i="11" a="1"/>
  <c r="AA1007" i="11" s="1"/>
  <c r="I1122" i="11"/>
  <c r="AA898" i="11"/>
  <c r="AA924" i="11"/>
  <c r="AA942" i="11"/>
  <c r="AW1091" i="11"/>
  <c r="AY1091" i="11" s="1"/>
  <c r="AA915" i="11"/>
  <c r="AA939" i="11"/>
  <c r="AA1069" i="11"/>
  <c r="AB1069" i="11" s="1"/>
  <c r="AA949" i="11"/>
  <c r="Z949" i="11" s="1"/>
  <c r="AA996" i="11" a="1"/>
  <c r="AA996" i="11" s="1"/>
  <c r="Z996" i="11" s="1"/>
  <c r="AA959" i="11"/>
  <c r="Z959" i="11" s="1"/>
  <c r="AA953" i="11"/>
  <c r="Z953" i="11" s="1"/>
  <c r="I1111" i="11"/>
  <c r="AA902" i="11"/>
  <c r="AT17" i="4"/>
  <c r="I21" i="4" s="1"/>
  <c r="AV1073" i="11"/>
  <c r="AY1073" i="11" s="1"/>
  <c r="AA927" i="11"/>
  <c r="AV1078" i="11"/>
  <c r="AY1078" i="11" s="1"/>
  <c r="AA946" i="11"/>
  <c r="AA1085" i="11"/>
  <c r="AB1085" i="11" s="1"/>
  <c r="AA990" i="11" a="1"/>
  <c r="AA990" i="11" s="1"/>
  <c r="AA986" i="11" a="1"/>
  <c r="AA986" i="11" s="1"/>
  <c r="AA954" i="11"/>
  <c r="AA988" i="11" a="1"/>
  <c r="AA988" i="11" s="1"/>
  <c r="Z988" i="11" s="1"/>
  <c r="I1118" i="11"/>
  <c r="AW1087" i="11"/>
  <c r="AY1087" i="11" s="1"/>
  <c r="I1098" i="11"/>
  <c r="AA903" i="11"/>
  <c r="AV1077" i="11"/>
  <c r="AA925" i="11"/>
  <c r="Z925" i="11" s="1"/>
  <c r="AA1081" i="11"/>
  <c r="AB1081" i="11" s="1"/>
  <c r="AA968" i="11" a="1"/>
  <c r="AA968" i="11" s="1"/>
  <c r="AA981" i="11" a="1"/>
  <c r="AA981" i="11" s="1"/>
  <c r="AA964" i="11" a="1"/>
  <c r="AA964" i="11" s="1"/>
  <c r="Z964" i="11" s="1"/>
  <c r="AA1005" i="11" a="1"/>
  <c r="AA1005" i="11" s="1"/>
  <c r="Z1005" i="11" s="1"/>
  <c r="AA933" i="11"/>
  <c r="AA914" i="11"/>
  <c r="AA944" i="11"/>
  <c r="AA920" i="11"/>
  <c r="AA929" i="11"/>
  <c r="AA1091" i="11"/>
  <c r="AA1010" i="11" a="1"/>
  <c r="AA1010" i="11" s="1"/>
  <c r="Z1010" i="11" s="1"/>
  <c r="AA1001" i="11" a="1"/>
  <c r="AA1001" i="11" s="1"/>
  <c r="Z1001" i="11" s="1"/>
  <c r="AA985" i="11" a="1"/>
  <c r="AA985" i="11" s="1"/>
  <c r="AA1003" i="11" a="1"/>
  <c r="AA1003" i="11" s="1"/>
  <c r="Z1003" i="11" s="1"/>
  <c r="AA1087" i="11"/>
  <c r="AB1087" i="11" s="1"/>
  <c r="I1100" i="11"/>
  <c r="AW1099" i="11"/>
  <c r="AY1099" i="11" s="1"/>
  <c r="AA928" i="11"/>
  <c r="AA937" i="11"/>
  <c r="AA941" i="11"/>
  <c r="AA916" i="11"/>
  <c r="AV1086" i="11"/>
  <c r="AY1086" i="11" s="1"/>
  <c r="AA1077" i="11"/>
  <c r="AB1077" i="11" s="1"/>
  <c r="AA971" i="11" a="1"/>
  <c r="AA971" i="11" s="1"/>
  <c r="Z971" i="11" s="1"/>
  <c r="AA1008" i="11" a="1"/>
  <c r="AA1008" i="11" s="1"/>
  <c r="AA973" i="11" a="1"/>
  <c r="AA973" i="11" s="1"/>
  <c r="Z973" i="11" s="1"/>
  <c r="V64" i="3" s="1"/>
  <c r="AA961" i="11" a="1"/>
  <c r="AA961" i="11" s="1"/>
  <c r="I1121" i="11"/>
  <c r="AA905" i="11"/>
  <c r="Z905" i="11" s="1"/>
  <c r="AV1098" i="11"/>
  <c r="AY1098" i="11" s="1"/>
  <c r="AA899" i="11"/>
  <c r="AA904" i="11"/>
  <c r="Z904" i="11" s="1"/>
  <c r="F26" i="2"/>
  <c r="AD26" i="3"/>
  <c r="I1101" i="11" s="1"/>
  <c r="O2148" i="11"/>
  <c r="AB150" i="3"/>
  <c r="AA994" i="11" a="1"/>
  <c r="AA994" i="11" s="1"/>
  <c r="Z994" i="11" s="1"/>
  <c r="AA1076" i="11"/>
  <c r="AB1076" i="11" s="1"/>
  <c r="AA987" i="11" a="1"/>
  <c r="AA987" i="11" s="1"/>
  <c r="Z987" i="11" s="1"/>
  <c r="AA998" i="11" a="1"/>
  <c r="AA998" i="11" s="1"/>
  <c r="AA972" i="11" a="1"/>
  <c r="AA972" i="11" s="1"/>
  <c r="Z972" i="11" s="1"/>
  <c r="AA977" i="11" a="1"/>
  <c r="AA977" i="11" s="1"/>
  <c r="AA918" i="11"/>
  <c r="AA912" i="11"/>
  <c r="AV1085" i="11"/>
  <c r="AY1085" i="11" s="1"/>
  <c r="AA938" i="11"/>
  <c r="AA906" i="11"/>
  <c r="AA934" i="11"/>
  <c r="AA1083" i="11"/>
  <c r="AB1083" i="11" s="1"/>
  <c r="AA978" i="11" a="1"/>
  <c r="AA978" i="11" s="1"/>
  <c r="AA950" i="11"/>
  <c r="Z950" i="11" s="1"/>
  <c r="AA992" i="11" a="1"/>
  <c r="AA992" i="11" s="1"/>
  <c r="Z992" i="11" s="1"/>
  <c r="AA970" i="11" a="1"/>
  <c r="AA970" i="11" s="1"/>
  <c r="Z970" i="11" s="1"/>
  <c r="I1105" i="11"/>
  <c r="AA913" i="11"/>
  <c r="AV1084" i="11"/>
  <c r="AA1082" i="11"/>
  <c r="AB1082" i="11" s="1"/>
  <c r="AA974" i="11" a="1"/>
  <c r="AA974" i="11" s="1"/>
  <c r="Z974" i="11" s="1"/>
  <c r="AA976" i="11" a="1"/>
  <c r="AA976" i="11" s="1"/>
  <c r="I1113" i="11"/>
  <c r="AA897" i="11"/>
  <c r="AA1075" i="11"/>
  <c r="AB1075" i="11" s="1"/>
  <c r="AA980" i="11" a="1"/>
  <c r="AA980" i="11" s="1"/>
  <c r="AA983" i="11" a="1"/>
  <c r="AA983" i="11" s="1"/>
  <c r="AA969" i="11" a="1"/>
  <c r="AA969" i="11" s="1"/>
  <c r="Z969" i="11" s="1"/>
  <c r="AA951" i="11"/>
  <c r="I1108" i="11"/>
  <c r="AA936" i="11"/>
  <c r="AV1089" i="11"/>
  <c r="AY1089" i="11" s="1"/>
  <c r="AA894" i="11"/>
  <c r="AA930" i="11"/>
  <c r="AA935" i="11"/>
  <c r="AA900" i="11"/>
  <c r="AA966" i="11" a="1"/>
  <c r="AA966" i="11" s="1"/>
  <c r="AA919" i="11"/>
  <c r="AA910" i="11"/>
  <c r="Z910" i="11" s="1"/>
  <c r="AA931" i="11"/>
  <c r="Z931" i="11" s="1"/>
  <c r="AA917" i="11"/>
  <c r="AV1090" i="11"/>
  <c r="AY1090" i="11" s="1"/>
  <c r="AA1080" i="11"/>
  <c r="AB1080" i="11" s="1"/>
  <c r="O2147" i="11"/>
  <c r="AB149" i="3"/>
  <c r="AV1075" i="11"/>
  <c r="AY1075" i="11" s="1"/>
  <c r="V133" i="3"/>
  <c r="Q2147" i="11"/>
  <c r="W2147" i="11" s="1"/>
  <c r="AB2147" i="11" s="1"/>
  <c r="O2143" i="11"/>
  <c r="Z906" i="11"/>
  <c r="Q2143" i="11"/>
  <c r="W2143" i="11" s="1"/>
  <c r="AB2143" i="11" s="1"/>
  <c r="AB145" i="3"/>
  <c r="Z927" i="11"/>
  <c r="AC994" i="11" a="1"/>
  <c r="AC994" i="11" s="1"/>
  <c r="AC983" i="11" a="1"/>
  <c r="AC983" i="11" s="1"/>
  <c r="AC970" i="11" a="1"/>
  <c r="AC970" i="11" s="1"/>
  <c r="AC999" i="11" a="1"/>
  <c r="AC999" i="11" s="1"/>
  <c r="AC950" i="11"/>
  <c r="AC967" i="11" a="1"/>
  <c r="AC967" i="11" s="1"/>
  <c r="AC1012" i="11" a="1"/>
  <c r="AC1012" i="11" s="1"/>
  <c r="AC966" i="11" a="1"/>
  <c r="AC966" i="11" s="1"/>
  <c r="AC1011" i="11" a="1"/>
  <c r="AC1011" i="11" s="1"/>
  <c r="AC998" i="11" a="1"/>
  <c r="AC998" i="11" s="1"/>
  <c r="AC971" i="11" a="1"/>
  <c r="AC971" i="11" s="1"/>
  <c r="AC956" i="11"/>
  <c r="AC987" i="11" a="1"/>
  <c r="AC987" i="11" s="1"/>
  <c r="AC973" i="11" a="1"/>
  <c r="AC973" i="11" s="1"/>
  <c r="AC968" i="11" a="1"/>
  <c r="AC968" i="11" s="1"/>
  <c r="AC980" i="11" a="1"/>
  <c r="AC980" i="11" s="1"/>
  <c r="AC948" i="11"/>
  <c r="AC941" i="11"/>
  <c r="AC911" i="11"/>
  <c r="AC934" i="11"/>
  <c r="AC923" i="11"/>
  <c r="Z923" i="11" s="1"/>
  <c r="AC937" i="11"/>
  <c r="AC921" i="11"/>
  <c r="AC927" i="11"/>
  <c r="AC903" i="11"/>
  <c r="AC898" i="11"/>
  <c r="AC943" i="11"/>
  <c r="AC897" i="11"/>
  <c r="AC1000" i="11" a="1"/>
  <c r="AC1000" i="11" s="1"/>
  <c r="AC1008" i="11" a="1"/>
  <c r="AC1008" i="11" s="1"/>
  <c r="Z1008" i="11" s="1"/>
  <c r="AC959" i="11"/>
  <c r="AC972" i="11" a="1"/>
  <c r="AC972" i="11" s="1"/>
  <c r="AC996" i="11" a="1"/>
  <c r="AC996" i="11" s="1"/>
  <c r="AC979" i="11" a="1"/>
  <c r="AC979" i="11" s="1"/>
  <c r="AC976" i="11" a="1"/>
  <c r="AC976" i="11" s="1"/>
  <c r="AC1004" i="11" a="1"/>
  <c r="AC1004" i="11" s="1"/>
  <c r="AC984" i="11" a="1"/>
  <c r="AC984" i="11" s="1"/>
  <c r="AC957" i="11"/>
  <c r="AC1007" i="11" a="1"/>
  <c r="AC1007" i="11" s="1"/>
  <c r="Z1007" i="11" s="1"/>
  <c r="AC1009" i="11" a="1"/>
  <c r="AC1009" i="11" s="1"/>
  <c r="AC997" i="11" a="1"/>
  <c r="AC997" i="11" s="1"/>
  <c r="AC985" i="11" a="1"/>
  <c r="AC985" i="11" s="1"/>
  <c r="AC982" i="11" a="1"/>
  <c r="AC982" i="11" s="1"/>
  <c r="AC905" i="11"/>
  <c r="AC925" i="11"/>
  <c r="AC915" i="11"/>
  <c r="AC899" i="11"/>
  <c r="AC919" i="11"/>
  <c r="AC933" i="11"/>
  <c r="AC907" i="11"/>
  <c r="AC908" i="11"/>
  <c r="AC938" i="11"/>
  <c r="AC917" i="11"/>
  <c r="AC945" i="11"/>
  <c r="AC918" i="11"/>
  <c r="AT19" i="4"/>
  <c r="AT25" i="4" s="1"/>
  <c r="AC1010" i="11" a="1"/>
  <c r="AC1010" i="11" s="1"/>
  <c r="AC995" i="11" a="1"/>
  <c r="AC995" i="11" s="1"/>
  <c r="AC975" i="11" a="1"/>
  <c r="AC975" i="11" s="1"/>
  <c r="AC964" i="11" a="1"/>
  <c r="AC964" i="11" s="1"/>
  <c r="AC1001" i="11" a="1"/>
  <c r="AC1001" i="11" s="1"/>
  <c r="AC989" i="11" a="1"/>
  <c r="AC989" i="11" s="1"/>
  <c r="AC961" i="11" a="1"/>
  <c r="AC961" i="11" s="1"/>
  <c r="AC954" i="11"/>
  <c r="AC1005" i="11" a="1"/>
  <c r="AC1005" i="11" s="1"/>
  <c r="Y1014" i="11" s="1"/>
  <c r="AC969" i="11" a="1"/>
  <c r="AC969" i="11" s="1"/>
  <c r="AC986" i="11" a="1"/>
  <c r="AC986" i="11" s="1"/>
  <c r="AC949" i="11"/>
  <c r="AC1003" i="11" a="1"/>
  <c r="AC1003" i="11" s="1"/>
  <c r="AC990" i="11" a="1"/>
  <c r="AC990" i="11" s="1"/>
  <c r="AC965" i="11" a="1"/>
  <c r="AC965" i="11" s="1"/>
  <c r="AC955" i="11"/>
  <c r="AC912" i="11"/>
  <c r="AC895" i="11"/>
  <c r="AC913" i="11"/>
  <c r="AC900" i="11"/>
  <c r="AC944" i="11"/>
  <c r="AC916" i="11"/>
  <c r="AC909" i="11"/>
  <c r="AC939" i="11"/>
  <c r="AC910" i="11"/>
  <c r="AC930" i="11"/>
  <c r="AC940" i="11"/>
  <c r="AC920" i="11"/>
  <c r="AC906" i="11"/>
  <c r="AC902" i="11"/>
  <c r="AC936" i="11"/>
  <c r="AC988" i="11" a="1"/>
  <c r="AC988" i="11" s="1"/>
  <c r="AC974" i="11" a="1"/>
  <c r="AC974" i="11" s="1"/>
  <c r="AC991" i="11" a="1"/>
  <c r="AC991" i="11" s="1"/>
  <c r="AC978" i="11" a="1"/>
  <c r="AC978" i="11" s="1"/>
  <c r="AC922" i="11"/>
  <c r="AC904" i="11"/>
  <c r="AC958" i="11"/>
  <c r="AC962" i="11" a="1"/>
  <c r="AC962" i="11" s="1"/>
  <c r="AC992" i="11" a="1"/>
  <c r="AC992" i="11" s="1"/>
  <c r="AC981" i="11" a="1"/>
  <c r="AC981" i="11" s="1"/>
  <c r="AC953" i="11"/>
  <c r="AC951" i="11"/>
  <c r="AC963" i="11" a="1"/>
  <c r="AC963" i="11" s="1"/>
  <c r="AC952" i="11"/>
  <c r="AC947" i="11"/>
  <c r="AC935" i="11"/>
  <c r="AC926" i="11"/>
  <c r="AC928" i="11"/>
  <c r="AC1006" i="11" a="1"/>
  <c r="AC1006" i="11" s="1"/>
  <c r="AC1002" i="11" a="1"/>
  <c r="AC1002" i="11" s="1"/>
  <c r="Z1002" i="11" s="1"/>
  <c r="AC977" i="11" a="1"/>
  <c r="AC977" i="11" s="1"/>
  <c r="AC993" i="11" a="1"/>
  <c r="AC993" i="11" s="1"/>
  <c r="AC901" i="11"/>
  <c r="AC942" i="11"/>
  <c r="AC932" i="11"/>
  <c r="AC946" i="11"/>
  <c r="AC924" i="11"/>
  <c r="AC896" i="11"/>
  <c r="AC931" i="11"/>
  <c r="AC894" i="11"/>
  <c r="AC929" i="11"/>
  <c r="AC914" i="11"/>
  <c r="W2183" i="11"/>
  <c r="AB2183" i="11" s="1"/>
  <c r="N2183" i="11" s="1"/>
  <c r="Q63" i="2"/>
  <c r="AD2176" i="11"/>
  <c r="K2176" i="11" s="1"/>
  <c r="N2177" i="11"/>
  <c r="BD12" i="4" a="1"/>
  <c r="BD12" i="4" s="1"/>
  <c r="BD14" i="4" a="1"/>
  <c r="BD14" i="4" s="1"/>
  <c r="BD10" i="4" a="1"/>
  <c r="BD10" i="4" s="1"/>
  <c r="N15"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W2179" i="11"/>
  <c r="AB2179" i="11" s="1"/>
  <c r="N2179" i="11" s="1"/>
  <c r="Q59" i="2"/>
  <c r="Q22" i="2"/>
  <c r="Q57" i="2"/>
  <c r="O12" i="8"/>
  <c r="Q53" i="2"/>
  <c r="Q25" i="2"/>
  <c r="Q23" i="2"/>
  <c r="AV1074" i="11"/>
  <c r="AY1074" i="11" s="1"/>
  <c r="Q26" i="2"/>
  <c r="H21" i="4"/>
  <c r="O12" i="6"/>
  <c r="AQ10" i="18"/>
  <c r="AS8" i="18" s="1"/>
  <c r="AD984" i="11" l="1"/>
  <c r="Z981" i="11"/>
  <c r="Z926" i="11"/>
  <c r="AD983" i="11"/>
  <c r="BG51" i="4"/>
  <c r="AY1084" i="11"/>
  <c r="Z998" i="11"/>
  <c r="Z997" i="11"/>
  <c r="V91" i="3"/>
  <c r="V130" i="3"/>
  <c r="V135" i="3" s="1"/>
  <c r="Z977" i="11"/>
  <c r="Z975" i="11"/>
  <c r="AB1090" i="11"/>
  <c r="V87" i="3"/>
  <c r="N2143" i="11"/>
  <c r="AD2149" i="11"/>
  <c r="K2149" i="11" s="1"/>
  <c r="S52" i="14"/>
  <c r="J360" i="13" s="1"/>
  <c r="N2145" i="11"/>
  <c r="AK679" i="11"/>
  <c r="AB2142" i="11"/>
  <c r="AD2142" i="11" s="1"/>
  <c r="K2142" i="11" s="1"/>
  <c r="Z944" i="11"/>
  <c r="Z914" i="11"/>
  <c r="K36" i="4" a="1"/>
  <c r="K36" i="4" s="1"/>
  <c r="J36" i="4" s="1" a="1"/>
  <c r="J36" i="4" s="1"/>
  <c r="AD1009" i="11"/>
  <c r="K29" i="4" a="1"/>
  <c r="K29" i="4" s="1"/>
  <c r="J29" i="4" s="1" a="1"/>
  <c r="J29" i="4" s="1"/>
  <c r="Z913" i="11"/>
  <c r="V43" i="4" a="1"/>
  <c r="V43" i="4" s="1"/>
  <c r="U43" i="4" s="1" a="1"/>
  <c r="U43" i="4" s="1"/>
  <c r="V59" i="4" a="1"/>
  <c r="V59" i="4" s="1"/>
  <c r="U59" i="4" s="1" a="1"/>
  <c r="U59" i="4" s="1"/>
  <c r="Z908" i="11"/>
  <c r="Z937" i="11"/>
  <c r="Z938" i="11"/>
  <c r="V36" i="4" a="1"/>
  <c r="V36" i="4" s="1"/>
  <c r="U36" i="4" s="1" a="1"/>
  <c r="U36" i="4" s="1"/>
  <c r="Z976" i="11"/>
  <c r="K59" i="4" a="1"/>
  <c r="K59" i="4" s="1"/>
  <c r="J59" i="4" s="1" a="1"/>
  <c r="J59" i="4" s="1"/>
  <c r="V29" i="4" a="1"/>
  <c r="V29" i="4" s="1"/>
  <c r="U29" i="4" s="1" a="1"/>
  <c r="U29" i="4" s="1"/>
  <c r="K50" i="4" a="1"/>
  <c r="K50" i="4" s="1"/>
  <c r="J50" i="4" s="1" a="1"/>
  <c r="J50" i="4" s="1"/>
  <c r="K43" i="4" a="1"/>
  <c r="K43" i="4" s="1"/>
  <c r="J43" i="4" s="1" a="1"/>
  <c r="J43" i="4" s="1"/>
  <c r="V50" i="4" a="1"/>
  <c r="V50" i="4" s="1"/>
  <c r="U50" i="4" s="1" a="1"/>
  <c r="U50" i="4" s="1"/>
  <c r="Z940" i="11"/>
  <c r="Z907" i="11"/>
  <c r="Z984" i="11"/>
  <c r="Z990" i="11"/>
  <c r="Z922" i="11"/>
  <c r="Z920" i="11"/>
  <c r="V61" i="3" s="1"/>
  <c r="AJ685" i="11"/>
  <c r="AK680" i="11" s="1"/>
  <c r="BA54" i="4" a="1"/>
  <c r="BA54" i="4" s="1"/>
  <c r="Z989" i="11"/>
  <c r="J21" i="4"/>
  <c r="AV53" i="4" s="1"/>
  <c r="Z919" i="11"/>
  <c r="I1137" i="11"/>
  <c r="I1138" i="11"/>
  <c r="Z978" i="11"/>
  <c r="Z985" i="11"/>
  <c r="Z983" i="11"/>
  <c r="V63" i="3" s="1"/>
  <c r="I1129" i="11"/>
  <c r="I1128" i="11"/>
  <c r="I1136" i="11"/>
  <c r="I1140" i="11"/>
  <c r="Z986" i="11"/>
  <c r="AD2172" i="11"/>
  <c r="K2172" i="11" s="1"/>
  <c r="Z917" i="11"/>
  <c r="AD2171" i="11"/>
  <c r="K2171" i="11" s="1"/>
  <c r="AA1073" i="11"/>
  <c r="AB1073" i="11" s="1"/>
  <c r="Z961" i="11"/>
  <c r="V62" i="3" s="1"/>
  <c r="Z896" i="11"/>
  <c r="Z967" i="11"/>
  <c r="AA1074" i="11"/>
  <c r="AB1074" i="11" s="1"/>
  <c r="AV49" i="4"/>
  <c r="I1092" i="11"/>
  <c r="Z932" i="11"/>
  <c r="Z916" i="11"/>
  <c r="I1080" i="11"/>
  <c r="Z946" i="11"/>
  <c r="Z979" i="11"/>
  <c r="AY1077" i="11"/>
  <c r="I1079" i="11"/>
  <c r="I1088" i="11"/>
  <c r="I1085" i="11"/>
  <c r="Z928" i="11"/>
  <c r="Z895" i="11"/>
  <c r="Z929" i="11"/>
  <c r="Z935" i="11"/>
  <c r="Z962" i="11"/>
  <c r="I1082" i="11"/>
  <c r="I1084" i="11"/>
  <c r="AW1101" i="11"/>
  <c r="AY1101" i="11" s="1"/>
  <c r="Z980" i="11"/>
  <c r="Z966" i="11"/>
  <c r="Z968" i="11"/>
  <c r="AW1104" i="11"/>
  <c r="AY1104" i="11" s="1"/>
  <c r="I1156" i="11"/>
  <c r="I1155" i="11"/>
  <c r="I1103" i="11"/>
  <c r="I1120" i="11"/>
  <c r="I1149" i="11"/>
  <c r="I1076" i="11"/>
  <c r="Z941" i="11"/>
  <c r="I1125" i="11"/>
  <c r="I1116" i="11"/>
  <c r="V81" i="3" s="1"/>
  <c r="I1114" i="11"/>
  <c r="Z899" i="11"/>
  <c r="Z934" i="11"/>
  <c r="AA1092" i="11"/>
  <c r="AB1092" i="11" s="1"/>
  <c r="AB1091" i="11"/>
  <c r="Z898" i="11"/>
  <c r="AT23" i="4"/>
  <c r="I1083" i="11" s="1"/>
  <c r="K21" i="4"/>
  <c r="AD2148" i="11"/>
  <c r="K2148" i="11" s="1"/>
  <c r="N2148" i="11"/>
  <c r="AD2181" i="11"/>
  <c r="K2181" i="11" s="1"/>
  <c r="N2147" i="11"/>
  <c r="AD2186" i="11"/>
  <c r="K2186" i="11" s="1"/>
  <c r="AW28" i="4" a="1"/>
  <c r="AW28" i="4" s="1"/>
  <c r="AY9" i="4"/>
  <c r="I16" i="4" s="1"/>
  <c r="H32" i="10" s="1"/>
  <c r="AD2197" i="11"/>
  <c r="K2197" i="11" s="1"/>
  <c r="N2146" i="11"/>
  <c r="AD2192" i="11"/>
  <c r="K2192" i="11" s="1"/>
  <c r="BD9" i="4"/>
  <c r="N16" i="4" s="1"/>
  <c r="AB32" i="10" s="1"/>
  <c r="BG23" i="4"/>
  <c r="BG24" i="4"/>
  <c r="BB9" i="4"/>
  <c r="L16" i="4" s="1"/>
  <c r="T32" i="10" s="1"/>
  <c r="AZ9" i="4"/>
  <c r="J16" i="4" s="1"/>
  <c r="L32" i="10" s="1"/>
  <c r="BA9" i="4"/>
  <c r="K16" i="4" s="1"/>
  <c r="P32" i="10" s="1"/>
  <c r="Z947" i="11"/>
  <c r="K52" i="14"/>
  <c r="AV48" i="4"/>
  <c r="AQ11" i="18"/>
  <c r="AQ12" i="18" s="1"/>
  <c r="AS9" i="18" s="1"/>
  <c r="V60" i="3" l="1"/>
  <c r="AV52" i="4"/>
  <c r="AV50" i="4" s="1"/>
  <c r="AC115" i="9"/>
  <c r="AB115" i="9" s="1"/>
  <c r="AQ96" i="9" s="1"/>
  <c r="AS5" i="9" s="1"/>
  <c r="AT5" i="9" s="1"/>
  <c r="N2142" i="11"/>
  <c r="N2200" i="11" s="1"/>
  <c r="D101" i="10" s="1"/>
  <c r="V59" i="3"/>
  <c r="V86" i="3"/>
  <c r="AW52" i="4"/>
  <c r="BD52" i="4"/>
  <c r="BD50" i="4" s="1"/>
  <c r="BF52" i="4"/>
  <c r="BF50" i="4" s="1"/>
  <c r="AZ52" i="4"/>
  <c r="AZ50" i="4" s="1"/>
  <c r="BC52" i="4"/>
  <c r="BA52" i="4"/>
  <c r="BA50" i="4" s="1"/>
  <c r="AW48" i="4" a="1"/>
  <c r="AW48" i="4" s="1"/>
  <c r="AW49" i="4" a="1"/>
  <c r="AW49" i="4" s="1"/>
  <c r="AW53" i="4" a="1"/>
  <c r="AW53" i="4" s="1"/>
  <c r="AY52" i="4"/>
  <c r="AY50" i="4" s="1"/>
  <c r="BE52" i="4"/>
  <c r="BE50" i="4" s="1"/>
  <c r="BB52" i="4"/>
  <c r="BB50" i="4" s="1"/>
  <c r="H26" i="2"/>
  <c r="AJ686" i="11"/>
  <c r="AK681" i="11" s="1"/>
  <c r="H24" i="2"/>
  <c r="I1095" i="11"/>
  <c r="Z29" i="3"/>
  <c r="AX52" i="4"/>
  <c r="AX50" i="4" s="1"/>
  <c r="I1087" i="11"/>
  <c r="I1093" i="11"/>
  <c r="I1090" i="11"/>
  <c r="I1097" i="11"/>
  <c r="I1089" i="11"/>
  <c r="I1081" i="11"/>
  <c r="I1086" i="11"/>
  <c r="I1091" i="11"/>
  <c r="I1094" i="11"/>
  <c r="I1096" i="11"/>
  <c r="K2200" i="11"/>
  <c r="H18" i="4"/>
  <c r="H31" i="10" s="1"/>
  <c r="AQ13" i="18"/>
  <c r="AQ14" i="18" s="1"/>
  <c r="H28" i="10"/>
  <c r="AX49" i="4" l="1" a="1"/>
  <c r="AX49" i="4" s="1"/>
  <c r="AY53" i="4" s="1" a="1"/>
  <c r="AY53" i="4" s="1"/>
  <c r="AX48" i="4" a="1"/>
  <c r="AX48" i="4" s="1"/>
  <c r="AY48" i="4" s="1" a="1"/>
  <c r="AY48" i="4" s="1"/>
  <c r="AZ48" i="4" s="1" a="1"/>
  <c r="AZ48" i="4" s="1"/>
  <c r="BA48" i="4" s="1" a="1"/>
  <c r="BA48" i="4" s="1"/>
  <c r="V96" i="3"/>
  <c r="AW50" i="4"/>
  <c r="AX53" i="4" a="1"/>
  <c r="AX53" i="4" s="1"/>
  <c r="AJ687" i="11"/>
  <c r="AK682" i="11" s="1"/>
  <c r="AQ15" i="18"/>
  <c r="AY49" i="4" l="1" a="1"/>
  <c r="AY49" i="4" s="1"/>
  <c r="AZ49" i="4" s="1" a="1"/>
  <c r="AZ49" i="4" s="1"/>
  <c r="BB48" i="4" a="1"/>
  <c r="BB48" i="4" s="1"/>
  <c r="BC48" i="4" s="1" a="1"/>
  <c r="BC48" i="4" s="1"/>
  <c r="BD48" i="4" s="1" a="1"/>
  <c r="BD48" i="4" s="1"/>
  <c r="AJ688" i="11"/>
  <c r="AK683" i="11" s="1"/>
  <c r="AQ16" i="18"/>
  <c r="AQ17" i="18" s="1"/>
  <c r="BA49" i="4" l="1" a="1"/>
  <c r="BA49" i="4" s="1"/>
  <c r="BB49" i="4" s="1" a="1"/>
  <c r="BB49" i="4" s="1"/>
  <c r="AZ53" i="4" a="1"/>
  <c r="AZ53" i="4" s="1"/>
  <c r="BA53" i="4" a="1"/>
  <c r="BA53" i="4" s="1"/>
  <c r="AS10" i="18"/>
  <c r="BE48" i="4" a="1"/>
  <c r="BE48" i="4" s="1"/>
  <c r="BF48" i="4" s="1" a="1"/>
  <c r="BF48" i="4" s="1"/>
  <c r="AJ689" i="11"/>
  <c r="AK684" i="11" s="1"/>
  <c r="AS11" i="18"/>
  <c r="AQ18" i="18"/>
  <c r="AQ19" i="18" s="1"/>
  <c r="AQ20" i="18" s="1"/>
  <c r="AQ21" i="18" s="1"/>
  <c r="AQ22" i="18" s="1"/>
  <c r="AQ23" i="18" s="1"/>
  <c r="BB53" i="4" l="1" a="1"/>
  <c r="BB53" i="4" s="1"/>
  <c r="BG48" i="4"/>
  <c r="BC53" i="4" a="1"/>
  <c r="BC53" i="4" s="1"/>
  <c r="BC50" i="4" s="1"/>
  <c r="BC49" i="4" a="1"/>
  <c r="BC49" i="4" s="1"/>
  <c r="BD49" i="4" s="1" a="1"/>
  <c r="BD49" i="4" s="1"/>
  <c r="AJ690" i="11"/>
  <c r="AK685" i="11" s="1"/>
  <c r="AQ24" i="18"/>
  <c r="AQ25" i="18" s="1"/>
  <c r="AQ26" i="18" s="1"/>
  <c r="BG50" i="4" l="1"/>
  <c r="H25" i="10" s="1"/>
  <c r="BE49" i="4" a="1"/>
  <c r="BE49" i="4" s="1"/>
  <c r="BE53" i="4" a="1"/>
  <c r="BE53" i="4" s="1"/>
  <c r="BD53" i="4" a="1"/>
  <c r="BD53" i="4" s="1"/>
  <c r="AJ691" i="11"/>
  <c r="AJ692" i="11" s="1"/>
  <c r="AJ693" i="11" s="1"/>
  <c r="AJ694" i="11" s="1"/>
  <c r="AJ695" i="11" s="1"/>
  <c r="AJ696" i="11" s="1"/>
  <c r="AJ697" i="11" s="1"/>
  <c r="AJ698" i="11" s="1"/>
  <c r="AJ699" i="11" s="1"/>
  <c r="AJ700" i="11" s="1"/>
  <c r="AJ701" i="11" s="1"/>
  <c r="AJ702" i="11" s="1"/>
  <c r="AJ703" i="11" s="1"/>
  <c r="AJ704" i="11" s="1"/>
  <c r="AJ705" i="11" s="1"/>
  <c r="AJ706" i="11" s="1"/>
  <c r="AJ707" i="11" s="1"/>
  <c r="AJ708" i="11" s="1"/>
  <c r="AJ709" i="11" s="1"/>
  <c r="AJ710" i="11" s="1"/>
  <c r="AJ711" i="11" s="1"/>
  <c r="AJ712" i="11" s="1"/>
  <c r="AJ713" i="11" s="1"/>
  <c r="AJ714" i="11" s="1"/>
  <c r="AJ715" i="11" s="1"/>
  <c r="AJ716" i="11" s="1"/>
  <c r="AQ27" i="18"/>
  <c r="AQ28" i="18" s="1"/>
  <c r="H19" i="10"/>
  <c r="BF49" i="4" l="1" a="1"/>
  <c r="BF49" i="4" s="1"/>
  <c r="BF53" i="4" a="1"/>
  <c r="BF53" i="4" s="1"/>
  <c r="AK688" i="11"/>
  <c r="AK703" i="11"/>
  <c r="AK701" i="11"/>
  <c r="AK695" i="11"/>
  <c r="AK698" i="11"/>
  <c r="AK706" i="11"/>
  <c r="AK699" i="11"/>
  <c r="AK689" i="11"/>
  <c r="AK711" i="11"/>
  <c r="AJ717" i="11"/>
  <c r="AQ29" i="18"/>
  <c r="AQ30" i="18" s="1"/>
  <c r="AQ31" i="18" s="1"/>
  <c r="AQ32" i="18" s="1"/>
  <c r="BG49" i="4" l="1"/>
  <c r="H22" i="10" s="1"/>
  <c r="AJ718" i="11"/>
  <c r="AQ33" i="18"/>
  <c r="AQ34" i="18" s="1"/>
  <c r="AQ35" i="18" s="1"/>
  <c r="AK713" i="11" l="1"/>
  <c r="AJ719" i="11"/>
  <c r="AJ720" i="11" s="1"/>
  <c r="AJ721" i="11" s="1"/>
  <c r="AJ722" i="11" s="1"/>
  <c r="AQ36" i="18"/>
  <c r="AQ37" i="18" s="1"/>
  <c r="AQ38" i="18" s="1"/>
  <c r="AK656" i="11" l="1"/>
  <c r="AL656" i="11"/>
  <c r="AH811" i="11" s="1"/>
  <c r="AN5" i="9" s="1"/>
  <c r="AK700" i="11"/>
  <c r="AK693" i="11"/>
  <c r="AK678" i="11"/>
  <c r="AK712" i="11"/>
  <c r="AK714" i="11"/>
  <c r="AK715" i="11"/>
  <c r="AK694" i="11"/>
  <c r="AK686" i="11"/>
  <c r="AK709" i="11"/>
  <c r="AK687" i="11"/>
  <c r="AK690" i="11"/>
  <c r="AK691" i="11"/>
  <c r="AK708" i="11"/>
  <c r="AK696" i="11"/>
  <c r="AK705" i="11"/>
  <c r="AK704" i="11"/>
  <c r="AK707" i="11"/>
  <c r="AK692" i="11"/>
  <c r="AK697" i="11"/>
  <c r="AK710" i="11"/>
  <c r="AK702" i="11"/>
  <c r="AK725" i="11"/>
  <c r="AK793" i="11"/>
  <c r="AK808" i="11"/>
  <c r="AK720" i="11"/>
  <c r="AK795" i="11"/>
  <c r="AK799" i="11"/>
  <c r="AK747" i="11"/>
  <c r="AK796" i="11"/>
  <c r="AK743" i="11"/>
  <c r="AK738" i="11"/>
  <c r="AK804" i="11"/>
  <c r="AK759" i="11"/>
  <c r="AK779" i="11"/>
  <c r="AK751" i="11"/>
  <c r="AK768" i="11"/>
  <c r="AK735" i="11"/>
  <c r="AK749" i="11"/>
  <c r="AK731" i="11"/>
  <c r="AK800" i="11"/>
  <c r="AK733" i="11"/>
  <c r="AK774" i="11"/>
  <c r="AK718" i="11"/>
  <c r="AK717" i="11"/>
  <c r="AK762" i="11"/>
  <c r="AK732" i="11"/>
  <c r="AK734" i="11"/>
  <c r="AK775" i="11"/>
  <c r="AK778" i="11"/>
  <c r="AK776" i="11"/>
  <c r="AK756" i="11"/>
  <c r="AK763" i="11"/>
  <c r="AK802" i="11"/>
  <c r="AK719" i="11"/>
  <c r="AK722" i="11"/>
  <c r="AK753" i="11"/>
  <c r="AK797" i="11"/>
  <c r="AK740" i="11"/>
  <c r="AK745" i="11"/>
  <c r="AK805" i="11"/>
  <c r="AK724" i="11"/>
  <c r="AK798" i="11"/>
  <c r="AK794" i="11"/>
  <c r="AK803" i="11"/>
  <c r="AK764" i="11"/>
  <c r="AK765" i="11"/>
  <c r="AK737" i="11"/>
  <c r="AK721" i="11"/>
  <c r="AK767" i="11"/>
  <c r="AK741" i="11"/>
  <c r="AK739" i="11"/>
  <c r="AK777" i="11"/>
  <c r="AK726" i="11"/>
  <c r="AK716" i="11"/>
  <c r="AK769" i="11"/>
  <c r="AK750" i="11"/>
  <c r="AK801" i="11"/>
  <c r="AK736" i="11"/>
  <c r="AK771" i="11"/>
  <c r="AK761" i="11"/>
  <c r="AK760" i="11"/>
  <c r="AK757" i="11"/>
  <c r="AK727" i="11"/>
  <c r="AK742" i="11"/>
  <c r="AK772" i="11"/>
  <c r="AK766" i="11"/>
  <c r="AK807" i="11"/>
  <c r="AK752" i="11"/>
  <c r="AK780" i="11"/>
  <c r="AK748" i="11"/>
  <c r="AK806" i="11"/>
  <c r="AK744" i="11"/>
  <c r="AK746" i="11"/>
  <c r="AK758" i="11"/>
  <c r="AK770" i="11"/>
  <c r="AK729" i="11"/>
  <c r="AK754" i="11"/>
  <c r="AK730" i="11"/>
  <c r="AK723" i="11"/>
  <c r="AK773" i="11"/>
  <c r="AK755" i="11"/>
  <c r="AK728" i="11"/>
  <c r="AQ39" i="18"/>
  <c r="AQ40" i="18" s="1"/>
  <c r="AQ41" i="18" s="1"/>
  <c r="AH652" i="11" l="1"/>
  <c r="AQ42" i="18"/>
  <c r="AQ43" i="18" s="1"/>
  <c r="AQ44" i="18" s="1"/>
  <c r="AQ45" i="18" s="1"/>
  <c r="AQ46" i="18" s="1"/>
  <c r="AQ47" i="18" s="1"/>
  <c r="AQ48" i="18" s="1"/>
  <c r="X35" i="4" l="1"/>
  <c r="M28" i="4"/>
  <c r="AQ49" i="18"/>
  <c r="AQ50" i="18" s="1"/>
  <c r="AQ51" i="18" l="1"/>
  <c r="AQ52" i="18" l="1"/>
  <c r="AQ53" i="18" s="1"/>
  <c r="AQ54" i="18" s="1"/>
  <c r="AQ55" i="18" l="1"/>
  <c r="AQ56" i="18" l="1"/>
  <c r="AQ57" i="18" s="1"/>
  <c r="AQ58" i="18" s="1"/>
  <c r="AQ59" i="18" s="1"/>
  <c r="AQ60" i="18" s="1"/>
  <c r="AS14" i="18" s="1"/>
  <c r="AS22" i="18" l="1"/>
  <c r="AS16" i="18"/>
  <c r="AS17" i="18"/>
  <c r="AS19" i="18"/>
  <c r="AS28" i="18"/>
  <c r="AS21" i="18"/>
  <c r="AS24" i="18"/>
  <c r="AS12" i="18"/>
  <c r="AS13" i="18"/>
  <c r="AS20" i="18"/>
  <c r="AS29" i="18"/>
  <c r="AS18" i="18"/>
  <c r="AS27" i="18"/>
  <c r="AS15" i="18"/>
  <c r="AS23" i="18"/>
  <c r="AS26" i="18"/>
  <c r="AS25" i="18"/>
  <c r="AS33" i="18"/>
  <c r="AS32" i="18"/>
  <c r="AS38" i="18"/>
  <c r="AS30" i="18"/>
  <c r="AS34" i="18"/>
  <c r="AS36" i="18"/>
  <c r="AS35" i="18"/>
  <c r="AS31" i="18"/>
  <c r="AS40" i="18"/>
  <c r="AS43" i="18"/>
  <c r="AS41" i="18"/>
  <c r="AS37" i="18"/>
  <c r="AS39" i="18"/>
  <c r="AS42" i="18"/>
  <c r="AS44" i="18"/>
  <c r="AS45" i="18"/>
  <c r="AS99" i="18"/>
  <c r="AS56" i="18"/>
  <c r="AS64" i="18"/>
  <c r="AS51" i="18"/>
  <c r="AS68" i="18"/>
  <c r="AS50" i="18"/>
  <c r="AS74" i="18"/>
  <c r="AS54" i="18"/>
  <c r="AS49" i="18"/>
  <c r="AS92" i="18"/>
  <c r="AS135" i="18"/>
  <c r="AS75" i="18"/>
  <c r="AS118" i="18"/>
  <c r="AS139" i="18"/>
  <c r="AS134" i="18"/>
  <c r="AS138" i="18"/>
  <c r="AS61" i="18"/>
  <c r="AS119" i="18"/>
  <c r="AS48" i="18"/>
  <c r="AS83" i="18"/>
  <c r="AS131" i="18"/>
  <c r="AS93" i="18"/>
  <c r="AS90" i="18"/>
  <c r="AS71" i="18"/>
  <c r="AS137" i="18"/>
  <c r="AS121" i="18"/>
  <c r="AS105" i="18"/>
  <c r="AS143" i="18"/>
  <c r="AS47" i="18"/>
  <c r="AS76" i="18"/>
  <c r="AS107" i="18"/>
  <c r="AS129" i="18"/>
  <c r="AS114" i="18"/>
  <c r="AS123" i="18"/>
  <c r="AS86" i="18"/>
  <c r="AS94" i="18"/>
  <c r="AS66" i="18"/>
  <c r="AS133" i="18"/>
  <c r="AS60" i="18"/>
  <c r="AS55" i="18"/>
  <c r="AS115" i="18"/>
  <c r="AS81" i="18"/>
  <c r="AS87" i="18"/>
  <c r="AS120" i="18"/>
  <c r="AS128" i="18"/>
  <c r="AS59" i="18"/>
  <c r="AS96" i="18"/>
  <c r="AS91" i="18"/>
  <c r="AS85" i="18"/>
  <c r="AS113" i="18"/>
  <c r="AS142" i="18"/>
  <c r="AS106" i="18"/>
  <c r="AS112" i="18"/>
  <c r="AS82" i="18"/>
  <c r="AS108" i="18"/>
  <c r="AS102" i="18"/>
  <c r="AS136" i="18"/>
  <c r="AS78" i="18"/>
  <c r="AS73" i="18"/>
  <c r="AS145" i="18"/>
  <c r="AS144" i="18"/>
  <c r="AS125" i="18"/>
  <c r="AS122" i="18"/>
  <c r="AS46" i="18"/>
  <c r="AS126" i="18"/>
  <c r="AS97" i="18"/>
  <c r="AS117" i="18"/>
  <c r="AS140" i="18"/>
  <c r="AS130" i="18"/>
  <c r="AS52" i="18"/>
  <c r="AS103" i="18"/>
  <c r="AS124" i="18"/>
  <c r="AS98" i="18"/>
  <c r="AS100" i="18"/>
  <c r="AS101" i="18"/>
  <c r="AS69" i="18"/>
  <c r="AS57" i="18"/>
  <c r="AS67" i="18"/>
  <c r="AS111" i="18"/>
  <c r="AS89" i="18"/>
  <c r="AS88" i="18"/>
  <c r="AS109" i="18"/>
  <c r="AS79" i="18"/>
  <c r="AS70" i="18"/>
  <c r="AS80" i="18"/>
  <c r="AS58" i="18"/>
  <c r="AS63" i="18"/>
  <c r="AS132" i="18"/>
  <c r="AS72" i="18"/>
  <c r="AS77" i="18"/>
  <c r="AS116" i="18"/>
  <c r="AS53" i="18"/>
  <c r="AS65" i="18"/>
  <c r="AS127" i="18"/>
  <c r="AS84" i="18"/>
  <c r="AS141" i="18"/>
  <c r="AS95" i="18"/>
  <c r="AS104" i="18"/>
  <c r="AS110" i="18"/>
  <c r="AS62" i="18"/>
  <c r="AS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01" authorId="1" shapeId="0" xr:uid="{FB1CBFC9-9923-4757-8912-97C5E02B3943}">
      <text>
        <r>
          <rPr>
            <sz val="9"/>
            <color indexed="81"/>
            <rFont val="Tahoma"/>
            <family val="2"/>
          </rPr>
          <t>Seleccionar críticos en la sección 'Ventajas y Creación'</t>
        </r>
      </text>
    </comment>
    <comment ref="C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9"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<sst xmlns="http://schemas.openxmlformats.org/spreadsheetml/2006/main" count="41629" uniqueCount="14162">
  <si>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</si>
  <si>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</si>
  <si>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</si>
  <si>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</si>
  <si>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</si>
  <si>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</si>
  <si>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</si>
  <si>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</si>
  <si>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</si>
  <si>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</si>
  <si>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</si>
  <si>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</si>
  <si>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</si>
  <si>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</si>
  <si>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</si>
  <si>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</si>
  <si>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</si>
  <si>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</si>
  <si>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</si>
  <si>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</si>
  <si>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</si>
  <si>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</si>
  <si>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</si>
  <si>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</si>
  <si>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</si>
  <si>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</si>
  <si>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</si>
  <si>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</si>
  <si>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</si>
  <si>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</si>
  <si>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</si>
  <si>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</si>
  <si>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</si>
  <si>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</si>
  <si>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Extroversión</t>
  </si>
  <si>
    <t>Uso de Patrón mental: Extroversión</t>
  </si>
  <si>
    <t>Locura</t>
  </si>
  <si>
    <t>Uso de Patrón mental: Locura</t>
  </si>
  <si>
    <t>Psicopatía</t>
  </si>
  <si>
    <t>Uso de Patrón mental: Psicopatía</t>
  </si>
  <si>
    <t>Compasión</t>
  </si>
  <si>
    <t>Uso de Patrón mental: Compasión</t>
  </si>
  <si>
    <t>Uso de Patrón mental: Cobardía</t>
  </si>
  <si>
    <t>Valentía</t>
  </si>
  <si>
    <t>Uso de Patrón mental: Valentía</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</si>
  <si>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</si>
  <si>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</si>
  <si>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</si>
  <si>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</si>
  <si>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</si>
  <si>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</si>
  <si>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</si>
  <si>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</si>
  <si>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</si>
  <si>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</si>
  <si>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</si>
  <si>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</si>
  <si>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</si>
  <si>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</si>
  <si>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</si>
  <si>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</si>
  <si>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</si>
  <si>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</si>
  <si>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</si>
  <si>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</si>
  <si>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</si>
  <si>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</si>
  <si>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</si>
  <si>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</si>
  <si>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</si>
  <si>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</si>
  <si>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</si>
  <si>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</si>
  <si>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</si>
  <si>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</si>
  <si>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</si>
  <si>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</si>
  <si>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</si>
  <si>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</si>
  <si>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</si>
  <si>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</si>
  <si>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</si>
  <si>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</si>
  <si>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</si>
  <si>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</si>
  <si>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</si>
  <si>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</si>
  <si>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</si>
  <si>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</si>
  <si>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</si>
  <si>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</si>
  <si>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</si>
  <si>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</si>
  <si>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</si>
  <si>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</si>
  <si>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</si>
  <si>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</si>
  <si>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</si>
  <si>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</si>
  <si>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</si>
  <si>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</si>
  <si>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</si>
  <si>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</si>
  <si>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</si>
  <si>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</si>
  <si>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</si>
  <si>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</si>
  <si>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</si>
  <si>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</si>
  <si>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</si>
  <si>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</si>
  <si>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</si>
  <si>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</si>
  <si>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</si>
  <si>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</si>
  <si>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</si>
  <si>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</si>
  <si>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</si>
  <si>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</si>
  <si>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</si>
  <si>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</si>
  <si>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</si>
  <si>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</si>
  <si>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</si>
  <si>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</si>
  <si>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</si>
  <si>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</si>
  <si>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</si>
  <si>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</si>
  <si>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</si>
  <si>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</si>
  <si>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</si>
  <si>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</si>
  <si>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</si>
  <si>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</si>
  <si>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</si>
  <si>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</si>
  <si>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</si>
  <si>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</si>
  <si>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</si>
  <si>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</si>
  <si>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</si>
  <si>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</si>
  <si>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</si>
  <si>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</si>
  <si>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</si>
  <si>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</si>
  <si>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</si>
  <si>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</si>
  <si>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</si>
  <si>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</si>
  <si>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</si>
  <si>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</si>
  <si>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</si>
  <si>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</si>
  <si>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</si>
  <si>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</si>
  <si>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</si>
  <si>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</si>
  <si>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</si>
  <si>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</si>
  <si>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</si>
  <si>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</si>
  <si>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</si>
  <si>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</si>
  <si>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</si>
  <si>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</si>
  <si>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</si>
  <si>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</si>
  <si>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</si>
  <si>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</si>
  <si>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</si>
  <si>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</si>
  <si>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</si>
  <si>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</si>
  <si>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</si>
  <si>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</si>
  <si>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</si>
  <si>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</si>
  <si>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</si>
  <si>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</si>
  <si>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</si>
  <si>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</si>
  <si>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</si>
  <si>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</si>
  <si>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</si>
  <si>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</si>
  <si>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</si>
  <si>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</si>
  <si>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</si>
  <si>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</si>
  <si>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</si>
  <si>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</si>
  <si>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</si>
  <si>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</si>
  <si>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</si>
  <si>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</si>
  <si>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</si>
  <si>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</si>
  <si>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</si>
  <si>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</si>
  <si>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</si>
  <si>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</si>
  <si>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</si>
  <si>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</si>
  <si>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</si>
  <si>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</si>
  <si>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Filtrar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</si>
  <si>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</si>
  <si>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</si>
  <si>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</si>
  <si>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</si>
  <si>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</si>
  <si>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</si>
  <si>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</si>
  <si>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</si>
  <si>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</si>
  <si>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</si>
  <si>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</si>
  <si>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</si>
  <si>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</si>
  <si>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</si>
  <si>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</si>
  <si>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</si>
  <si>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</si>
  <si>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</si>
  <si>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</si>
  <si>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</si>
  <si>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</si>
  <si>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</si>
  <si>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</si>
  <si>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</si>
  <si>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</si>
  <si>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</si>
  <si>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</si>
  <si>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</si>
  <si>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</si>
  <si>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</si>
  <si>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</si>
  <si>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</si>
  <si>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</si>
  <si>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</si>
  <si>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</si>
  <si>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</si>
  <si>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</si>
  <si>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</si>
  <si>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</si>
  <si>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</si>
  <si>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</si>
  <si>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</si>
  <si>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</si>
  <si>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</si>
  <si>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</si>
  <si>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</si>
  <si>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</si>
  <si>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</si>
  <si>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</si>
  <si>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</si>
  <si>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</si>
  <si>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</si>
  <si>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</si>
  <si>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</si>
  <si>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</si>
  <si>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</si>
  <si>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</si>
  <si>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</si>
  <si>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</si>
  <si>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</si>
  <si>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</si>
  <si>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</si>
  <si>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</si>
  <si>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</si>
  <si>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</si>
  <si>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</si>
  <si>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</si>
  <si>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</si>
  <si>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</si>
  <si>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</si>
  <si>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</si>
  <si>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</si>
  <si>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</si>
  <si>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</si>
  <si>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</si>
  <si>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</si>
  <si>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</si>
  <si>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</si>
  <si>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</si>
  <si>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</si>
  <si>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</si>
  <si>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</si>
  <si>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</si>
  <si>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</si>
  <si>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</si>
  <si>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</si>
  <si>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</si>
  <si>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</si>
  <si>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</si>
  <si>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</si>
  <si>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</si>
  <si>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</si>
  <si>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</si>
  <si>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</si>
  <si>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</si>
  <si>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</si>
  <si>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</si>
  <si>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</si>
  <si>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</si>
  <si>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</si>
  <si>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</si>
  <si>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</si>
  <si>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</si>
  <si>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</si>
  <si>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</si>
  <si>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</si>
  <si>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</si>
  <si>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</si>
  <si>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</si>
  <si>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</si>
  <si>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</si>
  <si>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</si>
  <si>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</si>
  <si>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</si>
  <si>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</si>
  <si>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</si>
  <si>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</si>
  <si>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</si>
  <si>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</si>
  <si>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</si>
  <si>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</si>
  <si>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</si>
  <si>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</si>
  <si>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</si>
  <si>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</si>
  <si>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</si>
  <si>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</si>
  <si>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</si>
  <si>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</si>
  <si>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</si>
  <si>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</si>
  <si>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</si>
  <si>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</si>
  <si>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</si>
  <si>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</si>
  <si>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</si>
  <si>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</si>
  <si>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</si>
  <si>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</si>
  <si>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</si>
  <si>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</si>
  <si>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</si>
  <si>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</si>
  <si>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</si>
  <si>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</si>
  <si>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</si>
  <si>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</si>
  <si>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</si>
  <si>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</si>
  <si>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</si>
  <si>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</si>
  <si>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</si>
  <si>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</si>
  <si>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</si>
  <si>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</si>
  <si>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</si>
  <si>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</si>
  <si>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</si>
  <si>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</si>
  <si>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</si>
  <si>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</si>
  <si>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</si>
  <si>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</si>
  <si>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</si>
  <si>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</si>
  <si>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</si>
  <si>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</si>
  <si>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</si>
  <si>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</si>
  <si>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</si>
  <si>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</si>
  <si>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</si>
  <si>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</si>
  <si>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</si>
  <si>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</si>
  <si>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</si>
  <si>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</si>
  <si>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</si>
  <si>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</si>
  <si>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</si>
  <si>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</si>
  <si>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</si>
  <si>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</si>
  <si>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</si>
  <si>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</si>
  <si>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</si>
  <si>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</si>
  <si>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</si>
  <si>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</si>
  <si>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</si>
  <si>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</si>
  <si>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</si>
  <si>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</si>
  <si>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</si>
  <si>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</si>
  <si>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</si>
  <si>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</si>
  <si>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</si>
  <si>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</si>
  <si>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</si>
  <si>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</si>
  <si>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</si>
  <si>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</si>
  <si>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</si>
  <si>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</si>
  <si>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</si>
  <si>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</si>
  <si>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</si>
  <si>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</si>
  <si>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</si>
  <si>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</si>
  <si>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</si>
  <si>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</si>
  <si>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</si>
  <si>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</si>
  <si>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</si>
  <si>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</si>
  <si>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</si>
  <si>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</si>
  <si>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</si>
  <si>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</si>
  <si>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</si>
  <si>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</si>
  <si>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</si>
  <si>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</si>
  <si>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</si>
  <si>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</si>
  <si>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</si>
  <si>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</si>
  <si>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</si>
  <si>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</si>
  <si>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</si>
  <si>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</si>
  <si>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</si>
  <si>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</si>
  <si>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</si>
  <si>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</si>
  <si>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</si>
  <si>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</si>
  <si>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</si>
  <si>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</si>
  <si>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</si>
  <si>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</si>
  <si>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</si>
  <si>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</si>
  <si>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</si>
  <si>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</si>
  <si>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</si>
  <si>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</si>
  <si>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</si>
  <si>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</si>
  <si>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</si>
  <si>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</si>
  <si>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</si>
  <si>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</si>
  <si>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</si>
  <si>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</si>
  <si>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</si>
  <si>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</si>
  <si>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</si>
  <si>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</si>
  <si>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</si>
  <si>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</si>
  <si>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</si>
  <si>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</si>
  <si>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</si>
  <si>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</si>
  <si>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</si>
  <si>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</si>
  <si>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</si>
  <si>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</si>
  <si>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</si>
  <si>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</si>
  <si>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</si>
  <si>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</si>
  <si>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</si>
  <si>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</si>
  <si>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</si>
  <si>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</si>
  <si>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</si>
  <si>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</si>
  <si>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</si>
  <si>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Maldición mortal</t>
  </si>
  <si>
    <t>Detener la muerte</t>
  </si>
  <si>
    <t>La muerte</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</si>
  <si>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</si>
  <si>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</si>
  <si>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</si>
  <si>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</si>
  <si>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</si>
  <si>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</si>
  <si>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</si>
  <si>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</si>
  <si>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</si>
  <si>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</si>
  <si>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</si>
  <si>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</si>
  <si>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</si>
  <si>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</si>
  <si>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</si>
  <si>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</si>
  <si>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</si>
  <si>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</si>
  <si>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</si>
  <si>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</si>
  <si>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</si>
  <si>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</si>
  <si>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</si>
  <si>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</si>
  <si>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</si>
  <si>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</si>
  <si>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</si>
  <si>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</si>
  <si>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</si>
  <si>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</si>
  <si>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</si>
  <si>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</si>
  <si>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</si>
  <si>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</si>
  <si>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</si>
  <si>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</si>
  <si>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</si>
  <si>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</si>
  <si>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</si>
  <si>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</si>
  <si>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</si>
  <si>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</si>
  <si>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</si>
  <si>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</si>
  <si>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</si>
  <si>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</si>
  <si>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</si>
  <si>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</si>
  <si>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</si>
  <si>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</si>
  <si>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</si>
  <si>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</si>
  <si>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</si>
  <si>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</si>
  <si>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</si>
  <si>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</si>
  <si>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</si>
  <si>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</si>
  <si>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</si>
  <si>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</si>
  <si>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</si>
  <si>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</si>
  <si>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</si>
  <si>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</si>
  <si>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</si>
  <si>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</si>
  <si>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</si>
  <si>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</si>
  <si>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</si>
  <si>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</si>
  <si>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</si>
  <si>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</si>
  <si>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</si>
  <si>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</si>
  <si>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</si>
  <si>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</si>
  <si>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</si>
  <si>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</si>
  <si>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</si>
  <si>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</si>
  <si>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</si>
  <si>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</si>
  <si>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</si>
  <si>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</si>
  <si>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</si>
  <si>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</si>
  <si>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</si>
  <si>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</si>
  <si>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</si>
  <si>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</si>
  <si>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</si>
  <si>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</si>
  <si>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</si>
  <si>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</si>
  <si>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</si>
  <si>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</si>
  <si>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</si>
  <si>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</si>
  <si>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</si>
  <si>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</si>
  <si>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</si>
  <si>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</si>
  <si>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</si>
  <si>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</si>
  <si>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</si>
  <si>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</si>
  <si>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</si>
  <si>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</si>
  <si>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</si>
  <si>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</si>
  <si>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</si>
  <si>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</si>
  <si>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</si>
  <si>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</si>
  <si>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</si>
  <si>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</si>
  <si>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</si>
  <si>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</si>
  <si>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</si>
  <si>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</si>
  <si>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</si>
  <si>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</si>
  <si>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</si>
  <si>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</si>
  <si>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</si>
  <si>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</si>
  <si>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</si>
  <si>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</si>
  <si>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</si>
  <si>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</si>
  <si>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</si>
  <si>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</si>
  <si>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</si>
  <si>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</si>
  <si>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</si>
  <si>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</si>
  <si>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</si>
  <si>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</si>
  <si>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</si>
  <si>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</si>
  <si>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</si>
  <si>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</si>
  <si>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</si>
  <si>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</si>
  <si>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</si>
  <si>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</si>
  <si>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</si>
  <si>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</si>
  <si>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</si>
  <si>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</si>
  <si>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</si>
  <si>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</si>
  <si>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</si>
  <si>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</si>
  <si>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</si>
  <si>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</si>
  <si>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Hermod, el Mensajero de los Dioses</t>
  </si>
  <si>
    <t>Enamon</t>
  </si>
  <si>
    <t>Naaga, Madre de los Venenos</t>
  </si>
  <si>
    <t>Huginn y Muninn, Ojos de Cuervo</t>
  </si>
  <si>
    <t>Idea, Musa de la Locura</t>
  </si>
  <si>
    <t>Galgaliel, Ángel de los Dones</t>
  </si>
  <si>
    <t>Lix Tetrax</t>
  </si>
  <si>
    <t>Garuda, Alas de Fuego</t>
  </si>
  <si>
    <t>Raksasha</t>
  </si>
  <si>
    <t>Idún, Señora de la Juventud Eterna</t>
  </si>
  <si>
    <t>Ethelthryth, Señora de los Nombres</t>
  </si>
  <si>
    <t>Eir, la Primera Valkyria</t>
  </si>
  <si>
    <t>Veles, el Poder de la Magia</t>
  </si>
  <si>
    <t>Thanathos</t>
  </si>
  <si>
    <t>Caronte, Titiritero de Almas</t>
  </si>
  <si>
    <t>Pandora, el Castigo Divino</t>
  </si>
  <si>
    <t>Forseti, Señor del Equilibrio</t>
  </si>
  <si>
    <t>Druaga</t>
  </si>
  <si>
    <t>Behemoth, Señor de la Tierra</t>
  </si>
  <si>
    <t>Leviathan, Señor de los Océanos</t>
  </si>
  <si>
    <t>Ziz, Señor de los Cielos</t>
  </si>
  <si>
    <t>Seiryu, el Dragón Celeste</t>
  </si>
  <si>
    <t>Genbu, la Tortuga Negra</t>
  </si>
  <si>
    <t>Suzaku, el Fénix</t>
  </si>
  <si>
    <t>Byakko, el Tigre Blanco</t>
  </si>
  <si>
    <t>Kirin, el Centro</t>
  </si>
  <si>
    <t>El Vendedor</t>
  </si>
  <si>
    <t>Tawil At-U'mr, Señor de las Puertas</t>
  </si>
  <si>
    <t>&gt; ENCARNACIONES</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</si>
  <si>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</si>
  <si>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</si>
  <si>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</si>
  <si>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</si>
  <si>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</si>
  <si>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</si>
  <si>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</si>
  <si>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</si>
  <si>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</si>
  <si>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</si>
  <si>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</si>
  <si>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</si>
  <si>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</si>
  <si>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</si>
  <si>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</si>
  <si>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</si>
  <si>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</si>
  <si>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</si>
  <si>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</si>
  <si>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</si>
  <si>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</si>
  <si>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</si>
  <si>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</si>
  <si>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</si>
  <si>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</si>
  <si>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</si>
  <si>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</si>
  <si>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</si>
  <si>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</si>
  <si>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</si>
  <si>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</si>
  <si>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</si>
  <si>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</si>
  <si>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</si>
  <si>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</si>
  <si>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</si>
  <si>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</si>
  <si>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</si>
  <si>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</si>
  <si>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</si>
  <si>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</si>
  <si>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</si>
  <si>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</si>
  <si>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</si>
  <si>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</si>
  <si>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</si>
  <si>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</si>
  <si>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</si>
  <si>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</si>
  <si>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</si>
  <si>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</si>
  <si>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</si>
  <si>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</si>
  <si>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</si>
  <si>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</si>
  <si>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</si>
  <si>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</si>
  <si>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</si>
  <si>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</si>
  <si>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</si>
  <si>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</si>
  <si>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</si>
  <si>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</si>
  <si>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</si>
  <si>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</si>
  <si>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</si>
  <si>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</si>
  <si>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</si>
  <si>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</si>
  <si>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</si>
  <si>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</si>
  <si>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</si>
  <si>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</si>
  <si>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</si>
  <si>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</si>
  <si>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</si>
  <si>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</si>
  <si>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</si>
  <si>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</si>
  <si>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</si>
  <si>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</si>
  <si>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</si>
  <si>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</si>
  <si>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</si>
  <si>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</si>
  <si>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</si>
  <si>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</si>
  <si>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</si>
  <si>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</si>
  <si>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</si>
  <si>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</si>
  <si>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</si>
  <si>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</si>
  <si>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</si>
  <si>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</si>
  <si>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</si>
  <si>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</si>
  <si>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</si>
  <si>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</si>
  <si>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</si>
  <si>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</si>
  <si>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</si>
  <si>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</si>
  <si>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</si>
  <si>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</si>
  <si>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</si>
  <si>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</si>
  <si>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</si>
  <si>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</si>
  <si>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</si>
  <si>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</si>
  <si>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</si>
  <si>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</si>
  <si>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</si>
  <si>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</si>
  <si>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</si>
  <si>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</si>
  <si>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</si>
  <si>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</si>
  <si>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</si>
  <si>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</si>
  <si>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</si>
  <si>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</si>
  <si>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</si>
  <si>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</si>
  <si>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</si>
  <si>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</si>
  <si>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</si>
  <si>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</si>
  <si>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</si>
  <si>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</si>
  <si>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</si>
  <si>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</si>
  <si>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</si>
  <si>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</si>
  <si>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</si>
  <si>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</si>
  <si>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</si>
  <si>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</si>
  <si>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</si>
  <si>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</si>
  <si>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</si>
  <si>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</si>
  <si>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</si>
  <si>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</si>
  <si>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</si>
  <si>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</si>
  <si>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</si>
  <si>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</si>
  <si>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</si>
  <si>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</si>
  <si>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</si>
  <si>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</si>
  <si>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</si>
  <si>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</si>
  <si>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</si>
  <si>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</si>
  <si>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</si>
  <si>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</si>
  <si>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</si>
  <si>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</si>
  <si>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</si>
  <si>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</si>
  <si>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</si>
  <si>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</si>
  <si>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</si>
  <si>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</si>
  <si>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</si>
  <si>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</si>
  <si>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</si>
  <si>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</si>
  <si>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</si>
  <si>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</si>
  <si>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</si>
  <si>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</si>
  <si>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</si>
  <si>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</si>
  <si>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</si>
  <si>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</si>
  <si>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</si>
  <si>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</si>
  <si>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</si>
  <si>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</si>
  <si>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</si>
  <si>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</si>
  <si>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</si>
  <si>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</si>
  <si>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</si>
  <si>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</si>
  <si>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</si>
  <si>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</si>
  <si>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</si>
  <si>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</si>
  <si>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</si>
  <si>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</si>
  <si>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</si>
  <si>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</si>
  <si>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</si>
  <si>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</si>
  <si>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</si>
  <si>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</si>
  <si>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</si>
  <si>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</si>
  <si>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</si>
  <si>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</si>
  <si>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</si>
  <si>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</si>
  <si>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</si>
  <si>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</si>
  <si>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</si>
  <si>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</si>
  <si>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</si>
  <si>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</si>
  <si>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</si>
  <si>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</si>
  <si>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</si>
  <si>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</si>
  <si>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</si>
  <si>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</si>
  <si>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</si>
  <si>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</si>
  <si>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</si>
  <si>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</si>
  <si>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</si>
  <si>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</si>
  <si>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</si>
  <si>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</si>
  <si>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</si>
  <si>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</si>
  <si>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</si>
  <si>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</si>
  <si>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</si>
  <si>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</si>
  <si>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</si>
  <si>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</si>
  <si>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</si>
  <si>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</si>
  <si>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</si>
  <si>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</si>
  <si>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</si>
  <si>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</si>
  <si>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</si>
  <si>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</si>
  <si>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</si>
  <si>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</si>
  <si>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</si>
  <si>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</si>
  <si>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</si>
  <si>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</si>
  <si>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</si>
  <si>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</si>
  <si>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</si>
  <si>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</si>
  <si>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</si>
  <si>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</si>
  <si>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</si>
  <si>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</si>
  <si>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</si>
  <si>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</si>
  <si>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</si>
  <si>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</si>
  <si>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</si>
  <si>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</si>
  <si>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</si>
  <si>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</si>
  <si>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</si>
  <si>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</si>
  <si>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</si>
  <si>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</si>
  <si>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</si>
  <si>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</si>
  <si>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</si>
  <si>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</si>
  <si>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</si>
  <si>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</si>
  <si>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</si>
  <si>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</si>
  <si>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</si>
  <si>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</si>
  <si>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</si>
  <si>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</si>
  <si>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</si>
  <si>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</si>
  <si>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</si>
  <si>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</si>
  <si>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</si>
  <si>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</si>
  <si>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</si>
  <si>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</si>
  <si>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</si>
  <si>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</si>
  <si>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</si>
  <si>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</si>
  <si>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</si>
  <si>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</si>
  <si>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</si>
  <si>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</si>
  <si>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</si>
  <si>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</si>
  <si>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</si>
  <si>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</si>
  <si>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</si>
  <si>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</si>
  <si>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</si>
  <si>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</si>
  <si>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</si>
  <si>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</si>
  <si>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</si>
  <si>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</si>
  <si>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</si>
  <si>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</si>
  <si>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</si>
  <si>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</si>
  <si>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</si>
  <si>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</si>
  <si>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</si>
  <si>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</si>
  <si>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</si>
  <si>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</si>
  <si>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</si>
  <si>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</si>
  <si>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</si>
  <si>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</si>
  <si>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</si>
  <si>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</si>
  <si>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</si>
  <si>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</si>
  <si>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</si>
  <si>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</si>
  <si>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</si>
  <si>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</si>
  <si>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</si>
  <si>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</si>
  <si>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</si>
  <si>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</si>
  <si>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</si>
  <si>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</si>
  <si>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</si>
  <si>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</si>
  <si>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</si>
  <si>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</si>
  <si>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</si>
  <si>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</si>
  <si>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</si>
  <si>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</si>
  <si>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</si>
  <si>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</si>
  <si>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</si>
  <si>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</si>
  <si>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</si>
  <si>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</si>
  <si>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</si>
  <si>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</si>
  <si>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</si>
  <si>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</si>
  <si>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</si>
  <si>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</si>
  <si>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</si>
  <si>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</si>
  <si>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</si>
  <si>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</si>
  <si>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</si>
  <si>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</si>
  <si>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</si>
  <si>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</si>
  <si>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</si>
  <si>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</si>
  <si>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</si>
  <si>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</si>
  <si>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</si>
  <si>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</si>
  <si>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</si>
  <si>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</si>
  <si>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</si>
  <si>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</si>
  <si>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</si>
  <si>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</si>
  <si>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</si>
  <si>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</si>
  <si>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</si>
  <si>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</si>
  <si>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</si>
  <si>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</si>
  <si>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</si>
  <si>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</si>
  <si>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</si>
  <si>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</si>
  <si>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</si>
  <si>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</si>
  <si>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</si>
  <si>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</si>
  <si>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</si>
  <si>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</si>
  <si>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</si>
  <si>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</si>
  <si>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</si>
  <si>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</si>
  <si>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</si>
  <si>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</si>
  <si>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</si>
  <si>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</si>
  <si>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</si>
  <si>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</si>
  <si>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</si>
  <si>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</si>
  <si>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</si>
  <si>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</si>
  <si>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</si>
  <si>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</si>
  <si>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</si>
  <si>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</si>
  <si>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</si>
  <si>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</si>
  <si>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</si>
  <si>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</si>
  <si>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</si>
  <si>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</si>
  <si>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</si>
  <si>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</si>
  <si>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</si>
  <si>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</si>
  <si>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</si>
  <si>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</si>
  <si>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</si>
  <si>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</si>
  <si>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</si>
  <si>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</si>
  <si>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</si>
  <si>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</si>
  <si>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</si>
  <si>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</si>
  <si>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</si>
  <si>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</si>
  <si>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</si>
  <si>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</si>
  <si>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</si>
  <si>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</si>
  <si>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</si>
  <si>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</si>
  <si>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</si>
  <si>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</si>
  <si>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</si>
  <si>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</si>
  <si>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</si>
  <si>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</si>
  <si>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</si>
  <si>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</si>
  <si>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</si>
  <si>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</si>
  <si>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</si>
  <si>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</si>
  <si>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</si>
  <si>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</si>
  <si>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</si>
  <si>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</si>
  <si>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</si>
  <si>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</si>
  <si>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</si>
  <si>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</si>
  <si>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</si>
  <si>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</si>
  <si>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</si>
  <si>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</si>
  <si>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</si>
  <si>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</si>
  <si>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</si>
  <si>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</si>
  <si>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</si>
  <si>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</si>
  <si>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</si>
  <si>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</si>
  <si>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</si>
  <si>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</si>
  <si>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</si>
  <si>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</si>
  <si>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</si>
  <si>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</si>
  <si>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</si>
  <si>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</si>
  <si>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</si>
  <si>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</si>
  <si>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</si>
  <si>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</si>
  <si>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</si>
  <si>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</si>
  <si>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</si>
  <si>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</si>
  <si>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</si>
  <si>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</si>
  <si>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</si>
  <si>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</si>
  <si>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</si>
  <si>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</si>
  <si>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</si>
  <si>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</si>
  <si>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</si>
  <si>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</si>
  <si>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</si>
  <si>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</si>
  <si>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</si>
  <si>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</si>
  <si>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</si>
  <si>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</si>
  <si>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</si>
  <si>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</si>
  <si>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</si>
  <si>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</si>
  <si>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</si>
  <si>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</si>
  <si>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</si>
  <si>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</si>
  <si>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</si>
  <si>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</si>
  <si>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</si>
  <si>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</si>
  <si>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</si>
  <si>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</si>
  <si>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</si>
  <si>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</si>
  <si>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</si>
  <si>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</si>
  <si>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</si>
  <si>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</si>
  <si>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</si>
  <si>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</si>
  <si>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</si>
  <si>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</si>
  <si>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</si>
  <si>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</si>
  <si>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</si>
  <si>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</si>
  <si>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</si>
  <si>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</si>
  <si>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</si>
  <si>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</si>
  <si>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</si>
  <si>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</si>
  <si>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</si>
  <si>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</si>
  <si>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</si>
  <si>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</si>
  <si>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</si>
  <si>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</si>
  <si>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</si>
  <si>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</si>
  <si>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</si>
  <si>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</si>
  <si>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</si>
  <si>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</si>
  <si>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</si>
  <si>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</si>
  <si>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</si>
  <si>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</si>
  <si>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</si>
  <si>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</si>
  <si>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</si>
  <si>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</si>
  <si>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</si>
  <si>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</si>
  <si>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</si>
  <si>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</si>
  <si>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</si>
  <si>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</si>
  <si>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</si>
  <si>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</si>
  <si>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</si>
  <si>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</si>
  <si>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</si>
  <si>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</si>
  <si>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</si>
  <si>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</si>
  <si>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</si>
  <si>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</si>
  <si>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</si>
  <si>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</si>
  <si>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</si>
  <si>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</si>
  <si>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</si>
  <si>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</si>
  <si>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</si>
  <si>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</si>
  <si>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</si>
  <si>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</si>
  <si>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</si>
  <si>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</si>
  <si>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</si>
  <si>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</si>
  <si>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</si>
  <si>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</si>
  <si>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</si>
  <si>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</si>
  <si>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</si>
  <si>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</si>
  <si>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</si>
  <si>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</si>
  <si>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</si>
  <si>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</si>
  <si>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</si>
  <si>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</si>
  <si>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</si>
  <si>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</si>
  <si>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</si>
  <si>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</si>
  <si>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</si>
  <si>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</si>
  <si>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</si>
  <si>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</si>
  <si>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</si>
  <si>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</si>
  <si>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</si>
  <si>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</si>
  <si>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</si>
  <si>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</si>
  <si>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</si>
  <si>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</si>
  <si>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</si>
  <si>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</si>
  <si>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</si>
  <si>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</si>
  <si>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</si>
  <si>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</si>
  <si>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</si>
  <si>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</si>
  <si>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</si>
  <si>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</si>
  <si>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</si>
  <si>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</si>
  <si>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</si>
  <si>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</si>
  <si>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</si>
  <si>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</si>
  <si>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</si>
  <si>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</si>
  <si>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</si>
  <si>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</si>
  <si>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</si>
  <si>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</si>
  <si>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</si>
  <si>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</si>
  <si>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</si>
  <si>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</si>
  <si>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</si>
  <si>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</si>
  <si>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</si>
  <si>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</si>
  <si>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</si>
  <si>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</si>
  <si>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</si>
  <si>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</si>
  <si>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</si>
  <si>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</si>
  <si>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</si>
  <si>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</si>
  <si>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</si>
  <si>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</si>
  <si>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</si>
  <si>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</si>
  <si>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</si>
  <si>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</si>
  <si>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</si>
  <si>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</si>
  <si>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</si>
  <si>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</si>
  <si>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</si>
  <si>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</si>
  <si>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</si>
  <si>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</si>
  <si>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</si>
  <si>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</si>
  <si>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</si>
  <si>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</si>
  <si>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</si>
  <si>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</si>
  <si>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</si>
  <si>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</si>
  <si>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</si>
  <si>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</si>
  <si>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</si>
  <si>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</si>
  <si>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</si>
  <si>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</si>
  <si>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</si>
  <si>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</si>
  <si>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</si>
  <si>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</si>
  <si>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</si>
  <si>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</si>
  <si>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</si>
  <si>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</si>
  <si>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</si>
  <si>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</si>
  <si>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</si>
  <si>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</si>
  <si>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</si>
  <si>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</si>
  <si>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</si>
  <si>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</si>
  <si>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</si>
  <si>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</si>
  <si>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</si>
  <si>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</si>
  <si>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</si>
  <si>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</si>
  <si>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</si>
  <si>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</si>
  <si>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</si>
  <si>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</si>
  <si>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</si>
  <si>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</si>
  <si>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</si>
  <si>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</si>
  <si>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</si>
  <si>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</si>
  <si>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</si>
  <si>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</si>
  <si>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</si>
  <si>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</si>
  <si>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</si>
  <si>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</si>
  <si>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</si>
  <si>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</si>
  <si>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</si>
  <si>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</si>
  <si>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</si>
  <si>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</si>
  <si>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</si>
  <si>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</si>
  <si>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</si>
  <si>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</si>
  <si>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</si>
  <si>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</si>
  <si>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</si>
  <si>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</si>
  <si>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</si>
  <si>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</si>
  <si>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</si>
  <si>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</si>
  <si>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</si>
  <si>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</si>
  <si>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</si>
  <si>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</si>
  <si>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</si>
  <si>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</si>
  <si>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</si>
  <si>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</si>
  <si>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</si>
  <si>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</si>
  <si>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</si>
  <si>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</si>
  <si>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</si>
  <si>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</si>
  <si>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</si>
  <si>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</si>
  <si>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</si>
  <si>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</si>
  <si>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</si>
  <si>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</si>
  <si>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</si>
  <si>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</si>
  <si>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</si>
  <si>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</si>
  <si>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</si>
  <si>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</si>
  <si>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</si>
  <si>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</si>
  <si>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</si>
  <si>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</si>
  <si>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</si>
  <si>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</si>
  <si>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</si>
  <si>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</si>
  <si>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</si>
  <si>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</si>
  <si>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</si>
  <si>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</si>
  <si>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</si>
  <si>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</si>
  <si>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</si>
  <si>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</si>
  <si>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</si>
  <si>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</si>
  <si>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</si>
  <si>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</si>
  <si>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</si>
  <si>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</si>
  <si>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</si>
  <si>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</si>
  <si>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</si>
  <si>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</si>
  <si>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</si>
  <si>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</si>
  <si>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</si>
  <si>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Magnitud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</si>
  <si>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</si>
  <si>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</si>
  <si>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</si>
  <si>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</si>
  <si>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</si>
  <si>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</si>
  <si>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</si>
  <si>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</si>
  <si>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</si>
  <si>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</si>
  <si>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</si>
  <si>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</si>
  <si>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</si>
  <si>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</si>
  <si>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</si>
  <si>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</si>
  <si>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</si>
  <si>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</si>
  <si>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</si>
  <si>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</si>
  <si>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</si>
  <si>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</si>
  <si>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</si>
  <si>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</si>
  <si>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</si>
  <si>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</si>
  <si>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</si>
  <si>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</si>
  <si>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</si>
  <si>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</si>
  <si>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</si>
  <si>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</si>
  <si>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</si>
  <si>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</si>
  <si>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</si>
  <si>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</si>
  <si>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</si>
  <si>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</si>
  <si>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</si>
  <si>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</si>
  <si>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</si>
  <si>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</si>
  <si>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</si>
  <si>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</si>
  <si>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</si>
  <si>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</si>
  <si>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</si>
  <si>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</si>
  <si>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</si>
  <si>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</si>
  <si>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</si>
  <si>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</si>
  <si>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</si>
  <si>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</si>
  <si>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</si>
  <si>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</si>
  <si>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</si>
  <si>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</si>
  <si>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</si>
  <si>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</si>
  <si>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</si>
  <si>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</si>
  <si>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</si>
  <si>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</si>
  <si>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</si>
  <si>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</si>
  <si>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</si>
  <si>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</si>
  <si>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</si>
  <si>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</si>
  <si>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</si>
  <si>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</si>
  <si>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</si>
  <si>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</si>
  <si>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</si>
  <si>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</si>
  <si>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</si>
  <si>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</si>
  <si>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</si>
  <si>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</si>
  <si>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</si>
  <si>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</si>
  <si>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</si>
  <si>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</si>
  <si>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</si>
  <si>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</si>
  <si>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</si>
  <si>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</si>
  <si>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</si>
  <si>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</si>
  <si>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</si>
  <si>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</si>
  <si>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</si>
  <si>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</si>
  <si>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</si>
  <si>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</si>
  <si>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</si>
  <si>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</si>
  <si>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</si>
  <si>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</si>
  <si>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</si>
  <si>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</si>
  <si>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</si>
  <si>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</si>
  <si>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</si>
  <si>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</si>
  <si>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</si>
  <si>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</si>
  <si>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</si>
  <si>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</si>
  <si>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</si>
  <si>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</si>
  <si>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</si>
  <si>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</si>
  <si>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</si>
  <si>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</si>
  <si>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</si>
  <si>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</si>
  <si>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</si>
  <si>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</si>
  <si>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</si>
  <si>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</si>
  <si>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</si>
  <si>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</si>
  <si>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</si>
  <si>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</si>
  <si>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</si>
  <si>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</si>
  <si>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</si>
  <si>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</si>
  <si>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</si>
  <si>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</si>
  <si>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</si>
  <si>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</si>
  <si>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</si>
  <si>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</si>
  <si>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</si>
  <si>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</si>
  <si>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</si>
  <si>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</si>
  <si>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</si>
  <si>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</si>
  <si>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</si>
  <si>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</si>
  <si>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</si>
  <si>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</si>
  <si>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</si>
  <si>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</si>
  <si>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</si>
  <si>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</si>
  <si>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</si>
  <si>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</si>
  <si>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</si>
  <si>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</si>
  <si>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</si>
  <si>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</si>
  <si>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</si>
  <si>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</si>
  <si>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</si>
  <si>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</si>
  <si>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</si>
  <si>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</si>
  <si>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</si>
  <si>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</si>
  <si>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</si>
  <si>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</si>
  <si>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</si>
  <si>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</si>
  <si>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</si>
  <si>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</si>
  <si>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</si>
  <si>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</si>
  <si>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</si>
  <si>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</si>
  <si>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</si>
  <si>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</si>
  <si>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</si>
  <si>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</si>
  <si>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</si>
  <si>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</si>
  <si>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</si>
  <si>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</si>
  <si>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</si>
  <si>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</si>
  <si>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</si>
  <si>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</si>
  <si>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</si>
  <si>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</si>
  <si>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</si>
  <si>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</si>
  <si>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</si>
  <si>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</si>
  <si>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</si>
  <si>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</si>
  <si>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</si>
  <si>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</si>
  <si>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</si>
  <si>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</si>
  <si>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</si>
  <si>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</si>
  <si>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</si>
  <si>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</si>
  <si>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</si>
  <si>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</si>
  <si>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</si>
  <si>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</si>
  <si>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</si>
  <si>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</si>
  <si>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</si>
  <si>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</si>
  <si>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</si>
  <si>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</si>
  <si>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</si>
  <si>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</si>
  <si>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</si>
  <si>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</si>
  <si>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</si>
  <si>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</si>
  <si>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</si>
  <si>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</si>
  <si>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</si>
  <si>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</si>
  <si>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</si>
  <si>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</si>
  <si>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</si>
  <si>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</si>
  <si>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</si>
  <si>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</si>
  <si>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</si>
  <si>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</si>
  <si>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</si>
  <si>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</si>
  <si>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</si>
  <si>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</si>
  <si>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</si>
  <si>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</si>
  <si>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</si>
  <si>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</si>
  <si>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</si>
  <si>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</si>
  <si>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</si>
  <si>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</si>
  <si>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</si>
  <si>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</si>
  <si>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</si>
  <si>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</si>
  <si>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</si>
  <si>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</si>
  <si>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</si>
  <si>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</si>
  <si>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</si>
  <si>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</si>
  <si>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</si>
  <si>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</si>
  <si>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</si>
  <si>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</si>
  <si>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</si>
  <si>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</si>
  <si>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</si>
  <si>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</si>
  <si>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</si>
  <si>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</si>
  <si>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</si>
  <si>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</si>
  <si>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</si>
  <si>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</si>
  <si>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</si>
  <si>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</si>
  <si>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</si>
  <si>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</si>
  <si>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</si>
  <si>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</si>
  <si>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</si>
  <si>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</si>
  <si>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</si>
  <si>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</si>
  <si>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</si>
  <si>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</si>
  <si>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</si>
  <si>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</si>
  <si>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</si>
  <si>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</si>
  <si>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</si>
  <si>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</si>
  <si>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</si>
  <si>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</si>
  <si>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</si>
  <si>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</si>
  <si>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</si>
  <si>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</si>
  <si>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</si>
  <si>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</si>
  <si>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</si>
  <si>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</si>
  <si>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</si>
  <si>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</si>
  <si>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</si>
  <si>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</si>
  <si>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</si>
  <si>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</si>
  <si>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</si>
  <si>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</si>
  <si>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</si>
  <si>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</si>
  <si>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</si>
  <si>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</si>
  <si>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</si>
  <si>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</si>
  <si>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</si>
  <si>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</si>
  <si>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</si>
  <si>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</si>
  <si>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</si>
  <si>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</si>
  <si>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</si>
  <si>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</si>
  <si>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</si>
  <si>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</si>
  <si>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</si>
  <si>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</si>
  <si>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</si>
  <si>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</si>
  <si>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</si>
  <si>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</si>
  <si>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</si>
  <si>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</si>
  <si>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</si>
  <si>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</si>
  <si>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</si>
  <si>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</si>
  <si>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</si>
  <si>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</si>
  <si>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</si>
  <si>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</si>
  <si>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</si>
  <si>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</si>
  <si>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</si>
  <si>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</si>
  <si>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</si>
  <si>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</si>
  <si>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</si>
  <si>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</si>
  <si>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</si>
  <si>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</si>
  <si>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</si>
  <si>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</si>
  <si>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</si>
  <si>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</si>
  <si>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</si>
  <si>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</si>
  <si>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</si>
  <si>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</si>
  <si>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</si>
  <si>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</si>
  <si>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</si>
  <si>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</si>
  <si>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</si>
  <si>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</si>
  <si>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</si>
  <si>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</si>
  <si>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</si>
  <si>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</si>
  <si>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</si>
  <si>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</si>
  <si>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</si>
  <si>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</si>
  <si>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</si>
  <si>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</si>
  <si>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</si>
  <si>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</si>
  <si>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</si>
  <si>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</si>
  <si>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</si>
  <si>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</si>
  <si>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</si>
  <si>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</si>
  <si>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</si>
  <si>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</si>
  <si>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</si>
  <si>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</si>
  <si>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</si>
  <si>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</si>
  <si>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</si>
  <si>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</si>
  <si>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</si>
  <si>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</si>
  <si>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</si>
  <si>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</si>
  <si>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</si>
  <si>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</si>
  <si>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</si>
  <si>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</si>
  <si>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</si>
  <si>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</si>
  <si>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</si>
  <si>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</si>
  <si>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</si>
  <si>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</si>
  <si>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</si>
  <si>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</si>
  <si>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</si>
  <si>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</si>
  <si>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</si>
  <si>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</si>
  <si>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</si>
  <si>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</si>
  <si>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</si>
  <si>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</si>
  <si>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</si>
  <si>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</si>
  <si>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</si>
  <si>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</si>
  <si>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</si>
  <si>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</si>
  <si>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</si>
  <si>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</si>
  <si>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</si>
  <si>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</si>
  <si>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</si>
  <si>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</si>
  <si>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</si>
  <si>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</si>
  <si>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</si>
  <si>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</si>
  <si>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</si>
  <si>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</si>
  <si>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</si>
  <si>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</si>
  <si>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</si>
  <si>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</si>
  <si>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</si>
  <si>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</si>
  <si>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</si>
  <si>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</si>
  <si>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</si>
  <si>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</si>
  <si>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</si>
  <si>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</si>
  <si>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</si>
  <si>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</si>
  <si>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</si>
  <si>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</si>
  <si>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</si>
  <si>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</si>
  <si>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</si>
  <si>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</si>
  <si>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</si>
  <si>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</si>
  <si>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</si>
  <si>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</si>
  <si>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Psíquico</t>
  </si>
  <si>
    <t>Conjurador</t>
  </si>
  <si>
    <t>Guerrero Conjurador</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</si>
  <si>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</si>
  <si>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</si>
  <si>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</si>
  <si>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</si>
  <si>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</si>
  <si>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</si>
  <si>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</si>
  <si>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</si>
  <si>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</si>
  <si>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</si>
  <si>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</si>
  <si>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</si>
  <si>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</si>
  <si>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</si>
  <si>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</si>
  <si>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</si>
  <si>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</si>
  <si>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</si>
  <si>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</si>
  <si>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</si>
  <si>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</si>
  <si>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</si>
  <si>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</si>
  <si>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</si>
  <si>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</si>
  <si>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</si>
  <si>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</si>
  <si>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</si>
  <si>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</si>
  <si>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</si>
  <si>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</si>
  <si>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</si>
  <si>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</si>
  <si>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</si>
  <si>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</si>
  <si>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</si>
  <si>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</si>
  <si>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</si>
  <si>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</si>
  <si>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</si>
  <si>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</si>
  <si>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</si>
  <si>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</si>
  <si>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</si>
  <si>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</si>
  <si>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</si>
  <si>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</si>
  <si>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</si>
  <si>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</si>
  <si>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</si>
  <si>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</si>
  <si>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</si>
  <si>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</si>
  <si>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</si>
  <si>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</si>
  <si>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</si>
  <si>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</si>
  <si>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</si>
  <si>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</si>
  <si>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</si>
  <si>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</si>
  <si>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</si>
  <si>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</si>
  <si>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</si>
  <si>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</si>
  <si>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</si>
  <si>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</si>
  <si>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</si>
  <si>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</si>
  <si>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</si>
  <si>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</si>
  <si>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</si>
  <si>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</si>
  <si>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</si>
  <si>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</si>
  <si>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</si>
  <si>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</si>
  <si>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</si>
  <si>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Lazo</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</si>
  <si>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</si>
  <si>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</si>
  <si>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</si>
  <si>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</si>
  <si>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</si>
  <si>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</si>
  <si>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</si>
  <si>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</si>
  <si>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</si>
  <si>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</si>
  <si>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</si>
  <si>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</si>
  <si>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</si>
  <si>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</si>
  <si>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</si>
  <si>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</si>
  <si>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</si>
  <si>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</si>
  <si>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</si>
  <si>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</si>
  <si>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</si>
  <si>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</si>
  <si>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</si>
  <si>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</si>
  <si>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</si>
  <si>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Katar</t>
  </si>
  <si>
    <t>Compleja, Ver</t>
  </si>
  <si>
    <t>Kusari-Gama</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</si>
  <si>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</si>
  <si>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</si>
  <si>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</si>
  <si>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</si>
  <si>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</si>
  <si>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</si>
  <si>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</si>
  <si>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</si>
  <si>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</si>
  <si>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</si>
  <si>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</si>
  <si>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</si>
  <si>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</si>
  <si>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</si>
  <si>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</si>
  <si>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</si>
  <si>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</si>
  <si>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</si>
  <si>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</si>
  <si>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</si>
  <si>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</si>
  <si>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</si>
  <si>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</si>
  <si>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</si>
  <si>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</si>
  <si>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</si>
  <si>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</si>
  <si>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</si>
  <si>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</si>
  <si>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</si>
  <si>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</si>
  <si>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</si>
  <si>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</si>
  <si>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</si>
  <si>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</si>
  <si>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</si>
  <si>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</si>
  <si>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</si>
  <si>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</si>
  <si>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</si>
  <si>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</si>
  <si>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</si>
  <si>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</si>
  <si>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</si>
  <si>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</si>
  <si>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</si>
  <si>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</si>
  <si>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</si>
  <si>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</si>
  <si>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</si>
  <si>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</si>
  <si>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</si>
  <si>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</si>
  <si>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</si>
  <si>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</si>
  <si>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</si>
  <si>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</si>
  <si>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</si>
  <si>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</si>
  <si>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</si>
  <si>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</si>
  <si>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</si>
  <si>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</si>
  <si>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</si>
  <si>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</si>
  <si>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</si>
  <si>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</si>
  <si>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</si>
  <si>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</si>
  <si>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</si>
  <si>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</si>
  <si>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</si>
  <si>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</si>
  <si>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</si>
  <si>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</si>
  <si>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</si>
  <si>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</si>
  <si>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</si>
  <si>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</si>
  <si>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</si>
  <si>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</si>
  <si>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</si>
  <si>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</si>
  <si>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</si>
  <si>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</si>
  <si>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</si>
  <si>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</si>
  <si>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</si>
  <si>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</si>
  <si>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</si>
  <si>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</si>
  <si>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</si>
  <si>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</si>
  <si>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</si>
  <si>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</si>
  <si>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</si>
  <si>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</si>
  <si>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</si>
  <si>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</si>
  <si>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</si>
  <si>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</si>
  <si>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</si>
  <si>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</si>
  <si>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</si>
  <si>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</si>
  <si>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</si>
  <si>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</si>
  <si>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</si>
  <si>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</si>
  <si>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</si>
  <si>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</si>
  <si>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</si>
  <si>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</si>
  <si>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</si>
  <si>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</si>
  <si>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</si>
  <si>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</si>
  <si>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</si>
  <si>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</si>
  <si>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</si>
  <si>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</si>
  <si>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</si>
  <si>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</si>
  <si>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</si>
  <si>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</si>
  <si>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</si>
  <si>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</si>
  <si>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</si>
  <si>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</si>
  <si>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</si>
  <si>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</si>
  <si>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</si>
  <si>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</si>
  <si>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</si>
  <si>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</si>
  <si>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</si>
  <si>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</si>
  <si>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</si>
  <si>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</si>
  <si>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</si>
  <si>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</si>
  <si>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</si>
  <si>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</si>
  <si>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</si>
  <si>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</si>
  <si>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</si>
  <si>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</si>
  <si>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</si>
  <si>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</si>
  <si>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</si>
  <si>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</si>
  <si>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</si>
  <si>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</si>
  <si>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</si>
  <si>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</si>
  <si>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</si>
  <si>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</si>
  <si>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</si>
  <si>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</si>
  <si>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</si>
  <si>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</si>
  <si>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</si>
  <si>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</si>
  <si>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</si>
  <si>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</si>
  <si>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</si>
  <si>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</si>
  <si>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</si>
  <si>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</si>
  <si>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</si>
  <si>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</si>
  <si>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</si>
  <si>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</si>
  <si>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</si>
  <si>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</si>
  <si>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</si>
  <si>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</si>
  <si>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</si>
  <si>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</si>
  <si>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</si>
  <si>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</si>
  <si>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</si>
  <si>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</si>
  <si>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</si>
  <si>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</si>
  <si>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</si>
  <si>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</si>
  <si>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</si>
  <si>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</si>
  <si>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</si>
  <si>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</si>
  <si>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</si>
  <si>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</si>
  <si>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</si>
  <si>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</si>
  <si>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</si>
  <si>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</si>
  <si>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</si>
  <si>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</si>
  <si>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</si>
  <si>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</si>
  <si>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</si>
  <si>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</si>
  <si>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</si>
  <si>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</si>
  <si>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</si>
  <si>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</si>
  <si>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</si>
  <si>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</si>
  <si>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</si>
  <si>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</si>
  <si>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</si>
  <si>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</si>
  <si>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</si>
  <si>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</si>
  <si>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</si>
  <si>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</si>
  <si>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</si>
  <si>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</si>
  <si>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</si>
  <si>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</si>
  <si>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</si>
  <si>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</si>
  <si>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</si>
  <si>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</si>
  <si>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</si>
  <si>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</si>
  <si>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</si>
  <si>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</si>
  <si>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</si>
  <si>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</si>
  <si>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</si>
  <si>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</si>
  <si>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</si>
  <si>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</si>
  <si>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</si>
  <si>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</si>
  <si>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</si>
  <si>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</si>
  <si>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</si>
  <si>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</si>
  <si>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</si>
  <si>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</si>
  <si>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</si>
  <si>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</si>
  <si>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</si>
  <si>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</si>
  <si>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</si>
  <si>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</si>
  <si>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</si>
  <si>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</si>
  <si>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</si>
  <si>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</si>
  <si>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</si>
  <si>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</si>
  <si>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</si>
  <si>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</si>
  <si>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</si>
  <si>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</si>
  <si>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</si>
  <si>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</si>
  <si>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</si>
  <si>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</si>
  <si>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</si>
  <si>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</si>
  <si>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</si>
  <si>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</si>
  <si>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</si>
  <si>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</si>
  <si>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</si>
  <si>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</si>
  <si>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</si>
  <si>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</si>
  <si>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</si>
  <si>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</si>
  <si>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</si>
  <si>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</si>
  <si>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</si>
  <si>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</si>
  <si>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</si>
  <si>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</si>
  <si>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</si>
  <si>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</si>
  <si>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</si>
  <si>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</si>
  <si>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</si>
  <si>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</si>
  <si>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</si>
  <si>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</si>
  <si>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</si>
  <si>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</si>
  <si>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</si>
  <si>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</si>
  <si>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</si>
  <si>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</si>
  <si>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</si>
  <si>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</si>
  <si>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</si>
  <si>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</si>
  <si>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</si>
  <si>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</si>
  <si>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</si>
  <si>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</si>
  <si>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</si>
  <si>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</si>
  <si>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</si>
  <si>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</si>
  <si>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</si>
  <si>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</si>
  <si>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</si>
  <si>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</si>
  <si>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</si>
  <si>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</si>
  <si>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</si>
  <si>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Movimiento acuático</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</si>
  <si>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</si>
  <si>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</si>
  <si>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</si>
  <si>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</si>
  <si>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</si>
  <si>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</si>
  <si>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</si>
  <si>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</si>
  <si>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</si>
  <si>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</si>
  <si>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</si>
  <si>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</si>
  <si>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</si>
  <si>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</si>
  <si>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</si>
  <si>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</si>
  <si>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</si>
  <si>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</si>
  <si>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</si>
  <si>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</si>
  <si>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</si>
  <si>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</si>
  <si>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</si>
  <si>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</si>
  <si>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</si>
  <si>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</si>
  <si>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</si>
  <si>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</si>
  <si>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</si>
  <si>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</si>
  <si>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</si>
  <si>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</si>
  <si>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</si>
  <si>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</si>
  <si>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</si>
  <si>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</si>
  <si>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</si>
  <si>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</si>
  <si>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</si>
  <si>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</si>
  <si>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</si>
  <si>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</si>
  <si>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</si>
  <si>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</si>
  <si>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</si>
  <si>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</si>
  <si>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</si>
  <si>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</si>
  <si>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</si>
  <si>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</si>
  <si>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</si>
  <si>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</si>
  <si>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</si>
  <si>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</si>
  <si>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</si>
  <si>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</si>
  <si>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</si>
  <si>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</si>
  <si>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</si>
  <si>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</si>
  <si>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</si>
  <si>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</si>
  <si>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</si>
  <si>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</si>
  <si>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</si>
  <si>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</si>
  <si>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</si>
  <si>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</si>
  <si>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</si>
  <si>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</si>
  <si>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</si>
  <si>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</si>
  <si>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</si>
  <si>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</si>
  <si>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</si>
  <si>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</si>
  <si>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</si>
  <si>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</si>
  <si>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</si>
  <si>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</si>
  <si>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</si>
  <si>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</si>
  <si>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</si>
  <si>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</si>
  <si>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</si>
  <si>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</si>
  <si>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</si>
  <si>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</si>
  <si>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</si>
  <si>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</si>
  <si>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</si>
  <si>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</si>
  <si>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</si>
  <si>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</si>
  <si>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</si>
  <si>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</si>
  <si>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</si>
  <si>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</si>
  <si>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</si>
  <si>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</si>
  <si>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</si>
  <si>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</si>
  <si>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</si>
  <si>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</si>
  <si>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</si>
  <si>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</si>
  <si>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</si>
  <si>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</si>
  <si>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</si>
  <si>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</si>
  <si>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</si>
  <si>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</si>
  <si>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</si>
  <si>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</si>
  <si>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</si>
  <si>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</si>
  <si>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</si>
  <si>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</si>
  <si>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</si>
  <si>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</si>
  <si>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</si>
  <si>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</si>
  <si>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</si>
  <si>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</si>
  <si>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</si>
  <si>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</si>
  <si>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</si>
  <si>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</si>
  <si>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</si>
  <si>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</si>
  <si>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</si>
  <si>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</si>
  <si>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</si>
  <si>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</si>
  <si>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</si>
  <si>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</si>
  <si>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</si>
  <si>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</si>
  <si>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</si>
  <si>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</si>
  <si>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</si>
  <si>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</si>
  <si>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</si>
  <si>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</si>
  <si>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</si>
  <si>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</si>
  <si>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</si>
  <si>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</si>
  <si>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</si>
  <si>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</si>
  <si>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</si>
  <si>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</si>
  <si>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</si>
  <si>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</si>
  <si>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</si>
  <si>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</si>
  <si>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</si>
  <si>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</si>
  <si>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</si>
  <si>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</si>
  <si>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</si>
  <si>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</si>
  <si>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</si>
  <si>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</si>
  <si>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</si>
  <si>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</si>
  <si>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</si>
  <si>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</si>
  <si>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</si>
  <si>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</si>
  <si>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</si>
  <si>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</si>
  <si>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</si>
  <si>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</si>
  <si>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</si>
  <si>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</si>
  <si>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</si>
  <si>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</si>
  <si>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</si>
  <si>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</si>
  <si>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</si>
  <si>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</si>
  <si>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</si>
  <si>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</si>
  <si>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</si>
  <si>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</si>
  <si>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</si>
  <si>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</si>
  <si>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</si>
  <si>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</si>
  <si>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</si>
  <si>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</si>
  <si>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</si>
  <si>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</si>
  <si>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</si>
  <si>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</si>
  <si>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</si>
  <si>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</si>
  <si>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</si>
  <si>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</si>
  <si>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</si>
  <si>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</si>
  <si>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</si>
  <si>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</si>
  <si>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</si>
  <si>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</si>
  <si>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</si>
  <si>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</si>
  <si>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</si>
  <si>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</si>
  <si>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</si>
  <si>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</si>
  <si>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</si>
  <si>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</si>
  <si>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</si>
  <si>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</si>
  <si>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</si>
  <si>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</si>
  <si>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</si>
  <si>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</si>
  <si>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</si>
  <si>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</si>
  <si>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</si>
  <si>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</si>
  <si>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</si>
  <si>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</si>
  <si>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</si>
  <si>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</si>
  <si>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</si>
  <si>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</si>
  <si>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</si>
  <si>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</si>
  <si>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</si>
  <si>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</si>
  <si>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</si>
  <si>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</si>
  <si>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</si>
  <si>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</si>
  <si>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</si>
  <si>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</si>
  <si>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</si>
  <si>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</si>
  <si>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</si>
  <si>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</si>
  <si>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</si>
  <si>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</si>
  <si>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</si>
  <si>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</si>
  <si>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</si>
  <si>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</si>
  <si>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</si>
  <si>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</si>
  <si>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</si>
  <si>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</si>
  <si>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</si>
  <si>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</si>
  <si>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</si>
  <si>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</si>
  <si>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</si>
  <si>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</si>
  <si>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</si>
  <si>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</si>
  <si>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</si>
  <si>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</si>
  <si>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</si>
  <si>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</si>
  <si>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</si>
  <si>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</si>
  <si>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</si>
  <si>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</si>
  <si>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</si>
  <si>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</si>
  <si>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</si>
  <si>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</si>
  <si>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</si>
  <si>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</si>
  <si>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</si>
  <si>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</si>
  <si>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</si>
  <si>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</si>
  <si>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</si>
  <si>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</si>
  <si>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</si>
  <si>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</si>
  <si>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</si>
  <si>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</si>
  <si>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</si>
  <si>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</si>
  <si>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</si>
  <si>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</si>
  <si>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</si>
  <si>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</si>
  <si>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</si>
  <si>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</si>
  <si>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</si>
  <si>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</si>
  <si>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</si>
  <si>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</si>
  <si>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</si>
  <si>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</si>
  <si>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</si>
  <si>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</si>
  <si>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</si>
  <si>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</si>
  <si>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</si>
  <si>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</si>
  <si>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</si>
  <si>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</si>
  <si>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</si>
  <si>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</si>
  <si>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</si>
  <si>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</si>
  <si>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</si>
  <si>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</si>
  <si>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</si>
  <si>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</si>
  <si>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</si>
  <si>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</si>
  <si>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</si>
  <si>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</si>
  <si>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</si>
  <si>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</si>
  <si>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</si>
  <si>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</si>
  <si>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</si>
  <si>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</si>
  <si>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</si>
  <si>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</si>
  <si>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</si>
  <si>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</si>
  <si>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</si>
  <si>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</si>
  <si>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</si>
  <si>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</si>
  <si>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</si>
  <si>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</si>
  <si>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</si>
  <si>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</si>
  <si>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</si>
  <si>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</si>
  <si>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</si>
  <si>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</si>
  <si>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</si>
  <si>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</si>
  <si>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</si>
  <si>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</si>
  <si>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</si>
  <si>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</si>
  <si>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</si>
  <si>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</si>
  <si>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</si>
  <si>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</si>
  <si>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</si>
  <si>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</si>
  <si>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</si>
  <si>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</si>
  <si>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</si>
  <si>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</si>
  <si>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</si>
  <si>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</si>
  <si>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</si>
  <si>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</si>
  <si>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</si>
  <si>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</si>
  <si>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</si>
  <si>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</si>
  <si>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</si>
  <si>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</si>
  <si>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</si>
  <si>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</si>
  <si>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</si>
  <si>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</si>
  <si>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</si>
  <si>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</si>
  <si>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</si>
  <si>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</si>
  <si>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</si>
  <si>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</si>
  <si>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</si>
  <si>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</si>
  <si>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</si>
  <si>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</si>
  <si>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</si>
  <si>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</si>
  <si>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</si>
  <si>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</si>
  <si>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</si>
  <si>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</si>
  <si>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</si>
  <si>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</si>
  <si>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</si>
  <si>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</si>
  <si>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</si>
  <si>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</si>
  <si>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</si>
  <si>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</si>
  <si>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</si>
  <si>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</si>
  <si>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</si>
  <si>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</si>
  <si>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</si>
  <si>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</si>
  <si>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</si>
  <si>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</si>
  <si>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</si>
  <si>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</si>
  <si>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</si>
  <si>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</si>
  <si>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</si>
  <si>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</si>
  <si>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</si>
  <si>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</si>
  <si>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</si>
  <si>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</si>
  <si>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</si>
  <si>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</si>
  <si>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</si>
  <si>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</si>
  <si>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</si>
  <si>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</si>
  <si>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</si>
  <si>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</si>
  <si>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</si>
  <si>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</si>
  <si>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</si>
  <si>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</si>
  <si>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</si>
  <si>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</si>
  <si>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</si>
  <si>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</si>
  <si>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</si>
  <si>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</si>
  <si>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</si>
  <si>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</si>
  <si>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</si>
  <si>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</si>
  <si>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</si>
  <si>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</si>
  <si>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</si>
  <si>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</si>
  <si>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</si>
  <si>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</si>
  <si>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</si>
  <si>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</si>
  <si>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</si>
  <si>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</si>
  <si>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</si>
  <si>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</si>
  <si>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</si>
  <si>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</si>
  <si>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</si>
  <si>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</si>
  <si>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</si>
  <si>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</si>
  <si>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</si>
  <si>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</si>
  <si>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</si>
  <si>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</si>
  <si>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</si>
  <si>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</si>
  <si>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</si>
  <si>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</si>
  <si>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</si>
  <si>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</si>
  <si>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</si>
  <si>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</si>
  <si>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</si>
  <si>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</si>
  <si>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</si>
  <si>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</si>
  <si>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</si>
  <si>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</si>
  <si>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</si>
  <si>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</si>
  <si>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</si>
  <si>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</si>
  <si>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</si>
  <si>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</si>
  <si>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</si>
  <si>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</si>
  <si>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</si>
  <si>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</si>
  <si>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</si>
  <si>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</si>
  <si>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</si>
  <si>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</si>
  <si>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</si>
  <si>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</si>
  <si>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</si>
  <si>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</si>
  <si>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</si>
  <si>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</si>
  <si>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</si>
  <si>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</si>
  <si>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</si>
  <si>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</si>
  <si>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</si>
  <si>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</si>
  <si>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</si>
  <si>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</si>
  <si>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</si>
  <si>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</si>
  <si>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</si>
  <si>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</si>
  <si>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</si>
  <si>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</si>
  <si>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</si>
  <si>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</si>
  <si>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</si>
  <si>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</si>
  <si>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</si>
  <si>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</si>
  <si>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</si>
  <si>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</si>
  <si>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</si>
  <si>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</si>
  <si>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</si>
  <si>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</si>
  <si>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</si>
  <si>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</si>
  <si>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</si>
  <si>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</si>
  <si>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</si>
  <si>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</si>
  <si>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</si>
  <si>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</si>
  <si>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</si>
  <si>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</si>
  <si>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</si>
  <si>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</si>
  <si>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</si>
  <si>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</si>
  <si>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</si>
  <si>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</si>
  <si>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</si>
  <si>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</si>
  <si>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</si>
  <si>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</si>
  <si>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</si>
  <si>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</si>
  <si>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</si>
  <si>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</si>
  <si>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</si>
  <si>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</si>
  <si>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</si>
  <si>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</si>
  <si>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</si>
  <si>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</si>
  <si>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</si>
  <si>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</si>
  <si>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</si>
  <si>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</si>
  <si>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</si>
  <si>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</si>
  <si>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</si>
  <si>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</si>
  <si>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</si>
  <si>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</si>
  <si>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</si>
  <si>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</si>
  <si>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</si>
  <si>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</si>
  <si>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</si>
  <si>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</si>
  <si>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</si>
  <si>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</si>
  <si>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</si>
  <si>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</si>
  <si>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</si>
  <si>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</si>
  <si>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</si>
  <si>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</si>
  <si>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</si>
  <si>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</si>
  <si>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</si>
  <si>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</si>
  <si>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</si>
  <si>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</si>
  <si>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</si>
  <si>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</si>
  <si>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</si>
  <si>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</si>
  <si>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</si>
  <si>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</si>
  <si>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</si>
  <si>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</si>
  <si>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</si>
  <si>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</si>
  <si>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</si>
  <si>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</si>
  <si>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</si>
  <si>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</si>
  <si>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</si>
  <si>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</si>
  <si>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</si>
  <si>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</si>
  <si>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</si>
  <si>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</si>
  <si>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</si>
  <si>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</si>
  <si>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</si>
  <si>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</si>
  <si>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</si>
  <si>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</si>
  <si>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</si>
  <si>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</si>
  <si>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</si>
  <si>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</si>
  <si>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</si>
  <si>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</si>
  <si>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</si>
  <si>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</si>
  <si>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</si>
  <si>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</si>
  <si>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</si>
  <si>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</si>
  <si>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</si>
  <si>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</si>
  <si>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</si>
  <si>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</si>
  <si>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</si>
  <si>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</si>
  <si>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</si>
  <si>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</si>
  <si>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</si>
  <si>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</si>
  <si>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</si>
  <si>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</si>
  <si>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</si>
  <si>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</si>
  <si>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</si>
  <si>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</si>
  <si>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</si>
  <si>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</si>
  <si>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</si>
  <si>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</si>
  <si>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</si>
  <si>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</si>
  <si>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</si>
  <si>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</si>
  <si>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</si>
  <si>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</si>
  <si>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</si>
  <si>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</si>
  <si>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</si>
  <si>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</si>
  <si>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</si>
  <si>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</si>
  <si>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</si>
  <si>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</si>
  <si>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</si>
  <si>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</si>
  <si>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</si>
  <si>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</si>
  <si>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</si>
  <si>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</si>
  <si>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</si>
  <si>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</si>
  <si>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</si>
  <si>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</si>
  <si>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</si>
  <si>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</si>
  <si>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</si>
  <si>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</si>
  <si>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</si>
  <si>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</si>
  <si>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</si>
  <si>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</si>
  <si>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</si>
  <si>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</si>
  <si>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</si>
  <si>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</si>
  <si>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</si>
  <si>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</si>
  <si>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</si>
  <si>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</si>
  <si>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</si>
  <si>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</si>
  <si>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</si>
  <si>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</si>
  <si>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</si>
  <si>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</si>
  <si>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</si>
  <si>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</si>
  <si>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</si>
  <si>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</si>
  <si>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</si>
  <si>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</si>
  <si>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</si>
  <si>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</si>
  <si>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</si>
  <si>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</si>
  <si>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</si>
  <si>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</si>
  <si>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</si>
  <si>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</si>
  <si>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</si>
  <si>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</si>
  <si>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</si>
  <si>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</si>
  <si>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</si>
  <si>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</si>
  <si>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</si>
  <si>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</si>
  <si>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</si>
  <si>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</si>
  <si>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</si>
  <si>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</si>
  <si>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</si>
  <si>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</si>
  <si>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</si>
  <si>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</si>
  <si>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</si>
  <si>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</si>
  <si>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</si>
  <si>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</si>
  <si>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</si>
  <si>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</si>
  <si>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</si>
  <si>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</si>
  <si>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</si>
  <si>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</si>
  <si>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</si>
  <si>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</si>
  <si>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</si>
  <si>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</si>
  <si>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</si>
  <si>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</si>
  <si>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</si>
  <si>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</si>
  <si>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</si>
  <si>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</si>
  <si>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</si>
  <si>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</si>
  <si>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</si>
  <si>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</si>
  <si>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</si>
  <si>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</si>
  <si>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</si>
  <si>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</si>
  <si>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</si>
  <si>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</si>
  <si>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</si>
  <si>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</si>
  <si>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</si>
  <si>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</si>
  <si>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</si>
  <si>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</si>
  <si>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</si>
  <si>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</si>
  <si>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</si>
  <si>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</si>
  <si>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</si>
  <si>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</si>
  <si>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</si>
  <si>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</si>
  <si>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</si>
  <si>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</si>
  <si>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</si>
  <si>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</si>
  <si>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</si>
  <si>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</si>
  <si>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</si>
  <si>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</si>
  <si>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</si>
  <si>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</si>
  <si>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</si>
  <si>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</si>
  <si>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</si>
  <si>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</si>
  <si>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</si>
  <si>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</si>
  <si>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</si>
  <si>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</si>
  <si>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</si>
  <si>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</si>
  <si>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</si>
  <si>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</si>
  <si>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</si>
  <si>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</si>
  <si>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</si>
  <si>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</si>
  <si>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</si>
  <si>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</si>
  <si>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</si>
  <si>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</si>
  <si>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</si>
  <si>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</si>
  <si>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</si>
  <si>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</si>
  <si>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</si>
  <si>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</si>
  <si>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</si>
  <si>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</si>
  <si>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</si>
  <si>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</si>
  <si>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</si>
  <si>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</si>
  <si>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</si>
  <si>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</si>
  <si>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</si>
  <si>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</si>
  <si>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</si>
  <si>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</si>
  <si>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</si>
  <si>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</si>
  <si>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</si>
  <si>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</si>
  <si>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</si>
  <si>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</si>
  <si>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</si>
  <si>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</si>
  <si>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</si>
  <si>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</si>
  <si>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</si>
  <si>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</si>
  <si>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</si>
  <si>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</si>
  <si>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</si>
  <si>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</si>
  <si>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</si>
  <si>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</si>
  <si>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</si>
  <si>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</si>
  <si>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</si>
  <si>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</si>
  <si>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</si>
  <si>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</si>
  <si>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</si>
  <si>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</si>
  <si>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</si>
  <si>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</si>
  <si>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</si>
  <si>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</si>
  <si>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</si>
  <si>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</si>
  <si>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</si>
  <si>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</si>
  <si>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</si>
  <si>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</si>
  <si>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</si>
  <si>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</si>
  <si>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</si>
  <si>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</si>
  <si>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</si>
  <si>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</si>
  <si>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</si>
  <si>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</si>
  <si>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</si>
  <si>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</si>
  <si>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</si>
  <si>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</si>
  <si>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</si>
  <si>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</si>
  <si>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</si>
  <si>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</si>
  <si>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</si>
  <si>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</si>
  <si>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</si>
  <si>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</si>
  <si>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</si>
  <si>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</si>
  <si>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</si>
  <si>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</si>
  <si>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</si>
  <si>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</si>
  <si>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</si>
  <si>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</si>
  <si>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</si>
  <si>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</si>
  <si>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</si>
  <si>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</si>
  <si>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</si>
  <si>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</si>
  <si>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</si>
  <si>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</si>
  <si>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</si>
  <si>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</si>
  <si>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</si>
  <si>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</si>
  <si>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</si>
  <si>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</si>
  <si>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</si>
  <si>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</si>
  <si>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</si>
  <si>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</si>
  <si>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</si>
  <si>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</si>
  <si>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</si>
  <si>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</si>
  <si>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</si>
  <si>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</si>
  <si>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</si>
  <si>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</si>
  <si>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</si>
  <si>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</si>
  <si>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–100 a Valoración Mágica</t>
  </si>
  <si>
    <t>–180 a Valoración Mágica</t>
  </si>
  <si>
    <t>–240 a Valoración Mágica</t>
  </si>
  <si>
    <t>–320 a Valoración Mágica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</si>
  <si>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</si>
  <si>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</si>
  <si>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</si>
  <si>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</si>
  <si>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</si>
  <si>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</si>
  <si>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</si>
  <si>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</si>
  <si>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</si>
  <si>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+50 a la RM o RP / +50 Ocultación del Ki</t>
  </si>
  <si>
    <t>+140 a la RM o RP / +150 Ocultación del Ki</t>
  </si>
  <si>
    <t>+220 a la RM o RP / +200 Ocultación del Ki</t>
  </si>
  <si>
    <t>+280 a la RM o RP / +250 Ocultación del Ki</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</si>
  <si>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</si>
  <si>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</si>
  <si>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</si>
  <si>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</si>
  <si>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</si>
  <si>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</si>
  <si>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</si>
  <si>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</si>
  <si>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</si>
  <si>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</si>
  <si>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</si>
  <si>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20 metros de radio, RM +100, -140 a Habilidades de detección.</t>
  </si>
  <si>
    <t>250 metros de radio, RM +200, -240 a Habilidades de detección</t>
  </si>
  <si>
    <t>500 metros de radio, RM +300, -320 a Habilidades de detección</t>
  </si>
  <si>
    <t>Como arriba y el bono sirve contra todo efecto sobrenatural que no sea luz.</t>
  </si>
  <si>
    <t>Como el Avanzado, pero no sufre doble daño por ataques basados en Luz.</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</si>
  <si>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</si>
  <si>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</si>
  <si>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</si>
  <si>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</si>
  <si>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</si>
  <si>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</si>
  <si>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</si>
  <si>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</si>
  <si>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</si>
  <si>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</si>
  <si>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</si>
  <si>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</si>
  <si>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</si>
  <si>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</si>
  <si>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</si>
  <si>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</si>
  <si>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</si>
  <si>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</si>
  <si>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</si>
  <si>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</si>
  <si>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</si>
  <si>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</si>
  <si>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</si>
  <si>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</si>
  <si>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</si>
  <si>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</si>
  <si>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</si>
  <si>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</si>
  <si>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</si>
  <si>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</si>
  <si>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</si>
  <si>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</si>
  <si>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</si>
  <si>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</si>
  <si>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</si>
  <si>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</si>
  <si>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</si>
  <si>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</si>
  <si>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</si>
  <si>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</si>
  <si>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</si>
  <si>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</si>
  <si>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</si>
  <si>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</si>
  <si>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</si>
  <si>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</si>
  <si>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</si>
  <si>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</si>
  <si>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</si>
  <si>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</si>
  <si>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</si>
  <si>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</si>
  <si>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</si>
  <si>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</si>
  <si>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</si>
  <si>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</si>
  <si>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</si>
  <si>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</si>
  <si>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</si>
  <si>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</si>
  <si>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</si>
  <si>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</si>
  <si>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</si>
  <si>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</si>
  <si>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</si>
  <si>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</si>
  <si>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</si>
  <si>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</si>
  <si>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</si>
  <si>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</si>
  <si>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</si>
  <si>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</si>
  <si>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</si>
  <si>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</si>
  <si>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</si>
  <si>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</si>
  <si>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</si>
  <si>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</si>
  <si>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</si>
  <si>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</si>
  <si>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</si>
  <si>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</si>
  <si>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</si>
  <si>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</si>
  <si>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</si>
  <si>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</si>
  <si>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</si>
  <si>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</si>
  <si>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Barrera de Daño 30.</t>
  </si>
  <si>
    <t>Barrera de Daño 50.</t>
  </si>
  <si>
    <t>Barrera de Daño 80.</t>
  </si>
  <si>
    <t>Barrera de Daño 100.</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</si>
  <si>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</si>
  <si>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</si>
  <si>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</si>
  <si>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</si>
  <si>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</si>
  <si>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</si>
  <si>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</si>
  <si>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</si>
  <si>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</si>
  <si>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</si>
  <si>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</si>
  <si>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</si>
  <si>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</si>
  <si>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</si>
  <si>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</si>
  <si>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</si>
  <si>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</si>
  <si>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</si>
  <si>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</si>
  <si>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</si>
  <si>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</si>
  <si>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</si>
  <si>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RM 80</t>
  </si>
  <si>
    <t>RM 120</t>
  </si>
  <si>
    <t>RM 140</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</si>
  <si>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</si>
  <si>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</si>
  <si>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</si>
  <si>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</si>
  <si>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</si>
  <si>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</si>
  <si>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</si>
  <si>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</si>
  <si>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</si>
  <si>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</si>
  <si>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</si>
  <si>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</si>
  <si>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</si>
  <si>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</si>
  <si>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</si>
  <si>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</si>
  <si>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</si>
  <si>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</si>
  <si>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</si>
  <si>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</si>
  <si>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</si>
  <si>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</si>
  <si>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</si>
  <si>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</si>
  <si>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Nivel 2</t>
  </si>
  <si>
    <t>Nivel 4</t>
  </si>
  <si>
    <t>Nivel 8</t>
  </si>
  <si>
    <t>Nivel 12</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</si>
  <si>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</si>
  <si>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</si>
  <si>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</si>
  <si>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</si>
  <si>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</si>
  <si>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</si>
  <si>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Aguanta 100 puntos de daño</t>
  </si>
  <si>
    <t>Aguanta 250 puntos de daño</t>
  </si>
  <si>
    <t>Aguanta 500 puntos de daño</t>
  </si>
  <si>
    <t>Aguanta 1.000 puntos de daño</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</si>
  <si>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</si>
  <si>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</si>
  <si>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</si>
  <si>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</si>
  <si>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</si>
  <si>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</si>
  <si>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</si>
  <si>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</si>
  <si>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</si>
  <si>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</si>
  <si>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</si>
  <si>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</si>
  <si>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</si>
  <si>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</si>
  <si>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</si>
  <si>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</si>
  <si>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</si>
  <si>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</si>
  <si>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</si>
  <si>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</si>
  <si>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</si>
  <si>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</si>
  <si>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</si>
  <si>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</si>
  <si>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</si>
  <si>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</si>
  <si>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</si>
  <si>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</si>
  <si>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</si>
  <si>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</si>
  <si>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</si>
  <si>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</si>
  <si>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</si>
  <si>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</si>
  <si>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</si>
  <si>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</si>
  <si>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</si>
  <si>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</si>
  <si>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</si>
  <si>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RM 120 / 100 kilómetros cuadrados o línea</t>
  </si>
  <si>
    <t>RM 180 / 1.000 kilómetros cuadrados o línea</t>
  </si>
  <si>
    <t>RM 240 / 100.000 kilómetros cuadrados o línea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</si>
  <si>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</si>
  <si>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</si>
  <si>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</si>
  <si>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</si>
  <si>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1.000 Puntos de presencia / Presencia máxima 180 / 1 regla existencial</t>
  </si>
  <si>
    <t>10.000 Puntos de presencia / Presencia máxima 220 / 5 reglas existenciales</t>
  </si>
  <si>
    <t>10..000 Puntos de presencia / Presencia máxima 260 / 10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</si>
  <si>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</si>
  <si>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</si>
  <si>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</si>
  <si>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</si>
  <si>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</si>
  <si>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</si>
  <si>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</si>
  <si>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</si>
  <si>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</si>
  <si>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</si>
  <si>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</si>
  <si>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</si>
  <si>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</si>
  <si>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</si>
  <si>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</si>
  <si>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</si>
  <si>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</si>
  <si>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</si>
  <si>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</si>
  <si>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</si>
  <si>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</si>
  <si>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</si>
  <si>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</si>
  <si>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</si>
  <si>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</si>
  <si>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</si>
  <si>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</si>
  <si>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</si>
  <si>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</si>
  <si>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</si>
  <si>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</si>
  <si>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</si>
  <si>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</si>
  <si>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</si>
  <si>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</si>
  <si>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</si>
  <si>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</si>
  <si>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</si>
  <si>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</si>
  <si>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</si>
  <si>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</si>
  <si>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</si>
  <si>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</si>
  <si>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</si>
  <si>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</si>
  <si>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</si>
  <si>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</si>
  <si>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</si>
  <si>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</si>
  <si>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</si>
  <si>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</si>
  <si>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</si>
  <si>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</si>
  <si>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</si>
  <si>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</si>
  <si>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</si>
  <si>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</si>
  <si>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</si>
  <si>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</si>
  <si>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</si>
  <si>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</si>
  <si>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</si>
  <si>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</si>
  <si>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</si>
  <si>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</si>
  <si>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</si>
  <si>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</si>
  <si>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</si>
  <si>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</si>
  <si>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</si>
  <si>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</si>
  <si>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</si>
  <si>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</si>
  <si>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</si>
  <si>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</si>
  <si>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</si>
  <si>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</si>
  <si>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</si>
  <si>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</si>
  <si>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</si>
  <si>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</si>
  <si>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</si>
  <si>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</si>
  <si>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</si>
  <si>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</si>
  <si>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</si>
  <si>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</si>
  <si>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</si>
  <si>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</si>
  <si>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</si>
  <si>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</si>
  <si>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</si>
  <si>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</si>
  <si>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</si>
  <si>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</si>
  <si>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</si>
  <si>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</si>
  <si>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</si>
  <si>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</si>
  <si>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</si>
  <si>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</si>
  <si>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</si>
  <si>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</si>
  <si>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</si>
  <si>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</si>
  <si>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</si>
  <si>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</si>
  <si>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</si>
  <si>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</si>
  <si>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</si>
  <si>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</si>
  <si>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</si>
  <si>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</si>
  <si>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</si>
  <si>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</si>
  <si>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</si>
  <si>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</si>
  <si>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</si>
  <si>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</si>
  <si>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</si>
  <si>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</si>
  <si>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</si>
  <si>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</si>
  <si>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</si>
  <si>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</si>
  <si>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</si>
  <si>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</si>
  <si>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</si>
  <si>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</si>
  <si>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</si>
  <si>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</si>
  <si>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</si>
  <si>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</si>
  <si>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</si>
  <si>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</si>
  <si>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</si>
  <si>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</si>
  <si>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</si>
  <si>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</si>
  <si>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</si>
  <si>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</si>
  <si>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</si>
  <si>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</si>
  <si>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</si>
  <si>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</si>
  <si>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</si>
  <si>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</si>
  <si>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</si>
  <si>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</si>
  <si>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</si>
  <si>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</si>
  <si>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</si>
  <si>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</si>
  <si>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</si>
  <si>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</si>
  <si>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</si>
  <si>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</si>
  <si>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</si>
  <si>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</si>
  <si>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</si>
  <si>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</si>
  <si>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</si>
  <si>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</si>
  <si>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</si>
  <si>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</si>
  <si>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</si>
  <si>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</si>
  <si>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</si>
  <si>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</si>
  <si>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</si>
  <si>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</si>
  <si>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</si>
  <si>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</si>
  <si>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</si>
  <si>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</si>
  <si>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</si>
  <si>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</si>
  <si>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</si>
  <si>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</si>
  <si>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</si>
  <si>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</si>
  <si>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</si>
  <si>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</si>
  <si>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</si>
  <si>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</si>
  <si>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</si>
  <si>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</si>
  <si>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</si>
  <si>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</si>
  <si>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</si>
  <si>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</si>
  <si>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</si>
  <si>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</si>
  <si>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</si>
  <si>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</si>
  <si>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</si>
  <si>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</si>
  <si>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</si>
  <si>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</si>
  <si>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</si>
  <si>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</si>
  <si>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</si>
  <si>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</si>
  <si>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</si>
  <si>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</si>
  <si>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</si>
  <si>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</si>
  <si>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</si>
  <si>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</si>
  <si>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</si>
  <si>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</si>
  <si>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</si>
  <si>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</si>
  <si>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</si>
  <si>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</si>
  <si>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</si>
  <si>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</si>
  <si>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</si>
  <si>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</si>
  <si>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</si>
  <si>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</si>
  <si>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</si>
  <si>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</si>
  <si>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</si>
  <si>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</si>
  <si>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</si>
  <si>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RM 120 / 5 intensidades</t>
  </si>
  <si>
    <t>RM 160 / 15 intensidades</t>
  </si>
  <si>
    <t>RM 180 / 25 intensidades</t>
  </si>
  <si>
    <t>RM 220 / 40 intensidades</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</si>
  <si>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</si>
  <si>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</si>
  <si>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</si>
  <si>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</si>
  <si>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</si>
  <si>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</si>
  <si>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</si>
  <si>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</si>
  <si>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</si>
  <si>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</si>
  <si>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</si>
  <si>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</si>
  <si>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</si>
  <si>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</si>
  <si>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</si>
  <si>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</si>
  <si>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</si>
  <si>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</si>
  <si>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</si>
  <si>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</si>
  <si>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</si>
  <si>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</si>
  <si>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</si>
  <si>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</si>
  <si>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</si>
  <si>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</si>
  <si>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</si>
  <si>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</si>
  <si>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</si>
  <si>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</si>
  <si>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</si>
  <si>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</si>
  <si>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</si>
  <si>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</si>
  <si>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</si>
  <si>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</si>
  <si>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</si>
  <si>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</si>
  <si>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</si>
  <si>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</si>
  <si>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</si>
  <si>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Afecta a conjuros de grado base</t>
  </si>
  <si>
    <t>100 kilometros de radio / 140 RM</t>
  </si>
  <si>
    <t>1000 kilometros de radio / 180 RM</t>
  </si>
  <si>
    <t>10000 kilometros de radio / 200 RM</t>
  </si>
  <si>
    <t>100000 kilometros de radio / 240 RM</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</si>
  <si>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</si>
  <si>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</si>
  <si>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</si>
  <si>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</si>
  <si>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</si>
  <si>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</si>
  <si>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</si>
  <si>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</si>
  <si>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</si>
  <si>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</si>
  <si>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</si>
  <si>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</si>
  <si>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</si>
  <si>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</si>
  <si>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</si>
  <si>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</si>
  <si>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</si>
  <si>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</si>
  <si>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</si>
  <si>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</si>
  <si>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</si>
  <si>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</si>
  <si>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</si>
  <si>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</si>
  <si>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</si>
  <si>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</si>
  <si>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</si>
  <si>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</si>
  <si>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</si>
  <si>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</si>
  <si>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</si>
  <si>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</si>
  <si>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</si>
  <si>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</si>
  <si>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</si>
  <si>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</si>
  <si>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</si>
  <si>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</si>
  <si>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</si>
  <si>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</si>
  <si>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</si>
  <si>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</si>
  <si>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</si>
  <si>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</si>
  <si>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</si>
  <si>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</si>
  <si>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</si>
  <si>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RM 120 / 5 metros de radio.</t>
  </si>
  <si>
    <t>RM 140/ 10 metros de radio.</t>
  </si>
  <si>
    <t>RM 160 / 25 metros de radio.</t>
  </si>
  <si>
    <t>RM 180 / 50 metros de radio.</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</si>
  <si>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</si>
  <si>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</si>
  <si>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</si>
  <si>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</si>
  <si>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</si>
  <si>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</si>
  <si>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</si>
  <si>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</si>
  <si>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</si>
  <si>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</si>
  <si>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</si>
  <si>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</si>
  <si>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</si>
  <si>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</si>
  <si>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</si>
  <si>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</si>
  <si>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</si>
  <si>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</si>
  <si>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</si>
  <si>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</si>
  <si>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</si>
  <si>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</si>
  <si>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</si>
  <si>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</si>
  <si>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</si>
  <si>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</si>
  <si>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</si>
  <si>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</si>
  <si>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</si>
  <si>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</si>
  <si>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</si>
  <si>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</si>
  <si>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</si>
  <si>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</si>
  <si>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</si>
  <si>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</si>
  <si>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</si>
  <si>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</si>
  <si>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</si>
  <si>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</si>
  <si>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</si>
  <si>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</si>
  <si>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</si>
  <si>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</si>
  <si>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</si>
  <si>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</si>
  <si>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</si>
  <si>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</si>
  <si>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</si>
  <si>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</si>
  <si>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</si>
  <si>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</si>
  <si>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</si>
  <si>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</si>
  <si>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</si>
  <si>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</si>
  <si>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</si>
  <si>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</si>
  <si>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</si>
  <si>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</si>
  <si>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</si>
  <si>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</si>
  <si>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</si>
  <si>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</si>
  <si>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</si>
  <si>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</si>
  <si>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</si>
  <si>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</si>
  <si>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</si>
  <si>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</si>
  <si>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</si>
  <si>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</si>
  <si>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</si>
  <si>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</si>
  <si>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</si>
  <si>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</si>
  <si>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</si>
  <si>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</si>
  <si>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Afecta cualquier sustancia líquida existente / 240 RM.</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</si>
  <si>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</si>
  <si>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</si>
  <si>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</si>
  <si>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</si>
  <si>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</si>
  <si>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</si>
  <si>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</si>
  <si>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</si>
  <si>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</si>
  <si>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</si>
  <si>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</si>
  <si>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</si>
  <si>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</si>
  <si>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</si>
  <si>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</si>
  <si>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</si>
  <si>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</si>
  <si>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</si>
  <si>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</si>
  <si>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</si>
  <si>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</si>
  <si>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</si>
  <si>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</si>
  <si>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</si>
  <si>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</si>
  <si>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</si>
  <si>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</si>
  <si>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</si>
  <si>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</si>
  <si>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</si>
  <si>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</si>
  <si>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</si>
  <si>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</si>
  <si>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</si>
  <si>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</si>
  <si>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</si>
  <si>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</si>
  <si>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</si>
  <si>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</si>
  <si>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</si>
  <si>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</si>
  <si>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</si>
  <si>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</si>
  <si>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</si>
  <si>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</si>
  <si>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</si>
  <si>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</si>
  <si>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</si>
  <si>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</si>
  <si>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</si>
  <si>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</si>
  <si>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</si>
  <si>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</si>
  <si>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</si>
  <si>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</si>
  <si>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</si>
  <si>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</si>
  <si>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</si>
  <si>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</si>
  <si>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</si>
  <si>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</si>
  <si>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</si>
  <si>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</si>
  <si>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</si>
  <si>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</si>
  <si>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10 metros de radio/ RF 80</t>
  </si>
  <si>
    <t>50 metros de radio / RF 100</t>
  </si>
  <si>
    <t>100 metros de radio / RF 120</t>
  </si>
  <si>
    <t>150 metros de radio / RF 140</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</si>
  <si>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</si>
  <si>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</si>
  <si>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</si>
  <si>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</si>
  <si>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</si>
  <si>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</si>
  <si>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</si>
  <si>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</si>
  <si>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</si>
  <si>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</si>
  <si>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</si>
  <si>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</si>
  <si>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</si>
  <si>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</si>
  <si>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</si>
  <si>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</si>
  <si>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</si>
  <si>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</si>
  <si>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</si>
  <si>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</si>
  <si>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</si>
  <si>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</si>
  <si>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</si>
  <si>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</si>
  <si>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</si>
  <si>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</si>
  <si>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</si>
  <si>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</si>
  <si>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</si>
  <si>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</si>
  <si>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</si>
  <si>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</si>
  <si>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</si>
  <si>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</si>
  <si>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</si>
  <si>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</si>
  <si>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</si>
  <si>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</si>
  <si>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</si>
  <si>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</si>
  <si>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</si>
  <si>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</si>
  <si>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</si>
  <si>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</si>
  <si>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</si>
  <si>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</si>
  <si>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</si>
  <si>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</si>
  <si>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</si>
  <si>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</si>
  <si>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</si>
  <si>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</si>
  <si>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</si>
  <si>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</si>
  <si>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</si>
  <si>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</si>
  <si>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</si>
  <si>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</si>
  <si>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</si>
  <si>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</si>
  <si>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</si>
  <si>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</si>
  <si>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</si>
  <si>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</si>
  <si>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</si>
  <si>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</si>
  <si>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</si>
  <si>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</si>
  <si>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</si>
  <si>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</si>
  <si>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</si>
  <si>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</si>
  <si>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</si>
  <si>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</si>
  <si>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</si>
  <si>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</si>
  <si>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</si>
  <si>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</si>
  <si>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</si>
  <si>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</si>
  <si>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</si>
  <si>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</si>
  <si>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</si>
  <si>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</si>
  <si>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</si>
  <si>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</si>
  <si>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</si>
  <si>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</si>
  <si>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</si>
  <si>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</si>
  <si>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</si>
  <si>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</si>
  <si>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</si>
  <si>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</si>
  <si>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</si>
  <si>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</si>
  <si>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</si>
  <si>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</si>
  <si>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</si>
  <si>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</si>
  <si>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</si>
  <si>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</si>
  <si>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</si>
  <si>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</si>
  <si>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</si>
  <si>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</si>
  <si>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</si>
  <si>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</si>
  <si>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</si>
  <si>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</si>
  <si>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</si>
  <si>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</si>
  <si>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</si>
  <si>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</si>
  <si>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</si>
  <si>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</si>
  <si>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</si>
  <si>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</si>
  <si>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</si>
  <si>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</si>
  <si>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</si>
  <si>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</si>
  <si>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</si>
  <si>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</si>
  <si>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</si>
  <si>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</si>
  <si>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</si>
  <si>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</si>
  <si>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</si>
  <si>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</si>
  <si>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</si>
  <si>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</si>
  <si>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</si>
  <si>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</si>
  <si>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</si>
  <si>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</si>
  <si>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</si>
  <si>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</si>
  <si>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</si>
  <si>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</si>
  <si>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</si>
  <si>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</si>
  <si>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</si>
  <si>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</si>
  <si>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</si>
  <si>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</si>
  <si>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</si>
  <si>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</si>
  <si>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</si>
  <si>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</si>
  <si>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</si>
  <si>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</si>
  <si>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</si>
  <si>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</si>
  <si>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</si>
  <si>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</si>
  <si>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</si>
  <si>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</si>
  <si>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</si>
  <si>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</si>
  <si>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</si>
  <si>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</si>
  <si>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</si>
  <si>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</si>
  <si>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</si>
  <si>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</si>
  <si>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</si>
  <si>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</si>
  <si>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</si>
  <si>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</si>
  <si>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</si>
  <si>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</si>
  <si>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</si>
  <si>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</si>
  <si>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</si>
  <si>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</si>
  <si>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</si>
  <si>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</si>
  <si>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</si>
  <si>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</si>
  <si>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</si>
  <si>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</si>
  <si>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</si>
  <si>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</si>
  <si>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</si>
  <si>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</si>
  <si>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</si>
  <si>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</si>
  <si>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</si>
  <si>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</si>
  <si>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</si>
  <si>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</si>
  <si>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</si>
  <si>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</si>
  <si>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</si>
  <si>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</si>
  <si>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</si>
  <si>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</si>
  <si>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</si>
  <si>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</si>
  <si>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</si>
  <si>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</si>
  <si>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</si>
  <si>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</si>
  <si>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</si>
  <si>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</si>
  <si>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</si>
  <si>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</si>
  <si>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</si>
  <si>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</si>
  <si>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</si>
  <si>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</si>
  <si>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</si>
  <si>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</si>
  <si>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</si>
  <si>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</si>
  <si>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</si>
  <si>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</si>
  <si>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</si>
  <si>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</si>
  <si>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</si>
  <si>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</si>
  <si>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anímico</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</si>
  <si>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</si>
  <si>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</si>
  <si>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</si>
  <si>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</si>
  <si>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</si>
  <si>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</si>
  <si>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</si>
  <si>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</si>
  <si>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</si>
  <si>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</si>
  <si>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</si>
  <si>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</si>
  <si>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</si>
  <si>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</si>
  <si>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</si>
  <si>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</si>
  <si>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</si>
  <si>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</si>
  <si>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</si>
  <si>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</si>
  <si>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</si>
  <si>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</si>
  <si>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</si>
  <si>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</si>
  <si>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</si>
  <si>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</si>
  <si>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</si>
  <si>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</si>
  <si>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</si>
  <si>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</si>
  <si>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</si>
  <si>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</si>
  <si>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</si>
  <si>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</si>
  <si>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</si>
  <si>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</si>
  <si>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</si>
  <si>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</si>
  <si>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</si>
  <si>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</si>
  <si>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</si>
  <si>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RM 100 / Presencia máxima 60</t>
  </si>
  <si>
    <t>RM 140 / Presencia máxima 100</t>
  </si>
  <si>
    <t>RM 160 / Presencia máxima 140</t>
  </si>
  <si>
    <t>RM 200 / Presencia máxima 180</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</si>
  <si>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</si>
  <si>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</si>
  <si>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</si>
  <si>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</si>
  <si>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</si>
  <si>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</si>
  <si>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</si>
  <si>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</si>
  <si>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</si>
  <si>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</si>
  <si>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</si>
  <si>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</si>
  <si>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</si>
  <si>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</si>
  <si>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</si>
  <si>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</si>
  <si>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</si>
  <si>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</si>
  <si>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</si>
  <si>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</si>
  <si>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</si>
  <si>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</si>
  <si>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</si>
  <si>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</si>
  <si>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</si>
  <si>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</si>
  <si>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</si>
  <si>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</si>
  <si>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</si>
  <si>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</si>
  <si>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</si>
  <si>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</si>
  <si>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</si>
  <si>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</si>
  <si>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</si>
  <si>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</si>
  <si>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</si>
  <si>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</si>
  <si>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</si>
  <si>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</si>
  <si>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</si>
  <si>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</si>
  <si>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</si>
  <si>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</si>
  <si>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</si>
  <si>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</si>
  <si>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</si>
  <si>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</si>
  <si>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</si>
  <si>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</si>
  <si>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</si>
  <si>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</si>
  <si>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</si>
  <si>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</si>
  <si>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</si>
  <si>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</si>
  <si>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</si>
  <si>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</si>
  <si>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</si>
  <si>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</si>
  <si>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</si>
  <si>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</si>
  <si>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</si>
  <si>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</si>
  <si>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</si>
  <si>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</si>
  <si>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</si>
  <si>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</si>
  <si>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</si>
  <si>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</si>
  <si>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</si>
  <si>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</si>
  <si>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</si>
  <si>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</si>
  <si>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</si>
  <si>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</si>
  <si>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</si>
  <si>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</si>
  <si>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</si>
  <si>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</si>
  <si>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</si>
  <si>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</si>
  <si>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</si>
  <si>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</si>
  <si>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</si>
  <si>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</si>
  <si>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</si>
  <si>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</si>
  <si>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</si>
  <si>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</si>
  <si>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</si>
  <si>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</si>
  <si>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</si>
  <si>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</si>
  <si>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</si>
  <si>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</si>
  <si>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</si>
  <si>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</si>
  <si>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</si>
  <si>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</si>
  <si>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</si>
  <si>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</si>
  <si>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</si>
  <si>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</si>
  <si>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</si>
  <si>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</si>
  <si>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</si>
  <si>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</si>
  <si>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</si>
  <si>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</si>
  <si>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</si>
  <si>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</si>
  <si>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</si>
  <si>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</si>
  <si>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</si>
  <si>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</si>
  <si>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</si>
  <si>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</si>
  <si>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</si>
  <si>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</si>
  <si>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</si>
  <si>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</si>
  <si>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</si>
  <si>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</si>
  <si>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</si>
  <si>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</si>
  <si>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</si>
  <si>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</si>
  <si>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</si>
  <si>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</si>
  <si>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</si>
  <si>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</si>
  <si>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</si>
  <si>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</si>
  <si>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</si>
  <si>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</si>
  <si>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</si>
  <si>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</si>
  <si>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</si>
  <si>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</si>
  <si>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</si>
  <si>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</si>
  <si>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</si>
  <si>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</si>
  <si>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</si>
  <si>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</si>
  <si>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</si>
  <si>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</si>
  <si>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</si>
  <si>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</si>
  <si>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</si>
  <si>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</si>
  <si>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</si>
  <si>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</si>
  <si>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</si>
  <si>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</si>
  <si>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</si>
  <si>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</si>
  <si>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</si>
  <si>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</si>
  <si>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</si>
  <si>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</si>
  <si>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</si>
  <si>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</si>
  <si>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</si>
  <si>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</si>
  <si>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</si>
  <si>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</si>
  <si>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</si>
  <si>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</si>
  <si>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</si>
  <si>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</si>
  <si>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</si>
  <si>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</si>
  <si>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</si>
  <si>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</si>
  <si>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</si>
  <si>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</si>
  <si>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</si>
  <si>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</si>
  <si>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</si>
  <si>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</si>
  <si>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</si>
  <si>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</si>
  <si>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</si>
  <si>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</si>
  <si>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</si>
  <si>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</si>
  <si>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</si>
  <si>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</si>
  <si>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</si>
  <si>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</si>
  <si>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</si>
  <si>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</si>
  <si>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</si>
  <si>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</si>
  <si>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</si>
  <si>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</si>
  <si>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</si>
  <si>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</si>
  <si>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</si>
  <si>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</si>
  <si>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</si>
  <si>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</si>
  <si>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</si>
  <si>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</si>
  <si>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</si>
  <si>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</si>
  <si>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</si>
  <si>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</si>
  <si>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</si>
  <si>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</si>
  <si>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</si>
  <si>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</si>
  <si>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</si>
  <si>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</si>
  <si>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</si>
  <si>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</si>
  <si>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</si>
  <si>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</si>
  <si>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</si>
  <si>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</si>
  <si>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</si>
  <si>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</si>
  <si>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</si>
  <si>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</si>
  <si>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</si>
  <si>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</si>
  <si>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</si>
  <si>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</si>
  <si>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</si>
  <si>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Nivel 4 máximo / Un mes como máximo desde su muerte</t>
  </si>
  <si>
    <t>Nivel 8 máximo / Un año como máximo desde su muerte</t>
  </si>
  <si>
    <t>Nivel 12 máximo / Una decada como máximo desde su muerte</t>
  </si>
  <si>
    <t>Nivel 16 máximo / Un siglo como máximo desde su muerte</t>
  </si>
  <si>
    <t>Nivel 15</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</si>
  <si>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</si>
  <si>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</si>
  <si>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</si>
  <si>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</si>
  <si>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</si>
  <si>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</si>
  <si>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</si>
  <si>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</si>
  <si>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</si>
  <si>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</si>
  <si>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</si>
  <si>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</si>
  <si>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</si>
  <si>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</si>
  <si>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</si>
  <si>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</si>
  <si>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</si>
  <si>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</si>
  <si>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</si>
  <si>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</si>
  <si>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</si>
  <si>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</si>
  <si>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</si>
  <si>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</si>
  <si>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</si>
  <si>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</si>
  <si>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</si>
  <si>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</si>
  <si>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</si>
  <si>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</si>
  <si>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</si>
  <si>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</si>
  <si>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</si>
  <si>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</si>
  <si>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</si>
  <si>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</si>
  <si>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</si>
  <si>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</si>
  <si>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</si>
  <si>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</si>
  <si>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</si>
  <si>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</si>
  <si>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</si>
  <si>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</si>
  <si>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</si>
  <si>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</si>
  <si>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</si>
  <si>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</si>
  <si>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</si>
  <si>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</si>
  <si>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</si>
  <si>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</si>
  <si>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</si>
  <si>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</si>
  <si>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</si>
  <si>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</si>
  <si>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</si>
  <si>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</si>
  <si>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</si>
  <si>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</si>
  <si>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</si>
  <si>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</si>
  <si>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</si>
  <si>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</si>
  <si>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</si>
  <si>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</si>
  <si>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</si>
  <si>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</si>
  <si>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</si>
  <si>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</si>
  <si>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</si>
  <si>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</si>
  <si>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</si>
  <si>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</si>
  <si>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</si>
  <si>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</si>
  <si>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</si>
  <si>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</si>
  <si>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</si>
  <si>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</si>
  <si>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</si>
  <si>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</si>
  <si>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</si>
  <si>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</si>
  <si>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</si>
  <si>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</si>
  <si>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</si>
  <si>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</si>
  <si>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</si>
  <si>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</si>
  <si>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</si>
  <si>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</si>
  <si>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</si>
  <si>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</si>
  <si>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</si>
  <si>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</si>
  <si>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</si>
  <si>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</si>
  <si>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</si>
  <si>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</si>
  <si>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</si>
  <si>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</si>
  <si>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</si>
  <si>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</si>
  <si>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</si>
  <si>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</si>
  <si>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</si>
  <si>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</si>
  <si>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</si>
  <si>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</si>
  <si>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</si>
  <si>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</si>
  <si>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</si>
  <si>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</si>
  <si>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</si>
  <si>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</si>
  <si>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</si>
  <si>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</si>
  <si>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</si>
  <si>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</si>
  <si>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</si>
  <si>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</si>
  <si>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</si>
  <si>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</si>
  <si>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</si>
  <si>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</si>
  <si>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</si>
  <si>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</si>
  <si>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</si>
  <si>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</si>
  <si>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</si>
  <si>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</si>
  <si>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</si>
  <si>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</si>
  <si>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</si>
  <si>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</si>
  <si>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</si>
  <si>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</si>
  <si>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</si>
  <si>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</si>
  <si>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</si>
  <si>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</si>
  <si>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</si>
  <si>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</si>
  <si>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</si>
  <si>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</si>
  <si>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</si>
  <si>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</si>
  <si>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</si>
  <si>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</si>
  <si>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</si>
  <si>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</si>
  <si>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</si>
  <si>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</si>
  <si>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</si>
  <si>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</si>
  <si>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</si>
  <si>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</si>
  <si>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</si>
  <si>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</si>
  <si>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</si>
  <si>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</si>
  <si>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</si>
  <si>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</si>
  <si>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</si>
  <si>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</si>
  <si>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</si>
  <si>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</si>
  <si>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</si>
  <si>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</si>
  <si>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</si>
  <si>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</si>
  <si>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</si>
  <si>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</si>
  <si>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</si>
  <si>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</si>
  <si>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</si>
  <si>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</si>
  <si>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</si>
  <si>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</si>
  <si>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</si>
  <si>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</si>
  <si>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</si>
  <si>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</si>
  <si>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</si>
  <si>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</si>
  <si>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</si>
  <si>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</si>
  <si>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</si>
  <si>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</si>
  <si>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</si>
  <si>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</si>
  <si>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</si>
  <si>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</si>
  <si>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</si>
  <si>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</si>
  <si>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</si>
  <si>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</si>
  <si>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</si>
  <si>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</si>
  <si>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</si>
  <si>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</si>
  <si>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</si>
  <si>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</si>
  <si>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</si>
  <si>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</si>
  <si>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</si>
  <si>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</si>
  <si>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</si>
  <si>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</si>
  <si>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</si>
  <si>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</si>
  <si>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</si>
  <si>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</si>
  <si>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10 intensidades / RM 120</t>
  </si>
  <si>
    <t>15 intensidades / RM 140</t>
  </si>
  <si>
    <t>20 intensidades / RM 160</t>
  </si>
  <si>
    <t>25 intensidades / RM 180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</si>
  <si>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</si>
  <si>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</si>
  <si>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</si>
  <si>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</si>
  <si>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</si>
  <si>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</si>
  <si>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</si>
  <si>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</si>
  <si>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</si>
  <si>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</si>
  <si>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</si>
  <si>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</si>
  <si>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</si>
  <si>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</si>
  <si>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</si>
  <si>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</si>
  <si>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</si>
  <si>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25 kilómetros de radio</t>
  </si>
  <si>
    <t>250 kilómetros de radio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</si>
  <si>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</si>
  <si>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</si>
  <si>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</si>
  <si>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</si>
  <si>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</si>
  <si>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</si>
  <si>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</si>
  <si>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</si>
  <si>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</si>
  <si>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</si>
  <si>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</si>
  <si>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</si>
  <si>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</si>
  <si>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</si>
  <si>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</si>
  <si>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</si>
  <si>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</si>
  <si>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</si>
  <si>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</si>
  <si>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</si>
  <si>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</si>
  <si>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</si>
  <si>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</si>
  <si>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</si>
  <si>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</si>
  <si>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</si>
  <si>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</si>
  <si>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</si>
  <si>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</si>
  <si>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</si>
  <si>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</si>
  <si>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</si>
  <si>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</si>
  <si>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</si>
  <si>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</si>
  <si>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</si>
  <si>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</si>
  <si>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</si>
  <si>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</si>
  <si>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</si>
  <si>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</si>
  <si>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</si>
  <si>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</si>
  <si>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</si>
  <si>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</si>
  <si>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</si>
  <si>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</si>
  <si>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</si>
  <si>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</si>
  <si>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</si>
  <si>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</si>
  <si>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</si>
  <si>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</si>
  <si>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</si>
  <si>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</si>
  <si>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</si>
  <si>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</si>
  <si>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</si>
  <si>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</si>
  <si>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</si>
  <si>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</si>
  <si>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</si>
  <si>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</si>
  <si>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</si>
  <si>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</si>
  <si>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</si>
  <si>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</si>
  <si>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</si>
  <si>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</si>
  <si>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</si>
  <si>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</si>
  <si>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</si>
  <si>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</si>
  <si>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</si>
  <si>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</si>
  <si>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</si>
  <si>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</si>
  <si>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</si>
  <si>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</si>
  <si>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</si>
  <si>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</si>
  <si>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</si>
  <si>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</si>
  <si>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</si>
  <si>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</si>
  <si>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</si>
  <si>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</si>
  <si>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</si>
  <si>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</si>
  <si>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</si>
  <si>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</si>
  <si>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</si>
  <si>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</si>
  <si>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</si>
  <si>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</si>
  <si>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</si>
  <si>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</si>
  <si>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</si>
  <si>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</si>
  <si>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</si>
  <si>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</si>
  <si>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</si>
  <si>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</si>
  <si>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</si>
  <si>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</si>
  <si>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</si>
  <si>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</si>
  <si>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</si>
  <si>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</si>
  <si>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</si>
  <si>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</si>
  <si>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</si>
  <si>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</si>
  <si>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</si>
  <si>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</si>
  <si>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</si>
  <si>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</si>
  <si>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</si>
  <si>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</si>
  <si>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</si>
  <si>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</si>
  <si>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</si>
  <si>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</si>
  <si>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</si>
  <si>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</si>
  <si>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</si>
  <si>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</si>
  <si>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</si>
  <si>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</si>
  <si>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</si>
  <si>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</si>
  <si>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</si>
  <si>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</si>
  <si>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</si>
  <si>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</si>
  <si>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</si>
  <si>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</si>
  <si>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</si>
  <si>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</si>
  <si>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</si>
  <si>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</si>
  <si>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</si>
  <si>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</si>
  <si>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</si>
  <si>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</si>
  <si>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</si>
  <si>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</si>
  <si>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</si>
  <si>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</si>
  <si>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</si>
  <si>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</si>
  <si>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</si>
  <si>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</si>
  <si>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</si>
  <si>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</si>
  <si>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</si>
  <si>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</si>
  <si>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</si>
  <si>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</si>
  <si>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</si>
  <si>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</si>
  <si>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</si>
  <si>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</si>
  <si>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</si>
  <si>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</si>
  <si>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</si>
  <si>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</si>
  <si>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</si>
  <si>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</si>
  <si>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</si>
  <si>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</si>
  <si>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</si>
  <si>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</si>
  <si>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</si>
  <si>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</si>
  <si>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</si>
  <si>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</si>
  <si>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</si>
  <si>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</si>
  <si>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</si>
  <si>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</si>
  <si>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</si>
  <si>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</si>
  <si>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</si>
  <si>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</si>
  <si>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</si>
  <si>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</si>
  <si>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500 metros de radio / RM 220</t>
  </si>
  <si>
    <t>1 kilómetro de radio / RM 260</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</si>
  <si>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</si>
  <si>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</si>
  <si>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</si>
  <si>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</si>
  <si>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</si>
  <si>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</si>
  <si>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</si>
  <si>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</si>
  <si>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</si>
  <si>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</si>
  <si>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</si>
  <si>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</si>
  <si>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</si>
  <si>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</si>
  <si>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</si>
  <si>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</si>
  <si>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</si>
  <si>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</si>
  <si>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</si>
  <si>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</si>
  <si>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</si>
  <si>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</si>
  <si>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</si>
  <si>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</si>
  <si>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</si>
  <si>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</si>
  <si>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</si>
  <si>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</si>
  <si>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</si>
  <si>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</si>
  <si>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</si>
  <si>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</si>
  <si>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</si>
  <si>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</si>
  <si>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</si>
  <si>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</si>
  <si>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</si>
  <si>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</si>
  <si>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</si>
  <si>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</si>
  <si>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</si>
  <si>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</si>
  <si>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</si>
  <si>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</si>
  <si>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</si>
  <si>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</si>
  <si>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</si>
  <si>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</si>
  <si>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</si>
  <si>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</si>
  <si>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</si>
  <si>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</si>
  <si>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</si>
  <si>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</si>
  <si>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</si>
  <si>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</si>
  <si>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</si>
  <si>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</si>
  <si>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</si>
  <si>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</si>
  <si>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</si>
  <si>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</si>
  <si>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</si>
  <si>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</si>
  <si>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</si>
  <si>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</si>
  <si>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</si>
  <si>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</si>
  <si>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</si>
  <si>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</si>
  <si>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</si>
  <si>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</si>
  <si>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</si>
  <si>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</si>
  <si>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</si>
  <si>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</si>
  <si>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</si>
  <si>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</si>
  <si>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</si>
  <si>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</si>
  <si>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</si>
  <si>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</si>
  <si>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</si>
  <si>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</si>
  <si>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</si>
  <si>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</si>
  <si>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</si>
  <si>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</si>
  <si>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</si>
  <si>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</si>
  <si>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</si>
  <si>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</si>
  <si>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</si>
  <si>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</si>
  <si>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</si>
  <si>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</si>
  <si>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</si>
  <si>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</si>
  <si>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</si>
  <si>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</si>
  <si>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</si>
  <si>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</si>
  <si>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</si>
  <si>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</si>
  <si>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</si>
  <si>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</si>
  <si>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</si>
  <si>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</si>
  <si>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</si>
  <si>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</si>
  <si>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</si>
  <si>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</si>
  <si>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</si>
  <si>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</si>
  <si>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</si>
  <si>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</si>
  <si>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</si>
  <si>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</si>
  <si>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</si>
  <si>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</si>
  <si>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</si>
  <si>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</si>
  <si>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</si>
  <si>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</si>
  <si>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</si>
  <si>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</si>
  <si>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</si>
  <si>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</si>
  <si>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</si>
  <si>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</si>
  <si>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</si>
  <si>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</si>
  <si>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</si>
  <si>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</si>
  <si>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</si>
  <si>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</si>
  <si>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</si>
  <si>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</si>
  <si>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</si>
  <si>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</si>
  <si>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</si>
  <si>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</si>
  <si>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</si>
  <si>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</si>
  <si>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</si>
  <si>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</si>
  <si>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</si>
  <si>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</si>
  <si>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</si>
  <si>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</si>
  <si>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</si>
  <si>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</si>
  <si>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</si>
  <si>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</si>
  <si>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</si>
  <si>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</si>
  <si>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</si>
  <si>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</si>
  <si>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</si>
  <si>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</si>
  <si>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</si>
  <si>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</si>
  <si>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</si>
  <si>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</si>
  <si>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</si>
  <si>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</si>
  <si>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</si>
  <si>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</si>
  <si>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</si>
  <si>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</si>
  <si>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</si>
  <si>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</si>
  <si>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</si>
  <si>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</si>
  <si>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</si>
  <si>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</si>
  <si>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</si>
  <si>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</si>
  <si>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</si>
  <si>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</si>
  <si>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</si>
  <si>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</si>
  <si>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</si>
  <si>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</si>
  <si>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</si>
  <si>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</si>
  <si>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</si>
  <si>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</si>
  <si>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</si>
  <si>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</si>
  <si>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</si>
  <si>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</si>
  <si>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</si>
  <si>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</si>
  <si>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</si>
  <si>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</si>
  <si>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</si>
  <si>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</si>
  <si>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</si>
  <si>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</si>
  <si>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</si>
  <si>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</si>
  <si>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</si>
  <si>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</si>
  <si>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</si>
  <si>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</si>
  <si>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</si>
  <si>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</si>
  <si>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</si>
  <si>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</si>
  <si>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</si>
  <si>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</si>
  <si>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</si>
  <si>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</si>
  <si>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</si>
  <si>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</si>
  <si>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</si>
  <si>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</si>
  <si>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</si>
  <si>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</si>
  <si>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</si>
  <si>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</si>
  <si>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</si>
  <si>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</si>
  <si>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</si>
  <si>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</si>
  <si>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</si>
  <si>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</si>
  <si>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</si>
  <si>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</si>
  <si>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</si>
  <si>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</si>
  <si>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</si>
  <si>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</si>
  <si>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</si>
  <si>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</si>
  <si>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</si>
  <si>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</si>
  <si>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</si>
  <si>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</si>
  <si>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</si>
  <si>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</si>
  <si>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</si>
  <si>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</si>
  <si>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</si>
  <si>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</si>
  <si>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</si>
  <si>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</si>
  <si>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</si>
  <si>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</si>
  <si>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</si>
  <si>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</si>
  <si>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</si>
  <si>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</si>
  <si>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</si>
  <si>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</si>
  <si>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</si>
  <si>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</si>
  <si>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</si>
  <si>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</si>
  <si>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</si>
  <si>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</si>
  <si>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</si>
  <si>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</si>
  <si>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</si>
  <si>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</si>
  <si>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</si>
  <si>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</si>
  <si>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</si>
  <si>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</si>
  <si>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</si>
  <si>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</si>
  <si>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</si>
  <si>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</si>
  <si>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</si>
  <si>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</si>
  <si>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</si>
  <si>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</si>
  <si>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</si>
  <si>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</si>
  <si>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</si>
  <si>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</si>
  <si>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</si>
  <si>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</si>
  <si>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</si>
  <si>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</si>
  <si>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</si>
  <si>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</si>
  <si>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</si>
  <si>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</si>
  <si>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</si>
  <si>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</si>
  <si>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</si>
  <si>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</si>
  <si>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</si>
  <si>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</si>
  <si>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</si>
  <si>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</si>
  <si>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</si>
  <si>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</si>
  <si>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</si>
  <si>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</si>
  <si>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</si>
  <si>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</si>
  <si>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</si>
  <si>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</si>
  <si>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</si>
  <si>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</si>
  <si>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</si>
  <si>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</si>
  <si>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</si>
  <si>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</si>
  <si>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</si>
  <si>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</si>
  <si>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</si>
  <si>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</si>
  <si>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</si>
  <si>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</si>
  <si>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</si>
  <si>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</si>
  <si>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</si>
  <si>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</si>
  <si>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</si>
  <si>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</si>
  <si>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</si>
  <si>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</si>
  <si>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</si>
  <si>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</si>
  <si>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</si>
  <si>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</si>
  <si>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</si>
  <si>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</si>
  <si>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</si>
  <si>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</si>
  <si>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</si>
  <si>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</si>
  <si>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</si>
  <si>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</si>
  <si>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</si>
  <si>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</si>
  <si>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</si>
  <si>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</si>
  <si>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</si>
  <si>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Da +10 a Toda Acción / -5 PV por Turno</t>
  </si>
  <si>
    <t>Da +20 a Toda Acción / -15 PV por Turno</t>
  </si>
  <si>
    <t>Da +40 a Toda Acción / -30 PV por Turno</t>
  </si>
  <si>
    <t>Da +60 a Toda Acción / -50 PV por Turno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</si>
  <si>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</si>
  <si>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</si>
  <si>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</si>
  <si>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</si>
  <si>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</si>
  <si>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</si>
  <si>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</si>
  <si>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</si>
  <si>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</si>
  <si>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</si>
  <si>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</si>
  <si>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</si>
  <si>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</si>
  <si>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</si>
  <si>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</si>
  <si>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</si>
  <si>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</si>
  <si>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</si>
  <si>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</si>
  <si>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</si>
  <si>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</si>
  <si>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</si>
  <si>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</si>
  <si>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</si>
  <si>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</si>
  <si>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</si>
  <si>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</si>
  <si>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</si>
  <si>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</si>
  <si>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</si>
  <si>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</si>
  <si>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</si>
  <si>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</si>
  <si>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</si>
  <si>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</si>
  <si>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</si>
  <si>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</si>
  <si>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</si>
  <si>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</si>
  <si>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</si>
  <si>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</si>
  <si>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</si>
  <si>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</si>
  <si>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</si>
  <si>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</si>
  <si>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</si>
  <si>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</si>
  <si>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</si>
  <si>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</si>
  <si>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</si>
  <si>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</si>
  <si>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</si>
  <si>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</si>
  <si>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</si>
  <si>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</si>
  <si>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</si>
  <si>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</si>
  <si>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</si>
  <si>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</si>
  <si>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</si>
  <si>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</si>
  <si>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</si>
  <si>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</si>
  <si>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</si>
  <si>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</si>
  <si>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</si>
  <si>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</si>
  <si>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</si>
  <si>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</si>
  <si>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</si>
  <si>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</si>
  <si>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</si>
  <si>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</si>
  <si>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</si>
  <si>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</si>
  <si>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</si>
  <si>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</si>
  <si>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</si>
  <si>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</si>
  <si>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</si>
  <si>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</si>
  <si>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</si>
  <si>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</si>
  <si>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</si>
  <si>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</si>
  <si>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</si>
  <si>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</si>
  <si>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</si>
  <si>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</si>
  <si>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</si>
  <si>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</si>
  <si>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</si>
  <si>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</si>
  <si>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</si>
  <si>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</si>
  <si>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</si>
  <si>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</si>
  <si>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</si>
  <si>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</si>
  <si>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</si>
  <si>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</si>
  <si>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</si>
  <si>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</si>
  <si>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</si>
  <si>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</si>
  <si>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</si>
  <si>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</si>
  <si>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</si>
  <si>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</si>
  <si>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</si>
  <si>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</si>
  <si>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</si>
  <si>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</si>
  <si>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</si>
  <si>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</si>
  <si>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</si>
  <si>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</si>
  <si>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</si>
  <si>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</si>
  <si>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</si>
  <si>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</si>
  <si>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</si>
  <si>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</si>
  <si>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</si>
  <si>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</si>
  <si>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</si>
  <si>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</si>
  <si>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</si>
  <si>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</si>
  <si>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</si>
  <si>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</si>
  <si>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</si>
  <si>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</si>
  <si>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Daño 160.</t>
  </si>
  <si>
    <t>Dificultad 120 / 10 metros de radio / RM o RF 120.</t>
  </si>
  <si>
    <t>Dificultad 140 / 20 metros de radio / RM o RF 140.</t>
  </si>
  <si>
    <t>Dificultad 180 / 50 metros de radio / RM o RF 160</t>
  </si>
  <si>
    <t>Dificultad 240 / 100 metros de radio / RM o RF 180.</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</si>
  <si>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</si>
  <si>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</si>
  <si>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</si>
  <si>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</si>
  <si>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</si>
  <si>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</si>
  <si>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</si>
  <si>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</si>
  <si>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</si>
  <si>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</si>
  <si>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</si>
  <si>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</si>
  <si>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</si>
  <si>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</si>
  <si>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</si>
  <si>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</si>
  <si>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</si>
  <si>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</si>
  <si>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</si>
  <si>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</si>
  <si>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</si>
  <si>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</si>
  <si>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</si>
  <si>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</si>
  <si>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</si>
  <si>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</si>
  <si>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</si>
  <si>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</si>
  <si>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</si>
  <si>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</si>
  <si>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</si>
  <si>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</si>
  <si>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</si>
  <si>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</si>
  <si>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</si>
  <si>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 xml:space="preserve">Fatiga 2 </t>
  </si>
  <si>
    <t>260 RP y 100 km de radio</t>
  </si>
  <si>
    <t>Fatiga 4</t>
  </si>
  <si>
    <t>Fatiga 6</t>
  </si>
  <si>
    <t>Fatiga 8</t>
  </si>
  <si>
    <t>260 RP</t>
  </si>
  <si>
    <t>Hasta 10 km de distancia</t>
  </si>
  <si>
    <t>Hasta 100 km de distancia</t>
  </si>
  <si>
    <t>Hasta 500 km de distancia</t>
  </si>
  <si>
    <t>Hasta 1000 km de distancia</t>
  </si>
  <si>
    <t>Hasta 5000 km de distancia</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</si>
  <si>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</si>
  <si>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</si>
  <si>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</si>
  <si>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</si>
  <si>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</si>
  <si>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</si>
  <si>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</si>
  <si>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</si>
  <si>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</si>
  <si>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</si>
  <si>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</si>
  <si>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</si>
  <si>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</si>
  <si>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</si>
  <si>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</si>
  <si>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</si>
  <si>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</si>
  <si>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</si>
  <si>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</si>
  <si>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</si>
  <si>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</si>
  <si>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</si>
  <si>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</si>
  <si>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</si>
  <si>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</si>
  <si>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</si>
  <si>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</si>
  <si>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</si>
  <si>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</si>
  <si>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</si>
  <si>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</si>
  <si>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</si>
  <si>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</si>
  <si>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</si>
  <si>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</si>
  <si>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</si>
  <si>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</si>
  <si>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</si>
  <si>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</si>
  <si>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</si>
  <si>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</si>
  <si>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</si>
  <si>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</si>
  <si>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</si>
  <si>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</si>
  <si>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</si>
  <si>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</si>
  <si>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Tipo de vuelo 12</t>
  </si>
  <si>
    <t>Tipo de vuelo 14</t>
  </si>
  <si>
    <t>Tipo de vuelo 16</t>
  </si>
  <si>
    <t>Tipo de vuelo 18</t>
  </si>
  <si>
    <t>100 Kg / Tipo vuelo 4 / 100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</si>
  <si>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</si>
  <si>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</si>
  <si>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</si>
  <si>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</si>
  <si>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</si>
  <si>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</si>
  <si>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</si>
  <si>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</si>
  <si>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</si>
  <si>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</si>
  <si>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</si>
  <si>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7 intensidades</t>
  </si>
  <si>
    <t>13 intensidades</t>
  </si>
  <si>
    <t>16 intensidades</t>
  </si>
  <si>
    <t>80 RF / -1 intensidad</t>
  </si>
  <si>
    <t>100 RF / -3 intensidades</t>
  </si>
  <si>
    <t>260 RF / -40 intensidades</t>
  </si>
  <si>
    <t>80 RF / 4 intensidades</t>
  </si>
  <si>
    <t>100 RF / 6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</si>
  <si>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</si>
  <si>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</si>
  <si>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</si>
  <si>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</si>
  <si>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</si>
  <si>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</si>
  <si>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</si>
  <si>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</si>
  <si>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</si>
  <si>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</si>
  <si>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</si>
  <si>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</si>
  <si>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</si>
  <si>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</si>
  <si>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</si>
  <si>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</si>
  <si>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</si>
  <si>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</si>
  <si>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</si>
  <si>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</si>
  <si>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</si>
  <si>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</si>
  <si>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</si>
  <si>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</si>
  <si>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</si>
  <si>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</si>
  <si>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</si>
  <si>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</si>
  <si>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</si>
  <si>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</si>
  <si>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</si>
  <si>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</si>
  <si>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</si>
  <si>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</si>
  <si>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</si>
  <si>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</si>
  <si>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</si>
  <si>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</si>
  <si>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</si>
  <si>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</si>
  <si>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</si>
  <si>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</si>
  <si>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</si>
  <si>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</si>
  <si>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</si>
  <si>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</si>
  <si>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</si>
  <si>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</si>
  <si>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</si>
  <si>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</si>
  <si>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</si>
  <si>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</si>
  <si>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</si>
  <si>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</si>
  <si>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</si>
  <si>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</si>
  <si>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</si>
  <si>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</si>
  <si>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</si>
  <si>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</si>
  <si>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</si>
  <si>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</si>
  <si>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</si>
  <si>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</si>
  <si>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</si>
  <si>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</si>
  <si>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</si>
  <si>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</si>
  <si>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</si>
  <si>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</si>
  <si>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</si>
  <si>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</si>
  <si>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</si>
  <si>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</si>
  <si>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</si>
  <si>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</si>
  <si>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</si>
  <si>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</si>
  <si>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</si>
  <si>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</si>
  <si>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</si>
  <si>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</si>
  <si>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</si>
  <si>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</si>
  <si>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</si>
  <si>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</si>
  <si>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</si>
  <si>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</si>
  <si>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</si>
  <si>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</si>
  <si>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</si>
  <si>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</si>
  <si>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</si>
  <si>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</si>
  <si>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</si>
  <si>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</si>
  <si>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</si>
  <si>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</si>
  <si>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</si>
  <si>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</si>
  <si>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</si>
  <si>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</si>
  <si>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</si>
  <si>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</si>
  <si>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</si>
  <si>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</si>
  <si>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</si>
  <si>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</si>
  <si>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</si>
  <si>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</si>
  <si>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</si>
  <si>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</si>
  <si>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</si>
  <si>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</si>
  <si>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</si>
  <si>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</si>
  <si>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</si>
  <si>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</si>
  <si>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</si>
  <si>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</si>
  <si>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</si>
  <si>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</si>
  <si>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</si>
  <si>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</si>
  <si>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</si>
  <si>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</si>
  <si>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</si>
  <si>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</si>
  <si>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</si>
  <si>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</si>
  <si>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</si>
  <si>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</si>
  <si>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</si>
  <si>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</si>
  <si>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</si>
  <si>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</si>
  <si>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</si>
  <si>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</si>
  <si>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</si>
  <si>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</si>
  <si>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</si>
  <si>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</si>
  <si>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</si>
  <si>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</si>
  <si>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</si>
  <si>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</si>
  <si>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</si>
  <si>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</si>
  <si>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</si>
  <si>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</si>
  <si>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</si>
  <si>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</si>
  <si>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</si>
  <si>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</si>
  <si>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</si>
  <si>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</si>
  <si>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</si>
  <si>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</si>
  <si>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4 intensidades / 80 RF</t>
  </si>
  <si>
    <t>6 intensidades / 100 RF</t>
  </si>
  <si>
    <t>Daño 100 / 25 m de Radio</t>
  </si>
  <si>
    <t>Daño 120 / 50 m de Radio</t>
  </si>
  <si>
    <t>Daño 140 / 100 m de Radio</t>
  </si>
  <si>
    <t>Daño 160 / 200 m daña energia</t>
  </si>
  <si>
    <t>Daño 200 / 500 m daña energia</t>
  </si>
  <si>
    <t>55 intensidades</t>
  </si>
  <si>
    <t>1 km</t>
  </si>
  <si>
    <t>50 km</t>
  </si>
  <si>
    <t>Una hora</t>
  </si>
  <si>
    <t>Seis horas</t>
  </si>
  <si>
    <t>Tres días</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</si>
  <si>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</si>
  <si>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</si>
  <si>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</si>
  <si>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</si>
  <si>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</si>
  <si>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</si>
  <si>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</si>
  <si>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</si>
  <si>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</si>
  <si>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</si>
  <si>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</si>
  <si>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</si>
  <si>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</si>
  <si>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</si>
  <si>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</si>
  <si>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</si>
  <si>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</si>
  <si>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</si>
  <si>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</si>
  <si>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</si>
  <si>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</si>
  <si>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</si>
  <si>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</si>
  <si>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</si>
  <si>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</si>
  <si>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</si>
  <si>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</si>
  <si>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</si>
  <si>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</si>
  <si>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</si>
  <si>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</si>
  <si>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</si>
  <si>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</si>
  <si>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</si>
  <si>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</si>
  <si>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</si>
  <si>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</si>
  <si>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</si>
  <si>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</si>
  <si>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</si>
  <si>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</si>
  <si>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</si>
  <si>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</si>
  <si>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</si>
  <si>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</si>
  <si>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</si>
  <si>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</si>
  <si>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</si>
  <si>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</si>
  <si>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</si>
  <si>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</si>
  <si>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</si>
  <si>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</si>
  <si>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</si>
  <si>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</si>
  <si>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</si>
  <si>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</si>
  <si>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</si>
  <si>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</si>
  <si>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</si>
  <si>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</si>
  <si>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</si>
  <si>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</si>
  <si>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</si>
  <si>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</si>
  <si>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</si>
  <si>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</si>
  <si>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</si>
  <si>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</si>
  <si>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</si>
  <si>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</si>
  <si>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</si>
  <si>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</si>
  <si>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</si>
  <si>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</si>
  <si>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</si>
  <si>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</si>
  <si>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</si>
  <si>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</si>
  <si>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</si>
  <si>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</si>
  <si>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</si>
  <si>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</si>
  <si>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</si>
  <si>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</si>
  <si>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</si>
  <si>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</si>
  <si>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</si>
  <si>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</si>
  <si>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</si>
  <si>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</si>
  <si>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</si>
  <si>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</si>
  <si>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</si>
  <si>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</si>
  <si>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</si>
  <si>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</si>
  <si>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</si>
  <si>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</si>
  <si>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</si>
  <si>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</si>
  <si>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</si>
  <si>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</si>
  <si>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</si>
  <si>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</si>
  <si>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</si>
  <si>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</si>
  <si>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</si>
  <si>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</si>
  <si>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</si>
  <si>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</si>
  <si>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</si>
  <si>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</si>
  <si>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</si>
  <si>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</si>
  <si>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</si>
  <si>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</si>
  <si>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</si>
  <si>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</si>
  <si>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</si>
  <si>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</si>
  <si>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</si>
  <si>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</si>
  <si>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</si>
  <si>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</si>
  <si>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</si>
  <si>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</si>
  <si>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</si>
  <si>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</si>
  <si>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</si>
  <si>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</si>
  <si>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</si>
  <si>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</si>
  <si>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</si>
  <si>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</si>
  <si>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</si>
  <si>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</si>
  <si>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</si>
  <si>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</si>
  <si>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</si>
  <si>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</si>
  <si>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</si>
  <si>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</si>
  <si>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</si>
  <si>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</si>
  <si>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</si>
  <si>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</si>
  <si>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</si>
  <si>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</si>
  <si>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</si>
  <si>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</si>
  <si>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</si>
  <si>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</si>
  <si>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</si>
  <si>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</si>
  <si>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</si>
  <si>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</si>
  <si>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</si>
  <si>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</si>
  <si>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</si>
  <si>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</si>
  <si>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</si>
  <si>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</si>
  <si>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</si>
  <si>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</si>
  <si>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</si>
  <si>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</si>
  <si>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</si>
  <si>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</si>
  <si>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</si>
  <si>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</si>
  <si>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</si>
  <si>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</si>
  <si>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</si>
  <si>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</si>
  <si>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</si>
  <si>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</si>
  <si>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</si>
  <si>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</si>
  <si>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</si>
  <si>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</si>
  <si>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</si>
  <si>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</si>
  <si>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</si>
  <si>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</si>
  <si>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</si>
  <si>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</si>
  <si>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</si>
  <si>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</si>
  <si>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</si>
  <si>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</si>
  <si>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</si>
  <si>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</si>
  <si>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</si>
  <si>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</si>
  <si>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</si>
  <si>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</si>
  <si>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</si>
  <si>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</si>
  <si>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</si>
  <si>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</si>
  <si>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</si>
  <si>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</si>
  <si>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</si>
  <si>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</si>
  <si>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</si>
  <si>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</si>
  <si>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</si>
  <si>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</si>
  <si>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</si>
  <si>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</si>
  <si>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</si>
  <si>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</si>
  <si>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</si>
  <si>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</si>
  <si>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</si>
  <si>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</si>
  <si>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</si>
  <si>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</si>
  <si>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</si>
  <si>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</si>
  <si>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</si>
  <si>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</si>
  <si>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</si>
  <si>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</si>
  <si>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</si>
  <si>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</si>
  <si>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</si>
  <si>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</si>
  <si>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</si>
  <si>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</si>
  <si>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</si>
  <si>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</si>
  <si>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</si>
  <si>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</si>
  <si>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</si>
  <si>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</si>
  <si>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</si>
  <si>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</si>
  <si>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</si>
  <si>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</si>
  <si>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</si>
  <si>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</si>
  <si>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</si>
  <si>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</si>
  <si>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</si>
  <si>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</si>
  <si>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</si>
  <si>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</si>
  <si>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</si>
  <si>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</si>
  <si>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</si>
  <si>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</si>
  <si>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</si>
  <si>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</si>
  <si>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</si>
  <si>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</si>
  <si>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</si>
  <si>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</si>
  <si>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</si>
  <si>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</si>
  <si>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</si>
  <si>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</si>
  <si>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</si>
  <si>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</si>
  <si>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</si>
  <si>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</si>
  <si>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</si>
  <si>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</si>
  <si>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</si>
  <si>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</si>
  <si>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</si>
  <si>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</si>
  <si>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</si>
  <si>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</si>
  <si>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</si>
  <si>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</si>
  <si>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</si>
  <si>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</si>
  <si>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</si>
  <si>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</si>
  <si>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</si>
  <si>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</si>
  <si>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</si>
  <si>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</si>
  <si>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</si>
  <si>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</si>
  <si>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</si>
  <si>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</si>
  <si>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</si>
  <si>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</si>
  <si>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</si>
  <si>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</si>
  <si>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</si>
  <si>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</si>
  <si>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</si>
  <si>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</si>
  <si>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</si>
  <si>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</si>
  <si>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</si>
  <si>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</si>
  <si>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</si>
  <si>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</si>
  <si>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</si>
  <si>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</si>
  <si>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</si>
  <si>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</si>
  <si>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</si>
  <si>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</si>
  <si>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</si>
  <si>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</si>
  <si>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</si>
  <si>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</si>
  <si>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</si>
  <si>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</si>
  <si>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</si>
  <si>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</si>
  <si>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</si>
  <si>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</si>
  <si>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</si>
  <si>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</si>
  <si>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</si>
  <si>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</si>
  <si>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</si>
  <si>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</si>
  <si>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</si>
  <si>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</si>
  <si>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</si>
  <si>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</si>
  <si>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</si>
  <si>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</si>
  <si>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</si>
  <si>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</si>
  <si>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</si>
  <si>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</si>
  <si>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</si>
  <si>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</si>
  <si>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</si>
  <si>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</si>
  <si>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</si>
  <si>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</si>
  <si>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</si>
  <si>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</si>
  <si>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</si>
  <si>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</si>
  <si>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</si>
  <si>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</si>
  <si>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</si>
  <si>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</si>
  <si>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</si>
  <si>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</si>
  <si>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</si>
  <si>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</si>
  <si>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</si>
  <si>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</si>
  <si>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</si>
  <si>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</si>
  <si>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</si>
  <si>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</si>
  <si>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</si>
  <si>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</si>
  <si>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</si>
  <si>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</si>
  <si>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</si>
  <si>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</si>
  <si>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</si>
  <si>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</si>
  <si>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</si>
  <si>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</si>
  <si>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</si>
  <si>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</si>
  <si>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</si>
  <si>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</si>
  <si>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</si>
  <si>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</si>
  <si>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</si>
  <si>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</si>
  <si>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</si>
  <si>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</si>
  <si>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</si>
  <si>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</si>
  <si>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</si>
  <si>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</si>
  <si>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</si>
  <si>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</si>
  <si>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</si>
  <si>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</si>
  <si>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</si>
  <si>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</si>
  <si>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</si>
  <si>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</si>
  <si>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</si>
  <si>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</si>
  <si>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</si>
  <si>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</si>
  <si>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</si>
  <si>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</si>
  <si>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</si>
  <si>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</si>
  <si>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</si>
  <si>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</si>
  <si>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</si>
  <si>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</si>
  <si>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</si>
  <si>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</si>
  <si>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</si>
  <si>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</si>
  <si>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</si>
  <si>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</si>
  <si>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</si>
  <si>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</si>
  <si>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</si>
  <si>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</si>
  <si>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</si>
  <si>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</si>
  <si>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</si>
  <si>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</si>
  <si>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</si>
  <si>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</si>
  <si>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</si>
  <si>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</si>
  <si>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</si>
  <si>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</si>
  <si>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</si>
  <si>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</si>
  <si>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</si>
  <si>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</si>
  <si>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</si>
  <si>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</si>
  <si>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</si>
  <si>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</si>
  <si>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</si>
  <si>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</si>
  <si>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</si>
  <si>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</si>
  <si>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</si>
  <si>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</si>
  <si>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</si>
  <si>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</si>
  <si>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</si>
  <si>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</si>
  <si>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</si>
  <si>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</si>
  <si>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</si>
  <si>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</si>
  <si>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</si>
  <si>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</si>
  <si>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</si>
  <si>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</si>
  <si>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</si>
  <si>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</si>
  <si>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</si>
  <si>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</si>
  <si>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</si>
  <si>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</si>
  <si>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</si>
  <si>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</si>
  <si>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</si>
  <si>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</si>
  <si>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</si>
  <si>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</si>
  <si>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</si>
  <si>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</si>
  <si>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</si>
  <si>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</si>
  <si>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</si>
  <si>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</si>
  <si>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</si>
  <si>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</si>
  <si>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</si>
  <si>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</si>
  <si>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</si>
  <si>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</si>
  <si>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</si>
  <si>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</si>
  <si>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</si>
  <si>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</si>
  <si>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</si>
  <si>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</si>
  <si>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</si>
  <si>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</si>
  <si>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</si>
  <si>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</si>
  <si>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</si>
  <si>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</si>
  <si>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</si>
  <si>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</si>
  <si>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</si>
  <si>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</si>
  <si>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</si>
  <si>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</si>
  <si>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</si>
  <si>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</si>
  <si>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</si>
  <si>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</si>
  <si>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</si>
  <si>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</si>
  <si>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</si>
  <si>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</si>
  <si>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</si>
  <si>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</si>
  <si>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</si>
  <si>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</si>
  <si>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</si>
  <si>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</si>
  <si>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</si>
  <si>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</si>
  <si>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</si>
  <si>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</si>
  <si>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</si>
  <si>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</si>
  <si>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</si>
  <si>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</si>
  <si>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</si>
  <si>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</si>
  <si>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</si>
  <si>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</si>
  <si>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</si>
  <si>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</si>
  <si>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</si>
  <si>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</si>
  <si>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</si>
  <si>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</si>
  <si>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</si>
  <si>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</si>
  <si>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</si>
  <si>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</si>
  <si>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</si>
  <si>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</si>
  <si>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</si>
  <si>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</si>
  <si>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</si>
  <si>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</si>
  <si>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</si>
  <si>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</si>
  <si>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</si>
  <si>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</si>
  <si>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</si>
  <si>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</si>
  <si>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</si>
  <si>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</si>
  <si>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</si>
  <si>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</si>
  <si>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</si>
  <si>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</si>
  <si>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</si>
  <si>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</si>
  <si>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</si>
  <si>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</si>
  <si>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</si>
  <si>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</si>
  <si>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</si>
  <si>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</si>
  <si>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</si>
  <si>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</si>
  <si>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</si>
  <si>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</si>
  <si>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</si>
  <si>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</si>
  <si>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</si>
  <si>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</si>
  <si>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</si>
  <si>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</si>
  <si>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</si>
  <si>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</si>
  <si>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</si>
  <si>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</si>
  <si>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</si>
  <si>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</si>
  <si>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</si>
  <si>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</si>
  <si>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</si>
  <si>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</si>
  <si>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</si>
  <si>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</si>
  <si>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</si>
  <si>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</si>
  <si>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</si>
  <si>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</si>
  <si>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</si>
  <si>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</si>
  <si>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</si>
  <si>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</si>
  <si>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</si>
  <si>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</si>
  <si>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</si>
  <si>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</si>
  <si>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</si>
  <si>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</si>
  <si>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</si>
  <si>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</si>
  <si>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</si>
  <si>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</si>
  <si>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</si>
  <si>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</si>
  <si>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</si>
  <si>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</si>
  <si>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</si>
  <si>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</si>
  <si>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</si>
  <si>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</si>
  <si>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</si>
  <si>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</si>
  <si>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</si>
  <si>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</si>
  <si>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</si>
  <si>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</si>
  <si>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</si>
  <si>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</si>
  <si>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</si>
  <si>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</si>
  <si>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</si>
  <si>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</si>
  <si>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</si>
  <si>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</si>
  <si>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</si>
  <si>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</si>
  <si>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</si>
  <si>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</si>
  <si>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</si>
  <si>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</si>
  <si>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</si>
  <si>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</si>
  <si>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</si>
  <si>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</si>
  <si>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</si>
  <si>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</si>
  <si>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</si>
  <si>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</si>
  <si>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</si>
  <si>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</si>
  <si>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</si>
  <si>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</si>
  <si>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</si>
  <si>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</si>
  <si>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</si>
  <si>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</si>
  <si>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</si>
  <si>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</si>
  <si>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</si>
  <si>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</si>
  <si>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</si>
  <si>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</si>
  <si>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</si>
  <si>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</si>
  <si>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</si>
  <si>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</si>
  <si>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</si>
  <si>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</si>
  <si>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</si>
  <si>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</si>
  <si>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</si>
  <si>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</si>
  <si>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</si>
  <si>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</si>
  <si>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</si>
  <si>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</si>
  <si>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</si>
  <si>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</si>
  <si>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</si>
  <si>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</si>
  <si>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</si>
  <si>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</si>
  <si>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</si>
  <si>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</si>
  <si>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</si>
  <si>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</si>
  <si>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</si>
  <si>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</si>
  <si>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</si>
  <si>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</si>
  <si>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</si>
  <si>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</si>
  <si>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</si>
  <si>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</si>
  <si>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</si>
  <si>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</si>
  <si>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</si>
  <si>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</si>
  <si>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</si>
  <si>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</si>
  <si>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</si>
  <si>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</si>
  <si>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</si>
  <si>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</si>
  <si>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</si>
  <si>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</si>
  <si>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</si>
  <si>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</si>
  <si>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</si>
  <si>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</si>
  <si>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</si>
  <si>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</si>
  <si>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</si>
  <si>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</si>
  <si>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</si>
  <si>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</si>
  <si>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</si>
  <si>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</si>
  <si>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</si>
  <si>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</si>
  <si>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</si>
  <si>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</si>
  <si>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</si>
  <si>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</si>
  <si>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</si>
  <si>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</si>
  <si>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</si>
  <si>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</si>
  <si>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</si>
  <si>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</si>
  <si>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</si>
  <si>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</si>
  <si>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</si>
  <si>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</si>
  <si>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</si>
  <si>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</si>
  <si>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</si>
  <si>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</si>
  <si>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</si>
  <si>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</si>
  <si>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</si>
  <si>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</si>
  <si>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</si>
  <si>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</si>
  <si>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</si>
  <si>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</si>
  <si>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</si>
  <si>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</si>
  <si>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</si>
  <si>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</si>
  <si>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</si>
  <si>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</si>
  <si>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</si>
  <si>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</si>
  <si>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</si>
  <si>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</si>
  <si>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</si>
  <si>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</si>
  <si>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</si>
  <si>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</si>
  <si>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</si>
  <si>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</si>
  <si>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</si>
  <si>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</si>
  <si>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</si>
  <si>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</si>
  <si>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</si>
  <si>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</si>
  <si>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</si>
  <si>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</si>
  <si>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</si>
  <si>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</si>
  <si>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</si>
  <si>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</si>
  <si>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</si>
  <si>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</si>
  <si>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</si>
  <si>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</si>
  <si>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</si>
  <si>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</si>
  <si>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</si>
  <si>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</si>
  <si>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</si>
  <si>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</si>
  <si>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</si>
  <si>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</si>
  <si>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</si>
  <si>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</si>
  <si>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</si>
  <si>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</si>
  <si>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</si>
  <si>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</si>
  <si>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</si>
  <si>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</si>
  <si>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</si>
  <si>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</si>
  <si>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</si>
  <si>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</si>
  <si>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</si>
  <si>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</si>
  <si>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</si>
  <si>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</si>
  <si>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</si>
  <si>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</si>
  <si>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</si>
  <si>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</si>
  <si>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</si>
  <si>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</si>
  <si>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</si>
  <si>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</si>
  <si>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</si>
  <si>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</si>
  <si>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</si>
  <si>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</si>
  <si>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</si>
  <si>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</si>
  <si>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</si>
  <si>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</si>
  <si>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</si>
  <si>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</si>
  <si>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</si>
  <si>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</si>
  <si>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</si>
  <si>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</si>
  <si>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</si>
  <si>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</si>
  <si>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</si>
  <si>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</si>
  <si>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</si>
  <si>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</si>
  <si>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</si>
  <si>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</si>
  <si>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</si>
  <si>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</si>
  <si>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</si>
  <si>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</si>
  <si>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</si>
  <si>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</si>
  <si>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</si>
  <si>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</si>
  <si>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</si>
  <si>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</si>
  <si>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</si>
  <si>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</si>
  <si>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</si>
  <si>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</si>
  <si>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</si>
  <si>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</si>
  <si>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</si>
  <si>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</si>
  <si>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</si>
  <si>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</si>
  <si>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</si>
  <si>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</si>
  <si>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</si>
  <si>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</si>
  <si>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</si>
  <si>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</si>
  <si>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</si>
  <si>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</si>
  <si>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</si>
  <si>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</si>
  <si>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</si>
  <si>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</si>
  <si>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</si>
  <si>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</si>
  <si>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</si>
  <si>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</si>
  <si>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</si>
  <si>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</si>
  <si>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</si>
  <si>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</si>
  <si>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</si>
  <si>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</si>
  <si>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</si>
  <si>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</si>
  <si>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</si>
  <si>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</si>
  <si>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</si>
  <si>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</si>
  <si>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</si>
  <si>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</si>
  <si>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</si>
  <si>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</si>
  <si>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</si>
  <si>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</si>
  <si>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</si>
  <si>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</si>
  <si>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</si>
  <si>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</si>
  <si>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</si>
  <si>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</si>
  <si>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</si>
  <si>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</si>
  <si>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</si>
  <si>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</si>
  <si>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</si>
  <si>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</si>
  <si>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</si>
  <si>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</si>
  <si>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</si>
  <si>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</si>
  <si>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</si>
  <si>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</si>
  <si>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</si>
  <si>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</si>
  <si>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</si>
  <si>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</si>
  <si>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</si>
  <si>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</si>
  <si>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</si>
  <si>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</si>
  <si>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</si>
  <si>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</si>
  <si>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</si>
  <si>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</si>
  <si>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</si>
  <si>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</si>
  <si>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</si>
  <si>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</si>
  <si>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</si>
  <si>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</si>
  <si>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</si>
  <si>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</si>
  <si>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</si>
  <si>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</si>
  <si>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</si>
  <si>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</si>
  <si>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</si>
  <si>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</si>
  <si>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</si>
  <si>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</si>
  <si>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</si>
  <si>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</si>
  <si>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</si>
  <si>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</si>
  <si>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</si>
  <si>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</si>
  <si>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</si>
  <si>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</si>
  <si>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</si>
  <si>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</si>
  <si>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</si>
  <si>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</si>
  <si>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</si>
  <si>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</si>
  <si>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</si>
  <si>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</si>
  <si>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</si>
  <si>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</si>
  <si>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</si>
  <si>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</si>
  <si>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</si>
  <si>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</si>
  <si>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</si>
  <si>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</si>
  <si>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</si>
  <si>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</si>
  <si>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</si>
  <si>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</si>
  <si>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</si>
  <si>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</si>
  <si>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</si>
  <si>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</si>
  <si>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</si>
  <si>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</si>
  <si>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</si>
  <si>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</si>
  <si>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</si>
  <si>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</si>
  <si>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</si>
  <si>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</si>
  <si>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Precisa, Ver</t>
  </si>
  <si>
    <t>Traba el Arma</t>
  </si>
  <si>
    <t>Compleja, Traba el arma, Ver</t>
  </si>
  <si>
    <t>Traba el arma</t>
  </si>
  <si>
    <t>Presa (Fuerza 7),Ver</t>
  </si>
  <si>
    <t>Compleja, 2 manos, Ver</t>
  </si>
  <si>
    <t>A 2  manos</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</si>
  <si>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</si>
  <si>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</si>
  <si>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</si>
  <si>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</si>
  <si>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</si>
  <si>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Como en Intermedio, pero obtiene un +75 RM contra Ilusiónes.</t>
  </si>
  <si>
    <t>Como avanzado, pero obtiene un +100 RM contra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</si>
  <si>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</si>
  <si>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</si>
  <si>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</si>
  <si>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</si>
  <si>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</si>
  <si>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</si>
  <si>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</si>
  <si>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</si>
  <si>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</si>
  <si>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</si>
  <si>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</si>
  <si>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</si>
  <si>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</si>
  <si>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</si>
  <si>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</si>
  <si>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</si>
  <si>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</si>
  <si>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</si>
  <si>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</si>
  <si>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</si>
  <si>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</si>
  <si>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</si>
  <si>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</si>
  <si>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</si>
  <si>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</si>
  <si>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</si>
  <si>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</si>
  <si>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</si>
  <si>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</si>
  <si>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</si>
  <si>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</si>
  <si>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</si>
  <si>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</si>
  <si>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</si>
  <si>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</si>
  <si>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</si>
  <si>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</si>
  <si>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</si>
  <si>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</si>
  <si>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</si>
  <si>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</si>
  <si>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</si>
  <si>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</si>
  <si>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</si>
  <si>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</si>
  <si>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</si>
  <si>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</si>
  <si>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</si>
  <si>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</si>
  <si>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</si>
  <si>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</si>
  <si>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</si>
  <si>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</si>
  <si>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</si>
  <si>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</si>
  <si>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</si>
  <si>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</si>
  <si>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</si>
  <si>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</si>
  <si>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</si>
  <si>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</si>
  <si>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</si>
  <si>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</si>
  <si>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</si>
  <si>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</si>
  <si>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</si>
  <si>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</si>
  <si>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</si>
  <si>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</si>
  <si>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</si>
  <si>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</si>
  <si>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</si>
  <si>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</si>
  <si>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</si>
  <si>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</si>
  <si>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</si>
  <si>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</si>
  <si>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</si>
  <si>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</si>
  <si>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</si>
  <si>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</si>
  <si>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</si>
  <si>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</si>
  <si>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</si>
  <si>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</si>
  <si>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</si>
  <si>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</si>
  <si>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</si>
  <si>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</si>
  <si>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</si>
  <si>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</si>
  <si>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</si>
  <si>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</si>
  <si>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</si>
  <si>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</si>
  <si>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</si>
  <si>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</si>
  <si>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</si>
  <si>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</si>
  <si>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</si>
  <si>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</si>
  <si>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</si>
  <si>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</si>
  <si>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</si>
  <si>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</si>
  <si>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</si>
  <si>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</si>
  <si>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</si>
  <si>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</si>
  <si>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</si>
  <si>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</si>
  <si>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</si>
  <si>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</si>
  <si>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</si>
  <si>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</si>
  <si>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</si>
  <si>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</si>
  <si>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</si>
  <si>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</si>
  <si>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</si>
  <si>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</si>
  <si>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</si>
  <si>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</si>
  <si>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</si>
  <si>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</si>
  <si>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</si>
  <si>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</si>
  <si>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</si>
  <si>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</si>
  <si>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</si>
  <si>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</si>
  <si>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</si>
  <si>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</si>
  <si>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</si>
  <si>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</si>
  <si>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</si>
  <si>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</si>
  <si>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</si>
  <si>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</si>
  <si>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</si>
  <si>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</si>
  <si>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</si>
  <si>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</si>
  <si>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</si>
  <si>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</si>
  <si>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</si>
  <si>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</si>
  <si>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</si>
  <si>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</si>
  <si>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</si>
  <si>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</si>
  <si>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</si>
  <si>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</si>
  <si>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</si>
  <si>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</si>
  <si>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</si>
  <si>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</si>
  <si>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</si>
  <si>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</si>
  <si>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</si>
  <si>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</si>
  <si>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</si>
  <si>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</si>
  <si>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</si>
  <si>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</si>
  <si>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</si>
  <si>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</si>
  <si>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</si>
  <si>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</si>
  <si>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</si>
  <si>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</si>
  <si>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</si>
  <si>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</si>
  <si>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</si>
  <si>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</si>
  <si>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</si>
  <si>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</si>
  <si>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</si>
  <si>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</si>
  <si>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</si>
  <si>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</si>
  <si>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</si>
  <si>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</si>
  <si>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</si>
  <si>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</si>
  <si>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</si>
  <si>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</si>
  <si>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</si>
  <si>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</si>
  <si>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</si>
  <si>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</si>
  <si>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</si>
  <si>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</si>
  <si>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</si>
  <si>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</si>
  <si>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</si>
  <si>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</si>
  <si>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</si>
  <si>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</si>
  <si>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</si>
  <si>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</si>
  <si>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</si>
  <si>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</si>
  <si>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</si>
  <si>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</si>
  <si>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</si>
  <si>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</si>
  <si>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</si>
  <si>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</si>
  <si>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</si>
  <si>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</si>
  <si>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</si>
  <si>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</si>
  <si>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</si>
  <si>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</si>
  <si>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</si>
  <si>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</si>
  <si>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</si>
  <si>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</si>
  <si>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</si>
  <si>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</si>
  <si>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</si>
  <si>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</si>
  <si>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</si>
  <si>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</si>
  <si>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</si>
  <si>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</si>
  <si>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</si>
  <si>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</si>
  <si>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</si>
  <si>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</si>
  <si>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</si>
  <si>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</si>
  <si>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</si>
  <si>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</si>
  <si>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</si>
  <si>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</si>
  <si>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</si>
  <si>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</si>
  <si>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</si>
  <si>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</si>
  <si>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</si>
  <si>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</si>
  <si>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</si>
  <si>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</si>
  <si>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</si>
  <si>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</si>
  <si>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</si>
  <si>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</si>
  <si>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</si>
  <si>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</si>
  <si>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</si>
  <si>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</si>
  <si>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</si>
  <si>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</si>
  <si>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</si>
  <si>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</si>
  <si>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</si>
  <si>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</si>
  <si>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</si>
  <si>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</si>
  <si>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</si>
  <si>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</si>
  <si>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</si>
  <si>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</si>
  <si>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</si>
  <si>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</si>
  <si>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</si>
  <si>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</si>
  <si>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</si>
  <si>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</si>
  <si>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</si>
  <si>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</si>
  <si>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</si>
  <si>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</si>
  <si>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</si>
  <si>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</si>
  <si>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</si>
  <si>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</si>
  <si>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</si>
  <si>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</si>
  <si>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</si>
  <si>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</si>
  <si>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</si>
  <si>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</si>
  <si>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</si>
  <si>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</si>
  <si>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</si>
  <si>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</si>
  <si>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</si>
  <si>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</si>
  <si>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</si>
  <si>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</si>
  <si>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</si>
  <si>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</si>
  <si>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</si>
  <si>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</si>
  <si>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</si>
  <si>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</si>
  <si>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</si>
  <si>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</si>
  <si>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</si>
  <si>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</si>
  <si>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</si>
  <si>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</si>
  <si>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</si>
  <si>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</si>
  <si>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</si>
  <si>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</si>
  <si>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</si>
  <si>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</si>
  <si>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</si>
  <si>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</si>
  <si>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</si>
  <si>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</si>
  <si>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</si>
  <si>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</si>
  <si>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</si>
  <si>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</si>
  <si>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</si>
  <si>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</si>
  <si>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</si>
  <si>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</si>
  <si>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</si>
  <si>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</si>
  <si>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</si>
  <si>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</si>
  <si>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</si>
  <si>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</si>
  <si>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</si>
  <si>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</si>
  <si>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</si>
  <si>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</si>
  <si>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</si>
  <si>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</si>
  <si>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</si>
  <si>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</si>
  <si>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</si>
  <si>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</si>
  <si>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</si>
  <si>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</si>
  <si>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</si>
  <si>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</si>
  <si>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</si>
  <si>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</si>
  <si>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</si>
  <si>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</si>
  <si>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</si>
  <si>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</si>
  <si>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</si>
  <si>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</si>
  <si>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</si>
  <si>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</si>
  <si>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</si>
  <si>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</si>
  <si>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</si>
  <si>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</si>
  <si>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</si>
  <si>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</si>
  <si>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</si>
  <si>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</si>
  <si>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</si>
  <si>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</si>
  <si>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</si>
  <si>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</si>
  <si>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</si>
  <si>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</si>
  <si>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</si>
  <si>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</si>
  <si>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</si>
  <si>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</si>
  <si>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</si>
  <si>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</si>
  <si>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</si>
  <si>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</si>
  <si>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</si>
  <si>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</si>
  <si>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</si>
  <si>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</si>
  <si>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</si>
  <si>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</si>
  <si>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</si>
  <si>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</si>
  <si>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</si>
  <si>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</si>
  <si>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</si>
  <si>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</si>
  <si>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</si>
  <si>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</si>
  <si>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</si>
  <si>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</si>
  <si>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</si>
  <si>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</si>
  <si>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</si>
  <si>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</si>
  <si>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</si>
  <si>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</si>
  <si>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</si>
  <si>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</si>
  <si>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</si>
  <si>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</si>
  <si>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</si>
  <si>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</si>
  <si>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</si>
  <si>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</si>
  <si>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</si>
  <si>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</si>
  <si>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</si>
  <si>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</si>
  <si>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</si>
  <si>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</si>
  <si>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</si>
  <si>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</si>
  <si>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</si>
  <si>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</si>
  <si>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</si>
  <si>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</si>
  <si>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</si>
  <si>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</si>
  <si>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</si>
  <si>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</si>
  <si>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</si>
  <si>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</si>
  <si>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</si>
  <si>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</si>
  <si>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</si>
  <si>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</si>
  <si>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</si>
  <si>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</si>
  <si>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</si>
  <si>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</si>
  <si>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</si>
  <si>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</si>
  <si>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</si>
  <si>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</si>
  <si>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</si>
  <si>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</si>
  <si>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</si>
  <si>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</si>
  <si>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</si>
  <si>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</si>
  <si>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</si>
  <si>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</si>
  <si>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</si>
  <si>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</si>
  <si>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</si>
  <si>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</si>
  <si>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</si>
  <si>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</si>
  <si>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</si>
  <si>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</si>
  <si>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</si>
  <si>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</si>
  <si>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</si>
  <si>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</si>
  <si>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</si>
  <si>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</si>
  <si>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</si>
  <si>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</si>
  <si>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</si>
  <si>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</si>
  <si>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</si>
  <si>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</si>
  <si>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</si>
  <si>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</si>
  <si>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</si>
  <si>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</si>
  <si>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</si>
  <si>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</si>
  <si>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</si>
  <si>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</si>
  <si>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</si>
  <si>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</si>
  <si>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</si>
  <si>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</si>
  <si>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</si>
  <si>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</si>
  <si>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</si>
  <si>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</si>
  <si>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</si>
  <si>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</si>
  <si>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</si>
  <si>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</si>
  <si>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</si>
  <si>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</si>
  <si>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</si>
  <si>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</si>
  <si>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</si>
  <si>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</si>
  <si>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</si>
  <si>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</si>
  <si>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</si>
  <si>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</si>
  <si>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</si>
  <si>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</si>
  <si>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</si>
  <si>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</si>
  <si>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</si>
  <si>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</si>
  <si>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</si>
  <si>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</si>
  <si>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</si>
  <si>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</si>
  <si>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</si>
  <si>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</si>
  <si>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</si>
  <si>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</si>
  <si>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</si>
  <si>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</si>
  <si>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</si>
  <si>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</si>
  <si>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</si>
  <si>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</si>
  <si>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</si>
  <si>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</si>
  <si>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</si>
  <si>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</si>
  <si>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</si>
  <si>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</si>
  <si>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</si>
  <si>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</si>
  <si>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</si>
  <si>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</si>
  <si>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</si>
  <si>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</si>
  <si>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</si>
  <si>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</si>
  <si>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</si>
  <si>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</si>
  <si>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</si>
  <si>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</si>
  <si>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</si>
  <si>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</si>
  <si>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</si>
  <si>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</si>
  <si>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</si>
  <si>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</si>
  <si>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</si>
  <si>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</si>
  <si>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</si>
  <si>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</si>
  <si>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</si>
  <si>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</si>
  <si>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</si>
  <si>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</si>
  <si>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</si>
  <si>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</si>
  <si>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</si>
  <si>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</si>
  <si>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</si>
  <si>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</si>
  <si>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</si>
  <si>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</si>
  <si>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</si>
  <si>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</si>
  <si>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</si>
  <si>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</si>
  <si>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</si>
  <si>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</si>
  <si>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</si>
  <si>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</si>
  <si>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</si>
  <si>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</si>
  <si>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</si>
  <si>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</si>
  <si>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</si>
  <si>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</si>
  <si>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</si>
  <si>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</si>
  <si>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</si>
  <si>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</si>
  <si>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</si>
  <si>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</si>
  <si>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</si>
  <si>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</si>
  <si>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</si>
  <si>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</si>
  <si>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</si>
  <si>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</si>
  <si>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</si>
  <si>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</si>
  <si>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</si>
  <si>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</si>
  <si>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</si>
  <si>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</si>
  <si>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</si>
  <si>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</si>
  <si>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</si>
  <si>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</si>
  <si>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</si>
  <si>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</si>
  <si>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</si>
  <si>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</si>
  <si>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</si>
  <si>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</si>
  <si>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</si>
  <si>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</si>
  <si>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</si>
  <si>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</si>
  <si>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</si>
  <si>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</si>
  <si>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</si>
  <si>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</si>
  <si>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</si>
  <si>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</si>
  <si>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</si>
  <si>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</si>
  <si>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</si>
  <si>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</si>
  <si>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</si>
  <si>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</si>
  <si>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</si>
  <si>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</si>
  <si>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</si>
  <si>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</si>
  <si>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</si>
  <si>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</si>
  <si>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</si>
  <si>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</si>
  <si>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</si>
  <si>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</si>
  <si>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</si>
  <si>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</si>
  <si>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</si>
  <si>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</si>
  <si>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</si>
  <si>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</si>
  <si>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</si>
  <si>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</si>
  <si>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</si>
  <si>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</si>
  <si>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</si>
  <si>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</si>
  <si>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</si>
  <si>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</si>
  <si>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</si>
  <si>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</si>
  <si>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</si>
  <si>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</si>
  <si>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</si>
  <si>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</si>
  <si>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</si>
  <si>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</si>
  <si>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</si>
  <si>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</si>
  <si>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</si>
  <si>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</si>
  <si>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</si>
  <si>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</si>
  <si>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</si>
  <si>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</si>
  <si>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</si>
  <si>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</si>
  <si>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</si>
  <si>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</si>
  <si>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</si>
  <si>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</si>
  <si>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</si>
  <si>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</si>
  <si>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</si>
  <si>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</si>
  <si>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</si>
  <si>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</si>
  <si>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</si>
  <si>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</si>
  <si>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</si>
  <si>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</si>
  <si>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</si>
  <si>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</si>
  <si>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</si>
  <si>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</si>
  <si>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</si>
  <si>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</si>
  <si>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</si>
  <si>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</si>
  <si>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</si>
  <si>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</si>
  <si>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</si>
  <si>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</si>
  <si>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</si>
  <si>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</si>
  <si>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</si>
  <si>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</si>
  <si>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</si>
  <si>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</si>
  <si>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</si>
  <si>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</si>
  <si>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</si>
  <si>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</si>
  <si>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</si>
  <si>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</si>
  <si>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</si>
  <si>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</si>
  <si>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</si>
  <si>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</si>
  <si>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</si>
  <si>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</si>
  <si>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</si>
  <si>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</si>
  <si>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</si>
  <si>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</si>
  <si>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</si>
  <si>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</si>
  <si>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</si>
  <si>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</si>
  <si>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</si>
  <si>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</si>
  <si>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</si>
  <si>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</si>
  <si>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</si>
  <si>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</si>
  <si>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</si>
  <si>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</si>
  <si>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</si>
  <si>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</si>
  <si>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</si>
  <si>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</si>
  <si>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</si>
  <si>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</si>
  <si>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</si>
  <si>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</si>
  <si>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</si>
  <si>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</si>
  <si>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</si>
  <si>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</si>
  <si>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</si>
  <si>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</si>
  <si>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</si>
  <si>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</si>
  <si>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</si>
  <si>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</si>
  <si>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</si>
  <si>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</si>
  <si>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</si>
  <si>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</si>
  <si>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</si>
  <si>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</si>
  <si>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</si>
  <si>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</si>
  <si>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</si>
  <si>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</si>
  <si>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</si>
  <si>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</si>
  <si>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</si>
  <si>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</si>
  <si>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</si>
  <si>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</si>
  <si>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</si>
  <si>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</si>
  <si>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</si>
  <si>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</si>
  <si>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</si>
  <si>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</si>
  <si>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</si>
  <si>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</si>
  <si>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</si>
  <si>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</si>
  <si>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</si>
  <si>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</si>
  <si>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</si>
  <si>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</si>
  <si>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</si>
  <si>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</si>
  <si>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</si>
  <si>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</si>
  <si>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</si>
  <si>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</si>
  <si>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</si>
  <si>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</si>
  <si>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</si>
  <si>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</si>
  <si>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</si>
  <si>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</si>
  <si>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</si>
  <si>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</si>
  <si>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</si>
  <si>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</si>
  <si>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</si>
  <si>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</si>
  <si>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</si>
  <si>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</si>
  <si>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</si>
  <si>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</si>
  <si>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</si>
  <si>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</si>
  <si>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</si>
  <si>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</si>
  <si>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</si>
  <si>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</si>
  <si>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</si>
  <si>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</si>
  <si>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</si>
  <si>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</si>
  <si>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</si>
  <si>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</si>
  <si>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</si>
  <si>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</si>
  <si>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</si>
  <si>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</si>
  <si>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</si>
  <si>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</si>
  <si>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</si>
  <si>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</si>
  <si>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</si>
  <si>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</si>
  <si>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</si>
  <si>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</si>
  <si>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</si>
  <si>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</si>
  <si>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</si>
  <si>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</si>
  <si>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</si>
  <si>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</si>
  <si>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</si>
  <si>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</si>
  <si>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</si>
  <si>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</si>
  <si>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</si>
  <si>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</si>
  <si>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</si>
  <si>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</si>
  <si>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</si>
  <si>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</si>
  <si>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</si>
  <si>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</si>
  <si>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</si>
  <si>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</si>
  <si>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</si>
  <si>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</si>
  <si>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</si>
  <si>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</si>
  <si>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</si>
  <si>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</si>
  <si>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</si>
  <si>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</si>
  <si>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</si>
  <si>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</si>
  <si>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</si>
  <si>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</si>
  <si>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</si>
  <si>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</si>
  <si>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</si>
  <si>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</si>
  <si>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</si>
  <si>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</si>
  <si>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</si>
  <si>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</si>
  <si>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</si>
  <si>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</si>
  <si>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</si>
  <si>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</si>
  <si>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</si>
  <si>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</si>
  <si>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</si>
  <si>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</si>
  <si>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</si>
  <si>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</si>
  <si>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</si>
  <si>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</si>
  <si>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</si>
  <si>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</si>
  <si>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</si>
  <si>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</si>
  <si>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</si>
  <si>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</si>
  <si>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</si>
  <si>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</si>
  <si>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</si>
  <si>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</si>
  <si>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</si>
  <si>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</si>
  <si>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</si>
  <si>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</si>
  <si>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</si>
  <si>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</si>
  <si>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</si>
  <si>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</si>
  <si>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</si>
  <si>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</si>
  <si>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</si>
  <si>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</si>
  <si>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</si>
  <si>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</si>
  <si>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</si>
  <si>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</si>
  <si>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</si>
  <si>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</si>
  <si>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</si>
  <si>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</si>
  <si>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</si>
  <si>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</si>
  <si>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</si>
  <si>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</si>
  <si>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</si>
  <si>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</si>
  <si>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</si>
  <si>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</si>
  <si>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</si>
  <si>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</si>
  <si>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</si>
  <si>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</si>
  <si>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</si>
  <si>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</si>
  <si>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</si>
  <si>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</si>
  <si>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</si>
  <si>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</si>
  <si>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</si>
  <si>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</si>
  <si>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</si>
  <si>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</si>
  <si>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</si>
  <si>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</si>
  <si>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</si>
  <si>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</si>
  <si>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</si>
  <si>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</si>
  <si>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</si>
  <si>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</si>
  <si>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</si>
  <si>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</si>
  <si>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</si>
  <si>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</si>
  <si>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</si>
  <si>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</si>
  <si>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</si>
  <si>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</si>
  <si>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</si>
  <si>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</si>
  <si>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</si>
  <si>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</si>
  <si>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</si>
  <si>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</si>
  <si>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</si>
  <si>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</si>
  <si>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</si>
  <si>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</si>
  <si>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</si>
  <si>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</si>
  <si>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</si>
  <si>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</si>
  <si>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</si>
  <si>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</si>
  <si>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</si>
  <si>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</si>
  <si>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</si>
  <si>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</si>
  <si>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</si>
  <si>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</si>
  <si>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</si>
  <si>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</si>
  <si>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</si>
  <si>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</si>
  <si>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</si>
  <si>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</si>
  <si>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</si>
  <si>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</si>
  <si>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</si>
  <si>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</si>
  <si>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</si>
  <si>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</si>
  <si>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</si>
  <si>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</si>
  <si>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</si>
  <si>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</si>
  <si>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</si>
  <si>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</si>
  <si>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</si>
  <si>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</si>
  <si>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</si>
  <si>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</si>
  <si>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</si>
  <si>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</si>
  <si>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</si>
  <si>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</si>
  <si>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</si>
  <si>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</si>
  <si>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</si>
  <si>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</si>
  <si>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</si>
  <si>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</si>
  <si>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</si>
  <si>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</si>
  <si>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</si>
  <si>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</si>
  <si>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</si>
  <si>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</si>
  <si>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</si>
  <si>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</si>
  <si>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</si>
  <si>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</si>
  <si>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</si>
  <si>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</si>
  <si>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</si>
  <si>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</si>
  <si>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</si>
  <si>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</si>
  <si>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</si>
  <si>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</si>
  <si>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</si>
  <si>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</si>
  <si>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</si>
  <si>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</si>
  <si>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</si>
  <si>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</si>
  <si>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</si>
  <si>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</si>
  <si>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</si>
  <si>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</si>
  <si>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</si>
  <si>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</si>
  <si>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</si>
  <si>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</si>
  <si>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</si>
  <si>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</si>
  <si>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</si>
  <si>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</si>
  <si>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</si>
  <si>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</si>
  <si>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</si>
  <si>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</si>
  <si>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</si>
  <si>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</si>
  <si>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</si>
  <si>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</si>
  <si>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</si>
  <si>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</si>
  <si>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</si>
  <si>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</si>
  <si>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</si>
  <si>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</si>
  <si>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</si>
  <si>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</si>
  <si>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</si>
  <si>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</si>
  <si>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</si>
  <si>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</si>
  <si>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</si>
  <si>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</si>
  <si>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</si>
  <si>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</si>
  <si>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</si>
  <si>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</si>
  <si>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</si>
  <si>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</si>
  <si>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</si>
  <si>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</si>
  <si>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</si>
  <si>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</si>
  <si>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</si>
  <si>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</si>
  <si>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</si>
  <si>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</si>
  <si>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</si>
  <si>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</si>
  <si>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</si>
  <si>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</si>
  <si>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</si>
  <si>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</si>
  <si>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</si>
  <si>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</si>
  <si>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</si>
  <si>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</si>
  <si>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</si>
  <si>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</si>
  <si>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</si>
  <si>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</si>
  <si>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</si>
  <si>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</si>
  <si>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</si>
  <si>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</si>
  <si>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</si>
  <si>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</si>
  <si>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</si>
  <si>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</si>
  <si>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</si>
  <si>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</si>
  <si>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</si>
  <si>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</si>
  <si>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</si>
  <si>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</si>
  <si>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</si>
  <si>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</si>
  <si>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</si>
  <si>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</si>
  <si>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</si>
  <si>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</si>
  <si>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</si>
  <si>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</si>
  <si>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</si>
  <si>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</si>
  <si>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</si>
  <si>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</si>
  <si>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</si>
  <si>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</si>
  <si>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</si>
  <si>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</si>
  <si>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</si>
  <si>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</si>
  <si>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</si>
  <si>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</si>
  <si>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</si>
  <si>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</si>
  <si>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</si>
  <si>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</si>
  <si>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</si>
  <si>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</si>
  <si>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</si>
  <si>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</si>
  <si>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</si>
  <si>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</si>
  <si>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</si>
  <si>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</si>
  <si>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</si>
  <si>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</si>
  <si>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</si>
  <si>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</si>
  <si>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</si>
  <si>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</si>
  <si>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</si>
  <si>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</si>
  <si>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</si>
  <si>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</si>
  <si>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</si>
  <si>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</si>
  <si>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</si>
  <si>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</si>
  <si>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</si>
  <si>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</si>
  <si>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</si>
  <si>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</si>
  <si>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</si>
  <si>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</si>
  <si>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</si>
  <si>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</si>
  <si>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</si>
  <si>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</si>
  <si>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</si>
  <si>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</si>
  <si>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</si>
  <si>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</si>
  <si>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</si>
  <si>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</si>
  <si>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</si>
  <si>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</si>
  <si>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</si>
  <si>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</si>
  <si>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</si>
  <si>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</si>
  <si>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</si>
  <si>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</si>
  <si>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</si>
  <si>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</si>
  <si>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</si>
  <si>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</si>
  <si>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</si>
  <si>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</si>
  <si>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</si>
  <si>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</si>
  <si>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</si>
  <si>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</si>
  <si>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</si>
  <si>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</si>
  <si>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</si>
  <si>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</si>
  <si>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</si>
  <si>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</si>
  <si>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</si>
  <si>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</si>
  <si>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</si>
  <si>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</si>
  <si>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</si>
  <si>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</si>
  <si>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</si>
  <si>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</si>
  <si>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</si>
  <si>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</si>
  <si>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</si>
  <si>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</si>
  <si>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</si>
  <si>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</si>
  <si>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</si>
  <si>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</si>
  <si>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</si>
  <si>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</si>
  <si>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</si>
  <si>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</si>
  <si>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</si>
  <si>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</si>
  <si>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</si>
  <si>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</si>
  <si>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</si>
  <si>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</si>
  <si>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</si>
  <si>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</si>
  <si>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</si>
  <si>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</si>
  <si>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</si>
  <si>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</si>
  <si>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</si>
  <si>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</si>
  <si>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</si>
  <si>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</si>
  <si>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</si>
  <si>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</si>
  <si>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</si>
  <si>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</si>
  <si>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</si>
  <si>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</si>
  <si>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</si>
  <si>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</si>
  <si>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</si>
  <si>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</si>
  <si>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</si>
  <si>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</si>
  <si>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</si>
  <si>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</si>
  <si>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</si>
  <si>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</si>
  <si>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</si>
  <si>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</si>
  <si>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</si>
  <si>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</si>
  <si>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</si>
  <si>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</si>
  <si>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</si>
  <si>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</si>
  <si>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</si>
  <si>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</si>
  <si>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</si>
  <si>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</si>
  <si>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</si>
  <si>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</si>
  <si>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</si>
  <si>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</si>
  <si>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</si>
  <si>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</si>
  <si>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</si>
  <si>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</si>
  <si>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</si>
  <si>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</si>
  <si>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</si>
  <si>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</si>
  <si>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</si>
  <si>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</si>
  <si>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</si>
  <si>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</si>
  <si>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</si>
  <si>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</si>
  <si>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</si>
  <si>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</si>
  <si>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</si>
  <si>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</si>
  <si>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</si>
  <si>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</si>
  <si>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</si>
  <si>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</si>
  <si>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</si>
  <si>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</si>
  <si>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</si>
  <si>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</si>
  <si>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</si>
  <si>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</si>
  <si>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</si>
  <si>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</si>
  <si>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</si>
  <si>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</si>
  <si>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</si>
  <si>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</si>
  <si>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</si>
  <si>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</si>
  <si>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</si>
  <si>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</si>
  <si>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</si>
  <si>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</si>
  <si>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</si>
  <si>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</si>
  <si>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</si>
  <si>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</si>
  <si>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</si>
  <si>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</si>
  <si>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</si>
  <si>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</si>
  <si>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</si>
  <si>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</si>
  <si>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</si>
  <si>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</si>
  <si>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</si>
  <si>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</si>
  <si>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</si>
  <si>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</si>
  <si>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</si>
  <si>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</si>
  <si>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</si>
  <si>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</si>
  <si>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</si>
  <si>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</si>
  <si>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</si>
  <si>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</si>
  <si>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</si>
  <si>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</si>
  <si>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</si>
  <si>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</si>
  <si>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</si>
  <si>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</si>
  <si>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</si>
  <si>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</si>
  <si>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</si>
  <si>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</si>
  <si>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</si>
  <si>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</si>
  <si>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</si>
  <si>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</si>
  <si>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</si>
  <si>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</si>
  <si>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</si>
  <si>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</si>
  <si>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</si>
  <si>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</si>
  <si>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</si>
  <si>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</si>
  <si>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</si>
  <si>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</si>
  <si>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</si>
  <si>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</si>
  <si>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</si>
  <si>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</si>
  <si>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</si>
  <si>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</si>
  <si>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</si>
  <si>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</si>
  <si>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</si>
  <si>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</si>
  <si>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</si>
  <si>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</si>
  <si>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</si>
  <si>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</si>
  <si>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</si>
  <si>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</si>
  <si>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</si>
  <si>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</si>
  <si>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</si>
  <si>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</si>
  <si>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</si>
  <si>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</si>
  <si>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</si>
  <si>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</si>
  <si>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</si>
  <si>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</si>
  <si>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</si>
  <si>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</si>
  <si>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</si>
  <si>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</si>
  <si>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</si>
  <si>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</si>
  <si>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</si>
  <si>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</si>
  <si>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</si>
  <si>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</si>
  <si>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</si>
  <si>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</si>
  <si>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</si>
  <si>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</si>
  <si>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</si>
  <si>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</si>
  <si>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</si>
  <si>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</si>
  <si>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</si>
  <si>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</si>
  <si>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</si>
  <si>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</si>
  <si>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</si>
  <si>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</si>
  <si>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</si>
  <si>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</si>
  <si>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</si>
  <si>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</si>
  <si>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</si>
  <si>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</si>
  <si>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</si>
  <si>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</si>
  <si>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</si>
  <si>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</si>
  <si>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</si>
  <si>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</si>
  <si>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</si>
  <si>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</si>
  <si>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</si>
  <si>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</si>
  <si>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</si>
  <si>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</si>
  <si>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</si>
  <si>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</si>
  <si>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</si>
  <si>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</si>
  <si>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</si>
  <si>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</si>
  <si>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</si>
  <si>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</si>
  <si>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</si>
  <si>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</si>
  <si>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</si>
  <si>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</si>
  <si>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</si>
  <si>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</si>
  <si>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</si>
  <si>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</si>
  <si>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</si>
  <si>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</si>
  <si>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</si>
  <si>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</si>
  <si>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</si>
  <si>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</si>
  <si>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</si>
  <si>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</si>
  <si>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</si>
  <si>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</si>
  <si>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</si>
  <si>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</si>
  <si>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</si>
  <si>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</si>
  <si>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</si>
  <si>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</si>
  <si>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</si>
  <si>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</si>
  <si>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</si>
  <si>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</si>
  <si>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</si>
  <si>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</si>
  <si>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</si>
  <si>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</si>
  <si>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</si>
  <si>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</si>
  <si>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</si>
  <si>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</si>
  <si>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</si>
  <si>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</si>
  <si>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</si>
  <si>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</si>
  <si>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</si>
  <si>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</si>
  <si>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</si>
  <si>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</si>
  <si>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</si>
  <si>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</si>
  <si>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</si>
  <si>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</si>
  <si>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</si>
  <si>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</si>
  <si>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</si>
  <si>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</si>
  <si>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</si>
  <si>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</si>
  <si>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</si>
  <si>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</si>
  <si>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</si>
  <si>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</si>
  <si>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</si>
  <si>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</si>
  <si>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</si>
  <si>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</si>
  <si>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</si>
  <si>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</si>
  <si>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</si>
  <si>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</si>
  <si>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</si>
  <si>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</si>
  <si>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</si>
  <si>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</si>
  <si>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</si>
  <si>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</si>
  <si>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</si>
  <si>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</si>
  <si>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</si>
  <si>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</si>
  <si>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</si>
  <si>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</si>
  <si>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</si>
  <si>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</si>
  <si>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</si>
  <si>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</si>
  <si>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</si>
  <si>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</si>
  <si>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</si>
  <si>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</si>
  <si>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</si>
  <si>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</si>
  <si>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</si>
  <si>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</si>
  <si>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</si>
  <si>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</si>
  <si>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</si>
  <si>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</si>
  <si>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</si>
  <si>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</si>
  <si>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</si>
  <si>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</si>
  <si>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</si>
  <si>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</si>
  <si>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</si>
  <si>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</si>
  <si>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</si>
  <si>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</si>
  <si>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</si>
  <si>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</si>
  <si>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</si>
  <si>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</si>
  <si>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</si>
  <si>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Lanzable (60/XXXm), Ver</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</si>
  <si>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</si>
  <si>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</si>
  <si>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</si>
  <si>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</si>
  <si>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</si>
  <si>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</si>
  <si>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</si>
  <si>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</si>
  <si>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</si>
  <si>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</si>
  <si>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</si>
  <si>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</si>
  <si>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</si>
  <si>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</si>
  <si>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</si>
  <si>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</si>
  <si>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</si>
  <si>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</si>
  <si>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</si>
  <si>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</si>
  <si>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</si>
  <si>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</si>
  <si>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</si>
  <si>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</si>
  <si>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</si>
  <si>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</si>
  <si>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</si>
  <si>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</si>
  <si>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</si>
  <si>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</si>
  <si>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</si>
  <si>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</si>
  <si>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</si>
  <si>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</si>
  <si>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</si>
  <si>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</si>
  <si>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</si>
  <si>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</si>
  <si>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</si>
  <si>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</si>
  <si>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</si>
  <si>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</si>
  <si>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</si>
  <si>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</si>
  <si>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</si>
  <si>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</si>
  <si>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</si>
  <si>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</si>
  <si>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</si>
  <si>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</si>
  <si>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</si>
  <si>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</si>
  <si>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</si>
  <si>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</si>
  <si>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</si>
  <si>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</si>
  <si>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</si>
  <si>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</si>
  <si>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</si>
  <si>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</si>
  <si>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</si>
  <si>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</si>
  <si>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</si>
  <si>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</si>
  <si>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</si>
  <si>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</si>
  <si>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</si>
  <si>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</si>
  <si>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</si>
  <si>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</si>
  <si>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</si>
  <si>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</si>
  <si>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</si>
  <si>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</si>
  <si>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</si>
  <si>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</si>
  <si>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</si>
  <si>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</si>
  <si>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</si>
  <si>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</si>
  <si>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</si>
  <si>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</si>
  <si>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</si>
  <si>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</si>
  <si>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</si>
  <si>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</si>
  <si>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</si>
  <si>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</si>
  <si>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</si>
  <si>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</si>
  <si>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</si>
  <si>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</si>
  <si>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</si>
  <si>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</si>
  <si>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</si>
  <si>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</si>
  <si>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</si>
  <si>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</si>
  <si>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</si>
  <si>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</si>
  <si>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</si>
  <si>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</si>
  <si>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</si>
  <si>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</si>
  <si>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</si>
  <si>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</si>
  <si>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</si>
  <si>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</si>
  <si>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</si>
  <si>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</si>
  <si>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</si>
  <si>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</si>
  <si>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</si>
  <si>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</si>
  <si>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</si>
  <si>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</si>
  <si>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</si>
  <si>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</si>
  <si>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</si>
  <si>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</si>
  <si>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</si>
  <si>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</si>
  <si>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</si>
  <si>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</si>
  <si>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</si>
  <si>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</si>
  <si>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</si>
  <si>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</si>
  <si>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</si>
  <si>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</si>
  <si>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</si>
  <si>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</si>
  <si>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</si>
  <si>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</si>
  <si>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</si>
  <si>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</si>
  <si>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</si>
  <si>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</si>
  <si>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</si>
  <si>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</si>
  <si>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</si>
  <si>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</si>
  <si>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</si>
  <si>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</si>
  <si>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</si>
  <si>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</si>
  <si>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</si>
  <si>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</si>
  <si>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</si>
  <si>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</si>
  <si>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</si>
  <si>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</si>
  <si>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</si>
  <si>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</si>
  <si>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</si>
  <si>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</si>
  <si>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</si>
  <si>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</si>
  <si>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</si>
  <si>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</si>
  <si>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</si>
  <si>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</si>
  <si>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</si>
  <si>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</si>
  <si>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</si>
  <si>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</si>
  <si>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</si>
  <si>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</si>
  <si>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</si>
  <si>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</si>
  <si>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</si>
  <si>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</si>
  <si>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</si>
  <si>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</si>
  <si>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</si>
  <si>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</si>
  <si>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</si>
  <si>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</si>
  <si>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</si>
  <si>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</si>
  <si>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</si>
  <si>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</si>
  <si>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</si>
  <si>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</si>
  <si>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</si>
  <si>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</si>
  <si>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</si>
  <si>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</si>
  <si>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</si>
  <si>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</si>
  <si>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</si>
  <si>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</si>
  <si>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</si>
  <si>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</si>
  <si>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</si>
  <si>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</si>
  <si>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</si>
  <si>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</si>
  <si>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</si>
  <si>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</si>
  <si>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</si>
  <si>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</si>
  <si>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</si>
  <si>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</si>
  <si>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</si>
  <si>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</si>
  <si>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</si>
  <si>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</si>
  <si>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</si>
  <si>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</si>
  <si>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</si>
  <si>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</si>
  <si>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</si>
  <si>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</si>
  <si>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</si>
  <si>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</si>
  <si>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</si>
  <si>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</si>
  <si>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</si>
  <si>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</si>
  <si>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</si>
  <si>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</si>
  <si>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</si>
  <si>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</si>
  <si>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</si>
  <si>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</si>
  <si>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</si>
  <si>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</si>
  <si>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</si>
  <si>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</si>
  <si>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</si>
  <si>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</si>
  <si>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</si>
  <si>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</si>
  <si>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</si>
  <si>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</si>
  <si>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</si>
  <si>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</si>
  <si>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</si>
  <si>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</si>
  <si>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</si>
  <si>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</si>
  <si>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</si>
  <si>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</si>
  <si>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</si>
  <si>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</si>
  <si>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</si>
  <si>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</si>
  <si>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</si>
  <si>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</si>
  <si>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</si>
  <si>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</si>
  <si>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</si>
  <si>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</si>
  <si>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</si>
  <si>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</si>
  <si>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</si>
  <si>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</si>
  <si>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</si>
  <si>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</si>
  <si>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</si>
  <si>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</si>
  <si>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</si>
  <si>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</si>
  <si>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</si>
  <si>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</si>
  <si>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</si>
  <si>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</si>
  <si>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</si>
  <si>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</si>
  <si>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</si>
  <si>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</si>
  <si>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</si>
  <si>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</si>
  <si>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</si>
  <si>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</si>
  <si>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</si>
  <si>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</si>
  <si>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</si>
  <si>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</si>
  <si>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</si>
  <si>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</si>
  <si>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</si>
  <si>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</si>
  <si>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</si>
  <si>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</si>
  <si>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</si>
  <si>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</si>
  <si>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</si>
  <si>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</si>
  <si>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</si>
  <si>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</si>
  <si>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</si>
  <si>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</si>
  <si>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</si>
  <si>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</si>
  <si>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</si>
  <si>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</si>
  <si>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</si>
  <si>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</si>
  <si>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</si>
  <si>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</si>
  <si>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</si>
  <si>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</si>
  <si>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</si>
  <si>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</si>
  <si>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</si>
  <si>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</si>
  <si>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</si>
  <si>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</si>
  <si>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</si>
  <si>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</si>
  <si>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</si>
  <si>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</si>
  <si>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</si>
  <si>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</si>
  <si>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</si>
  <si>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</si>
  <si>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</si>
  <si>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</si>
  <si>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</si>
  <si>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</si>
  <si>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</si>
  <si>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</si>
  <si>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</si>
  <si>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</si>
  <si>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</si>
  <si>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</si>
  <si>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</si>
  <si>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</si>
  <si>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</si>
  <si>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</si>
  <si>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</si>
  <si>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</si>
  <si>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</si>
  <si>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</si>
  <si>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</si>
  <si>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</si>
  <si>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</si>
  <si>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</si>
  <si>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</si>
  <si>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</si>
  <si>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</si>
  <si>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</si>
  <si>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</si>
  <si>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</si>
  <si>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</si>
  <si>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</si>
  <si>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</si>
  <si>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</si>
  <si>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</si>
  <si>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</si>
  <si>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</si>
  <si>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</si>
  <si>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</si>
  <si>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</si>
  <si>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</si>
  <si>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</si>
  <si>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</si>
  <si>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</si>
  <si>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</si>
  <si>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</si>
  <si>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</si>
  <si>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</si>
  <si>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</si>
  <si>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</si>
  <si>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</si>
  <si>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</si>
  <si>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</si>
  <si>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</si>
  <si>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</si>
  <si>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</si>
  <si>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</si>
  <si>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</si>
  <si>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</si>
  <si>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</si>
  <si>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</si>
  <si>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</si>
  <si>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</si>
  <si>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</si>
  <si>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</si>
  <si>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</si>
  <si>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</si>
  <si>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</si>
  <si>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</si>
  <si>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</si>
  <si>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</si>
  <si>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</si>
  <si>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</si>
  <si>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</si>
  <si>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</si>
  <si>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</si>
  <si>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</si>
  <si>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</si>
  <si>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</si>
  <si>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</si>
  <si>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</si>
  <si>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</si>
  <si>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</si>
  <si>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</si>
  <si>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</si>
  <si>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</si>
  <si>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</si>
  <si>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</si>
  <si>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</si>
  <si>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</si>
  <si>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</si>
  <si>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</si>
  <si>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</si>
  <si>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</si>
  <si>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</si>
  <si>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</si>
  <si>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</si>
  <si>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</si>
  <si>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</si>
  <si>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</si>
  <si>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</si>
  <si>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</si>
  <si>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</si>
  <si>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</si>
  <si>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</si>
  <si>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</si>
  <si>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</si>
  <si>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</si>
  <si>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</si>
  <si>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</si>
  <si>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</si>
  <si>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</si>
  <si>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</si>
  <si>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</si>
  <si>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</si>
  <si>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</si>
  <si>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</si>
  <si>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</si>
  <si>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</si>
  <si>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</si>
  <si>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</si>
  <si>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</si>
  <si>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</si>
  <si>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</si>
  <si>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</si>
  <si>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</si>
  <si>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</si>
  <si>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</si>
  <si>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</si>
  <si>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</si>
  <si>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</si>
  <si>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</si>
  <si>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</si>
  <si>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</si>
  <si>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</si>
  <si>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</si>
  <si>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</si>
  <si>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</si>
  <si>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</si>
  <si>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</si>
  <si>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</si>
  <si>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</si>
  <si>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&gt; AUMENTO DE DAÑO REAL</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</si>
  <si>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</si>
  <si>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</si>
  <si>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</si>
  <si>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</si>
  <si>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</si>
  <si>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</si>
  <si>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</si>
  <si>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</si>
  <si>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</si>
  <si>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</si>
  <si>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</si>
  <si>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</si>
  <si>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</si>
  <si>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</si>
  <si>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</si>
  <si>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</si>
  <si>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</si>
  <si>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</si>
  <si>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</si>
  <si>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</si>
  <si>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</si>
  <si>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</si>
  <si>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</si>
  <si>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</si>
  <si>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</si>
  <si>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</si>
  <si>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</si>
  <si>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</si>
  <si>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</si>
  <si>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</si>
  <si>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</si>
  <si>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</si>
  <si>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</si>
  <si>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</si>
  <si>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</si>
  <si>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</si>
  <si>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</si>
  <si>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&gt; ATAQUE ADICIONAL</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</si>
  <si>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</si>
  <si>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</si>
  <si>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</si>
  <si>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</si>
  <si>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</si>
  <si>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</si>
  <si>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</si>
  <si>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</si>
  <si>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</si>
  <si>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</si>
  <si>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</si>
  <si>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</si>
  <si>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</si>
  <si>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</si>
  <si>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</si>
  <si>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</si>
  <si>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</si>
  <si>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</si>
  <si>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</si>
  <si>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</si>
  <si>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</si>
  <si>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</si>
  <si>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</si>
  <si>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</si>
  <si>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</si>
  <si>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</si>
  <si>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</si>
  <si>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</si>
  <si>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</si>
  <si>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</si>
  <si>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</si>
  <si>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</si>
  <si>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</si>
  <si>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</si>
  <si>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</si>
  <si>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</si>
  <si>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</si>
  <si>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</si>
  <si>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</si>
  <si>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</si>
  <si>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</si>
  <si>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</si>
  <si>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</si>
  <si>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</si>
  <si>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</si>
  <si>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</si>
  <si>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</si>
  <si>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</si>
  <si>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</si>
  <si>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</si>
  <si>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</si>
  <si>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</si>
  <si>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</si>
  <si>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</si>
  <si>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</si>
  <si>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</si>
  <si>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</si>
  <si>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</si>
  <si>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</si>
  <si>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</si>
  <si>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</si>
  <si>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</si>
  <si>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</si>
  <si>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</si>
  <si>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</si>
  <si>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</si>
  <si>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</si>
  <si>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</si>
  <si>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</si>
  <si>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</si>
  <si>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</si>
  <si>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</si>
  <si>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</si>
  <si>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</si>
  <si>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</si>
  <si>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</si>
  <si>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</si>
  <si>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</si>
  <si>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</si>
  <si>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</si>
  <si>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</si>
  <si>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</si>
  <si>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</si>
  <si>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</si>
  <si>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</si>
  <si>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</si>
  <si>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</si>
  <si>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</si>
  <si>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</si>
  <si>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</si>
  <si>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</si>
  <si>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</si>
  <si>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</si>
  <si>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</si>
  <si>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</si>
  <si>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</si>
  <si>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</si>
  <si>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</si>
  <si>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</si>
  <si>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</si>
  <si>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</si>
  <si>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</si>
  <si>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</si>
  <si>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</si>
  <si>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</si>
  <si>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</si>
  <si>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</si>
  <si>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</si>
  <si>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</si>
  <si>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</si>
  <si>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</si>
  <si>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</si>
  <si>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</si>
  <si>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</si>
  <si>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</si>
  <si>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</si>
  <si>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</si>
  <si>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</si>
  <si>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</si>
  <si>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</si>
  <si>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</si>
  <si>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</si>
  <si>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</si>
  <si>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</si>
  <si>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</si>
  <si>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</si>
  <si>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</si>
  <si>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</si>
  <si>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</si>
  <si>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</si>
  <si>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</si>
  <si>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</si>
  <si>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</si>
  <si>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</si>
  <si>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</si>
  <si>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</si>
  <si>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</si>
  <si>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</si>
  <si>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</si>
  <si>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</si>
  <si>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</si>
  <si>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</si>
  <si>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</si>
  <si>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</si>
  <si>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</si>
  <si>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</si>
  <si>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</si>
  <si>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</si>
  <si>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</si>
  <si>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</si>
  <si>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</si>
  <si>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</si>
  <si>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</si>
  <si>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</si>
  <si>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</si>
  <si>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</si>
  <si>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</si>
  <si>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</si>
  <si>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</si>
  <si>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</si>
  <si>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</si>
  <si>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</si>
  <si>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</si>
  <si>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</si>
  <si>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</si>
  <si>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</si>
  <si>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</si>
  <si>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</si>
  <si>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</si>
  <si>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</si>
  <si>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</si>
  <si>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</si>
  <si>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</si>
  <si>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</si>
  <si>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</si>
  <si>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</si>
  <si>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</si>
  <si>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</si>
  <si>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</si>
  <si>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</si>
  <si>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</si>
  <si>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</si>
  <si>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</si>
  <si>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</si>
  <si>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</si>
  <si>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</si>
  <si>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</si>
  <si>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</si>
  <si>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</si>
  <si>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</si>
  <si>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</si>
  <si>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</si>
  <si>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</si>
  <si>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</si>
  <si>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</si>
  <si>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</si>
  <si>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</si>
  <si>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</si>
  <si>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</si>
  <si>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</si>
  <si>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</si>
  <si>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</si>
  <si>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</si>
  <si>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</si>
  <si>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</si>
  <si>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</si>
  <si>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</si>
  <si>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</si>
  <si>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</si>
  <si>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</si>
  <si>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</si>
  <si>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</si>
  <si>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</si>
  <si>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</si>
  <si>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</si>
  <si>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</si>
  <si>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</si>
  <si>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</si>
  <si>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</si>
  <si>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</si>
  <si>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</si>
  <si>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</si>
  <si>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</si>
  <si>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</si>
  <si>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</si>
  <si>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</si>
  <si>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</si>
  <si>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</si>
  <si>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</si>
  <si>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</si>
  <si>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</si>
  <si>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</si>
  <si>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</si>
  <si>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</si>
  <si>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</si>
  <si>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</si>
  <si>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</si>
  <si>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</si>
  <si>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</si>
  <si>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</si>
  <si>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</si>
  <si>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</si>
  <si>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</si>
  <si>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</si>
  <si>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</si>
  <si>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</si>
  <si>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</si>
  <si>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</si>
  <si>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</si>
  <si>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</si>
  <si>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</si>
  <si>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</si>
  <si>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</si>
  <si>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</si>
  <si>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</si>
  <si>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</si>
  <si>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</si>
  <si>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</si>
  <si>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</si>
  <si>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</si>
  <si>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</si>
  <si>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</si>
  <si>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</si>
  <si>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</si>
  <si>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</si>
  <si>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</si>
  <si>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</si>
  <si>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</si>
  <si>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</si>
  <si>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</si>
  <si>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</si>
  <si>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</si>
  <si>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</si>
  <si>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</si>
  <si>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</si>
  <si>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</si>
  <si>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</si>
  <si>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</si>
  <si>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</si>
  <si>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</si>
  <si>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</si>
  <si>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</si>
  <si>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</si>
  <si>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</si>
  <si>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</si>
  <si>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</si>
  <si>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</si>
  <si>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</si>
  <si>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</si>
  <si>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</si>
  <si>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</si>
  <si>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</si>
  <si>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</si>
  <si>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</si>
  <si>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</si>
  <si>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</si>
  <si>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</si>
  <si>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</si>
  <si>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</si>
  <si>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</si>
  <si>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</si>
  <si>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</si>
  <si>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</si>
  <si>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</si>
  <si>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</si>
  <si>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</si>
  <si>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</si>
  <si>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</si>
  <si>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</si>
  <si>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</si>
  <si>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</si>
  <si>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</si>
  <si>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</si>
  <si>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</si>
  <si>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</si>
  <si>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</si>
  <si>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</si>
  <si>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</si>
  <si>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</si>
  <si>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</si>
  <si>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</si>
  <si>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</si>
  <si>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</si>
  <si>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</si>
  <si>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</si>
  <si>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</si>
  <si>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</si>
  <si>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</si>
  <si>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</si>
  <si>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</si>
  <si>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</si>
  <si>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</si>
  <si>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</si>
  <si>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</si>
  <si>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</si>
  <si>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</si>
  <si>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</si>
  <si>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</si>
  <si>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</si>
  <si>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</si>
  <si>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</si>
  <si>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</si>
  <si>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</si>
  <si>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</si>
  <si>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</si>
  <si>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</si>
  <si>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</si>
  <si>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</si>
  <si>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</si>
  <si>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</si>
  <si>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</si>
  <si>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</si>
  <si>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</si>
  <si>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</si>
  <si>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</si>
  <si>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</si>
  <si>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</si>
  <si>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</si>
  <si>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</si>
  <si>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</si>
  <si>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</si>
  <si>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</si>
  <si>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</si>
  <si>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</si>
  <si>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</si>
  <si>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</si>
  <si>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</si>
  <si>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</si>
  <si>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</si>
  <si>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</si>
  <si>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</si>
  <si>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</si>
  <si>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</si>
  <si>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</si>
  <si>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</si>
  <si>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</si>
  <si>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</si>
  <si>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</si>
  <si>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</si>
  <si>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</si>
  <si>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</si>
  <si>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</si>
  <si>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</si>
  <si>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</si>
  <si>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</si>
  <si>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</si>
  <si>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</si>
  <si>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</si>
  <si>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</si>
  <si>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</si>
  <si>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</si>
  <si>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</si>
  <si>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</si>
  <si>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</si>
  <si>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</si>
  <si>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</si>
  <si>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</si>
  <si>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</si>
  <si>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</si>
  <si>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</si>
  <si>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</si>
  <si>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</si>
  <si>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</si>
  <si>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</si>
  <si>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</si>
  <si>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</si>
  <si>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</si>
  <si>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</si>
  <si>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</si>
  <si>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</si>
  <si>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</si>
  <si>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</si>
  <si>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</si>
  <si>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</si>
  <si>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</si>
  <si>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</si>
  <si>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</si>
  <si>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</si>
  <si>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</si>
  <si>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</si>
  <si>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</si>
  <si>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</si>
  <si>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</si>
  <si>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</si>
  <si>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</si>
  <si>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</si>
  <si>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</si>
  <si>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</si>
  <si>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</si>
  <si>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</si>
  <si>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</si>
  <si>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</si>
  <si>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</si>
  <si>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</si>
  <si>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</si>
  <si>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</si>
  <si>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</si>
  <si>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</si>
  <si>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</si>
  <si>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</si>
  <si>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</si>
  <si>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</si>
  <si>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</si>
  <si>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</si>
  <si>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</si>
  <si>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</si>
  <si>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</si>
  <si>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</si>
  <si>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</si>
  <si>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</si>
  <si>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</si>
  <si>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</si>
  <si>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</si>
  <si>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</si>
  <si>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</si>
  <si>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</si>
  <si>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</si>
  <si>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</si>
  <si>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</si>
  <si>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</si>
  <si>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</si>
  <si>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</si>
  <si>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</si>
  <si>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</si>
  <si>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</si>
  <si>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</si>
  <si>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</si>
  <si>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</si>
  <si>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</si>
  <si>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</si>
  <si>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</si>
  <si>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</si>
  <si>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</si>
  <si>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</si>
  <si>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</si>
  <si>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</si>
  <si>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</si>
  <si>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</si>
  <si>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</si>
  <si>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</si>
  <si>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</si>
  <si>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</si>
  <si>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</si>
  <si>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</si>
  <si>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</si>
  <si>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</si>
  <si>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</si>
  <si>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</si>
  <si>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</si>
  <si>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</si>
  <si>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</si>
  <si>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</si>
  <si>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</si>
  <si>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</si>
  <si>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</si>
  <si>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</si>
  <si>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</si>
  <si>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</si>
  <si>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</si>
  <si>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</si>
  <si>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</si>
  <si>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</si>
  <si>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</si>
  <si>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</si>
  <si>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</si>
  <si>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</si>
  <si>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</si>
  <si>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</si>
  <si>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</si>
  <si>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</si>
  <si>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</si>
  <si>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</si>
  <si>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</si>
  <si>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</si>
  <si>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</si>
  <si>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</si>
  <si>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</si>
  <si>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</si>
  <si>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</si>
  <si>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</si>
  <si>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</si>
  <si>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</si>
  <si>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</si>
  <si>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</si>
  <si>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</si>
  <si>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</si>
  <si>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</si>
  <si>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</si>
  <si>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</si>
  <si>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</si>
  <si>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</si>
  <si>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</si>
  <si>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</si>
  <si>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</si>
  <si>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</si>
  <si>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</si>
  <si>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</si>
  <si>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</si>
  <si>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</si>
  <si>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</si>
  <si>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</si>
  <si>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</si>
  <si>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</si>
  <si>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</si>
  <si>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</si>
  <si>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</si>
  <si>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</si>
  <si>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</si>
  <si>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</si>
  <si>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</si>
  <si>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</si>
  <si>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</si>
  <si>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</si>
  <si>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</si>
  <si>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</si>
  <si>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</si>
  <si>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</si>
  <si>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</si>
  <si>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</si>
  <si>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</si>
  <si>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</si>
  <si>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</si>
  <si>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</si>
  <si>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</si>
  <si>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</si>
  <si>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</si>
  <si>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</si>
  <si>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</si>
  <si>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</si>
  <si>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</si>
  <si>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</si>
  <si>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</si>
  <si>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</si>
  <si>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</si>
  <si>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</si>
  <si>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</si>
  <si>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</si>
  <si>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</si>
  <si>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</si>
  <si>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</si>
  <si>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</si>
  <si>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</si>
  <si>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</si>
  <si>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</si>
  <si>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</si>
  <si>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</si>
  <si>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</si>
  <si>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</si>
  <si>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</si>
  <si>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</si>
  <si>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</si>
  <si>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</si>
  <si>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</si>
  <si>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</si>
  <si>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</si>
  <si>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</si>
  <si>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</si>
  <si>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</si>
  <si>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</si>
  <si>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</si>
  <si>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</si>
  <si>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</si>
  <si>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</si>
  <si>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</si>
  <si>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</si>
  <si>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</si>
  <si>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</si>
  <si>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</si>
  <si>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</si>
  <si>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</si>
  <si>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</si>
  <si>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</si>
  <si>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</si>
  <si>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</si>
  <si>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</si>
  <si>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</si>
  <si>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</si>
  <si>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</si>
  <si>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</si>
  <si>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</si>
  <si>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</si>
  <si>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</si>
  <si>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</si>
  <si>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</si>
  <si>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</si>
  <si>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</si>
  <si>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</si>
  <si>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</si>
  <si>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</si>
  <si>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</si>
  <si>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</si>
  <si>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</si>
  <si>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</si>
  <si>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</si>
  <si>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</si>
  <si>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</si>
  <si>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</si>
  <si>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</si>
  <si>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</si>
  <si>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</si>
  <si>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</si>
  <si>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</si>
  <si>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</si>
  <si>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</si>
  <si>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</si>
  <si>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</si>
  <si>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</si>
  <si>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</si>
  <si>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</si>
  <si>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</si>
  <si>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</si>
  <si>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</si>
  <si>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</si>
  <si>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</si>
  <si>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</si>
  <si>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</si>
  <si>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</si>
  <si>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</si>
  <si>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</si>
  <si>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</si>
  <si>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</si>
  <si>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</si>
  <si>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</si>
  <si>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</si>
  <si>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</si>
  <si>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</si>
  <si>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</si>
  <si>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</si>
  <si>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</si>
  <si>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</si>
  <si>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</si>
  <si>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</si>
  <si>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</si>
  <si>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</si>
  <si>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</si>
  <si>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</si>
  <si>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</si>
  <si>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</si>
  <si>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</si>
  <si>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</si>
  <si>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</si>
  <si>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</si>
  <si>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</si>
  <si>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</si>
  <si>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</si>
  <si>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</si>
  <si>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</si>
  <si>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</si>
  <si>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</si>
  <si>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</si>
  <si>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</si>
  <si>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</si>
  <si>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</si>
  <si>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</si>
  <si>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</si>
  <si>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</si>
  <si>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</si>
  <si>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</si>
  <si>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</si>
  <si>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</si>
  <si>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</si>
  <si>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</si>
  <si>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</si>
  <si>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</si>
  <si>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</si>
  <si>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</si>
  <si>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</si>
  <si>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</si>
  <si>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</si>
  <si>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</si>
  <si>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</si>
  <si>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</si>
  <si>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</si>
  <si>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</si>
  <si>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</si>
  <si>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</si>
  <si>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</si>
  <si>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</si>
  <si>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</si>
  <si>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</si>
  <si>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</si>
  <si>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</si>
  <si>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</si>
  <si>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</si>
  <si>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</si>
  <si>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</si>
  <si>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</si>
  <si>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</si>
  <si>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</si>
  <si>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</si>
  <si>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</si>
  <si>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</si>
  <si>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</si>
  <si>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</si>
  <si>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</si>
  <si>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</si>
  <si>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</si>
  <si>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</si>
  <si>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</si>
  <si>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</si>
  <si>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</si>
  <si>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</si>
  <si>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</si>
  <si>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</si>
  <si>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</si>
  <si>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</si>
  <si>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</si>
  <si>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</si>
  <si>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</si>
  <si>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</si>
  <si>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</si>
  <si>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</si>
  <si>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</si>
  <si>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</si>
  <si>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</si>
  <si>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</si>
  <si>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</si>
  <si>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</si>
  <si>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</si>
  <si>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</si>
  <si>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</si>
  <si>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</si>
  <si>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</si>
  <si>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</si>
  <si>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</si>
  <si>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</si>
  <si>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</si>
  <si>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</si>
  <si>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</si>
  <si>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</si>
  <si>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</si>
  <si>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</si>
  <si>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</si>
  <si>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</si>
  <si>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</si>
  <si>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</si>
  <si>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</si>
  <si>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</si>
  <si>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</si>
  <si>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</si>
  <si>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</si>
  <si>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</si>
  <si>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</si>
  <si>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</si>
  <si>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</si>
  <si>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</si>
  <si>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</si>
  <si>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</si>
  <si>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</si>
  <si>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</si>
  <si>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</si>
  <si>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</si>
  <si>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</si>
  <si>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</si>
  <si>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</si>
  <si>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</si>
  <si>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</si>
  <si>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</si>
  <si>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</si>
  <si>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</si>
  <si>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</si>
  <si>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</si>
  <si>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</si>
  <si>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</si>
  <si>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</si>
  <si>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</si>
  <si>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</si>
  <si>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</si>
  <si>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</si>
  <si>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</si>
  <si>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</si>
  <si>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</si>
  <si>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</si>
  <si>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</si>
  <si>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</si>
  <si>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</si>
  <si>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</si>
  <si>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</si>
  <si>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</si>
  <si>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</si>
  <si>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</si>
  <si>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</si>
  <si>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</si>
  <si>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</si>
  <si>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</si>
  <si>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</si>
  <si>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</si>
  <si>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</si>
  <si>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</si>
  <si>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</si>
  <si>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</si>
  <si>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</si>
  <si>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</si>
  <si>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</si>
  <si>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</si>
  <si>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</si>
  <si>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</si>
  <si>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</si>
  <si>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</si>
  <si>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</si>
  <si>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</si>
  <si>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</si>
  <si>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</si>
  <si>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</si>
  <si>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</si>
  <si>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</si>
  <si>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</si>
  <si>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</si>
  <si>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</si>
  <si>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</si>
  <si>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</si>
  <si>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</si>
  <si>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</si>
  <si>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</si>
  <si>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</si>
  <si>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</si>
  <si>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</si>
  <si>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</si>
  <si>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</si>
  <si>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</si>
  <si>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</si>
  <si>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</si>
  <si>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</si>
  <si>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</si>
  <si>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</si>
  <si>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</si>
  <si>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</si>
  <si>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</si>
  <si>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</si>
  <si>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</si>
  <si>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</si>
  <si>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</si>
  <si>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</si>
  <si>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</si>
  <si>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</si>
  <si>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</si>
  <si>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</si>
  <si>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</si>
  <si>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</si>
  <si>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</si>
  <si>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</si>
  <si>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</si>
  <si>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</si>
  <si>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</si>
  <si>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</si>
  <si>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</si>
  <si>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</si>
  <si>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</si>
  <si>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</si>
  <si>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</si>
  <si>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</si>
  <si>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</si>
  <si>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</si>
  <si>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</si>
  <si>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</si>
  <si>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</si>
  <si>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</si>
  <si>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</si>
  <si>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</si>
  <si>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</si>
  <si>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</si>
  <si>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</si>
  <si>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</si>
  <si>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</si>
  <si>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</si>
  <si>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</si>
  <si>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</si>
  <si>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</si>
  <si>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</si>
  <si>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</si>
  <si>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</si>
  <si>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</si>
  <si>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</si>
  <si>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</si>
  <si>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</si>
  <si>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</si>
  <si>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</si>
  <si>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</si>
  <si>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</si>
  <si>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</si>
  <si>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</si>
  <si>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</si>
  <si>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</si>
  <si>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</si>
  <si>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</si>
  <si>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</si>
  <si>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</si>
  <si>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</si>
  <si>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</si>
  <si>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</si>
  <si>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</si>
  <si>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</si>
  <si>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</si>
  <si>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</si>
  <si>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</si>
  <si>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</si>
  <si>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</si>
  <si>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</si>
  <si>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</si>
  <si>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</si>
  <si>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</si>
  <si>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</si>
  <si>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</si>
  <si>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</si>
  <si>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</si>
  <si>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</si>
  <si>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</si>
  <si>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</si>
  <si>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</si>
  <si>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</si>
  <si>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</si>
  <si>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</si>
  <si>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</si>
  <si>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</si>
  <si>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</si>
  <si>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</si>
  <si>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</si>
  <si>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</si>
  <si>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</si>
  <si>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</si>
  <si>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</si>
  <si>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</si>
  <si>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</si>
  <si>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</si>
  <si>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</si>
  <si>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</si>
  <si>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</si>
  <si>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</si>
  <si>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</si>
  <si>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</si>
  <si>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</si>
  <si>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</si>
  <si>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</si>
  <si>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</si>
  <si>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</si>
  <si>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</si>
  <si>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</si>
  <si>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</si>
  <si>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</si>
  <si>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</si>
  <si>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</si>
  <si>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</si>
  <si>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</si>
  <si>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</si>
  <si>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</si>
  <si>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</si>
  <si>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</si>
  <si>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</si>
  <si>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</si>
  <si>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</si>
  <si>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</si>
  <si>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</si>
  <si>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</si>
  <si>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</si>
  <si>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</si>
  <si>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</si>
  <si>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</si>
  <si>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</si>
  <si>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</si>
  <si>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AGI + DES</t>
  </si>
  <si>
    <t>Sobrenat.</t>
  </si>
  <si>
    <t>Modificadores especiales</t>
  </si>
  <si>
    <t>Armas Naturales (1)</t>
  </si>
  <si>
    <t>Armas Naturales (2)</t>
  </si>
  <si>
    <t>Vuelo (Libre Acceso)</t>
  </si>
  <si>
    <t>Vuelo (Aire)</t>
  </si>
  <si>
    <t>260</t>
  </si>
  <si>
    <t>210</t>
  </si>
  <si>
    <t>Zvilpogghua</t>
  </si>
  <si>
    <t>Vilfain</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</si>
  <si>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</si>
  <si>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</si>
  <si>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</si>
  <si>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</si>
  <si>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</si>
  <si>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</si>
  <si>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</si>
  <si>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</si>
  <si>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</si>
  <si>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</si>
  <si>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</si>
  <si>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</si>
  <si>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</si>
  <si>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</si>
  <si>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</si>
  <si>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</si>
  <si>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</si>
  <si>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</si>
  <si>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</si>
  <si>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</si>
  <si>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</si>
  <si>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</si>
  <si>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</si>
  <si>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</si>
  <si>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</si>
  <si>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</si>
  <si>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</si>
  <si>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</si>
  <si>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</si>
  <si>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</si>
  <si>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</si>
  <si>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</si>
  <si>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</si>
  <si>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</si>
  <si>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</si>
  <si>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</si>
  <si>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</si>
  <si>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</si>
  <si>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</si>
  <si>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</si>
  <si>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</si>
  <si>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</si>
  <si>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</si>
  <si>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</si>
  <si>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</si>
  <si>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</si>
  <si>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</si>
  <si>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</si>
  <si>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</si>
  <si>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</si>
  <si>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</si>
  <si>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</si>
  <si>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</si>
  <si>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</si>
  <si>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</si>
  <si>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</si>
  <si>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</si>
  <si>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</si>
  <si>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</si>
  <si>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</si>
  <si>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</si>
  <si>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</si>
  <si>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</si>
  <si>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</si>
  <si>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</si>
  <si>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</si>
  <si>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</si>
  <si>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</si>
  <si>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</si>
  <si>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</si>
  <si>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</si>
  <si>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</si>
  <si>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</si>
  <si>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</si>
  <si>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</si>
  <si>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</si>
  <si>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</si>
  <si>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</si>
  <si>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</si>
  <si>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</si>
  <si>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</si>
  <si>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</si>
  <si>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</si>
  <si>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</si>
  <si>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</si>
  <si>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</si>
  <si>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</si>
  <si>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</si>
  <si>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</si>
  <si>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</si>
  <si>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</si>
  <si>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</si>
  <si>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</si>
  <si>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</si>
  <si>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</si>
  <si>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</si>
  <si>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</si>
  <si>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</si>
  <si>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</si>
  <si>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</si>
  <si>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</si>
  <si>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</si>
  <si>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</si>
  <si>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</si>
  <si>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</si>
  <si>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</si>
  <si>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</si>
  <si>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</si>
  <si>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</si>
  <si>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</si>
  <si>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</si>
  <si>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</si>
  <si>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</si>
  <si>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</si>
  <si>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</si>
  <si>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</si>
  <si>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</si>
  <si>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</si>
  <si>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</si>
  <si>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</si>
  <si>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</si>
  <si>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</si>
  <si>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</si>
  <si>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</si>
  <si>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</si>
  <si>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</si>
  <si>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</si>
  <si>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</si>
  <si>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</si>
  <si>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</si>
  <si>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</si>
  <si>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</si>
  <si>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</si>
  <si>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</si>
  <si>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</si>
  <si>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</si>
  <si>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</si>
  <si>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</si>
  <si>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</si>
  <si>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</si>
  <si>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</si>
  <si>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</si>
  <si>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</si>
  <si>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</si>
  <si>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</si>
  <si>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</si>
  <si>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</si>
  <si>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</si>
  <si>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</si>
  <si>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</si>
  <si>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</si>
  <si>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</si>
  <si>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</si>
  <si>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</si>
  <si>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</si>
  <si>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</si>
  <si>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</si>
  <si>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</si>
  <si>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</si>
  <si>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</si>
  <si>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</si>
  <si>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</si>
  <si>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</si>
  <si>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</si>
  <si>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</si>
  <si>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</si>
  <si>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</si>
  <si>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</si>
  <si>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</si>
  <si>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</si>
  <si>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</si>
  <si>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</si>
  <si>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</si>
  <si>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</si>
  <si>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</si>
  <si>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</si>
  <si>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</si>
  <si>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</si>
  <si>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</si>
  <si>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</si>
  <si>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</si>
  <si>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</si>
  <si>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</si>
  <si>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</si>
  <si>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</si>
  <si>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</si>
  <si>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</si>
  <si>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</si>
  <si>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</si>
  <si>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</si>
  <si>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</si>
  <si>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</si>
  <si>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</si>
  <si>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</si>
  <si>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</si>
  <si>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</si>
  <si>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</si>
  <si>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</si>
  <si>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</si>
  <si>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</si>
  <si>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</si>
  <si>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</si>
  <si>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</si>
  <si>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</si>
  <si>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</si>
  <si>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</si>
  <si>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</si>
  <si>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</si>
  <si>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</si>
  <si>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</si>
  <si>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</si>
  <si>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</si>
  <si>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</si>
  <si>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</si>
  <si>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</si>
  <si>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</si>
  <si>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</si>
  <si>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</si>
  <si>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</si>
  <si>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</si>
  <si>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</si>
  <si>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</si>
  <si>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</si>
  <si>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</si>
  <si>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</si>
  <si>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</si>
  <si>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</si>
  <si>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</si>
  <si>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</si>
  <si>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</si>
  <si>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</si>
  <si>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</si>
  <si>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</si>
  <si>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</si>
  <si>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</si>
  <si>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</si>
  <si>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</si>
  <si>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</si>
  <si>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</si>
  <si>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</si>
  <si>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</si>
  <si>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</si>
  <si>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</si>
  <si>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</si>
  <si>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</si>
  <si>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</si>
  <si>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</si>
  <si>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</si>
  <si>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</si>
  <si>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</si>
  <si>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</si>
  <si>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</si>
  <si>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</si>
  <si>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</si>
  <si>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</si>
  <si>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</si>
  <si>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</si>
  <si>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</si>
  <si>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</si>
  <si>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</si>
  <si>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</si>
  <si>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</si>
  <si>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</si>
  <si>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</si>
  <si>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</si>
  <si>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</si>
  <si>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</si>
  <si>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</si>
  <si>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</si>
  <si>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</si>
  <si>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</si>
  <si>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</si>
  <si>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</si>
  <si>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</si>
  <si>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</si>
  <si>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</si>
  <si>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</si>
  <si>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</si>
  <si>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</si>
  <si>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</si>
  <si>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</si>
  <si>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</si>
  <si>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</si>
  <si>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</si>
  <si>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</si>
  <si>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</si>
  <si>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</si>
  <si>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</si>
  <si>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</si>
  <si>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</si>
  <si>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</si>
  <si>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</si>
  <si>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</si>
  <si>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</si>
  <si>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</si>
  <si>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</si>
  <si>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</si>
  <si>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</si>
  <si>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</si>
  <si>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</si>
  <si>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</si>
  <si>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</si>
  <si>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</si>
  <si>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</si>
  <si>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</si>
  <si>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</si>
  <si>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</si>
  <si>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</si>
  <si>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</si>
  <si>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</si>
  <si>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</si>
  <si>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</si>
  <si>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</si>
  <si>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</si>
  <si>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</si>
  <si>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60 RP / 10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</si>
  <si>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</si>
  <si>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</si>
  <si>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</si>
  <si>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</si>
  <si>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</si>
  <si>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</si>
  <si>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</si>
  <si>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</si>
  <si>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</si>
  <si>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</si>
  <si>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</si>
  <si>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</si>
  <si>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</si>
  <si>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</si>
  <si>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</si>
  <si>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</si>
  <si>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</si>
  <si>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</si>
  <si>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</si>
  <si>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</si>
  <si>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</si>
  <si>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</si>
  <si>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</si>
  <si>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</si>
  <si>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</si>
  <si>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</si>
  <si>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</si>
  <si>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</si>
  <si>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</si>
  <si>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</si>
  <si>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</si>
  <si>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</si>
  <si>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</si>
  <si>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</si>
  <si>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</si>
  <si>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</si>
  <si>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</si>
  <si>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</si>
  <si>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</si>
  <si>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</si>
  <si>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</si>
  <si>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</si>
  <si>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</si>
  <si>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</si>
  <si>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t>No físico</t>
  </si>
  <si>
    <t>Artefactos / Artilugios</t>
  </si>
  <si>
    <t>Revestimiento de Vacío</t>
  </si>
  <si>
    <t>Anti-esencia</t>
  </si>
  <si>
    <t>Destrucción por Némesis</t>
  </si>
  <si>
    <t>Recubrimiento de Vacío</t>
  </si>
  <si>
    <t>Anular presencia</t>
  </si>
  <si>
    <t>Tabla general de Ars Inanimis</t>
  </si>
  <si>
    <t>&gt; ARS INANIMIS</t>
  </si>
  <si>
    <t>Athame: Anillos Negros</t>
  </si>
  <si>
    <t>Spiritus: Saltos Interdimensionales</t>
  </si>
  <si>
    <t>Alienis: Rasgar la Realidad</t>
  </si>
  <si>
    <t>Mortuus: Fecha de Muerte</t>
  </si>
  <si>
    <t>Caeles: Extrusión del Vacío</t>
  </si>
  <si>
    <t>Corpus: Pasos al Otro Lado</t>
  </si>
  <si>
    <t>Luxuria: Lascividad Sanguinolenta</t>
  </si>
  <si>
    <t>Superbia: Voluntad Intocable</t>
  </si>
  <si>
    <t>Ira: Furia Cegadora</t>
  </si>
  <si>
    <t>Desidia: Estancar Estados</t>
  </si>
  <si>
    <t>Desiderium: Ladrón Arcano</t>
  </si>
  <si>
    <t>Invidia: Encarnación Pecaminosa</t>
  </si>
  <si>
    <t>Gula: Aspiradora de Almas</t>
  </si>
  <si>
    <t>&gt; ARMAS VACUAS</t>
  </si>
  <si>
    <t>Sano: Creaciones de sangre</t>
  </si>
  <si>
    <t>Exanimis: Huesos y carne</t>
  </si>
  <si>
    <t>Mutatio: Filo siemprecambiante</t>
  </si>
  <si>
    <t>Imperito: Cadenas de anatema</t>
  </si>
  <si>
    <t>Kagune: Garra resplandeciente</t>
  </si>
  <si>
    <t>Kakuja: Armadura resplandeciente</t>
  </si>
  <si>
    <t>Investigación Psi</t>
  </si>
  <si>
    <t>Ars Cognitiam</t>
  </si>
  <si>
    <t>NP:</t>
  </si>
  <si>
    <t>Permite saltar a la Vigilia para contraatacar o defenderse</t>
  </si>
  <si>
    <t>Vórtices por 3 de ki, se expanden a otros individuos gastando Ki de su reserva</t>
  </si>
  <si>
    <t>Arma especial con propiedades variables. Ver</t>
  </si>
  <si>
    <t>Modifica el entorno a voluntad. Ver</t>
  </si>
  <si>
    <t>Otorga barreras existenciales iguales al 25% de los PV máximos</t>
  </si>
  <si>
    <t>Mejora los ataques contra un individuo en concreto. Ver</t>
  </si>
  <si>
    <t>Ventajas variables. Ver</t>
  </si>
  <si>
    <t>x4 al daño. +5 a la HA y -5 a la HD por cada turno que pase, hasta +50 y -50</t>
  </si>
  <si>
    <t>Retrasa críticos y estados alterados</t>
  </si>
  <si>
    <t>Al ver una técnica, RM o podrá robarla durante una cantidad de turnos vatiable</t>
  </si>
  <si>
    <t>El personaje se encarna en un espíritu. Ver</t>
  </si>
  <si>
    <t>Absorbe magia, psíquicos y ki en los alrededores. Ver</t>
  </si>
  <si>
    <t>Armas biológicas</t>
  </si>
  <si>
    <t>Tipo de sangre</t>
  </si>
  <si>
    <t>Mutaciones sobrenaturales</t>
  </si>
  <si>
    <t>Especialización resplandeciente</t>
  </si>
  <si>
    <t>Ars Inana</t>
  </si>
  <si>
    <t>Nivel Psíquico</t>
  </si>
  <si>
    <t>Gravitatoria</t>
  </si>
  <si>
    <t>Control del sonido</t>
  </si>
  <si>
    <t>Hidroquinesis</t>
  </si>
  <si>
    <t>Presión</t>
  </si>
  <si>
    <t>Antimateria</t>
  </si>
  <si>
    <t>Filoquinesis</t>
  </si>
  <si>
    <t>Dominio del espacio</t>
  </si>
  <si>
    <t>Poderes sinérgicos</t>
  </si>
  <si>
    <t>Listado</t>
  </si>
  <si>
    <t>Num.</t>
  </si>
  <si>
    <t>Bioquinesis</t>
  </si>
  <si>
    <t>Sin modificador. Si no se alcanza Potencial mínimo, pierde PV igual al fracaso. Si tiene Consumición psíquica, es sacrificio.</t>
  </si>
  <si>
    <t>Cronoquinesis</t>
  </si>
  <si>
    <t>Añade +30 si está afectado por un veneno. Legados de Sangre Venenosa no aplican el bono, pero tienen un +15 permanente a la disciplina</t>
  </si>
  <si>
    <t>No funciona en el vacío</t>
  </si>
  <si>
    <t>Control del Sonido</t>
  </si>
  <si>
    <t>Dominio del Espacio</t>
  </si>
  <si>
    <t>Nodos de la Red Neuronal</t>
  </si>
  <si>
    <t>Poderes sinérgicos disponibles</t>
  </si>
  <si>
    <t>Ranuras de Poder</t>
  </si>
  <si>
    <t>Mente Violenta</t>
  </si>
  <si>
    <t>Enaltecer Matrices</t>
  </si>
  <si>
    <t>PVs extra</t>
  </si>
  <si>
    <t>Fatiga reduc.</t>
  </si>
  <si>
    <t>Daño extra</t>
  </si>
  <si>
    <t>Nodos de la Red</t>
  </si>
  <si>
    <t>Nodos:</t>
  </si>
  <si>
    <t>&gt; ARS COGNITIAM MENORES</t>
  </si>
  <si>
    <t>Movimiento orbital</t>
  </si>
  <si>
    <t>Protector</t>
  </si>
  <si>
    <t>Cambiar tipología</t>
  </si>
  <si>
    <t>Incremento sensorial</t>
  </si>
  <si>
    <t>Oposición</t>
  </si>
  <si>
    <t>Traslación ofensiva</t>
  </si>
  <si>
    <t>Gravimetría</t>
  </si>
  <si>
    <t>&gt; ARS COGNITIAM MAYORES</t>
  </si>
  <si>
    <t>Humanus: Máscaras Matriciales</t>
  </si>
  <si>
    <t>Victus: Hacedor de Sangre</t>
  </si>
  <si>
    <t>Tempestas: Jinete de las Tormentas</t>
  </si>
  <si>
    <t>Perditio: Caos Primario</t>
  </si>
  <si>
    <t>Potentia: Ego Desencadenado</t>
  </si>
  <si>
    <t>Vacuos: Presión desatada</t>
  </si>
  <si>
    <t>Terra: Inquisidor de Acero</t>
  </si>
  <si>
    <t>Permutatio: Control Elemental</t>
  </si>
  <si>
    <t>Gelum: Abrigo Helado</t>
  </si>
  <si>
    <t>Ignis: Bruja Carmesí en Llamas</t>
  </si>
  <si>
    <t>Aversio: Proyección Ofensiva</t>
  </si>
  <si>
    <t>Vinculum: Liberación Gravitatoria</t>
  </si>
  <si>
    <t>Iter: Ojo Atemporal</t>
  </si>
  <si>
    <t>Fluctus: Manipulación Entrópica</t>
  </si>
  <si>
    <t>Saxum: Expansión de Dominio</t>
  </si>
  <si>
    <t>Telum: Filo Matricial</t>
  </si>
  <si>
    <t>Fames: Devorador de mentes</t>
  </si>
  <si>
    <t>Sensus: Sentidos Absolutos</t>
  </si>
  <si>
    <t>Tempus: Arenas del Tiempo</t>
  </si>
  <si>
    <t>Motus: Saltos en el Espacio</t>
  </si>
  <si>
    <t>Terminus: Destructor de Mundos</t>
  </si>
  <si>
    <t>&gt; ARS COGNITIAM PERSONALIZADOS</t>
  </si>
  <si>
    <t>&gt; ARS INANIMIS PERSONALIZADOS</t>
  </si>
  <si>
    <t>Anota el daño que realiza, recibe la mitad como daño automático y gana bono a su HA igual a los PV perdidos</t>
  </si>
  <si>
    <t>PD combate</t>
  </si>
  <si>
    <t>PD psiquico</t>
  </si>
  <si>
    <t>NP</t>
  </si>
  <si>
    <t>Cumple?</t>
  </si>
  <si>
    <t>Bestia: Mutación Aberrante</t>
  </si>
  <si>
    <t>Elysium: Nana de la Destrucción</t>
  </si>
  <si>
    <t>Lectus: Mente Infinita</t>
  </si>
  <si>
    <t>Tutamen: Armadura Esquirlada</t>
  </si>
  <si>
    <t>Tabla general de Ars Cognitiam</t>
  </si>
  <si>
    <t>Recargar, Habilidad de Ataque 100+</t>
  </si>
  <si>
    <t>Autorrecolocación, Turno 80+</t>
  </si>
  <si>
    <t>Modificar relación gravitatoria, Saltar 50+</t>
  </si>
  <si>
    <t>Holograma; Habilidad de Ataque 200+, Habilidad de Defensa 200+</t>
  </si>
  <si>
    <t>Regeneración (Incremento físico), Habilidad
de Ataque 200+, Voluntad 11+</t>
  </si>
  <si>
    <t>Mente Violenta, Habilidad de Ataque 220+, Voluntad 11+,  Inhumanidad</t>
  </si>
  <si>
    <t>Espacio ficticio o Campo de Investidura, Habilidad de Ataque 200+, Voluntad +11</t>
  </si>
  <si>
    <t>Rebobinar la realidad, Habilidad de Ataque 220+, Habilidad de Defensa 220+, Voluntad 11+</t>
  </si>
  <si>
    <t>Autorrecolocación, Tabla de armas improvisadas, Habilidad de Defensa 150+, Agilidad 10+</t>
  </si>
  <si>
    <t>Cataclismo, Habilidad de Ataque 220+, Voluntad 11+, Inhumanidad</t>
  </si>
  <si>
    <t>Al elegir un oponente, +5 a la HE hasta +25. Dura 5 turnos. No puede usarse contra áreas</t>
  </si>
  <si>
    <t>Al elegir un aliado, todos los ataques de los que sea objetivo aplican cobertura</t>
  </si>
  <si>
    <t>Cambia la tipología de un poder elemental, sea ataques o escudos</t>
  </si>
  <si>
    <t>Reduce a la mitad penalizadores por flanco o espalda. Solo ataques a 20 metros o menos</t>
  </si>
  <si>
    <t>Al elegir un objeto, cambia localización con él. Advertir contra Potencial para Espalda</t>
  </si>
  <si>
    <t>Permite usar Voluntad en vez de Fuerza para calcular el bono a Saltar</t>
  </si>
  <si>
    <t>Copias matriciales. Ver</t>
  </si>
  <si>
    <t xml:space="preserve">Regeneración 15. +1 a la TA por cada 10 PVs regenerados por encima del límite, hasta +5. </t>
  </si>
  <si>
    <t>Vuelo místico. +5 a las intensidades de ELE. En tormenta puede hacer un ataque con daño 100 usando su Proyección y Electromagnetismo se libera un grado por encima.</t>
  </si>
  <si>
    <t>Gana Ranuras de Poder equivalentes a la cantidad de turnos activo. VOL 16 o -10 a la SM y -5 al Potencial por cada punto fallado</t>
  </si>
  <si>
    <t>Bono a toda acción, a las secundarias que dependen de Voluntad, a Liderazgo y al Potencial igual al bono de Voluntad. +20 a la Proyección Psíquica, reduce en 1 el grado de poderes defensivos. Da Zen</t>
  </si>
  <si>
    <t>Otorga 5 cargas, +1 a los controles de Impacto de Fuerza por cada carga. -1 carga cada turno.</t>
  </si>
  <si>
    <t>Armadura de tierra. Ver</t>
  </si>
  <si>
    <t>Cambia la tipología de los ataques del personaje, bono variable dependiendo de la tipología usada</t>
  </si>
  <si>
    <t>RF contra Potencial o -5 a toda acción acumulable por cada turno que pase en ese estado. Ver</t>
  </si>
  <si>
    <t>Poderes de fuego variables. Ver</t>
  </si>
  <si>
    <t>Ataques adicionales con armas flotantes. Ver</t>
  </si>
  <si>
    <t>Otorga 5 cargas gravitatorias. Pueden usarse para realizar ataques que aplican -20 a la HE</t>
  </si>
  <si>
    <t>Podres temporales variables. Ver</t>
  </si>
  <si>
    <t>Carga hasta 5 turnos, 1d100 por cada turno cargado. Ver tabla</t>
  </si>
  <si>
    <t>Lanza poderes en el área determinada. Ver</t>
  </si>
  <si>
    <t>Espada basada en disciplinas. Ver</t>
  </si>
  <si>
    <t>Roba Potencial. Ver</t>
  </si>
  <si>
    <t>Ladrón Psiónico (F)</t>
  </si>
  <si>
    <t>Ladrón Psiónico (C)</t>
  </si>
  <si>
    <t>Hechicero Ment. (C)</t>
  </si>
  <si>
    <t>Mentalista (F)</t>
  </si>
  <si>
    <t>Guerrero Ment. (C)</t>
  </si>
  <si>
    <t>Mentalista (C)</t>
  </si>
  <si>
    <t>Guerrero Ment. (F)</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</si>
  <si>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</si>
  <si>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</si>
  <si>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</si>
  <si>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</si>
  <si>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</si>
  <si>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</si>
  <si>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</si>
  <si>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</si>
  <si>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</si>
  <si>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</si>
  <si>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</si>
  <si>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</si>
  <si>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Voluntad Férrea</t>
  </si>
  <si>
    <t>Concentración Profunda</t>
  </si>
  <si>
    <t>Matrices corrosivas</t>
  </si>
  <si>
    <t>Drenar energía física</t>
  </si>
  <si>
    <t>Defensa asegurada</t>
  </si>
  <si>
    <t>Manipulación Psiónica</t>
  </si>
  <si>
    <t>Maestría innata</t>
  </si>
  <si>
    <t>Neurodivergente?</t>
  </si>
  <si>
    <t>MANEJO DE MATRICES</t>
  </si>
  <si>
    <t>Poder Especializado Nivel 1</t>
  </si>
  <si>
    <t>Matrices replicantes</t>
  </si>
  <si>
    <t>Enaltecer matrices</t>
  </si>
  <si>
    <t>Transmisión Psíquica</t>
  </si>
  <si>
    <t>Refinamiento Neuronal</t>
  </si>
  <si>
    <t>Reforzar poder</t>
  </si>
  <si>
    <t>POTENCIACIÓN PSI</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</si>
  <si>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</si>
  <si>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</si>
  <si>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</si>
  <si>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</si>
  <si>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</si>
  <si>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</si>
  <si>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</si>
  <si>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</si>
  <si>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</si>
  <si>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</si>
  <si>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</si>
  <si>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</si>
  <si>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</si>
  <si>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Razón</t>
  </si>
  <si>
    <t>Uso de Patrón mental: Razón</t>
  </si>
  <si>
    <t>Su Salud Mental se considera 0</t>
  </si>
  <si>
    <t>1 grado menos en poderes de conectar con otros, -40 al Potencial en poderes sobre otros.</t>
  </si>
  <si>
    <t>Si no puede ayudar a alguien, -15 al Potencial y Proyección. ese día. Se duplica si se repite.</t>
  </si>
  <si>
    <t>-20 Pot. al lanzar poderes ataque, -10 a toda acción excepto escapar, -5 por cada asalto sin huir.</t>
  </si>
  <si>
    <t>Abandonar un combate que puede ganar, Control VOL a 18. Si huye, -10 toda acción en su huida.</t>
  </si>
  <si>
    <t>Aumenta en 20 la sorpresa.</t>
  </si>
  <si>
    <t>Bono al Potencial aleatorio. Gana CV efímeros igual mitad nivel redondeado arriba.</t>
  </si>
  <si>
    <t>+10 al daño de sus poderes y +20 a Frialdad. Ventaja personalizada. Ver</t>
  </si>
  <si>
    <t>+20 Proyección Psíquica defensiva al ayudar a otros.</t>
  </si>
  <si>
    <t>+20 persuasión para escaquearse, +10 a la Proyección para defenderse.</t>
  </si>
  <si>
    <t>Cantidad de PVs restantes determinan ventajas. Ver</t>
  </si>
  <si>
    <t>Bono de +10 a la Proyección por no hacer nada hasta +30. -1 al índice de pifia.</t>
  </si>
  <si>
    <t>Bonos a introversión</t>
  </si>
  <si>
    <t>Tipos de psicópata</t>
  </si>
  <si>
    <t>Activo?</t>
  </si>
  <si>
    <t>Sin emociones</t>
  </si>
  <si>
    <t>Tendencias violentas</t>
  </si>
  <si>
    <t>Encanto social</t>
  </si>
  <si>
    <t>Piromanía</t>
  </si>
  <si>
    <t>Modificar relación gravitatoria</t>
  </si>
  <si>
    <t>Aislar sonidos</t>
  </si>
  <si>
    <t>Moldear</t>
  </si>
  <si>
    <t>Alterar el orden de los acon.</t>
  </si>
  <si>
    <t>Modificar presión absoluta</t>
  </si>
  <si>
    <t>Destruir energía</t>
  </si>
  <si>
    <t>Laceración psíquica</t>
  </si>
  <si>
    <t>Dominio vectorial</t>
  </si>
  <si>
    <t>Orbitar</t>
  </si>
  <si>
    <t>Grito estridente</t>
  </si>
  <si>
    <t>Formación no-newtoniana</t>
  </si>
  <si>
    <t>Instante estacionario</t>
  </si>
  <si>
    <t>Alterar presión hidrostática</t>
  </si>
  <si>
    <t>Escudo de antimateria</t>
  </si>
  <si>
    <t>Extrusión matricial</t>
  </si>
  <si>
    <t>Desvio defensivo</t>
  </si>
  <si>
    <t>Revertir gravedad</t>
  </si>
  <si>
    <t>Discordancia sonora</t>
  </si>
  <si>
    <t>Editar fuerza de tracción</t>
  </si>
  <si>
    <t>Escudo de alteración temporal</t>
  </si>
  <si>
    <t>Modular presión espacial</t>
  </si>
  <si>
    <t>Destruir materia</t>
  </si>
  <si>
    <t>Corte reflejo</t>
  </si>
  <si>
    <t>Estancar espacio</t>
  </si>
  <si>
    <t>Armadura telequinética</t>
  </si>
  <si>
    <t>Cambiar dirección</t>
  </si>
  <si>
    <t>Ecolocalizar</t>
  </si>
  <si>
    <t>Abrasión</t>
  </si>
  <si>
    <t>Desgastar</t>
  </si>
  <si>
    <t>Punto de presión</t>
  </si>
  <si>
    <t>Antiexplosión</t>
  </si>
  <si>
    <t>Manipulación del filo</t>
  </si>
  <si>
    <t>Moldear espacio</t>
  </si>
  <si>
    <t>Campo de gravitones</t>
  </si>
  <si>
    <t>Efectos vocales</t>
  </si>
  <si>
    <t>Fundirse con el entorno</t>
  </si>
  <si>
    <t>Multiplicar segundos</t>
  </si>
  <si>
    <t>Recargar</t>
  </si>
  <si>
    <t>Escisión material</t>
  </si>
  <si>
    <t>Vector ofensivo</t>
  </si>
  <si>
    <t>Transmutar sonidos</t>
  </si>
  <si>
    <t>Fisión nuclear</t>
  </si>
  <si>
    <t>Elipsis</t>
  </si>
  <si>
    <t>Aplacar sentimientos</t>
  </si>
  <si>
    <t>Modificar presión absoluta mayor</t>
  </si>
  <si>
    <t>Creación de antimateria</t>
  </si>
  <si>
    <t>Escisión mental</t>
  </si>
  <si>
    <t>Espacio ficticio</t>
  </si>
  <si>
    <t>Ordenar</t>
  </si>
  <si>
    <t>Moldear mayor</t>
  </si>
  <si>
    <t>Tiempo muerto</t>
  </si>
  <si>
    <t>Cataclismo</t>
  </si>
  <si>
    <t>Triturar</t>
  </si>
  <si>
    <t>Modificación de curvatura</t>
  </si>
  <si>
    <t>Interrupción temporal</t>
  </si>
  <si>
    <t>Anti-Yo</t>
  </si>
  <si>
    <t>Despedazar existencia</t>
  </si>
  <si>
    <t>Desvinculación espacial</t>
  </si>
  <si>
    <t>Rebobinar la realidad</t>
  </si>
  <si>
    <t>Futuro paralelo</t>
  </si>
  <si>
    <t>Potenciar toxinas</t>
  </si>
  <si>
    <t>Inducir enfermedad</t>
  </si>
  <si>
    <t>Inmunidad selectiva</t>
  </si>
  <si>
    <t>Creación de feromonas</t>
  </si>
  <si>
    <t>Mutación</t>
  </si>
  <si>
    <t>Incremento de adrenalina</t>
  </si>
  <si>
    <t>Nublar los sentidos</t>
  </si>
  <si>
    <t>Necrosis</t>
  </si>
  <si>
    <t>Corrosión</t>
  </si>
  <si>
    <t>Auxiliar 1</t>
  </si>
  <si>
    <t>auxiliar 2</t>
  </si>
  <si>
    <t>orden</t>
  </si>
  <si>
    <t>nombres</t>
  </si>
  <si>
    <t>poseido</t>
  </si>
  <si>
    <t>listado</t>
  </si>
  <si>
    <t>Convergencia futura</t>
  </si>
  <si>
    <t>Agujero de gusano</t>
  </si>
  <si>
    <t>Observar ensueño</t>
  </si>
  <si>
    <t>Cuerpo a elecricidad</t>
  </si>
  <si>
    <t>Borrar tiempo</t>
  </si>
  <si>
    <t>Empuje por curvatura</t>
  </si>
  <si>
    <t>Desplazar sonidos</t>
  </si>
  <si>
    <t>Invertir</t>
  </si>
  <si>
    <t>Alterar temperatura corporal</t>
  </si>
  <si>
    <t>Anular dolor</t>
  </si>
  <si>
    <t>Desestructurar cognición</t>
  </si>
  <si>
    <t>Geolocalización</t>
  </si>
  <si>
    <t>Memoria superior</t>
  </si>
  <si>
    <t>Reordenar</t>
  </si>
  <si>
    <t>Carbonizar memorias</t>
  </si>
  <si>
    <t>Almacenar el pasado</t>
  </si>
  <si>
    <t>Ojos de fuego</t>
  </si>
  <si>
    <t>Estancar estados</t>
  </si>
  <si>
    <t>Burbuja de velocidad</t>
  </si>
  <si>
    <t>Otorgar magnetismo</t>
  </si>
  <si>
    <t>Afectar densidad</t>
  </si>
  <si>
    <t>Silencio absoluto</t>
  </si>
  <si>
    <t>Suelo helado</t>
  </si>
  <si>
    <t>Lava</t>
  </si>
  <si>
    <t>Embestida electromagnética</t>
  </si>
  <si>
    <t>Anclar</t>
  </si>
  <si>
    <t>Lupa</t>
  </si>
  <si>
    <t>Esterilizar</t>
  </si>
  <si>
    <t>Mente de cinc</t>
  </si>
  <si>
    <t>Aire espeso</t>
  </si>
  <si>
    <t>Cantar</t>
  </si>
  <si>
    <t>Escudo de fuego</t>
  </si>
  <si>
    <t>Seguir el rastro</t>
  </si>
  <si>
    <t>Alterar la apariencia</t>
  </si>
  <si>
    <t>Materializar elemento</t>
  </si>
  <si>
    <t>Veneno mental</t>
  </si>
  <si>
    <t>Visión incrementada</t>
  </si>
  <si>
    <t>Cadena de rayos</t>
  </si>
  <si>
    <t>Reflejar ataque</t>
  </si>
  <si>
    <t>Mente fría</t>
  </si>
  <si>
    <t>Trasladar</t>
  </si>
  <si>
    <t>Destruir vectores</t>
  </si>
  <si>
    <t>Estallido</t>
  </si>
  <si>
    <t>Cancelar energía</t>
  </si>
  <si>
    <t>Congelar capacidades</t>
  </si>
  <si>
    <t>Superconductividad</t>
  </si>
  <si>
    <t>Despedazar lazos</t>
  </si>
  <si>
    <t>Divergencia pasada</t>
  </si>
  <si>
    <t>Superposición</t>
  </si>
  <si>
    <t>Compactar</t>
  </si>
  <si>
    <t>Eco</t>
  </si>
  <si>
    <t>Cortar espacio</t>
  </si>
  <si>
    <t>Crear radiación</t>
  </si>
  <si>
    <t>Apagón</t>
  </si>
  <si>
    <t>Marcar</t>
  </si>
  <si>
    <t>Piedra</t>
  </si>
  <si>
    <t>Hueso</t>
  </si>
  <si>
    <t>Hierro</t>
  </si>
  <si>
    <t>Acero</t>
  </si>
  <si>
    <t>Acero negro</t>
  </si>
  <si>
    <t>Iluminati</t>
  </si>
  <si>
    <t>Acero blanco</t>
  </si>
  <si>
    <t>Elektra</t>
  </si>
  <si>
    <t>Madera de Ghestal</t>
  </si>
  <si>
    <t>Malebolgia</t>
  </si>
  <si>
    <t>Metal estelar</t>
  </si>
  <si>
    <t>Preferidos 1</t>
  </si>
  <si>
    <t>Preferidos 2</t>
  </si>
  <si>
    <t>Preferidos 3</t>
  </si>
  <si>
    <t>Preferidos 4</t>
  </si>
  <si>
    <t>Preferidos 5</t>
  </si>
  <si>
    <t>Preferidos 6</t>
  </si>
  <si>
    <t>Preferidos 7</t>
  </si>
  <si>
    <t>Resistencia al fuego</t>
  </si>
  <si>
    <t>Resistencia al frío</t>
  </si>
  <si>
    <t>Resistencia a la electricidad</t>
  </si>
  <si>
    <t>Brutalidad</t>
  </si>
  <si>
    <t>Pesado</t>
  </si>
  <si>
    <t>Resistencia mística</t>
  </si>
  <si>
    <t>Débil a lo arcano</t>
  </si>
  <si>
    <t>Contenedor sobrenatural</t>
  </si>
  <si>
    <t>Punto vulnerable</t>
  </si>
  <si>
    <t>Batería</t>
  </si>
  <si>
    <t>Arma especializada</t>
  </si>
  <si>
    <t>Torpe</t>
  </si>
  <si>
    <t>Ágil</t>
  </si>
  <si>
    <t>Ligero</t>
  </si>
  <si>
    <t>Hiperrealista</t>
  </si>
  <si>
    <t>Caminante</t>
  </si>
  <si>
    <t>Todoterreno</t>
  </si>
  <si>
    <t>Trepador</t>
  </si>
  <si>
    <t>Volador</t>
  </si>
  <si>
    <t>Inteligencia Artificial</t>
  </si>
  <si>
    <t>Complejo</t>
  </si>
  <si>
    <t>Carga</t>
  </si>
  <si>
    <t>Gestión Matricial</t>
  </si>
  <si>
    <t>Valle inquietante</t>
  </si>
  <si>
    <t>Perspicaz</t>
  </si>
  <si>
    <t>Cifrado</t>
  </si>
  <si>
    <t>Potenciación psíquica</t>
  </si>
  <si>
    <t>Mejora de cristal</t>
  </si>
  <si>
    <t>Efecto especial</t>
  </si>
  <si>
    <t>Gestión matricial</t>
  </si>
  <si>
    <t>Visión reducida</t>
  </si>
  <si>
    <t>Percepción especial</t>
  </si>
  <si>
    <t>Reacción</t>
  </si>
  <si>
    <t>Inteligencia artificial</t>
  </si>
  <si>
    <t>Mente colmena</t>
  </si>
  <si>
    <t>Despistado</t>
  </si>
  <si>
    <t>Marioneta</t>
  </si>
  <si>
    <t>Desarrollo de secundarias</t>
  </si>
  <si>
    <t>Mala puntería</t>
  </si>
  <si>
    <t>Aleatoriedad</t>
  </si>
  <si>
    <t>Cólera</t>
  </si>
  <si>
    <t>Costo 1</t>
  </si>
  <si>
    <t>Costo 2</t>
  </si>
  <si>
    <t>Costo 3</t>
  </si>
  <si>
    <t>Constructos Psi</t>
  </si>
  <si>
    <t>Nombre del constructo</t>
  </si>
  <si>
    <t>Potencial:</t>
  </si>
  <si>
    <t>Puertos:</t>
  </si>
  <si>
    <t>Material usado</t>
  </si>
  <si>
    <t>PVs y reparación</t>
  </si>
  <si>
    <t>Habilidades secundarias</t>
  </si>
  <si>
    <t>Mejoras por módulos</t>
  </si>
  <si>
    <t>Cristal</t>
  </si>
  <si>
    <t>Ninguno</t>
  </si>
  <si>
    <t>Estadísticas generales</t>
  </si>
  <si>
    <t>Cargas Matriciales</t>
  </si>
  <si>
    <t>Habilidad de Defensa</t>
  </si>
  <si>
    <t>Modificador al Potencial</t>
  </si>
  <si>
    <t>Tamaño máximo permitido</t>
  </si>
  <si>
    <t>9-22</t>
  </si>
  <si>
    <t>Reserva de Zeon:</t>
  </si>
  <si>
    <t>Lista de módulos</t>
  </si>
  <si>
    <t>Reserva de Ki:</t>
  </si>
  <si>
    <t>Capacidades ofensivas</t>
  </si>
  <si>
    <t>Reducción de TAs:</t>
  </si>
  <si>
    <t>Rotura:</t>
  </si>
  <si>
    <t>Arma espec.:</t>
  </si>
  <si>
    <t>Derribo</t>
  </si>
  <si>
    <t>Atributos por carcasa</t>
  </si>
  <si>
    <t>Módulo 1</t>
  </si>
  <si>
    <t>Nombre del módulo</t>
  </si>
  <si>
    <t>Módulo 2</t>
  </si>
  <si>
    <t>modulos 1-2</t>
  </si>
  <si>
    <t>Material</t>
  </si>
  <si>
    <t>Cantidad maxima</t>
  </si>
  <si>
    <t>coste</t>
  </si>
  <si>
    <t>multiplicador</t>
  </si>
  <si>
    <t>total</t>
  </si>
  <si>
    <t>Atributo Pr.</t>
  </si>
  <si>
    <t>Atributo 2</t>
  </si>
  <si>
    <t>PA</t>
  </si>
  <si>
    <t>Atributo 3</t>
  </si>
  <si>
    <t>Atributo 4</t>
  </si>
  <si>
    <t>Pa max</t>
  </si>
  <si>
    <t>Atributo 5</t>
  </si>
  <si>
    <t>Atributo 6</t>
  </si>
  <si>
    <t>Atributo 7</t>
  </si>
  <si>
    <t>Atributo 8</t>
  </si>
  <si>
    <t>Habilidades</t>
  </si>
  <si>
    <t>Módulo 3</t>
  </si>
  <si>
    <t>Módulo 4</t>
  </si>
  <si>
    <t>modulos 3-4</t>
  </si>
  <si>
    <t>Investigación Psi req.</t>
  </si>
  <si>
    <t>Módulo 5</t>
  </si>
  <si>
    <t>Módulo 6</t>
  </si>
  <si>
    <t>modulos 5-6</t>
  </si>
  <si>
    <t>Nivel de fracaso</t>
  </si>
  <si>
    <t>Resultado</t>
  </si>
  <si>
    <t>-1 a -30</t>
  </si>
  <si>
    <t>Defecto añadido</t>
  </si>
  <si>
    <t>-31 a -60</t>
  </si>
  <si>
    <t>Fracaso menor</t>
  </si>
  <si>
    <t>-61 a -100</t>
  </si>
  <si>
    <t>Fracaso total</t>
  </si>
  <si>
    <t>-101 o menos</t>
  </si>
  <si>
    <t>Desastre absoluto</t>
  </si>
  <si>
    <t>Bonos a Ciencia</t>
  </si>
  <si>
    <t>Estudios previos</t>
  </si>
  <si>
    <t>Planificación: similar</t>
  </si>
  <si>
    <t>Planificación: idéntico</t>
  </si>
  <si>
    <t>Bonos a Forja</t>
  </si>
  <si>
    <t>Módulo 7</t>
  </si>
  <si>
    <t>Módulo 8</t>
  </si>
  <si>
    <t>Confección de Marionetas 80+</t>
  </si>
  <si>
    <t>modulos 7-8</t>
  </si>
  <si>
    <t>Preparación: materiales</t>
  </si>
  <si>
    <t>Preparación: materiales av.</t>
  </si>
  <si>
    <t>Notas Constructos Psi</t>
  </si>
  <si>
    <t>Módulo 9</t>
  </si>
  <si>
    <t>Módulo 10</t>
  </si>
  <si>
    <t>modulos 9-10</t>
  </si>
  <si>
    <t>Maniobras maestras</t>
  </si>
  <si>
    <t>Tabla Nivel Psiquico</t>
  </si>
  <si>
    <t>Des. psí: Gravitatoria</t>
  </si>
  <si>
    <t>Des. psí: Control del sonido</t>
  </si>
  <si>
    <t>Des. psí: Presión</t>
  </si>
  <si>
    <t>Des. psí: Antimateria</t>
  </si>
  <si>
    <t>Des. psí: Filoquinesis</t>
  </si>
  <si>
    <t>Des. psí: Dominio del espacio</t>
  </si>
  <si>
    <t>Des. psí: Hidroquinesis</t>
  </si>
  <si>
    <t xml:space="preserve"> &gt; [AE] VENTAJAS: PSIQUICOS</t>
  </si>
  <si>
    <t>Aceleración psicológica</t>
  </si>
  <si>
    <t>Neurodivergente</t>
  </si>
  <si>
    <t>Bipolaridad (1)</t>
  </si>
  <si>
    <t>Bipolaridad (2)</t>
  </si>
  <si>
    <t>Con. psíquico innato (1)</t>
  </si>
  <si>
    <t>Con. psíquico innato (2)</t>
  </si>
  <si>
    <t>Con. psíquico innato (3)</t>
  </si>
  <si>
    <t>Conexión sistemática (1)</t>
  </si>
  <si>
    <t>Conexión sistemática (2)</t>
  </si>
  <si>
    <t>Conexión sistemática (3)</t>
  </si>
  <si>
    <t>Hacker psiónico</t>
  </si>
  <si>
    <t>Trastorno obsesivo-compulsivo</t>
  </si>
  <si>
    <t>Mente cuadrada</t>
  </si>
  <si>
    <t>Des. psí: Sentiente</t>
  </si>
  <si>
    <t>Des. psí: Bioquinesis</t>
  </si>
  <si>
    <t>Des. psíquico: Bioquinesis</t>
  </si>
  <si>
    <t>Motus</t>
  </si>
  <si>
    <t>Des. psíquico Gravitatoria</t>
  </si>
  <si>
    <t>Des. psíquico Control del Sonido</t>
  </si>
  <si>
    <t>Des. psíquico Presión</t>
  </si>
  <si>
    <t>Des. psíquico Antimateria</t>
  </si>
  <si>
    <t>Des. psíquico Filoquinesis</t>
  </si>
  <si>
    <t>Des. psíquico Dominio del Espacio</t>
  </si>
  <si>
    <t>Des. psíquico Bioquinesis</t>
  </si>
  <si>
    <t>Des. psíquico Hidroquinesis</t>
  </si>
  <si>
    <t>Des. psíquico Cronoquinesis</t>
  </si>
  <si>
    <t>Bipolaridad</t>
  </si>
  <si>
    <t>Conexión sistemática</t>
  </si>
  <si>
    <t>Ojos de Kvri</t>
  </si>
  <si>
    <t>Sangre de Vanitas</t>
  </si>
  <si>
    <t>Sangre de Mebagaresi</t>
  </si>
  <si>
    <t>Ojos del Shinigami</t>
  </si>
  <si>
    <t>Ojos del Pecado</t>
  </si>
  <si>
    <t>Sangre de Thelxie'kalarr</t>
  </si>
  <si>
    <t>Sangre de las Arenas</t>
  </si>
  <si>
    <t>Legado demoníaco (1)</t>
  </si>
  <si>
    <t>Legado demoníaco (2)</t>
  </si>
  <si>
    <t>Legado demoníaco (3)</t>
  </si>
  <si>
    <t>Legado de la Vigilia (2)</t>
  </si>
  <si>
    <t>Legado de la Vigilia (3)</t>
  </si>
  <si>
    <t>Legado de la Vigilia (1)</t>
  </si>
  <si>
    <t>, Sacrificio de Sangre, Marionetas de Sangre, Técnicas a través de Marionetas, Afinidad Elemental (Oscuridad), Empatía Conceptual (Muerte)</t>
  </si>
  <si>
    <t>, Visión espiritual, Empatía Conceptual (Esencia)</t>
  </si>
  <si>
    <t>, Olvido, Arrebatar recuerdos, Afinidad Elemental (Frío), Empatía Conceptual (Vacuidad)</t>
  </si>
  <si>
    <t>, Control de la sangre, Consumir la esencia, Rasgos de Mebagaresi, Afinidad Elemental (Agua), Empatía Conceptual (Sangre)</t>
  </si>
  <si>
    <t>, Observar el sino, Agudeza visual, Visión mortífera, Empatía Conceptual (Muerte)</t>
  </si>
  <si>
    <t>, Observar el pecado, Retribución kármica, Empatía Conceptual (Esencia)</t>
  </si>
  <si>
    <t>, Aspecto de la locura, Empatía Conceptual (Vacuidad)</t>
  </si>
  <si>
    <t>, Esencia maligna, Afinidad Elemental (Variable), Empatía Conceptual (Variable)</t>
  </si>
  <si>
    <t>, Sentir la muerte, Cercanía al Más Alla, Afinidad Elemental (Tierra), Empatía Conceptual (Muerte)</t>
  </si>
  <si>
    <t>, Afinidad onírica, Empatía Conceptual (Vacuidad)</t>
  </si>
  <si>
    <t>Vacuidad</t>
  </si>
  <si>
    <t>Sellos de Invocación de Némesis</t>
  </si>
  <si>
    <t>Sellos de Invocación de Ki</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</si>
  <si>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</si>
  <si>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</si>
  <si>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</si>
  <si>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</si>
  <si>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</si>
  <si>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</si>
  <si>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</si>
  <si>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</si>
  <si>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</si>
  <si>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</si>
  <si>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</si>
  <si>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</si>
  <si>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</si>
  <si>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</si>
  <si>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=DESREF(J3;0;;CONTAR.SI(constructo_moduloX_penalizadores;"&lt;&gt;X"))</t>
  </si>
  <si>
    <t>modulo 2</t>
  </si>
  <si>
    <t>Electromagn.</t>
  </si>
  <si>
    <t>Hipersensib.</t>
  </si>
  <si>
    <t>Incremento F.</t>
  </si>
  <si>
    <t>modulo 3</t>
  </si>
  <si>
    <t>Módulos</t>
  </si>
  <si>
    <t>Cristales</t>
  </si>
  <si>
    <t>modulo 4</t>
  </si>
  <si>
    <t>PA base</t>
  </si>
  <si>
    <t>PA max</t>
  </si>
  <si>
    <t>rareza</t>
  </si>
  <si>
    <t>Cargas</t>
  </si>
  <si>
    <t>maniobra</t>
  </si>
  <si>
    <t>material</t>
  </si>
  <si>
    <t>Otros materiales</t>
  </si>
  <si>
    <t>nº usos</t>
  </si>
  <si>
    <t>Presa</t>
  </si>
  <si>
    <t>Inutilizar</t>
  </si>
  <si>
    <t>Cont. sonido</t>
  </si>
  <si>
    <t>Latón</t>
  </si>
  <si>
    <t>Desarmar</t>
  </si>
  <si>
    <t>modulo 5</t>
  </si>
  <si>
    <t>Ataques apuntados</t>
  </si>
  <si>
    <t>Ataques en área</t>
  </si>
  <si>
    <t>Engatillar</t>
  </si>
  <si>
    <t>Dom. espacio</t>
  </si>
  <si>
    <t>modulo 6</t>
  </si>
  <si>
    <t>modulo 7</t>
  </si>
  <si>
    <t>modulo 8</t>
  </si>
  <si>
    <t>modulo 9</t>
  </si>
  <si>
    <t>ataque especial</t>
  </si>
  <si>
    <t>maximo</t>
  </si>
  <si>
    <t>Secundarios</t>
  </si>
  <si>
    <t>opuesto</t>
  </si>
  <si>
    <t>opuesto adquirido</t>
  </si>
  <si>
    <t>descripción</t>
  </si>
  <si>
    <t>efecto</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</si>
  <si>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</si>
  <si>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</si>
  <si>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</si>
  <si>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</si>
  <si>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</si>
  <si>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</si>
  <si>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</si>
  <si>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</si>
  <si>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</si>
  <si>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</si>
  <si>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</si>
  <si>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Resistente,Destructor,Brutalidad,Pesado,</t>
  </si>
  <si>
    <t>ninguno</t>
  </si>
  <si>
    <t>250 m distancia</t>
  </si>
  <si>
    <t>RP o RF 100</t>
  </si>
  <si>
    <t>500 m distancia</t>
  </si>
  <si>
    <t>RP o RF 120</t>
  </si>
  <si>
    <t>Resistente,Batería,Sobrecarga,Complejo,Débil a lo arcano,</t>
  </si>
  <si>
    <t>RP o RF 140</t>
  </si>
  <si>
    <t>Brutalidad,Resistente,Resistencia al fuego, Resistencia al frío,Arma especializada,Ataque especial,Torpe,Cólera,</t>
  </si>
  <si>
    <t>RP o RF 160</t>
  </si>
  <si>
    <t>Destructor,Arma especializada,Ataque especial,Resistente,Resistencia al fuego,Resistencia al frío,Pesado,Torpe,Cólera</t>
  </si>
  <si>
    <t>RP o RF 180</t>
  </si>
  <si>
    <t>Ligero,Explorador,Arma especializada,Hiperrealista,Fragilidad,Debilidad,Punto vulnerable,</t>
  </si>
  <si>
    <t>Ágil,Caminante,Todoterreno,Trepador,Volador,Marioneta,Torpe,</t>
  </si>
  <si>
    <t>Inteligencia artificial,Debilidad,Complejo,</t>
  </si>
  <si>
    <t>Resistente,Pesado,Punto vulnerable,</t>
  </si>
  <si>
    <t>Brutalidad,Destructor,Ataque especial,Gestión matricial,Pesado,Complejo,Mala puntería</t>
  </si>
  <si>
    <t>1 metro radio</t>
  </si>
  <si>
    <t>Ágil,Inteligencia artificial,Perspicaz,Complejo,</t>
  </si>
  <si>
    <t>5 metros radio</t>
  </si>
  <si>
    <t>Paralizacion completa</t>
  </si>
  <si>
    <t>Destructor,Brutalidad,Arma especializada,Potenciación psíquica,Gestión matricial,Pesado,Complejo,</t>
  </si>
  <si>
    <t>10 metros radio</t>
  </si>
  <si>
    <t>Resistencia a la electricidad,Mejora de cristal,Fragilidad,Débil a lo arcano,</t>
  </si>
  <si>
    <t>25 matros radio</t>
  </si>
  <si>
    <t>Inteligencia artificial,Perspicaz,Fragilidad,Complejo,Débil a lo arcano,</t>
  </si>
  <si>
    <t>50 metros radio</t>
  </si>
  <si>
    <t>Contenedor sobrenatural (250 Zeon)</t>
  </si>
  <si>
    <t>Resistencia mística,</t>
  </si>
  <si>
    <t>Débil a lo arcano,</t>
  </si>
  <si>
    <t>100 metros radio</t>
  </si>
  <si>
    <t>Contenedor sobrenatural (500 Zeon)</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</si>
  <si>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</si>
  <si>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</si>
  <si>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</si>
  <si>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</si>
  <si>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</si>
  <si>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</si>
  <si>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</si>
  <si>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</si>
  <si>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</si>
  <si>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</si>
  <si>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Ataque especial,Gestión matricial,Batería,Mejora de cristal,Fragilidad,Complejo,</t>
  </si>
  <si>
    <t>Requiere 5 turnos</t>
  </si>
  <si>
    <t>Drenaje Mitad</t>
  </si>
  <si>
    <t>tabla</t>
  </si>
  <si>
    <t>Ataque especial,Arma especializada,Brutalidad,Gestión matricial,Destructor,Complejo,Aleatoriedad,</t>
  </si>
  <si>
    <t>Drenaje</t>
  </si>
  <si>
    <t>Ataque especial,Efecto especial,Arma especializada,Potenciación Psíquica,</t>
  </si>
  <si>
    <t>Drenaje doble</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</si>
  <si>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</si>
  <si>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</si>
  <si>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</si>
  <si>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</si>
  <si>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Explorador,Percepción especial,Reacción,</t>
  </si>
  <si>
    <t>Inteligencia artificial,Perspicaz,Aura,Explorador,Fragilidad,Punto vulnerable,Despistado,</t>
  </si>
  <si>
    <t>Inteligencia artificial,Perspicaz</t>
  </si>
  <si>
    <t>Reacción,Hiperrealista,Dualidad,Complejo,Cólera,Despistado,Visión reducida,</t>
  </si>
  <si>
    <t>Reparación,Hiperrealista,Reacción,Dualidad,Mente colmena,Fragilidad,Complejo,Sobrecarga,Aleatoriedad,Cólera,Despistado,</t>
  </si>
  <si>
    <t>Inteligencia artificial,Perspicaz,Fragilidad,Complejo,</t>
  </si>
  <si>
    <t>Inteligencia artificial,Fragilidad,Complejo,Sobrecarga,Marioneta,Cólera</t>
  </si>
  <si>
    <t xml:space="preserve"> &gt; ATRIBUTOS DE MOVIMIENTO</t>
  </si>
  <si>
    <t>Ligero,Debilidad,</t>
  </si>
  <si>
    <t>Ligero,Punto vulnerable,</t>
  </si>
  <si>
    <t>Ligero,Visión reducida,</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</si>
  <si>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</si>
  <si>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</si>
  <si>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</si>
  <si>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</si>
  <si>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</si>
  <si>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</si>
  <si>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</si>
  <si>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</si>
  <si>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</si>
  <si>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</si>
  <si>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Resistente,Ligero,Guerrero,Mente colmena,</t>
  </si>
  <si>
    <t>Resistente,Destructor,Brutalidad,Ligero,Guerrero,</t>
  </si>
  <si>
    <t>Resistencia a la electricidad,Batería,Cifrado,</t>
  </si>
  <si>
    <t>Arma especializada,</t>
  </si>
  <si>
    <t>Inteligencia artificial,Perspicaz,</t>
  </si>
  <si>
    <t>Resistencia a la electricidad,Reparación,Arma especializada,Hiperrealista,Ataque especial,Cifrado,Potenciación psíquica,Mejora de cristal,Perspicaz,Inteligencia artificial,Mente colmena</t>
  </si>
  <si>
    <t>Destructor,Brutalidad,Perspicaz,Inteligencia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</si>
  <si>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</si>
  <si>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</si>
  <si>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</si>
  <si>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</si>
  <si>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</si>
  <si>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</si>
  <si>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</si>
  <si>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</si>
  <si>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</si>
  <si>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</si>
  <si>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</si>
  <si>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</si>
  <si>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</si>
  <si>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</si>
  <si>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</si>
  <si>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</si>
  <si>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</si>
  <si>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</si>
  <si>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</si>
  <si>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</si>
  <si>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</si>
  <si>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</si>
  <si>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</si>
  <si>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</si>
  <si>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</si>
  <si>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</si>
  <si>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</si>
  <si>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</si>
  <si>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</si>
  <si>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</si>
  <si>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</si>
  <si>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</si>
  <si>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</si>
  <si>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</si>
  <si>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</si>
  <si>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</si>
  <si>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</si>
  <si>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</si>
  <si>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</si>
  <si>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</si>
  <si>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</si>
  <si>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</si>
  <si>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</si>
  <si>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</si>
  <si>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</si>
  <si>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</si>
  <si>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</si>
  <si>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</si>
  <si>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</si>
  <si>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</si>
  <si>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</si>
  <si>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</si>
  <si>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</si>
  <si>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</si>
  <si>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</si>
  <si>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</si>
  <si>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</si>
  <si>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</si>
  <si>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</si>
  <si>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</si>
  <si>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</si>
  <si>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</si>
  <si>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</si>
  <si>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</si>
  <si>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</si>
  <si>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</si>
  <si>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</si>
  <si>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</si>
  <si>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</si>
  <si>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</si>
  <si>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</si>
  <si>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</si>
  <si>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</si>
  <si>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</si>
  <si>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</si>
  <si>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</si>
  <si>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</si>
  <si>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</si>
  <si>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</si>
  <si>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</si>
  <si>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</si>
  <si>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</si>
  <si>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</si>
  <si>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</si>
  <si>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</si>
  <si>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</si>
  <si>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</si>
  <si>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</si>
  <si>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</si>
  <si>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</si>
  <si>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</si>
  <si>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</si>
  <si>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</si>
  <si>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</si>
  <si>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</si>
  <si>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</si>
  <si>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</si>
  <si>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</si>
  <si>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</si>
  <si>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</si>
  <si>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</si>
  <si>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</si>
  <si>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</si>
  <si>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</si>
  <si>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Madera común</t>
  </si>
  <si>
    <t xml:space="preserve">Nogal </t>
  </si>
  <si>
    <t>Ébano azote negro</t>
  </si>
  <si>
    <t>Piedra común</t>
  </si>
  <si>
    <t>Arenisca</t>
  </si>
  <si>
    <t>Granito</t>
  </si>
  <si>
    <t>Lumina</t>
  </si>
  <si>
    <t>Nyx</t>
  </si>
  <si>
    <t>Oro y plata</t>
  </si>
  <si>
    <t>Alabastro</t>
  </si>
  <si>
    <t>Obsidiana</t>
  </si>
  <si>
    <t>Gemas preciosas</t>
  </si>
  <si>
    <t>Nivel Psíquico:</t>
  </si>
  <si>
    <t>Nodos de la Red:</t>
  </si>
  <si>
    <t>Saltos en el espacio. Ver</t>
  </si>
  <si>
    <t>Ars Cognitiam personalizado 1</t>
  </si>
  <si>
    <t>Ars Cognitiam personalizado 2</t>
  </si>
  <si>
    <t>Ars Cognitiam personalizado 3</t>
  </si>
  <si>
    <t>Selección de poder especializado</t>
  </si>
  <si>
    <t>Nodos opcionales</t>
  </si>
  <si>
    <t>Lista de nodos</t>
  </si>
  <si>
    <t>Caos Matricial</t>
  </si>
  <si>
    <t>Proy. Psíquica Determinada</t>
  </si>
  <si>
    <t>Maestría Innata</t>
  </si>
  <si>
    <t>Lista de poderes</t>
  </si>
  <si>
    <t>Ars Cognitiam Personalizados</t>
  </si>
  <si>
    <t>Tipo de psicópata</t>
  </si>
  <si>
    <t>Bono extroversión</t>
  </si>
  <si>
    <t>Personalización: Legados, Ars Magnus y Ars Inana</t>
  </si>
  <si>
    <t>Ars Magnus y Ars Inana Personalizados</t>
  </si>
  <si>
    <t>Invest. Psi</t>
  </si>
  <si>
    <t>C. ofen</t>
  </si>
  <si>
    <t>&gt; GRAVITATORIA</t>
  </si>
  <si>
    <t>Multiplica o divide en 2 gravedad</t>
  </si>
  <si>
    <t>Multiplica o divide en 3 gravedad</t>
  </si>
  <si>
    <t>Multiplica o divide en 4 gravedad</t>
  </si>
  <si>
    <t>Multiplica o divide en 5 gravedad</t>
  </si>
  <si>
    <t>Multiplica o divide en 6 gravedad</t>
  </si>
  <si>
    <t>1 objeto</t>
  </si>
  <si>
    <t>2 objetos</t>
  </si>
  <si>
    <t>Fatiga 32</t>
  </si>
  <si>
    <t>&gt; CONTROL DEL SONIDO</t>
  </si>
  <si>
    <t>+10 Advertir y Buscar o Sigilo</t>
  </si>
  <si>
    <t>+20 Advertir y Buscar o Sigilo</t>
  </si>
  <si>
    <t>+30 Advertir y Buscar o Sigilo</t>
  </si>
  <si>
    <t>+40 Advertir y Buscar o Sigilo</t>
  </si>
  <si>
    <t>+50 Advertir y Buscar o Sigilo</t>
  </si>
  <si>
    <t>+80 Advertir y Buscar o Sigilo</t>
  </si>
  <si>
    <t>+100 Advertir y Buscar o Sigilo</t>
  </si>
  <si>
    <t>Daño 20 / Advertir 80 / RF 80</t>
  </si>
  <si>
    <t>Daño 30 / Advertir 100 / RF 100</t>
  </si>
  <si>
    <t>Daño 500 o 1/2 PV</t>
  </si>
  <si>
    <t>Destrucción automática</t>
  </si>
  <si>
    <t>+20 Habilidades / PER 10</t>
  </si>
  <si>
    <t>+40 Habilidades / PER 12</t>
  </si>
  <si>
    <t>+60 Habilidades / PER 14</t>
  </si>
  <si>
    <t>+80 Habilidades / PER 16</t>
  </si>
  <si>
    <t>+120 Habilidades / PER 18</t>
  </si>
  <si>
    <t>+140 Habilidades / PER 20</t>
  </si>
  <si>
    <t>2 intensidades</t>
  </si>
  <si>
    <t>&gt; HIDROQUINESIS</t>
  </si>
  <si>
    <t>Hasta 300 PV / Daño 20</t>
  </si>
  <si>
    <t>Hasta 500 PV / Daño 30</t>
  </si>
  <si>
    <t>Hasta 750 PV / Daño 40</t>
  </si>
  <si>
    <t>Hasta 1.000 PV / Daño 50</t>
  </si>
  <si>
    <t>1/3 mov. pasivo / Acrobacias 180</t>
  </si>
  <si>
    <t>1/2 mov. pasivo / Acrobacias 240</t>
  </si>
  <si>
    <t>Todo el mov. pasivo / Acr. 280</t>
  </si>
  <si>
    <t>Fatiga 18</t>
  </si>
  <si>
    <t>Faitiga 18</t>
  </si>
  <si>
    <t>200 PV / -10 proyectiles</t>
  </si>
  <si>
    <t>300 PV / -20 proyectiles</t>
  </si>
  <si>
    <t>400 PV / -30 proyectiles</t>
  </si>
  <si>
    <t>500 PV / -40 proyectiles</t>
  </si>
  <si>
    <t>800 PV / -50 proyectiles</t>
  </si>
  <si>
    <t>1.000 PV / -60 proyectiles</t>
  </si>
  <si>
    <t>1.500 PV / -80 proyectiles</t>
  </si>
  <si>
    <t>3.000 PV / -100 proyectiles</t>
  </si>
  <si>
    <t>+1 acción</t>
  </si>
  <si>
    <t>+2 acciones</t>
  </si>
  <si>
    <t>+2 acciones, +1 Ataq. Adicional</t>
  </si>
  <si>
    <t>+3 acciones, +1 Ataq. Adicional</t>
  </si>
  <si>
    <t>+4 acciones, +2 Ataq. Adicional</t>
  </si>
  <si>
    <t>&gt; PRESION</t>
  </si>
  <si>
    <t>1 atmósfera / 3 m de radio</t>
  </si>
  <si>
    <t>2 atmósferas / 5 m de radio</t>
  </si>
  <si>
    <t>50 gr, 25 m / 25 gr, -1 TA, 100 m</t>
  </si>
  <si>
    <t>100 gr, 100 m / 50 gr, -2 TA, 200 m</t>
  </si>
  <si>
    <t>1 kg, -1 TA, 200 m / 500 gr, -3 TA, 500 m</t>
  </si>
  <si>
    <t>5 kg, -1 TA, 500 m / 1 kg, -3 TA, 1 Km</t>
  </si>
  <si>
    <t>10 kg, -2 TA, 1 Km / 5 kg, -4 TA, 5 km</t>
  </si>
  <si>
    <t>25 kg, -2 TA, 500 m / 10 kg, -4 TA, 10 km</t>
  </si>
  <si>
    <t>&gt; ANTIMATERIA</t>
  </si>
  <si>
    <t>2 intensidadades</t>
  </si>
  <si>
    <t>3 intensidadades</t>
  </si>
  <si>
    <t>5 intensidadades</t>
  </si>
  <si>
    <t>10 intensidadades</t>
  </si>
  <si>
    <t>15 intensidadades</t>
  </si>
  <si>
    <t>20 intensidadades</t>
  </si>
  <si>
    <t>25 intensidadades</t>
  </si>
  <si>
    <t>25 metros radio</t>
  </si>
  <si>
    <t>250 metros radio</t>
  </si>
  <si>
    <t>&gt; FILOQUINESIS</t>
  </si>
  <si>
    <t>Daño 60 / -1 TAs</t>
  </si>
  <si>
    <t>Daño 80 / -2 TAs</t>
  </si>
  <si>
    <t>Daño 100 / -3 TAs</t>
  </si>
  <si>
    <t>Daño 120 / -4 TAs</t>
  </si>
  <si>
    <t>Daño 140 / -5 TAs</t>
  </si>
  <si>
    <t>Daño 160 / -6 TAs</t>
  </si>
  <si>
    <t>Daño 180 / -8 TAs</t>
  </si>
  <si>
    <t>-1 TA / +2 Rotura</t>
  </si>
  <si>
    <t>-2 TAs / +4 Rotura</t>
  </si>
  <si>
    <t>-3 TAs / +6 Rotura</t>
  </si>
  <si>
    <t>-4 TAs / +8 Rotura</t>
  </si>
  <si>
    <t>-5 TAs / +10 Rotura</t>
  </si>
  <si>
    <t>-6 TAs / +12 Rotura</t>
  </si>
  <si>
    <t>-8 TAs / +16 Rotura / Daño irr.</t>
  </si>
  <si>
    <t>&gt; DOMINIO DEL ESPACIO</t>
  </si>
  <si>
    <t>3 Desvíos</t>
  </si>
  <si>
    <t>4 Desvíos</t>
  </si>
  <si>
    <t>5 Desvíos</t>
  </si>
  <si>
    <t>6 Desvíos</t>
  </si>
  <si>
    <t>15 metros</t>
  </si>
  <si>
    <t>30 metros</t>
  </si>
  <si>
    <t>1 kllómetro</t>
  </si>
  <si>
    <t>Hasta daño 40</t>
  </si>
  <si>
    <t>Hasta daño 50</t>
  </si>
  <si>
    <t>Hasta daño 60</t>
  </si>
  <si>
    <t>Hasta daño 70</t>
  </si>
  <si>
    <t>Hasta daño 80</t>
  </si>
  <si>
    <t>Hasta daño 90</t>
  </si>
  <si>
    <t>Hasta daño 100</t>
  </si>
  <si>
    <t>Fatiag 6</t>
  </si>
  <si>
    <t>&gt; PODERES SINERGICOS</t>
  </si>
  <si>
    <t>Poder sinérgico</t>
  </si>
  <si>
    <t>250 m de distancia</t>
  </si>
  <si>
    <t>500 m de distancia</t>
  </si>
  <si>
    <t>1 km de distancia</t>
  </si>
  <si>
    <t>10 km de distancia</t>
  </si>
  <si>
    <t>100 km de distancia</t>
  </si>
  <si>
    <t>500 km de distancia</t>
  </si>
  <si>
    <t>1.000 km de distancia</t>
  </si>
  <si>
    <t>10 metros / Advertir 120 o Flanco</t>
  </si>
  <si>
    <t>20 metros / Advertir 140 o Flanco</t>
  </si>
  <si>
    <t>25 metros / Advertir 180 o Espalda</t>
  </si>
  <si>
    <t>50 metros / Advertir 240 o Espalda</t>
  </si>
  <si>
    <t>100 metros / Advertir 280 o Espalda</t>
  </si>
  <si>
    <t>+40 a Resistir el Dolor</t>
  </si>
  <si>
    <t>+60 a Resistir el Dolor</t>
  </si>
  <si>
    <t>+80 a Resistir el Dolor</t>
  </si>
  <si>
    <t>+100 a RD / Incansable</t>
  </si>
  <si>
    <t>+120 a RD / Incansable</t>
  </si>
  <si>
    <t>1 km / +20 a Rastrear</t>
  </si>
  <si>
    <t>5 km / +40 a Rastrear / Ub. exacta</t>
  </si>
  <si>
    <t>10 km / +80 a Rastrear / Ub. exacta</t>
  </si>
  <si>
    <t>50 km / +120 a Rastrear / Ub. y dist.</t>
  </si>
  <si>
    <t>100 km / +140 a Rastrear / Ub. y dist.</t>
  </si>
  <si>
    <t>+10 a Memorizar</t>
  </si>
  <si>
    <t>+20 a Memorizar</t>
  </si>
  <si>
    <t>+30 a Memorizar</t>
  </si>
  <si>
    <t>+80 a Memorizar / Reduce un grado</t>
  </si>
  <si>
    <t>10 m / Natura 0 / Sucesos comunes</t>
  </si>
  <si>
    <t>25 m / Natura 5 / Sucesos raros</t>
  </si>
  <si>
    <t>50 m / Natura 10 / Sucesos casi imposibles</t>
  </si>
  <si>
    <t>+10 toda acc. / -5 toda acc. / 3 asaltos</t>
  </si>
  <si>
    <t>+15 toda acc. / -5 toda acc. / 5 asaltos</t>
  </si>
  <si>
    <t>+20 toda acc. / -10 toda acc. / 10 asaltos</t>
  </si>
  <si>
    <t>+25 toda acc. / -10 toda acc. / 15 asaltos</t>
  </si>
  <si>
    <t>+30 toda acc. / -15 toda acc. / 20 asaltos</t>
  </si>
  <si>
    <t>Faitiga 6</t>
  </si>
  <si>
    <t>2 asaltos</t>
  </si>
  <si>
    <t>7 asaltos</t>
  </si>
  <si>
    <t>10 asaltos</t>
  </si>
  <si>
    <t>Acrobacias 80 o AGI 12 / 5 m</t>
  </si>
  <si>
    <t>10 m / 60 RF</t>
  </si>
  <si>
    <t>15 m / 80 RF</t>
  </si>
  <si>
    <t>20 m / 100 RF</t>
  </si>
  <si>
    <t>1 h / Daño 10 / Rango max 1 km</t>
  </si>
  <si>
    <t>2 h / Daño 20 / Rango max 5 km</t>
  </si>
  <si>
    <t>+10 / 1 asalto</t>
  </si>
  <si>
    <t>+20 / 2 asaltos</t>
  </si>
  <si>
    <t>+30 / 3 asaltos</t>
  </si>
  <si>
    <t>+40 / 4 asaltos</t>
  </si>
  <si>
    <t>+60 / 5 asaltos</t>
  </si>
  <si>
    <t>+70 / 6 asaltos</t>
  </si>
  <si>
    <t>+80 / 7 asalto</t>
  </si>
  <si>
    <t>+20 a Música (cantar)</t>
  </si>
  <si>
    <t>+40 a Música (cantar)</t>
  </si>
  <si>
    <t>+60 a Música (cantar)</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</si>
  <si>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</si>
  <si>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</si>
  <si>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</si>
  <si>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</si>
  <si>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</si>
  <si>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</si>
  <si>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</si>
  <si>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</si>
  <si>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</si>
  <si>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</si>
  <si>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</si>
  <si>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Proyectiles físicos</t>
  </si>
  <si>
    <t>Ataques físicos</t>
  </si>
  <si>
    <t>Descargas materiales</t>
  </si>
  <si>
    <t>Cualquier ataque</t>
  </si>
  <si>
    <t>Efectos esotéricos de ataque</t>
  </si>
  <si>
    <t>Ataques anímicos</t>
  </si>
  <si>
    <t>Refleja todo</t>
  </si>
  <si>
    <t>+5 al bono</t>
  </si>
  <si>
    <t>+10 al bono</t>
  </si>
  <si>
    <t>+15 al bono</t>
  </si>
  <si>
    <t>+15 al bono / +1 cansancios usables</t>
  </si>
  <si>
    <t>+15 al bono / +2 cansancios usables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</si>
  <si>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</si>
  <si>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</si>
  <si>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</si>
  <si>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</si>
  <si>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</si>
  <si>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</si>
  <si>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</si>
  <si>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</si>
  <si>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15 asaltos</t>
  </si>
  <si>
    <t>20 asaltos</t>
  </si>
  <si>
    <t>1 asalto / -5 RF</t>
  </si>
  <si>
    <t>2 asaltos / -10 RF</t>
  </si>
  <si>
    <t>3 asaltos / -15 RF</t>
  </si>
  <si>
    <t>5 asaltos / -20 RF</t>
  </si>
  <si>
    <t>7 asaltos / -25 RF / Mov. Libre</t>
  </si>
  <si>
    <t>10 asaltos / -30 RF / Mov. Libre</t>
  </si>
  <si>
    <t>Un mes / 1 línea alterna</t>
  </si>
  <si>
    <t>Un año / 2 líneas alternas</t>
  </si>
  <si>
    <t>Cinco años / 3 líneas alternas</t>
  </si>
  <si>
    <t>Diez años / 4 líneas alternas</t>
  </si>
  <si>
    <t>Toda la vida / 5 líneas alternas</t>
  </si>
  <si>
    <t>Presencia 20</t>
  </si>
  <si>
    <t>Presencia 40</t>
  </si>
  <si>
    <t>Presencia 80</t>
  </si>
  <si>
    <t>Presencia 100</t>
  </si>
  <si>
    <t>Presencia 150</t>
  </si>
  <si>
    <r>
      <t xml:space="preserve">Presencia </t>
    </r>
    <r>
      <rPr>
        <b/>
        <sz val="8"/>
        <color rgb="FF000000"/>
        <rFont val="Arial"/>
        <family val="2"/>
      </rPr>
      <t>200</t>
    </r>
  </si>
  <si>
    <t>Presencia 250</t>
  </si>
  <si>
    <t>Hasta 50 kg</t>
  </si>
  <si>
    <t>Hasta 500 kg</t>
  </si>
  <si>
    <t>Hasta 1 t / 1 estado</t>
  </si>
  <si>
    <t>Hasta 5 t / 1 estado</t>
  </si>
  <si>
    <t>Hasta 10 t / 2 estados</t>
  </si>
  <si>
    <t>Hasta 100 t / 2 estados</t>
  </si>
  <si>
    <t>Daño 20 / Adv 60 / 1 rebote, 1 m de radio</t>
  </si>
  <si>
    <t>Daño 30 / Adv 80 / 1 rebote, 3 m de radio</t>
  </si>
  <si>
    <t>Daño 40 / Adv 100 / 2 rebotes, 5 m de radio</t>
  </si>
  <si>
    <t>Daño 60 / Adv 140 / 3 rebotes, 15 m de radio</t>
  </si>
  <si>
    <t>Daño 80 / Adv 160 / 3 rebotes, 30 m de radio</t>
  </si>
  <si>
    <t>Fatga 4</t>
  </si>
  <si>
    <t>Contador de disponibilidad</t>
  </si>
  <si>
    <t>Ofensivo</t>
  </si>
  <si>
    <t>C.esc</t>
  </si>
  <si>
    <t>&gt; BIOQUINESIS</t>
  </si>
  <si>
    <t>Manipular neurotransmisores</t>
  </si>
  <si>
    <t>&gt; CRONOQUINESIS</t>
  </si>
  <si>
    <t>Singularidad</t>
  </si>
  <si>
    <t>SÍ</t>
  </si>
  <si>
    <t>Efectos vocvales</t>
  </si>
  <si>
    <t>&gt; PODERES SINÉRGICOS</t>
  </si>
  <si>
    <t>Mutación, Habilidad de Ataque 150+, Inhumanidad</t>
  </si>
  <si>
    <t>Forma Astral, Uso de la energía necesaria, Habilidad de Ataque 150+.</t>
  </si>
  <si>
    <t>Manipular la luz, Moldear espacio, Habilidad de Ataque 150+, Voluntad 11+.</t>
  </si>
  <si>
    <t>Discordancia Sonora, Habilidad de Ataque 180+, Habilidad de Defensa 180+, Música 100+.</t>
  </si>
  <si>
    <t>Conectar matrices, Proyección Psíquica 150+, Inteligencia 11+.</t>
  </si>
  <si>
    <t>Singularidad, Moldear, Habilidad de Ataque 180+, Voluntad 11+.</t>
  </si>
  <si>
    <t>Creación de energía, Armadura telequinética, Habilidad de Defensa 180+, Voluntad 11+.</t>
  </si>
  <si>
    <t>Comp.1</t>
  </si>
  <si>
    <t>Comp.2</t>
  </si>
  <si>
    <t>Comp.3</t>
  </si>
  <si>
    <t>Comp.4</t>
  </si>
  <si>
    <t>Orbitar, Agilidad 8+</t>
  </si>
  <si>
    <t>conocimiento psiquico innato ventaja</t>
  </si>
  <si>
    <t>Nivel 30</t>
  </si>
  <si>
    <t>Nivel 40</t>
  </si>
  <si>
    <t>Nivel 50</t>
  </si>
  <si>
    <t>Nivel 60</t>
  </si>
  <si>
    <t>Nivel 70</t>
  </si>
  <si>
    <t>Nivel 80</t>
  </si>
  <si>
    <t>Nivel 90</t>
  </si>
  <si>
    <t>Reparación,Hiperrealista,Cifrado,Potenciación psíquica,Mejora de cristal,Perspicaz,Inteligencia artificial,Mente colmena</t>
  </si>
  <si>
    <t>Madera, Nogal y Ébano</t>
  </si>
  <si>
    <t>Piedra, Arenisca y Granito</t>
  </si>
  <si>
    <t>Acero y Acero negro</t>
  </si>
  <si>
    <t>Nyx e Illumina</t>
  </si>
  <si>
    <t>Iluminati, Oro y Plata</t>
  </si>
  <si>
    <t>Puertos</t>
  </si>
  <si>
    <t>Des. psí: Cronoquinesis</t>
  </si>
  <si>
    <t>2 chequeos / 20 habilidades</t>
  </si>
  <si>
    <t>Sucesos menores posibles / RP 100</t>
  </si>
  <si>
    <t>Sucesos medios no habituales / RP 120</t>
  </si>
  <si>
    <t>Sucesos mayores extraños / RP 140</t>
  </si>
  <si>
    <t>Sucesos increíbles / RP 180</t>
  </si>
  <si>
    <t>Multiplica o divide en 7 gravedad</t>
  </si>
  <si>
    <t>Multiplica o divide en 8 gravedad</t>
  </si>
  <si>
    <t>Multiplica o divide en 10  gravedad</t>
  </si>
  <si>
    <t>3 objetos</t>
  </si>
  <si>
    <t>5 objetos / +10 Proy. Psíquica</t>
  </si>
  <si>
    <t>6 objetos / +20 Proy. Psíquica</t>
  </si>
  <si>
    <t>7 objetos / +30 Proy. Psíquica</t>
  </si>
  <si>
    <t>8 objetos / +40 Proy. Psíquica</t>
  </si>
  <si>
    <t>Objetos ilimitados / +50 Proy. Psíquica</t>
  </si>
  <si>
    <t>Campo de Gravitones</t>
  </si>
  <si>
    <t>Misma masa / 10 m</t>
  </si>
  <si>
    <t>Misma masa / 25 m</t>
  </si>
  <si>
    <t>Doble masa / 50 m</t>
  </si>
  <si>
    <t>Triple masa / 500 m</t>
  </si>
  <si>
    <t>Cuádruple masa / 1km</t>
  </si>
  <si>
    <t>Quíntuple masa / 10 km</t>
  </si>
  <si>
    <t>Inorgánicos / RF 100</t>
  </si>
  <si>
    <t>Orgánicos / RF 120</t>
  </si>
  <si>
    <t>Cielo / RF 140</t>
  </si>
  <si>
    <t>Estructura sobrenat. / RF 160</t>
  </si>
  <si>
    <t>RF 220</t>
  </si>
  <si>
    <t>2G  / 25 m / ±1 grado / RF 120</t>
  </si>
  <si>
    <t>50G  / 1 km / ±2 grados / RF 240</t>
  </si>
  <si>
    <t>15G  / 500 m / ±2 grados / RF 180</t>
  </si>
  <si>
    <t>10G  / 100 m / ±1 grado / RF 160</t>
  </si>
  <si>
    <t>5G  / 50 m / ±1 grado / RF 140</t>
  </si>
  <si>
    <t>+60 Advertir y Buscar o Sigilo</t>
  </si>
  <si>
    <t>Daño 40 / Advertir 120 / RF 120</t>
  </si>
  <si>
    <t>Daño 50 / Advertir 140 / RF 140</t>
  </si>
  <si>
    <t>Daño 60 / Advertir 180 / RF 160</t>
  </si>
  <si>
    <t>Daño 70 / Advertir 200 / RF 180</t>
  </si>
  <si>
    <t>Daño 80 / Advertir 220 / RF 200</t>
  </si>
  <si>
    <t>Daño 100 / Advertir 240 / RF 240</t>
  </si>
  <si>
    <t>10 m / Sigilo 100</t>
  </si>
  <si>
    <t>50 m / Sigilo 120</t>
  </si>
  <si>
    <t>100 m / Sigilo 140</t>
  </si>
  <si>
    <t>250 m / Sigilo 180</t>
  </si>
  <si>
    <t>500 m / Sigilo 240</t>
  </si>
  <si>
    <t>1 km /  Sigilo 280</t>
  </si>
  <si>
    <t>10 m / RP 120</t>
  </si>
  <si>
    <t>15 m / RP 140</t>
  </si>
  <si>
    <t>25 m / RP 180</t>
  </si>
  <si>
    <t>50 m / RP 200</t>
  </si>
  <si>
    <t>20 m / RP 160</t>
  </si>
  <si>
    <t>3 asaltos / 25 m</t>
  </si>
  <si>
    <t>5 asaltos / 50 m</t>
  </si>
  <si>
    <t>7 asaltos / 100 m</t>
  </si>
  <si>
    <t>10 asaltos / 250 m</t>
  </si>
  <si>
    <t>15 asaltos / 500 m</t>
  </si>
  <si>
    <t>3 atmósferas / 10 m de radio</t>
  </si>
  <si>
    <t>4 atmósferas / 25 m de radio</t>
  </si>
  <si>
    <t>5 atmósferas / 50 m de radio</t>
  </si>
  <si>
    <t>6 atmósferas / 100 m de radio</t>
  </si>
  <si>
    <t>7 atmósferas / 200 m de radio</t>
  </si>
  <si>
    <t>8 atmósferas / 300 m de radio</t>
  </si>
  <si>
    <t>1 metro / RF 40</t>
  </si>
  <si>
    <t>5 metros / RF 60</t>
  </si>
  <si>
    <t>10 metros / RF 80</t>
  </si>
  <si>
    <t>25 metros / RF 100</t>
  </si>
  <si>
    <t>50 metros / RF 120</t>
  </si>
  <si>
    <t>100 metros / RF 140</t>
  </si>
  <si>
    <t>20 gr, 20 m / 10 gr, -1 TA, 50 m</t>
  </si>
  <si>
    <t>Daño 80 / RF 120</t>
  </si>
  <si>
    <t>Daño 100 / RF 140</t>
  </si>
  <si>
    <t>Daño 120 / RF 180</t>
  </si>
  <si>
    <t>Daño 140 / RF 240</t>
  </si>
  <si>
    <t>Daño 160 / RF 280</t>
  </si>
  <si>
    <t>10 atm / 500 m radio / RF 100</t>
  </si>
  <si>
    <t>20 atm / 1 km radio / RF 120</t>
  </si>
  <si>
    <t>50 atm / 5 Km radio / RF 140</t>
  </si>
  <si>
    <t>3 defensas / 400 PV / RF 80</t>
  </si>
  <si>
    <t>4 defensas / 500 PV / RF 100</t>
  </si>
  <si>
    <t>5 defensas / 700 PV / RF 120</t>
  </si>
  <si>
    <t>6 defensas / 800 PV / RF 140</t>
  </si>
  <si>
    <t>7 defensas / 1000 PV / RF 160</t>
  </si>
  <si>
    <t>Defensas ilimitadas / 1500 PV / RF 180</t>
  </si>
  <si>
    <t>Daño 50 / 10 m / RF 120 o 5%</t>
  </si>
  <si>
    <t>Daño 60 / 25 m  / RF 140 o 7%</t>
  </si>
  <si>
    <t>Daño 70 / 50 m / RF 160 o 10%</t>
  </si>
  <si>
    <t>Daño 80 / 100 m / RF 180 o 15%</t>
  </si>
  <si>
    <t>Daño 100 / 250m / RF 200 o 20%</t>
  </si>
  <si>
    <t>1 m³</t>
  </si>
  <si>
    <t>2 m³ / 2 turnos</t>
  </si>
  <si>
    <t>1 m³ / 2 turnos</t>
  </si>
  <si>
    <t>3 m³ / 3 turnos</t>
  </si>
  <si>
    <t>4 m³ / 3 turnos</t>
  </si>
  <si>
    <t>5 m³ / 4 turnos</t>
  </si>
  <si>
    <t>10 m³ / 4 turnos</t>
  </si>
  <si>
    <t>20 m³ / 5 turnos</t>
  </si>
  <si>
    <t>100 m / RF 180 o daño 200 / 7 tur.</t>
  </si>
  <si>
    <t>50 m / RF 160 o daño 150 / 5 tur.</t>
  </si>
  <si>
    <t>25 m / RF 140 o daño 120 / 3 tur.</t>
  </si>
  <si>
    <t>10 m / RF 120 o daño 80 / 1 tur.</t>
  </si>
  <si>
    <t>RF 120 / 3 turnos</t>
  </si>
  <si>
    <t>RF 140 / 5 turnos</t>
  </si>
  <si>
    <t>RF 160 / 7 turnos</t>
  </si>
  <si>
    <t>RF 180 / 10 turnos</t>
  </si>
  <si>
    <t>RF 200 / 15 turnos</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</si>
  <si>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</si>
  <si>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</si>
  <si>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</si>
  <si>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</si>
  <si>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</si>
  <si>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</si>
  <si>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</si>
  <si>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</si>
  <si>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</si>
  <si>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</si>
  <si>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</si>
  <si>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50 m / Barrera daño 80</t>
  </si>
  <si>
    <t>100 m / Barrera daño 100</t>
  </si>
  <si>
    <t>250 m / Barrera daño 140</t>
  </si>
  <si>
    <t>500 m / Barrera daño 180</t>
  </si>
  <si>
    <t>1 km / Barrera daño 200</t>
  </si>
  <si>
    <t>3 Ataques / -4 TA</t>
  </si>
  <si>
    <t>4 Ataques / -6 TA</t>
  </si>
  <si>
    <t>5 Ataques / -8 TA</t>
  </si>
  <si>
    <t>6 Ataques / Sin TA</t>
  </si>
  <si>
    <t>10 m / Daño 100 / -3 TAs</t>
  </si>
  <si>
    <t>25 m / Daño 120 / -5 TAs</t>
  </si>
  <si>
    <t>50 m / Daño 140 / -6 TAs</t>
  </si>
  <si>
    <t>100 m / Daño 180 / -8 TA</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</si>
  <si>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</si>
  <si>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</si>
  <si>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</si>
  <si>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</si>
  <si>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</si>
  <si>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</si>
  <si>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</si>
  <si>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</si>
  <si>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7 Desvíos / Afecta energía</t>
  </si>
  <si>
    <t>8 Desvíos / Afecta energía</t>
  </si>
  <si>
    <t>Desvíos ilimitados / Afecta energía</t>
  </si>
  <si>
    <t>100 kg / Fuerza 4</t>
  </si>
  <si>
    <t>200 kg / Fuerza 6</t>
  </si>
  <si>
    <t>300 kg / Fuerza 8</t>
  </si>
  <si>
    <t>400 kg / Fuerza 10</t>
  </si>
  <si>
    <t>500 kg / Fuerza 12</t>
  </si>
  <si>
    <t>600 kg / Fuerza 14</t>
  </si>
  <si>
    <t>1 t / Fuerza 16</t>
  </si>
  <si>
    <t>10 t / Fuerza 18</t>
  </si>
  <si>
    <t>100 m³ / RF 100</t>
  </si>
  <si>
    <t>10 m³ / RF 80</t>
  </si>
  <si>
    <t>1 km³ / RF 120</t>
  </si>
  <si>
    <t>10 km³ / RF 140</t>
  </si>
  <si>
    <t>100 km³ / RF 180</t>
  </si>
  <si>
    <t>1.000 km³ / RF 200</t>
  </si>
  <si>
    <t>10.000 km³ / RF 220</t>
  </si>
  <si>
    <t>-1 TM / 5 m / RF 100</t>
  </si>
  <si>
    <t>-3 TM / 10 m / RF 120</t>
  </si>
  <si>
    <t>-5 TM / 100 m / RF 140</t>
  </si>
  <si>
    <t>-6 TM / 500 m / RF 160</t>
  </si>
  <si>
    <t>-7 TM / 1 km / RF 180</t>
  </si>
  <si>
    <t>-8 TM / 10 km / RF 200</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</si>
  <si>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</si>
  <si>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</si>
  <si>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</si>
  <si>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</si>
  <si>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</si>
  <si>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</si>
  <si>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</si>
  <si>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</si>
  <si>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</si>
  <si>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+20 a la RV</t>
  </si>
  <si>
    <t>+15 a la RV</t>
  </si>
  <si>
    <t>+25 a la RV</t>
  </si>
  <si>
    <t>+30 a la RV</t>
  </si>
  <si>
    <t>+35 a la RV</t>
  </si>
  <si>
    <t>+40 a la RV</t>
  </si>
  <si>
    <t>+50 a la RV</t>
  </si>
  <si>
    <t>RE 80</t>
  </si>
  <si>
    <t>RE 100</t>
  </si>
  <si>
    <t>RE 120</t>
  </si>
  <si>
    <t>RE 140 / +1 efecto</t>
  </si>
  <si>
    <t>10 m / RE 160 / +2 efectos</t>
  </si>
  <si>
    <t>20 m / RE 180 / +2 efectos</t>
  </si>
  <si>
    <t>50 m / RE 200 / +2 efectos</t>
  </si>
  <si>
    <t>100 m / RE 220 / +3 efectos</t>
  </si>
  <si>
    <t>5 m / +10 hab. / RV 100</t>
  </si>
  <si>
    <t>10 m / +20 hab. / RV 120</t>
  </si>
  <si>
    <t>25 m / Enc. / +30 hab. / RV 140</t>
  </si>
  <si>
    <t>50 m / Enc. / +40 hab. / RV 160</t>
  </si>
  <si>
    <t>75 m / Sed. / +50 hab. / RV 180</t>
  </si>
  <si>
    <t>100 m / Sed. / +60 hab. / RV 200</t>
  </si>
  <si>
    <t>RV o RE 100 / Ira</t>
  </si>
  <si>
    <t>RV o RE 120 / Ira</t>
  </si>
  <si>
    <t>RV o RE 140 / Miedo</t>
  </si>
  <si>
    <t>RV o RE 160 / Miedo</t>
  </si>
  <si>
    <t>RV o RE 180 / Fascinación</t>
  </si>
  <si>
    <t>RV o RE 200 / Fascinación</t>
  </si>
  <si>
    <t>20 PD</t>
  </si>
  <si>
    <t>40 PD</t>
  </si>
  <si>
    <t>60 PD / Gnosis 5</t>
  </si>
  <si>
    <t>80 PD / Gnosis 5</t>
  </si>
  <si>
    <t>100 PD / Gnosis 10</t>
  </si>
  <si>
    <t>120 PD / Gnosis 10</t>
  </si>
  <si>
    <t>140 PD / Gnosis 15</t>
  </si>
  <si>
    <t>+5 a acción física</t>
  </si>
  <si>
    <t>+10 a acción física</t>
  </si>
  <si>
    <t>+15 acción física / Cansancios +20</t>
  </si>
  <si>
    <t>+20 / Ignora mitad pen. dolor y carencia</t>
  </si>
  <si>
    <t>+25 / Ignora pen. dolor y carencia</t>
  </si>
  <si>
    <t>-1 y -10 / RV 100</t>
  </si>
  <si>
    <t>-2 y -20 / RV 120</t>
  </si>
  <si>
    <t>-3 y -30 / RV 140</t>
  </si>
  <si>
    <t>-4 y -40 / RV 160</t>
  </si>
  <si>
    <t>-5 y -50 / RV 180</t>
  </si>
  <si>
    <t>-6 y -60 / RV 200</t>
  </si>
  <si>
    <t>RE 140 / -20 PV, mitad curas</t>
  </si>
  <si>
    <t>RE 120 / -10 PV, mitad curas</t>
  </si>
  <si>
    <t>RE 160 / -30 PV, mitad curas</t>
  </si>
  <si>
    <t>RE 200 / -50 PV, no curas</t>
  </si>
  <si>
    <t>RE 180 / -40 PV, no curas</t>
  </si>
  <si>
    <t>RV 120 / Daño 50 / -1 a la TA</t>
  </si>
  <si>
    <t>RV 140 / Daño 80 / -2 a la TA</t>
  </si>
  <si>
    <t>RV 160 / Daño 100 / -3 a la TA</t>
  </si>
  <si>
    <t>RV 180 / Daño 120 / -4 a la TA</t>
  </si>
  <si>
    <t>RV 200 / Daño 150 / -5 a la TA</t>
  </si>
  <si>
    <t>10 m / 100 PE / RF 100</t>
  </si>
  <si>
    <t>5 m / 75 PE / RF 80</t>
  </si>
  <si>
    <t>25 m / 200 PE / RF 120</t>
  </si>
  <si>
    <t>50 m / 300 PE / RF 140</t>
  </si>
  <si>
    <t>75 m / 400 PE / RF 180</t>
  </si>
  <si>
    <t>100 m / RF 240 / 500 PE</t>
  </si>
  <si>
    <t>250 m / 750 PE / RF 280</t>
  </si>
  <si>
    <t>500 m / 1.000 PE / RF 320</t>
  </si>
  <si>
    <t>2.000 PV / Daño 60 / +10 Proy. / Detiene ENE</t>
  </si>
  <si>
    <t>3.000 PV / Daño 80 / +20 Proy. / Detiene ENE</t>
  </si>
  <si>
    <t>5.000 PV / Daño 100 / +30 Proy. / Detiene ENE</t>
  </si>
  <si>
    <t xml:space="preserve">±50 entereza / 280 RF </t>
  </si>
  <si>
    <t>RF 120 y 10 m de radio</t>
  </si>
  <si>
    <t>250 Kg / Tipo vuelo 6 / RF 120</t>
  </si>
  <si>
    <t>RF 120 / -5 intensidades</t>
  </si>
  <si>
    <t>RF 120 / 8 intensidades</t>
  </si>
  <si>
    <t>RF 120 / Daño automatico 80</t>
  </si>
  <si>
    <t>RF 120 / 5 m de radio</t>
  </si>
  <si>
    <t>RF 120 / -3 intensidades</t>
  </si>
  <si>
    <t>±5 entereza / RF 120</t>
  </si>
  <si>
    <t>Daño 30 / -2 Regen. / RF 120</t>
  </si>
  <si>
    <t>25 kg / RF 120 / ±3 al Tamaño</t>
  </si>
  <si>
    <t>25 m / RF 120</t>
  </si>
  <si>
    <t>20 metros de radio / RF 120</t>
  </si>
  <si>
    <t>1.200 PV / RF 120</t>
  </si>
  <si>
    <t>2 asaltos / RF 120</t>
  </si>
  <si>
    <t>-5 a la entereza / RF 120</t>
  </si>
  <si>
    <t>500 Kg / Tipo vuelo 8 / RF 140</t>
  </si>
  <si>
    <t>RF 140 / 100 Kg</t>
  </si>
  <si>
    <t>RF 140 / -7 intensidades</t>
  </si>
  <si>
    <t>RF 140 / 12 intensidades</t>
  </si>
  <si>
    <t>RF 140 / Daño automatico 120</t>
  </si>
  <si>
    <t>RF 140 / 10 m de radio</t>
  </si>
  <si>
    <t>RF 140 / -5 intensidades</t>
  </si>
  <si>
    <t xml:space="preserve">±10 entereza / RF 140 </t>
  </si>
  <si>
    <t>Daño 40 / -3 Regen. / RF 140</t>
  </si>
  <si>
    <t>50 kg / RF 140 / ±4 al Tamaño</t>
  </si>
  <si>
    <t>50 m / RF 140</t>
  </si>
  <si>
    <t>25 m de radio / RF 140 / Detiene energía</t>
  </si>
  <si>
    <t>1.800 PV / RF 140</t>
  </si>
  <si>
    <t>3 asaltos / RF 140</t>
  </si>
  <si>
    <t>-7 a la entereza / RF 140</t>
  </si>
  <si>
    <t>RF 160 y 50 m de radio</t>
  </si>
  <si>
    <t>1 Tn / Tipo vuelo 10 / RF 160</t>
  </si>
  <si>
    <t>RF 160 / 10 toneladas</t>
  </si>
  <si>
    <t>RF 160 / -10 intensidades</t>
  </si>
  <si>
    <t>RF 160 / 16 intensidades</t>
  </si>
  <si>
    <t>RF 160 / Daño automatico 160</t>
  </si>
  <si>
    <t>RF 160 / 20 m de radio</t>
  </si>
  <si>
    <t>RF 160 / -8 intensidades</t>
  </si>
  <si>
    <t>Daño 50 / -4 Regen. / RF 160</t>
  </si>
  <si>
    <t>100 kg / RF 160 / ±5 al Tamaño</t>
  </si>
  <si>
    <t>100 m / RF 160</t>
  </si>
  <si>
    <t>30 m de radio / RF 160 / Detiene energía</t>
  </si>
  <si>
    <t>2.500 PV / RF 160</t>
  </si>
  <si>
    <t>5 asaltos / RF 160</t>
  </si>
  <si>
    <t>-10 a la entereza / RF 160</t>
  </si>
  <si>
    <t>2,5 Tn / Tipo vuelo 12 / RF 180</t>
  </si>
  <si>
    <t>RF 180 / -15 intensidades</t>
  </si>
  <si>
    <t>RF 180 / 20 intensidades</t>
  </si>
  <si>
    <t>RF 180 / Daño automatico 200</t>
  </si>
  <si>
    <t>RF 180 / 50 m de radio</t>
  </si>
  <si>
    <t>RF 180 / -12 intensidades</t>
  </si>
  <si>
    <t xml:space="preserve">±25 entereza / RF 180 </t>
  </si>
  <si>
    <t>Daño 60 / -5 Regen. / RF 180</t>
  </si>
  <si>
    <t>250 kg / RF 180 / ±6 al Tamaño</t>
  </si>
  <si>
    <t>50 m de radio / RF 180 / Detiene energía</t>
  </si>
  <si>
    <t>4.000 PV / RF 180</t>
  </si>
  <si>
    <t>10 asaltos / RF 180</t>
  </si>
  <si>
    <t>-15 a la entereza / RF 180</t>
  </si>
  <si>
    <t>RF 180 / -10 a Atar</t>
  </si>
  <si>
    <t>RF 200 y 100 m de radio</t>
  </si>
  <si>
    <t>5 Tn / Tipo vuelo 14 /  RF 200</t>
  </si>
  <si>
    <t>RF 200 / 100 toneladas</t>
  </si>
  <si>
    <t>RF 200 / -20 intensidades</t>
  </si>
  <si>
    <t>RF 200 / 25 intensidades</t>
  </si>
  <si>
    <t>RF 200 / 100 m de radio</t>
  </si>
  <si>
    <t>Daño 80 / -5 Regen. / RF 200</t>
  </si>
  <si>
    <t>500 kg / RF 200 / ±7 al Tamaño</t>
  </si>
  <si>
    <t>15 asaltos / RF 200</t>
  </si>
  <si>
    <t>-20 a la entereza / RF 200</t>
  </si>
  <si>
    <t>RF 200 / -20 a Atar</t>
  </si>
  <si>
    <t>10 Tn / Tipo vuelo 16 / RF 220</t>
  </si>
  <si>
    <t>RF 220 / -30 intensidades</t>
  </si>
  <si>
    <t>RF 220 / Daño automatico 250</t>
  </si>
  <si>
    <t>RF 220 / -18 intensidades</t>
  </si>
  <si>
    <t>25 intensidades / RF 220</t>
  </si>
  <si>
    <t>1 t / RF 220 / ±8 al Tamaño</t>
  </si>
  <si>
    <t>RF 220 / -40 a Atar</t>
  </si>
  <si>
    <t>RF 240 y 500 m de radio</t>
  </si>
  <si>
    <t>RF 240 / 30 intensidades</t>
  </si>
  <si>
    <t>RF 240 / -24 intensidades</t>
  </si>
  <si>
    <t xml:space="preserve">±30 entereza / RF 240 </t>
  </si>
  <si>
    <t>+5 m / Acrobacias 80</t>
  </si>
  <si>
    <t>+10 m / Acrobacias 120</t>
  </si>
  <si>
    <t>+15 m / Acrobacias 140</t>
  </si>
  <si>
    <t>50 m / Advertir -100</t>
  </si>
  <si>
    <t>100 m / Advertir -120</t>
  </si>
  <si>
    <t>500 m / Advertir -140, Ver</t>
  </si>
  <si>
    <t>500 m / Daño 200 / RE 200</t>
  </si>
  <si>
    <t>250 m / Daño 150 / RE 180</t>
  </si>
  <si>
    <t>100 m / Daño 100 / RE 140</t>
  </si>
  <si>
    <t>50 m / Daño 75 / RE 120</t>
  </si>
  <si>
    <t>500 m / RF 240 / Barrera 100 / Ver</t>
  </si>
  <si>
    <t>10 km / RF 320 / Barrera 200 / Ver</t>
  </si>
  <si>
    <t>5 km / RF 280 / barrera 150 / Ver</t>
  </si>
  <si>
    <t>5 m / 10 puntos</t>
  </si>
  <si>
    <t>10 m / 20 puntos</t>
  </si>
  <si>
    <t>25 m / 40 puntos</t>
  </si>
  <si>
    <t>50 m / 60 puntos</t>
  </si>
  <si>
    <t>100 m / 80 puntos</t>
  </si>
  <si>
    <t>250 m / 140 puntos</t>
  </si>
  <si>
    <t>500 m / 180 puntos</t>
  </si>
  <si>
    <t xml:space="preserve">250 m </t>
  </si>
  <si>
    <t>1 m³ / RF 100</t>
  </si>
  <si>
    <t>2 m³ / RF 120</t>
  </si>
  <si>
    <t>3 m³ / RF 140</t>
  </si>
  <si>
    <t>4 m³ / RF 160</t>
  </si>
  <si>
    <t>5 m³ / RF 200</t>
  </si>
  <si>
    <t>10 m³ / RF 220</t>
  </si>
  <si>
    <t>+5 acciones, +3 Ataq. Adicional</t>
  </si>
  <si>
    <t>5 m / 1 asalto después / RF 80</t>
  </si>
  <si>
    <t>10 m / 3 asaltos después / RF 100</t>
  </si>
  <si>
    <t>15 m / 5 asaltos después / RF 120</t>
  </si>
  <si>
    <t>25 m / 7 asaltos después / RF 140</t>
  </si>
  <si>
    <t>50 m / 10 asaltos después / RF 160</t>
  </si>
  <si>
    <t>100 m / 15 asaltos después / RF 180</t>
  </si>
  <si>
    <t>RP 80</t>
  </si>
  <si>
    <t>RP 80 / 10 m de radio</t>
  </si>
  <si>
    <t>RP 80 / 100 m</t>
  </si>
  <si>
    <t>Un día / RP 80</t>
  </si>
  <si>
    <t>-20 turno, -10 acción, RP 80</t>
  </si>
  <si>
    <t>Hasta un día / RP 80</t>
  </si>
  <si>
    <t>RP 80 / +20</t>
  </si>
  <si>
    <t>RP 100</t>
  </si>
  <si>
    <t>RP 100 y 10 m de radio</t>
  </si>
  <si>
    <t>RP 100 / 50 m de radio</t>
  </si>
  <si>
    <t>RP 100 / 500 m</t>
  </si>
  <si>
    <t>RP 100 / 5 m de radio</t>
  </si>
  <si>
    <t>Una semana / RP 100</t>
  </si>
  <si>
    <t>-40 turno, -15 acción, RP 100</t>
  </si>
  <si>
    <t>Hasta tres días / RP 100</t>
  </si>
  <si>
    <t>Hasta un día / RP 100</t>
  </si>
  <si>
    <t>+80 a Música (cantar) / RP 100</t>
  </si>
  <si>
    <t>+100 a Música (cantar) / RP 100</t>
  </si>
  <si>
    <t>RP 100 / +40</t>
  </si>
  <si>
    <t>RP 120</t>
  </si>
  <si>
    <t>RP 120 y 50 m de radio</t>
  </si>
  <si>
    <t>RP 120 / 100 m de radio</t>
  </si>
  <si>
    <t>RP 120 / 1000 m</t>
  </si>
  <si>
    <t>RP 120 / 10 m de radio</t>
  </si>
  <si>
    <t>Un mes / RP 120</t>
  </si>
  <si>
    <t>-60 turno, -20 acción, RP 120</t>
  </si>
  <si>
    <t>Hasta una semana / RP 120</t>
  </si>
  <si>
    <t>+120 a Música (cantar) / RP 120</t>
  </si>
  <si>
    <t>RP 120 / +80</t>
  </si>
  <si>
    <t>RP 140</t>
  </si>
  <si>
    <t>RP 140 y 100 m de radio</t>
  </si>
  <si>
    <t>10 km de distancia / RP 140</t>
  </si>
  <si>
    <t>RP 140 / 250 m de radio</t>
  </si>
  <si>
    <t>RP 140 / 10 km</t>
  </si>
  <si>
    <t>RP 140 / 25 m de radio</t>
  </si>
  <si>
    <t>Un año / RP 140</t>
  </si>
  <si>
    <t>-80 turno, -30 acción, RP 140</t>
  </si>
  <si>
    <t>Hasta un mes / RP 140</t>
  </si>
  <si>
    <t>+140 a Música (cantar) / RP 140</t>
  </si>
  <si>
    <t>RP 140 / +120</t>
  </si>
  <si>
    <t>RP 160</t>
  </si>
  <si>
    <t>RP 160 y 250 m de radio</t>
  </si>
  <si>
    <t>100 km de distancia / RP 160</t>
  </si>
  <si>
    <t>RP 160 / 500 m de radio</t>
  </si>
  <si>
    <t>RP 160 / 100 km</t>
  </si>
  <si>
    <t>RP 160 / 50 m de radio</t>
  </si>
  <si>
    <t>Una década / RP 160</t>
  </si>
  <si>
    <t>10 metros / RP 160</t>
  </si>
  <si>
    <t>Hasta seis meses / RP 160</t>
  </si>
  <si>
    <t>Hasta un año / RP 160</t>
  </si>
  <si>
    <t>+160 a Música (cantar) / RP 160</t>
  </si>
  <si>
    <t>RP 160 / +140</t>
  </si>
  <si>
    <t>RP 200</t>
  </si>
  <si>
    <t>RP 200 y 1 km de radio</t>
  </si>
  <si>
    <t>1000 km de distancia / RP 200</t>
  </si>
  <si>
    <t>RP 200 / 10 km de radio</t>
  </si>
  <si>
    <t>RP 200 / Cualquier distancia</t>
  </si>
  <si>
    <t>Toda su vida / RP 200</t>
  </si>
  <si>
    <t>100 metros / RP 200</t>
  </si>
  <si>
    <t>Hasta cincuenta años / RP 200</t>
  </si>
  <si>
    <t>RP 200 / +240</t>
  </si>
  <si>
    <t>RP 220</t>
  </si>
  <si>
    <t>RP 220 y 10 km de radio</t>
  </si>
  <si>
    <t>5000 km de distancia / RP 220</t>
  </si>
  <si>
    <t>RP 220 / 100 km de radio</t>
  </si>
  <si>
    <t>RP 220 / 500 m de radio</t>
  </si>
  <si>
    <t>RP 220 / +280</t>
  </si>
  <si>
    <t>RP 240</t>
  </si>
  <si>
    <t>-120 turno, -45 acción, RP 240</t>
  </si>
  <si>
    <t>-100 turno, -40 acción, RP 180</t>
  </si>
  <si>
    <t>RP 180</t>
  </si>
  <si>
    <t>RP 180 y 500 m de radio</t>
  </si>
  <si>
    <t>500 km de distancia / RP 180</t>
  </si>
  <si>
    <t>RP 180 / 1 km de radio</t>
  </si>
  <si>
    <t>RP 180 / 1000 km</t>
  </si>
  <si>
    <t>RP 180 / 100 m de radio</t>
  </si>
  <si>
    <t>Cincuenta años / RP 180</t>
  </si>
  <si>
    <t>50 metros / RP 180</t>
  </si>
  <si>
    <t>Hasta un año / RP 180</t>
  </si>
  <si>
    <t>Hasta diez años / RP 180</t>
  </si>
  <si>
    <t>RP 180 / +180</t>
  </si>
  <si>
    <t>10 m / 1 asalto / RF 120</t>
  </si>
  <si>
    <t>25 m / 1 asalto / RF 140</t>
  </si>
  <si>
    <t>50 m / 2 asaltos / RF 180</t>
  </si>
  <si>
    <t>100 m / 3 asaltos / RF 240</t>
  </si>
  <si>
    <t>500 m / 5 asaltos / 280 RF</t>
  </si>
  <si>
    <t>10 m / 1 asalto</t>
  </si>
  <si>
    <t>25 m / 2 asaltos</t>
  </si>
  <si>
    <t>50 m / 3 asaltos</t>
  </si>
  <si>
    <t xml:space="preserve">+20 controles / 2 acciones / 5 m </t>
  </si>
  <si>
    <t>+30 controles / 3 acciones / 10 m</t>
  </si>
  <si>
    <t>+40 controles / 4 acciones / 25 m</t>
  </si>
  <si>
    <t>Hasta un mes / +20 toda acción</t>
  </si>
  <si>
    <t>Hasta un año/ +25 toda acción</t>
  </si>
  <si>
    <t>Hasta cinco años / +30 toda acción</t>
  </si>
  <si>
    <t>Hasta una semana / +15 toda acción</t>
  </si>
  <si>
    <t>Hasta un día / +10 toda acción</t>
  </si>
  <si>
    <t>Hora y fecha</t>
  </si>
  <si>
    <t>Segundos y milésimas</t>
  </si>
  <si>
    <t>Alteraciones cronoquinéticas / RF 100</t>
  </si>
  <si>
    <t>Alteraciones cronoquinéticas / RF 140</t>
  </si>
  <si>
    <t>Alteraciones cronoquinéticas / RF 120</t>
  </si>
  <si>
    <t>Cuanto tardará algo en terminar</t>
  </si>
  <si>
    <t>+20 Turno / Vuelo 6</t>
  </si>
  <si>
    <t>+40 Turno / Vuelo 8</t>
  </si>
  <si>
    <t>+60 Turno / Vuelo 10</t>
  </si>
  <si>
    <t>+70 Turno / Vuelo 12</t>
  </si>
  <si>
    <t>+80 Turno / Vuelo 14</t>
  </si>
  <si>
    <t>+100 Turno / Vuelo 16</t>
  </si>
  <si>
    <t>1 acción / 5 m / RF 120</t>
  </si>
  <si>
    <t>1 acción / 10 m / RF 140</t>
  </si>
  <si>
    <t>2 acciones / 25 m / RF 160</t>
  </si>
  <si>
    <t>2 acciones / 50 m /RF 180</t>
  </si>
  <si>
    <t>100 m / +5 al Pot.</t>
  </si>
  <si>
    <t>500 m / +10 al Pot.</t>
  </si>
  <si>
    <t>1 km / +15 al Pot.</t>
  </si>
  <si>
    <t>10 km / +20 al Pot.</t>
  </si>
  <si>
    <t>1°C / RF 120</t>
  </si>
  <si>
    <t>3°C / 1°C en área / RF 140</t>
  </si>
  <si>
    <t>5°C / 3°C en área / RF 160</t>
  </si>
  <si>
    <t>10°C / 5°C en área / RF 180</t>
  </si>
  <si>
    <t>20°C / 10°C en área / RF 200</t>
  </si>
  <si>
    <t>RP 180 / -50 mentales y SM / No CV</t>
  </si>
  <si>
    <t>RP 100 / -10 mentales y SM</t>
  </si>
  <si>
    <t>RP 120 / -20 mentales y SM</t>
  </si>
  <si>
    <t>RP 140 / -30 mentales y SM</t>
  </si>
  <si>
    <t>RP 160 / -40 mentales y SM / No CV</t>
  </si>
  <si>
    <t>+40 a Memorizar / Reduce un grado</t>
  </si>
  <si>
    <t>+100 a Memorizar / Reduce dos grados / Ver</t>
  </si>
  <si>
    <t>+120 a Memorizar / Reduce tres grados / Ver</t>
  </si>
  <si>
    <t>Hasta un siglo / RP 220</t>
  </si>
  <si>
    <t>Daño 20 / -1 Regen. / RF 100</t>
  </si>
  <si>
    <t xml:space="preserve">10 km </t>
  </si>
  <si>
    <t xml:space="preserve">1 km </t>
  </si>
  <si>
    <t xml:space="preserve">500 m </t>
  </si>
  <si>
    <t xml:space="preserve">100 m </t>
  </si>
  <si>
    <t>3 asaltos / 5 m</t>
  </si>
  <si>
    <t>5 asaltos / 10 m</t>
  </si>
  <si>
    <t>7 asaltos / 15 m</t>
  </si>
  <si>
    <t>10 asaltos / 20 m</t>
  </si>
  <si>
    <t>15 asaltos / 25 m</t>
  </si>
  <si>
    <t>20 m / RF 160</t>
  </si>
  <si>
    <t>100 m / RF 200</t>
  </si>
  <si>
    <t>2 m / RF 80</t>
  </si>
  <si>
    <t>3 m / RF 100</t>
  </si>
  <si>
    <t>1 m / RF 60</t>
  </si>
  <si>
    <t>1 kg / RF 80 / ±1 al Tamaño</t>
  </si>
  <si>
    <t>10 kg / RF 100 / ±2 al Tamaño</t>
  </si>
  <si>
    <t>Acr. 280 o AGI 28 / 500 m / Impacto G3</t>
  </si>
  <si>
    <t>Acr. 240 o AGI 24 / 100 m / Impacto G2</t>
  </si>
  <si>
    <t>Acr. 180 o AGI 20 / 50 m / Impacto G1</t>
  </si>
  <si>
    <t>Acrobacias 140 o AGI 18 / 25 m</t>
  </si>
  <si>
    <t>Acrobacias 120 o AGI 14 / 10 m</t>
  </si>
  <si>
    <t>1 día / Daño 100 / -3 TA / Rango max 1.000 km / Zen</t>
  </si>
  <si>
    <t>12 h / Daño 50 / -2 TA / Rango max 500 km / Zen</t>
  </si>
  <si>
    <t>5 h / Daño 40 / -1 TA / Rango max 100 km / Zen</t>
  </si>
  <si>
    <t>3 h / Daño 30 / Rango max 10 km</t>
  </si>
  <si>
    <t xml:space="preserve">RP 120 / Permite aprender el idioma </t>
  </si>
  <si>
    <t>RP 120 / +10 Sociales</t>
  </si>
  <si>
    <t>RP 140 / +20 Sociales</t>
  </si>
  <si>
    <t>RP 160 / +40 a Sociales</t>
  </si>
  <si>
    <t xml:space="preserve">RP 180 / +60 a Sociales </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</si>
  <si>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</si>
  <si>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</si>
  <si>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</si>
  <si>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</si>
  <si>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</si>
  <si>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</si>
  <si>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</si>
  <si>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</si>
  <si>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</si>
  <si>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</si>
  <si>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5 metros de radio / RF 60</t>
  </si>
  <si>
    <t>10 metros de radio / RF 80</t>
  </si>
  <si>
    <t>15 metros de radio / RF 100</t>
  </si>
  <si>
    <t>Elimina la Ira / RP 80</t>
  </si>
  <si>
    <t>Elimina el Miedo / RP 100</t>
  </si>
  <si>
    <t>Elimina el Terror / RP 120</t>
  </si>
  <si>
    <t>Elimina el Dolor / RP 140</t>
  </si>
  <si>
    <t>Elimina la Fascinación / RP 160</t>
  </si>
  <si>
    <t>Elimina las Alucinaciones / RP 180</t>
  </si>
  <si>
    <t>Sin acciones activas / RP 200</t>
  </si>
  <si>
    <t>1 intensidad / 3 m</t>
  </si>
  <si>
    <t>3 intensidades / 5 m</t>
  </si>
  <si>
    <t>5 intensidades / 7 m</t>
  </si>
  <si>
    <t>7 intensidades / 10 m</t>
  </si>
  <si>
    <t>15 intensidades / 15 m / +20 RF</t>
  </si>
  <si>
    <t>20 intensidades / 20 m / +30 RF</t>
  </si>
  <si>
    <t>40 intensidades / 25 m / +40 RF</t>
  </si>
  <si>
    <t>300 PV / RF 60</t>
  </si>
  <si>
    <t>600 PV / RF 80</t>
  </si>
  <si>
    <t>800 PV / RF 100</t>
  </si>
  <si>
    <t>2 m³</t>
  </si>
  <si>
    <t>3 m³</t>
  </si>
  <si>
    <t>4 m³</t>
  </si>
  <si>
    <t>5 m³</t>
  </si>
  <si>
    <t>10 m³</t>
  </si>
  <si>
    <t>20 m³</t>
  </si>
  <si>
    <t>+10 a Frialdad / +1 a VOL</t>
  </si>
  <si>
    <t>+20 a Frialdad / +1 a VOL</t>
  </si>
  <si>
    <t>+30 a Frialdad / +2 a VOL</t>
  </si>
  <si>
    <t>+40 a Frialdad / +3 a VOL</t>
  </si>
  <si>
    <t>+80 a Frialdad / +4 a VOL / +20 RM o RP</t>
  </si>
  <si>
    <t>+60 a Frialdad / +4 a VOL / +10 RM o RP</t>
  </si>
  <si>
    <t>+50 a Frialdad / +3 a VOL / +10 RM o RP</t>
  </si>
  <si>
    <t>1 asalto / RF 100</t>
  </si>
  <si>
    <t>20 m / 10 intensidades / Natural</t>
  </si>
  <si>
    <t>50 m / 15 intensidades / Psíquico</t>
  </si>
  <si>
    <t>100 m / 20 intensidades / Psíquico</t>
  </si>
  <si>
    <t>500 m / 30 intensidades / Ki</t>
  </si>
  <si>
    <t>1 km / 50 intensidades / Todos</t>
  </si>
  <si>
    <t>10 m / 5 intensidades / Natural</t>
  </si>
  <si>
    <t>-1 a la entereza / RF 80</t>
  </si>
  <si>
    <t>-3 a la entereza / RF 100</t>
  </si>
  <si>
    <t>10 m / RE 100</t>
  </si>
  <si>
    <t>15 m / RE 120</t>
  </si>
  <si>
    <t>20 m / RE 140</t>
  </si>
  <si>
    <t>25 m / RE 160</t>
  </si>
  <si>
    <t>50 m / RE 180</t>
  </si>
  <si>
    <t>100 m / RE 200</t>
  </si>
  <si>
    <t>5 m / RE 80</t>
  </si>
  <si>
    <t>1 m / RF 80</t>
  </si>
  <si>
    <t>10 m / RF 100</t>
  </si>
  <si>
    <t>500 m / RF 180</t>
  </si>
  <si>
    <t>10 km / RP 200</t>
  </si>
  <si>
    <t>1 km / RP 180</t>
  </si>
  <si>
    <t>500 m / RP 160</t>
  </si>
  <si>
    <t>250 m / RP 140</t>
  </si>
  <si>
    <t>100 m / RP 120</t>
  </si>
  <si>
    <t>50 m / RP 100</t>
  </si>
  <si>
    <t>Lanzas lumínicas</t>
  </si>
  <si>
    <t>100 PV / Fuerza 8</t>
  </si>
  <si>
    <t>150 PV / Fuerza 10</t>
  </si>
  <si>
    <t>200 PV / Fuerza 12</t>
  </si>
  <si>
    <t>250 PV / Fuerza 14</t>
  </si>
  <si>
    <t>300 PV / Fuerza 16</t>
  </si>
  <si>
    <t>500 PV / Fuerza 17</t>
  </si>
  <si>
    <t>1.000 PV / Fuerza 18</t>
  </si>
  <si>
    <t>2 proyectiles</t>
  </si>
  <si>
    <t>3 proyectiles</t>
  </si>
  <si>
    <t>4 proyectiles</t>
  </si>
  <si>
    <t>5 proyectiles</t>
  </si>
  <si>
    <t>7 proyectiles</t>
  </si>
  <si>
    <t>Campo marchito</t>
  </si>
  <si>
    <t>10 m² / RV 120</t>
  </si>
  <si>
    <t>25 m² / RV 140</t>
  </si>
  <si>
    <t>50 m² / RV 160</t>
  </si>
  <si>
    <t>100 m² / RV 180</t>
  </si>
  <si>
    <t>500 m² / RV 200</t>
  </si>
  <si>
    <t>1 km² / RV 220</t>
  </si>
  <si>
    <t>Red resumen</t>
  </si>
  <si>
    <t>Tenebrae: Agujeros Negros</t>
  </si>
  <si>
    <t>Volito: Fragmentación Psíquica</t>
  </si>
  <si>
    <t>Lux: Látigo Fotónico</t>
  </si>
  <si>
    <t>Hechicero Ment. (F)</t>
  </si>
  <si>
    <t>Crear electricidad, Habilidad de Ataque 150+ o Proyección Psíquica 150+</t>
  </si>
  <si>
    <t>Psiónica Salvaje, Habilidad de Ataque 200+, Voluntad 11+</t>
  </si>
  <si>
    <t>Modular presión espacial, Habilidad de Ataque 200+, Fuerza 10+</t>
  </si>
  <si>
    <t>Formación no-newtoniana, Habilidad de Defensa 200+, Constitución 10+</t>
  </si>
  <si>
    <t>Crear energía, Habilidad de Ataque 180+, Habilidad de Defensa 180+, Voluntad 11+</t>
  </si>
  <si>
    <t>Disminuir temperatura ambiente, Habilidad de Ataque 150+ o Proyección Psíquica 150+, Voluntad 11+, Inhumanidad</t>
  </si>
  <si>
    <t>Cambiar dirección, Habilidad de Ataque 180+, Inhumanidad</t>
  </si>
  <si>
    <t>Controlar el fuego, Habilidad de Ataque 220+ o Proyección Psíquica 220+, Voluntad 11+, Inhumanidad</t>
  </si>
  <si>
    <t>Telequinesis menor, Tabla de Proyección Psíquica, Habilidad de Ataque 200+, Destreza 11+</t>
  </si>
  <si>
    <t>Ver en la historia, Habilidad de Ataque 200+, Percepción 10+</t>
  </si>
  <si>
    <t>Controlar la causalidad, Habilidad de Ataque 200+ o Proyección Psíquica 200+, Voluntad 10+</t>
  </si>
  <si>
    <t>Extrusión matricial, Habilidad de Ataque +160, Destreza +11</t>
  </si>
  <si>
    <t>Muerte psíquica, Habilidad de Ataque 180+ o Proyección Psíquica 180+, Voluntad 10+</t>
  </si>
  <si>
    <t>Sentidos superiores, Habilidad de Ataque 150+ o Proyección Psíquica 150+, Percepción 10+</t>
  </si>
  <si>
    <t>Bonos al Potencial en base a los penalizadores sensoriales. Puede elegir una ventaja especial</t>
  </si>
  <si>
    <t>Cada hora consigue una carga de "Arena del Tiempo". Ver</t>
  </si>
  <si>
    <t>Pierde PV para activar ataques especiales. Ver</t>
  </si>
  <si>
    <t>Permite modificar los PD de Mutación. Cada cambio otorga ventajas adicionales.</t>
  </si>
  <si>
    <t>Crea un avatar con las matrices del personaje.</t>
  </si>
  <si>
    <t>Arma hecha de luz.</t>
  </si>
  <si>
    <t>Potencial Psíquico Ficticio para lanzar poderes.</t>
  </si>
  <si>
    <t>Agujeros negros como arma. Ver</t>
  </si>
  <si>
    <t>Crea una armadura psíquica. Puede elegir ventajas adicionales.</t>
  </si>
  <si>
    <t>Cantidad de Puntos de Creación base</t>
  </si>
  <si>
    <t>Táctica</t>
  </si>
  <si>
    <t>Aprendizaje de armas</t>
  </si>
  <si>
    <t>HA+HD</t>
  </si>
  <si>
    <t>&gt; ARS INANA</t>
  </si>
  <si>
    <t>Exanimis</t>
  </si>
  <si>
    <t>Sano</t>
  </si>
  <si>
    <t>Mutatio</t>
  </si>
  <si>
    <t>Imperito</t>
  </si>
  <si>
    <t>Kagune</t>
  </si>
  <si>
    <t>Kakuja</t>
  </si>
  <si>
    <t>&gt; ARS COGNITIAM</t>
  </si>
  <si>
    <t>Lux</t>
  </si>
  <si>
    <t>Alienis</t>
  </si>
  <si>
    <t>Telum</t>
  </si>
  <si>
    <t>Grietas personalizadas</t>
  </si>
  <si>
    <t>N atural/-</t>
  </si>
  <si>
    <t>Presa (FUE15)</t>
  </si>
  <si>
    <t>Especialización resp.</t>
  </si>
  <si>
    <t>Ukaku</t>
  </si>
  <si>
    <t>Koukaku</t>
  </si>
  <si>
    <t>Rinkaku</t>
  </si>
  <si>
    <t>Bikaku</t>
  </si>
  <si>
    <t>Kakuja?</t>
  </si>
  <si>
    <t>Kagune activo?</t>
  </si>
  <si>
    <t>Crítico de Bikaku</t>
  </si>
  <si>
    <t>Fuerza de maera, Microsccópico, Haz del vacío, Campo negro</t>
  </si>
  <si>
    <t>Musou no Hitotachi</t>
  </si>
  <si>
    <t>Tenebrae</t>
  </si>
  <si>
    <t>ACLARACIÓN</t>
  </si>
  <si>
    <t>Por aprendizaje de armas</t>
  </si>
  <si>
    <t>Anclaje vital</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</si>
  <si>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</si>
  <si>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Presencia y resistencias</t>
  </si>
  <si>
    <t>Arquitectura 80+</t>
  </si>
  <si>
    <t>Orfebrería 60+</t>
  </si>
  <si>
    <t>Arte 60+</t>
  </si>
  <si>
    <t>Aleatorizar resultados</t>
  </si>
  <si>
    <t>Sobrecarga mental</t>
  </si>
  <si>
    <t>Propulsión</t>
  </si>
  <si>
    <t>150 m</t>
  </si>
  <si>
    <t>Manifestar recuerdos</t>
  </si>
  <si>
    <t>Borrar de la historia</t>
  </si>
  <si>
    <t>Percibir alteraciones</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</si>
  <si>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</si>
  <si>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</si>
  <si>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</si>
  <si>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</si>
  <si>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</si>
  <si>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</si>
  <si>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</si>
  <si>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</si>
  <si>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Presencia 60</t>
  </si>
  <si>
    <t>Presencia 120</t>
  </si>
  <si>
    <t>Presencia 160</t>
  </si>
  <si>
    <t xml:space="preserve">Además, con el permiso de sus autores también se han añadido algunos poderes psíquicos de Los Complementos Web IV, una recopilación casera de los usuarios Shiryu, Ybber y Griffith. </t>
  </si>
  <si>
    <t>10 m radio / RP 120</t>
  </si>
  <si>
    <t>25 m radio / RP 140</t>
  </si>
  <si>
    <t>50 m radio / RP 160</t>
  </si>
  <si>
    <t>500 m radio / RP 200</t>
  </si>
  <si>
    <t>100 m radio / RP 180</t>
  </si>
  <si>
    <t>Tras tres turnos, aumenta en +5 el ataque desarmado por cada 20 de Potencial que posea el personaje</t>
  </si>
  <si>
    <t>Zona de detección, Enfoque matricial, Pared fotónica, Iluminación</t>
  </si>
  <si>
    <t xml:space="preserve">Si el bono al Potencial baja a 0, -10 toda acción por cada -5, hasta -20. No recupera cansancio. </t>
  </si>
  <si>
    <t xml:space="preserve">Si el bono al Potencial baja a 0, -5 toda acción por cada -10, hasta -20. No recupera cansancio. </t>
  </si>
  <si>
    <t>Estar solo da +10 al Potencial defensivo cada día, hasta +20. Reduce 1 grado controles de Memorizar.</t>
  </si>
  <si>
    <t>Socializar da +5 el Potencial ofensivo cada día, hasta +20. +20 a persuasión o intimidar.</t>
  </si>
  <si>
    <t>Dominio arcano</t>
  </si>
  <si>
    <t>Escudo arcano</t>
  </si>
  <si>
    <t>Transmitir acumulaciones</t>
  </si>
  <si>
    <t>Movimiento mayor</t>
  </si>
  <si>
    <t>Ventajas innatas</t>
  </si>
  <si>
    <t>Longevidad</t>
  </si>
  <si>
    <t>Conocimiento innato</t>
  </si>
  <si>
    <t>Tercer ojo</t>
  </si>
  <si>
    <t>&gt; ATAQUE DETERMINADO</t>
  </si>
  <si>
    <t>Ataque Determinado</t>
  </si>
  <si>
    <t>Presencia + 40</t>
  </si>
  <si>
    <t>Presencia + 60</t>
  </si>
  <si>
    <t>Presencia + 80</t>
  </si>
  <si>
    <t>Presencia + 100</t>
  </si>
  <si>
    <t>Presencia + 120</t>
  </si>
  <si>
    <t>Presencia + 140</t>
  </si>
  <si>
    <t>Presencia + 180</t>
  </si>
  <si>
    <t>Presencia + 200</t>
  </si>
  <si>
    <t>&gt; DEFENSA DETERMINADA</t>
  </si>
  <si>
    <t>Defensa Determinada</t>
  </si>
  <si>
    <t>Cambio de enfoque</t>
  </si>
  <si>
    <t>Acción doble</t>
  </si>
  <si>
    <t>Propulsión alternativa</t>
  </si>
  <si>
    <t>RF 240</t>
  </si>
  <si>
    <t>Cambio de resistencias: RV</t>
  </si>
  <si>
    <t>Cambio de resistencias: RE</t>
  </si>
  <si>
    <t>Cambio de resistencias: RP</t>
  </si>
  <si>
    <t>Cambio de resistencias: RM</t>
  </si>
  <si>
    <t>Posición aproximada</t>
  </si>
  <si>
    <t>Posición exacta</t>
  </si>
  <si>
    <t>Área restringida</t>
  </si>
  <si>
    <t>Conocimiento general</t>
  </si>
  <si>
    <t>-1 Cansancio</t>
  </si>
  <si>
    <t>-3 Cansancio</t>
  </si>
  <si>
    <t>-5 Cansancio</t>
  </si>
  <si>
    <t>-10 PV</t>
  </si>
  <si>
    <t>Pérdida temporal</t>
  </si>
  <si>
    <t>Pérdida permanente</t>
  </si>
  <si>
    <t>Un uso por día</t>
  </si>
  <si>
    <t>Un uso por semana</t>
  </si>
  <si>
    <t>Un uso por mes</t>
  </si>
  <si>
    <t>Un uso por año</t>
  </si>
  <si>
    <t>Un único uso</t>
  </si>
  <si>
    <t>&gt; ÁREA RESTRINGIDA</t>
  </si>
  <si>
    <t>10 metros de diámetro</t>
  </si>
  <si>
    <t>5 metros de diámetro</t>
  </si>
  <si>
    <t>Quieto</t>
  </si>
  <si>
    <t>&gt; CONOCIMIENTO GENERAL</t>
  </si>
  <si>
    <t>Sección Invocaciones</t>
  </si>
  <si>
    <t>Tabla de invocaciones</t>
  </si>
  <si>
    <t>Tabla poderes de invocaciones</t>
  </si>
  <si>
    <t>Coste inicial</t>
  </si>
  <si>
    <t>Dif. inicial</t>
  </si>
  <si>
    <t>Invocación</t>
  </si>
  <si>
    <t>Poder 1</t>
  </si>
  <si>
    <t>Coste poder 1</t>
  </si>
  <si>
    <t>Dificultad poder 1</t>
  </si>
  <si>
    <t>Acción poder 1</t>
  </si>
  <si>
    <t>HA poder 1</t>
  </si>
  <si>
    <t>HD poder 1</t>
  </si>
  <si>
    <t>Duración poder 1</t>
  </si>
  <si>
    <t>Descripción poder 1</t>
  </si>
  <si>
    <t>Poder 2</t>
  </si>
  <si>
    <t>Coste poder 2</t>
  </si>
  <si>
    <t>Dificultad poder 2</t>
  </si>
  <si>
    <t>Acción poder 2</t>
  </si>
  <si>
    <t>HA poder 2</t>
  </si>
  <si>
    <t>HD poder 2</t>
  </si>
  <si>
    <t>Duración poder 2</t>
  </si>
  <si>
    <t>Descripción poder 2</t>
  </si>
  <si>
    <t>Poder 3</t>
  </si>
  <si>
    <t>Coste poder 3</t>
  </si>
  <si>
    <t>Dificultad poder 3</t>
  </si>
  <si>
    <t>Acción poder 3</t>
  </si>
  <si>
    <t>HA poder 3</t>
  </si>
  <si>
    <t>HD poder 3</t>
  </si>
  <si>
    <t>Duración poder 3</t>
  </si>
  <si>
    <t>Descripción poder 3</t>
  </si>
  <si>
    <t>Poder 4</t>
  </si>
  <si>
    <t>Coste poder 4</t>
  </si>
  <si>
    <t>Dificultad poder 4</t>
  </si>
  <si>
    <t>Acción poder 4</t>
  </si>
  <si>
    <t>HA poder 4</t>
  </si>
  <si>
    <t>HD poder 4</t>
  </si>
  <si>
    <t>Duración poder 4</t>
  </si>
  <si>
    <t>Descripción poder 4</t>
  </si>
  <si>
    <t>NA</t>
  </si>
  <si>
    <t>Una hora por cada 10 puntos que supere la dificultad requerida.</t>
  </si>
  <si>
    <t>Elimina cualquier bono o negativo al realizar la siguiente invocación, ya sea mediante rituales o algún efecto sobrenatural, contando solo con su propia habilidad para realizar invocaciones. Este poder sólo afecta a la habilidad de convocar de un personaje cuando realiza invocaciones.</t>
  </si>
  <si>
    <t>Instantáneo, pero el conjuro lanzado se mantiene un asalto por cada 10 puntos que se supere la dificultad (solo en el caso de que el hechizo tenga mantenimiento).</t>
  </si>
  <si>
    <t>Ejecuta cualquier conjuro de libre acceso de nivel 50 o menos. Se lanzan en grado base. Aunque se trata de una invocación pasiva, si al invocársele utiliza un conjuro activo, se deberá esperar a tener la acción para utilizarlo.</t>
  </si>
  <si>
    <t>Un asalto por cada 10 puntos que supere la dificultad requerida.</t>
  </si>
  <si>
    <t>Crea un escudo de energía que protege al invocador frente a cualquier tipo de ataque. El escudo está basado en luz y resiste 800 puntos de daño antes de ser roto, pero tiene 100 puntos de resistencia adicional por cada 10 que el invocador supere la dificultad requerida.</t>
  </si>
  <si>
    <t>Aumenta en +20 todas las Resistencias del invocador o del individuo al que este designe, más 10 adicionales por cada 20 puntos que superase la dificultad requerida.</t>
  </si>
  <si>
    <t>120+</t>
  </si>
  <si>
    <t>Forma un guerrero que ataca físicamente a su adversario. Tiene daño base 60 y ataca en la TA de FIL, CON o PEN, según decida el invocador. La HA de El Emperador aumenta en 10 por cada 20 puntos que se supere la dificultad, pudiendo además realizar un ataque adicional por cada 40 superados. Todos los luchadores desaparecen tras realizar su acometida.</t>
  </si>
  <si>
    <t>Un minuto por cada 10 puntos que supere la dificultad requerida.</t>
  </si>
  <si>
    <t>Lanza una descarga de energía sobre alguien que se encuentre a la vista. El ataque se considera un conjuro de Ataque. Ataca en la TA de ENE y tiene daño base 100, aunque causa el doble de daño contra las criaturas oscuras o malignas. No es necesario que actúe de manera instantánea, pues puede permanecer junto al invocador durante el tiempo que dure la invocación.</t>
  </si>
  <si>
    <t>Cualquiera ataque al invocador debe suepra una RM o RP 140, o no será capaz de ejecutar su ataque. Debe realizarse cada asalto en el que se le ataque. Los afectados podrán seguir actuando, pero no atacarle o causarle ningún otro perjuicio directo. Es equivalente a un efecto automático cuya condición es declarar un ataque sobre el invocador.</t>
  </si>
  <si>
    <t>Utiliza la Habilidad de Defensa para transportar al invocador lejos de un ataque. El Carro nunca sufre penalizadores por el área de los ataques; no importa cuál sea su alcance, el Arcano traslada al invocador hasta fuera del área de peligro.</t>
  </si>
  <si>
    <t>Realiza un ataque físico. El ataque se realiza en la TA de ENE, con un daño base de 100 más 10 puntos adicionales por cada 10 sobre la dificultad requerida que consiga el invocador.</t>
  </si>
  <si>
    <t>Permite al invocador defenderse de cualquier ataque como si fuera una criatura de acumulación. Debe de negar sus otras habilidades de defensa para ello. Otorga 1.000 PV adicionales al personaje para protegerse de los ataques, con una TA 6. Serán los primero que pierda, tras lo cual el daño se restará de los del personaje. Los PV aumentan a un ritmo de 100 adicionales por cada 10 por los que el invocador supere la dificultad.</t>
  </si>
  <si>
    <t>Lanza un arcano aleatorio basándose en una tirada de D100 (ver tabla).</t>
  </si>
  <si>
    <t>Devuelve un ataque por cada 10 puntos que el invocador supere la dificultad. Para devolverlo, es necesario conseguir un contraataque. La defensa de La Justicia es un escudo mágico. Devuelve cualquier cosa, incluso efectos esotéricos y ataques en área, aunque si no se defiende correctamente, el afectado solo contará con su tirada natural para defenderse.</t>
  </si>
  <si>
    <t>240+</t>
  </si>
  <si>
    <t>Lanzar una descarga de energía sobre un blanco determinado. Su HA aumenta en 5 puntos por cada 10 por los que el invocador supere la dificultad. El daño base es de tres veces los PV que el invocador sacrifique al realizar la invocación. El daño sufrido mediante este método se considera de sacrificio.</t>
  </si>
  <si>
    <t>Cura de forma automática las heridas del objetivo de la invocación, incluso las carencias físicas. Los efectos perjudiciados quedan anulados por la invocación. Las heridas causadas por daño de sacrificio también se curan, siempre que el objetivo sea un tercero y no el invocador.</t>
  </si>
  <si>
    <t>1 minuto por cada 10 puntos que se supere la dificultad.</t>
  </si>
  <si>
    <t>Por cada 10 puntos que se supere la dificultad inicial, añade un +10 al control de Convocar a la hora de llamar otras invocaciones.</t>
  </si>
  <si>
    <t>5 asaltos por cada 10 puntos por los que supere la dificultad.</t>
  </si>
  <si>
    <t>El personaje usa la HA y HD de la invocación para atacar y defenderse. La defensa será considerada parada sobrenatural o esquiva, según decida el invocador. Sus ataques tienen daño base 80 y ataca en FIL, CON o PEN. Los contraataques atacan al invocador, no a la invocación.</t>
  </si>
  <si>
    <t>Un día por cada 10 puntos que supere la dificultad requerida.</t>
  </si>
  <si>
    <t>Efectúa un ataque equivalente a un conjuro anímico. El afectado debe superar una RM 160 o perderá temporalmente todas sus capacidades sobrenaturales, mágicas, psíquicas y habilidades del Ki. En el caso de las razas sobrenaturales, no podrán tampoco hacer uso de ninguno de sus poderes especiales.</t>
  </si>
  <si>
    <t>350+</t>
  </si>
  <si>
    <t>5 asaltos por cada 10 puntos que supere la dificultad requerida.</t>
  </si>
  <si>
    <t>Crea una barrera que protege al invocador frente a cualquier tipo de ataque. A efectos de juego se considera como un escudo mágico. Su habilidad aumenta 10 puntos adicionales por cada 10 por los que el invocador supere la dificultad requerida. El escudo resiste cualquier cantidad de daño y no puede ser roto, dispersado o destruido de ningún modo.</t>
  </si>
  <si>
    <t>Un asalto por cada 10 puntos que supere la dificultad.</t>
  </si>
  <si>
    <t>Afecta a cualquiera que se encuentre a 100 metros alrededor y que no sea capaz de superar una RM 160. Esta invocación se considera un conjuro anímico. Los que no superen la Resistencia quedarán a merced del invocador, sometiéndolos al estado que desee o transformándolos en cualquier cosa que imagine. No puede matar a los afectados, aunque sí facilitar la tarea.</t>
  </si>
  <si>
    <t>Lanza una descarga de calor sobre uno o varios blancos. Tiene daño base 300, más 10 puntos adicionales por cada 10 por los que el invocador supere la dificultad requerida. Ataca en la TA de calor. Su área de alcance máxima es de 100 metros. Es posible seleccionar blancos en el interior del ataque.</t>
  </si>
  <si>
    <t>Deshace cualquier acontecimiento en un kilómetro de distancia.No es posible designar un suceso específico, sino que rebobina todo. El cambio es completo, aunque todos serán conscientes de lo ocurrido. Puede retrocederse un minuto más uno adicional por cada 10 puntos que se supere la dificultad. Los seres de gnosis 40 o más no se ven afectados.</t>
  </si>
  <si>
    <t>Un minuto por cada 10 puntos que supere la dificultad.</t>
  </si>
  <si>
    <t>Hace al invocador inmune a todo daño, desventaja o efecto perjudicial. Además consigue un éxito en cualquier control de habilidad que intente en acciones enfrentadas directamente contra otro individuo que no impliquen conocimiento. No tiene efecto sobre las acciones de entidades que posean un Gnosis superior a 40, aunque sí protege contra otros arcanos.</t>
  </si>
  <si>
    <t>El Loco Invertido</t>
  </si>
  <si>
    <t>Un minuto por cada 10 puntos que se supere la dificultad.</t>
  </si>
  <si>
    <t>Penaliza otras invocaciones cercanas, aplicando un -10 a su habilidad final, pudiendo impedir que se realicen. El penalizador aumenta en 10 por cada 10 puntos que se supere la dificultad, hasta un máximo de -100. Solo afecta al Convocar al realizar invocaciones.</t>
  </si>
  <si>
    <t>El Hierofante Invertido</t>
  </si>
  <si>
    <t>140+</t>
  </si>
  <si>
    <t>Un asalto por cada 10 puntos que se supere la dificultad requerida.</t>
  </si>
  <si>
    <t>Realiza una descarga de energía oscura. Produce daño base 100. No es necesario que actúe de manera instantánea, ya que puede permanecer junto al personaje durante el tiempo que dure su estancia en el mundo.</t>
  </si>
  <si>
    <t>La Suma Sacerdotisa Invertida</t>
  </si>
  <si>
    <t>160+</t>
  </si>
  <si>
    <t>Provoca un ataque de energía oscura en área, con un radio de 20 metros, usando la habilidad ofensiva de la Suma Sacerdotisa. A efectos de juego, esta invocación se considera como un conjuro de Ataque con un daño base de 80 puntos. El área se incrementa 10 metros por cada 5 puntos que el invocador supere la dificultad requerida, mientras que su habilidad lo hace en 10 por cada 20 puntos superados. No es posible designar blancos en el interior del área.</t>
  </si>
  <si>
    <t>La Emperatriz Invertida</t>
  </si>
  <si>
    <t>Efectúa un ataque en ENE como si fuera un conjuro anímico. El objetivo debe superar una RM 120 o se verá obligado a repetir la misma acción concreta que realice en el asalto en el que se invoca La Emperatriz. El afectado podrá seguir realizando acciones de carácter pasivo. La dificultad, así como la HA de la Emperatriz, aumentan en 5 por cada 10 por los que el invocador supere la dificultad.</t>
  </si>
  <si>
    <t>El Emperador Invertido</t>
  </si>
  <si>
    <t>180+</t>
  </si>
  <si>
    <t>Cinco asaltos de dominación por cada 10 puntos que supere la dificultad.</t>
  </si>
  <si>
    <t>Efectúa un ataque en ENE como si fuera un conjuro anímico. El objetivo debe superar una RM o RP 140 o se someterá al dominio del invocador. Si recibe una orden que va en contra de su comportamiento, tendrá derecho a una nueva RM o RP. La HA de la invocación aumenta en 10 puntos por cada 20 que se supere la dificultad inicial.</t>
  </si>
  <si>
    <t>El Sumo Sacerdote Invertido</t>
  </si>
  <si>
    <t>Crea un escudo de energía que protege al invocador frente a cualquier tipo de ataque. Se considera como un escudo mágico, basado en Oscuridad, y que resiste 1.000 puntos antes de ser roto. Además, tiene 50 puntos de resistencia adicionales y aumenta en 10 su HD por cada 10 puntos que el invocador supere la dificultad.</t>
  </si>
  <si>
    <t>Los Enamorados Invertidos</t>
  </si>
  <si>
    <t>Efectúa un ataque en ENE como si fuera un conjuro anímico. El objetivo debe superar una RM 140, o perderá la misma cantidad de PV y puntos de Zeon por la que falló la Resistencia. El invocador absorbe el daño provocado, recuperando los puntos que haya causado el ataque. El invocador debe de perder los puntos que absorbió para que la víctima los recupere. La HA de aumenta 10 puntos por cada 20 que el invocador supere la dificultad.</t>
  </si>
  <si>
    <t>1 hora por cada 10 puntos por los que se supere la Dificultad requerida.</t>
  </si>
  <si>
    <t>Convocador es capaz de ver seres espirituales, criaturas invisibles (de cualquier tipo), matrices psíquicas y magia.</t>
  </si>
  <si>
    <t>El Carro Invertido</t>
  </si>
  <si>
    <t>Efectúa un ataque en ENE como si fuera un conjuro anímico. El objetivo debe superar una RM 160 o será transportado a un lugar al azar, a máximo 100 kilómetros. La distancia del traslado aumenta 100 kilómetros adicionales por cada 10 puntos que el invocador supere la dificultad, así como la HA de la invocación, que aumenta en 10 por cada 20 puntos superados. El lanzador no tiene control del lugar al que envía al individuo ni sabe dónde acaba. El invocador puede utilizar esta habilidad también sobre sí mismo.</t>
  </si>
  <si>
    <t>Ojo del Mundo</t>
  </si>
  <si>
    <t>1 hora por cada 10 puntos por los que se supere la Dificultad requerida</t>
  </si>
  <si>
    <t>El convocador obtiene Visión Extrasensorial, siendo capaz de observar cualquier suceso que ocurra en 500 metros de su posición como si tuviera Advertir y Buscar 240.</t>
  </si>
  <si>
    <t>La Fuerza Invertida</t>
  </si>
  <si>
    <t>220+</t>
  </si>
  <si>
    <t>Un asalto por cada 10 puntos que supere la dificultad .</t>
  </si>
  <si>
    <t>Realiza un ataque físico cada asalto. Ataca en CON y tiene daño base 100. Cada vez que realice una agresión y no consigue producir daño a su adversario, aumenta 20 puntos la base del daño que provoca. La Fuerza debe de verse obligada a atacar todos los asaltos sobre un ser vivo o animado; sino, se volverá en contra del invocador. La HA de La Fuerza aumenta en 10 puntos por cada 30 que se supere la dificultad.</t>
  </si>
  <si>
    <t>El Ermitaño Invertido</t>
  </si>
  <si>
    <t>Efectúa un ataque en ENE que se considera un conjuro anímico. El objetivo debe superar una RM 140, o será encerrado durante un minuto por cada punto por el que no supere la Resistencia. La dificultad aumenta en 5 por cada 10 que el invocador supere la dificultad. El encierro envía al individuo a un lugar vacío de la Vigilia. Tras el período, reaparece en el sitio donde desapareció.</t>
  </si>
  <si>
    <t>Rejuvenecer</t>
  </si>
  <si>
    <t>Realiza un ataque anímico basado en energía. El objetivo debe superar una RM 120 o rejuvenecerá en años una cantidad igual al fracaso. Los efectos desaparecen a 1 año por hora. No puede rebajar la edad del objetivo por debajo de 1. La resistencia aumenta 5 puntos por cada 10 por los que el invocador supera la dificultad requerida.</t>
  </si>
  <si>
    <t>La Rueda Invertida</t>
  </si>
  <si>
    <t>Realiza un ataque sobrenatural en área, sobre cualquiera a 100 metros del invocador. Los afectados deberán superar una RM 120 o perderán un nivel de experiencia, más otro adicional por cada 40 puntos de fracaso. La dificultad de la RM aumenta 5 puntos por cada 10 que el invocador supere la dificultad.</t>
  </si>
  <si>
    <t>Envejecer</t>
  </si>
  <si>
    <t>Realiza un ataque anímico basado en energía. El objetivo debe superar una RM 140 o envejecerá una cantidad de años igual al fracaso. Los efectos desaparecen a 1 año por hora. Envejecer no produce una muerte directa. La resistencia aumenta 5 puntos por cada 10 por los que el invocador supera la dificultad requerida.</t>
  </si>
  <si>
    <t>La Justicia Invertida</t>
  </si>
  <si>
    <t>Los poderes permanecen drenados un minuto por cada 10 puntos que supere la dificultad requerida.</t>
  </si>
  <si>
    <t>Efectúa un ataque sobrenatural sobre un individuo, quien deberá superar una RM 140 o drenará uno de los tres grupos de habilidades primarias; habilidades de combate, sobrenaturales o psíquicas. El afectado perderá temporalmente todos sus poderes, que serán transmitidos al invocador. El Zeon, el Ki y los CV gastados permanecen perdidos cuando los recupera su verdadero propietario, pero no así las habilidades físicas empleadas, como el cansancio y el daño.</t>
  </si>
  <si>
    <t>El Colgado Invertido</t>
  </si>
  <si>
    <t>Realiza un ataque sobrenatural sobre cualquiera que esté a 50 metros. Los afectados deben superar una RM 140 o sufrirán un penalizador a toda acción igual al nivel de fallo. La dificultad de la Resistencia aumenta 5 puntos por cada 10 que el invocador supere la dificultad. Los penalizadores se pierden a un ritmo de 10 puntos por hora, excepto si el nivel de fallo es 80 o más, en cuyo caso son permanentes.</t>
  </si>
  <si>
    <t>La Muerte Invertida</t>
  </si>
  <si>
    <t>Realiza un ataque de ENE sobre alguien cuerpo a cuerpo. Su habilidad de ataque aumenta 10 puntos adicionales por cada 10 puntos por los que el invocador supere la dificultad requerida. El afectado deberá superar una RM contra 140 o morirá de manera instantánea.</t>
  </si>
  <si>
    <t>La Templanza Invertida</t>
  </si>
  <si>
    <t>El escudo es instantáneo, pero la habilidad permanece dispersa y sin poder ser utilizada durante un día por cada 10 puntos que el invocador supere la dificultad requerida.</t>
  </si>
  <si>
    <t>Crea un escudo de energía que protege al invocador frente a cualquier tipo de ataque. Resiste un daño de 500 puntos antes de ser roto, pero solo es afectado por daños sobrenaturales. Si se trata de un ataque realizado con habilidades especiales y es detenido con éxito, el atacante deberá superar una RM 160 o perderá temporalmente la capacidad de utilizar el poder empleado.</t>
  </si>
  <si>
    <t>El Diablo Invertido</t>
  </si>
  <si>
    <t>Diez asaltos por cada 10 puntos que supere la dificultad requerida.</t>
  </si>
  <si>
    <t>Obliga a superar una RM 140 como si se tratase de un conjuro anímico. De fallar, el individuo atacará a sus compañeros, empezando por aquel al que más aprecie. Utilizará la HA de la invocación, pero no se defenderá. En caso de morir, el Arcano saltará sobre su asesino, obligándole a superar a su vez la RM. De superar la RM, la invocación desaparece.</t>
  </si>
  <si>
    <t>La Torre Invertida</t>
  </si>
  <si>
    <t>Efectúa un ataque en la TA de ENE. El objetivo deberá superar trece RM 120 distintas para evitar sufrir todos los efectos negativos del Capítulo 13 de Core Exxet, así como una contra venenos y otra contra una enfermedad degenerativa, ambas de nivel 60. Las Resistencias aumentan en 5 puntos por cada 10 que se supere la dificultad. Si se supera alguna, esta regresa contra el invocador, y así sucesivamente hasta que alguien falle.</t>
  </si>
  <si>
    <t>La Estrella Invertida</t>
  </si>
  <si>
    <t>Proyecta una descarga de energía oscura. Cada asalto posterior que se mantenga, puede volver a realizar una descarga adicional sobre cualquier sujeto que el invocador elija. Provoca un daño base de 200 puntos. Los daños solo se recuperan de forma sobrenatural.</t>
  </si>
  <si>
    <t>La Luna Invertida</t>
  </si>
  <si>
    <t>Utiliza su habilidad como si se tratase de la HE del invocador. Cada vez que consiga una defensa con éxito, crea una imagen ilusoria adicional del invocador. Descubrir cuál es el verdadero requiere superar una dificultad de Inhumano en Buscar o en Detección de Ki.</t>
  </si>
  <si>
    <t>El Sol Invertido</t>
  </si>
  <si>
    <t>Lanza una descarga de calor sobre un blanco determinado. Tiene un daño base de 300 y actúa en la TA de calor. El Sol tiene un área máxima de 500 metros, más 500 metros adicionales por cada 10 puntos por los que el invocador supere la dificultad requerida. No es posible seleccionar blancos en el interior del ataque.</t>
  </si>
  <si>
    <t>El Juicio Invertido</t>
  </si>
  <si>
    <t>Rebaja a cero el Gnosis de cualquier entidad que se encuentre en un radio de un kilómetro, salvo la del invocador. Las entidades con 45 o más no se verán afectados. Los poderes sobrenaturales que requieran Gnosis desaparecerán mientras se encuentren dentro del área. Es un efecto automático, que requiere únicamente encontrarse en el área designada.</t>
  </si>
  <si>
    <t>El Mundo Invertido</t>
  </si>
  <si>
    <r>
      <t>Cualquier sujeto que se encuentre dentro de un kilómetro de radio, más otro adicional por cada 10 puntos por los que este supere la dificultad requerida</t>
    </r>
    <r>
      <rPr>
        <b/>
        <sz val="10"/>
        <rFont val="Arial"/>
        <family val="2"/>
      </rPr>
      <t>,</t>
    </r>
    <r>
      <rPr>
        <sz val="10"/>
        <rFont val="Arial"/>
        <family val="2"/>
      </rPr>
      <t xml:space="preserve"> pifia cada vez que lanza los dados. Esta invocación no tiene ningún efecto sobre las acciones de entidades de Gnosis 45, aunque sí sobre otros Arcanos, que no tendrán poder dentro en su área de acción. En el caso de que se encuentre ante un sujeto protegido por El Mundo puro, ambos se anulan de inmediato.</t>
    </r>
  </si>
  <si>
    <t>Rudraskha</t>
  </si>
  <si>
    <t>Void Nova</t>
  </si>
  <si>
    <t>1 turno de ataque adicional cada 20 puntos que supere la dificultad requerida.</t>
  </si>
  <si>
    <t>Proyecta una descarga sobrenatural capaz de dañar energía que ataca en ELE. Al impactar, crea una cúpula de 50 metros de radio con daño base 120 que permanece estática en el lugar. Void Nova se repite en el inicio de los asaltos siguiente. El invocador no sufre daños proveniente de este ataque.</t>
  </si>
  <si>
    <t>Exodus Void Nova</t>
  </si>
  <si>
    <t>Proyecta una descarga sobrenatural capaz de dañar energía que ataca en ELE y crea una cúpula de 200 metros de radio con daño base 220 que permanece estática en el lugar en la que fue lanzada. Exodus Void Nova se repite en el inicio de los asaltos siguientes. El invocador no sufre daños proveniente de este ataque y, mientras se mantenga, es inmune a la electricidad.</t>
  </si>
  <si>
    <t>Lo que dure el mensaje o la entrega del paquete.</t>
  </si>
  <si>
    <t>Transporta cualquier elemento inorgánico o mensaje a otra parte del mundo. Puede “entregar” un máximo de 60 puntos de presencia a la persona o lugar que se designe, sin importar la distancia. La cantidad de presencia aumenta en 5 por cada 10 puntos que se supere la dificultad.</t>
  </si>
  <si>
    <t>1 turno por cada 10 puntos que se supere la dificultad.</t>
  </si>
  <si>
    <t>Emite una canción. Todos los que la oigan más de un asalto y estén a menos de 500 metros deben superar una RM o RP 100 o aplicarán Fascinación. Dormidos e inconscientes de lo que sucede, los afectados intentarán realizar las acciones descritas en la canción. El efecto perdura mientras los sujetos sigan escuchando la canción, pero pueden repetir la Resistencia con un +20 si ponen en riesgo su vida o hacen algo que jamás harían. La Resistencia aumenta 5 por cada 10 puntos en los que se supere la dificultad.</t>
  </si>
  <si>
    <t>Realiza un ataque físico en PEN con un daño base 50. De dañar al objetivo, el convocador puede crear un veneno sobrenatural de nivel 40 siguiendo las reglas generales. Cada 20 puntos por los que se supere la dificultad aumenta 5 niveles el veneno de la Naaga y +5 a su Habilidad de Ataque (Hasta un máximo de HA 350).</t>
  </si>
  <si>
    <t>Visión Verdadera</t>
  </si>
  <si>
    <t>Ataque de energía contra alguien a 300 metros. Este debe de realizar una RM o RP 120. Si falla por 20 o menos, sufrirá o Terror o Ira; entre 20 y 60, queda afectado por una locura/esquizofrenia que no se va hasta la luna nueva; por más de 60, pierde cualquier contacto con la realidad para siempre. Cada 10 puntos por los que se supere la dificultad aumentan en +5 la Resistencia.</t>
  </si>
  <si>
    <t>1 hora por cada 10 puntos por los que se supere la dificultad requerida.</t>
  </si>
  <si>
    <t>Galgaliel crea un arma de calidad +10, con cualidades elementales de luz que produce doble daño contra seres de naturaleza malvada o impía.</t>
  </si>
  <si>
    <t>Tantos asaltos como puntos por los que se supere la dificultad requerida.</t>
  </si>
  <si>
    <t>Otorga alas al conjurador, permitiéndole moverse por el aire con Tipo de Vuelo natural 12.</t>
  </si>
  <si>
    <t>Tantos asaltos como puntos por los que se superó la dificultad requerida.</t>
  </si>
  <si>
    <t>Crea una capa de llamas que protege al invocador de todo daño. No es un escudo, sino una estructura que debe destruirse para atacar o salir, incluso desde dentro. Tiene un radio máximo de 10 metros, y el invocador puede declarar que quiere cubrir (o encerrar con él) a otras personas dentro del área. La cúpula aguanta 2.000 PV y TA 8. No posee puntos vulnerables y es inmune a los ataques incapaces de dañar energía, pero el calor o la electricidad tampoco puede producirle daño. Por cada 10 que superen la dificultad aumentan 200 puntos su resistencia.</t>
  </si>
  <si>
    <t>Realiza un ataque anímico. La víctima deberá superar una RF 120, o sufrir un negativo a toda acción por dolor igual a la mitad del fracaso. Por cada 10 puntos por los que se supere la dificultad le obliga a superar una nueva RF, pero aumentando en 5 la dificultad. Si en cualquiera falla por más de 80, muere del dolor. Los seres inmunes a dolor no pueden ser blancos de Raksasha.</t>
  </si>
  <si>
    <t>In Nomine</t>
  </si>
  <si>
    <t>Esta invocación realiza un ataque anímico. El objetivo debe superar una RM 120 o el invocador sabrá su verdadero nombre. Cada 10 puntos que superen la dificultad otorgan un +10 adicional a la RM, o bien permiten al invocador fijar a un blanco adicional diferente.</t>
  </si>
  <si>
    <t>Ordinare</t>
  </si>
  <si>
    <t>Puede dar una orden a alguien cuyo verdadero nombre conozca. Se considera un conjuro automático que el blanco debe oír y comprender. Debe superar una RM 140 o se verá obligado a cumplirla (si es opuesta a su naturaleza puede sumar un +40 a su RM). Cada 10 por los que se supere la dificultad aumenta en +5 la RM. La orden no puede obligar al objetivo a morir ni le compele a obedecerla durante más de una hora.</t>
  </si>
  <si>
    <t>El Ojo de la Muerte</t>
  </si>
  <si>
    <t>Sustituye por 240 la Medicina. En caso de que una persona sea afectada por una dolencia mística, el personaje obtiene un 240 en ocultismo para saber como tratar dicha enfermedad.</t>
  </si>
  <si>
    <t>Einjear</t>
  </si>
  <si>
    <t>Invoca los muertos en un área de 100 metros. No están a disposición del invocador. Si tienen su cuerpo intacto sus almas se unen a ellas con todos sus PV. Son inmunes a los ataques no basados en energía pero no tienen Zeon, Ki o CV. Se mantienen una hora por cada 10 que se supere la RM, salvo que sean destruidos.</t>
  </si>
  <si>
    <t>5 asaltos por cada 10 puntos por los que supere la dificultad requerida.</t>
  </si>
  <si>
    <t>Todos los conjuros que realice el convocador son lanzados con un grado por encima de lo que determine el Zeon acumulado.</t>
  </si>
  <si>
    <t xml:space="preserve"> 1 minuto por cada 10 puntos que se supere la dificultad requerida.</t>
  </si>
  <si>
    <t>Otorga un bono de +50 al daño base de todos los ataques, sean físicos, mágicos o de otras invocaciones. Todos sus ataques producen un crítico automático y aplican un +50 al cálculo. De tratarse de una criatura de acumulación, se considera que todo su cuerpo es un punto vulnerable.</t>
  </si>
  <si>
    <t>Tantas horas como puntos por los que se supere la dificultad.</t>
  </si>
  <si>
    <t>Realiza un ataque anímico contra dos objetivos vivos. Deben de superar una RM 140 o la invocación intercambiará sus almas de lugar. Si el cuerpo de uno de ellos muere, el no regresa a su cuerpo original y el cambio se vuelve permanente. Por cada 10 puntos por los que se supere la Dificultad suma un +5 a la Resistencia, hasta un máximo de 200 RM.</t>
  </si>
  <si>
    <t>Tantos asaltos como puntos por los que se superó la Dificultad requerida.</t>
  </si>
  <si>
    <t>Realiza un ataque anímico con área de 20 metros de radio, sin elección de blancos. Tanto el invocador como todo aquel que resulte afectado, debe superar una RM 120 o sufrir un estado negativo (ver tabla). E caso de que el invocador sea afectado y no le guste el resultado, puede realizar una segunda. Cada 10 puntos por los que se superó la dificultad requerida aumenta en +5 la Resistencia a superar (hasta un máximo de 260) y 10 metros el área.</t>
  </si>
  <si>
    <t>Kagutsuchi</t>
  </si>
  <si>
    <t>Hi no Kodomo</t>
  </si>
  <si>
    <t>Realiza un ataque anímico. El objetivo debe superar cada asalto una RF 140 o sufrir un daño igual al nivel de fracaso. Hi no Kodomo sólo ataca una vez al ser invocado, pero el control de resistencia en los subsiguientes asaltos es automático.</t>
  </si>
  <si>
    <t>Hi no Tsubasa</t>
  </si>
  <si>
    <t>Realiza un ataque en una línea 50 metros de anchura y 100 de longitud, más 20 adicionales por cada 10 puntos por lo que se supere la dificultad. Tiene un daño base de 200 y ataca en Fuego, pero las llamas sólo queman lo que desee el lanzador; por tanto, puede elegir blanco dentro del área afectada por el ataque.</t>
  </si>
  <si>
    <t>Equilibrium</t>
  </si>
  <si>
    <t>Debe activarse al el invocador sufrir daños. El atacante debe superar un control de RM 140 o el daño que haya provocado se trasladará a él. No hay límite en la cantidad que puede anularse, pero se pueden trasladar hasta 250 puntos de daño. Por cada 10 puntos por los que se supere la dificultad, la RM aumenta 5 puntos, hasta un máximo de 240 RM.</t>
  </si>
  <si>
    <t>Equilibrium Mundi</t>
  </si>
  <si>
    <t>1 asalto por cada 10 puntos que superen la dificultad requerida.</t>
  </si>
  <si>
    <t>Traslada cualquier daño que reciba el convocador durante el asalto entero contra quien se lo produzca. Todo aquél que lo dañe debe superar una RM 120 o el daño que le haya provocado se anulará, sufriéndolo él en su lugar. La resistencia debe de realizarse al finalizar cada ataque producido. No hay límite en la cantidad anulada, pero se pueden trasladar hasta 250 puntos de daño. Por cada 10 puntos por los que se supere la dificultad suma +5 a la resistencia, hasta un máximo de 240 RM.</t>
  </si>
  <si>
    <t>Destructora de demonios</t>
  </si>
  <si>
    <t>Realiza un ataque contra un adversario que se encuentre a 250 metros. Posee un daño 60 y ataca en PEN, aunque si se trata de un ser Entre Mundos con Gnosis 25 o superior, dobla su daño. Por cada 10 puntos que el invocador supere la dificultad requerida Druaga realiza un ataque adicional (hasta un máximo de 20).</t>
  </si>
  <si>
    <t>Kali</t>
  </si>
  <si>
    <t>320+</t>
  </si>
  <si>
    <t>Realiza 10 ataques consecutivos contra un adversario. Tienen daño base 100, atacan en FIL, restan -4 a la TA y se recupera a ritmo de sacrificio. La HA aumenta en +5 por cada 10 puntos por los que el invocador supere la dificultad, hasta 400. En el caso de que su objetivo muera y a Druaga aún le queden ataques restantes, estos se vuelven contra el propio invocador.</t>
  </si>
  <si>
    <t>Comunión con la Tierra</t>
  </si>
  <si>
    <t>5 asaltos por cada 10 puntos por los que se superó la dificultad.</t>
  </si>
  <si>
    <t>obtiene barrera de daño 200 contra ataques físicos y barrera de daño 80 contra ataques sobrenaturales. Además, consigue un +50 a sus RF y inmunidad absoluta contra los conjuros de la vía de Tierra (salvo que el lanzador tenga Gnosis 40 o superior).</t>
  </si>
  <si>
    <t>Señor de la Tierra</t>
  </si>
  <si>
    <t>3 asaltos.</t>
  </si>
  <si>
    <t>Daño por etapas. Ver</t>
  </si>
  <si>
    <t>Comunión con el Agua</t>
  </si>
  <si>
    <t>Reduce a la mitad cualquier daño que reciba el invocador, incluso los basados en energía. Además obtiene inmunidad contra los conjuros de la vía de Agua (salvo que el lanzador tenga Gnosis 40 o superior).</t>
  </si>
  <si>
    <t>Señor de las Aguas</t>
  </si>
  <si>
    <t>1 asalto por cada 10 puntos por los que que se supere la dificultad.</t>
  </si>
  <si>
    <t>Tsunami. TM 10, 5 km de longitud, daño base entre 100 y 150, ataca en CON. Cualquiera en su rango debe superar un control de FUE 18 para no ser arrastrado y sufrir cada asalto un ataque determinado de HA 320. Control de Nadar para paliar efectos. Ver</t>
  </si>
  <si>
    <t>Comunión con el Viento</t>
  </si>
  <si>
    <t>Otorga la capacidad de moverse por el aire con Tipo de Vuelo 12, y cualquier ataque que se realice contra el invocador sufre un -40 si es a distancia o de -20 si es físico. Además obtiene inmunidad contra los conjuros de la vía de Aire (salvo que el lanzador tenga Gnosis 40 o superior).</t>
  </si>
  <si>
    <t>Señor del Viento</t>
  </si>
  <si>
    <t>1 asalto por cada 10 puntos por el invocador supere la dificultad.</t>
  </si>
  <si>
    <t>Ciclón con radio de 1 km que se desplaza con TM 15. Cualquiera en su área debe superar un control de FUE o AGI 14 para no ser arrastrados a su interior (a menos de 100 m el control es de 16). Dentro, RF 180 o daño igual al fracaso. Si se vuela, control de FUE 18 para escapar. El invocador no sufre daños.</t>
  </si>
  <si>
    <t>Tormenta</t>
  </si>
  <si>
    <t>La tormenta permanece activa un número de minutos equivalentes a la cantidad por la que se superó la dificultad requerida.</t>
  </si>
  <si>
    <t>Invoca sus poderes y crea una tormenta torrencial con el invocador como centro. La Tormenta se crea en aproximadamente un minuto y provoca lluvia, rayos y vientos capaces de crear inundaciones, incendios y desprendimientos a gran escala.</t>
  </si>
  <si>
    <t>Al finalizar cada asalto, realiza un ataque a distancia en un área de 5 metros. Ataca en ENE y tiene daño base 80. En caso de que en esos momentos haya una tormenta activa en la zona, el daño se incrementa hasta 120. Esto se considera un ataque indirecto e independiente del invocador.</t>
  </si>
  <si>
    <t>Señor del Este</t>
  </si>
  <si>
    <t>1 asalto por cada 10 puntos que se supere la dificultad.</t>
  </si>
  <si>
    <t>El invocador gana la capacidad de lanzar cada asalto usando la habilidad de ataque de Seiryu como Proyección Mágica hasta dos sortilegios innatos sin coste alguno de Zeon; Rayo (grado base), Crear Viento (grado avanzado), Remolino (grado base) o Control de la Electricidad (grado intermedio).</t>
  </si>
  <si>
    <t>La Furia de la Última Tormenta</t>
  </si>
  <si>
    <t>1 asalto por cada 10 que se supere la dificultad.</t>
  </si>
  <si>
    <t>Obtiene un +4 a Fuerza y Poder, alcanza Zen, puede dañar cualquier clase de ser, obtiene un +50 a su HA (o el de cualquier invocación que realice) y aumenta en +50 el daño de todos sus ataques basados en ELE. Además, puede defenderse con la habilidad de Seiryu usando un escudo de energía con 2.000 Puntos de Resistencia.</t>
  </si>
  <si>
    <t>Clarividencia</t>
  </si>
  <si>
    <t>Ve hasta un día en el futuro. Pueden variar si hay individuos de alta gnosis o natura en las visiones. Cada 10 puntos que se supere la dificutlad puede optar por ver un día adicional u obtener más información.</t>
  </si>
  <si>
    <t>El Escudo Definitivo</t>
  </si>
  <si>
    <t>Crea un escudo sobrenatural con 5000 PV que incrementa en 200 por cada 10 puntos que se supere la dificultad. Las armas que lo golpeen deben superar un control de entereza 18 si no quieren romperse.</t>
  </si>
  <si>
    <t>Señor del Norte</t>
  </si>
  <si>
    <t>El invocador gana la capacidad de lanzar cada asalto usando la habilidad de ataque de Genbu como Proyección Mágica hasta dos sortilegios innatos sin coste alguno de Zeon; Impacto de
Agua (grado intermedio), Burbuja Protectora (grado avanzado), Control de las Mareas (grado base) o Prisión de Agua (grado base).</t>
  </si>
  <si>
    <t>Amo de las entrañas de la tierra</t>
  </si>
  <si>
    <t>Obtiene un +4 a Inteligencia y Poder, alcanza Zen, puede dañar cualquier clase de ser, obtiene un +50 a su HD (o el de cualquier invocación que realice) y aumenta en +5 todas sus TA. Además, puede defenderse con la habilidad de Genbu usando un escudo de energía con 2.000 Puntos de Resistencia.</t>
  </si>
  <si>
    <t>Buena Fortuna</t>
  </si>
  <si>
    <t>5 minutos por cada 10 puntos por los que se supere la dificultad.</t>
  </si>
  <si>
    <t>El invocador reduce en dos puntos su rango de pifia (hasta un mínimo de 1) y aumenta 5 puntos el rango de la tirada abierta (es decir, logra una tirada abierta con un resultado de 85 o más).</t>
  </si>
  <si>
    <t>Calamidad</t>
  </si>
  <si>
    <t>5 asaltos por cada 10 puntos por el invocador supere la dificultad.</t>
  </si>
  <si>
    <t>Realiza un ataque sobrenatural cada asalto a una distancia de 250 metros. Tiene daño 80 y ataca en ENE. El objetivo debe realizar un control de RM 140 más 5 por cada 10 puntos por los que se supere la dificultad si no quiere sufrir la desventaja Mala Suerte, aumentar dos puntos el rango de pifia y solamente obtener abierta con 100. El invocador puede reducir a 0 el daño para solo causar infortunio.</t>
  </si>
  <si>
    <t>Señor del Sur</t>
  </si>
  <si>
    <t>El invocador gana la capacidad de lanzar cada asalto usando la habilidad de ataque de Suzaku como Proyección Mágica hasta dos sortilegios innatos sin coste alguno de Zeon; Bola de Fuego (grado intermedio), Barrera de Fuego (grado Intermedio), Control sobre el Fuego (grado avanzado) o Consumir Esencia (grado base).</t>
  </si>
  <si>
    <t>El Elegido del Sol</t>
  </si>
  <si>
    <t>Obtiene un +4 a Destreza y Poder, alcanza Zen, puede dañar cualquier clase de ser, puede moverse con Tipo de Vuelo 12, obtiene un +50 a su HA (o el de cualquier invocación que realice) y aumenta en +50 sus ataques basados en calor. Además, puede defenderse con la habilidad de Suzaku usando un escudo de energía con 2.000 Puntos de Resistencia.</t>
  </si>
  <si>
    <t>2 asaltos por cada 10 puntos por los que se superó la dificultad.</t>
  </si>
  <si>
    <t>Crea una protección sobrenatural, reduciendo en -20 el daño base de cualquier ataque dirigido contra el invocador. Esta disminución también se aplica contra ataques capaces de dañar energía, aunque en tal caso se reduce a la mitad. La reducción se incrementa en -10 por cada 20 puntos por los que se supere la dificultad, hasta -200.</t>
  </si>
  <si>
    <t>La Garra del Rey de las Bestias</t>
  </si>
  <si>
    <t>Realiza un ataque cuerpo a cuerpo. Tiene daño base 120 y ataca en FIL, restando 4 TA. Cada 10 puntos por los que el invocador supere la dificultad, puede optar entre o bien incrementar 5 puntos el daño base o bien disminuir una TA adicional al mismo.</t>
  </si>
  <si>
    <t>Señor del Oeste</t>
  </si>
  <si>
    <t>El invocador gana la capacidad de lanzar cada asalto usando la habilidad de ataque de Byakko como Proyección Mágica hasta dos sortilegios innatos sin coste alguno de Zeon; Descarga de Luz (grado intermedio), Barrera de Piedra (grado Intermedio), Control Mineral (grado avanzado) o Flash Cegador (grado avanzado).</t>
  </si>
  <si>
    <t>La Bestia Definitiva</t>
  </si>
  <si>
    <t>Obtiene un +4 a Agilidad y Poder, alcanza Zen, puede dañar cualquier clase de ser, puede moverse con Tipo de Vuelo 12, obtiene un +50 a su HA y HD (o el de cualquier invocación que realice) y obtiene TA 6 contra cualquier ataque. Además, puede defenderse con la habilidad de Byakko usando un escudo de energía con 2.000 Puntos de Resistencia.</t>
  </si>
  <si>
    <t>Feng Shui</t>
  </si>
  <si>
    <t>Como la invocación imitada.</t>
  </si>
  <si>
    <t>Al invocarla, imita uno de los poderes de las cuatro bestias cardinales. Utiliza la dificultad alcanzada en Feng Shui para calcular sus efectos.</t>
  </si>
  <si>
    <t>Lo que dure la venta.</t>
  </si>
  <si>
    <t>La invocación aparece y muestra lo que tiene actualmente a la venta.</t>
  </si>
  <si>
    <t>Comprensión del Tiempo</t>
  </si>
  <si>
    <t>1 asalto por cada 20 puntos por los que se superó la dificultad.</t>
  </si>
  <si>
    <t>Congela el tiempo para el invocador y le concede tiempo en el que puede realizar cualquier acción. No puede alterar ningún aspecto de lo que le rodea, ni realizar acciones que involucren a un tercero. Al terminar, volverá al mismo punto del turno en el que se encontraba.</t>
  </si>
  <si>
    <t>La Puerta</t>
  </si>
  <si>
    <t>Crea una puerta que permite al invocador defenderse ante cualquier ataque, sin importar su naturaleza. Si logra una defensa, el ataque queda almacenado dentro de la puerta, y el invocador puede activarlo contra quien desee con la misma habilidad final. Por cada 20 puntos por los que se supere la dificultad, puede defenderse de un ataque adicional.</t>
  </si>
  <si>
    <t>Más Allá del Tiempo y el Espacio</t>
  </si>
  <si>
    <t>Tantos siglos como puntos por los que el invocador supere la dificultad.</t>
  </si>
  <si>
    <t>Obliga a alguien presente a superar una RM 140 más 5 por cada 10 puntos por los que se supere la dificultad (hasta 260 RM). Si falla, el objetivo congelado en una línea temporal diferente. En este estado, el tiempo no pasa para él, ni puede ser afectado por ninguna otra persona. Cuando acaba el periodo el afectado reaparece en algún lugar aleatorio del mundo. Si falla por más de 60 puntos, el afectado es incapaz de regresar.</t>
  </si>
  <si>
    <t>Ossadagowah</t>
  </si>
  <si>
    <t>Instantáneo (los blancos de la presa permanecen 5 asaltos atrapados)</t>
  </si>
  <si>
    <t>Realiza cinco ataques con, o bien tienen daño base de 100 y atacan en la TA de contundente, o bien realizan una presa con un atributo de Fuerza 12. Cada objetivo de tamaño medio o menor sólo puede ser blanco de dos tentáculos como máximo y, si no hay objetivos suficientes, el resto de tentáculos atacarán a otros al azar, incluso a él mismo.</t>
  </si>
  <si>
    <t>Vaifron</t>
  </si>
  <si>
    <t>Realiza dos ataques cuerpo a cuerpo que atacan en FIL con daño base 100. La primera tirada es considerada abierta sin importar el resultado. A voluntad del invocador ambos ataques pueden tener lugar en el mismo turno, o en turnos consecutivos. De hacerlo así, el segundo tiene lugar cuando le corresponde actuar al invocador, o de no tener acción, al finalizar el asalto.</t>
  </si>
  <si>
    <t>Estrela Polar</t>
  </si>
  <si>
    <t>Remembranzas de Hakushin</t>
  </si>
  <si>
    <t>Los Tres Ejecutores</t>
  </si>
  <si>
    <t>Deseo Ponzoñoso</t>
  </si>
  <si>
    <t>Luz del Segador</t>
  </si>
  <si>
    <t>Coste inicial:</t>
  </si>
  <si>
    <t>Dif. inicial:</t>
  </si>
  <si>
    <t>Dificultad:</t>
  </si>
  <si>
    <t xml:space="preserve">Duración: </t>
  </si>
  <si>
    <t>A 2 manos, Traba el arma</t>
  </si>
  <si>
    <t>Presa (FUE 9), Compleja, Distancia</t>
  </si>
  <si>
    <t>Marcial</t>
  </si>
  <si>
    <t>A 1 o 2 manos, Aplastante, Ver</t>
  </si>
  <si>
    <t>A 1 o 2 manos, Aplastante</t>
  </si>
  <si>
    <t>Sin penalizador por áreas. Abarca el doble de adversarios</t>
  </si>
  <si>
    <t>Puede realizar ataques en área durante un contraataque</t>
  </si>
  <si>
    <t>Janpu-kai (Base)</t>
  </si>
  <si>
    <t>No sufre penalizador por destrabarse, +40 a Acrobacias en combate</t>
  </si>
  <si>
    <t>Janpu-kai (Arcano)</t>
  </si>
  <si>
    <t>El bono aumenta a +80, siempre aplica Posición Superior</t>
  </si>
  <si>
    <t>Suma dos veces el bono de FUE al realizar cargas</t>
  </si>
  <si>
    <t>Estela de destrucción durante las cargas</t>
  </si>
  <si>
    <t>Kuan Tsu (Base)</t>
  </si>
  <si>
    <t>Sin penalizador para Pantalla de proyectiles. Reduce un grado interceptar proyectiles</t>
  </si>
  <si>
    <t>Kuan Tsu (Arcano)</t>
  </si>
  <si>
    <t>+40 al defenderse de Lluvia de proyectiles. Reduce dos grados interceptar proyectiles, puede reflejarlos</t>
  </si>
  <si>
    <t>Línghún shíkè (Base)</t>
  </si>
  <si>
    <t>POD en lugar de FUE para realizar la maniobra Confundir. Tarda el doble en sanar</t>
  </si>
  <si>
    <t>Línghún shíkè (Arcano)</t>
  </si>
  <si>
    <t>+4 al control de Confundir. Daño por sacrificio</t>
  </si>
  <si>
    <t>Hamon (Base)</t>
  </si>
  <si>
    <t>Al usar objetos, bono al daño de entre 10 y 40. Ataca en CAL, +20 al resultado de la tabla</t>
  </si>
  <si>
    <t>Hamon (Arcano)</t>
  </si>
  <si>
    <t>Al usar objetos, bono al daño de entre 20 y 60. Ataca en CAL, +40 al resultado de la tabla</t>
  </si>
  <si>
    <t>Zumung (Base)</t>
  </si>
  <si>
    <t>+3 al resistir Impactos, +15 a la entereza</t>
  </si>
  <si>
    <t>Zumung (Arcano)</t>
  </si>
  <si>
    <t>+5 al resistir Impactos, +30 a la entereza</t>
  </si>
  <si>
    <t>Rokushiki (Base)</t>
  </si>
  <si>
    <t>Habilidades variables. Ver</t>
  </si>
  <si>
    <t>Rokushiki (Arcano)</t>
  </si>
  <si>
    <t>Inter Nos (Base)</t>
  </si>
  <si>
    <t>Reduce a la mitad los penalizadores por intentar ocultarse frente a otros</t>
  </si>
  <si>
    <t>Inter Nos (Arcano)</t>
  </si>
  <si>
    <t>No pierde sigilo al realizar ataques asesinos</t>
  </si>
  <si>
    <t>Keijo (Base)</t>
  </si>
  <si>
    <t>Mitad de penalizador a Derribo</t>
  </si>
  <si>
    <t>Keijo (Avanzado)</t>
  </si>
  <si>
    <t>Impacto de fuerza al realizar Derribo</t>
  </si>
  <si>
    <t>Keijo (Supremo)</t>
  </si>
  <si>
    <t>+3 a los controles para realizar Impactos</t>
  </si>
  <si>
    <t>Sumo (Base)</t>
  </si>
  <si>
    <t>Utiliza CON en vez de FUE para Derribos</t>
  </si>
  <si>
    <t>Sumo (Avanzado)</t>
  </si>
  <si>
    <t>Elimina el penalizador de Derribo</t>
  </si>
  <si>
    <t>Sumo (Supremo)</t>
  </si>
  <si>
    <t>+3 a CON al efectuar un Derribo</t>
  </si>
  <si>
    <t>Metzger (Base)</t>
  </si>
  <si>
    <t>+20 al cálculo de críticos por intentar Inutilizar</t>
  </si>
  <si>
    <t>Metzger (Avanzado)</t>
  </si>
  <si>
    <t>+30 al cálculo de críticos por intentar Inutilizar</t>
  </si>
  <si>
    <t>Metzger (Supremo)</t>
  </si>
  <si>
    <t>+40 al cálculo de críticos por intentar Inutilizar</t>
  </si>
  <si>
    <t>Drexal (Base)</t>
  </si>
  <si>
    <t>+10 a la HA. Ver</t>
  </si>
  <si>
    <t>Drexal (Avanzado)</t>
  </si>
  <si>
    <t>+20 a la HA. Ver</t>
  </si>
  <si>
    <t>Drexal (Supremo)</t>
  </si>
  <si>
    <t>Keijo</t>
  </si>
  <si>
    <t>Sumo</t>
  </si>
  <si>
    <t>Drexal</t>
  </si>
  <si>
    <t>Metzger</t>
  </si>
  <si>
    <t>Janpu-kai</t>
  </si>
  <si>
    <t>Kuan Tsu</t>
  </si>
  <si>
    <t>Línghún shíkè</t>
  </si>
  <si>
    <t>Hamon</t>
  </si>
  <si>
    <t>Zumung</t>
  </si>
  <si>
    <t>Rokushiki</t>
  </si>
  <si>
    <t>Inter Nos</t>
  </si>
  <si>
    <t>Acróbata Maestro</t>
  </si>
  <si>
    <t>Golpear la Tierra</t>
  </si>
  <si>
    <t>Vigilante</t>
  </si>
  <si>
    <t>Gasta 5 puntos de Ki para generar un impacto. Una vez cada 5 asaltos</t>
  </si>
  <si>
    <t>Reduce a 50 la diferencia para ganar Flanco y a 100 para Espalda</t>
  </si>
  <si>
    <t>Derecho a un ataque si alguien pasa por su zona de vigilancia. Ver</t>
  </si>
  <si>
    <t>Cognos: El Repertorio Sinfinal</t>
  </si>
  <si>
    <t>Repertorio Sinfinal: Reserva de técnicas copiadas. Ver</t>
  </si>
  <si>
    <t>Duos: Ataque Combinado</t>
  </si>
  <si>
    <t>Duos: Ataque entres dos personas. Ver</t>
  </si>
  <si>
    <t>Alogeni: Valkyria Elemental</t>
  </si>
  <si>
    <t>Forma elemental: Ventajas en relación a la Sangre de Aeon. Ver</t>
  </si>
  <si>
    <t>Taurus Magister: Enormes armas dobles</t>
  </si>
  <si>
    <t>Scorpio Magister: Espada-látigo</t>
  </si>
  <si>
    <t>Piscis Magister: Yoyó</t>
  </si>
  <si>
    <t>Ophiucos Magister: La Forja de Espadas</t>
  </si>
  <si>
    <t>&gt; EL SET PLANETARIO</t>
  </si>
  <si>
    <t>Sol: Parasol con cañón</t>
  </si>
  <si>
    <t>Mercurius: Pipa de combate</t>
  </si>
  <si>
    <t>Venus: Lienzo y pincel</t>
  </si>
  <si>
    <t>Terra: Taladro destructor</t>
  </si>
  <si>
    <t>Terra Magister: Taladro destructor</t>
  </si>
  <si>
    <t>Luna: Farol</t>
  </si>
  <si>
    <t>Mars: Equipo de combate</t>
  </si>
  <si>
    <t>Mars Magister: Equipo de combate</t>
  </si>
  <si>
    <t>Kuiper: Fragmentos de armas</t>
  </si>
  <si>
    <t>Jupiter: Sombrero de bruja cómicamente grande</t>
  </si>
  <si>
    <t>Saturnus: Literalmente una rueda</t>
  </si>
  <si>
    <t>Uranus: Patines de hielo</t>
  </si>
  <si>
    <t>Uranus Magister: Patines de hielo</t>
  </si>
  <si>
    <t>Neptunus: Filo espejado</t>
  </si>
  <si>
    <t>Pluto: Mango de arma</t>
  </si>
  <si>
    <t>Pluto Magister: Mango de arma</t>
  </si>
  <si>
    <t>Sable, Vara, Espada larga y Cadena</t>
  </si>
  <si>
    <t>Saana y’ha</t>
  </si>
  <si>
    <t>Tabla de Armas: Janpu-kai</t>
  </si>
  <si>
    <t>Abanico de combate, Lazo, Látigo y Red</t>
  </si>
  <si>
    <t>Lanza, Lanza de caballería, Alabarda, Goendag y Guandao</t>
  </si>
  <si>
    <t>Tabla de Armas: Kuan Tsu</t>
  </si>
  <si>
    <t>Cestus, Espada bastarda, Alabarda y Hacha a dos manos</t>
  </si>
  <si>
    <t>Tabla de Armas: Línghún shíkè</t>
  </si>
  <si>
    <t>Florete, Estoque, Tridente y Katar</t>
  </si>
  <si>
    <t>Língún shíkè</t>
  </si>
  <si>
    <t>Tabla de Armas: Hamon</t>
  </si>
  <si>
    <t>Tabla de Armas: Rokushiki</t>
  </si>
  <si>
    <t>Tabla de Armas: Zumung</t>
  </si>
  <si>
    <t>Cestus y Vara</t>
  </si>
  <si>
    <t>Tabla de Armas: Inter Nos</t>
  </si>
  <si>
    <t>Daga, Daga de parada y Dirk</t>
  </si>
  <si>
    <t>Tabla de Armas: Keijo</t>
  </si>
  <si>
    <t>Turcus, Lazo y Cadena</t>
  </si>
  <si>
    <t>Tabla de Armas: Sumo</t>
  </si>
  <si>
    <t>Tabla de Armas: Metzger</t>
  </si>
  <si>
    <t>Espada corta, Cestus y Dirk</t>
  </si>
  <si>
    <t>Tabla de Armas: Drexal</t>
  </si>
  <si>
    <t>Tabla de Disparo ágil</t>
  </si>
  <si>
    <t>Tabla de Ataques lanzados</t>
  </si>
  <si>
    <t>Tabla de Maniobras inusuales</t>
  </si>
  <si>
    <t>Tabla de Presa</t>
  </si>
  <si>
    <t>Tabla de Riposte</t>
  </si>
  <si>
    <t>Tabla de 2ª Arma: Estilo Ofensivo</t>
  </si>
  <si>
    <t>Tabla de Derribo</t>
  </si>
  <si>
    <t>Tabla de Prestidigitación</t>
  </si>
  <si>
    <t>Reúne las tablas de Disparo en movimiento, Blanco en movimiento y Varios blancos</t>
  </si>
  <si>
    <t>Reduce a la mitad el penalizador para lanzar armas no lanzables</t>
  </si>
  <si>
    <t>Si se declara a la ofensiva, reduce a la mitad hacer ataques con segunda arma</t>
  </si>
  <si>
    <t>Añade 10 para calcular el Contraataque</t>
  </si>
  <si>
    <t>Reduce a la mitad el penalizador para hacer una presa</t>
  </si>
  <si>
    <t>Reduce a la mitad el penalizador para hacer una presa y reduce a -2 el penalizador a controles</t>
  </si>
  <si>
    <t>Reduce en un grado el T.Manos para atrapar proyectiles. Reduce a -10 el interceptar varios proyectiles en un aaslto</t>
  </si>
  <si>
    <t>Permite realizar Derribo, Presa y Trabar el arma con armas no creadas para ello, debe elegirse cuál maniobra al comprar</t>
  </si>
  <si>
    <t>Insanis: Voces del Más Allá</t>
  </si>
  <si>
    <t>Daemonis: Esencia Infernal</t>
  </si>
  <si>
    <t>Obscuritas: El Terror del Olvido</t>
  </si>
  <si>
    <t>Ansas: Mascarada de la Muerte Roja</t>
  </si>
  <si>
    <t>Uso de Sol, Cobertura definitiva, Esquirlas de metralla, Recarga, Contramedidas</t>
  </si>
  <si>
    <t>Uso de Mercurius, Entramado de humo, Cinta demoledora, Pantalla de humo, Embotar la mente, Golpe preciso</t>
  </si>
  <si>
    <t>Uso de Venus, A dos manos, Concentración absoluta, Esbozos</t>
  </si>
  <si>
    <t>Uso de Terra, A dos manos, Revoluciones, Espiral de la muerte, Sobrecarga</t>
  </si>
  <si>
    <t>Escoger 2: Hacia el abismo y más allá, Imparable, Taladro de diamante, Sobrecarga mayor</t>
  </si>
  <si>
    <t>Uso de Luna, Sombras de Ki, Condenación, Sentencia, Focalizar, Compleja</t>
  </si>
  <si>
    <t>Uso de Mars, Combo perfecto, Personalización violenta</t>
  </si>
  <si>
    <t>Escoge 1: Ataque final, Impenetrable, Maestría marcial</t>
  </si>
  <si>
    <t>Uso de Kuiper, Obligación somática, Orbital, Inversión adicional, Conexión espiritual</t>
  </si>
  <si>
    <t>Uso de Jupiter, Lanzamiento, Cubrir a terceros, Transporte automático, Ataque directo</t>
  </si>
  <si>
    <t>Uso de Saturnus, Rotación acelerada, Cobertura, Locomoción, Compleja</t>
  </si>
  <si>
    <t>Uso de Uranus, Desplazamiento helado, Equipo de combate, Fragmentos de escarcha</t>
  </si>
  <si>
    <t>Escoge 2: Desplazamiento megahelado, Equipo magistral, Área mayor, Cuchillas bajo cero, Permafrost, Acrobático</t>
  </si>
  <si>
    <t>Uso de Neptunus, Espejismo, Caleidoscopio, Ambidestría, Características especiales</t>
  </si>
  <si>
    <t>Uso de Pluto, Pequeñita, Hoja fantasmal, Segar el alma</t>
  </si>
  <si>
    <t>Escoge 2: Almas del más allá, Columna fantasmagórica, Fuera de órbita, Ofuscado, Alterar la forma</t>
  </si>
  <si>
    <t>&gt; BERMELLÓN DEL ORTO LADO</t>
  </si>
  <si>
    <t>Guía hacia el Más Allá</t>
  </si>
  <si>
    <t>Bermellón del Otro Lado</t>
  </si>
  <si>
    <t>DES 4 (1) POD 4 (1) VOL 4 (1)</t>
  </si>
  <si>
    <t>Habilidad de Ataque +25, Ataque Elemental (Fuego)</t>
  </si>
  <si>
    <t>Evocar a los fallecidos</t>
  </si>
  <si>
    <t>DES 8 POD 8 VOL 6</t>
  </si>
  <si>
    <t>Calma de los espíritus</t>
  </si>
  <si>
    <t>Ataque con área (250 metros de radio, Elección de blanco), Ataque elemental (Fuego)</t>
  </si>
  <si>
    <t>Florecimiento carmesí</t>
  </si>
  <si>
    <t>DES 6 (1) POD 6 (2) VOL 6 (1)</t>
  </si>
  <si>
    <t>Marca mayor</t>
  </si>
  <si>
    <t>Persistencia escarlata</t>
  </si>
  <si>
    <t>DES 11 POD 12 VOL 12</t>
  </si>
  <si>
    <t>Estados sobrenaturales RM 140, (Control, Condición: Contacto visual mutuo)</t>
  </si>
  <si>
    <t>Jardín del Descanso Eterno</t>
  </si>
  <si>
    <t>DES 20 (3) POD 24 (4) VOL 23 (3)</t>
  </si>
  <si>
    <t>Estados sobrenaturales RM 160 (Drenaje de Vida, Condición: Por toda superficie, Distancia: 25 metros)</t>
  </si>
  <si>
    <t>&gt; REMEBRANZAS DEL VIRIDISCENTE</t>
  </si>
  <si>
    <t>&gt; RETRIBUCIÓN KÁRMICA</t>
  </si>
  <si>
    <t>Devastación demoledora</t>
  </si>
  <si>
    <t>Cárcel del verdugo</t>
  </si>
  <si>
    <t>Crux finalis</t>
  </si>
  <si>
    <t>Athame</t>
  </si>
  <si>
    <t>Inyección letal</t>
  </si>
  <si>
    <t>&gt; HERALDO DE LAS LLAMAS</t>
  </si>
  <si>
    <t>Profecía: Marca de la garza</t>
  </si>
  <si>
    <t>Invocación: Filo fuegoeterno</t>
  </si>
  <si>
    <t>Viajar: Acceso a Otromundo</t>
  </si>
  <si>
    <t>Danza: Jolgorio de Lanzas Ardientes</t>
  </si>
  <si>
    <t>Suspiro: Bocanada del Dragón</t>
  </si>
  <si>
    <t>Señor del Fuego: Última Lágrima</t>
  </si>
  <si>
    <t>Leyenda de los arces</t>
  </si>
  <si>
    <t>Hojas escarlata</t>
  </si>
  <si>
    <t>Viento arrebol</t>
  </si>
  <si>
    <t>Vehemencia estremecedora</t>
  </si>
  <si>
    <t>Ilusión de la nada</t>
  </si>
  <si>
    <t>Espada de la erosión</t>
  </si>
  <si>
    <t>Filo de las diezmil hojas</t>
  </si>
  <si>
    <t>&gt; DOMADORA DE TRUENOS</t>
  </si>
  <si>
    <t>Quiebratormentas</t>
  </si>
  <si>
    <t>Castigo divino</t>
  </si>
  <si>
    <t>Venganza súbita</t>
  </si>
  <si>
    <t>Caminante de mareas carmesí</t>
  </si>
  <si>
    <t>Flagelo del Mal</t>
  </si>
  <si>
    <t>La Conquistadora</t>
  </si>
  <si>
    <t>&gt; TÉMPANO AULLANTE</t>
  </si>
  <si>
    <t>Garra y nieve</t>
  </si>
  <si>
    <t>Colmillo avalancha</t>
  </si>
  <si>
    <t>Compañía del alma</t>
  </si>
  <si>
    <t>Saltar y aplastar</t>
  </si>
  <si>
    <t>Espíritu de cazador</t>
  </si>
  <si>
    <t>Fulgor Lúpido</t>
  </si>
  <si>
    <t>&gt; CAZADOR DE LA NOCHE ETERNA</t>
  </si>
  <si>
    <t>Vigía de la noche</t>
  </si>
  <si>
    <t>Cuervo devoraestrellas</t>
  </si>
  <si>
    <t>Ojo del Juicio Penetrante</t>
  </si>
  <si>
    <t>Veredicto de los pecadores</t>
  </si>
  <si>
    <t>Ilusión nocturna</t>
  </si>
  <si>
    <t>Fantasía de la Reina</t>
  </si>
  <si>
    <t>Sangre de Aeon</t>
  </si>
  <si>
    <t>Traba maestra</t>
  </si>
  <si>
    <t>Desplazamiento</t>
  </si>
  <si>
    <t>La Hora del Emperador</t>
  </si>
  <si>
    <t>POD 4 (1)</t>
  </si>
  <si>
    <t>AGI 4 (1) DES 4 (1) POD 6 (2)</t>
  </si>
  <si>
    <t>AGI 7 DES 8 POD 8</t>
  </si>
  <si>
    <t>AGI 10 (3) DES 10 (3) POD 10 (3)</t>
  </si>
  <si>
    <t>DES 4 FUE 4 POD 8 VOL 4</t>
  </si>
  <si>
    <t>AGI 14 (5) DES 14 (5) POD 14 (5) VOL 10 (1)</t>
  </si>
  <si>
    <t>FUE 3 (1) POD 4 (1) VOL 4</t>
  </si>
  <si>
    <t>AGI 2 (1) FUE 5 (1) POD 5 (1)</t>
  </si>
  <si>
    <t>FUE 6 POD 6 VOL 6</t>
  </si>
  <si>
    <t>DES 3 FUE 3 POD 8 VOL 8</t>
  </si>
  <si>
    <t>POD 10 VOL 10</t>
  </si>
  <si>
    <t>DES 25 POD 24 VOL 24</t>
  </si>
  <si>
    <t>DES 8 FUE 2 POD 8 VOL 6</t>
  </si>
  <si>
    <t>DES 4 (1) POD 4 (1) VOL 4</t>
  </si>
  <si>
    <t>DES 4 POD 3 VOL 2</t>
  </si>
  <si>
    <t>DES 2 FUE 4 VOL 4</t>
  </si>
  <si>
    <t>DES 4 FUE 3 POD 3 VOL 4</t>
  </si>
  <si>
    <t>DES 4 FUE 4 POD 2</t>
  </si>
  <si>
    <t>DES 11 (3) FUE 12 (6) POD 14 (4) VOL 12 (3)</t>
  </si>
  <si>
    <t>DES 12 FUE 12 POD 10 VOL 8</t>
  </si>
  <si>
    <t>AGI 4 DES 4</t>
  </si>
  <si>
    <t>CON 4 FUE 4 POD 4</t>
  </si>
  <si>
    <t>AGI 5 (2) CON 5 (1) FUE 4 (1) POD 4 (1)</t>
  </si>
  <si>
    <t>CON 9 FUE 9 POD 8</t>
  </si>
  <si>
    <t>AGI 5 (2) CON 5 (1) FUE 5 (2) POD 5 (2)</t>
  </si>
  <si>
    <t>AGI 11 (4) CON 11 (3) FUE 11 (3) POD 11 (4)</t>
  </si>
  <si>
    <t>DES 5 POD 5 VOL 5</t>
  </si>
  <si>
    <t>DES 3 FUE 1 VOL 4</t>
  </si>
  <si>
    <t>DES 6 FUE 2 VOL 4 POD 5</t>
  </si>
  <si>
    <t>AGI 4 DES 6 POD 8</t>
  </si>
  <si>
    <t>DES 13 POD 9 VOL 9</t>
  </si>
  <si>
    <t>DES 4 (1) POD 5 (1) VOL 6 (1)</t>
  </si>
  <si>
    <t>Habilidad de Ataque +125, Ataque elemental (Luz, Aire), Ataque sobrenatural</t>
  </si>
  <si>
    <t>Transporte automático 100 metros, Habilidad de Ataque +40, Camuflar ataque (Casi Imposible)</t>
  </si>
  <si>
    <t>Apresamiento Fuerza 12 (Presa existencial), Ataque a distancia 100 metros (Daño existencial)</t>
  </si>
  <si>
    <t>Maniobras de Combate y Apuntar -75 (Ataques apuntados), Habilidades Perceptivas (Visión nocturna), Ataque elemental (Luz)</t>
  </si>
  <si>
    <t>Ataque adicional limitado +1, Ataque a distancia 10 metros, Ataque elemental (Luz)</t>
  </si>
  <si>
    <t>Marca menor (Eterna, Posición aproximada), Habilidad de Ataque +25</t>
  </si>
  <si>
    <t>Ataque con área 250 metros (Daño existencial, Elección de blancos), Destruir armadura (Sin armadura)</t>
  </si>
  <si>
    <t>otenciar crítico +50, Incremento de movimiento +3</t>
  </si>
  <si>
    <t>Aumento de daño +90, Impacto 12, Ataque elemental (Frío)</t>
  </si>
  <si>
    <t>Incrementar turno +75, Destruir armadura -3, Armadura 2, Mantenida</t>
  </si>
  <si>
    <t>Aumentar rotura +15, Aumento de daño real +25</t>
  </si>
  <si>
    <t>Ataque adicional limitado +1, Maniobras de combate y apuntar -25 (Ataques apuntados).</t>
  </si>
  <si>
    <t>Ataque adicional limitado +1, Maniobras de combate y apuntar -25 (Ataques apuntados)</t>
  </si>
  <si>
    <t xml:space="preserve"> Impacto 14, Ataque con área 100 metros, Ataque indirecto Nv 2, Ataque elemental (Aire)</t>
  </si>
  <si>
    <t>Habilidad de Parada Completa +40</t>
  </si>
  <si>
    <t>Reflectar el ataque, Habilidad de Contraataque +50</t>
  </si>
  <si>
    <t>Aumento de daño +40, Ataque con área 10 metros, Ataque elemental (Aire)</t>
  </si>
  <si>
    <t>Marca menor, Habilidad de Ataque +25</t>
  </si>
  <si>
    <t>Habilidad de Ataque +200, Multiplicador al daño x3, Potenciar crítico +100</t>
  </si>
  <si>
    <t>Ataque a distancia 100 metros (Estela de destrucción, Daño existencial)</t>
  </si>
  <si>
    <t>Atadura elemental (Fuego, Luz), Requerimientos elementales (Intensidad menor)</t>
  </si>
  <si>
    <t>Transporte automático 250 metros, Habilidad de Esquiva +50</t>
  </si>
  <si>
    <t>Armas físicas de Ki +10</t>
  </si>
  <si>
    <t>Habilidad de Ataque +40, Marca menor</t>
  </si>
  <si>
    <t>Estados sobrenaturales RF 140 (Drenaje de Ki), Ataque a distancia 20 metros</t>
  </si>
  <si>
    <t>Marca mayor, Habilidad de Ataque +25, Ataque a distancia 20 metros</t>
  </si>
  <si>
    <t>Apresamiento FUE 14 (Presa existencial), Ataque a distancia 50 metros</t>
  </si>
  <si>
    <t>Incrementar turno +50, Escudo de energía 200 PV (Regeneración 100)</t>
  </si>
  <si>
    <t>Destruir armadura -3 TA, Ataque a distancia 10 metros (Daño existencial)</t>
  </si>
  <si>
    <t>Ataque adicional +5 (Combo: 3+), Ataque sobrenatural</t>
  </si>
  <si>
    <t>Destruir armadura -6, Potenciar crítico +40, Marca meno</t>
  </si>
  <si>
    <t>Destruir armadura -6, Potenciar crítico +40, Marca menor</t>
  </si>
  <si>
    <t>Impacto 14 (Atraer), Ataque con área 10 metros, Ataque adicional +1</t>
  </si>
  <si>
    <t>Incremento de movimiento +2, Incrementar turno +50, Intangibilidad</t>
  </si>
  <si>
    <t>Escudo de energía 300 PV</t>
  </si>
  <si>
    <t>Habilidad de Ataque +40, Ataque a distancia 10 metros</t>
  </si>
  <si>
    <t>Sacrificio (-10 PV)</t>
  </si>
  <si>
    <t>Sacrificio (-10 PV), Técnica mantenida (Guía hacia el Más Allá)</t>
  </si>
  <si>
    <t>Exceso De Energía, Agotamiento -5, Técnica Final</t>
  </si>
  <si>
    <t>Área restringida 10 metros, Sobrecarga 20 asaltos, Penalizador a toda acción -75</t>
  </si>
  <si>
    <t>Técnica mantenida Nv 1</t>
  </si>
  <si>
    <t>Técnica mantenida Nv 1, Mitad de daño</t>
  </si>
  <si>
    <t xml:space="preserve"> Atadura elemental (Fuego, Luz)</t>
  </si>
  <si>
    <t xml:space="preserve"> Atadura elemental (Fuego, Luz), Requerimientos elementales (Intensidad menor)</t>
  </si>
  <si>
    <t xml:space="preserve"> Atadura elemental (Fuego, Luz), Pérdida del arma</t>
  </si>
  <si>
    <t>Exterminador (Una clase de ser: Criaturas marinas)</t>
  </si>
  <si>
    <t>Exterminador (Un ser determinado: Aeón Ran), Exceso de energía (Mitad), Requerimientos elementales (Intensidad menor)</t>
  </si>
  <si>
    <t>Usos limitados (Un día), Agotamiento -1</t>
  </si>
  <si>
    <t>Técnica mantenida Nv 2</t>
  </si>
  <si>
    <t>Exceso de energía (Completa), Preparación previa (1 minuto), Penalizador a toda acción -75</t>
  </si>
  <si>
    <t>Atada a un arma (Genérica)</t>
  </si>
  <si>
    <t>Circunstancia de combate (Oponente marcado), Atada a un arma (Genérica)</t>
  </si>
  <si>
    <t>Atada a un arma (Genérica), Circunstancia de combate (Oponente marcado), Exterminador (Una clase de ser: Seres oscuros)</t>
  </si>
  <si>
    <t>Anulación magia</t>
  </si>
  <si>
    <t>Anulación Ki</t>
  </si>
  <si>
    <t>Anulación matrices</t>
  </si>
  <si>
    <t>Anulación convocatoria</t>
  </si>
  <si>
    <t>Anulación:</t>
  </si>
  <si>
    <t>Menor:</t>
  </si>
  <si>
    <t>Mayor:</t>
  </si>
  <si>
    <t>Acus</t>
  </si>
  <si>
    <t>A 2 manos, Compleja. Permite ataque extra con -10</t>
  </si>
  <si>
    <t>Desenfundar con -15</t>
  </si>
  <si>
    <t>A 1 o 2 manos, Marcial</t>
  </si>
  <si>
    <t>Compleja, Dual, Ver</t>
  </si>
  <si>
    <t>Compleja, Destructora, Presa (FUE 8)</t>
  </si>
  <si>
    <t>Precisa, Marcial, Ver</t>
  </si>
  <si>
    <t>A 2 manos, Presa (FUE 10), Distancia, Ver</t>
  </si>
  <si>
    <t>Compleja, Distancia, Presa (FUE 9)</t>
  </si>
  <si>
    <t>Compleja, Distancia, Presa (FUE 10), Ver</t>
  </si>
  <si>
    <t>A 2 manos, Presa (FUE 8), Compleja, Marcial</t>
  </si>
  <si>
    <t>Compleja, Ágil, Aplastante</t>
  </si>
  <si>
    <t>A 1 o 2 manos, Destructora, Aplastante</t>
  </si>
  <si>
    <t>A 2 manos, Ágil</t>
  </si>
  <si>
    <t>A 2  manos, Distancia, Ver</t>
  </si>
  <si>
    <t>Marcial, +20 a Trepar</t>
  </si>
  <si>
    <t>A 2 manos, Serrada, Presa (FUE 8), Ver</t>
  </si>
  <si>
    <t>A 1 o 2 manos, Destructora</t>
  </si>
  <si>
    <t>Precisa, Marcial</t>
  </si>
  <si>
    <t>Lanzable (30/XXXm), Marcial</t>
  </si>
  <si>
    <t>Aura mayor</t>
  </si>
  <si>
    <t>Revestimiento mayor</t>
  </si>
  <si>
    <t>Revestimiento arcano</t>
  </si>
  <si>
    <t>Interferencia sobrenatural</t>
  </si>
  <si>
    <t>Personalización: Aprendizaje de armas y otros</t>
  </si>
  <si>
    <t>Precisa, Dual, Lanzable (40/XXXm)</t>
  </si>
  <si>
    <t>Dual, Ver</t>
  </si>
  <si>
    <t>Venenosa, Punzante</t>
  </si>
  <si>
    <t>Lanzable (50/XXXm), Precisa, Venenosa</t>
  </si>
  <si>
    <t>Precisa, Punzante</t>
  </si>
  <si>
    <t>Lanzable (100/XXXm), Punzante</t>
  </si>
  <si>
    <t>Compleja, Distancia, Ver</t>
  </si>
  <si>
    <t>3.000 PV</t>
  </si>
  <si>
    <t>Regeneración 200</t>
  </si>
  <si>
    <t>Regeneración 300</t>
  </si>
  <si>
    <t>Escudo de Energía 200 PV (Regeneración 100), Habilidad de Parada +25</t>
  </si>
  <si>
    <t>DES 7 POD 7 VOL 6</t>
  </si>
  <si>
    <t>Sangre de Aeon: Kagutsuchi (1)</t>
  </si>
  <si>
    <t>Sangre de Aeon: Kagutsuchi (2)</t>
  </si>
  <si>
    <t>Sangre de Aeon: Shephirah (2)</t>
  </si>
  <si>
    <t>Sangre de Aeon: Phandemonium (2)</t>
  </si>
  <si>
    <t>Sangre de Aeon: Toa (2)</t>
  </si>
  <si>
    <t>Sangre de Aeon: Ran (2)</t>
  </si>
  <si>
    <t>Sangre de Aeon: Rudraksha (2)</t>
  </si>
  <si>
    <t>Sangre de Aeon: Niflheim (2)</t>
  </si>
  <si>
    <t>Sangre de Aeon: Boreas (2)</t>
  </si>
  <si>
    <t>Sangre de Aeon: Boreas (1)</t>
  </si>
  <si>
    <t>Sangre de Aeon: Niflheim (1)</t>
  </si>
  <si>
    <t>Sangre de Aeon: Rudraksha (1)</t>
  </si>
  <si>
    <t>Sangre de Aeon: Ran (1)</t>
  </si>
  <si>
    <t>Sangre de Aeon: Toa (1)</t>
  </si>
  <si>
    <t>Sangre de Aeon: Phandemonium (1)</t>
  </si>
  <si>
    <t>Sangre de Aeon: Shephirah (1)</t>
  </si>
  <si>
    <t>Tres ventajas a elección. Ver</t>
  </si>
  <si>
    <t>Cuatro ventajas a elección. Ver</t>
  </si>
  <si>
    <t>Recuperación menor</t>
  </si>
  <si>
    <t>Recuperación mayor</t>
  </si>
  <si>
    <t>Recuperación arcana</t>
  </si>
  <si>
    <t>Imparable -60 Defensa / -20 Ataque</t>
  </si>
  <si>
    <t>Imparable -40 Defensa / -10 Ataque</t>
  </si>
  <si>
    <t>Imparable -20 Defensa</t>
  </si>
  <si>
    <t>&gt; [AK] PODERES DEL APÉNDICE</t>
  </si>
  <si>
    <t>Absorción elemental</t>
  </si>
  <si>
    <t>Absorción elemental 1 intensidad</t>
  </si>
  <si>
    <t>Absorción elemental 3 intensidades</t>
  </si>
  <si>
    <t>Absorción elemental 5 intensidades</t>
  </si>
  <si>
    <t>Absorción elemental 7 intensidades</t>
  </si>
  <si>
    <t>Absorción elemental 10 intensidades</t>
  </si>
  <si>
    <t>Absorción elemental 20 intensidades</t>
  </si>
  <si>
    <t>Absorción elemental 50 intensidades</t>
  </si>
  <si>
    <t>Visión térmica</t>
  </si>
  <si>
    <t>Ecolocalización</t>
  </si>
  <si>
    <t>Sed de sangre</t>
  </si>
  <si>
    <t>Sentir impulsos eléctricos</t>
  </si>
  <si>
    <t>Disrupción sobrenatural</t>
  </si>
  <si>
    <t>Disrupción sobrenatural Sellar Ki</t>
  </si>
  <si>
    <t>Disrupción sobrenatural Sellar poderes psíquicos</t>
  </si>
  <si>
    <t>Disrupción sobrenatural Sellar magia</t>
  </si>
  <si>
    <t>Disrupción sobrenatural RM 80</t>
  </si>
  <si>
    <t>Disrupción sobrenatural RM 100</t>
  </si>
  <si>
    <t>Disrupción sobrenatural RM 120</t>
  </si>
  <si>
    <t>Disrupción sobrenatural RM 140</t>
  </si>
  <si>
    <t>Disrupción sobrenatural RM 180</t>
  </si>
  <si>
    <t>Movimiento existencial 1 salto</t>
  </si>
  <si>
    <t>Movimiento existencial 2 saltos</t>
  </si>
  <si>
    <t>Movimiento existencial 3 saltos</t>
  </si>
  <si>
    <t>Movimiento existencial 4 saltos</t>
  </si>
  <si>
    <t>Movimiento existencial 5 saltos</t>
  </si>
  <si>
    <t>Movimiento existencial 10 metros</t>
  </si>
  <si>
    <t>Movimiento existencial 25 metros</t>
  </si>
  <si>
    <t>Movimiento existencial 50 metros</t>
  </si>
  <si>
    <t>Mutabilidad 20 PD</t>
  </si>
  <si>
    <t>Mutabilidad 50 PD</t>
  </si>
  <si>
    <t>Mutabilidad 100 PD</t>
  </si>
  <si>
    <t>Mutabilidad 200 PD</t>
  </si>
  <si>
    <t>Mutabilidad 300 PD</t>
  </si>
  <si>
    <t>Vórtice -10 Zeon</t>
  </si>
  <si>
    <t>Vórtice -20 Zeon</t>
  </si>
  <si>
    <t>Vórtice -30 Zeon</t>
  </si>
  <si>
    <t>Vórtice -40 Zeon</t>
  </si>
  <si>
    <t>Vórtice -50 Zeon</t>
  </si>
  <si>
    <t>Movimiento existencial</t>
  </si>
  <si>
    <t>Mutabilidad</t>
  </si>
  <si>
    <t>Sellar Ki</t>
  </si>
  <si>
    <t>Sellar poderes psíquicos</t>
  </si>
  <si>
    <t>Sellar magia</t>
  </si>
  <si>
    <t>1 salto</t>
  </si>
  <si>
    <t>2 saltos</t>
  </si>
  <si>
    <t>3 saltos</t>
  </si>
  <si>
    <t>4 saltos</t>
  </si>
  <si>
    <t>5 saltos</t>
  </si>
  <si>
    <t>Hasta 20 PD</t>
  </si>
  <si>
    <t>Hasta 50 PD</t>
  </si>
  <si>
    <t>Hasta 100 PD</t>
  </si>
  <si>
    <t>Hasta 200 PD</t>
  </si>
  <si>
    <t>Hasta 300 PD</t>
  </si>
  <si>
    <t>-10 al valor zeónico</t>
  </si>
  <si>
    <t>-20 al valor zeónico</t>
  </si>
  <si>
    <t>-30 al valor zeónico</t>
  </si>
  <si>
    <t>-40 al valor zeónico</t>
  </si>
  <si>
    <t>-50 al valor zeónico</t>
  </si>
  <si>
    <t>Visión especial Visión térmica</t>
  </si>
  <si>
    <t>Visión especial Ecolocalización</t>
  </si>
  <si>
    <t>Visión especial Sed de sangre</t>
  </si>
  <si>
    <t>Visión especial Sentir impulsos eléctricos</t>
  </si>
  <si>
    <r>
      <t>OJO</t>
    </r>
    <r>
      <rPr>
        <sz val="8"/>
        <color theme="0" tint="-0.249977111117893"/>
        <rFont val="Arial"/>
        <family val="2"/>
      </rPr>
      <t xml:space="preserve"> (verticalmente)</t>
    </r>
  </si>
  <si>
    <t>+15 a la HA. Ver</t>
  </si>
  <si>
    <t>&gt; SET PLANETARIO</t>
  </si>
  <si>
    <t>Mercurius</t>
  </si>
  <si>
    <t>Venus</t>
  </si>
  <si>
    <t>Terra</t>
  </si>
  <si>
    <t>Luna</t>
  </si>
  <si>
    <t>Mars</t>
  </si>
  <si>
    <t>Kuiper</t>
  </si>
  <si>
    <t>Jupiter</t>
  </si>
  <si>
    <t>Uranus</t>
  </si>
  <si>
    <t>Neptunus</t>
  </si>
  <si>
    <t>Pluto</t>
  </si>
  <si>
    <t>Sol (Cañón)</t>
  </si>
  <si>
    <t>Sol (Parasol)</t>
  </si>
  <si>
    <t>Saturnus (pequeño)</t>
  </si>
  <si>
    <t>Saturnus (medio)</t>
  </si>
  <si>
    <t>Saturnus (grande)</t>
  </si>
  <si>
    <t>Cobertura definitiva, Esquirlas de metralla, Recarga, Contramedidas</t>
  </si>
  <si>
    <t>Entramado de humo, Cinta demoledora, Pantalla de humo, Embotar la mente, Golpe preciso</t>
  </si>
  <si>
    <t>A dos manos, Concentración absoluta, Esbozos</t>
  </si>
  <si>
    <t>A dos manos, Revoluciones, Espiral de la muerte, Sobrecarga</t>
  </si>
  <si>
    <t>Sombras de Ki, Condenación, Sentencia, Focalizar, Compleja</t>
  </si>
  <si>
    <t>Combo perfecto, Personalización violenta</t>
  </si>
  <si>
    <t>Obligación somática, Orbital, Inversión adicional, Conexión espiritual</t>
  </si>
  <si>
    <t>Lanzamiento, Cubrir a terceros, Transporte automático, Ataque directo</t>
  </si>
  <si>
    <t>Rotación acelerada, Cobertura, Locomoción, Compleja</t>
  </si>
  <si>
    <t>Desplazamiento helado, Equipo de combate, Fragmentos de escarcha</t>
  </si>
  <si>
    <t>Espejismo, Caleidoscopio, Ambidestría, Características especiales</t>
  </si>
  <si>
    <t>Pequeñita, Hoja fantasmal, Segar el alma</t>
  </si>
  <si>
    <t>Saturnus (Pequeño)</t>
  </si>
  <si>
    <t>Saturnus (Mediano)</t>
  </si>
  <si>
    <t>Saturnus (Grande)</t>
  </si>
  <si>
    <t>Saan yha (Base)</t>
  </si>
  <si>
    <t>Saan yha (Arcano)</t>
  </si>
  <si>
    <t>Tabla de Armas: Saana yha</t>
  </si>
  <si>
    <t>Saan yha</t>
  </si>
  <si>
    <t>Tabla grimorio invocaciones</t>
  </si>
  <si>
    <t>InvPod_HuginnMuninn</t>
  </si>
  <si>
    <t>El convocador es capaz de ver seres espirituales, criaturas invisibles (de cualquier tipo), matrices psíquicas y magia.</t>
  </si>
  <si>
    <t>InvPod_ElLoco</t>
  </si>
  <si>
    <t>InvPod_ElHierofante</t>
  </si>
  <si>
    <t>InvPod_LaSumaSacerdotisa</t>
  </si>
  <si>
    <t>InvPod_LaEmperatriz</t>
  </si>
  <si>
    <t>InvPod_ElEmperador</t>
  </si>
  <si>
    <t>InvPod_ElSumoSacerdote</t>
  </si>
  <si>
    <t>InvPod_LosEnamorados</t>
  </si>
  <si>
    <t>InvPod_ElCarro</t>
  </si>
  <si>
    <t>InvPod_LaFuerza</t>
  </si>
  <si>
    <t>InvPod_ElErmitaño</t>
  </si>
  <si>
    <t>InvPod_LaRueda</t>
  </si>
  <si>
    <t>InvPod_LaJusticia</t>
  </si>
  <si>
    <t>InvPod_ElColgado</t>
  </si>
  <si>
    <t>InvPod_LaMuerte</t>
  </si>
  <si>
    <t>InvPod_LaTemplanza</t>
  </si>
  <si>
    <t>InvPod_ElDiablo</t>
  </si>
  <si>
    <t>InvPod_LaTorre</t>
  </si>
  <si>
    <t>InvPod_LaEstrella</t>
  </si>
  <si>
    <t>InvPod_LaLuna</t>
  </si>
  <si>
    <t>InvPod_ElSol</t>
  </si>
  <si>
    <t>InvPod_ElJuicio</t>
  </si>
  <si>
    <t>InvPod_ElMundo</t>
  </si>
  <si>
    <t>InvPod_ElLocoInvertido</t>
  </si>
  <si>
    <t>InvPod_ElHierofanteInvertido</t>
  </si>
  <si>
    <t>InvPod_LaSumaSacerdotisaInvertida</t>
  </si>
  <si>
    <t>InvPod_LaEmperatrizInvertida</t>
  </si>
  <si>
    <t>InvPod_ElEmperadorInvertido</t>
  </si>
  <si>
    <t>InvPod_ElSumoSacerdoteInvertido</t>
  </si>
  <si>
    <t>InvPod_LosEnamoradosInvertidos</t>
  </si>
  <si>
    <t>InvPod_ElCarroInvertido</t>
  </si>
  <si>
    <t>InvPod_LaFuerzaInvertida</t>
  </si>
  <si>
    <t>InvPod_ElErmitañoInvertido</t>
  </si>
  <si>
    <t>InvPod_LaRuedaInvertida</t>
  </si>
  <si>
    <t>InvPod_LaJusticiaInvertida</t>
  </si>
  <si>
    <t>InvPod_ElColgadoInvertido</t>
  </si>
  <si>
    <t>InvPod_LaMuerteInvertida</t>
  </si>
  <si>
    <t>InvPod_LaTemplanzaInvertida</t>
  </si>
  <si>
    <t>InvPod_ElDiabloInvertido</t>
  </si>
  <si>
    <t>InvPod_LaTorreInvertida</t>
  </si>
  <si>
    <t>InvPod_LaEstrellaInvertida</t>
  </si>
  <si>
    <t>InvPod_LaLunaInvertida</t>
  </si>
  <si>
    <t>InvPod_ElSolInvertido</t>
  </si>
  <si>
    <t>InvPod_ElJuicioInvertido</t>
  </si>
  <si>
    <t>InvPod_ElMundoInvertido</t>
  </si>
  <si>
    <t>InvPod_Rudraskha</t>
  </si>
  <si>
    <t>InvPod_Enamon</t>
  </si>
  <si>
    <t>InvPod_LixTetrax</t>
  </si>
  <si>
    <t>InvPod_Raksasha</t>
  </si>
  <si>
    <t>InvPod_Thanathos</t>
  </si>
  <si>
    <t>InvPod_Kagutsuchi</t>
  </si>
  <si>
    <t>InvPod_Druaga</t>
  </si>
  <si>
    <t>InvPod_ElVendedor</t>
  </si>
  <si>
    <t>InvPod_Zvilpogghua</t>
  </si>
  <si>
    <t>InvPod_Vilfain</t>
  </si>
  <si>
    <t>InvPod_TawilAtU'mr</t>
  </si>
  <si>
    <t>InvPod_Kirin</t>
  </si>
  <si>
    <t>InvPod_Suzaku</t>
  </si>
  <si>
    <t>InvPod_Byakko</t>
  </si>
  <si>
    <t>InvPod_Garuda</t>
  </si>
  <si>
    <t>InvPod_Eir</t>
  </si>
  <si>
    <t>InvPod_Caronte</t>
  </si>
  <si>
    <t>InvPod_Pandora</t>
  </si>
  <si>
    <t>InvPod_Forseti</t>
  </si>
  <si>
    <t>InvPod_Seiryu</t>
  </si>
  <si>
    <t>InvPod_Genbu</t>
  </si>
  <si>
    <t>InvPod_Ziz</t>
  </si>
  <si>
    <t>InvPod_Naaga</t>
  </si>
  <si>
    <t>InvPod_Idea</t>
  </si>
  <si>
    <t>InvPod_Galgaliel</t>
  </si>
  <si>
    <t>InvPod_Ethelthryth</t>
  </si>
  <si>
    <t>InvPod_Behemoth</t>
  </si>
  <si>
    <t>InvPod_Leviathan</t>
  </si>
  <si>
    <t>InvPod_Veles</t>
  </si>
  <si>
    <t>InvPod_Hermod</t>
  </si>
  <si>
    <t>InvPod_Idún</t>
  </si>
  <si>
    <t xml:space="preserve">La Puerta </t>
  </si>
  <si>
    <t>Más Allá del Timepo y el Espacio</t>
  </si>
  <si>
    <t>Astrología</t>
  </si>
  <si>
    <t>Taumaturgia</t>
  </si>
  <si>
    <t>Tejer la realidad</t>
  </si>
  <si>
    <t>&gt; OLVIDO</t>
  </si>
  <si>
    <t>Rememorar</t>
  </si>
  <si>
    <t>Olvidar</t>
  </si>
  <si>
    <t>Reparación anímica</t>
  </si>
  <si>
    <t>Anonimato</t>
  </si>
  <si>
    <t>Arrebatar memorias</t>
  </si>
  <si>
    <t>Entendimiento telemétrico</t>
  </si>
  <si>
    <t>Evocar</t>
  </si>
  <si>
    <t>Obtener recuerdos</t>
  </si>
  <si>
    <t>Inducir amnesia</t>
  </si>
  <si>
    <t>Arrancar del mundo</t>
  </si>
  <si>
    <t>&gt; CURACIÓN</t>
  </si>
  <si>
    <t>Percibir heridas</t>
  </si>
  <si>
    <t>Limpiar el cuerpo</t>
  </si>
  <si>
    <t>Sanar</t>
  </si>
  <si>
    <t>Visión de vida</t>
  </si>
  <si>
    <t>Regenerar</t>
  </si>
  <si>
    <t>Salud superior</t>
  </si>
  <si>
    <t>Imbuir con vida</t>
  </si>
  <si>
    <t>De regreso</t>
  </si>
  <si>
    <t>Negar la muerte</t>
  </si>
  <si>
    <t>Espacio</t>
  </si>
  <si>
    <t>&gt; ESPACIO</t>
  </si>
  <si>
    <t>Control vectorial</t>
  </si>
  <si>
    <t>Recolocar</t>
  </si>
  <si>
    <t>Desdoblar la magia</t>
  </si>
  <si>
    <t>Fragmentar el caminio</t>
  </si>
  <si>
    <t>Agujero negro</t>
  </si>
  <si>
    <t>Realidad paralela</t>
  </si>
  <si>
    <t>Acceso</t>
  </si>
  <si>
    <t>Manipulación geográfica</t>
  </si>
  <si>
    <t>Nueva realidad</t>
  </si>
  <si>
    <t>&gt; LEY</t>
  </si>
  <si>
    <t>Saber de la ley</t>
  </si>
  <si>
    <t>Análisis contractual</t>
  </si>
  <si>
    <t>Detención</t>
  </si>
  <si>
    <t>Interrogatorio</t>
  </si>
  <si>
    <t>Pacto de sangre</t>
  </si>
  <si>
    <t>Invocar al orden</t>
  </si>
  <si>
    <t>Encarcelar</t>
  </si>
  <si>
    <t>Declarado inocente</t>
  </si>
  <si>
    <t>Castigar</t>
  </si>
  <si>
    <t>Panóptico</t>
  </si>
  <si>
    <t>&gt; ENERGÍA</t>
  </si>
  <si>
    <t>Formar energía</t>
  </si>
  <si>
    <t>Descarga energética</t>
  </si>
  <si>
    <t>Robar energía</t>
  </si>
  <si>
    <t>Supermetabolismo</t>
  </si>
  <si>
    <t>Ahorro de energía</t>
  </si>
  <si>
    <t>Retroalimentar</t>
  </si>
  <si>
    <t>&gt; APUESTAS</t>
  </si>
  <si>
    <t>Hora de barajar</t>
  </si>
  <si>
    <t>La primera apuesta</t>
  </si>
  <si>
    <t>Compinche</t>
  </si>
  <si>
    <t>Dos de diamantes</t>
  </si>
  <si>
    <t>La casa siempre gana</t>
  </si>
  <si>
    <t>Gachapón</t>
  </si>
  <si>
    <t>Réferi</t>
  </si>
  <si>
    <t>Dados del destino</t>
  </si>
  <si>
    <t>El apostador definitivo</t>
  </si>
  <si>
    <t>La vida es una serie de apuestas</t>
  </si>
  <si>
    <t>&gt; GEMAS</t>
  </si>
  <si>
    <t>Tallado y valorado</t>
  </si>
  <si>
    <t>Radar gemántico</t>
  </si>
  <si>
    <t>Proyección ofensiva</t>
  </si>
  <si>
    <t>Escudo cristalino</t>
  </si>
  <si>
    <t>Autómata</t>
  </si>
  <si>
    <t>Reflectar</t>
  </si>
  <si>
    <t>Canalizar conjuro</t>
  </si>
  <si>
    <t>Lluvia de estrellas</t>
  </si>
  <si>
    <t>&gt; FANTASÍA</t>
  </si>
  <si>
    <t>Maravillar</t>
  </si>
  <si>
    <t>El saber de la magia</t>
  </si>
  <si>
    <t>Animar</t>
  </si>
  <si>
    <t>Obtener poder</t>
  </si>
  <si>
    <t>Fábula</t>
  </si>
  <si>
    <t>Cambiar las normas</t>
  </si>
  <si>
    <t>Crear leyenda</t>
  </si>
  <si>
    <t>&gt; ESTACIONES</t>
  </si>
  <si>
    <t>Sentir el tiempo</t>
  </si>
  <si>
    <t>Las Cuatro Estaciones</t>
  </si>
  <si>
    <t>Apuestas</t>
  </si>
  <si>
    <t>Gemas</t>
  </si>
  <si>
    <t>Fantasía</t>
  </si>
  <si>
    <t>Estaciones</t>
  </si>
  <si>
    <t>Florecer (Primavera)</t>
  </si>
  <si>
    <t>Lazos de vida (Primavera)</t>
  </si>
  <si>
    <t>Marchitar (Invierno)</t>
  </si>
  <si>
    <t>Tempestad (Invierno)</t>
  </si>
  <si>
    <t>Ola de calor (Verano)</t>
  </si>
  <si>
    <t>Solsticio (Verano)</t>
  </si>
  <si>
    <t>Segador (Otoño)</t>
  </si>
  <si>
    <t>Espantapájaros (Otoño)</t>
  </si>
  <si>
    <t>El lanzador percibe el pasar del tiempo, pudiendo determinar la hora y estación en la que se encuentra.</t>
  </si>
  <si>
    <t>El lanzador puede conocer cuánto queda para la siguiente estación.</t>
  </si>
  <si>
    <t>El lanzador tiene constancia del clima local, pudiendo determinar con relativa exactitud el clima predominante del mes.</t>
  </si>
  <si>
    <t>Lo mismo que la anterior pero con mayor precisión, pudiendo saber cómo será el clima cada día.</t>
  </si>
  <si>
    <t>Hace florecer un área alrededor del hechicero. Las plantas y las flores centro crecerán de forma extremadamente acelerada, otorgando más y mejores frutos.</t>
  </si>
  <si>
    <t>RF 100 / 10 metros de radio</t>
  </si>
  <si>
    <t>RF 120 / 25 metros de radio</t>
  </si>
  <si>
    <t>RF 140 / 50 metros de radio</t>
  </si>
  <si>
    <t>RF 180 / 75 metros de radio</t>
  </si>
  <si>
    <t>250 Puntos Estructurales / Barrera de daño 60</t>
  </si>
  <si>
    <t>500 Puntos Estructurales / Barrera de daño 80 / +1 Defensas adicionales</t>
  </si>
  <si>
    <t>750 Puntos Estructurales / Barrera de daño 120 / +2 Defensas adicionales</t>
  </si>
  <si>
    <t>1.000 Puntos Estructurales / Barrera de daño 160 / +3 Defensas adicionales</t>
  </si>
  <si>
    <t>Genera una tormenta de nieve en los alrededores, que se repite continuamente mientras el conjuro se mantenga. El hechicero no puede elegir blancos dentro del área del hechizo. Los ataques de Tempestad se proyectan usando la Proyección Mágica del lanzador y atacan en la TA de FRI como crítico primario.</t>
  </si>
  <si>
    <t>Daño 20 / 50 metros de radio</t>
  </si>
  <si>
    <t>Daño 40 / 100 metros de radio</t>
  </si>
  <si>
    <t>Daño 50 / 250 metros de radio</t>
  </si>
  <si>
    <t>Daño 30 / 75 metros de radio</t>
  </si>
  <si>
    <t>Hasta 2 personas.</t>
  </si>
  <si>
    <t>Hasta 3 personas.</t>
  </si>
  <si>
    <t>Hasta 4 personas.</t>
  </si>
  <si>
    <t>Hasta 5 personas.</t>
  </si>
  <si>
    <t>El hechicero fuerza un solsticio perfecto, incrementando la temperatura y las capacidades ofensivas de los individuos iluminados bajo el gran sol. Este conjuro aplica un área alrededor del lanzador en la cual las capacidades ofensivas se ven enormemente mejoradas. Los elementales de agua que estén dentro deben superar cada minuto una Resistencia Física de 140 si no quieren perder Puntos de Vida en una cantidad igual al nivel de fallo.</t>
  </si>
  <si>
    <t>+10 al daño base / 100 metros de radio</t>
  </si>
  <si>
    <t>+10 al daño base / 250 metros de radio</t>
  </si>
  <si>
    <t>+20 al daño base / 500 metros de radio</t>
  </si>
  <si>
    <t>+20 al daño base / 1 kilómetro de radio</t>
  </si>
  <si>
    <t>Memorizar 80</t>
  </si>
  <si>
    <t>Memorizar 120</t>
  </si>
  <si>
    <t>Memorizar 140</t>
  </si>
  <si>
    <t>Memorizar 180</t>
  </si>
  <si>
    <t>El hechicero invierte el tejido de sus memorias, permitiéndole recordar con mayor exactitud ciertos sucesos. A efectos de juego, el hechicero gana un bono a su habilidad secundaria Memorizar que depende del grado en el que lance el conjuro.</t>
  </si>
  <si>
    <t>RM 120 / Recuerdos de la última hora</t>
  </si>
  <si>
    <t>RM 140 / Recuerdos de la última semana</t>
  </si>
  <si>
    <t>RM 180 / Recuerdos del último año</t>
  </si>
  <si>
    <t>RM 160 / Recuerdos del último mes</t>
  </si>
  <si>
    <t>Mediante un control robusto de los recuerdos colectivos, el lanzador se vuelve invisible para la percepción común. La gente a su alrededor no le prestará atención, olvidándose de él casi al momento. Como una sombra, podrá pasar por lugares con muchas personas sin que reparen en su presencia, incluso al moverse muy rápidamente o llamando la atención de cualquier forma. Aquellos que se encuentren con el lanzador deberán superar una Resistencia Mágica si no quieren ser víctimas de sus efectos y olvidarse de él.</t>
  </si>
  <si>
    <t>El hechicero gana la capacidad para aprender de los recuerdos de otro, borrándolos de la mente de un tercero pero permitiéndole usarlos él. Aprender permite robar una cantidad de puntos en una secundaria que un tercero posea, para sumarla inmediatamente después a la base del lanzador. Este conjuro debe venir acompañado de la intención del hechicero para lanzar la secundaria en cuestión, y una vez se haya realizado la tirada correspondiente, los recuerdos robados regresan al afectado.</t>
  </si>
  <si>
    <t>Mediante su perfecto control de la memoria y el olvido universal, el hechicero borra de la realidad un concepto, idea u objeto. No es que deje de existir propiamente, sino que todo el mundo, sin excepción, serán incapaces de recordarlo; como una aspiradora de memorias, Arrancar del mundo destruye una idea de la mente del mundo entero, modificando la realidad para que el nuevo conocimiento colectivo calce con el resto de recuerdos. Este conjuro no funciona con seres cuya gnosis sea 20 puntos mayor a la del lanzador.</t>
  </si>
  <si>
    <t>El hechicero siente a su alrededor las fuentes de vida en peligro, pudiendo discernir su mal estado. Este conjuro permite percibir individuos que hayan perdido al menos la mitad de sus Puntos de Vida. Percibir heridas se considera una detección automática positiva, cuyo único requisito es estar en el radio de efecto.</t>
  </si>
  <si>
    <t>El hechicero gana comprensión absoluta de una herida o condición, pudiendo determinar con gran facilidad su origen, naturaleza o gravedad. Este hechizo otorga un bono a las habilidades secundarias Medicina y Herbolaria para realizar cualquier tipo de tirada.</t>
  </si>
  <si>
    <t>El hechicero cura las heridas de un individuo, eliminando cualquier efecto perjudicial. Este conjuro permite recuperar miembros cercenados siempre que se encuentren presentes en el momento del lanzamiento y no hayan quedado irrecuperables. Además, reduce los penalizadores causados por críticos en una cantidad igual a la mitad de los Puntos de Vida recuperados.</t>
  </si>
  <si>
    <t>El hechicero se vuelve sensible al estado de aquellos que lo rodean, pudiendo determinar sus estadísticas anímicas con extrema facilidad. Visión de vida otorga conocimiento sobre los PV de quién el hechicero observe si éstos no superan una Resistencia Mágica. De esto último también depende la fineza del análisis, pudiendo ir de meras estimaciones a la mayor de la certeza.</t>
  </si>
  <si>
    <t>El hechicero, o a quien éste designe, mejora la conexión entre su alma y su cuerpo, aumentando su capacidad regenerativa. Mientras este conjuro se mantenga, los efectos de sacrificio dejan de tener efecto sobre el afectado, permitiendo regenerar los Puntos de Vida sacrificados con su valor de regeneración natural.
Regenerar no permite superar el límite en el Índice de Regeneración estipulado por la Gnosis del objetivo.</t>
  </si>
  <si>
    <t>El hechicero genera un área fija a su alrededor dentro de la cual toda fuente de vida comenzará a florecer, recuperando sus heridas con rapidez. Cada turno que pase, cualquiera que se encuentre en su interior comenzará a recuperar sus Puntos de Vida en una cifra determinada por el grado del conjuro. Los seres nigrománticos pierden Puntos de Vida cada turno en relación al Índice del lanzador. No puede haber más de una Salvaguarda en un mismo lugar.</t>
  </si>
  <si>
    <t>La vida llena al objetivo de este conjuro, impidiendo su muerte de cualquier forma. Aquél afectado por De regreso no necesita superar controles de Entre la vida y la muerte, pues su esencia está permanentemente atada al mundo.</t>
  </si>
  <si>
    <t>Deteniendo temporalmente el ciclo vital, el hechicero conjura un área donde nadie podrá morir por ningún motivo. Dentro del radio del conjuro el concepto de muerte y herida deja de existir, por lo que nadie que se encuentre dentro podrá morir de ninguna manera. Los seres de Gnosis 45 o superior no se ven afectados por este conjuro.</t>
  </si>
  <si>
    <t>Mediante su control espacial, el hechicero obtiene total conocimiento de la zona en la que se encuentra, pudiendo trazar un mapa mental del lugar. Este conjuro otorga al lanzador un bono a su habilidad de Rastrear determinado por el grado del conjuro y permite al lanzador crear un mapa mental exacto de la zona. Este conjuro no detecta individuos específicos, pero el lanzador sabrá que hay algo obstruyendo el lugar que éstos ocupan.</t>
  </si>
  <si>
    <t>Crea un punto que absorbe todo lo que se encuentre a su alrededor. El agujero se mantiene en el lugar donde cayó y obliga a cualquiera en las cercanías a superar un control de Fuerza 14 para no verse atraídos a él. Los que fallen el control o hayan recibido el ataque de frente deberán superar una Resistencia Física si no quieren perder Puntos de Vida en relación a la mitad del nivel de fallo y quedar atrapados dentro del agujero hasta que su mantenimiento finalice. Cada individuo dentro del agujero aumenta en 2 el control de Fuerza a superar.</t>
  </si>
  <si>
    <t>El hechicero obtiene potestad absoluta del terreno en el que se encuentra, pudiendo modificarlo a placer como si de plastilina se tratase. Este conjuro afecta al área alrededor del lanzador y le permite cambiar su forma y tamaño a voluntad para generar situaciones de combate específicas o defenderse de cualquier ataque, contando como un escudo sobrenatural con infinitos Puntos de Vida.</t>
  </si>
  <si>
    <t>El hechicero gana constancia sobre las leyes dominantes de la zona en la que está. Dependiendo del grado del conjuro, el conocimiento puede ir de meras estimaciones sobre las penas locales hasta un conocimiento exhaustivo y medido de las leyes de la zona al completo. Además, si se mantiene otorga un valor final en Ley basado en la zona en la que el personaje se encuentra. El cambio es retroactivo, por lo que si se desplaza a otro lugar, los conocimientos cambiarán.</t>
  </si>
  <si>
    <t>El hechicero analiza un contrato para encontrar falencias, agujeros o trampas escondidas en su interior. Niveles mayores también otorgan la facultad de conocer más sobre el contrato como tal, como cuando y por quién fue escrito.</t>
  </si>
  <si>
    <t>El hechicero se convierte en un detector criminal, lo que le permite sentir cualquier alteración en la ley local dentro del rango del conjuro. Nótese que este poder no permite detectar actos maliciosos per sé, sino cosas que quebrarían la ley del lugar en el que el lanzador se encuentra en el momento de activar el conjuro.</t>
  </si>
  <si>
    <t>El hechicero mejora su percepción sobre los individuos que lo rodean, pudiendo determinar al milímetro sus gestos y signos corporales. Este conjuro otorga un bono a la habilidad de Advertir del sujeto para analizar el lenguaje no verbal de las personas que esté interrogando. Interrogatorio no permite saber si alguien está mintiendo o no.</t>
  </si>
  <si>
    <t>El hechicero designa dos o más personas (de las que puede formar parte si lo desea) que, desde que se lanza el conjuro, pasan a formar parte de un pacto inquebrantable. Los afectados deben superar una Resistencia Mágica determinada por el grado del conjuro o, de lo contrario, se verán dentro del contrato y no podrán romper sus cláusulas. La cantidad de individuos que es posible añadir a un pacto está determinada por el grado del conjuro. No es necesario que se realice un procedimiento legal como firmar un contrato físico, aunque de hacerlo, la resistencia a superar aumenta en 40 puntos.</t>
  </si>
  <si>
    <t>El hechicero crea un área a su alrededor dentro de la cual nadie será capaz de realizar delito alguno. Cualquiera que lo intente deberá superar una Resistencia Mágica determinada por el grado del conjuro o, de lo contrario, el mero pensamiento de cometer tal acción desaparecerá de su mente.</t>
  </si>
  <si>
    <t>El hechicero se vuelve inmune a las acciones criminales, por lo que cualquiera que intente ejercer un delito sobre él deberá superar una Resistencia Mística determinada por el grado del conjuro. Este sortilegio toma las leyes locales como base para determinar lo que es y lo que no es un delito.</t>
  </si>
  <si>
    <t>El hechicero se vuelve el vigilante absoluto, pudiendo observar a quienes considera sospechosos y castigarlos si considera que han obrado mal. Una vez activo, el lanzador podrá ver a aquellos que no hayan superado la Resistencia Mágica y, si lo considera oportuno, podrá aplicar cualquiera de los conjuros de esta sub-vía sobre ellos. Los afectados no pueden saber si están siendo vistos o no. El grado determina la Resistencia y la cantidad de personas que es posible afectar. El único requerimiento es que el lanzador conozca a quienes desea vigilar.</t>
  </si>
  <si>
    <t>El hechicero percibe las fuentes de energía cercanas. Podría saber si hay fogatas cercanas o si el ambiente está ionizado en la zona en la que se encuentra. También permite detectar seres basados en los distintos tipos de energía si estos no superan un control de Resistencia Mágica contra un valor determinado por el grado del conjuro.</t>
  </si>
  <si>
    <t>El hechicero proyecta una descarga de energía que ataca en cualquiera de los tres críticos de energía posibles. El crítico en cuestión se debe elegir antes de lanzar la descarga, pero si el lanzador declara que desea acumular para Descarga energética, debe obligatoriamente declarar el crítico a la hora de comenzar a acumular.</t>
  </si>
  <si>
    <t>El hechicero o a quien éste designe acelera sobrenaturalmente el ritmo biológico de su cuerpo, permitiéndole no solo aguantar más y en mayores períodos de tiempo, sino también mejorando sus reflejos y su capacidad de reacción. Esto, sin embargo, viene con un problema, y es que se cansa antes. Por ello, cada tres asaltos pierde un Punto de Cansancio hasta o bien llegar a cero (momento en el que el conjuro finaliza) o el lanzador deje de mantener Supermetabolismo.</t>
  </si>
  <si>
    <t>El hechicero se autoimpone un letargo anímico que reduce su gasto espiritual y físico. Por ello, mientras el conjuro esté activo reduce a la mitad sus acciones activas y no puede gastar Puntos de Ccansancio, pero también reduce el Zeon que gastan sus conjuros en una cantidad que depende del grado del hechizo.</t>
  </si>
  <si>
    <t>El hechicero modifica un tipo de energía en su interior, transformándola en otra distinta. Este conjuro convierte los Puntos de Zeon del afectado en Puntos de Ki, Consumos de Voluntad o Puntos de Cansancio en sus semejantes. Por cada 10 puntos de Zeon el hechicero gana 1 de Ki, 1 punto de Cansancio o 1 Consumo de Voluntad. La conversión también funciona en sentido contrario. El límite de Zeon a gastar depende del grado del conjuro.</t>
  </si>
  <si>
    <t>Conjurando los tres principios fundamentales de la energía, el hechicero proyecta una cúpula de destrucción energética en un área gigantesca que ataca en todos los críticos de energía posibles. El área de esta cúpula es una marabunta de fuego, hielo y electricidad que azotan sin piedad a cualquiera que se encuentre dentro. Dado que los tres elementos están en constante aparición, los ataques de Cataclismo siempre hacen daño en relación a la TA de FRI, ELE o CAL más baja del afectado. Una vez lanzado, si Cataclismo se mantiene el conjuro continuará en la zona en cuestión y aquellos en su interior deberán volver a defenderse, enfrentándose a una Proyección determinada por el grado del conjuro.</t>
  </si>
  <si>
    <t>El hechicero determina un área a su alrededor en la que el factor del azar y las apuestas tendrán supremacía frente al resto. Este conjuro mejora las capacidades del resto de hechizos de la sub-vía, aumentando los efectos de estos mientras se lancen dentro del área. Cada conjuro tiene un apartado especial que solamente se aplicará si Hora de barajar está activo.</t>
  </si>
  <si>
    <t>El hechicero conjura un ser mágico con altos conocimientos en juegos de azar y apuestas para que le aconseje a la hora de realizar cualquier jugada. El ser es invisible para cualquiera que no pueda ver espíritus y se quedará cerca del lanzador mientras el conjuro se mantenga. Cada vez que el lanzador tenga una pregunta relacionada al juego, el ser podrá responderla usando una habilidad final en Táctica determinada por el grado del conjuro.</t>
  </si>
  <si>
    <t>El hechicero proyecta una carta hacia su objetivo. Este conjuro se considera un ataque en FIL con un efecto aleatorio que depende de una tirada de un d4. Sacar un uno aplica una presa parcial automática, sacar un dos derriba al oponente, sacar un tres hace que reduzca en 2 las TA y sacar un cuatro añade el bono de Poder al daño base.</t>
  </si>
  <si>
    <t>El hechicero proyecta un aura que despierta el instinto ludópata en los individuos a su alrededor, generándoles interés por el azar y las apuestas. Este conjuro no es un control mental, sino que despierta las ganas de apostar de aquellos individuos a los que atrape. El lanzador puede decidir si desea afectar a cualquiera dentro del radio del conjuro o si, por el contrario, prefiere concentrar su magia sobre un individuo en particular.</t>
  </si>
  <si>
    <t>El hechicero conjura el espíritu de un réferi, el cual arbitrará una partida o una sucesión de ellas. El réferi tiene un 180 en Advertir, Buscar y Valoración Mágica, valores con los que puede examinar la partida para encontrar posibles trampas. Este conjuro no tiene mantenimiento, y dura todo lo que tenga que durar para terminar el juego en cuestión.</t>
  </si>
  <si>
    <t>El hechicero extrae poder de las casualidades, obteniendo fuerza por cada partida ganada. Durante un juego, cada vez que el lanzador del conjuro obtenga una victoria, acumula un +5 a toda acción, hasta un máximo de +50. Perder una vez regresa la racha a 0, y de seguir perdiendo, comienza a acumular penalizadores a toda acción, a razón de -5 por derrota, hasta un máximo de -50.</t>
  </si>
  <si>
    <t>El lanzador obtiene una destreza sin igual a la hora de tallar gemas. Este conjuro aumenta el valor de la secundaria Orfebrería del hechicero, permitiéndole tallar gemas con mayor facilidad. Este valor solo puede usarse para el tallado de gemas y cristales, por lo que no tiene uso alguno para otros tipos de orfebrería. Junto con Imbuir, es el único conjuro de la sub-vía en el que no es necesario emplear gemas.</t>
  </si>
  <si>
    <t>Este conjuro convierte un o varias gemas en contenedores de magia efímeros. Es posible introducir Zeon, pero no extraerlo, y las gemas que no se usen en el plazo establecido por el grado comienzan a perder Zeon, a un ritmo de 1 punto por día. Las gemas imbuidas son requisito para poder lanzar el resto de conjuros de la sub-vía, y el Zeon en su interior puede usarse para pagar parte del conjuro que se está lanzando. Junto con Tallado y valorado, es el único conjuro de la sub-vía en el que no es necesario emplear gemas.</t>
  </si>
  <si>
    <t>El hechicero percibe los constructos cristalinos cercanos. Puede detectar tanto joyería como elementales de tierra o seres relacionados al elemento de la gema que use para canalizar el conjuro. Los seres que deseen resistirse a la detección pueden superar una Resistencia Mágica determinada por el grado del conjuro. Las gemas superiores añaden un +40 a la dificultad de la Resistencia Mágica a superar y doblan el radio de búsqueda.</t>
  </si>
  <si>
    <t>Proyecta una descarga basada en las propiedades de la gema que se utilice. El ataque es perfectamente visible y ataca en CAL si la gema es de fuego, en FRI si es de agua, en CON si es de tierra, en ELE si es de aire y en ENE si es de luz u oscuridad. Las gemas superiores doblan el daño base de la descarga en cuestión.</t>
  </si>
  <si>
    <t>Crea un escudo físico que detiene cualquier ataque, incluso aquellos de naturaleza sobrenatural. La gema utilizada determina la naturaleza del escudo, reduciendo a la mitad cualquier daño proveniente de ataques elementales afines a la gema en cuestión. Además, en el caso de que el hechicero utilice una gema mayor para canalizar este conjuro, los ataques basados en el elemento afín reducen en 30 puntos su daño base, por lo que un ataque con un daño base de 80 lo vería reducido a 50.</t>
  </si>
  <si>
    <t>Este conjuro permite usar gemas previamente imbuidas para lanzar conjuros de otras vías. A la hora de declarar un conjuro, el hechicero canaliza el mismo a través de la gema en cuestión, restando cierto valor del Zeon dentro de la gema para ello, como si estuviera lanzando un conjuro de la sub-vía de Gemas. Naturalmente, el elemento afin al conjuro debe usarse para la vía en cuestión, por lo que vías mayores como Creación o Destrucción, que no poseen gema asociada, o conjuros de naturaleza salvaje, como los Libre acceso, no pueden ser canalizados mediante este conjuro.</t>
  </si>
  <si>
    <t>Fusiona dos gemas en una para ganar ambas propiedades. Las gemas no conservan todas las capacidades originales, por lo que el Zeon total de ambas se reduce a la mitad para calcular el contenido final de la nueva gema. A cambio, la nueva joya tendrá las propiedades elementales originales de las usadas, aunque al ser extremadamente inestable no puede usarse más de las veces determinadas por el grado del conjuro. Naturalmente, es necesario que las gemas fusionadas sean nuevas, sin estrenar, para poder usarlas en una fusión.</t>
  </si>
  <si>
    <t>El hechicero lanza diez gemas hacia los cielos, haciendo que exploten en miles de millones de fragmentos cristalinos que tiñen el firmamento con un centenar de colores. La luz cegadora proveniente de este conjuro hace que aquellos que deseen defenderse de él deban superar una Resistencia Física de 100 si no quieren aplicar Ceguera parcial. Lluvia de estrellas daña energía y ataca en la TA predominante entre las diez gemas. El hechizo no se mantiene, sino que el grado alcanzado determina la cantidad de asaltos que dura. En cada oportunidad todos aquellos dentro de su área deberán volver a defenderse.</t>
  </si>
  <si>
    <t>El hechicero percibe las fluctuaciones sobrenaturales a su alrededor, lo que le permite discernir cualquier entidad que no sea Natural y que se encuentren en sus cercanías. Aquellos que quieran resistirse a ser detectados deben superar un control de Resistencia Mágica determinado por el grado del sortilegio.</t>
  </si>
  <si>
    <t>Este conjuro otorga al lanzador un conocimiento superior en los cuentos y las leyendas del mundo. El grado del conjuro otorga un valor final en Ocultismo e Historia para conocer sobre seres mitológicos o cuentos de hadas.</t>
  </si>
  <si>
    <t>El hechicero conjura un ser mitológico nacido de su alma para que lo proteja. Este conjuro se considera un escudo sobrenatural con PV indicados por el grado del conjuro, pero cada vez que se defienda puede realizar un contraataque con un valor de Habilidad de Ataque final igual al designado por el grado elegido.</t>
  </si>
  <si>
    <t>El hechicero anima un objeto inorgánico, creando un ser fantástico. El objeto afectado debe tener una presencia igual o menor a la estipulada por el grado. La criatura se considera un ser creado por magia y su ficha queda a disposición del Director de Juego, aunque el lanzador del sortilegio puede pedir a rasgos generales cómo desea que sea la ficha.</t>
  </si>
  <si>
    <t>El hechicero obtiene poderes mágicos basados en cuentos fantásticos, lo que le permite hacer cosas que el resto soñaría. Este conjuro le otorga al lanzador la posibilidad de obtener un poder de una encarnación que conozca, siempre que ésta no supere el nivel designado por el sortilegio. El efecto es automático y no puede mantenerse. Es necesario que el lanzador conozca muy bien la leyenda de la cual está intentando extraer los poderes.</t>
  </si>
  <si>
    <t>El hechicero trae del Flujo de Almas un objeto sobrenatural con fábula elevada. El objeto mantiene sus propiedades originales, pero al ser una copia sus poderes son ligeramente menos poderosos. El nivel del objeto traído no puede ser mayor al determinado por el grado del conjuro.</t>
  </si>
  <si>
    <t>El hechicero trae un fragmento de los cuentos de hadas a la realidad, con lo que elimina o cambia una regla física durante unos pocos instantes. Este conjuro permite modificar un concepto atado a las normas del mundo físico común, como la gravedad o el fluir del tiempo. Las normas modificadas volverán a ser como eran una vez el mantenimiento del conjuro finalice.</t>
  </si>
  <si>
    <t>Este conjuro modifica la propia realidad, permitiéndole a su lanzador crear un mito o leyenda perteneciente a cualquier cultura del mundo. El hechicero puede hacer lo que desee con él; podría volverlo mundialmente conocido o hacerlo una mera leyenda urbana de alguna ciudad, aunque en ambos casos el mito será genuino. Los libros serán modificados mágicamente para que la creación calce con obras anteriores y posteriores, y la mente de las personas que se supone deberían conocerlo también cambiará. Los seres de Gnosis 45 o más no se ven afectados por este conjuro.</t>
  </si>
  <si>
    <t>El hechicero destruye la vida a su alrededor, marchitando plantas y animales por igual. Todo aquél dentro del área debe superar una Resistencia Mágica o comenzará a perder 5 Puntos de Vida en cada asalto hasta alcanzar la mitad de su reserva máxima. Los seres con menos de la mitad de la presencia del lanzador que no superen el control mueren automáticamente.</t>
  </si>
  <si>
    <t>Mediante su control estacional el hechicero sume al mundo entero en una única estación, cambiando al completo el clima global. La órbita planetaria no cambia realmente, sino que el lanzador modifica el clima y la temperatura para que concuerde con la estación elegida.</t>
  </si>
  <si>
    <t>Imbuye la potencia de los ataques del lanzador con el poder para rematar individuos al borde de la muerte. El destinatario de Golpe de gracia gana un bono a su crítico determinado por el grado del conjuro.</t>
  </si>
  <si>
    <t>Nivel 20 / 5 metros de radio</t>
  </si>
  <si>
    <t>Nivel 40 / 10 metros de radio</t>
  </si>
  <si>
    <t>Nivel 60 / 25 metros de radio</t>
  </si>
  <si>
    <t>Nivel 8 0 / 50 metros de radio</t>
  </si>
  <si>
    <t>Sentir el decaimiento</t>
  </si>
  <si>
    <t>Marca del más allá</t>
  </si>
  <si>
    <t>+10 a toda acción enfrentada, +1 al Tipo de Movimiento</t>
  </si>
  <si>
    <t xml:space="preserve"> +15 a toda acción enfrentada, +1 al Tipo de Movimiento</t>
  </si>
  <si>
    <t>+20 a toda acción enfrentada, +2 al Tipo de Movimiento</t>
  </si>
  <si>
    <t>+25 a toda acción enfrentada, +2 al Tipo de Movimiento</t>
  </si>
  <si>
    <t>Marca a un individuo, presagiando su posible muerte. Este conjuro otorga al lanzador bono especiales a la hora de intentar arrebatarle la vida a aquél marcado. La marca es invisible ante cualquiera incapaz de ver espíritus. De “reclamar” el alma del marcado, el lanzador puede lanzar Marca del más allá de forma gratuita a otro individuo en el mismo asalto en el que la vida fue arrebatada.</t>
  </si>
  <si>
    <t>Análsis de datos</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</si>
  <si>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</si>
  <si>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Este conjuro aumenta la percepción del hechicero acrecentando sus habilidades secundarias de Advertir y Buscar, asi como su Valoración mágica en el caso de que pretenda medir o detectar el potencial mágico de algo o alguien (nunca para ocultarlo) asi como para analizar la naturaleza de otros conjuros</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</si>
  <si>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</si>
  <si>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</si>
  <si>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</si>
  <si>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</si>
  <si>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Oscuridad se doblará</t>
  </si>
  <si>
    <t>Verá magia, matrices psiquicas y seres invisibles / +50 RM contra Ilusiónes.</t>
  </si>
  <si>
    <t>Permite al afectado por el conjuro percibir las fuerzas sobrenaturales que son invisibles para el ojo humano; podrá ver magia, matrices psiquicas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</si>
  <si>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</si>
  <si>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Crea un cuerpo de luz que reflecta todo hechizo ofensivo, poder psiquico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</si>
  <si>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Cincuenta años / si ocurrirá en menos de un día, será muy exacta</t>
  </si>
  <si>
    <t>Un siglo / si ocurrirá en menos de un año, será bastante exacta.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</si>
  <si>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</si>
  <si>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</si>
  <si>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</si>
  <si>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</si>
  <si>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</si>
  <si>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asi como su Valoración mágica en la misma cantidad, aunque sólo en el caso de que pretenda ocultar el potencial mágico de algo o alguien (nunca para detectarlo).</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</si>
  <si>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</si>
  <si>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 un conjuro, o las propiedades místicas de un objeto, ante cualquier tipo de detección mágica. A efectos de juego, produce un penalizador a la Valoración mágica de quien intente detectar o medir el conjuro u objeto oculto (asi como al propio hechizo de Ocultación de Magia).</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</si>
  <si>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</si>
  <si>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 la presencia del hechicero o del blanco designado por éste ante cualquier tipo de detección. A efectos de juego, aumenta en las Resistencias contra detecciones sobrenaturales, ya sean místicas o psiquicas.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</si>
  <si>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</si>
  <si>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</si>
  <si>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</si>
  <si>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</si>
  <si>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</si>
  <si>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Destruye temporalmente cualquier sentimiento positivo, como paz interior, calma o alegría, que se encuentre en un radio respecto al hechicero. si desea resistirse, ha de superarse una RM o RP.</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</si>
  <si>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</si>
  <si>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psiquica de detección que se utilice en ella, sufre un penalizador a su resultado final. La zona afectada permanece estática en el lugar donde fue lanzada</t>
  </si>
  <si>
    <t>+50 en Ocultarse y sigilo / +20 a sus Resistencias</t>
  </si>
  <si>
    <t>+60 en Ocultarse y sigilo / +30 a sus Resistencias</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</si>
  <si>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luz se doblará</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</si>
  <si>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</si>
  <si>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</si>
  <si>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El personaje se vuelve indetectable ante conjuros y habilidades psiquicas.</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</si>
  <si>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</si>
  <si>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Hace recuperar puntos de vida al sujeto sobre el que se lance. Este conjuro no permite recobrar miembros cercenados o pérdidas permanentes, pero si elimina los penalizadores temporales causados por críticos, en una cantidad equivalente a la mitad de los puntos de vida devueltos.</t>
  </si>
  <si>
    <t>Las energías sobrenaturales que maneja este hechizo se unen al cuerpo del individuo designado, otorgándole asi cierta inmunidad al daño. A efectos de juego, obtendrá una barrera de daño (Ver capítulo 14).</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</si>
  <si>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si sobre construcciones mecánicas, en el caso de que no tengan alma.</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</si>
  <si>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</si>
  <si>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 xml:space="preserve"> Permite controlar el cuerpo de un ser. Dado a que es solo dominio físico y no espiritual, el individuo sometido no está obligado a usar ninguna habilidad sobrenatural en contra de su voluntad, aunque si sus habilidades marciales. Para resistir el control, hay que superar una RM. El afectado tendrá derecho a una nueva Resistencia por día, y en cada ocasión en la que las órdenes recibidas vayan completamente en contra de su comportamiento.</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</si>
  <si>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</si>
  <si>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</si>
  <si>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El mago estanca el espíritu de alguien en el estado en que se encuentra en ese momento. A partir de ahi, el afectado no deberá realizar nuevos controles mágicos o psiquicos,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</si>
  <si>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Forma una barrera de energía que protege frente a cualquier fuente de ataque. si no es destruido al finalizar el asalto, recupera automáticamente todos sus puntos de vida perdidos.</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</si>
  <si>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</si>
  <si>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</si>
  <si>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</si>
  <si>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</si>
  <si>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</si>
  <si>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</si>
  <si>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</si>
  <si>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100.000 de presencia / Presencia máxima 320 / sin límite reglas existenciales.</t>
  </si>
  <si>
    <t>siete ataques</t>
  </si>
  <si>
    <t xml:space="preserve">Este hechizo deshace las energías matriciales de un poder psiquico. Dado que es pasivo, puede emplearse para anular cualquier poder lanzado en el mismo turno. </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</si>
  <si>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</si>
  <si>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</si>
  <si>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</si>
  <si>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Afecta directamente a la esencia de la magia y es capaz de disipar el poder de otro sortilegio activo, disminuyendo su grado y valor zeónico. si el hechizo queda mermado hasta una cantidad menor que el coste de su grado base, desaparece. </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</si>
  <si>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</si>
  <si>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</si>
  <si>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</si>
  <si>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asi como su longitud máxima son determinadas por el grado del conjuro</t>
  </si>
  <si>
    <t>Idem arriba, si ve magia superar Advertir a 140 o Buscar a 80 para verle</t>
  </si>
  <si>
    <t>Otorga al hechicero el control del aire, asi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</si>
  <si>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Permite controlar la forma y dirección de una fuente eléctrica. si se trata de un ser basado naturalmente en electricidad, el mago podrá controlarlo si este no supera una RM </t>
  </si>
  <si>
    <t xml:space="preserve">El objetivo se vuelve inmaterial, haciéndose intangible ante todo lo no basado en energía. Asi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</si>
  <si>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</si>
  <si>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Este hechizo envuelve la esencia de su lanzador, haciendo que la magia fluya en él de un modo instintivo y manifestando automáticamente sus designios. Asi pues, la magia y él responden como un solo ser ante cualquier acontecimiento. Mientras se mantenga, cualquier hechizo que ejecute el personaje se considerará una acción pasiva, incluidos los de Ataque y los Anímicos </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</si>
  <si>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</si>
  <si>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El brujo genera una descarga ofensiva que, aunque ataca en Contundente, es capaz de dañar energía. si causa daño o es detenido, produce un impacto sobre el blanco del sortilegio con una fuerza determinada por el grado del conjuro.</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</si>
  <si>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</si>
  <si>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</si>
  <si>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</si>
  <si>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</si>
  <si>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</si>
  <si>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</si>
  <si>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</si>
  <si>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</si>
  <si>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</si>
  <si>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Aumenta la temperatura ambiente. si la temperatura aumenta 10º por encima de lo que es natural en una zona en su momento más cálido, el índice de aumento se reduce a la mitad.</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</si>
  <si>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</si>
  <si>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</si>
  <si>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Crea intensidades de fuego. Mientras se mantenga el conjuro, la llama seguirá ardiendo incluso sin nada que consumir. si se prende en algo inflamable, arderá naturalmente tras finalizar el hechizo.</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</si>
  <si>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</si>
  <si>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</si>
  <si>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</si>
  <si>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</si>
  <si>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</si>
  <si>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</si>
  <si>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</si>
  <si>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</si>
  <si>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asi, el hechizo le permite percibir a criaturas espirituales que sean invisibles al ojo humano. </t>
  </si>
  <si>
    <t xml:space="preserve">Otorga la capacidad de regenerar a un ritmo vertiginoso las heridas de un individuo, curando los puntos de vida perdidos. No permite recuperar miembros cercenados o daños similares, ni tampoco elimina los penalizadores causados por los críticos, pero si detiene cualquier tipo de desangramiento. En caso de ser lanzado sobre un ser con acumulación de daño, sólo recupera la mitad del valor porcentual indicado. </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</si>
  <si>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</si>
  <si>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Permite al hechicero modificar la esencia de un ser. No da habilidades especiales por el cambio en si,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</si>
  <si>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Permite obtener información detallada acerca de las capacidades naturales y poderes de un individuo o criatura. No le da acceso a saber cuáles son sus conocimientos ni el nivel de las habilidades que dependan de estos, si medir su potencial espiritual y averiguar cómo funcionan sus capacidades innatas. Este conjuro funciona automáticamente sobre la criatura designada si el hechicero la ve o conoce su verdadero nombre, aunque puede resistirse con una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</si>
  <si>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</si>
  <si>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</si>
  <si>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</si>
  <si>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</si>
  <si>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&gt; ILUsiON</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</si>
  <si>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</si>
  <si>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</si>
  <si>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</si>
  <si>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</si>
  <si>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 xml:space="preserve">Se induce a todo aquel que escuche al mago a creer sus mentiras, por absurdas o ilógicas que sean. Eso no significa que los afectados deban obedecerle, pero si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</si>
  <si>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</si>
  <si>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</si>
  <si>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</si>
  <si>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psiquica o de Ki. Cualquiera que pueda sentirle mediante algún sentido natural debe superar una RM. si la falla, sólo tendrá la oportunidad de repetirlo cada vez que tenga una causa para pensar que hay alguien a su alrededor.</t>
  </si>
  <si>
    <t>Forma un escudo de energía nigromántica, capaz de detener cualquier asalto anímico que afecte a las Resistencias sobrenaturales del personaje, aunque no asi de acometidas de carácter físico o ataques que produzcan daños. Permite detener efectos místicos, siempre que estos no obliguen a lanzar una Resistencia contra más de lo que determine el grado del conjuro.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</si>
  <si>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</si>
  <si>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</si>
  <si>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si falla la RM o RF por más de 40 puntos muere</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</si>
  <si>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</si>
  <si>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</si>
  <si>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</si>
  <si>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</si>
  <si>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</si>
  <si>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</si>
  <si>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</si>
  <si>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El hechicero detecta automáticamente cualquier fuente de magia a su alrededor. si está oculta, emplea una habilidad de Valoración Mágica final determinada por el grado del conjuro para detectarla.</t>
  </si>
  <si>
    <t>Crea intensidades de fuego en una materia que sea naturalmente inflamable. si prende, no será necesario mantener el conjuro.</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</si>
  <si>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</si>
  <si>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</si>
  <si>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Elimina los rastros físicos que deja tras de si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</si>
  <si>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</si>
  <si>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Este conjuro provoca una serie de condiciones negativas sobre el objetivo. Su cometido es causar infortunio sobre ciertas acciones que realice el objetivo. El mago decide a qué exactamente, asi como sus consecuencias, dentro de los límites por el grado del conjuro. Otros vinculados a la maldicion pueden tirar su RM para evitar sus efectos. Sólo se puede realizar un nuevo control cuando sus efectos vuelvan a activarse.</t>
  </si>
  <si>
    <t>El hechicero absorbe conocimientos escritos o gráficos, que se encuentren a su vista o al alcance de su mano. Asi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</si>
  <si>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si altera su naturaleza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</si>
  <si>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</si>
  <si>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Sana cualquier clase de herida recuperando Puntos de Vida. Este tipo de curación no permite recobrar miembros perdidos o daños similares, pero si evita los efectos del desangramiento</t>
  </si>
  <si>
    <t>Permite al hechicero visualizar los elementos del terreno que se encuentren cercanos al sitio en el que está. No se puede localizar a individuos concretos o construcciones con exactitud, pero si la ubicación de ciudades, ríos, montañas...</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</si>
  <si>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</si>
  <si>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</si>
  <si>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El sujeto afectado por el conjuro de Inutilidad se volverá torpe e incapaz de ejecutar maniobras físicas. Deberá superar una RM o sufrir un penalizador a equivalente a su nivel de fracaso. Este hechizo no afecta a las habilidades mágicas, psiquicas o perceptivas</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</si>
  <si>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</si>
  <si>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Mientras este conjuro siga activo, el hechicero o quien este designe no envejece ni sufre los efectos del paso del tiempo. Asi, se volverá un ser inmortal, salvo ante una muerte de carácter violento. si este conjuro deja de mantenerse o es destruido, el individuo recuperará la edad que le corresponde a un ritmo muy acelerado</t>
  </si>
  <si>
    <t>50 metros de abertura/cualquier distancia /sin límite de presencias</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</si>
  <si>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</si>
  <si>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</si>
  <si>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Psi. 140 / Ki 8 / Convocación inferior a 180</t>
  </si>
  <si>
    <t>150m radio / Zeon 150 / Potencial Psiquico 180 / Ki 14 / Convocación 240</t>
  </si>
  <si>
    <t>300m radio / Zeon 200 / Potencial Psiquico 240 / Ki 22 / Convocación 280</t>
  </si>
  <si>
    <t>500m de radio / Zeon 250 / Potencial Psiquico 280 / Ki 30 / Convocación 320</t>
  </si>
  <si>
    <t>Afecta un lugar dentro del cual el hechicero crea un área que impide utilizar poderes sobrenaturales de cualquier tipo. En su interior, no funcionará ningún conjuro, convocación, poder psiquico o Técnica de Ki cuyo valor zeónico, potencial o coste no supere lo que indique el grado del conjuro. El área permanece siempre estática donde fue creada y afecta automáticamente a todos los que estén en su interior, incluyendo al propio lanzador</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</si>
  <si>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</si>
  <si>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sin Límite</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</si>
  <si>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</si>
  <si>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Determina la causa de la muerte y el momento en el que ocurrió. No espeficica si el blanco del conjuro murió asesinado, ni tampoco el responsable, pero si si alguien ha fallecido por contusión masiva, o el tipo de enfermedad que lo mató.</t>
  </si>
  <si>
    <t>El hechicero crea una enfermedad mortal en un área cuyo nivel y efectos no pueden ser mayores a lo que indique el grado elegido. si lo desea el lanzador puede añadirle los efectos de mortalidad y plaga, aunque esto reduce en 10 puntos el nivel de la enfermedad en cuestión por cada modificador que añada.</t>
  </si>
  <si>
    <t>&gt; MUsiCAL</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</si>
  <si>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</si>
  <si>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</si>
  <si>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</si>
  <si>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Cualquier persona incrementa automáticamente sus habilidades, obteniendo bonos especiales determinados por el Grado del conjuro. No obstante, será incapaz de usar Técnicas de Ki o Magnus, Poderes Psiquicos de Nivel 2 o 3, o Conjuros de Nivel superior a 40. Para resistirse a sus efectos, es necesario superar una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</si>
  <si>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</si>
  <si>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</si>
  <si>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El hechicero percibe y entiende las habilidades de una adversario, asi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</si>
  <si>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Cambia la temperatura corporal de los objetivos del conjuro, permitiendo regularla de forma acorde a las condiciones externas. Asi, no se verán afectados por la meteorología adversa, pudiendo sobrevivir en yermos gélidos o desiertos ardientes. Puede afectar a tantos blancos como se desee, siempre y cuando la suma de sus presencias no supere lo que determine el Grado del conjuro.</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</si>
  <si>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</si>
  <si>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</si>
  <si>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Este hechizo permite observar que está ocurriendo en los Sueños de un durmiente, tanto si son tranquilos como pesadillas. No es posible intervenir en ellos de ninguna manera, pero si verlos detalladamente. Una persona puede resistirse superando un control de RM, pero si lo falla, solo tiene derecho a un nuevo control cada día, siempre y cuando sea consciente o sospeche que puede estar siendo afectado por un conjuro de estas características.</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</si>
  <si>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</si>
  <si>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</si>
  <si>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siente las milésimas de segundo, y toda alternación del fluir del tiempo.</t>
  </si>
  <si>
    <t>Los ojos del hechicero le permiten ver los miedos intrínsecos de la gente, asi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</si>
  <si>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Crea una zona repleta de millones de microscópicas partículas de vacío. Todo individuo que esté en ella más de un asalto deberá hacer automáticamente una RM cada turno o sufrir un daño y una pérdida de puntos de Ki equivalente a la mitad del nivel de fracaso, asi como una pérdida de puntos de Zeon equivalente al nivel de fracaso pleno. Este hechizo no permite elegir blancos, y afecta a todos por igual, inclusive el propio lanzador.</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</si>
  <si>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</si>
  <si>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Psiquico 80.</t>
  </si>
  <si>
    <t>TA 6 / Valor Zeónico 90/ Potencial Psiquico 120.</t>
  </si>
  <si>
    <t>TA 8 / Valor Zeónico 120/ Potencial Psiquico 140.</t>
  </si>
  <si>
    <t>TA 10 / Valor Zeónico 160/ Potencial Psiquico 180.</t>
  </si>
  <si>
    <t>Cubre al hechicero con un aura de vacío que le protege de los efectos de los ataques sobrenaturales, proporcionándole una TA de Energía a la vez que devora cualquier hechizo o poder psiquico de valor inferior al indicado. Lamentablemente, este conjuro no discrimina entre poderes amigos o enemigos, y los devora todos sin distinción. La capa de vacío es invisible, aunque todo lo que rodea al hechicero parece verse mas tenue y apagado.</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</si>
  <si>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asi como una pérdida de Zeon equivalente al nivel de fracaso pleno. No es posible designar blancos en el interior del sortilegio.</t>
  </si>
  <si>
    <t>El personaje designado por el lanzador olvida un recuerdo específico. Puede ser una idea, un lugar o una persona, siempre que se haya formado dentro del plazo temporal establecido por el grado del conjuro. El efecto es automático, aunque para resistirse a ellos es necesario superar una Resistencia Mágica. si se trata de un recuerdo muy arraigado, el afectado puede aplicar un +20 a la tirada.</t>
  </si>
  <si>
    <t>Afecta la esencia de un objeto, permitiéndole “olvidar” un suceso que lo haya afectado. Asi, podría reparar una espada haciéndole olvidar cuando su filo se rompió, o una hoja de papel mojada al olvidar cuando le cayó agua encima. si el objeto posee una elevada presencia puede resistirse superando la Resistencia Mágica correspondiente.</t>
  </si>
  <si>
    <t>El hechicero roba las memorias de un individuo cercano, tomándolas para si mismo. Una vez el hechizo se aplica, el afectado pierde ciertos recuerdos que el propio hechicero decida. El lanzador, por su lado, recordará todo lo que haya robado mientras el conjuro se mantenga activo. De dejar de mantenerlo, los recuerdos volverán a su portador original.
Mientras Arrebatar memorias se mantenga, el afectado todavía retiene un estrecho vínculo entre él y sus recuerdos, por lo que cada día puede volver a realizar la Resistencia Mágica para recuperarlos. si se trata de recuerdos muy aferrados a la mente del afectado, puede sumar un +40 a su Resistencia.</t>
  </si>
  <si>
    <t>El hechicero rememora los recuerdos de las personas que hayan estado en una zona particular, pudiendo leer sus recuerdos como si estuvieran presentes. El lanzador es capaz de retroceder en su lectura una cantidad de tiempo determinada por el grado en el que lanzó el hechizo. El grado también determina la presencia máxima que puede tener el grupo de gente cuyas mentes está leyendo.
si los individuos involucrados se encuentran todavía vivos, pueden intentar impedir que sus recuerdos sean leídos superando una tirada de Resistencia Mágica. Este conjuro es automático, por lo que afecta a cualquiera que se encuentre o haya encontrado en el lugar en cuestión. El radio del poder depende del grado en el que el conjuro haya sido lanzado.</t>
  </si>
  <si>
    <t>El hechicero crea un recuerdo falso, implantándolo en la memoria de los afectados. Aquellos que sean víctimas de Evocar creerán con tanta fuerza en el recuerdo artificial como si fuera uno verdadero. Para resistirse a sus efectos es necesario superar una tirada de Resistencia Mágica o Psiquica, aunque una vez implantado, el recuerdo se mantendrá allí hasta que algo haga dudar al afectado de su veracidad, para lo cual podrá volver a realizar la tirada de resistencia.</t>
  </si>
  <si>
    <t>El hechicero hace olvidar a alguien su pericia en ciertas habilidades, impidiéndole su uso si no supera la Resistencia Mágica correspondiente. El afectado pierde su aprendizaje de Nivel de Magia, Conocimiento Marcial o Nivel Psiquico en una cantidad equivalente al nivel de fallo en la resistencia, dependiendo del tipo de habilidad sobrenatural que haya usado por última vez. La pérdida es permanente, aunque el afectado puede reinvertir esos puntos para volver a aprender lo que perdió.</t>
  </si>
  <si>
    <t>El hechicero limpia su cuerpo o el que designe, destruyendo cualquier afección que estuviera dentro de él. Limpiar el cuerpo elimina automáticamente cualquier enfermedad o veneno del objetivo, siempre que su nivel sea menor al del grado del conjuro.
Limpiar el cuerpo también impide que el objetivo sea afectado nuevamente por la misma enfermedad o veneno que padeció. si se mantiene, cada vez que el objetivo deba superar una Resistencia a las Enfermedades o a los Venenos relacionada a afecciones pasadas podrá sumar un bono determinado por el grado del hechizo.</t>
  </si>
  <si>
    <t>El hechicero insufla de vida su cuerpo o el de un tercero, generando una capa de vida adicional. Este conjuro no aumenta los Puntos de Vida del objetivo, sino que otorga una “armadura” especial que se regenera cada asalto. Debido a que no son sus Puntos de Vida realmente, los efectos que dependan de porcentajes, como los críticos, continúan calculándose en base a los PV originales. si el escudo llega a 0, el conjuro no finaliza, pero el afectado deberá esperar un turno entero antes de que su “armadura” comience a regenerarse.</t>
  </si>
  <si>
    <t>El hechicero modifica los vectores de un objeto en movimiento, aumentando su valor o cambiando su dirección. Aunque no es posible hacer que un objeto que estaba quieto se mueva, el lanzador puede aumentar su velocidad hasta un máximo determinado por el grado alcanzado. si el objeto posee una presencia elevada, puede resistirse a sus efectos superando una Resistencia Mágica.</t>
  </si>
  <si>
    <t>El hechicero modifica la variante espacial de un objeto o indiviu, trasladándolo en el plano a una localización distinta dentro del área de efecto. si el objeto en cuestión tiene una presencia elevada, puede intentar resistirse superando una Resistencia Mágica. si este hechizo se mantiene, será capaz de moverlo cada turno sin tener que volver a lanzarlo, siempre que se mantenga dentro de los límites espaciales. si el hechicero ha usado Reconocimiento en la zona, podrá recolocar el objeto a un lugar de ella en el que no haya estado personalmente.</t>
  </si>
  <si>
    <t>Hace aparecer un conjuro en otro lugar, permitiendo proyectarlo desde otra localización. Este conjuro debe lanzarse antes de proyectar cualquier otro hechizo, y permite cambiar la ubicación desde la cual se proyecta el poder en cuestión. si se trata de un ataque, el defensor deberá superar un control de Advertir determinado por el grado del conjuro si no quiere aplicar flanco, al tomarle desprevenida la repentina aparición del hechizo. si ni siquiera la supera por dos grados, aplicará espalda en su lugar. No es necesario proyectar este poder, sino que el hechicero puede designar cualquier lugar de aparición dentro del área, aunque de no tener total conocimiento de ésta, aplicará ceguera parcial.</t>
  </si>
  <si>
    <t>El hechicero destruye el concepto de camino que da a un lugar en particular. Podría, por ejemplo, eliminar un pasillo que conecta una sala con otra, o hacer inaccesible el claro de un bosque desde una de sus rutas. Nadie podrá acceder a esos lugares mediante los caminos destruidos y, mientras se mantenga, las rutas de acceso se mantendrán en ese estado. si había gente cruzando por el camino destruido, estos son transportados a la sala anterior a no ser que superen una Resistencia Mágica determinada por el grado, en cuyo caso podrán pasar.
El largo y ancho de la sala a la que el hechicero desea despojar de vías de acceso no puede tener más metros cuadrados que los estipulados en el grado. si bien es posible afectar zonas protegidas sobrenaturalmente, estas reducen a la mitad el área efectiva.</t>
  </si>
  <si>
    <t>El hechicero crea un mundo espejo del lugar que se encuentra  o de uno en el que haya estado con anterioridad. Mientras se mantenga, el hechicero podrá entrar y salir a placer (hacerlo es una acción activa) e incluso ingresar objetos de cualquier tamaño, si bien cualquier cosa que pertenezca al otro mundo desaparece de intentar sacarlas. La realidad no está atada al lugar donde fue creada, sino que el lanzador puede acceder a ella desde el lugar que quiera. si el conjuro deja de mantenerse, las cosas dentro son expulsadas violentamente en el lugar donde fueron introducidas.</t>
  </si>
  <si>
    <t>El hechicero crea una brecha en la realidad que le permite moverse por el mundo a voluntad. El acceso tiene una cantidad de metros de largo y alto determinada por el grado alcanzado y solo puede abrirse a localizaciones a las que el hechicero ya haya viajado y conozca con anterioridad. Es también requisito que conozca la zona en la que se encuentra. El viaje es instantáneo y puede trasladar a cualquier cantidad de personas, siempre que puedan pasar por el acceso. 
El hechicero puede intentar moverse a una localización que no conozca del todo, aunque de hacerlo no tendrá control exacto de dónde se abre el acceso y por cada kilómetro recorrido el viaje aumentará su duración en un minuto. Grados mayores del conjuro permiten abrir portales en diferentes lugares, todos conectados a la misma “red”. si el hechicero no desea que alguien en particular cruce el Acceso, estos deberán superar una Resistencia Mágica si desean hacerlo.</t>
  </si>
  <si>
    <t>El hechicero crea una realidad nueva a su alrededor, proyectando el mundo que él desee y obligando al real a adaptarse a él. Puede crear virtualmente cualquier cosa, siempre que éstas no superen el límite de presencia estipulado por el grado del conjuro. Las cosas que estén dentro pueden resistirse a ser sobreescritas superando un control de Resistencia Mágica determinada por el grado alcanzado. De fallar desaparecen por una cantidad de días igual a una décima parte del nivel de fallo, aunque si fallan por más de 40 puntos, su existencia se desvanece del mundo.
Los seres orgánicos o con conciencia no se ven afectados por el poder, aunque las cosas que lleven encima si que podrían.</t>
  </si>
  <si>
    <t>El hechicero encarcela a un individuo, privándole de su libertad. El afectado deberá superar un control de Fuerza contra un valor determinado por el grado si no quiere quedarse en el lugar, perdiendo la capacidad de actuar. Cada cinco turnos o si el lanzador duda que el afectado es culpable puede volver a intentar liberarse. 
si la persona en cuestión ha quebrantado las leyes locales recientemente, este conjuro es invisible para él incluso si es capaz de ver la magia; si, por el contrario, no ha hecho nada malo, obtiene un bono de +2 a la tirada de Fuerza correspondiente.</t>
  </si>
  <si>
    <t>El hechicero hace caer todo el peso de la ley en alguien. Este conjuro modifica la realidad para permitirle al lanzador castigar al objetivo en cada turno como crea conveniente, usando sus alrededores como herramienta. Podría, por ejemplo, hacer que una espada se proyecte hacia él, o que la guardia local lo persiga. si el objetivo de Castigar es culpable de lo que se lo acusa, el daño base del conjuro se dobla.</t>
  </si>
  <si>
    <t>El hechicero conjura intensidades de una energía en particular de entre FRIo, CALor y ELEctricidad. si lo desea, puede moverlas usando su Proyección Mágica. Las intensidades se mantienen en el mundo mientras el hechicero mantenga el conjuro.</t>
  </si>
  <si>
    <t xml:space="preserve"> El hechicero cambia el tipo de energía de una fuente de intensidades entre FRIo, CALor y ELEctricidad. si el objetivo es un elemental, este cambiará su naturaleza si no supera una Resistencia Mágica determinada por el grado del conjuro</t>
  </si>
  <si>
    <t>El hechicero roba las reservas energéticas de un individuo para si mismo. El afectado deberá superar una Resistencia Mágica si no quiere perder sus reservas de Puntos de Cansancio y Puntos de Ki en un valor igual a una décima parte del nivel de fallo, o Puntos de Zeon en un valor igual al nivel de fallo.</t>
  </si>
  <si>
    <t>El hechicero sobrecarga un cuerpo con energía, volviéndolo volátil a más no poder. si se trata de un ser vivo, puede resistirse superando una Resistencia Mágica. Una vez sobrecargado, el objetivo es extremadamente sensible, perdiendo 5 Puntos de Vida cada asalto que pase. Además, cualquier ataque al afectado se considerará daño a un punto vulnerable. Retroalimentar dura una cantidad de asaltos igual a una décima parte del nivel de fallo, o hasta que el afectado pierda la mitad de sus Puntos de Vida.</t>
  </si>
  <si>
    <t>El hechicero hace una apuesta con otra persona en relación a un suceso particular. Ambos lados deben aceptar voluntariamente el trato, y hacer una apuesta que o bien sea igual de valiosa o estén de acuerdo en que vale lo mismo. si el lanzador gana la apuesta, consigue un bono que depende del grado del conjuro; si la pierde, los bonos se transforman en penalizadores. Estos bonos duran unos pocos asaltos, dependiendo de la grandeza de la apuesta.</t>
  </si>
  <si>
    <t>El hechicero obtiene un conjuro aleatorio. Al efectuar este sortilegio, el lanzador arroja un d10 para saber la vía del conjuro (1 es Luz, 2 es Oscuridad, 3 es Creación, 4 es Destrucción, 5 es Aire, 6 es Agua, 7 es Fuego, 8 es Tierra, 9 es Esencia y 10 es Ilusión) y un d100 para determinar el nivel del conjuro que gana, el cual se redondea hacia abajo en grupos de dos. El conjuro obtenido se lanza automáticamente y no puede mantenerse. si el lanzador no es capaz de usar Alta Magia o Magia Divina, no podrá lanzar los conjuros de esos niveles.</t>
  </si>
  <si>
    <t>El hechicero se ve involucrado en la apuesta definitiva, que trascenderá la misma existencia. Para lanzar este conjuro otro individuo debe aceptar voluntariamente participar, tras lo cual ambos determinan qué es lo que quieren apostar. Puede ser cualquier cosa; desde sus pertenencias físicas hasta sus poderes místicos o su propia vida; la única condición es que debe pertenecer al apostador y debe caer dentro de los límites del grado alcanzado. Aquél que gane la apuesta se volverá el dueño existencial de lo que se haya apostado. Por ejemplo; si se ha apostado una gran suma de dinero, la misma pasará a estar vinculada al ganador, impidiendo de ninguna forma a su antiguo propietario volver a conseguirla. si se apuestan poderes sobrenaturales, el ganador podrá usarlos con los valores del perdedor. Lo mismo pasa con las habilidades marciales, pues de ser mayores reemplazarán a las propias. Una vez iniciada la apuesta, no hay ninguna forma de escapar del resultado de La vida es una serie de apuestas.</t>
  </si>
  <si>
    <t>El hechicero crea un ser cristalino y le otorga una orden simple que acatará continuamente. si se le ordena atacar a un individuo, el hechicero puede usar su Proyección Mágica para controlarlo, aunque el ser también puede atacar al individuo en cuestión con una Proyección Mágica Final determinada por el grado. Cada ataque del ser consume 5 puntos de Zeon de la reserva de la gema usada, tras lo cual la creación se destruye. El ser ataca en la TA del elemento afín de la gema.</t>
  </si>
  <si>
    <t>El hechicero encanta un objeto, zona o escudo sobrenatural para que actúe como un aparato reflector. La cosa afectada en cuestión no debe tener una mayor presencia que la determinada por el grado del conjuro (los escudos sobrenaturales usan la presencia del personaje que lo mantiene). Cualquier cosa que se ponga en contacto con la superficie debe superar un control de Fuerza si no quiere ser reflejado. En el caso de los ataques, estos se reflejan hacia el agresor usando el valor de su habilidad final, del cual deberá defenderse. si el ataque está basado en el elemento afín de la gema usada, el escudo, objeto o zona no sufre daño alguno.</t>
  </si>
  <si>
    <t>Percibir la fantasia</t>
  </si>
  <si>
    <t>El hechicero proyecta una descarga de fantasia pura que deja atontada a los individuos con los que se cruza. Este conjuro obliga a cualquiera que se encuentre entre el hechicero y su punto de destino a superar una Resistencia Mágica para no quedar Fascinados durante una cantidad de asaltos igual a una décima parte del nivel de fallo.</t>
  </si>
  <si>
    <t>Área de fantasia</t>
  </si>
  <si>
    <t>El área designada por el hechicero se convierte en un lugar donde rezuma la fantasia, por lo que las capacidades sobrenaturales dentro se ven mejoradas enormemente. Aquellos dentro obtienen un +5 a su ACT al declarar conjuros, un +1 a una de sus acumulaciones de Ki y un +5 al Potencial Psiquico a una disciplina que dominen.</t>
  </si>
  <si>
    <t>El hechicero exhala una ola de alta temperatura a su alrededor, golpeando con ella los individuos cercanos. Este conjuro obliga a cualquiera dentro del área de efecto a superar un control de Resistencia Física contra el grado alcanzado si no quiere perder 2 Puntos de Cansancio y sufrir un penalizador a toda acción mental igual a la mitad del nivel de fallo. si el hechicero mantiene el conjuro, los individuos dentro del área pero que hayan superado el control tendrán que volver a intentarlo pasados cinco asaltos. Ola de calor es invisible para aquellos incapaces de ver la magia o que no tengan visión térmica.</t>
  </si>
  <si>
    <t>El hechicero crea un monstruo otoñal que lo protege frente a los ataques enemigos. El Espantapájaros extiende un aura terrorífica que obliga a todos aquellos que lo atacan a superar una Resistencia Psiquica contra 120 si no quieren quedar en el estado de Miedo por una cantidad de asaltos igual a una décima parte del nivel de fallo. si el fallo es igual o mayor a 60, el afectado sufrirá Terror en su lugar.
El Espantapájaros no es un escudo sobrenatural como tal, sino un constructo con Puntos Estructurales y una Barrera de daño determinada por el grado del conjuro. El Espantapájaros usa la Proyección Mágica del hechicero como Habilidad de Parada para cubrirlo de cualquier tipo de ataque, incluido de aquellos de naturaleza sobrenatural, sin penalizador alguno, aunque acumulará defensas adicionales con normalidad si lo protege en múltiples oportunidades. A diferencia de las Barreras de daño comunes, esta protege parcialmente al Espantapájaros de los ataques sobrenaturales; si su daño base es menor al de la Barrera, verán su daño final reducido a la mitad.</t>
  </si>
  <si>
    <t>El hechicero conecta su esencia con otro ser. Desde ese momento en adelante las heridas físicas, los penalizadores, el desangramiento y el cansancio se compartirá entre ambos, reduciendo a la mitad el padecimiento. Los beneficios también se comparten, como las curaciones o los descansos, si bien también se ven reducidas a la mitad. si lo desea, el hechicero puede cerrar su vínculo al resto (o el de una de las otras partes) para, temporalmente, no recibir los beneficios y perjuicios del conjuro.</t>
  </si>
  <si>
    <t>El hechicero conjura una guadaña espiritual que sega las almas de los individuos a su alrededor. Este conjuro se adueña de la salud de los individuos que golpea, reduciendo su reserva de Puntos de Vida. Los ataques de la guadaña que hagan perder PV a su objetivo reducen su reserva máxima en una cantidad equivalente, impidiendo al afectado regenerarlos. El portador de la guadaña puede aumentar sus propios Puntos de Vida en una cantidad igual a la mitad de los Puntos de Vida robados. Una vez que se deje de mantener el conjuro los Puntos de Vida extra desaparecen, y el afectado recupera su reserva máxima a un ritmo de 5 PV por minuto.
El hechicero usa su Proyección Mágica Ofensiva para atacar con la guadaña, aunque si tiene a su vez mantenido el conjuro Espantapájaros, el constructo puede usar la guadaña en su lugar, permitiéndole atacar con ella y regenerar sus Puntos Estructurales. si el que usa la guadaña es el constructo, el mantenimiento de Segador se reduce a la mitad.</t>
  </si>
  <si>
    <t>Voluntad superior</t>
  </si>
  <si>
    <t>Golpe bajo</t>
  </si>
  <si>
    <t>Señora del combate</t>
  </si>
  <si>
    <t>Comunicación del general</t>
  </si>
  <si>
    <t>Comandante</t>
  </si>
  <si>
    <t>El arte de la guerra</t>
  </si>
  <si>
    <t>Niebla de guerra</t>
  </si>
  <si>
    <t>Encarnación del combate</t>
  </si>
  <si>
    <t>Habilidades mejoradas</t>
  </si>
  <si>
    <t>&gt; VACÍO</t>
  </si>
  <si>
    <t>Puertas de la Muerte</t>
  </si>
  <si>
    <t>Desaparecer</t>
  </si>
  <si>
    <t>Absorción mística</t>
  </si>
  <si>
    <t>De otro mundo</t>
  </si>
  <si>
    <t>Fragmento abisal</t>
  </si>
  <si>
    <t>Movimiento de vacío</t>
  </si>
  <si>
    <t>Sombra del otro lado</t>
  </si>
  <si>
    <t>Portadora del vacío</t>
  </si>
  <si>
    <t>Lista de rituales específicos</t>
  </si>
  <si>
    <t>Grimorio de Invocaciones</t>
  </si>
  <si>
    <t>Un mes / Presencia 60 / 5 metros de radio</t>
  </si>
  <si>
    <t>Un año / Presencia 100 / 25 metros de radio</t>
  </si>
  <si>
    <t>Diez años / Presencia 150 / 100 metros de radio</t>
  </si>
  <si>
    <t>Cien años / Presencia 200 / 1 kilómetro de radio</t>
  </si>
  <si>
    <t>RM 140 / Roba hasta 50 puntos</t>
  </si>
  <si>
    <t>RM 180 / Roba hasta 100 puntos</t>
  </si>
  <si>
    <t>RM 240 / Roba hasta 150 puntos</t>
  </si>
  <si>
    <t>RM 260 / Roba hasta 200 puntos</t>
  </si>
  <si>
    <t>Ideas nimias u objetos con presencia menor a 100</t>
  </si>
  <si>
    <t>Ideas medias u objetos con presencia menor a 150</t>
  </si>
  <si>
    <t>Ideas grandes u objetos con presencia menor a 200</t>
  </si>
  <si>
    <t>Cualquier idea u objeto, sin importar su procedencia</t>
  </si>
  <si>
    <t>Fuerza 16 / Es posible presar a más de una persona en un área no mayor a 5 metros</t>
  </si>
  <si>
    <t>Fuerza 18 / Es posible presar a más de una persona en un área no mayor a 10 metros</t>
  </si>
  <si>
    <t>RM 140 / Hasta 10 personas</t>
  </si>
  <si>
    <t>RM 180 / Hasta 50 personas</t>
  </si>
  <si>
    <t>RM 240 / Hasta 100 personas</t>
  </si>
  <si>
    <t>RM 280 / Hasta 1.000 personas</t>
  </si>
  <si>
    <t>Ocultismo e Historia 80</t>
  </si>
  <si>
    <t>Ocultismo e Historia 120</t>
  </si>
  <si>
    <t>Ocultismo e Historia 140</t>
  </si>
  <si>
    <t>Ocultismo e Historia 160</t>
  </si>
  <si>
    <t>Hasta nivel 3</t>
  </si>
  <si>
    <t>Hasta nivel 5</t>
  </si>
  <si>
    <t>Hasta nivel 7</t>
  </si>
  <si>
    <t>Hasta nivel 9</t>
  </si>
  <si>
    <t>Artefactos de nivel 1</t>
  </si>
  <si>
    <t>Artefactos de nivel 2</t>
  </si>
  <si>
    <t>Artefactos de nivel 2+</t>
  </si>
  <si>
    <t>Artefactos de nivel 3</t>
  </si>
  <si>
    <t>RM 120 / 100 metros de radio</t>
  </si>
  <si>
    <t>RM 180 / 500 metros de radio</t>
  </si>
  <si>
    <t>El lanzador puede designar áreas específicas del mundo en las que modificar las estaciones, aunque en ningún caso puede solapar dos al mismo tiempo.</t>
  </si>
  <si>
    <t>El hechicero dobla el ACT que gana para los conjuros de la sub-vía afines a la estación en cuestión, si bien las contrarias ven su penalizador también duplicado.</t>
  </si>
  <si>
    <t>Los elementales cuya esencia sea afín a la estación (verano/fuego, primavera/tierra, otoño/aire, invierno/agua) obtienen un bono de +30 a toda acción mientras dure el conjuro.</t>
  </si>
  <si>
    <t>RM 120 / 50 metros de radio</t>
  </si>
  <si>
    <t xml:space="preserve"> RM 140 / 100 metros de radio</t>
  </si>
  <si>
    <t>RM 140 / 100 metros de radio</t>
  </si>
  <si>
    <t>RM 200 / 500 metros de radio</t>
  </si>
  <si>
    <t>Medicina y Herbolaria 80</t>
  </si>
  <si>
    <t>Medicina y Herbolaria 120</t>
  </si>
  <si>
    <t>Medicina y Herbolaria 140</t>
  </si>
  <si>
    <t>Medicina y Herbolaria 180</t>
  </si>
  <si>
    <t>Nivel máximo de 40 / +20 a la RE o RV</t>
  </si>
  <si>
    <t>Nivel máximo de 60 / +30 a la RE o RV</t>
  </si>
  <si>
    <t>Nivel máximo de 80 / +40 a la RE o RV</t>
  </si>
  <si>
    <t>Nivel máximo de 100 / +50 a la RE o RV</t>
  </si>
  <si>
    <t>50 Puntos de Vida</t>
  </si>
  <si>
    <t>150 Puntos de Vida</t>
  </si>
  <si>
    <t>200 Puntos de Vida</t>
  </si>
  <si>
    <t>400 Puntos de Vida</t>
  </si>
  <si>
    <t>RM 120 / Permite ver el porcentaje de Puntos de Vida</t>
  </si>
  <si>
    <t>RM 140 / Permite ver la cantidad de Puntos de Vida</t>
  </si>
  <si>
    <t>RM 160 / Permite ver la cantidad exacta de Cansancios</t>
  </si>
  <si>
    <t>RM 180 / Permite ver los puntos vulnerables</t>
  </si>
  <si>
    <t>+4 al Índice de Regeneración</t>
  </si>
  <si>
    <t>+6 al Índice de Regeneración</t>
  </si>
  <si>
    <t>+8 al Índice de Regeneración</t>
  </si>
  <si>
    <t>25 Puntos de Vida como escudo / 5 por asalto</t>
  </si>
  <si>
    <t>50 Puntos de Vida como escudo / 10 por asalto</t>
  </si>
  <si>
    <t>75 Puntos de Vida como escudo / 15 por asalto</t>
  </si>
  <si>
    <t>100 Puntos de Vida como escudo / 20 por asalto</t>
  </si>
  <si>
    <t>10 PV / 10 metros de radio</t>
  </si>
  <si>
    <t>20 PV / 25 metros de radio</t>
  </si>
  <si>
    <t>30 PV / 50 metros de radio</t>
  </si>
  <si>
    <t>40 PV / 100 metros de radio</t>
  </si>
  <si>
    <t>El afectado obtiene un bono de +60 a cualquier tirada que implique superar efectos de muerte automática.</t>
  </si>
  <si>
    <t>El afectado es inmune al daño físico, aunque seguirá pudiendo morir en el caso de que el hechizo termine antes de que sus heridas físicas sean curadas.</t>
  </si>
  <si>
    <t>Rastrear 80 / 50 kilómetros de radio</t>
  </si>
  <si>
    <t>Rastrear 120 / 250 kilómetros de radio</t>
  </si>
  <si>
    <t>Rastrear 140 / 500 kilómetros de radio</t>
  </si>
  <si>
    <t>Rastrear 180 / 1.000 kilómetros de radio</t>
  </si>
  <si>
    <t>RM 100 / El doble de velocidad</t>
  </si>
  <si>
    <t>RM 120 / El triple de velocidad</t>
  </si>
  <si>
    <t>RM 140 / El cuádruple de velocidad</t>
  </si>
  <si>
    <t>RM 180 / El quíntuple de velocidad</t>
  </si>
  <si>
    <t>100 RM / 10 metros de radio</t>
  </si>
  <si>
    <t>120 RM / 25 metros de radio</t>
  </si>
  <si>
    <t>140 RM / 50 metros de radio</t>
  </si>
  <si>
    <t>180 RM / 100 metros de radio</t>
  </si>
  <si>
    <t>Advertir contra Difícil / 10 metros de radio</t>
  </si>
  <si>
    <t>Advertir contra Muy Difícil / 25 metros de radio</t>
  </si>
  <si>
    <t>Advertir contra Absurdo / 50 metros de radio</t>
  </si>
  <si>
    <t>Advertir contra Casi Imposible / 100 metros de radio</t>
  </si>
  <si>
    <t>RM 120 / Hasta 5 m²</t>
  </si>
  <si>
    <t>RM 140 / Hasta 10 m²</t>
  </si>
  <si>
    <t>RM 180 / Hasta 25 m²</t>
  </si>
  <si>
    <t>RM 200 / Hasta 50 m²</t>
  </si>
  <si>
    <t>RF 140 / Radio de atracción de 50 metros</t>
  </si>
  <si>
    <t>RF 160 / Radio de atracción de 100 metros</t>
  </si>
  <si>
    <t>RF 180 / Radio de atracción de 250 metros</t>
  </si>
  <si>
    <t>RF 200 / Radio de atracción de 500 metros</t>
  </si>
  <si>
    <t>RM 120 / 2 puntos de acceso / 3 metros de alto y largo</t>
  </si>
  <si>
    <t>RM 140 / 5 puntos de acceso / 5 metros</t>
  </si>
  <si>
    <t>RM 160 / 10 puntos de acceso / 10 metros</t>
  </si>
  <si>
    <t>RM 200 / 25 puntos de acceso / 20 metros</t>
  </si>
  <si>
    <t>RF 240 / Área de 50 metros</t>
  </si>
  <si>
    <t>RF 180 / Área de 25 metros</t>
  </si>
  <si>
    <t>RF 120 / Área de 5 metros</t>
  </si>
  <si>
    <t>RF 100 / 500 metros de radio</t>
  </si>
  <si>
    <t>RF 120 / 1 kilómetro de radio</t>
  </si>
  <si>
    <t>RF 140 / 10 kilómetros de radio</t>
  </si>
  <si>
    <t>RF 180 / 100 kilómetros de radio</t>
  </si>
  <si>
    <t>Ley 40 / Cuestiones básicas, como penas comunes</t>
  </si>
  <si>
    <t>Ley 80 / Cuestiones intermedias, como la base de los procedimientos legales</t>
  </si>
  <si>
    <t>Ley 120 / Cuestiones avanzadas, como huecos legales o la estructura interna de los procesos</t>
  </si>
  <si>
    <t>Ley 180 / El lanzador conoce al pie de la letra las leyes del país en el que se encuentra</t>
  </si>
  <si>
    <t>Encuentra faltas de ortografía, expresiones que sobren o fallos generales en la formalidad del texto.</t>
  </si>
  <si>
    <t>Encuentra cláusulas ocultas, trampas o vacíos legales.</t>
  </si>
  <si>
    <t xml:space="preserve">Lo mismo que el anterior, pero el hechicero también puede saber cuándo se escribió el contrato. </t>
  </si>
  <si>
    <t>Lo mismo que el anterior, pero el hechicero puede saber quién fue el que escribió el contrato si éste no supera una Resistencia Mágica contra 140.</t>
  </si>
  <si>
    <t>RM 120 / 25 metros de radio</t>
  </si>
  <si>
    <t>RM 140 / 50 metros de radio</t>
  </si>
  <si>
    <t>+40 a Advertir</t>
  </si>
  <si>
    <t>+60 a Advertir</t>
  </si>
  <si>
    <t>+80 a Advertir</t>
  </si>
  <si>
    <t>+120 a Advertir</t>
  </si>
  <si>
    <t>RM 120 / Hasta 2 personas</t>
  </si>
  <si>
    <t>RM 140 / Hasta 5 personas</t>
  </si>
  <si>
    <t>RM 180 / Hasta 10 personas</t>
  </si>
  <si>
    <t>RM 200 / Hasta 20 personas</t>
  </si>
  <si>
    <t>RM 180 / 50 metros de radio</t>
  </si>
  <si>
    <t>RM 120 / Hasta 5 intensidades</t>
  </si>
  <si>
    <t>RM 140 / Hasta 10 intensidades</t>
  </si>
  <si>
    <t>RM 180 / Hasta 20 intensidades</t>
  </si>
  <si>
    <t>RM 200 / Hasta 25 intensidades</t>
  </si>
  <si>
    <t>RM 100 / Puede robar Puntos de Cansancio</t>
  </si>
  <si>
    <t>RM 120 / Puede robar Puntos de Ki</t>
  </si>
  <si>
    <t>RM 140 / Puede robar Puntos de Zeon</t>
  </si>
  <si>
    <t>RM 180 / Puede robar cualquier tipo de energía</t>
  </si>
  <si>
    <t>+1 al Tipo de Movimiento / +20 a todas las habilidades atléticas y al Turno</t>
  </si>
  <si>
    <t>+2 al Tipo de Movimiento / +30 a todas las habilidades atléticas y al Turno</t>
  </si>
  <si>
    <t>+3 al Tipo de Movimiento / +40 a todas las habilidades atléticas y al Turno</t>
  </si>
  <si>
    <t>+4 al Tipo de Movimiento / +50 a todas las habilidades atléticas y al Turno</t>
  </si>
  <si>
    <t>-20 Puntos de Zeon</t>
  </si>
  <si>
    <t>-40 Puntos de Zeon</t>
  </si>
  <si>
    <t>-60 Puntos de Zeon</t>
  </si>
  <si>
    <t>-80 Puntos de Zeon</t>
  </si>
  <si>
    <t>Hasta 20 Puntos de Zeon</t>
  </si>
  <si>
    <t>Hasta 40 Puntos de Zeon</t>
  </si>
  <si>
    <t>Hasta 80 Puntos de Zeon</t>
  </si>
  <si>
    <t>Hasta 120 Puntos de Zeon</t>
  </si>
  <si>
    <t>Daño 80 / 250 metros de radio / Proyección 240</t>
  </si>
  <si>
    <t>Daño 120 / 500 metros de radio / Proyección 280</t>
  </si>
  <si>
    <t>Daño 150 / 1 kilómetro de radio / Proyección 320</t>
  </si>
  <si>
    <t>Daño 200 / 10 kilómetros de radio / Proyección 440</t>
  </si>
  <si>
    <t>Afecta conjuros de grado Base</t>
  </si>
  <si>
    <t>Afecta conjuros de grado Intermedio</t>
  </si>
  <si>
    <t>Afecta conjuros de grado Avanzado</t>
  </si>
  <si>
    <t>Afecta conjuros de grado Arcano</t>
  </si>
  <si>
    <t>+10 a toda acción / +1 a sus características físicas y Poder</t>
  </si>
  <si>
    <t>+15 a toda acción / +1 a sus características físicas y Poder</t>
  </si>
  <si>
    <t>+20 a toda acción / +2 a sus características físicas y Poder</t>
  </si>
  <si>
    <t>+25 a toda acción / +2 a sus características físicas y Poder</t>
  </si>
  <si>
    <t>Táctica 80</t>
  </si>
  <si>
    <t>Táctica 120</t>
  </si>
  <si>
    <t>Táctica 140</t>
  </si>
  <si>
    <t>Táctica 180</t>
  </si>
  <si>
    <t>Daño base 40</t>
  </si>
  <si>
    <t>Daño base 60</t>
  </si>
  <si>
    <t>Daño base 80</t>
  </si>
  <si>
    <t>Daño base 100</t>
  </si>
  <si>
    <t>RM o RP 100 / 10 metros de radio</t>
  </si>
  <si>
    <t>RM o RP 120 / 25 metros de radio</t>
  </si>
  <si>
    <t>RM o RP 140 / 50 metros de radio</t>
  </si>
  <si>
    <t>RM o RP 180 / 100 metros de radio</t>
  </si>
  <si>
    <t>+20 a toda acción, +2 al Tipo de Movimiento, un aumento leve al Turno, una mejora leve a alguna habilidad sobrenatural...</t>
  </si>
  <si>
    <t>+1 ataques o defensas adicionales, +10 al ACT, un aumento intermedio al Turno, una mejora intermedia a alguna habilidad sobrenatural...</t>
  </si>
  <si>
    <t>Recuperar el Zeon del conjuro, +20 al potencial innato en el siguiente turno, un aumento avanzado al Turno, una reducción en el coste de técnicas de dominio, eliminar el penalizador por apuntado...</t>
  </si>
  <si>
    <t>Reducir a la mitad el Zeon del próximo conjuro, ganar un bono por situación, superar un control enfrentado automáticamente...</t>
  </si>
  <si>
    <t>Como en Base, pero el espíritu tiene 240 en las habilidades.</t>
  </si>
  <si>
    <t>Como en Intermedio, pero la presencia del espíritu niega las habilidades místicas, reduciendo en un grado cualquier conjuro que no pertenezca a la sub-vía de Apuestas.</t>
  </si>
  <si>
    <t>Como en Avanzado, pero la presencia del espíritu niega las habilidades místicas, reduciendo en dos grados cualquier conjuro que no pertenezca a la sub-vía de Apuestas.</t>
  </si>
  <si>
    <t>Conjuro en grado Base</t>
  </si>
  <si>
    <t>Conjuro en grado Intermedio</t>
  </si>
  <si>
    <t>Conjuro en grado Avanzado</t>
  </si>
  <si>
    <t>Conjuro en grado Arcano</t>
  </si>
  <si>
    <t>Además de los bonos a toda acción, el lanzador gana un +5 a su ACT por cada +10 a toda acción que posea por su racha.</t>
  </si>
  <si>
    <t>Además de los bonos a toda acción, el lanzador gana un +10 a su ACT por cada +10 a toda acción que posea por su racha.</t>
  </si>
  <si>
    <t>Si pierde, el lanzador puede salvar una vez su racha, manteniéndola en su valor anterior a haber perdido.</t>
  </si>
  <si>
    <t>La apuesta solo puede involucrar cosas directamente relacionadas con el lanzador y su contrincante, como objetos o capacidades físicas y anímicas.</t>
  </si>
  <si>
    <t>La apuesta puede involucrar también otros individuos relacionados con el lanzador y su contrincante, aunque no así las cosas que lleven encima.</t>
  </si>
  <si>
    <t>La apuesta puede involucrar las pertenencias de otras personas que estén relacionadas con el lanzador y su contrincante.</t>
  </si>
  <si>
    <t>La apuesta puede ser cualquier cosa posible, incluso cosas que trasciendan el período temporal actual, cono las propiedades futuras del lanzador o individuos que aún no han nacido. Si el personaje tiene control temporal de conceptos o cosas que no le pertenecen realmente  (como fuerzas físicas), también podrá apostarlos.</t>
  </si>
  <si>
    <t>Orfebrería 80</t>
  </si>
  <si>
    <t>Orfebrería 120</t>
  </si>
  <si>
    <t>Orfebrería 180</t>
  </si>
  <si>
    <t>Orfebrería 140</t>
  </si>
  <si>
    <t>Hasta 3 gemas / 25 de Zeon / 1 semana</t>
  </si>
  <si>
    <t>Hasta 5 gemas / 50 de Zeon / 1 mes</t>
  </si>
  <si>
    <t>Hasta 10 gemas / 75 de Zeon / 3 meses</t>
  </si>
  <si>
    <t>Hasta 50 gemas / 100 de Zeon / 6 meses</t>
  </si>
  <si>
    <t>RM 80 / Detecta gemas en un radio de 100 metros alrededor del lanzador.</t>
  </si>
  <si>
    <t>RM 100 / Detecta gemas y entidades sobrenaturales en un radio de 500 metros alrededor del lanzador.</t>
  </si>
  <si>
    <t>RM 120 / Detecta gemas, entidades sobrenaturales y contenedores de Zeon en un radio de 1 kilómetro alrededor del lanzador.</t>
  </si>
  <si>
    <t>750 PV</t>
  </si>
  <si>
    <t>1000 PV</t>
  </si>
  <si>
    <t>2000 PV</t>
  </si>
  <si>
    <t>Daño base 50 / Proyección Mágica 180</t>
  </si>
  <si>
    <t>Daño base 60 / Proyección Mágica 240</t>
  </si>
  <si>
    <t>Daño base 70 / Proyección Mágica 280</t>
  </si>
  <si>
    <t>Daño base 80 / Proyección Mágica 320</t>
  </si>
  <si>
    <t>Presencia 40 / Fuerza 12</t>
  </si>
  <si>
    <t>Presencia 60 / Fuerza 14</t>
  </si>
  <si>
    <t>Presencia 80 / Fuerza 16</t>
  </si>
  <si>
    <t>Presencia 100 / Fuerza 18</t>
  </si>
  <si>
    <t>El hechicero puede guardar el conjuro dentro de la gema para lanzarlo dentro de los próximos tres asaltos.</t>
  </si>
  <si>
    <t>Lo mismo que el anterior, pero aumenta el rango temporal a cinco asaltos.</t>
  </si>
  <si>
    <t>Lo mismo que el anterior, pero aumenta el rango temporal a diez asaltos.</t>
  </si>
  <si>
    <t>1 uso.</t>
  </si>
  <si>
    <t>2 usos.</t>
  </si>
  <si>
    <t>3 usos.</t>
  </si>
  <si>
    <t>5 usos.</t>
  </si>
  <si>
    <t>Daño base 100 / 3 asaltos / 100 metros de radio</t>
  </si>
  <si>
    <t>Daño base 150 / 4 asaltos / 500 metros de radio</t>
  </si>
  <si>
    <t>Daño base 300 / 7 asaltos / 10 kilómetros de radio</t>
  </si>
  <si>
    <t>750 PV / Habilidad de Ataque 200</t>
  </si>
  <si>
    <t>1.000 PV / Habilidad de Ataque 240</t>
  </si>
  <si>
    <t>Dobla la regeneración de Puntos de Vida para seres que no sean Naturales.</t>
  </si>
  <si>
    <t>Dobla la regeneración de puntos de Ki para seres que no sean Naturales.</t>
  </si>
  <si>
    <t>Dobla la regeneración de Zeon para seres que no sean Naturales.</t>
  </si>
  <si>
    <t>Presencia máxima 30 / Nivel 1.</t>
  </si>
  <si>
    <t>Presencia máxima 40 / Nivel 3.</t>
  </si>
  <si>
    <t>Presencia máxima 50 / Nivel 5.</t>
  </si>
  <si>
    <t>Presencia máxima 80 / Nivel 7.</t>
  </si>
  <si>
    <t>50 metros de radio / Permite afectar reglas físicas, como la gravedad o el electromagnetismo.</t>
  </si>
  <si>
    <t>75 metros de radio / Permite afectar reglas sobrenaturales, como modificar una zona estanca para que deje de serlo.</t>
  </si>
  <si>
    <t>100 metros de radio / Permite afectar reglas existenciales, como reducir o aumentar la Gnosis de los individuos hasta un máximo de 30.</t>
  </si>
  <si>
    <t>500 metros de radio / Lo mismo que la anterior, pero permite aumentar la Gnosis hasta un máximo de 40.</t>
  </si>
  <si>
    <t>El conjuro traspasa las posibles barreras sobrenaturales del mundo.</t>
  </si>
  <si>
    <t>El hechicero puede afectar otras leyendas en menor grado. Podría, por ejemplo, relacionar la propia a otras que ya existieran, o modificar las que existen para que la suya tuviera lugar en ellas.</t>
  </si>
  <si>
    <t>El conjuro afecta a entidades de Gnosis 45.</t>
  </si>
  <si>
    <t>+40 a RD y Frialdad cerca de Khalis durante 5 asaltos.</t>
  </si>
  <si>
    <t>Furia durante 5 asaltos sin control de Voluntad.</t>
  </si>
  <si>
    <t>Gana +2 a Fuerza, Constitución y Destreza y puede realizar acciones Inhumanas.</t>
  </si>
  <si>
    <t>Puede comunicar al personaje con sus subordinados, radio bono POD*10.</t>
  </si>
  <si>
    <t>Khalis obtiene +80 a Táctica y Rastrear.</t>
  </si>
  <si>
    <t>Khalis puede atacar y defenderse usando su Proyección. Daña energía.</t>
  </si>
  <si>
    <t xml:space="preserve">Proyecta un ataque que daña en la TA física (CON, FIL o PEN) más baja. </t>
  </si>
  <si>
    <t>Se transforma en un arma o armadura +5. Ataca en la TA de FIL, CON o PEN, es sobrenatural e irrompible.</t>
  </si>
  <si>
    <t>Mejoras_Guerra</t>
  </si>
  <si>
    <t>Mejoras_Vacío</t>
  </si>
  <si>
    <t>Mejoras_Nobleza</t>
  </si>
  <si>
    <t>Mejoras_Umbral</t>
  </si>
  <si>
    <t>Mejoras_Literae</t>
  </si>
  <si>
    <t>Mejoras_Conocimiento</t>
  </si>
  <si>
    <t>Mejoras_Sangre</t>
  </si>
  <si>
    <t>Mejoras_Tiempo</t>
  </si>
  <si>
    <t>Mejoras_Paz</t>
  </si>
  <si>
    <t>Mejoras_Sueños</t>
  </si>
  <si>
    <t>Mejoras_Muerte</t>
  </si>
  <si>
    <t>Mejoras_Caos</t>
  </si>
  <si>
    <t>Mejoras_Musical</t>
  </si>
  <si>
    <t>Mejoras_Pecado</t>
  </si>
  <si>
    <t>Mejoras_Olvido</t>
  </si>
  <si>
    <t>Mejoras_Curación</t>
  </si>
  <si>
    <t>Mejoras_Espacio</t>
  </si>
  <si>
    <t>Mejoras_Ley</t>
  </si>
  <si>
    <t>Mejoras_Energía</t>
  </si>
  <si>
    <t>Mejoras_Apuestas</t>
  </si>
  <si>
    <t>Mejoras_Gemas</t>
  </si>
  <si>
    <t>Mejoras_Fantasía</t>
  </si>
  <si>
    <t>Mejoras_Estaciones</t>
  </si>
  <si>
    <t>Stats_Guerra</t>
  </si>
  <si>
    <t>Stats_Vacío</t>
  </si>
  <si>
    <t>Stats_Nobleza</t>
  </si>
  <si>
    <t>Stats_Umbral</t>
  </si>
  <si>
    <t>Stats_Literae</t>
  </si>
  <si>
    <t>Stats_Conocimiento</t>
  </si>
  <si>
    <t>Stats_Sangre</t>
  </si>
  <si>
    <t>Stats_Tiempo</t>
  </si>
  <si>
    <t>Stats_Paz</t>
  </si>
  <si>
    <t>Stats_Sueños</t>
  </si>
  <si>
    <t>Stats_Muerte</t>
  </si>
  <si>
    <t>Stats_Caos</t>
  </si>
  <si>
    <t>Stats_Musical</t>
  </si>
  <si>
    <t>Stats_Pecado</t>
  </si>
  <si>
    <t>Stats_Olvido</t>
  </si>
  <si>
    <t>Stats_Curación</t>
  </si>
  <si>
    <t>Stats_Espacio</t>
  </si>
  <si>
    <t>Stats_Ley</t>
  </si>
  <si>
    <t>Stats_Energía</t>
  </si>
  <si>
    <t>Stats_Apuestas</t>
  </si>
  <si>
    <t>Stats_Gemas</t>
  </si>
  <si>
    <t>Stats_Fantasía</t>
  </si>
  <si>
    <t>Stats_Estaciones</t>
  </si>
  <si>
    <t>Poderes_Guerra</t>
  </si>
  <si>
    <t>Poderes_Vacío</t>
  </si>
  <si>
    <t>Poderes_Nobleza</t>
  </si>
  <si>
    <t>Poderes_Umbral</t>
  </si>
  <si>
    <t>Poderes_Literae</t>
  </si>
  <si>
    <t>Poderes_Conocimiento</t>
  </si>
  <si>
    <t>Poderes_Sangre</t>
  </si>
  <si>
    <t>Poderes_Tiempo</t>
  </si>
  <si>
    <t>Poderes_Paz</t>
  </si>
  <si>
    <t>Poderes_Sueños</t>
  </si>
  <si>
    <t>Poderes_Muerte</t>
  </si>
  <si>
    <t>Poderes_Caos</t>
  </si>
  <si>
    <t>Poderes_Musical</t>
  </si>
  <si>
    <t>Poderes_Pecado</t>
  </si>
  <si>
    <t>Poderes_Olvido</t>
  </si>
  <si>
    <t>Poderes_Curación</t>
  </si>
  <si>
    <t>Poderes_Espacio</t>
  </si>
  <si>
    <t>Poderes_Ley</t>
  </si>
  <si>
    <t>Poderes_Energía</t>
  </si>
  <si>
    <t>Poderes_Apuestas</t>
  </si>
  <si>
    <t>Poderes_Gemas</t>
  </si>
  <si>
    <t>Poderes_Fantasía</t>
  </si>
  <si>
    <t>Poderes_Estaciones</t>
  </si>
  <si>
    <t>Khalis</t>
  </si>
  <si>
    <t>Not</t>
  </si>
  <si>
    <t>Sélides</t>
  </si>
  <si>
    <t>Sophia</t>
  </si>
  <si>
    <t>Sanna</t>
  </si>
  <si>
    <t>Tawii</t>
  </si>
  <si>
    <t>Serenitas</t>
  </si>
  <si>
    <t>Niorun</t>
  </si>
  <si>
    <t>Styx</t>
  </si>
  <si>
    <t>Fortuna</t>
  </si>
  <si>
    <t>Robin</t>
  </si>
  <si>
    <t>Paimon</t>
  </si>
  <si>
    <t>Vanis</t>
  </si>
  <si>
    <t>Thrish</t>
  </si>
  <si>
    <t>Arkhé</t>
  </si>
  <si>
    <t>Viktoria</t>
  </si>
  <si>
    <t>Geia</t>
  </si>
  <si>
    <t>Celes</t>
  </si>
  <si>
    <t>Genma</t>
  </si>
  <si>
    <t>Maharu</t>
  </si>
  <si>
    <t>Eris</t>
  </si>
  <si>
    <t>Phobia</t>
  </si>
  <si>
    <t>Acorazado</t>
  </si>
  <si>
    <t>Tiene 3 puntos en todas las TA</t>
  </si>
  <si>
    <t>Ojos del vacío</t>
  </si>
  <si>
    <t>Salto dimensional</t>
  </si>
  <si>
    <t>Belleza absoluta</t>
  </si>
  <si>
    <t>Tiene la ventaja Encanto y Apariencia 10.</t>
  </si>
  <si>
    <t>Puede defenderse como si su Proyección fuera Esquiva.</t>
  </si>
  <si>
    <t>Reduce Ceguera Total a Parcial y pueden ver espíritus.</t>
  </si>
  <si>
    <t>Alta alcurnia</t>
  </si>
  <si>
    <t>Conoce y domina todos los protocolos de etiqueta del mundo.</t>
  </si>
  <si>
    <t>Ojos de la locura</t>
  </si>
  <si>
    <t>Ve a través de terceros. RM 120 para resistirse.</t>
  </si>
  <si>
    <t>Grimorio portátil</t>
  </si>
  <si>
    <t>Rápida como el papel</t>
  </si>
  <si>
    <t>Superfragilidad</t>
  </si>
  <si>
    <t>Su señor puede escribir en ella. Si se escribe un conjuro, Sélides puede usarlo.</t>
  </si>
  <si>
    <t>Puede defenderse como si su Proyección fuera Esquiva. Transporta bono de POD en metros</t>
  </si>
  <si>
    <t>Recibe daño doble de agua o fuego y la mitad de aire o tierra.</t>
  </si>
  <si>
    <t>Ojos del conocimiento</t>
  </si>
  <si>
    <t>Tiene visión gnóstica y gana un +20 a la RM y RP contra efectos ilusorios.</t>
  </si>
  <si>
    <t>Cuerpo maleable</t>
  </si>
  <si>
    <t>Los ataques en FIL o PEN no basados en energía no le hacen daño.</t>
  </si>
  <si>
    <t>Vínculo vital</t>
  </si>
  <si>
    <t>Los conjuros de sangre y curaciones afectan a su señor y a ella a la vez.</t>
  </si>
  <si>
    <t>Reduce a la mitad el penalizador de Sorpresa.</t>
  </si>
  <si>
    <t>Observar el tiempo</t>
  </si>
  <si>
    <t>En 25 m, RM 100 o nadie podrá realizar acciones hostiles. Aplica conjuros por contacto a cualquiera en el área.</t>
  </si>
  <si>
    <t>Si su señor es violento, aplica penalizadores a la acción.</t>
  </si>
  <si>
    <t>Vulnerable a lo hostil</t>
  </si>
  <si>
    <t>Aura de serenidad</t>
  </si>
  <si>
    <t>Entre realidades</t>
  </si>
  <si>
    <t>Puede moverse entre la Vigilia y el mundo real como una acción activa.</t>
  </si>
  <si>
    <t>Cambio entre dos estados: Sueños y Pesadillas.</t>
  </si>
  <si>
    <t>En la Vigilia obtiene un +10 a su ACT siempre que esté en su zona afín.</t>
  </si>
  <si>
    <t>Experta funeraria</t>
  </si>
  <si>
    <t>Aes Sedai</t>
  </si>
  <si>
    <t>Usa el teorema Tejer la Realidad.</t>
  </si>
  <si>
    <t>Los conjuros de Muerte duran el doble de tiempo.</t>
  </si>
  <si>
    <t>Indeterminación</t>
  </si>
  <si>
    <t>Puede cambiar su esencia para parecerse a cualquier otra Sheele.</t>
  </si>
  <si>
    <t>Pitch perfecto</t>
  </si>
  <si>
    <t>La increíble minipartitura de Robin</t>
  </si>
  <si>
    <t>No aplica el penalizador de Ceguera al defenderse.</t>
  </si>
  <si>
    <t>Bonos variables dependiendo de la clave que use. Ver</t>
  </si>
  <si>
    <t>Hija de Lilith</t>
  </si>
  <si>
    <t>Repudio eclesiástico</t>
  </si>
  <si>
    <t>Cuenta como un ser maligno ante detecciones y cosas sagradas.</t>
  </si>
  <si>
    <t>Puede ocultarse como humana, +50 a su RM al ocultar su naturaleza.</t>
  </si>
  <si>
    <t>Pensamiento vacuo</t>
  </si>
  <si>
    <t>Se defiende con un escudo sobrenatural con infinitos PV.</t>
  </si>
  <si>
    <t>Equipo completo</t>
  </si>
  <si>
    <t>Posee el equipo de mejor calidad al usar Medicina o Herbolaria.</t>
  </si>
  <si>
    <t>Vara de medir</t>
  </si>
  <si>
    <t>Conoce distancias. Usa su Proyección como Esquiva y puede realizar una traslación con un objeto cercano.</t>
  </si>
  <si>
    <t>Conoce las leyes del lugar en el que se encuentra.</t>
  </si>
  <si>
    <t>Lady Legisladora</t>
  </si>
  <si>
    <t>Atleta celestial</t>
  </si>
  <si>
    <t>Se considera incansable y no puede sufrir fatiga.</t>
  </si>
  <si>
    <t>Permite usar Atletismo mientras vuela.</t>
  </si>
  <si>
    <t>Las vueltas de la vida</t>
  </si>
  <si>
    <t>La apostadora definitiva</t>
  </si>
  <si>
    <t>Bonos al ACT y la Proyección por racha de victorias. Ver</t>
  </si>
  <si>
    <t>Conoce todos los juegos de azar y tipos de apuesta que existen.</t>
  </si>
  <si>
    <t>El saber fantástico</t>
  </si>
  <si>
    <t>Los cuentos más allá</t>
  </si>
  <si>
    <t>Es consciente de la cuarta pared.</t>
  </si>
  <si>
    <t>Incrementa en un grado cualquier control de Fábula que ella o su maestro haga.</t>
  </si>
  <si>
    <t>Transmutación estacional</t>
  </si>
  <si>
    <t>Bonos variables dependiendo de la estación. Ver</t>
  </si>
  <si>
    <t>Naturaleza mineral</t>
  </si>
  <si>
    <t>Cuerpo de diamante</t>
  </si>
  <si>
    <t>Posee una barrera de daño 60 y TA 3 contra cualquier ataque.</t>
  </si>
  <si>
    <t>Se considera un elemental de tierra, puede ver objetos de gran presencia tras paredes.</t>
  </si>
  <si>
    <t>Proyecta un ataque en área de 25 metros. Tiene un daño 60, se considera disparado y reduce en 2 la TA.</t>
  </si>
  <si>
    <t>Se elige un objeto, que debe superar una RM 120 para no desaparecer. Solo una vez por objeto.</t>
  </si>
  <si>
    <t>Otorga una décima parte del Zeon de los conjuros defendidos a su maestro.</t>
  </si>
  <si>
    <t>Otorga ver espíritus y una reducción de las TA enemigas de la mitad a cualquiera que la esté tocando.</t>
  </si>
  <si>
    <t>El objetivo gana +3 a la TA y solo puede ser dañado por ataques basados en energía.</t>
  </si>
  <si>
    <t>Aumenta el rango de Salto Dimensional a 50 metros.</t>
  </si>
  <si>
    <t>RM 120 en un radio de 10 metros o los conjuros mantenidos pierden Zeon a razón del fallo.</t>
  </si>
  <si>
    <t>+2 a Voluntad y a Poder.</t>
  </si>
  <si>
    <t>Abre un portal que transporta a cualquiera hasta 1 kilómetro.</t>
  </si>
  <si>
    <t>150 (30*asalto)</t>
  </si>
  <si>
    <t>25*asalto</t>
  </si>
  <si>
    <t>Cualquiera que esté tocando a la Sheele obtiene las ventajas de Belleza absoluta.</t>
  </si>
  <si>
    <t>Embellecer</t>
  </si>
  <si>
    <t>Supera de inmediato controles de Persuasión, Estilo o Liderazgo. Una vez por día.</t>
  </si>
  <si>
    <t>100 (10*hora)</t>
  </si>
  <si>
    <t>Modifica su apariencia. No cambia su esencia ante detecciones.</t>
  </si>
  <si>
    <t>RM 120 o el afectado acatará una orden inconsciente.</t>
  </si>
  <si>
    <t>Supera de inmediato cualquier control contra individuos tres niveles por debajo.</t>
  </si>
  <si>
    <t>Superioridad de clase</t>
  </si>
  <si>
    <t>Nobleza obliga</t>
  </si>
  <si>
    <t>Sugestión</t>
  </si>
  <si>
    <t>Afinidad artística</t>
  </si>
  <si>
    <t>RM 140 o el afectado será considerado un paria durante una hora por cada punto de fallo.</t>
  </si>
  <si>
    <t>RM 120 en 10 metros de radio o los afectados quedarán fascinados por tantos asaltos como una décima parte del fallo.</t>
  </si>
  <si>
    <t>Se convierte en ropa +5 que otorga TA 2 contra cualquier ataque.</t>
  </si>
  <si>
    <t>Capa impoluta</t>
  </si>
  <si>
    <t>Foco de atención</t>
  </si>
  <si>
    <t>Corona de laureles</t>
  </si>
  <si>
    <t>Esconderse en la mente</t>
  </si>
  <si>
    <t>La espada negra</t>
  </si>
  <si>
    <t>Visible ante lo corrupto</t>
  </si>
  <si>
    <t>Cadenas memoriales</t>
  </si>
  <si>
    <t>Rompementes</t>
  </si>
  <si>
    <t>Imbuida con el miedo</t>
  </si>
  <si>
    <t>Susurro del otro lado</t>
  </si>
  <si>
    <t>Forma del miedo</t>
  </si>
  <si>
    <t>Espada de papel</t>
  </si>
  <si>
    <t>Lentes de descanso</t>
  </si>
  <si>
    <t>El Jardín de las Palabras</t>
  </si>
  <si>
    <t>Policial (género)</t>
  </si>
  <si>
    <t>Poesía (género)</t>
  </si>
  <si>
    <t>Drama (género)</t>
  </si>
  <si>
    <t>Romance (género)</t>
  </si>
  <si>
    <t>Épica (género)</t>
  </si>
  <si>
    <t>Amante de la literatura</t>
  </si>
  <si>
    <t>Análisis científico</t>
  </si>
  <si>
    <t>Observar la verdad</t>
  </si>
  <si>
    <t>Enciclopedia [Trivial: Superado]</t>
  </si>
  <si>
    <t>Cerebro galaxia</t>
  </si>
  <si>
    <t>Superioridad intelectual</t>
  </si>
  <si>
    <t>Escudo cerebral</t>
  </si>
  <si>
    <t>Crear matrices</t>
  </si>
  <si>
    <t>El cosmos en la palma de la mano</t>
  </si>
  <si>
    <t>Cerrar herida</t>
  </si>
  <si>
    <t>Manipular</t>
  </si>
  <si>
    <t>Espinas de acero</t>
  </si>
  <si>
    <t>Plasma</t>
  </si>
  <si>
    <t>Ojos sangrientos</t>
  </si>
  <si>
    <t>Esencia maleable</t>
  </si>
  <si>
    <t>Maestra anatómica</t>
  </si>
  <si>
    <t>Distorsión</t>
  </si>
  <si>
    <t>Volver atrás</t>
  </si>
  <si>
    <t>La Hora Oscura</t>
  </si>
  <si>
    <t>Explosión cronoquinética</t>
  </si>
  <si>
    <t>Truncar el tiempo</t>
  </si>
  <si>
    <t>Cronoevolución</t>
  </si>
  <si>
    <t>Escudo temporal.</t>
  </si>
  <si>
    <t>Recuperar el tiempo</t>
  </si>
  <si>
    <t>No pasarás</t>
  </si>
  <si>
    <t>Paz psicológica</t>
  </si>
  <si>
    <t>Defensa impenetrable</t>
  </si>
  <si>
    <t>Yo te cubro</t>
  </si>
  <si>
    <t>Invulnerabilidad diplomática</t>
  </si>
  <si>
    <t>Intermediario</t>
  </si>
  <si>
    <t>Paz interior</t>
  </si>
  <si>
    <t>Dualidad onírica</t>
  </si>
  <si>
    <t>Soñadora</t>
  </si>
  <si>
    <t>Escudo onírico</t>
  </si>
  <si>
    <t>Letargo</t>
  </si>
  <si>
    <t>Giros del destino</t>
  </si>
  <si>
    <t>Carpe diem</t>
  </si>
  <si>
    <t>Memento mori</t>
  </si>
  <si>
    <t>Ojos del Segador</t>
  </si>
  <si>
    <t>Provocar enfermedad</t>
  </si>
  <si>
    <t>Mano de Muerte</t>
  </si>
  <si>
    <t>Esencia necrótica</t>
  </si>
  <si>
    <t>Aleatorizar velocidad</t>
  </si>
  <si>
    <t>Dejarse llevar</t>
  </si>
  <si>
    <t>Engañar al destino</t>
  </si>
  <si>
    <t>Esencia truncada</t>
  </si>
  <si>
    <t>Caos orquestado</t>
  </si>
  <si>
    <t>Mente caótica</t>
  </si>
  <si>
    <t>Supersónico</t>
  </si>
  <si>
    <t>&gt; MUSICAL</t>
  </si>
  <si>
    <t>Alma musical</t>
  </si>
  <si>
    <t>Orquesta del errante</t>
  </si>
  <si>
    <t>Mi voz hacia el infinito</t>
  </si>
  <si>
    <t>Fluir con el ritmo</t>
  </si>
  <si>
    <t>Ópera</t>
  </si>
  <si>
    <t>Tablatura</t>
  </si>
  <si>
    <t>Clave neutra</t>
  </si>
  <si>
    <t>Catedral del pecado</t>
  </si>
  <si>
    <t>Súcubo</t>
  </si>
  <si>
    <t>Llamas infernales</t>
  </si>
  <si>
    <t>Garras del averno</t>
  </si>
  <si>
    <t>Pecado mortal</t>
  </si>
  <si>
    <t>Ojos del pecado</t>
  </si>
  <si>
    <t>Toque corrupto</t>
  </si>
  <si>
    <t>Esencia de maldad</t>
  </si>
  <si>
    <t>Contrato demoníaco</t>
  </si>
  <si>
    <t>La faceta del olvido</t>
  </si>
  <si>
    <t>Un impostor entre nosotros</t>
  </si>
  <si>
    <t>Aspiradora de vacío</t>
  </si>
  <si>
    <t>Robar conocimientos</t>
  </si>
  <si>
    <t>Vaciar la mente</t>
  </si>
  <si>
    <t>Anular</t>
  </si>
  <si>
    <t>Destruir emociones</t>
  </si>
  <si>
    <t>Estirpe del olvido</t>
  </si>
  <si>
    <t>Atisbo de memoria</t>
  </si>
  <si>
    <t>Reforzar espíritu</t>
  </si>
  <si>
    <t>Al rescate</t>
  </si>
  <si>
    <t>Manto de vida</t>
  </si>
  <si>
    <t>Extensión vital</t>
  </si>
  <si>
    <t>Especializada en salvar</t>
  </si>
  <si>
    <t>Fijar al mundo</t>
  </si>
  <si>
    <t>Precisión de cirujano</t>
  </si>
  <si>
    <t>Médica experta</t>
  </si>
  <si>
    <t>Vectores en descanso</t>
  </si>
  <si>
    <t>Área especializada</t>
  </si>
  <si>
    <t>Atajo</t>
  </si>
  <si>
    <t>Potenciar</t>
  </si>
  <si>
    <t>Punto Espacial</t>
  </si>
  <si>
    <t>Entendimiento del entorno</t>
  </si>
  <si>
    <t>Señora del espacio</t>
  </si>
  <si>
    <t>La mejor arquitecta</t>
  </si>
  <si>
    <t>Ojos de la verdad</t>
  </si>
  <si>
    <t>Vigilar y castigar</t>
  </si>
  <si>
    <t>Escrito en piedra</t>
  </si>
  <si>
    <t>Obligación jurídica</t>
  </si>
  <si>
    <t>Abolir</t>
  </si>
  <si>
    <t>Presunción de inocencia</t>
  </si>
  <si>
    <t>Acta judicial</t>
  </si>
  <si>
    <t>Vacío legal</t>
  </si>
  <si>
    <t>It's all good, man!</t>
  </si>
  <si>
    <t>Descanso corto</t>
  </si>
  <si>
    <t>Darlo todo</t>
  </si>
  <si>
    <t>Estamina incrementada</t>
  </si>
  <si>
    <t>Vuelo magistral</t>
  </si>
  <si>
    <t>Generador perpetuo</t>
  </si>
  <si>
    <t>Tan viva como el fuego</t>
  </si>
  <si>
    <t>Cataclismo energético</t>
  </si>
  <si>
    <t>Batería baja</t>
  </si>
  <si>
    <t>Atleta estrella</t>
  </si>
  <si>
    <t>Cartas en mano</t>
  </si>
  <si>
    <t>De pity en pity</t>
  </si>
  <si>
    <t>Mentirosa compulsiva</t>
  </si>
  <si>
    <t>Elige una carta</t>
  </si>
  <si>
    <t>Crupier</t>
  </si>
  <si>
    <t>Dados trucados</t>
  </si>
  <si>
    <t>Bajo la manga</t>
  </si>
  <si>
    <t>As de los juegos</t>
  </si>
  <si>
    <t>Ruleta rusa</t>
  </si>
  <si>
    <t>La mejor compañera de viaje</t>
  </si>
  <si>
    <t>Vincular</t>
  </si>
  <si>
    <t>Estructura cristalina</t>
  </si>
  <si>
    <t>Estalagmitas cristalizadas</t>
  </si>
  <si>
    <t>Refuerzo geológico</t>
  </si>
  <si>
    <t>Artesanía</t>
  </si>
  <si>
    <t>Apacible bajo tierra</t>
  </si>
  <si>
    <t>Heraldo de lo fantástico</t>
  </si>
  <si>
    <t>Atracción sobrenatural</t>
  </si>
  <si>
    <t>Falsa encarnación</t>
  </si>
  <si>
    <t>Detección mística</t>
  </si>
  <si>
    <t>Paisaje ideal</t>
  </si>
  <si>
    <t>Influir en la realidad</t>
  </si>
  <si>
    <t>Conocer lo sobrenatural</t>
  </si>
  <si>
    <t>Percepción expandida</t>
  </si>
  <si>
    <t>Ascensión fantástica</t>
  </si>
  <si>
    <t>Estación dual</t>
  </si>
  <si>
    <t>Tormenta primaveral</t>
  </si>
  <si>
    <t>Espíritu del verano</t>
  </si>
  <si>
    <t>Hojas al caer</t>
  </si>
  <si>
    <t>Entendimiento racial</t>
  </si>
  <si>
    <t>Estancar</t>
  </si>
  <si>
    <t>Señora de las Estaciones</t>
  </si>
  <si>
    <t>Conocimiento estacional</t>
  </si>
  <si>
    <t>Vuelve inmune a RP al que esté en contacto. El afectado pierde 5 puntos de SM por asalto mientras esté activa.</t>
  </si>
  <si>
    <t>Puede hablar telepáticamente con su señor sin importar la distancia, así como con cualquiera que ella conozca con alguna enfermedad mental.</t>
  </si>
  <si>
    <t>Realiza un ataque anímico que no hace daño pero reduce la SM en una cantidad igual al daño realizado.</t>
  </si>
  <si>
    <t>Solo es visible ante niños pequeños, gatos o enfermos mentales.</t>
  </si>
  <si>
    <t>Realiza un ataque anímico. RP 140 o el afectado reduce su RP en una cantidad igual a la mitad del nivel de fallo.</t>
  </si>
  <si>
    <t>El afectado deberá superar una RP 140 para no tener Miedo, o Terror si no la supera por 60, durante asaltos igual a una décima parte del fallo.</t>
  </si>
  <si>
    <t>+20 a su ACT y a su Proyección al lanzar conjuros de Umbral. Si está en contacto, su maestro gana la mitad de este bono para cualquier conjuro.</t>
  </si>
  <si>
    <t>Reduce la VOL de su maestro en 1 y su reserva de SM en 50. Siempre que se mantenga en contacto obtendrá un +2 a su INT y un +40 a todas las creativas.</t>
  </si>
  <si>
    <t>Proyecta un ataque anímico con RP 140. El afectado pierde 1 punto de VOL por cada 10 en el nivel de fallo. La pérdida es temporal, y los puntos se regeneran a 1 por día.</t>
  </si>
  <si>
    <t>Ataca con su Proyección Mágica más 50. Reduce en 2 las TA y ataca en FIL. Todos sus golpes causan desangramiento. Puede contraatacar.</t>
  </si>
  <si>
    <t>+40 a todas sus habilidades perceptivas y puede ver espíritus. Si le presta los lentes a su señor él obtendrá los bonos en su lugar.</t>
  </si>
  <si>
    <t>De usar una habilidad de “género”, reduce a la mitad su coste de lanzamiento y mantenimiento. Si desean crear una ficha usando Secundario, tiene un nivel por encima.</t>
  </si>
  <si>
    <t>250 (POD)</t>
  </si>
  <si>
    <t>El afectado recib un +40 a sus perceptivas y visión radial.</t>
  </si>
  <si>
    <t>200 (10)</t>
  </si>
  <si>
    <t>El afectado obtiene +20 a su HD y puede tocar energía.</t>
  </si>
  <si>
    <t>El objetivo recibe 10 puntos más de daño y reduce en 1 todas sus TA.</t>
  </si>
  <si>
    <t>150 (15)</t>
  </si>
  <si>
    <t>Elige dos personas. RM 140 o quedan Fascinadas la una por la otra.</t>
  </si>
  <si>
    <t>El objetivo gana un +10 a su daño base, puede tocar energía y gana un +60 a Liderazgo. Además se considera Entre Mundos.</t>
  </si>
  <si>
    <t>Aumenta en un grado el bono de ayuda en una investigación.</t>
  </si>
  <si>
    <t>En un área de 500 metros, ambos tienen visión extrasensorial.</t>
  </si>
  <si>
    <t>200 (20)</t>
  </si>
  <si>
    <t>Tanto ella como su señor ganan un +30 para persuadir, agradar o abrumar a alguien mediante datos o curiosidades.</t>
  </si>
  <si>
    <t>Aumenta a +40 los bonos a la RM y RP de Ojos del conocimiento y puede obligar a cualquiera que la esté viendo a superar una RM 120 o sabrá su nombre verdadero.</t>
  </si>
  <si>
    <t>Ella o su señor obtienen un bono de +60 a una habilidad secundaria de conocimiento. No puede usarse para realizar acciones que requieran el paso del tiempo.</t>
  </si>
  <si>
    <t>Puede repetir un control de secundarias de conocimiento que su señor haya fallado, aplicando un +20.</t>
  </si>
  <si>
    <t>+20 a RP para defenderse de efectos que jueguen con la mente. Si está en contacto su señor este puede aprovecharse del bono gastando Zeon.</t>
  </si>
  <si>
    <t>Puede lanzar un poder psíquico de nivel 1 o 2. Solo puede usarse una vez por minuto.</t>
  </si>
  <si>
    <t>100/200</t>
  </si>
  <si>
    <t>RP 140 o el objetivo queda atontado durante un asalto y obtiene un -80 a acciones anímicas. Dura una cantidad de asaltos igual a una décima parte del fallo.</t>
  </si>
  <si>
    <t>Cura los PV de un tercero usando sus propios PV, a un ratio de 2 puntos curados por cada 1 punto gastado.</t>
  </si>
  <si>
    <t>Realiza un ataque anímico. RF 140 o el afectado pasará a estar bajo su control por tantos asaltos como la décima parte del fallo.</t>
  </si>
  <si>
    <t xml:space="preserve">Realiza un ataque anímico. RF 120 o sufrirá un daño automático igual al fallo. No hay TA que proteja contra esta habilidad. </t>
  </si>
  <si>
    <t>+20 a su RV Y RE. Mantenimiento por día.</t>
  </si>
  <si>
    <t>20 (20)</t>
  </si>
  <si>
    <t>El personaje reduce su reserva de PV para crear armadura, +1 TA por cada 10 PV, hasta +6. No cuenta como capa adicional, se deshace a voluntad.</t>
  </si>
  <si>
    <t>Puede ver el porcentaje de PV de la gente que no supere una RM 140. Gastando Zeon ve la cantidad específica.</t>
  </si>
  <si>
    <t>Cada golpe le recupera un cuarto del daño causado. Cuenta como una curación.</t>
  </si>
  <si>
    <t>Puede usar su Proyección Mágica como Esquiva.</t>
  </si>
  <si>
    <t>+60 a Herbolaria y Medicina.</t>
  </si>
  <si>
    <t>El objetivo aumenta o disminuye en 2 su TM. De negarse, RM 120.</t>
  </si>
  <si>
    <t>Permite repetir una tirada sustituyendo el resultado original por el nuevo, siempre que estén en contacto. No puede sustituir pifias.</t>
  </si>
  <si>
    <t>Añade una hora adicional al día. El mundo transcurre igual, pero ni ella ni su señor podrán interactuar con las personas (sí con objetos). Esta “hora extra” tiene lugar luego de las doce de la noche.</t>
  </si>
  <si>
    <t>Proyecta un ataque con su Proyección más 50. Tiene un radio de 10 metros y aplica Parálisis total si no se supera una RF 140.</t>
  </si>
  <si>
    <t>Permite lanzar dos veces el dado en cualquier control, para luego elegir el resultado que más les convenga. Solo puede usarse una vez por día.</t>
  </si>
  <si>
    <t>Otorga al señor un +50 al Turno y un +20 a toda acción durante cinco asaltos. Luego aplicará un -25 a su Turno y un -10 a toda acción por el mismo tiempo.</t>
  </si>
  <si>
    <t>+2 a Inteligencia y +10 al ACT. Puede saber la hora exacta en cualquier momento.</t>
  </si>
  <si>
    <t>Si detiene un ataque, el adversario debe superar una RM 100 o quedará paralizado en el lugar y no podrá seguir realizando acciones activas por el resto del turno, aplicando Parálisis parcial.</t>
  </si>
  <si>
    <t>100 c/def</t>
  </si>
  <si>
    <t>Permite, en subida de nivel, re-invertir una cantidad de PD igual a la mitad de la presencia que su señor haya gastado en niveles anteriores.</t>
  </si>
  <si>
    <t>Ella y su señor reducen en 20 el daño base de los ataques que reciban. Puede reducir el bono a la mitad, pero aplicarlo a todos dentro de Aura de serenidad.</t>
  </si>
  <si>
    <t>Cualquiera que en contacto deja de estar afectado por cualquier estado mental perjudicial. Si fue inducido por un tercero, este puede superar una RM 140 para mantener el efecto.</t>
  </si>
  <si>
    <t>Recupera SM igual a la presencia del señor. Durante las horas siguientes reducirán en 3 la dificultad de cualquier control de Shock y ganarán un +20 a Frialdad. Una vez por día.</t>
  </si>
  <si>
    <t>Permite  proteger a otros incluso si todaví no es su turno, siempre que el individuo se encuentre dentro de Aura de serenidad.</t>
  </si>
  <si>
    <t>Aquel en contacto dobla el bono de Defensa Total.</t>
  </si>
  <si>
    <t>El señor aplica la mitad del penalizador al cubrir o apartar a otros. Gastando Zeon, el penalizador desaparece.</t>
  </si>
  <si>
    <t>RM 140 o aquellos dentro del Aura no podrán realizar acciones hostiles.</t>
  </si>
  <si>
    <t>Si su señor decide meditar para recuperar Zeon, dobla el bono de Voluntad.</t>
  </si>
  <si>
    <t>Pesadillas</t>
  </si>
  <si>
    <t>La Sheele deja de poder cambiar de forma, usar su forma de alma o sus mejoras. A cambio reduce a la mitad su coste de mantenimiento y lanza conjuros Sueño con un grado por encima.</t>
  </si>
  <si>
    <t>Gana un escudo de PV infinitos. Al defenderse, puede aplicar cualquier efecto de sus mejoras como automático.</t>
  </si>
  <si>
    <t>+40 a la habilidad de Ocultismo. Permite a su señor tener sueños en donde ve el futuro.</t>
  </si>
  <si>
    <t>Niorun pasa a tener dos formas de alma, aunque activar cualquiera de las dos cuesta 300 puntos de Zeon en lugar de 150.</t>
  </si>
  <si>
    <t>150 (10)</t>
  </si>
  <si>
    <t>Su señor se considera un no muerto si están en contacto. Gana ventajas, no desventajas.</t>
  </si>
  <si>
    <t>10/min</t>
  </si>
  <si>
    <t>En 10 metros, +40 a resistencias contra muerte automática.</t>
  </si>
  <si>
    <t>Mejora los Puntos de Destino. Ver</t>
  </si>
  <si>
    <t>Proyecta un ataque anímico que provoca un crítico automático.</t>
  </si>
  <si>
    <t>Observa las fechas de muerte natural de la gente a su alrededor.</t>
  </si>
  <si>
    <t>Conjura una plaga. Ver</t>
  </si>
  <si>
    <t>+40 a cualquier crítico realizado por su señor. 10 PV por cada asalto que se mantenga.</t>
  </si>
  <si>
    <t>10 PV/asalto</t>
  </si>
  <si>
    <t>+60 a Ocultismo (Ritos funerarios) y +2 a Poder.</t>
  </si>
  <si>
    <t>Observa lo que sucedió con un cadáver antes de que muriera. No puede usarse más de una vez sobre un mismo cuerpo.</t>
  </si>
  <si>
    <t>Mezcla el turno de todos a 50 metros. Debe de declararse antes de realizar las tiradas de iniciativa.</t>
  </si>
  <si>
    <t>10/def</t>
  </si>
  <si>
    <t>Permite a ella o a quien esté en contacto utilizar la Proyección Mágica como HE o HP, según convenga.</t>
  </si>
  <si>
    <t>Proyecta un ataque anímico. RM 120 o reducirá en 5 su rango de abierta y aumentará en 2 el de pifia. Ella y su señor verán su rango de abierta aumentado en 5 y el de pifia reducido en 2. Dura asaltos igual al fallo.</t>
  </si>
  <si>
    <t>Su señor se comporta con 5 puntos de Gnosis adicionales. No afecta su Natura.</t>
  </si>
  <si>
    <t>100 (10/min)</t>
  </si>
  <si>
    <t>Bono variable de entre -30 y +30 a toda acción en cada turno.</t>
  </si>
  <si>
    <t>Puede usar una mejora de la Sheele cuya esencia esté copiando en ese momento.</t>
  </si>
  <si>
    <t xml:space="preserve">Modifica hasta 100 PD de la forma de alma entre transformaciones. </t>
  </si>
  <si>
    <t>En una subida de nivel de su maestro, puede volver a arrojar los dados para determinar sus características base.</t>
  </si>
  <si>
    <t>+60 a tres secundarias aleatorias.</t>
  </si>
  <si>
    <t>+50 a todas sus perceptivas y +2 a su Percepción. Su maestro puede beneficiarse de este bonos siempre que estén en contacto.</t>
  </si>
  <si>
    <t>+80 a Música y Estilo.</t>
  </si>
  <si>
    <t>Se transforma en un instrumento musical de calidad +10. Aumenta en 40 la habilidad de Música al usarla.</t>
  </si>
  <si>
    <t>+5 al ACT por cada miembro de la orquesta. Tanto ella como su señor pueden proyectar poderes de Musical desde cualquier integrante.</t>
  </si>
  <si>
    <t>Si Cantábile está activo, permite proyectar los conjuros de Musical desde cualquier punto en el área de efecto. Si no lo ve, aplica Ceguera.</t>
  </si>
  <si>
    <t xml:space="preserve">Puede defenderse usando su Proyección Mágica como si fuera HE, sumando de su Baile como bono especial. </t>
  </si>
  <si>
    <t>Modifica su siguiente conjuro. Ver</t>
  </si>
  <si>
    <t>Accede a dos claves en lugar de una.</t>
  </si>
  <si>
    <t>Destruye el sonido en 500 metros a la redonda.</t>
  </si>
  <si>
    <t>En un redio de 25 metros los seres benditos sentirán un gran repudio. Cualquier conjuro de Pecado aumenta un grado.</t>
  </si>
  <si>
    <t>Realiza un ataque anímico. Control de Presencia 80 o el afectado reduce su Presencia base reducida en la mitad del fallo, obteniendo un penalizador a toda acción de -20. Por cada 5 de Presencia robada, +10 al ACT y Proyección.</t>
  </si>
  <si>
    <t>Crea intensidades de fuego infernal. Ver</t>
  </si>
  <si>
    <t>75/intensidad</t>
  </si>
  <si>
    <t>Proyecta un ataque en un radio de 10 metros. Prioriza a pecadores.</t>
  </si>
  <si>
    <t>+20 a la Proyección al lanzar conjuros de Pecado contra alguien cuyo pecado principal es el del conjuro en sí.</t>
  </si>
  <si>
    <t>En un radio de 25 metros alrededor de Paimon RM 120 o detecta individuos pecando.</t>
  </si>
  <si>
    <t>Si su señor está en contacto, dobla el daño contra seres benignos.</t>
  </si>
  <si>
    <t>Su maestro pasa a considerarse un ser maligno y gana +1 a Poder.</t>
  </si>
  <si>
    <t>+40 a Ley y Persuasión al convencer a alguien que firme o haga algo que le es desfavorable o tiene por objetivo hacerlo caer en el pecado.</t>
  </si>
  <si>
    <t>Cualquier intento de detección hacia ella o su maestro se ve reducido en un grado.</t>
  </si>
  <si>
    <t>Modifica su apariencia. Ver</t>
  </si>
  <si>
    <t>Proyecta un ataque con su Proyección más 50. Tiene un radio de 10 metros y absorbe con Fuerza 14 a cualquiera.</t>
  </si>
  <si>
    <t>Realiza un ataque anímico. RM 120 o el objetivo pierde la mitad del valor de todas sus secundarias, valor que Vanis podrá utilizar según le convenga. Dura ehoras igual al fallo. Si falló por más de 60, es permanente.</t>
  </si>
  <si>
    <t>Realiza un ataque anímico. RP 140 o el afectado pierde una hora de sus recuerdos recientes por cada diez en el fallo. Por cada veinte verá su Inteligencia reducida en 1. Reduce potencial, Ver</t>
  </si>
  <si>
    <t>Anula una acción activa. RM 120 si quiere negarse.</t>
  </si>
  <si>
    <t>Los seres basados en sentimientos o afines a la Vigilia reciben un -10 a toda acción cerca de la Sheele.</t>
  </si>
  <si>
    <t>+2 a Voluntad y Poder.</t>
  </si>
  <si>
    <t>Tras usar Robar conocimientos, puede aferrar hasta tres habilidades secundarias para no olvidarlas pasado el plazo.</t>
  </si>
  <si>
    <t>Todas las curaciones que reciba ella o su señor doblan su valor.</t>
  </si>
  <si>
    <t>Dobla el valor de recuperación de pérdida por sacrificio, de 10 a 20.</t>
  </si>
  <si>
    <t>50 (50)</t>
  </si>
  <si>
    <t>Ella y su señor ganan +20 a toda acción y +2 al TM a la hora de ayudar. Es pasivo.</t>
  </si>
  <si>
    <t>Si pasa el suficiente tiempo en un mismo lugar, los conjuros de Destrucción y Nigromancia ven reducidos su Zeon base entre 20 y 40 puntos.</t>
  </si>
  <si>
    <t>Permite a sus señor prestar la RE o RV a aquellos con los que ella esté en contacto. Dentro del área de Imbuir con vida no es necesario estar tocándose.</t>
  </si>
  <si>
    <t>Los conjuros que curen a terceros cuestan la mitad de Zeon.</t>
  </si>
  <si>
    <t>Permite usar hasta la mitad de la reserva de Zeon como colchón de daño para un individuo. Una vez por día, el señor reduce su regeneración de Zeon a la mitad hasta regenerar los puntos perdidos.</t>
  </si>
  <si>
    <t>En contacto, los ataques del señor aplican mitad del penalizador por apuntado. Esta cualidad no se acumula.</t>
  </si>
  <si>
    <t xml:space="preserve"> +80 a Medicina, Ciencia y Herbolaria.</t>
  </si>
  <si>
    <t>RF 120 o el afectado se detiene en el lugar.</t>
  </si>
  <si>
    <t>Permite a cualquiera que esté tocando a la Sheele seleccionar los blancos dentro de un ataque con área.</t>
  </si>
  <si>
    <t>Si vuelve a moverse por donde ya se movió, no aplica penalizadores por acciones adicioanles.</t>
  </si>
  <si>
    <t>Convierte los ataques a melé en lanzados, y los lanzados a disparados.</t>
  </si>
  <si>
    <t>Proyecta un ataque que marca al afectado. Hasta 4 marcados a la vez, el señor tiene un +20 a la HA contra ellos.</t>
  </si>
  <si>
    <t>50 (5/punto)</t>
  </si>
  <si>
    <t xml:space="preserve">RM contra 140 o reduce el TM del afectado en 4. </t>
  </si>
  <si>
    <t>Puede convertirse en un mapa de la zona. Cualquiera que lo use gana +40 a Rastrear.</t>
  </si>
  <si>
    <t>Modifica el entorno. Ver</t>
  </si>
  <si>
    <t>+60 a Ciencia y Arte, +2 a Percepción.</t>
  </si>
  <si>
    <t>Detecta si alguien ha mentido frente a ella.</t>
  </si>
  <si>
    <t>100 (10/h)</t>
  </si>
  <si>
    <t>RM 140 o la Sheele percibe las acciones del afectado, incluso si no está presente.</t>
  </si>
  <si>
    <t>200 (10/día)</t>
  </si>
  <si>
    <t>Se convierte en una pluma +5. Su señor puede lanzar conjuros de Ley reduciendo a la mitad el coste.</t>
  </si>
  <si>
    <t>100-500 (10)</t>
  </si>
  <si>
    <t>En un radio de 25 metros, RM 140. De fallar se supeditan a las reglas de la Sheele. Ver</t>
  </si>
  <si>
    <t>Puede usar su Proyección como si fuera HP, aunque no sufre daños por detener ataques desarmada.</t>
  </si>
  <si>
    <t>Una vez por día, el señor puede repetir una resitencia fallida.</t>
  </si>
  <si>
    <t>100 (10/día)</t>
  </si>
  <si>
    <t>Crea una carpeta. Mientras exista, toda la información sobre un hecho se documenta en ella.</t>
  </si>
  <si>
    <t>+40 a Persuasión a la hora de escaparse de problemas con terceros.</t>
  </si>
  <si>
    <t>+60 a Ley y +2 a Inteligencia.</t>
  </si>
  <si>
    <t>Su señor recupera Puntos de Cansancio el doble de rápido y gana un bono de +5 a su ACT al lanzar conjuros de Energía.</t>
  </si>
  <si>
    <t>Puede gastar los Puntos de Cansancio de su señor para mejorar sus capacidades.</t>
  </si>
  <si>
    <t>En contacto, su señor obtiene un +1 a su TM por cada asalto que esté corriendo, hasta +3. Mientras corra, doblará la cantidad de tiempo que puede permanecer sin perder Puntos de Cansancio.</t>
  </si>
  <si>
    <t>+2 al Tipo de Vuelo.</t>
  </si>
  <si>
    <t>Cambia su esencia a una de las tres energías. Inmune a ella, se considera una fuente de 20 intensidades.</t>
  </si>
  <si>
    <t>Puede atacar y defenderse usando su Proyeccion Mágica como si fuera HA y HD. Ataca en CAL, FRI o ELE, según decida.</t>
  </si>
  <si>
    <t>Realiza un ataque en la TA de ELE. RF 120 o penalizador igual a la mitad del fallo. Puede usar el bono robado para su siguiente tirada.</t>
  </si>
  <si>
    <t>Puede elegir no realizar acciones activas y reducir a la mitad su Tipo de Movimiento, pero a cambio su señor gana un +20 al Zeon al lanzar conjuros de Energía.</t>
  </si>
  <si>
    <t>+30 a sus habilidades atléticas y un +2 a Agilidad y Destreza. Alcanza Inhumano en los controles.</t>
  </si>
  <si>
    <t>Proyecta un ataque anímico. RP 120 o la Sheele puede leer su mente (+20 a toda acción física enfrentada). Si el señor está en contacto, puede sumar el bono.</t>
  </si>
  <si>
    <t>Proyecta un ataque anímico. RP 140, o aumentará su índice de pifia en una cantidad igual a una décima parte del fallo.</t>
  </si>
  <si>
    <t>+40 a cualquier control de conjuros o poderes que detecten mentiras o permitan ver que algo no cuadra en un discurso.</t>
  </si>
  <si>
    <t>Permite utilizar su habilidad de Robo más 40 a distancia, cambiando un objeto por otro en su posesión.</t>
  </si>
  <si>
    <t>Al lanzar Compinche o Réferi, puede elegir encarnarse en los conceptos de cada conjuro. Esto reduce a un tercio el coste del conjuro.</t>
  </si>
  <si>
    <t>Se transforma en objetos de apuestas.</t>
  </si>
  <si>
    <t>Guarda un objeto cuya presencia no sea mayor a la de su señor en una dimensión de bolsillo. Extraerlo es una acción pasiva.</t>
  </si>
  <si>
    <t>Ruleta rusa. Ver</t>
  </si>
  <si>
    <t>+3 a Inteligencia y +40 a Táctica (juegos de azar).</t>
  </si>
  <si>
    <t>Aumenta en un grado cualquier bono por ayuda externa en los controles de creación de artefactos o similar.</t>
  </si>
  <si>
    <t>Se vincula a una gema. Puede aprovechar el Zeon en su interior, o lanzar el conjuro guardado en ella con su Proyección más 50.</t>
  </si>
  <si>
    <t>Se convierte en un objeto +5. Ataca en la TA de FIL y daña energía. Compleja, +40 a Estilo y Persuasión.</t>
  </si>
  <si>
    <t>En contacto, el señor gana los bonos de Cuerpo de diamante.</t>
  </si>
  <si>
    <t>Realiza un ataque anímico. RF 120 o suma 10 puntos al crítico. De fallarlo por 40, recibirá Parálisis parcial y el valor del crítico aumenta a 20</t>
  </si>
  <si>
    <t>Realiza tres ataques consecutivos. Si está vinculada a una gema, sacrificarla dobla el daño base.</t>
  </si>
  <si>
    <t>Refuerza una gema, doblando la cantidad máxima de Zeon que puede albergar.</t>
  </si>
  <si>
    <t>+60 a Orfebrería y +2 a Destreza.</t>
  </si>
  <si>
    <t>De encontrarse un entorno rocoso, obtiene un +20 a su ACT y +10 a su Proyección Mágica.</t>
  </si>
  <si>
    <t>En un radio de 100 metros, los Entre Mundos tendrán una mayor probabilidad de aparecer.</t>
  </si>
  <si>
    <t>Permite obtener un poder gnóstico que el señor no posea y que no supere la Gnosis 35. Cuesta 200 puntos de Zeon por cada 5 puntos de Gnosis.</t>
  </si>
  <si>
    <t>350 (35)</t>
  </si>
  <si>
    <t>El señor gana los poderes de una Encarnación en su afinidad menor, siempre que tenga conocimientos de ella.</t>
  </si>
  <si>
    <t>RM 140 o conocerá la naturaleza exacta de un ser. Se considera un conjuro de detección.</t>
  </si>
  <si>
    <t>En un área, +20 a la RP. Todos recuperan su Salud Mental al doble de rápido.</t>
  </si>
  <si>
    <t>150 (10/día)</t>
  </si>
  <si>
    <t>Éxito automático en el primer control del día. En controles enfrentados +10 por cada 5 puntos de diferencia entre seres de menor Gnosis que su señor.</t>
  </si>
  <si>
    <t>+80 a Ocultismo (seres fantásticos), Animales (seres fantásticos) y Arte (literatura fantástica).</t>
  </si>
  <si>
    <t>Leer el aura. Ver</t>
  </si>
  <si>
    <t>Puede elegir dos estaciones a las que ser afín.</t>
  </si>
  <si>
    <t>En un área mediana, los seres vivos aumentan en 2 su Índice de Regeneración (hasta 10) durante cinco días.</t>
  </si>
  <si>
    <t>Puede comunicarse con seres atados a los cuatro elementos o las estaciones, los cuales la considerarán su igual.</t>
  </si>
  <si>
    <t>En contacto, el señor obtiene el bono de Transmutación estacional.</t>
  </si>
  <si>
    <t>+60 a Herbolaria y Ocultismo.</t>
  </si>
  <si>
    <t>Estanca el cambio de ciclos. Por cada mes que pase aumenta en 10 su mantenimiento, hasta 50. Todos los hechizos que no sean afines a su estación cuestan 20 más de Zeon.</t>
  </si>
  <si>
    <t>Elige un objeto. Cualquiera en contacto debe superar una RF 12 para no perder PV por sacrificio. Las armas atacan en CAL como primario.</t>
  </si>
  <si>
    <t xml:space="preserve">Proyecta un ataque anímico. RF 120 o Parálisis parcial. Si falla por 40 o más, Parálisis completa. </t>
  </si>
  <si>
    <t>En 25 metros de radio, Acrobacias 140 o Agilidad 16 para no recibir un ataque indirecto. Usa la Proyección Mágica más 50 y ataca en la TA de FIL.</t>
  </si>
  <si>
    <t>Todos los conjuros de Fantasía que lance se liberan con un grado por encima.</t>
  </si>
  <si>
    <t>Eula</t>
  </si>
  <si>
    <t>+60 en Música, Arte y Baile. La segunda compra sube el bono a +80.</t>
  </si>
  <si>
    <t>Obtiene un +40 a Arte (literatura) y un +2 a su Inteligencia.</t>
  </si>
  <si>
    <t>+40 a Persuasión y un +2 a Inteligencia.</t>
  </si>
  <si>
    <t>Afinidad Nv 4</t>
  </si>
  <si>
    <t>Afnidad Nv 8</t>
  </si>
  <si>
    <t>Afinidad Nv 12</t>
  </si>
  <si>
    <t xml:space="preserve">Afinidad Nv </t>
  </si>
  <si>
    <t>Afinidad Nv 3</t>
  </si>
  <si>
    <t>Afinidad Nv 7</t>
  </si>
  <si>
    <t>Afinidad Nv 11</t>
  </si>
  <si>
    <t>Afinidad Nv 6</t>
  </si>
  <si>
    <t>Afinidad Nv 9</t>
  </si>
  <si>
    <t>Afinidad Nv 2</t>
  </si>
  <si>
    <t>Afinidad Nv 5</t>
  </si>
  <si>
    <t>Afinidad Nv 13</t>
  </si>
  <si>
    <t>Afinidad Nv 1</t>
  </si>
  <si>
    <t>Afinidad Nv 8</t>
  </si>
  <si>
    <t>Afinidad Nv 15</t>
  </si>
  <si>
    <t>Linx Kazte Hex, la Sombra de la Muerte</t>
  </si>
  <si>
    <t>Nerval, Defensor de los Perdidos</t>
  </si>
  <si>
    <t>Eiko, la princesa Oni</t>
  </si>
  <si>
    <t>Quezcatli, Hijo del Sol</t>
  </si>
  <si>
    <t>Gygjur, Asesino de Dragones</t>
  </si>
  <si>
    <t>Arturia, el León Blanco</t>
  </si>
  <si>
    <t>Kha-nefer, el Sacerdote Impío</t>
  </si>
  <si>
    <t>Anassilish, el Sin Rostro</t>
  </si>
  <si>
    <t>Ambrose Magus, el Hechicero</t>
  </si>
  <si>
    <t>Ruatha Synn</t>
  </si>
  <si>
    <t>Kristoff, el Rey Pirata</t>
  </si>
  <si>
    <t>Loly Ann</t>
  </si>
  <si>
    <t>Aeriel, el Caballero de Argenta</t>
  </si>
  <si>
    <t>Wang Shou Bo</t>
  </si>
  <si>
    <t>Holst, Rey de Héroes</t>
  </si>
  <si>
    <t>Ama'ram'alak, Señror de las Estepas</t>
  </si>
  <si>
    <t>Auberon, Guardián de la Entropía</t>
  </si>
  <si>
    <t>Malum Lux, la Luz Mala</t>
  </si>
  <si>
    <t>Rosalyne, la Bruja Carmesí en Llamas</t>
  </si>
  <si>
    <t>Murmur, Tejedor de Mundos</t>
  </si>
  <si>
    <t>Masamune Ozaki, el Herrero Legendario</t>
  </si>
  <si>
    <t>Devdan, el Gran Arquitecto</t>
  </si>
  <si>
    <t>Yuyan, la Heraldo del Viento</t>
  </si>
  <si>
    <t>Elizabeth, la Princesa del Crepúsculo</t>
  </si>
  <si>
    <t>InvPod_Linx</t>
  </si>
  <si>
    <t>InvPod_Nerval</t>
  </si>
  <si>
    <t>InvPod_Eiko</t>
  </si>
  <si>
    <t>InvPod_Quezcatli</t>
  </si>
  <si>
    <t>InvPod_Gygjur</t>
  </si>
  <si>
    <t>InvPod_Arturia</t>
  </si>
  <si>
    <t>InvPod_Kha</t>
  </si>
  <si>
    <t>InvPod_Anassilish</t>
  </si>
  <si>
    <t>InvPod_Ambrose</t>
  </si>
  <si>
    <t>InvPod_Ruatha</t>
  </si>
  <si>
    <t>InvPod_Kristoff</t>
  </si>
  <si>
    <t>InvPod_Loly</t>
  </si>
  <si>
    <t>InvPod_Aeriel</t>
  </si>
  <si>
    <t>InvPod_Wang</t>
  </si>
  <si>
    <t>InvPod_Holst</t>
  </si>
  <si>
    <r>
      <rPr>
        <b/>
        <sz val="10"/>
        <rFont val="Arial"/>
        <family val="2"/>
      </rPr>
      <t>Avalon:</t>
    </r>
    <r>
      <rPr>
        <sz val="10"/>
        <rFont val="Arial"/>
        <family val="2"/>
      </rPr>
      <t xml:space="preserve"> Realiza un ataque doblando su daño y aplicando un bono de +200 a su HA. Ignora armadura y produce un crítico automático. Tras usar este ataque, la encarnación finaliza.
</t>
    </r>
    <r>
      <rPr>
        <b/>
        <sz val="10"/>
        <rFont val="Arial"/>
        <family val="2"/>
      </rPr>
      <t>El Héroe Perfecto (Real):</t>
    </r>
    <r>
      <rPr>
        <sz val="10"/>
        <rFont val="Arial"/>
        <family val="2"/>
      </rPr>
      <t xml:space="preserve"> El invocador obtiene habilidad final 280 en todas las habilidades secundarias.</t>
    </r>
  </si>
  <si>
    <t>Cogito:</t>
  </si>
  <si>
    <t>Maestría:</t>
  </si>
  <si>
    <t>Cogito</t>
  </si>
  <si>
    <t>Maestría</t>
  </si>
  <si>
    <t>40 / 60 / 80</t>
  </si>
  <si>
    <t>No reduce a la mitad el bono</t>
  </si>
  <si>
    <t>80 / 120 / 140</t>
  </si>
  <si>
    <t>×2 a la distancia</t>
  </si>
  <si>
    <t>60 / 80 / 120</t>
  </si>
  <si>
    <t>Pasa a ser pasivo</t>
  </si>
  <si>
    <t>Siente la apariencia</t>
  </si>
  <si>
    <t>40 / 80 / 140</t>
  </si>
  <si>
    <t>Sin derecho a control al ser atacado</t>
  </si>
  <si>
    <t>Elimina el +20 por genérico</t>
  </si>
  <si>
    <t>60 / 80/ 120</t>
  </si>
  <si>
    <t>El análisis es automático</t>
  </si>
  <si>
    <t>40 / 80 / 120</t>
  </si>
  <si>
    <t>1 punto por hora</t>
  </si>
  <si>
    <t>Obliga con RP 120</t>
  </si>
  <si>
    <t>2h por cada punto</t>
  </si>
  <si>
    <t>20 / 60 / 80</t>
  </si>
  <si>
    <t>RF 100 para no desaparecer</t>
  </si>
  <si>
    <t>+40 a la RP</t>
  </si>
  <si>
    <t>Elimina el +20</t>
  </si>
  <si>
    <t>1 por semana</t>
  </si>
  <si>
    <t>×2 al área</t>
  </si>
  <si>
    <t>20 / 40 / 60</t>
  </si>
  <si>
    <t>Levanta más de un objeto</t>
  </si>
  <si>
    <t>Atrae en vez de empujar</t>
  </si>
  <si>
    <t>×2 a los PV</t>
  </si>
  <si>
    <t>Recibe la mitad en ENE</t>
  </si>
  <si>
    <t>+2 al control</t>
  </si>
  <si>
    <t>60 / 80 / 140</t>
  </si>
  <si>
    <t>VOL en m. para alcanzar objetos</t>
  </si>
  <si>
    <t>Mapa mental de la zona</t>
  </si>
  <si>
    <t>Mantiene pegados a la barrera</t>
  </si>
  <si>
    <t>+20 a la RF</t>
  </si>
  <si>
    <t>+2 al Tipo de Vuelo</t>
  </si>
  <si>
    <t>Levanta más de un individuo</t>
  </si>
  <si>
    <t>80 / 140 / 180</t>
  </si>
  <si>
    <t>×2 al rango</t>
  </si>
  <si>
    <t>20 / 140 / 180</t>
  </si>
  <si>
    <t>+40 a Forja, Confección u Orfebrería al usar el poder</t>
  </si>
  <si>
    <t>×2 a las intensidades</t>
  </si>
  <si>
    <t>+40 a la RF</t>
  </si>
  <si>
    <t>×2 al daño a estructuras</t>
  </si>
  <si>
    <t>40 / 60 / 120</t>
  </si>
  <si>
    <t>Reduce daño y aumenta RF. Ver</t>
  </si>
  <si>
    <t>×2 a la longitud</t>
  </si>
  <si>
    <t>40 / 120 / 140</t>
  </si>
  <si>
    <t>+5° al aumento</t>
  </si>
  <si>
    <t>120 / 140 / 160</t>
  </si>
  <si>
    <t>20 / 80 / 120</t>
  </si>
  <si>
    <t>Cada PV da 3 de Potencial</t>
  </si>
  <si>
    <t>Detecta a todos, RF 140</t>
  </si>
  <si>
    <t>-2 a la TA</t>
  </si>
  <si>
    <t>+5° a la reducción</t>
  </si>
  <si>
    <t>Defiende cualquier ataque</t>
  </si>
  <si>
    <t>Parálisis parcial</t>
  </si>
  <si>
    <t>180 / 240 / 280</t>
  </si>
  <si>
    <t>140 / 180 / 240</t>
  </si>
  <si>
    <t>Control cada asalto</t>
  </si>
  <si>
    <t>Zen para la secundaria</t>
  </si>
  <si>
    <t>No reduce a la mitad</t>
  </si>
  <si>
    <t>20 / 40 / 80</t>
  </si>
  <si>
    <t>Zen de base</t>
  </si>
  <si>
    <t>Sorpresa con 100</t>
  </si>
  <si>
    <t>+10 a la ganancia de RF</t>
  </si>
  <si>
    <t>Índice máximo 19</t>
  </si>
  <si>
    <t>Recupera CV por fatiga</t>
  </si>
  <si>
    <t>+1 grado del poder imbuido</t>
  </si>
  <si>
    <t>Detecta ene. sobren., RF 140</t>
  </si>
  <si>
    <t>Crea energía sobrenat.</t>
  </si>
  <si>
    <t>Cambio elemental. Ver</t>
  </si>
  <si>
    <t>+20 al daño base</t>
  </si>
  <si>
    <t>Daña energía de base</t>
  </si>
  <si>
    <t>Inmune a todos los tipos</t>
  </si>
  <si>
    <t>No reduce Proy. al atacar</t>
  </si>
  <si>
    <t>El afectado no puede negarse</t>
  </si>
  <si>
    <t>Dobla la reducción</t>
  </si>
  <si>
    <t>No aplica el +20</t>
  </si>
  <si>
    <t>Los sent. se van al día</t>
  </si>
  <si>
    <t>Elimina cada 10 pts</t>
  </si>
  <si>
    <t>Traslada un sentido más</t>
  </si>
  <si>
    <t>40 / 60 / 140</t>
  </si>
  <si>
    <t>No aplica el +20, elimina cada 10 pts</t>
  </si>
  <si>
    <t>Percibe todo sentimiento</t>
  </si>
  <si>
    <t>Saltos entre visiones. Ver</t>
  </si>
  <si>
    <t>+40 a la RP a superar</t>
  </si>
  <si>
    <t>×2 al tiempo máximo</t>
  </si>
  <si>
    <t>+1 y +10 a controles</t>
  </si>
  <si>
    <t>80 / 120 / 180</t>
  </si>
  <si>
    <t>-10 adic. a las hab. sobrenat.</t>
  </si>
  <si>
    <t>Nadie puede resistirse</t>
  </si>
  <si>
    <t>Ignora obstáculos. Ver</t>
  </si>
  <si>
    <t xml:space="preserve">No reduce la Proyección </t>
  </si>
  <si>
    <t>Contraataque metales</t>
  </si>
  <si>
    <t>Lee pensam. inmediatos</t>
  </si>
  <si>
    <t>+20 a la RF por electr.</t>
  </si>
  <si>
    <t>Inhumanidad para defenderse</t>
  </si>
  <si>
    <t>60 / 120 / 140</t>
  </si>
  <si>
    <t>Primer teletr. no tiene RF</t>
  </si>
  <si>
    <t>Conocer vagam. el lugar</t>
  </si>
  <si>
    <t>No aplica pen. a HE</t>
  </si>
  <si>
    <t>Conocer vagamente el lugar</t>
  </si>
  <si>
    <t>120 / 140 / 180</t>
  </si>
  <si>
    <t>-20 a la RP</t>
  </si>
  <si>
    <t>+40 a la RF, no aplica el +30</t>
  </si>
  <si>
    <t>Oscuridad no duplica daño</t>
  </si>
  <si>
    <t>No reduce dos grados</t>
  </si>
  <si>
    <t>El barrido aumenta a 10 m</t>
  </si>
  <si>
    <t>×2 al valor</t>
  </si>
  <si>
    <t>+1 objeto, +10 Proyección</t>
  </si>
  <si>
    <t>×2 a la masa</t>
  </si>
  <si>
    <t>Gana ambos bonos</t>
  </si>
  <si>
    <t>+20 a la RF, Inhum. para def.</t>
  </si>
  <si>
    <t>×2 al daño base</t>
  </si>
  <si>
    <t>×2 al radio</t>
  </si>
  <si>
    <t>+4 a la dif. de PER</t>
  </si>
  <si>
    <t>60 / 120 / 180</t>
  </si>
  <si>
    <t>Suma todo el penalizador</t>
  </si>
  <si>
    <t>Ya no aplica el +60</t>
  </si>
  <si>
    <t>×2 a los asaltos</t>
  </si>
  <si>
    <t>Puede mantenerse</t>
  </si>
  <si>
    <t>Puede atacar</t>
  </si>
  <si>
    <t>+5 a la entereza</t>
  </si>
  <si>
    <t>-1 grado a la dif.</t>
  </si>
  <si>
    <t>+2 al TM en sólidos</t>
  </si>
  <si>
    <t>×2 al radio de radiación</t>
  </si>
  <si>
    <t>Anula sorpresa</t>
  </si>
  <si>
    <t>Ratio de 1:5 asaltos</t>
  </si>
  <si>
    <t>Aplica 1/2 del pen. a melé</t>
  </si>
  <si>
    <t>×2 a los metros cúbicos</t>
  </si>
  <si>
    <t>+1 acción sin pen.</t>
  </si>
  <si>
    <t>80 / 140 / 160</t>
  </si>
  <si>
    <t>1 asalto por cada 5 pts</t>
  </si>
  <si>
    <t>+1 asalto de duración</t>
  </si>
  <si>
    <t>160 / 180 / 240</t>
  </si>
  <si>
    <t>+1 asalto de retraso</t>
  </si>
  <si>
    <t>+10 al bono, +1 acción conocida</t>
  </si>
  <si>
    <t>x2 intensidades destruidas</t>
  </si>
  <si>
    <t>+2 a las defensas</t>
  </si>
  <si>
    <t>Afecta estr. Sobrenaturales</t>
  </si>
  <si>
    <t>Dobla el daño porcentual</t>
  </si>
  <si>
    <t>El imbuido no debe superar RF</t>
  </si>
  <si>
    <t>x2 a los turnos que dura</t>
  </si>
  <si>
    <t>120 / 180 / 240</t>
  </si>
  <si>
    <t>-2 TA adicional</t>
  </si>
  <si>
    <t>+4 a la Rotura</t>
  </si>
  <si>
    <t>+20 a la HA al redirigir</t>
  </si>
  <si>
    <t>Reduce tres grados</t>
  </si>
  <si>
    <t>Segunda extr. cada 20 pts</t>
  </si>
  <si>
    <t>+1 ataque</t>
  </si>
  <si>
    <t>-1 TA adicional</t>
  </si>
  <si>
    <t>Evade áreas con un -20</t>
  </si>
  <si>
    <t>+4 al control</t>
  </si>
  <si>
    <t>×2 a los metros cuadrados</t>
  </si>
  <si>
    <t>80 / 140 / 240</t>
  </si>
  <si>
    <t>×2 a los metros</t>
  </si>
  <si>
    <t>Dobla la ganancia de RV</t>
  </si>
  <si>
    <t>+1 a la cant. de efectos</t>
  </si>
  <si>
    <t>+10 al Nv de inmunidad</t>
  </si>
  <si>
    <t>+10 a las hab.</t>
  </si>
  <si>
    <t>+20 a las Resistencias</t>
  </si>
  <si>
    <t>+20 PD adicionales</t>
  </si>
  <si>
    <t>+5 adicional</t>
  </si>
  <si>
    <t>-1 y -10 adicional</t>
  </si>
  <si>
    <t>×2 a los PV perdidos</t>
  </si>
  <si>
    <t>-1 a la TA, +20 al daño base</t>
  </si>
  <si>
    <t>+10 al bon</t>
  </si>
  <si>
    <t>Se transforma en elem.</t>
  </si>
  <si>
    <t>+1 al grado de Advertir</t>
  </si>
  <si>
    <t>+5 al bono de Pot</t>
  </si>
  <si>
    <t>Dura 1 asalto por cada 5 pts</t>
  </si>
  <si>
    <t>Dobla la pérdida</t>
  </si>
  <si>
    <t>+20 a Rastrear</t>
  </si>
  <si>
    <t>×2 a la reducción</t>
  </si>
  <si>
    <t>60 / 80 /120</t>
  </si>
  <si>
    <t>×2 al plazo</t>
  </si>
  <si>
    <t>Ve zonas protegidas</t>
  </si>
  <si>
    <t>+2 a la cant. de asaltos</t>
  </si>
  <si>
    <t>Pierde 1 cansancio por 20 pts de fallo</t>
  </si>
  <si>
    <t>20 / 60 / 120</t>
  </si>
  <si>
    <t>Retasa hasta 3 a la vez</t>
  </si>
  <si>
    <t>+2 a los asaltos</t>
  </si>
  <si>
    <t>+20 a la HD contra ELE o metales</t>
  </si>
  <si>
    <t>×2 al peso máximo</t>
  </si>
  <si>
    <t>+6 y +60 a la dif.</t>
  </si>
  <si>
    <t>+20 a sociales</t>
  </si>
  <si>
    <t>×2 al bono a la RE</t>
  </si>
  <si>
    <t>20 / 40 / 120</t>
  </si>
  <si>
    <t>+1 a la INT por grado. Ver</t>
  </si>
  <si>
    <t>+10 intensidades</t>
  </si>
  <si>
    <t>80 / 120 / 160</t>
  </si>
  <si>
    <t>+60 a la RF</t>
  </si>
  <si>
    <t>+40 adicional</t>
  </si>
  <si>
    <t>×2 rebotes o +40 al daño</t>
  </si>
  <si>
    <t>×2 al bono a Resistencias</t>
  </si>
  <si>
    <t>Reduce el pen. a -20</t>
  </si>
  <si>
    <t>×2 bono a cansancios</t>
  </si>
  <si>
    <t>Invisible a la vista</t>
  </si>
  <si>
    <t>×2 a la pérdida de PV</t>
  </si>
  <si>
    <t>-5 adicional a la entereza</t>
  </si>
  <si>
    <t>Puede elegir los atrib.</t>
  </si>
  <si>
    <t>×2 a la masa máxima</t>
  </si>
  <si>
    <t>×2 rebotes o al daño base</t>
  </si>
  <si>
    <t>Área igual al bono de VOL en metros</t>
  </si>
  <si>
    <t>+40 a la RE</t>
  </si>
  <si>
    <t>+1 al grado</t>
  </si>
  <si>
    <t>Permite poderes con 1/2 Potencial</t>
  </si>
  <si>
    <t>Grimorio Poderes Psi</t>
  </si>
  <si>
    <t>300 PV / Habilidad de Ataque 140.</t>
  </si>
  <si>
    <t>500 PV / Habilidad de Ataque 180.</t>
  </si>
  <si>
    <t>Escoger 2: Prisión demencial, Pantalla de cuchillas, Látigo de acero</t>
  </si>
  <si>
    <t>Escoger 2: Helicóptero devorador, Dual, Presa absoluta, Pantalla giratoria, Personalización definitiva</t>
  </si>
  <si>
    <t>Escoger 1: Tormenta de espadas, Ligereza espiritual, Gigantomaquia</t>
  </si>
  <si>
    <t>Mult. arcana</t>
  </si>
  <si>
    <t>Mag. arcana</t>
  </si>
  <si>
    <t>Poder ofen de Crio/Piro/Electrom/Energía, HA +100</t>
  </si>
  <si>
    <t>Tener un escudo psíquico</t>
  </si>
  <si>
    <t>Filtrar sentidos, Advertir 100+, Habilidad de Ataque 100+</t>
  </si>
  <si>
    <t>Kubeba</t>
  </si>
  <si>
    <t>Kubeba (Base)</t>
  </si>
  <si>
    <t>Kubeba (Arcano)</t>
  </si>
  <si>
    <t>Tabla de Armas: Kubeba</t>
  </si>
  <si>
    <t>CosteTáctica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</si>
</sst>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
      <i/>
      <sz val="7"/>
      <color theme="0"/>
      <name val="Arial"/>
      <family val="2"/>
    </font>
  </fonts>
  <fills count="9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
      <patternFill patternType="solid">
        <fgColor theme="5" tint="0.59999389629810485"/>
        <bgColor indexed="41"/>
      </patternFill>
    </fill>
    <fill>
      <patternFill patternType="solid">
        <fgColor rgb="FFFFFF99"/>
        <bgColor indexed="64"/>
      </patternFill>
    </fill>
    <fill>
      <patternFill patternType="solid">
        <fgColor rgb="FFFFFF99"/>
        <bgColor indexed="41"/>
      </patternFill>
    </fill>
    <fill>
      <patternFill patternType="solid">
        <fgColor theme="5" tint="0.59999389629810485"/>
        <bgColor indexed="40"/>
      </patternFill>
    </fill>
    <fill>
      <patternFill patternType="solid">
        <fgColor rgb="FFFFFF99"/>
        <bgColor theme="4" tint="0.59999389629810485"/>
      </patternFill>
    </fill>
    <fill>
      <patternFill patternType="solid">
        <fgColor rgb="FFFFFF99"/>
        <bgColor theme="4" tint="0.79998168889431442"/>
      </patternFill>
    </fill>
    <fill>
      <patternFill patternType="solid">
        <fgColor theme="7" tint="0.39997558519241921"/>
        <bgColor indexed="40"/>
      </patternFill>
    </fill>
  </fills>
  <borders count="10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right style="thin">
        <color theme="0" tint="-0.14999847407452621"/>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right/>
      <top/>
      <bottom style="medium">
        <color auto="1"/>
      </bottom>
      <diagonal/>
    </border>
    <border>
      <left/>
      <right style="thin">
        <color indexed="8"/>
      </right>
      <top/>
      <bottom style="thin">
        <color indexed="64"/>
      </bottom>
      <diagonal/>
    </border>
    <border>
      <left/>
      <right style="thin">
        <color indexed="8"/>
      </right>
      <top/>
      <bottom style="thin">
        <color indexed="8"/>
      </bottom>
      <diagonal/>
    </border>
    <border>
      <left/>
      <right/>
      <top/>
      <bottom style="thin">
        <color indexed="8"/>
      </bottom>
      <diagonal/>
    </border>
    <border>
      <left/>
      <right style="thin">
        <color indexed="64"/>
      </right>
      <top style="thin">
        <color indexed="8"/>
      </top>
      <bottom/>
      <diagonal/>
    </border>
    <border>
      <left/>
      <right style="thin">
        <color indexed="64"/>
      </right>
      <top style="medium">
        <color indexed="8"/>
      </top>
      <bottom style="medium">
        <color indexed="8"/>
      </bottom>
      <diagonal/>
    </border>
    <border>
      <left/>
      <right style="thin">
        <color indexed="64"/>
      </right>
      <top/>
      <bottom style="thin">
        <color indexed="8"/>
      </bottom>
      <diagonal/>
    </border>
    <border>
      <left style="thin">
        <color indexed="64"/>
      </left>
      <right/>
      <top style="thin">
        <color indexed="8"/>
      </top>
      <bottom/>
      <diagonal/>
    </border>
    <border>
      <left style="medium">
        <color indexed="8"/>
      </left>
      <right style="thin">
        <color indexed="8"/>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6795556505021"/>
      </left>
      <right style="thin">
        <color indexed="64"/>
      </right>
      <top style="thin">
        <color indexed="64"/>
      </top>
      <bottom style="thin">
        <color theme="0" tint="-0.14996795556505021"/>
      </bottom>
      <diagonal/>
    </border>
    <border>
      <left style="thin">
        <color theme="0" tint="-0.14999847407452621"/>
      </left>
      <right style="medium">
        <color auto="1"/>
      </right>
      <top style="thin">
        <color indexed="64"/>
      </top>
      <bottom style="thin">
        <color theme="0" tint="-0.14996795556505021"/>
      </bottom>
      <diagonal/>
    </border>
    <border>
      <left style="thin">
        <color theme="0" tint="-0.14996795556505021"/>
      </left>
      <right style="thin">
        <color indexed="64"/>
      </right>
      <top/>
      <bottom style="medium">
        <color indexed="64"/>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indexed="64"/>
      </left>
      <right/>
      <top/>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bottom style="medium">
        <color indexed="64"/>
      </bottom>
      <diagonal/>
    </border>
    <border>
      <left style="medium">
        <color indexed="8"/>
      </left>
      <right/>
      <top/>
      <bottom/>
      <diagonal/>
    </border>
    <border>
      <left/>
      <right style="thin">
        <color theme="0" tint="-0.14999847407452621"/>
      </right>
      <top/>
      <bottom style="medium">
        <color indexed="64"/>
      </bottom>
      <diagonal/>
    </border>
    <border>
      <left style="thin">
        <color indexed="64"/>
      </left>
      <right/>
      <top/>
      <bottom style="medium">
        <color indexed="64"/>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8"/>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8"/>
      </top>
      <bottom/>
      <diagonal/>
    </border>
    <border>
      <left/>
      <right style="medium">
        <color indexed="8"/>
      </right>
      <top style="medium">
        <color indexed="8"/>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medium">
        <color theme="1"/>
      </left>
      <right style="medium">
        <color indexed="64"/>
      </right>
      <top/>
      <bottom/>
      <diagonal/>
    </border>
    <border>
      <left style="medium">
        <color theme="1"/>
      </left>
      <right/>
      <top/>
      <bottom style="medium">
        <color indexed="64"/>
      </bottom>
      <diagonal/>
    </border>
    <border>
      <left/>
      <right style="medium">
        <color theme="1"/>
      </right>
      <top/>
      <bottom style="medium">
        <color indexed="64"/>
      </bottom>
      <diagonal/>
    </border>
    <border>
      <left/>
      <right style="medium">
        <color theme="1"/>
      </right>
      <top/>
      <bottom style="thin">
        <color auto="1"/>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theme="1"/>
      </right>
      <top style="medium">
        <color indexed="64"/>
      </top>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right/>
      <top style="medium">
        <color auto="1"/>
      </top>
      <bottom style="thin">
        <color indexed="8"/>
      </bottom>
      <diagonal/>
    </border>
    <border>
      <left/>
      <right style="thin">
        <color indexed="64"/>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style="thin">
        <color auto="1"/>
      </left>
      <right/>
      <top style="thin">
        <color indexed="8"/>
      </top>
      <bottom/>
      <diagonal/>
    </border>
    <border>
      <left style="thin">
        <color auto="1"/>
      </left>
      <right/>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indexed="64"/>
      </right>
      <top style="medium">
        <color auto="1"/>
      </top>
      <bottom style="medium">
        <color indexed="64"/>
      </bottom>
      <diagonal/>
    </border>
    <border>
      <left style="thin">
        <color indexed="8"/>
      </left>
      <right style="thin">
        <color indexed="8"/>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auto="1"/>
      </left>
      <right style="thin">
        <color auto="1"/>
      </right>
      <top/>
      <bottom/>
      <diagonal/>
    </border>
    <border>
      <left style="thin">
        <color theme="0" tint="-0.14999847407452621"/>
      </left>
      <right/>
      <top style="thin">
        <color indexed="64"/>
      </top>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9847407452621"/>
      </right>
      <top/>
      <bottom style="medium">
        <color indexed="64"/>
      </bottom>
      <diagonal/>
    </border>
    <border>
      <left style="thin">
        <color auto="1"/>
      </left>
      <right style="medium">
        <color indexed="64"/>
      </right>
      <top style="medium">
        <color auto="1"/>
      </top>
      <bottom style="thin">
        <color theme="0" tint="-0.14999847407452621"/>
      </bottom>
      <diagonal/>
    </border>
    <border>
      <left style="thin">
        <color auto="1"/>
      </left>
      <right style="medium">
        <color indexed="64"/>
      </right>
      <top style="thin">
        <color theme="0" tint="-0.14999847407452621"/>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thin">
        <color auto="1"/>
      </left>
      <right/>
      <top style="thin">
        <color auto="1"/>
      </top>
      <bottom style="thin">
        <color auto="1"/>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thin">
        <color indexed="8"/>
      </top>
      <bottom/>
      <diagonal/>
    </border>
    <border>
      <left style="thin">
        <color theme="0" tint="-0.14999847407452621"/>
      </left>
      <right style="thin">
        <color indexed="64"/>
      </right>
      <top/>
      <bottom/>
      <diagonal/>
    </border>
    <border>
      <left/>
      <right style="thin">
        <color indexed="8"/>
      </right>
      <top/>
      <bottom style="medium">
        <color indexed="8"/>
      </bottom>
      <diagonal/>
    </border>
    <border>
      <left style="medium">
        <color indexed="8"/>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diagonal/>
    </border>
    <border>
      <left/>
      <right style="medium">
        <color indexed="8"/>
      </right>
      <top/>
      <bottom/>
      <diagonal/>
    </border>
    <border>
      <left/>
      <right style="medium">
        <color indexed="64"/>
      </right>
      <top/>
      <bottom/>
      <diagonal/>
    </border>
    <border>
      <left style="medium">
        <color auto="1"/>
      </left>
      <right/>
      <top style="medium">
        <color auto="1"/>
      </top>
      <bottom/>
      <diagonal/>
    </border>
    <border>
      <left/>
      <right style="medium">
        <color auto="1"/>
      </right>
      <top style="medium">
        <color auto="1"/>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theme="0" tint="-0.14999847407452621"/>
      </top>
      <bottom style="medium">
        <color indexed="64"/>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medium">
        <color auto="1"/>
      </left>
      <right/>
      <top style="medium">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thin">
        <color indexed="8"/>
      </top>
      <bottom/>
      <diagonal/>
    </border>
    <border>
      <left/>
      <right style="thin">
        <color indexed="8"/>
      </right>
      <top style="medium">
        <color indexed="8"/>
      </top>
      <bottom/>
      <diagonal/>
    </border>
    <border>
      <left/>
      <right/>
      <top style="medium">
        <color indexed="64"/>
      </top>
      <bottom/>
      <diagonal/>
    </border>
    <border>
      <left style="medium">
        <color indexed="64"/>
      </left>
      <right style="thin">
        <color indexed="8"/>
      </right>
      <top style="thin">
        <color indexed="8"/>
      </top>
      <bottom/>
      <diagonal/>
    </border>
    <border>
      <left/>
      <right/>
      <top/>
      <bottom style="medium">
        <color indexed="8"/>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8"/>
      </left>
      <right style="medium">
        <color indexed="8"/>
      </right>
      <top/>
      <bottom style="medium">
        <color indexed="8"/>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auto="1"/>
      </bottom>
      <diagonal/>
    </border>
    <border>
      <left style="medium">
        <color indexed="64"/>
      </left>
      <right style="thin">
        <color indexed="64"/>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indexed="64"/>
      </right>
      <top style="thin">
        <color indexed="64"/>
      </top>
      <bottom style="thin">
        <color indexed="64"/>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64"/>
      </bottom>
      <diagonal/>
    </border>
    <border>
      <left style="thin">
        <color indexed="64"/>
      </left>
      <right style="thin">
        <color theme="0" tint="-0.14999847407452621"/>
      </right>
      <top style="thin">
        <color indexed="64"/>
      </top>
      <bottom/>
      <diagonal/>
    </border>
    <border>
      <left style="thin">
        <color theme="0" tint="-0.14999847407452621"/>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8"/>
      </top>
      <bottom/>
      <diagonal/>
    </border>
    <border>
      <left/>
      <right style="medium">
        <color indexed="64"/>
      </right>
      <top/>
      <bottom style="thin">
        <color indexed="64"/>
      </bottom>
      <diagonal/>
    </border>
    <border>
      <left style="medium">
        <color auto="1"/>
      </left>
      <right style="thin">
        <color auto="1"/>
      </right>
      <top/>
      <bottom style="medium">
        <color indexed="64"/>
      </bottom>
      <diagonal/>
    </border>
    <border>
      <left style="thin">
        <color indexed="64"/>
      </left>
      <right style="thin">
        <color indexed="64"/>
      </right>
      <top/>
      <bottom style="medium">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right/>
      <top style="thin">
        <color indexed="64"/>
      </top>
      <bottom/>
      <diagonal/>
    </border>
    <border>
      <left style="medium">
        <color auto="1"/>
      </left>
      <right/>
      <top/>
      <bottom style="medium">
        <color auto="1"/>
      </bottom>
      <diagonal/>
    </border>
    <border>
      <left style="thin">
        <color indexed="8"/>
      </left>
      <right/>
      <top style="thin">
        <color indexed="64"/>
      </top>
      <bottom/>
      <diagonal/>
    </border>
    <border>
      <left/>
      <right style="thin">
        <color indexed="8"/>
      </right>
      <top style="thin">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indexed="64"/>
      </top>
      <bottom style="thin">
        <color theme="0" tint="-0.1499679555650502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right style="medium">
        <color indexed="64"/>
      </right>
      <top style="medium">
        <color indexed="64"/>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indexed="8"/>
      </left>
      <right style="thin">
        <color indexed="8"/>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style="thin">
        <color auto="1"/>
      </left>
      <right style="thin">
        <color auto="1"/>
      </right>
      <top style="thin">
        <color auto="1"/>
      </top>
      <bottom/>
      <diagonal/>
    </border>
    <border>
      <left style="thin">
        <color auto="1"/>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style="medium">
        <color indexed="8"/>
      </top>
      <bottom style="thin">
        <color indexed="8"/>
      </bottom>
      <diagonal/>
    </border>
    <border>
      <left/>
      <right style="medium">
        <color indexed="8"/>
      </right>
      <top style="medium">
        <color indexed="8"/>
      </top>
      <bottom/>
      <diagonal/>
    </border>
    <border>
      <left style="thin">
        <color indexed="64"/>
      </left>
      <right/>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1499984740745262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medium">
        <color auto="1"/>
      </left>
      <right style="thin">
        <color auto="1"/>
      </right>
      <top/>
      <bottom/>
      <diagonal/>
    </border>
    <border>
      <left/>
      <right/>
      <top/>
      <bottom style="medium">
        <color indexed="8"/>
      </bottom>
      <diagonal/>
    </border>
    <border>
      <left/>
      <right style="medium">
        <color indexed="8"/>
      </right>
      <top/>
      <bottom style="medium">
        <color indexed="8"/>
      </bottom>
      <diagonal/>
    </border>
    <border>
      <left style="medium">
        <color auto="1"/>
      </left>
      <right/>
      <top/>
      <bottom style="medium">
        <color auto="1"/>
      </bottom>
      <diagonal/>
    </border>
    <border>
      <left style="medium">
        <color auto="1"/>
      </left>
      <right/>
      <top/>
      <bottom style="medium">
        <color auto="1"/>
      </bottom>
      <diagonal/>
    </border>
    <border>
      <left style="medium">
        <color indexed="8"/>
      </left>
      <right/>
      <top/>
      <bottom style="medium">
        <color indexed="8"/>
      </bottom>
      <diagonal/>
    </border>
    <border>
      <left/>
      <right/>
      <top/>
      <bottom style="medium">
        <color indexed="8"/>
      </bottom>
      <diagonal/>
    </border>
    <border>
      <left/>
      <right/>
      <top/>
      <bottom style="medium">
        <color indexed="64"/>
      </bottom>
      <diagonal/>
    </border>
    <border>
      <left style="thin">
        <color indexed="8"/>
      </left>
      <right style="medium">
        <color indexed="8"/>
      </right>
      <top style="thin">
        <color indexed="8"/>
      </top>
      <bottom/>
      <diagonal/>
    </border>
    <border>
      <left style="medium">
        <color indexed="64"/>
      </left>
      <right style="medium">
        <color indexed="64"/>
      </right>
      <top style="medium">
        <color indexed="8"/>
      </top>
      <bottom/>
      <diagonal/>
    </border>
    <border>
      <left style="medium">
        <color indexed="64"/>
      </left>
      <right style="medium">
        <color indexed="64"/>
      </right>
      <top style="medium">
        <color indexed="64"/>
      </top>
      <bottom/>
      <diagonal/>
    </border>
    <border>
      <left style="medium">
        <color indexed="8"/>
      </left>
      <right style="thin">
        <color indexed="8"/>
      </right>
      <top/>
      <bottom/>
      <diagonal/>
    </border>
    <border>
      <left/>
      <right style="medium">
        <color indexed="8"/>
      </right>
      <top/>
      <bottom style="medium">
        <color auto="1"/>
      </bottom>
      <diagonal/>
    </border>
    <border>
      <left/>
      <right style="medium">
        <color indexed="64"/>
      </right>
      <top/>
      <bottom style="medium">
        <color indexed="64"/>
      </bottom>
      <diagonal/>
    </border>
    <border>
      <left/>
      <right/>
      <top style="thin">
        <color indexed="64"/>
      </top>
      <bottom/>
      <diagonal/>
    </border>
    <border>
      <left style="thin">
        <color indexed="8"/>
      </left>
      <right style="medium">
        <color auto="1"/>
      </right>
      <top/>
      <bottom/>
      <diagonal/>
    </border>
    <border>
      <left style="thin">
        <color indexed="8"/>
      </left>
      <right style="medium">
        <color auto="1"/>
      </right>
      <top/>
      <bottom style="medium">
        <color auto="1"/>
      </bottom>
      <diagonal/>
    </border>
    <border>
      <left style="thin">
        <color indexed="8"/>
      </left>
      <right style="medium">
        <color auto="1"/>
      </right>
      <top style="thin">
        <color indexed="64"/>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theme="2" tint="-0.24994659260841701"/>
      </right>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medium">
        <color indexed="64"/>
      </bottom>
      <diagonal/>
    </border>
    <border>
      <left style="thin">
        <color theme="2" tint="-0.24994659260841701"/>
      </left>
      <right style="thin">
        <color theme="2" tint="-0.24994659260841701"/>
      </right>
      <top style="thin">
        <color theme="2" tint="-0.24994659260841701"/>
      </top>
      <bottom style="medium">
        <color indexed="64"/>
      </bottom>
      <diagonal/>
    </border>
    <border>
      <left style="thin">
        <color theme="2" tint="-0.24994659260841701"/>
      </left>
      <right style="medium">
        <color indexed="64"/>
      </right>
      <top style="thin">
        <color theme="2" tint="-0.24994659260841701"/>
      </top>
      <bottom style="medium">
        <color indexed="64"/>
      </bottom>
      <diagonal/>
    </border>
    <border>
      <left style="thin">
        <color auto="1"/>
      </left>
      <right style="medium">
        <color indexed="64"/>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thin">
        <color auto="1"/>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right/>
      <top/>
      <bottom style="medium">
        <color indexed="64"/>
      </bottom>
      <diagonal/>
    </border>
    <border>
      <left/>
      <right style="medium">
        <color indexed="64"/>
      </right>
      <top style="medium">
        <color indexed="8"/>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853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9" fillId="0" borderId="0" xfId="0" applyFont="1" applyAlignment="1">
      <alignment horizont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7"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0" fillId="12" borderId="91" xfId="0" applyFill="1" applyBorder="1"/>
    <xf numFmtId="0" fontId="0" fillId="12" borderId="89" xfId="0" applyFill="1" applyBorder="1"/>
    <xf numFmtId="0" fontId="13" fillId="0" borderId="92" xfId="0" applyFont="1" applyBorder="1"/>
    <xf numFmtId="0" fontId="13" fillId="0" borderId="91" xfId="0" applyFont="1" applyBorder="1"/>
    <xf numFmtId="0" fontId="53" fillId="14" borderId="91" xfId="0" applyFont="1" applyFill="1" applyBorder="1"/>
    <xf numFmtId="0" fontId="30" fillId="13" borderId="91" xfId="0" applyFont="1" applyFill="1" applyBorder="1" applyAlignment="1">
      <alignment horizontal="center" vertical="center"/>
    </xf>
    <xf numFmtId="0" fontId="30" fillId="13" borderId="68" xfId="0" applyFont="1" applyFill="1" applyBorder="1" applyAlignment="1">
      <alignment horizontal="center"/>
    </xf>
    <xf numFmtId="0" fontId="50" fillId="16" borderId="94" xfId="0" applyFont="1" applyFill="1" applyBorder="1"/>
    <xf numFmtId="0" fontId="50" fillId="12" borderId="91" xfId="0" applyFont="1" applyFill="1" applyBorder="1" applyAlignment="1">
      <alignment horizontal="center"/>
    </xf>
    <xf numFmtId="0" fontId="50" fillId="12" borderId="68" xfId="0" applyFont="1" applyFill="1" applyBorder="1" applyAlignment="1">
      <alignment horizontal="center"/>
    </xf>
    <xf numFmtId="0" fontId="8" fillId="12" borderId="91" xfId="0" applyFont="1" applyFill="1" applyBorder="1" applyAlignment="1">
      <alignment horizontal="center"/>
    </xf>
    <xf numFmtId="0" fontId="8" fillId="12" borderId="68" xfId="0" applyFont="1" applyFill="1" applyBorder="1" applyAlignment="1">
      <alignment horizontal="center"/>
    </xf>
    <xf numFmtId="0" fontId="8" fillId="12" borderId="89" xfId="0" applyFont="1" applyFill="1" applyBorder="1" applyAlignment="1">
      <alignment horizontal="center"/>
    </xf>
    <xf numFmtId="0" fontId="8" fillId="12" borderId="90"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1" xfId="0" applyFont="1" applyFill="1" applyBorder="1" applyAlignment="1">
      <alignment horizontal="center"/>
    </xf>
    <xf numFmtId="0" fontId="45" fillId="13" borderId="96"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50" fillId="12" borderId="100" xfId="0" applyFont="1" applyFill="1" applyBorder="1" applyAlignment="1">
      <alignment horizontal="center"/>
    </xf>
    <xf numFmtId="0" fontId="45" fillId="13" borderId="101"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76" xfId="0" applyFont="1" applyFill="1" applyBorder="1" applyAlignment="1">
      <alignment horizontal="center"/>
    </xf>
    <xf numFmtId="0" fontId="0" fillId="16" borderId="76" xfId="0" applyFill="1" applyBorder="1" applyAlignment="1">
      <alignment horizontal="center"/>
    </xf>
    <xf numFmtId="0" fontId="45" fillId="13" borderId="104" xfId="0" applyFont="1" applyFill="1" applyBorder="1" applyAlignment="1">
      <alignment horizontal="center"/>
    </xf>
    <xf numFmtId="0" fontId="45" fillId="13" borderId="100" xfId="0" applyFont="1" applyFill="1" applyBorder="1" applyAlignment="1">
      <alignment horizontal="center"/>
    </xf>
    <xf numFmtId="0" fontId="45" fillId="13" borderId="98" xfId="0" applyFont="1" applyFill="1" applyBorder="1"/>
    <xf numFmtId="0" fontId="45" fillId="13" borderId="107"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8" xfId="0" applyFont="1" applyFill="1" applyBorder="1" applyAlignment="1">
      <alignment horizontal="center"/>
    </xf>
    <xf numFmtId="0" fontId="58" fillId="16" borderId="93" xfId="0" applyFont="1" applyFill="1" applyBorder="1"/>
    <xf numFmtId="0" fontId="50" fillId="12" borderId="0" xfId="0" applyFont="1" applyFill="1"/>
    <xf numFmtId="0" fontId="50" fillId="12" borderId="104" xfId="0" applyFont="1" applyFill="1" applyBorder="1" applyAlignment="1">
      <alignment horizontal="center"/>
    </xf>
    <xf numFmtId="0" fontId="58" fillId="16" borderId="94" xfId="0" applyFont="1" applyFill="1" applyBorder="1"/>
    <xf numFmtId="0" fontId="50" fillId="12" borderId="0" xfId="0" applyFont="1" applyFill="1" applyAlignment="1">
      <alignment horizontal="left"/>
    </xf>
    <xf numFmtId="0" fontId="45" fillId="21" borderId="79" xfId="0" applyFont="1" applyFill="1" applyBorder="1" applyAlignment="1">
      <alignment horizontal="center"/>
    </xf>
    <xf numFmtId="0" fontId="0" fillId="16" borderId="0" xfId="0" applyFill="1"/>
    <xf numFmtId="0" fontId="0" fillId="21" borderId="0" xfId="0" applyFill="1"/>
    <xf numFmtId="0" fontId="45" fillId="21" borderId="78" xfId="0" applyFont="1" applyFill="1" applyBorder="1" applyAlignment="1">
      <alignment horizontal="center"/>
    </xf>
    <xf numFmtId="0" fontId="0" fillId="16" borderId="91" xfId="0" applyFill="1" applyBorder="1"/>
    <xf numFmtId="0" fontId="50" fillId="12" borderId="79" xfId="0" quotePrefix="1" applyFont="1" applyFill="1" applyBorder="1" applyAlignment="1">
      <alignment horizontal="center"/>
    </xf>
    <xf numFmtId="0" fontId="0" fillId="16" borderId="76"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6" xfId="0" applyFill="1" applyBorder="1" applyAlignment="1">
      <alignment vertical="center" wrapText="1"/>
    </xf>
    <xf numFmtId="0" fontId="0" fillId="12" borderId="87" xfId="0" applyFill="1" applyBorder="1" applyAlignment="1">
      <alignment vertical="center" wrapText="1"/>
    </xf>
    <xf numFmtId="0" fontId="0" fillId="12" borderId="91" xfId="0" applyFill="1" applyBorder="1" applyAlignment="1">
      <alignment vertical="center" wrapText="1"/>
    </xf>
    <xf numFmtId="0" fontId="9" fillId="23" borderId="113" xfId="0" applyFont="1" applyFill="1" applyBorder="1" applyAlignment="1">
      <alignment vertical="center" wrapText="1"/>
    </xf>
    <xf numFmtId="0" fontId="12" fillId="23" borderId="120" xfId="0" applyFont="1" applyFill="1" applyBorder="1" applyAlignment="1">
      <alignment horizontal="right" vertical="center" wrapText="1"/>
    </xf>
    <xf numFmtId="0" fontId="30" fillId="12" borderId="91" xfId="0" applyFont="1" applyFill="1" applyBorder="1" applyAlignment="1">
      <alignment horizontal="center" vertical="center" wrapText="1"/>
    </xf>
    <xf numFmtId="0" fontId="12" fillId="23" borderId="126" xfId="0" applyFont="1" applyFill="1" applyBorder="1" applyAlignment="1">
      <alignment horizontal="right" vertical="center" wrapText="1"/>
    </xf>
    <xf numFmtId="0" fontId="16" fillId="23" borderId="76" xfId="0" applyFont="1" applyFill="1" applyBorder="1" applyAlignment="1">
      <alignment horizontal="center" vertical="center" wrapText="1"/>
    </xf>
    <xf numFmtId="0" fontId="12" fillId="23" borderId="113" xfId="0" applyFont="1" applyFill="1" applyBorder="1" applyAlignment="1">
      <alignment horizontal="right" vertical="center" wrapText="1"/>
    </xf>
    <xf numFmtId="0" fontId="16" fillId="23" borderId="100" xfId="0" applyFont="1" applyFill="1" applyBorder="1" applyAlignment="1">
      <alignment horizontal="center" vertical="center" wrapText="1"/>
    </xf>
    <xf numFmtId="0" fontId="9" fillId="23" borderId="131" xfId="0" applyFont="1" applyFill="1" applyBorder="1" applyAlignment="1">
      <alignment horizontal="center" vertical="center" wrapText="1"/>
    </xf>
    <xf numFmtId="0" fontId="26" fillId="12" borderId="91" xfId="0" applyFont="1" applyFill="1" applyBorder="1" applyAlignment="1">
      <alignment horizontal="center" vertical="center" wrapText="1"/>
    </xf>
    <xf numFmtId="0" fontId="9" fillId="23" borderId="79" xfId="0" applyFont="1" applyFill="1" applyBorder="1" applyAlignment="1">
      <alignment horizontal="center" vertical="center" wrapText="1"/>
    </xf>
    <xf numFmtId="0" fontId="0" fillId="12" borderId="89" xfId="0" applyFill="1" applyBorder="1" applyAlignment="1">
      <alignment vertical="center" wrapText="1"/>
    </xf>
    <xf numFmtId="0" fontId="0" fillId="12" borderId="76"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0" fontId="45" fillId="13" borderId="91"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76" xfId="0" applyFont="1" applyFill="1" applyBorder="1" applyAlignment="1">
      <alignment horizont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79" xfId="0" applyFont="1" applyFill="1" applyBorder="1" applyAlignment="1">
      <alignment horizontal="center" vertical="center"/>
    </xf>
    <xf numFmtId="0" fontId="27" fillId="12" borderId="79" xfId="0" applyFont="1" applyFill="1" applyBorder="1" applyAlignment="1">
      <alignment horizontal="center" vertical="center"/>
    </xf>
    <xf numFmtId="0" fontId="9" fillId="12" borderId="142" xfId="0" applyFont="1" applyFill="1" applyBorder="1" applyAlignment="1">
      <alignment horizontal="center" vertical="center"/>
    </xf>
    <xf numFmtId="0" fontId="9" fillId="12" borderId="68" xfId="0" applyFont="1" applyFill="1" applyBorder="1" applyAlignment="1">
      <alignment horizontal="left" vertical="center"/>
    </xf>
    <xf numFmtId="0" fontId="9" fillId="12" borderId="79"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79" xfId="0" quotePrefix="1" applyFont="1" applyFill="1" applyBorder="1" applyAlignment="1">
      <alignment horizontal="center" vertical="center"/>
    </xf>
    <xf numFmtId="0" fontId="50" fillId="12" borderId="79" xfId="0" applyFont="1" applyFill="1" applyBorder="1" applyAlignment="1">
      <alignment horizontal="center" vertical="center"/>
    </xf>
    <xf numFmtId="0" fontId="0" fillId="12" borderId="0" xfId="0" applyFill="1" applyAlignment="1">
      <alignment horizontal="center" vertical="center"/>
    </xf>
    <xf numFmtId="0" fontId="9" fillId="12" borderId="76" xfId="0" applyFont="1" applyFill="1" applyBorder="1" applyAlignment="1">
      <alignment horizontal="center" vertical="center"/>
    </xf>
    <xf numFmtId="0" fontId="50" fillId="12" borderId="76" xfId="0" applyFont="1" applyFill="1" applyBorder="1" applyAlignment="1">
      <alignment horizontal="center" vertical="center"/>
    </xf>
    <xf numFmtId="0" fontId="50" fillId="12" borderId="127" xfId="0" applyFont="1" applyFill="1" applyBorder="1" applyAlignment="1">
      <alignment horizontal="center" vertical="center"/>
    </xf>
    <xf numFmtId="0" fontId="9" fillId="12" borderId="127" xfId="0" applyFont="1" applyFill="1" applyBorder="1" applyAlignment="1">
      <alignment horizontal="center" vertical="center"/>
    </xf>
    <xf numFmtId="0" fontId="9" fillId="12" borderId="76" xfId="0" applyFont="1" applyFill="1" applyBorder="1" applyAlignment="1">
      <alignment horizontal="left" vertical="center"/>
    </xf>
    <xf numFmtId="0" fontId="9" fillId="12" borderId="90" xfId="0" applyFont="1" applyFill="1" applyBorder="1" applyAlignment="1">
      <alignment horizontal="left" vertical="center"/>
    </xf>
    <xf numFmtId="0" fontId="27" fillId="12" borderId="78" xfId="0" applyFont="1" applyFill="1" applyBorder="1" applyAlignment="1">
      <alignment horizontal="center" vertical="center"/>
    </xf>
    <xf numFmtId="0" fontId="0" fillId="23" borderId="0" xfId="0" applyFill="1"/>
    <xf numFmtId="0" fontId="0" fillId="12" borderId="86" xfId="0" applyFill="1" applyBorder="1"/>
    <xf numFmtId="0" fontId="0" fillId="12" borderId="87" xfId="0" applyFill="1" applyBorder="1"/>
    <xf numFmtId="0" fontId="0" fillId="12" borderId="88" xfId="0" applyFill="1" applyBorder="1"/>
    <xf numFmtId="0" fontId="0" fillId="23" borderId="87" xfId="0" applyFill="1" applyBorder="1" applyAlignment="1">
      <alignment wrapText="1"/>
    </xf>
    <xf numFmtId="0" fontId="0" fillId="23" borderId="88"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6" xfId="0" applyFill="1" applyBorder="1" applyAlignment="1">
      <alignment wrapText="1"/>
    </xf>
    <xf numFmtId="0" fontId="0" fillId="23" borderId="90" xfId="0" applyFill="1" applyBorder="1" applyAlignment="1">
      <alignment wrapText="1"/>
    </xf>
    <xf numFmtId="0" fontId="12" fillId="23" borderId="132" xfId="0" applyFont="1" applyFill="1" applyBorder="1" applyAlignment="1">
      <alignment horizontal="right" vertical="center"/>
    </xf>
    <xf numFmtId="0" fontId="13" fillId="23" borderId="87" xfId="0" applyFont="1" applyFill="1" applyBorder="1" applyAlignment="1">
      <alignment horizontal="left" vertical="center"/>
    </xf>
    <xf numFmtId="0" fontId="12" fillId="23" borderId="98" xfId="0" applyFont="1" applyFill="1" applyBorder="1" applyAlignment="1">
      <alignment horizontal="center"/>
    </xf>
    <xf numFmtId="0" fontId="41" fillId="23" borderId="72" xfId="0" applyFont="1" applyFill="1" applyBorder="1" applyAlignment="1">
      <alignment horizontal="right"/>
    </xf>
    <xf numFmtId="0" fontId="13" fillId="23" borderId="137" xfId="0" applyFont="1" applyFill="1" applyBorder="1" applyAlignment="1">
      <alignment horizontal="left" vertical="center" wrapText="1"/>
    </xf>
    <xf numFmtId="0" fontId="13" fillId="23" borderId="0" xfId="0" applyFont="1" applyFill="1" applyAlignment="1">
      <alignment horizontal="center"/>
    </xf>
    <xf numFmtId="0" fontId="13" fillId="23" borderId="79" xfId="0" applyFont="1" applyFill="1" applyBorder="1" applyAlignment="1">
      <alignment horizontal="center"/>
    </xf>
    <xf numFmtId="0" fontId="13" fillId="12" borderId="0" xfId="0" applyFont="1" applyFill="1" applyAlignment="1">
      <alignment horizontal="center"/>
    </xf>
    <xf numFmtId="0" fontId="13" fillId="12" borderId="79" xfId="0" applyFont="1" applyFill="1" applyBorder="1" applyAlignment="1">
      <alignment horizontal="center"/>
    </xf>
    <xf numFmtId="0" fontId="13" fillId="12" borderId="76" xfId="0" applyFont="1" applyFill="1" applyBorder="1" applyAlignment="1">
      <alignment horizontal="center"/>
    </xf>
    <xf numFmtId="0" fontId="13" fillId="12" borderId="12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6" xfId="0" applyFill="1" applyBorder="1"/>
    <xf numFmtId="0" fontId="0" fillId="12" borderId="90" xfId="0" applyFill="1" applyBorder="1"/>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8" xfId="0" applyFont="1" applyFill="1" applyBorder="1" applyAlignment="1">
      <alignment horizontal="center" wrapText="1"/>
    </xf>
    <xf numFmtId="0" fontId="9" fillId="7" borderId="78"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6" xfId="0" applyFont="1" applyFill="1" applyBorder="1" applyAlignment="1">
      <alignment horizontal="center" wrapText="1"/>
    </xf>
    <xf numFmtId="0" fontId="9" fillId="7" borderId="98" xfId="0" applyFont="1" applyFill="1" applyBorder="1" applyAlignment="1">
      <alignment horizontal="center"/>
    </xf>
    <xf numFmtId="0" fontId="11" fillId="12" borderId="0" xfId="0" applyFont="1" applyFill="1" applyAlignment="1">
      <alignment vertical="center" wrapText="1"/>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1" xfId="0" applyFont="1" applyFill="1" applyBorder="1" applyAlignment="1">
      <alignment horizontal="center"/>
    </xf>
    <xf numFmtId="0" fontId="12" fillId="23" borderId="126" xfId="0" applyFont="1" applyFill="1" applyBorder="1" applyAlignment="1">
      <alignment horizontal="center" vertical="center" wrapText="1"/>
    </xf>
    <xf numFmtId="0" fontId="0" fillId="12" borderId="91" xfId="0" applyFill="1" applyBorder="1" applyAlignment="1">
      <alignment horizontal="center"/>
    </xf>
    <xf numFmtId="0" fontId="71" fillId="13" borderId="0" xfId="0" applyFont="1" applyFill="1" applyAlignment="1">
      <alignment horizontal="center" vertical="center"/>
    </xf>
    <xf numFmtId="0" fontId="9" fillId="7" borderId="153" xfId="0" applyFont="1" applyFill="1" applyBorder="1" applyAlignment="1">
      <alignment horizontal="center" vertical="center" wrapText="1"/>
    </xf>
    <xf numFmtId="0" fontId="13" fillId="7" borderId="154" xfId="0" applyFont="1" applyFill="1" applyBorder="1" applyAlignment="1">
      <alignment horizontal="center" vertical="center" wrapText="1"/>
    </xf>
    <xf numFmtId="0" fontId="9" fillId="19" borderId="105" xfId="0" applyFont="1" applyFill="1" applyBorder="1" applyAlignment="1">
      <alignment vertical="center" wrapText="1"/>
    </xf>
    <xf numFmtId="0" fontId="50" fillId="12" borderId="89" xfId="0" applyFont="1" applyFill="1" applyBorder="1" applyAlignment="1">
      <alignment horizontal="center"/>
    </xf>
    <xf numFmtId="0" fontId="50" fillId="12" borderId="157" xfId="0" applyFont="1" applyFill="1" applyBorder="1" applyAlignment="1">
      <alignment horizontal="center"/>
    </xf>
    <xf numFmtId="0" fontId="0" fillId="22" borderId="97" xfId="0" applyFill="1" applyBorder="1"/>
    <xf numFmtId="0" fontId="0" fillId="22" borderId="129" xfId="0" applyFill="1" applyBorder="1"/>
    <xf numFmtId="0" fontId="9" fillId="19" borderId="104" xfId="0" applyFont="1" applyFill="1" applyBorder="1" applyAlignment="1">
      <alignment vertical="center"/>
    </xf>
    <xf numFmtId="0" fontId="72" fillId="22" borderId="98" xfId="0" applyFont="1" applyFill="1" applyBorder="1" applyAlignment="1">
      <alignment horizontal="left"/>
    </xf>
    <xf numFmtId="0" fontId="71" fillId="13" borderId="91" xfId="0" applyFont="1" applyFill="1" applyBorder="1" applyAlignment="1">
      <alignment horizontal="center" vertical="center"/>
    </xf>
    <xf numFmtId="0" fontId="45" fillId="13" borderId="120" xfId="0" applyFont="1" applyFill="1" applyBorder="1" applyAlignment="1">
      <alignment horizontal="right"/>
    </xf>
    <xf numFmtId="0" fontId="16" fillId="23" borderId="68"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9" borderId="91" xfId="0" applyFont="1" applyFill="1" applyBorder="1" applyAlignment="1">
      <alignment horizontal="right" vertical="center" wrapText="1"/>
    </xf>
    <xf numFmtId="0" fontId="9" fillId="16" borderId="92" xfId="0" applyFont="1" applyFill="1" applyBorder="1" applyAlignment="1">
      <alignment horizontal="right" vertical="center" wrapText="1"/>
    </xf>
    <xf numFmtId="0" fontId="9" fillId="19" borderId="106"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106"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1"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7" xfId="0" applyFont="1" applyFill="1" applyBorder="1" applyAlignment="1">
      <alignment horizontal="center"/>
    </xf>
    <xf numFmtId="0" fontId="9" fillId="19" borderId="70" xfId="0" applyFont="1" applyFill="1" applyBorder="1" applyAlignment="1">
      <alignment horizontal="center"/>
    </xf>
    <xf numFmtId="0" fontId="9" fillId="19" borderId="121" xfId="0" applyFont="1" applyFill="1" applyBorder="1" applyAlignment="1">
      <alignment horizontal="center"/>
    </xf>
    <xf numFmtId="0" fontId="9" fillId="16" borderId="66" xfId="0" applyFont="1" applyFill="1" applyBorder="1" applyAlignment="1">
      <alignment horizontal="center"/>
    </xf>
    <xf numFmtId="0" fontId="9" fillId="16" borderId="137" xfId="0" applyFont="1" applyFill="1" applyBorder="1" applyAlignment="1">
      <alignment horizontal="center"/>
    </xf>
    <xf numFmtId="0" fontId="76" fillId="0" borderId="0" xfId="0" applyFont="1"/>
    <xf numFmtId="0" fontId="58" fillId="7" borderId="0" xfId="0" applyFont="1" applyFill="1"/>
    <xf numFmtId="0" fontId="0" fillId="3" borderId="91" xfId="0" applyFill="1" applyBorder="1"/>
    <xf numFmtId="0" fontId="0" fillId="3" borderId="68" xfId="0" applyFill="1" applyBorder="1" applyAlignment="1">
      <alignment horizontal="center"/>
    </xf>
    <xf numFmtId="0" fontId="0" fillId="3" borderId="89" xfId="0" applyFill="1" applyBorder="1"/>
    <xf numFmtId="0" fontId="0" fillId="3" borderId="76" xfId="0" applyFill="1" applyBorder="1" applyAlignment="1">
      <alignment horizontal="center"/>
    </xf>
    <xf numFmtId="0" fontId="9" fillId="3" borderId="10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20" fillId="3" borderId="100" xfId="0" applyFont="1" applyFill="1" applyBorder="1" applyAlignment="1">
      <alignment horizontal="center" vertical="center" wrapText="1"/>
    </xf>
    <xf numFmtId="0" fontId="20" fillId="7" borderId="100"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2"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1"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9" fillId="16" borderId="89" xfId="0" applyFont="1" applyFill="1" applyBorder="1" applyAlignment="1">
      <alignment horizontal="right" vertical="center" wrapText="1"/>
    </xf>
    <xf numFmtId="0" fontId="9" fillId="16" borderId="76" xfId="0" applyFont="1" applyFill="1" applyBorder="1" applyAlignment="1">
      <alignment horizontal="center"/>
    </xf>
    <xf numFmtId="0" fontId="9" fillId="16" borderId="90" xfId="0" applyFont="1" applyFill="1" applyBorder="1" applyAlignment="1">
      <alignment horizontal="center"/>
    </xf>
    <xf numFmtId="0" fontId="0" fillId="7" borderId="87" xfId="0" applyFill="1" applyBorder="1" applyAlignment="1">
      <alignment wrapText="1"/>
    </xf>
    <xf numFmtId="0" fontId="0" fillId="7" borderId="87" xfId="0" applyFill="1" applyBorder="1"/>
    <xf numFmtId="0" fontId="0" fillId="7" borderId="88" xfId="0" applyFill="1" applyBorder="1" applyAlignment="1">
      <alignment wrapText="1"/>
    </xf>
    <xf numFmtId="0" fontId="9" fillId="7" borderId="172" xfId="0" applyFont="1" applyFill="1" applyBorder="1" applyAlignment="1">
      <alignment horizontal="center" vertical="center" wrapText="1"/>
    </xf>
    <xf numFmtId="0" fontId="9" fillId="7" borderId="112" xfId="0" applyFont="1" applyFill="1" applyBorder="1" applyAlignment="1">
      <alignment horizontal="center" vertical="center" wrapText="1"/>
    </xf>
    <xf numFmtId="0" fontId="12" fillId="7" borderId="174" xfId="0" applyFont="1" applyFill="1" applyBorder="1" applyAlignment="1">
      <alignment horizontal="center" vertical="center" wrapText="1"/>
    </xf>
    <xf numFmtId="0" fontId="12" fillId="7" borderId="175"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58" xfId="0" applyFont="1" applyFill="1" applyBorder="1" applyAlignment="1">
      <alignment horizontal="center" vertical="center" wrapText="1"/>
    </xf>
    <xf numFmtId="0" fontId="9" fillId="7" borderId="167"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62"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3" borderId="179"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1"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2"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12" fillId="7" borderId="151" xfId="0" applyFont="1" applyFill="1" applyBorder="1" applyAlignment="1">
      <alignment horizontal="center" vertical="center"/>
    </xf>
    <xf numFmtId="0" fontId="20" fillId="7" borderId="184"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3" xfId="0" applyFont="1" applyFill="1" applyBorder="1" applyAlignment="1">
      <alignment horizontal="center" vertical="center" wrapText="1"/>
    </xf>
    <xf numFmtId="0" fontId="13" fillId="7" borderId="76" xfId="0" applyFont="1" applyFill="1" applyBorder="1" applyAlignment="1">
      <alignment horizontal="center"/>
    </xf>
    <xf numFmtId="0" fontId="9" fillId="7" borderId="76" xfId="0" applyFont="1" applyFill="1" applyBorder="1" applyAlignment="1">
      <alignment horizontal="center"/>
    </xf>
    <xf numFmtId="0" fontId="12" fillId="7" borderId="90" xfId="0" applyFont="1" applyFill="1" applyBorder="1" applyAlignment="1">
      <alignment horizontal="center"/>
    </xf>
    <xf numFmtId="0" fontId="0" fillId="0" borderId="0" xfId="0" applyAlignment="1">
      <alignment horizontal="left"/>
    </xf>
    <xf numFmtId="0" fontId="0" fillId="3" borderId="91" xfId="0" applyFill="1" applyBorder="1" applyAlignment="1">
      <alignment horizontal="left"/>
    </xf>
    <xf numFmtId="0" fontId="0" fillId="3" borderId="68" xfId="0" applyFill="1" applyBorder="1" applyAlignment="1">
      <alignment horizontal="left"/>
    </xf>
    <xf numFmtId="0" fontId="0" fillId="3" borderId="89" xfId="0" applyFill="1" applyBorder="1" applyAlignment="1">
      <alignment horizontal="left"/>
    </xf>
    <xf numFmtId="0" fontId="0" fillId="3" borderId="90" xfId="0" applyFill="1" applyBorder="1" applyAlignment="1">
      <alignment horizontal="left"/>
    </xf>
    <xf numFmtId="0" fontId="9" fillId="3" borderId="91"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89" xfId="0" applyFill="1" applyBorder="1"/>
    <xf numFmtId="0" fontId="9" fillId="29" borderId="78" xfId="0" applyFont="1" applyFill="1" applyBorder="1" applyAlignment="1">
      <alignment horizontal="left"/>
    </xf>
    <xf numFmtId="0" fontId="9" fillId="29" borderId="79" xfId="0" applyFont="1" applyFill="1" applyBorder="1" applyAlignment="1">
      <alignment horizontal="left"/>
    </xf>
    <xf numFmtId="0" fontId="9" fillId="29" borderId="104" xfId="0" applyFont="1" applyFill="1" applyBorder="1" applyAlignment="1">
      <alignment horizontal="left"/>
    </xf>
    <xf numFmtId="0" fontId="0" fillId="27" borderId="91" xfId="0" applyFill="1" applyBorder="1"/>
    <xf numFmtId="0" fontId="77" fillId="21" borderId="91" xfId="0" applyFont="1" applyFill="1" applyBorder="1" applyAlignment="1">
      <alignment horizontal="center"/>
    </xf>
    <xf numFmtId="0" fontId="77" fillId="21" borderId="78" xfId="0" applyFont="1" applyFill="1" applyBorder="1" applyAlignment="1">
      <alignment horizontal="center"/>
    </xf>
    <xf numFmtId="0" fontId="77" fillId="21" borderId="79" xfId="0" applyFont="1" applyFill="1" applyBorder="1" applyAlignment="1">
      <alignment horizontal="center"/>
    </xf>
    <xf numFmtId="0" fontId="77" fillId="21" borderId="104" xfId="0" applyFont="1" applyFill="1" applyBorder="1" applyAlignment="1">
      <alignment horizontal="center"/>
    </xf>
    <xf numFmtId="0" fontId="77" fillId="21" borderId="68" xfId="0" applyFont="1" applyFill="1" applyBorder="1" applyAlignment="1">
      <alignment horizontal="center"/>
    </xf>
    <xf numFmtId="0" fontId="0" fillId="3" borderId="76"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0"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0"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6"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6"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1" xfId="0" applyFill="1" applyBorder="1" applyAlignment="1">
      <alignment horizontal="left" vertical="center"/>
    </xf>
    <xf numFmtId="0" fontId="0" fillId="38" borderId="89" xfId="0" applyFill="1" applyBorder="1" applyAlignment="1">
      <alignment horizontal="left" vertical="center"/>
    </xf>
    <xf numFmtId="0" fontId="45" fillId="8" borderId="68" xfId="0" applyFont="1" applyFill="1" applyBorder="1" applyAlignment="1">
      <alignment horizontal="left"/>
    </xf>
    <xf numFmtId="0" fontId="0" fillId="3" borderId="91"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0"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7" xfId="0" applyFill="1" applyBorder="1" applyAlignment="1">
      <alignment vertical="center" wrapText="1"/>
    </xf>
    <xf numFmtId="0" fontId="59" fillId="3" borderId="87" xfId="0" applyFont="1" applyFill="1" applyBorder="1" applyAlignment="1">
      <alignment vertical="center" wrapText="1"/>
    </xf>
    <xf numFmtId="0" fontId="9" fillId="3" borderId="88" xfId="0" applyFont="1" applyFill="1" applyBorder="1" applyAlignment="1">
      <alignment vertical="center" wrapText="1"/>
    </xf>
    <xf numFmtId="0" fontId="9" fillId="3" borderId="68" xfId="0" applyFont="1" applyFill="1" applyBorder="1" applyAlignment="1">
      <alignment vertical="center" wrapText="1"/>
    </xf>
    <xf numFmtId="0" fontId="0" fillId="3" borderId="76" xfId="0" applyFill="1" applyBorder="1" applyAlignment="1">
      <alignment vertical="center" wrapText="1"/>
    </xf>
    <xf numFmtId="0" fontId="59" fillId="3" borderId="76" xfId="0" applyFont="1" applyFill="1" applyBorder="1" applyAlignment="1">
      <alignment vertical="center" wrapText="1"/>
    </xf>
    <xf numFmtId="0" fontId="9" fillId="3" borderId="90" xfId="0" applyFont="1" applyFill="1" applyBorder="1" applyAlignment="1">
      <alignment vertical="center" wrapText="1"/>
    </xf>
    <xf numFmtId="0" fontId="8" fillId="3" borderId="91" xfId="0" applyFont="1" applyFill="1" applyBorder="1" applyAlignment="1">
      <alignment horizontal="right" wrapText="1"/>
    </xf>
    <xf numFmtId="0" fontId="8" fillId="3" borderId="68" xfId="0" applyFont="1" applyFill="1" applyBorder="1" applyAlignment="1">
      <alignment horizontal="right" wrapText="1"/>
    </xf>
    <xf numFmtId="0" fontId="8" fillId="3" borderId="91" xfId="0" applyFont="1" applyFill="1" applyBorder="1" applyAlignment="1">
      <alignment horizontal="right"/>
    </xf>
    <xf numFmtId="0" fontId="21" fillId="3" borderId="76" xfId="0" applyFont="1" applyFill="1" applyBorder="1" applyAlignment="1">
      <alignment wrapText="1"/>
    </xf>
    <xf numFmtId="0" fontId="59" fillId="7" borderId="0" xfId="0" applyFont="1" applyFill="1" applyAlignment="1">
      <alignment horizontal="right" wrapText="1"/>
    </xf>
    <xf numFmtId="0" fontId="59" fillId="3" borderId="86" xfId="0" applyFont="1" applyFill="1" applyBorder="1" applyAlignment="1">
      <alignment horizontal="left"/>
    </xf>
    <xf numFmtId="0" fontId="59" fillId="3" borderId="87" xfId="0" applyFont="1" applyFill="1" applyBorder="1" applyAlignment="1">
      <alignment horizontal="right" wrapText="1"/>
    </xf>
    <xf numFmtId="0" fontId="59" fillId="3" borderId="88"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1" xfId="0" applyFont="1" applyFill="1" applyBorder="1"/>
    <xf numFmtId="0" fontId="58" fillId="22" borderId="89" xfId="0" applyFont="1" applyFill="1" applyBorder="1"/>
    <xf numFmtId="0" fontId="58" fillId="22" borderId="127" xfId="0" applyFont="1" applyFill="1" applyBorder="1"/>
    <xf numFmtId="0" fontId="50" fillId="12" borderId="87" xfId="0" applyFont="1" applyFill="1" applyBorder="1"/>
    <xf numFmtId="0" fontId="50" fillId="12" borderId="169" xfId="0" applyFont="1" applyFill="1" applyBorder="1" applyAlignment="1">
      <alignment horizontal="center"/>
    </xf>
    <xf numFmtId="0" fontId="50" fillId="12" borderId="87" xfId="0" applyFont="1" applyFill="1" applyBorder="1" applyAlignment="1">
      <alignment horizontal="center"/>
    </xf>
    <xf numFmtId="0" fontId="50" fillId="12" borderId="132" xfId="0" applyFont="1" applyFill="1" applyBorder="1" applyAlignment="1">
      <alignment horizontal="center"/>
    </xf>
    <xf numFmtId="0" fontId="0" fillId="16" borderId="143" xfId="0" applyFill="1" applyBorder="1"/>
    <xf numFmtId="0" fontId="50" fillId="16" borderId="100" xfId="0" applyFont="1" applyFill="1" applyBorder="1" applyAlignment="1">
      <alignment horizontal="center"/>
    </xf>
    <xf numFmtId="0" fontId="0" fillId="16" borderId="100" xfId="0" applyFill="1" applyBorder="1"/>
    <xf numFmtId="0" fontId="0" fillId="21" borderId="0" xfId="0" applyFill="1" applyAlignment="1">
      <alignment horizontal="center"/>
    </xf>
    <xf numFmtId="0" fontId="0" fillId="21" borderId="100" xfId="0"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0" fillId="16" borderId="89" xfId="0" applyFill="1" applyBorder="1"/>
    <xf numFmtId="0" fontId="12" fillId="7" borderId="195" xfId="0" applyFont="1" applyFill="1" applyBorder="1" applyAlignment="1">
      <alignment horizontal="center" vertical="center" wrapText="1"/>
    </xf>
    <xf numFmtId="0" fontId="16" fillId="7" borderId="162" xfId="0" applyFont="1" applyFill="1" applyBorder="1" applyAlignment="1">
      <alignment horizontal="center" vertical="center" wrapText="1"/>
    </xf>
    <xf numFmtId="0" fontId="16" fillId="3" borderId="162" xfId="0" applyFont="1" applyFill="1" applyBorder="1" applyAlignment="1">
      <alignment horizontal="center" vertical="center" wrapText="1"/>
    </xf>
    <xf numFmtId="0" fontId="12" fillId="7" borderId="179" xfId="0" applyFont="1" applyFill="1" applyBorder="1" applyAlignment="1">
      <alignment horizontal="center" vertical="center"/>
    </xf>
    <xf numFmtId="0" fontId="16" fillId="7" borderId="162" xfId="0" applyFont="1" applyFill="1" applyBorder="1" applyAlignment="1">
      <alignment horizontal="center"/>
    </xf>
    <xf numFmtId="0" fontId="16" fillId="9" borderId="162" xfId="0" applyFont="1" applyFill="1" applyBorder="1" applyAlignment="1">
      <alignment horizontal="center"/>
    </xf>
    <xf numFmtId="0" fontId="16" fillId="7" borderId="179" xfId="0" applyFont="1" applyFill="1" applyBorder="1" applyAlignment="1">
      <alignment horizontal="center"/>
    </xf>
    <xf numFmtId="0" fontId="0" fillId="3" borderId="86" xfId="0" applyFill="1" applyBorder="1"/>
    <xf numFmtId="0" fontId="0" fillId="3" borderId="87" xfId="0" applyFill="1" applyBorder="1"/>
    <xf numFmtId="0" fontId="0" fillId="3" borderId="88" xfId="0" applyFill="1" applyBorder="1"/>
    <xf numFmtId="0" fontId="30" fillId="3" borderId="91" xfId="0" applyFont="1" applyFill="1" applyBorder="1" applyAlignment="1">
      <alignment horizontal="center"/>
    </xf>
    <xf numFmtId="0" fontId="26" fillId="3" borderId="91" xfId="0" applyFont="1" applyFill="1" applyBorder="1" applyAlignment="1">
      <alignment horizontal="center"/>
    </xf>
    <xf numFmtId="0" fontId="40" fillId="3" borderId="91" xfId="0" applyFont="1" applyFill="1" applyBorder="1" applyAlignment="1">
      <alignment horizontal="center"/>
    </xf>
    <xf numFmtId="0" fontId="40" fillId="3" borderId="89"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67" fillId="3" borderId="0" xfId="0" applyFont="1" applyFill="1"/>
    <xf numFmtId="0" fontId="45" fillId="8" borderId="163" xfId="0" applyFont="1" applyFill="1" applyBorder="1" applyAlignment="1">
      <alignment horizontal="center" wrapText="1"/>
    </xf>
    <xf numFmtId="0" fontId="45" fillId="8" borderId="164" xfId="0" applyFont="1" applyFill="1" applyBorder="1" applyAlignment="1">
      <alignment horizontal="center" wrapText="1"/>
    </xf>
    <xf numFmtId="0" fontId="0" fillId="3" borderId="90" xfId="0" applyFill="1" applyBorder="1" applyAlignment="1">
      <alignment horizontal="center"/>
    </xf>
    <xf numFmtId="0" fontId="45" fillId="8" borderId="194" xfId="0" applyFont="1" applyFill="1" applyBorder="1" applyAlignment="1">
      <alignment horizontal="center" wrapText="1"/>
    </xf>
    <xf numFmtId="0" fontId="0" fillId="3" borderId="94" xfId="0" applyFill="1" applyBorder="1" applyAlignment="1">
      <alignment horizontal="center"/>
    </xf>
    <xf numFmtId="0" fontId="0" fillId="3" borderId="95" xfId="0" applyFill="1" applyBorder="1" applyAlignment="1">
      <alignment horizontal="center"/>
    </xf>
    <xf numFmtId="0" fontId="45" fillId="8" borderId="69" xfId="0" applyFont="1" applyFill="1" applyBorder="1" applyAlignment="1">
      <alignment vertical="center" wrapText="1"/>
    </xf>
    <xf numFmtId="0" fontId="45" fillId="8" borderId="78" xfId="0" applyFont="1" applyFill="1" applyBorder="1" applyAlignment="1">
      <alignment vertical="center" wrapText="1"/>
    </xf>
    <xf numFmtId="0" fontId="45" fillId="8" borderId="72" xfId="0" applyFont="1" applyFill="1" applyBorder="1" applyAlignment="1">
      <alignment vertical="center" wrapText="1"/>
    </xf>
    <xf numFmtId="0" fontId="45" fillId="8" borderId="205" xfId="0" applyFont="1" applyFill="1" applyBorder="1" applyAlignment="1">
      <alignment horizontal="center" wrapText="1"/>
    </xf>
    <xf numFmtId="0" fontId="45" fillId="8" borderId="206" xfId="0" applyFont="1" applyFill="1" applyBorder="1" applyAlignment="1">
      <alignment horizontal="center" wrapText="1"/>
    </xf>
    <xf numFmtId="0" fontId="45" fillId="8" borderId="207" xfId="0" applyFont="1" applyFill="1" applyBorder="1" applyAlignment="1">
      <alignment horizontal="center" wrapText="1"/>
    </xf>
    <xf numFmtId="0" fontId="0" fillId="3" borderId="79"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79"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89" xfId="0" applyFont="1" applyFill="1" applyBorder="1" applyAlignment="1">
      <alignment horizontal="right" vertical="center"/>
    </xf>
    <xf numFmtId="0" fontId="13" fillId="7" borderId="76" xfId="0" applyFont="1" applyFill="1" applyBorder="1" applyAlignment="1">
      <alignment horizontal="right" vertical="center"/>
    </xf>
    <xf numFmtId="0" fontId="13" fillId="7" borderId="127" xfId="0" applyFont="1" applyFill="1" applyBorder="1" applyAlignment="1">
      <alignment horizontal="right" vertical="center"/>
    </xf>
    <xf numFmtId="0" fontId="14" fillId="7" borderId="0" xfId="0" applyFont="1" applyFill="1" applyAlignment="1">
      <alignment vertical="center" wrapText="1"/>
    </xf>
    <xf numFmtId="0" fontId="16" fillId="7" borderId="211" xfId="0" applyFont="1" applyFill="1" applyBorder="1" applyAlignment="1">
      <alignment horizontal="center"/>
    </xf>
    <xf numFmtId="0" fontId="0" fillId="3" borderId="94" xfId="0" applyFill="1" applyBorder="1" applyAlignment="1">
      <alignment horizontal="left" vertical="center"/>
    </xf>
    <xf numFmtId="0" fontId="0" fillId="3" borderId="95"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6" xfId="0" applyFill="1" applyBorder="1" applyAlignment="1">
      <alignment wrapText="1"/>
    </xf>
    <xf numFmtId="0" fontId="0" fillId="7" borderId="90" xfId="0" applyFill="1" applyBorder="1" applyAlignment="1">
      <alignment wrapText="1"/>
    </xf>
    <xf numFmtId="0" fontId="0" fillId="3" borderId="89" xfId="0" applyFill="1" applyBorder="1" applyAlignment="1">
      <alignment horizontal="center"/>
    </xf>
    <xf numFmtId="0" fontId="45" fillId="8" borderId="163"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62" fillId="31" borderId="79" xfId="0" applyFont="1" applyFill="1" applyBorder="1" applyAlignment="1">
      <alignment horizontal="center" vertical="center"/>
    </xf>
    <xf numFmtId="0" fontId="62" fillId="31" borderId="0" xfId="0" applyFont="1" applyFill="1" applyAlignment="1">
      <alignment horizontal="center" vertical="center"/>
    </xf>
    <xf numFmtId="0" fontId="13" fillId="31" borderId="78" xfId="0" applyFont="1" applyFill="1" applyBorder="1" applyAlignment="1">
      <alignment horizontal="center"/>
    </xf>
    <xf numFmtId="0" fontId="13" fillId="31" borderId="0" xfId="0" applyFont="1" applyFill="1" applyAlignment="1">
      <alignment horizontal="center"/>
    </xf>
    <xf numFmtId="0" fontId="62" fillId="31" borderId="91" xfId="0" applyFont="1" applyFill="1" applyBorder="1" applyAlignment="1">
      <alignment horizontal="center"/>
    </xf>
    <xf numFmtId="0" fontId="13" fillId="31" borderId="68" xfId="0" applyFont="1" applyFill="1" applyBorder="1" applyAlignment="1">
      <alignment horizontal="center"/>
    </xf>
    <xf numFmtId="0" fontId="62" fillId="31" borderId="89" xfId="0" applyFont="1" applyFill="1" applyBorder="1" applyAlignment="1">
      <alignment horizontal="center"/>
    </xf>
    <xf numFmtId="0" fontId="13" fillId="31" borderId="133" xfId="0" applyFont="1" applyFill="1" applyBorder="1" applyAlignment="1">
      <alignment horizontal="center"/>
    </xf>
    <xf numFmtId="0" fontId="13" fillId="31" borderId="76" xfId="0" applyFont="1" applyFill="1" applyBorder="1" applyAlignment="1">
      <alignment horizontal="center"/>
    </xf>
    <xf numFmtId="0" fontId="13" fillId="31" borderId="90"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6" xfId="0" applyFont="1" applyFill="1" applyBorder="1"/>
    <xf numFmtId="0" fontId="13" fillId="3" borderId="91" xfId="0" applyFont="1" applyFill="1" applyBorder="1"/>
    <xf numFmtId="0" fontId="13" fillId="3" borderId="91" xfId="0" applyFont="1" applyFill="1" applyBorder="1" applyAlignment="1">
      <alignment horizontal="center"/>
    </xf>
    <xf numFmtId="0" fontId="13" fillId="3" borderId="89" xfId="0" applyFont="1" applyFill="1" applyBorder="1" applyAlignment="1">
      <alignment horizontal="center"/>
    </xf>
    <xf numFmtId="0" fontId="9" fillId="31" borderId="120" xfId="0" applyFont="1" applyFill="1" applyBorder="1" applyAlignment="1">
      <alignment horizontal="center"/>
    </xf>
    <xf numFmtId="0" fontId="9" fillId="31" borderId="126" xfId="0" applyFont="1" applyFill="1" applyBorder="1" applyAlignment="1">
      <alignment horizontal="center"/>
    </xf>
    <xf numFmtId="0" fontId="0" fillId="3" borderId="215" xfId="0" applyFill="1" applyBorder="1" applyAlignment="1">
      <alignment horizontal="center"/>
    </xf>
    <xf numFmtId="0" fontId="0" fillId="3" borderId="215" xfId="0" applyFill="1" applyBorder="1"/>
    <xf numFmtId="0" fontId="59" fillId="3" borderId="88"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0" xfId="0" applyFont="1" applyFill="1" applyBorder="1"/>
    <xf numFmtId="0" fontId="83" fillId="3" borderId="15" xfId="0" applyFont="1" applyFill="1" applyBorder="1" applyAlignment="1">
      <alignment horizontal="right"/>
    </xf>
    <xf numFmtId="0" fontId="0" fillId="3" borderId="89" xfId="0" quotePrefix="1" applyFill="1" applyBorder="1" applyAlignment="1">
      <alignment horizontal="center"/>
    </xf>
    <xf numFmtId="1" fontId="45" fillId="8" borderId="0" xfId="0" applyNumberFormat="1" applyFont="1" applyFill="1" applyAlignment="1">
      <alignment horizontal="left" vertical="center"/>
    </xf>
    <xf numFmtId="0" fontId="77" fillId="21" borderId="79" xfId="0" applyFont="1" applyFill="1" applyBorder="1" applyAlignment="1">
      <alignment horizontal="left"/>
    </xf>
    <xf numFmtId="0" fontId="81" fillId="8" borderId="206"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16" fillId="7" borderId="182"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3" fillId="14" borderId="227" xfId="0" applyFont="1" applyFill="1" applyBorder="1"/>
    <xf numFmtId="0" fontId="53" fillId="15" borderId="227" xfId="0" applyFont="1" applyFill="1" applyBorder="1"/>
    <xf numFmtId="0" fontId="53" fillId="15" borderId="94" xfId="0" applyFont="1" applyFill="1" applyBorder="1"/>
    <xf numFmtId="0" fontId="54" fillId="17" borderId="228" xfId="0" applyFont="1" applyFill="1" applyBorder="1" applyAlignment="1">
      <alignment horizontal="left"/>
    </xf>
    <xf numFmtId="0" fontId="54" fillId="17" borderId="229" xfId="0" applyFont="1" applyFill="1" applyBorder="1" applyAlignment="1">
      <alignment horizontal="left"/>
    </xf>
    <xf numFmtId="0" fontId="54" fillId="16" borderId="229" xfId="0" applyFont="1" applyFill="1" applyBorder="1" applyAlignment="1">
      <alignment horizontal="left"/>
    </xf>
    <xf numFmtId="0" fontId="54" fillId="16" borderId="230" xfId="0" applyFont="1" applyFill="1" applyBorder="1" applyAlignment="1">
      <alignment horizontal="left"/>
    </xf>
    <xf numFmtId="0" fontId="54" fillId="18" borderId="231" xfId="0" applyFont="1" applyFill="1" applyBorder="1" applyAlignment="1">
      <alignment horizontal="left"/>
    </xf>
    <xf numFmtId="0" fontId="54" fillId="18" borderId="232" xfId="0" applyFont="1" applyFill="1" applyBorder="1" applyAlignment="1">
      <alignment horizontal="left"/>
    </xf>
    <xf numFmtId="0" fontId="54" fillId="16" borderId="232" xfId="0" applyFont="1" applyFill="1" applyBorder="1" applyAlignment="1">
      <alignment horizontal="left"/>
    </xf>
    <xf numFmtId="0" fontId="54" fillId="16" borderId="233" xfId="0" applyFont="1" applyFill="1" applyBorder="1" applyAlignment="1">
      <alignment horizontal="left"/>
    </xf>
    <xf numFmtId="0" fontId="54" fillId="17" borderId="231" xfId="0" applyFont="1" applyFill="1" applyBorder="1" applyAlignment="1">
      <alignment horizontal="left"/>
    </xf>
    <xf numFmtId="0" fontId="54" fillId="17" borderId="232" xfId="0" applyFont="1" applyFill="1" applyBorder="1" applyAlignment="1">
      <alignment horizontal="left"/>
    </xf>
    <xf numFmtId="0" fontId="0" fillId="7" borderId="0" xfId="0" applyFill="1" applyAlignment="1">
      <alignment horizontal="center" vertical="center" wrapText="1"/>
    </xf>
    <xf numFmtId="0" fontId="0" fillId="3" borderId="76" xfId="0" applyFill="1" applyBorder="1" applyAlignment="1">
      <alignment wrapText="1"/>
    </xf>
    <xf numFmtId="0" fontId="0" fillId="7" borderId="234" xfId="0" applyFill="1" applyBorder="1" applyAlignment="1">
      <alignment wrapText="1"/>
    </xf>
    <xf numFmtId="0" fontId="33" fillId="7" borderId="130" xfId="0" applyFont="1" applyFill="1" applyBorder="1" applyAlignment="1">
      <alignment vertical="center"/>
    </xf>
    <xf numFmtId="0" fontId="48" fillId="7" borderId="169" xfId="0" applyFont="1" applyFill="1" applyBorder="1" applyAlignment="1">
      <alignment horizontal="center" vertical="center" wrapText="1"/>
    </xf>
    <xf numFmtId="0" fontId="48" fillId="3" borderId="104" xfId="0" applyFont="1" applyFill="1" applyBorder="1" applyAlignment="1">
      <alignment horizontal="center" vertical="center" wrapText="1"/>
    </xf>
    <xf numFmtId="0" fontId="48" fillId="7" borderId="104"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6" xfId="0" applyFont="1" applyFill="1" applyBorder="1" applyAlignment="1">
      <alignment horizontal="center"/>
    </xf>
    <xf numFmtId="0" fontId="67" fillId="12" borderId="91" xfId="0" applyFont="1" applyFill="1" applyBorder="1" applyAlignment="1">
      <alignment horizontal="center"/>
    </xf>
    <xf numFmtId="0" fontId="67" fillId="12" borderId="89"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1" xfId="0" quotePrefix="1" applyNumberFormat="1" applyFont="1" applyFill="1" applyBorder="1" applyAlignment="1">
      <alignment vertical="center"/>
    </xf>
    <xf numFmtId="0" fontId="69" fillId="12" borderId="0" xfId="0" applyFont="1" applyFill="1" applyAlignment="1">
      <alignment vertical="center" wrapText="1"/>
    </xf>
    <xf numFmtId="0" fontId="8" fillId="3" borderId="76" xfId="0" applyFont="1" applyFill="1" applyBorder="1" applyAlignment="1">
      <alignment horizontal="center"/>
    </xf>
    <xf numFmtId="0" fontId="0" fillId="3" borderId="86" xfId="0" applyFill="1" applyBorder="1" applyAlignment="1">
      <alignment vertical="center" wrapText="1"/>
    </xf>
    <xf numFmtId="0" fontId="0" fillId="3" borderId="91" xfId="0" applyFill="1" applyBorder="1" applyAlignment="1">
      <alignment vertical="center" wrapText="1"/>
    </xf>
    <xf numFmtId="0" fontId="30" fillId="3" borderId="91" xfId="0" applyFont="1" applyFill="1" applyBorder="1" applyAlignment="1">
      <alignment horizontal="center" vertical="center" wrapText="1"/>
    </xf>
    <xf numFmtId="0" fontId="26" fillId="3" borderId="91" xfId="0" applyFont="1" applyFill="1" applyBorder="1" applyAlignment="1">
      <alignment horizontal="center" vertical="center" wrapText="1"/>
    </xf>
    <xf numFmtId="0" fontId="0" fillId="3" borderId="89" xfId="0" applyFill="1" applyBorder="1" applyAlignment="1">
      <alignment vertical="center" wrapText="1"/>
    </xf>
    <xf numFmtId="0" fontId="9" fillId="3" borderId="91"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6" xfId="0" applyFill="1" applyBorder="1"/>
    <xf numFmtId="0" fontId="0" fillId="3" borderId="104" xfId="0" applyFill="1" applyBorder="1"/>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4" xfId="0" applyFill="1" applyBorder="1" applyAlignment="1">
      <alignment horizontal="center" vertical="center" wrapText="1"/>
    </xf>
    <xf numFmtId="0" fontId="0" fillId="3" borderId="246" xfId="0" applyFill="1" applyBorder="1" applyAlignment="1">
      <alignment horizontal="center" vertical="center" wrapText="1"/>
    </xf>
    <xf numFmtId="0" fontId="0" fillId="3" borderId="247" xfId="0" applyFill="1" applyBorder="1" applyAlignment="1">
      <alignment horizontal="center" vertical="center"/>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84" fillId="7" borderId="0" xfId="0" applyFont="1" applyFill="1"/>
    <xf numFmtId="0" fontId="0" fillId="44" borderId="68" xfId="0" applyFill="1" applyBorder="1" applyAlignment="1">
      <alignment horizontal="center" vertical="center" wrapText="1"/>
    </xf>
    <xf numFmtId="0" fontId="0" fillId="44" borderId="91" xfId="0" applyFill="1" applyBorder="1" applyAlignment="1">
      <alignment horizontal="right" vertical="center" wrapText="1"/>
    </xf>
    <xf numFmtId="0" fontId="0" fillId="44" borderId="89" xfId="0" applyFill="1" applyBorder="1" applyAlignment="1">
      <alignment horizontal="right" vertical="center" wrapText="1"/>
    </xf>
    <xf numFmtId="0" fontId="9" fillId="44" borderId="91" xfId="0" applyFont="1" applyFill="1" applyBorder="1" applyAlignment="1">
      <alignment horizontal="right" vertical="center"/>
    </xf>
    <xf numFmtId="0" fontId="9" fillId="3" borderId="91" xfId="0" applyFont="1" applyFill="1" applyBorder="1" applyAlignment="1">
      <alignment horizontal="left" vertical="center"/>
    </xf>
    <xf numFmtId="0" fontId="9" fillId="3" borderId="91" xfId="0" applyFont="1" applyFill="1" applyBorder="1"/>
    <xf numFmtId="0" fontId="9" fillId="19" borderId="100" xfId="0" applyFont="1" applyFill="1" applyBorder="1" applyAlignment="1">
      <alignment horizontal="right"/>
    </xf>
    <xf numFmtId="0" fontId="75" fillId="3" borderId="91" xfId="0" applyFont="1" applyFill="1" applyBorder="1" applyAlignment="1">
      <alignment horizontal="left"/>
    </xf>
    <xf numFmtId="0" fontId="57" fillId="22" borderId="109" xfId="0" applyFont="1" applyFill="1" applyBorder="1" applyAlignment="1">
      <alignment horizontal="center"/>
    </xf>
    <xf numFmtId="0" fontId="57" fillId="22" borderId="140" xfId="0" applyFont="1" applyFill="1" applyBorder="1" applyAlignment="1">
      <alignment horizontal="center"/>
    </xf>
    <xf numFmtId="0" fontId="34" fillId="8" borderId="91"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5" xfId="0" applyFont="1" applyFill="1" applyBorder="1" applyAlignment="1">
      <alignment horizontal="center" vertical="center"/>
    </xf>
    <xf numFmtId="0" fontId="93" fillId="16" borderId="89" xfId="0" applyFont="1" applyFill="1" applyBorder="1" applyAlignment="1">
      <alignment horizontal="center" vertical="center"/>
    </xf>
    <xf numFmtId="0" fontId="9" fillId="16" borderId="76" xfId="0" applyFont="1" applyFill="1" applyBorder="1" applyAlignment="1">
      <alignment horizontal="center" vertical="center"/>
    </xf>
    <xf numFmtId="0" fontId="9" fillId="16" borderId="90" xfId="0" applyFont="1" applyFill="1" applyBorder="1" applyAlignment="1">
      <alignment horizontal="center" vertical="center"/>
    </xf>
    <xf numFmtId="0" fontId="8" fillId="3" borderId="0" xfId="0" applyFont="1" applyFill="1" applyAlignment="1">
      <alignment horizontal="left" vertical="center"/>
    </xf>
    <xf numFmtId="0" fontId="9" fillId="3" borderId="79" xfId="0" applyFont="1" applyFill="1" applyBorder="1" applyAlignment="1">
      <alignment horizontal="center"/>
    </xf>
    <xf numFmtId="0" fontId="9" fillId="3" borderId="71" xfId="0" applyFont="1" applyFill="1" applyBorder="1" applyAlignment="1">
      <alignment horizontal="center"/>
    </xf>
    <xf numFmtId="0" fontId="0" fillId="3" borderId="259" xfId="0" applyFill="1" applyBorder="1" applyAlignment="1">
      <alignment horizontal="center"/>
    </xf>
    <xf numFmtId="0" fontId="0" fillId="27" borderId="104" xfId="0" applyFill="1" applyBorder="1" applyAlignment="1">
      <alignment horizontal="center"/>
    </xf>
    <xf numFmtId="0" fontId="0" fillId="3" borderId="158" xfId="0" applyFill="1" applyBorder="1" applyAlignment="1">
      <alignment horizontal="center"/>
    </xf>
    <xf numFmtId="0" fontId="0" fillId="3" borderId="104" xfId="0" applyFill="1" applyBorder="1" applyAlignment="1">
      <alignment horizontal="left"/>
    </xf>
    <xf numFmtId="0" fontId="0" fillId="3" borderId="0" xfId="0" quotePrefix="1" applyFill="1" applyAlignment="1">
      <alignment horizontal="left"/>
    </xf>
    <xf numFmtId="0" fontId="9" fillId="3" borderId="79" xfId="0" applyFont="1" applyFill="1" applyBorder="1" applyAlignment="1">
      <alignment horizontal="left"/>
    </xf>
    <xf numFmtId="0" fontId="9" fillId="3" borderId="91" xfId="0" applyFont="1" applyFill="1" applyBorder="1" applyAlignment="1">
      <alignment horizontal="center"/>
    </xf>
    <xf numFmtId="49" fontId="0" fillId="3" borderId="91" xfId="0" applyNumberFormat="1" applyFill="1" applyBorder="1" applyAlignment="1">
      <alignment horizontal="center"/>
    </xf>
    <xf numFmtId="49" fontId="0" fillId="3" borderId="89" xfId="0" applyNumberFormat="1" applyFill="1" applyBorder="1" applyAlignment="1">
      <alignment horizont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8"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4" xfId="0" applyFill="1" applyBorder="1" applyAlignment="1">
      <alignment horizontal="center"/>
    </xf>
    <xf numFmtId="0" fontId="0" fillId="3" borderId="105" xfId="0" applyFill="1" applyBorder="1" applyAlignment="1">
      <alignment horizontal="center"/>
    </xf>
    <xf numFmtId="0" fontId="84" fillId="12" borderId="0" xfId="0" applyFont="1" applyFill="1"/>
    <xf numFmtId="0" fontId="84" fillId="23" borderId="0" xfId="0" applyFont="1" applyFill="1"/>
    <xf numFmtId="0" fontId="0" fillId="3" borderId="267" xfId="0" applyFill="1" applyBorder="1" applyAlignment="1">
      <alignment horizontal="center" vertic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48" xfId="0" applyNumberFormat="1" applyFont="1" applyFill="1" applyBorder="1" applyAlignment="1">
      <alignment horizontal="center" vertical="center"/>
    </xf>
    <xf numFmtId="0" fontId="13" fillId="3" borderId="248" xfId="0" applyFont="1" applyFill="1" applyBorder="1" applyAlignment="1">
      <alignment horizontal="center" vertical="center"/>
    </xf>
    <xf numFmtId="49" fontId="13" fillId="3" borderId="268" xfId="0" applyNumberFormat="1" applyFont="1" applyFill="1" applyBorder="1" applyAlignment="1">
      <alignment horizontal="center" vertical="center"/>
    </xf>
    <xf numFmtId="0" fontId="9" fillId="3" borderId="91" xfId="0" applyFont="1" applyFill="1" applyBorder="1" applyAlignment="1">
      <alignment vertical="center" wrapText="1"/>
    </xf>
    <xf numFmtId="0" fontId="9" fillId="3" borderId="91" xfId="0" applyFont="1" applyFill="1" applyBorder="1" applyAlignment="1">
      <alignment horizontal="center" vertical="center"/>
    </xf>
    <xf numFmtId="0" fontId="0" fillId="3" borderId="68" xfId="0" applyFill="1" applyBorder="1" applyAlignment="1">
      <alignment vertical="center" wrapText="1"/>
    </xf>
    <xf numFmtId="0" fontId="9" fillId="3" borderId="262"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91" xfId="0" applyFont="1" applyFill="1" applyBorder="1" applyAlignment="1">
      <alignment horizontal="left"/>
    </xf>
    <xf numFmtId="0" fontId="9" fillId="3" borderId="76"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1" xfId="0" applyFont="1" applyFill="1" applyBorder="1" applyAlignment="1">
      <alignment horizontal="right"/>
    </xf>
    <xf numFmtId="0" fontId="55" fillId="3" borderId="91" xfId="0" applyFont="1" applyFill="1" applyBorder="1" applyAlignment="1">
      <alignment horizontal="right" vertical="center"/>
    </xf>
    <xf numFmtId="0" fontId="55" fillId="3" borderId="89" xfId="0" applyFont="1" applyFill="1" applyBorder="1" applyAlignment="1">
      <alignment horizontal="right"/>
    </xf>
    <xf numFmtId="0" fontId="0" fillId="16" borderId="79" xfId="0" applyFill="1" applyBorder="1" applyAlignment="1">
      <alignment horizontal="center"/>
    </xf>
    <xf numFmtId="0" fontId="0" fillId="16" borderId="104" xfId="0" applyFill="1" applyBorder="1" applyAlignment="1">
      <alignment horizontal="center"/>
    </xf>
    <xf numFmtId="0" fontId="0" fillId="16" borderId="90" xfId="0" applyFill="1" applyBorder="1" applyAlignment="1">
      <alignment horizontal="center"/>
    </xf>
    <xf numFmtId="0" fontId="13" fillId="7" borderId="133"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90"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6" xfId="0" applyFill="1" applyBorder="1" applyAlignment="1">
      <alignment wrapText="1"/>
    </xf>
    <xf numFmtId="0" fontId="0" fillId="30" borderId="90" xfId="0" applyFill="1" applyBorder="1" applyAlignment="1">
      <alignment wrapText="1"/>
    </xf>
    <xf numFmtId="0" fontId="0" fillId="30" borderId="88" xfId="0" applyFill="1" applyBorder="1" applyAlignment="1">
      <alignment wrapText="1"/>
    </xf>
    <xf numFmtId="0" fontId="0" fillId="30" borderId="68" xfId="0" applyFill="1" applyBorder="1" applyAlignment="1">
      <alignment horizontal="center" vertical="center" wrapText="1"/>
    </xf>
    <xf numFmtId="0" fontId="12" fillId="30" borderId="76" xfId="0" applyFont="1" applyFill="1" applyBorder="1" applyAlignment="1">
      <alignment horizontal="right"/>
    </xf>
    <xf numFmtId="0" fontId="0" fillId="30" borderId="87"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0" fillId="31" borderId="0" xfId="0" applyFill="1"/>
    <xf numFmtId="0" fontId="0" fillId="31" borderId="76" xfId="0" applyFill="1" applyBorder="1"/>
    <xf numFmtId="0" fontId="55" fillId="31" borderId="76" xfId="0" applyFont="1" applyFill="1" applyBorder="1" applyAlignment="1">
      <alignment horizontal="center"/>
    </xf>
    <xf numFmtId="0" fontId="55" fillId="31" borderId="90" xfId="0" applyFont="1" applyFill="1" applyBorder="1" applyAlignment="1">
      <alignment horizontal="center"/>
    </xf>
    <xf numFmtId="0" fontId="13" fillId="7" borderId="108"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57"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7" xfId="0" applyFont="1" applyFill="1" applyBorder="1" applyAlignment="1">
      <alignment horizontal="center"/>
    </xf>
    <xf numFmtId="0" fontId="78" fillId="8" borderId="87" xfId="0" applyFont="1" applyFill="1" applyBorder="1" applyAlignment="1">
      <alignment horizontal="center"/>
    </xf>
    <xf numFmtId="0" fontId="78" fillId="8" borderId="88" xfId="0" applyFont="1" applyFill="1" applyBorder="1" applyAlignment="1">
      <alignment horizontal="center"/>
    </xf>
    <xf numFmtId="0" fontId="78" fillId="8" borderId="142" xfId="0" applyFont="1" applyFill="1" applyBorder="1" applyAlignment="1">
      <alignment horizontal="center"/>
    </xf>
    <xf numFmtId="0" fontId="78" fillId="8" borderId="79" xfId="0" applyFont="1" applyFill="1" applyBorder="1" applyAlignment="1">
      <alignment horizontal="center"/>
    </xf>
    <xf numFmtId="0" fontId="78" fillId="8" borderId="91" xfId="0" applyFont="1" applyFill="1" applyBorder="1" applyAlignment="1">
      <alignment horizontal="center"/>
    </xf>
    <xf numFmtId="0" fontId="100" fillId="8" borderId="129" xfId="0" applyFont="1" applyFill="1" applyBorder="1" applyAlignment="1">
      <alignment horizontal="center" vertical="center"/>
    </xf>
    <xf numFmtId="0" fontId="9" fillId="38" borderId="91" xfId="0" applyFont="1" applyFill="1" applyBorder="1" applyAlignment="1">
      <alignment horizontal="left" vertical="center"/>
    </xf>
    <xf numFmtId="0" fontId="45" fillId="8" borderId="129" xfId="0" applyFont="1" applyFill="1" applyBorder="1" applyAlignment="1">
      <alignment horizontal="left" vertical="center"/>
    </xf>
    <xf numFmtId="0" fontId="9" fillId="38" borderId="89" xfId="0" applyFont="1" applyFill="1" applyBorder="1" applyAlignment="1">
      <alignment horizontal="left" vertical="center"/>
    </xf>
    <xf numFmtId="0" fontId="0" fillId="38" borderId="68" xfId="0" applyFill="1" applyBorder="1" applyAlignment="1">
      <alignment horizontal="center" vertical="center"/>
    </xf>
    <xf numFmtId="0" fontId="84" fillId="3" borderId="86" xfId="0" applyFont="1" applyFill="1" applyBorder="1"/>
    <xf numFmtId="0" fontId="84" fillId="3" borderId="91" xfId="0" applyFont="1" applyFill="1" applyBorder="1"/>
    <xf numFmtId="0" fontId="52" fillId="8" borderId="129" xfId="0" applyFont="1" applyFill="1" applyBorder="1" applyAlignment="1">
      <alignment horizontal="center" vertical="center"/>
    </xf>
    <xf numFmtId="0" fontId="13" fillId="19" borderId="79" xfId="0" applyFont="1" applyFill="1" applyBorder="1" applyAlignment="1">
      <alignment horizontal="left"/>
    </xf>
    <xf numFmtId="0" fontId="0" fillId="19" borderId="71" xfId="0" applyFill="1" applyBorder="1" applyAlignment="1">
      <alignment horizontal="right"/>
    </xf>
    <xf numFmtId="0" fontId="0" fillId="3" borderId="79" xfId="0" applyFill="1" applyBorder="1"/>
    <xf numFmtId="0" fontId="45" fillId="8" borderId="91" xfId="0" applyFont="1" applyFill="1" applyBorder="1" applyAlignment="1">
      <alignment horizontal="center"/>
    </xf>
    <xf numFmtId="0" fontId="0" fillId="3" borderId="127" xfId="0" applyFill="1" applyBorder="1"/>
    <xf numFmtId="0" fontId="13" fillId="3" borderId="68" xfId="0" applyFont="1" applyFill="1" applyBorder="1" applyAlignment="1">
      <alignment horizontal="center" vertical="center"/>
    </xf>
    <xf numFmtId="0" fontId="0" fillId="3" borderId="76" xfId="0" applyFill="1" applyBorder="1" applyAlignment="1">
      <alignment horizontal="center" vertical="center"/>
    </xf>
    <xf numFmtId="0" fontId="13" fillId="3" borderId="90" xfId="0" applyFont="1" applyFill="1" applyBorder="1" applyAlignment="1">
      <alignment horizontal="center" vertical="center"/>
    </xf>
    <xf numFmtId="0" fontId="34" fillId="8" borderId="216"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5" xfId="0" applyFill="1" applyBorder="1" applyAlignment="1">
      <alignment vertical="center" wrapText="1"/>
    </xf>
    <xf numFmtId="0" fontId="0" fillId="3" borderId="94" xfId="0" applyFill="1" applyBorder="1"/>
    <xf numFmtId="0" fontId="0" fillId="3" borderId="95" xfId="0" applyFill="1" applyBorder="1"/>
    <xf numFmtId="0" fontId="0" fillId="3" borderId="78"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0" xfId="0" applyFont="1" applyFill="1" applyBorder="1" applyAlignment="1">
      <alignment horizontal="center"/>
    </xf>
    <xf numFmtId="0" fontId="8" fillId="3" borderId="78" xfId="0" applyFont="1" applyFill="1" applyBorder="1" applyAlignment="1">
      <alignment horizontal="center"/>
    </xf>
    <xf numFmtId="0" fontId="8" fillId="3" borderId="133" xfId="0" applyFont="1" applyFill="1" applyBorder="1" applyAlignment="1">
      <alignment horizontal="center"/>
    </xf>
    <xf numFmtId="0" fontId="0" fillId="3" borderId="91" xfId="0" applyFill="1" applyBorder="1" applyAlignment="1">
      <alignment vertical="center"/>
    </xf>
    <xf numFmtId="0" fontId="0" fillId="3" borderId="89" xfId="0" applyFill="1" applyBorder="1" applyAlignment="1">
      <alignment vertical="center"/>
    </xf>
    <xf numFmtId="0" fontId="0" fillId="3" borderId="76" xfId="0" applyFill="1" applyBorder="1" applyAlignment="1">
      <alignment vertical="center"/>
    </xf>
    <xf numFmtId="0" fontId="0" fillId="3" borderId="79" xfId="0" applyFill="1" applyBorder="1" applyAlignment="1">
      <alignment horizontal="right" vertical="center"/>
    </xf>
    <xf numFmtId="0" fontId="0" fillId="3" borderId="127" xfId="0" applyFill="1" applyBorder="1" applyAlignment="1">
      <alignment horizontal="right" vertical="center"/>
    </xf>
    <xf numFmtId="0" fontId="0" fillId="3" borderId="79" xfId="0" applyFill="1" applyBorder="1" applyAlignment="1">
      <alignment horizontal="center" vertical="center"/>
    </xf>
    <xf numFmtId="0" fontId="0" fillId="3" borderId="127" xfId="0" applyFill="1" applyBorder="1" applyAlignment="1">
      <alignment horizontal="center" vertical="center"/>
    </xf>
    <xf numFmtId="0" fontId="73" fillId="8" borderId="91" xfId="0" applyFont="1" applyFill="1" applyBorder="1" applyAlignment="1">
      <alignment horizontal="center" vertical="center"/>
    </xf>
    <xf numFmtId="0" fontId="30" fillId="8" borderId="106"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7" xfId="0" applyFont="1" applyFill="1" applyBorder="1" applyAlignment="1">
      <alignment horizontal="center" vertical="center"/>
    </xf>
    <xf numFmtId="0" fontId="8" fillId="3" borderId="76" xfId="0" applyFont="1" applyFill="1" applyBorder="1" applyAlignment="1">
      <alignment horizontal="right"/>
    </xf>
    <xf numFmtId="0" fontId="73" fillId="8" borderId="106"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89" xfId="0" applyFill="1" applyBorder="1"/>
    <xf numFmtId="0" fontId="16" fillId="7" borderId="90"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8" xfId="0" applyFill="1" applyBorder="1" applyAlignment="1">
      <alignment horizontal="left"/>
    </xf>
    <xf numFmtId="0" fontId="13" fillId="0" borderId="104" xfId="0" applyFont="1" applyBorder="1" applyAlignment="1">
      <alignment horizontal="center" vertical="center" wrapText="1"/>
    </xf>
    <xf numFmtId="0" fontId="9" fillId="27" borderId="0" xfId="0" applyFont="1" applyFill="1"/>
    <xf numFmtId="0" fontId="9" fillId="27" borderId="91" xfId="0" applyFont="1" applyFill="1" applyBorder="1" applyAlignment="1">
      <alignment horizontal="left" vertical="center"/>
    </xf>
    <xf numFmtId="0" fontId="9" fillId="16" borderId="91" xfId="0" applyFont="1" applyFill="1" applyBorder="1"/>
    <xf numFmtId="0" fontId="9" fillId="16" borderId="91" xfId="0" applyFont="1" applyFill="1" applyBorder="1" applyAlignment="1">
      <alignment horizontal="left"/>
    </xf>
    <xf numFmtId="0" fontId="9" fillId="16" borderId="68" xfId="0" applyFont="1" applyFill="1" applyBorder="1"/>
    <xf numFmtId="0" fontId="58" fillId="21" borderId="89" xfId="0" applyFont="1" applyFill="1" applyBorder="1"/>
    <xf numFmtId="0" fontId="58" fillId="21" borderId="76" xfId="0" applyFont="1" applyFill="1" applyBorder="1"/>
    <xf numFmtId="0" fontId="58" fillId="21" borderId="76" xfId="0" applyFont="1" applyFill="1" applyBorder="1" applyAlignment="1">
      <alignment horizontal="left"/>
    </xf>
    <xf numFmtId="0" fontId="58" fillId="21" borderId="90" xfId="0" applyFont="1" applyFill="1" applyBorder="1"/>
    <xf numFmtId="0" fontId="0" fillId="19" borderId="0" xfId="0" applyFill="1"/>
    <xf numFmtId="0" fontId="9" fillId="16" borderId="104" xfId="0" applyFont="1" applyFill="1" applyBorder="1"/>
    <xf numFmtId="0" fontId="9" fillId="27" borderId="124" xfId="0" applyFont="1" applyFill="1" applyBorder="1" applyAlignment="1">
      <alignment vertical="top"/>
    </xf>
    <xf numFmtId="0" fontId="0" fillId="16" borderId="144" xfId="0" applyFill="1" applyBorder="1"/>
    <xf numFmtId="0" fontId="0" fillId="3" borderId="79"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34" xfId="0" applyFill="1" applyBorder="1"/>
    <xf numFmtId="0" fontId="13" fillId="7" borderId="274" xfId="0" applyFont="1" applyFill="1" applyBorder="1" applyAlignment="1">
      <alignment horizontal="center" vertical="center" wrapText="1"/>
    </xf>
    <xf numFmtId="0" fontId="13" fillId="7" borderId="274" xfId="0" applyFont="1" applyFill="1" applyBorder="1" applyAlignment="1">
      <alignment horizontal="center"/>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7" xfId="0" applyFont="1" applyFill="1" applyBorder="1" applyAlignment="1">
      <alignment horizontal="right" wrapText="1"/>
    </xf>
    <xf numFmtId="0" fontId="8" fillId="3" borderId="76" xfId="0" applyFont="1" applyFill="1" applyBorder="1" applyAlignment="1">
      <alignment horizontal="right" wrapText="1"/>
    </xf>
    <xf numFmtId="0" fontId="81" fillId="8" borderId="284" xfId="0" applyFont="1" applyFill="1" applyBorder="1" applyAlignment="1">
      <alignment horizontal="center" vertical="center"/>
    </xf>
    <xf numFmtId="0" fontId="9" fillId="3" borderId="76" xfId="0" applyFont="1" applyFill="1" applyBorder="1" applyAlignment="1">
      <alignment horizontal="left"/>
    </xf>
    <xf numFmtId="0" fontId="9" fillId="7" borderId="91"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45" fillId="41" borderId="91"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6"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6" xfId="0" applyFont="1" applyFill="1" applyBorder="1" applyAlignment="1">
      <alignment horizontal="left" wrapText="1"/>
    </xf>
    <xf numFmtId="0" fontId="59" fillId="27" borderId="91" xfId="0" applyFont="1" applyFill="1" applyBorder="1" applyAlignment="1">
      <alignment horizontal="left" wrapText="1"/>
    </xf>
    <xf numFmtId="0" fontId="59" fillId="27" borderId="91" xfId="0" applyFont="1" applyFill="1" applyBorder="1" applyAlignment="1">
      <alignment horizontal="left"/>
    </xf>
    <xf numFmtId="0" fontId="59" fillId="27" borderId="89"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8" xfId="0" applyFont="1" applyFill="1" applyBorder="1"/>
    <xf numFmtId="0" fontId="67" fillId="12" borderId="68" xfId="0" applyFont="1" applyFill="1" applyBorder="1"/>
    <xf numFmtId="0" fontId="96" fillId="12" borderId="68" xfId="0" applyFont="1" applyFill="1" applyBorder="1"/>
    <xf numFmtId="0" fontId="96" fillId="12" borderId="94"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0" fontId="59" fillId="12" borderId="86" xfId="0" applyFont="1" applyFill="1" applyBorder="1"/>
    <xf numFmtId="0" fontId="59" fillId="12" borderId="91" xfId="0" applyFont="1" applyFill="1" applyBorder="1"/>
    <xf numFmtId="49" fontId="100" fillId="8" borderId="91"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1"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1"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1" xfId="0" applyNumberFormat="1" applyFont="1" applyFill="1" applyBorder="1" applyAlignment="1">
      <alignment horizontal="left" vertical="center"/>
    </xf>
    <xf numFmtId="49" fontId="9" fillId="38" borderId="89" xfId="0" applyNumberFormat="1" applyFont="1" applyFill="1" applyBorder="1" applyAlignment="1">
      <alignment horizontal="left" vertical="center"/>
    </xf>
    <xf numFmtId="49" fontId="9" fillId="38" borderId="76" xfId="0" applyNumberFormat="1" applyFont="1" applyFill="1" applyBorder="1" applyAlignment="1">
      <alignment horizontal="center" vertical="center"/>
    </xf>
    <xf numFmtId="49" fontId="9" fillId="38" borderId="76"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6"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9" fillId="7" borderId="0" xfId="0" applyFont="1" applyFill="1" applyAlignment="1">
      <alignment wrapText="1"/>
    </xf>
    <xf numFmtId="0" fontId="11" fillId="34" borderId="76" xfId="0" applyFont="1" applyFill="1" applyBorder="1" applyAlignment="1">
      <alignment horizontal="left"/>
    </xf>
    <xf numFmtId="0" fontId="84" fillId="48" borderId="0" xfId="0" applyFont="1" applyFill="1"/>
    <xf numFmtId="0" fontId="84" fillId="3" borderId="76" xfId="0" applyFont="1" applyFill="1" applyBorder="1"/>
    <xf numFmtId="0" fontId="59" fillId="3" borderId="0" xfId="0" applyFont="1" applyFill="1" applyAlignment="1">
      <alignment wrapText="1"/>
    </xf>
    <xf numFmtId="0" fontId="11" fillId="36" borderId="76" xfId="0" applyFont="1" applyFill="1" applyBorder="1" applyAlignment="1">
      <alignment horizontal="center"/>
    </xf>
    <xf numFmtId="0" fontId="84" fillId="3" borderId="0" xfId="0" applyFont="1" applyFill="1" applyAlignment="1">
      <alignment wrapText="1"/>
    </xf>
    <xf numFmtId="0" fontId="34" fillId="8" borderId="214" xfId="0" applyFont="1" applyFill="1" applyBorder="1" applyAlignment="1">
      <alignment vertic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6" xfId="0" applyNumberFormat="1" applyFill="1" applyBorder="1" applyAlignment="1">
      <alignment horizontal="center"/>
    </xf>
    <xf numFmtId="1" fontId="0" fillId="16" borderId="90"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0" xfId="0" applyNumberFormat="1" applyFont="1" applyFill="1" applyBorder="1" applyAlignment="1">
      <alignment horizontal="center" vertical="center"/>
    </xf>
    <xf numFmtId="1" fontId="0" fillId="16" borderId="120" xfId="0" applyNumberFormat="1" applyFill="1" applyBorder="1" applyAlignment="1">
      <alignment horizontal="center"/>
    </xf>
    <xf numFmtId="1" fontId="0" fillId="16" borderId="12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6" xfId="0" applyFill="1" applyBorder="1" applyAlignment="1">
      <alignment wrapText="1"/>
    </xf>
    <xf numFmtId="0" fontId="0" fillId="3" borderId="87" xfId="0" applyFill="1" applyBorder="1" applyAlignment="1">
      <alignment wrapText="1"/>
    </xf>
    <xf numFmtId="0" fontId="0" fillId="3" borderId="88" xfId="0" applyFill="1" applyBorder="1" applyAlignment="1">
      <alignment wrapText="1"/>
    </xf>
    <xf numFmtId="0" fontId="0" fillId="3" borderId="91" xfId="0" applyFill="1" applyBorder="1" applyAlignment="1">
      <alignment wrapText="1"/>
    </xf>
    <xf numFmtId="0" fontId="0" fillId="3" borderId="68" xfId="0" applyFill="1" applyBorder="1" applyAlignment="1">
      <alignment wrapText="1"/>
    </xf>
    <xf numFmtId="0" fontId="0" fillId="3" borderId="89" xfId="0" applyFill="1" applyBorder="1" applyAlignment="1">
      <alignment wrapText="1"/>
    </xf>
    <xf numFmtId="0" fontId="28" fillId="3" borderId="76" xfId="0" applyFont="1" applyFill="1" applyBorder="1" applyAlignment="1">
      <alignment wrapText="1"/>
    </xf>
    <xf numFmtId="0" fontId="0" fillId="3" borderId="90" xfId="0" applyFill="1" applyBorder="1" applyAlignment="1">
      <alignment wrapText="1"/>
    </xf>
    <xf numFmtId="1" fontId="45" fillId="8" borderId="68" xfId="0" applyNumberFormat="1" applyFont="1" applyFill="1" applyBorder="1" applyAlignment="1">
      <alignment horizontal="center" vertical="center"/>
    </xf>
    <xf numFmtId="0" fontId="0" fillId="3" borderId="235" xfId="0" applyFill="1" applyBorder="1"/>
    <xf numFmtId="0" fontId="0" fillId="3" borderId="171" xfId="0" applyFill="1" applyBorder="1" applyAlignment="1">
      <alignment horizontal="center" vertical="center"/>
    </xf>
    <xf numFmtId="0" fontId="0" fillId="3" borderId="68" xfId="0" applyFill="1" applyBorder="1" applyAlignment="1">
      <alignment horizontal="center" vertical="center"/>
    </xf>
    <xf numFmtId="0" fontId="9" fillId="3" borderId="76" xfId="0" applyFont="1" applyFill="1" applyBorder="1" applyAlignment="1">
      <alignment horizontal="right" vertical="center"/>
    </xf>
    <xf numFmtId="0" fontId="13" fillId="7" borderId="79" xfId="0" applyFont="1" applyFill="1" applyBorder="1" applyAlignment="1">
      <alignment horizontal="center" vertical="center" wrapText="1"/>
    </xf>
    <xf numFmtId="0" fontId="9" fillId="3" borderId="89" xfId="0" applyFont="1" applyFill="1" applyBorder="1" applyAlignment="1">
      <alignment horizontal="left" vertical="center"/>
    </xf>
    <xf numFmtId="0" fontId="9" fillId="42" borderId="91"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89" xfId="0" applyFont="1" applyFill="1" applyBorder="1"/>
    <xf numFmtId="0" fontId="9" fillId="42" borderId="76" xfId="0" applyFont="1" applyFill="1" applyBorder="1" applyAlignment="1">
      <alignment horizontal="right" vertical="center"/>
    </xf>
    <xf numFmtId="0" fontId="9" fillId="42" borderId="76" xfId="0" applyFont="1" applyFill="1" applyBorder="1" applyAlignment="1">
      <alignment horizontal="center" vertical="center"/>
    </xf>
    <xf numFmtId="0" fontId="9" fillId="47" borderId="76" xfId="0" applyFont="1" applyFill="1" applyBorder="1" applyAlignment="1">
      <alignment horizontal="center" vertical="center"/>
    </xf>
    <xf numFmtId="1" fontId="9" fillId="42" borderId="76" xfId="0" applyNumberFormat="1" applyFont="1" applyFill="1" applyBorder="1" applyAlignment="1">
      <alignment horizontal="center" vertical="center"/>
    </xf>
    <xf numFmtId="0" fontId="9" fillId="42" borderId="76"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9" fillId="3" borderId="68" xfId="0" applyFont="1" applyFill="1" applyBorder="1"/>
    <xf numFmtId="0" fontId="59" fillId="3" borderId="86" xfId="0" applyFont="1" applyFill="1" applyBorder="1" applyAlignment="1">
      <alignment wrapText="1"/>
    </xf>
    <xf numFmtId="0" fontId="59" fillId="3" borderId="91" xfId="0" applyFont="1" applyFill="1" applyBorder="1" applyAlignment="1">
      <alignment wrapText="1"/>
    </xf>
    <xf numFmtId="0" fontId="59" fillId="3" borderId="89" xfId="0" applyFont="1" applyFill="1" applyBorder="1" applyAlignment="1">
      <alignment wrapText="1"/>
    </xf>
    <xf numFmtId="0" fontId="16" fillId="7" borderId="182"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3" xfId="0" applyFont="1" applyFill="1" applyBorder="1" applyAlignment="1">
      <alignment horizontal="center"/>
    </xf>
    <xf numFmtId="0" fontId="45" fillId="8" borderId="164" xfId="0" applyFont="1" applyFill="1" applyBorder="1" applyAlignment="1">
      <alignment horizontal="center"/>
    </xf>
    <xf numFmtId="0" fontId="9" fillId="3" borderId="89" xfId="0" applyFont="1" applyFill="1" applyBorder="1" applyAlignment="1">
      <alignment horizontal="left"/>
    </xf>
    <xf numFmtId="0" fontId="9" fillId="3" borderId="127" xfId="0" applyFont="1" applyFill="1" applyBorder="1" applyAlignment="1">
      <alignment horizontal="center"/>
    </xf>
    <xf numFmtId="0" fontId="0" fillId="16" borderId="12" xfId="0" applyFill="1" applyBorder="1"/>
    <xf numFmtId="0" fontId="9" fillId="3" borderId="297" xfId="0" applyFont="1" applyFill="1" applyBorder="1" applyAlignment="1">
      <alignment horizontal="center"/>
    </xf>
    <xf numFmtId="0" fontId="0" fillId="16" borderId="171" xfId="0" applyFill="1" applyBorder="1"/>
    <xf numFmtId="0" fontId="9" fillId="3" borderId="120" xfId="0" applyFont="1" applyFill="1" applyBorder="1" applyAlignment="1">
      <alignment horizontal="center"/>
    </xf>
    <xf numFmtId="0" fontId="9" fillId="3" borderId="126" xfId="0" applyFont="1" applyFill="1" applyBorder="1" applyAlignment="1">
      <alignment horizontal="center"/>
    </xf>
    <xf numFmtId="0" fontId="9" fillId="3" borderId="154" xfId="0" applyFont="1" applyFill="1" applyBorder="1" applyAlignment="1">
      <alignment horizontal="right"/>
    </xf>
    <xf numFmtId="0" fontId="8" fillId="3" borderId="154" xfId="0" applyFont="1" applyFill="1" applyBorder="1" applyAlignment="1">
      <alignment horizontal="center"/>
    </xf>
    <xf numFmtId="0" fontId="8" fillId="3" borderId="155" xfId="0" applyFont="1" applyFill="1" applyBorder="1" applyAlignment="1">
      <alignment horizontal="center"/>
    </xf>
    <xf numFmtId="0" fontId="8" fillId="3" borderId="76" xfId="0" applyFont="1" applyFill="1" applyBorder="1" applyAlignment="1">
      <alignment horizontal="center" vertical="center"/>
    </xf>
    <xf numFmtId="0" fontId="8" fillId="3" borderId="154" xfId="0" applyFont="1" applyFill="1" applyBorder="1" applyAlignment="1">
      <alignment horizontal="center" vertical="center"/>
    </xf>
    <xf numFmtId="0" fontId="45" fillId="8" borderId="89" xfId="0" applyFont="1" applyFill="1" applyBorder="1" applyAlignment="1">
      <alignment horizontal="center"/>
    </xf>
    <xf numFmtId="0" fontId="45" fillId="8" borderId="76" xfId="0" applyFont="1" applyFill="1" applyBorder="1" applyAlignment="1">
      <alignment horizontal="left" wrapText="1"/>
    </xf>
    <xf numFmtId="0" fontId="45" fillId="8" borderId="76" xfId="0" applyFont="1" applyFill="1" applyBorder="1" applyAlignment="1">
      <alignment horizontal="center" wrapText="1"/>
    </xf>
    <xf numFmtId="0" fontId="45" fillId="8" borderId="90"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6" xfId="0" applyNumberFormat="1" applyFont="1" applyFill="1" applyBorder="1" applyAlignment="1">
      <alignment horizontal="center"/>
    </xf>
    <xf numFmtId="0" fontId="9" fillId="3" borderId="90" xfId="0" applyFont="1" applyFill="1" applyBorder="1" applyAlignment="1">
      <alignment horizontal="center"/>
    </xf>
    <xf numFmtId="2" fontId="45" fillId="8" borderId="163" xfId="0" applyNumberFormat="1" applyFont="1" applyFill="1" applyBorder="1" applyAlignment="1">
      <alignment horizontal="center"/>
    </xf>
    <xf numFmtId="1" fontId="0" fillId="3" borderId="91" xfId="0" applyNumberFormat="1" applyFill="1" applyBorder="1" applyAlignment="1">
      <alignment horizontal="center"/>
    </xf>
    <xf numFmtId="1" fontId="0" fillId="3" borderId="89" xfId="0" applyNumberFormat="1" applyFill="1" applyBorder="1" applyAlignment="1">
      <alignment horizontal="center"/>
    </xf>
    <xf numFmtId="0" fontId="0" fillId="3" borderId="90" xfId="0" applyFill="1" applyBorder="1" applyAlignment="1">
      <alignment horizontal="center" vertical="center"/>
    </xf>
    <xf numFmtId="49" fontId="45" fillId="8" borderId="89" xfId="0" applyNumberFormat="1" applyFont="1" applyFill="1" applyBorder="1" applyAlignment="1">
      <alignment horizontal="center" vertical="center"/>
    </xf>
    <xf numFmtId="49" fontId="45" fillId="8" borderId="76" xfId="0" applyNumberFormat="1" applyFont="1" applyFill="1" applyBorder="1" applyAlignment="1">
      <alignment horizontal="center" vertical="center"/>
    </xf>
    <xf numFmtId="0" fontId="0" fillId="3" borderId="91" xfId="0" applyFill="1" applyBorder="1" applyAlignment="1">
      <alignment horizontal="center" vertical="center"/>
    </xf>
    <xf numFmtId="0" fontId="0" fillId="3" borderId="89" xfId="0" applyFill="1" applyBorder="1" applyAlignment="1">
      <alignment horizontal="center" vertical="center"/>
    </xf>
    <xf numFmtId="0" fontId="59" fillId="3" borderId="88" xfId="0" applyFont="1" applyFill="1" applyBorder="1" applyAlignment="1">
      <alignment wrapText="1"/>
    </xf>
    <xf numFmtId="0" fontId="59" fillId="3" borderId="68" xfId="0" applyFont="1" applyFill="1" applyBorder="1" applyAlignment="1">
      <alignment wrapText="1"/>
    </xf>
    <xf numFmtId="0" fontId="59" fillId="3" borderId="90" xfId="0" applyFont="1" applyFill="1" applyBorder="1" applyAlignment="1">
      <alignment wrapText="1"/>
    </xf>
    <xf numFmtId="0" fontId="48" fillId="36" borderId="76" xfId="0" applyFont="1" applyFill="1" applyBorder="1" applyAlignment="1">
      <alignment horizontal="center"/>
    </xf>
    <xf numFmtId="0" fontId="11" fillId="36" borderId="76" xfId="0" applyFont="1" applyFill="1" applyBorder="1" applyAlignment="1">
      <alignment horizontal="left"/>
    </xf>
    <xf numFmtId="0" fontId="11" fillId="37" borderId="76" xfId="0" applyFont="1" applyFill="1" applyBorder="1"/>
    <xf numFmtId="0" fontId="0" fillId="34" borderId="0" xfId="0" applyFill="1"/>
    <xf numFmtId="0" fontId="0" fillId="36" borderId="0" xfId="0" applyFill="1"/>
    <xf numFmtId="0" fontId="0" fillId="36" borderId="76" xfId="0" applyFill="1" applyBorder="1"/>
    <xf numFmtId="0" fontId="34" fillId="0" borderId="0" xfId="0" applyFont="1" applyAlignment="1">
      <alignment horizontal="left" vertical="center"/>
    </xf>
    <xf numFmtId="49" fontId="45" fillId="8" borderId="90" xfId="0" applyNumberFormat="1" applyFont="1" applyFill="1" applyBorder="1" applyAlignment="1">
      <alignment horizontal="left" vertical="center"/>
    </xf>
    <xf numFmtId="0" fontId="45" fillId="8" borderId="89" xfId="0" applyFont="1" applyFill="1" applyBorder="1" applyAlignment="1">
      <alignment horizontal="left" wrapText="1"/>
    </xf>
    <xf numFmtId="0" fontId="45" fillId="8" borderId="90" xfId="0" applyFont="1" applyFill="1" applyBorder="1" applyAlignment="1">
      <alignment horizontal="left" wrapText="1"/>
    </xf>
    <xf numFmtId="0" fontId="45" fillId="8" borderId="76" xfId="0" applyFont="1" applyFill="1" applyBorder="1" applyAlignment="1">
      <alignment horizontal="left"/>
    </xf>
    <xf numFmtId="0" fontId="45" fillId="8" borderId="89" xfId="0" applyFont="1" applyFill="1" applyBorder="1" applyAlignment="1">
      <alignment horizontal="left"/>
    </xf>
    <xf numFmtId="0" fontId="45" fillId="8" borderId="90"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6" xfId="0" applyNumberFormat="1" applyFill="1" applyBorder="1" applyAlignment="1">
      <alignment horizontal="left"/>
    </xf>
    <xf numFmtId="1" fontId="0" fillId="16" borderId="90" xfId="0" applyNumberFormat="1" applyFill="1" applyBorder="1" applyAlignment="1">
      <alignment horizontal="left"/>
    </xf>
    <xf numFmtId="0" fontId="0" fillId="16" borderId="298"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6" xfId="0" applyFont="1" applyFill="1" applyBorder="1" applyAlignment="1">
      <alignment horizontal="left" vertical="center"/>
    </xf>
    <xf numFmtId="0" fontId="0" fillId="16" borderId="133" xfId="0" applyFill="1" applyBorder="1" applyAlignment="1">
      <alignment horizontal="left"/>
    </xf>
    <xf numFmtId="0" fontId="0" fillId="16" borderId="76" xfId="0" applyFill="1" applyBorder="1" applyAlignment="1">
      <alignment horizontal="left"/>
    </xf>
    <xf numFmtId="0" fontId="13" fillId="3" borderId="248" xfId="0" applyFont="1" applyFill="1" applyBorder="1" applyAlignment="1">
      <alignment horizontal="left" vertical="center"/>
    </xf>
    <xf numFmtId="0" fontId="13" fillId="3" borderId="268" xfId="0" applyFont="1" applyFill="1" applyBorder="1" applyAlignment="1">
      <alignment horizontal="left" vertical="center"/>
    </xf>
    <xf numFmtId="0" fontId="77" fillId="21" borderId="78" xfId="0" applyFont="1" applyFill="1" applyBorder="1" applyAlignment="1">
      <alignment horizontal="left"/>
    </xf>
    <xf numFmtId="0" fontId="70" fillId="8" borderId="16" xfId="0" applyFon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48"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4" xfId="0" applyFill="1" applyBorder="1" applyAlignment="1">
      <alignment horizontal="left"/>
    </xf>
    <xf numFmtId="0" fontId="0" fillId="16" borderId="125" xfId="0" applyFill="1" applyBorder="1" applyAlignment="1">
      <alignment horizontal="left"/>
    </xf>
    <xf numFmtId="0" fontId="45" fillId="8" borderId="68" xfId="0" applyFont="1" applyFill="1" applyBorder="1" applyAlignment="1">
      <alignment horizontal="left" vertical="center"/>
    </xf>
    <xf numFmtId="0" fontId="0" fillId="16" borderId="94" xfId="0" applyFill="1" applyBorder="1" applyAlignment="1">
      <alignment horizontal="left"/>
    </xf>
    <xf numFmtId="0" fontId="9" fillId="51" borderId="78"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6" xfId="0" applyFont="1" applyFill="1" applyBorder="1" applyAlignment="1">
      <alignment horizontal="left" vertical="center"/>
    </xf>
    <xf numFmtId="0" fontId="9" fillId="51" borderId="90" xfId="0" applyFont="1" applyFill="1" applyBorder="1" applyAlignment="1">
      <alignment horizontal="left" vertical="center"/>
    </xf>
    <xf numFmtId="0" fontId="15" fillId="8" borderId="109" xfId="0" applyFont="1" applyFill="1" applyBorder="1" applyAlignment="1">
      <alignment horizontal="left" vertical="center" wrapText="1"/>
    </xf>
    <xf numFmtId="0" fontId="15" fillId="8" borderId="140" xfId="0" applyFont="1" applyFill="1" applyBorder="1" applyAlignment="1">
      <alignment horizontal="left" vertical="center"/>
    </xf>
    <xf numFmtId="0" fontId="0" fillId="3" borderId="94" xfId="0" applyFill="1" applyBorder="1" applyAlignment="1">
      <alignment horizontal="left"/>
    </xf>
    <xf numFmtId="0" fontId="0" fillId="16" borderId="68" xfId="0" applyFill="1" applyBorder="1" applyAlignment="1">
      <alignment horizontal="left"/>
    </xf>
    <xf numFmtId="0" fontId="0" fillId="3" borderId="95" xfId="0" applyFill="1" applyBorder="1" applyAlignment="1">
      <alignment horizontal="left"/>
    </xf>
    <xf numFmtId="0" fontId="15" fillId="8" borderId="93" xfId="0" applyFont="1" applyFill="1" applyBorder="1" applyAlignment="1">
      <alignment horizontal="left" vertical="center"/>
    </xf>
    <xf numFmtId="0" fontId="0" fillId="3" borderId="247" xfId="0" applyFill="1" applyBorder="1" applyAlignment="1">
      <alignment horizontal="left"/>
    </xf>
    <xf numFmtId="0" fontId="9" fillId="3" borderId="94" xfId="0" applyFont="1" applyFill="1" applyBorder="1" applyAlignment="1">
      <alignment horizontal="left"/>
    </xf>
    <xf numFmtId="0" fontId="0" fillId="16" borderId="90"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0" xfId="0" applyNumberFormat="1" applyFont="1" applyFill="1" applyBorder="1" applyAlignment="1">
      <alignment horizontal="left" vertical="center"/>
    </xf>
    <xf numFmtId="0" fontId="45" fillId="32" borderId="76"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11" fillId="34" borderId="68" xfId="0" applyFont="1" applyFill="1" applyBorder="1" applyAlignment="1">
      <alignment horizontal="left"/>
    </xf>
    <xf numFmtId="0" fontId="9" fillId="25" borderId="0" xfId="0" applyFont="1" applyFill="1" applyAlignment="1">
      <alignment horizontal="left" vertical="center" wrapText="1"/>
    </xf>
    <xf numFmtId="0" fontId="9" fillId="25" borderId="79" xfId="0" applyFont="1" applyFill="1" applyBorder="1" applyAlignment="1">
      <alignment horizontal="left" vertical="center"/>
    </xf>
    <xf numFmtId="0" fontId="9" fillId="16" borderId="79"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8" xfId="0" applyFont="1" applyFill="1" applyBorder="1" applyAlignment="1">
      <alignment horizontal="left" vertical="top" wrapText="1"/>
    </xf>
    <xf numFmtId="0" fontId="0" fillId="16" borderId="78"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35" xfId="0" applyNumberFormat="1" applyFill="1" applyBorder="1"/>
    <xf numFmtId="49" fontId="0" fillId="3" borderId="171" xfId="0" applyNumberFormat="1" applyFill="1" applyBorder="1"/>
    <xf numFmtId="49" fontId="0" fillId="3" borderId="91" xfId="0" applyNumberFormat="1" applyFill="1" applyBorder="1"/>
    <xf numFmtId="49" fontId="0" fillId="3" borderId="68" xfId="0" applyNumberFormat="1" applyFill="1" applyBorder="1"/>
    <xf numFmtId="49" fontId="0" fillId="3" borderId="89" xfId="0" applyNumberFormat="1" applyFill="1" applyBorder="1"/>
    <xf numFmtId="49" fontId="0" fillId="3" borderId="90" xfId="0" applyNumberFormat="1" applyFill="1" applyBorder="1"/>
    <xf numFmtId="1" fontId="20" fillId="7" borderId="143" xfId="0" applyNumberFormat="1" applyFont="1" applyFill="1" applyBorder="1" applyAlignment="1">
      <alignment horizontal="center" vertical="center" wrapText="1"/>
    </xf>
    <xf numFmtId="1" fontId="20" fillId="3" borderId="100" xfId="0" applyNumberFormat="1" applyFont="1" applyFill="1" applyBorder="1" applyAlignment="1">
      <alignment horizontal="center" vertical="center" wrapText="1"/>
    </xf>
    <xf numFmtId="1" fontId="20" fillId="7" borderId="100" xfId="0" applyNumberFormat="1" applyFont="1" applyFill="1" applyBorder="1" applyAlignment="1">
      <alignment horizontal="center" vertical="center" wrapText="1"/>
    </xf>
    <xf numFmtId="0" fontId="15" fillId="8" borderId="216" xfId="0" applyFont="1" applyFill="1" applyBorder="1" applyAlignment="1">
      <alignment horizontal="center" vertical="center" wrapText="1"/>
    </xf>
    <xf numFmtId="0" fontId="0" fillId="3" borderId="275" xfId="0" applyFill="1" applyBorder="1" applyAlignment="1">
      <alignment horizontal="center"/>
    </xf>
    <xf numFmtId="0" fontId="15" fillId="8" borderId="216" xfId="0" applyFont="1" applyFill="1" applyBorder="1" applyAlignment="1">
      <alignment horizontal="center" vertical="center"/>
    </xf>
    <xf numFmtId="0" fontId="9" fillId="3" borderId="275" xfId="0" applyFont="1" applyFill="1" applyBorder="1" applyAlignment="1">
      <alignment horizontal="left"/>
    </xf>
    <xf numFmtId="1" fontId="0" fillId="3" borderId="68" xfId="0" applyNumberFormat="1" applyFill="1" applyBorder="1" applyAlignment="1">
      <alignment horizontal="center"/>
    </xf>
    <xf numFmtId="1" fontId="0" fillId="3" borderId="76" xfId="0" applyNumberFormat="1" applyFill="1" applyBorder="1" applyAlignment="1">
      <alignment horizontal="center"/>
    </xf>
    <xf numFmtId="1" fontId="0" fillId="3" borderId="90" xfId="0" applyNumberFormat="1" applyFill="1" applyBorder="1" applyAlignment="1">
      <alignment horizontal="center"/>
    </xf>
    <xf numFmtId="1" fontId="58" fillId="52" borderId="91"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0"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3" xfId="0" applyFill="1" applyBorder="1" applyAlignment="1">
      <alignment horizontal="left"/>
    </xf>
    <xf numFmtId="0" fontId="0" fillId="16" borderId="95" xfId="0" applyFill="1" applyBorder="1" applyAlignment="1">
      <alignment horizontal="left"/>
    </xf>
    <xf numFmtId="0" fontId="45" fillId="8" borderId="95" xfId="0" applyFont="1" applyFill="1" applyBorder="1" applyAlignment="1">
      <alignment horizontal="left"/>
    </xf>
    <xf numFmtId="0" fontId="0" fillId="16" borderId="91" xfId="0" applyFill="1" applyBorder="1" applyAlignment="1">
      <alignment horizontal="left"/>
    </xf>
    <xf numFmtId="0" fontId="0" fillId="16" borderId="89" xfId="0" applyFill="1" applyBorder="1" applyAlignment="1">
      <alignment horizontal="left"/>
    </xf>
    <xf numFmtId="0" fontId="59" fillId="27" borderId="91" xfId="0" applyFont="1" applyFill="1" applyBorder="1" applyAlignment="1">
      <alignment wrapText="1"/>
    </xf>
    <xf numFmtId="0" fontId="9" fillId="7" borderId="301" xfId="0" applyFont="1" applyFill="1" applyBorder="1" applyAlignment="1">
      <alignment horizontal="center" vertical="center"/>
    </xf>
    <xf numFmtId="0" fontId="15" fillId="8" borderId="7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0" fillId="19" borderId="71" xfId="0" applyFill="1" applyBorder="1"/>
    <xf numFmtId="0" fontId="0" fillId="19" borderId="79" xfId="0" applyFill="1" applyBorder="1"/>
    <xf numFmtId="0" fontId="58" fillId="7" borderId="0" xfId="0" applyFont="1" applyFill="1" applyAlignment="1">
      <alignment horizontal="right"/>
    </xf>
    <xf numFmtId="0" fontId="67" fillId="3" borderId="88" xfId="0" applyFont="1" applyFill="1" applyBorder="1"/>
    <xf numFmtId="0" fontId="67" fillId="3" borderId="90" xfId="0" applyFont="1" applyFill="1" applyBorder="1"/>
    <xf numFmtId="0" fontId="0" fillId="3" borderId="86" xfId="0" applyFill="1" applyBorder="1" applyAlignment="1">
      <alignment horizontal="right" vertical="center" wrapText="1"/>
    </xf>
    <xf numFmtId="0" fontId="0" fillId="3" borderId="87" xfId="0" applyFill="1" applyBorder="1" applyAlignment="1">
      <alignment horizontal="center"/>
    </xf>
    <xf numFmtId="0" fontId="0" fillId="3" borderId="88" xfId="0" applyFill="1" applyBorder="1" applyAlignment="1">
      <alignment horizontal="center"/>
    </xf>
    <xf numFmtId="0" fontId="0" fillId="3" borderId="91" xfId="0" applyFill="1" applyBorder="1" applyAlignment="1">
      <alignment horizontal="right" vertical="center" wrapText="1"/>
    </xf>
    <xf numFmtId="0" fontId="0" fillId="3" borderId="89" xfId="0" applyFill="1" applyBorder="1" applyAlignment="1">
      <alignment horizontal="right" vertical="center" wrapText="1"/>
    </xf>
    <xf numFmtId="0" fontId="0" fillId="34" borderId="96" xfId="0" applyFill="1" applyBorder="1"/>
    <xf numFmtId="0" fontId="15" fillId="8" borderId="286" xfId="0" applyFont="1" applyFill="1" applyBorder="1" applyAlignment="1">
      <alignment horizontal="center" vertical="center" wrapText="1"/>
    </xf>
    <xf numFmtId="0" fontId="34" fillId="8" borderId="217" xfId="0" applyFont="1" applyFill="1" applyBorder="1" applyAlignment="1">
      <alignment vertical="center"/>
    </xf>
    <xf numFmtId="0" fontId="0" fillId="34" borderId="97" xfId="0" applyFill="1" applyBorder="1"/>
    <xf numFmtId="0" fontId="15" fillId="0" borderId="0" xfId="0" applyFont="1" applyAlignment="1">
      <alignment horizontal="center" vertical="center"/>
    </xf>
    <xf numFmtId="0" fontId="0" fillId="53" borderId="104" xfId="0" applyFill="1" applyBorder="1" applyAlignment="1">
      <alignment horizontal="left"/>
    </xf>
    <xf numFmtId="0" fontId="73" fillId="8" borderId="91" xfId="0" applyFont="1" applyFill="1" applyBorder="1" applyAlignment="1">
      <alignment vertical="center"/>
    </xf>
    <xf numFmtId="0" fontId="9" fillId="3" borderId="76" xfId="0" applyFont="1" applyFill="1" applyBorder="1" applyAlignment="1">
      <alignment horizontal="right"/>
    </xf>
    <xf numFmtId="0" fontId="9" fillId="3" borderId="76" xfId="0" applyFont="1" applyFill="1" applyBorder="1"/>
    <xf numFmtId="0" fontId="45" fillId="8" borderId="76" xfId="0" applyFont="1" applyFill="1" applyBorder="1" applyAlignment="1">
      <alignment horizontal="center"/>
    </xf>
    <xf numFmtId="0" fontId="45" fillId="8" borderId="76" xfId="0" applyFont="1" applyFill="1" applyBorder="1"/>
    <xf numFmtId="0" fontId="0" fillId="53" borderId="78" xfId="0" applyFill="1" applyBorder="1" applyAlignment="1">
      <alignment horizontal="left"/>
    </xf>
    <xf numFmtId="0" fontId="0" fillId="53" borderId="72" xfId="0" applyFill="1" applyBorder="1" applyAlignment="1">
      <alignment horizontal="left"/>
    </xf>
    <xf numFmtId="0" fontId="45" fillId="8" borderId="89" xfId="0" applyFont="1" applyFill="1" applyBorder="1" applyAlignment="1">
      <alignment horizontal="left" vertical="center"/>
    </xf>
    <xf numFmtId="0" fontId="45" fillId="8" borderId="76" xfId="0" applyFont="1" applyFill="1" applyBorder="1" applyAlignment="1">
      <alignment horizontal="left" vertical="center"/>
    </xf>
    <xf numFmtId="0" fontId="45" fillId="8" borderId="90"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2" xfId="0" applyFont="1" applyFill="1" applyBorder="1" applyAlignment="1">
      <alignment vertical="center"/>
    </xf>
    <xf numFmtId="0" fontId="9" fillId="16" borderId="78" xfId="0" applyFont="1" applyFill="1" applyBorder="1" applyAlignment="1">
      <alignment vertical="center"/>
    </xf>
    <xf numFmtId="0" fontId="9" fillId="16" borderId="78" xfId="0" applyFont="1" applyFill="1" applyBorder="1" applyAlignment="1">
      <alignment horizontal="left" vertical="center"/>
    </xf>
    <xf numFmtId="0" fontId="9" fillId="16" borderId="91" xfId="0" applyFont="1" applyFill="1" applyBorder="1" applyAlignment="1">
      <alignment horizontal="left" vertical="center"/>
    </xf>
    <xf numFmtId="0" fontId="9" fillId="16" borderId="89" xfId="0" applyFont="1" applyFill="1" applyBorder="1" applyAlignment="1">
      <alignment horizontal="left"/>
    </xf>
    <xf numFmtId="0" fontId="9" fillId="16" borderId="76" xfId="0" applyFont="1" applyFill="1" applyBorder="1" applyAlignment="1">
      <alignment vertical="center"/>
    </xf>
    <xf numFmtId="0" fontId="9" fillId="50" borderId="104" xfId="0" applyFont="1" applyFill="1" applyBorder="1" applyAlignment="1">
      <alignment horizontal="left" vertical="center"/>
    </xf>
    <xf numFmtId="0" fontId="9" fillId="3" borderId="90" xfId="0" applyFont="1" applyFill="1" applyBorder="1" applyAlignment="1">
      <alignment horizontal="left"/>
    </xf>
    <xf numFmtId="0" fontId="9" fillId="16" borderId="91" xfId="0" applyFont="1" applyFill="1" applyBorder="1" applyAlignment="1">
      <alignment vertical="center"/>
    </xf>
    <xf numFmtId="0" fontId="9" fillId="45" borderId="87" xfId="0" applyFont="1" applyFill="1" applyBorder="1" applyAlignment="1">
      <alignment horizontal="right" vertical="center" wrapText="1"/>
    </xf>
    <xf numFmtId="0" fontId="93" fillId="49" borderId="286" xfId="0" applyFont="1" applyFill="1" applyBorder="1" applyAlignment="1">
      <alignment horizontal="center" vertical="center"/>
    </xf>
    <xf numFmtId="0" fontId="0" fillId="38" borderId="90" xfId="0" applyFill="1" applyBorder="1" applyAlignment="1">
      <alignment horizontal="center" vertical="center"/>
    </xf>
    <xf numFmtId="0" fontId="84" fillId="39" borderId="91"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07" xfId="0" applyFont="1" applyFill="1" applyBorder="1" applyAlignment="1">
      <alignment horizontal="center" vertical="center" wrapText="1"/>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9" fillId="7" borderId="124" xfId="0" applyFont="1" applyFill="1" applyBorder="1" applyAlignment="1">
      <alignment horizontal="right"/>
    </xf>
    <xf numFmtId="0" fontId="102" fillId="8" borderId="10" xfId="0" applyFont="1" applyFill="1" applyBorder="1" applyAlignment="1">
      <alignment vertical="center" wrapText="1"/>
    </xf>
    <xf numFmtId="0" fontId="13" fillId="31" borderId="106" xfId="0" applyFont="1" applyFill="1" applyBorder="1" applyAlignment="1">
      <alignment horizontal="center" vertical="center"/>
    </xf>
    <xf numFmtId="0" fontId="84" fillId="3" borderId="89"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0" xfId="0" applyFont="1" applyFill="1" applyBorder="1"/>
    <xf numFmtId="0" fontId="59" fillId="24" borderId="0" xfId="0" applyFont="1" applyFill="1"/>
    <xf numFmtId="0" fontId="0" fillId="16" borderId="78" xfId="0" applyFill="1" applyBorder="1" applyAlignment="1">
      <alignment horizontal="left" vertical="center"/>
    </xf>
    <xf numFmtId="0" fontId="0" fillId="3" borderId="86" xfId="0" applyFill="1" applyBorder="1" applyAlignment="1">
      <alignment horizontal="center"/>
    </xf>
    <xf numFmtId="0" fontId="45" fillId="8" borderId="89" xfId="0" applyFont="1" applyFill="1" applyBorder="1" applyAlignment="1">
      <alignment horizontal="center" vertical="center"/>
    </xf>
    <xf numFmtId="0" fontId="45" fillId="8" borderId="76" xfId="0" applyFont="1" applyFill="1" applyBorder="1" applyAlignment="1">
      <alignment horizontal="center" vertical="center"/>
    </xf>
    <xf numFmtId="0" fontId="45" fillId="8" borderId="90" xfId="0" applyFont="1" applyFill="1" applyBorder="1" applyAlignment="1">
      <alignment horizontal="center" vertical="center"/>
    </xf>
    <xf numFmtId="0" fontId="9" fillId="7" borderId="323" xfId="0" applyFont="1" applyFill="1" applyBorder="1" applyAlignment="1">
      <alignment horizontal="center" vertical="center" wrapText="1"/>
    </xf>
    <xf numFmtId="0" fontId="9" fillId="7" borderId="322"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3" xfId="0" applyFont="1" applyFill="1" applyBorder="1" applyAlignment="1">
      <alignment horizontal="center"/>
    </xf>
    <xf numFmtId="0" fontId="9" fillId="7" borderId="195" xfId="0" applyFont="1" applyFill="1" applyBorder="1" applyAlignment="1">
      <alignment horizontal="center" vertical="center" wrapText="1"/>
    </xf>
    <xf numFmtId="0" fontId="9" fillId="7" borderId="153" xfId="0" applyFont="1" applyFill="1" applyBorder="1" applyAlignment="1">
      <alignment horizontal="center"/>
    </xf>
    <xf numFmtId="0" fontId="9" fillId="56" borderId="91"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1" xfId="0" applyFont="1" applyFill="1" applyBorder="1" applyAlignment="1">
      <alignment horizontal="center"/>
    </xf>
    <xf numFmtId="0" fontId="9" fillId="7" borderId="89"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8"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0"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0" xfId="0" applyFont="1" applyFill="1" applyBorder="1" applyAlignment="1">
      <alignment horizontal="center" vertical="center"/>
    </xf>
    <xf numFmtId="0" fontId="9" fillId="31" borderId="78" xfId="0" applyFont="1" applyFill="1" applyBorder="1" applyAlignment="1">
      <alignment horizontal="center"/>
    </xf>
    <xf numFmtId="0" fontId="16" fillId="7" borderId="68"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12" fillId="7" borderId="154"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4" xfId="0" applyFont="1" applyFill="1" applyBorder="1" applyAlignment="1">
      <alignment horizontal="center" vertical="center" wrapText="1"/>
    </xf>
    <xf numFmtId="0" fontId="62" fillId="31" borderId="320" xfId="0" applyFont="1" applyFill="1" applyBorder="1" applyAlignment="1">
      <alignment horizontal="center" vertical="center"/>
    </xf>
    <xf numFmtId="0" fontId="62" fillId="31" borderId="322" xfId="0" applyFont="1" applyFill="1" applyBorder="1" applyAlignment="1">
      <alignment horizontal="center" vertical="center"/>
    </xf>
    <xf numFmtId="0" fontId="9" fillId="31" borderId="321" xfId="0" applyFont="1" applyFill="1" applyBorder="1" applyAlignment="1">
      <alignment horizontal="center"/>
    </xf>
    <xf numFmtId="0" fontId="13" fillId="31" borderId="325"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7" xfId="0" applyFont="1" applyFill="1" applyBorder="1" applyAlignment="1">
      <alignment horizontal="center" vertical="center"/>
    </xf>
    <xf numFmtId="0" fontId="62" fillId="31" borderId="76" xfId="0" applyFont="1" applyFill="1" applyBorder="1" applyAlignment="1">
      <alignment horizontal="center" vertic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45" fillId="8" borderId="117" xfId="0" applyFont="1" applyFill="1" applyBorder="1" applyAlignment="1">
      <alignment horizontal="center" vertical="center"/>
    </xf>
    <xf numFmtId="0" fontId="12" fillId="31" borderId="79"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1" xfId="0" applyFont="1" applyFill="1" applyBorder="1" applyAlignment="1">
      <alignment horizontal="center"/>
    </xf>
    <xf numFmtId="0" fontId="13" fillId="7" borderId="15"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2" xfId="0" applyFont="1" applyFill="1" applyBorder="1"/>
    <xf numFmtId="0" fontId="13" fillId="7" borderId="144" xfId="0" applyFont="1" applyFill="1" applyBorder="1" applyAlignment="1">
      <alignment vertical="center"/>
    </xf>
    <xf numFmtId="0" fontId="13" fillId="7" borderId="144" xfId="0" applyFont="1" applyFill="1" applyBorder="1" applyAlignment="1">
      <alignment horizontal="right" vertical="center"/>
    </xf>
    <xf numFmtId="0" fontId="13" fillId="7" borderId="339" xfId="0" applyFont="1" applyFill="1" applyBorder="1" applyAlignment="1">
      <alignment horizontal="center" vertical="center" wrapText="1"/>
    </xf>
    <xf numFmtId="0" fontId="13" fillId="7" borderId="313" xfId="0" applyFont="1" applyFill="1" applyBorder="1" applyAlignment="1">
      <alignment horizontal="center" vertical="center" wrapText="1"/>
    </xf>
    <xf numFmtId="0" fontId="15" fillId="8" borderId="109" xfId="0" applyFont="1" applyFill="1" applyBorder="1" applyAlignment="1">
      <alignment horizontal="left" vertical="center"/>
    </xf>
    <xf numFmtId="0" fontId="13" fillId="7" borderId="139"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6"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78"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78" xfId="0" applyFont="1" applyFill="1" applyBorder="1" applyAlignment="1" applyProtection="1">
      <alignment horizontal="center" wrapText="1"/>
      <protection locked="0"/>
    </xf>
    <xf numFmtId="0" fontId="13" fillId="55" borderId="79" xfId="0" applyFont="1" applyFill="1" applyBorder="1" applyAlignment="1" applyProtection="1">
      <alignment horizontal="center"/>
      <protection locked="0"/>
    </xf>
    <xf numFmtId="49" fontId="85" fillId="55" borderId="142" xfId="0" applyNumberFormat="1" applyFont="1" applyFill="1" applyBorder="1" applyAlignment="1" applyProtection="1">
      <alignment horizontal="center" vertical="center" wrapText="1"/>
      <protection locked="0"/>
    </xf>
    <xf numFmtId="49" fontId="85" fillId="55" borderId="79" xfId="0" applyNumberFormat="1" applyFont="1" applyFill="1" applyBorder="1" applyAlignment="1" applyProtection="1">
      <alignment horizontal="center" vertical="center" wrapText="1"/>
      <protection locked="0"/>
    </xf>
    <xf numFmtId="49" fontId="48" fillId="55" borderId="79" xfId="0" applyNumberFormat="1"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89" xfId="0" applyFont="1" applyFill="1" applyBorder="1" applyAlignment="1">
      <alignment horizontal="center" wrapText="1"/>
    </xf>
    <xf numFmtId="0" fontId="13" fillId="7" borderId="127" xfId="0" applyFont="1" applyFill="1" applyBorder="1" applyAlignment="1">
      <alignment horizontal="center" wrapText="1"/>
    </xf>
    <xf numFmtId="0" fontId="59" fillId="3" borderId="68" xfId="0" applyFont="1" applyFill="1" applyBorder="1" applyAlignment="1">
      <alignment horizontal="right"/>
    </xf>
    <xf numFmtId="0" fontId="99" fillId="8" borderId="140" xfId="0" applyFont="1" applyFill="1" applyBorder="1" applyAlignment="1">
      <alignment horizontal="right"/>
    </xf>
    <xf numFmtId="0" fontId="59" fillId="3" borderId="91" xfId="0" applyFont="1" applyFill="1" applyBorder="1"/>
    <xf numFmtId="0" fontId="13" fillId="7" borderId="348" xfId="0" applyFont="1" applyFill="1" applyBorder="1" applyAlignment="1">
      <alignment horizontal="center" vertical="center" wrapText="1"/>
    </xf>
    <xf numFmtId="0" fontId="12" fillId="31" borderId="100" xfId="0" applyFont="1" applyFill="1" applyBorder="1" applyAlignment="1">
      <alignment horizontal="center"/>
    </xf>
    <xf numFmtId="0" fontId="13" fillId="55" borderId="359" xfId="0" applyFont="1" applyFill="1" applyBorder="1" applyAlignment="1" applyProtection="1">
      <alignment horizontal="center" vertical="center" wrapText="1"/>
      <protection locked="0"/>
    </xf>
    <xf numFmtId="0" fontId="13" fillId="55" borderId="360"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13" fillId="55" borderId="366"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364"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9" xfId="0" applyFont="1" applyFill="1" applyBorder="1" applyAlignment="1" applyProtection="1">
      <alignment horizontal="center"/>
      <protection locked="0"/>
    </xf>
    <xf numFmtId="49" fontId="85" fillId="51" borderId="79"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79"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0" fontId="13" fillId="7" borderId="88"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0"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0"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8" fillId="30" borderId="91" xfId="0" applyFont="1" applyFill="1" applyBorder="1" applyAlignment="1">
      <alignment vertical="center" wrapText="1"/>
    </xf>
    <xf numFmtId="0" fontId="8" fillId="30" borderId="68" xfId="0" applyFont="1" applyFill="1" applyBorder="1" applyAlignment="1">
      <alignment vertical="center" wrapText="1"/>
    </xf>
    <xf numFmtId="0" fontId="8" fillId="30" borderId="89" xfId="0" applyFont="1" applyFill="1" applyBorder="1" applyAlignment="1">
      <alignment vertical="center" wrapText="1"/>
    </xf>
    <xf numFmtId="0" fontId="8" fillId="30" borderId="76" xfId="0" applyFont="1" applyFill="1" applyBorder="1" applyAlignment="1">
      <alignment vertical="center" wrapText="1"/>
    </xf>
    <xf numFmtId="0" fontId="8" fillId="30" borderId="90" xfId="0" applyFont="1" applyFill="1" applyBorder="1" applyAlignment="1">
      <alignment vertical="center" wrapText="1"/>
    </xf>
    <xf numFmtId="0" fontId="13" fillId="55" borderId="358" xfId="0" applyFont="1" applyFill="1" applyBorder="1" applyAlignment="1" applyProtection="1">
      <alignment horizontal="center" vertical="center"/>
      <protection locked="0"/>
    </xf>
    <xf numFmtId="0" fontId="16" fillId="55" borderId="240" xfId="0" applyFont="1" applyFill="1" applyBorder="1" applyAlignment="1" applyProtection="1">
      <alignment horizontal="center" vertical="center" wrapText="1"/>
      <protection locked="0"/>
    </xf>
    <xf numFmtId="0" fontId="16" fillId="55" borderId="368" xfId="0" applyFont="1" applyFill="1" applyBorder="1" applyAlignment="1" applyProtection="1">
      <alignment horizontal="center" vertical="center" wrapText="1"/>
      <protection locked="0"/>
    </xf>
    <xf numFmtId="0" fontId="16" fillId="55" borderId="362" xfId="0" applyFont="1" applyFill="1" applyBorder="1" applyAlignment="1" applyProtection="1">
      <alignment horizontal="center" vertical="center" wrapText="1"/>
      <protection locked="0"/>
    </xf>
    <xf numFmtId="0" fontId="16" fillId="55" borderId="401" xfId="0" applyFont="1" applyFill="1" applyBorder="1" applyAlignment="1" applyProtection="1">
      <alignment horizontal="center" vertical="center" wrapText="1"/>
      <protection locked="0"/>
    </xf>
    <xf numFmtId="0" fontId="16" fillId="55" borderId="380" xfId="0" applyFont="1" applyFill="1" applyBorder="1" applyAlignment="1" applyProtection="1">
      <alignment horizontal="center" vertical="center" wrapText="1"/>
      <protection locked="0"/>
    </xf>
    <xf numFmtId="0" fontId="16" fillId="55" borderId="383" xfId="0" applyFont="1" applyFill="1" applyBorder="1" applyAlignment="1" applyProtection="1">
      <alignment horizontal="center" vertical="center" wrapText="1"/>
      <protection locked="0"/>
    </xf>
    <xf numFmtId="0" fontId="16" fillId="55" borderId="402"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55" borderId="396" xfId="0" applyFont="1" applyFill="1" applyBorder="1" applyAlignment="1" applyProtection="1">
      <alignment horizontal="center" vertical="center"/>
      <protection locked="0"/>
    </xf>
    <xf numFmtId="0" fontId="13" fillId="7" borderId="125" xfId="0" applyFont="1" applyFill="1" applyBorder="1" applyAlignment="1">
      <alignment horizontal="center" vertical="center"/>
    </xf>
    <xf numFmtId="0" fontId="12" fillId="7" borderId="324" xfId="0" applyFont="1" applyFill="1" applyBorder="1" applyAlignment="1">
      <alignment horizontal="right" vertical="center" wrapText="1"/>
    </xf>
    <xf numFmtId="0" fontId="12" fillId="7" borderId="104" xfId="0" applyFont="1" applyFill="1" applyBorder="1" applyAlignment="1">
      <alignment horizontal="right" vertical="center" wrapText="1"/>
    </xf>
    <xf numFmtId="0" fontId="13" fillId="7" borderId="32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13" fillId="7" borderId="78"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3" fillId="28" borderId="390" xfId="0" applyFont="1" applyFill="1" applyBorder="1" applyAlignment="1" applyProtection="1">
      <alignment horizontal="center" vertical="center" wrapText="1"/>
      <protection locked="0"/>
    </xf>
    <xf numFmtId="0" fontId="0" fillId="7" borderId="322" xfId="0" applyFill="1" applyBorder="1"/>
    <xf numFmtId="0" fontId="10" fillId="7" borderId="322" xfId="0" applyFont="1" applyFill="1" applyBorder="1" applyAlignment="1">
      <alignment horizontal="right" vertical="center"/>
    </xf>
    <xf numFmtId="0" fontId="13" fillId="28" borderId="392" xfId="0" applyFont="1" applyFill="1" applyBorder="1" applyAlignment="1" applyProtection="1">
      <alignment horizontal="center" vertical="center" wrapText="1"/>
      <protection locked="0"/>
    </xf>
    <xf numFmtId="0" fontId="9" fillId="7" borderId="97" xfId="0" applyFont="1" applyFill="1" applyBorder="1" applyAlignment="1">
      <alignment vertical="center" wrapText="1"/>
    </xf>
    <xf numFmtId="0" fontId="9" fillId="7" borderId="321"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21"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9" fillId="7" borderId="170" xfId="0" applyFont="1" applyFill="1" applyBorder="1" applyAlignment="1">
      <alignment horizontal="right" vertical="center" wrapText="1"/>
    </xf>
    <xf numFmtId="0" fontId="13" fillId="7" borderId="195" xfId="0" applyFont="1" applyFill="1" applyBorder="1" applyAlignment="1">
      <alignment horizontal="center" vertical="center" wrapText="1"/>
    </xf>
    <xf numFmtId="0" fontId="9" fillId="7" borderId="120" xfId="0" applyFont="1" applyFill="1" applyBorder="1" applyAlignment="1">
      <alignment horizontal="right" vertical="center" wrapText="1"/>
    </xf>
    <xf numFmtId="0" fontId="9" fillId="7" borderId="131" xfId="0" applyFont="1" applyFill="1" applyBorder="1" applyAlignment="1">
      <alignment horizontal="right" vertical="center" wrapText="1"/>
    </xf>
    <xf numFmtId="0" fontId="12" fillId="7" borderId="88" xfId="0" applyFont="1" applyFill="1" applyBorder="1" applyAlignment="1">
      <alignment horizontal="center" vertical="center" wrapText="1"/>
    </xf>
    <xf numFmtId="0" fontId="16" fillId="7" borderId="325" xfId="0" applyFont="1" applyFill="1" applyBorder="1" applyAlignment="1">
      <alignment horizontal="center" vertical="center" wrapText="1"/>
    </xf>
    <xf numFmtId="0" fontId="13" fillId="0" borderId="193" xfId="0" applyFont="1" applyBorder="1" applyAlignment="1">
      <alignment horizontal="center" vertical="center" wrapText="1"/>
    </xf>
    <xf numFmtId="0" fontId="9" fillId="7" borderId="101" xfId="0" applyFont="1" applyFill="1" applyBorder="1" applyAlignment="1">
      <alignment horizontal="right" vertical="center" wrapText="1"/>
    </xf>
    <xf numFmtId="20" fontId="9" fillId="7" borderId="120" xfId="0" applyNumberFormat="1" applyFont="1" applyFill="1" applyBorder="1" applyAlignment="1">
      <alignment horizontal="right" vertical="center" wrapText="1"/>
    </xf>
    <xf numFmtId="0" fontId="9" fillId="7" borderId="126" xfId="0" applyFont="1" applyFill="1" applyBorder="1" applyAlignment="1">
      <alignment horizontal="right" vertical="center" wrapText="1"/>
    </xf>
    <xf numFmtId="0" fontId="16" fillId="55" borderId="422"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13" fillId="0" borderId="376" xfId="0" applyFont="1" applyBorder="1" applyAlignment="1">
      <alignment horizontal="center" vertical="center" wrapText="1"/>
    </xf>
    <xf numFmtId="0" fontId="16" fillId="7" borderId="377" xfId="0" applyFont="1" applyFill="1" applyBorder="1" applyAlignment="1">
      <alignment horizontal="center" vertical="center" wrapText="1"/>
    </xf>
    <xf numFmtId="0" fontId="16" fillId="55" borderId="406" xfId="0" applyFont="1" applyFill="1" applyBorder="1" applyAlignment="1" applyProtection="1">
      <alignment horizontal="center" vertical="center" wrapText="1"/>
      <protection locked="0"/>
    </xf>
    <xf numFmtId="0" fontId="20" fillId="7" borderId="115" xfId="0" applyFont="1" applyFill="1" applyBorder="1" applyAlignment="1">
      <alignment horizontal="center" vertical="center" wrapText="1"/>
    </xf>
    <xf numFmtId="0" fontId="9" fillId="7" borderId="349" xfId="0" applyFont="1" applyFill="1" applyBorder="1" applyAlignment="1">
      <alignment vertical="center" wrapText="1"/>
    </xf>
    <xf numFmtId="0" fontId="9" fillId="54" borderId="437" xfId="0" applyFont="1" applyFill="1" applyBorder="1" applyAlignment="1" applyProtection="1">
      <alignment horizontal="center" vertical="center"/>
      <protection locked="0"/>
    </xf>
    <xf numFmtId="0" fontId="9" fillId="54" borderId="438" xfId="0" applyFont="1" applyFill="1" applyBorder="1" applyAlignment="1" applyProtection="1">
      <alignment horizontal="center" vertical="center"/>
      <protection locked="0"/>
    </xf>
    <xf numFmtId="0" fontId="9" fillId="7" borderId="377" xfId="0" applyFont="1" applyFill="1" applyBorder="1" applyAlignment="1">
      <alignment horizontal="center" vertical="center" wrapText="1"/>
    </xf>
    <xf numFmtId="0" fontId="12" fillId="7" borderId="436" xfId="0" applyFont="1" applyFill="1" applyBorder="1" applyAlignment="1">
      <alignment horizontal="center" vertical="center"/>
    </xf>
    <xf numFmtId="0" fontId="9" fillId="0" borderId="107" xfId="0" applyFont="1" applyBorder="1" applyAlignment="1">
      <alignment horizontal="center"/>
    </xf>
    <xf numFmtId="0" fontId="13" fillId="7" borderId="139" xfId="0" applyFont="1" applyFill="1" applyBorder="1" applyAlignment="1">
      <alignment horizontal="center"/>
    </xf>
    <xf numFmtId="0" fontId="16" fillId="7" borderId="154" xfId="0" applyFont="1" applyFill="1" applyBorder="1" applyAlignment="1">
      <alignment horizontal="center" vertical="center"/>
    </xf>
    <xf numFmtId="0" fontId="25" fillId="7" borderId="321" xfId="0" applyFont="1" applyFill="1" applyBorder="1" applyAlignment="1">
      <alignment horizontal="center" vertical="center" wrapText="1"/>
    </xf>
    <xf numFmtId="0" fontId="25" fillId="7" borderId="322" xfId="0" applyFont="1" applyFill="1" applyBorder="1" applyAlignment="1">
      <alignment horizontal="center" vertical="center" wrapText="1"/>
    </xf>
    <xf numFmtId="0" fontId="12" fillId="7" borderId="132" xfId="0" applyFont="1" applyFill="1" applyBorder="1" applyAlignment="1">
      <alignment horizontal="right" vertical="center" wrapText="1"/>
    </xf>
    <xf numFmtId="0" fontId="13" fillId="55" borderId="453" xfId="0" applyFont="1" applyFill="1" applyBorder="1" applyAlignment="1" applyProtection="1">
      <alignment horizontal="center" vertical="center" wrapText="1"/>
      <protection locked="0"/>
    </xf>
    <xf numFmtId="0" fontId="13" fillId="28" borderId="457" xfId="0" applyFont="1" applyFill="1" applyBorder="1" applyAlignment="1" applyProtection="1">
      <alignment horizontal="center" vertical="center"/>
      <protection locked="0"/>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7" fillId="12" borderId="91" xfId="0" applyFont="1" applyFill="1" applyBorder="1" applyAlignment="1">
      <alignment horizontal="center"/>
    </xf>
    <xf numFmtId="0" fontId="27" fillId="23" borderId="91" xfId="0" applyFont="1" applyFill="1" applyBorder="1" applyAlignment="1">
      <alignment horizontal="center"/>
    </xf>
    <xf numFmtId="0" fontId="119" fillId="30" borderId="0" xfId="0" applyFont="1" applyFill="1" applyAlignment="1">
      <alignment vertical="center" wrapText="1"/>
    </xf>
    <xf numFmtId="0" fontId="8" fillId="30" borderId="431" xfId="0" applyFont="1" applyFill="1" applyBorder="1" applyAlignment="1">
      <alignment vertical="center" wrapText="1"/>
    </xf>
    <xf numFmtId="0" fontId="8" fillId="30" borderId="37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7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5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8" xfId="0" applyFont="1" applyFill="1" applyBorder="1" applyAlignment="1">
      <alignment horizontal="left" vertical="center"/>
    </xf>
    <xf numFmtId="0" fontId="9" fillId="50" borderId="106" xfId="0" applyFont="1" applyFill="1" applyBorder="1" applyAlignment="1">
      <alignment horizontal="left" vertical="center"/>
    </xf>
    <xf numFmtId="0" fontId="9" fillId="50" borderId="439" xfId="0" applyFont="1" applyFill="1" applyBorder="1" applyAlignment="1">
      <alignment horizontal="left" vertical="center"/>
    </xf>
    <xf numFmtId="0" fontId="9" fillId="51" borderId="330" xfId="0" applyFont="1" applyFill="1" applyBorder="1" applyAlignment="1">
      <alignment horizontal="left" vertical="center"/>
    </xf>
    <xf numFmtId="0" fontId="0" fillId="24" borderId="87" xfId="0" applyFill="1" applyBorder="1"/>
    <xf numFmtId="0" fontId="0" fillId="23" borderId="0" xfId="0" applyFill="1" applyAlignment="1">
      <alignment horizontal="center" vertical="center" wrapText="1"/>
    </xf>
    <xf numFmtId="0" fontId="0" fillId="24" borderId="7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0"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1" xfId="0" applyFont="1" applyFill="1" applyBorder="1" applyAlignment="1" applyProtection="1">
      <alignment horizontal="center" vertical="center"/>
      <protection locked="0"/>
    </xf>
    <xf numFmtId="0" fontId="13" fillId="55" borderId="162"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1" xfId="0" applyFont="1" applyFill="1" applyBorder="1" applyAlignment="1" applyProtection="1">
      <alignment horizontal="center" vertical="center" wrapText="1"/>
      <protection locked="0"/>
    </xf>
    <xf numFmtId="0" fontId="13" fillId="51" borderId="162"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6" xfId="0" applyFont="1" applyFill="1" applyBorder="1" applyAlignment="1">
      <alignment horizontal="right" vertical="center" wrapText="1"/>
    </xf>
    <xf numFmtId="0" fontId="9" fillId="54" borderId="481" xfId="0" applyFont="1" applyFill="1" applyBorder="1" applyProtection="1">
      <protection locked="0"/>
    </xf>
    <xf numFmtId="0" fontId="9" fillId="54" borderId="480" xfId="0" applyFont="1" applyFill="1" applyBorder="1" applyProtection="1">
      <protection locked="0"/>
    </xf>
    <xf numFmtId="0" fontId="13" fillId="55" borderId="333" xfId="0" applyFont="1" applyFill="1" applyBorder="1" applyAlignment="1" applyProtection="1">
      <alignment horizontal="center" vertical="center"/>
      <protection locked="0"/>
    </xf>
    <xf numFmtId="0" fontId="48" fillId="28" borderId="485" xfId="0" applyFont="1" applyFill="1" applyBorder="1" applyAlignment="1" applyProtection="1">
      <alignment horizontal="center"/>
      <protection locked="0"/>
    </xf>
    <xf numFmtId="0" fontId="48" fillId="28" borderId="390" xfId="0" applyFont="1" applyFill="1" applyBorder="1" applyAlignment="1" applyProtection="1">
      <alignment horizontal="center"/>
      <protection locked="0"/>
    </xf>
    <xf numFmtId="0" fontId="48" fillId="28" borderId="391" xfId="0" applyFont="1" applyFill="1" applyBorder="1" applyAlignment="1" applyProtection="1">
      <alignment horizontal="center"/>
      <protection locked="0"/>
    </xf>
    <xf numFmtId="0" fontId="12" fillId="30" borderId="488" xfId="0" applyFont="1" applyFill="1" applyBorder="1" applyAlignment="1">
      <alignment horizontal="right"/>
    </xf>
    <xf numFmtId="0" fontId="48" fillId="28" borderId="38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8" xfId="0" applyFont="1" applyFill="1" applyBorder="1" applyAlignment="1" applyProtection="1">
      <alignment horizontal="center"/>
      <protection locked="0"/>
    </xf>
    <xf numFmtId="49" fontId="13" fillId="55" borderId="324" xfId="0" applyNumberFormat="1" applyFont="1" applyFill="1" applyBorder="1" applyAlignment="1" applyProtection="1">
      <alignment vertical="center" wrapText="1"/>
      <protection locked="0"/>
    </xf>
    <xf numFmtId="49" fontId="13" fillId="55" borderId="104" xfId="0" applyNumberFormat="1" applyFont="1" applyFill="1" applyBorder="1" applyAlignment="1" applyProtection="1">
      <alignment vertical="center" wrapText="1"/>
      <protection locked="0"/>
    </xf>
    <xf numFmtId="0" fontId="9" fillId="54" borderId="489" xfId="0" applyFont="1" applyFill="1" applyBorder="1" applyAlignment="1" applyProtection="1">
      <alignment horizontal="center"/>
      <protection locked="0"/>
    </xf>
    <xf numFmtId="0" fontId="9" fillId="54" borderId="490" xfId="0" applyFont="1" applyFill="1" applyBorder="1" applyAlignment="1" applyProtection="1">
      <alignment horizontal="center"/>
      <protection locked="0"/>
    </xf>
    <xf numFmtId="0" fontId="9" fillId="54" borderId="446" xfId="0" applyFont="1" applyFill="1" applyBorder="1" applyAlignment="1" applyProtection="1">
      <alignment horizontal="center"/>
      <protection locked="0"/>
    </xf>
    <xf numFmtId="0" fontId="9" fillId="54" borderId="443" xfId="0" applyFont="1" applyFill="1" applyBorder="1" applyAlignment="1" applyProtection="1">
      <alignment horizontal="center"/>
      <protection locked="0"/>
    </xf>
    <xf numFmtId="0" fontId="9" fillId="54" borderId="445" xfId="0" applyFont="1" applyFill="1" applyBorder="1" applyAlignment="1" applyProtection="1">
      <alignment horizontal="center"/>
      <protection locked="0"/>
    </xf>
    <xf numFmtId="49" fontId="13" fillId="55" borderId="443" xfId="0" applyNumberFormat="1" applyFont="1" applyFill="1" applyBorder="1" applyAlignment="1" applyProtection="1">
      <alignment vertical="center" wrapText="1"/>
      <protection locked="0"/>
    </xf>
    <xf numFmtId="49" fontId="13" fillId="55" borderId="446" xfId="0" applyNumberFormat="1" applyFont="1" applyFill="1" applyBorder="1" applyAlignment="1" applyProtection="1">
      <alignment vertical="center" wrapText="1"/>
      <protection locked="0"/>
    </xf>
    <xf numFmtId="0" fontId="13" fillId="55" borderId="507" xfId="0" applyFont="1" applyFill="1" applyBorder="1" applyAlignment="1" applyProtection="1">
      <alignment horizontal="center" vertical="center" wrapText="1"/>
      <protection locked="0"/>
    </xf>
    <xf numFmtId="0" fontId="13" fillId="55" borderId="396" xfId="0" applyFont="1" applyFill="1" applyBorder="1" applyAlignment="1" applyProtection="1">
      <alignment horizontal="center" vertical="center" wrapText="1"/>
      <protection locked="0"/>
    </xf>
    <xf numFmtId="0" fontId="13" fillId="55" borderId="510" xfId="0" applyFont="1" applyFill="1" applyBorder="1" applyAlignment="1" applyProtection="1">
      <alignment horizontal="center" vertical="center" wrapText="1"/>
      <protection locked="0"/>
    </xf>
    <xf numFmtId="0" fontId="9" fillId="7" borderId="511" xfId="0" applyFont="1" applyFill="1" applyBorder="1" applyAlignment="1">
      <alignment horizontal="center" vertical="center" wrapText="1"/>
    </xf>
    <xf numFmtId="0" fontId="13" fillId="55" borderId="516" xfId="0" applyFont="1" applyFill="1" applyBorder="1" applyAlignment="1" applyProtection="1">
      <alignment horizontal="center"/>
      <protection locked="0"/>
    </xf>
    <xf numFmtId="0" fontId="9" fillId="28" borderId="533" xfId="0" applyFont="1" applyFill="1" applyBorder="1" applyAlignment="1" applyProtection="1">
      <alignment horizontal="center" vertical="center" wrapText="1"/>
      <protection locked="0"/>
    </xf>
    <xf numFmtId="0" fontId="9" fillId="31" borderId="492" xfId="0" applyFont="1" applyFill="1" applyBorder="1" applyAlignment="1">
      <alignment horizontal="center"/>
    </xf>
    <xf numFmtId="0" fontId="48" fillId="31" borderId="106" xfId="0" applyFont="1" applyFill="1" applyBorder="1"/>
    <xf numFmtId="0" fontId="13" fillId="30" borderId="369" xfId="0" applyFont="1" applyFill="1" applyBorder="1" applyAlignment="1" applyProtection="1">
      <alignment horizontal="center" vertical="center" wrapText="1"/>
      <protection locked="0"/>
    </xf>
    <xf numFmtId="0" fontId="13" fillId="23" borderId="492"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7" xfId="0" applyFont="1" applyFill="1" applyBorder="1" applyAlignment="1">
      <alignment vertical="center" wrapText="1"/>
    </xf>
    <xf numFmtId="0" fontId="13" fillId="50" borderId="546" xfId="0" applyFont="1" applyFill="1" applyBorder="1" applyAlignment="1" applyProtection="1">
      <alignment horizontal="center" vertical="center" wrapText="1"/>
      <protection locked="0"/>
    </xf>
    <xf numFmtId="0" fontId="110" fillId="55" borderId="477" xfId="0" applyFont="1" applyFill="1" applyBorder="1" applyAlignment="1" applyProtection="1">
      <alignment horizontal="center" vertical="center"/>
      <protection locked="0"/>
    </xf>
    <xf numFmtId="0" fontId="9" fillId="54" borderId="367" xfId="0" applyFont="1" applyFill="1" applyBorder="1" applyAlignment="1" applyProtection="1">
      <alignment horizontal="center" vertical="center"/>
      <protection locked="0"/>
    </xf>
    <xf numFmtId="0" fontId="9" fillId="54" borderId="422" xfId="0" applyFont="1" applyFill="1" applyBorder="1" applyAlignment="1" applyProtection="1">
      <alignment horizontal="center" vertical="center"/>
      <protection locked="0"/>
    </xf>
    <xf numFmtId="0" fontId="12" fillId="31" borderId="376" xfId="0" applyFont="1" applyFill="1" applyBorder="1" applyAlignment="1">
      <alignment horizontal="center"/>
    </xf>
    <xf numFmtId="0" fontId="25" fillId="55" borderId="385" xfId="0" applyFont="1" applyFill="1" applyBorder="1" applyAlignment="1" applyProtection="1">
      <alignment horizontal="center" vertical="center" wrapText="1"/>
      <protection locked="0"/>
    </xf>
    <xf numFmtId="0" fontId="25" fillId="55" borderId="387" xfId="0" applyFont="1" applyFill="1" applyBorder="1" applyAlignment="1" applyProtection="1">
      <alignment horizontal="center" vertical="center" wrapText="1"/>
      <protection locked="0"/>
    </xf>
    <xf numFmtId="0" fontId="25" fillId="55" borderId="398" xfId="0" applyFont="1" applyFill="1" applyBorder="1" applyAlignment="1" applyProtection="1">
      <alignment horizontal="center" vertical="center" wrapText="1"/>
      <protection locked="0"/>
    </xf>
    <xf numFmtId="0" fontId="12" fillId="23" borderId="283" xfId="0" applyFont="1" applyFill="1" applyBorder="1" applyAlignment="1">
      <alignment horizontal="center"/>
    </xf>
    <xf numFmtId="0" fontId="41" fillId="23" borderId="551" xfId="0" applyFont="1" applyFill="1" applyBorder="1" applyAlignment="1">
      <alignment horizontal="right" vertical="center"/>
    </xf>
    <xf numFmtId="0" fontId="13" fillId="23" borderId="447" xfId="0" applyFont="1" applyFill="1" applyBorder="1" applyAlignment="1">
      <alignment horizontal="left" vertical="center" wrapText="1"/>
    </xf>
    <xf numFmtId="0" fontId="0" fillId="12" borderId="91"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46"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06"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75" xfId="0" applyFont="1" applyFill="1" applyBorder="1" applyAlignment="1">
      <alignment horizontal="right" vertical="center" wrapText="1"/>
    </xf>
    <xf numFmtId="0" fontId="13" fillId="31" borderId="553" xfId="0" applyFont="1" applyFill="1" applyBorder="1" applyAlignment="1">
      <alignment horizontal="center" vertical="center" wrapText="1"/>
    </xf>
    <xf numFmtId="0" fontId="9" fillId="30" borderId="375" xfId="0" applyFont="1" applyFill="1" applyBorder="1" applyAlignment="1">
      <alignment horizontal="right" vertical="center" wrapText="1"/>
    </xf>
    <xf numFmtId="0" fontId="13" fillId="30" borderId="553" xfId="0" applyFont="1" applyFill="1" applyBorder="1" applyAlignment="1">
      <alignment horizontal="center" vertical="center" wrapText="1"/>
    </xf>
    <xf numFmtId="0" fontId="9" fillId="7" borderId="560" xfId="0" applyFont="1" applyFill="1" applyBorder="1" applyAlignment="1">
      <alignment horizontal="center"/>
    </xf>
    <xf numFmtId="0" fontId="9" fillId="7" borderId="561" xfId="0" applyFont="1" applyFill="1" applyBorder="1" applyAlignment="1">
      <alignment horizontal="center"/>
    </xf>
    <xf numFmtId="0" fontId="9" fillId="30" borderId="76" xfId="0" applyFont="1" applyFill="1" applyBorder="1" applyAlignment="1">
      <alignment horizontal="right" vertical="center" wrapText="1"/>
    </xf>
    <xf numFmtId="0" fontId="13" fillId="30" borderId="154" xfId="0" applyFont="1" applyFill="1" applyBorder="1" applyAlignment="1">
      <alignment horizontal="center" vertical="center" wrapText="1"/>
    </xf>
    <xf numFmtId="0" fontId="13" fillId="24" borderId="79" xfId="0" applyFont="1" applyFill="1" applyBorder="1" applyAlignment="1">
      <alignment horizontal="center" vertical="center" wrapText="1"/>
    </xf>
    <xf numFmtId="0" fontId="16" fillId="23" borderId="377" xfId="0" applyFont="1" applyFill="1" applyBorder="1" applyAlignment="1">
      <alignment horizontal="center" vertical="center" wrapText="1"/>
    </xf>
    <xf numFmtId="0" fontId="16" fillId="3" borderId="76" xfId="0" applyFont="1" applyFill="1" applyBorder="1" applyAlignment="1">
      <alignment wrapText="1"/>
    </xf>
    <xf numFmtId="0" fontId="9" fillId="7" borderId="567" xfId="0" applyFont="1" applyFill="1" applyBorder="1" applyAlignment="1">
      <alignment horizontal="center" vertical="center" shrinkToFit="1"/>
    </xf>
    <xf numFmtId="0" fontId="9" fillId="7" borderId="568" xfId="0" applyFont="1" applyFill="1" applyBorder="1" applyAlignment="1">
      <alignment horizontal="center" vertical="center" wrapText="1"/>
    </xf>
    <xf numFmtId="0" fontId="9" fillId="7" borderId="569" xfId="0" applyFont="1" applyFill="1" applyBorder="1" applyAlignment="1">
      <alignment horizontal="center" vertical="center" wrapText="1"/>
    </xf>
    <xf numFmtId="0" fontId="9" fillId="7" borderId="569" xfId="0" applyFont="1" applyFill="1" applyBorder="1" applyAlignment="1">
      <alignment horizontal="center" vertical="center"/>
    </xf>
    <xf numFmtId="0" fontId="9" fillId="7" borderId="555" xfId="0" applyFont="1" applyFill="1" applyBorder="1" applyAlignment="1">
      <alignment horizontal="center" vertical="center"/>
    </xf>
    <xf numFmtId="0" fontId="12" fillId="7" borderId="567" xfId="0" applyFont="1" applyFill="1" applyBorder="1" applyAlignment="1">
      <alignment horizontal="center" vertical="center" wrapText="1"/>
    </xf>
    <xf numFmtId="0" fontId="12" fillId="7" borderId="570" xfId="0" applyFont="1" applyFill="1" applyBorder="1" applyAlignment="1">
      <alignment horizontal="center" vertical="center" wrapText="1"/>
    </xf>
    <xf numFmtId="0" fontId="12" fillId="7" borderId="571" xfId="0" applyFont="1" applyFill="1" applyBorder="1" applyAlignment="1">
      <alignment horizontal="center" vertical="center" wrapText="1"/>
    </xf>
    <xf numFmtId="0" fontId="9" fillId="7" borderId="471" xfId="0" applyFont="1" applyFill="1" applyBorder="1" applyAlignment="1">
      <alignment horizontal="right" vertical="center" wrapText="1"/>
    </xf>
    <xf numFmtId="0" fontId="9" fillId="7" borderId="552" xfId="0" applyFont="1" applyFill="1" applyBorder="1" applyAlignment="1">
      <alignment horizontal="center" vertical="center" shrinkToFit="1"/>
    </xf>
    <xf numFmtId="0" fontId="13" fillId="7" borderId="552" xfId="0" applyFont="1" applyFill="1" applyBorder="1" applyAlignment="1">
      <alignment horizontal="center" vertical="center" wrapText="1"/>
    </xf>
    <xf numFmtId="0" fontId="9" fillId="7" borderId="44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7" xfId="0" applyNumberFormat="1" applyFont="1" applyFill="1" applyBorder="1" applyAlignment="1" applyProtection="1">
      <alignment horizontal="center" wrapText="1"/>
      <protection locked="0"/>
    </xf>
    <xf numFmtId="1" fontId="9" fillId="55" borderId="142"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79"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79"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74" xfId="0" applyFill="1" applyBorder="1"/>
    <xf numFmtId="0" fontId="123" fillId="3" borderId="89" xfId="0" applyFont="1" applyFill="1" applyBorder="1"/>
    <xf numFmtId="0" fontId="123" fillId="3" borderId="145" xfId="0" applyFont="1" applyFill="1" applyBorder="1"/>
    <xf numFmtId="0" fontId="123" fillId="3" borderId="171" xfId="0" applyFont="1" applyFill="1" applyBorder="1" applyAlignment="1">
      <alignment horizontal="right"/>
    </xf>
    <xf numFmtId="0" fontId="130" fillId="7" borderId="185" xfId="0" applyFont="1" applyFill="1" applyBorder="1" applyAlignment="1">
      <alignment horizontal="right"/>
    </xf>
    <xf numFmtId="0" fontId="9" fillId="31" borderId="0" xfId="0" applyFont="1" applyFill="1" applyAlignment="1">
      <alignment horizontal="center" vertical="center" wrapText="1"/>
    </xf>
    <xf numFmtId="0" fontId="58" fillId="43" borderId="91"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1" xfId="0" applyFont="1" applyFill="1" applyBorder="1" applyAlignment="1">
      <alignment horizontal="center"/>
    </xf>
    <xf numFmtId="0" fontId="58" fillId="43" borderId="91" xfId="0" applyFont="1" applyFill="1" applyBorder="1" applyAlignment="1">
      <alignment horizontal="center" vertical="center"/>
    </xf>
    <xf numFmtId="0" fontId="58" fillId="43" borderId="68" xfId="0" applyFont="1" applyFill="1" applyBorder="1"/>
    <xf numFmtId="0" fontId="58" fillId="43" borderId="89" xfId="0" applyFont="1" applyFill="1" applyBorder="1" applyAlignment="1">
      <alignment horizontal="center" shrinkToFit="1"/>
    </xf>
    <xf numFmtId="0" fontId="58" fillId="43" borderId="76" xfId="0" applyFont="1" applyFill="1" applyBorder="1" applyAlignment="1">
      <alignment horizontal="center" shrinkToFit="1"/>
    </xf>
    <xf numFmtId="0" fontId="58" fillId="43" borderId="90" xfId="0" applyFont="1" applyFill="1" applyBorder="1" applyAlignment="1">
      <alignment horizontal="center" shrinkToFit="1"/>
    </xf>
    <xf numFmtId="0" fontId="0" fillId="16" borderId="102"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1" xfId="0" applyFont="1" applyFill="1" applyBorder="1" applyAlignment="1">
      <alignment horizontal="right"/>
    </xf>
    <xf numFmtId="0" fontId="0" fillId="16" borderId="91" xfId="0" applyFill="1" applyBorder="1" applyAlignment="1">
      <alignment horizontal="right"/>
    </xf>
    <xf numFmtId="0" fontId="0" fillId="16" borderId="89" xfId="0" applyFill="1" applyBorder="1" applyAlignment="1">
      <alignment horizontal="right"/>
    </xf>
    <xf numFmtId="0" fontId="9" fillId="31" borderId="48" xfId="0" applyFont="1" applyFill="1" applyBorder="1" applyAlignment="1">
      <alignment horizontal="center" vertical="center" wrapText="1"/>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7" borderId="239" xfId="0" applyFill="1" applyBorder="1" applyAlignment="1">
      <alignment vertical="top"/>
    </xf>
    <xf numFmtId="0" fontId="0" fillId="31" borderId="239" xfId="0" applyFill="1" applyBorder="1"/>
    <xf numFmtId="0" fontId="0" fillId="31" borderId="321" xfId="0" applyFill="1" applyBorder="1" applyAlignment="1">
      <alignment vertical="center" wrapText="1"/>
    </xf>
    <xf numFmtId="0" fontId="0" fillId="31" borderId="78" xfId="0" applyFill="1" applyBorder="1" applyAlignment="1">
      <alignment vertical="center" wrapText="1"/>
    </xf>
    <xf numFmtId="0" fontId="0" fillId="30" borderId="322" xfId="0" applyFill="1" applyBorder="1"/>
    <xf numFmtId="0" fontId="0" fillId="31" borderId="322" xfId="0" applyFill="1" applyBorder="1"/>
    <xf numFmtId="0" fontId="0" fillId="7" borderId="71" xfId="0" applyFill="1" applyBorder="1"/>
    <xf numFmtId="0" fontId="0" fillId="31" borderId="79" xfId="0" applyFill="1" applyBorder="1" applyAlignment="1">
      <alignment vertical="top"/>
    </xf>
    <xf numFmtId="0" fontId="11" fillId="7" borderId="79" xfId="0" applyFont="1" applyFill="1" applyBorder="1" applyAlignment="1">
      <alignment horizontal="left" shrinkToFit="1"/>
    </xf>
    <xf numFmtId="0" fontId="11" fillId="7" borderId="79" xfId="0" applyFont="1" applyFill="1" applyBorder="1" applyAlignment="1">
      <alignment horizontal="left" vertical="top" shrinkToFit="1"/>
    </xf>
    <xf numFmtId="0" fontId="11" fillId="7" borderId="79" xfId="0" applyFont="1" applyFill="1" applyBorder="1" applyAlignment="1">
      <alignment horizontal="left"/>
    </xf>
    <xf numFmtId="0" fontId="0" fillId="7" borderId="79" xfId="0" applyFill="1" applyBorder="1"/>
    <xf numFmtId="0" fontId="13" fillId="7" borderId="79" xfId="0" applyFont="1" applyFill="1" applyBorder="1" applyAlignment="1">
      <alignment horizontal="left" vertical="top" wrapText="1"/>
    </xf>
    <xf numFmtId="0" fontId="0" fillId="39" borderId="104" xfId="0" applyFill="1" applyBorder="1"/>
    <xf numFmtId="0" fontId="9" fillId="54" borderId="578" xfId="0" applyFont="1" applyFill="1" applyBorder="1" applyAlignment="1" applyProtection="1">
      <alignment horizontal="center" vertical="center"/>
      <protection locked="0"/>
    </xf>
    <xf numFmtId="0" fontId="0" fillId="3" borderId="548" xfId="0" applyFill="1" applyBorder="1" applyAlignment="1">
      <alignment horizontal="left"/>
    </xf>
    <xf numFmtId="0" fontId="0" fillId="19" borderId="325" xfId="0" applyFill="1" applyBorder="1"/>
    <xf numFmtId="0" fontId="0" fillId="19" borderId="577" xfId="0" applyFill="1" applyBorder="1" applyAlignment="1">
      <alignment horizontal="left"/>
    </xf>
    <xf numFmtId="0" fontId="0" fillId="19" borderId="440" xfId="0" applyFill="1" applyBorder="1"/>
    <xf numFmtId="0" fontId="45" fillId="8" borderId="463" xfId="0" applyFont="1" applyFill="1" applyBorder="1" applyAlignment="1">
      <alignment horizontal="left"/>
    </xf>
    <xf numFmtId="0" fontId="9" fillId="61" borderId="579" xfId="0" applyFont="1" applyFill="1" applyBorder="1"/>
    <xf numFmtId="0" fontId="0" fillId="3" borderId="349" xfId="0" applyFill="1" applyBorder="1" applyAlignment="1">
      <alignment horizontal="center"/>
    </xf>
    <xf numFmtId="0" fontId="0" fillId="3" borderId="346" xfId="0" applyFill="1" applyBorder="1" applyAlignment="1">
      <alignment horizontal="center"/>
    </xf>
    <xf numFmtId="0" fontId="0" fillId="3" borderId="324" xfId="0" applyFill="1" applyBorder="1" applyAlignment="1">
      <alignment horizontal="left"/>
    </xf>
    <xf numFmtId="0" fontId="0" fillId="27" borderId="580" xfId="0" applyFill="1" applyBorder="1" applyAlignment="1">
      <alignment horizontal="center"/>
    </xf>
    <xf numFmtId="0" fontId="9" fillId="3" borderId="579" xfId="0" applyFont="1" applyFill="1" applyBorder="1"/>
    <xf numFmtId="0" fontId="0" fillId="27" borderId="581" xfId="0" applyFill="1" applyBorder="1" applyAlignment="1">
      <alignment horizontal="center"/>
    </xf>
    <xf numFmtId="0" fontId="0" fillId="3" borderId="349" xfId="0" applyFill="1" applyBorder="1" applyAlignment="1">
      <alignment horizontal="center" vertical="center"/>
    </xf>
    <xf numFmtId="0" fontId="9" fillId="3" borderId="579" xfId="0" applyFont="1" applyFill="1" applyBorder="1" applyAlignment="1">
      <alignment horizontal="left"/>
    </xf>
    <xf numFmtId="0" fontId="9" fillId="3" borderId="582" xfId="0" applyFont="1" applyFill="1" applyBorder="1" applyAlignment="1">
      <alignment horizontal="left"/>
    </xf>
    <xf numFmtId="0" fontId="9" fillId="3" borderId="462" xfId="0" applyFont="1" applyFill="1" applyBorder="1" applyAlignment="1">
      <alignment horizontal="left"/>
    </xf>
    <xf numFmtId="0" fontId="0" fillId="3" borderId="322" xfId="0" applyFill="1" applyBorder="1" applyAlignment="1">
      <alignment horizontal="left"/>
    </xf>
    <xf numFmtId="0" fontId="9" fillId="3" borderId="440" xfId="0" applyFont="1" applyFill="1" applyBorder="1" applyAlignment="1">
      <alignment horizontal="center"/>
    </xf>
    <xf numFmtId="0" fontId="0" fillId="3" borderId="576" xfId="0" applyFill="1" applyBorder="1" applyAlignment="1">
      <alignment horizontal="left"/>
    </xf>
    <xf numFmtId="0" fontId="0" fillId="3" borderId="554" xfId="0" applyFill="1" applyBorder="1" applyAlignment="1">
      <alignment horizontal="center"/>
    </xf>
    <xf numFmtId="0" fontId="0" fillId="3" borderId="376" xfId="0" applyFill="1" applyBorder="1" applyAlignment="1">
      <alignment horizontal="left"/>
    </xf>
    <xf numFmtId="0" fontId="0" fillId="27" borderId="583" xfId="0" applyFill="1" applyBorder="1" applyAlignment="1">
      <alignment horizontal="center"/>
    </xf>
    <xf numFmtId="0" fontId="9" fillId="3" borderId="584" xfId="0" applyFont="1" applyFill="1" applyBorder="1" applyAlignment="1">
      <alignment horizontal="left"/>
    </xf>
    <xf numFmtId="0" fontId="0" fillId="3" borderId="349" xfId="0" applyFill="1" applyBorder="1"/>
    <xf numFmtId="0" fontId="0" fillId="3" borderId="576" xfId="0" applyFill="1" applyBorder="1" applyAlignment="1">
      <alignment horizontal="center"/>
    </xf>
    <xf numFmtId="0" fontId="0" fillId="27" borderId="376" xfId="0" applyFill="1" applyBorder="1" applyAlignment="1">
      <alignment horizontal="center"/>
    </xf>
    <xf numFmtId="0" fontId="0" fillId="3" borderId="322" xfId="0" applyFill="1" applyBorder="1"/>
    <xf numFmtId="0" fontId="0" fillId="3" borderId="322" xfId="0" applyFill="1" applyBorder="1" applyAlignment="1">
      <alignment horizontal="center"/>
    </xf>
    <xf numFmtId="0" fontId="0" fillId="3" borderId="324" xfId="0" applyFill="1" applyBorder="1" applyAlignment="1">
      <alignment horizontal="center"/>
    </xf>
    <xf numFmtId="0" fontId="0" fillId="27" borderId="463" xfId="0" applyFill="1" applyBorder="1" applyAlignment="1">
      <alignment horizontal="center"/>
    </xf>
    <xf numFmtId="0" fontId="9" fillId="3" borderId="464" xfId="0" applyFont="1" applyFill="1" applyBorder="1" applyAlignment="1">
      <alignment horizontal="left"/>
    </xf>
    <xf numFmtId="0" fontId="0" fillId="3" borderId="587" xfId="0" applyFill="1" applyBorder="1" applyAlignment="1">
      <alignment horizontal="left"/>
    </xf>
    <xf numFmtId="0" fontId="0" fillId="3" borderId="465" xfId="0" applyFill="1" applyBorder="1" applyAlignment="1">
      <alignment horizontal="center"/>
    </xf>
    <xf numFmtId="0" fontId="0" fillId="3" borderId="588" xfId="0" applyFill="1" applyBorder="1" applyAlignment="1">
      <alignment horizontal="center"/>
    </xf>
    <xf numFmtId="0" fontId="0" fillId="3" borderId="321" xfId="0" applyFill="1" applyBorder="1" applyAlignment="1">
      <alignment horizontal="left"/>
    </xf>
    <xf numFmtId="0" fontId="0" fillId="3" borderId="78" xfId="0" applyFill="1" applyBorder="1" applyAlignment="1">
      <alignment horizontal="left"/>
    </xf>
    <xf numFmtId="0" fontId="0" fillId="3" borderId="72" xfId="0" applyFill="1" applyBorder="1" applyAlignment="1">
      <alignment horizontal="left"/>
    </xf>
    <xf numFmtId="0" fontId="0" fillId="27" borderId="321" xfId="0" applyFill="1" applyBorder="1" applyAlignment="1">
      <alignment horizontal="center"/>
    </xf>
    <xf numFmtId="0" fontId="0" fillId="27" borderId="78" xfId="0" applyFill="1" applyBorder="1" applyAlignment="1">
      <alignment horizontal="center"/>
    </xf>
    <xf numFmtId="0" fontId="0" fillId="16" borderId="78" xfId="0" applyFill="1" applyBorder="1"/>
    <xf numFmtId="0" fontId="0" fillId="16" borderId="72" xfId="0" applyFill="1" applyBorder="1"/>
    <xf numFmtId="0" fontId="0" fillId="16" borderId="586" xfId="0" applyFill="1" applyBorder="1" applyAlignment="1">
      <alignment horizontal="right"/>
    </xf>
    <xf numFmtId="0" fontId="0" fillId="16" borderId="463" xfId="0" applyFill="1" applyBorder="1" applyAlignment="1">
      <alignment horizontal="right"/>
    </xf>
    <xf numFmtId="0" fontId="0" fillId="27" borderId="463" xfId="0" applyFill="1" applyBorder="1" applyAlignment="1">
      <alignment horizontal="right"/>
    </xf>
    <xf numFmtId="0" fontId="0" fillId="27" borderId="586" xfId="0" applyFill="1" applyBorder="1" applyAlignment="1">
      <alignment horizontal="right"/>
    </xf>
    <xf numFmtId="0" fontId="0" fillId="27" borderId="466" xfId="0" applyFill="1" applyBorder="1" applyAlignment="1">
      <alignment horizontal="right"/>
    </xf>
    <xf numFmtId="0" fontId="9" fillId="3" borderId="322" xfId="0" applyFont="1" applyFill="1" applyBorder="1" applyAlignment="1">
      <alignment horizontal="center"/>
    </xf>
    <xf numFmtId="0" fontId="9" fillId="3" borderId="465" xfId="0" applyFont="1" applyFill="1" applyBorder="1" applyAlignment="1">
      <alignment horizontal="center"/>
    </xf>
    <xf numFmtId="0" fontId="9" fillId="61" borderId="58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7"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77" xfId="12" applyFont="1" applyFill="1" applyBorder="1" applyAlignment="1">
      <alignment horizontal="center" vertical="center"/>
    </xf>
    <xf numFmtId="0" fontId="9" fillId="16" borderId="621" xfId="12" applyFont="1" applyFill="1" applyBorder="1" applyAlignment="1">
      <alignment horizontal="center" vertical="center"/>
    </xf>
    <xf numFmtId="0" fontId="9" fillId="24" borderId="79"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40" xfId="12" applyFont="1" applyFill="1" applyBorder="1" applyAlignment="1">
      <alignment horizontal="right" vertical="center"/>
    </xf>
    <xf numFmtId="0" fontId="12" fillId="24" borderId="324" xfId="12" applyFont="1" applyFill="1" applyBorder="1" applyAlignment="1">
      <alignment horizontal="center" vertical="center"/>
    </xf>
    <xf numFmtId="0" fontId="12" fillId="24" borderId="97" xfId="12" applyFont="1" applyFill="1" applyBorder="1" applyAlignment="1">
      <alignment horizontal="center" vertical="center"/>
    </xf>
    <xf numFmtId="0" fontId="12" fillId="24" borderId="99" xfId="12" applyFont="1" applyFill="1" applyBorder="1" applyAlignment="1">
      <alignment horizontal="center" vertical="center"/>
    </xf>
    <xf numFmtId="0" fontId="9" fillId="24" borderId="324" xfId="12" applyFont="1" applyFill="1" applyBorder="1" applyAlignment="1">
      <alignment horizontal="center" vertical="center"/>
    </xf>
    <xf numFmtId="0" fontId="9" fillId="24" borderId="32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100" xfId="12" applyFont="1" applyFill="1" applyBorder="1" applyAlignment="1">
      <alignment horizontal="center" vertical="center"/>
    </xf>
    <xf numFmtId="0" fontId="9" fillId="24" borderId="376" xfId="12" applyFont="1" applyFill="1" applyBorder="1" applyAlignment="1">
      <alignment horizontal="center" vertical="center"/>
    </xf>
    <xf numFmtId="0" fontId="9" fillId="24" borderId="37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3" xfId="0" applyFont="1" applyFill="1" applyBorder="1" applyAlignment="1">
      <alignment horizontal="left" vertical="center"/>
    </xf>
    <xf numFmtId="0" fontId="9" fillId="16" borderId="94" xfId="12" applyFont="1" applyFill="1" applyBorder="1" applyAlignment="1">
      <alignment horizontal="left" vertical="center"/>
    </xf>
    <xf numFmtId="0" fontId="9" fillId="16" borderId="95" xfId="12" applyFont="1" applyFill="1" applyBorder="1" applyAlignment="1">
      <alignment horizontal="left" vertical="center"/>
    </xf>
    <xf numFmtId="0" fontId="9" fillId="3" borderId="90" xfId="0" applyFont="1" applyFill="1" applyBorder="1" applyAlignment="1">
      <alignment horizontal="left" vertical="center"/>
    </xf>
    <xf numFmtId="49" fontId="9" fillId="0" borderId="0" xfId="0" applyNumberFormat="1" applyFont="1" applyAlignment="1">
      <alignment horizontal="left"/>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1"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6" xfId="0" applyFont="1" applyFill="1" applyBorder="1" applyAlignment="1">
      <alignment horizontal="left"/>
    </xf>
    <xf numFmtId="0" fontId="9" fillId="16" borderId="94" xfId="0" applyFont="1" applyFill="1" applyBorder="1" applyAlignment="1">
      <alignment horizontal="left"/>
    </xf>
    <xf numFmtId="0" fontId="9" fillId="16" borderId="95"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8"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7"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58"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58" xfId="0" applyFont="1" applyFill="1" applyBorder="1" applyAlignment="1">
      <alignment horizontal="center" vertical="center" wrapText="1"/>
    </xf>
    <xf numFmtId="0" fontId="73" fillId="7" borderId="321" xfId="0" applyFont="1" applyFill="1" applyBorder="1" applyAlignment="1">
      <alignment horizontal="center" vertical="center" wrapText="1"/>
    </xf>
    <xf numFmtId="0" fontId="67" fillId="3" borderId="78" xfId="0" applyFont="1" applyFill="1" applyBorder="1" applyAlignment="1">
      <alignment horizontal="center" vertical="center" wrapText="1"/>
    </xf>
    <xf numFmtId="0" fontId="13" fillId="51" borderId="79" xfId="0" applyFont="1" applyFill="1" applyBorder="1" applyAlignment="1" applyProtection="1">
      <alignment horizontal="center" vertical="center" wrapText="1"/>
      <protection locked="0"/>
    </xf>
    <xf numFmtId="0" fontId="73" fillId="7" borderId="378" xfId="0" applyFont="1" applyFill="1" applyBorder="1" applyAlignment="1">
      <alignment horizontal="center" vertical="center" wrapText="1"/>
    </xf>
    <xf numFmtId="0" fontId="13" fillId="55" borderId="440" xfId="0" applyFont="1" applyFill="1" applyBorder="1" applyAlignment="1" applyProtection="1">
      <alignment horizontal="center" vertical="center" wrapText="1"/>
      <protection locked="0"/>
    </xf>
    <xf numFmtId="0" fontId="28" fillId="7" borderId="177" xfId="0" applyFont="1" applyFill="1" applyBorder="1" applyAlignment="1">
      <alignment vertical="center" wrapText="1"/>
    </xf>
    <xf numFmtId="0" fontId="28" fillId="7" borderId="98" xfId="0" applyFont="1" applyFill="1" applyBorder="1" applyAlignment="1">
      <alignment vertical="center" wrapText="1"/>
    </xf>
    <xf numFmtId="0" fontId="28" fillId="7" borderId="98"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58" xfId="0" applyFont="1" applyFill="1" applyBorder="1" applyAlignment="1">
      <alignment horizontal="center" wrapText="1"/>
    </xf>
    <xf numFmtId="0" fontId="73" fillId="7" borderId="87"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77" xfId="0" applyFont="1" applyFill="1" applyBorder="1" applyAlignment="1">
      <alignment horizontal="center"/>
    </xf>
    <xf numFmtId="1" fontId="27" fillId="12" borderId="100" xfId="0" applyNumberFormat="1" applyFont="1" applyFill="1" applyBorder="1" applyAlignment="1">
      <alignment horizontal="center" vertical="center"/>
    </xf>
    <xf numFmtId="0" fontId="45" fillId="13" borderId="106" xfId="0" applyFont="1" applyFill="1" applyBorder="1" applyAlignment="1">
      <alignment horizontal="center"/>
    </xf>
    <xf numFmtId="0" fontId="45" fillId="13" borderId="576" xfId="0" applyFont="1" applyFill="1" applyBorder="1" applyAlignment="1">
      <alignment horizontal="center"/>
    </xf>
    <xf numFmtId="0" fontId="9" fillId="7" borderId="576" xfId="0" applyFont="1" applyFill="1" applyBorder="1" applyAlignment="1">
      <alignment horizontal="right" vertical="center" wrapText="1"/>
    </xf>
    <xf numFmtId="0" fontId="13" fillId="7" borderId="440" xfId="0" applyFont="1" applyFill="1" applyBorder="1" applyAlignment="1">
      <alignment horizontal="center" vertical="center" wrapText="1"/>
    </xf>
    <xf numFmtId="0" fontId="9" fillId="7" borderId="87" xfId="0" applyFont="1" applyFill="1" applyBorder="1" applyAlignment="1">
      <alignment horizontal="center"/>
    </xf>
    <xf numFmtId="0" fontId="9" fillId="7" borderId="88" xfId="0" applyFont="1" applyFill="1" applyBorder="1" applyAlignment="1">
      <alignment horizontal="center"/>
    </xf>
    <xf numFmtId="0" fontId="13" fillId="7" borderId="127" xfId="0" applyFont="1" applyFill="1" applyBorder="1" applyAlignment="1">
      <alignment horizontal="center" vertical="center" wrapText="1"/>
    </xf>
    <xf numFmtId="0" fontId="0" fillId="23" borderId="0" xfId="0" applyFill="1" applyAlignment="1">
      <alignment horizontal="right" wrapText="1"/>
    </xf>
    <xf numFmtId="0" fontId="0" fillId="12" borderId="88"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0" xfId="0" applyFill="1" applyBorder="1" applyAlignment="1">
      <alignment horizontal="center" vertical="center"/>
    </xf>
    <xf numFmtId="0" fontId="67" fillId="16" borderId="7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7" xfId="12" applyFont="1" applyFill="1" applyBorder="1" applyAlignment="1">
      <alignment horizontal="center" vertical="center"/>
    </xf>
    <xf numFmtId="0" fontId="12" fillId="24" borderId="635" xfId="12" applyFont="1" applyFill="1" applyBorder="1" applyAlignment="1">
      <alignment horizontal="center" vertical="center"/>
    </xf>
    <xf numFmtId="0" fontId="12" fillId="24" borderId="63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35" xfId="0" applyFill="1" applyBorder="1" applyAlignment="1">
      <alignment vertical="center" wrapText="1"/>
    </xf>
    <xf numFmtId="0" fontId="30" fillId="31" borderId="635" xfId="0" applyFont="1" applyFill="1" applyBorder="1" applyAlignment="1">
      <alignment horizontal="center" vertical="center" wrapText="1"/>
    </xf>
    <xf numFmtId="0" fontId="139" fillId="28" borderId="598" xfId="12" applyFont="1" applyFill="1" applyBorder="1" applyAlignment="1" applyProtection="1">
      <alignment horizontal="center" vertical="center"/>
      <protection locked="0"/>
    </xf>
    <xf numFmtId="0" fontId="139" fillId="28" borderId="599" xfId="12" applyFont="1" applyFill="1" applyBorder="1" applyAlignment="1" applyProtection="1">
      <alignment horizontal="center" vertical="center"/>
      <protection locked="0"/>
    </xf>
    <xf numFmtId="0" fontId="139" fillId="28" borderId="600" xfId="12" applyFont="1" applyFill="1" applyBorder="1" applyAlignment="1" applyProtection="1">
      <alignment horizontal="center" vertical="center"/>
      <protection locked="0"/>
    </xf>
    <xf numFmtId="0" fontId="139" fillId="28" borderId="601" xfId="12" applyFont="1" applyFill="1" applyBorder="1" applyAlignment="1" applyProtection="1">
      <alignment horizontal="center" vertical="center"/>
      <protection locked="0"/>
    </xf>
    <xf numFmtId="0" fontId="139" fillId="28" borderId="602" xfId="12" applyFont="1" applyFill="1" applyBorder="1" applyAlignment="1" applyProtection="1">
      <alignment horizontal="center" vertical="center"/>
      <protection locked="0"/>
    </xf>
    <xf numFmtId="0" fontId="139" fillId="19" borderId="605" xfId="12" applyFont="1" applyFill="1" applyBorder="1" applyAlignment="1" applyProtection="1">
      <alignment horizontal="center" vertical="center"/>
      <protection locked="0"/>
    </xf>
    <xf numFmtId="0" fontId="139" fillId="19" borderId="607" xfId="12" applyFont="1" applyFill="1" applyBorder="1" applyAlignment="1" applyProtection="1">
      <alignment horizontal="center" vertical="center"/>
      <protection locked="0"/>
    </xf>
    <xf numFmtId="0" fontId="139" fillId="19" borderId="604" xfId="12" applyFont="1" applyFill="1" applyBorder="1" applyAlignment="1" applyProtection="1">
      <alignment horizontal="center" vertical="center"/>
      <protection locked="0"/>
    </xf>
    <xf numFmtId="0" fontId="139" fillId="19" borderId="603" xfId="12" applyFont="1" applyFill="1" applyBorder="1" applyAlignment="1" applyProtection="1">
      <alignment horizontal="center" vertical="center"/>
      <protection locked="0"/>
    </xf>
    <xf numFmtId="0" fontId="139" fillId="19" borderId="608" xfId="12" applyFont="1" applyFill="1" applyBorder="1" applyAlignment="1" applyProtection="1">
      <alignment horizontal="center" vertical="center"/>
      <protection locked="0"/>
    </xf>
    <xf numFmtId="0" fontId="139" fillId="28" borderId="605" xfId="12" applyFont="1" applyFill="1" applyBorder="1" applyAlignment="1" applyProtection="1">
      <alignment horizontal="center" vertical="center"/>
      <protection locked="0"/>
    </xf>
    <xf numFmtId="0" fontId="139" fillId="28" borderId="607" xfId="12" applyFont="1" applyFill="1" applyBorder="1" applyAlignment="1" applyProtection="1">
      <alignment horizontal="center" vertical="center"/>
      <protection locked="0"/>
    </xf>
    <xf numFmtId="0" fontId="139" fillId="28" borderId="604" xfId="12" applyFont="1" applyFill="1" applyBorder="1" applyAlignment="1" applyProtection="1">
      <alignment horizontal="center" vertical="center"/>
      <protection locked="0"/>
    </xf>
    <xf numFmtId="0" fontId="139" fillId="28" borderId="603" xfId="12" applyFont="1" applyFill="1" applyBorder="1" applyAlignment="1" applyProtection="1">
      <alignment horizontal="center" vertical="center"/>
      <protection locked="0"/>
    </xf>
    <xf numFmtId="0" fontId="139" fillId="28" borderId="608" xfId="12" applyFont="1" applyFill="1" applyBorder="1" applyAlignment="1" applyProtection="1">
      <alignment horizontal="center" vertical="center"/>
      <protection locked="0"/>
    </xf>
    <xf numFmtId="0" fontId="139" fillId="28" borderId="614" xfId="12" applyFont="1" applyFill="1" applyBorder="1" applyAlignment="1" applyProtection="1">
      <alignment horizontal="center" vertical="center"/>
      <protection locked="0"/>
    </xf>
    <xf numFmtId="0" fontId="139" fillId="28" borderId="615" xfId="12" applyFont="1" applyFill="1" applyBorder="1" applyAlignment="1" applyProtection="1">
      <alignment horizontal="center" vertical="center"/>
      <protection locked="0"/>
    </xf>
    <xf numFmtId="0" fontId="139" fillId="28" borderId="616" xfId="12" applyFont="1" applyFill="1" applyBorder="1" applyAlignment="1" applyProtection="1">
      <alignment horizontal="center" vertical="center"/>
      <protection locked="0"/>
    </xf>
    <xf numFmtId="0" fontId="139" fillId="28" borderId="617" xfId="12" applyFont="1" applyFill="1" applyBorder="1" applyAlignment="1" applyProtection="1">
      <alignment horizontal="center" vertical="center"/>
      <protection locked="0"/>
    </xf>
    <xf numFmtId="0" fontId="139" fillId="28" borderId="618"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1"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6" xfId="0" applyFont="1" applyFill="1" applyBorder="1" applyAlignment="1">
      <alignment horizontal="center" vertical="center"/>
    </xf>
    <xf numFmtId="0" fontId="27" fillId="16" borderId="76" xfId="0" applyFont="1" applyFill="1" applyBorder="1" applyAlignment="1">
      <alignment horizontal="left" vertical="center"/>
    </xf>
    <xf numFmtId="49" fontId="27" fillId="16" borderId="76" xfId="0" applyNumberFormat="1" applyFont="1" applyFill="1" applyBorder="1" applyAlignment="1">
      <alignment horizontal="center" vertical="center"/>
    </xf>
    <xf numFmtId="49" fontId="27" fillId="16" borderId="90" xfId="0" applyNumberFormat="1" applyFont="1" applyFill="1" applyBorder="1" applyAlignment="1">
      <alignment horizontal="center" vertical="center"/>
    </xf>
    <xf numFmtId="0" fontId="27" fillId="26" borderId="78" xfId="0" applyFont="1" applyFill="1" applyBorder="1" applyAlignment="1">
      <alignment horizontal="left" vertical="center"/>
    </xf>
    <xf numFmtId="0" fontId="27" fillId="16" borderId="78" xfId="0" applyFont="1" applyFill="1" applyBorder="1" applyAlignment="1">
      <alignment horizontal="left" vertical="center"/>
    </xf>
    <xf numFmtId="0" fontId="27" fillId="16" borderId="78" xfId="0" applyFont="1" applyFill="1" applyBorder="1" applyAlignment="1">
      <alignment horizontal="center" vertical="center"/>
    </xf>
    <xf numFmtId="0" fontId="27" fillId="16" borderId="330" xfId="0" applyFont="1" applyFill="1" applyBorder="1" applyAlignment="1">
      <alignment horizontal="center" vertical="center"/>
    </xf>
    <xf numFmtId="0" fontId="67" fillId="24" borderId="0" xfId="12" applyFont="1" applyFill="1" applyAlignment="1">
      <alignment horizontal="center" vertical="center"/>
    </xf>
    <xf numFmtId="0" fontId="67" fillId="16" borderId="86"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89" xfId="12" applyFont="1" applyFill="1" applyBorder="1" applyAlignment="1">
      <alignment horizontal="center" vertical="center"/>
    </xf>
    <xf numFmtId="0" fontId="67" fillId="16" borderId="0" xfId="12" applyFont="1" applyFill="1" applyAlignment="1">
      <alignment horizontal="center"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2" xfId="12" applyFont="1" applyFill="1" applyBorder="1" applyAlignment="1">
      <alignment horizontal="center" vertical="center"/>
    </xf>
    <xf numFmtId="0" fontId="8" fillId="30" borderId="87" xfId="0" applyFont="1" applyFill="1" applyBorder="1" applyAlignment="1">
      <alignment wrapText="1"/>
    </xf>
    <xf numFmtId="0" fontId="9" fillId="30" borderId="0" xfId="0" applyFont="1" applyFill="1" applyAlignment="1">
      <alignment vertical="center" wrapText="1"/>
    </xf>
    <xf numFmtId="0" fontId="9" fillId="31" borderId="91" xfId="0" applyFont="1" applyFill="1" applyBorder="1" applyAlignment="1">
      <alignment horizontal="right"/>
    </xf>
    <xf numFmtId="0" fontId="9" fillId="31" borderId="106" xfId="0" applyFont="1" applyFill="1" applyBorder="1"/>
    <xf numFmtId="0" fontId="0" fillId="31" borderId="632" xfId="0" applyFill="1" applyBorder="1"/>
    <xf numFmtId="0" fontId="9" fillId="54" borderId="359"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38" xfId="0" applyFont="1" applyFill="1" applyBorder="1" applyAlignment="1" applyProtection="1">
      <alignment horizontal="center"/>
      <protection locked="0"/>
    </xf>
    <xf numFmtId="0" fontId="9" fillId="54" borderId="639" xfId="0" applyFont="1" applyFill="1" applyBorder="1" applyAlignment="1" applyProtection="1">
      <alignment horizontal="center"/>
      <protection locked="0"/>
    </xf>
    <xf numFmtId="0" fontId="9" fillId="51" borderId="100" xfId="0" applyFont="1" applyFill="1" applyBorder="1" applyAlignment="1" applyProtection="1">
      <alignment horizontal="center"/>
      <protection locked="0"/>
    </xf>
    <xf numFmtId="0" fontId="15" fillId="49" borderId="94" xfId="0" applyFont="1" applyFill="1" applyBorder="1" applyAlignment="1">
      <alignment vertical="center" wrapText="1"/>
    </xf>
    <xf numFmtId="0" fontId="9" fillId="7" borderId="641" xfId="0" applyFont="1" applyFill="1" applyBorder="1" applyAlignment="1">
      <alignment vertical="center" wrapText="1"/>
    </xf>
    <xf numFmtId="0" fontId="12" fillId="7" borderId="642"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3" fillId="58" borderId="349" xfId="0" applyFont="1" applyFill="1" applyBorder="1" applyAlignment="1" applyProtection="1">
      <alignment horizontal="center" vertical="center" wrapText="1"/>
      <protection locked="0"/>
    </xf>
    <xf numFmtId="0" fontId="9" fillId="7" borderId="346" xfId="0" applyFont="1" applyFill="1" applyBorder="1" applyAlignment="1">
      <alignment horizontal="center" wrapText="1"/>
    </xf>
    <xf numFmtId="0" fontId="13" fillId="55" borderId="349" xfId="0" applyFont="1" applyFill="1" applyBorder="1" applyAlignment="1" applyProtection="1">
      <alignment horizontal="center" vertical="center" wrapText="1"/>
      <protection locked="0"/>
    </xf>
    <xf numFmtId="0" fontId="9" fillId="7" borderId="648" xfId="0" applyFont="1" applyFill="1" applyBorder="1" applyAlignment="1">
      <alignment horizontal="center" vertical="center"/>
    </xf>
    <xf numFmtId="0" fontId="13" fillId="7" borderId="349" xfId="0" applyFont="1" applyFill="1" applyBorder="1" applyAlignment="1">
      <alignment horizontal="center" vertical="center"/>
    </xf>
    <xf numFmtId="0" fontId="13" fillId="3" borderId="349" xfId="0" applyFont="1" applyFill="1" applyBorder="1" applyAlignment="1">
      <alignment horizontal="center" vertical="center"/>
    </xf>
    <xf numFmtId="0" fontId="9" fillId="7" borderId="650" xfId="0" applyFont="1" applyFill="1" applyBorder="1" applyAlignment="1">
      <alignment horizontal="center" vertical="center"/>
    </xf>
    <xf numFmtId="0" fontId="9" fillId="31" borderId="646" xfId="0" applyFont="1" applyFill="1" applyBorder="1" applyAlignment="1">
      <alignment horizontal="center"/>
    </xf>
    <xf numFmtId="0" fontId="16" fillId="55" borderId="348" xfId="0" applyFont="1" applyFill="1" applyBorder="1" applyAlignment="1" applyProtection="1">
      <alignment horizontal="center" vertical="center" wrapText="1"/>
      <protection locked="0"/>
    </xf>
    <xf numFmtId="0" fontId="16" fillId="59" borderId="348" xfId="0" applyFont="1" applyFill="1" applyBorder="1" applyAlignment="1" applyProtection="1">
      <alignment horizontal="center" vertical="center" wrapText="1"/>
      <protection locked="0"/>
    </xf>
    <xf numFmtId="0" fontId="55" fillId="31" borderId="330" xfId="0" applyFont="1" applyFill="1" applyBorder="1" applyAlignment="1">
      <alignment horizontal="center"/>
    </xf>
    <xf numFmtId="0" fontId="9" fillId="7" borderId="632" xfId="0" applyFont="1" applyFill="1" applyBorder="1" applyAlignment="1">
      <alignment horizontal="center" vertical="center" wrapText="1"/>
    </xf>
    <xf numFmtId="49" fontId="13" fillId="55" borderId="655" xfId="0" applyNumberFormat="1" applyFont="1" applyFill="1" applyBorder="1" applyAlignment="1" applyProtection="1">
      <alignment vertical="center" wrapText="1"/>
      <protection locked="0"/>
    </xf>
    <xf numFmtId="0" fontId="9" fillId="7" borderId="184" xfId="0" applyFont="1" applyFill="1" applyBorder="1" applyAlignment="1">
      <alignment horizontal="center" vertical="center" wrapText="1"/>
    </xf>
    <xf numFmtId="0" fontId="13" fillId="28" borderId="657" xfId="0" applyFont="1" applyFill="1" applyBorder="1" applyAlignment="1" applyProtection="1">
      <alignment horizontal="center"/>
      <protection locked="0"/>
    </xf>
    <xf numFmtId="0" fontId="84" fillId="27" borderId="68" xfId="0" applyFont="1" applyFill="1" applyBorder="1"/>
    <xf numFmtId="0" fontId="84" fillId="3" borderId="94" xfId="0" applyFont="1" applyFill="1" applyBorder="1"/>
    <xf numFmtId="0" fontId="0" fillId="3" borderId="112"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9" fillId="3" borderId="346" xfId="0" applyFont="1" applyFill="1" applyBorder="1"/>
    <xf numFmtId="0" fontId="9" fillId="24" borderId="72" xfId="0" applyFont="1" applyFill="1" applyBorder="1"/>
    <xf numFmtId="0" fontId="0" fillId="24" borderId="440" xfId="0" applyFill="1" applyBorder="1"/>
    <xf numFmtId="0" fontId="9" fillId="3" borderId="247" xfId="0" applyFont="1" applyFill="1" applyBorder="1"/>
    <xf numFmtId="0" fontId="9" fillId="3" borderId="94" xfId="0" applyFont="1" applyFill="1" applyBorder="1"/>
    <xf numFmtId="0" fontId="0" fillId="3" borderId="659" xfId="0" applyFill="1" applyBorder="1" applyAlignment="1">
      <alignment horizontal="center" vertical="center"/>
    </xf>
    <xf numFmtId="0" fontId="0" fillId="3" borderId="658" xfId="0" applyFill="1" applyBorder="1" applyAlignment="1">
      <alignment horizontal="center"/>
    </xf>
    <xf numFmtId="0" fontId="0" fillId="3" borderId="659" xfId="0" applyFill="1" applyBorder="1" applyAlignment="1">
      <alignment horizontal="center"/>
    </xf>
    <xf numFmtId="0" fontId="9" fillId="3" borderId="658" xfId="0" applyFont="1" applyFill="1" applyBorder="1"/>
    <xf numFmtId="0" fontId="9" fillId="3" borderId="90" xfId="0" applyFont="1" applyFill="1" applyBorder="1"/>
    <xf numFmtId="0" fontId="9" fillId="3" borderId="95" xfId="0" applyFont="1" applyFill="1" applyBorder="1"/>
    <xf numFmtId="0" fontId="59" fillId="30" borderId="0" xfId="0" applyFont="1" applyFill="1"/>
    <xf numFmtId="0" fontId="13" fillId="7" borderId="239" xfId="0" applyFont="1" applyFill="1" applyBorder="1" applyAlignment="1">
      <alignment horizontal="left" vertical="top"/>
    </xf>
    <xf numFmtId="0" fontId="9" fillId="24" borderId="91" xfId="12" applyFont="1" applyFill="1" applyBorder="1" applyAlignment="1">
      <alignment vertical="center"/>
    </xf>
    <xf numFmtId="0" fontId="0" fillId="3" borderId="109" xfId="0" applyFill="1" applyBorder="1"/>
    <xf numFmtId="0" fontId="0" fillId="3" borderId="78" xfId="0" applyFill="1" applyBorder="1"/>
    <xf numFmtId="0" fontId="0" fillId="3" borderId="140" xfId="0" applyFill="1" applyBorder="1" applyAlignment="1">
      <alignment horizontal="right"/>
    </xf>
    <xf numFmtId="0" fontId="10" fillId="7" borderId="239" xfId="0" applyFont="1" applyFill="1" applyBorder="1" applyAlignment="1">
      <alignment vertical="top"/>
    </xf>
    <xf numFmtId="0" fontId="9" fillId="54" borderId="43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12" fillId="7" borderId="223" xfId="0" applyFont="1" applyFill="1" applyBorder="1" applyAlignment="1">
      <alignment horizontal="center" vertical="center"/>
    </xf>
    <xf numFmtId="0" fontId="12" fillId="7" borderId="664" xfId="0" applyFont="1" applyFill="1" applyBorder="1" applyAlignment="1">
      <alignment horizontal="center" vertical="center"/>
    </xf>
    <xf numFmtId="0" fontId="27" fillId="7" borderId="91" xfId="0" applyFont="1" applyFill="1" applyBorder="1" applyAlignment="1">
      <alignment horizontal="center"/>
    </xf>
    <xf numFmtId="0" fontId="27" fillId="7" borderId="89"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2" xfId="0" applyFont="1" applyFill="1" applyBorder="1" applyAlignment="1">
      <alignment horizontal="center" vertical="center" wrapText="1"/>
    </xf>
    <xf numFmtId="0" fontId="9" fillId="27" borderId="88" xfId="0" applyFont="1" applyFill="1" applyBorder="1" applyAlignment="1">
      <alignment vertical="center" wrapText="1"/>
    </xf>
    <xf numFmtId="0" fontId="9" fillId="24" borderId="0" xfId="12" applyFont="1" applyFill="1" applyAlignment="1">
      <alignment vertical="center"/>
    </xf>
    <xf numFmtId="0" fontId="73" fillId="15" borderId="661" xfId="12" applyFont="1" applyFill="1" applyBorder="1" applyAlignment="1">
      <alignment horizontal="center" vertical="center"/>
    </xf>
    <xf numFmtId="0" fontId="9" fillId="24" borderId="661" xfId="12" applyFont="1" applyFill="1" applyBorder="1" applyAlignment="1">
      <alignment horizontal="center" vertical="center"/>
    </xf>
    <xf numFmtId="0" fontId="12" fillId="24" borderId="661" xfId="12" applyFont="1" applyFill="1" applyBorder="1" applyAlignment="1">
      <alignment horizontal="center" vertical="center"/>
    </xf>
    <xf numFmtId="1" fontId="12" fillId="24" borderId="661" xfId="12" applyNumberFormat="1" applyFont="1" applyFill="1" applyBorder="1" applyAlignment="1">
      <alignment horizontal="center" vertical="center"/>
    </xf>
    <xf numFmtId="0" fontId="12" fillId="24" borderId="661" xfId="12" applyFont="1" applyFill="1" applyBorder="1" applyAlignment="1">
      <alignment vertical="center"/>
    </xf>
    <xf numFmtId="0" fontId="12" fillId="24" borderId="661" xfId="12" applyFont="1" applyFill="1" applyBorder="1" applyAlignment="1">
      <alignment horizontal="left" vertical="center"/>
    </xf>
    <xf numFmtId="0" fontId="67" fillId="16" borderId="88"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0" xfId="12" applyFont="1" applyFill="1" applyBorder="1" applyAlignment="1">
      <alignment horizontal="center" vertical="center"/>
    </xf>
    <xf numFmtId="0" fontId="13" fillId="55" borderId="29" xfId="0" applyFont="1" applyFill="1" applyBorder="1" applyAlignment="1" applyProtection="1">
      <alignment horizontal="center" vertical="center" wrapText="1"/>
      <protection locked="0"/>
    </xf>
    <xf numFmtId="0" fontId="9" fillId="55" borderId="389" xfId="0" applyFont="1" applyFill="1" applyBorder="1" applyAlignment="1" applyProtection="1">
      <alignment horizontal="center" vertical="center"/>
      <protection locked="0"/>
    </xf>
    <xf numFmtId="0" fontId="9" fillId="54" borderId="90" xfId="0" applyFont="1" applyFill="1" applyBorder="1" applyAlignment="1" applyProtection="1">
      <alignment horizontal="center"/>
      <protection locked="0"/>
    </xf>
    <xf numFmtId="0" fontId="0" fillId="30" borderId="396" xfId="0" applyFill="1" applyBorder="1" applyAlignment="1">
      <alignment wrapText="1"/>
    </xf>
    <xf numFmtId="0" fontId="0" fillId="30" borderId="486" xfId="0" applyFill="1" applyBorder="1" applyAlignment="1">
      <alignment wrapText="1"/>
    </xf>
    <xf numFmtId="0" fontId="0" fillId="30" borderId="127" xfId="0" applyFill="1" applyBorder="1" applyAlignment="1">
      <alignment wrapText="1"/>
    </xf>
    <xf numFmtId="0" fontId="0" fillId="31" borderId="557" xfId="0" applyFill="1" applyBorder="1"/>
    <xf numFmtId="0" fontId="0" fillId="16" borderId="94" xfId="0" applyFill="1" applyBorder="1"/>
    <xf numFmtId="0" fontId="0" fillId="16" borderId="95" xfId="0" applyFill="1" applyBorder="1"/>
    <xf numFmtId="0" fontId="140" fillId="55" borderId="166" xfId="0" applyFont="1" applyFill="1" applyBorder="1" applyAlignment="1" applyProtection="1">
      <alignment horizontal="center" vertical="center" wrapText="1"/>
      <protection locked="0"/>
    </xf>
    <xf numFmtId="0" fontId="140" fillId="51" borderId="27" xfId="0" applyFont="1" applyFill="1" applyBorder="1" applyAlignment="1" applyProtection="1">
      <alignment horizontal="center" vertical="center" wrapText="1"/>
      <protection locked="0"/>
    </xf>
    <xf numFmtId="0" fontId="140" fillId="55" borderId="27" xfId="0" applyFont="1" applyFill="1" applyBorder="1" applyAlignment="1" applyProtection="1">
      <alignment horizontal="center" vertical="center" wrapText="1"/>
      <protection locked="0"/>
    </xf>
    <xf numFmtId="0" fontId="140" fillId="55" borderId="176" xfId="0" applyFont="1" applyFill="1" applyBorder="1" applyAlignment="1" applyProtection="1">
      <alignment horizontal="center" vertical="center" wrapText="1"/>
      <protection locked="0"/>
    </xf>
    <xf numFmtId="0" fontId="140" fillId="51" borderId="44" xfId="0" applyFont="1" applyFill="1" applyBorder="1" applyAlignment="1" applyProtection="1">
      <alignment horizontal="center" vertical="center" wrapText="1"/>
      <protection locked="0"/>
    </xf>
    <xf numFmtId="0" fontId="140" fillId="55" borderId="34" xfId="0" applyFont="1" applyFill="1" applyBorder="1" applyAlignment="1" applyProtection="1">
      <alignment horizontal="center" vertical="center" wrapText="1"/>
      <protection locked="0"/>
    </xf>
    <xf numFmtId="1" fontId="140" fillId="55" borderId="142" xfId="0" applyNumberFormat="1" applyFont="1" applyFill="1" applyBorder="1" applyAlignment="1" applyProtection="1">
      <alignment horizontal="center" vertical="center" wrapText="1"/>
      <protection locked="0"/>
    </xf>
    <xf numFmtId="1" fontId="140" fillId="51" borderId="79" xfId="0" applyNumberFormat="1" applyFont="1" applyFill="1" applyBorder="1" applyAlignment="1" applyProtection="1">
      <alignment horizontal="center" vertical="center" wrapText="1"/>
      <protection locked="0"/>
    </xf>
    <xf numFmtId="1" fontId="140" fillId="55" borderId="79" xfId="0" applyNumberFormat="1" applyFont="1" applyFill="1" applyBorder="1" applyAlignment="1" applyProtection="1">
      <alignment horizontal="center" vertical="center" wrapText="1"/>
      <protection locked="0"/>
    </xf>
    <xf numFmtId="1" fontId="140" fillId="51" borderId="71" xfId="0" applyNumberFormat="1" applyFont="1" applyFill="1" applyBorder="1" applyAlignment="1" applyProtection="1">
      <alignment horizontal="center" vertical="center" wrapText="1"/>
      <protection locked="0"/>
    </xf>
    <xf numFmtId="1" fontId="140" fillId="51" borderId="73" xfId="0" applyNumberFormat="1" applyFont="1" applyFill="1" applyBorder="1" applyAlignment="1" applyProtection="1">
      <alignment horizontal="center" vertical="center" wrapText="1"/>
      <protection locked="0"/>
    </xf>
    <xf numFmtId="0" fontId="140" fillId="55" borderId="12" xfId="0" applyFont="1" applyFill="1" applyBorder="1" applyAlignment="1" applyProtection="1">
      <alignment horizontal="center" wrapText="1"/>
      <protection locked="0"/>
    </xf>
    <xf numFmtId="0" fontId="140" fillId="51" borderId="176" xfId="0" applyFont="1" applyFill="1" applyBorder="1" applyAlignment="1" applyProtection="1">
      <alignment horizontal="center" wrapText="1"/>
      <protection locked="0"/>
    </xf>
    <xf numFmtId="0" fontId="140" fillId="55" borderId="27" xfId="0" applyFont="1" applyFill="1" applyBorder="1" applyAlignment="1" applyProtection="1">
      <alignment horizontal="center" wrapText="1"/>
      <protection locked="0"/>
    </xf>
    <xf numFmtId="0" fontId="140" fillId="51" borderId="27" xfId="0" applyFont="1" applyFill="1" applyBorder="1" applyAlignment="1" applyProtection="1">
      <alignment horizontal="center" wrapText="1"/>
      <protection locked="0"/>
    </xf>
    <xf numFmtId="0" fontId="140" fillId="55" borderId="178" xfId="0" applyFont="1" applyFill="1" applyBorder="1" applyAlignment="1" applyProtection="1">
      <alignment horizontal="center" wrapText="1"/>
      <protection locked="0"/>
    </xf>
    <xf numFmtId="0" fontId="140" fillId="55" borderId="44" xfId="0" applyFont="1" applyFill="1" applyBorder="1" applyAlignment="1" applyProtection="1">
      <alignment horizontal="center" vertical="center" wrapText="1"/>
      <protection locked="0"/>
    </xf>
    <xf numFmtId="0" fontId="140" fillId="28" borderId="430" xfId="0" applyFont="1" applyFill="1" applyBorder="1" applyAlignment="1" applyProtection="1">
      <alignment horizontal="center" vertical="center" wrapText="1"/>
      <protection locked="0"/>
    </xf>
    <xf numFmtId="0" fontId="140" fillId="28" borderId="431"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protection locked="0"/>
    </xf>
    <xf numFmtId="0" fontId="140" fillId="55" borderId="358" xfId="0" applyFont="1" applyFill="1" applyBorder="1" applyAlignment="1" applyProtection="1">
      <alignment horizontal="center" vertical="center" wrapText="1"/>
      <protection locked="0"/>
    </xf>
    <xf numFmtId="0" fontId="140" fillId="55" borderId="353" xfId="0" applyFont="1" applyFill="1" applyBorder="1" applyAlignment="1" applyProtection="1">
      <alignment horizontal="center" vertical="center" wrapText="1"/>
      <protection locked="0"/>
    </xf>
    <xf numFmtId="0" fontId="140" fillId="55" borderId="382" xfId="0" applyFont="1" applyFill="1" applyBorder="1" applyAlignment="1" applyProtection="1">
      <alignment horizontal="center" vertical="center" wrapText="1"/>
      <protection locked="0"/>
    </xf>
    <xf numFmtId="0" fontId="140" fillId="28" borderId="385" xfId="0" applyFont="1" applyFill="1" applyBorder="1" applyAlignment="1" applyProtection="1">
      <alignment horizontal="center" vertical="center" wrapText="1"/>
      <protection locked="0"/>
    </xf>
    <xf numFmtId="0" fontId="140" fillId="28" borderId="387" xfId="0" applyFont="1" applyFill="1" applyBorder="1" applyAlignment="1" applyProtection="1">
      <alignment horizontal="center" vertical="center" wrapText="1"/>
      <protection locked="0"/>
    </xf>
    <xf numFmtId="0" fontId="140" fillId="28" borderId="494" xfId="0" applyFont="1" applyFill="1" applyBorder="1" applyAlignment="1" applyProtection="1">
      <alignment horizontal="center" vertical="center" wrapText="1"/>
      <protection locked="0"/>
    </xf>
    <xf numFmtId="0" fontId="140" fillId="28" borderId="538" xfId="0" applyFont="1" applyFill="1" applyBorder="1" applyAlignment="1" applyProtection="1">
      <alignment horizontal="center" vertical="center" wrapText="1"/>
      <protection locked="0"/>
    </xf>
    <xf numFmtId="0" fontId="140" fillId="55" borderId="442" xfId="0" applyFont="1" applyFill="1" applyBorder="1" applyAlignment="1" applyProtection="1">
      <alignment horizontal="center" vertical="center" wrapText="1"/>
      <protection locked="0"/>
    </xf>
    <xf numFmtId="0" fontId="140" fillId="55" borderId="443" xfId="0" applyFont="1" applyFill="1" applyBorder="1" applyAlignment="1" applyProtection="1">
      <alignment horizontal="center" vertical="center" wrapText="1"/>
      <protection locked="0"/>
    </xf>
    <xf numFmtId="0" fontId="140" fillId="55" borderId="444" xfId="0" applyFont="1" applyFill="1" applyBorder="1" applyAlignment="1" applyProtection="1">
      <alignment horizontal="center" vertical="center" wrapText="1"/>
      <protection locked="0"/>
    </xf>
    <xf numFmtId="0" fontId="140" fillId="55" borderId="445" xfId="0" applyFont="1" applyFill="1" applyBorder="1" applyAlignment="1" applyProtection="1">
      <alignment horizontal="center" vertical="center" wrapText="1"/>
      <protection locked="0"/>
    </xf>
    <xf numFmtId="0" fontId="140" fillId="55" borderId="446" xfId="0" applyFont="1" applyFill="1" applyBorder="1" applyAlignment="1" applyProtection="1">
      <alignment horizontal="center" vertical="center" wrapText="1"/>
      <protection locked="0"/>
    </xf>
    <xf numFmtId="0" fontId="140" fillId="55" borderId="448" xfId="0" applyFont="1" applyFill="1" applyBorder="1" applyAlignment="1" applyProtection="1">
      <alignment horizontal="center" vertical="center" wrapText="1"/>
      <protection locked="0"/>
    </xf>
    <xf numFmtId="0" fontId="9" fillId="55" borderId="448" xfId="0" applyFont="1" applyFill="1" applyBorder="1" applyAlignment="1" applyProtection="1">
      <alignment horizontal="center" vertical="center" wrapText="1"/>
      <protection locked="0"/>
    </xf>
    <xf numFmtId="0" fontId="13" fillId="55" borderId="350"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wrapText="1"/>
      <protection locked="0"/>
    </xf>
    <xf numFmtId="0" fontId="140" fillId="55" borderId="387" xfId="0" applyFont="1" applyFill="1" applyBorder="1" applyAlignment="1" applyProtection="1">
      <alignment horizontal="center" vertical="center" wrapText="1"/>
      <protection locked="0"/>
    </xf>
    <xf numFmtId="0" fontId="140" fillId="55" borderId="38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5" borderId="537" xfId="0" applyFont="1" applyFill="1" applyBorder="1" applyAlignment="1" applyProtection="1">
      <alignment horizontal="center" vertical="center"/>
      <protection locked="0"/>
    </xf>
    <xf numFmtId="0" fontId="140" fillId="55" borderId="422" xfId="0" applyFont="1" applyFill="1" applyBorder="1" applyAlignment="1" applyProtection="1">
      <alignment horizontal="center" vertical="center"/>
      <protection locked="0"/>
    </xf>
    <xf numFmtId="0" fontId="140" fillId="55" borderId="455"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53"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4" borderId="353" xfId="0" applyFont="1" applyFill="1" applyBorder="1" applyAlignment="1" applyProtection="1">
      <alignment horizontal="center"/>
      <protection locked="0"/>
    </xf>
    <xf numFmtId="0" fontId="140" fillId="54" borderId="509" xfId="0" applyFont="1" applyFill="1" applyBorder="1" applyAlignment="1" applyProtection="1">
      <alignment horizontal="center"/>
      <protection locked="0"/>
    </xf>
    <xf numFmtId="0" fontId="140" fillId="54" borderId="372" xfId="0" applyFont="1" applyFill="1" applyBorder="1" applyAlignment="1" applyProtection="1">
      <alignment horizontal="center"/>
      <protection locked="0"/>
    </xf>
    <xf numFmtId="0" fontId="140" fillId="54" borderId="382" xfId="0" applyFont="1" applyFill="1" applyBorder="1" applyAlignment="1" applyProtection="1">
      <alignment horizontal="center"/>
      <protection locked="0"/>
    </xf>
    <xf numFmtId="0" fontId="140" fillId="55" borderId="238" xfId="0" applyFont="1" applyFill="1" applyBorder="1" applyAlignment="1" applyProtection="1">
      <alignment horizontal="center" vertical="center" wrapText="1"/>
      <protection locked="0"/>
    </xf>
    <xf numFmtId="0" fontId="140" fillId="55" borderId="422" xfId="0" applyFont="1" applyFill="1" applyBorder="1" applyAlignment="1" applyProtection="1">
      <alignment horizontal="center" vertical="center" wrapText="1"/>
      <protection locked="0"/>
    </xf>
    <xf numFmtId="0" fontId="140" fillId="55" borderId="550" xfId="0" applyFont="1" applyFill="1" applyBorder="1" applyAlignment="1" applyProtection="1">
      <alignment horizontal="center" vertical="center" wrapText="1"/>
      <protection locked="0"/>
    </xf>
    <xf numFmtId="1" fontId="67" fillId="16" borderId="76" xfId="12" applyNumberFormat="1" applyFont="1" applyFill="1" applyBorder="1" applyAlignment="1">
      <alignment horizontal="center" vertical="center"/>
    </xf>
    <xf numFmtId="0" fontId="67" fillId="16" borderId="76" xfId="12" applyFont="1" applyFill="1" applyBorder="1" applyAlignment="1">
      <alignment horizontal="center" vertical="center"/>
    </xf>
    <xf numFmtId="0" fontId="67" fillId="16" borderId="76"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1"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6"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0" xfId="0" applyFont="1" applyFill="1" applyAlignment="1">
      <alignment horizontal="left" vertical="center"/>
    </xf>
    <xf numFmtId="0" fontId="50" fillId="16" borderId="86" xfId="0" applyFont="1" applyFill="1" applyBorder="1" applyAlignment="1">
      <alignment horizontal="left" vertical="center"/>
    </xf>
    <xf numFmtId="0" fontId="8" fillId="16" borderId="87"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89" xfId="0" applyFont="1" applyFill="1" applyBorder="1" applyAlignment="1">
      <alignment horizontal="left" vertical="center" wrapText="1"/>
    </xf>
    <xf numFmtId="0" fontId="9" fillId="16" borderId="90" xfId="0" applyFont="1" applyFill="1" applyBorder="1" applyAlignment="1">
      <alignment horizontal="left" vertical="center"/>
    </xf>
    <xf numFmtId="0" fontId="0" fillId="16" borderId="88" xfId="0" applyFill="1" applyBorder="1" applyAlignment="1">
      <alignment horizontal="left" vertical="center"/>
    </xf>
    <xf numFmtId="0" fontId="0" fillId="16" borderId="68" xfId="0" applyFill="1" applyBorder="1" applyAlignment="1">
      <alignment horizontal="left" vertical="center"/>
    </xf>
    <xf numFmtId="0" fontId="27" fillId="55" borderId="43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54" xfId="12" applyFont="1" applyFill="1" applyBorder="1" applyAlignment="1" applyProtection="1">
      <alignment horizontal="center" vertical="center"/>
      <protection locked="0"/>
    </xf>
    <xf numFmtId="0" fontId="39" fillId="30" borderId="91" xfId="0" applyFont="1" applyFill="1" applyBorder="1" applyAlignment="1">
      <alignment vertical="center" wrapText="1"/>
    </xf>
    <xf numFmtId="0" fontId="39" fillId="30" borderId="68" xfId="0" applyFont="1" applyFill="1" applyBorder="1" applyAlignment="1">
      <alignment vertical="center" wrapText="1"/>
    </xf>
    <xf numFmtId="0" fontId="0" fillId="3" borderId="91" xfId="0" applyFill="1" applyBorder="1" applyAlignment="1">
      <alignment vertical="center" textRotation="90" wrapText="1"/>
    </xf>
    <xf numFmtId="0" fontId="13" fillId="7" borderId="322" xfId="0" applyFont="1" applyFill="1" applyBorder="1" applyAlignment="1">
      <alignment horizontal="left" vertical="top"/>
    </xf>
    <xf numFmtId="0" fontId="0" fillId="7" borderId="322" xfId="0" applyFill="1" applyBorder="1" applyAlignment="1">
      <alignment vertical="top"/>
    </xf>
    <xf numFmtId="0" fontId="9" fillId="30" borderId="239" xfId="0" applyFont="1" applyFill="1" applyBorder="1" applyAlignment="1">
      <alignment horizontal="left" vertical="top"/>
    </xf>
    <xf numFmtId="0" fontId="10" fillId="7" borderId="239" xfId="0" applyFont="1" applyFill="1" applyBorder="1" applyAlignment="1">
      <alignment horizontal="right" vertical="top"/>
    </xf>
    <xf numFmtId="0" fontId="0" fillId="3" borderId="243" xfId="0" applyFill="1" applyBorder="1"/>
    <xf numFmtId="0" fontId="0" fillId="0" borderId="462" xfId="0" applyBorder="1"/>
    <xf numFmtId="0" fontId="13" fillId="24" borderId="674" xfId="0" applyFont="1" applyFill="1" applyBorder="1" applyAlignment="1">
      <alignment horizontal="center" vertical="center" wrapText="1"/>
    </xf>
    <xf numFmtId="0" fontId="13" fillId="55" borderId="432" xfId="0" applyFont="1" applyFill="1" applyBorder="1" applyAlignment="1" applyProtection="1">
      <alignment horizontal="center"/>
      <protection locked="0"/>
    </xf>
    <xf numFmtId="0" fontId="13" fillId="28" borderId="675" xfId="0" applyFont="1" applyFill="1" applyBorder="1" applyAlignment="1" applyProtection="1">
      <alignment horizontal="center"/>
      <protection locked="0"/>
    </xf>
    <xf numFmtId="0" fontId="16" fillId="23" borderId="328" xfId="0" applyFont="1" applyFill="1" applyBorder="1" applyAlignment="1">
      <alignment horizontal="center" vertical="center" wrapText="1"/>
    </xf>
    <xf numFmtId="0" fontId="12" fillId="23" borderId="377" xfId="0" applyFont="1" applyFill="1" applyBorder="1" applyAlignment="1">
      <alignment horizontal="center" vertical="center" wrapText="1"/>
    </xf>
    <xf numFmtId="0" fontId="0" fillId="12" borderId="68" xfId="0" applyFill="1" applyBorder="1" applyAlignment="1">
      <alignment horizontal="center" vertical="center" shrinkToFit="1"/>
    </xf>
    <xf numFmtId="1" fontId="20" fillId="3" borderId="328" xfId="0" applyNumberFormat="1" applyFont="1" applyFill="1" applyBorder="1" applyAlignment="1">
      <alignment horizontal="center" vertical="center" wrapText="1"/>
    </xf>
    <xf numFmtId="1" fontId="20" fillId="3" borderId="377" xfId="0" applyNumberFormat="1" applyFont="1" applyFill="1" applyBorder="1" applyAlignment="1">
      <alignment horizontal="center" vertical="center" wrapText="1"/>
    </xf>
    <xf numFmtId="0" fontId="0" fillId="12" borderId="79"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8" xfId="0" applyFont="1" applyFill="1" applyBorder="1"/>
    <xf numFmtId="0" fontId="58" fillId="43" borderId="660" xfId="0" applyFont="1" applyFill="1" applyBorder="1" applyAlignment="1">
      <alignment horizontal="left"/>
    </xf>
    <xf numFmtId="0" fontId="58" fillId="43" borderId="646" xfId="0" applyFont="1" applyFill="1" applyBorder="1"/>
    <xf numFmtId="0" fontId="58" fillId="43" borderId="91" xfId="0" applyFont="1" applyFill="1" applyBorder="1"/>
    <xf numFmtId="0" fontId="58" fillId="43" borderId="0" xfId="0" applyFont="1" applyFill="1"/>
    <xf numFmtId="0" fontId="58" fillId="43" borderId="68" xfId="0" applyFont="1" applyFill="1" applyBorder="1" applyAlignment="1">
      <alignment horizontal="left"/>
    </xf>
    <xf numFmtId="0" fontId="0" fillId="16" borderId="91" xfId="0" applyFill="1" applyBorder="1" applyAlignment="1">
      <alignment wrapText="1"/>
    </xf>
    <xf numFmtId="0" fontId="0" fillId="16" borderId="68" xfId="0" applyFill="1" applyBorder="1" applyAlignment="1">
      <alignment horizontal="left" wrapText="1"/>
    </xf>
    <xf numFmtId="0" fontId="0" fillId="33" borderId="109" xfId="0" applyFill="1" applyBorder="1"/>
    <xf numFmtId="0" fontId="0" fillId="33" borderId="140" xfId="0" applyFill="1" applyBorder="1"/>
    <xf numFmtId="0" fontId="0" fillId="16" borderId="86" xfId="0" applyFill="1" applyBorder="1" applyAlignment="1">
      <alignment wrapText="1"/>
    </xf>
    <xf numFmtId="0" fontId="0" fillId="16" borderId="87" xfId="0" applyFill="1" applyBorder="1" applyAlignment="1">
      <alignment wrapText="1"/>
    </xf>
    <xf numFmtId="0" fontId="0" fillId="16" borderId="88" xfId="0" applyFill="1" applyBorder="1" applyAlignment="1">
      <alignment horizontal="left" wrapText="1"/>
    </xf>
    <xf numFmtId="0" fontId="0" fillId="16" borderId="145" xfId="0" applyFill="1" applyBorder="1" applyAlignment="1">
      <alignment wrapText="1"/>
    </xf>
    <xf numFmtId="0" fontId="0" fillId="16" borderId="145"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89" xfId="0" applyFont="1" applyFill="1" applyBorder="1" applyAlignment="1">
      <alignment vertical="center" wrapText="1"/>
    </xf>
    <xf numFmtId="0" fontId="16" fillId="55" borderId="238"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46" xfId="0" applyFont="1" applyFill="1" applyBorder="1" applyAlignment="1">
      <alignment horizontal="center" vertical="center" wrapText="1"/>
    </xf>
    <xf numFmtId="0" fontId="59" fillId="3" borderId="0" xfId="0" applyFont="1" applyFill="1" applyAlignment="1">
      <alignment horizontal="center" wrapText="1"/>
    </xf>
    <xf numFmtId="0" fontId="11" fillId="30" borderId="79" xfId="0" applyFont="1" applyFill="1" applyBorder="1" applyAlignment="1">
      <alignment horizontal="left" shrinkToFit="1"/>
    </xf>
    <xf numFmtId="0" fontId="11" fillId="30" borderId="79" xfId="0" applyFont="1" applyFill="1" applyBorder="1" applyAlignment="1">
      <alignment horizontal="left" vertical="top" shrinkToFit="1"/>
    </xf>
    <xf numFmtId="0" fontId="11" fillId="30" borderId="79" xfId="0" applyFont="1" applyFill="1" applyBorder="1" applyAlignment="1">
      <alignment horizontal="left"/>
    </xf>
    <xf numFmtId="0" fontId="13" fillId="30" borderId="79" xfId="0" applyFont="1" applyFill="1" applyBorder="1" applyAlignment="1">
      <alignment horizontal="left" vertical="top" wrapText="1"/>
    </xf>
    <xf numFmtId="0" fontId="13" fillId="30" borderId="661" xfId="0" applyFont="1" applyFill="1" applyBorder="1" applyAlignment="1">
      <alignment vertical="top" wrapText="1"/>
    </xf>
    <xf numFmtId="0" fontId="13" fillId="30" borderId="678" xfId="0" applyFont="1" applyFill="1" applyBorder="1" applyAlignment="1">
      <alignment horizontal="left" vertical="top" wrapText="1"/>
    </xf>
    <xf numFmtId="0" fontId="9" fillId="55" borderId="300"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6" xfId="0" applyFill="1" applyBorder="1"/>
    <xf numFmtId="0" fontId="0" fillId="24" borderId="88" xfId="0" applyFill="1" applyBorder="1"/>
    <xf numFmtId="0" fontId="0" fillId="24" borderId="91" xfId="0" applyFill="1" applyBorder="1"/>
    <xf numFmtId="0" fontId="0" fillId="24" borderId="68"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89" xfId="0" applyFill="1" applyBorder="1"/>
    <xf numFmtId="0" fontId="0" fillId="24" borderId="90" xfId="0" applyFill="1" applyBorder="1"/>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5" xfId="0" applyFont="1" applyFill="1" applyBorder="1" applyAlignment="1">
      <alignment vertical="center" wrapText="1"/>
    </xf>
    <xf numFmtId="0" fontId="50" fillId="16" borderId="95" xfId="0" applyFont="1" applyFill="1" applyBorder="1"/>
    <xf numFmtId="0" fontId="9" fillId="7" borderId="166" xfId="0" applyFont="1" applyFill="1" applyBorder="1" applyAlignment="1">
      <alignment horizontal="center" vertical="center" wrapText="1"/>
    </xf>
    <xf numFmtId="0" fontId="9" fillId="55" borderId="140" xfId="0" applyFont="1" applyFill="1" applyBorder="1" applyAlignment="1" applyProtection="1">
      <alignment horizontal="center" vertical="center" wrapText="1"/>
      <protection locked="0"/>
    </xf>
    <xf numFmtId="0" fontId="12" fillId="55" borderId="79" xfId="0" applyFont="1" applyFill="1" applyBorder="1" applyAlignment="1" applyProtection="1">
      <alignment horizontal="center" vertical="center"/>
      <protection locked="0"/>
    </xf>
    <xf numFmtId="0" fontId="12" fillId="58" borderId="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wrapText="1"/>
      <protection locked="0"/>
    </xf>
    <xf numFmtId="0" fontId="13" fillId="28" borderId="358" xfId="0" applyFont="1" applyFill="1" applyBorder="1" applyAlignment="1" applyProtection="1">
      <alignment horizontal="center" vertical="center" wrapText="1"/>
      <protection locked="0"/>
    </xf>
    <xf numFmtId="0" fontId="50" fillId="12" borderId="78" xfId="0"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50" fillId="12" borderId="78" xfId="0" quotePrefix="1" applyFont="1" applyFill="1" applyBorder="1" applyAlignment="1">
      <alignment horizontal="center"/>
    </xf>
    <xf numFmtId="0" fontId="50" fillId="12" borderId="79" xfId="0" applyFont="1" applyFill="1" applyBorder="1" applyAlignment="1">
      <alignment horizontal="center"/>
    </xf>
    <xf numFmtId="0" fontId="0" fillId="12" borderId="91" xfId="0" quotePrefix="1" applyFill="1" applyBorder="1" applyAlignment="1">
      <alignment horizontal="right"/>
    </xf>
    <xf numFmtId="0" fontId="0" fillId="12" borderId="89" xfId="0" quotePrefix="1" applyFill="1" applyBorder="1" applyAlignment="1">
      <alignment horizontal="right"/>
    </xf>
    <xf numFmtId="0" fontId="45" fillId="21" borderId="321" xfId="0" applyFont="1" applyFill="1" applyBorder="1" applyAlignment="1">
      <alignment horizontal="center"/>
    </xf>
    <xf numFmtId="0" fontId="45" fillId="21" borderId="324" xfId="0" applyFont="1" applyFill="1" applyBorder="1" applyAlignment="1">
      <alignment horizontal="center"/>
    </xf>
    <xf numFmtId="0" fontId="58" fillId="22" borderId="86" xfId="0" applyFont="1" applyFill="1" applyBorder="1"/>
    <xf numFmtId="0" fontId="58" fillId="22" borderId="142" xfId="0" applyFont="1" applyFill="1" applyBorder="1"/>
    <xf numFmtId="0" fontId="50" fillId="12" borderId="143" xfId="0" applyFont="1" applyFill="1" applyBorder="1" applyAlignment="1">
      <alignment horizontal="center"/>
    </xf>
    <xf numFmtId="0" fontId="50" fillId="21" borderId="87" xfId="0" applyFont="1" applyFill="1" applyBorder="1"/>
    <xf numFmtId="0" fontId="50" fillId="21" borderId="169" xfId="0" applyFont="1" applyFill="1" applyBorder="1" applyAlignment="1">
      <alignment horizontal="center"/>
    </xf>
    <xf numFmtId="0" fontId="45" fillId="21" borderId="132" xfId="0" applyFont="1" applyFill="1" applyBorder="1" applyAlignment="1">
      <alignment horizontal="center"/>
    </xf>
    <xf numFmtId="0" fontId="45" fillId="21" borderId="87" xfId="0" applyFont="1" applyFill="1" applyBorder="1" applyAlignment="1">
      <alignment horizontal="center"/>
    </xf>
    <xf numFmtId="0" fontId="45" fillId="21" borderId="142" xfId="0" applyFont="1" applyFill="1" applyBorder="1" applyAlignment="1">
      <alignment horizontal="center"/>
    </xf>
    <xf numFmtId="0" fontId="0" fillId="21" borderId="143" xfId="0" applyFill="1" applyBorder="1"/>
    <xf numFmtId="0" fontId="45" fillId="21" borderId="322"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3" fillId="21" borderId="91" xfId="0" applyFont="1" applyFill="1" applyBorder="1" applyAlignment="1">
      <alignment horizontal="left"/>
    </xf>
    <xf numFmtId="0" fontId="53" fillId="21" borderId="91" xfId="0" applyFont="1" applyFill="1" applyBorder="1"/>
    <xf numFmtId="0" fontId="53" fillId="21" borderId="86" xfId="0" applyFont="1" applyFill="1" applyBorder="1" applyAlignment="1">
      <alignment horizontal="left"/>
    </xf>
    <xf numFmtId="0" fontId="72" fillId="22" borderId="107" xfId="0" applyFont="1" applyFill="1" applyBorder="1" applyAlignment="1">
      <alignment horizontal="left"/>
    </xf>
    <xf numFmtId="0" fontId="9" fillId="23" borderId="376" xfId="0" applyFont="1" applyFill="1" applyBorder="1" applyAlignment="1">
      <alignment horizontal="center" vertical="center" wrapText="1"/>
    </xf>
    <xf numFmtId="0" fontId="9" fillId="23" borderId="320"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1" xfId="0" applyFont="1" applyFill="1" applyBorder="1" applyAlignment="1">
      <alignment horizontal="right" vertical="center" wrapText="1"/>
    </xf>
    <xf numFmtId="0" fontId="12" fillId="23" borderId="89" xfId="0" applyFont="1" applyFill="1" applyBorder="1" applyAlignment="1">
      <alignment horizontal="right" vertical="center" wrapText="1"/>
    </xf>
    <xf numFmtId="0" fontId="12" fillId="7" borderId="79" xfId="0" applyFont="1" applyFill="1" applyBorder="1" applyAlignment="1">
      <alignment horizontal="right" vertical="center" wrapText="1"/>
    </xf>
    <xf numFmtId="0" fontId="12" fillId="7" borderId="127" xfId="0" applyFont="1" applyFill="1" applyBorder="1" applyAlignment="1">
      <alignment horizontal="right" vertical="center" wrapText="1"/>
    </xf>
    <xf numFmtId="0" fontId="13" fillId="28" borderId="390"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5" fillId="8" borderId="91"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6" xfId="0" quotePrefix="1" applyFill="1" applyBorder="1" applyAlignment="1">
      <alignment horizontal="right"/>
    </xf>
    <xf numFmtId="0" fontId="34" fillId="8" borderId="0" xfId="0" applyFont="1" applyFill="1" applyAlignment="1">
      <alignment horizontal="center" vertical="top" wrapText="1"/>
    </xf>
    <xf numFmtId="0" fontId="13" fillId="7" borderId="99" xfId="0" applyFont="1" applyFill="1" applyBorder="1" applyAlignment="1">
      <alignment horizontal="center" vertical="center" wrapText="1"/>
    </xf>
    <xf numFmtId="0" fontId="13" fillId="28" borderId="383" xfId="0" applyFont="1" applyFill="1" applyBorder="1" applyAlignment="1" applyProtection="1">
      <alignment horizontal="center" vertical="center"/>
      <protection locked="0"/>
    </xf>
    <xf numFmtId="0" fontId="12" fillId="23" borderId="632" xfId="0" applyFont="1" applyFill="1" applyBorder="1" applyAlignment="1">
      <alignment horizontal="center"/>
    </xf>
    <xf numFmtId="0" fontId="41" fillId="23" borderId="685" xfId="0" applyFont="1" applyFill="1" applyBorder="1" applyAlignment="1">
      <alignment horizontal="right" vertical="center"/>
    </xf>
    <xf numFmtId="0" fontId="13" fillId="23" borderId="684" xfId="0" applyFont="1" applyFill="1" applyBorder="1" applyAlignment="1">
      <alignment horizontal="left" vertical="center" wrapText="1"/>
    </xf>
    <xf numFmtId="0" fontId="13" fillId="16" borderId="87" xfId="0" applyFont="1" applyFill="1" applyBorder="1" applyAlignment="1">
      <alignment horizontal="left" vertical="top" wrapText="1"/>
    </xf>
    <xf numFmtId="0" fontId="68" fillId="24" borderId="0" xfId="0" applyFont="1" applyFill="1" applyAlignment="1">
      <alignment vertical="center" wrapText="1"/>
    </xf>
    <xf numFmtId="0" fontId="73" fillId="15" borderId="685" xfId="12" applyFont="1" applyFill="1" applyBorder="1" applyAlignment="1">
      <alignment horizontal="center" vertical="center"/>
    </xf>
    <xf numFmtId="0" fontId="73" fillId="15" borderId="683" xfId="12" applyFont="1" applyFill="1" applyBorder="1" applyAlignment="1">
      <alignment horizontal="center" vertical="center"/>
    </xf>
    <xf numFmtId="0" fontId="73" fillId="15" borderId="684" xfId="12" applyFont="1" applyFill="1" applyBorder="1" applyAlignment="1">
      <alignment horizontal="center" vertical="center"/>
    </xf>
    <xf numFmtId="0" fontId="9" fillId="24" borderId="683" xfId="12" applyFont="1" applyFill="1" applyBorder="1" applyAlignment="1">
      <alignment horizontal="center" vertical="center"/>
    </xf>
    <xf numFmtId="0" fontId="9" fillId="19" borderId="686" xfId="12" applyFont="1" applyFill="1" applyBorder="1" applyAlignment="1" applyProtection="1">
      <alignment horizontal="center" vertical="center"/>
      <protection locked="0"/>
    </xf>
    <xf numFmtId="0" fontId="9" fillId="16" borderId="0" xfId="12" applyFont="1" applyFill="1" applyAlignment="1">
      <alignment vertical="center"/>
    </xf>
    <xf numFmtId="0" fontId="12" fillId="24" borderId="685" xfId="12" applyFont="1" applyFill="1" applyBorder="1" applyAlignment="1">
      <alignment horizontal="left" vertical="center"/>
    </xf>
    <xf numFmtId="0" fontId="12" fillId="24" borderId="683" xfId="12" applyFont="1" applyFill="1" applyBorder="1" applyAlignment="1">
      <alignment horizontal="center" vertical="center"/>
    </xf>
    <xf numFmtId="1" fontId="12" fillId="24" borderId="683" xfId="12" applyNumberFormat="1" applyFont="1" applyFill="1" applyBorder="1" applyAlignment="1">
      <alignment horizontal="center" vertical="center"/>
    </xf>
    <xf numFmtId="0" fontId="12" fillId="24" borderId="683" xfId="12" applyFont="1" applyFill="1" applyBorder="1" applyAlignment="1">
      <alignment vertical="center"/>
    </xf>
    <xf numFmtId="0" fontId="9" fillId="24" borderId="678" xfId="12" applyFont="1" applyFill="1" applyBorder="1" applyAlignment="1">
      <alignment horizontal="right" vertical="center"/>
    </xf>
    <xf numFmtId="0" fontId="12" fillId="24" borderId="683" xfId="12" applyFont="1" applyFill="1" applyBorder="1" applyAlignment="1">
      <alignment horizontal="left" vertical="center"/>
    </xf>
    <xf numFmtId="0" fontId="9" fillId="7" borderId="97"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89" xfId="0" applyFont="1" applyFill="1" applyBorder="1" applyAlignment="1">
      <alignment horizontal="right"/>
    </xf>
    <xf numFmtId="0" fontId="9" fillId="54" borderId="357" xfId="0" applyFont="1" applyFill="1" applyBorder="1" applyAlignment="1" applyProtection="1">
      <alignment horizontal="center"/>
      <protection locked="0"/>
    </xf>
    <xf numFmtId="0" fontId="9" fillId="31" borderId="632" xfId="0" applyFont="1" applyFill="1" applyBorder="1" applyAlignment="1">
      <alignment horizontal="right"/>
    </xf>
    <xf numFmtId="0" fontId="9" fillId="54" borderId="330" xfId="0" applyFont="1" applyFill="1" applyBorder="1" applyAlignment="1" applyProtection="1">
      <alignment horizontal="center"/>
      <protection locked="0"/>
    </xf>
    <xf numFmtId="0" fontId="10" fillId="29" borderId="97" xfId="0" applyFont="1" applyFill="1" applyBorder="1" applyAlignment="1">
      <alignment horizontal="center"/>
    </xf>
    <xf numFmtId="0" fontId="0" fillId="16" borderId="79" xfId="0" applyFill="1" applyBorder="1" applyAlignment="1">
      <alignment horizontal="left"/>
    </xf>
    <xf numFmtId="0" fontId="0" fillId="16" borderId="78" xfId="0" applyFill="1" applyBorder="1" applyAlignment="1">
      <alignment horizontal="center"/>
    </xf>
    <xf numFmtId="0" fontId="13" fillId="7" borderId="659" xfId="0" applyFont="1" applyFill="1" applyBorder="1" applyAlignment="1">
      <alignment horizontal="center" vertical="center"/>
    </xf>
    <xf numFmtId="0" fontId="9" fillId="7" borderId="667" xfId="0" applyFont="1" applyFill="1" applyBorder="1" applyAlignment="1">
      <alignment horizontal="center" vertical="center" wrapText="1"/>
    </xf>
    <xf numFmtId="0" fontId="13" fillId="51" borderId="669" xfId="0" applyFont="1" applyFill="1" applyBorder="1" applyAlignment="1" applyProtection="1">
      <alignment horizontal="center" vertical="center"/>
      <protection locked="0"/>
    </xf>
    <xf numFmtId="0" fontId="9" fillId="54" borderId="683" xfId="0" applyFont="1" applyFill="1" applyBorder="1" applyAlignment="1" applyProtection="1">
      <alignment horizontal="center"/>
      <protection locked="0"/>
    </xf>
    <xf numFmtId="0" fontId="12" fillId="30" borderId="683" xfId="0" applyFont="1" applyFill="1" applyBorder="1" applyAlignment="1">
      <alignment horizontal="center"/>
    </xf>
    <xf numFmtId="0" fontId="12" fillId="30" borderId="684" xfId="0" applyFont="1" applyFill="1" applyBorder="1" applyAlignment="1">
      <alignment horizontal="center"/>
    </xf>
    <xf numFmtId="0" fontId="13" fillId="55" borderId="143" xfId="0" applyFont="1" applyFill="1" applyBorder="1" applyAlignment="1" applyProtection="1">
      <alignment horizontal="center" vertical="center"/>
      <protection locked="0"/>
    </xf>
    <xf numFmtId="0" fontId="13" fillId="51" borderId="100"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1" borderId="640" xfId="0" applyFont="1" applyFill="1" applyBorder="1" applyAlignment="1" applyProtection="1">
      <alignment horizontal="center" vertical="center"/>
      <protection locked="0"/>
    </xf>
    <xf numFmtId="0" fontId="13" fillId="55" borderId="88"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5" borderId="684"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683"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1" xfId="0" applyFont="1" applyFill="1" applyBorder="1" applyAlignment="1">
      <alignment horizontal="left"/>
    </xf>
    <xf numFmtId="0" fontId="0" fillId="19" borderId="660" xfId="0" applyFill="1" applyBorder="1" applyAlignment="1">
      <alignment horizontal="right"/>
    </xf>
    <xf numFmtId="0" fontId="0" fillId="19" borderId="677" xfId="0" applyFill="1" applyBorder="1" applyAlignment="1">
      <alignment horizontal="center"/>
    </xf>
    <xf numFmtId="0" fontId="0" fillId="19" borderId="677" xfId="0" applyFill="1" applyBorder="1" applyAlignment="1">
      <alignment horizontal="right"/>
    </xf>
    <xf numFmtId="0" fontId="0" fillId="19" borderId="646" xfId="0" applyFill="1" applyBorder="1" applyAlignment="1">
      <alignment horizontal="center"/>
    </xf>
    <xf numFmtId="0" fontId="0" fillId="19" borderId="646" xfId="0" applyFill="1" applyBorder="1" applyAlignment="1">
      <alignment horizontal="left"/>
    </xf>
    <xf numFmtId="0" fontId="0" fillId="29" borderId="0" xfId="0" applyFill="1" applyAlignment="1">
      <alignment horizontal="center"/>
    </xf>
    <xf numFmtId="0" fontId="0" fillId="19" borderId="321" xfId="0" applyFill="1" applyBorder="1" applyAlignment="1">
      <alignment horizontal="right"/>
    </xf>
    <xf numFmtId="0" fontId="0" fillId="19" borderId="325" xfId="0" applyFill="1" applyBorder="1" applyAlignment="1">
      <alignment horizontal="center"/>
    </xf>
    <xf numFmtId="0" fontId="0" fillId="19" borderId="325" xfId="0" applyFill="1" applyBorder="1" applyAlignment="1">
      <alignment horizontal="left"/>
    </xf>
    <xf numFmtId="0" fontId="10" fillId="29" borderId="632" xfId="0" applyFont="1" applyFill="1" applyBorder="1" applyAlignment="1">
      <alignment horizontal="left"/>
    </xf>
    <xf numFmtId="0" fontId="13" fillId="19" borderId="106" xfId="0" applyFont="1" applyFill="1" applyBorder="1" applyAlignment="1">
      <alignment horizontal="left"/>
    </xf>
    <xf numFmtId="0" fontId="13" fillId="19" borderId="678" xfId="0" applyFont="1" applyFill="1" applyBorder="1" applyAlignment="1">
      <alignment horizontal="left"/>
    </xf>
    <xf numFmtId="0" fontId="9" fillId="29" borderId="0" xfId="0" applyFont="1" applyFill="1" applyAlignment="1">
      <alignment horizontal="left"/>
    </xf>
    <xf numFmtId="0" fontId="99" fillId="22" borderId="91"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10" fillId="29" borderId="687" xfId="0" applyFont="1" applyFill="1" applyBorder="1" applyAlignment="1">
      <alignment horizontal="center"/>
    </xf>
    <xf numFmtId="0" fontId="13" fillId="28" borderId="99"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23" xfId="0" applyFont="1" applyFill="1" applyBorder="1" applyAlignment="1">
      <alignment horizontal="left"/>
    </xf>
    <xf numFmtId="0" fontId="9" fillId="42" borderId="0" xfId="0" applyFont="1" applyFill="1" applyAlignment="1">
      <alignment vertical="center"/>
    </xf>
    <xf numFmtId="0" fontId="9" fillId="42" borderId="623"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89" xfId="0" applyFont="1" applyFill="1" applyBorder="1" applyAlignment="1">
      <alignment horizontal="center" vertical="center"/>
    </xf>
    <xf numFmtId="0" fontId="45" fillId="41" borderId="76" xfId="0" applyFont="1" applyFill="1" applyBorder="1" applyAlignment="1">
      <alignment vertical="center"/>
    </xf>
    <xf numFmtId="0" fontId="45" fillId="41" borderId="90" xfId="0" applyFont="1" applyFill="1" applyBorder="1" applyAlignment="1">
      <alignment vertical="center"/>
    </xf>
    <xf numFmtId="0" fontId="9" fillId="3" borderId="90" xfId="0" applyFont="1" applyFill="1" applyBorder="1" applyAlignment="1">
      <alignment horizontal="left" vertical="top"/>
    </xf>
    <xf numFmtId="0" fontId="9" fillId="42" borderId="90" xfId="0" applyFont="1" applyFill="1" applyBorder="1" applyAlignment="1">
      <alignment horizontal="left"/>
    </xf>
    <xf numFmtId="0" fontId="9" fillId="7" borderId="689" xfId="0" applyFont="1" applyFill="1" applyBorder="1" applyAlignment="1">
      <alignment horizontal="center" vertical="center" wrapText="1"/>
    </xf>
    <xf numFmtId="0" fontId="9" fillId="7" borderId="690" xfId="0" applyFont="1" applyFill="1" applyBorder="1" applyAlignment="1">
      <alignment horizontal="center" vertical="center" wrapText="1"/>
    </xf>
    <xf numFmtId="0" fontId="13" fillId="55" borderId="692"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wrapText="1"/>
      <protection locked="0"/>
    </xf>
    <xf numFmtId="0" fontId="0" fillId="16" borderId="128" xfId="0" applyFill="1" applyBorder="1" applyAlignment="1">
      <alignment horizontal="left"/>
    </xf>
    <xf numFmtId="0" fontId="0" fillId="16" borderId="691" xfId="0" applyFill="1" applyBorder="1" applyAlignment="1">
      <alignment horizontal="left"/>
    </xf>
    <xf numFmtId="0" fontId="0" fillId="16" borderId="677" xfId="0" applyFill="1" applyBorder="1" applyAlignment="1">
      <alignment horizontal="left"/>
    </xf>
    <xf numFmtId="0" fontId="0" fillId="53" borderId="691" xfId="0" applyFill="1" applyBorder="1" applyAlignment="1">
      <alignment horizontal="left"/>
    </xf>
    <xf numFmtId="0" fontId="0" fillId="16" borderId="691" xfId="0" applyFill="1" applyBorder="1"/>
    <xf numFmtId="0" fontId="0" fillId="16" borderId="653" xfId="0" applyFill="1" applyBorder="1"/>
    <xf numFmtId="0" fontId="8" fillId="3" borderId="635" xfId="0" applyFont="1" applyFill="1" applyBorder="1" applyAlignment="1">
      <alignment horizontal="center"/>
    </xf>
    <xf numFmtId="0" fontId="9" fillId="23" borderId="87" xfId="0" applyFont="1" applyFill="1" applyBorder="1" applyAlignment="1">
      <alignment wrapText="1"/>
    </xf>
    <xf numFmtId="0" fontId="9" fillId="23" borderId="76" xfId="0" applyFont="1" applyFill="1" applyBorder="1" applyAlignment="1">
      <alignment wrapText="1"/>
    </xf>
    <xf numFmtId="0" fontId="9" fillId="7" borderId="327" xfId="0" applyFont="1" applyFill="1" applyBorder="1" applyAlignment="1">
      <alignment horizontal="right" vertical="center" shrinkToFit="1"/>
    </xf>
    <xf numFmtId="0" fontId="9" fillId="7" borderId="120"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2" xfId="0" applyFont="1" applyFill="1" applyBorder="1"/>
    <xf numFmtId="0" fontId="9" fillId="3" borderId="125" xfId="0" applyFont="1" applyFill="1" applyBorder="1"/>
    <xf numFmtId="1" fontId="0" fillId="0" borderId="0" xfId="0" applyNumberFormat="1" applyAlignment="1">
      <alignment horizontal="left"/>
    </xf>
    <xf numFmtId="0" fontId="0" fillId="12" borderId="0" xfId="0" applyFill="1" applyAlignment="1">
      <alignment shrinkToFit="1"/>
    </xf>
    <xf numFmtId="0" fontId="9" fillId="54" borderId="100"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1" xfId="0" applyFill="1" applyBorder="1" applyAlignment="1">
      <alignment horizontal="left" vertical="top" wrapText="1"/>
    </xf>
    <xf numFmtId="0" fontId="9" fillId="47" borderId="623" xfId="0" applyFont="1" applyFill="1" applyBorder="1" applyAlignment="1">
      <alignment horizontal="left" vertical="center"/>
    </xf>
    <xf numFmtId="0" fontId="9" fillId="47" borderId="623" xfId="0" applyFont="1" applyFill="1" applyBorder="1"/>
    <xf numFmtId="0" fontId="10" fillId="7" borderId="239"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39" xfId="0" applyFont="1" applyFill="1" applyBorder="1" applyAlignment="1">
      <alignment horizontal="left" vertical="top"/>
    </xf>
    <xf numFmtId="0" fontId="13" fillId="55" borderId="353"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6" xfId="0" applyFont="1" applyFill="1" applyBorder="1" applyAlignment="1">
      <alignment vertical="center"/>
    </xf>
    <xf numFmtId="0" fontId="9" fillId="7" borderId="76"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35" xfId="0" applyFill="1" applyBorder="1"/>
    <xf numFmtId="0" fontId="0" fillId="31" borderId="635" xfId="0" applyFill="1" applyBorder="1" applyAlignment="1">
      <alignment horizontal="right" vertical="center" textRotation="90" wrapText="1"/>
    </xf>
    <xf numFmtId="0" fontId="26" fillId="31" borderId="635"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7" borderId="695" xfId="0" applyFont="1" applyFill="1" applyBorder="1" applyAlignment="1">
      <alignment horizontal="left" vertical="top" wrapText="1"/>
    </xf>
    <xf numFmtId="0" fontId="13" fillId="64" borderId="166"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12" fillId="7" borderId="653" xfId="0" applyFont="1" applyFill="1" applyBorder="1" applyAlignment="1">
      <alignment horizontal="center" vertical="center" wrapText="1"/>
    </xf>
    <xf numFmtId="0" fontId="12" fillId="7" borderId="704" xfId="0" applyFont="1" applyFill="1" applyBorder="1" applyAlignment="1">
      <alignment horizontal="center" vertical="center" wrapText="1"/>
    </xf>
    <xf numFmtId="0" fontId="67" fillId="3" borderId="86" xfId="0" applyFont="1" applyFill="1" applyBorder="1"/>
    <xf numFmtId="0" fontId="67" fillId="3" borderId="87" xfId="0" applyFont="1" applyFill="1" applyBorder="1"/>
    <xf numFmtId="0" fontId="9" fillId="3" borderId="88" xfId="0" applyFont="1" applyFill="1" applyBorder="1"/>
    <xf numFmtId="0" fontId="9" fillId="30" borderId="691"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05" xfId="0" applyFont="1" applyFill="1" applyBorder="1" applyAlignment="1">
      <alignment horizontal="center" vertical="center"/>
    </xf>
    <xf numFmtId="0" fontId="9" fillId="3" borderId="89"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6" fillId="23" borderId="87" xfId="0" applyFont="1" applyFill="1" applyBorder="1" applyAlignment="1">
      <alignment vertical="center" wrapText="1"/>
    </xf>
    <xf numFmtId="0" fontId="146" fillId="23" borderId="0" xfId="0" applyFont="1" applyFill="1" applyAlignment="1">
      <alignment vertical="center" wrapText="1"/>
    </xf>
    <xf numFmtId="0" fontId="146" fillId="23" borderId="76" xfId="0" applyFont="1" applyFill="1" applyBorder="1" applyAlignment="1">
      <alignment vertical="center" wrapText="1"/>
    </xf>
    <xf numFmtId="0" fontId="0" fillId="12" borderId="79" xfId="0" applyFill="1" applyBorder="1" applyAlignment="1">
      <alignment horizontal="center" vertical="center"/>
    </xf>
    <xf numFmtId="0" fontId="140" fillId="55" borderId="411" xfId="0" applyFont="1" applyFill="1" applyBorder="1" applyAlignment="1" applyProtection="1">
      <alignment horizontal="center" vertical="center"/>
      <protection locked="0"/>
    </xf>
    <xf numFmtId="0" fontId="144" fillId="24" borderId="0" xfId="13" applyFill="1" applyBorder="1" applyAlignment="1" applyProtection="1">
      <alignment vertical="top" wrapText="1"/>
      <protection locked="0"/>
    </xf>
    <xf numFmtId="0" fontId="13" fillId="55" borderId="78" xfId="0" applyFont="1" applyFill="1" applyBorder="1" applyAlignment="1" applyProtection="1">
      <alignment horizontal="center" vertical="center"/>
      <protection locked="0"/>
    </xf>
    <xf numFmtId="0" fontId="13" fillId="51" borderId="709" xfId="0" applyFont="1" applyFill="1" applyBorder="1" applyAlignment="1" applyProtection="1">
      <alignment horizontal="center" vertical="center"/>
      <protection locked="0"/>
    </xf>
    <xf numFmtId="0" fontId="13" fillId="51" borderId="78" xfId="0" applyFont="1" applyFill="1" applyBorder="1" applyAlignment="1" applyProtection="1">
      <alignment horizontal="center" vertical="center"/>
      <protection locked="0"/>
    </xf>
    <xf numFmtId="0" fontId="13" fillId="51" borderId="88"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5" xfId="0" applyFont="1" applyFill="1" applyBorder="1" applyAlignment="1">
      <alignment horizontal="center" vertical="center"/>
    </xf>
    <xf numFmtId="0" fontId="15" fillId="8" borderId="145" xfId="0" applyFont="1" applyFill="1" applyBorder="1" applyAlignment="1">
      <alignment horizontal="center" vertical="center" wrapText="1"/>
    </xf>
    <xf numFmtId="0" fontId="9" fillId="16" borderId="76" xfId="0" applyFont="1" applyFill="1" applyBorder="1"/>
    <xf numFmtId="0" fontId="9" fillId="16" borderId="90" xfId="0" applyFont="1" applyFill="1" applyBorder="1"/>
    <xf numFmtId="0" fontId="9" fillId="31" borderId="106" xfId="0" applyFont="1" applyFill="1" applyBorder="1" applyAlignment="1">
      <alignment horizontal="center" vertical="center"/>
    </xf>
    <xf numFmtId="0" fontId="9" fillId="54" borderId="482"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wrapText="1"/>
      <protection locked="0"/>
    </xf>
    <xf numFmtId="0" fontId="13" fillId="55" borderId="404" xfId="0" applyFont="1" applyFill="1" applyBorder="1" applyAlignment="1" applyProtection="1">
      <alignment horizontal="center" vertical="center" wrapText="1"/>
      <protection locked="0"/>
    </xf>
    <xf numFmtId="0" fontId="13" fillId="28" borderId="353"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protection locked="0"/>
    </xf>
    <xf numFmtId="0" fontId="9" fillId="7" borderId="170" xfId="0" applyFont="1" applyFill="1" applyBorder="1" applyAlignment="1">
      <alignment horizontal="center" vertical="center" wrapText="1"/>
    </xf>
    <xf numFmtId="0" fontId="13" fillId="28" borderId="380" xfId="0" applyFont="1" applyFill="1" applyBorder="1" applyAlignment="1" applyProtection="1">
      <alignment horizontal="center" vertical="center"/>
      <protection locked="0"/>
    </xf>
    <xf numFmtId="0" fontId="9" fillId="7" borderId="660" xfId="0" applyFont="1" applyFill="1" applyBorder="1" applyAlignment="1">
      <alignment horizontal="center" vertical="center" wrapText="1"/>
    </xf>
    <xf numFmtId="0" fontId="9" fillId="31" borderId="708" xfId="0" applyFont="1" applyFill="1" applyBorder="1" applyAlignment="1">
      <alignment vertical="center"/>
    </xf>
    <xf numFmtId="0" fontId="9" fillId="31" borderId="710" xfId="0" applyFont="1" applyFill="1" applyBorder="1" applyAlignment="1">
      <alignment horizontal="center" vertical="center"/>
    </xf>
    <xf numFmtId="0" fontId="9" fillId="7" borderId="644" xfId="0" applyFont="1" applyFill="1" applyBorder="1" applyAlignment="1">
      <alignment horizontal="center" vertical="center" wrapText="1"/>
    </xf>
    <xf numFmtId="0" fontId="9" fillId="7" borderId="571" xfId="0" applyFont="1" applyFill="1" applyBorder="1" applyAlignment="1">
      <alignment horizontal="center" vertical="center"/>
    </xf>
    <xf numFmtId="0" fontId="9" fillId="31" borderId="707" xfId="0" applyFont="1" applyFill="1" applyBorder="1" applyAlignment="1">
      <alignment horizontal="center" vertical="center"/>
    </xf>
    <xf numFmtId="0" fontId="12" fillId="24" borderId="122" xfId="0" applyFont="1" applyFill="1" applyBorder="1" applyAlignment="1">
      <alignment horizontal="center" vertical="center"/>
    </xf>
    <xf numFmtId="0" fontId="9" fillId="31" borderId="711" xfId="0" applyFont="1" applyFill="1" applyBorder="1" applyAlignment="1">
      <alignment horizontal="center" vertical="center"/>
    </xf>
    <xf numFmtId="0" fontId="9" fillId="54" borderId="639" xfId="0" applyFont="1" applyFill="1" applyBorder="1" applyAlignment="1" applyProtection="1">
      <alignment horizontal="center" vertical="center"/>
      <protection locked="0"/>
    </xf>
    <xf numFmtId="0" fontId="148" fillId="30" borderId="87" xfId="0" applyFont="1" applyFill="1" applyBorder="1" applyAlignment="1">
      <alignment vertical="center" wrapText="1"/>
    </xf>
    <xf numFmtId="0" fontId="148" fillId="30" borderId="91" xfId="0" applyFont="1" applyFill="1" applyBorder="1" applyAlignment="1">
      <alignment vertical="center" wrapText="1"/>
    </xf>
    <xf numFmtId="0" fontId="0" fillId="30" borderId="87" xfId="0" applyFill="1" applyBorder="1"/>
    <xf numFmtId="0" fontId="0" fillId="30" borderId="68" xfId="0" applyFill="1" applyBorder="1"/>
    <xf numFmtId="0" fontId="12" fillId="30" borderId="68" xfId="0" applyFont="1" applyFill="1" applyBorder="1"/>
    <xf numFmtId="0" fontId="0" fillId="31" borderId="86" xfId="0" applyFill="1" applyBorder="1"/>
    <xf numFmtId="0" fontId="0" fillId="31" borderId="91" xfId="0" applyFill="1" applyBorder="1"/>
    <xf numFmtId="0" fontId="0" fillId="31" borderId="68" xfId="0" applyFill="1" applyBorder="1"/>
    <xf numFmtId="0" fontId="9" fillId="30" borderId="710" xfId="0" applyFont="1" applyFill="1" applyBorder="1" applyAlignment="1">
      <alignment vertical="top" wrapText="1"/>
    </xf>
    <xf numFmtId="0" fontId="145" fillId="30" borderId="0" xfId="0" applyFont="1" applyFill="1" applyAlignment="1">
      <alignment vertical="center" wrapText="1"/>
    </xf>
    <xf numFmtId="0" fontId="9" fillId="30" borderId="694" xfId="0" applyFont="1" applyFill="1" applyBorder="1" applyAlignment="1">
      <alignment vertical="top" wrapText="1"/>
    </xf>
    <xf numFmtId="0" fontId="46" fillId="30" borderId="0" xfId="0" applyFont="1" applyFill="1" applyAlignment="1">
      <alignment horizontal="right" vertical="top"/>
    </xf>
    <xf numFmtId="0" fontId="149" fillId="30" borderId="0" xfId="0" applyFont="1" applyFill="1" applyAlignment="1">
      <alignment vertical="center" wrapText="1"/>
    </xf>
    <xf numFmtId="0" fontId="12" fillId="7" borderId="713" xfId="0" applyFont="1" applyFill="1" applyBorder="1" applyAlignment="1">
      <alignment horizontal="center" vertical="center" wrapText="1"/>
    </xf>
    <xf numFmtId="0" fontId="10" fillId="7" borderId="576" xfId="0" applyFont="1" applyFill="1" applyBorder="1" applyAlignment="1">
      <alignment vertical="center"/>
    </xf>
    <xf numFmtId="0" fontId="12" fillId="7" borderId="576" xfId="0" applyFont="1" applyFill="1" applyBorder="1" applyAlignment="1">
      <alignment horizontal="right" vertical="center"/>
    </xf>
    <xf numFmtId="0" fontId="13" fillId="7" borderId="714" xfId="0" applyFont="1" applyFill="1" applyBorder="1" applyAlignment="1">
      <alignment horizontal="center" vertical="center" wrapText="1"/>
    </xf>
    <xf numFmtId="0" fontId="20" fillId="7" borderId="658"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79"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686"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12" fillId="7" borderId="644" xfId="0" applyFont="1" applyFill="1" applyBorder="1" applyAlignment="1">
      <alignment horizontal="center" vertical="center" wrapText="1"/>
    </xf>
    <xf numFmtId="0" fontId="12" fillId="7" borderId="561"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18"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28"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677"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13" fillId="7" borderId="576" xfId="0" applyFont="1" applyFill="1" applyBorder="1" applyAlignment="1">
      <alignment horizontal="center" vertical="center" wrapText="1"/>
    </xf>
    <xf numFmtId="0" fontId="16" fillId="7" borderId="710" xfId="0" applyFont="1" applyFill="1" applyBorder="1" applyAlignment="1">
      <alignment horizontal="center" vertical="center" wrapText="1"/>
    </xf>
    <xf numFmtId="0" fontId="75" fillId="3" borderId="0" xfId="0" applyFont="1" applyFill="1" applyAlignment="1">
      <alignment vertical="center" wrapText="1"/>
    </xf>
    <xf numFmtId="0" fontId="16" fillId="7" borderId="721" xfId="0" applyFont="1" applyFill="1" applyBorder="1" applyAlignment="1">
      <alignment horizontal="center" vertical="center" wrapText="1"/>
    </xf>
    <xf numFmtId="0" fontId="8" fillId="3" borderId="91" xfId="0" applyFont="1" applyFill="1" applyBorder="1" applyAlignment="1">
      <alignment horizontal="left"/>
    </xf>
    <xf numFmtId="49" fontId="0" fillId="3" borderId="89" xfId="0" applyNumberFormat="1" applyFill="1" applyBorder="1" applyAlignment="1">
      <alignment horizontal="left"/>
    </xf>
    <xf numFmtId="0" fontId="9" fillId="3" borderId="707" xfId="0" applyFont="1" applyFill="1" applyBorder="1" applyAlignment="1">
      <alignment horizontal="left"/>
    </xf>
    <xf numFmtId="0" fontId="88" fillId="16" borderId="78"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07" xfId="0" applyFont="1" applyFill="1" applyBorder="1" applyAlignment="1">
      <alignment horizontal="left"/>
    </xf>
    <xf numFmtId="0" fontId="9" fillId="3" borderId="710" xfId="0" applyFont="1" applyFill="1" applyBorder="1" applyAlignment="1">
      <alignment horizontal="left"/>
    </xf>
    <xf numFmtId="0" fontId="0" fillId="25" borderId="106" xfId="0" applyFill="1" applyBorder="1" applyAlignment="1">
      <alignment horizontal="center"/>
    </xf>
    <xf numFmtId="0" fontId="0" fillId="25" borderId="708" xfId="0" applyFill="1" applyBorder="1" applyAlignment="1">
      <alignment horizontal="center"/>
    </xf>
    <xf numFmtId="0" fontId="0" fillId="25" borderId="72" xfId="0" applyFill="1" applyBorder="1" applyAlignment="1">
      <alignment horizontal="left"/>
    </xf>
    <xf numFmtId="0" fontId="0" fillId="25" borderId="707" xfId="0" applyFill="1" applyBorder="1" applyAlignment="1">
      <alignment horizontal="center"/>
    </xf>
    <xf numFmtId="0" fontId="0" fillId="25" borderId="707" xfId="0" applyFill="1" applyBorder="1" applyAlignment="1">
      <alignment horizontal="left"/>
    </xf>
    <xf numFmtId="0" fontId="0" fillId="25" borderId="710" xfId="0" applyFill="1" applyBorder="1" applyAlignment="1">
      <alignment horizontal="left"/>
    </xf>
    <xf numFmtId="0" fontId="0" fillId="16" borderId="709" xfId="0" applyFill="1" applyBorder="1"/>
    <xf numFmtId="0" fontId="9" fillId="42" borderId="0" xfId="0" applyFont="1" applyFill="1" applyAlignment="1">
      <alignment horizontal="left" vertical="center"/>
    </xf>
    <xf numFmtId="0" fontId="9" fillId="42" borderId="623" xfId="0" applyFont="1" applyFill="1" applyBorder="1" applyAlignment="1">
      <alignment horizontal="left" vertical="center"/>
    </xf>
    <xf numFmtId="0" fontId="45" fillId="41" borderId="76" xfId="0" applyFont="1" applyFill="1" applyBorder="1" applyAlignment="1">
      <alignment horizontal="center" vertical="center"/>
    </xf>
    <xf numFmtId="0" fontId="0" fillId="26" borderId="68" xfId="0" applyFill="1" applyBorder="1" applyAlignment="1">
      <alignment horizontal="left"/>
    </xf>
    <xf numFmtId="0" fontId="0" fillId="26" borderId="90" xfId="0" applyFill="1" applyBorder="1" applyAlignment="1">
      <alignment horizontal="left"/>
    </xf>
    <xf numFmtId="0" fontId="9" fillId="42" borderId="86" xfId="0" applyFont="1" applyFill="1" applyBorder="1"/>
    <xf numFmtId="0" fontId="9" fillId="42" borderId="87" xfId="0" applyFont="1" applyFill="1" applyBorder="1" applyAlignment="1">
      <alignment horizontal="right"/>
    </xf>
    <xf numFmtId="0" fontId="9" fillId="42" borderId="87" xfId="0" applyFont="1" applyFill="1" applyBorder="1"/>
    <xf numFmtId="0" fontId="9" fillId="42" borderId="87" xfId="0" applyFont="1" applyFill="1" applyBorder="1" applyAlignment="1">
      <alignment horizontal="left"/>
    </xf>
    <xf numFmtId="0" fontId="9" fillId="42" borderId="87" xfId="0" applyFont="1" applyFill="1" applyBorder="1" applyAlignment="1">
      <alignment horizontal="center" vertical="center"/>
    </xf>
    <xf numFmtId="0" fontId="9" fillId="42" borderId="592" xfId="0" applyFont="1" applyFill="1" applyBorder="1" applyAlignment="1">
      <alignment horizontal="left" vertical="center"/>
    </xf>
    <xf numFmtId="0" fontId="9" fillId="42" borderId="88"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18" xfId="0" applyFont="1" applyFill="1" applyBorder="1" applyAlignment="1">
      <alignment horizontal="left" vertical="center"/>
    </xf>
    <xf numFmtId="0" fontId="9" fillId="16" borderId="709" xfId="0" applyFont="1" applyFill="1" applyBorder="1" applyAlignment="1">
      <alignment horizontal="left" vertical="center"/>
    </xf>
    <xf numFmtId="0" fontId="27" fillId="16" borderId="0" xfId="0" quotePrefix="1" applyFont="1" applyFill="1" applyAlignment="1">
      <alignment horizontal="left" vertical="center"/>
    </xf>
    <xf numFmtId="0" fontId="13" fillId="28" borderId="401"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45" fillId="8" borderId="122" xfId="0" applyFont="1" applyFill="1" applyBorder="1" applyAlignment="1">
      <alignment horizontal="center"/>
    </xf>
    <xf numFmtId="0" fontId="45" fillId="8" borderId="123" xfId="0" applyFont="1" applyFill="1" applyBorder="1" applyAlignment="1">
      <alignment horizontal="center"/>
    </xf>
    <xf numFmtId="0" fontId="45" fillId="8" borderId="658" xfId="0" applyFont="1" applyFill="1" applyBorder="1" applyAlignment="1">
      <alignment horizontal="center"/>
    </xf>
    <xf numFmtId="0" fontId="13" fillId="3" borderId="259" xfId="0" applyFont="1" applyFill="1" applyBorder="1" applyAlignment="1">
      <alignment horizontal="center" vertical="center"/>
    </xf>
    <xf numFmtId="0" fontId="9" fillId="7" borderId="723" xfId="0" applyFont="1" applyFill="1" applyBorder="1" applyAlignment="1">
      <alignment horizontal="center" vertical="center"/>
    </xf>
    <xf numFmtId="0" fontId="0" fillId="16" borderId="86" xfId="0" applyFill="1" applyBorder="1" applyAlignment="1">
      <alignment horizontal="left"/>
    </xf>
    <xf numFmtId="0" fontId="0" fillId="16" borderId="88" xfId="0" applyFill="1" applyBorder="1" applyAlignment="1">
      <alignment horizontal="left"/>
    </xf>
    <xf numFmtId="0" fontId="16" fillId="23" borderId="0" xfId="0" applyFont="1" applyFill="1" applyAlignment="1">
      <alignment horizontal="center" vertical="center" wrapText="1"/>
    </xf>
    <xf numFmtId="0" fontId="60" fillId="24" borderId="87" xfId="0" applyFont="1" applyFill="1" applyBorder="1" applyAlignment="1">
      <alignment vertical="center"/>
    </xf>
    <xf numFmtId="0" fontId="50" fillId="24" borderId="68" xfId="0" applyFont="1" applyFill="1" applyBorder="1"/>
    <xf numFmtId="0" fontId="9" fillId="23" borderId="722" xfId="0" applyFont="1" applyFill="1" applyBorder="1" applyAlignment="1">
      <alignment horizontal="center" vertical="center" wrapText="1"/>
    </xf>
    <xf numFmtId="0" fontId="9" fillId="23" borderId="712" xfId="0" applyFont="1" applyFill="1" applyBorder="1" applyAlignment="1">
      <alignment horizontal="center" vertical="center" wrapText="1"/>
    </xf>
    <xf numFmtId="0" fontId="12" fillId="23" borderId="725" xfId="0" applyFont="1" applyFill="1" applyBorder="1" applyAlignment="1">
      <alignment horizontal="center" vertical="center" wrapText="1"/>
    </xf>
    <xf numFmtId="0" fontId="12" fillId="23" borderId="646"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26" xfId="0" applyFont="1" applyFill="1" applyBorder="1" applyAlignment="1">
      <alignment horizontal="center" vertical="center" wrapText="1"/>
    </xf>
    <xf numFmtId="0" fontId="13" fillId="7" borderId="707" xfId="0" applyFont="1" applyFill="1" applyBorder="1" applyAlignment="1">
      <alignment horizontal="center" vertical="center" wrapText="1"/>
    </xf>
    <xf numFmtId="0" fontId="16" fillId="23" borderId="710" xfId="0" applyFont="1" applyFill="1" applyBorder="1" applyAlignment="1">
      <alignment horizontal="center" vertical="center" wrapText="1"/>
    </xf>
    <xf numFmtId="0" fontId="16" fillId="23" borderId="674" xfId="0" applyFont="1" applyFill="1" applyBorder="1" applyAlignment="1">
      <alignment horizontal="center" vertical="center" wrapText="1"/>
    </xf>
    <xf numFmtId="0" fontId="16" fillId="23" borderId="721" xfId="0" applyFont="1" applyFill="1" applyBorder="1" applyAlignment="1">
      <alignment horizontal="center" vertical="center" wrapText="1"/>
    </xf>
    <xf numFmtId="0" fontId="9" fillId="23" borderId="707" xfId="0" applyFont="1" applyFill="1" applyBorder="1" applyAlignment="1">
      <alignment horizontal="center" vertical="center" wrapText="1"/>
    </xf>
    <xf numFmtId="0" fontId="9" fillId="23" borderId="708"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6" xfId="0" applyFont="1" applyFill="1" applyBorder="1"/>
    <xf numFmtId="0" fontId="0" fillId="12" borderId="90" xfId="0" applyFill="1" applyBorder="1" applyAlignment="1">
      <alignment horizontal="center" vertical="center" wrapText="1"/>
    </xf>
    <xf numFmtId="0" fontId="15" fillId="8" borderId="87" xfId="0" applyFont="1" applyFill="1" applyBorder="1" applyAlignment="1">
      <alignment vertical="center" wrapText="1"/>
    </xf>
    <xf numFmtId="0" fontId="15" fillId="8" borderId="88"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4" xfId="0" applyFont="1" applyFill="1" applyBorder="1" applyAlignment="1">
      <alignment horizontal="right" vertical="center"/>
    </xf>
    <xf numFmtId="0" fontId="75" fillId="3" borderId="91" xfId="0" applyFont="1" applyFill="1" applyBorder="1"/>
    <xf numFmtId="0" fontId="0" fillId="33" borderId="89" xfId="0" applyFill="1" applyBorder="1"/>
    <xf numFmtId="0" fontId="0" fillId="33" borderId="76" xfId="0" applyFill="1" applyBorder="1"/>
    <xf numFmtId="0" fontId="0" fillId="33" borderId="90" xfId="0" applyFill="1" applyBorder="1"/>
    <xf numFmtId="0" fontId="45" fillId="8" borderId="89" xfId="0" applyFont="1" applyFill="1" applyBorder="1" applyAlignment="1">
      <alignment horizontal="center" vertical="center" wrapText="1"/>
    </xf>
    <xf numFmtId="0" fontId="45" fillId="8" borderId="76" xfId="0" applyFont="1" applyFill="1" applyBorder="1" applyAlignment="1">
      <alignment horizontal="center" vertical="center" wrapText="1"/>
    </xf>
    <xf numFmtId="0" fontId="81" fillId="8" borderId="76" xfId="0" applyFont="1" applyFill="1" applyBorder="1" applyAlignment="1">
      <alignment horizontal="center" vertical="center"/>
    </xf>
    <xf numFmtId="0" fontId="45" fillId="8" borderId="90" xfId="0" applyFont="1" applyFill="1" applyBorder="1" applyAlignment="1">
      <alignment horizontal="center" vertical="center" wrapText="1"/>
    </xf>
    <xf numFmtId="0" fontId="0" fillId="26" borderId="91" xfId="0" applyFill="1" applyBorder="1"/>
    <xf numFmtId="0" fontId="58" fillId="43" borderId="722" xfId="0" applyFont="1" applyFill="1" applyBorder="1" applyAlignment="1">
      <alignment horizontal="left"/>
    </xf>
    <xf numFmtId="0" fontId="58" fillId="43" borderId="722" xfId="0" applyFont="1" applyFill="1" applyBorder="1"/>
    <xf numFmtId="0" fontId="58" fillId="43" borderId="727"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39"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398"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89"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15" fillId="8" borderId="91"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1" xfId="0" applyFill="1" applyBorder="1"/>
    <xf numFmtId="0" fontId="0" fillId="68" borderId="68" xfId="0" applyFill="1" applyBorder="1"/>
    <xf numFmtId="0" fontId="0" fillId="53" borderId="89" xfId="0" applyFill="1" applyBorder="1"/>
    <xf numFmtId="0" fontId="0" fillId="53" borderId="76" xfId="0" applyFill="1" applyBorder="1" applyAlignment="1">
      <alignment horizontal="left"/>
    </xf>
    <xf numFmtId="0" fontId="0" fillId="53" borderId="90" xfId="0" applyFill="1" applyBorder="1"/>
    <xf numFmtId="0" fontId="13" fillId="55" borderId="732" xfId="0" applyFont="1" applyFill="1" applyBorder="1" applyAlignment="1" applyProtection="1">
      <alignment horizontal="center" vertical="center" wrapText="1"/>
      <protection locked="0"/>
    </xf>
    <xf numFmtId="0" fontId="9" fillId="7" borderId="732" xfId="0" applyFont="1" applyFill="1" applyBorder="1" applyAlignment="1">
      <alignment horizontal="right" vertical="center" wrapText="1"/>
    </xf>
    <xf numFmtId="0" fontId="13" fillId="55" borderId="733"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25" xfId="0" applyFont="1" applyFill="1" applyBorder="1" applyAlignment="1">
      <alignment horizontal="right" vertical="center" wrapText="1"/>
    </xf>
    <xf numFmtId="0" fontId="9" fillId="7" borderId="736" xfId="0" applyFont="1" applyFill="1" applyBorder="1" applyAlignment="1">
      <alignment horizontal="right" vertical="center" wrapText="1"/>
    </xf>
    <xf numFmtId="0" fontId="13" fillId="55" borderId="738" xfId="0" applyFont="1" applyFill="1" applyBorder="1" applyAlignment="1" applyProtection="1">
      <alignment horizontal="center" vertical="center" wrapText="1"/>
      <protection locked="0"/>
    </xf>
    <xf numFmtId="0" fontId="9" fillId="7" borderId="738" xfId="0" applyFont="1" applyFill="1" applyBorder="1" applyAlignment="1">
      <alignment horizontal="right" vertical="center" wrapText="1"/>
    </xf>
    <xf numFmtId="0" fontId="9" fillId="7" borderId="704" xfId="0" applyFont="1" applyFill="1" applyBorder="1" applyAlignment="1">
      <alignment horizontal="center" vertical="center"/>
    </xf>
    <xf numFmtId="0" fontId="91" fillId="16" borderId="0" xfId="0" applyFont="1" applyFill="1" applyAlignment="1">
      <alignment vertical="center" wrapText="1"/>
    </xf>
    <xf numFmtId="0" fontId="9" fillId="39" borderId="0" xfId="0" applyFont="1" applyFill="1" applyAlignment="1">
      <alignment vertical="center"/>
    </xf>
    <xf numFmtId="0" fontId="9" fillId="31" borderId="710" xfId="0" applyFont="1" applyFill="1" applyBorder="1" applyAlignment="1">
      <alignment horizontal="center" shrinkToFit="1"/>
    </xf>
    <xf numFmtId="0" fontId="9" fillId="31" borderId="0" xfId="0" applyFont="1" applyFill="1" applyAlignment="1">
      <alignment horizontal="center"/>
    </xf>
    <xf numFmtId="0" fontId="13" fillId="31" borderId="710" xfId="0" applyFont="1" applyFill="1" applyBorder="1" applyAlignment="1">
      <alignment horizontal="left" vertical="center"/>
    </xf>
    <xf numFmtId="0" fontId="9" fillId="31" borderId="0" xfId="0" applyFont="1" applyFill="1" applyAlignment="1">
      <alignment horizontal="center" shrinkToFit="1"/>
    </xf>
    <xf numFmtId="0" fontId="9" fillId="7" borderId="742" xfId="0" applyFont="1" applyFill="1" applyBorder="1" applyAlignment="1">
      <alignment horizontal="center" vertical="center" wrapText="1"/>
    </xf>
    <xf numFmtId="0" fontId="9" fillId="54" borderId="422" xfId="0" applyFont="1" applyFill="1" applyBorder="1" applyAlignment="1" applyProtection="1">
      <alignment horizontal="center"/>
      <protection locked="0"/>
    </xf>
    <xf numFmtId="0" fontId="13" fillId="30" borderId="745" xfId="0" applyFont="1" applyFill="1" applyBorder="1" applyAlignment="1">
      <alignment horizontal="center" vertical="center" wrapText="1"/>
    </xf>
    <xf numFmtId="0" fontId="9" fillId="30" borderId="743" xfId="0" applyFont="1" applyFill="1" applyBorder="1" applyAlignment="1">
      <alignment horizontal="right" vertical="center" wrapText="1"/>
    </xf>
    <xf numFmtId="0" fontId="9" fillId="69" borderId="0" xfId="0" applyFont="1" applyFill="1"/>
    <xf numFmtId="0" fontId="9" fillId="69" borderId="623" xfId="0" applyFont="1" applyFill="1" applyBorder="1"/>
    <xf numFmtId="0" fontId="9" fillId="69" borderId="688" xfId="0" applyFont="1" applyFill="1" applyBorder="1"/>
    <xf numFmtId="0" fontId="0" fillId="0" borderId="68" xfId="0" applyBorder="1"/>
    <xf numFmtId="0" fontId="0" fillId="33" borderId="86" xfId="0" applyFill="1" applyBorder="1" applyAlignment="1">
      <alignment horizontal="left"/>
    </xf>
    <xf numFmtId="0" fontId="0" fillId="33" borderId="87" xfId="0" applyFill="1" applyBorder="1" applyAlignment="1">
      <alignment horizontal="left"/>
    </xf>
    <xf numFmtId="0" fontId="0" fillId="33" borderId="91" xfId="0" applyFill="1" applyBorder="1" applyAlignment="1">
      <alignment horizontal="left"/>
    </xf>
    <xf numFmtId="0" fontId="0" fillId="33" borderId="0" xfId="0" applyFill="1" applyAlignment="1">
      <alignment horizontal="left"/>
    </xf>
    <xf numFmtId="0" fontId="0" fillId="33" borderId="89" xfId="0" applyFill="1" applyBorder="1" applyAlignment="1">
      <alignment horizontal="left"/>
    </xf>
    <xf numFmtId="0" fontId="0" fillId="33" borderId="76" xfId="0" applyFill="1" applyBorder="1" applyAlignment="1">
      <alignment horizontal="left"/>
    </xf>
    <xf numFmtId="0" fontId="9" fillId="33" borderId="132" xfId="0" applyFont="1" applyFill="1" applyBorder="1" applyAlignment="1">
      <alignment horizontal="left"/>
    </xf>
    <xf numFmtId="0" fontId="9" fillId="33" borderId="87" xfId="0" applyFont="1" applyFill="1" applyBorder="1" applyAlignment="1">
      <alignment horizontal="left"/>
    </xf>
    <xf numFmtId="0" fontId="9" fillId="33" borderId="88" xfId="0" applyFont="1" applyFill="1" applyBorder="1" applyAlignment="1">
      <alignment horizontal="left"/>
    </xf>
    <xf numFmtId="0" fontId="9" fillId="33" borderId="78"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09" xfId="0" applyFont="1" applyFill="1" applyBorder="1" applyAlignment="1">
      <alignment horizontal="left"/>
    </xf>
    <xf numFmtId="0" fontId="9" fillId="33" borderId="76" xfId="0" applyFont="1" applyFill="1" applyBorder="1" applyAlignment="1">
      <alignment horizontal="left"/>
    </xf>
    <xf numFmtId="0" fontId="9" fillId="33" borderId="90" xfId="0" applyFont="1" applyFill="1" applyBorder="1" applyAlignment="1">
      <alignment horizontal="left"/>
    </xf>
    <xf numFmtId="0" fontId="0" fillId="33" borderId="94" xfId="0" applyFill="1" applyBorder="1" applyAlignment="1">
      <alignment horizontal="left"/>
    </xf>
    <xf numFmtId="0" fontId="0" fillId="33" borderId="95" xfId="0" applyFill="1" applyBorder="1" applyAlignment="1">
      <alignment horizontal="left"/>
    </xf>
    <xf numFmtId="0" fontId="9" fillId="69" borderId="0" xfId="0" applyFont="1" applyFill="1" applyAlignment="1">
      <alignment horizontal="center"/>
    </xf>
    <xf numFmtId="0" fontId="9" fillId="27" borderId="91" xfId="0" applyFont="1" applyFill="1" applyBorder="1" applyAlignment="1">
      <alignment horizontal="left"/>
    </xf>
    <xf numFmtId="0" fontId="9" fillId="27" borderId="89" xfId="0" applyFont="1" applyFill="1" applyBorder="1" applyAlignment="1">
      <alignment horizontal="left"/>
    </xf>
    <xf numFmtId="0" fontId="45" fillId="8" borderId="89" xfId="0" applyFont="1" applyFill="1" applyBorder="1" applyAlignment="1">
      <alignment vertical="center"/>
    </xf>
    <xf numFmtId="0" fontId="45" fillId="8" borderId="76" xfId="0" applyFont="1" applyFill="1" applyBorder="1" applyAlignment="1">
      <alignment vertical="center"/>
    </xf>
    <xf numFmtId="0" fontId="45" fillId="8" borderId="90" xfId="0" applyFont="1" applyFill="1" applyBorder="1" applyAlignment="1">
      <alignment vertical="center"/>
    </xf>
    <xf numFmtId="0" fontId="9" fillId="68" borderId="91" xfId="0" applyFont="1" applyFill="1" applyBorder="1" applyAlignment="1">
      <alignment horizontal="left" vertical="center"/>
    </xf>
    <xf numFmtId="0" fontId="9" fillId="53" borderId="0" xfId="0" applyFont="1" applyFill="1" applyAlignment="1">
      <alignment horizontal="left"/>
    </xf>
    <xf numFmtId="0" fontId="9" fillId="68" borderId="91" xfId="0" applyFont="1" applyFill="1" applyBorder="1" applyAlignment="1">
      <alignment horizontal="left"/>
    </xf>
    <xf numFmtId="0" fontId="9" fillId="53" borderId="91" xfId="0" applyFont="1" applyFill="1" applyBorder="1" applyAlignment="1">
      <alignment horizontal="left"/>
    </xf>
    <xf numFmtId="0" fontId="9" fillId="16" borderId="106" xfId="0" applyFont="1" applyFill="1" applyBorder="1" applyAlignment="1">
      <alignment horizontal="left"/>
    </xf>
    <xf numFmtId="0" fontId="9" fillId="70" borderId="91" xfId="0" quotePrefix="1" applyFont="1" applyFill="1" applyBorder="1" applyAlignment="1">
      <alignment horizontal="left"/>
    </xf>
    <xf numFmtId="0" fontId="0" fillId="19" borderId="76" xfId="0" applyFill="1" applyBorder="1"/>
    <xf numFmtId="0" fontId="0" fillId="19" borderId="90" xfId="0" applyFill="1" applyBorder="1"/>
    <xf numFmtId="0" fontId="0" fillId="0" borderId="76" xfId="0" applyBorder="1" applyAlignment="1">
      <alignment horizontal="left"/>
    </xf>
    <xf numFmtId="0" fontId="0" fillId="0" borderId="76" xfId="0" applyBorder="1"/>
    <xf numFmtId="0" fontId="0" fillId="0" borderId="87" xfId="0" applyBorder="1"/>
    <xf numFmtId="0" fontId="0" fillId="0" borderId="112" xfId="0" applyBorder="1" applyAlignment="1">
      <alignment horizontal="left"/>
    </xf>
    <xf numFmtId="0" fontId="9" fillId="50" borderId="0" xfId="0" applyFont="1" applyFill="1" applyAlignment="1">
      <alignment horizontal="center" vertical="center"/>
    </xf>
    <xf numFmtId="0" fontId="9" fillId="16" borderId="87" xfId="0" quotePrefix="1" applyFont="1" applyFill="1" applyBorder="1" applyAlignment="1">
      <alignment horizontal="left"/>
    </xf>
    <xf numFmtId="0" fontId="9" fillId="50" borderId="68" xfId="0" applyFont="1" applyFill="1" applyBorder="1" applyAlignment="1">
      <alignment horizontal="center" vertical="center"/>
    </xf>
    <xf numFmtId="0" fontId="9" fillId="16" borderId="707" xfId="0" applyFont="1" applyFill="1" applyBorder="1" applyAlignment="1">
      <alignment horizontal="left"/>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482"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8" xfId="0" applyFont="1" applyFill="1" applyBorder="1"/>
    <xf numFmtId="0" fontId="152" fillId="24" borderId="91" xfId="0" applyFont="1" applyFill="1" applyBorder="1" applyAlignment="1">
      <alignment vertical="center" wrapText="1"/>
    </xf>
    <xf numFmtId="0" fontId="0" fillId="16" borderId="739" xfId="0" applyFill="1" applyBorder="1"/>
    <xf numFmtId="0" fontId="45" fillId="8" borderId="111" xfId="0" applyFont="1" applyFill="1" applyBorder="1" applyAlignment="1">
      <alignment vertical="center"/>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9" fillId="44" borderId="0" xfId="0" applyFont="1" applyFill="1" applyAlignment="1">
      <alignment horizontal="center" vertical="center" wrapText="1"/>
    </xf>
    <xf numFmtId="0" fontId="13" fillId="55" borderId="79" xfId="0" applyFont="1" applyFill="1" applyBorder="1" applyAlignment="1" applyProtection="1">
      <alignment horizontal="center" vertical="center" wrapText="1"/>
      <protection locked="0"/>
    </xf>
    <xf numFmtId="0" fontId="9" fillId="24" borderId="0" xfId="0" applyFont="1" applyFill="1" applyAlignment="1">
      <alignment horizontal="center"/>
    </xf>
    <xf numFmtId="0" fontId="13" fillId="51" borderId="127" xfId="0" applyFont="1" applyFill="1" applyBorder="1" applyAlignment="1" applyProtection="1">
      <alignment horizontal="center" vertical="center" wrapText="1"/>
      <protection locked="0"/>
    </xf>
    <xf numFmtId="0" fontId="0" fillId="73" borderId="14" xfId="0" applyFill="1" applyBorder="1"/>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139" fillId="3" borderId="0" xfId="0" applyFont="1" applyFill="1"/>
    <xf numFmtId="0" fontId="155" fillId="3" borderId="0" xfId="0" applyFont="1" applyFill="1"/>
    <xf numFmtId="0" fontId="37" fillId="0" borderId="22" xfId="0" applyFont="1" applyBorder="1" applyAlignment="1">
      <alignment horizontal="center" vertical="center"/>
    </xf>
    <xf numFmtId="0" fontId="48" fillId="31" borderId="104" xfId="0" applyFont="1" applyFill="1" applyBorder="1" applyAlignment="1">
      <alignment horizontal="center" vertical="center" wrapText="1"/>
    </xf>
    <xf numFmtId="0" fontId="48" fillId="31" borderId="108" xfId="0" applyFont="1" applyFill="1" applyBorder="1" applyAlignment="1">
      <alignment horizontal="center" vertical="center" wrapText="1"/>
    </xf>
    <xf numFmtId="0" fontId="9" fillId="31" borderId="104" xfId="0" applyFont="1" applyFill="1" applyBorder="1" applyAlignment="1">
      <alignment horizontal="center" vertical="center" wrapText="1"/>
    </xf>
    <xf numFmtId="1" fontId="9" fillId="58" borderId="708" xfId="0" applyNumberFormat="1" applyFont="1" applyFill="1" applyBorder="1" applyAlignment="1" applyProtection="1">
      <alignment horizontal="center" vertical="center" wrapText="1"/>
      <protection locked="0"/>
    </xf>
    <xf numFmtId="1" fontId="9" fillId="58" borderId="79" xfId="0" applyNumberFormat="1" applyFont="1" applyFill="1" applyBorder="1" applyAlignment="1" applyProtection="1">
      <alignment horizontal="center" vertical="center" wrapText="1"/>
      <protection locked="0"/>
    </xf>
    <xf numFmtId="1" fontId="9" fillId="58" borderId="71" xfId="0" applyNumberFormat="1" applyFont="1" applyFill="1" applyBorder="1" applyAlignment="1" applyProtection="1">
      <alignment horizontal="center" vertical="center" wrapText="1"/>
      <protection locked="0"/>
    </xf>
    <xf numFmtId="1" fontId="9" fillId="54" borderId="79" xfId="0" applyNumberFormat="1" applyFont="1" applyFill="1" applyBorder="1" applyAlignment="1" applyProtection="1">
      <alignment horizontal="center" vertical="center" wrapText="1"/>
      <protection locked="0"/>
    </xf>
    <xf numFmtId="1" fontId="9" fillId="54" borderId="71" xfId="0" applyNumberFormat="1" applyFont="1" applyFill="1" applyBorder="1" applyAlignment="1" applyProtection="1">
      <alignment horizontal="center" vertical="center" wrapText="1"/>
      <protection locked="0"/>
    </xf>
    <xf numFmtId="0" fontId="156" fillId="31" borderId="0" xfId="0" applyFont="1" applyFill="1" applyAlignment="1">
      <alignment horizontal="center" wrapText="1"/>
    </xf>
    <xf numFmtId="49" fontId="85" fillId="55" borderId="324" xfId="0" applyNumberFormat="1" applyFont="1" applyFill="1" applyBorder="1" applyAlignment="1" applyProtection="1">
      <alignment horizontal="center" vertical="center" wrapText="1"/>
      <protection locked="0"/>
    </xf>
    <xf numFmtId="49" fontId="85" fillId="55" borderId="376" xfId="0" applyNumberFormat="1" applyFont="1" applyFill="1" applyBorder="1" applyAlignment="1" applyProtection="1">
      <alignment horizontal="center" vertical="center" wrapText="1"/>
      <protection locked="0"/>
    </xf>
    <xf numFmtId="0" fontId="48" fillId="31" borderId="324" xfId="0" applyFont="1" applyFill="1" applyBorder="1" applyAlignment="1">
      <alignment horizontal="center" vertical="center" wrapText="1"/>
    </xf>
    <xf numFmtId="49" fontId="85" fillId="51" borderId="376" xfId="0" applyNumberFormat="1" applyFont="1" applyFill="1" applyBorder="1" applyAlignment="1" applyProtection="1">
      <alignment horizontal="center" vertical="center" wrapText="1"/>
      <protection locked="0"/>
    </xf>
    <xf numFmtId="0" fontId="48" fillId="39" borderId="104" xfId="0" applyFont="1" applyFill="1" applyBorder="1" applyAlignment="1">
      <alignment horizontal="center" vertical="center" wrapText="1"/>
    </xf>
    <xf numFmtId="0" fontId="48" fillId="39" borderId="108" xfId="0" applyFont="1" applyFill="1" applyBorder="1" applyAlignment="1">
      <alignment horizontal="center" vertical="center" wrapText="1"/>
    </xf>
    <xf numFmtId="0" fontId="48" fillId="39" borderId="105" xfId="0" applyFont="1" applyFill="1" applyBorder="1" applyAlignment="1">
      <alignment horizontal="center" vertical="center" wrapText="1"/>
    </xf>
    <xf numFmtId="0" fontId="12" fillId="55" borderId="71" xfId="0" applyFont="1" applyFill="1" applyBorder="1" applyAlignment="1" applyProtection="1">
      <alignment horizontal="center" vertical="center"/>
      <protection locked="0"/>
    </xf>
    <xf numFmtId="0" fontId="48" fillId="54" borderId="108" xfId="0" applyFont="1" applyFill="1" applyBorder="1" applyAlignment="1" applyProtection="1">
      <alignment horizontal="center" vertical="center" wrapText="1"/>
      <protection locked="0"/>
    </xf>
    <xf numFmtId="0" fontId="9" fillId="54" borderId="70" xfId="0" applyFont="1" applyFill="1" applyBorder="1" applyAlignment="1" applyProtection="1">
      <alignment horizontal="center" wrapText="1"/>
      <protection locked="0"/>
    </xf>
    <xf numFmtId="0" fontId="9" fillId="54" borderId="69" xfId="0" applyFont="1" applyFill="1" applyBorder="1" applyAlignment="1" applyProtection="1">
      <alignment horizontal="center" wrapText="1"/>
      <protection locked="0"/>
    </xf>
    <xf numFmtId="0" fontId="48" fillId="58" borderId="104"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78" xfId="0" applyFont="1" applyFill="1" applyBorder="1" applyAlignment="1" applyProtection="1">
      <alignment horizontal="center" wrapText="1"/>
      <protection locked="0"/>
    </xf>
    <xf numFmtId="0" fontId="48" fillId="54" borderId="104"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78" xfId="0" applyFont="1" applyFill="1" applyBorder="1" applyAlignment="1" applyProtection="1">
      <alignment horizontal="center" wrapText="1"/>
      <protection locked="0"/>
    </xf>
    <xf numFmtId="0" fontId="12" fillId="55" borderId="678" xfId="0" applyFont="1" applyFill="1" applyBorder="1" applyAlignment="1" applyProtection="1">
      <alignment horizontal="center" vertical="center"/>
      <protection locked="0"/>
    </xf>
    <xf numFmtId="0" fontId="48" fillId="54" borderId="105" xfId="0" applyFont="1" applyFill="1" applyBorder="1" applyAlignment="1" applyProtection="1">
      <alignment horizontal="center" vertical="center" wrapText="1"/>
      <protection locked="0"/>
    </xf>
    <xf numFmtId="0" fontId="9" fillId="54" borderId="66" xfId="0" applyFont="1" applyFill="1" applyBorder="1" applyAlignment="1" applyProtection="1">
      <alignment horizontal="center" wrapText="1"/>
      <protection locked="0"/>
    </xf>
    <xf numFmtId="1" fontId="9" fillId="54" borderId="73" xfId="0" applyNumberFormat="1" applyFont="1" applyFill="1" applyBorder="1" applyAlignment="1" applyProtection="1">
      <alignment horizontal="center" vertical="center" wrapText="1"/>
      <protection locked="0"/>
    </xf>
    <xf numFmtId="0" fontId="9" fillId="54" borderId="72" xfId="0" applyFont="1" applyFill="1" applyBorder="1" applyAlignment="1" applyProtection="1">
      <alignment horizontal="center" wrapText="1"/>
      <protection locked="0"/>
    </xf>
    <xf numFmtId="0" fontId="67" fillId="39" borderId="0" xfId="0" applyFont="1" applyFill="1" applyAlignment="1">
      <alignment horizontal="center" wrapText="1"/>
    </xf>
    <xf numFmtId="0" fontId="67" fillId="39" borderId="66" xfId="0" applyFont="1" applyFill="1" applyBorder="1" applyAlignment="1">
      <alignment horizontal="center" wrapText="1"/>
    </xf>
    <xf numFmtId="0" fontId="67" fillId="39" borderId="707" xfId="0" applyFont="1" applyFill="1" applyBorder="1" applyAlignment="1">
      <alignment horizontal="center" wrapText="1"/>
    </xf>
    <xf numFmtId="0" fontId="67" fillId="39" borderId="70" xfId="0" applyFont="1" applyFill="1" applyBorder="1" applyAlignment="1">
      <alignment horizontal="center" wrapText="1"/>
    </xf>
    <xf numFmtId="1" fontId="13" fillId="54" borderId="0" xfId="0" applyNumberFormat="1" applyFont="1" applyFill="1" applyAlignment="1" applyProtection="1">
      <alignment horizontal="center" wrapText="1"/>
      <protection locked="0"/>
    </xf>
    <xf numFmtId="1" fontId="140" fillId="54" borderId="79" xfId="0" applyNumberFormat="1" applyFont="1" applyFill="1" applyBorder="1" applyAlignment="1" applyProtection="1">
      <alignment horizontal="center" vertical="center" wrapText="1"/>
      <protection locked="0"/>
    </xf>
    <xf numFmtId="1" fontId="140" fillId="54" borderId="71" xfId="0" applyNumberFormat="1" applyFont="1" applyFill="1" applyBorder="1" applyAlignment="1" applyProtection="1">
      <alignment horizontal="center" vertical="center" wrapText="1"/>
      <protection locked="0"/>
    </xf>
    <xf numFmtId="1" fontId="13" fillId="54" borderId="70" xfId="0" applyNumberFormat="1" applyFont="1" applyFill="1" applyBorder="1" applyAlignment="1" applyProtection="1">
      <alignment horizontal="center" wrapText="1"/>
      <protection locked="0"/>
    </xf>
    <xf numFmtId="1" fontId="13" fillId="54" borderId="66" xfId="0" applyNumberFormat="1" applyFont="1" applyFill="1" applyBorder="1" applyAlignment="1" applyProtection="1">
      <alignment horizontal="center" wrapText="1"/>
      <protection locked="0"/>
    </xf>
    <xf numFmtId="1" fontId="140" fillId="54" borderId="73" xfId="0" applyNumberFormat="1" applyFont="1" applyFill="1" applyBorder="1" applyAlignment="1" applyProtection="1">
      <alignment horizontal="center" vertical="center" wrapText="1"/>
      <protection locked="0"/>
    </xf>
    <xf numFmtId="1" fontId="13" fillId="58" borderId="707" xfId="0" applyNumberFormat="1" applyFont="1" applyFill="1" applyBorder="1" applyAlignment="1" applyProtection="1">
      <alignment horizontal="center" wrapText="1"/>
      <protection locked="0"/>
    </xf>
    <xf numFmtId="1" fontId="140" fillId="58" borderId="708"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40" fillId="58" borderId="79" xfId="0" applyNumberFormat="1" applyFont="1" applyFill="1" applyBorder="1" applyAlignment="1" applyProtection="1">
      <alignment horizontal="center" vertical="center" wrapText="1"/>
      <protection locked="0"/>
    </xf>
    <xf numFmtId="1" fontId="13" fillId="58" borderId="70" xfId="0" applyNumberFormat="1" applyFont="1" applyFill="1" applyBorder="1" applyAlignment="1" applyProtection="1">
      <alignment horizontal="center" wrapText="1"/>
      <protection locked="0"/>
    </xf>
    <xf numFmtId="1" fontId="140" fillId="58" borderId="71" xfId="0" applyNumberFormat="1" applyFont="1" applyFill="1" applyBorder="1" applyAlignment="1" applyProtection="1">
      <alignment horizontal="center" vertical="center" wrapText="1"/>
      <protection locked="0"/>
    </xf>
    <xf numFmtId="1" fontId="13" fillId="58" borderId="66" xfId="0" applyNumberFormat="1" applyFont="1" applyFill="1" applyBorder="1" applyAlignment="1" applyProtection="1">
      <alignment horizontal="center" wrapText="1"/>
      <protection locked="0"/>
    </xf>
    <xf numFmtId="0" fontId="9" fillId="39" borderId="376" xfId="0" applyFont="1" applyFill="1" applyBorder="1" applyAlignment="1">
      <alignment horizontal="center" vertical="center" wrapText="1"/>
    </xf>
    <xf numFmtId="0" fontId="9" fillId="39" borderId="104" xfId="0" applyFont="1" applyFill="1" applyBorder="1" applyAlignment="1">
      <alignment horizontal="center" vertical="center" wrapText="1"/>
    </xf>
    <xf numFmtId="0" fontId="9" fillId="39" borderId="108" xfId="0" applyFont="1" applyFill="1" applyBorder="1" applyAlignment="1">
      <alignment horizontal="center" vertical="center" wrapText="1"/>
    </xf>
    <xf numFmtId="0" fontId="9" fillId="39" borderId="105" xfId="0" applyFont="1" applyFill="1" applyBorder="1" applyAlignment="1">
      <alignment horizontal="center" vertical="center" wrapText="1"/>
    </xf>
    <xf numFmtId="0" fontId="9" fillId="31" borderId="105" xfId="0" applyFont="1" applyFill="1" applyBorder="1" applyAlignment="1">
      <alignment horizontal="center" vertical="center" wrapText="1"/>
    </xf>
    <xf numFmtId="0" fontId="9" fillId="31" borderId="108" xfId="0" applyFont="1" applyFill="1" applyBorder="1" applyAlignment="1">
      <alignment horizontal="center" vertical="center" wrapText="1"/>
    </xf>
    <xf numFmtId="1" fontId="9" fillId="58" borderId="78" xfId="0" applyNumberFormat="1" applyFont="1" applyFill="1" applyBorder="1" applyAlignment="1" applyProtection="1">
      <alignment horizontal="center" vertical="center" wrapText="1"/>
      <protection locked="0"/>
    </xf>
    <xf numFmtId="1" fontId="13" fillId="54" borderId="78" xfId="0" applyNumberFormat="1" applyFont="1" applyFill="1" applyBorder="1" applyAlignment="1" applyProtection="1">
      <alignment horizontal="center" wrapText="1"/>
      <protection locked="0"/>
    </xf>
    <xf numFmtId="1" fontId="20" fillId="31" borderId="100" xfId="0" applyNumberFormat="1" applyFont="1" applyFill="1" applyBorder="1" applyAlignment="1">
      <alignment horizontal="center" vertical="center" wrapText="1"/>
    </xf>
    <xf numFmtId="0" fontId="20" fillId="31" borderId="100" xfId="0" applyFont="1" applyFill="1" applyBorder="1" applyAlignment="1">
      <alignment horizontal="center" vertical="center" wrapText="1"/>
    </xf>
    <xf numFmtId="1" fontId="20" fillId="31" borderId="328" xfId="0" applyNumberFormat="1" applyFont="1" applyFill="1" applyBorder="1" applyAlignment="1">
      <alignment horizontal="center" vertical="center" wrapText="1"/>
    </xf>
    <xf numFmtId="0" fontId="20" fillId="31" borderId="377" xfId="0" applyFont="1" applyFill="1" applyBorder="1" applyAlignment="1">
      <alignment horizontal="center" vertical="center" wrapText="1"/>
    </xf>
    <xf numFmtId="0" fontId="20" fillId="39" borderId="377" xfId="0" applyFont="1" applyFill="1" applyBorder="1" applyAlignment="1">
      <alignment horizontal="center" vertical="center" wrapText="1"/>
    </xf>
    <xf numFmtId="1" fontId="20" fillId="39" borderId="100" xfId="0" applyNumberFormat="1" applyFont="1" applyFill="1" applyBorder="1" applyAlignment="1">
      <alignment horizontal="center" vertical="center" wrapText="1"/>
    </xf>
    <xf numFmtId="1" fontId="20" fillId="39" borderId="328" xfId="0" applyNumberFormat="1" applyFont="1" applyFill="1" applyBorder="1" applyAlignment="1">
      <alignment horizontal="center" vertical="center" wrapText="1"/>
    </xf>
    <xf numFmtId="1" fontId="20" fillId="39" borderId="377" xfId="0" applyNumberFormat="1" applyFont="1" applyFill="1" applyBorder="1" applyAlignment="1">
      <alignment horizontal="center" vertical="center" wrapText="1"/>
    </xf>
    <xf numFmtId="0" fontId="20" fillId="39" borderId="100" xfId="0" applyFont="1" applyFill="1" applyBorder="1" applyAlignment="1">
      <alignment horizontal="center" vertical="center" wrapText="1"/>
    </xf>
    <xf numFmtId="0" fontId="45" fillId="74" borderId="14" xfId="0" applyFont="1" applyFill="1" applyBorder="1" applyAlignment="1">
      <alignment horizontal="center"/>
    </xf>
    <xf numFmtId="1" fontId="0" fillId="75" borderId="11" xfId="0" applyNumberFormat="1" applyFill="1" applyBorder="1" applyAlignment="1">
      <alignment horizontal="center"/>
    </xf>
    <xf numFmtId="0" fontId="0" fillId="75" borderId="13" xfId="0" applyFill="1" applyBorder="1" applyAlignment="1">
      <alignment horizontal="center"/>
    </xf>
    <xf numFmtId="1" fontId="0" fillId="75" borderId="14" xfId="0" applyNumberFormat="1" applyFill="1" applyBorder="1" applyAlignment="1">
      <alignment horizontal="center"/>
    </xf>
    <xf numFmtId="0" fontId="0" fillId="75" borderId="15" xfId="0" applyFill="1" applyBorder="1" applyAlignment="1">
      <alignment horizontal="center"/>
    </xf>
    <xf numFmtId="0" fontId="0" fillId="75" borderId="14" xfId="0" applyFill="1" applyBorder="1" applyAlignment="1">
      <alignment horizontal="center"/>
    </xf>
    <xf numFmtId="1" fontId="0" fillId="75" borderId="22" xfId="0" applyNumberFormat="1" applyFill="1" applyBorder="1" applyAlignment="1">
      <alignment horizontal="center"/>
    </xf>
    <xf numFmtId="0" fontId="0" fillId="75" borderId="17" xfId="0" applyFill="1" applyBorder="1" applyAlignment="1">
      <alignment horizontal="center"/>
    </xf>
    <xf numFmtId="0" fontId="13" fillId="55" borderId="750" xfId="0" applyFont="1" applyFill="1" applyBorder="1" applyAlignment="1" applyProtection="1">
      <alignment horizontal="center" vertical="center" wrapText="1"/>
      <protection locked="0"/>
    </xf>
    <xf numFmtId="0" fontId="13" fillId="51" borderId="750" xfId="0" applyFont="1" applyFill="1" applyBorder="1" applyAlignment="1" applyProtection="1">
      <alignment horizontal="center" vertical="center" wrapText="1"/>
      <protection locked="0"/>
    </xf>
    <xf numFmtId="0" fontId="12" fillId="76" borderId="322" xfId="0" applyFont="1" applyFill="1" applyBorder="1" applyAlignment="1">
      <alignment horizontal="right"/>
    </xf>
    <xf numFmtId="0" fontId="12" fillId="3" borderId="0" xfId="0" applyFont="1" applyFill="1" applyAlignment="1">
      <alignment horizontal="right"/>
    </xf>
    <xf numFmtId="0" fontId="12" fillId="76" borderId="0" xfId="0" applyFont="1" applyFill="1" applyAlignment="1">
      <alignment horizontal="right"/>
    </xf>
    <xf numFmtId="0" fontId="12" fillId="3" borderId="322" xfId="0" applyFont="1" applyFill="1" applyBorder="1" applyAlignment="1">
      <alignment horizontal="right"/>
    </xf>
    <xf numFmtId="0" fontId="9" fillId="73" borderId="0" xfId="0" applyFont="1" applyFill="1" applyAlignment="1">
      <alignment horizontal="left"/>
    </xf>
    <xf numFmtId="0" fontId="9" fillId="76" borderId="307" xfId="0" applyFont="1" applyFill="1" applyBorder="1" applyAlignment="1">
      <alignment horizontal="center" vertical="center"/>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13" fillId="76" borderId="325" xfId="0" applyFont="1" applyFill="1" applyBorder="1" applyAlignment="1">
      <alignment horizontal="center" vertical="center"/>
    </xf>
    <xf numFmtId="0" fontId="13" fillId="76" borderId="68" xfId="0" applyFont="1" applyFill="1" applyBorder="1" applyAlignment="1">
      <alignment horizontal="center" vertical="center"/>
    </xf>
    <xf numFmtId="0" fontId="13" fillId="3" borderId="325" xfId="0" applyFont="1" applyFill="1" applyBorder="1" applyAlignment="1">
      <alignment horizontal="center" vertical="center"/>
    </xf>
    <xf numFmtId="0" fontId="9" fillId="7" borderId="751" xfId="0" applyFont="1" applyFill="1" applyBorder="1" applyAlignment="1">
      <alignment horizontal="center" vertical="center" wrapText="1"/>
    </xf>
    <xf numFmtId="0" fontId="12" fillId="7" borderId="313" xfId="0" applyFont="1" applyFill="1" applyBorder="1" applyAlignment="1">
      <alignment horizontal="center" vertical="center"/>
    </xf>
    <xf numFmtId="0" fontId="13" fillId="58" borderId="107" xfId="0" applyFont="1" applyFill="1" applyBorder="1" applyAlignment="1" applyProtection="1">
      <alignment horizontal="center"/>
      <protection locked="0"/>
    </xf>
    <xf numFmtId="0" fontId="67" fillId="39" borderId="177" xfId="0" applyFont="1" applyFill="1" applyBorder="1" applyAlignment="1">
      <alignment horizontal="center" vertical="center" wrapText="1"/>
    </xf>
    <xf numFmtId="0" fontId="9" fillId="3" borderId="346" xfId="0" applyFont="1" applyFill="1" applyBorder="1" applyAlignment="1">
      <alignment horizontal="center" vertical="center" wrapText="1"/>
    </xf>
    <xf numFmtId="0" fontId="9" fillId="3" borderId="0" xfId="0" applyFont="1" applyFill="1" applyAlignment="1">
      <alignment horizontal="center" wrapText="1"/>
    </xf>
    <xf numFmtId="0" fontId="140" fillId="51" borderId="0" xfId="0" applyFont="1" applyFill="1" applyAlignment="1" applyProtection="1">
      <alignment horizontal="center" wrapText="1"/>
      <protection locked="0"/>
    </xf>
    <xf numFmtId="0" fontId="140" fillId="55" borderId="749" xfId="0" applyFont="1" applyFill="1" applyBorder="1" applyAlignment="1" applyProtection="1">
      <alignment horizontal="center" wrapText="1"/>
      <protection locked="0"/>
    </xf>
    <xf numFmtId="0" fontId="20" fillId="3" borderId="348" xfId="0" applyFont="1" applyFill="1" applyBorder="1" applyAlignment="1">
      <alignment horizontal="center" vertical="center" wrapText="1"/>
    </xf>
    <xf numFmtId="0" fontId="20" fillId="31" borderId="756" xfId="0" applyFont="1" applyFill="1" applyBorder="1" applyAlignment="1">
      <alignment horizontal="center" vertical="center" wrapText="1"/>
    </xf>
    <xf numFmtId="0" fontId="9" fillId="31" borderId="749" xfId="0" applyFont="1" applyFill="1" applyBorder="1" applyAlignment="1">
      <alignment horizontal="center" vertical="center" wrapText="1"/>
    </xf>
    <xf numFmtId="0" fontId="9" fillId="31" borderId="728"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0" fillId="51" borderId="0" xfId="0" applyFill="1"/>
    <xf numFmtId="0" fontId="0" fillId="54" borderId="0" xfId="0" applyFill="1"/>
    <xf numFmtId="0" fontId="0" fillId="51" borderId="322" xfId="0" applyFill="1" applyBorder="1"/>
    <xf numFmtId="0" fontId="0" fillId="51" borderId="71" xfId="0" applyFill="1" applyBorder="1"/>
    <xf numFmtId="0" fontId="0" fillId="54" borderId="79" xfId="0" applyFill="1" applyBorder="1"/>
    <xf numFmtId="0" fontId="0" fillId="51" borderId="79" xfId="0" applyFill="1" applyBorder="1"/>
    <xf numFmtId="0" fontId="0" fillId="51" borderId="127" xfId="0" applyFill="1" applyBorder="1"/>
    <xf numFmtId="0" fontId="12" fillId="7" borderId="707" xfId="0" applyFont="1" applyFill="1" applyBorder="1" applyAlignment="1">
      <alignment horizontal="right" vertical="center" wrapText="1"/>
    </xf>
    <xf numFmtId="0" fontId="12" fillId="31" borderId="0" xfId="0" applyFont="1" applyFill="1" applyAlignment="1">
      <alignment horizontal="right"/>
    </xf>
    <xf numFmtId="0" fontId="12" fillId="3" borderId="76" xfId="0" applyFont="1" applyFill="1" applyBorder="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0" fillId="75" borderId="68" xfId="0" applyFill="1" applyBorder="1"/>
    <xf numFmtId="0" fontId="9" fillId="75" borderId="468" xfId="0" applyFont="1" applyFill="1" applyBorder="1" applyAlignment="1">
      <alignment horizontal="right" vertical="center"/>
    </xf>
    <xf numFmtId="0" fontId="0" fillId="77" borderId="468" xfId="0" applyFill="1" applyBorder="1"/>
    <xf numFmtId="0" fontId="0" fillId="77" borderId="468" xfId="0" applyFill="1" applyBorder="1" applyAlignment="1">
      <alignment horizontal="left"/>
    </xf>
    <xf numFmtId="0" fontId="0" fillId="77" borderId="469"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463" xfId="0" applyFill="1" applyBorder="1" applyAlignment="1">
      <alignment horizontal="left"/>
    </xf>
    <xf numFmtId="0" fontId="0" fillId="77" borderId="463" xfId="0" applyFill="1" applyBorder="1"/>
    <xf numFmtId="0" fontId="0" fillId="77" borderId="466" xfId="0" applyFill="1" applyBorder="1"/>
    <xf numFmtId="0" fontId="57" fillId="78" borderId="109" xfId="0" applyFont="1" applyFill="1" applyBorder="1" applyAlignment="1">
      <alignment horizontal="left"/>
    </xf>
    <xf numFmtId="0" fontId="57" fillId="78" borderId="112" xfId="0" applyFont="1" applyFill="1" applyBorder="1" applyAlignment="1">
      <alignment horizontal="left"/>
    </xf>
    <xf numFmtId="0" fontId="57" fillId="78" borderId="140" xfId="0" applyFont="1" applyFill="1" applyBorder="1" applyAlignment="1">
      <alignment horizontal="left"/>
    </xf>
    <xf numFmtId="0" fontId="9" fillId="77" borderId="0" xfId="0" applyFont="1" applyFill="1" applyAlignment="1">
      <alignment horizontal="center" vertical="center" wrapText="1"/>
    </xf>
    <xf numFmtId="0" fontId="9" fillId="75" borderId="91" xfId="0" applyFont="1" applyFill="1" applyBorder="1" applyAlignment="1">
      <alignment horizontal="left" vertical="center"/>
    </xf>
    <xf numFmtId="0" fontId="57" fillId="78" borderId="112" xfId="0" applyFont="1" applyFill="1" applyBorder="1" applyAlignment="1">
      <alignment horizontal="center"/>
    </xf>
    <xf numFmtId="0" fontId="9" fillId="77" borderId="467" xfId="0" applyFont="1" applyFill="1" applyBorder="1"/>
    <xf numFmtId="0" fontId="140" fillId="55" borderId="757" xfId="0" applyFont="1" applyFill="1" applyBorder="1" applyAlignment="1" applyProtection="1">
      <alignment horizontal="center" vertical="center" wrapText="1"/>
      <protection locked="0"/>
    </xf>
    <xf numFmtId="0" fontId="140" fillId="55" borderId="758" xfId="0" applyFont="1" applyFill="1" applyBorder="1" applyAlignment="1" applyProtection="1">
      <alignment horizontal="center" vertical="center" wrapText="1"/>
      <protection locked="0"/>
    </xf>
    <xf numFmtId="0" fontId="140" fillId="55" borderId="759" xfId="0" applyFont="1" applyFill="1" applyBorder="1" applyAlignment="1" applyProtection="1">
      <alignment horizontal="center" vertical="center" wrapText="1"/>
      <protection locked="0"/>
    </xf>
    <xf numFmtId="0" fontId="140" fillId="55" borderId="760" xfId="0" applyFont="1" applyFill="1" applyBorder="1" applyAlignment="1" applyProtection="1">
      <alignment horizontal="center" vertical="center" wrapText="1"/>
      <protection locked="0"/>
    </xf>
    <xf numFmtId="0" fontId="0" fillId="7" borderId="761" xfId="0" applyFill="1" applyBorder="1"/>
    <xf numFmtId="0" fontId="158" fillId="31" borderId="686" xfId="0" applyFont="1" applyFill="1" applyBorder="1"/>
    <xf numFmtId="0" fontId="138" fillId="54" borderId="674" xfId="0" applyFont="1" applyFill="1" applyBorder="1" applyAlignment="1" applyProtection="1">
      <alignment horizontal="center"/>
      <protection locked="0"/>
    </xf>
    <xf numFmtId="0" fontId="9" fillId="31" borderId="328" xfId="0" applyFont="1" applyFill="1" applyBorder="1" applyAlignment="1">
      <alignment horizontal="center" vertical="center"/>
    </xf>
    <xf numFmtId="0" fontId="9" fillId="31" borderId="102" xfId="0" applyFont="1" applyFill="1" applyBorder="1" applyAlignment="1">
      <alignment horizontal="center" vertical="center"/>
    </xf>
    <xf numFmtId="0" fontId="0" fillId="3" borderId="766" xfId="0" applyFill="1" applyBorder="1"/>
    <xf numFmtId="0" fontId="20" fillId="7" borderId="52" xfId="0" applyFont="1" applyFill="1" applyBorder="1" applyAlignment="1">
      <alignment horizontal="center" vertical="center" wrapText="1"/>
    </xf>
    <xf numFmtId="0" fontId="13" fillId="3" borderId="348" xfId="0" applyFont="1" applyFill="1" applyBorder="1" applyAlignment="1">
      <alignment horizontal="center" vertical="center" wrapText="1"/>
    </xf>
    <xf numFmtId="0" fontId="45" fillId="74" borderId="22" xfId="0" applyFont="1" applyFill="1" applyBorder="1"/>
    <xf numFmtId="0" fontId="45" fillId="74" borderId="16" xfId="0" applyFont="1" applyFill="1" applyBorder="1"/>
    <xf numFmtId="0" fontId="45" fillId="74" borderId="16" xfId="0" applyFont="1" applyFill="1" applyBorder="1" applyAlignment="1">
      <alignment horizontal="center"/>
    </xf>
    <xf numFmtId="0" fontId="45" fillId="74" borderId="16" xfId="0" applyFont="1" applyFill="1" applyBorder="1" applyAlignment="1">
      <alignment horizontal="center" vertical="center"/>
    </xf>
    <xf numFmtId="0" fontId="45" fillId="74" borderId="16" xfId="0" applyFont="1" applyFill="1" applyBorder="1" applyAlignment="1">
      <alignment horizontal="left"/>
    </xf>
    <xf numFmtId="0" fontId="45" fillId="74" borderId="17" xfId="0" applyFont="1" applyFill="1" applyBorder="1"/>
    <xf numFmtId="0" fontId="0" fillId="77" borderId="15" xfId="0" applyFill="1" applyBorder="1" applyAlignment="1">
      <alignment horizontal="left"/>
    </xf>
    <xf numFmtId="0" fontId="9" fillId="77" borderId="0" xfId="0" applyFont="1" applyFill="1" applyAlignment="1">
      <alignment horizontal="left"/>
    </xf>
    <xf numFmtId="0" fontId="9" fillId="77" borderId="0" xfId="0" applyFont="1" applyFill="1" applyAlignment="1">
      <alignment horizontal="right"/>
    </xf>
    <xf numFmtId="0" fontId="9" fillId="77" borderId="746" xfId="0" applyFont="1" applyFill="1" applyBorder="1" applyAlignment="1">
      <alignment horizontal="right"/>
    </xf>
    <xf numFmtId="0" fontId="0" fillId="77" borderId="761" xfId="0" applyFill="1" applyBorder="1"/>
    <xf numFmtId="0" fontId="0" fillId="77" borderId="781" xfId="0" applyFill="1" applyBorder="1"/>
    <xf numFmtId="0" fontId="9" fillId="77" borderId="14" xfId="0" applyFont="1" applyFill="1" applyBorder="1"/>
    <xf numFmtId="0" fontId="9" fillId="77" borderId="0" xfId="0" applyFont="1" applyFill="1" applyAlignment="1">
      <alignment horizontal="right" vertical="center"/>
    </xf>
    <xf numFmtId="0" fontId="9" fillId="77" borderId="14" xfId="0" applyFont="1" applyFill="1" applyBorder="1" applyAlignment="1">
      <alignment horizontal="left" vertical="center"/>
    </xf>
    <xf numFmtId="0" fontId="9" fillId="77" borderId="779" xfId="0" applyFont="1" applyFill="1" applyBorder="1" applyAlignment="1">
      <alignment horizontal="left"/>
    </xf>
    <xf numFmtId="0" fontId="9" fillId="77" borderId="780"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 borderId="307" xfId="0" applyFont="1" applyFill="1" applyBorder="1" applyAlignment="1">
      <alignment horizontal="center" vertical="center"/>
    </xf>
    <xf numFmtId="0" fontId="9" fillId="3" borderId="32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9" fillId="3" borderId="133"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0" fontId="9" fillId="77" borderId="746" xfId="0" applyFont="1" applyFill="1" applyBorder="1" applyAlignment="1">
      <alignment horizontal="left"/>
    </xf>
    <xf numFmtId="0" fontId="9" fillId="77" borderId="746" xfId="0" applyFont="1" applyFill="1" applyBorder="1"/>
    <xf numFmtId="0" fontId="9" fillId="75" borderId="14" xfId="0" applyFont="1" applyFill="1" applyBorder="1" applyAlignment="1">
      <alignment horizontal="center"/>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0" fillId="75" borderId="15" xfId="0" applyFill="1" applyBorder="1"/>
    <xf numFmtId="0" fontId="29" fillId="8" borderId="7" xfId="0" applyFont="1" applyFill="1" applyBorder="1" applyAlignment="1">
      <alignment vertical="center"/>
    </xf>
    <xf numFmtId="0" fontId="58" fillId="30" borderId="0" xfId="0" applyFont="1" applyFill="1"/>
    <xf numFmtId="0" fontId="58" fillId="39" borderId="769" xfId="0" applyFont="1" applyFill="1" applyBorder="1"/>
    <xf numFmtId="0" fontId="58" fillId="39" borderId="785" xfId="0" applyFont="1" applyFill="1" applyBorder="1"/>
    <xf numFmtId="0" fontId="8" fillId="3" borderId="787" xfId="0" applyFont="1" applyFill="1" applyBorder="1"/>
    <xf numFmtId="0" fontId="0" fillId="3" borderId="787" xfId="0" applyFill="1" applyBorder="1"/>
    <xf numFmtId="0" fontId="123" fillId="3" borderId="787" xfId="0" applyFont="1" applyFill="1" applyBorder="1"/>
    <xf numFmtId="0" fontId="123" fillId="3" borderId="788" xfId="0" applyFont="1" applyFill="1" applyBorder="1"/>
    <xf numFmtId="0" fontId="58" fillId="39" borderId="91" xfId="0" applyFont="1" applyFill="1" applyBorder="1"/>
    <xf numFmtId="0" fontId="58" fillId="30" borderId="769" xfId="0" applyFont="1" applyFill="1" applyBorder="1"/>
    <xf numFmtId="0" fontId="8" fillId="31" borderId="785" xfId="0" applyFont="1" applyFill="1" applyBorder="1"/>
    <xf numFmtId="0" fontId="0" fillId="7" borderId="787" xfId="0" applyFill="1" applyBorder="1" applyAlignment="1">
      <alignment wrapText="1"/>
    </xf>
    <xf numFmtId="0" fontId="8" fillId="7" borderId="787" xfId="0" applyFont="1" applyFill="1" applyBorder="1"/>
    <xf numFmtId="0" fontId="0" fillId="7" borderId="787" xfId="0" applyFill="1" applyBorder="1"/>
    <xf numFmtId="0" fontId="123" fillId="7" borderId="787" xfId="0" applyFont="1" applyFill="1" applyBorder="1" applyAlignment="1">
      <alignment wrapText="1"/>
    </xf>
    <xf numFmtId="0" fontId="123" fillId="7" borderId="788" xfId="0" applyFont="1" applyFill="1" applyBorder="1" applyAlignment="1">
      <alignment wrapText="1"/>
    </xf>
    <xf numFmtId="0" fontId="58" fillId="30" borderId="91" xfId="0" applyFont="1" applyFill="1" applyBorder="1"/>
    <xf numFmtId="0" fontId="8" fillId="31" borderId="0" xfId="0" applyFont="1" applyFill="1"/>
    <xf numFmtId="0" fontId="9" fillId="7" borderId="0" xfId="0" applyFont="1" applyFill="1" applyAlignment="1">
      <alignment vertical="center" shrinkToFit="1"/>
    </xf>
    <xf numFmtId="0" fontId="57" fillId="39" borderId="91" xfId="0" applyFont="1" applyFill="1" applyBorder="1" applyAlignment="1">
      <alignment vertical="center"/>
    </xf>
    <xf numFmtId="0" fontId="57" fillId="30" borderId="91" xfId="0" applyFont="1" applyFill="1" applyBorder="1" applyAlignment="1">
      <alignment vertical="center"/>
    </xf>
    <xf numFmtId="0" fontId="41" fillId="31" borderId="0" xfId="0" applyFont="1" applyFill="1" applyAlignment="1">
      <alignment vertical="center"/>
    </xf>
    <xf numFmtId="0" fontId="58" fillId="39" borderId="91" xfId="0" applyFont="1" applyFill="1" applyBorder="1" applyAlignment="1">
      <alignment wrapText="1"/>
    </xf>
    <xf numFmtId="0" fontId="58" fillId="30" borderId="91" xfId="0" applyFont="1" applyFill="1" applyBorder="1" applyAlignment="1">
      <alignment wrapText="1"/>
    </xf>
    <xf numFmtId="0" fontId="42" fillId="31" borderId="0" xfId="0" applyFont="1" applyFill="1" applyAlignment="1">
      <alignment vertical="center"/>
    </xf>
    <xf numFmtId="0" fontId="58" fillId="30" borderId="89" xfId="0" applyFont="1" applyFill="1" applyBorder="1" applyAlignment="1">
      <alignment wrapText="1"/>
    </xf>
    <xf numFmtId="0" fontId="42" fillId="31" borderId="786" xfId="0" applyFont="1" applyFill="1" applyBorder="1" applyAlignment="1">
      <alignment vertical="center"/>
    </xf>
    <xf numFmtId="0" fontId="0" fillId="7" borderId="776" xfId="0" applyFill="1" applyBorder="1" applyAlignment="1">
      <alignment wrapText="1"/>
    </xf>
    <xf numFmtId="0" fontId="8" fillId="7" borderId="776" xfId="0" applyFont="1" applyFill="1" applyBorder="1"/>
    <xf numFmtId="0" fontId="0" fillId="7" borderId="776" xfId="0" applyFill="1" applyBorder="1"/>
    <xf numFmtId="0" fontId="123" fillId="7" borderId="776" xfId="0" applyFont="1" applyFill="1" applyBorder="1" applyAlignment="1">
      <alignment wrapText="1"/>
    </xf>
    <xf numFmtId="0" fontId="123" fillId="7" borderId="778" xfId="0" applyFont="1" applyFill="1" applyBorder="1" applyAlignment="1">
      <alignment wrapText="1"/>
    </xf>
    <xf numFmtId="0" fontId="58" fillId="39" borderId="91" xfId="0" applyFont="1" applyFill="1" applyBorder="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463"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9" fillId="27" borderId="0" xfId="0" applyFont="1" applyFill="1" applyAlignment="1">
      <alignment horizontal="center" vertical="center" wrapText="1"/>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4"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3" borderId="15" xfId="0" applyFont="1" applyFill="1" applyBorder="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463"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792" xfId="0" applyFont="1" applyFill="1" applyBorder="1" applyAlignment="1">
      <alignment vertical="center"/>
    </xf>
    <xf numFmtId="0" fontId="44" fillId="27" borderId="792" xfId="0" applyFont="1" applyFill="1" applyBorder="1" applyAlignment="1">
      <alignment horizontal="left"/>
    </xf>
    <xf numFmtId="0" fontId="44" fillId="27" borderId="793" xfId="0" applyFont="1" applyFill="1" applyBorder="1" applyAlignment="1">
      <alignment horizontal="left"/>
    </xf>
    <xf numFmtId="0" fontId="27" fillId="27" borderId="792" xfId="0" applyFont="1" applyFill="1" applyBorder="1"/>
    <xf numFmtId="0" fontId="27" fillId="27" borderId="786" xfId="0" applyFont="1" applyFill="1" applyBorder="1"/>
    <xf numFmtId="0" fontId="9" fillId="27" borderId="793" xfId="0" applyFont="1" applyFill="1" applyBorder="1" applyAlignment="1">
      <alignment horizontal="left"/>
    </xf>
    <xf numFmtId="0" fontId="9" fillId="27" borderId="464" xfId="0" applyFont="1" applyFill="1" applyBorder="1" applyAlignment="1">
      <alignment horizontal="center" vertical="center" wrapText="1"/>
    </xf>
    <xf numFmtId="0" fontId="9" fillId="27" borderId="786" xfId="0" applyFont="1" applyFill="1" applyBorder="1" applyAlignment="1">
      <alignment horizontal="left"/>
    </xf>
    <xf numFmtId="0" fontId="12" fillId="27" borderId="793" xfId="0" applyFont="1" applyFill="1" applyBorder="1" applyAlignment="1">
      <alignment vertical="center" wrapText="1"/>
    </xf>
    <xf numFmtId="0" fontId="92" fillId="27" borderId="464" xfId="0" applyFont="1" applyFill="1" applyBorder="1" applyAlignment="1">
      <alignment horizontal="center" vertical="center" wrapText="1"/>
    </xf>
    <xf numFmtId="0" fontId="67" fillId="27" borderId="466" xfId="0" applyFont="1" applyFill="1" applyBorder="1" applyAlignment="1">
      <alignment horizontal="left"/>
    </xf>
    <xf numFmtId="0" fontId="67" fillId="27" borderId="464" xfId="0" applyFont="1" applyFill="1" applyBorder="1" applyAlignment="1">
      <alignment horizontal="left"/>
    </xf>
    <xf numFmtId="0" fontId="92" fillId="27" borderId="466"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464" xfId="0" applyFont="1" applyFill="1" applyBorder="1" applyAlignment="1">
      <alignment vertical="center" wrapText="1"/>
    </xf>
    <xf numFmtId="0" fontId="9" fillId="31" borderId="466"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1" fillId="27" borderId="0" xfId="0" applyFont="1" applyFill="1"/>
    <xf numFmtId="0" fontId="161" fillId="27" borderId="0" xfId="0" applyFont="1" applyFill="1" applyAlignment="1">
      <alignment horizontal="left"/>
    </xf>
    <xf numFmtId="0" fontId="161" fillId="27" borderId="796" xfId="0" applyFont="1" applyFill="1" applyBorder="1"/>
    <xf numFmtId="0" fontId="9" fillId="27" borderId="795" xfId="0" applyFont="1" applyFill="1" applyBorder="1" applyAlignment="1">
      <alignment horizontal="left"/>
    </xf>
    <xf numFmtId="0" fontId="161" fillId="27" borderId="795" xfId="0" applyFont="1" applyFill="1" applyBorder="1" applyAlignment="1">
      <alignment horizontal="left"/>
    </xf>
    <xf numFmtId="0" fontId="161" fillId="27" borderId="0" xfId="0" applyFont="1" applyFill="1" applyAlignment="1">
      <alignment horizontal="center"/>
    </xf>
    <xf numFmtId="0" fontId="161" fillId="27" borderId="469" xfId="0" applyFont="1" applyFill="1" applyBorder="1"/>
    <xf numFmtId="0" fontId="161" fillId="27" borderId="467" xfId="0" applyFont="1" applyFill="1" applyBorder="1" applyAlignment="1">
      <alignment horizontal="center"/>
    </xf>
    <xf numFmtId="0" fontId="9" fillId="27" borderId="0" xfId="0" applyFont="1" applyFill="1" applyAlignment="1">
      <alignment vertical="center" wrapText="1"/>
    </xf>
    <xf numFmtId="0" fontId="30" fillId="27" borderId="792" xfId="0" applyFont="1" applyFill="1" applyBorder="1" applyAlignment="1">
      <alignment horizontal="left"/>
    </xf>
    <xf numFmtId="0" fontId="9" fillId="27" borderId="793" xfId="0" applyFont="1" applyFill="1" applyBorder="1" applyAlignment="1">
      <alignment horizontal="center" vertical="center" wrapText="1"/>
    </xf>
    <xf numFmtId="0" fontId="9" fillId="27" borderId="466" xfId="0" applyFont="1" applyFill="1" applyBorder="1" applyAlignment="1">
      <alignment horizontal="center" vertical="center" wrapText="1"/>
    </xf>
    <xf numFmtId="0" fontId="67" fillId="27" borderId="463"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1" fillId="56" borderId="0" xfId="0" applyFont="1" applyFill="1"/>
    <xf numFmtId="0" fontId="161" fillId="56" borderId="0" xfId="0" applyFont="1" applyFill="1" applyAlignment="1">
      <alignment horizontal="center"/>
    </xf>
    <xf numFmtId="0" fontId="161" fillId="56" borderId="0" xfId="0" applyFont="1" applyFill="1" applyAlignment="1">
      <alignment horizontal="left"/>
    </xf>
    <xf numFmtId="0" fontId="161" fillId="56" borderId="796" xfId="0" applyFont="1" applyFill="1" applyBorder="1"/>
    <xf numFmtId="0" fontId="116" fillId="56" borderId="0" xfId="0" applyFont="1" applyFill="1"/>
    <xf numFmtId="0" fontId="162" fillId="49" borderId="0" xfId="0" applyFont="1" applyFill="1" applyAlignment="1">
      <alignment horizontal="center" vertical="center" wrapText="1"/>
    </xf>
    <xf numFmtId="0" fontId="162" fillId="49" borderId="465" xfId="0" applyFont="1" applyFill="1" applyBorder="1" applyAlignment="1">
      <alignment horizontal="center" vertical="center" wrapText="1"/>
    </xf>
    <xf numFmtId="0" fontId="67" fillId="3" borderId="797" xfId="0" applyFont="1" applyFill="1" applyBorder="1" applyAlignment="1">
      <alignment horizontal="left"/>
    </xf>
    <xf numFmtId="0" fontId="67" fillId="27" borderId="0" xfId="0" applyFont="1" applyFill="1" applyAlignment="1">
      <alignment horizontal="left" vertical="center"/>
    </xf>
    <xf numFmtId="0" fontId="92" fillId="27" borderId="68" xfId="0" applyFont="1" applyFill="1" applyBorder="1"/>
    <xf numFmtId="0" fontId="9" fillId="27" borderId="792" xfId="0" applyFont="1" applyFill="1" applyBorder="1"/>
    <xf numFmtId="0" fontId="9" fillId="27" borderId="792" xfId="0" applyFont="1" applyFill="1" applyBorder="1" applyAlignment="1">
      <alignment horizontal="center" vertical="center" wrapText="1"/>
    </xf>
    <xf numFmtId="0" fontId="30" fillId="27" borderId="793" xfId="0" applyFont="1" applyFill="1" applyBorder="1" applyAlignment="1">
      <alignment horizontal="left"/>
    </xf>
    <xf numFmtId="0" fontId="9" fillId="56" borderId="0" xfId="0" applyFont="1" applyFill="1" applyAlignment="1">
      <alignment horizontal="center" vertical="center" wrapText="1"/>
    </xf>
    <xf numFmtId="0" fontId="57" fillId="52" borderId="464"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466" xfId="0" applyFont="1" applyFill="1" applyBorder="1" applyAlignment="1">
      <alignment horizontal="left" vertical="center"/>
    </xf>
    <xf numFmtId="0" fontId="67" fillId="27" borderId="792" xfId="0" applyFont="1" applyFill="1" applyBorder="1" applyAlignment="1">
      <alignment horizontal="left"/>
    </xf>
    <xf numFmtId="0" fontId="92" fillId="27" borderId="772" xfId="0" applyFont="1" applyFill="1" applyBorder="1"/>
    <xf numFmtId="0" fontId="41" fillId="27" borderId="0" xfId="0" applyFont="1" applyFill="1"/>
    <xf numFmtId="0" fontId="13" fillId="79" borderId="464" xfId="0" applyFont="1" applyFill="1" applyBorder="1" applyAlignment="1">
      <alignment horizontal="center" vertical="center"/>
    </xf>
    <xf numFmtId="0" fontId="9" fillId="31" borderId="801" xfId="0" applyFont="1" applyFill="1" applyBorder="1" applyAlignment="1" applyProtection="1">
      <alignment horizontal="center" vertical="center"/>
      <protection locked="0"/>
    </xf>
    <xf numFmtId="0" fontId="13" fillId="79" borderId="802" xfId="0" applyFont="1" applyFill="1" applyBorder="1" applyAlignment="1">
      <alignment horizontal="center" vertical="center"/>
    </xf>
    <xf numFmtId="0" fontId="92" fillId="27" borderId="68" xfId="0" applyFont="1" applyFill="1" applyBorder="1" applyAlignment="1">
      <alignment horizontal="center" vertical="center" wrapText="1"/>
    </xf>
    <xf numFmtId="0" fontId="9" fillId="31" borderId="772" xfId="0" applyFont="1" applyFill="1" applyBorder="1" applyAlignment="1" applyProtection="1">
      <alignment horizontal="center" vertical="center"/>
      <protection locked="0"/>
    </xf>
    <xf numFmtId="0" fontId="161" fillId="27" borderId="0" xfId="0" applyFont="1" applyFill="1" applyAlignment="1">
      <alignment horizontal="center" vertical="center" wrapText="1"/>
    </xf>
    <xf numFmtId="0" fontId="161" fillId="27" borderId="795" xfId="0" applyFont="1" applyFill="1" applyBorder="1"/>
    <xf numFmtId="0" fontId="161" fillId="27" borderId="803" xfId="0" applyFont="1" applyFill="1" applyBorder="1"/>
    <xf numFmtId="0" fontId="161" fillId="27" borderId="804" xfId="0" applyFont="1" applyFill="1" applyBorder="1"/>
    <xf numFmtId="0" fontId="67" fillId="3" borderId="112" xfId="0" applyFont="1" applyFill="1" applyBorder="1" applyAlignment="1">
      <alignment horizontal="left"/>
    </xf>
    <xf numFmtId="0" fontId="30" fillId="27" borderId="0" xfId="0" applyFont="1" applyFill="1" applyAlignment="1">
      <alignment horizontal="left" vertical="center"/>
    </xf>
    <xf numFmtId="0" fontId="67" fillId="27" borderId="0" xfId="0" applyFont="1" applyFill="1"/>
    <xf numFmtId="0" fontId="15" fillId="49" borderId="792" xfId="0" applyFont="1" applyFill="1" applyBorder="1" applyAlignment="1">
      <alignment horizontal="center" vertical="center" wrapText="1"/>
    </xf>
    <xf numFmtId="0" fontId="30" fillId="27" borderId="792" xfId="0" applyFont="1" applyFill="1" applyBorder="1" applyAlignment="1">
      <alignment horizontal="left" vertical="center"/>
    </xf>
    <xf numFmtId="0" fontId="27" fillId="27" borderId="793" xfId="0" applyFont="1" applyFill="1" applyBorder="1"/>
    <xf numFmtId="0" fontId="9" fillId="27" borderId="89" xfId="0" applyFont="1" applyFill="1" applyBorder="1"/>
    <xf numFmtId="0" fontId="9" fillId="27" borderId="786" xfId="0" applyFont="1" applyFill="1" applyBorder="1"/>
    <xf numFmtId="0" fontId="9" fillId="27" borderId="466" xfId="0" applyFont="1" applyFill="1" applyBorder="1"/>
    <xf numFmtId="0" fontId="15" fillId="49" borderId="464" xfId="0" applyFont="1" applyFill="1" applyBorder="1" applyAlignment="1">
      <alignment horizontal="center" vertical="center" wrapText="1"/>
    </xf>
    <xf numFmtId="0" fontId="92" fillId="27" borderId="464" xfId="0" applyFont="1" applyFill="1" applyBorder="1"/>
    <xf numFmtId="0" fontId="67" fillId="27" borderId="464" xfId="0" applyFont="1" applyFill="1" applyBorder="1"/>
    <xf numFmtId="0" fontId="57" fillId="49" borderId="466" xfId="0" applyFont="1" applyFill="1" applyBorder="1" applyAlignment="1">
      <alignment horizontal="center" vertical="center" wrapText="1"/>
    </xf>
    <xf numFmtId="0" fontId="9" fillId="27" borderId="91" xfId="0" applyFont="1" applyFill="1" applyBorder="1"/>
    <xf numFmtId="0" fontId="9" fillId="27" borderId="463" xfId="0" applyFont="1" applyFill="1" applyBorder="1"/>
    <xf numFmtId="0" fontId="67" fillId="27" borderId="0" xfId="0" applyFont="1" applyFill="1" applyAlignment="1">
      <alignment horizontal="center"/>
    </xf>
    <xf numFmtId="0" fontId="57" fillId="79" borderId="802" xfId="0" applyFont="1" applyFill="1" applyBorder="1" applyAlignment="1">
      <alignment horizontal="center" vertical="center" wrapText="1"/>
    </xf>
    <xf numFmtId="0" fontId="84" fillId="39" borderId="462" xfId="0" applyFont="1" applyFill="1" applyBorder="1" applyAlignment="1">
      <alignment horizontal="center" vertical="center" textRotation="255"/>
    </xf>
    <xf numFmtId="0" fontId="30" fillId="27" borderId="0" xfId="0" applyFont="1" applyFill="1"/>
    <xf numFmtId="0" fontId="162" fillId="27" borderId="0" xfId="0" applyFont="1" applyFill="1" applyAlignment="1">
      <alignment vertical="center" wrapText="1"/>
    </xf>
    <xf numFmtId="0" fontId="161" fillId="3" borderId="468" xfId="0" applyFont="1" applyFill="1" applyBorder="1"/>
    <xf numFmtId="0" fontId="15" fillId="49" borderId="91" xfId="0" applyFont="1" applyFill="1" applyBorder="1" applyAlignment="1">
      <alignment horizontal="center" vertical="center" wrapText="1"/>
    </xf>
    <xf numFmtId="0" fontId="15" fillId="49" borderId="463" xfId="0" applyFont="1" applyFill="1" applyBorder="1" applyAlignment="1">
      <alignment horizontal="center" vertical="center" wrapText="1"/>
    </xf>
    <xf numFmtId="0" fontId="9" fillId="39" borderId="805" xfId="0" applyFont="1" applyFill="1" applyBorder="1" applyAlignment="1">
      <alignment horizontal="center" vertical="center"/>
    </xf>
    <xf numFmtId="0" fontId="9" fillId="39" borderId="474" xfId="0" applyFont="1" applyFill="1" applyBorder="1" applyAlignment="1">
      <alignment horizontal="center" vertical="center" wrapText="1"/>
    </xf>
    <xf numFmtId="0" fontId="9" fillId="39" borderId="0" xfId="0" applyFont="1" applyFill="1" applyAlignment="1">
      <alignment horizontal="center" vertical="center" wrapText="1"/>
    </xf>
    <xf numFmtId="0" fontId="9" fillId="39" borderId="91" xfId="0" applyFont="1" applyFill="1" applyBorder="1" applyAlignment="1">
      <alignment horizontal="center" vertical="center"/>
    </xf>
    <xf numFmtId="0" fontId="13" fillId="39" borderId="91" xfId="0" applyFont="1" applyFill="1" applyBorder="1" applyAlignment="1">
      <alignment horizontal="center" vertical="center"/>
    </xf>
    <xf numFmtId="0" fontId="9" fillId="31" borderId="794" xfId="0" applyFont="1" applyFill="1" applyBorder="1" applyAlignment="1" applyProtection="1">
      <alignment horizontal="center" vertical="center"/>
      <protection locked="0"/>
    </xf>
    <xf numFmtId="0" fontId="67" fillId="3" borderId="468" xfId="0" applyFont="1" applyFill="1" applyBorder="1" applyAlignment="1">
      <alignment horizontal="left"/>
    </xf>
    <xf numFmtId="0" fontId="30" fillId="27" borderId="793" xfId="0" applyFont="1" applyFill="1" applyBorder="1" applyAlignment="1">
      <alignment horizontal="center"/>
    </xf>
    <xf numFmtId="0" fontId="9" fillId="27" borderId="772" xfId="0" applyFont="1" applyFill="1" applyBorder="1"/>
    <xf numFmtId="0" fontId="0" fillId="3" borderId="793" xfId="0" applyFill="1" applyBorder="1"/>
    <xf numFmtId="0" fontId="27" fillId="27" borderId="792" xfId="0" applyFont="1" applyFill="1" applyBorder="1" applyAlignment="1">
      <alignment vertical="center"/>
    </xf>
    <xf numFmtId="0" fontId="92" fillId="27" borderId="792" xfId="0" applyFont="1" applyFill="1" applyBorder="1" applyAlignment="1">
      <alignment horizontal="center" vertical="center" wrapText="1"/>
    </xf>
    <xf numFmtId="0" fontId="67" fillId="27" borderId="793" xfId="0" applyFont="1" applyFill="1" applyBorder="1" applyAlignment="1">
      <alignment horizontal="left"/>
    </xf>
    <xf numFmtId="0" fontId="92" fillId="27" borderId="793" xfId="0" applyFont="1" applyFill="1" applyBorder="1"/>
    <xf numFmtId="0" fontId="30" fillId="27" borderId="468" xfId="0" applyFont="1" applyFill="1" applyBorder="1" applyAlignment="1">
      <alignment horizontal="left"/>
    </xf>
    <xf numFmtId="0" fontId="161" fillId="27" borderId="795" xfId="0" applyFont="1" applyFill="1" applyBorder="1" applyAlignment="1">
      <alignment horizontal="center" vertical="center" wrapText="1"/>
    </xf>
    <xf numFmtId="0" fontId="30" fillId="27" borderId="792" xfId="0" applyFont="1" applyFill="1" applyBorder="1" applyAlignment="1">
      <alignment horizontal="center"/>
    </xf>
    <xf numFmtId="0" fontId="0" fillId="3" borderId="461" xfId="0" applyFill="1" applyBorder="1"/>
    <xf numFmtId="0" fontId="92" fillId="27" borderId="793" xfId="0" applyFont="1" applyFill="1" applyBorder="1" applyAlignment="1">
      <alignment horizontal="center" vertical="center" wrapText="1"/>
    </xf>
    <xf numFmtId="0" fontId="13" fillId="27" borderId="792" xfId="0" applyFont="1" applyFill="1" applyBorder="1"/>
    <xf numFmtId="0" fontId="9" fillId="27" borderId="786" xfId="0" applyFont="1" applyFill="1" applyBorder="1" applyAlignment="1">
      <alignment horizontal="center" vertical="center" wrapText="1"/>
    </xf>
    <xf numFmtId="0" fontId="13" fillId="27" borderId="0" xfId="0" applyFont="1" applyFill="1"/>
    <xf numFmtId="0" fontId="92" fillId="27" borderId="792" xfId="0" applyFont="1" applyFill="1" applyBorder="1"/>
    <xf numFmtId="0" fontId="13" fillId="27" borderId="0" xfId="0" applyFont="1" applyFill="1" applyAlignment="1">
      <alignment horizontal="center"/>
    </xf>
    <xf numFmtId="0" fontId="77" fillId="7" borderId="463"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792" xfId="0" applyFont="1" applyFill="1" applyBorder="1" applyAlignment="1">
      <alignment vertical="center"/>
    </xf>
    <xf numFmtId="0" fontId="77" fillId="39" borderId="786" xfId="0" applyFont="1" applyFill="1" applyBorder="1" applyAlignment="1">
      <alignment vertical="center"/>
    </xf>
    <xf numFmtId="0" fontId="16" fillId="3" borderId="776" xfId="0" applyFont="1" applyFill="1" applyBorder="1" applyAlignment="1">
      <alignment vertical="center"/>
    </xf>
    <xf numFmtId="0" fontId="9" fillId="3" borderId="776" xfId="0" applyFont="1" applyFill="1" applyBorder="1"/>
    <xf numFmtId="0" fontId="13" fillId="3" borderId="776" xfId="0" applyFont="1" applyFill="1" applyBorder="1" applyAlignment="1">
      <alignment vertical="center"/>
    </xf>
    <xf numFmtId="0" fontId="13" fillId="3" borderId="776" xfId="0" applyFont="1" applyFill="1" applyBorder="1" applyAlignment="1">
      <alignment horizontal="center"/>
    </xf>
    <xf numFmtId="0" fontId="12" fillId="3" borderId="776" xfId="0" applyFont="1" applyFill="1" applyBorder="1" applyAlignment="1">
      <alignment horizontal="center"/>
    </xf>
    <xf numFmtId="0" fontId="92" fillId="3" borderId="776" xfId="0" applyFont="1" applyFill="1" applyBorder="1"/>
    <xf numFmtId="0" fontId="92" fillId="3" borderId="778" xfId="0" applyFont="1" applyFill="1" applyBorder="1"/>
    <xf numFmtId="0" fontId="58" fillId="27" borderId="0" xfId="0" applyFont="1" applyFill="1"/>
    <xf numFmtId="0" fontId="0" fillId="75" borderId="14" xfId="0" applyFill="1" applyBorder="1" applyAlignment="1">
      <alignment vertical="center"/>
    </xf>
    <xf numFmtId="0" fontId="9" fillId="75" borderId="0" xfId="0" applyFont="1" applyFill="1" applyAlignment="1">
      <alignment horizontal="center" vertical="center"/>
    </xf>
    <xf numFmtId="0" fontId="9" fillId="75" borderId="0" xfId="0" applyFont="1" applyFill="1" applyAlignment="1">
      <alignment vertical="center"/>
    </xf>
    <xf numFmtId="0" fontId="0" fillId="75" borderId="14" xfId="0" applyFill="1" applyBorder="1"/>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5" borderId="22" xfId="0" applyFill="1" applyBorder="1"/>
    <xf numFmtId="0" fontId="9" fillId="75" borderId="16" xfId="0" applyFont="1" applyFill="1" applyBorder="1" applyAlignment="1">
      <alignment horizontal="right" vertical="center"/>
    </xf>
    <xf numFmtId="0" fontId="9" fillId="75" borderId="16" xfId="0" applyFont="1" applyFill="1" applyBorder="1" applyAlignment="1">
      <alignment horizontal="center" vertical="center"/>
    </xf>
    <xf numFmtId="0" fontId="9" fillId="75" borderId="16" xfId="0" applyFont="1" applyFill="1" applyBorder="1" applyAlignment="1">
      <alignment horizontal="left" vertical="center"/>
    </xf>
    <xf numFmtId="0" fontId="0" fillId="75" borderId="16" xfId="0" applyFill="1" applyBorder="1"/>
    <xf numFmtId="0" fontId="0" fillId="75" borderId="16" xfId="0" applyFill="1" applyBorder="1" applyAlignment="1">
      <alignment horizontal="left"/>
    </xf>
    <xf numFmtId="0" fontId="9" fillId="75" borderId="16" xfId="0" applyFont="1" applyFill="1" applyBorder="1" applyAlignment="1">
      <alignment horizontal="left"/>
    </xf>
    <xf numFmtId="0" fontId="0" fillId="75" borderId="17" xfId="0" applyFill="1" applyBorder="1"/>
    <xf numFmtId="0" fontId="0" fillId="77" borderId="91" xfId="0" applyFill="1" applyBorder="1"/>
    <xf numFmtId="0" fontId="0" fillId="77" borderId="68" xfId="0" applyFill="1" applyBorder="1"/>
    <xf numFmtId="0" fontId="0" fillId="77" borderId="89" xfId="0" applyFill="1" applyBorder="1"/>
    <xf numFmtId="0" fontId="0" fillId="77" borderId="772" xfId="0" applyFill="1" applyBorder="1"/>
    <xf numFmtId="0" fontId="0" fillId="77" borderId="91" xfId="0" applyFill="1" applyBorder="1" applyAlignment="1">
      <alignment vertical="center"/>
    </xf>
    <xf numFmtId="0" fontId="0" fillId="77" borderId="68" xfId="0" applyFill="1" applyBorder="1" applyAlignment="1">
      <alignment horizontal="center" vertical="center"/>
    </xf>
    <xf numFmtId="0" fontId="0" fillId="77" borderId="89" xfId="0" applyFill="1" applyBorder="1" applyAlignment="1">
      <alignment vertical="center"/>
    </xf>
    <xf numFmtId="0" fontId="0" fillId="77" borderId="772" xfId="0" applyFill="1" applyBorder="1" applyAlignment="1">
      <alignment horizontal="center" vertical="center"/>
    </xf>
    <xf numFmtId="0" fontId="45" fillId="74" borderId="16" xfId="0" applyFont="1" applyFill="1" applyBorder="1" applyAlignment="1">
      <alignment vertical="center"/>
    </xf>
    <xf numFmtId="0" fontId="45" fillId="74" borderId="16" xfId="0" applyFont="1" applyFill="1" applyBorder="1" applyAlignment="1">
      <alignment horizontal="left" vertical="center"/>
    </xf>
    <xf numFmtId="0" fontId="86" fillId="78" borderId="769" xfId="0" applyFont="1" applyFill="1" applyBorder="1" applyAlignment="1">
      <alignment horizontal="center" vertical="center"/>
    </xf>
    <xf numFmtId="0" fontId="86" fillId="78" borderId="771" xfId="0" applyFont="1" applyFill="1" applyBorder="1" applyAlignment="1">
      <alignment horizontal="center" vertical="center"/>
    </xf>
    <xf numFmtId="0" fontId="0" fillId="77" borderId="0" xfId="0" applyFill="1" applyAlignment="1">
      <alignment vertical="center"/>
    </xf>
    <xf numFmtId="0" fontId="0" fillId="77" borderId="79" xfId="0" applyFill="1" applyBorder="1" applyAlignment="1">
      <alignment vertical="center"/>
    </xf>
    <xf numFmtId="0" fontId="0" fillId="77" borderId="786" xfId="0" applyFill="1" applyBorder="1" applyAlignment="1">
      <alignment vertical="center"/>
    </xf>
    <xf numFmtId="0" fontId="19" fillId="27" borderId="109" xfId="0" applyFont="1" applyFill="1" applyBorder="1" applyAlignment="1">
      <alignment horizontal="left" vertical="center" wrapText="1"/>
    </xf>
    <xf numFmtId="0" fontId="19" fillId="27" borderId="112" xfId="0" applyFont="1" applyFill="1" applyBorder="1" applyAlignment="1">
      <alignment horizontal="left" vertical="center" wrapText="1"/>
    </xf>
    <xf numFmtId="0" fontId="10" fillId="75" borderId="112" xfId="0" applyFont="1" applyFill="1" applyBorder="1" applyAlignment="1">
      <alignment horizontal="left" vertical="center" wrapText="1"/>
    </xf>
    <xf numFmtId="0" fontId="8" fillId="27" borderId="91" xfId="0" applyFont="1" applyFill="1" applyBorder="1" applyAlignment="1">
      <alignment horizontal="left" vertical="center" wrapText="1"/>
    </xf>
    <xf numFmtId="0" fontId="8" fillId="27" borderId="89" xfId="0" applyFont="1" applyFill="1" applyBorder="1" applyAlignment="1">
      <alignment horizontal="left" vertical="center" wrapText="1"/>
    </xf>
    <xf numFmtId="0" fontId="8" fillId="27" borderId="0" xfId="0" applyFont="1" applyFill="1" applyAlignment="1">
      <alignment horizontal="left" vertical="center" wrapText="1"/>
    </xf>
    <xf numFmtId="0" fontId="8" fillId="27" borderId="769" xfId="0" applyFont="1" applyFill="1" applyBorder="1" applyAlignment="1">
      <alignment horizontal="left" vertical="center" wrapText="1"/>
    </xf>
    <xf numFmtId="0" fontId="8" fillId="27" borderId="785" xfId="0" applyFont="1" applyFill="1" applyBorder="1" applyAlignment="1">
      <alignment horizontal="left" vertical="center" wrapText="1"/>
    </xf>
    <xf numFmtId="0" fontId="19" fillId="75" borderId="112" xfId="0" applyFont="1" applyFill="1" applyBorder="1" applyAlignment="1">
      <alignment horizontal="left" vertical="center" wrapText="1"/>
    </xf>
    <xf numFmtId="0" fontId="50" fillId="77" borderId="0" xfId="0" applyFont="1" applyFill="1" applyAlignment="1">
      <alignment vertical="center"/>
    </xf>
    <xf numFmtId="0" fontId="0" fillId="75" borderId="785" xfId="0" applyFill="1" applyBorder="1" applyAlignment="1">
      <alignment horizontal="left" vertical="center" wrapText="1"/>
    </xf>
    <xf numFmtId="0" fontId="50" fillId="16" borderId="785" xfId="0" applyFont="1" applyFill="1" applyBorder="1" applyAlignment="1">
      <alignment horizontal="left" vertical="center" wrapText="1"/>
    </xf>
    <xf numFmtId="0" fontId="0" fillId="77" borderId="785" xfId="0" applyFill="1" applyBorder="1" applyAlignment="1">
      <alignment horizontal="left" vertical="center" wrapText="1"/>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786" xfId="0" applyFont="1" applyFill="1" applyBorder="1" applyAlignment="1">
      <alignment horizontal="left" vertical="center" wrapText="1"/>
    </xf>
    <xf numFmtId="0" fontId="50" fillId="77" borderId="786" xfId="0" applyFont="1" applyFill="1" applyBorder="1" applyAlignment="1">
      <alignment horizontal="left" vertical="center" wrapText="1"/>
    </xf>
    <xf numFmtId="0" fontId="0" fillId="77" borderId="786" xfId="0" applyFill="1" applyBorder="1" applyAlignment="1">
      <alignment horizontal="left" vertical="center" wrapText="1"/>
    </xf>
    <xf numFmtId="0" fontId="19" fillId="75" borderId="772" xfId="0" applyFont="1" applyFill="1" applyBorder="1" applyAlignment="1">
      <alignment horizontal="left" vertical="center" wrapText="1"/>
    </xf>
    <xf numFmtId="0" fontId="50" fillId="16" borderId="109" xfId="0" applyFont="1" applyFill="1" applyBorder="1" applyAlignment="1">
      <alignment horizontal="left" vertical="center" wrapText="1"/>
    </xf>
    <xf numFmtId="0" fontId="50" fillId="16" borderId="112" xfId="0" applyFont="1" applyFill="1" applyBorder="1" applyAlignment="1">
      <alignment horizontal="left" vertical="center" wrapText="1"/>
    </xf>
    <xf numFmtId="0" fontId="50" fillId="77" borderId="112" xfId="0" applyFont="1" applyFill="1" applyBorder="1" applyAlignment="1">
      <alignment horizontal="left" vertical="center" wrapText="1"/>
    </xf>
    <xf numFmtId="0" fontId="0" fillId="77" borderId="112" xfId="0" applyFill="1" applyBorder="1" applyAlignment="1">
      <alignment horizontal="left" vertical="center" wrapText="1"/>
    </xf>
    <xf numFmtId="0" fontId="50" fillId="77" borderId="140" xfId="0" applyFont="1" applyFill="1" applyBorder="1" applyAlignment="1">
      <alignment horizontal="left" vertical="center" wrapText="1"/>
    </xf>
    <xf numFmtId="0" fontId="50" fillId="77" borderId="762" xfId="0" applyFont="1" applyFill="1" applyBorder="1" applyAlignment="1">
      <alignment horizontal="center" vertical="center"/>
    </xf>
    <xf numFmtId="0" fontId="50" fillId="77" borderId="68" xfId="0" applyFont="1" applyFill="1" applyBorder="1" applyAlignment="1">
      <alignment vertical="center"/>
    </xf>
    <xf numFmtId="0" fontId="50" fillId="77" borderId="120" xfId="0" applyFont="1" applyFill="1" applyBorder="1" applyAlignment="1">
      <alignment horizontal="center" vertical="center"/>
    </xf>
    <xf numFmtId="0" fontId="50" fillId="77" borderId="126" xfId="0" applyFont="1" applyFill="1" applyBorder="1" applyAlignment="1">
      <alignment horizontal="center" vertical="center"/>
    </xf>
    <xf numFmtId="0" fontId="50" fillId="77" borderId="786" xfId="0" applyFont="1" applyFill="1" applyBorder="1" applyAlignment="1">
      <alignment vertical="center"/>
    </xf>
    <xf numFmtId="0" fontId="50" fillId="77" borderId="772" xfId="0" applyFont="1" applyFill="1" applyBorder="1" applyAlignment="1">
      <alignment vertical="center"/>
    </xf>
    <xf numFmtId="0" fontId="0" fillId="77" borderId="109" xfId="0" applyFill="1" applyBorder="1" applyAlignment="1">
      <alignment horizontal="center" vertical="center"/>
    </xf>
    <xf numFmtId="0" fontId="0" fillId="77" borderId="145" xfId="0" applyFill="1" applyBorder="1" applyAlignment="1">
      <alignment horizontal="center" vertical="center"/>
    </xf>
    <xf numFmtId="0" fontId="50" fillId="77" borderId="329" xfId="0" applyFont="1" applyFill="1" applyBorder="1" applyAlignment="1">
      <alignment horizontal="center" vertical="center"/>
    </xf>
    <xf numFmtId="0" fontId="50" fillId="77" borderId="819" xfId="0" applyFont="1" applyFill="1" applyBorder="1" applyAlignment="1">
      <alignment horizontal="center" vertical="center"/>
    </xf>
    <xf numFmtId="0" fontId="50" fillId="77" borderId="140" xfId="0" applyFont="1" applyFill="1" applyBorder="1" applyAlignment="1">
      <alignment horizontal="center" vertical="center"/>
    </xf>
    <xf numFmtId="0" fontId="0" fillId="77" borderId="140" xfId="0" applyFill="1" applyBorder="1" applyAlignment="1">
      <alignment horizontal="center" vertical="center"/>
    </xf>
    <xf numFmtId="0" fontId="50" fillId="77" borderId="91" xfId="0" applyFont="1" applyFill="1" applyBorder="1" applyAlignment="1">
      <alignment vertical="center"/>
    </xf>
    <xf numFmtId="0" fontId="9" fillId="77" borderId="79" xfId="0" applyFont="1" applyFill="1" applyBorder="1" applyAlignment="1">
      <alignment vertical="center"/>
    </xf>
    <xf numFmtId="0" fontId="9" fillId="77" borderId="79" xfId="0" quotePrefix="1" applyFont="1" applyFill="1" applyBorder="1" applyAlignment="1">
      <alignment horizontal="center" vertical="center"/>
    </xf>
    <xf numFmtId="0" fontId="9" fillId="77" borderId="68" xfId="0" applyFont="1" applyFill="1" applyBorder="1" applyAlignment="1">
      <alignment vertical="center"/>
    </xf>
    <xf numFmtId="0" fontId="9" fillId="77" borderId="79" xfId="0" applyFont="1" applyFill="1" applyBorder="1" applyAlignment="1">
      <alignment horizontal="center" vertical="center"/>
    </xf>
    <xf numFmtId="0" fontId="9" fillId="77" borderId="104" xfId="0" applyFont="1" applyFill="1" applyBorder="1" applyAlignment="1">
      <alignment horizontal="center" vertical="center"/>
    </xf>
    <xf numFmtId="0" fontId="9" fillId="77" borderId="349" xfId="0" applyFont="1" applyFill="1" applyBorder="1" applyAlignment="1">
      <alignment horizontal="center" vertical="center"/>
    </xf>
    <xf numFmtId="0" fontId="50" fillId="77" borderId="89" xfId="0" applyFont="1" applyFill="1" applyBorder="1" applyAlignment="1">
      <alignment vertical="center"/>
    </xf>
    <xf numFmtId="0" fontId="27" fillId="75" borderId="782" xfId="0" applyFont="1" applyFill="1" applyBorder="1" applyAlignment="1">
      <alignment vertical="center"/>
    </xf>
    <xf numFmtId="0" fontId="9" fillId="77" borderId="820"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1" borderId="68" xfId="0" applyFont="1" applyFill="1" applyBorder="1" applyAlignment="1">
      <alignment vertical="center"/>
    </xf>
    <xf numFmtId="0" fontId="50" fillId="83" borderId="0" xfId="0" applyFont="1" applyFill="1" applyAlignment="1">
      <alignment vertical="center"/>
    </xf>
    <xf numFmtId="0" fontId="50" fillId="84" borderId="0" xfId="0" applyFont="1" applyFill="1" applyAlignment="1">
      <alignment vertical="center"/>
    </xf>
    <xf numFmtId="0" fontId="50" fillId="81" borderId="786" xfId="0" applyFont="1" applyFill="1" applyBorder="1" applyAlignment="1">
      <alignment horizontal="center" vertical="center"/>
    </xf>
    <xf numFmtId="0" fontId="50" fillId="77" borderId="0" xfId="0" applyFont="1" applyFill="1" applyAlignment="1">
      <alignment horizontal="center" vertical="center"/>
    </xf>
    <xf numFmtId="0" fontId="50" fillId="77" borderId="68" xfId="0" applyFont="1" applyFill="1" applyBorder="1" applyAlignment="1">
      <alignment horizontal="center" vertical="center"/>
    </xf>
    <xf numFmtId="0" fontId="50" fillId="77" borderId="772" xfId="0" applyFont="1" applyFill="1" applyBorder="1" applyAlignment="1">
      <alignment horizontal="center" vertical="center"/>
    </xf>
    <xf numFmtId="0" fontId="50" fillId="77" borderId="786" xfId="0" applyFont="1" applyFill="1" applyBorder="1" applyAlignment="1">
      <alignment horizontal="center" vertical="center"/>
    </xf>
    <xf numFmtId="0" fontId="50" fillId="77" borderId="0" xfId="0" applyFont="1" applyFill="1" applyAlignment="1">
      <alignment horizontal="right" vertical="center"/>
    </xf>
    <xf numFmtId="0" fontId="50" fillId="77" borderId="68" xfId="0" applyFont="1" applyFill="1" applyBorder="1" applyAlignment="1">
      <alignment horizontal="right" vertical="center"/>
    </xf>
    <xf numFmtId="0" fontId="57" fillId="78" borderId="109" xfId="0" applyFont="1" applyFill="1" applyBorder="1" applyAlignment="1">
      <alignment horizontal="center" vertical="center"/>
    </xf>
    <xf numFmtId="0" fontId="57" fillId="78" borderId="112" xfId="0" applyFont="1" applyFill="1" applyBorder="1" applyAlignment="1">
      <alignment horizontal="center" vertical="center"/>
    </xf>
    <xf numFmtId="0" fontId="57" fillId="78" borderId="140" xfId="0" applyFont="1" applyFill="1" applyBorder="1" applyAlignment="1">
      <alignment horizontal="center" vertical="center"/>
    </xf>
    <xf numFmtId="0" fontId="0" fillId="77" borderId="783" xfId="0" applyFill="1" applyBorder="1" applyAlignment="1">
      <alignment vertical="center"/>
    </xf>
    <xf numFmtId="0" fontId="0" fillId="77" borderId="68" xfId="0" applyFill="1" applyBorder="1" applyAlignment="1">
      <alignment vertical="center"/>
    </xf>
    <xf numFmtId="0" fontId="0" fillId="77" borderId="784" xfId="0" applyFill="1" applyBorder="1" applyAlignment="1">
      <alignment vertical="center"/>
    </xf>
    <xf numFmtId="0" fontId="0" fillId="77" borderId="772" xfId="0" applyFill="1" applyBorder="1" applyAlignment="1">
      <alignment vertical="center"/>
    </xf>
    <xf numFmtId="0" fontId="0" fillId="3" borderId="466" xfId="0" applyFill="1" applyBorder="1"/>
    <xf numFmtId="0" fontId="0" fillId="3" borderId="473" xfId="0" applyFill="1" applyBorder="1"/>
    <xf numFmtId="0" fontId="0" fillId="3" borderId="474" xfId="0" applyFill="1" applyBorder="1"/>
    <xf numFmtId="0" fontId="0" fillId="24" borderId="786" xfId="0" applyFill="1" applyBorder="1"/>
    <xf numFmtId="0" fontId="116" fillId="44" borderId="0" xfId="0" applyFont="1" applyFill="1" applyAlignment="1">
      <alignment horizontal="center"/>
    </xf>
    <xf numFmtId="0" fontId="116" fillId="44" borderId="0" xfId="0" applyFont="1" applyFill="1"/>
    <xf numFmtId="0" fontId="146" fillId="7" borderId="12" xfId="0" applyFont="1" applyFill="1" applyBorder="1" applyAlignment="1">
      <alignment vertical="center" wrapText="1"/>
    </xf>
    <xf numFmtId="0" fontId="31" fillId="7" borderId="0" xfId="0" applyFont="1" applyFill="1" applyAlignment="1">
      <alignment vertical="center" wrapText="1"/>
    </xf>
    <xf numFmtId="0" fontId="55" fillId="7" borderId="0" xfId="0" applyFont="1" applyFill="1" applyAlignment="1">
      <alignment wrapText="1"/>
    </xf>
    <xf numFmtId="0" fontId="0" fillId="24" borderId="779" xfId="0" applyFill="1" applyBorder="1"/>
    <xf numFmtId="0" fontId="62" fillId="7" borderId="0" xfId="0" applyFont="1" applyFill="1" applyAlignment="1">
      <alignment horizontal="center" vertical="center"/>
    </xf>
    <xf numFmtId="0" fontId="146" fillId="7" borderId="776" xfId="0" applyFont="1" applyFill="1" applyBorder="1" applyAlignment="1">
      <alignment vertical="center" wrapText="1"/>
    </xf>
    <xf numFmtId="0" fontId="0" fillId="7" borderId="778" xfId="0" applyFill="1" applyBorder="1" applyAlignment="1">
      <alignment wrapText="1"/>
    </xf>
    <xf numFmtId="0" fontId="9" fillId="23" borderId="737" xfId="0" applyFont="1" applyFill="1" applyBorder="1" applyAlignment="1">
      <alignment horizontal="center" vertical="center" wrapText="1"/>
    </xf>
    <xf numFmtId="0" fontId="12" fillId="23" borderId="674" xfId="0" applyFont="1" applyFill="1" applyBorder="1" applyAlignment="1">
      <alignment horizontal="center" vertical="center" wrapText="1"/>
    </xf>
    <xf numFmtId="0" fontId="12" fillId="23" borderId="827" xfId="0" applyFont="1" applyFill="1" applyBorder="1" applyAlignment="1">
      <alignment horizontal="center" vertical="center" wrapText="1"/>
    </xf>
    <xf numFmtId="0" fontId="57" fillId="43" borderId="109"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wrapText="1"/>
      <protection locked="0"/>
    </xf>
    <xf numFmtId="0" fontId="48" fillId="24" borderId="122"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protection locked="0"/>
    </xf>
    <xf numFmtId="0" fontId="13" fillId="23" borderId="832" xfId="0" applyFont="1" applyFill="1" applyBorder="1" applyAlignment="1">
      <alignment horizontal="center" vertical="center" wrapText="1"/>
    </xf>
    <xf numFmtId="0" fontId="16" fillId="23" borderId="102" xfId="0" applyFont="1" applyFill="1" applyBorder="1" applyAlignment="1">
      <alignment horizontal="center" vertical="center" wrapText="1"/>
    </xf>
    <xf numFmtId="0" fontId="55" fillId="24" borderId="779" xfId="0" applyFont="1" applyFill="1" applyBorder="1" applyAlignment="1">
      <alignment horizontal="center" vertical="center"/>
    </xf>
    <xf numFmtId="0" fontId="140" fillId="28" borderId="833" xfId="0" applyFont="1" applyFill="1" applyBorder="1" applyAlignment="1" applyProtection="1">
      <alignment horizontal="center" vertical="center" wrapText="1"/>
      <protection locked="0"/>
    </xf>
    <xf numFmtId="0" fontId="140" fillId="28" borderId="457" xfId="0" applyFont="1" applyFill="1" applyBorder="1" applyAlignment="1" applyProtection="1">
      <alignment horizontal="center" vertical="center" wrapText="1"/>
      <protection locked="0"/>
    </xf>
    <xf numFmtId="0" fontId="55" fillId="24" borderId="89" xfId="0" applyFont="1" applyFill="1" applyBorder="1" applyAlignment="1">
      <alignment horizontal="center" vertical="center"/>
    </xf>
    <xf numFmtId="0" fontId="9" fillId="24" borderId="784" xfId="0" applyFont="1" applyFill="1" applyBorder="1" applyAlignment="1">
      <alignment horizontal="center"/>
    </xf>
    <xf numFmtId="0" fontId="140" fillId="28" borderId="834" xfId="0" applyFont="1" applyFill="1" applyBorder="1" applyAlignment="1" applyProtection="1">
      <alignment horizontal="center" vertical="center" wrapText="1"/>
      <protection locked="0"/>
    </xf>
    <xf numFmtId="0" fontId="33" fillId="7" borderId="122" xfId="0" applyFont="1" applyFill="1" applyBorder="1" applyAlignment="1">
      <alignment horizontal="center" vertical="center" wrapText="1"/>
    </xf>
    <xf numFmtId="0" fontId="9" fillId="7" borderId="711" xfId="0" applyFont="1" applyFill="1" applyBorder="1" applyAlignment="1">
      <alignment horizontal="right" vertical="center" wrapText="1"/>
    </xf>
    <xf numFmtId="0" fontId="9" fillId="24" borderId="68" xfId="0" applyFont="1" applyFill="1" applyBorder="1" applyAlignment="1">
      <alignment horizontal="center" vertical="center"/>
    </xf>
    <xf numFmtId="0" fontId="9" fillId="24" borderId="772" xfId="0" applyFont="1" applyFill="1" applyBorder="1" applyAlignment="1">
      <alignment horizontal="center"/>
    </xf>
    <xf numFmtId="0" fontId="9" fillId="24" borderId="89" xfId="0" applyFont="1" applyFill="1" applyBorder="1" applyAlignment="1">
      <alignment horizontal="left" vertical="center"/>
    </xf>
    <xf numFmtId="0" fontId="9" fillId="24" borderId="131" xfId="0" applyFont="1" applyFill="1" applyBorder="1" applyAlignment="1">
      <alignment horizontal="center" vertical="center"/>
    </xf>
    <xf numFmtId="0" fontId="9" fillId="24" borderId="844" xfId="0" applyFont="1" applyFill="1" applyBorder="1" applyAlignment="1">
      <alignment horizontal="center" vertical="center"/>
    </xf>
    <xf numFmtId="0" fontId="13" fillId="24" borderId="845" xfId="0" applyFont="1" applyFill="1" applyBorder="1" applyAlignment="1">
      <alignment horizontal="center" vertical="center"/>
    </xf>
    <xf numFmtId="0" fontId="13" fillId="66" borderId="846" xfId="0" applyFont="1" applyFill="1" applyBorder="1" applyAlignment="1" applyProtection="1">
      <alignment horizontal="center" vertical="center"/>
      <protection locked="0"/>
    </xf>
    <xf numFmtId="0" fontId="13" fillId="19" borderId="847" xfId="0" applyFont="1" applyFill="1" applyBorder="1" applyAlignment="1">
      <alignment horizontal="center" vertical="center"/>
    </xf>
    <xf numFmtId="0" fontId="9" fillId="44" borderId="851" xfId="0" applyFont="1" applyFill="1" applyBorder="1" applyAlignment="1">
      <alignment horizontal="center" vertical="center"/>
    </xf>
    <xf numFmtId="0" fontId="13" fillId="67" borderId="840" xfId="0" applyFont="1" applyFill="1" applyBorder="1" applyAlignment="1" applyProtection="1">
      <alignment horizontal="center" vertical="center"/>
      <protection locked="0"/>
    </xf>
    <xf numFmtId="0" fontId="13" fillId="24" borderId="847" xfId="0" applyFont="1" applyFill="1" applyBorder="1" applyAlignment="1">
      <alignment horizontal="center" vertical="center"/>
    </xf>
    <xf numFmtId="0" fontId="9" fillId="24" borderId="851" xfId="0" applyFont="1" applyFill="1" applyBorder="1" applyAlignment="1">
      <alignment horizontal="center" vertical="center"/>
    </xf>
    <xf numFmtId="0" fontId="13" fillId="66" borderId="840" xfId="0" applyFont="1" applyFill="1" applyBorder="1" applyAlignment="1" applyProtection="1">
      <alignment horizontal="center" vertical="center"/>
      <protection locked="0"/>
    </xf>
    <xf numFmtId="0" fontId="13" fillId="19" borderId="854" xfId="0" applyFont="1" applyFill="1" applyBorder="1" applyAlignment="1">
      <alignment horizontal="center" vertical="center"/>
    </xf>
    <xf numFmtId="0" fontId="9" fillId="44" borderId="858" xfId="0" applyFont="1" applyFill="1" applyBorder="1" applyAlignment="1">
      <alignment horizontal="center" vertical="center"/>
    </xf>
    <xf numFmtId="0" fontId="13" fillId="67" borderId="859" xfId="0" applyFont="1" applyFill="1" applyBorder="1" applyAlignment="1" applyProtection="1">
      <alignment horizontal="center" vertical="center"/>
      <protection locked="0"/>
    </xf>
    <xf numFmtId="0" fontId="9" fillId="66" borderId="860" xfId="0" applyFont="1" applyFill="1" applyBorder="1" applyAlignment="1" applyProtection="1">
      <alignment horizontal="center" vertical="center"/>
      <protection locked="0"/>
    </xf>
    <xf numFmtId="0" fontId="9" fillId="67" borderId="864" xfId="0" applyFont="1" applyFill="1" applyBorder="1" applyAlignment="1" applyProtection="1">
      <alignment horizontal="center" vertical="center"/>
      <protection locked="0"/>
    </xf>
    <xf numFmtId="0" fontId="140" fillId="55" borderId="868"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40"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94" xfId="0" applyFill="1" applyBorder="1"/>
    <xf numFmtId="0" fontId="0" fillId="44" borderId="89" xfId="0" applyFill="1" applyBorder="1"/>
    <xf numFmtId="0" fontId="0" fillId="44" borderId="786" xfId="0" applyFill="1" applyBorder="1"/>
    <xf numFmtId="0" fontId="0" fillId="44" borderId="786" xfId="0" applyFill="1" applyBorder="1" applyAlignment="1">
      <alignment horizontal="center"/>
    </xf>
    <xf numFmtId="0" fontId="0" fillId="44" borderId="772" xfId="0" applyFill="1" applyBorder="1"/>
    <xf numFmtId="0" fontId="166"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6"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9" fillId="7" borderId="0" xfId="0" applyFont="1" applyFill="1" applyAlignment="1">
      <alignment horizontal="right" vertical="center" wrapText="1"/>
    </xf>
    <xf numFmtId="0" fontId="50" fillId="77" borderId="766" xfId="0" applyFont="1" applyFill="1" applyBorder="1" applyAlignment="1">
      <alignment horizontal="center" vertical="center"/>
    </xf>
    <xf numFmtId="0" fontId="50" fillId="77" borderId="635" xfId="0" applyFont="1" applyFill="1" applyBorder="1" applyAlignment="1">
      <alignment vertical="center"/>
    </xf>
    <xf numFmtId="0" fontId="50" fillId="77" borderId="761" xfId="0" applyFont="1" applyFill="1" applyBorder="1" applyAlignment="1">
      <alignment horizontal="center" vertical="center"/>
    </xf>
    <xf numFmtId="0" fontId="0" fillId="77" borderId="635" xfId="0" applyFill="1" applyBorder="1" applyAlignment="1">
      <alignment vertical="center"/>
    </xf>
    <xf numFmtId="0" fontId="13" fillId="7" borderId="314" xfId="0" applyFont="1" applyFill="1" applyBorder="1" applyAlignment="1">
      <alignment horizontal="center"/>
    </xf>
    <xf numFmtId="0" fontId="45" fillId="74" borderId="876" xfId="0" applyFont="1" applyFill="1" applyBorder="1" applyAlignment="1">
      <alignment horizontal="center"/>
    </xf>
    <xf numFmtId="0" fontId="45" fillId="74" borderId="877" xfId="0" applyFont="1" applyFill="1" applyBorder="1" applyAlignment="1">
      <alignment horizontal="center"/>
    </xf>
    <xf numFmtId="1" fontId="0" fillId="75" borderId="878" xfId="0" applyNumberFormat="1" applyFill="1" applyBorder="1" applyAlignment="1">
      <alignment horizontal="center"/>
    </xf>
    <xf numFmtId="0" fontId="0" fillId="75" borderId="788" xfId="0" applyFill="1" applyBorder="1" applyAlignment="1">
      <alignment horizontal="center"/>
    </xf>
    <xf numFmtId="1" fontId="0" fillId="75" borderId="773" xfId="0" applyNumberFormat="1" applyFill="1" applyBorder="1" applyAlignment="1">
      <alignment horizontal="center"/>
    </xf>
    <xf numFmtId="0" fontId="0" fillId="75" borderId="879" xfId="0" applyFill="1" applyBorder="1" applyAlignment="1">
      <alignment horizontal="center"/>
    </xf>
    <xf numFmtId="0" fontId="0" fillId="75" borderId="773" xfId="0" applyFill="1" applyBorder="1" applyAlignment="1">
      <alignment horizontal="center"/>
    </xf>
    <xf numFmtId="1" fontId="0" fillId="75" borderId="876" xfId="0" applyNumberFormat="1" applyFill="1" applyBorder="1" applyAlignment="1">
      <alignment horizontal="center"/>
    </xf>
    <xf numFmtId="0" fontId="0" fillId="75" borderId="877" xfId="0" applyFill="1" applyBorder="1" applyAlignment="1">
      <alignment horizontal="center"/>
    </xf>
    <xf numFmtId="0" fontId="59" fillId="3" borderId="461" xfId="0" applyFont="1" applyFill="1" applyBorder="1"/>
    <xf numFmtId="0" fontId="67" fillId="27" borderId="0" xfId="0" applyFont="1" applyFill="1" applyAlignment="1">
      <alignment horizontal="center" vertical="center" wrapText="1"/>
    </xf>
    <xf numFmtId="0" fontId="74" fillId="49" borderId="795" xfId="0" applyFont="1" applyFill="1" applyBorder="1" applyAlignment="1">
      <alignment horizontal="center" vertical="center" wrapText="1"/>
    </xf>
    <xf numFmtId="0" fontId="67" fillId="56" borderId="795" xfId="0" applyFont="1" applyFill="1" applyBorder="1"/>
    <xf numFmtId="0" fontId="67" fillId="3" borderId="795" xfId="0" applyFont="1" applyFill="1" applyBorder="1"/>
    <xf numFmtId="0" fontId="67" fillId="27" borderId="795" xfId="0" applyFont="1" applyFill="1" applyBorder="1" applyAlignment="1">
      <alignment horizontal="left"/>
    </xf>
    <xf numFmtId="0" fontId="67" fillId="27" borderId="467" xfId="0" applyFont="1" applyFill="1" applyBorder="1" applyAlignment="1">
      <alignment horizontal="center"/>
    </xf>
    <xf numFmtId="0" fontId="67" fillId="3" borderId="467" xfId="0" applyFont="1" applyFill="1" applyBorder="1"/>
    <xf numFmtId="0" fontId="67" fillId="27" borderId="795" xfId="0" applyFont="1" applyFill="1" applyBorder="1"/>
    <xf numFmtId="0" fontId="67" fillId="27" borderId="797" xfId="0" applyFont="1" applyFill="1" applyBorder="1"/>
    <xf numFmtId="0" fontId="67" fillId="27" borderId="795" xfId="0" applyFont="1" applyFill="1" applyBorder="1" applyAlignment="1">
      <alignment horizontal="center" vertical="center" wrapText="1"/>
    </xf>
    <xf numFmtId="0" fontId="9" fillId="75" borderId="579" xfId="0" applyFont="1" applyFill="1" applyBorder="1"/>
    <xf numFmtId="0" fontId="9" fillId="75" borderId="79" xfId="0" applyFont="1" applyFill="1" applyBorder="1" applyAlignment="1">
      <alignment horizontal="center"/>
    </xf>
    <xf numFmtId="0" fontId="0" fillId="75" borderId="349" xfId="0" applyFill="1" applyBorder="1" applyAlignment="1">
      <alignment horizontal="center"/>
    </xf>
    <xf numFmtId="0" fontId="0" fillId="75" borderId="346" xfId="0" applyFill="1" applyBorder="1" applyAlignment="1">
      <alignment horizontal="center"/>
    </xf>
    <xf numFmtId="0" fontId="0" fillId="75" borderId="324" xfId="0" applyFill="1" applyBorder="1" applyAlignment="1">
      <alignment horizontal="left"/>
    </xf>
    <xf numFmtId="0" fontId="0" fillId="75" borderId="580" xfId="0" applyFill="1" applyBorder="1" applyAlignment="1">
      <alignment horizontal="center"/>
    </xf>
    <xf numFmtId="0" fontId="0" fillId="75" borderId="104" xfId="0" applyFill="1" applyBorder="1" applyAlignment="1">
      <alignment horizontal="left"/>
    </xf>
    <xf numFmtId="0" fontId="0" fillId="75" borderId="581"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349" xfId="0" applyFill="1" applyBorder="1" applyAlignment="1">
      <alignment horizontal="center" vertical="center"/>
    </xf>
    <xf numFmtId="0" fontId="0" fillId="75" borderId="463" xfId="0" applyFill="1" applyBorder="1" applyAlignment="1">
      <alignment horizontal="center"/>
    </xf>
    <xf numFmtId="0" fontId="9" fillId="75" borderId="462" xfId="0" applyFont="1" applyFill="1" applyBorder="1" applyAlignment="1">
      <alignment horizontal="left"/>
    </xf>
    <xf numFmtId="0" fontId="0" fillId="75" borderId="322" xfId="0" applyFill="1" applyBorder="1" applyAlignment="1">
      <alignment horizontal="left"/>
    </xf>
    <xf numFmtId="0" fontId="0" fillId="75" borderId="215" xfId="0" applyFill="1" applyBorder="1" applyAlignment="1">
      <alignment horizontal="center"/>
    </xf>
    <xf numFmtId="0" fontId="0" fillId="75" borderId="158" xfId="0" applyFill="1" applyBorder="1" applyAlignment="1">
      <alignment horizontal="center"/>
    </xf>
    <xf numFmtId="0" fontId="9" fillId="75" borderId="579" xfId="0" applyFont="1" applyFill="1" applyBorder="1" applyAlignment="1">
      <alignment horizontal="left"/>
    </xf>
    <xf numFmtId="0" fontId="0" fillId="75" borderId="707" xfId="0" applyFill="1" applyBorder="1" applyAlignment="1">
      <alignment horizontal="left"/>
    </xf>
    <xf numFmtId="0" fontId="0" fillId="75" borderId="259" xfId="0" applyFill="1" applyBorder="1" applyAlignment="1">
      <alignment horizontal="center"/>
    </xf>
    <xf numFmtId="0" fontId="0" fillId="75" borderId="554" xfId="0" applyFill="1" applyBorder="1" applyAlignment="1">
      <alignment horizontal="center"/>
    </xf>
    <xf numFmtId="0" fontId="0" fillId="75" borderId="583" xfId="0" applyFill="1" applyBorder="1" applyAlignment="1">
      <alignment horizontal="center"/>
    </xf>
    <xf numFmtId="0" fontId="0" fillId="75" borderId="78" xfId="0" applyFill="1" applyBorder="1" applyAlignment="1">
      <alignment horizontal="left"/>
    </xf>
    <xf numFmtId="0" fontId="0" fillId="75" borderId="883" xfId="0" applyFill="1" applyBorder="1" applyAlignment="1">
      <alignment horizontal="center"/>
    </xf>
    <xf numFmtId="0" fontId="0" fillId="77" borderId="104" xfId="0" applyFill="1" applyBorder="1" applyAlignment="1">
      <alignment horizontal="left"/>
    </xf>
    <xf numFmtId="0" fontId="0" fillId="77" borderId="79" xfId="0" applyFill="1" applyBorder="1" applyAlignment="1">
      <alignment horizontal="left"/>
    </xf>
    <xf numFmtId="0" fontId="0" fillId="75" borderId="79" xfId="0" applyFill="1" applyBorder="1" applyAlignment="1">
      <alignment horizontal="center"/>
    </xf>
    <xf numFmtId="0" fontId="0" fillId="77" borderId="79" xfId="0" applyFill="1" applyBorder="1" applyAlignment="1">
      <alignment horizontal="center" vertical="center"/>
    </xf>
    <xf numFmtId="0" fontId="0" fillId="75" borderId="104" xfId="0" applyFill="1" applyBorder="1" applyAlignment="1">
      <alignment horizontal="center"/>
    </xf>
    <xf numFmtId="0" fontId="9" fillId="75" borderId="0" xfId="0" applyFont="1" applyFill="1" applyAlignment="1">
      <alignment horizontal="center"/>
    </xf>
    <xf numFmtId="0" fontId="9" fillId="75" borderId="327" xfId="0" applyFont="1" applyFill="1" applyBorder="1" applyAlignment="1">
      <alignment horizontal="left"/>
    </xf>
    <xf numFmtId="0" fontId="0" fillId="75" borderId="79" xfId="0" applyFill="1" applyBorder="1"/>
    <xf numFmtId="0" fontId="9" fillId="75" borderId="827" xfId="0" applyFont="1" applyFill="1" applyBorder="1" applyAlignment="1">
      <alignment horizontal="left"/>
    </xf>
    <xf numFmtId="0" fontId="0" fillId="75" borderId="27" xfId="0" applyFill="1" applyBorder="1" applyAlignment="1">
      <alignment horizontal="center" vertical="center"/>
    </xf>
    <xf numFmtId="0" fontId="9" fillId="75" borderId="131" xfId="0" applyFont="1" applyFill="1" applyBorder="1" applyAlignment="1">
      <alignment horizontal="left"/>
    </xf>
    <xf numFmtId="0" fontId="0" fillId="75" borderId="747" xfId="0" applyFill="1" applyBorder="1" applyAlignment="1">
      <alignment horizontal="left"/>
    </xf>
    <xf numFmtId="0" fontId="0" fillId="75" borderId="707" xfId="0" applyFill="1" applyBorder="1" applyAlignment="1">
      <alignment horizontal="center"/>
    </xf>
    <xf numFmtId="0" fontId="0" fillId="75" borderId="376" xfId="0" applyFill="1" applyBorder="1" applyAlignment="1">
      <alignment horizontal="center"/>
    </xf>
    <xf numFmtId="0" fontId="0" fillId="77" borderId="0" xfId="0" applyFill="1" applyAlignment="1">
      <alignment horizontal="center"/>
    </xf>
    <xf numFmtId="0" fontId="0" fillId="75" borderId="215" xfId="0" applyFill="1" applyBorder="1"/>
    <xf numFmtId="0" fontId="0" fillId="75" borderId="322" xfId="0" applyFill="1" applyBorder="1"/>
    <xf numFmtId="0" fontId="0" fillId="75" borderId="324" xfId="0" applyFill="1" applyBorder="1" applyAlignment="1">
      <alignment horizontal="center"/>
    </xf>
    <xf numFmtId="0" fontId="0" fillId="75" borderId="322" xfId="0" applyFill="1" applyBorder="1" applyAlignment="1">
      <alignment horizontal="center"/>
    </xf>
    <xf numFmtId="0" fontId="0" fillId="75" borderId="588" xfId="0" applyFill="1" applyBorder="1" applyAlignment="1">
      <alignment horizontal="center"/>
    </xf>
    <xf numFmtId="0" fontId="0" fillId="75" borderId="465" xfId="0" applyFill="1" applyBorder="1" applyAlignment="1">
      <alignment horizontal="center"/>
    </xf>
    <xf numFmtId="0" fontId="0" fillId="77" borderId="325" xfId="0" applyFill="1" applyBorder="1"/>
    <xf numFmtId="0" fontId="0" fillId="77" borderId="710" xfId="0" applyFill="1" applyBorder="1" applyAlignment="1">
      <alignment horizontal="left"/>
    </xf>
    <xf numFmtId="0" fontId="0" fillId="77" borderId="71" xfId="0" applyFill="1" applyBorder="1" applyAlignment="1">
      <alignment wrapText="1"/>
    </xf>
    <xf numFmtId="0" fontId="0" fillId="77" borderId="79" xfId="0" applyFill="1" applyBorder="1" applyAlignment="1">
      <alignment wrapText="1"/>
    </xf>
    <xf numFmtId="0" fontId="0" fillId="77" borderId="708" xfId="0" applyFill="1" applyBorder="1" applyAlignment="1">
      <alignment wrapText="1"/>
    </xf>
    <xf numFmtId="0" fontId="9" fillId="75" borderId="884" xfId="0" applyFont="1" applyFill="1" applyBorder="1" applyAlignment="1">
      <alignment horizontal="left"/>
    </xf>
    <xf numFmtId="0" fontId="9" fillId="75" borderId="885" xfId="0" applyFont="1" applyFill="1" applyBorder="1" applyAlignment="1">
      <alignment horizontal="center"/>
    </xf>
    <xf numFmtId="0" fontId="9" fillId="75" borderId="324" xfId="0" applyFont="1" applyFill="1" applyBorder="1" applyAlignment="1">
      <alignment horizontal="center"/>
    </xf>
    <xf numFmtId="0" fontId="0" fillId="75" borderId="71" xfId="0" applyFill="1" applyBorder="1"/>
    <xf numFmtId="0" fontId="0" fillId="75" borderId="176" xfId="0" applyFill="1" applyBorder="1" applyAlignment="1">
      <alignment horizontal="center"/>
    </xf>
    <xf numFmtId="0" fontId="0" fillId="75" borderId="71" xfId="0" applyFill="1" applyBorder="1" applyAlignment="1">
      <alignment horizontal="center"/>
    </xf>
    <xf numFmtId="0" fontId="0" fillId="75" borderId="586" xfId="0" applyFill="1" applyBorder="1" applyAlignment="1">
      <alignment horizontal="center"/>
    </xf>
    <xf numFmtId="0" fontId="0" fillId="75" borderId="880" xfId="0" applyFill="1" applyBorder="1" applyAlignment="1">
      <alignment horizontal="center"/>
    </xf>
    <xf numFmtId="0" fontId="0" fillId="75" borderId="325" xfId="0" applyFill="1" applyBorder="1" applyAlignment="1">
      <alignment horizontal="center"/>
    </xf>
    <xf numFmtId="0" fontId="0" fillId="75" borderId="100" xfId="0" applyFill="1" applyBorder="1" applyAlignment="1">
      <alignment horizontal="center"/>
    </xf>
    <xf numFmtId="0" fontId="0" fillId="75" borderId="377" xfId="0" applyFill="1" applyBorder="1" applyAlignment="1">
      <alignment horizontal="center"/>
    </xf>
    <xf numFmtId="0" fontId="9" fillId="75" borderId="104" xfId="0" applyFont="1" applyFill="1" applyBorder="1" applyAlignment="1">
      <alignment horizontal="center"/>
    </xf>
    <xf numFmtId="0" fontId="9" fillId="75" borderId="376" xfId="0" applyFont="1" applyFill="1" applyBorder="1" applyAlignment="1">
      <alignment horizontal="center"/>
    </xf>
    <xf numFmtId="0" fontId="9" fillId="75" borderId="321" xfId="0" applyFont="1" applyFill="1" applyBorder="1" applyAlignment="1">
      <alignment horizontal="center"/>
    </xf>
    <xf numFmtId="0" fontId="9" fillId="75" borderId="157" xfId="0" applyFont="1" applyFill="1" applyBorder="1" applyAlignment="1">
      <alignment horizontal="center"/>
    </xf>
    <xf numFmtId="0" fontId="9" fillId="75" borderId="886" xfId="0" applyFont="1" applyFill="1" applyBorder="1" applyAlignment="1">
      <alignment horizontal="center"/>
    </xf>
    <xf numFmtId="0" fontId="9" fillId="75" borderId="887" xfId="0" applyFont="1" applyFill="1" applyBorder="1" applyAlignment="1">
      <alignment horizontal="center"/>
    </xf>
    <xf numFmtId="0" fontId="45" fillId="74" borderId="465" xfId="0" applyFont="1" applyFill="1" applyBorder="1" applyAlignment="1">
      <alignment horizontal="center"/>
    </xf>
    <xf numFmtId="0" fontId="45" fillId="74" borderId="466" xfId="0" applyFont="1" applyFill="1" applyBorder="1" applyAlignment="1">
      <alignment horizontal="left"/>
    </xf>
    <xf numFmtId="0" fontId="45" fillId="74" borderId="465" xfId="0" applyFont="1" applyFill="1" applyBorder="1" applyAlignment="1">
      <alignment horizontal="left"/>
    </xf>
    <xf numFmtId="0" fontId="0" fillId="77" borderId="104" xfId="0" applyFill="1" applyBorder="1" applyAlignment="1">
      <alignment horizontal="center"/>
    </xf>
    <xf numFmtId="0" fontId="0" fillId="77" borderId="104" xfId="0" applyFill="1" applyBorder="1" applyAlignment="1">
      <alignment horizontal="center" vertical="center"/>
    </xf>
    <xf numFmtId="0" fontId="0" fillId="77" borderId="376" xfId="0" applyFill="1" applyBorder="1" applyAlignment="1">
      <alignment horizontal="center"/>
    </xf>
    <xf numFmtId="0" fontId="9" fillId="85" borderId="462" xfId="0" applyFont="1" applyFill="1" applyBorder="1"/>
    <xf numFmtId="0" fontId="9" fillId="85" borderId="579" xfId="0" applyFont="1" applyFill="1" applyBorder="1"/>
    <xf numFmtId="0" fontId="9" fillId="75" borderId="889" xfId="0" applyFont="1" applyFill="1" applyBorder="1" applyAlignment="1">
      <alignment horizontal="center"/>
    </xf>
    <xf numFmtId="0" fontId="0" fillId="77" borderId="376" xfId="0" applyFill="1" applyBorder="1" applyAlignment="1">
      <alignment horizontal="left"/>
    </xf>
    <xf numFmtId="0" fontId="0" fillId="75" borderId="157" xfId="0" applyFill="1" applyBorder="1" applyAlignment="1">
      <alignment horizontal="left"/>
    </xf>
    <xf numFmtId="0" fontId="0" fillId="77" borderId="586" xfId="0" applyFill="1" applyBorder="1" applyAlignment="1">
      <alignment horizontal="center"/>
    </xf>
    <xf numFmtId="0" fontId="0" fillId="77" borderId="463" xfId="0" applyFill="1" applyBorder="1" applyAlignment="1">
      <alignment horizontal="center"/>
    </xf>
    <xf numFmtId="0" fontId="0" fillId="75" borderId="466" xfId="0" applyFill="1" applyBorder="1" applyAlignment="1">
      <alignment horizontal="center"/>
    </xf>
    <xf numFmtId="0" fontId="0" fillId="77" borderId="890" xfId="0" applyFill="1" applyBorder="1" applyAlignment="1">
      <alignment horizontal="left"/>
    </xf>
    <xf numFmtId="0" fontId="9" fillId="75" borderId="890" xfId="0" applyFont="1" applyFill="1" applyBorder="1" applyAlignment="1">
      <alignment horizontal="left"/>
    </xf>
    <xf numFmtId="0" fontId="0" fillId="77" borderId="888" xfId="0" applyFill="1" applyBorder="1" applyAlignment="1">
      <alignment horizontal="left"/>
    </xf>
    <xf numFmtId="0" fontId="15" fillId="74" borderId="464" xfId="0" applyFont="1" applyFill="1" applyBorder="1" applyAlignment="1">
      <alignment horizontal="center"/>
    </xf>
    <xf numFmtId="0" fontId="15" fillId="74" borderId="465" xfId="0" applyFont="1" applyFill="1" applyBorder="1" applyAlignment="1">
      <alignment horizontal="center"/>
    </xf>
    <xf numFmtId="0" fontId="0" fillId="75" borderId="79" xfId="0" applyFill="1" applyBorder="1" applyAlignment="1">
      <alignment horizontal="center" vertical="center"/>
    </xf>
    <xf numFmtId="0" fontId="8" fillId="75" borderId="0" xfId="0" applyFont="1" applyFill="1" applyAlignment="1">
      <alignment horizontal="center"/>
    </xf>
    <xf numFmtId="0" fontId="0" fillId="75" borderId="91" xfId="0" applyFill="1" applyBorder="1" applyAlignment="1">
      <alignment vertical="center"/>
    </xf>
    <xf numFmtId="0" fontId="0" fillId="75" borderId="0" xfId="0" applyFill="1" applyAlignment="1">
      <alignment vertical="center"/>
    </xf>
    <xf numFmtId="0" fontId="0" fillId="75" borderId="79" xfId="0" applyFill="1" applyBorder="1" applyAlignment="1">
      <alignment horizontal="right" vertical="center"/>
    </xf>
    <xf numFmtId="0" fontId="0" fillId="77" borderId="779" xfId="0" applyFill="1" applyBorder="1"/>
    <xf numFmtId="0" fontId="8" fillId="75" borderId="880" xfId="0" applyFont="1" applyFill="1" applyBorder="1" applyAlignment="1">
      <alignment horizontal="center"/>
    </xf>
    <xf numFmtId="0" fontId="0" fillId="77" borderId="880" xfId="0" applyFill="1" applyBorder="1"/>
    <xf numFmtId="0" fontId="0" fillId="77" borderId="78" xfId="0" applyFill="1" applyBorder="1"/>
    <xf numFmtId="0" fontId="9" fillId="75" borderId="827" xfId="0" applyFont="1" applyFill="1" applyBorder="1" applyAlignment="1">
      <alignment horizontal="left" vertical="center"/>
    </xf>
    <xf numFmtId="0" fontId="15" fillId="78" borderId="109" xfId="0" applyFont="1" applyFill="1" applyBorder="1" applyAlignment="1">
      <alignment vertical="center" wrapText="1"/>
    </xf>
    <xf numFmtId="0" fontId="15" fillId="78" borderId="112" xfId="0" applyFont="1" applyFill="1" applyBorder="1" applyAlignment="1">
      <alignment vertical="center" wrapText="1"/>
    </xf>
    <xf numFmtId="0" fontId="50" fillId="77" borderId="0" xfId="0" applyFont="1" applyFill="1"/>
    <xf numFmtId="0" fontId="0" fillId="77" borderId="786" xfId="0" applyFill="1" applyBorder="1"/>
    <xf numFmtId="0" fontId="9" fillId="77" borderId="118" xfId="0" applyFont="1" applyFill="1" applyBorder="1" applyAlignment="1">
      <alignment horizontal="right"/>
    </xf>
    <xf numFmtId="0" fontId="9" fillId="77" borderId="116" xfId="0" applyFont="1" applyFill="1" applyBorder="1" applyAlignment="1">
      <alignment horizontal="left"/>
    </xf>
    <xf numFmtId="0" fontId="0" fillId="77" borderId="116" xfId="0" applyFill="1" applyBorder="1"/>
    <xf numFmtId="0" fontId="0" fillId="77" borderId="119" xfId="0" applyFill="1" applyBorder="1"/>
    <xf numFmtId="0" fontId="0" fillId="75" borderId="91" xfId="0" applyFill="1" applyBorder="1"/>
    <xf numFmtId="0" fontId="0" fillId="75" borderId="68" xfId="0" applyFill="1" applyBorder="1" applyAlignment="1">
      <alignment horizontal="left"/>
    </xf>
    <xf numFmtId="0" fontId="0" fillId="88" borderId="0" xfId="0" applyFill="1" applyAlignment="1">
      <alignment horizontal="left"/>
    </xf>
    <xf numFmtId="0" fontId="0" fillId="88" borderId="891" xfId="0" applyFill="1" applyBorder="1" applyAlignment="1">
      <alignment horizontal="center"/>
    </xf>
    <xf numFmtId="0" fontId="0" fillId="87" borderId="346" xfId="0" applyFill="1" applyBorder="1" applyAlignment="1">
      <alignment horizontal="center"/>
    </xf>
    <xf numFmtId="0" fontId="0" fillId="87" borderId="349" xfId="0" applyFill="1" applyBorder="1" applyAlignment="1">
      <alignment horizontal="center"/>
    </xf>
    <xf numFmtId="0" fontId="9" fillId="88" borderId="0" xfId="0" applyFont="1" applyFill="1"/>
    <xf numFmtId="0" fontId="0" fillId="88" borderId="880" xfId="0" applyFill="1" applyBorder="1"/>
    <xf numFmtId="0" fontId="0" fillId="88" borderId="0" xfId="0" applyFill="1"/>
    <xf numFmtId="0" fontId="167" fillId="12" borderId="0" xfId="0" applyFont="1" applyFill="1"/>
    <xf numFmtId="0" fontId="168" fillId="12" borderId="0" xfId="0" applyFont="1" applyFill="1"/>
    <xf numFmtId="0" fontId="9" fillId="12" borderId="0" xfId="12" applyFont="1" applyFill="1" applyAlignment="1">
      <alignment horizontal="left"/>
    </xf>
    <xf numFmtId="0" fontId="0" fillId="0" borderId="786" xfId="0" applyBorder="1"/>
    <xf numFmtId="0" fontId="0" fillId="0" borderId="761" xfId="0" applyBorder="1"/>
    <xf numFmtId="0" fontId="58" fillId="0" borderId="0" xfId="0" applyFont="1" applyAlignment="1">
      <alignment horizontal="center"/>
    </xf>
    <xf numFmtId="0" fontId="58" fillId="43" borderId="908" xfId="0" applyFont="1" applyFill="1" applyBorder="1" applyAlignment="1">
      <alignment horizontal="center"/>
    </xf>
    <xf numFmtId="0" fontId="53" fillId="43" borderId="904" xfId="0" applyFont="1" applyFill="1" applyBorder="1"/>
    <xf numFmtId="0" fontId="0" fillId="44" borderId="94" xfId="0" quotePrefix="1" applyFill="1" applyBorder="1"/>
    <xf numFmtId="0" fontId="10" fillId="44" borderId="91" xfId="0" applyFont="1" applyFill="1" applyBorder="1"/>
    <xf numFmtId="0" fontId="10" fillId="44" borderId="0" xfId="0" applyFont="1" applyFill="1"/>
    <xf numFmtId="0" fontId="10" fillId="44" borderId="761" xfId="0" applyFont="1" applyFill="1" applyBorder="1"/>
    <xf numFmtId="0" fontId="53" fillId="43" borderId="909" xfId="0" applyFont="1" applyFill="1" applyBorder="1"/>
    <xf numFmtId="0" fontId="53" fillId="43" borderId="904" xfId="0" applyFont="1" applyFill="1" applyBorder="1" applyAlignment="1">
      <alignment horizontal="center"/>
    </xf>
    <xf numFmtId="0" fontId="53" fillId="43" borderId="907" xfId="0" applyFont="1" applyFill="1" applyBorder="1" applyAlignment="1">
      <alignment horizontal="center"/>
    </xf>
    <xf numFmtId="0" fontId="53" fillId="0" borderId="0" xfId="0" applyFont="1" applyAlignment="1">
      <alignment horizontal="center"/>
    </xf>
    <xf numFmtId="0" fontId="50" fillId="44" borderId="91" xfId="0" applyFont="1" applyFill="1" applyBorder="1" applyAlignment="1">
      <alignment vertical="center"/>
    </xf>
    <xf numFmtId="0" fontId="50" fillId="44" borderId="0" xfId="0" applyFont="1" applyFill="1" applyAlignment="1">
      <alignment horizontal="center" vertical="center"/>
    </xf>
    <xf numFmtId="0" fontId="0" fillId="44" borderId="761" xfId="0" applyFill="1" applyBorder="1"/>
    <xf numFmtId="0" fontId="0" fillId="44" borderId="95" xfId="0" quotePrefix="1" applyFill="1" applyBorder="1"/>
    <xf numFmtId="0" fontId="9" fillId="44" borderId="91" xfId="0" applyFont="1" applyFill="1" applyBorder="1" applyAlignment="1">
      <alignment horizontal="left" vertical="center"/>
    </xf>
    <xf numFmtId="0" fontId="9" fillId="44" borderId="761" xfId="0" applyFont="1" applyFill="1" applyBorder="1" applyAlignment="1">
      <alignment horizontal="center" vertical="center"/>
    </xf>
    <xf numFmtId="0" fontId="10" fillId="44" borderId="94" xfId="0" applyFont="1" applyFill="1" applyBorder="1"/>
    <xf numFmtId="0" fontId="0" fillId="19" borderId="761" xfId="0" applyFill="1" applyBorder="1"/>
    <xf numFmtId="0" fontId="0" fillId="19" borderId="91" xfId="0" applyFill="1" applyBorder="1"/>
    <xf numFmtId="0" fontId="0" fillId="44" borderId="91" xfId="0" applyFill="1" applyBorder="1"/>
    <xf numFmtId="0" fontId="53" fillId="43" borderId="761" xfId="0" applyFont="1" applyFill="1" applyBorder="1" applyAlignment="1">
      <alignment horizontal="center"/>
    </xf>
    <xf numFmtId="0" fontId="9" fillId="44" borderId="0" xfId="0" applyFont="1" applyFill="1" applyAlignment="1">
      <alignment horizontal="left" vertical="center"/>
    </xf>
    <xf numFmtId="0" fontId="50" fillId="44" borderId="89" xfId="0" applyFont="1" applyFill="1" applyBorder="1" applyAlignment="1">
      <alignment vertical="center"/>
    </xf>
    <xf numFmtId="0" fontId="50" fillId="44" borderId="786" xfId="0" applyFont="1" applyFill="1" applyBorder="1" applyAlignment="1">
      <alignment horizontal="center" vertical="center"/>
    </xf>
    <xf numFmtId="0" fontId="0" fillId="44" borderId="0" xfId="0" applyFill="1" applyAlignment="1">
      <alignment horizontal="left"/>
    </xf>
    <xf numFmtId="0" fontId="46" fillId="0" borderId="0" xfId="0" applyFont="1" applyAlignment="1">
      <alignment horizontal="center" vertical="center"/>
    </xf>
    <xf numFmtId="0" fontId="46" fillId="0" borderId="761" xfId="0" applyFont="1" applyBorder="1" applyAlignment="1">
      <alignment horizontal="center" vertical="center"/>
    </xf>
    <xf numFmtId="0" fontId="10" fillId="44" borderId="91" xfId="0" applyFont="1" applyFill="1" applyBorder="1" applyAlignment="1">
      <alignment vertical="center"/>
    </xf>
    <xf numFmtId="0" fontId="10" fillId="44" borderId="0" xfId="0" applyFont="1" applyFill="1" applyAlignment="1">
      <alignment horizontal="center" vertical="center"/>
    </xf>
    <xf numFmtId="0" fontId="10" fillId="44" borderId="761" xfId="0" applyFont="1" applyFill="1" applyBorder="1" applyAlignment="1">
      <alignment horizontal="center" vertical="center"/>
    </xf>
    <xf numFmtId="0" fontId="10" fillId="44" borderId="91" xfId="0" applyFont="1" applyFill="1" applyBorder="1" applyAlignment="1">
      <alignment horizontal="center" vertical="center"/>
    </xf>
    <xf numFmtId="0" fontId="10" fillId="44" borderId="91" xfId="0" applyFont="1" applyFill="1" applyBorder="1" applyAlignment="1">
      <alignment horizontal="left" vertical="center"/>
    </xf>
    <xf numFmtId="0" fontId="0" fillId="16" borderId="761" xfId="0" applyFill="1" applyBorder="1" applyAlignment="1">
      <alignment horizontal="center"/>
    </xf>
    <xf numFmtId="0" fontId="50" fillId="44" borderId="91" xfId="0" quotePrefix="1" applyFont="1" applyFill="1" applyBorder="1" applyAlignment="1">
      <alignment horizontal="center" vertical="center"/>
    </xf>
    <xf numFmtId="0" fontId="50" fillId="44" borderId="761" xfId="0" applyFont="1" applyFill="1" applyBorder="1" applyAlignment="1">
      <alignment horizontal="center" vertical="center"/>
    </xf>
    <xf numFmtId="0" fontId="0" fillId="44" borderId="761" xfId="0" applyFill="1" applyBorder="1" applyAlignment="1">
      <alignment horizontal="center" vertical="center"/>
    </xf>
    <xf numFmtId="0" fontId="0" fillId="44" borderId="761" xfId="0" applyFill="1" applyBorder="1" applyAlignment="1">
      <alignment horizontal="center"/>
    </xf>
    <xf numFmtId="0" fontId="10" fillId="0" borderId="0" xfId="0" applyFont="1" applyAlignment="1">
      <alignment horizontal="left"/>
    </xf>
    <xf numFmtId="0" fontId="12" fillId="44" borderId="94" xfId="0" applyFont="1" applyFill="1" applyBorder="1" applyAlignment="1">
      <alignment horizontal="center" vertical="center"/>
    </xf>
    <xf numFmtId="0" fontId="9" fillId="0" borderId="761" xfId="0" applyFont="1" applyBorder="1" applyAlignment="1">
      <alignment vertical="center"/>
    </xf>
    <xf numFmtId="0" fontId="0" fillId="44" borderId="94" xfId="0" applyFill="1" applyBorder="1" applyAlignment="1">
      <alignment horizontal="center" vertical="center"/>
    </xf>
    <xf numFmtId="0" fontId="50" fillId="44" borderId="89" xfId="0" quotePrefix="1" applyFont="1" applyFill="1" applyBorder="1" applyAlignment="1">
      <alignment horizontal="center" vertical="center"/>
    </xf>
    <xf numFmtId="0" fontId="50" fillId="44" borderId="772" xfId="0" applyFont="1" applyFill="1" applyBorder="1" applyAlignment="1">
      <alignment horizontal="center" vertical="center"/>
    </xf>
    <xf numFmtId="0" fontId="0" fillId="44" borderId="772" xfId="0" applyFill="1" applyBorder="1" applyAlignment="1">
      <alignment horizontal="center"/>
    </xf>
    <xf numFmtId="0" fontId="0" fillId="0" borderId="0" xfId="0" applyAlignment="1">
      <alignment shrinkToFit="1"/>
    </xf>
    <xf numFmtId="0" fontId="55" fillId="0" borderId="0" xfId="0" applyFont="1" applyAlignment="1">
      <alignment horizontal="center"/>
    </xf>
    <xf numFmtId="0" fontId="0" fillId="44" borderId="95" xfId="0" applyFill="1" applyBorder="1" applyAlignment="1">
      <alignment horizontal="center" vertical="center"/>
    </xf>
    <xf numFmtId="0" fontId="0" fillId="44" borderId="91" xfId="0" applyFill="1" applyBorder="1" applyAlignment="1">
      <alignment horizontal="left"/>
    </xf>
    <xf numFmtId="0" fontId="50" fillId="44" borderId="0" xfId="0" applyFont="1" applyFill="1" applyAlignment="1">
      <alignment vertical="center"/>
    </xf>
    <xf numFmtId="0" fontId="0" fillId="19" borderId="106" xfId="0" applyFill="1" applyBorder="1"/>
    <xf numFmtId="0" fontId="0" fillId="0" borderId="707" xfId="0" applyBorder="1" applyAlignment="1">
      <alignment horizontal="center"/>
    </xf>
    <xf numFmtId="0" fontId="0" fillId="44" borderId="707" xfId="0" applyFill="1" applyBorder="1"/>
    <xf numFmtId="0" fontId="0" fillId="44" borderId="710" xfId="0" applyFill="1" applyBorder="1"/>
    <xf numFmtId="0" fontId="53" fillId="43" borderId="91" xfId="0" applyFont="1" applyFill="1" applyBorder="1" applyAlignment="1">
      <alignment horizontal="center"/>
    </xf>
    <xf numFmtId="0" fontId="0" fillId="0" borderId="894" xfId="0" applyBorder="1"/>
    <xf numFmtId="0" fontId="0" fillId="0" borderId="0" xfId="0" applyAlignment="1">
      <alignment horizontal="center" vertical="center"/>
    </xf>
    <xf numFmtId="0" fontId="58" fillId="43" borderId="909" xfId="0" applyFont="1" applyFill="1" applyBorder="1" applyAlignment="1">
      <alignment horizontal="center" vertical="center"/>
    </xf>
    <xf numFmtId="0" fontId="58" fillId="43" borderId="904" xfId="0" applyFont="1" applyFill="1" applyBorder="1" applyAlignment="1">
      <alignment horizontal="center" vertical="center"/>
    </xf>
    <xf numFmtId="0" fontId="10" fillId="44" borderId="91" xfId="0" applyFont="1" applyFill="1" applyBorder="1" applyAlignment="1">
      <alignment horizontal="center"/>
    </xf>
    <xf numFmtId="0" fontId="10" fillId="44" borderId="0" xfId="0" applyFont="1" applyFill="1" applyAlignment="1">
      <alignment horizontal="center"/>
    </xf>
    <xf numFmtId="0" fontId="10" fillId="44" borderId="761" xfId="0" applyFont="1" applyFill="1" applyBorder="1" applyAlignment="1">
      <alignment horizontal="center"/>
    </xf>
    <xf numFmtId="0" fontId="0" fillId="0" borderId="761" xfId="0" applyBorder="1" applyAlignment="1">
      <alignment horizontal="center"/>
    </xf>
    <xf numFmtId="0" fontId="50" fillId="44" borderId="0" xfId="0" applyFont="1" applyFill="1" applyAlignment="1">
      <alignment horizontal="left" vertical="center"/>
    </xf>
    <xf numFmtId="0" fontId="0" fillId="19" borderId="786" xfId="0" applyFill="1" applyBorder="1"/>
    <xf numFmtId="0" fontId="0" fillId="19" borderId="772" xfId="0" applyFill="1" applyBorder="1"/>
    <xf numFmtId="0" fontId="9" fillId="44" borderId="89" xfId="0" applyFont="1" applyFill="1" applyBorder="1" applyAlignment="1">
      <alignment horizontal="left" vertical="center"/>
    </xf>
    <xf numFmtId="0" fontId="9" fillId="44" borderId="772" xfId="0" applyFont="1" applyFill="1" applyBorder="1" applyAlignment="1">
      <alignment horizontal="center" vertical="center"/>
    </xf>
    <xf numFmtId="0" fontId="0" fillId="19" borderId="89" xfId="0" applyFill="1" applyBorder="1"/>
    <xf numFmtId="0" fontId="0" fillId="0" borderId="786" xfId="0" applyBorder="1" applyAlignment="1">
      <alignment horizontal="center"/>
    </xf>
    <xf numFmtId="0" fontId="0" fillId="44" borderId="91" xfId="0" applyFill="1" applyBorder="1" applyAlignment="1">
      <alignment horizontal="center"/>
    </xf>
    <xf numFmtId="0" fontId="0" fillId="44" borderId="89" xfId="0" applyFill="1" applyBorder="1" applyAlignment="1">
      <alignment horizontal="center"/>
    </xf>
    <xf numFmtId="0" fontId="0" fillId="44" borderId="0" xfId="0" applyFill="1" applyAlignment="1">
      <alignment vertical="center"/>
    </xf>
    <xf numFmtId="0" fontId="0" fillId="44" borderId="89" xfId="0" applyFill="1" applyBorder="1" applyAlignment="1">
      <alignment horizontal="left"/>
    </xf>
    <xf numFmtId="0" fontId="0" fillId="44" borderId="786" xfId="0" applyFill="1" applyBorder="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94" xfId="0" applyBorder="1"/>
    <xf numFmtId="0" fontId="0" fillId="44" borderId="91" xfId="0" applyFill="1" applyBorder="1" applyAlignment="1">
      <alignment horizontal="right"/>
    </xf>
    <xf numFmtId="0" fontId="9" fillId="44" borderId="761" xfId="0" applyFont="1" applyFill="1" applyBorder="1" applyAlignment="1">
      <alignment horizontal="center"/>
    </xf>
    <xf numFmtId="0" fontId="53" fillId="43" borderId="91" xfId="0" applyFont="1" applyFill="1" applyBorder="1"/>
    <xf numFmtId="0" fontId="53" fillId="43" borderId="0" xfId="0" applyFont="1" applyFill="1" applyAlignment="1">
      <alignment horizontal="center" vertical="center"/>
    </xf>
    <xf numFmtId="0" fontId="53" fillId="43" borderId="761" xfId="0" applyFont="1" applyFill="1" applyBorder="1" applyAlignment="1">
      <alignment horizontal="center" vertical="center"/>
    </xf>
    <xf numFmtId="0" fontId="10" fillId="0" borderId="0" xfId="0" applyFont="1" applyAlignment="1">
      <alignment horizontal="center"/>
    </xf>
    <xf numFmtId="0" fontId="0" fillId="0" borderId="761" xfId="0" applyBorder="1" applyAlignment="1">
      <alignment horizontal="right"/>
    </xf>
    <xf numFmtId="0" fontId="0" fillId="0" borderId="904" xfId="0" applyBorder="1" applyAlignment="1">
      <alignment horizontal="center"/>
    </xf>
    <xf numFmtId="0" fontId="0" fillId="44" borderId="91" xfId="0" applyFill="1" applyBorder="1" applyAlignment="1">
      <alignment horizontal="left" vertical="center"/>
    </xf>
    <xf numFmtId="0" fontId="11" fillId="44" borderId="761" xfId="0" applyFont="1" applyFill="1" applyBorder="1" applyAlignment="1">
      <alignment horizontal="center" vertical="center"/>
    </xf>
    <xf numFmtId="0" fontId="0" fillId="44" borderId="772" xfId="0" applyFill="1" applyBorder="1" applyAlignment="1">
      <alignment horizontal="left" vertical="center"/>
    </xf>
    <xf numFmtId="0" fontId="0" fillId="44" borderId="710" xfId="0" applyFill="1" applyBorder="1" applyAlignment="1">
      <alignment horizontal="center"/>
    </xf>
    <xf numFmtId="0" fontId="0" fillId="0" borderId="94" xfId="0" applyBorder="1" applyAlignment="1">
      <alignment horizontal="left"/>
    </xf>
    <xf numFmtId="0" fontId="53" fillId="43" borderId="95" xfId="0" applyFont="1" applyFill="1" applyBorder="1" applyAlignment="1">
      <alignment horizontal="center"/>
    </xf>
    <xf numFmtId="0" fontId="0" fillId="0" borderId="91" xfId="0" applyBorder="1"/>
    <xf numFmtId="0" fontId="0" fillId="43" borderId="907" xfId="0" applyFill="1" applyBorder="1" applyAlignment="1">
      <alignment horizontal="center"/>
    </xf>
    <xf numFmtId="49" fontId="0" fillId="44" borderId="91" xfId="0" applyNumberFormat="1" applyFill="1" applyBorder="1"/>
    <xf numFmtId="0" fontId="0" fillId="0" borderId="772" xfId="0" applyBorder="1" applyAlignment="1">
      <alignment horizontal="center"/>
    </xf>
    <xf numFmtId="2" fontId="0" fillId="0" borderId="0" xfId="0" applyNumberFormat="1"/>
    <xf numFmtId="0" fontId="0" fillId="44" borderId="91" xfId="0" applyFill="1" applyBorder="1" applyAlignment="1">
      <alignment vertical="center"/>
    </xf>
    <xf numFmtId="0" fontId="0" fillId="44" borderId="0" xfId="0" applyFill="1" applyAlignment="1">
      <alignment horizontal="center" vertical="center"/>
    </xf>
    <xf numFmtId="0" fontId="0" fillId="16" borderId="786" xfId="0" applyFill="1" applyBorder="1" applyAlignment="1">
      <alignment horizontal="center"/>
    </xf>
    <xf numFmtId="0" fontId="0" fillId="16" borderId="786" xfId="0" applyFill="1" applyBorder="1" applyAlignment="1">
      <alignment horizontal="center" vertical="center"/>
    </xf>
    <xf numFmtId="0" fontId="12" fillId="16" borderId="0" xfId="0" applyFont="1" applyFill="1" applyAlignment="1">
      <alignment horizontal="center" vertical="center"/>
    </xf>
    <xf numFmtId="0" fontId="12" fillId="16" borderId="761" xfId="0" applyFont="1" applyFill="1" applyBorder="1" applyAlignment="1">
      <alignment horizontal="center" vertical="center"/>
    </xf>
    <xf numFmtId="0" fontId="0" fillId="44" borderId="908" xfId="0" applyFill="1" applyBorder="1" applyAlignment="1">
      <alignment wrapText="1"/>
    </xf>
    <xf numFmtId="0" fontId="0" fillId="44" borderId="94" xfId="0" applyFill="1" applyBorder="1" applyAlignment="1">
      <alignment wrapText="1"/>
    </xf>
    <xf numFmtId="0" fontId="0" fillId="44" borderId="95" xfId="0" applyFill="1" applyBorder="1" applyAlignment="1">
      <alignment wrapText="1"/>
    </xf>
    <xf numFmtId="0" fontId="0" fillId="16" borderId="772" xfId="0" applyFill="1" applyBorder="1" applyAlignment="1">
      <alignment horizontal="center"/>
    </xf>
    <xf numFmtId="0" fontId="0" fillId="16" borderId="91" xfId="0" applyFill="1" applyBorder="1" applyAlignment="1">
      <alignment horizontal="left" vertical="center"/>
    </xf>
    <xf numFmtId="0" fontId="0" fillId="16" borderId="89" xfId="0" applyFill="1" applyBorder="1" applyAlignment="1">
      <alignment horizontal="left" vertical="center"/>
    </xf>
    <xf numFmtId="0" fontId="9" fillId="3" borderId="761" xfId="0" applyFont="1" applyFill="1" applyBorder="1" applyAlignment="1">
      <alignment vertical="center" wrapText="1"/>
    </xf>
    <xf numFmtId="0" fontId="15" fillId="8" borderId="907" xfId="0" applyFont="1" applyFill="1" applyBorder="1" applyAlignment="1">
      <alignment horizontal="center" vertical="center" wrapText="1"/>
    </xf>
    <xf numFmtId="0" fontId="84" fillId="3" borderId="779" xfId="0" applyFont="1" applyFill="1" applyBorder="1"/>
    <xf numFmtId="0" fontId="59" fillId="3" borderId="880" xfId="0" applyFont="1" applyFill="1" applyBorder="1"/>
    <xf numFmtId="0" fontId="9" fillId="31" borderId="722" xfId="0" applyFont="1" applyFill="1" applyBorder="1" applyAlignment="1">
      <alignment horizontal="center"/>
    </xf>
    <xf numFmtId="0" fontId="13" fillId="90" borderId="764" xfId="0" applyFont="1" applyFill="1" applyBorder="1" applyAlignment="1">
      <alignment horizontal="center" vertical="center" wrapText="1"/>
    </xf>
    <xf numFmtId="0" fontId="9" fillId="28" borderId="921" xfId="0" applyFont="1" applyFill="1" applyBorder="1" applyAlignment="1" applyProtection="1">
      <alignment horizontal="center"/>
      <protection locked="0"/>
    </xf>
    <xf numFmtId="0" fontId="9" fillId="3" borderId="880" xfId="0" applyFont="1" applyFill="1" applyBorder="1" applyAlignment="1">
      <alignment horizontal="center"/>
    </xf>
    <xf numFmtId="0" fontId="13" fillId="30" borderId="100" xfId="0" applyFont="1" applyFill="1" applyBorder="1" applyAlignment="1">
      <alignment horizontal="center" vertical="center" wrapText="1"/>
    </xf>
    <xf numFmtId="0" fontId="9" fillId="28" borderId="102" xfId="0" applyFont="1" applyFill="1" applyBorder="1" applyAlignment="1" applyProtection="1">
      <alignment horizontal="center"/>
      <protection locked="0"/>
    </xf>
    <xf numFmtId="0" fontId="13" fillId="90" borderId="100" xfId="0" applyFont="1" applyFill="1" applyBorder="1" applyAlignment="1">
      <alignment horizontal="center" vertical="center" wrapText="1"/>
    </xf>
    <xf numFmtId="0" fontId="13" fillId="90" borderId="102" xfId="0" applyFont="1" applyFill="1" applyBorder="1" applyAlignment="1">
      <alignment horizontal="center" vertical="center" wrapText="1"/>
    </xf>
    <xf numFmtId="0" fontId="9" fillId="54" borderId="917" xfId="0" applyFont="1" applyFill="1" applyBorder="1" applyAlignment="1" applyProtection="1">
      <alignment horizontal="center"/>
      <protection locked="0"/>
    </xf>
    <xf numFmtId="0" fontId="9" fillId="54" borderId="921" xfId="0" applyFont="1" applyFill="1" applyBorder="1" applyAlignment="1" applyProtection="1">
      <alignment horizontal="center"/>
      <protection locked="0"/>
    </xf>
    <xf numFmtId="0" fontId="9" fillId="54" borderId="920" xfId="0" applyFont="1" applyFill="1" applyBorder="1" applyAlignment="1" applyProtection="1">
      <alignment horizontal="center"/>
      <protection locked="0"/>
    </xf>
    <xf numFmtId="0" fontId="9" fillId="54" borderId="102" xfId="0" applyFont="1" applyFill="1" applyBorder="1" applyAlignment="1" applyProtection="1">
      <alignment horizontal="center"/>
      <protection locked="0"/>
    </xf>
    <xf numFmtId="0" fontId="0" fillId="3" borderId="904" xfId="0" applyFill="1" applyBorder="1"/>
    <xf numFmtId="0" fontId="84" fillId="39" borderId="779" xfId="0" applyFont="1" applyFill="1" applyBorder="1"/>
    <xf numFmtId="0" fontId="0" fillId="3" borderId="779" xfId="0" applyFill="1" applyBorder="1"/>
    <xf numFmtId="0" fontId="12" fillId="31" borderId="923" xfId="0" applyFont="1" applyFill="1" applyBorder="1" applyAlignment="1">
      <alignment horizontal="center" vertical="center"/>
    </xf>
    <xf numFmtId="0" fontId="12" fillId="31" borderId="863" xfId="0" applyFont="1" applyFill="1" applyBorder="1" applyAlignment="1">
      <alignment horizontal="center" vertical="center"/>
    </xf>
    <xf numFmtId="0" fontId="12" fillId="31" borderId="928" xfId="0" applyFont="1" applyFill="1" applyBorder="1" applyAlignment="1">
      <alignment horizontal="center" vertical="center"/>
    </xf>
    <xf numFmtId="0" fontId="12" fillId="31" borderId="929" xfId="0" applyFont="1" applyFill="1" applyBorder="1" applyAlignment="1">
      <alignment horizontal="center" vertical="center"/>
    </xf>
    <xf numFmtId="0" fontId="0" fillId="31" borderId="712" xfId="0" applyFill="1" applyBorder="1"/>
    <xf numFmtId="0" fontId="9" fillId="31" borderId="924" xfId="0" applyFont="1" applyFill="1" applyBorder="1" applyAlignment="1">
      <alignment horizontal="center"/>
    </xf>
    <xf numFmtId="0" fontId="9" fillId="31" borderId="911" xfId="0" applyFont="1" applyFill="1" applyBorder="1" applyAlignment="1">
      <alignment horizontal="center"/>
    </xf>
    <xf numFmtId="0" fontId="9" fillId="31" borderId="912" xfId="0" applyFont="1" applyFill="1" applyBorder="1" applyAlignment="1">
      <alignment horizontal="center"/>
    </xf>
    <xf numFmtId="0" fontId="140" fillId="54" borderId="931" xfId="0" applyFont="1" applyFill="1" applyBorder="1" applyAlignment="1" applyProtection="1">
      <alignment horizontal="center"/>
      <protection locked="0"/>
    </xf>
    <xf numFmtId="0" fontId="13" fillId="31" borderId="707" xfId="0" applyFont="1" applyFill="1" applyBorder="1" applyAlignment="1">
      <alignment horizontal="center" vertical="center"/>
    </xf>
    <xf numFmtId="0" fontId="9" fillId="31" borderId="707" xfId="0" applyFont="1" applyFill="1" applyBorder="1" applyAlignment="1">
      <alignment horizontal="center" shrinkToFit="1"/>
    </xf>
    <xf numFmtId="0" fontId="13" fillId="7" borderId="922" xfId="0" applyFont="1" applyFill="1" applyBorder="1" applyAlignment="1" applyProtection="1">
      <alignment horizontal="center" vertical="center" wrapText="1"/>
      <protection locked="0"/>
    </xf>
    <xf numFmtId="0" fontId="114" fillId="7" borderId="922" xfId="0" applyFont="1" applyFill="1" applyBorder="1" applyAlignment="1" applyProtection="1">
      <alignment horizontal="center" vertical="center" wrapText="1"/>
      <protection locked="0"/>
    </xf>
    <xf numFmtId="0" fontId="0" fillId="27" borderId="779" xfId="0" applyFill="1" applyBorder="1"/>
    <xf numFmtId="0" fontId="12" fillId="31" borderId="919" xfId="0" applyFont="1" applyFill="1" applyBorder="1" applyAlignment="1">
      <alignment horizontal="right"/>
    </xf>
    <xf numFmtId="0" fontId="9" fillId="31" borderId="832" xfId="0" applyFont="1" applyFill="1" applyBorder="1" applyAlignment="1">
      <alignment horizontal="center"/>
    </xf>
    <xf numFmtId="0" fontId="9" fillId="31" borderId="915" xfId="0" applyFont="1" applyFill="1" applyBorder="1" applyAlignment="1">
      <alignment horizontal="center"/>
    </xf>
    <xf numFmtId="0" fontId="67" fillId="27" borderId="880" xfId="0" applyFont="1" applyFill="1" applyBorder="1"/>
    <xf numFmtId="0" fontId="9" fillId="7" borderId="779" xfId="0" applyFont="1" applyFill="1" applyBorder="1" applyAlignment="1">
      <alignment horizontal="center" vertical="center" wrapText="1"/>
    </xf>
    <xf numFmtId="0" fontId="9" fillId="31" borderId="880" xfId="0" applyFont="1" applyFill="1" applyBorder="1" applyAlignment="1">
      <alignment horizontal="center"/>
    </xf>
    <xf numFmtId="0" fontId="9" fillId="7" borderId="929" xfId="0" applyFont="1" applyFill="1" applyBorder="1" applyAlignment="1">
      <alignment horizontal="right"/>
    </xf>
    <xf numFmtId="0" fontId="140" fillId="55" borderId="932" xfId="0" applyFont="1" applyFill="1" applyBorder="1" applyAlignment="1" applyProtection="1">
      <alignment horizontal="center" vertical="center"/>
      <protection locked="0"/>
    </xf>
    <xf numFmtId="0" fontId="140" fillId="55" borderId="933" xfId="0" applyFont="1" applyFill="1" applyBorder="1" applyAlignment="1" applyProtection="1">
      <alignment horizontal="center" vertical="center"/>
      <protection locked="0"/>
    </xf>
    <xf numFmtId="0" fontId="140" fillId="55" borderId="934" xfId="0" applyFont="1" applyFill="1" applyBorder="1" applyAlignment="1" applyProtection="1">
      <alignment horizontal="center" vertical="center"/>
      <protection locked="0"/>
    </xf>
    <xf numFmtId="0" fontId="9" fillId="7" borderId="920" xfId="0" applyFont="1" applyFill="1" applyBorder="1" applyAlignment="1">
      <alignment horizontal="right"/>
    </xf>
    <xf numFmtId="0" fontId="84" fillId="27" borderId="779" xfId="0" applyFont="1" applyFill="1" applyBorder="1"/>
    <xf numFmtId="0" fontId="9" fillId="31" borderId="935" xfId="0" applyFont="1" applyFill="1" applyBorder="1" applyAlignment="1">
      <alignment horizontal="center"/>
    </xf>
    <xf numFmtId="0" fontId="140" fillId="54" borderId="911" xfId="0" applyFont="1" applyFill="1" applyBorder="1" applyAlignment="1" applyProtection="1">
      <alignment horizontal="center"/>
      <protection locked="0"/>
    </xf>
    <xf numFmtId="0" fontId="9" fillId="31" borderId="936" xfId="0" applyFont="1" applyFill="1" applyBorder="1" applyAlignment="1">
      <alignment horizontal="center"/>
    </xf>
    <xf numFmtId="0" fontId="84" fillId="31" borderId="880" xfId="0" applyFont="1" applyFill="1" applyBorder="1"/>
    <xf numFmtId="0" fontId="0" fillId="3" borderId="915" xfId="0" applyFill="1" applyBorder="1"/>
    <xf numFmtId="0" fontId="59" fillId="3" borderId="915" xfId="0" applyFont="1" applyFill="1" applyBorder="1"/>
    <xf numFmtId="0" fontId="59" fillId="3" borderId="916" xfId="0" applyFont="1" applyFill="1" applyBorder="1"/>
    <xf numFmtId="0" fontId="0" fillId="3" borderId="928" xfId="0" applyFill="1" applyBorder="1" applyAlignment="1">
      <alignment horizontal="center"/>
    </xf>
    <xf numFmtId="0" fontId="0" fillId="25" borderId="923" xfId="0" applyFill="1" applyBorder="1" applyAlignment="1">
      <alignment horizontal="center"/>
    </xf>
    <xf numFmtId="0" fontId="0" fillId="25" borderId="913" xfId="0" applyFill="1" applyBorder="1" applyAlignment="1">
      <alignment horizontal="center"/>
    </xf>
    <xf numFmtId="0" fontId="0" fillId="25" borderId="914" xfId="0" applyFill="1" applyBorder="1" applyAlignment="1">
      <alignment horizontal="center"/>
    </xf>
    <xf numFmtId="0" fontId="9" fillId="19" borderId="921" xfId="0" applyFont="1" applyFill="1" applyBorder="1" applyAlignment="1">
      <alignment horizontal="right"/>
    </xf>
    <xf numFmtId="0" fontId="0" fillId="3" borderId="937" xfId="0" applyFill="1" applyBorder="1"/>
    <xf numFmtId="0" fontId="0" fillId="3" borderId="740" xfId="0" applyFill="1" applyBorder="1"/>
    <xf numFmtId="0" fontId="0" fillId="3" borderId="924" xfId="0" applyFill="1" applyBorder="1"/>
    <xf numFmtId="0" fontId="0" fillId="53" borderId="937" xfId="0" applyFill="1" applyBorder="1" applyAlignment="1">
      <alignment horizontal="left"/>
    </xf>
    <xf numFmtId="0" fontId="0" fillId="53" borderId="917" xfId="0" applyFill="1" applyBorder="1" applyAlignment="1">
      <alignment horizontal="left"/>
    </xf>
    <xf numFmtId="0" fontId="0" fillId="53" borderId="376" xfId="0" applyFill="1" applyBorder="1" applyAlignment="1">
      <alignment horizontal="left"/>
    </xf>
    <xf numFmtId="0" fontId="0" fillId="3" borderId="917" xfId="0" applyFill="1" applyBorder="1"/>
    <xf numFmtId="0" fontId="0" fillId="3" borderId="880" xfId="0" applyFill="1" applyBorder="1" applyAlignment="1">
      <alignment horizontal="right"/>
    </xf>
    <xf numFmtId="0" fontId="0" fillId="3" borderId="920" xfId="0" applyFill="1" applyBorder="1"/>
    <xf numFmtId="0" fontId="0" fillId="3" borderId="916" xfId="0" applyFill="1" applyBorder="1" applyAlignment="1">
      <alignment horizontal="right"/>
    </xf>
    <xf numFmtId="0" fontId="169" fillId="3" borderId="0" xfId="0" applyFont="1" applyFill="1" applyAlignment="1">
      <alignment horizontal="center" vertical="center"/>
    </xf>
    <xf numFmtId="0" fontId="59" fillId="3" borderId="0" xfId="0" applyFont="1" applyFill="1" applyAlignment="1">
      <alignment horizontal="center" vertical="center"/>
    </xf>
    <xf numFmtId="0" fontId="170" fillId="3" borderId="0" xfId="0" applyFont="1" applyFill="1" applyAlignment="1">
      <alignment horizontal="center" vertical="center"/>
    </xf>
    <xf numFmtId="0" fontId="34" fillId="0" borderId="880" xfId="0" applyFont="1" applyBorder="1" applyAlignment="1">
      <alignment vertical="center"/>
    </xf>
    <xf numFmtId="0" fontId="34" fillId="0" borderId="916" xfId="0" applyFont="1" applyBorder="1" applyAlignment="1">
      <alignment vertical="center"/>
    </xf>
    <xf numFmtId="0" fontId="45" fillId="13" borderId="909" xfId="0" applyFont="1" applyFill="1" applyBorder="1" applyAlignment="1">
      <alignment horizontal="center" vertical="center"/>
    </xf>
    <xf numFmtId="0" fontId="45" fillId="13" borderId="904" xfId="0" applyFont="1" applyFill="1" applyBorder="1" applyAlignment="1">
      <alignment horizontal="center" vertical="center"/>
    </xf>
    <xf numFmtId="1" fontId="45" fillId="13" borderId="904" xfId="0" applyNumberFormat="1" applyFont="1" applyFill="1" applyBorder="1" applyAlignment="1">
      <alignment horizontal="center" vertical="center"/>
    </xf>
    <xf numFmtId="0" fontId="45" fillId="13" borderId="780" xfId="0" applyFont="1" applyFill="1" applyBorder="1" applyAlignment="1">
      <alignment horizontal="center"/>
    </xf>
    <xf numFmtId="0" fontId="45" fillId="13" borderId="915" xfId="0" applyFont="1" applyFill="1" applyBorder="1" applyAlignment="1">
      <alignment horizontal="center"/>
    </xf>
    <xf numFmtId="0" fontId="45" fillId="13" borderId="915" xfId="0" applyFont="1" applyFill="1" applyBorder="1" applyAlignment="1">
      <alignment horizontal="center" vertical="center" wrapText="1"/>
    </xf>
    <xf numFmtId="0" fontId="13" fillId="12" borderId="779" xfId="0" applyFont="1" applyFill="1" applyBorder="1" applyAlignment="1">
      <alignment horizontal="right" vertical="center"/>
    </xf>
    <xf numFmtId="0" fontId="50" fillId="12" borderId="779" xfId="0" applyFont="1" applyFill="1" applyBorder="1" applyAlignment="1">
      <alignment vertical="center"/>
    </xf>
    <xf numFmtId="0" fontId="8" fillId="3" borderId="903" xfId="0" applyFont="1" applyFill="1" applyBorder="1" applyAlignment="1">
      <alignment horizontal="right" vertical="center"/>
    </xf>
    <xf numFmtId="0" fontId="13" fillId="12" borderId="880" xfId="0" applyFont="1" applyFill="1" applyBorder="1" applyAlignment="1">
      <alignment horizontal="center" vertical="center"/>
    </xf>
    <xf numFmtId="0" fontId="8" fillId="3" borderId="27" xfId="0" quotePrefix="1" applyFont="1" applyFill="1" applyBorder="1" applyAlignment="1">
      <alignment horizontal="right" vertical="center"/>
    </xf>
    <xf numFmtId="0" fontId="13" fillId="77" borderId="779" xfId="0" applyFont="1" applyFill="1" applyBorder="1" applyAlignment="1">
      <alignment horizontal="right" vertical="center"/>
    </xf>
    <xf numFmtId="0" fontId="50" fillId="77" borderId="779" xfId="0" applyFont="1" applyFill="1" applyBorder="1" applyAlignment="1">
      <alignment vertical="center"/>
    </xf>
    <xf numFmtId="0" fontId="8" fillId="75" borderId="27" xfId="0" applyFont="1" applyFill="1" applyBorder="1" applyAlignment="1">
      <alignment horizontal="right" vertical="center"/>
    </xf>
    <xf numFmtId="0" fontId="8" fillId="77" borderId="880" xfId="0" applyFont="1" applyFill="1" applyBorder="1" applyAlignment="1">
      <alignment horizontal="center" vertical="center"/>
    </xf>
    <xf numFmtId="0" fontId="13" fillId="77" borderId="880" xfId="0" applyFont="1" applyFill="1" applyBorder="1" applyAlignment="1">
      <alignment horizontal="center" vertical="center"/>
    </xf>
    <xf numFmtId="0" fontId="13" fillId="77" borderId="94" xfId="0" applyFont="1" applyFill="1" applyBorder="1" applyAlignment="1">
      <alignment horizontal="right" vertical="center"/>
    </xf>
    <xf numFmtId="0" fontId="50" fillId="77" borderId="79" xfId="0" applyFont="1" applyFill="1" applyBorder="1" applyAlignment="1">
      <alignment horizontal="center" vertical="center"/>
    </xf>
    <xf numFmtId="0" fontId="50" fillId="77" borderId="880" xfId="0" applyFont="1" applyFill="1" applyBorder="1" applyAlignment="1">
      <alignment vertical="center"/>
    </xf>
    <xf numFmtId="0" fontId="9" fillId="77" borderId="0" xfId="0" applyFont="1" applyFill="1" applyAlignment="1">
      <alignment vertical="center"/>
    </xf>
    <xf numFmtId="0" fontId="50" fillId="77" borderId="79" xfId="0" applyFont="1" applyFill="1" applyBorder="1" applyAlignment="1">
      <alignment horizontal="right" vertical="center"/>
    </xf>
    <xf numFmtId="0" fontId="9" fillId="77" borderId="0" xfId="0" applyFont="1" applyFill="1" applyAlignment="1">
      <alignment horizontal="center" vertical="center"/>
    </xf>
    <xf numFmtId="0" fontId="27" fillId="77" borderId="78" xfId="0" applyFont="1" applyFill="1" applyBorder="1" applyAlignment="1">
      <alignment horizontal="center" vertical="center"/>
    </xf>
    <xf numFmtId="0" fontId="13" fillId="77" borderId="915" xfId="0" applyFont="1" applyFill="1" applyBorder="1" applyAlignment="1">
      <alignment horizontal="center" vertical="center"/>
    </xf>
    <xf numFmtId="0" fontId="8" fillId="77" borderId="79" xfId="0" applyFont="1" applyFill="1" applyBorder="1" applyAlignment="1">
      <alignment horizontal="center" vertical="center"/>
    </xf>
    <xf numFmtId="0" fontId="13" fillId="77" borderId="0" xfId="0" applyFont="1" applyFill="1" applyAlignment="1">
      <alignment horizontal="center" vertical="center"/>
    </xf>
    <xf numFmtId="0" fontId="45" fillId="43" borderId="915" xfId="0" applyFont="1" applyFill="1" applyBorder="1" applyAlignment="1">
      <alignment horizontal="center" vertical="center" wrapText="1"/>
    </xf>
    <xf numFmtId="0" fontId="45" fillId="13" borderId="916" xfId="0" applyFont="1" applyFill="1" applyBorder="1" applyAlignment="1">
      <alignment horizontal="center" vertical="center" wrapText="1"/>
    </xf>
    <xf numFmtId="0" fontId="13" fillId="12" borderId="132" xfId="0" applyFont="1" applyFill="1" applyBorder="1" applyAlignment="1">
      <alignment horizontal="center" vertical="center"/>
    </xf>
    <xf numFmtId="0" fontId="13" fillId="12" borderId="78" xfId="0" applyFont="1" applyFill="1" applyBorder="1" applyAlignment="1">
      <alignment horizontal="left" vertical="center"/>
    </xf>
    <xf numFmtId="0" fontId="13" fillId="12" borderId="78" xfId="0" applyFont="1" applyFill="1" applyBorder="1" applyAlignment="1">
      <alignment horizontal="center" vertical="center"/>
    </xf>
    <xf numFmtId="0" fontId="13" fillId="77" borderId="78" xfId="0" applyFont="1" applyFill="1" applyBorder="1" applyAlignment="1">
      <alignment horizontal="center" vertical="center"/>
    </xf>
    <xf numFmtId="0" fontId="13" fillId="77" borderId="78" xfId="0" applyFont="1" applyFill="1" applyBorder="1" applyAlignment="1">
      <alignment horizontal="left" vertical="center"/>
    </xf>
    <xf numFmtId="0" fontId="13" fillId="77" borderId="920" xfId="0" applyFont="1" applyFill="1" applyBorder="1" applyAlignment="1">
      <alignment horizontal="left" vertical="center"/>
    </xf>
    <xf numFmtId="0" fontId="13" fillId="12" borderId="904" xfId="0" applyFont="1" applyFill="1" applyBorder="1" applyAlignment="1">
      <alignment horizontal="center" vertical="center"/>
    </xf>
    <xf numFmtId="0" fontId="13" fillId="44" borderId="142" xfId="0" applyFont="1" applyFill="1" applyBorder="1" applyAlignment="1">
      <alignment horizontal="center" vertical="center"/>
    </xf>
    <xf numFmtId="0" fontId="13" fillId="44" borderId="79" xfId="0" applyFont="1" applyFill="1" applyBorder="1" applyAlignment="1">
      <alignment horizontal="center" vertical="center"/>
    </xf>
    <xf numFmtId="0" fontId="13" fillId="77" borderId="79" xfId="0" applyFont="1" applyFill="1" applyBorder="1" applyAlignment="1">
      <alignment horizontal="center" vertical="center"/>
    </xf>
    <xf numFmtId="0" fontId="13" fillId="77" borderId="920" xfId="0" applyFont="1" applyFill="1" applyBorder="1" applyAlignment="1">
      <alignment horizontal="center" vertical="center"/>
    </xf>
    <xf numFmtId="0" fontId="13" fillId="77" borderId="919" xfId="0" applyFont="1" applyFill="1" applyBorder="1" applyAlignment="1">
      <alignment horizontal="center" vertical="center"/>
    </xf>
    <xf numFmtId="0" fontId="13" fillId="77" borderId="95" xfId="0" applyFont="1" applyFill="1" applyBorder="1" applyAlignment="1">
      <alignment horizontal="right" vertical="center"/>
    </xf>
    <xf numFmtId="0" fontId="50" fillId="77" borderId="780" xfId="0" applyFont="1" applyFill="1" applyBorder="1" applyAlignment="1">
      <alignment vertical="center"/>
    </xf>
    <xf numFmtId="0" fontId="8" fillId="75" borderId="782" xfId="0" applyFont="1" applyFill="1" applyBorder="1" applyAlignment="1">
      <alignment horizontal="right" vertical="center"/>
    </xf>
    <xf numFmtId="0" fontId="27" fillId="77" borderId="915" xfId="0" applyFont="1" applyFill="1" applyBorder="1" applyAlignment="1">
      <alignment horizontal="center" vertical="center"/>
    </xf>
    <xf numFmtId="0" fontId="8" fillId="77" borderId="915" xfId="0" applyFont="1" applyFill="1" applyBorder="1" applyAlignment="1">
      <alignment horizontal="center" vertical="center"/>
    </xf>
    <xf numFmtId="0" fontId="8" fillId="77" borderId="916" xfId="0" applyFont="1" applyFill="1" applyBorder="1" applyAlignment="1">
      <alignment horizontal="center" vertical="center"/>
    </xf>
    <xf numFmtId="0" fontId="45" fillId="13" borderId="924" xfId="0" applyFont="1" applyFill="1" applyBorder="1" applyAlignment="1">
      <alignment horizontal="center" vertical="center"/>
    </xf>
    <xf numFmtId="0" fontId="45" fillId="13" borderId="911" xfId="0" applyFont="1" applyFill="1" applyBorder="1" applyAlignment="1">
      <alignment horizontal="center" vertical="center"/>
    </xf>
    <xf numFmtId="0" fontId="45" fillId="13" borderId="921" xfId="0" applyFont="1" applyFill="1" applyBorder="1" applyAlignment="1">
      <alignment horizontal="center" vertical="center"/>
    </xf>
    <xf numFmtId="1" fontId="27" fillId="12" borderId="930" xfId="0" applyNumberFormat="1" applyFont="1" applyFill="1" applyBorder="1" applyAlignment="1">
      <alignment horizontal="left" vertical="center"/>
    </xf>
    <xf numFmtId="1" fontId="27" fillId="12" borderId="827" xfId="0" applyNumberFormat="1" applyFont="1" applyFill="1" applyBorder="1" applyAlignment="1">
      <alignment horizontal="lef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79" xfId="0" applyFont="1" applyFill="1" applyBorder="1" applyAlignment="1">
      <alignment vertical="center"/>
    </xf>
    <xf numFmtId="1" fontId="27" fillId="12" borderId="126" xfId="0" applyNumberFormat="1" applyFont="1" applyFill="1" applyBorder="1" applyAlignment="1">
      <alignment horizontal="left" vertical="center"/>
    </xf>
    <xf numFmtId="0" fontId="27" fillId="12" borderId="915" xfId="0" applyFont="1" applyFill="1" applyBorder="1" applyAlignment="1">
      <alignment horizontal="center" vertical="center"/>
    </xf>
    <xf numFmtId="0" fontId="50" fillId="16" borderId="915" xfId="0" applyFont="1" applyFill="1" applyBorder="1" applyAlignment="1">
      <alignment vertical="center"/>
    </xf>
    <xf numFmtId="0" fontId="50" fillId="16" borderId="919" xfId="0" applyFont="1" applyFill="1" applyBorder="1" applyAlignment="1">
      <alignment vertical="center"/>
    </xf>
    <xf numFmtId="1" fontId="27" fillId="12" borderId="938" xfId="0" applyNumberFormat="1" applyFont="1" applyFill="1" applyBorder="1" applyAlignment="1">
      <alignment horizontal="center" vertical="center"/>
    </xf>
    <xf numFmtId="1" fontId="27" fillId="77" borderId="827" xfId="0" applyNumberFormat="1" applyFont="1" applyFill="1" applyBorder="1" applyAlignment="1">
      <alignment horizontal="left" vertical="center"/>
    </xf>
    <xf numFmtId="1" fontId="27" fillId="77" borderId="0" xfId="0" applyNumberFormat="1" applyFont="1" applyFill="1" applyAlignment="1">
      <alignment horizontal="center" vertical="center"/>
    </xf>
    <xf numFmtId="1" fontId="27" fillId="77" borderId="100" xfId="0" applyNumberFormat="1" applyFont="1" applyFill="1" applyBorder="1" applyAlignment="1">
      <alignment horizontal="center" vertical="center"/>
    </xf>
    <xf numFmtId="0" fontId="9" fillId="77" borderId="827" xfId="0" applyFont="1" applyFill="1" applyBorder="1" applyAlignment="1">
      <alignment vertical="center"/>
    </xf>
    <xf numFmtId="0" fontId="50" fillId="77" borderId="79" xfId="0" applyFont="1" applyFill="1" applyBorder="1" applyAlignment="1">
      <alignment vertical="center"/>
    </xf>
    <xf numFmtId="0" fontId="27" fillId="77" borderId="827" xfId="0" applyFont="1" applyFill="1" applyBorder="1" applyAlignment="1">
      <alignment horizontal="left" vertical="center"/>
    </xf>
    <xf numFmtId="0" fontId="19" fillId="77" borderId="0" xfId="0" applyFont="1" applyFill="1" applyAlignment="1">
      <alignment horizontal="left" vertical="center"/>
    </xf>
    <xf numFmtId="0" fontId="19" fillId="77" borderId="79" xfId="0" applyFont="1" applyFill="1" applyBorder="1" applyAlignment="1">
      <alignment horizontal="left" vertical="center"/>
    </xf>
    <xf numFmtId="0" fontId="8" fillId="77" borderId="0" xfId="0" applyFont="1" applyFill="1" applyAlignment="1">
      <alignment horizontal="left" vertical="center"/>
    </xf>
    <xf numFmtId="0" fontId="9" fillId="77" borderId="827" xfId="0" applyFont="1" applyFill="1" applyBorder="1" applyAlignment="1">
      <alignment horizontal="left" vertical="center"/>
    </xf>
    <xf numFmtId="0" fontId="27" fillId="75" borderId="33" xfId="0" applyFont="1" applyFill="1" applyBorder="1" applyAlignment="1">
      <alignment horizontal="left" vertical="center"/>
    </xf>
    <xf numFmtId="0" fontId="9" fillId="77" borderId="120" xfId="0" applyFont="1" applyFill="1" applyBorder="1" applyAlignment="1">
      <alignment horizontal="left" vertical="center"/>
    </xf>
    <xf numFmtId="0" fontId="9" fillId="77" borderId="779" xfId="0" applyFont="1" applyFill="1" applyBorder="1" applyAlignment="1">
      <alignment vertical="center"/>
    </xf>
    <xf numFmtId="1" fontId="27" fillId="12" borderId="120" xfId="0" applyNumberFormat="1" applyFont="1" applyFill="1" applyBorder="1" applyAlignment="1">
      <alignment horizontal="left" vertical="center"/>
    </xf>
    <xf numFmtId="0" fontId="50" fillId="91" borderId="779" xfId="0" applyFont="1" applyFill="1" applyBorder="1" applyAlignment="1">
      <alignment vertical="center"/>
    </xf>
    <xf numFmtId="0" fontId="55" fillId="0" borderId="915" xfId="0" applyFont="1" applyBorder="1" applyAlignment="1">
      <alignment horizontal="center" vertical="center"/>
    </xf>
    <xf numFmtId="0" fontId="55" fillId="0" borderId="916" xfId="0" applyFont="1" applyBorder="1" applyAlignment="1">
      <alignment horizontal="center" vertical="center"/>
    </xf>
    <xf numFmtId="0" fontId="45" fillId="74" borderId="15" xfId="0" applyFont="1" applyFill="1" applyBorder="1" applyAlignment="1">
      <alignment horizontal="center" wrapText="1"/>
    </xf>
    <xf numFmtId="0" fontId="9" fillId="77" borderId="746" xfId="0" applyFont="1" applyFill="1" applyBorder="1" applyAlignment="1">
      <alignment horizont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13" fillId="3" borderId="15" xfId="0" applyFont="1" applyFill="1" applyBorder="1" applyAlignment="1">
      <alignment horizontal="center" vertical="center" wrapText="1"/>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27" fillId="77" borderId="915" xfId="0" applyFont="1" applyFill="1" applyBorder="1" applyAlignment="1">
      <alignment horizontal="left" vertical="center"/>
    </xf>
    <xf numFmtId="0" fontId="50" fillId="77" borderId="915" xfId="0" applyFont="1" applyFill="1" applyBorder="1" applyAlignment="1">
      <alignment vertical="center"/>
    </xf>
    <xf numFmtId="0" fontId="9" fillId="77" borderId="919" xfId="0" applyFont="1" applyFill="1" applyBorder="1" applyAlignment="1">
      <alignment vertical="center"/>
    </xf>
    <xf numFmtId="0" fontId="9" fillId="77" borderId="916" xfId="0" applyFont="1" applyFill="1" applyBorder="1" applyAlignment="1">
      <alignment vertical="center"/>
    </xf>
    <xf numFmtId="0" fontId="10" fillId="44" borderId="909" xfId="0" applyFont="1" applyFill="1" applyBorder="1" applyAlignment="1">
      <alignment vertical="center"/>
    </xf>
    <xf numFmtId="0" fontId="10" fillId="44" borderId="904" xfId="0" applyFont="1" applyFill="1" applyBorder="1" applyAlignment="1">
      <alignment horizontal="center" vertical="center"/>
    </xf>
    <xf numFmtId="0" fontId="0" fillId="16" borderId="779" xfId="0" applyFill="1" applyBorder="1" applyAlignment="1">
      <alignment horizontal="left" vertical="center"/>
    </xf>
    <xf numFmtId="0" fontId="0" fillId="16" borderId="779" xfId="0" applyFill="1" applyBorder="1" applyAlignment="1">
      <alignment horizontal="left"/>
    </xf>
    <xf numFmtId="0" fontId="0" fillId="16" borderId="780" xfId="0" applyFill="1" applyBorder="1" applyAlignment="1">
      <alignment horizontal="left" vertical="center"/>
    </xf>
    <xf numFmtId="0" fontId="10" fillId="44" borderId="907" xfId="0" applyFont="1" applyFill="1" applyBorder="1" applyAlignment="1">
      <alignment horizontal="center" vertical="center"/>
    </xf>
    <xf numFmtId="0" fontId="50" fillId="44" borderId="880" xfId="0" applyFont="1" applyFill="1" applyBorder="1" applyAlignment="1">
      <alignment horizontal="center" vertical="center"/>
    </xf>
    <xf numFmtId="0" fontId="0" fillId="16" borderId="880" xfId="0" applyFill="1" applyBorder="1" applyAlignment="1">
      <alignment horizontal="center" vertical="center"/>
    </xf>
    <xf numFmtId="0" fontId="0" fillId="16" borderId="880" xfId="0" applyFill="1" applyBorder="1" applyAlignment="1">
      <alignment horizontal="center"/>
    </xf>
    <xf numFmtId="0" fontId="0" fillId="16" borderId="915" xfId="0" applyFill="1" applyBorder="1" applyAlignment="1">
      <alignment horizontal="center" vertical="center"/>
    </xf>
    <xf numFmtId="0" fontId="0" fillId="16" borderId="915" xfId="0" applyFill="1" applyBorder="1" applyAlignment="1">
      <alignment horizontal="center"/>
    </xf>
    <xf numFmtId="0" fontId="0" fillId="16" borderId="916" xfId="0" applyFill="1" applyBorder="1" applyAlignment="1">
      <alignment horizontal="center"/>
    </xf>
    <xf numFmtId="0" fontId="0" fillId="16" borderId="880" xfId="0" applyFill="1" applyBorder="1"/>
    <xf numFmtId="0" fontId="0" fillId="44" borderId="780" xfId="0" applyFill="1" applyBorder="1" applyAlignment="1">
      <alignment horizontal="left"/>
    </xf>
    <xf numFmtId="0" fontId="128" fillId="7" borderId="0" xfId="0" applyFont="1" applyFill="1" applyAlignment="1">
      <alignment vertical="top" wrapText="1"/>
    </xf>
    <xf numFmtId="0" fontId="13" fillId="7" borderId="706" xfId="0" applyFont="1" applyFill="1" applyBorder="1" applyAlignment="1">
      <alignment horizontal="center" vertical="center" wrapText="1"/>
    </xf>
    <xf numFmtId="1" fontId="9" fillId="24" borderId="764" xfId="0" applyNumberFormat="1" applyFont="1" applyFill="1" applyBorder="1" applyAlignment="1">
      <alignment horizontal="center"/>
    </xf>
    <xf numFmtId="0" fontId="10" fillId="44" borderId="0" xfId="0" applyFont="1" applyFill="1" applyAlignment="1">
      <alignment horizontal="left" vertical="center"/>
    </xf>
    <xf numFmtId="0" fontId="67" fillId="27" borderId="468" xfId="0" applyFont="1" applyFill="1" applyBorder="1"/>
    <xf numFmtId="3" fontId="27" fillId="77" borderId="0" xfId="0" applyNumberFormat="1" applyFont="1" applyFill="1" applyAlignment="1">
      <alignment horizontal="left" vertical="center"/>
    </xf>
    <xf numFmtId="0" fontId="27" fillId="75" borderId="27" xfId="0" applyFont="1" applyFill="1" applyBorder="1" applyAlignment="1">
      <alignment horizontal="left" vertical="center"/>
    </xf>
    <xf numFmtId="0" fontId="9" fillId="77" borderId="79" xfId="0" applyFont="1" applyFill="1" applyBorder="1" applyAlignment="1">
      <alignment horizontal="left" vertical="center"/>
    </xf>
    <xf numFmtId="0" fontId="50" fillId="0" borderId="0" xfId="0" applyFont="1" applyAlignment="1">
      <alignment horizontal="left" vertical="center"/>
    </xf>
    <xf numFmtId="0" fontId="0" fillId="3" borderId="779" xfId="0" applyFill="1" applyBorder="1" applyAlignment="1">
      <alignment vertical="center" wrapText="1"/>
    </xf>
    <xf numFmtId="0" fontId="9" fillId="3" borderId="880"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45" fillId="8" borderId="0" xfId="0" applyFont="1" applyFill="1" applyAlignment="1">
      <alignment horizontal="right" vertical="center"/>
    </xf>
    <xf numFmtId="0" fontId="9" fillId="77" borderId="746" xfId="0" applyFont="1" applyFill="1" applyBorder="1" applyAlignment="1">
      <alignment vertical="top" wrapText="1"/>
    </xf>
    <xf numFmtId="0" fontId="135" fillId="27" borderId="0" xfId="0" applyFont="1" applyFill="1"/>
    <xf numFmtId="0" fontId="67" fillId="27" borderId="786" xfId="0" applyFont="1" applyFill="1" applyBorder="1"/>
    <xf numFmtId="0" fontId="0" fillId="3" borderId="880" xfId="0" applyFill="1" applyBorder="1"/>
    <xf numFmtId="0" fontId="0" fillId="31" borderId="904" xfId="0" applyFill="1" applyBorder="1"/>
    <xf numFmtId="0" fontId="9" fillId="31" borderId="377" xfId="0" applyFont="1" applyFill="1" applyBorder="1" applyAlignment="1">
      <alignment vertical="center"/>
    </xf>
    <xf numFmtId="0" fontId="13" fillId="54" borderId="958" xfId="0" applyFont="1" applyFill="1" applyBorder="1" applyAlignment="1">
      <alignment horizontal="center" vertical="center"/>
    </xf>
    <xf numFmtId="0" fontId="13" fillId="54" borderId="959" xfId="0" applyFont="1" applyFill="1" applyBorder="1" applyAlignment="1">
      <alignment horizontal="center" vertical="center"/>
    </xf>
    <xf numFmtId="0" fontId="13" fillId="54" borderId="960" xfId="0" applyFont="1" applyFill="1" applyBorder="1" applyAlignment="1">
      <alignment horizontal="center" vertical="center"/>
    </xf>
    <xf numFmtId="0" fontId="0" fillId="16" borderId="880" xfId="0" applyFill="1" applyBorder="1" applyAlignment="1">
      <alignment horizontal="left"/>
    </xf>
    <xf numFmtId="0" fontId="0" fillId="73" borderId="0" xfId="0" applyFill="1" applyAlignment="1">
      <alignment horizontal="center"/>
    </xf>
    <xf numFmtId="0" fontId="59" fillId="3" borderId="779" xfId="0" applyFont="1" applyFill="1" applyBorder="1"/>
    <xf numFmtId="0" fontId="9" fillId="53" borderId="779" xfId="0" applyFont="1" applyFill="1" applyBorder="1" applyAlignment="1">
      <alignment horizontal="left"/>
    </xf>
    <xf numFmtId="0" fontId="9" fillId="53" borderId="957" xfId="0" applyFont="1" applyFill="1" applyBorder="1" applyAlignment="1">
      <alignment horizontal="left"/>
    </xf>
    <xf numFmtId="0" fontId="9" fillId="53" borderId="952" xfId="0" applyFont="1" applyFill="1" applyBorder="1" applyAlignment="1">
      <alignment horizontal="left"/>
    </xf>
    <xf numFmtId="0" fontId="9" fillId="53" borderId="949" xfId="0" applyFont="1" applyFill="1" applyBorder="1" applyAlignment="1">
      <alignment horizontal="left"/>
    </xf>
    <xf numFmtId="0" fontId="9" fillId="53" borderId="79" xfId="0" applyFont="1" applyFill="1" applyBorder="1" applyAlignment="1">
      <alignment horizontal="left"/>
    </xf>
    <xf numFmtId="0" fontId="9" fillId="70" borderId="945" xfId="0" applyFont="1" applyFill="1" applyBorder="1" applyAlignment="1">
      <alignment horizontal="left"/>
    </xf>
    <xf numFmtId="0" fontId="0" fillId="24" borderId="880" xfId="0" applyFill="1" applyBorder="1"/>
    <xf numFmtId="0" fontId="0" fillId="24" borderId="909" xfId="0" applyFill="1" applyBorder="1"/>
    <xf numFmtId="0" fontId="0" fillId="24" borderId="904" xfId="0" applyFill="1" applyBorder="1"/>
    <xf numFmtId="0" fontId="0" fillId="24" borderId="907" xfId="0" applyFill="1" applyBorder="1"/>
    <xf numFmtId="0" fontId="67" fillId="3" borderId="0" xfId="0" applyFont="1" applyFill="1" applyAlignment="1">
      <alignment horizontal="center"/>
    </xf>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3" fillId="27" borderId="793" xfId="0" applyFont="1" applyFill="1" applyBorder="1" applyAlignment="1">
      <alignment vertical="center"/>
    </xf>
    <xf numFmtId="0" fontId="9" fillId="27" borderId="793" xfId="0" applyFont="1" applyFill="1" applyBorder="1"/>
    <xf numFmtId="0" fontId="13" fillId="49" borderId="793" xfId="0" applyFont="1" applyFill="1" applyBorder="1" applyAlignment="1">
      <alignment horizontal="center" vertical="center" wrapText="1"/>
    </xf>
    <xf numFmtId="0" fontId="12" fillId="49" borderId="464" xfId="0" applyFont="1" applyFill="1" applyBorder="1" applyAlignment="1">
      <alignment horizontal="center" vertical="center" wrapText="1"/>
    </xf>
    <xf numFmtId="0" fontId="13" fillId="49" borderId="466" xfId="0" applyFont="1" applyFill="1" applyBorder="1" applyAlignment="1">
      <alignment horizontal="center" vertical="center" wrapText="1"/>
    </xf>
    <xf numFmtId="0" fontId="0" fillId="3" borderId="464" xfId="0" applyFill="1" applyBorder="1"/>
    <xf numFmtId="0" fontId="9" fillId="27" borderId="459" xfId="0" applyFont="1" applyFill="1" applyBorder="1"/>
    <xf numFmtId="0" fontId="27" fillId="27" borderId="463" xfId="0" applyFont="1" applyFill="1" applyBorder="1" applyAlignment="1">
      <alignment horizontal="left"/>
    </xf>
    <xf numFmtId="0" fontId="9" fillId="27" borderId="473" xfId="0" applyFont="1" applyFill="1" applyBorder="1" applyAlignment="1">
      <alignment horizontal="center" vertical="center" wrapText="1"/>
    </xf>
    <xf numFmtId="0" fontId="12" fillId="49" borderId="474" xfId="0" applyFont="1" applyFill="1" applyBorder="1" applyAlignment="1">
      <alignment horizontal="center" vertical="center" wrapText="1"/>
    </xf>
    <xf numFmtId="0" fontId="13" fillId="49" borderId="474" xfId="0" applyFont="1" applyFill="1" applyBorder="1" applyAlignment="1">
      <alignment horizontal="center" vertical="center" wrapText="1"/>
    </xf>
    <xf numFmtId="0" fontId="0" fillId="3" borderId="459" xfId="0" applyFill="1" applyBorder="1"/>
    <xf numFmtId="0" fontId="0" fillId="3" borderId="462" xfId="0" applyFill="1" applyBorder="1"/>
    <xf numFmtId="0" fontId="74" fillId="49" borderId="0" xfId="0" applyFont="1" applyFill="1" applyAlignment="1">
      <alignment horizontal="center" vertical="center" wrapText="1"/>
    </xf>
    <xf numFmtId="0" fontId="163"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9" fillId="16" borderId="966" xfId="0" applyFont="1" applyFill="1" applyBorder="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59" fillId="44" borderId="0" xfId="0" applyFont="1" applyFill="1" applyAlignment="1">
      <alignment horizontal="right"/>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973" xfId="0" applyFont="1" applyFill="1" applyBorder="1" applyAlignment="1">
      <alignment horizontal="left"/>
    </xf>
    <xf numFmtId="0" fontId="0" fillId="75" borderId="974" xfId="0" applyFill="1" applyBorder="1" applyAlignment="1">
      <alignment horizontal="center"/>
    </xf>
    <xf numFmtId="0" fontId="9" fillId="24" borderId="951" xfId="0" applyFont="1" applyFill="1" applyBorder="1" applyAlignment="1">
      <alignment horizontal="center"/>
    </xf>
    <xf numFmtId="0" fontId="9" fillId="24" borderId="980" xfId="0" applyFont="1" applyFill="1" applyBorder="1" applyAlignment="1">
      <alignment horizontal="center"/>
    </xf>
    <xf numFmtId="0" fontId="9" fillId="24" borderId="100" xfId="0" applyFont="1" applyFill="1" applyBorder="1" applyAlignment="1">
      <alignment horizontal="center"/>
    </xf>
    <xf numFmtId="0" fontId="9" fillId="24" borderId="977" xfId="0" applyFont="1" applyFill="1" applyBorder="1" applyAlignment="1">
      <alignment horizontal="center"/>
    </xf>
    <xf numFmtId="0" fontId="9" fillId="24" borderId="978"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2" fillId="3" borderId="0" xfId="0" applyFont="1" applyFill="1" applyAlignment="1">
      <alignment horizontal="left" vertical="center"/>
    </xf>
    <xf numFmtId="0" fontId="67" fillId="3" borderId="0" xfId="0" applyFont="1" applyFill="1" applyAlignment="1">
      <alignment vertical="center"/>
    </xf>
    <xf numFmtId="0" fontId="172" fillId="3" borderId="0" xfId="0" applyFont="1" applyFill="1" applyAlignment="1">
      <alignment horizontal="center" vertical="center"/>
    </xf>
    <xf numFmtId="0" fontId="9" fillId="31" borderId="72" xfId="0" applyFont="1" applyFill="1" applyBorder="1" applyAlignment="1">
      <alignment horizontal="center"/>
    </xf>
    <xf numFmtId="0" fontId="67" fillId="3" borderId="880" xfId="0" applyFont="1" applyFill="1" applyBorder="1" applyAlignment="1">
      <alignment horizontal="center"/>
    </xf>
    <xf numFmtId="0" fontId="138" fillId="3" borderId="68" xfId="0" applyFont="1" applyFill="1" applyBorder="1" applyAlignment="1">
      <alignment horizontal="right" vertical="center"/>
    </xf>
    <xf numFmtId="0" fontId="155" fillId="3" borderId="68" xfId="0" applyFont="1" applyFill="1" applyBorder="1"/>
    <xf numFmtId="0" fontId="139" fillId="3" borderId="68" xfId="0" applyFont="1" applyFill="1" applyBorder="1" applyAlignment="1">
      <alignment horizontal="right" vertical="center"/>
    </xf>
    <xf numFmtId="0" fontId="139" fillId="3" borderId="68" xfId="0" applyFont="1" applyFill="1" applyBorder="1" applyAlignment="1">
      <alignment vertical="center"/>
    </xf>
    <xf numFmtId="0" fontId="67" fillId="3" borderId="68" xfId="0" applyFont="1" applyFill="1" applyBorder="1" applyAlignment="1">
      <alignment horizontal="right" vertical="center"/>
    </xf>
    <xf numFmtId="0" fontId="67" fillId="3" borderId="68" xfId="0" applyFont="1" applyFill="1" applyBorder="1" applyAlignment="1">
      <alignment horizontal="center" vertical="center"/>
    </xf>
    <xf numFmtId="0" fontId="13" fillId="54" borderId="0" xfId="0" applyFont="1" applyFill="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9" fillId="28" borderId="981" xfId="0" applyFont="1" applyFill="1" applyBorder="1" applyAlignment="1" applyProtection="1">
      <alignment horizontal="center"/>
      <protection locked="0"/>
    </xf>
    <xf numFmtId="0" fontId="9" fillId="28" borderId="982" xfId="0" applyFont="1" applyFill="1" applyBorder="1" applyAlignment="1" applyProtection="1">
      <alignment horizontal="center"/>
      <protection locked="0"/>
    </xf>
    <xf numFmtId="0" fontId="9" fillId="28" borderId="983" xfId="0" applyFont="1" applyFill="1" applyBorder="1" applyAlignment="1" applyProtection="1">
      <alignment horizontal="center"/>
      <protection locked="0"/>
    </xf>
    <xf numFmtId="0" fontId="13" fillId="51" borderId="322" xfId="0" applyFont="1" applyFill="1" applyBorder="1" applyAlignment="1" applyProtection="1">
      <alignment horizontal="center" vertical="center"/>
      <protection locked="0"/>
    </xf>
    <xf numFmtId="0" fontId="0" fillId="24" borderId="0" xfId="0" applyFill="1" applyAlignment="1">
      <alignment vertical="center" wrapText="1"/>
    </xf>
    <xf numFmtId="0" fontId="112"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69" fillId="3" borderId="0" xfId="0" applyFont="1" applyFill="1" applyAlignment="1">
      <alignment horizontal="left"/>
    </xf>
    <xf numFmtId="0" fontId="67" fillId="3" borderId="0" xfId="0" applyFont="1" applyFill="1" applyAlignment="1">
      <alignment wrapText="1"/>
    </xf>
    <xf numFmtId="0" fontId="169" fillId="3" borderId="0" xfId="0" applyFont="1" applyFill="1" applyAlignment="1">
      <alignment horizontal="left" vertical="center"/>
    </xf>
    <xf numFmtId="1" fontId="169" fillId="3" borderId="0" xfId="0" applyNumberFormat="1" applyFont="1" applyFill="1" applyAlignment="1">
      <alignment horizontal="left"/>
    </xf>
    <xf numFmtId="0" fontId="169"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69" fillId="3" borderId="0" xfId="0" applyFont="1" applyFill="1" applyAlignment="1">
      <alignment horizontal="left" shrinkToFit="1"/>
    </xf>
    <xf numFmtId="0" fontId="8" fillId="3" borderId="904" xfId="0" applyFont="1" applyFill="1" applyBorder="1" applyAlignment="1">
      <alignment horizontal="left" vertical="center"/>
    </xf>
    <xf numFmtId="0" fontId="8" fillId="75" borderId="904" xfId="0" applyFont="1" applyFill="1" applyBorder="1" applyAlignment="1">
      <alignment horizontal="left" vertical="center"/>
    </xf>
    <xf numFmtId="0" fontId="50" fillId="77" borderId="907" xfId="0" applyFont="1" applyFill="1" applyBorder="1" applyAlignment="1">
      <alignment horizontal="left" vertical="center" wrapText="1"/>
    </xf>
    <xf numFmtId="0" fontId="50" fillId="77" borderId="880" xfId="0" applyFont="1" applyFill="1" applyBorder="1" applyAlignment="1">
      <alignment horizontal="left" vertical="center" wrapText="1"/>
    </xf>
    <xf numFmtId="0" fontId="50" fillId="77" borderId="916" xfId="0" applyFont="1" applyFill="1" applyBorder="1" applyAlignment="1">
      <alignment horizontal="left" vertical="center" wrapText="1"/>
    </xf>
    <xf numFmtId="0" fontId="169" fillId="3" borderId="0" xfId="0" applyFont="1" applyFill="1"/>
    <xf numFmtId="0" fontId="64" fillId="31" borderId="0" xfId="0" applyFont="1" applyFill="1" applyAlignment="1">
      <alignment vertical="center"/>
    </xf>
    <xf numFmtId="0" fontId="122" fillId="31" borderId="0" xfId="0" applyFont="1" applyFill="1" applyAlignment="1">
      <alignment vertical="center"/>
    </xf>
    <xf numFmtId="0" fontId="121" fillId="31" borderId="0" xfId="0" applyFont="1" applyFill="1" applyAlignment="1">
      <alignment vertical="center"/>
    </xf>
    <xf numFmtId="0" fontId="173" fillId="3" borderId="0" xfId="0" applyFont="1" applyFill="1" applyAlignment="1">
      <alignment horizontal="center" vertical="center"/>
    </xf>
    <xf numFmtId="0" fontId="173" fillId="3" borderId="0" xfId="0" applyFont="1" applyFill="1" applyAlignment="1">
      <alignment horizontal="center"/>
    </xf>
    <xf numFmtId="0" fontId="109" fillId="3" borderId="0" xfId="0" applyFont="1" applyFill="1"/>
    <xf numFmtId="0" fontId="109"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9" fillId="50" borderId="946" xfId="0" applyFont="1" applyFill="1" applyBorder="1" applyAlignment="1">
      <alignment horizontal="center" vertical="center"/>
    </xf>
    <xf numFmtId="0" fontId="9" fillId="50" borderId="786" xfId="0" applyFont="1" applyFill="1" applyBorder="1" applyAlignment="1">
      <alignment horizontal="center" vertical="center"/>
    </xf>
    <xf numFmtId="0" fontId="9" fillId="50" borderId="916" xfId="0" applyFont="1" applyFill="1" applyBorder="1" applyAlignment="1">
      <alignment horizontal="center" vertical="center"/>
    </xf>
    <xf numFmtId="0" fontId="9" fillId="50" borderId="919" xfId="0" applyFont="1" applyFill="1" applyBorder="1" applyAlignment="1">
      <alignment horizontal="center" vertical="center"/>
    </xf>
    <xf numFmtId="0" fontId="45" fillId="8" borderId="909" xfId="0" applyFont="1" applyFill="1" applyBorder="1" applyAlignment="1">
      <alignment horizontal="center" vertical="center"/>
    </xf>
    <xf numFmtId="0" fontId="45" fillId="8" borderId="904" xfId="0" applyFont="1" applyFill="1" applyBorder="1" applyAlignment="1">
      <alignment horizontal="center" vertical="center"/>
    </xf>
    <xf numFmtId="0" fontId="45" fillId="8" borderId="907" xfId="0" applyFont="1" applyFill="1" applyBorder="1" applyAlignment="1">
      <alignment horizontal="center" vertical="center"/>
    </xf>
    <xf numFmtId="0" fontId="45" fillId="8" borderId="779" xfId="0" applyFont="1" applyFill="1" applyBorder="1" applyAlignment="1">
      <alignment horizontal="center" vertical="center"/>
    </xf>
    <xf numFmtId="0" fontId="45" fillId="8" borderId="880" xfId="0" applyFont="1" applyFill="1" applyBorder="1" applyAlignment="1">
      <alignment horizontal="center" vertical="center"/>
    </xf>
    <xf numFmtId="0" fontId="9" fillId="87" borderId="94" xfId="0" applyFont="1" applyFill="1" applyBorder="1"/>
    <xf numFmtId="0" fontId="109" fillId="3" borderId="91" xfId="0" applyFont="1" applyFill="1" applyBorder="1" applyAlignment="1">
      <alignment horizontal="center"/>
    </xf>
    <xf numFmtId="0" fontId="67" fillId="3" borderId="91" xfId="0" applyFont="1" applyFill="1" applyBorder="1" applyAlignment="1">
      <alignment horizontal="center"/>
    </xf>
    <xf numFmtId="0" fontId="9" fillId="3" borderId="91" xfId="0" applyFont="1" applyFill="1" applyBorder="1" applyAlignment="1">
      <alignment horizontal="center" vertical="center" wrapText="1"/>
    </xf>
    <xf numFmtId="0" fontId="84" fillId="27" borderId="0" xfId="0" applyFont="1" applyFill="1"/>
    <xf numFmtId="0" fontId="112"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635" xfId="0" applyFont="1" applyFill="1" applyBorder="1" applyAlignment="1">
      <alignment horizontal="center" vertical="center" wrapText="1"/>
    </xf>
    <xf numFmtId="0" fontId="0" fillId="7" borderId="0" xfId="0" applyFill="1" applyAlignment="1">
      <alignment vertical="center"/>
    </xf>
    <xf numFmtId="0" fontId="0" fillId="31" borderId="700" xfId="0" applyFill="1" applyBorder="1" applyAlignment="1">
      <alignment vertical="center" wrapText="1"/>
    </xf>
    <xf numFmtId="0" fontId="0" fillId="30" borderId="0" xfId="0" applyFill="1" applyAlignment="1">
      <alignment vertical="center" wrapText="1"/>
    </xf>
    <xf numFmtId="0" fontId="33" fillId="30" borderId="0" xfId="0" applyFont="1" applyFill="1" applyAlignment="1">
      <alignment horizontal="right" vertical="center"/>
    </xf>
    <xf numFmtId="0" fontId="0" fillId="27" borderId="86" xfId="0" applyFill="1" applyBorder="1" applyAlignment="1">
      <alignment vertical="center" wrapText="1"/>
    </xf>
    <xf numFmtId="0" fontId="0" fillId="27" borderId="87" xfId="0" applyFill="1" applyBorder="1" applyAlignment="1">
      <alignment vertical="center" wrapText="1"/>
    </xf>
    <xf numFmtId="0" fontId="0" fillId="27" borderId="91" xfId="0" applyFill="1" applyBorder="1" applyAlignment="1">
      <alignment vertical="center" wrapText="1"/>
    </xf>
    <xf numFmtId="0" fontId="0" fillId="31" borderId="322" xfId="0" applyFill="1" applyBorder="1" applyAlignment="1">
      <alignment vertical="center" wrapText="1"/>
    </xf>
    <xf numFmtId="0" fontId="0" fillId="31" borderId="71" xfId="0" applyFill="1" applyBorder="1" applyAlignment="1">
      <alignment vertical="center" wrapText="1"/>
    </xf>
    <xf numFmtId="0" fontId="174" fillId="30" borderId="79" xfId="0" applyFont="1" applyFill="1" applyBorder="1" applyAlignment="1">
      <alignment vertical="center" wrapText="1"/>
    </xf>
    <xf numFmtId="0" fontId="174" fillId="30" borderId="0" xfId="0" applyFont="1" applyFill="1" applyAlignment="1">
      <alignment vertical="center" wrapText="1"/>
    </xf>
    <xf numFmtId="0" fontId="0" fillId="30" borderId="79" xfId="0" applyFill="1" applyBorder="1"/>
    <xf numFmtId="0" fontId="0" fillId="31" borderId="78" xfId="0" applyFill="1" applyBorder="1"/>
    <xf numFmtId="0" fontId="0" fillId="31" borderId="79" xfId="0" applyFill="1" applyBorder="1"/>
    <xf numFmtId="0" fontId="0" fillId="31" borderId="78" xfId="0" applyFill="1" applyBorder="1" applyAlignment="1">
      <alignment horizontal="right" vertical="center" textRotation="90" wrapText="1"/>
    </xf>
    <xf numFmtId="0" fontId="0" fillId="31" borderId="78" xfId="0" applyFill="1" applyBorder="1" applyAlignment="1">
      <alignment horizontal="center" vertical="center" wrapText="1"/>
    </xf>
    <xf numFmtId="0" fontId="0" fillId="31" borderId="378" xfId="0" applyFill="1" applyBorder="1" applyAlignment="1">
      <alignment vertical="center" wrapText="1"/>
    </xf>
    <xf numFmtId="0" fontId="0" fillId="27" borderId="89" xfId="0" applyFill="1" applyBorder="1" applyAlignment="1">
      <alignment vertical="center" wrapText="1"/>
    </xf>
    <xf numFmtId="0" fontId="0" fillId="27" borderId="76" xfId="0" applyFill="1" applyBorder="1" applyAlignment="1">
      <alignment vertical="center" wrapText="1"/>
    </xf>
    <xf numFmtId="0" fontId="33" fillId="39" borderId="76" xfId="0" applyFont="1" applyFill="1" applyBorder="1" applyAlignment="1">
      <alignment horizontal="right" vertical="center"/>
    </xf>
    <xf numFmtId="0" fontId="33" fillId="39" borderId="90" xfId="0" applyFont="1" applyFill="1" applyBorder="1" applyAlignment="1">
      <alignment horizontal="right" vertical="center"/>
    </xf>
    <xf numFmtId="0" fontId="59" fillId="12" borderId="779" xfId="0" applyFont="1" applyFill="1" applyBorder="1"/>
    <xf numFmtId="0" fontId="12" fillId="24" borderId="989" xfId="0" applyFont="1" applyFill="1" applyBorder="1" applyAlignment="1">
      <alignment vertical="center"/>
    </xf>
    <xf numFmtId="0" fontId="9" fillId="24" borderId="996" xfId="0" applyFont="1" applyFill="1" applyBorder="1" applyAlignment="1">
      <alignment horizontal="right" vertical="center"/>
    </xf>
    <xf numFmtId="0" fontId="9" fillId="28" borderId="961" xfId="0" applyFont="1" applyFill="1" applyBorder="1" applyAlignment="1" applyProtection="1">
      <alignment horizontal="center" vertical="center"/>
      <protection locked="0"/>
    </xf>
    <xf numFmtId="0" fontId="9" fillId="23" borderId="957" xfId="0" applyFont="1" applyFill="1" applyBorder="1" applyAlignment="1">
      <alignment wrapText="1"/>
    </xf>
    <xf numFmtId="0" fontId="12" fillId="23" borderId="975" xfId="0" applyFont="1" applyFill="1" applyBorder="1" applyAlignment="1">
      <alignment horizontal="center" vertical="center" wrapText="1"/>
    </xf>
    <xf numFmtId="0" fontId="12" fillId="23" borderId="997" xfId="0" applyFont="1" applyFill="1" applyBorder="1" applyAlignment="1">
      <alignment horizontal="center" vertical="center" wrapText="1"/>
    </xf>
    <xf numFmtId="0" fontId="13" fillId="28" borderId="921" xfId="0" applyFont="1" applyFill="1" applyBorder="1" applyAlignment="1" applyProtection="1">
      <alignment horizontal="center" vertical="center"/>
      <protection locked="0"/>
    </xf>
    <xf numFmtId="0" fontId="96" fillId="12" borderId="880" xfId="0" applyFont="1" applyFill="1" applyBorder="1"/>
    <xf numFmtId="0" fontId="9" fillId="23" borderId="779" xfId="0" applyFont="1" applyFill="1" applyBorder="1" applyAlignment="1">
      <alignment horizontal="right" vertical="center"/>
    </xf>
    <xf numFmtId="0" fontId="10" fillId="23" borderId="930" xfId="0" applyFont="1" applyFill="1" applyBorder="1" applyAlignment="1">
      <alignment horizontal="center" vertical="center" wrapText="1"/>
    </xf>
    <xf numFmtId="0" fontId="12" fillId="23" borderId="941" xfId="0" applyFont="1" applyFill="1" applyBorder="1" applyAlignment="1">
      <alignment horizontal="center" vertical="center" wrapText="1"/>
    </xf>
    <xf numFmtId="0" fontId="0" fillId="23" borderId="779" xfId="0" applyFill="1" applyBorder="1"/>
    <xf numFmtId="0" fontId="9" fillId="23" borderId="913" xfId="0" applyFont="1" applyFill="1" applyBorder="1" applyAlignment="1">
      <alignment horizontal="center" vertical="center"/>
    </xf>
    <xf numFmtId="0" fontId="12" fillId="23" borderId="928" xfId="0" applyFont="1" applyFill="1" applyBorder="1" applyAlignment="1">
      <alignment horizontal="center" vertical="center"/>
    </xf>
    <xf numFmtId="1" fontId="16" fillId="23" borderId="921" xfId="0" applyNumberFormat="1" applyFont="1" applyFill="1" applyBorder="1" applyAlignment="1">
      <alignment horizontal="center" vertical="center" wrapText="1"/>
    </xf>
    <xf numFmtId="0" fontId="16" fillId="23" borderId="999" xfId="0" applyFont="1" applyFill="1" applyBorder="1" applyAlignment="1">
      <alignment horizontal="center" vertical="center" wrapText="1"/>
    </xf>
    <xf numFmtId="0" fontId="13" fillId="23" borderId="961" xfId="0" applyFont="1" applyFill="1" applyBorder="1" applyAlignment="1">
      <alignment horizontal="center" vertical="center" wrapText="1"/>
    </xf>
    <xf numFmtId="0" fontId="13" fillId="23" borderId="880" xfId="0" applyFont="1" applyFill="1" applyBorder="1" applyAlignment="1">
      <alignment horizontal="center" vertical="center" wrapText="1"/>
    </xf>
    <xf numFmtId="0" fontId="13" fillId="23" borderId="916" xfId="0" applyFont="1" applyFill="1" applyBorder="1" applyAlignment="1">
      <alignment horizontal="center" vertical="center" wrapText="1"/>
    </xf>
    <xf numFmtId="0" fontId="103" fillId="12" borderId="779" xfId="0" applyFont="1" applyFill="1" applyBorder="1" applyAlignment="1">
      <alignment horizontal="center" vertical="center" wrapText="1"/>
    </xf>
    <xf numFmtId="0" fontId="39" fillId="23" borderId="779" xfId="0" applyFont="1" applyFill="1" applyBorder="1" applyAlignment="1">
      <alignment horizontal="center"/>
    </xf>
    <xf numFmtId="0" fontId="9" fillId="23" borderId="946" xfId="0" applyFont="1" applyFill="1" applyBorder="1" applyAlignment="1">
      <alignment horizontal="right" vertical="center"/>
    </xf>
    <xf numFmtId="0" fontId="9" fillId="23" borderId="915" xfId="0" applyFont="1" applyFill="1" applyBorder="1" applyAlignment="1">
      <alignment horizontal="center" vertical="center"/>
    </xf>
    <xf numFmtId="0" fontId="13" fillId="28" borderId="834" xfId="0" applyFont="1" applyFill="1" applyBorder="1" applyAlignment="1" applyProtection="1">
      <alignment horizontal="center" vertical="center"/>
      <protection locked="0"/>
    </xf>
    <xf numFmtId="0" fontId="76" fillId="28" borderId="958" xfId="0" applyFont="1" applyFill="1" applyBorder="1" applyAlignment="1">
      <alignment horizontal="center"/>
    </xf>
    <xf numFmtId="0" fontId="76" fillId="28" borderId="959" xfId="0" applyFont="1" applyFill="1" applyBorder="1" applyAlignment="1">
      <alignment horizontal="center"/>
    </xf>
    <xf numFmtId="0" fontId="76" fillId="28" borderId="960" xfId="0" applyFont="1" applyFill="1" applyBorder="1" applyAlignment="1">
      <alignment horizontal="center"/>
    </xf>
    <xf numFmtId="0" fontId="59" fillId="12" borderId="946" xfId="0" applyFont="1" applyFill="1" applyBorder="1"/>
    <xf numFmtId="0" fontId="0" fillId="12" borderId="915" xfId="0" applyFill="1" applyBorder="1"/>
    <xf numFmtId="0" fontId="96" fillId="12" borderId="916" xfId="0" applyFont="1" applyFill="1" applyBorder="1"/>
    <xf numFmtId="0" fontId="9" fillId="92" borderId="14" xfId="0" applyFont="1" applyFill="1" applyBorder="1" applyAlignment="1">
      <alignment horizontal="center"/>
    </xf>
    <xf numFmtId="0" fontId="0" fillId="92" borderId="0" xfId="0" applyFill="1" applyAlignment="1">
      <alignment horizontal="left"/>
    </xf>
    <xf numFmtId="0" fontId="0" fillId="92" borderId="0" xfId="0" applyFill="1" applyAlignment="1">
      <alignment horizontal="center" vertical="center"/>
    </xf>
    <xf numFmtId="9" fontId="0" fillId="92" borderId="0" xfId="8" applyFont="1" applyFill="1" applyAlignment="1">
      <alignment horizontal="left" vertical="center"/>
    </xf>
    <xf numFmtId="9" fontId="0" fillId="92" borderId="0" xfId="8" applyFont="1" applyFill="1" applyAlignment="1">
      <alignment horizontal="center" vertical="center"/>
    </xf>
    <xf numFmtId="1" fontId="0" fillId="92" borderId="0" xfId="5" applyNumberFormat="1" applyFont="1" applyFill="1" applyAlignment="1">
      <alignment horizontal="center" vertical="center"/>
    </xf>
    <xf numFmtId="1" fontId="0" fillId="92" borderId="0" xfId="5" applyNumberFormat="1" applyFont="1" applyFill="1" applyAlignment="1">
      <alignment horizontal="left" vertical="center"/>
    </xf>
    <xf numFmtId="1" fontId="0" fillId="92" borderId="0" xfId="0" applyNumberFormat="1" applyFill="1" applyAlignment="1">
      <alignment horizontal="center" vertical="center"/>
    </xf>
    <xf numFmtId="1" fontId="0" fillId="92" borderId="0" xfId="0" applyNumberFormat="1" applyFill="1" applyAlignment="1">
      <alignment horizontal="left" vertical="center"/>
    </xf>
    <xf numFmtId="0" fontId="0" fillId="92" borderId="0" xfId="0" applyFill="1" applyAlignment="1">
      <alignment horizontal="center"/>
    </xf>
    <xf numFmtId="0" fontId="0" fillId="92" borderId="0" xfId="0" applyFill="1"/>
    <xf numFmtId="0" fontId="0" fillId="92" borderId="879" xfId="0" applyFill="1" applyBorder="1"/>
    <xf numFmtId="49" fontId="0" fillId="92" borderId="0" xfId="0" applyNumberFormat="1" applyFill="1" applyAlignment="1">
      <alignment horizontal="left" vertical="center"/>
    </xf>
    <xf numFmtId="0" fontId="0" fillId="3" borderId="879" xfId="0" applyFill="1" applyBorder="1"/>
    <xf numFmtId="0" fontId="9" fillId="92" borderId="900" xfId="0" applyFont="1" applyFill="1" applyBorder="1" applyAlignment="1">
      <alignment horizontal="center"/>
    </xf>
    <xf numFmtId="49" fontId="0" fillId="92" borderId="901" xfId="0" applyNumberFormat="1" applyFill="1" applyBorder="1" applyAlignment="1">
      <alignment horizontal="left" vertical="center"/>
    </xf>
    <xf numFmtId="0" fontId="0" fillId="92" borderId="901" xfId="0" applyFill="1" applyBorder="1" applyAlignment="1">
      <alignment horizontal="center" vertical="center"/>
    </xf>
    <xf numFmtId="9" fontId="0" fillId="92" borderId="901" xfId="8" applyFont="1" applyFill="1" applyBorder="1" applyAlignment="1">
      <alignment horizontal="left" vertical="center"/>
    </xf>
    <xf numFmtId="9" fontId="0" fillId="92" borderId="901" xfId="8" applyFont="1" applyFill="1" applyBorder="1" applyAlignment="1">
      <alignment horizontal="center" vertical="center"/>
    </xf>
    <xf numFmtId="1" fontId="0" fillId="92" borderId="901" xfId="5" applyNumberFormat="1" applyFont="1" applyFill="1" applyBorder="1" applyAlignment="1">
      <alignment horizontal="center" vertical="center"/>
    </xf>
    <xf numFmtId="1" fontId="0" fillId="92" borderId="901" xfId="5" applyNumberFormat="1" applyFont="1" applyFill="1" applyBorder="1" applyAlignment="1">
      <alignment horizontal="left" vertical="center"/>
    </xf>
    <xf numFmtId="1" fontId="0" fillId="92" borderId="901" xfId="0" applyNumberFormat="1" applyFill="1" applyBorder="1" applyAlignment="1">
      <alignment horizontal="left" vertical="center"/>
    </xf>
    <xf numFmtId="1" fontId="0" fillId="92" borderId="901" xfId="0" applyNumberFormat="1" applyFill="1" applyBorder="1" applyAlignment="1">
      <alignment horizontal="center" vertical="center"/>
    </xf>
    <xf numFmtId="0" fontId="0" fillId="92" borderId="901" xfId="0" applyFill="1" applyBorder="1" applyAlignment="1">
      <alignment horizontal="center"/>
    </xf>
    <xf numFmtId="0" fontId="0" fillId="92" borderId="901" xfId="0" applyFill="1" applyBorder="1"/>
    <xf numFmtId="0" fontId="0" fillId="92" borderId="991" xfId="0" applyFill="1" applyBorder="1"/>
    <xf numFmtId="0" fontId="9" fillId="3" borderId="880" xfId="0" applyFont="1" applyFill="1" applyBorder="1" applyAlignment="1">
      <alignment horizontal="right" vertical="center"/>
    </xf>
    <xf numFmtId="0" fontId="9" fillId="92" borderId="0" xfId="0" applyFont="1" applyFill="1" applyAlignment="1">
      <alignment vertical="center"/>
    </xf>
    <xf numFmtId="0" fontId="9" fillId="92" borderId="0" xfId="0" applyFont="1" applyFill="1" applyAlignment="1">
      <alignment horizontal="left" vertical="center"/>
    </xf>
    <xf numFmtId="1" fontId="9" fillId="92" borderId="0" xfId="0" applyNumberFormat="1" applyFont="1" applyFill="1" applyAlignment="1">
      <alignment horizontal="center" vertical="center"/>
    </xf>
    <xf numFmtId="1" fontId="9" fillId="92" borderId="0" xfId="0" applyNumberFormat="1" applyFont="1" applyFill="1" applyAlignment="1">
      <alignment horizontal="left" vertical="center"/>
    </xf>
    <xf numFmtId="0" fontId="9" fillId="92" borderId="880" xfId="0" applyFont="1" applyFill="1" applyBorder="1" applyAlignment="1">
      <alignment horizontal="right" vertical="center"/>
    </xf>
    <xf numFmtId="0" fontId="9" fillId="27" borderId="0" xfId="0" applyFont="1" applyFill="1" applyAlignment="1">
      <alignment vertical="center"/>
    </xf>
    <xf numFmtId="0" fontId="9" fillId="27" borderId="0" xfId="0" applyFont="1" applyFill="1" applyAlignment="1">
      <alignment horizontal="left" vertical="center"/>
    </xf>
    <xf numFmtId="1" fontId="9" fillId="27" borderId="0" xfId="0" applyNumberFormat="1" applyFont="1" applyFill="1" applyAlignment="1">
      <alignment horizontal="center" vertical="center"/>
    </xf>
    <xf numFmtId="1" fontId="9" fillId="27" borderId="0" xfId="0" applyNumberFormat="1" applyFont="1" applyFill="1" applyAlignment="1">
      <alignment horizontal="left" vertical="center"/>
    </xf>
    <xf numFmtId="0" fontId="9" fillId="27" borderId="880" xfId="0" applyFont="1" applyFill="1" applyBorder="1" applyAlignment="1">
      <alignment horizontal="right" vertical="center"/>
    </xf>
    <xf numFmtId="0" fontId="9" fillId="92" borderId="0" xfId="0" quotePrefix="1" applyFont="1" applyFill="1" applyAlignment="1">
      <alignment horizontal="left" vertical="center"/>
    </xf>
    <xf numFmtId="0" fontId="9" fillId="73" borderId="0" xfId="0" applyFont="1" applyFill="1" applyAlignment="1">
      <alignment horizontal="center"/>
    </xf>
    <xf numFmtId="1" fontId="9" fillId="92" borderId="880" xfId="0" applyNumberFormat="1" applyFont="1" applyFill="1" applyBorder="1" applyAlignment="1">
      <alignment horizontal="center" vertical="center"/>
    </xf>
    <xf numFmtId="1" fontId="9" fillId="3" borderId="880" xfId="0" applyNumberFormat="1" applyFont="1" applyFill="1" applyBorder="1" applyAlignment="1">
      <alignment horizontal="center" vertical="center"/>
    </xf>
    <xf numFmtId="1" fontId="9" fillId="3" borderId="880" xfId="0" applyNumberFormat="1" applyFont="1" applyFill="1" applyBorder="1" applyAlignment="1">
      <alignment horizontal="right" vertical="center"/>
    </xf>
    <xf numFmtId="1" fontId="9" fillId="3" borderId="915" xfId="0" applyNumberFormat="1" applyFont="1" applyFill="1" applyBorder="1" applyAlignment="1">
      <alignment horizontal="left" vertical="center"/>
    </xf>
    <xf numFmtId="1" fontId="9" fillId="3" borderId="915" xfId="0" applyNumberFormat="1" applyFont="1" applyFill="1" applyBorder="1" applyAlignment="1">
      <alignment horizontal="center" vertical="center"/>
    </xf>
    <xf numFmtId="1" fontId="9" fillId="3" borderId="916" xfId="0" applyNumberFormat="1" applyFont="1" applyFill="1" applyBorder="1" applyAlignment="1">
      <alignment horizontal="right" vertical="center"/>
    </xf>
    <xf numFmtId="0" fontId="57" fillId="8" borderId="880" xfId="0" applyFont="1" applyFill="1" applyBorder="1" applyAlignment="1">
      <alignment horizontal="center" vertical="center"/>
    </xf>
    <xf numFmtId="0" fontId="9" fillId="3" borderId="880" xfId="0" applyFont="1" applyFill="1" applyBorder="1" applyAlignment="1">
      <alignment horizontal="left" vertical="center"/>
    </xf>
    <xf numFmtId="0" fontId="9" fillId="92" borderId="880" xfId="0" applyFont="1" applyFill="1" applyBorder="1" applyAlignment="1">
      <alignment horizontal="left" vertical="center"/>
    </xf>
    <xf numFmtId="0" fontId="9" fillId="3" borderId="915" xfId="0" applyFont="1" applyFill="1" applyBorder="1" applyAlignment="1">
      <alignment horizontal="left" vertical="center"/>
    </xf>
    <xf numFmtId="0" fontId="9" fillId="3" borderId="916" xfId="0" applyFont="1" applyFill="1" applyBorder="1" applyAlignment="1">
      <alignment horizontal="left" vertical="center"/>
    </xf>
    <xf numFmtId="0" fontId="9" fillId="92" borderId="0" xfId="0" quotePrefix="1" applyFont="1" applyFill="1" applyAlignment="1">
      <alignment horizontal="center" vertical="center"/>
    </xf>
    <xf numFmtId="0" fontId="9" fillId="92" borderId="0" xfId="0" applyFont="1" applyFill="1" applyAlignment="1">
      <alignment horizontal="center" vertical="center"/>
    </xf>
    <xf numFmtId="0" fontId="9" fillId="3" borderId="0" xfId="0" quotePrefix="1" applyFont="1" applyFill="1" applyAlignment="1">
      <alignment horizontal="center" vertical="center"/>
    </xf>
    <xf numFmtId="0" fontId="9" fillId="73" borderId="0" xfId="0" applyFont="1" applyFill="1" applyAlignment="1">
      <alignment horizontal="right"/>
    </xf>
    <xf numFmtId="0" fontId="9" fillId="73" borderId="0" xfId="0" quotePrefix="1" applyFont="1" applyFill="1" applyAlignment="1">
      <alignment horizontal="left"/>
    </xf>
    <xf numFmtId="0" fontId="9" fillId="73" borderId="0" xfId="0" quotePrefix="1" applyFont="1" applyFill="1" applyAlignment="1">
      <alignment horizontal="center"/>
    </xf>
    <xf numFmtId="0" fontId="57" fillId="43" borderId="0" xfId="0" applyFont="1" applyFill="1" applyAlignment="1">
      <alignment horizontal="center" vertical="center"/>
    </xf>
    <xf numFmtId="0" fontId="57" fillId="43" borderId="462" xfId="0" applyFont="1" applyFill="1" applyBorder="1" applyAlignment="1">
      <alignment horizontal="center" vertical="center"/>
    </xf>
    <xf numFmtId="0" fontId="57" fillId="43" borderId="463" xfId="0" applyFont="1" applyFill="1" applyBorder="1" applyAlignment="1">
      <alignment horizontal="center" vertical="center"/>
    </xf>
    <xf numFmtId="0" fontId="0" fillId="16" borderId="462" xfId="0" applyFill="1" applyBorder="1"/>
    <xf numFmtId="0" fontId="0" fillId="16" borderId="0" xfId="0" applyFill="1" applyAlignment="1">
      <alignment horizontal="left" vertical="center"/>
    </xf>
    <xf numFmtId="0" fontId="0" fillId="3" borderId="879" xfId="0" applyFill="1" applyBorder="1" applyAlignment="1">
      <alignment horizontal="center"/>
    </xf>
    <xf numFmtId="0" fontId="0" fillId="93" borderId="462" xfId="0" applyFill="1" applyBorder="1" applyAlignment="1">
      <alignment horizontal="left"/>
    </xf>
    <xf numFmtId="0" fontId="0" fillId="93" borderId="0" xfId="0" applyFill="1" applyAlignment="1">
      <alignment horizontal="left"/>
    </xf>
    <xf numFmtId="0" fontId="0" fillId="93" borderId="0" xfId="0" applyFill="1" applyAlignment="1">
      <alignment horizontal="center" vertical="center"/>
    </xf>
    <xf numFmtId="0" fontId="0" fillId="93" borderId="0" xfId="0" applyFill="1"/>
    <xf numFmtId="0" fontId="0" fillId="93" borderId="463" xfId="0" applyFill="1" applyBorder="1"/>
    <xf numFmtId="0" fontId="0" fillId="94" borderId="0" xfId="0" applyFill="1" applyAlignment="1">
      <alignment horizontal="left"/>
    </xf>
    <xf numFmtId="0" fontId="0" fillId="93" borderId="462" xfId="0" applyFill="1" applyBorder="1"/>
    <xf numFmtId="0" fontId="0" fillId="93" borderId="464" xfId="0" applyFill="1" applyBorder="1"/>
    <xf numFmtId="0" fontId="0" fillId="93" borderId="465" xfId="0" applyFill="1" applyBorder="1"/>
    <xf numFmtId="0" fontId="0" fillId="93" borderId="466" xfId="0" applyFill="1" applyBorder="1"/>
    <xf numFmtId="0" fontId="9" fillId="95" borderId="0" xfId="0" applyFont="1" applyFill="1" applyAlignment="1">
      <alignment horizontal="right" vertical="center"/>
    </xf>
    <xf numFmtId="0" fontId="9" fillId="95" borderId="0" xfId="8" applyNumberFormat="1" applyFont="1" applyFill="1" applyBorder="1" applyAlignment="1">
      <alignment horizontal="center" vertical="center"/>
    </xf>
    <xf numFmtId="0" fontId="9" fillId="95" borderId="0" xfId="0" applyFont="1" applyFill="1" applyAlignment="1">
      <alignment horizontal="center" vertical="center"/>
    </xf>
    <xf numFmtId="0" fontId="9" fillId="95" borderId="0" xfId="0" applyFont="1" applyFill="1" applyAlignment="1">
      <alignment horizontal="left" vertical="center"/>
    </xf>
    <xf numFmtId="1" fontId="9" fillId="95" borderId="0" xfId="0" applyNumberFormat="1" applyFont="1" applyFill="1" applyAlignment="1">
      <alignment horizontal="center" vertical="center"/>
    </xf>
    <xf numFmtId="0" fontId="9" fillId="95" borderId="0" xfId="0" applyFont="1" applyFill="1" applyAlignment="1">
      <alignment vertical="center"/>
    </xf>
    <xf numFmtId="0" fontId="0" fillId="87" borderId="0" xfId="0" applyFill="1" applyAlignment="1">
      <alignment horizontal="center" vertical="center"/>
    </xf>
    <xf numFmtId="0" fontId="0" fillId="3" borderId="946" xfId="0" applyFill="1" applyBorder="1"/>
    <xf numFmtId="0" fontId="0" fillId="3" borderId="786" xfId="0" applyFill="1" applyBorder="1" applyAlignment="1">
      <alignment horizontal="right" vertical="center"/>
    </xf>
    <xf numFmtId="0" fontId="0" fillId="3" borderId="786" xfId="0" applyFill="1" applyBorder="1" applyAlignment="1">
      <alignment horizontal="center" vertical="center"/>
    </xf>
    <xf numFmtId="0" fontId="0" fillId="3" borderId="786" xfId="0" applyFill="1" applyBorder="1" applyAlignment="1">
      <alignment horizontal="left" vertical="center"/>
    </xf>
    <xf numFmtId="0" fontId="48" fillId="3" borderId="786" xfId="0" applyFont="1" applyFill="1" applyBorder="1" applyAlignment="1">
      <alignment vertical="center"/>
    </xf>
    <xf numFmtId="0" fontId="9" fillId="3" borderId="786" xfId="0" applyFont="1" applyFill="1" applyBorder="1" applyAlignment="1">
      <alignment horizontal="center" vertical="center"/>
    </xf>
    <xf numFmtId="0" fontId="0" fillId="16" borderId="920" xfId="0" applyFill="1" applyBorder="1" applyAlignment="1">
      <alignment horizontal="left"/>
    </xf>
    <xf numFmtId="0" fontId="0" fillId="16" borderId="786" xfId="0" applyFill="1" applyBorder="1" applyAlignment="1">
      <alignment horizontal="left"/>
    </xf>
    <xf numFmtId="0" fontId="0" fillId="16" borderId="781" xfId="0" applyFill="1" applyBorder="1" applyAlignment="1">
      <alignment horizontal="left"/>
    </xf>
    <xf numFmtId="0" fontId="0" fillId="92" borderId="91" xfId="0" applyFill="1" applyBorder="1"/>
    <xf numFmtId="0" fontId="0" fillId="92" borderId="0" xfId="0" applyFill="1" applyAlignment="1">
      <alignment horizontal="right" vertical="center"/>
    </xf>
    <xf numFmtId="0" fontId="48" fillId="73" borderId="0" xfId="0" applyFont="1" applyFill="1" applyAlignment="1">
      <alignment horizontal="left"/>
    </xf>
    <xf numFmtId="0" fontId="48" fillId="73" borderId="0" xfId="0" applyFont="1" applyFill="1" applyAlignment="1">
      <alignment horizontal="center" vertical="center"/>
    </xf>
    <xf numFmtId="0" fontId="0" fillId="73" borderId="78" xfId="0" applyFill="1" applyBorder="1" applyAlignment="1">
      <alignment horizontal="left"/>
    </xf>
    <xf numFmtId="0" fontId="0" fillId="73" borderId="880" xfId="0" applyFill="1" applyBorder="1" applyAlignment="1">
      <alignment horizontal="left"/>
    </xf>
    <xf numFmtId="0" fontId="48" fillId="73" borderId="0" xfId="0" quotePrefix="1" applyFont="1" applyFill="1" applyAlignment="1">
      <alignment horizontal="left"/>
    </xf>
    <xf numFmtId="0" fontId="0" fillId="3" borderId="880" xfId="0" applyFill="1" applyBorder="1" applyAlignment="1">
      <alignment horizontal="left"/>
    </xf>
    <xf numFmtId="0" fontId="0" fillId="3" borderId="781" xfId="0" applyFill="1" applyBorder="1" applyAlignment="1">
      <alignment horizontal="left"/>
    </xf>
    <xf numFmtId="0" fontId="15" fillId="8" borderId="995" xfId="0" applyFont="1" applyFill="1" applyBorder="1" applyAlignment="1">
      <alignment horizontal="left" vertical="center"/>
    </xf>
    <xf numFmtId="0" fontId="9" fillId="3" borderId="908" xfId="0" applyFont="1" applyFill="1" applyBorder="1" applyAlignment="1">
      <alignment horizontal="left" vertical="center"/>
    </xf>
    <xf numFmtId="0" fontId="0" fillId="73" borderId="94" xfId="0" applyFill="1" applyBorder="1"/>
    <xf numFmtId="0" fontId="0" fillId="73" borderId="95" xfId="0" applyFill="1" applyBorder="1" applyAlignment="1">
      <alignment horizontal="left"/>
    </xf>
    <xf numFmtId="0" fontId="0" fillId="73" borderId="94" xfId="0" applyFill="1" applyBorder="1" applyAlignment="1">
      <alignment horizontal="left"/>
    </xf>
    <xf numFmtId="0" fontId="0" fillId="92" borderId="0" xfId="0" applyFill="1" applyAlignment="1">
      <alignment horizontal="left" vertical="center"/>
    </xf>
    <xf numFmtId="0" fontId="48" fillId="92" borderId="0" xfId="0" applyFont="1" applyFill="1" applyAlignment="1">
      <alignment vertical="center"/>
    </xf>
    <xf numFmtId="0" fontId="48" fillId="92" borderId="0" xfId="0" quotePrefix="1" applyFont="1" applyFill="1" applyAlignment="1">
      <alignment vertical="center"/>
    </xf>
    <xf numFmtId="0" fontId="0" fillId="92" borderId="915" xfId="0" applyFill="1" applyBorder="1" applyAlignment="1">
      <alignment horizontal="center" vertical="center"/>
    </xf>
    <xf numFmtId="0" fontId="155" fillId="73" borderId="0" xfId="0" applyFont="1" applyFill="1"/>
    <xf numFmtId="0" fontId="155" fillId="92" borderId="0" xfId="0" applyFont="1" applyFill="1" applyAlignment="1">
      <alignment horizontal="center" vertical="center"/>
    </xf>
    <xf numFmtId="0" fontId="155" fillId="92" borderId="0" xfId="0" applyFont="1" applyFill="1" applyAlignment="1">
      <alignment horizontal="center"/>
    </xf>
    <xf numFmtId="0" fontId="155" fillId="73" borderId="0" xfId="0" applyFont="1" applyFill="1" applyAlignment="1">
      <alignment horizontal="left"/>
    </xf>
    <xf numFmtId="0" fontId="139" fillId="73" borderId="0" xfId="0" applyFont="1" applyFill="1"/>
    <xf numFmtId="0" fontId="0" fillId="92" borderId="0" xfId="0" applyFill="1" applyAlignment="1">
      <alignment horizontal="right"/>
    </xf>
    <xf numFmtId="0" fontId="9" fillId="73" borderId="0" xfId="0" applyFont="1" applyFill="1"/>
    <xf numFmtId="0" fontId="9" fillId="92" borderId="0" xfId="0" applyFont="1" applyFill="1" applyAlignment="1">
      <alignment horizontal="right"/>
    </xf>
    <xf numFmtId="0" fontId="9" fillId="92" borderId="0" xfId="0" applyFont="1" applyFill="1"/>
    <xf numFmtId="0" fontId="55" fillId="73" borderId="0" xfId="0" applyFont="1" applyFill="1"/>
    <xf numFmtId="0" fontId="45" fillId="72" borderId="876" xfId="0" applyFont="1" applyFill="1" applyBorder="1"/>
    <xf numFmtId="0" fontId="45" fillId="72" borderId="906" xfId="0" applyFont="1" applyFill="1" applyBorder="1"/>
    <xf numFmtId="0" fontId="45" fillId="72" borderId="906" xfId="0" applyFont="1" applyFill="1" applyBorder="1" applyAlignment="1">
      <alignment horizontal="center"/>
    </xf>
    <xf numFmtId="0" fontId="45" fillId="72" borderId="906" xfId="0" applyFont="1" applyFill="1" applyBorder="1" applyAlignment="1">
      <alignment horizontal="center" vertical="center"/>
    </xf>
    <xf numFmtId="0" fontId="45" fillId="72" borderId="906" xfId="0" applyFont="1" applyFill="1" applyBorder="1" applyAlignment="1">
      <alignment horizontal="left"/>
    </xf>
    <xf numFmtId="0" fontId="45" fillId="72" borderId="877" xfId="0" applyFont="1" applyFill="1" applyBorder="1"/>
    <xf numFmtId="0" fontId="0" fillId="73" borderId="879" xfId="0" applyFill="1" applyBorder="1" applyAlignment="1">
      <alignment horizontal="left"/>
    </xf>
    <xf numFmtId="0" fontId="0" fillId="73" borderId="876" xfId="0" applyFill="1" applyBorder="1"/>
    <xf numFmtId="0" fontId="0" fillId="73" borderId="786" xfId="0" applyFill="1" applyBorder="1"/>
    <xf numFmtId="0" fontId="0" fillId="73" borderId="1005" xfId="0" applyFill="1" applyBorder="1"/>
    <xf numFmtId="0" fontId="0" fillId="73" borderId="1005" xfId="0" applyFill="1" applyBorder="1" applyAlignment="1">
      <alignment horizontal="center" vertical="center"/>
    </xf>
    <xf numFmtId="0" fontId="0" fillId="73" borderId="1005" xfId="0" applyFill="1" applyBorder="1" applyAlignment="1">
      <alignment horizontal="left"/>
    </xf>
    <xf numFmtId="0" fontId="9" fillId="73" borderId="1005" xfId="0" applyFont="1" applyFill="1" applyBorder="1" applyAlignment="1">
      <alignment horizontal="left"/>
    </xf>
    <xf numFmtId="0" fontId="0" fillId="73" borderId="1006" xfId="0" applyFill="1" applyBorder="1" applyAlignment="1">
      <alignment horizontal="left"/>
    </xf>
    <xf numFmtId="0" fontId="55" fillId="73" borderId="0" xfId="0" applyFont="1" applyFill="1" applyAlignment="1">
      <alignment horizontal="left"/>
    </xf>
    <xf numFmtId="0" fontId="27" fillId="73" borderId="0" xfId="0" applyFont="1" applyFill="1" applyAlignment="1">
      <alignment horizontal="center" vertical="center"/>
    </xf>
    <xf numFmtId="0" fontId="53" fillId="43" borderId="0" xfId="0" applyFont="1" applyFill="1"/>
    <xf numFmtId="0" fontId="53" fillId="43" borderId="0" xfId="0" applyFont="1" applyFill="1" applyAlignment="1">
      <alignment horizontal="left"/>
    </xf>
    <xf numFmtId="0" fontId="90" fillId="43" borderId="880" xfId="0" applyFont="1" applyFill="1" applyBorder="1" applyAlignment="1">
      <alignment horizontal="center" vertical="center" wrapText="1"/>
    </xf>
    <xf numFmtId="0" fontId="0" fillId="44" borderId="880" xfId="0" applyFill="1" applyBorder="1" applyAlignment="1">
      <alignment horizontal="center" vertical="center" wrapText="1"/>
    </xf>
    <xf numFmtId="0" fontId="0" fillId="44" borderId="916" xfId="0" applyFill="1" applyBorder="1" applyAlignment="1">
      <alignment horizontal="center" vertical="center" wrapText="1"/>
    </xf>
    <xf numFmtId="0" fontId="0" fillId="73" borderId="880" xfId="0" applyFill="1" applyBorder="1" applyAlignment="1">
      <alignment horizontal="center" vertical="center" wrapText="1"/>
    </xf>
    <xf numFmtId="0" fontId="0" fillId="73" borderId="916" xfId="0" applyFill="1" applyBorder="1" applyAlignment="1">
      <alignment horizontal="center" vertical="center" wrapText="1"/>
    </xf>
    <xf numFmtId="0" fontId="169" fillId="12" borderId="0" xfId="0" applyFont="1" applyFill="1"/>
    <xf numFmtId="0" fontId="0" fillId="16" borderId="766" xfId="0" applyFill="1" applyBorder="1" applyAlignment="1">
      <alignment horizontal="center"/>
    </xf>
    <xf numFmtId="0" fontId="0" fillId="16" borderId="1007" xfId="0" applyFill="1" applyBorder="1" applyAlignment="1">
      <alignment horizontal="center"/>
    </xf>
    <xf numFmtId="0" fontId="58" fillId="43" borderId="766" xfId="0" applyFont="1" applyFill="1" applyBorder="1" applyAlignment="1">
      <alignment horizontal="center"/>
    </xf>
    <xf numFmtId="0" fontId="58" fillId="43" borderId="0" xfId="0" applyFont="1" applyFill="1" applyAlignment="1">
      <alignment horizontal="center"/>
    </xf>
    <xf numFmtId="0" fontId="58" fillId="43" borderId="880" xfId="0" applyFont="1" applyFill="1" applyBorder="1" applyAlignment="1">
      <alignment horizontal="center"/>
    </xf>
    <xf numFmtId="0" fontId="12" fillId="24" borderId="880" xfId="0" applyFont="1" applyFill="1" applyBorder="1" applyAlignment="1">
      <alignment horizontal="center" vertical="center"/>
    </xf>
    <xf numFmtId="0" fontId="12" fillId="24" borderId="772" xfId="0" applyFont="1" applyFill="1" applyBorder="1" applyAlignment="1">
      <alignment horizontal="center" vertical="center"/>
    </xf>
    <xf numFmtId="0" fontId="15" fillId="8" borderId="766" xfId="0" applyFont="1" applyFill="1" applyBorder="1" applyAlignment="1">
      <alignment horizontal="center" vertical="center"/>
    </xf>
    <xf numFmtId="0" fontId="15" fillId="8" borderId="880" xfId="0" applyFont="1" applyFill="1" applyBorder="1" applyAlignment="1">
      <alignment horizontal="center" vertical="center"/>
    </xf>
    <xf numFmtId="0" fontId="97" fillId="3" borderId="766" xfId="0" applyFont="1" applyFill="1" applyBorder="1"/>
    <xf numFmtId="0" fontId="13" fillId="3" borderId="880" xfId="0" applyFont="1" applyFill="1" applyBorder="1" applyAlignment="1">
      <alignment horizontal="center" vertical="center"/>
    </xf>
    <xf numFmtId="0" fontId="0" fillId="73" borderId="766" xfId="0" applyFill="1" applyBorder="1"/>
    <xf numFmtId="0" fontId="0" fillId="73" borderId="0" xfId="0" applyFill="1" applyAlignment="1">
      <alignment horizontal="right"/>
    </xf>
    <xf numFmtId="0" fontId="62" fillId="73" borderId="880" xfId="0" applyFont="1" applyFill="1" applyBorder="1" applyAlignment="1">
      <alignment horizontal="center"/>
    </xf>
    <xf numFmtId="0" fontId="62" fillId="3" borderId="880" xfId="0" applyFont="1" applyFill="1" applyBorder="1" applyAlignment="1">
      <alignment horizontal="center" vertical="center"/>
    </xf>
    <xf numFmtId="0" fontId="0" fillId="73" borderId="1008" xfId="0" applyFill="1" applyBorder="1"/>
    <xf numFmtId="0" fontId="0" fillId="73" borderId="786" xfId="0" applyFill="1" applyBorder="1" applyAlignment="1">
      <alignment horizontal="right"/>
    </xf>
    <xf numFmtId="0" fontId="0" fillId="73" borderId="786" xfId="0" applyFill="1" applyBorder="1" applyAlignment="1">
      <alignment horizontal="center"/>
    </xf>
    <xf numFmtId="0" fontId="0" fillId="92" borderId="786" xfId="0" applyFill="1" applyBorder="1" applyAlignment="1">
      <alignment horizontal="center" vertical="center"/>
    </xf>
    <xf numFmtId="0" fontId="62" fillId="73" borderId="772" xfId="0" applyFont="1" applyFill="1" applyBorder="1" applyAlignment="1">
      <alignment horizontal="center"/>
    </xf>
    <xf numFmtId="0" fontId="45" fillId="8" borderId="1009" xfId="0" applyFont="1" applyFill="1" applyBorder="1"/>
    <xf numFmtId="0" fontId="45" fillId="8" borderId="1010" xfId="0" applyFont="1" applyFill="1" applyBorder="1"/>
    <xf numFmtId="0" fontId="0" fillId="16" borderId="766" xfId="0" applyFill="1" applyBorder="1"/>
    <xf numFmtId="0" fontId="0" fillId="3" borderId="991" xfId="0" applyFill="1" applyBorder="1"/>
    <xf numFmtId="0" fontId="155" fillId="73" borderId="879" xfId="0" applyFont="1" applyFill="1" applyBorder="1"/>
    <xf numFmtId="0" fontId="0" fillId="73" borderId="879" xfId="0" applyFill="1" applyBorder="1"/>
    <xf numFmtId="0" fontId="55" fillId="73" borderId="879" xfId="0" applyFont="1" applyFill="1" applyBorder="1"/>
    <xf numFmtId="0" fontId="15" fillId="8" borderId="1008" xfId="0" applyFont="1" applyFill="1" applyBorder="1" applyAlignment="1">
      <alignment horizontal="center" vertical="center"/>
    </xf>
    <xf numFmtId="0" fontId="15" fillId="8" borderId="786" xfId="0" applyFont="1" applyFill="1" applyBorder="1" applyAlignment="1">
      <alignment horizontal="center" vertical="center"/>
    </xf>
    <xf numFmtId="0" fontId="45" fillId="8" borderId="786" xfId="0" applyFont="1" applyFill="1" applyBorder="1" applyAlignment="1">
      <alignment horizontal="right"/>
    </xf>
    <xf numFmtId="0" fontId="45" fillId="8" borderId="786" xfId="0" applyFont="1" applyFill="1" applyBorder="1" applyAlignment="1">
      <alignment horizontal="center"/>
    </xf>
    <xf numFmtId="0" fontId="45" fillId="8" borderId="786" xfId="0" applyFont="1" applyFill="1" applyBorder="1"/>
    <xf numFmtId="0" fontId="45" fillId="8" borderId="772" xfId="0" applyFont="1" applyFill="1" applyBorder="1" applyAlignment="1">
      <alignment horizontal="center"/>
    </xf>
    <xf numFmtId="0" fontId="0" fillId="73" borderId="91" xfId="0" applyFill="1" applyBorder="1"/>
    <xf numFmtId="0" fontId="8" fillId="92" borderId="78" xfId="0" applyFont="1" applyFill="1" applyBorder="1" applyAlignment="1">
      <alignment horizontal="center"/>
    </xf>
    <xf numFmtId="0" fontId="8" fillId="92" borderId="0" xfId="0" applyFont="1" applyFill="1" applyAlignment="1">
      <alignment horizontal="center"/>
    </xf>
    <xf numFmtId="0" fontId="0" fillId="92" borderId="79" xfId="0" applyFill="1" applyBorder="1" applyAlignment="1">
      <alignment horizontal="center" vertical="center"/>
    </xf>
    <xf numFmtId="0" fontId="8" fillId="92" borderId="68" xfId="0" applyFont="1" applyFill="1" applyBorder="1" applyAlignment="1">
      <alignment horizontal="center"/>
    </xf>
    <xf numFmtId="0" fontId="9" fillId="73" borderId="0" xfId="0" applyFont="1" applyFill="1" applyAlignment="1">
      <alignment horizontal="left" vertical="top" wrapText="1"/>
    </xf>
    <xf numFmtId="0" fontId="9" fillId="92" borderId="91" xfId="0" applyFont="1" applyFill="1" applyBorder="1" applyAlignment="1">
      <alignment horizontal="left" vertical="center"/>
    </xf>
    <xf numFmtId="0" fontId="0" fillId="3" borderId="68" xfId="0" applyFill="1" applyBorder="1" applyAlignment="1">
      <alignment horizontal="right" wrapText="1"/>
    </xf>
    <xf numFmtId="0" fontId="59" fillId="3" borderId="68" xfId="0" applyFont="1" applyFill="1" applyBorder="1" applyAlignment="1">
      <alignment horizontal="right" wrapText="1"/>
    </xf>
    <xf numFmtId="0" fontId="67" fillId="16" borderId="0" xfId="12" applyFont="1" applyFill="1" applyAlignment="1">
      <alignment horizontal="left" vertical="center"/>
    </xf>
    <xf numFmtId="0" fontId="67" fillId="16" borderId="0" xfId="12" applyFont="1" applyFill="1" applyAlignment="1">
      <alignment horizontal="right" vertical="center"/>
    </xf>
    <xf numFmtId="0" fontId="67" fillId="49" borderId="0" xfId="0" applyFont="1" applyFill="1" applyAlignment="1">
      <alignment horizontal="left" vertical="center"/>
    </xf>
    <xf numFmtId="0" fontId="74" fillId="16" borderId="0" xfId="12" applyFont="1" applyFill="1" applyAlignment="1">
      <alignment horizontal="left" vertical="center"/>
    </xf>
    <xf numFmtId="0" fontId="75" fillId="16" borderId="0" xfId="12" applyFont="1" applyFill="1" applyAlignment="1">
      <alignment horizontal="left" vertical="center"/>
    </xf>
    <xf numFmtId="0" fontId="67" fillId="16" borderId="0" xfId="12" applyFont="1" applyFill="1" applyAlignment="1">
      <alignment horizontal="left" vertical="center" wrapText="1"/>
    </xf>
    <xf numFmtId="0" fontId="67" fillId="16" borderId="0" xfId="0" applyFont="1" applyFill="1" applyAlignment="1">
      <alignment horizontal="left" vertical="center"/>
    </xf>
    <xf numFmtId="0" fontId="9" fillId="95" borderId="91" xfId="0" applyFont="1" applyFill="1" applyBorder="1"/>
    <xf numFmtId="0" fontId="0" fillId="16" borderId="904" xfId="0" applyFill="1" applyBorder="1" applyAlignment="1">
      <alignment horizontal="left"/>
    </xf>
    <xf numFmtId="0" fontId="0" fillId="16" borderId="945" xfId="0" applyFill="1" applyBorder="1" applyAlignment="1">
      <alignment horizontal="left"/>
    </xf>
    <xf numFmtId="0" fontId="0" fillId="16" borderId="1011" xfId="0" applyFill="1" applyBorder="1" applyAlignment="1">
      <alignment horizontal="left"/>
    </xf>
    <xf numFmtId="0" fontId="58" fillId="23" borderId="0" xfId="0" applyFont="1" applyFill="1"/>
    <xf numFmtId="0" fontId="13" fillId="7" borderId="1012" xfId="0" applyFont="1" applyFill="1" applyBorder="1" applyAlignment="1">
      <alignment horizontal="center" vertical="center" wrapText="1"/>
    </xf>
    <xf numFmtId="0" fontId="9" fillId="3" borderId="786" xfId="0" applyFont="1" applyFill="1" applyBorder="1" applyAlignment="1">
      <alignment horizontal="left" vertical="center"/>
    </xf>
    <xf numFmtId="0" fontId="9" fillId="3" borderId="772" xfId="0" applyFont="1" applyFill="1" applyBorder="1" applyAlignment="1">
      <alignment horizontal="right" vertical="center"/>
    </xf>
    <xf numFmtId="0" fontId="0" fillId="3" borderId="68" xfId="0" applyFill="1" applyBorder="1" applyAlignment="1">
      <alignment horizontal="center" vertical="center" wrapText="1"/>
    </xf>
    <xf numFmtId="0" fontId="58" fillId="60" borderId="27" xfId="0" applyFont="1" applyFill="1" applyBorder="1" applyAlignment="1">
      <alignment horizontal="left" vertical="center"/>
    </xf>
    <xf numFmtId="0" fontId="58" fillId="43" borderId="462" xfId="0" applyFont="1" applyFill="1" applyBorder="1" applyAlignment="1">
      <alignment horizontal="left" vertical="center"/>
    </xf>
    <xf numFmtId="0" fontId="0" fillId="27" borderId="27" xfId="0" applyFill="1" applyBorder="1" applyAlignment="1">
      <alignment horizontal="left" vertical="center"/>
    </xf>
    <xf numFmtId="0" fontId="97" fillId="60" borderId="27" xfId="0" applyFont="1" applyFill="1" applyBorder="1" applyAlignment="1">
      <alignment horizontal="left"/>
    </xf>
    <xf numFmtId="0" fontId="58" fillId="43" borderId="766" xfId="0" applyFont="1" applyFill="1" applyBorder="1"/>
    <xf numFmtId="0" fontId="58" fillId="43" borderId="880" xfId="0" applyFont="1" applyFill="1" applyBorder="1"/>
    <xf numFmtId="0" fontId="0" fillId="16" borderId="766" xfId="0" applyFill="1" applyBorder="1" applyAlignment="1">
      <alignment horizontal="left" vertical="center"/>
    </xf>
    <xf numFmtId="49" fontId="0" fillId="16" borderId="0" xfId="0" applyNumberFormat="1" applyFill="1" applyAlignment="1">
      <alignment horizontal="left"/>
    </xf>
    <xf numFmtId="49" fontId="0" fillId="16" borderId="880" xfId="0" applyNumberFormat="1" applyFill="1" applyBorder="1" applyAlignment="1">
      <alignment horizontal="left"/>
    </xf>
    <xf numFmtId="0" fontId="0" fillId="16" borderId="1008" xfId="0" applyFill="1" applyBorder="1"/>
    <xf numFmtId="0" fontId="0" fillId="16" borderId="915" xfId="0" applyFill="1" applyBorder="1" applyAlignment="1">
      <alignment horizontal="left" vertical="center"/>
    </xf>
    <xf numFmtId="0" fontId="0" fillId="16" borderId="915" xfId="0" applyFill="1" applyBorder="1" applyAlignment="1">
      <alignment horizontal="left"/>
    </xf>
    <xf numFmtId="0" fontId="0" fillId="16" borderId="916" xfId="0" applyFill="1" applyBorder="1" applyAlignment="1">
      <alignment horizontal="left"/>
    </xf>
    <xf numFmtId="0" fontId="0" fillId="94" borderId="94" xfId="0" applyFill="1" applyBorder="1" applyAlignment="1">
      <alignment horizontal="left" vertical="center"/>
    </xf>
    <xf numFmtId="0" fontId="0" fillId="3" borderId="1014" xfId="0" applyFill="1" applyBorder="1" applyAlignment="1">
      <alignment horizontal="left" vertical="center"/>
    </xf>
    <xf numFmtId="0" fontId="0" fillId="94" borderId="95" xfId="0" applyFill="1" applyBorder="1" applyAlignment="1">
      <alignment horizontal="left" vertical="center"/>
    </xf>
    <xf numFmtId="0" fontId="9" fillId="3" borderId="0" xfId="0" applyFont="1" applyFill="1" applyAlignment="1">
      <alignment wrapText="1"/>
    </xf>
    <xf numFmtId="0" fontId="83" fillId="3" borderId="0" xfId="0" applyFont="1" applyFill="1"/>
    <xf numFmtId="0" fontId="62" fillId="31" borderId="766" xfId="0" applyFont="1" applyFill="1" applyBorder="1" applyAlignment="1">
      <alignment horizontal="center"/>
    </xf>
    <xf numFmtId="0" fontId="13" fillId="31" borderId="880" xfId="0" applyFont="1" applyFill="1" applyBorder="1" applyAlignment="1">
      <alignment horizontal="center"/>
    </xf>
    <xf numFmtId="0" fontId="0" fillId="94" borderId="91" xfId="0" applyFill="1" applyBorder="1" applyAlignment="1">
      <alignment horizontal="center"/>
    </xf>
    <xf numFmtId="0" fontId="0" fillId="94" borderId="0" xfId="0" applyFill="1" applyAlignment="1">
      <alignment horizontal="center"/>
    </xf>
    <xf numFmtId="0" fontId="0" fillId="94" borderId="766" xfId="0" applyFill="1" applyBorder="1" applyAlignment="1">
      <alignment horizontal="center"/>
    </xf>
    <xf numFmtId="0" fontId="0" fillId="94" borderId="880" xfId="0" applyFill="1" applyBorder="1" applyAlignment="1">
      <alignment horizontal="center"/>
    </xf>
    <xf numFmtId="0" fontId="0" fillId="94" borderId="89" xfId="0" applyFill="1" applyBorder="1" applyAlignment="1">
      <alignment horizontal="center"/>
    </xf>
    <xf numFmtId="0" fontId="0" fillId="94" borderId="76" xfId="0" applyFill="1" applyBorder="1" applyAlignment="1">
      <alignment horizontal="center"/>
    </xf>
    <xf numFmtId="0" fontId="50" fillId="93" borderId="0" xfId="0" applyFont="1" applyFill="1" applyAlignment="1">
      <alignment vertical="center"/>
    </xf>
    <xf numFmtId="0" fontId="9" fillId="93" borderId="0" xfId="0" applyFont="1" applyFill="1" applyAlignment="1">
      <alignment horizontal="center" vertical="center"/>
    </xf>
    <xf numFmtId="0" fontId="50" fillId="93" borderId="0" xfId="0" applyFont="1" applyFill="1" applyAlignment="1">
      <alignment horizontal="center" vertical="center"/>
    </xf>
    <xf numFmtId="0" fontId="55" fillId="93" borderId="0" xfId="0" applyFont="1" applyFill="1" applyAlignment="1">
      <alignment horizontal="center" vertical="center"/>
    </xf>
    <xf numFmtId="0" fontId="45" fillId="8" borderId="0" xfId="0" applyFont="1" applyFill="1" applyAlignment="1">
      <alignment horizontal="center" vertical="center" wrapText="1"/>
    </xf>
    <xf numFmtId="0" fontId="0" fillId="94" borderId="94" xfId="0" applyFill="1" applyBorder="1" applyAlignment="1">
      <alignment horizontal="center" vertical="center"/>
    </xf>
    <xf numFmtId="0" fontId="0" fillId="94" borderId="95" xfId="0" applyFill="1" applyBorder="1" applyAlignment="1">
      <alignment horizontal="center" vertical="center"/>
    </xf>
    <xf numFmtId="0" fontId="83" fillId="3" borderId="879" xfId="0" applyFont="1" applyFill="1" applyBorder="1" applyAlignment="1">
      <alignment horizontal="right"/>
    </xf>
    <xf numFmtId="0" fontId="0" fillId="3" borderId="1015" xfId="0" applyFill="1" applyBorder="1" applyAlignment="1">
      <alignment horizontal="right" vertical="center"/>
    </xf>
    <xf numFmtId="0" fontId="9" fillId="3" borderId="879" xfId="0" applyFont="1" applyFill="1" applyBorder="1" applyAlignment="1">
      <alignment horizontal="center"/>
    </xf>
    <xf numFmtId="0" fontId="0" fillId="94" borderId="1004" xfId="0" applyFill="1" applyBorder="1" applyAlignment="1">
      <alignment horizontal="right" vertical="center"/>
    </xf>
    <xf numFmtId="0" fontId="0" fillId="94" borderId="941" xfId="0" applyFill="1" applyBorder="1" applyAlignment="1">
      <alignment horizontal="right" vertical="center"/>
    </xf>
    <xf numFmtId="0" fontId="9" fillId="94" borderId="0" xfId="0" applyFont="1" applyFill="1" applyAlignment="1">
      <alignment horizontal="center"/>
    </xf>
    <xf numFmtId="0" fontId="83" fillId="94" borderId="879" xfId="0" applyFont="1" applyFill="1" applyBorder="1" applyAlignment="1">
      <alignment horizontal="right"/>
    </xf>
    <xf numFmtId="0" fontId="0" fillId="93" borderId="786" xfId="0" applyFill="1" applyBorder="1"/>
    <xf numFmtId="0" fontId="83" fillId="94" borderId="1016" xfId="0" applyFont="1" applyFill="1" applyBorder="1" applyAlignment="1">
      <alignment horizontal="right"/>
    </xf>
    <xf numFmtId="0" fontId="0" fillId="93" borderId="0" xfId="0" applyFill="1" applyAlignment="1">
      <alignment horizontal="center"/>
    </xf>
    <xf numFmtId="0" fontId="0" fillId="93" borderId="786" xfId="0" applyFill="1" applyBorder="1" applyAlignment="1">
      <alignment horizontal="center"/>
    </xf>
    <xf numFmtId="0" fontId="9" fillId="93" borderId="0" xfId="0" applyFont="1" applyFill="1" applyAlignment="1">
      <alignment horizontal="center"/>
    </xf>
    <xf numFmtId="0" fontId="45" fillId="8" borderId="766" xfId="0" applyFont="1" applyFill="1" applyBorder="1" applyAlignment="1">
      <alignment horizontal="center" vertical="center" wrapText="1"/>
    </xf>
    <xf numFmtId="0" fontId="45" fillId="8" borderId="0" xfId="0" applyFont="1" applyFill="1" applyAlignment="1">
      <alignment horizontal="left" vertical="center" wrapText="1"/>
    </xf>
    <xf numFmtId="0" fontId="45" fillId="8" borderId="880" xfId="0" applyFont="1" applyFill="1" applyBorder="1" applyAlignment="1">
      <alignment horizontal="center" vertical="center" wrapText="1"/>
    </xf>
    <xf numFmtId="0" fontId="9" fillId="27" borderId="766" xfId="0" applyFont="1" applyFill="1" applyBorder="1" applyAlignment="1">
      <alignment horizontal="left"/>
    </xf>
    <xf numFmtId="0" fontId="9" fillId="27" borderId="880" xfId="0" applyFont="1" applyFill="1" applyBorder="1" applyAlignment="1">
      <alignment horizontal="left"/>
    </xf>
    <xf numFmtId="0" fontId="9" fillId="93" borderId="0" xfId="0" applyFont="1" applyFill="1" applyAlignment="1">
      <alignment horizontal="left"/>
    </xf>
    <xf numFmtId="0" fontId="9" fillId="94" borderId="766" xfId="0" applyFont="1" applyFill="1" applyBorder="1" applyAlignment="1">
      <alignment horizontal="left"/>
    </xf>
    <xf numFmtId="0" fontId="9" fillId="94" borderId="0" xfId="0" applyFont="1" applyFill="1" applyAlignment="1">
      <alignment horizontal="left"/>
    </xf>
    <xf numFmtId="0" fontId="9" fillId="93" borderId="880" xfId="0" applyFont="1" applyFill="1" applyBorder="1" applyAlignment="1">
      <alignment horizontal="left"/>
    </xf>
    <xf numFmtId="0" fontId="9" fillId="94" borderId="880" xfId="0" applyFont="1" applyFill="1" applyBorder="1" applyAlignment="1">
      <alignment horizontal="left"/>
    </xf>
    <xf numFmtId="0" fontId="9" fillId="27" borderId="780" xfId="0" applyFont="1" applyFill="1" applyBorder="1" applyAlignment="1">
      <alignment horizontal="left"/>
    </xf>
    <xf numFmtId="0" fontId="9" fillId="93" borderId="786" xfId="0" applyFont="1" applyFill="1" applyBorder="1" applyAlignment="1">
      <alignment horizontal="left"/>
    </xf>
    <xf numFmtId="0" fontId="9" fillId="93" borderId="1017" xfId="0" applyFont="1" applyFill="1" applyBorder="1" applyAlignment="1">
      <alignment horizontal="left"/>
    </xf>
    <xf numFmtId="0" fontId="8" fillId="94" borderId="27" xfId="0" applyFont="1" applyFill="1" applyBorder="1" applyAlignment="1">
      <alignment horizontal="right" vertical="center"/>
    </xf>
    <xf numFmtId="0" fontId="50" fillId="93" borderId="79" xfId="0" applyFont="1" applyFill="1" applyBorder="1" applyAlignment="1">
      <alignment horizontal="center" vertical="center"/>
    </xf>
    <xf numFmtId="0" fontId="9" fillId="93" borderId="79" xfId="0" applyFont="1" applyFill="1" applyBorder="1" applyAlignment="1">
      <alignment horizontal="center" vertical="center"/>
    </xf>
    <xf numFmtId="0" fontId="9" fillId="93" borderId="0" xfId="0" applyFont="1" applyFill="1" applyAlignment="1">
      <alignment horizontal="left" vertical="center"/>
    </xf>
    <xf numFmtId="0" fontId="9" fillId="93" borderId="68" xfId="0" applyFont="1" applyFill="1" applyBorder="1" applyAlignment="1">
      <alignment horizontal="left" vertical="center"/>
    </xf>
    <xf numFmtId="0" fontId="9" fillId="93" borderId="0" xfId="0" quotePrefix="1" applyFont="1" applyFill="1" applyAlignment="1">
      <alignment horizontal="left" vertical="center"/>
    </xf>
    <xf numFmtId="0" fontId="45" fillId="13" borderId="78" xfId="0" applyFont="1" applyFill="1" applyBorder="1" applyAlignment="1">
      <alignment horizontal="center"/>
    </xf>
    <xf numFmtId="0" fontId="13" fillId="51" borderId="0" xfId="0" applyFont="1" applyFill="1" applyAlignment="1" applyProtection="1">
      <alignment vertical="center" wrapText="1"/>
      <protection locked="0"/>
    </xf>
    <xf numFmtId="0" fontId="13" fillId="55" borderId="766" xfId="0" applyFont="1" applyFill="1" applyBorder="1" applyAlignment="1" applyProtection="1">
      <alignment vertical="center" wrapText="1"/>
      <protection locked="0"/>
    </xf>
    <xf numFmtId="0" fontId="16" fillId="7" borderId="1019" xfId="0" applyFont="1" applyFill="1" applyBorder="1" applyAlignment="1">
      <alignment horizontal="center" vertical="center" wrapText="1"/>
    </xf>
    <xf numFmtId="0" fontId="13" fillId="51" borderId="766" xfId="0" applyFont="1" applyFill="1" applyBorder="1" applyAlignment="1" applyProtection="1">
      <alignment vertical="center" wrapText="1"/>
      <protection locked="0"/>
    </xf>
    <xf numFmtId="0" fontId="16" fillId="3" borderId="1019" xfId="0" applyFont="1" applyFill="1" applyBorder="1" applyAlignment="1">
      <alignment horizontal="center" vertical="center" wrapText="1"/>
    </xf>
    <xf numFmtId="0" fontId="9" fillId="16" borderId="930" xfId="0" applyFont="1" applyFill="1" applyBorder="1" applyAlignment="1" applyProtection="1">
      <alignment horizontal="right"/>
      <protection hidden="1"/>
    </xf>
    <xf numFmtId="0" fontId="13" fillId="19" borderId="1001" xfId="0" applyFont="1" applyFill="1" applyBorder="1" applyAlignment="1" applyProtection="1">
      <alignment horizontal="center" vertical="center"/>
      <protection hidden="1"/>
    </xf>
    <xf numFmtId="0" fontId="9" fillId="24" borderId="1004" xfId="0" applyFont="1" applyFill="1" applyBorder="1" applyAlignment="1" applyProtection="1">
      <alignment horizontal="right"/>
      <protection hidden="1"/>
    </xf>
    <xf numFmtId="0" fontId="13" fillId="28" borderId="79" xfId="0" applyFont="1" applyFill="1" applyBorder="1" applyAlignment="1" applyProtection="1">
      <alignment horizontal="center" vertical="center"/>
      <protection hidden="1"/>
    </xf>
    <xf numFmtId="0" fontId="9" fillId="16" borderId="1004" xfId="0" applyFont="1" applyFill="1" applyBorder="1" applyAlignment="1" applyProtection="1">
      <alignment horizontal="right"/>
      <protection hidden="1"/>
    </xf>
    <xf numFmtId="0" fontId="13" fillId="19" borderId="79" xfId="0" applyFont="1" applyFill="1" applyBorder="1" applyAlignment="1" applyProtection="1">
      <alignment horizontal="center" vertical="center"/>
      <protection hidden="1"/>
    </xf>
    <xf numFmtId="0" fontId="9" fillId="16" borderId="943" xfId="0" applyFont="1" applyFill="1" applyBorder="1" applyAlignment="1" applyProtection="1">
      <alignment horizontal="right"/>
      <protection hidden="1"/>
    </xf>
    <xf numFmtId="0" fontId="137" fillId="24" borderId="951" xfId="0" applyFont="1" applyFill="1" applyBorder="1" applyAlignment="1" applyProtection="1">
      <alignment horizontal="center" vertical="center"/>
      <protection hidden="1"/>
    </xf>
    <xf numFmtId="0" fontId="138" fillId="24" borderId="951" xfId="0" applyFont="1" applyFill="1" applyBorder="1" applyAlignment="1" applyProtection="1">
      <alignment horizontal="left" vertical="center"/>
      <protection hidden="1"/>
    </xf>
    <xf numFmtId="0" fontId="137" fillId="24" borderId="951" xfId="0" applyFont="1" applyFill="1" applyBorder="1" applyAlignment="1" applyProtection="1">
      <alignment horizontal="right" vertical="center"/>
      <protection hidden="1"/>
    </xf>
    <xf numFmtId="0" fontId="138" fillId="24" borderId="961" xfId="0" applyFont="1" applyFill="1" applyBorder="1" applyAlignment="1" applyProtection="1">
      <alignment horizontal="left" vertical="center"/>
      <protection hidden="1"/>
    </xf>
    <xf numFmtId="0" fontId="55" fillId="93" borderId="0" xfId="0" applyFont="1" applyFill="1" applyAlignment="1">
      <alignment vertical="center"/>
    </xf>
    <xf numFmtId="0" fontId="55" fillId="93" borderId="0" xfId="0" quotePrefix="1" applyFont="1" applyFill="1" applyAlignment="1">
      <alignment vertical="center"/>
    </xf>
    <xf numFmtId="0" fontId="55" fillId="93" borderId="0" xfId="0" applyFont="1" applyFill="1" applyAlignment="1">
      <alignment vertical="center" wrapText="1"/>
    </xf>
    <xf numFmtId="0" fontId="62" fillId="93" borderId="0" xfId="0" applyFont="1" applyFill="1" applyAlignment="1">
      <alignment vertical="center"/>
    </xf>
    <xf numFmtId="3" fontId="55" fillId="93" borderId="0" xfId="0" applyNumberFormat="1" applyFont="1" applyFill="1" applyAlignment="1">
      <alignment horizontal="center" vertical="center"/>
    </xf>
    <xf numFmtId="0" fontId="0" fillId="24" borderId="0" xfId="0" applyFill="1" applyProtection="1">
      <protection hidden="1"/>
    </xf>
    <xf numFmtId="0" fontId="0" fillId="16" borderId="91" xfId="0" applyFill="1" applyBorder="1" applyProtection="1">
      <protection hidden="1"/>
    </xf>
    <xf numFmtId="0" fontId="0" fillId="16" borderId="0" xfId="0" applyFill="1" applyProtection="1">
      <protection hidden="1"/>
    </xf>
    <xf numFmtId="0" fontId="0" fillId="16" borderId="880" xfId="0" applyFill="1" applyBorder="1" applyProtection="1">
      <protection hidden="1"/>
    </xf>
    <xf numFmtId="0" fontId="67" fillId="16" borderId="0" xfId="0" applyFont="1" applyFill="1" applyAlignment="1" applyProtection="1">
      <alignment horizontal="left" vertical="center"/>
      <protection hidden="1"/>
    </xf>
    <xf numFmtId="0" fontId="9" fillId="16" borderId="0" xfId="0" applyFont="1" applyFill="1" applyAlignment="1" applyProtection="1">
      <alignment horizontal="right" vertical="center"/>
      <protection hidden="1"/>
    </xf>
    <xf numFmtId="0" fontId="13" fillId="16" borderId="0" xfId="0" applyFont="1" applyFill="1" applyAlignment="1" applyProtection="1">
      <alignment horizontal="left" vertical="center"/>
      <protection hidden="1"/>
    </xf>
    <xf numFmtId="0" fontId="0" fillId="28" borderId="0" xfId="0" applyFill="1" applyProtection="1">
      <protection hidden="1"/>
    </xf>
    <xf numFmtId="0" fontId="0" fillId="28" borderId="904" xfId="0" applyFill="1" applyBorder="1" applyProtection="1">
      <protection hidden="1"/>
    </xf>
    <xf numFmtId="0" fontId="0" fillId="16" borderId="909" xfId="0" applyFill="1" applyBorder="1" applyProtection="1">
      <protection hidden="1"/>
    </xf>
    <xf numFmtId="0" fontId="0" fillId="16" borderId="904" xfId="0" applyFill="1" applyBorder="1" applyProtection="1">
      <protection hidden="1"/>
    </xf>
    <xf numFmtId="0" fontId="0" fillId="16" borderId="907" xfId="0" applyFill="1" applyBorder="1" applyProtection="1">
      <protection hidden="1"/>
    </xf>
    <xf numFmtId="0" fontId="0" fillId="24" borderId="909" xfId="0" applyFill="1" applyBorder="1" applyProtection="1">
      <protection hidden="1"/>
    </xf>
    <xf numFmtId="0" fontId="0" fillId="24" borderId="904" xfId="0" applyFill="1" applyBorder="1" applyProtection="1">
      <protection hidden="1"/>
    </xf>
    <xf numFmtId="0" fontId="0" fillId="24" borderId="907" xfId="0" applyFill="1" applyBorder="1" applyProtection="1">
      <protection hidden="1"/>
    </xf>
    <xf numFmtId="0" fontId="0" fillId="24" borderId="91" xfId="0" applyFill="1" applyBorder="1" applyProtection="1">
      <protection hidden="1"/>
    </xf>
    <xf numFmtId="0" fontId="11" fillId="7" borderId="0" xfId="0" applyFont="1" applyFill="1" applyAlignment="1" applyProtection="1">
      <alignment horizontal="left" vertical="center" wrapText="1"/>
      <protection hidden="1"/>
    </xf>
    <xf numFmtId="0" fontId="11" fillId="7" borderId="0" xfId="0" applyFont="1" applyFill="1" applyAlignment="1" applyProtection="1">
      <alignment vertical="top" wrapText="1"/>
      <protection hidden="1"/>
    </xf>
    <xf numFmtId="0" fontId="0" fillId="24" borderId="880" xfId="0" applyFill="1" applyBorder="1" applyProtection="1">
      <protection hidden="1"/>
    </xf>
    <xf numFmtId="0" fontId="13" fillId="7" borderId="0" xfId="0" applyFont="1" applyFill="1" applyAlignment="1" applyProtection="1">
      <alignment horizontal="left" vertical="center" shrinkToFit="1"/>
      <protection hidden="1"/>
    </xf>
    <xf numFmtId="0" fontId="12" fillId="7" borderId="0" xfId="0" applyFont="1" applyFill="1" applyAlignment="1" applyProtection="1">
      <alignment horizontal="right" vertical="top"/>
      <protection hidden="1"/>
    </xf>
    <xf numFmtId="0" fontId="13" fillId="7" borderId="0" xfId="0" applyFont="1" applyFill="1" applyAlignment="1" applyProtection="1">
      <alignment horizontal="center" vertical="top" wrapText="1"/>
      <protection hidden="1"/>
    </xf>
    <xf numFmtId="0" fontId="0" fillId="24" borderId="946" xfId="0" applyFill="1" applyBorder="1" applyProtection="1">
      <protection hidden="1"/>
    </xf>
    <xf numFmtId="0" fontId="0" fillId="24" borderId="915" xfId="0" applyFill="1" applyBorder="1" applyProtection="1">
      <protection hidden="1"/>
    </xf>
    <xf numFmtId="0" fontId="0" fillId="24" borderId="916" xfId="0" applyFill="1" applyBorder="1" applyProtection="1">
      <protection hidden="1"/>
    </xf>
    <xf numFmtId="0" fontId="0" fillId="16" borderId="0" xfId="0" applyFill="1" applyAlignment="1" applyProtection="1">
      <alignment horizontal="center"/>
      <protection hidden="1"/>
    </xf>
    <xf numFmtId="0" fontId="9" fillId="94" borderId="14" xfId="0" applyFont="1" applyFill="1" applyBorder="1" applyAlignment="1">
      <alignment horizontal="center"/>
    </xf>
    <xf numFmtId="49" fontId="0" fillId="94" borderId="0" xfId="0" applyNumberFormat="1" applyFill="1" applyAlignment="1">
      <alignment horizontal="left" vertical="center"/>
    </xf>
    <xf numFmtId="0" fontId="0" fillId="94" borderId="0" xfId="0" applyFill="1" applyAlignment="1">
      <alignment horizontal="center" vertical="center"/>
    </xf>
    <xf numFmtId="9" fontId="0" fillId="94" borderId="0" xfId="8" applyFont="1" applyFill="1" applyAlignment="1">
      <alignment horizontal="left" vertical="center"/>
    </xf>
    <xf numFmtId="9" fontId="0" fillId="94" borderId="0" xfId="8" applyFont="1" applyFill="1" applyAlignment="1">
      <alignment horizontal="center" vertical="center"/>
    </xf>
    <xf numFmtId="1" fontId="0" fillId="94" borderId="0" xfId="5" applyNumberFormat="1" applyFont="1" applyFill="1" applyAlignment="1">
      <alignment horizontal="center" vertical="center"/>
    </xf>
    <xf numFmtId="1" fontId="0" fillId="94" borderId="0" xfId="5" applyNumberFormat="1" applyFont="1" applyFill="1" applyAlignment="1">
      <alignment horizontal="left" vertical="center"/>
    </xf>
    <xf numFmtId="1" fontId="0" fillId="94" borderId="0" xfId="0" applyNumberFormat="1" applyFill="1" applyAlignment="1">
      <alignment horizontal="center" vertical="center"/>
    </xf>
    <xf numFmtId="1" fontId="0" fillId="94" borderId="0" xfId="0" applyNumberFormat="1" applyFill="1" applyAlignment="1">
      <alignment horizontal="left" vertical="center"/>
    </xf>
    <xf numFmtId="0" fontId="0" fillId="94" borderId="0" xfId="0" applyFill="1"/>
    <xf numFmtId="0" fontId="0" fillId="94" borderId="15" xfId="0" applyFill="1" applyBorder="1"/>
    <xf numFmtId="0" fontId="58" fillId="43" borderId="0" xfId="0" applyFont="1" applyFill="1" applyAlignment="1">
      <alignment horizontal="left" vertical="center" wrapText="1"/>
    </xf>
    <xf numFmtId="0" fontId="0" fillId="93" borderId="766" xfId="0" applyFill="1" applyBorder="1"/>
    <xf numFmtId="0" fontId="53" fillId="21" borderId="766" xfId="0" applyFont="1" applyFill="1" applyBorder="1" applyAlignment="1">
      <alignment horizontal="left"/>
    </xf>
    <xf numFmtId="0" fontId="0" fillId="21" borderId="79" xfId="0" applyFill="1" applyBorder="1"/>
    <xf numFmtId="0" fontId="0" fillId="93" borderId="79" xfId="0" applyFill="1" applyBorder="1"/>
    <xf numFmtId="0" fontId="50" fillId="93" borderId="104" xfId="0" applyFont="1" applyFill="1" applyBorder="1" applyAlignment="1">
      <alignment horizontal="center"/>
    </xf>
    <xf numFmtId="0" fontId="0" fillId="93" borderId="79" xfId="0" applyFill="1" applyBorder="1" applyAlignment="1">
      <alignment horizontal="center"/>
    </xf>
    <xf numFmtId="0" fontId="0" fillId="93" borderId="100" xfId="0" applyFill="1" applyBorder="1" applyAlignment="1">
      <alignment horizontal="center"/>
    </xf>
    <xf numFmtId="0" fontId="54" fillId="96" borderId="1025" xfId="0" applyFont="1" applyFill="1" applyBorder="1" applyAlignment="1">
      <alignment horizontal="left"/>
    </xf>
    <xf numFmtId="0" fontId="0" fillId="93" borderId="1026" xfId="0" applyFill="1" applyBorder="1"/>
    <xf numFmtId="0" fontId="0" fillId="93" borderId="1027" xfId="0" applyFill="1" applyBorder="1"/>
    <xf numFmtId="0" fontId="54" fillId="97" borderId="1028" xfId="0" applyFont="1" applyFill="1" applyBorder="1" applyAlignment="1">
      <alignment horizontal="left"/>
    </xf>
    <xf numFmtId="0" fontId="0" fillId="93" borderId="1029" xfId="0" applyFill="1" applyBorder="1"/>
    <xf numFmtId="0" fontId="0" fillId="93" borderId="1030" xfId="0" applyFill="1" applyBorder="1"/>
    <xf numFmtId="0" fontId="54" fillId="96" borderId="1028" xfId="0" applyFont="1" applyFill="1" applyBorder="1" applyAlignment="1">
      <alignment horizontal="left"/>
    </xf>
    <xf numFmtId="0" fontId="54" fillId="96" borderId="1031" xfId="0" applyFont="1" applyFill="1" applyBorder="1" applyAlignment="1">
      <alignment horizontal="left"/>
    </xf>
    <xf numFmtId="0" fontId="0" fillId="93" borderId="1032" xfId="0" applyFill="1" applyBorder="1"/>
    <xf numFmtId="0" fontId="0" fillId="93" borderId="1033" xfId="0" applyFill="1" applyBorder="1"/>
    <xf numFmtId="0" fontId="45" fillId="13" borderId="986" xfId="0" applyFont="1" applyFill="1" applyBorder="1" applyAlignment="1">
      <alignment horizontal="center"/>
    </xf>
    <xf numFmtId="0" fontId="50" fillId="12" borderId="786" xfId="0" applyFont="1" applyFill="1" applyBorder="1" applyAlignment="1">
      <alignment horizontal="center"/>
    </xf>
    <xf numFmtId="0" fontId="45" fillId="13" borderId="1022" xfId="0" applyFont="1" applyFill="1" applyBorder="1" applyAlignment="1">
      <alignment horizontal="center"/>
    </xf>
    <xf numFmtId="0" fontId="45" fillId="13" borderId="1034" xfId="0" applyFont="1" applyFill="1" applyBorder="1" applyAlignment="1">
      <alignment horizontal="center"/>
    </xf>
    <xf numFmtId="0" fontId="0" fillId="93" borderId="880" xfId="0" applyFill="1" applyBorder="1" applyAlignment="1">
      <alignment horizontal="center"/>
    </xf>
    <xf numFmtId="0" fontId="0" fillId="93" borderId="916" xfId="0" applyFill="1" applyBorder="1" applyAlignment="1">
      <alignment horizontal="center"/>
    </xf>
    <xf numFmtId="0" fontId="9" fillId="16" borderId="766" xfId="0" applyFont="1" applyFill="1" applyBorder="1" applyAlignment="1">
      <alignment horizontal="center"/>
    </xf>
    <xf numFmtId="0" fontId="9" fillId="16" borderId="957" xfId="0" applyFont="1" applyFill="1" applyBorder="1" applyAlignment="1">
      <alignment horizontal="center"/>
    </xf>
    <xf numFmtId="0" fontId="9" fillId="16" borderId="965" xfId="0" applyFont="1" applyFill="1" applyBorder="1" applyAlignment="1">
      <alignment horizontal="center"/>
    </xf>
    <xf numFmtId="0" fontId="9" fillId="19" borderId="924" xfId="0" applyFont="1" applyFill="1" applyBorder="1" applyAlignment="1">
      <alignment horizontal="center"/>
    </xf>
    <xf numFmtId="0" fontId="9" fillId="19" borderId="1003" xfId="0" applyFont="1" applyFill="1" applyBorder="1" applyAlignment="1">
      <alignment horizontal="center"/>
    </xf>
    <xf numFmtId="0" fontId="9" fillId="19" borderId="957" xfId="0" applyFont="1" applyFill="1" applyBorder="1" applyAlignment="1">
      <alignment horizontal="center"/>
    </xf>
    <xf numFmtId="0" fontId="9" fillId="19" borderId="965" xfId="0" applyFont="1" applyFill="1" applyBorder="1" applyAlignment="1">
      <alignment horizontal="center"/>
    </xf>
    <xf numFmtId="0" fontId="9" fillId="19" borderId="766" xfId="0" applyFont="1" applyFill="1" applyBorder="1" applyAlignment="1">
      <alignment horizontal="center"/>
    </xf>
    <xf numFmtId="0" fontId="9" fillId="16" borderId="766" xfId="0" applyFont="1" applyFill="1" applyBorder="1" applyAlignment="1">
      <alignment horizontal="right" vertical="center" wrapText="1"/>
    </xf>
    <xf numFmtId="0" fontId="9" fillId="16" borderId="880" xfId="0" applyFont="1" applyFill="1" applyBorder="1" applyAlignment="1">
      <alignment horizontal="center"/>
    </xf>
    <xf numFmtId="0" fontId="9" fillId="19" borderId="957" xfId="0" applyFont="1" applyFill="1" applyBorder="1" applyAlignment="1">
      <alignment horizontal="right" vertical="center" wrapText="1"/>
    </xf>
    <xf numFmtId="0" fontId="9" fillId="19" borderId="940" xfId="0" applyFont="1" applyFill="1" applyBorder="1" applyAlignment="1">
      <alignment horizontal="center"/>
    </xf>
    <xf numFmtId="0" fontId="9" fillId="19" borderId="766" xfId="0" applyFont="1" applyFill="1" applyBorder="1" applyAlignment="1">
      <alignment horizontal="right" vertical="center" wrapText="1"/>
    </xf>
    <xf numFmtId="0" fontId="9" fillId="19" borderId="880" xfId="0" applyFont="1" applyFill="1" applyBorder="1" applyAlignment="1">
      <alignment horizontal="center"/>
    </xf>
    <xf numFmtId="0" fontId="9" fillId="19" borderId="924" xfId="0" applyFont="1" applyFill="1" applyBorder="1" applyAlignment="1">
      <alignment horizontal="right" vertical="center" wrapText="1"/>
    </xf>
    <xf numFmtId="0" fontId="9" fillId="19" borderId="993" xfId="0" applyFont="1" applyFill="1" applyBorder="1" applyAlignment="1">
      <alignment horizontal="center"/>
    </xf>
    <xf numFmtId="0" fontId="62" fillId="54" borderId="909" xfId="0" applyFont="1" applyFill="1" applyBorder="1" applyAlignment="1" applyProtection="1">
      <alignment vertical="top" wrapText="1"/>
      <protection locked="0"/>
    </xf>
    <xf numFmtId="0" fontId="62" fillId="54" borderId="904" xfId="0" applyFont="1" applyFill="1" applyBorder="1" applyAlignment="1" applyProtection="1">
      <alignment vertical="top" wrapText="1"/>
      <protection locked="0"/>
    </xf>
    <xf numFmtId="0" fontId="62" fillId="54" borderId="907" xfId="0" applyFont="1" applyFill="1" applyBorder="1" applyAlignment="1" applyProtection="1">
      <alignment vertical="top" wrapText="1"/>
      <protection locked="0"/>
    </xf>
    <xf numFmtId="0" fontId="62" fillId="54" borderId="766" xfId="0" applyFont="1" applyFill="1" applyBorder="1" applyAlignment="1" applyProtection="1">
      <alignment vertical="top" wrapText="1"/>
      <protection locked="0"/>
    </xf>
    <xf numFmtId="0" fontId="62" fillId="54" borderId="0" xfId="0" applyFont="1" applyFill="1" applyAlignment="1" applyProtection="1">
      <alignment vertical="top" wrapText="1"/>
      <protection locked="0"/>
    </xf>
    <xf numFmtId="0" fontId="62" fillId="54" borderId="880" xfId="0" applyFont="1" applyFill="1" applyBorder="1" applyAlignment="1" applyProtection="1">
      <alignment vertical="top" wrapText="1"/>
      <protection locked="0"/>
    </xf>
    <xf numFmtId="0" fontId="62" fillId="54" borderId="1008" xfId="0" applyFont="1" applyFill="1" applyBorder="1" applyAlignment="1" applyProtection="1">
      <alignment vertical="top" wrapText="1"/>
      <protection locked="0"/>
    </xf>
    <xf numFmtId="0" fontId="62" fillId="54" borderId="786" xfId="0" applyFont="1" applyFill="1" applyBorder="1" applyAlignment="1" applyProtection="1">
      <alignment vertical="top" wrapText="1"/>
      <protection locked="0"/>
    </xf>
    <xf numFmtId="0" fontId="62" fillId="54" borderId="772" xfId="0" applyFont="1" applyFill="1" applyBorder="1" applyAlignment="1" applyProtection="1">
      <alignment vertical="top" wrapText="1"/>
      <protection locked="0"/>
    </xf>
    <xf numFmtId="0" fontId="0" fillId="93" borderId="91" xfId="0" applyFill="1" applyBorder="1"/>
    <xf numFmtId="0" fontId="50" fillId="93" borderId="91" xfId="0" applyFont="1" applyFill="1" applyBorder="1" applyAlignment="1">
      <alignment horizontal="center"/>
    </xf>
    <xf numFmtId="0" fontId="99" fillId="22" borderId="98" xfId="0" applyFont="1" applyFill="1" applyBorder="1" applyAlignment="1">
      <alignment horizontal="left"/>
    </xf>
    <xf numFmtId="0" fontId="99" fillId="22" borderId="107" xfId="0" applyFont="1" applyFill="1" applyBorder="1" applyAlignment="1">
      <alignment horizontal="left"/>
    </xf>
    <xf numFmtId="0" fontId="58" fillId="22" borderId="97" xfId="0" applyFont="1" applyFill="1" applyBorder="1"/>
    <xf numFmtId="0" fontId="50" fillId="93" borderId="766" xfId="0" applyFont="1" applyFill="1" applyBorder="1" applyAlignment="1">
      <alignment horizontal="center"/>
    </xf>
    <xf numFmtId="0" fontId="0" fillId="22" borderId="923" xfId="0" applyFill="1" applyBorder="1"/>
    <xf numFmtId="0" fontId="99" fillId="22" borderId="698" xfId="0" applyFont="1" applyFill="1" applyBorder="1" applyAlignment="1">
      <alignment horizontal="left"/>
    </xf>
    <xf numFmtId="0" fontId="99" fillId="22" borderId="699" xfId="0" applyFont="1" applyFill="1" applyBorder="1" applyAlignment="1">
      <alignment horizontal="left"/>
    </xf>
    <xf numFmtId="0" fontId="50" fillId="93" borderId="1035" xfId="0" applyFont="1" applyFill="1" applyBorder="1" applyAlignment="1">
      <alignment horizontal="center"/>
    </xf>
    <xf numFmtId="0" fontId="50" fillId="93" borderId="106" xfId="0" applyFont="1" applyFill="1" applyBorder="1" applyAlignment="1">
      <alignment horizontal="center"/>
    </xf>
    <xf numFmtId="0" fontId="50" fillId="93" borderId="376" xfId="0" applyFont="1" applyFill="1" applyBorder="1" applyAlignment="1">
      <alignment horizontal="center"/>
    </xf>
    <xf numFmtId="0" fontId="0" fillId="93" borderId="1023" xfId="0" applyFill="1" applyBorder="1"/>
    <xf numFmtId="0" fontId="0" fillId="93" borderId="919" xfId="0" applyFill="1" applyBorder="1"/>
    <xf numFmtId="0" fontId="0" fillId="93" borderId="919" xfId="0" applyFill="1" applyBorder="1" applyAlignment="1">
      <alignment horizontal="center"/>
    </xf>
    <xf numFmtId="0" fontId="50" fillId="93" borderId="79" xfId="0" applyFont="1" applyFill="1" applyBorder="1" applyAlignment="1">
      <alignment horizontal="center"/>
    </xf>
    <xf numFmtId="0" fontId="59" fillId="12" borderId="0" xfId="0" applyFont="1" applyFill="1" applyAlignment="1">
      <alignment horizontal="center" vertical="center"/>
    </xf>
    <xf numFmtId="0" fontId="59" fillId="12" borderId="0" xfId="0" applyFont="1" applyFill="1" applyAlignment="1">
      <alignment horizontal="center" vertical="center" shrinkToFit="1"/>
    </xf>
    <xf numFmtId="0" fontId="59" fillId="12" borderId="0" xfId="0" applyFont="1" applyFill="1" applyAlignment="1">
      <alignment horizontal="center" vertical="center" wrapText="1"/>
    </xf>
    <xf numFmtId="0" fontId="60" fillId="24" borderId="0" xfId="0" applyFont="1" applyFill="1" applyAlignment="1">
      <alignment vertical="center" wrapText="1"/>
    </xf>
    <xf numFmtId="0" fontId="60" fillId="24" borderId="0" xfId="0" applyFont="1" applyFill="1" applyAlignment="1">
      <alignment vertical="center"/>
    </xf>
    <xf numFmtId="0" fontId="0" fillId="12" borderId="880" xfId="0" applyFill="1" applyBorder="1" applyAlignment="1">
      <alignment horizontal="center" vertical="center" wrapText="1"/>
    </xf>
    <xf numFmtId="0" fontId="14" fillId="24" borderId="915" xfId="0" applyFont="1" applyFill="1" applyBorder="1" applyAlignment="1">
      <alignment horizontal="center" vertical="center" wrapText="1"/>
    </xf>
    <xf numFmtId="0" fontId="14" fillId="24" borderId="904" xfId="0" applyFont="1" applyFill="1" applyBorder="1" applyAlignment="1">
      <alignment vertical="center" wrapText="1"/>
    </xf>
    <xf numFmtId="0" fontId="14" fillId="24" borderId="0" xfId="0" applyFont="1" applyFill="1" applyAlignment="1">
      <alignment vertical="center" wrapText="1"/>
    </xf>
    <xf numFmtId="0" fontId="50" fillId="24" borderId="880" xfId="0" applyFont="1" applyFill="1" applyBorder="1"/>
    <xf numFmtId="0" fontId="152" fillId="24" borderId="1023" xfId="0" applyFont="1" applyFill="1" applyBorder="1" applyAlignment="1">
      <alignment vertical="center" wrapText="1"/>
    </xf>
    <xf numFmtId="0" fontId="60" fillId="24" borderId="915" xfId="0" applyFont="1" applyFill="1" applyBorder="1" applyAlignment="1">
      <alignment vertical="center" wrapText="1"/>
    </xf>
    <xf numFmtId="0" fontId="0" fillId="24" borderId="915" xfId="0" applyFill="1" applyBorder="1"/>
    <xf numFmtId="0" fontId="39" fillId="24" borderId="915" xfId="0" applyFont="1" applyFill="1" applyBorder="1" applyAlignment="1">
      <alignment horizontal="center" vertical="center" wrapText="1"/>
    </xf>
    <xf numFmtId="0" fontId="60" fillId="24" borderId="915" xfId="0" applyFont="1" applyFill="1" applyBorder="1" applyAlignment="1">
      <alignment vertical="center"/>
    </xf>
    <xf numFmtId="0" fontId="50" fillId="24" borderId="1017" xfId="0" applyFont="1" applyFill="1" applyBorder="1"/>
    <xf numFmtId="0" fontId="59" fillId="12" borderId="68" xfId="0" applyFont="1" applyFill="1" applyBorder="1" applyAlignment="1">
      <alignment horizontal="center" vertical="center" wrapText="1"/>
    </xf>
    <xf numFmtId="0" fontId="13" fillId="7" borderId="967" xfId="0" applyFont="1" applyFill="1" applyBorder="1" applyAlignment="1">
      <alignment horizontal="center" vertical="center" wrapText="1"/>
    </xf>
    <xf numFmtId="0" fontId="16" fillId="23" borderId="1042" xfId="0" applyFont="1" applyFill="1" applyBorder="1" applyAlignment="1">
      <alignment horizontal="center" vertical="center" wrapText="1"/>
    </xf>
    <xf numFmtId="0" fontId="16" fillId="23" borderId="1036" xfId="0" applyFont="1" applyFill="1" applyBorder="1" applyAlignment="1">
      <alignment horizontal="center" vertical="center" wrapText="1"/>
    </xf>
    <xf numFmtId="0" fontId="13" fillId="7" borderId="919" xfId="0" applyFont="1" applyFill="1" applyBorder="1" applyAlignment="1">
      <alignment horizontal="center" vertical="center" wrapText="1"/>
    </xf>
    <xf numFmtId="0" fontId="13" fillId="7" borderId="1037" xfId="0" applyFont="1" applyFill="1" applyBorder="1" applyAlignment="1">
      <alignment horizontal="center" vertical="center" wrapText="1"/>
    </xf>
    <xf numFmtId="0" fontId="59" fillId="12" borderId="0" xfId="0" applyFont="1" applyFill="1" applyAlignment="1">
      <alignment horizontal="left"/>
    </xf>
    <xf numFmtId="0" fontId="45" fillId="21" borderId="1037" xfId="0" applyFont="1" applyFill="1" applyBorder="1" applyAlignment="1">
      <alignment horizontal="center"/>
    </xf>
    <xf numFmtId="0" fontId="50" fillId="93" borderId="919" xfId="0" applyFont="1" applyFill="1" applyBorder="1" applyAlignment="1">
      <alignment horizontal="center"/>
    </xf>
    <xf numFmtId="0" fontId="53" fillId="21" borderId="0" xfId="0" applyFont="1" applyFill="1" applyAlignment="1">
      <alignment horizontal="left"/>
    </xf>
    <xf numFmtId="0" fontId="0" fillId="93" borderId="915" xfId="0" applyFill="1" applyBorder="1"/>
    <xf numFmtId="0" fontId="50" fillId="93" borderId="1023" xfId="0" applyFont="1" applyFill="1" applyBorder="1" applyAlignment="1">
      <alignment horizontal="center"/>
    </xf>
    <xf numFmtId="0" fontId="0" fillId="19" borderId="0" xfId="0" applyFill="1" applyAlignment="1">
      <alignment horizontal="center"/>
    </xf>
    <xf numFmtId="0" fontId="0" fillId="3" borderId="0" xfId="0" applyFill="1" applyProtection="1">
      <protection hidden="1"/>
    </xf>
    <xf numFmtId="0" fontId="59" fillId="3" borderId="68" xfId="0" applyFont="1" applyFill="1" applyBorder="1" applyProtection="1">
      <protection hidden="1"/>
    </xf>
    <xf numFmtId="0" fontId="84" fillId="3" borderId="91" xfId="0" applyFont="1" applyFill="1" applyBorder="1" applyProtection="1">
      <protection hidden="1"/>
    </xf>
    <xf numFmtId="0" fontId="84" fillId="3" borderId="779" xfId="0" applyFont="1" applyFill="1" applyBorder="1" applyProtection="1">
      <protection hidden="1"/>
    </xf>
    <xf numFmtId="0" fontId="58" fillId="43" borderId="0" xfId="0" applyFont="1" applyFill="1" applyAlignment="1">
      <alignment horizontal="left"/>
    </xf>
    <xf numFmtId="0" fontId="0" fillId="27" borderId="27" xfId="0" applyFill="1" applyBorder="1" applyAlignment="1">
      <alignment horizontal="left"/>
    </xf>
    <xf numFmtId="0" fontId="0" fillId="27" borderId="15" xfId="0" applyFill="1" applyBorder="1" applyAlignment="1">
      <alignment horizontal="left"/>
    </xf>
    <xf numFmtId="0" fontId="0" fillId="12" borderId="909" xfId="0" applyFill="1" applyBorder="1"/>
    <xf numFmtId="0" fontId="0" fillId="12" borderId="904" xfId="0" applyFill="1" applyBorder="1"/>
    <xf numFmtId="0" fontId="59" fillId="12" borderId="904" xfId="0" applyFont="1" applyFill="1" applyBorder="1"/>
    <xf numFmtId="0" fontId="0" fillId="12" borderId="907" xfId="0" applyFill="1" applyBorder="1"/>
    <xf numFmtId="0" fontId="0" fillId="23" borderId="904" xfId="0" applyFill="1" applyBorder="1" applyAlignment="1">
      <alignment wrapText="1"/>
    </xf>
    <xf numFmtId="0" fontId="0" fillId="23" borderId="907" xfId="0" applyFill="1" applyBorder="1" applyAlignment="1">
      <alignment wrapText="1"/>
    </xf>
    <xf numFmtId="0" fontId="0" fillId="12" borderId="880" xfId="0" applyFill="1" applyBorder="1"/>
    <xf numFmtId="0" fontId="0" fillId="23" borderId="880" xfId="0" applyFill="1" applyBorder="1" applyAlignment="1">
      <alignment wrapText="1"/>
    </xf>
    <xf numFmtId="0" fontId="58" fillId="23" borderId="880" xfId="0" applyFont="1" applyFill="1" applyBorder="1" applyAlignment="1">
      <alignment wrapText="1"/>
    </xf>
    <xf numFmtId="0" fontId="0" fillId="23" borderId="1011" xfId="0" applyFill="1" applyBorder="1" applyAlignment="1">
      <alignment wrapText="1"/>
    </xf>
    <xf numFmtId="0" fontId="0" fillId="24" borderId="1011" xfId="0" applyFill="1" applyBorder="1"/>
    <xf numFmtId="0" fontId="0" fillId="23" borderId="1017" xfId="0" applyFill="1" applyBorder="1" applyAlignment="1">
      <alignment wrapText="1"/>
    </xf>
    <xf numFmtId="0" fontId="12" fillId="23" borderId="1000" xfId="0" applyFont="1" applyFill="1" applyBorder="1" applyAlignment="1">
      <alignment horizontal="center" vertical="center"/>
    </xf>
    <xf numFmtId="0" fontId="13" fillId="23" borderId="1047" xfId="0" applyFont="1" applyFill="1" applyBorder="1" applyAlignment="1">
      <alignment horizontal="center" vertical="center" wrapText="1"/>
    </xf>
    <xf numFmtId="0" fontId="16" fillId="23" borderId="1048" xfId="0" applyFont="1" applyFill="1" applyBorder="1" applyAlignment="1">
      <alignment horizontal="center" vertical="center"/>
    </xf>
    <xf numFmtId="0" fontId="16" fillId="23" borderId="1047" xfId="0" applyFont="1" applyFill="1" applyBorder="1" applyAlignment="1">
      <alignment horizontal="center" vertical="center"/>
    </xf>
    <xf numFmtId="0" fontId="13" fillId="23" borderId="999" xfId="0" applyFont="1" applyFill="1" applyBorder="1" applyAlignment="1">
      <alignment horizontal="center" vertical="center"/>
    </xf>
    <xf numFmtId="0" fontId="27" fillId="12" borderId="957" xfId="0" applyFont="1" applyFill="1" applyBorder="1" applyAlignment="1">
      <alignment horizontal="center"/>
    </xf>
    <xf numFmtId="0" fontId="13" fillId="23" borderId="918" xfId="0" applyFont="1" applyFill="1" applyBorder="1" applyAlignment="1">
      <alignment horizontal="center" vertical="center" wrapText="1"/>
    </xf>
    <xf numFmtId="0" fontId="59" fillId="12" borderId="1044" xfId="0" applyFont="1" applyFill="1" applyBorder="1"/>
    <xf numFmtId="0" fontId="0" fillId="12" borderId="1023" xfId="0" applyFill="1" applyBorder="1"/>
    <xf numFmtId="0" fontId="0" fillId="12" borderId="1011" xfId="0" applyFill="1" applyBorder="1"/>
    <xf numFmtId="0" fontId="0" fillId="12" borderId="994" xfId="0" applyFill="1" applyBorder="1"/>
    <xf numFmtId="0" fontId="0" fillId="12" borderId="1017" xfId="0" applyFill="1" applyBorder="1"/>
    <xf numFmtId="0" fontId="45" fillId="43" borderId="1011" xfId="0" applyFont="1" applyFill="1" applyBorder="1" applyAlignment="1">
      <alignment horizontal="center" vertical="center" wrapText="1"/>
    </xf>
    <xf numFmtId="0" fontId="13" fillId="44" borderId="0" xfId="0" applyFont="1" applyFill="1" applyAlignment="1">
      <alignment horizontal="left" vertical="center"/>
    </xf>
    <xf numFmtId="0" fontId="13" fillId="44" borderId="0" xfId="0" applyFont="1" applyFill="1" applyAlignment="1">
      <alignment vertical="center"/>
    </xf>
    <xf numFmtId="0" fontId="13" fillId="44" borderId="0" xfId="0" quotePrefix="1" applyFont="1" applyFill="1" applyAlignment="1">
      <alignment horizontal="left" vertical="center"/>
    </xf>
    <xf numFmtId="0" fontId="13" fillId="77" borderId="0" xfId="0" applyFont="1" applyFill="1" applyAlignment="1">
      <alignment vertical="center"/>
    </xf>
    <xf numFmtId="0" fontId="13" fillId="77" borderId="0" xfId="0" applyFont="1" applyFill="1" applyAlignment="1">
      <alignment horizontal="left" vertical="center"/>
    </xf>
    <xf numFmtId="0" fontId="13" fillId="44" borderId="0" xfId="0" quotePrefix="1" applyFont="1" applyFill="1" applyAlignment="1">
      <alignment vertical="center"/>
    </xf>
    <xf numFmtId="0" fontId="13" fillId="77" borderId="0" xfId="0" quotePrefix="1" applyFont="1" applyFill="1" applyAlignment="1">
      <alignment horizontal="left" vertical="center"/>
    </xf>
    <xf numFmtId="0" fontId="13" fillId="77" borderId="0" xfId="0" quotePrefix="1" applyFont="1" applyFill="1" applyAlignment="1">
      <alignment vertical="center"/>
    </xf>
    <xf numFmtId="0" fontId="13" fillId="16" borderId="0" xfId="0" applyFont="1" applyFill="1" applyAlignment="1">
      <alignment vertical="center"/>
    </xf>
    <xf numFmtId="0" fontId="13" fillId="16" borderId="0" xfId="0" applyFont="1" applyFill="1" applyAlignment="1">
      <alignment horizontal="left" vertical="center"/>
    </xf>
    <xf numFmtId="0" fontId="13" fillId="16" borderId="0" xfId="0" quotePrefix="1" applyFont="1" applyFill="1" applyAlignment="1">
      <alignment horizontal="left" vertical="center"/>
    </xf>
    <xf numFmtId="0" fontId="13" fillId="16" borderId="1011" xfId="0" applyFont="1" applyFill="1" applyBorder="1" applyAlignment="1">
      <alignment vertical="center"/>
    </xf>
    <xf numFmtId="0" fontId="13" fillId="16" borderId="1011" xfId="0" applyFont="1" applyFill="1" applyBorder="1" applyAlignment="1">
      <alignment horizontal="left" vertical="center"/>
    </xf>
    <xf numFmtId="0" fontId="59" fillId="12" borderId="94" xfId="0" applyFont="1" applyFill="1" applyBorder="1"/>
    <xf numFmtId="0" fontId="59" fillId="31" borderId="0" xfId="0" applyFont="1" applyFill="1" applyAlignment="1">
      <alignment vertical="center"/>
    </xf>
    <xf numFmtId="0" fontId="139" fillId="24" borderId="819" xfId="0" applyFont="1" applyFill="1" applyBorder="1" applyAlignment="1">
      <alignment horizontal="center" vertical="center"/>
    </xf>
    <xf numFmtId="0" fontId="139" fillId="24" borderId="762" xfId="0" applyFont="1" applyFill="1" applyBorder="1" applyAlignment="1">
      <alignment horizontal="right" vertical="center"/>
    </xf>
    <xf numFmtId="0" fontId="138" fillId="28" borderId="771" xfId="0" applyFont="1" applyFill="1" applyBorder="1" applyAlignment="1">
      <alignment horizontal="center" vertical="center"/>
    </xf>
    <xf numFmtId="0" fontId="139" fillId="26" borderId="827" xfId="0" applyFont="1" applyFill="1" applyBorder="1" applyAlignment="1">
      <alignment horizontal="right" vertical="center"/>
    </xf>
    <xf numFmtId="0" fontId="138" fillId="19" borderId="68" xfId="0" applyFont="1" applyFill="1" applyBorder="1" applyAlignment="1">
      <alignment horizontal="center" vertical="center"/>
    </xf>
    <xf numFmtId="0" fontId="139" fillId="24" borderId="126" xfId="0" applyFont="1" applyFill="1" applyBorder="1" applyAlignment="1">
      <alignment horizontal="right" vertical="center"/>
    </xf>
    <xf numFmtId="0" fontId="138" fillId="28" borderId="772" xfId="0" applyFont="1" applyFill="1" applyBorder="1" applyAlignment="1">
      <alignment horizontal="center" vertical="center"/>
    </xf>
    <xf numFmtId="0" fontId="0" fillId="7" borderId="773" xfId="0" applyFill="1" applyBorder="1"/>
    <xf numFmtId="0" fontId="0" fillId="7" borderId="880" xfId="0" applyFill="1" applyBorder="1"/>
    <xf numFmtId="0" fontId="0" fillId="73" borderId="779" xfId="0" applyFill="1" applyBorder="1"/>
    <xf numFmtId="0" fontId="9" fillId="95" borderId="0" xfId="0" applyFont="1" applyFill="1" applyAlignment="1">
      <alignment horizontal="right"/>
    </xf>
    <xf numFmtId="0" fontId="9" fillId="73" borderId="0" xfId="0" applyFont="1" applyFill="1" applyAlignment="1">
      <alignment horizontal="center" vertical="center"/>
    </xf>
    <xf numFmtId="0" fontId="9" fillId="73" borderId="0" xfId="0" applyFont="1" applyFill="1" applyAlignment="1">
      <alignment vertical="center"/>
    </xf>
    <xf numFmtId="0" fontId="9" fillId="73" borderId="0" xfId="0" applyFont="1" applyFill="1" applyAlignment="1">
      <alignment horizontal="left" vertical="center"/>
    </xf>
    <xf numFmtId="0" fontId="9" fillId="73" borderId="880" xfId="0" applyFont="1" applyFill="1" applyBorder="1" applyAlignment="1">
      <alignment horizontal="left" vertical="center"/>
    </xf>
    <xf numFmtId="0" fontId="9" fillId="98" borderId="0" xfId="0" applyFont="1" applyFill="1" applyAlignment="1">
      <alignment horizontal="right"/>
    </xf>
    <xf numFmtId="0" fontId="9" fillId="77" borderId="880" xfId="0" applyFont="1" applyFill="1" applyBorder="1" applyAlignment="1">
      <alignment horizontal="left" vertical="center"/>
    </xf>
    <xf numFmtId="0" fontId="109" fillId="3" borderId="0" xfId="0" applyFont="1" applyFill="1" applyAlignment="1">
      <alignment horizontal="left"/>
    </xf>
    <xf numFmtId="0" fontId="109" fillId="3" borderId="0" xfId="0" applyFont="1" applyFill="1" applyAlignment="1">
      <alignment horizontal="center"/>
    </xf>
    <xf numFmtId="0" fontId="109" fillId="3" borderId="0" xfId="0" applyFont="1" applyFill="1" applyAlignment="1">
      <alignment horizontal="right"/>
    </xf>
    <xf numFmtId="0" fontId="9" fillId="24" borderId="1054" xfId="12" applyFont="1" applyFill="1" applyBorder="1" applyAlignment="1">
      <alignment horizontal="center" vertical="center"/>
    </xf>
    <xf numFmtId="0" fontId="9" fillId="24" borderId="1044" xfId="12" applyFont="1" applyFill="1" applyBorder="1" applyAlignment="1">
      <alignment horizontal="center" vertical="center"/>
    </xf>
    <xf numFmtId="0" fontId="9" fillId="24" borderId="1044" xfId="12" applyFont="1" applyFill="1" applyBorder="1" applyAlignment="1">
      <alignment vertical="center"/>
    </xf>
    <xf numFmtId="0" fontId="9" fillId="24" borderId="1044" xfId="12" applyFont="1" applyFill="1" applyBorder="1" applyAlignment="1">
      <alignment horizontal="right" vertical="center"/>
    </xf>
    <xf numFmtId="0" fontId="9" fillId="24" borderId="1053" xfId="12" applyFont="1" applyFill="1" applyBorder="1" applyAlignment="1">
      <alignment horizontal="center" vertical="center"/>
    </xf>
    <xf numFmtId="0" fontId="9" fillId="24" borderId="1050" xfId="12" applyFont="1" applyFill="1" applyBorder="1" applyAlignment="1">
      <alignment horizontal="center" vertical="center"/>
    </xf>
    <xf numFmtId="0" fontId="9" fillId="24" borderId="1050" xfId="12" applyFont="1" applyFill="1" applyBorder="1" applyAlignment="1">
      <alignment vertical="center"/>
    </xf>
    <xf numFmtId="0" fontId="50" fillId="12" borderId="909" xfId="0" applyFont="1" applyFill="1" applyBorder="1"/>
    <xf numFmtId="0" fontId="0" fillId="3" borderId="901" xfId="0" applyFill="1" applyBorder="1"/>
    <xf numFmtId="0" fontId="0" fillId="3" borderId="1060" xfId="0" applyFill="1" applyBorder="1"/>
    <xf numFmtId="0" fontId="0" fillId="16" borderId="1023" xfId="0" applyFill="1" applyBorder="1"/>
    <xf numFmtId="0" fontId="0" fillId="16" borderId="1059" xfId="0" applyFill="1" applyBorder="1"/>
    <xf numFmtId="0" fontId="0" fillId="16" borderId="1017" xfId="0" applyFill="1" applyBorder="1"/>
    <xf numFmtId="0" fontId="9" fillId="23" borderId="0" xfId="0" applyFont="1" applyFill="1" applyAlignment="1">
      <alignment wrapText="1"/>
    </xf>
    <xf numFmtId="0" fontId="24" fillId="24" borderId="9" xfId="0" applyFont="1" applyFill="1" applyBorder="1" applyAlignment="1">
      <alignment horizontal="center" vertical="center" wrapText="1"/>
    </xf>
    <xf numFmtId="0" fontId="9" fillId="7" borderId="429"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25" fillId="7" borderId="314" xfId="0" applyFont="1" applyFill="1" applyBorder="1" applyAlignment="1">
      <alignment horizontal="center" vertical="center" wrapText="1"/>
    </xf>
    <xf numFmtId="0" fontId="25" fillId="7" borderId="150"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79" xfId="0" applyFont="1" applyFill="1" applyBorder="1" applyAlignment="1" applyProtection="1">
      <alignment horizontal="left" vertical="center"/>
      <protection locked="0"/>
    </xf>
    <xf numFmtId="0" fontId="13" fillId="28" borderId="35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394" xfId="0"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3" fillId="28" borderId="385" xfId="0" applyFont="1" applyFill="1" applyBorder="1" applyAlignment="1" applyProtection="1">
      <alignment horizontal="left" vertical="center"/>
      <protection locked="0"/>
    </xf>
    <xf numFmtId="0" fontId="15" fillId="8" borderId="128" xfId="0" applyFont="1" applyFill="1" applyBorder="1" applyAlignment="1">
      <alignment horizontal="center" vertical="center" wrapText="1"/>
    </xf>
    <xf numFmtId="0" fontId="15" fillId="8" borderId="660"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2" fillId="7" borderId="163" xfId="0" applyFont="1" applyFill="1" applyBorder="1" applyAlignment="1">
      <alignment horizontal="center" vertical="center" wrapText="1"/>
    </xf>
    <xf numFmtId="0" fontId="12" fillId="7" borderId="290" xfId="0" applyFont="1" applyFill="1" applyBorder="1" applyAlignment="1">
      <alignment horizontal="center" vertical="center" wrapText="1"/>
    </xf>
    <xf numFmtId="0" fontId="12" fillId="7" borderId="327"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12" fillId="7" borderId="131" xfId="0" applyFont="1" applyFill="1" applyBorder="1" applyAlignment="1">
      <alignment horizontal="center" vertical="center" textRotation="90" wrapText="1"/>
    </xf>
    <xf numFmtId="0" fontId="13" fillId="7" borderId="576" xfId="0" applyFont="1" applyFill="1" applyBorder="1" applyAlignment="1">
      <alignment horizontal="center" vertical="center" wrapText="1"/>
    </xf>
    <xf numFmtId="1" fontId="24" fillId="7" borderId="427" xfId="0" applyNumberFormat="1" applyFont="1" applyFill="1" applyBorder="1" applyAlignment="1">
      <alignment horizontal="center" vertical="center" wrapText="1"/>
    </xf>
    <xf numFmtId="0" fontId="24" fillId="7" borderId="428" xfId="0" applyFont="1" applyFill="1" applyBorder="1" applyAlignment="1">
      <alignment horizontal="center" vertical="center" wrapText="1"/>
    </xf>
    <xf numFmtId="0" fontId="147" fillId="7" borderId="63" xfId="0" applyFont="1" applyFill="1" applyBorder="1" applyAlignment="1">
      <alignment horizontal="center" vertical="center" wrapText="1"/>
    </xf>
    <xf numFmtId="0" fontId="24" fillId="7" borderId="420" xfId="0" applyFont="1" applyFill="1" applyBorder="1" applyAlignment="1">
      <alignment horizontal="center" vertical="center" wrapText="1"/>
    </xf>
    <xf numFmtId="0" fontId="9" fillId="7" borderId="23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1" xfId="0" applyFont="1" applyFill="1" applyBorder="1" applyAlignment="1">
      <alignment horizontal="right" vertical="center" wrapText="1"/>
    </xf>
    <xf numFmtId="0" fontId="9" fillId="7" borderId="316"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2" xfId="0" applyFont="1" applyFill="1" applyBorder="1" applyAlignment="1">
      <alignment horizontal="right" vertical="center" wrapText="1"/>
    </xf>
    <xf numFmtId="0" fontId="15" fillId="8" borderId="147"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59" xfId="0" applyFont="1" applyFill="1" applyBorder="1" applyAlignment="1">
      <alignment horizontal="center" vertical="center" wrapText="1"/>
    </xf>
    <xf numFmtId="0" fontId="29" fillId="8" borderId="2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29" fillId="8" borderId="265"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0" xfId="0" applyFont="1" applyFill="1" applyBorder="1" applyAlignment="1">
      <alignment horizontal="center" vertical="center" wrapText="1"/>
    </xf>
    <xf numFmtId="0" fontId="13" fillId="7" borderId="413" xfId="0" applyFont="1" applyFill="1" applyBorder="1" applyAlignment="1">
      <alignment horizontal="center" vertical="center" wrapText="1"/>
    </xf>
    <xf numFmtId="0" fontId="13" fillId="7" borderId="710" xfId="0" applyFont="1" applyFill="1" applyBorder="1" applyAlignment="1">
      <alignment horizontal="center" vertical="center" wrapText="1"/>
    </xf>
    <xf numFmtId="0" fontId="39" fillId="7" borderId="346"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2" xfId="0" applyFont="1" applyFill="1" applyBorder="1" applyAlignment="1">
      <alignment horizontal="center" vertical="center" wrapText="1"/>
    </xf>
    <xf numFmtId="0" fontId="15" fillId="8" borderId="86"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13" fillId="7" borderId="86"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76"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46" fillId="7" borderId="63" xfId="0" applyFont="1" applyFill="1" applyBorder="1" applyAlignment="1">
      <alignment horizontal="center" vertical="center" wrapText="1"/>
    </xf>
    <xf numFmtId="0" fontId="14" fillId="7" borderId="0" xfId="0" applyFont="1" applyFill="1" applyAlignment="1">
      <alignment horizontal="center" vertical="center" wrapText="1"/>
    </xf>
    <xf numFmtId="0" fontId="13" fillId="7" borderId="0" xfId="0" applyFont="1" applyFill="1" applyAlignment="1">
      <alignment horizontal="left" vertical="top" wrapText="1"/>
    </xf>
    <xf numFmtId="0" fontId="15" fillId="8" borderId="191" xfId="0" applyFont="1" applyFill="1" applyBorder="1" applyAlignment="1">
      <alignment horizontal="center" vertical="center" wrapText="1"/>
    </xf>
    <xf numFmtId="0" fontId="15" fillId="8" borderId="192" xfId="0" applyFont="1" applyFill="1" applyBorder="1" applyAlignment="1">
      <alignment horizontal="center" vertical="center" wrapText="1"/>
    </xf>
    <xf numFmtId="0" fontId="9" fillId="7" borderId="419" xfId="0" applyFont="1" applyFill="1" applyBorder="1" applyAlignment="1">
      <alignment horizontal="right" vertical="center" wrapText="1"/>
    </xf>
    <xf numFmtId="0" fontId="9" fillId="7" borderId="87" xfId="0" applyFont="1" applyFill="1" applyBorder="1" applyAlignment="1">
      <alignment horizontal="right"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1" fillId="7" borderId="0" xfId="0" applyFont="1" applyFill="1" applyAlignment="1">
      <alignment horizontal="left" vertical="top"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horizontal="left" vertical="center"/>
    </xf>
    <xf numFmtId="0" fontId="13" fillId="7" borderId="15" xfId="0" applyFont="1" applyFill="1" applyBorder="1" applyAlignment="1">
      <alignment horizontal="left" vertical="center"/>
    </xf>
    <xf numFmtId="0" fontId="13" fillId="7" borderId="413" xfId="0" applyFont="1" applyFill="1" applyBorder="1" applyAlignment="1">
      <alignment horizontal="center" vertical="center" shrinkToFit="1"/>
    </xf>
    <xf numFmtId="0" fontId="13" fillId="7" borderId="710" xfId="0" applyFont="1" applyFill="1" applyBorder="1" applyAlignment="1">
      <alignment horizontal="center" vertical="center" shrinkToFit="1"/>
    </xf>
    <xf numFmtId="0" fontId="13" fillId="7" borderId="412" xfId="0" applyFont="1" applyFill="1" applyBorder="1" applyAlignment="1">
      <alignment horizontal="center" vertical="center" shrinkToFit="1"/>
    </xf>
    <xf numFmtId="0" fontId="13" fillId="7" borderId="325" xfId="0" applyFont="1" applyFill="1" applyBorder="1" applyAlignment="1">
      <alignment horizontal="center" vertical="center" shrinkToFit="1"/>
    </xf>
    <xf numFmtId="0" fontId="31" fillId="0" borderId="82"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0" xfId="0" applyFont="1" applyFill="1" applyBorder="1" applyAlignment="1">
      <alignment horizontal="right" vertical="center" wrapText="1"/>
    </xf>
    <xf numFmtId="0" fontId="9" fillId="7" borderId="186" xfId="0" applyFont="1" applyFill="1" applyBorder="1" applyAlignment="1">
      <alignment horizontal="right" vertical="center" wrapText="1"/>
    </xf>
    <xf numFmtId="0" fontId="12" fillId="7" borderId="323" xfId="0" applyFont="1" applyFill="1" applyBorder="1" applyAlignment="1">
      <alignment horizontal="right" vertical="center" wrapText="1"/>
    </xf>
    <xf numFmtId="0" fontId="12" fillId="7" borderId="417" xfId="0" applyFont="1" applyFill="1" applyBorder="1" applyAlignment="1">
      <alignment horizontal="right" vertical="center" wrapText="1"/>
    </xf>
    <xf numFmtId="0" fontId="12" fillId="7" borderId="106" xfId="0" applyFont="1" applyFill="1" applyBorder="1" applyAlignment="1">
      <alignment horizontal="right"/>
    </xf>
    <xf numFmtId="0" fontId="12" fillId="7" borderId="418" xfId="0" applyFont="1" applyFill="1" applyBorder="1" applyAlignment="1">
      <alignment horizontal="right"/>
    </xf>
    <xf numFmtId="0" fontId="15" fillId="8" borderId="147" xfId="0" applyFont="1" applyFill="1" applyBorder="1" applyAlignment="1">
      <alignment horizontal="center"/>
    </xf>
    <xf numFmtId="0" fontId="15" fillId="8" borderId="192" xfId="0" applyFont="1" applyFill="1" applyBorder="1" applyAlignment="1">
      <alignment horizontal="center"/>
    </xf>
    <xf numFmtId="0" fontId="15" fillId="8" borderId="193" xfId="0" applyFont="1" applyFill="1" applyBorder="1" applyAlignment="1">
      <alignment horizontal="center"/>
    </xf>
    <xf numFmtId="0" fontId="10" fillId="7" borderId="91"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79"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2"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9" fillId="7" borderId="161"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138" fillId="28" borderId="386" xfId="0" applyFont="1" applyFill="1" applyBorder="1" applyAlignment="1" applyProtection="1">
      <alignment horizontal="center" vertical="center" wrapText="1"/>
      <protection locked="0"/>
    </xf>
    <xf numFmtId="0" fontId="138" fillId="28" borderId="387" xfId="0" applyFont="1" applyFill="1" applyBorder="1" applyAlignment="1" applyProtection="1">
      <alignment horizontal="center" vertical="center" wrapText="1"/>
      <protection locked="0"/>
    </xf>
    <xf numFmtId="0" fontId="13" fillId="7" borderId="715" xfId="0" applyFont="1" applyFill="1" applyBorder="1" applyAlignment="1">
      <alignment horizontal="left" vertical="center" wrapText="1" shrinkToFit="1"/>
    </xf>
    <xf numFmtId="0" fontId="13" fillId="7" borderId="716" xfId="0" applyFont="1" applyFill="1" applyBorder="1" applyAlignment="1">
      <alignment horizontal="left" vertical="center" wrapText="1" shrinkToFit="1"/>
    </xf>
    <xf numFmtId="0" fontId="13" fillId="7" borderId="717" xfId="0" applyFont="1" applyFill="1" applyBorder="1" applyAlignment="1">
      <alignment horizontal="left" vertical="center" wrapText="1" shrinkToFit="1"/>
    </xf>
    <xf numFmtId="0" fontId="13" fillId="7" borderId="277" xfId="0" applyFont="1" applyFill="1" applyBorder="1" applyAlignment="1">
      <alignment horizontal="left" vertical="center" wrapText="1" shrinkToFit="1"/>
    </xf>
    <xf numFmtId="0" fontId="13" fillId="7" borderId="81" xfId="0" applyFont="1" applyFill="1" applyBorder="1" applyAlignment="1">
      <alignment horizontal="left" vertical="center" wrapText="1" shrinkToFit="1"/>
    </xf>
    <xf numFmtId="0" fontId="13" fillId="7" borderId="276" xfId="0" applyFont="1" applyFill="1" applyBorder="1" applyAlignment="1">
      <alignment horizontal="left" vertical="center" wrapText="1" shrinkToFit="1"/>
    </xf>
    <xf numFmtId="0" fontId="9" fillId="7" borderId="161"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5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left" vertical="center" wrapText="1"/>
      <protection locked="0"/>
    </xf>
    <xf numFmtId="0" fontId="15" fillId="8" borderId="109"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40" xfId="0" applyFont="1" applyFill="1" applyBorder="1" applyAlignment="1">
      <alignment horizontal="center" vertical="center" wrapText="1"/>
    </xf>
    <xf numFmtId="0" fontId="13" fillId="28" borderId="379"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right" vertical="center" wrapText="1"/>
      <protection locked="0"/>
    </xf>
    <xf numFmtId="0" fontId="9" fillId="7" borderId="26"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1"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2" xfId="0" applyFont="1" applyFill="1" applyBorder="1" applyAlignment="1">
      <alignment horizontal="left" vertical="center" wrapText="1"/>
    </xf>
    <xf numFmtId="0" fontId="13" fillId="7" borderId="243" xfId="0" applyFont="1" applyFill="1" applyBorder="1" applyAlignment="1">
      <alignment horizontal="left" vertical="center" wrapText="1"/>
    </xf>
    <xf numFmtId="0" fontId="13" fillId="7" borderId="244" xfId="0" applyFont="1" applyFill="1" applyBorder="1" applyAlignment="1">
      <alignment horizontal="left" vertical="center" wrapText="1"/>
    </xf>
    <xf numFmtId="0" fontId="13" fillId="7" borderId="245" xfId="0" applyFont="1" applyFill="1" applyBorder="1" applyAlignment="1">
      <alignment horizontal="left" vertical="center" wrapText="1"/>
    </xf>
    <xf numFmtId="0" fontId="13" fillId="28" borderId="183"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9" fillId="7" borderId="576" xfId="0" applyFont="1" applyFill="1" applyBorder="1" applyAlignment="1">
      <alignment horizontal="right" vertical="center" wrapText="1"/>
    </xf>
    <xf numFmtId="0" fontId="9" fillId="7" borderId="89" xfId="0" applyFont="1" applyFill="1" applyBorder="1" applyAlignment="1">
      <alignment horizontal="right" vertical="center"/>
    </xf>
    <xf numFmtId="0" fontId="9" fillId="7" borderId="186"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46"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39"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1"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00" xfId="0" applyFont="1" applyFill="1" applyBorder="1" applyAlignment="1" applyProtection="1">
      <alignment horizontal="center" vertical="center"/>
      <protection locked="0"/>
    </xf>
    <xf numFmtId="0" fontId="13" fillId="28" borderId="358"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386" xfId="0" applyFont="1" applyFill="1" applyBorder="1" applyAlignment="1" applyProtection="1">
      <alignment vertical="center" wrapText="1"/>
      <protection locked="0"/>
    </xf>
    <xf numFmtId="0" fontId="13" fillId="28" borderId="353" xfId="0" applyFont="1" applyFill="1" applyBorder="1" applyAlignment="1" applyProtection="1">
      <alignment vertical="center" wrapText="1"/>
      <protection locked="0"/>
    </xf>
    <xf numFmtId="0" fontId="13" fillId="28" borderId="380" xfId="0" applyFont="1" applyFill="1" applyBorder="1" applyAlignment="1" applyProtection="1">
      <alignment vertical="center" wrapText="1"/>
      <protection locked="0"/>
    </xf>
    <xf numFmtId="0" fontId="13" fillId="28" borderId="489" xfId="0" applyFont="1" applyFill="1" applyBorder="1" applyAlignment="1" applyProtection="1">
      <alignment horizontal="left" vertical="center" wrapText="1"/>
      <protection locked="0"/>
    </xf>
    <xf numFmtId="0" fontId="13" fillId="28" borderId="485"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386" xfId="0" applyFont="1" applyFill="1" applyBorder="1" applyAlignment="1" applyProtection="1">
      <alignment horizontal="left"/>
      <protection locked="0"/>
    </xf>
    <xf numFmtId="0" fontId="13" fillId="28" borderId="353" xfId="0" applyFont="1" applyFill="1" applyBorder="1" applyAlignment="1" applyProtection="1">
      <alignment horizontal="left"/>
      <protection locked="0"/>
    </xf>
    <xf numFmtId="0" fontId="13" fillId="28" borderId="380" xfId="0" applyFont="1" applyFill="1" applyBorder="1" applyAlignment="1" applyProtection="1">
      <alignment horizontal="left"/>
      <protection locked="0"/>
    </xf>
    <xf numFmtId="0" fontId="13" fillId="28" borderId="356" xfId="0" applyFont="1" applyFill="1" applyBorder="1" applyAlignment="1" applyProtection="1">
      <alignment horizontal="right" vertical="center"/>
      <protection locked="0"/>
    </xf>
    <xf numFmtId="0" fontId="13" fillId="28" borderId="353"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55" borderId="379" xfId="0" applyFont="1" applyFill="1" applyBorder="1" applyAlignment="1" applyProtection="1">
      <alignment horizontal="center" vertical="center"/>
      <protection locked="0"/>
    </xf>
    <xf numFmtId="0" fontId="13" fillId="55" borderId="353" xfId="0" applyFont="1" applyFill="1" applyBorder="1" applyAlignment="1" applyProtection="1">
      <alignment horizontal="center" vertical="center"/>
      <protection locked="0"/>
    </xf>
    <xf numFmtId="0" fontId="13" fillId="55" borderId="387" xfId="0" applyFont="1" applyFill="1" applyBorder="1" applyAlignment="1" applyProtection="1">
      <alignment horizontal="center" vertical="center"/>
      <protection locked="0"/>
    </xf>
    <xf numFmtId="0" fontId="13" fillId="28" borderId="410"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3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6"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154"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86" xfId="0" applyFont="1" applyFill="1" applyBorder="1" applyAlignment="1" applyProtection="1">
      <alignment vertical="center"/>
      <protection locked="0"/>
    </xf>
    <xf numFmtId="0" fontId="13" fillId="28" borderId="353" xfId="0" applyFont="1" applyFill="1" applyBorder="1" applyAlignment="1" applyProtection="1">
      <alignment vertical="center"/>
      <protection locked="0"/>
    </xf>
    <xf numFmtId="0" fontId="13" fillId="28" borderId="387" xfId="0" applyFont="1" applyFill="1" applyBorder="1" applyAlignment="1" applyProtection="1">
      <alignment vertical="center"/>
      <protection locked="0"/>
    </xf>
    <xf numFmtId="0" fontId="13" fillId="55" borderId="358" xfId="0" applyFont="1" applyFill="1" applyBorder="1" applyAlignment="1" applyProtection="1">
      <alignment horizontal="left" vertical="top" wrapText="1"/>
      <protection locked="0"/>
    </xf>
    <xf numFmtId="0" fontId="13" fillId="55" borderId="401" xfId="0" applyFont="1" applyFill="1" applyBorder="1" applyAlignment="1" applyProtection="1">
      <alignment horizontal="left" vertical="top" wrapText="1"/>
      <protection locked="0"/>
    </xf>
    <xf numFmtId="0" fontId="13" fillId="55" borderId="353" xfId="0" applyFont="1" applyFill="1" applyBorder="1" applyAlignment="1" applyProtection="1">
      <alignment horizontal="left" vertical="top" wrapText="1"/>
      <protection locked="0"/>
    </xf>
    <xf numFmtId="0" fontId="13" fillId="55" borderId="380" xfId="0" applyFont="1" applyFill="1" applyBorder="1" applyAlignment="1" applyProtection="1">
      <alignment horizontal="left" vertical="top" wrapText="1"/>
      <protection locked="0"/>
    </xf>
    <xf numFmtId="0" fontId="12" fillId="7" borderId="202"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3" fillId="28" borderId="384"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432" xfId="0" applyFont="1" applyFill="1" applyBorder="1" applyAlignment="1" applyProtection="1">
      <alignment horizontal="left" vertical="center" wrapText="1"/>
      <protection locked="0"/>
    </xf>
    <xf numFmtId="0" fontId="13" fillId="28" borderId="381"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7" borderId="373" xfId="0" applyFont="1" applyFill="1" applyBorder="1" applyAlignment="1">
      <alignment horizontal="right" vertical="center" wrapText="1"/>
    </xf>
    <xf numFmtId="0" fontId="15" fillId="8" borderId="419" xfId="0" applyFont="1" applyFill="1" applyBorder="1" applyAlignment="1">
      <alignment horizontal="center" vertical="center" wrapText="1"/>
    </xf>
    <xf numFmtId="0" fontId="15" fillId="8" borderId="191" xfId="0" applyFont="1" applyFill="1" applyBorder="1" applyAlignment="1">
      <alignment horizontal="center" wrapText="1"/>
    </xf>
    <xf numFmtId="0" fontId="15" fillId="8" borderId="192" xfId="0" applyFont="1" applyFill="1" applyBorder="1" applyAlignment="1">
      <alignment horizontal="center" wrapText="1"/>
    </xf>
    <xf numFmtId="0" fontId="15" fillId="8" borderId="193" xfId="0" applyFont="1" applyFill="1" applyBorder="1" applyAlignment="1">
      <alignment horizontal="center" wrapText="1"/>
    </xf>
    <xf numFmtId="0" fontId="13" fillId="55" borderId="393" xfId="0" applyFont="1" applyFill="1" applyBorder="1" applyAlignment="1" applyProtection="1">
      <alignment horizontal="center" vertical="center" shrinkToFit="1"/>
      <protection locked="0"/>
    </xf>
    <xf numFmtId="0" fontId="13" fillId="55" borderId="401" xfId="0" applyFont="1" applyFill="1" applyBorder="1" applyAlignment="1" applyProtection="1">
      <alignment horizontal="center" vertical="center" shrinkToFit="1"/>
      <protection locked="0"/>
    </xf>
    <xf numFmtId="0" fontId="62" fillId="55" borderId="86" xfId="0" applyFont="1" applyFill="1" applyBorder="1" applyAlignment="1" applyProtection="1">
      <alignment horizontal="left" vertical="top" wrapTex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76"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13" fillId="55" borderId="356" xfId="0" applyFont="1" applyFill="1" applyBorder="1" applyAlignment="1" applyProtection="1">
      <alignment horizontal="center" vertical="center" shrinkToFit="1"/>
      <protection locked="0"/>
    </xf>
    <xf numFmtId="0" fontId="13" fillId="55" borderId="380" xfId="0" applyFont="1" applyFill="1" applyBorder="1" applyAlignment="1" applyProtection="1">
      <alignment horizontal="center" vertical="center" shrinkToFit="1"/>
      <protection locked="0"/>
    </xf>
    <xf numFmtId="0" fontId="13" fillId="55" borderId="719" xfId="0" applyFont="1" applyFill="1" applyBorder="1" applyAlignment="1" applyProtection="1">
      <alignment horizontal="center" vertical="center" shrinkToFit="1"/>
      <protection locked="0"/>
    </xf>
    <xf numFmtId="0" fontId="13" fillId="55" borderId="720" xfId="0" applyFont="1" applyFill="1" applyBorder="1" applyAlignment="1" applyProtection="1">
      <alignment horizontal="center" vertical="center" shrinkToFit="1"/>
      <protection locked="0"/>
    </xf>
    <xf numFmtId="0" fontId="12" fillId="7" borderId="126" xfId="0" applyFont="1" applyFill="1" applyBorder="1" applyAlignment="1">
      <alignment horizontal="center" vertical="center" textRotation="90" wrapText="1"/>
    </xf>
    <xf numFmtId="0" fontId="9" fillId="7" borderId="76" xfId="0" applyFont="1" applyFill="1" applyBorder="1" applyAlignment="1">
      <alignment horizontal="right" vertical="center" wrapText="1"/>
    </xf>
    <xf numFmtId="0" fontId="29" fillId="8" borderId="93" xfId="0" applyFont="1" applyFill="1" applyBorder="1" applyAlignment="1">
      <alignment horizontal="center" vertical="center" textRotation="90" wrapText="1"/>
    </xf>
    <xf numFmtId="0" fontId="29" fillId="8" borderId="91"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13" fillId="28" borderId="67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6" xfId="0" applyFont="1" applyFill="1" applyBorder="1" applyAlignment="1" applyProtection="1">
      <alignment vertical="center" wrapText="1"/>
      <protection locked="0"/>
    </xf>
    <xf numFmtId="0" fontId="13" fillId="28" borderId="354" xfId="0" applyFont="1" applyFill="1" applyBorder="1" applyAlignment="1" applyProtection="1">
      <alignment horizontal="left" vertical="center"/>
      <protection locked="0"/>
    </xf>
    <xf numFmtId="0" fontId="12" fillId="7" borderId="415" xfId="0" applyFont="1" applyFill="1" applyBorder="1" applyAlignment="1">
      <alignment horizontal="center" vertical="center" wrapText="1"/>
    </xf>
    <xf numFmtId="0" fontId="12" fillId="7" borderId="637" xfId="0" applyFont="1" applyFill="1" applyBorder="1" applyAlignment="1">
      <alignment horizontal="center" vertical="center" wrapText="1"/>
    </xf>
    <xf numFmtId="0" fontId="15" fillId="8" borderId="471" xfId="0" applyFont="1" applyFill="1" applyBorder="1" applyAlignment="1">
      <alignment horizontal="center" vertical="center" wrapText="1"/>
    </xf>
    <xf numFmtId="0" fontId="15" fillId="8" borderId="698" xfId="0" applyFont="1" applyFill="1" applyBorder="1" applyAlignment="1">
      <alignment horizontal="center" vertical="center" wrapText="1"/>
    </xf>
    <xf numFmtId="0" fontId="13" fillId="28" borderId="3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protection locked="0"/>
    </xf>
    <xf numFmtId="0" fontId="13" fillId="28" borderId="354" xfId="0" applyFont="1" applyFill="1" applyBorder="1" applyAlignment="1" applyProtection="1">
      <alignment horizontal="center" vertical="center"/>
      <protection locked="0"/>
    </xf>
    <xf numFmtId="0" fontId="13" fillId="28" borderId="395"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58"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5" fillId="8" borderId="434" xfId="0" applyFont="1" applyFill="1" applyBorder="1" applyAlignment="1">
      <alignment horizontal="center" vertical="center" wrapText="1"/>
    </xf>
    <xf numFmtId="0" fontId="15" fillId="8" borderId="359" xfId="0" applyFont="1" applyFill="1" applyBorder="1" applyAlignment="1">
      <alignment horizontal="center" vertical="center" wrapText="1"/>
    </xf>
    <xf numFmtId="0" fontId="15" fillId="8" borderId="357" xfId="0" applyFont="1" applyFill="1" applyBorder="1" applyAlignment="1">
      <alignment horizontal="center" vertical="center" wrapText="1"/>
    </xf>
    <xf numFmtId="0" fontId="13" fillId="28" borderId="495" xfId="0" applyFont="1" applyFill="1" applyBorder="1" applyAlignment="1" applyProtection="1">
      <alignment horizontal="left" vertical="center"/>
      <protection locked="0"/>
    </xf>
    <xf numFmtId="0" fontId="13" fillId="28" borderId="355" xfId="0" applyFont="1" applyFill="1" applyBorder="1" applyAlignment="1" applyProtection="1">
      <alignment horizontal="left" vertical="center"/>
      <protection locked="0"/>
    </xf>
    <xf numFmtId="0" fontId="13" fillId="28" borderId="496" xfId="0" applyFont="1" applyFill="1" applyBorder="1" applyAlignment="1" applyProtection="1">
      <alignment horizontal="left" vertical="center"/>
      <protection locked="0"/>
    </xf>
    <xf numFmtId="0" fontId="91" fillId="60" borderId="472" xfId="0" applyFont="1" applyFill="1" applyBorder="1" applyAlignment="1">
      <alignment horizontal="center" vertical="center" textRotation="90" wrapText="1"/>
    </xf>
    <xf numFmtId="0" fontId="91" fillId="60" borderId="473" xfId="0" applyFont="1" applyFill="1" applyBorder="1" applyAlignment="1">
      <alignment horizontal="center" vertical="center" textRotation="90" wrapText="1"/>
    </xf>
    <xf numFmtId="0" fontId="91" fillId="60" borderId="474" xfId="0" applyFont="1" applyFill="1" applyBorder="1" applyAlignment="1">
      <alignment horizontal="center" vertical="center" textRotation="90" wrapText="1"/>
    </xf>
    <xf numFmtId="0" fontId="13" fillId="55" borderId="395" xfId="0" applyFont="1" applyFill="1" applyBorder="1" applyAlignment="1" applyProtection="1">
      <alignment horizontal="center" vertical="center"/>
      <protection locked="0"/>
    </xf>
    <xf numFmtId="0" fontId="13" fillId="55" borderId="392" xfId="0" applyFont="1" applyFill="1" applyBorder="1" applyAlignment="1" applyProtection="1">
      <alignment horizontal="center" vertical="center"/>
      <protection locked="0"/>
    </xf>
    <xf numFmtId="0" fontId="13" fillId="55" borderId="389" xfId="0" applyFont="1" applyFill="1" applyBorder="1" applyAlignment="1" applyProtection="1">
      <alignment horizontal="center" vertical="center"/>
      <protection locked="0"/>
    </xf>
    <xf numFmtId="0" fontId="13" fillId="28" borderId="414"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31" xfId="0" applyFont="1" applyFill="1" applyBorder="1" applyAlignment="1" applyProtection="1">
      <alignment horizontal="right" vertical="center"/>
      <protection locked="0"/>
    </xf>
    <xf numFmtId="0" fontId="13" fillId="28" borderId="388" xfId="0" applyFont="1" applyFill="1" applyBorder="1" applyAlignment="1" applyProtection="1">
      <alignment vertical="center"/>
      <protection locked="0"/>
    </xf>
    <xf numFmtId="0" fontId="13" fillId="28" borderId="392"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9" fillId="30" borderId="323" xfId="0" applyFont="1" applyFill="1" applyBorder="1" applyAlignment="1">
      <alignment horizontal="center" vertical="center" wrapText="1"/>
    </xf>
    <xf numFmtId="0" fontId="9" fillId="30" borderId="322" xfId="0" applyFont="1" applyFill="1" applyBorder="1" applyAlignment="1">
      <alignment horizontal="center" vertical="center" wrapText="1"/>
    </xf>
    <xf numFmtId="0" fontId="9" fillId="30" borderId="325"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89" xfId="0" applyFont="1" applyFill="1" applyBorder="1" applyAlignment="1">
      <alignment horizontal="center" vertical="center" wrapText="1"/>
    </xf>
    <xf numFmtId="0" fontId="9" fillId="30" borderId="76"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62" fillId="54" borderId="459" xfId="0" applyFont="1" applyFill="1" applyBorder="1" applyAlignment="1" applyProtection="1">
      <alignment horizontal="left" vertical="top" wrapText="1"/>
      <protection locked="0"/>
    </xf>
    <xf numFmtId="0" fontId="62" fillId="54" borderId="460" xfId="0" applyFont="1" applyFill="1" applyBorder="1" applyAlignment="1" applyProtection="1">
      <alignment horizontal="left" vertical="top" wrapText="1"/>
      <protection locked="0"/>
    </xf>
    <xf numFmtId="0" fontId="62" fillId="54" borderId="461" xfId="0" applyFont="1" applyFill="1" applyBorder="1" applyAlignment="1" applyProtection="1">
      <alignment horizontal="left" vertical="top" wrapText="1"/>
      <protection locked="0"/>
    </xf>
    <xf numFmtId="0" fontId="62" fillId="54" borderId="46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63" xfId="0" applyFont="1" applyFill="1" applyBorder="1" applyAlignment="1" applyProtection="1">
      <alignment horizontal="left" vertical="top" wrapText="1"/>
      <protection locked="0"/>
    </xf>
    <xf numFmtId="0" fontId="62" fillId="54" borderId="464" xfId="0" applyFont="1" applyFill="1" applyBorder="1" applyAlignment="1" applyProtection="1">
      <alignment horizontal="left" vertical="top" wrapText="1"/>
      <protection locked="0"/>
    </xf>
    <xf numFmtId="0" fontId="62" fillId="54" borderId="465" xfId="0" applyFont="1" applyFill="1" applyBorder="1" applyAlignment="1" applyProtection="1">
      <alignment horizontal="left" vertical="top" wrapText="1"/>
      <protection locked="0"/>
    </xf>
    <xf numFmtId="0" fontId="62" fillId="54" borderId="466" xfId="0" applyFont="1" applyFill="1" applyBorder="1" applyAlignment="1" applyProtection="1">
      <alignment horizontal="left" vertical="top" wrapText="1"/>
      <protection locked="0"/>
    </xf>
    <xf numFmtId="0" fontId="9" fillId="7" borderId="166"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12" fillId="7" borderId="201"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89" xfId="0" applyFont="1" applyFill="1" applyBorder="1" applyAlignment="1">
      <alignment horizontal="right" vertical="center" wrapText="1"/>
    </xf>
    <xf numFmtId="0" fontId="13" fillId="55" borderId="404" xfId="0" applyFont="1" applyFill="1" applyBorder="1" applyAlignment="1" applyProtection="1">
      <alignment horizontal="center" vertical="center" shrinkToFit="1"/>
      <protection locked="0"/>
    </xf>
    <xf numFmtId="0" fontId="13" fillId="55" borderId="383" xfId="0" applyFont="1" applyFill="1" applyBorder="1" applyAlignment="1" applyProtection="1">
      <alignment horizontal="center" vertical="center" shrinkToFit="1"/>
      <protection locked="0"/>
    </xf>
    <xf numFmtId="0" fontId="9" fillId="7" borderId="106" xfId="0" applyFont="1" applyFill="1" applyBorder="1" applyAlignment="1">
      <alignment horizontal="right" vertical="center" wrapText="1"/>
    </xf>
    <xf numFmtId="0" fontId="9" fillId="7" borderId="418" xfId="0" applyFont="1" applyFill="1" applyBorder="1" applyAlignment="1">
      <alignment horizontal="right" vertical="center" wrapText="1"/>
    </xf>
    <xf numFmtId="0" fontId="48" fillId="7" borderId="576" xfId="0" applyFont="1" applyFill="1" applyBorder="1" applyAlignment="1">
      <alignment horizontal="right" vertical="center" wrapText="1"/>
    </xf>
    <xf numFmtId="0" fontId="13" fillId="7" borderId="76" xfId="0" applyFont="1" applyFill="1" applyBorder="1" applyAlignment="1">
      <alignment horizontal="center" vertical="center" wrapText="1"/>
    </xf>
    <xf numFmtId="0" fontId="114" fillId="7" borderId="185" xfId="0" applyFont="1" applyFill="1" applyBorder="1" applyAlignment="1">
      <alignment horizontal="center" vertical="center" shrinkToFit="1"/>
    </xf>
    <xf numFmtId="0" fontId="114" fillId="7" borderId="90"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1" xfId="0" applyFont="1" applyFill="1" applyBorder="1" applyAlignment="1">
      <alignment horizontal="center" vertical="center" wrapText="1"/>
    </xf>
    <xf numFmtId="0" fontId="9" fillId="7" borderId="97"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13" fillId="28" borderId="394"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385" xfId="0" applyFont="1" applyFill="1" applyBorder="1" applyAlignment="1" applyProtection="1">
      <alignment horizontal="left" vertical="center" wrapText="1"/>
      <protection locked="0"/>
    </xf>
    <xf numFmtId="0" fontId="10" fillId="7" borderId="76" xfId="0" applyFont="1" applyFill="1" applyBorder="1" applyAlignment="1">
      <alignment horizontal="center" vertical="center" wrapText="1"/>
    </xf>
    <xf numFmtId="0" fontId="10" fillId="7" borderId="154" xfId="0" applyFont="1" applyFill="1" applyBorder="1" applyAlignment="1">
      <alignment horizontal="center" vertical="center" wrapText="1"/>
    </xf>
    <xf numFmtId="0" fontId="117" fillId="7" borderId="290" xfId="0" applyFont="1" applyFill="1" applyBorder="1" applyAlignment="1">
      <alignment horizontal="center" vertical="center" shrinkToFit="1"/>
    </xf>
    <xf numFmtId="0" fontId="117" fillId="7" borderId="435" xfId="0" applyFont="1" applyFill="1" applyBorder="1" applyAlignment="1">
      <alignment horizontal="center" vertical="center" shrinkToFit="1"/>
    </xf>
    <xf numFmtId="0" fontId="9" fillId="7" borderId="76" xfId="0" applyFont="1" applyFill="1" applyBorder="1" applyAlignment="1">
      <alignment horizontal="right"/>
    </xf>
    <xf numFmtId="0" fontId="9" fillId="7" borderId="180"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88" xfId="0" applyFont="1" applyFill="1" applyBorder="1" applyAlignment="1" applyProtection="1">
      <alignment horizontal="center"/>
      <protection locked="0"/>
    </xf>
    <xf numFmtId="0" fontId="13" fillId="55" borderId="389" xfId="0" applyFont="1" applyFill="1" applyBorder="1" applyAlignment="1" applyProtection="1">
      <alignment horizontal="center"/>
      <protection locked="0"/>
    </xf>
    <xf numFmtId="0" fontId="13" fillId="28" borderId="386"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7" borderId="201" xfId="0" applyFont="1" applyFill="1" applyBorder="1" applyAlignment="1">
      <alignment horizontal="center" vertical="center" wrapText="1"/>
    </xf>
    <xf numFmtId="0" fontId="9" fillId="7" borderId="200" xfId="0" applyFont="1" applyFill="1" applyBorder="1" applyAlignment="1">
      <alignment horizontal="center" vertical="center" wrapText="1"/>
    </xf>
    <xf numFmtId="0" fontId="13" fillId="28" borderId="393" xfId="0" applyFont="1" applyFill="1" applyBorder="1" applyAlignment="1" applyProtection="1">
      <alignment horizontal="right" vertical="center"/>
      <protection locked="0"/>
    </xf>
    <xf numFmtId="0" fontId="13" fillId="28" borderId="358" xfId="0" applyFont="1" applyFill="1" applyBorder="1" applyAlignment="1" applyProtection="1">
      <alignment horizontal="right" vertical="center"/>
      <protection locked="0"/>
    </xf>
    <xf numFmtId="0" fontId="13" fillId="28" borderId="430" xfId="0" applyFont="1" applyFill="1" applyBorder="1" applyAlignment="1" applyProtection="1">
      <alignment horizontal="right" vertical="center"/>
      <protection locked="0"/>
    </xf>
    <xf numFmtId="0" fontId="9" fillId="7" borderId="698" xfId="0" applyFont="1" applyFill="1" applyBorder="1" applyAlignment="1">
      <alignment horizontal="center" vertical="center" wrapText="1"/>
    </xf>
    <xf numFmtId="0" fontId="9" fillId="7" borderId="699"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2" fillId="7" borderId="930" xfId="0" applyFont="1" applyFill="1" applyBorder="1" applyAlignment="1">
      <alignment horizontal="center" vertical="center" textRotation="90" wrapText="1"/>
    </xf>
    <xf numFmtId="0" fontId="12" fillId="7" borderId="827" xfId="0" applyFont="1" applyFill="1" applyBorder="1" applyAlignment="1">
      <alignment horizontal="center" vertical="center" textRotation="90" wrapText="1"/>
    </xf>
    <xf numFmtId="0" fontId="32" fillId="3" borderId="112" xfId="0" applyFont="1" applyFill="1" applyBorder="1" applyAlignment="1">
      <alignment horizontal="center" vertical="center" wrapText="1"/>
    </xf>
    <xf numFmtId="0" fontId="13" fillId="28" borderId="388" xfId="0" applyFont="1" applyFill="1" applyBorder="1" applyAlignment="1" applyProtection="1">
      <alignment horizontal="left"/>
      <protection locked="0"/>
    </xf>
    <xf numFmtId="0" fontId="13" fillId="28" borderId="392" xfId="0" applyFont="1" applyFill="1" applyBorder="1" applyAlignment="1" applyProtection="1">
      <alignment horizontal="left"/>
      <protection locked="0"/>
    </xf>
    <xf numFmtId="0" fontId="13" fillId="28" borderId="433" xfId="0" applyFont="1" applyFill="1" applyBorder="1" applyAlignment="1" applyProtection="1">
      <alignment horizontal="left"/>
      <protection locked="0"/>
    </xf>
    <xf numFmtId="0" fontId="13" fillId="28" borderId="384" xfId="0" quotePrefix="1" applyFont="1" applyFill="1" applyBorder="1" applyAlignment="1" applyProtection="1">
      <alignment horizontal="left" vertical="center"/>
      <protection locked="0"/>
    </xf>
    <xf numFmtId="0" fontId="13" fillId="28" borderId="490" xfId="0" applyFont="1" applyFill="1" applyBorder="1" applyAlignment="1" applyProtection="1">
      <alignment vertical="center"/>
      <protection locked="0"/>
    </xf>
    <xf numFmtId="0" fontId="13" fillId="28" borderId="355" xfId="0" applyFont="1" applyFill="1" applyBorder="1" applyAlignment="1" applyProtection="1">
      <alignment vertical="center"/>
      <protection locked="0"/>
    </xf>
    <xf numFmtId="0" fontId="13" fillId="28" borderId="496" xfId="0" applyFont="1" applyFill="1" applyBorder="1" applyAlignment="1" applyProtection="1">
      <alignment vertical="center"/>
      <protection locked="0"/>
    </xf>
    <xf numFmtId="0" fontId="13" fillId="31" borderId="91"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89" xfId="0" applyFont="1" applyFill="1" applyBorder="1" applyAlignment="1">
      <alignment horizontal="left" vertical="center" wrapText="1"/>
    </xf>
    <xf numFmtId="0" fontId="13" fillId="31" borderId="76"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9" fillId="7" borderId="66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3" fillId="55" borderId="394" xfId="0" applyFont="1" applyFill="1" applyBorder="1" applyAlignment="1" applyProtection="1">
      <alignment horizontal="center" vertical="center"/>
      <protection locked="0"/>
    </xf>
    <xf numFmtId="0" fontId="13" fillId="55" borderId="390" xfId="0" applyFont="1" applyFill="1" applyBorder="1" applyAlignment="1" applyProtection="1">
      <alignment horizontal="center" vertical="center"/>
      <protection locked="0"/>
    </xf>
    <xf numFmtId="0" fontId="13" fillId="55" borderId="385" xfId="0" applyFont="1" applyFill="1" applyBorder="1" applyAlignment="1" applyProtection="1">
      <alignment horizontal="center" vertical="center"/>
      <protection locked="0"/>
    </xf>
    <xf numFmtId="0" fontId="9" fillId="7" borderId="16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71"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3" fillId="24" borderId="87" xfId="0" applyFont="1" applyFill="1" applyBorder="1" applyAlignment="1">
      <alignment horizontal="center" vertical="center"/>
    </xf>
    <xf numFmtId="0" fontId="143" fillId="24" borderId="0" xfId="0" applyFont="1" applyFill="1" applyAlignment="1">
      <alignment horizontal="center" vertical="center"/>
    </xf>
    <xf numFmtId="0" fontId="144" fillId="24" borderId="0" xfId="13" applyFill="1" applyBorder="1" applyAlignment="1" applyProtection="1">
      <alignment horizontal="center" vertical="top" wrapText="1"/>
      <protection locked="0"/>
    </xf>
    <xf numFmtId="0" fontId="15" fillId="8" borderId="91"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1"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89" xfId="0" applyFill="1" applyBorder="1" applyAlignment="1" applyProtection="1">
      <alignment horizontal="center" vertical="center"/>
      <protection locked="0"/>
    </xf>
    <xf numFmtId="0" fontId="0" fillId="28" borderId="76"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79" xfId="0" applyFont="1" applyFill="1" applyBorder="1" applyAlignment="1">
      <alignment horizontal="left" vertical="top"/>
    </xf>
    <xf numFmtId="0" fontId="9" fillId="45" borderId="91"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0" xfId="0" applyFont="1" applyFill="1" applyBorder="1" applyAlignment="1" applyProtection="1">
      <alignment horizontal="center" vertical="center"/>
      <protection locked="0"/>
    </xf>
    <xf numFmtId="0" fontId="15" fillId="8" borderId="76"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1"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89" xfId="0" applyFont="1" applyFill="1" applyBorder="1" applyAlignment="1">
      <alignment horizontal="center" vertical="center" wrapText="1"/>
    </xf>
    <xf numFmtId="0" fontId="9" fillId="44" borderId="76"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6" xfId="0" applyFont="1" applyFill="1" applyBorder="1" applyAlignment="1" applyProtection="1">
      <alignment horizontal="center" vertical="center"/>
      <protection locked="0"/>
    </xf>
    <xf numFmtId="0" fontId="13" fillId="7" borderId="239" xfId="0" applyFont="1" applyFill="1" applyBorder="1" applyAlignment="1">
      <alignment horizontal="left" vertical="top" wrapText="1"/>
    </xf>
    <xf numFmtId="0" fontId="62" fillId="30" borderId="0" xfId="0" applyFont="1" applyFill="1" applyAlignment="1">
      <alignment horizontal="left"/>
    </xf>
    <xf numFmtId="0" fontId="16" fillId="7" borderId="697" xfId="0" applyFont="1" applyFill="1" applyBorder="1" applyAlignment="1">
      <alignment horizontal="center" vertical="center" wrapText="1"/>
    </xf>
    <xf numFmtId="0" fontId="16" fillId="7" borderId="698" xfId="0" applyFont="1" applyFill="1" applyBorder="1" applyAlignment="1">
      <alignment horizontal="center" vertical="center" wrapText="1"/>
    </xf>
    <xf numFmtId="0" fontId="16" fillId="7" borderId="699" xfId="0" applyFont="1" applyFill="1" applyBorder="1" applyAlignment="1">
      <alignment horizontal="center" vertical="center" wrapText="1"/>
    </xf>
    <xf numFmtId="0" fontId="62" fillId="7" borderId="0" xfId="0" applyFont="1" applyFill="1" applyAlignment="1">
      <alignment horizontal="center"/>
    </xf>
    <xf numFmtId="0" fontId="62" fillId="7" borderId="79"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31" fillId="30" borderId="321" xfId="0" applyFont="1" applyFill="1" applyBorder="1" applyAlignment="1">
      <alignment horizontal="center" vertical="center" wrapText="1"/>
    </xf>
    <xf numFmtId="0" fontId="131" fillId="30" borderId="322"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3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79" xfId="0" applyFont="1" applyFill="1" applyBorder="1" applyAlignment="1">
      <alignment horizontal="center" vertical="center" wrapText="1"/>
    </xf>
    <xf numFmtId="0" fontId="131" fillId="30" borderId="700"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695"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79" xfId="0" applyFont="1" applyFill="1" applyBorder="1" applyAlignment="1">
      <alignment horizontal="left" vertical="center" shrinkToFit="1"/>
    </xf>
    <xf numFmtId="0" fontId="39" fillId="7" borderId="322"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79" xfId="0" applyFont="1" applyFill="1" applyBorder="1" applyAlignment="1">
      <alignment horizontal="center" vertical="center" wrapText="1"/>
    </xf>
    <xf numFmtId="0" fontId="39" fillId="7" borderId="694" xfId="0" applyFont="1" applyFill="1" applyBorder="1" applyAlignment="1">
      <alignment horizontal="center" vertical="center" wrapText="1"/>
    </xf>
    <xf numFmtId="0" fontId="39" fillId="7" borderId="695" xfId="0" applyFont="1" applyFill="1" applyBorder="1" applyAlignment="1">
      <alignment horizontal="center" vertical="center" wrapText="1"/>
    </xf>
    <xf numFmtId="0" fontId="62" fillId="7" borderId="0" xfId="0" applyFont="1" applyFill="1" applyAlignment="1">
      <alignment horizontal="left"/>
    </xf>
    <xf numFmtId="0" fontId="31" fillId="31" borderId="321" xfId="0" applyFont="1" applyFill="1" applyBorder="1" applyAlignment="1">
      <alignment horizontal="center" vertical="center" wrapText="1"/>
    </xf>
    <xf numFmtId="0" fontId="31" fillId="31" borderId="322" xfId="0" applyFont="1" applyFill="1" applyBorder="1" applyAlignment="1">
      <alignment horizontal="center" vertical="center" wrapText="1"/>
    </xf>
    <xf numFmtId="0" fontId="31" fillId="31" borderId="635"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00" xfId="0" applyFont="1" applyFill="1" applyBorder="1" applyAlignment="1">
      <alignment horizontal="center" vertical="center" wrapText="1"/>
    </xf>
    <xf numFmtId="0" fontId="31" fillId="31" borderId="694" xfId="0" applyFont="1" applyFill="1" applyBorder="1" applyAlignment="1">
      <alignment horizontal="center" vertical="center" wrapText="1"/>
    </xf>
    <xf numFmtId="0" fontId="9" fillId="24" borderId="86"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9" xfId="0" applyFont="1" applyFill="1" applyBorder="1" applyAlignment="1">
      <alignment horizontal="center" vertical="center" wrapText="1"/>
    </xf>
    <xf numFmtId="0" fontId="9" fillId="24" borderId="76" xfId="0" applyFont="1" applyFill="1" applyBorder="1" applyAlignment="1">
      <alignment horizontal="center" vertical="center" wrapText="1"/>
    </xf>
    <xf numFmtId="0" fontId="9" fillId="67" borderId="88"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39" xfId="0" applyFont="1" applyFill="1" applyBorder="1" applyAlignment="1">
      <alignment horizontal="left" vertical="top"/>
    </xf>
    <xf numFmtId="0" fontId="14" fillId="30" borderId="0" xfId="0" applyFont="1" applyFill="1" applyAlignment="1">
      <alignment horizontal="center" vertical="center" wrapText="1"/>
    </xf>
    <xf numFmtId="0" fontId="10" fillId="7" borderId="0" xfId="0" applyFont="1" applyFill="1" applyAlignment="1">
      <alignment horizontal="left" vertical="center"/>
    </xf>
    <xf numFmtId="0" fontId="10" fillId="7" borderId="239" xfId="0" applyFont="1" applyFill="1" applyBorder="1" applyAlignment="1">
      <alignment horizontal="left" vertical="center"/>
    </xf>
    <xf numFmtId="0" fontId="13" fillId="7" borderId="239" xfId="0" applyFont="1" applyFill="1" applyBorder="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23" xfId="0" applyFill="1" applyBorder="1" applyAlignment="1" applyProtection="1">
      <alignment horizontal="center" vertical="center"/>
      <protection locked="0"/>
    </xf>
    <xf numFmtId="0" fontId="0" fillId="28" borderId="322" xfId="0" applyFill="1" applyBorder="1" applyAlignment="1" applyProtection="1">
      <alignment horizontal="center" vertical="center"/>
      <protection locked="0"/>
    </xf>
    <xf numFmtId="0" fontId="0" fillId="28" borderId="325" xfId="0" applyFill="1" applyBorder="1" applyAlignment="1" applyProtection="1">
      <alignment horizontal="center" vertical="center"/>
      <protection locked="0"/>
    </xf>
    <xf numFmtId="0" fontId="57" fillId="8" borderId="86" xfId="0" applyFont="1" applyFill="1" applyBorder="1" applyAlignment="1">
      <alignment horizontal="center" vertical="center" wrapText="1"/>
    </xf>
    <xf numFmtId="0" fontId="57" fillId="8" borderId="87" xfId="0" applyFont="1" applyFill="1" applyBorder="1" applyAlignment="1">
      <alignment horizontal="center" vertical="center" wrapText="1"/>
    </xf>
    <xf numFmtId="0" fontId="57" fillId="8" borderId="88" xfId="0" applyFont="1" applyFill="1" applyBorder="1" applyAlignment="1">
      <alignment horizontal="center" vertical="center" wrapText="1"/>
    </xf>
    <xf numFmtId="0" fontId="57" fillId="8" borderId="106" xfId="0" applyFont="1" applyFill="1" applyBorder="1" applyAlignment="1">
      <alignment horizontal="center" vertical="center" wrapText="1"/>
    </xf>
    <xf numFmtId="0" fontId="57" fillId="8" borderId="661" xfId="0" applyFont="1" applyFill="1" applyBorder="1" applyAlignment="1">
      <alignment horizontal="center" vertical="center" wrapText="1"/>
    </xf>
    <xf numFmtId="0" fontId="57" fillId="8" borderId="577"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694" xfId="0" applyFont="1" applyFill="1" applyBorder="1" applyAlignment="1">
      <alignment horizontal="left" vertical="top" wrapText="1"/>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1" fillId="7" borderId="0" xfId="0" applyFont="1" applyFill="1" applyAlignment="1">
      <alignment horizontal="center" vertical="top"/>
    </xf>
    <xf numFmtId="0" fontId="48" fillId="44" borderId="91"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89" xfId="0" applyFont="1" applyFill="1" applyBorder="1" applyAlignment="1">
      <alignment horizontal="center" vertical="center" wrapText="1"/>
    </xf>
    <xf numFmtId="0" fontId="9" fillId="45" borderId="76" xfId="0" applyFont="1" applyFill="1" applyBorder="1" applyAlignment="1">
      <alignment horizontal="center" vertical="center" wrapText="1"/>
    </xf>
    <xf numFmtId="0" fontId="9" fillId="66" borderId="90"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0" xfId="0" applyFont="1" applyFill="1" applyAlignment="1">
      <alignment horizontal="left" vertical="top" wrapText="1"/>
    </xf>
    <xf numFmtId="0" fontId="13" fillId="30" borderId="239"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5" fillId="7" borderId="459" xfId="0" applyFont="1" applyFill="1" applyBorder="1" applyAlignment="1">
      <alignment horizontal="center" vertical="center" wrapText="1"/>
    </xf>
    <xf numFmtId="0" fontId="145" fillId="7" borderId="460" xfId="0" applyFont="1" applyFill="1" applyBorder="1" applyAlignment="1">
      <alignment horizontal="center" vertical="center" wrapText="1"/>
    </xf>
    <xf numFmtId="0" fontId="145" fillId="7" borderId="461" xfId="0" applyFont="1" applyFill="1" applyBorder="1" applyAlignment="1">
      <alignment horizontal="center" vertical="center" wrapText="1"/>
    </xf>
    <xf numFmtId="0" fontId="145" fillId="7" borderId="462"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463" xfId="0" applyFont="1" applyFill="1" applyBorder="1" applyAlignment="1">
      <alignment horizontal="center" vertical="center" wrapText="1"/>
    </xf>
    <xf numFmtId="0" fontId="145" fillId="7" borderId="464" xfId="0" applyFont="1" applyFill="1" applyBorder="1" applyAlignment="1">
      <alignment horizontal="center" vertical="center" wrapText="1"/>
    </xf>
    <xf numFmtId="0" fontId="145" fillId="7" borderId="465" xfId="0" applyFont="1" applyFill="1" applyBorder="1" applyAlignment="1">
      <alignment horizontal="center" vertical="center" wrapText="1"/>
    </xf>
    <xf numFmtId="0" fontId="145" fillId="7" borderId="466" xfId="0" applyFont="1" applyFill="1" applyBorder="1" applyAlignment="1">
      <alignment horizontal="center" vertical="center" wrapText="1"/>
    </xf>
    <xf numFmtId="0" fontId="10" fillId="30" borderId="431" xfId="0" applyFont="1" applyFill="1" applyBorder="1" applyAlignment="1">
      <alignment horizontal="right" vertical="center"/>
    </xf>
    <xf numFmtId="0" fontId="10" fillId="30" borderId="237" xfId="0" applyFont="1" applyFill="1" applyBorder="1" applyAlignment="1">
      <alignment horizontal="right" vertical="center"/>
    </xf>
    <xf numFmtId="0" fontId="15" fillId="8" borderId="467" xfId="0" applyFont="1" applyFill="1" applyBorder="1" applyAlignment="1">
      <alignment horizontal="center" vertical="center" wrapText="1"/>
    </xf>
    <xf numFmtId="0" fontId="15" fillId="8" borderId="468" xfId="0" applyFont="1" applyFill="1" applyBorder="1" applyAlignment="1">
      <alignment horizontal="center" vertical="center" wrapText="1"/>
    </xf>
    <xf numFmtId="0" fontId="15" fillId="8" borderId="469" xfId="0" applyFont="1" applyFill="1" applyBorder="1" applyAlignment="1">
      <alignment horizontal="center" vertical="center" wrapText="1"/>
    </xf>
    <xf numFmtId="0" fontId="21" fillId="55" borderId="353" xfId="0" applyFont="1" applyFill="1" applyBorder="1" applyAlignment="1" applyProtection="1">
      <alignment horizontal="center" vertical="center" wrapText="1"/>
      <protection locked="0"/>
    </xf>
    <xf numFmtId="0" fontId="13" fillId="55" borderId="354" xfId="0" applyFont="1" applyFill="1" applyBorder="1" applyAlignment="1" applyProtection="1">
      <alignment horizontal="center" vertical="center"/>
      <protection locked="0"/>
    </xf>
    <xf numFmtId="0" fontId="13" fillId="55" borderId="355"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protection locked="0"/>
    </xf>
    <xf numFmtId="0" fontId="21" fillId="55" borderId="354" xfId="0" applyFont="1" applyFill="1" applyBorder="1" applyAlignment="1" applyProtection="1">
      <alignment horizontal="center" vertical="center" wrapText="1"/>
      <protection locked="0"/>
    </xf>
    <xf numFmtId="0" fontId="21" fillId="55" borderId="355" xfId="0" applyFont="1" applyFill="1" applyBorder="1" applyAlignment="1" applyProtection="1">
      <alignment horizontal="center" vertical="center" wrapText="1"/>
      <protection locked="0"/>
    </xf>
    <xf numFmtId="0" fontId="21" fillId="55" borderId="356" xfId="0" applyFont="1" applyFill="1" applyBorder="1" applyAlignment="1" applyProtection="1">
      <alignment horizontal="center" vertical="center" wrapText="1"/>
      <protection locked="0"/>
    </xf>
    <xf numFmtId="0" fontId="21" fillId="55" borderId="358" xfId="0" applyFont="1" applyFill="1" applyBorder="1" applyAlignment="1" applyProtection="1">
      <alignment horizontal="center" vertical="center" wrapText="1"/>
      <protection locked="0"/>
    </xf>
    <xf numFmtId="0" fontId="104" fillId="55" borderId="431" xfId="0" applyFont="1" applyFill="1" applyBorder="1" applyAlignment="1" applyProtection="1">
      <alignment horizontal="center" vertical="center" wrapText="1"/>
      <protection locked="0"/>
    </xf>
    <xf numFmtId="0" fontId="104" fillId="55" borderId="237" xfId="0" applyFont="1" applyFill="1" applyBorder="1" applyAlignment="1" applyProtection="1">
      <alignment horizontal="center" vertical="center" wrapText="1"/>
      <protection locked="0"/>
    </xf>
    <xf numFmtId="0" fontId="104" fillId="55" borderId="355" xfId="0" applyFont="1" applyFill="1" applyBorder="1" applyAlignment="1" applyProtection="1">
      <alignment horizontal="center" vertical="center" wrapText="1"/>
      <protection locked="0"/>
    </xf>
    <xf numFmtId="0" fontId="104" fillId="55" borderId="356" xfId="0" applyFont="1" applyFill="1" applyBorder="1" applyAlignment="1" applyProtection="1">
      <alignment horizontal="center" vertical="center" wrapText="1"/>
      <protection locked="0"/>
    </xf>
    <xf numFmtId="0" fontId="21" fillId="55" borderId="354"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54"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center" vertical="center" wrapText="1"/>
      <protection locked="0"/>
    </xf>
    <xf numFmtId="0" fontId="8" fillId="3" borderId="89" xfId="0" applyFont="1" applyFill="1" applyBorder="1" applyAlignment="1">
      <alignment horizontal="left" wrapText="1"/>
    </xf>
    <xf numFmtId="0" fontId="8" fillId="3" borderId="186" xfId="0" applyFont="1" applyFill="1" applyBorder="1" applyAlignment="1">
      <alignment horizontal="left" wrapText="1"/>
    </xf>
    <xf numFmtId="0" fontId="21" fillId="55" borderId="400"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21" fillId="55" borderId="358" xfId="0" applyFont="1" applyFill="1" applyBorder="1" applyAlignment="1" applyProtection="1">
      <alignment horizontal="left" vertical="top" wrapText="1"/>
      <protection locked="0"/>
    </xf>
    <xf numFmtId="0" fontId="21" fillId="55" borderId="401" xfId="0" applyFont="1" applyFill="1" applyBorder="1" applyAlignment="1" applyProtection="1">
      <alignment horizontal="left" vertical="top" wrapText="1"/>
      <protection locked="0"/>
    </xf>
    <xf numFmtId="0" fontId="21" fillId="55" borderId="379" xfId="0" applyFont="1" applyFill="1" applyBorder="1" applyAlignment="1" applyProtection="1">
      <alignment horizontal="left" vertical="top" wrapText="1"/>
      <protection locked="0"/>
    </xf>
    <xf numFmtId="0" fontId="21" fillId="55" borderId="356" xfId="0" applyFont="1" applyFill="1" applyBorder="1" applyAlignment="1" applyProtection="1">
      <alignment horizontal="left" vertical="top" wrapText="1"/>
      <protection locked="0"/>
    </xf>
    <xf numFmtId="0" fontId="21" fillId="55" borderId="353" xfId="0" applyFont="1" applyFill="1" applyBorder="1" applyAlignment="1" applyProtection="1">
      <alignment horizontal="left" vertical="top" wrapText="1"/>
      <protection locked="0"/>
    </xf>
    <xf numFmtId="0" fontId="21" fillId="55" borderId="380" xfId="0" applyFont="1" applyFill="1" applyBorder="1" applyAlignment="1" applyProtection="1">
      <alignment horizontal="left" vertical="top" wrapText="1"/>
      <protection locked="0"/>
    </xf>
    <xf numFmtId="0" fontId="21" fillId="55" borderId="381" xfId="0" applyFont="1" applyFill="1" applyBorder="1" applyAlignment="1" applyProtection="1">
      <alignment horizontal="left" vertical="top" wrapText="1"/>
      <protection locked="0"/>
    </xf>
    <xf numFmtId="0" fontId="21" fillId="55" borderId="404" xfId="0" applyFont="1" applyFill="1" applyBorder="1" applyAlignment="1" applyProtection="1">
      <alignment horizontal="left" vertical="top" wrapText="1"/>
      <protection locked="0"/>
    </xf>
    <xf numFmtId="0" fontId="21" fillId="55" borderId="382" xfId="0" applyFont="1" applyFill="1" applyBorder="1" applyAlignment="1" applyProtection="1">
      <alignment horizontal="left" vertical="top" wrapText="1"/>
      <protection locked="0"/>
    </xf>
    <xf numFmtId="0" fontId="21" fillId="55" borderId="383" xfId="0" applyFont="1" applyFill="1" applyBorder="1" applyAlignment="1" applyProtection="1">
      <alignment horizontal="left" vertical="top" wrapText="1"/>
      <protection locked="0"/>
    </xf>
    <xf numFmtId="0" fontId="17" fillId="8" borderId="86" xfId="0" applyFont="1" applyFill="1" applyBorder="1" applyAlignment="1">
      <alignment horizontal="center" vertical="center" wrapText="1"/>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76"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58" xfId="0" applyFont="1" applyFill="1" applyBorder="1" applyAlignment="1">
      <alignment horizontal="right" vertical="center"/>
    </xf>
    <xf numFmtId="0" fontId="118" fillId="30" borderId="0" xfId="0" applyFont="1" applyFill="1" applyAlignment="1">
      <alignment horizontal="right" vertical="center"/>
    </xf>
    <xf numFmtId="0" fontId="8" fillId="55" borderId="462"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63" xfId="0" applyFont="1" applyFill="1" applyBorder="1" applyAlignment="1" applyProtection="1">
      <alignment horizontal="center" wrapText="1"/>
      <protection locked="0"/>
    </xf>
    <xf numFmtId="0" fontId="8" fillId="55" borderId="464" xfId="0" applyFont="1" applyFill="1" applyBorder="1" applyAlignment="1" applyProtection="1">
      <alignment horizontal="center" wrapText="1"/>
      <protection locked="0"/>
    </xf>
    <xf numFmtId="0" fontId="8" fillId="55" borderId="465" xfId="0" applyFont="1" applyFill="1" applyBorder="1" applyAlignment="1" applyProtection="1">
      <alignment horizontal="center" wrapText="1"/>
      <protection locked="0"/>
    </xf>
    <xf numFmtId="0" fontId="8" fillId="55" borderId="466"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30" xfId="0" applyFont="1" applyFill="1" applyBorder="1" applyAlignment="1" applyProtection="1">
      <alignment horizontal="center" vertical="center"/>
      <protection locked="0"/>
    </xf>
    <xf numFmtId="0" fontId="13" fillId="55" borderId="239"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protection locked="0"/>
    </xf>
    <xf numFmtId="0" fontId="21" fillId="55" borderId="459" xfId="0" applyFont="1" applyFill="1" applyBorder="1" applyAlignment="1" applyProtection="1">
      <alignment horizontal="center" vertical="top" wrapText="1"/>
      <protection locked="0"/>
    </xf>
    <xf numFmtId="0" fontId="21" fillId="55" borderId="460" xfId="0" applyFont="1" applyFill="1" applyBorder="1" applyAlignment="1" applyProtection="1">
      <alignment horizontal="center" vertical="top" wrapText="1"/>
      <protection locked="0"/>
    </xf>
    <xf numFmtId="0" fontId="21" fillId="55" borderId="461"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63" xfId="0" applyFont="1" applyFill="1" applyBorder="1" applyAlignment="1" applyProtection="1">
      <alignment horizontal="center" vertical="top" wrapText="1"/>
      <protection locked="0"/>
    </xf>
    <xf numFmtId="0" fontId="21" fillId="55" borderId="464" xfId="0" applyFont="1" applyFill="1" applyBorder="1" applyAlignment="1" applyProtection="1">
      <alignment horizontal="center" vertical="top" wrapText="1"/>
      <protection locked="0"/>
    </xf>
    <xf numFmtId="0" fontId="21" fillId="55" borderId="465" xfId="0" applyFont="1" applyFill="1" applyBorder="1" applyAlignment="1" applyProtection="1">
      <alignment horizontal="center" vertical="top" wrapText="1"/>
      <protection locked="0"/>
    </xf>
    <xf numFmtId="0" fontId="21" fillId="55" borderId="466"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63" xfId="0" applyFont="1" applyFill="1" applyBorder="1" applyAlignment="1" applyProtection="1">
      <alignment horizontal="left" vertical="top" wrapText="1"/>
      <protection locked="0"/>
    </xf>
    <xf numFmtId="0" fontId="21" fillId="55" borderId="464" xfId="0" applyFont="1" applyFill="1" applyBorder="1" applyAlignment="1" applyProtection="1">
      <alignment horizontal="left" vertical="top" wrapText="1"/>
      <protection locked="0"/>
    </xf>
    <xf numFmtId="0" fontId="21" fillId="55" borderId="465" xfId="0" applyFont="1" applyFill="1" applyBorder="1" applyAlignment="1" applyProtection="1">
      <alignment horizontal="left" vertical="top" wrapText="1"/>
      <protection locked="0"/>
    </xf>
    <xf numFmtId="0" fontId="21" fillId="55" borderId="466" xfId="0" applyFont="1" applyFill="1" applyBorder="1" applyAlignment="1" applyProtection="1">
      <alignment horizontal="left" vertical="top" wrapText="1"/>
      <protection locked="0"/>
    </xf>
    <xf numFmtId="0" fontId="21" fillId="55" borderId="459" xfId="0" applyFont="1" applyFill="1" applyBorder="1" applyAlignment="1" applyProtection="1">
      <alignment horizontal="left" vertical="top" wrapText="1"/>
      <protection locked="0"/>
    </xf>
    <xf numFmtId="0" fontId="21" fillId="55" borderId="460" xfId="0" applyFont="1" applyFill="1" applyBorder="1" applyAlignment="1" applyProtection="1">
      <alignment horizontal="left" vertical="top" wrapText="1"/>
      <protection locked="0"/>
    </xf>
    <xf numFmtId="0" fontId="21" fillId="55" borderId="461" xfId="0" applyFont="1" applyFill="1" applyBorder="1" applyAlignment="1" applyProtection="1">
      <alignment horizontal="left" vertical="top" wrapText="1"/>
      <protection locked="0"/>
    </xf>
    <xf numFmtId="0" fontId="13" fillId="55" borderId="386" xfId="0" applyFont="1" applyFill="1" applyBorder="1" applyAlignment="1" applyProtection="1">
      <alignment horizontal="center" vertical="center" wrapText="1"/>
      <protection locked="0"/>
    </xf>
    <xf numFmtId="0" fontId="13" fillId="55" borderId="387" xfId="0" applyFont="1" applyFill="1" applyBorder="1" applyAlignment="1" applyProtection="1">
      <alignment horizontal="center" vertical="center" wrapText="1"/>
      <protection locked="0"/>
    </xf>
    <xf numFmtId="0" fontId="13" fillId="55" borderId="379" xfId="0" applyFont="1" applyFill="1" applyBorder="1" applyAlignment="1" applyProtection="1">
      <alignment horizontal="left" vertical="center" wrapText="1"/>
      <protection locked="0"/>
    </xf>
    <xf numFmtId="0" fontId="13" fillId="55" borderId="353" xfId="0" applyFont="1" applyFill="1" applyBorder="1" applyAlignment="1" applyProtection="1">
      <alignment horizontal="left" vertical="center" wrapText="1"/>
      <protection locked="0"/>
    </xf>
    <xf numFmtId="0" fontId="13" fillId="55" borderId="354" xfId="0" applyFont="1" applyFill="1" applyBorder="1" applyAlignment="1" applyProtection="1">
      <alignment horizontal="left" vertical="center" wrapText="1"/>
      <protection locked="0"/>
    </xf>
    <xf numFmtId="0" fontId="21" fillId="55" borderId="356" xfId="0" applyFont="1" applyFill="1" applyBorder="1" applyAlignment="1" applyProtection="1">
      <alignment horizontal="left" vertical="center" wrapText="1"/>
      <protection locked="0"/>
    </xf>
    <xf numFmtId="0" fontId="21" fillId="55" borderId="353" xfId="0" applyFont="1" applyFill="1" applyBorder="1" applyAlignment="1" applyProtection="1">
      <alignment horizontal="left" vertical="center" wrapText="1"/>
      <protection locked="0"/>
    </xf>
    <xf numFmtId="0" fontId="21" fillId="55" borderId="380" xfId="0" applyFont="1" applyFill="1" applyBorder="1" applyAlignment="1" applyProtection="1">
      <alignment horizontal="left" vertical="center" wrapText="1"/>
      <protection locked="0"/>
    </xf>
    <xf numFmtId="0" fontId="22" fillId="55" borderId="379" xfId="0" applyFont="1" applyFill="1" applyBorder="1" applyAlignment="1" applyProtection="1">
      <alignment horizontal="center" vertical="center" wrapText="1"/>
      <protection locked="0"/>
    </xf>
    <xf numFmtId="0" fontId="22" fillId="55" borderId="353" xfId="0" applyFont="1" applyFill="1" applyBorder="1" applyAlignment="1" applyProtection="1">
      <alignment horizontal="center" vertical="center" wrapText="1"/>
      <protection locked="0"/>
    </xf>
    <xf numFmtId="0" fontId="22" fillId="55" borderId="387" xfId="0" applyFont="1" applyFill="1" applyBorder="1" applyAlignment="1" applyProtection="1">
      <alignment horizontal="center" vertical="center" wrapText="1"/>
      <protection locked="0"/>
    </xf>
    <xf numFmtId="0" fontId="22" fillId="55" borderId="381" xfId="0" applyFont="1" applyFill="1" applyBorder="1" applyAlignment="1" applyProtection="1">
      <alignment horizontal="center" vertical="center" wrapText="1"/>
      <protection locked="0"/>
    </xf>
    <xf numFmtId="0" fontId="22" fillId="55" borderId="382" xfId="0" applyFont="1" applyFill="1" applyBorder="1" applyAlignment="1" applyProtection="1">
      <alignment horizontal="center" vertical="center" wrapText="1"/>
      <protection locked="0"/>
    </xf>
    <xf numFmtId="0" fontId="22" fillId="55" borderId="398"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left" vertical="center" wrapText="1"/>
      <protection locked="0"/>
    </xf>
    <xf numFmtId="0" fontId="13" fillId="55" borderId="380" xfId="0" applyFont="1" applyFill="1" applyBorder="1" applyAlignment="1" applyProtection="1">
      <alignment horizontal="left" vertical="center" wrapText="1"/>
      <protection locked="0"/>
    </xf>
    <xf numFmtId="0" fontId="13" fillId="55" borderId="404"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383" xfId="0" applyFont="1" applyFill="1" applyBorder="1" applyAlignment="1" applyProtection="1">
      <alignment horizontal="left" vertical="center" wrapText="1"/>
      <protection locked="0"/>
    </xf>
    <xf numFmtId="0" fontId="15" fillId="8" borderId="342" xfId="0" applyFont="1" applyFill="1" applyBorder="1" applyAlignment="1">
      <alignment horizontal="center" vertical="center" wrapText="1"/>
    </xf>
    <xf numFmtId="0" fontId="15" fillId="8" borderId="399" xfId="0" applyFont="1" applyFill="1" applyBorder="1" applyAlignment="1">
      <alignment horizontal="center" vertical="center" wrapText="1"/>
    </xf>
    <xf numFmtId="0" fontId="15" fillId="8" borderId="204" xfId="0" applyFont="1" applyFill="1" applyBorder="1" applyAlignment="1">
      <alignment horizontal="center" vertical="center" wrapText="1"/>
    </xf>
    <xf numFmtId="0" fontId="22" fillId="55" borderId="400" xfId="0" applyFont="1" applyFill="1" applyBorder="1" applyAlignment="1" applyProtection="1">
      <alignment horizontal="center" vertical="center" wrapText="1"/>
      <protection locked="0"/>
    </xf>
    <xf numFmtId="0" fontId="22" fillId="55" borderId="358" xfId="0" applyFont="1" applyFill="1" applyBorder="1" applyAlignment="1" applyProtection="1">
      <alignment horizontal="center" vertical="center" wrapText="1"/>
      <protection locked="0"/>
    </xf>
    <xf numFmtId="0" fontId="22" fillId="55" borderId="470" xfId="0" applyFont="1" applyFill="1" applyBorder="1" applyAlignment="1" applyProtection="1">
      <alignment horizontal="center" vertical="center" wrapText="1"/>
      <protection locked="0"/>
    </xf>
    <xf numFmtId="0" fontId="13" fillId="55" borderId="393" xfId="0" applyFont="1" applyFill="1" applyBorder="1" applyAlignment="1" applyProtection="1">
      <alignment horizontal="left" vertical="center" wrapText="1"/>
      <protection locked="0"/>
    </xf>
    <xf numFmtId="0" fontId="13" fillId="55" borderId="358"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30" xfId="0" applyFont="1" applyFill="1" applyBorder="1" applyAlignment="1" applyProtection="1">
      <alignment horizontal="left" vertical="center" wrapText="1"/>
      <protection locked="0"/>
    </xf>
    <xf numFmtId="0" fontId="13" fillId="55" borderId="701" xfId="0" applyFont="1" applyFill="1" applyBorder="1" applyAlignment="1" applyProtection="1">
      <alignment horizontal="center" vertical="center" wrapText="1"/>
      <protection locked="0"/>
    </xf>
    <xf numFmtId="0" fontId="13" fillId="55" borderId="470" xfId="0" applyFont="1" applyFill="1" applyBorder="1" applyAlignment="1" applyProtection="1">
      <alignment horizontal="center" vertical="center" wrapText="1"/>
      <protection locked="0"/>
    </xf>
    <xf numFmtId="0" fontId="9" fillId="7" borderId="702" xfId="0" applyFont="1" applyFill="1" applyBorder="1" applyAlignment="1">
      <alignment horizontal="center" vertical="center" wrapText="1"/>
    </xf>
    <xf numFmtId="0" fontId="9" fillId="7" borderId="691" xfId="0" applyFont="1" applyFill="1" applyBorder="1" applyAlignment="1">
      <alignment horizontal="center" vertical="center" wrapText="1"/>
    </xf>
    <xf numFmtId="0" fontId="14" fillId="55" borderId="394" xfId="0" applyFont="1" applyFill="1" applyBorder="1" applyAlignment="1" applyProtection="1">
      <alignment horizontal="center" vertical="center" wrapText="1"/>
      <protection locked="0"/>
    </xf>
    <xf numFmtId="0" fontId="14" fillId="55" borderId="390" xfId="0" applyFont="1" applyFill="1" applyBorder="1" applyAlignment="1" applyProtection="1">
      <alignment horizontal="center" vertical="center" wrapText="1"/>
      <protection locked="0"/>
    </xf>
    <xf numFmtId="0" fontId="14" fillId="55" borderId="385" xfId="0" applyFont="1" applyFill="1" applyBorder="1" applyAlignment="1" applyProtection="1">
      <alignment horizontal="center" vertical="center" wrapText="1"/>
      <protection locked="0"/>
    </xf>
    <xf numFmtId="0" fontId="14" fillId="55" borderId="381" xfId="0" applyFont="1" applyFill="1" applyBorder="1" applyAlignment="1" applyProtection="1">
      <alignment horizontal="center" vertical="center" wrapText="1"/>
      <protection locked="0"/>
    </xf>
    <xf numFmtId="0" fontId="14" fillId="55" borderId="382" xfId="0" applyFont="1" applyFill="1" applyBorder="1" applyAlignment="1" applyProtection="1">
      <alignment horizontal="center" vertical="center" wrapText="1"/>
      <protection locked="0"/>
    </xf>
    <xf numFmtId="0" fontId="14" fillId="55" borderId="39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6"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127"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9" fillId="7" borderId="703" xfId="0" applyFont="1" applyFill="1" applyBorder="1" applyAlignment="1">
      <alignment horizontal="center" vertical="center" wrapText="1"/>
    </xf>
    <xf numFmtId="0" fontId="13" fillId="55" borderId="394"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391" xfId="0" applyFont="1" applyFill="1" applyBorder="1" applyAlignment="1" applyProtection="1">
      <alignment horizontal="left" vertical="center" wrapText="1"/>
      <protection locked="0"/>
    </xf>
    <xf numFmtId="0" fontId="13" fillId="55" borderId="384" xfId="0" applyFont="1" applyFill="1" applyBorder="1" applyAlignment="1" applyProtection="1">
      <alignment horizontal="center" vertical="center" wrapText="1"/>
      <protection locked="0"/>
    </xf>
    <xf numFmtId="0" fontId="13" fillId="55" borderId="385" xfId="0" applyFont="1" applyFill="1" applyBorder="1" applyAlignment="1" applyProtection="1">
      <alignment horizontal="center" vertical="center" wrapText="1"/>
      <protection locked="0"/>
    </xf>
    <xf numFmtId="0" fontId="12" fillId="7" borderId="377"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74" xfId="0" applyFont="1" applyFill="1" applyBorder="1" applyAlignment="1">
      <alignment horizontal="right" vertical="center" wrapText="1"/>
    </xf>
    <xf numFmtId="0" fontId="9" fillId="7" borderId="112" xfId="0" applyFont="1" applyFill="1" applyBorder="1" applyAlignment="1">
      <alignment horizontal="right" vertical="center" wrapText="1"/>
    </xf>
    <xf numFmtId="0" fontId="13" fillId="55" borderId="381" xfId="0" applyFont="1" applyFill="1" applyBorder="1" applyAlignment="1" applyProtection="1">
      <alignment horizontal="left" vertical="center" wrapText="1"/>
      <protection locked="0"/>
    </xf>
    <xf numFmtId="0" fontId="13" fillId="55" borderId="396" xfId="0" applyFont="1" applyFill="1" applyBorder="1" applyAlignment="1" applyProtection="1">
      <alignment horizontal="left" vertical="center" wrapText="1"/>
      <protection locked="0"/>
    </xf>
    <xf numFmtId="0" fontId="13" fillId="55" borderId="397" xfId="0" applyFont="1" applyFill="1" applyBorder="1" applyAlignment="1" applyProtection="1">
      <alignment horizontal="center" vertical="center" wrapText="1"/>
      <protection locked="0"/>
    </xf>
    <xf numFmtId="0" fontId="13" fillId="55" borderId="398" xfId="0" applyFont="1" applyFill="1" applyBorder="1" applyAlignment="1" applyProtection="1">
      <alignment horizontal="center" vertical="center" wrapText="1"/>
      <protection locked="0"/>
    </xf>
    <xf numFmtId="0" fontId="13" fillId="55" borderId="676"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9" fillId="7" borderId="154" xfId="0" applyFont="1" applyFill="1" applyBorder="1" applyAlignment="1">
      <alignment horizontal="left" vertical="center" wrapText="1"/>
    </xf>
    <xf numFmtId="0" fontId="9" fillId="7" borderId="76" xfId="0" applyFont="1" applyFill="1" applyBorder="1" applyAlignment="1">
      <alignment horizontal="left" vertical="center" wrapText="1"/>
    </xf>
    <xf numFmtId="0" fontId="9" fillId="7" borderId="677" xfId="0" applyFont="1" applyFill="1" applyBorder="1" applyAlignment="1">
      <alignment horizontal="right" vertical="center" wrapText="1"/>
    </xf>
    <xf numFmtId="0" fontId="9" fillId="7" borderId="691" xfId="0" applyFont="1" applyFill="1" applyBorder="1" applyAlignment="1">
      <alignment horizontal="right" vertical="center" wrapText="1"/>
    </xf>
    <xf numFmtId="0" fontId="13" fillId="55" borderId="410" xfId="0" applyFont="1" applyFill="1" applyBorder="1" applyAlignment="1" applyProtection="1">
      <alignment horizontal="left" vertical="center" wrapText="1"/>
      <protection locked="0"/>
    </xf>
    <xf numFmtId="0" fontId="13" fillId="55" borderId="372" xfId="0" applyFont="1" applyFill="1" applyBorder="1" applyAlignment="1" applyProtection="1">
      <alignment horizontal="left" vertical="center" wrapText="1"/>
      <protection locked="0"/>
    </xf>
    <xf numFmtId="0" fontId="13" fillId="55" borderId="431" xfId="0" applyFont="1" applyFill="1" applyBorder="1" applyAlignment="1" applyProtection="1">
      <alignment horizontal="left" vertical="center" wrapText="1"/>
      <protection locked="0"/>
    </xf>
    <xf numFmtId="0" fontId="9" fillId="7" borderId="128" xfId="0" applyFont="1" applyFill="1" applyBorder="1" applyAlignment="1">
      <alignment horizontal="center" vertical="center" wrapText="1"/>
    </xf>
    <xf numFmtId="0" fontId="9" fillId="7" borderId="90" xfId="0" applyFont="1" applyFill="1" applyBorder="1" applyAlignment="1">
      <alignment horizontal="left" vertical="center" wrapText="1"/>
    </xf>
    <xf numFmtId="0" fontId="9" fillId="7" borderId="0" xfId="0" applyFont="1" applyFill="1" applyAlignment="1">
      <alignment horizontal="right" vertical="center"/>
    </xf>
    <xf numFmtId="0" fontId="9" fillId="7" borderId="261" xfId="0" applyFont="1" applyFill="1" applyBorder="1" applyAlignment="1">
      <alignment horizontal="center" vertical="center" wrapText="1"/>
    </xf>
    <xf numFmtId="0" fontId="15" fillId="8" borderId="342" xfId="0" applyFont="1" applyFill="1" applyBorder="1" applyAlignment="1">
      <alignment horizontal="center" vertical="center"/>
    </xf>
    <xf numFmtId="0" fontId="15" fillId="8"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204" xfId="0" applyFont="1" applyFill="1" applyBorder="1" applyAlignment="1">
      <alignment horizontal="center" vertical="center"/>
    </xf>
    <xf numFmtId="0" fontId="9" fillId="7" borderId="289" xfId="0" applyFont="1" applyFill="1" applyBorder="1" applyAlignment="1">
      <alignment horizontal="center" vertical="center" wrapText="1"/>
    </xf>
    <xf numFmtId="0" fontId="9" fillId="7" borderId="290" xfId="0" applyFont="1" applyFill="1" applyBorder="1" applyAlignment="1">
      <alignment horizontal="center" vertical="center" wrapText="1"/>
    </xf>
    <xf numFmtId="0" fontId="13" fillId="55" borderId="353"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09" xfId="0" applyFont="1" applyFill="1" applyBorder="1" applyAlignment="1">
      <alignment horizontal="center" vertical="center"/>
    </xf>
    <xf numFmtId="0" fontId="11" fillId="55" borderId="358" xfId="0" applyFont="1" applyFill="1" applyBorder="1" applyAlignment="1" applyProtection="1">
      <alignment horizontal="center" vertical="center"/>
      <protection locked="0"/>
    </xf>
    <xf numFmtId="0" fontId="11" fillId="55" borderId="401" xfId="0" applyFont="1" applyFill="1" applyBorder="1" applyAlignment="1" applyProtection="1">
      <alignment horizontal="center" vertical="center"/>
      <protection locked="0"/>
    </xf>
    <xf numFmtId="0" fontId="11" fillId="55" borderId="382" xfId="0" applyFont="1" applyFill="1" applyBorder="1" applyAlignment="1" applyProtection="1">
      <alignment horizontal="center" vertical="center"/>
      <protection locked="0"/>
    </xf>
    <xf numFmtId="0" fontId="11" fillId="55" borderId="383" xfId="0" applyFont="1" applyFill="1" applyBorder="1" applyAlignment="1" applyProtection="1">
      <alignment horizontal="center" vertical="center"/>
      <protection locked="0"/>
    </xf>
    <xf numFmtId="0" fontId="25" fillId="55" borderId="381" xfId="0" applyFont="1" applyFill="1" applyBorder="1" applyAlignment="1" applyProtection="1">
      <alignment horizontal="center" vertical="center" wrapText="1"/>
      <protection locked="0"/>
    </xf>
    <xf numFmtId="0" fontId="25" fillId="55" borderId="382" xfId="0" applyFont="1" applyFill="1" applyBorder="1" applyAlignment="1" applyProtection="1">
      <alignment horizontal="center" vertical="center" wrapText="1"/>
      <protection locked="0"/>
    </xf>
    <xf numFmtId="0" fontId="23" fillId="55" borderId="393" xfId="0" applyFont="1" applyFill="1" applyBorder="1" applyAlignment="1" applyProtection="1">
      <alignment vertical="top" wrapText="1"/>
      <protection locked="0"/>
    </xf>
    <xf numFmtId="0" fontId="23" fillId="55" borderId="358" xfId="0" applyFont="1" applyFill="1" applyBorder="1" applyAlignment="1" applyProtection="1">
      <alignment vertical="top" wrapText="1"/>
      <protection locked="0"/>
    </xf>
    <xf numFmtId="0" fontId="23" fillId="55" borderId="401" xfId="0" applyFont="1" applyFill="1" applyBorder="1" applyAlignment="1" applyProtection="1">
      <alignment vertical="top" wrapText="1"/>
      <protection locked="0"/>
    </xf>
    <xf numFmtId="0" fontId="23" fillId="55" borderId="356" xfId="0" applyFont="1" applyFill="1" applyBorder="1" applyAlignment="1" applyProtection="1">
      <alignment vertical="top" wrapText="1"/>
      <protection locked="0"/>
    </xf>
    <xf numFmtId="0" fontId="23" fillId="55" borderId="353" xfId="0" applyFont="1" applyFill="1" applyBorder="1" applyAlignment="1" applyProtection="1">
      <alignment vertical="top" wrapText="1"/>
      <protection locked="0"/>
    </xf>
    <xf numFmtId="0" fontId="23" fillId="55" borderId="380" xfId="0" applyFont="1" applyFill="1" applyBorder="1" applyAlignment="1" applyProtection="1">
      <alignment vertical="top" wrapText="1"/>
      <protection locked="0"/>
    </xf>
    <xf numFmtId="0" fontId="23" fillId="55" borderId="404" xfId="0" applyFont="1" applyFill="1" applyBorder="1" applyAlignment="1" applyProtection="1">
      <alignment vertical="top" wrapText="1"/>
      <protection locked="0"/>
    </xf>
    <xf numFmtId="0" fontId="23" fillId="55" borderId="382" xfId="0" applyFont="1" applyFill="1" applyBorder="1" applyAlignment="1" applyProtection="1">
      <alignment vertical="top" wrapText="1"/>
      <protection locked="0"/>
    </xf>
    <xf numFmtId="0" fontId="23" fillId="55" borderId="383" xfId="0" applyFont="1" applyFill="1" applyBorder="1" applyAlignment="1" applyProtection="1">
      <alignment vertical="top" wrapText="1"/>
      <protection locked="0"/>
    </xf>
    <xf numFmtId="0" fontId="24" fillId="7" borderId="405" xfId="0" applyFont="1" applyFill="1" applyBorder="1" applyAlignment="1">
      <alignment horizontal="center" vertical="center"/>
    </xf>
    <xf numFmtId="0" fontId="24" fillId="7" borderId="407" xfId="0" applyFont="1" applyFill="1" applyBorder="1" applyAlignment="1">
      <alignment horizontal="center" vertical="center"/>
    </xf>
    <xf numFmtId="0" fontId="9" fillId="7" borderId="346" xfId="0" applyFont="1" applyFill="1" applyBorder="1" applyAlignment="1">
      <alignment horizontal="right" vertical="center"/>
    </xf>
    <xf numFmtId="0" fontId="9" fillId="7" borderId="76" xfId="0" applyFont="1" applyFill="1" applyBorder="1" applyAlignment="1">
      <alignment horizontal="right" vertical="center"/>
    </xf>
    <xf numFmtId="0" fontId="13" fillId="7" borderId="124" xfId="0" applyFont="1" applyFill="1" applyBorder="1" applyAlignment="1">
      <alignment horizontal="right" vertical="center"/>
    </xf>
    <xf numFmtId="0" fontId="13" fillId="7" borderId="408" xfId="0" applyFont="1" applyFill="1" applyBorder="1" applyAlignment="1">
      <alignment horizontal="right" vertical="center"/>
    </xf>
    <xf numFmtId="0" fontId="13" fillId="55" borderId="39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9" fillId="7" borderId="696" xfId="0" applyFont="1" applyFill="1" applyBorder="1" applyAlignment="1">
      <alignment horizontal="center" vertical="center" wrapText="1"/>
    </xf>
    <xf numFmtId="0" fontId="94" fillId="13" borderId="86"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76"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 fillId="31" borderId="106" xfId="0" applyFont="1" applyFill="1" applyBorder="1" applyAlignment="1">
      <alignment horizontal="center" vertical="center"/>
    </xf>
    <xf numFmtId="0" fontId="9" fillId="31" borderId="707" xfId="0" applyFont="1" applyFill="1" applyBorder="1" applyAlignment="1">
      <alignment horizontal="center" vertical="center"/>
    </xf>
    <xf numFmtId="0" fontId="9" fillId="39" borderId="78" xfId="0" applyFont="1" applyFill="1" applyBorder="1" applyAlignment="1">
      <alignment horizontal="right" wrapText="1"/>
    </xf>
    <xf numFmtId="0" fontId="9" fillId="39" borderId="0" xfId="0" applyFont="1" applyFill="1" applyAlignment="1">
      <alignment horizontal="right" wrapText="1"/>
    </xf>
    <xf numFmtId="0" fontId="9" fillId="31" borderId="78" xfId="0" applyFont="1" applyFill="1" applyBorder="1" applyAlignment="1">
      <alignment horizontal="right" wrapText="1"/>
    </xf>
    <xf numFmtId="0" fontId="9" fillId="31" borderId="0" xfId="0" applyFont="1" applyFill="1" applyAlignment="1">
      <alignment horizontal="right" wrapText="1"/>
    </xf>
    <xf numFmtId="0" fontId="16" fillId="7" borderId="86"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78" xfId="0" applyFont="1" applyFill="1" applyBorder="1" applyAlignment="1">
      <alignment horizontal="right" wrapText="1"/>
    </xf>
    <xf numFmtId="0" fontId="9" fillId="7" borderId="0" xfId="0" applyFont="1" applyFill="1" applyAlignment="1">
      <alignment horizontal="right" wrapText="1"/>
    </xf>
    <xf numFmtId="0" fontId="9" fillId="3" borderId="78" xfId="0" applyFont="1" applyFill="1" applyBorder="1" applyAlignment="1">
      <alignment horizontal="right" wrapText="1"/>
    </xf>
    <xf numFmtId="0" fontId="9" fillId="3" borderId="0" xfId="0" applyFont="1" applyFill="1" applyAlignment="1">
      <alignment horizontal="right" wrapText="1"/>
    </xf>
    <xf numFmtId="0" fontId="9" fillId="7" borderId="132" xfId="0" applyFont="1" applyFill="1" applyBorder="1" applyAlignment="1">
      <alignment horizontal="right" wrapText="1"/>
    </xf>
    <xf numFmtId="0" fontId="9" fillId="7" borderId="87" xfId="0" applyFont="1" applyFill="1" applyBorder="1" applyAlignment="1">
      <alignment horizontal="right" wrapText="1"/>
    </xf>
    <xf numFmtId="0" fontId="13" fillId="55" borderId="72" xfId="0" applyFont="1" applyFill="1" applyBorder="1" applyAlignment="1" applyProtection="1">
      <alignment horizontal="right" vertical="center" wrapText="1"/>
      <protection locked="0"/>
    </xf>
    <xf numFmtId="0" fontId="13" fillId="55" borderId="707" xfId="0" applyFont="1" applyFill="1" applyBorder="1" applyAlignment="1" applyProtection="1">
      <alignment horizontal="right" vertical="center" wrapText="1"/>
      <protection locked="0"/>
    </xf>
    <xf numFmtId="0" fontId="13" fillId="55" borderId="747" xfId="0" applyFont="1" applyFill="1" applyBorder="1" applyAlignment="1" applyProtection="1">
      <alignment horizontal="right" vertical="center" wrapText="1"/>
      <protection locked="0"/>
    </xf>
    <xf numFmtId="0" fontId="13" fillId="51" borderId="7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20" fillId="7" borderId="166" xfId="0" applyFont="1" applyFill="1" applyBorder="1" applyAlignment="1">
      <alignment horizontal="center" vertical="center" wrapText="1"/>
    </xf>
    <xf numFmtId="0" fontId="20" fillId="7" borderId="154" xfId="0" applyFont="1" applyFill="1" applyBorder="1" applyAlignment="1">
      <alignment horizontal="center" vertical="center" wrapText="1"/>
    </xf>
    <xf numFmtId="0" fontId="9" fillId="7" borderId="112" xfId="0" applyFont="1" applyFill="1" applyBorder="1" applyAlignment="1">
      <alignment horizontal="center" wrapText="1"/>
    </xf>
    <xf numFmtId="0" fontId="9" fillId="7" borderId="329" xfId="0" applyFont="1" applyFill="1" applyBorder="1" applyAlignment="1">
      <alignment horizontal="center" wrapText="1"/>
    </xf>
    <xf numFmtId="0" fontId="15" fillId="13" borderId="106" xfId="0" applyFont="1" applyFill="1" applyBorder="1" applyAlignment="1">
      <alignment horizontal="center" vertical="center"/>
    </xf>
    <xf numFmtId="0" fontId="15" fillId="13" borderId="707" xfId="0" applyFont="1" applyFill="1" applyBorder="1" applyAlignment="1">
      <alignment horizontal="center" vertical="center"/>
    </xf>
    <xf numFmtId="0" fontId="15" fillId="13" borderId="710" xfId="0" applyFont="1" applyFill="1" applyBorder="1" applyAlignment="1">
      <alignment horizontal="center" vertical="center"/>
    </xf>
    <xf numFmtId="0" fontId="85" fillId="31" borderId="677" xfId="0" applyFont="1" applyFill="1" applyBorder="1" applyAlignment="1">
      <alignment horizontal="center"/>
    </xf>
    <xf numFmtId="0" fontId="85" fillId="31" borderId="691" xfId="0" applyFont="1" applyFill="1" applyBorder="1" applyAlignment="1">
      <alignment horizontal="center"/>
    </xf>
    <xf numFmtId="0" fontId="85" fillId="31" borderId="712" xfId="0" applyFont="1" applyFill="1" applyBorder="1" applyAlignment="1">
      <alignment horizontal="center"/>
    </xf>
    <xf numFmtId="0" fontId="13" fillId="3" borderId="162" xfId="0" applyFont="1" applyFill="1" applyBorder="1" applyAlignment="1">
      <alignment horizontal="center" vertical="center" wrapText="1"/>
    </xf>
    <xf numFmtId="0" fontId="20" fillId="7" borderId="349" xfId="0" applyFont="1" applyFill="1" applyBorder="1" applyAlignment="1">
      <alignment horizontal="center" vertical="center" wrapText="1"/>
    </xf>
    <xf numFmtId="0" fontId="20" fillId="7" borderId="659" xfId="0" applyFont="1" applyFill="1" applyBorder="1" applyAlignment="1">
      <alignment horizontal="center" vertical="center" wrapText="1"/>
    </xf>
    <xf numFmtId="0" fontId="13" fillId="30" borderId="79" xfId="0" applyFont="1" applyFill="1" applyBorder="1" applyAlignment="1">
      <alignment horizontal="center" vertical="center" wrapText="1"/>
    </xf>
    <xf numFmtId="0" fontId="13" fillId="30" borderId="1046" xfId="0" applyFont="1" applyFill="1" applyBorder="1" applyAlignment="1">
      <alignment horizontal="center" vertical="center" wrapText="1"/>
    </xf>
    <xf numFmtId="0" fontId="10" fillId="7" borderId="349" xfId="0" applyFont="1" applyFill="1" applyBorder="1" applyAlignment="1">
      <alignment horizontal="center" vertical="center" wrapText="1"/>
    </xf>
    <xf numFmtId="0" fontId="10" fillId="7" borderId="659" xfId="0" applyFont="1" applyFill="1" applyBorder="1" applyAlignment="1">
      <alignment horizontal="center" vertical="center" wrapText="1"/>
    </xf>
    <xf numFmtId="0" fontId="13" fillId="3" borderId="162" xfId="0" applyFont="1" applyFill="1" applyBorder="1" applyAlignment="1">
      <alignment horizontal="center" vertical="center"/>
    </xf>
    <xf numFmtId="0" fontId="13" fillId="7" borderId="162" xfId="0" applyFont="1" applyFill="1" applyBorder="1" applyAlignment="1">
      <alignment horizontal="center" vertical="center"/>
    </xf>
    <xf numFmtId="0" fontId="13" fillId="7" borderId="669" xfId="0" applyFont="1" applyFill="1" applyBorder="1" applyAlignment="1">
      <alignment horizontal="center" vertical="center"/>
    </xf>
    <xf numFmtId="0" fontId="13" fillId="7" borderId="331"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11" fillId="55" borderId="311" xfId="0" applyFont="1" applyFill="1" applyBorder="1" applyAlignment="1" applyProtection="1">
      <alignment horizontal="center" vertical="center" wrapText="1"/>
      <protection locked="0"/>
    </xf>
    <xf numFmtId="0" fontId="11" fillId="55" borderId="349"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7" borderId="660" xfId="0" applyFont="1" applyFill="1" applyBorder="1" applyAlignment="1">
      <alignment horizontal="center" vertical="center" wrapText="1"/>
    </xf>
    <xf numFmtId="0" fontId="13" fillId="55" borderId="91"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89"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55" borderId="154"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1" fillId="55" borderId="349" xfId="0" applyFont="1" applyFill="1" applyBorder="1" applyAlignment="1" applyProtection="1">
      <alignment horizontal="center" vertical="center"/>
      <protection locked="0"/>
    </xf>
    <xf numFmtId="0" fontId="11" fillId="55" borderId="659" xfId="0" applyFont="1" applyFill="1" applyBorder="1" applyAlignment="1" applyProtection="1">
      <alignment horizontal="center" vertical="center"/>
      <protection locked="0"/>
    </xf>
    <xf numFmtId="0" fontId="11" fillId="51" borderId="349" xfId="0" applyFont="1" applyFill="1" applyBorder="1" applyAlignment="1" applyProtection="1">
      <alignment horizontal="center" vertical="center" wrapText="1"/>
      <protection locked="0"/>
    </xf>
    <xf numFmtId="0" fontId="9" fillId="7" borderId="27" xfId="0" applyFont="1" applyFill="1" applyBorder="1" applyAlignment="1">
      <alignment horizontal="right" wrapText="1"/>
    </xf>
    <xf numFmtId="0" fontId="9" fillId="3" borderId="27" xfId="0" applyFont="1" applyFill="1" applyBorder="1" applyAlignment="1">
      <alignment horizontal="right" wrapText="1"/>
    </xf>
    <xf numFmtId="0" fontId="9" fillId="31" borderId="554" xfId="0" applyFont="1" applyFill="1" applyBorder="1" applyAlignment="1">
      <alignment horizontal="right"/>
    </xf>
    <xf numFmtId="0" fontId="9" fillId="31" borderId="707" xfId="0" applyFont="1" applyFill="1" applyBorder="1" applyAlignment="1">
      <alignment horizontal="right"/>
    </xf>
    <xf numFmtId="0" fontId="13" fillId="58" borderId="96" xfId="0" applyFont="1" applyFill="1" applyBorder="1" applyAlignment="1" applyProtection="1">
      <alignment horizontal="right" vertical="center" wrapText="1"/>
      <protection locked="0"/>
    </xf>
    <xf numFmtId="0" fontId="13" fillId="58" borderId="98" xfId="0" applyFont="1" applyFill="1" applyBorder="1" applyAlignment="1" applyProtection="1">
      <alignment horizontal="right" vertical="center" wrapText="1"/>
      <protection locked="0"/>
    </xf>
    <xf numFmtId="0" fontId="13" fillId="58" borderId="187" xfId="0" applyFont="1" applyFill="1" applyBorder="1" applyAlignment="1" applyProtection="1">
      <alignment horizontal="right" vertical="center" wrapText="1"/>
      <protection locked="0"/>
    </xf>
    <xf numFmtId="0" fontId="13" fillId="55" borderId="7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2" fillId="7" borderId="71" xfId="0" applyFont="1" applyFill="1" applyBorder="1" applyAlignment="1">
      <alignment horizontal="center" vertical="center" textRotation="90" wrapText="1"/>
    </xf>
    <xf numFmtId="0" fontId="12" fillId="7" borderId="79" xfId="0" applyFont="1" applyFill="1" applyBorder="1" applyAlignment="1">
      <alignment horizontal="center" vertical="center" textRotation="90" wrapText="1"/>
    </xf>
    <xf numFmtId="0" fontId="12" fillId="7" borderId="678" xfId="0" applyFont="1" applyFill="1" applyBorder="1" applyAlignment="1">
      <alignment horizontal="center" vertical="center" textRotation="90" wrapText="1"/>
    </xf>
    <xf numFmtId="0" fontId="9" fillId="39" borderId="69" xfId="0" applyFont="1" applyFill="1" applyBorder="1" applyAlignment="1">
      <alignment horizontal="right" wrapText="1"/>
    </xf>
    <xf numFmtId="0" fontId="9" fillId="39" borderId="70" xfId="0" applyFont="1" applyFill="1" applyBorder="1" applyAlignment="1">
      <alignment horizontal="right"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39" borderId="79" xfId="0" applyFont="1" applyFill="1" applyBorder="1" applyAlignment="1">
      <alignment horizontal="right" wrapText="1"/>
    </xf>
    <xf numFmtId="0" fontId="9" fillId="31" borderId="72" xfId="0" applyFont="1" applyFill="1" applyBorder="1" applyAlignment="1">
      <alignment horizontal="right" wrapText="1"/>
    </xf>
    <xf numFmtId="0" fontId="9" fillId="31" borderId="707" xfId="0" applyFont="1" applyFill="1" applyBorder="1" applyAlignment="1">
      <alignment horizontal="right" wrapText="1"/>
    </xf>
    <xf numFmtId="0" fontId="9" fillId="31" borderId="708" xfId="0" applyFont="1" applyFill="1" applyBorder="1" applyAlignment="1">
      <alignment horizontal="right" wrapText="1"/>
    </xf>
    <xf numFmtId="0" fontId="10" fillId="7" borderId="87" xfId="0" applyFont="1" applyFill="1" applyBorder="1" applyAlignment="1">
      <alignment horizontal="right" vertical="center" wrapText="1"/>
    </xf>
    <xf numFmtId="0" fontId="10" fillId="7" borderId="166" xfId="0" applyFont="1" applyFill="1" applyBorder="1" applyAlignment="1">
      <alignment horizontal="right" vertical="center" wrapText="1"/>
    </xf>
    <xf numFmtId="0" fontId="10" fillId="7" borderId="76" xfId="0" applyFont="1" applyFill="1" applyBorder="1" applyAlignment="1">
      <alignment horizontal="right" vertical="center" wrapText="1"/>
    </xf>
    <xf numFmtId="0" fontId="10" fillId="7" borderId="154" xfId="0" applyFont="1" applyFill="1" applyBorder="1" applyAlignment="1">
      <alignment horizontal="right" vertical="center" wrapText="1"/>
    </xf>
    <xf numFmtId="1" fontId="20" fillId="7" borderId="166" xfId="0" applyNumberFormat="1" applyFont="1" applyFill="1" applyBorder="1" applyAlignment="1">
      <alignment horizontal="center" vertical="center" wrapText="1"/>
    </xf>
    <xf numFmtId="0" fontId="10" fillId="7" borderId="86"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0" fillId="7" borderId="370" xfId="0" applyFill="1" applyBorder="1" applyAlignment="1">
      <alignment horizontal="center" vertical="center" wrapText="1"/>
    </xf>
    <xf numFmtId="0" fontId="0" fillId="7" borderId="371" xfId="0" applyFill="1" applyBorder="1" applyAlignment="1">
      <alignment horizontal="center" vertical="center" wrapText="1"/>
    </xf>
    <xf numFmtId="0" fontId="14" fillId="7" borderId="310" xfId="0" applyFont="1" applyFill="1" applyBorder="1" applyAlignment="1">
      <alignment horizontal="center" vertical="center" wrapText="1"/>
    </xf>
    <xf numFmtId="0" fontId="14" fillId="7" borderId="154" xfId="0" applyFont="1" applyFill="1" applyBorder="1" applyAlignment="1">
      <alignment horizontal="center" vertical="center" wrapText="1"/>
    </xf>
    <xf numFmtId="0" fontId="13" fillId="7" borderId="86" xfId="0" applyFont="1" applyFill="1" applyBorder="1" applyAlignment="1">
      <alignment horizontal="left" vertical="top" wrapText="1"/>
    </xf>
    <xf numFmtId="0" fontId="13" fillId="7" borderId="87" xfId="0" applyFont="1" applyFill="1" applyBorder="1" applyAlignment="1">
      <alignment horizontal="left" vertical="top" wrapText="1"/>
    </xf>
    <xf numFmtId="0" fontId="13" fillId="7" borderId="91" xfId="0" applyFont="1" applyFill="1" applyBorder="1" applyAlignment="1">
      <alignment horizontal="left" vertical="top" wrapText="1"/>
    </xf>
    <xf numFmtId="0" fontId="11" fillId="55" borderId="34" xfId="0" applyFont="1" applyFill="1" applyBorder="1" applyAlignment="1" applyProtection="1">
      <alignment horizontal="center" vertical="center" wrapText="1"/>
      <protection locked="0"/>
    </xf>
    <xf numFmtId="0" fontId="11" fillId="55" borderId="154" xfId="0" applyFont="1" applyFill="1" applyBorder="1" applyAlignment="1" applyProtection="1">
      <alignment horizontal="center" vertical="center" wrapText="1"/>
      <protection locked="0"/>
    </xf>
    <xf numFmtId="0" fontId="0" fillId="7" borderId="158"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6" xfId="0" applyFill="1" applyBorder="1" applyAlignment="1">
      <alignment horizontal="center" vertical="center" wrapText="1"/>
    </xf>
    <xf numFmtId="0" fontId="0" fillId="7" borderId="156" xfId="0" applyFill="1" applyBorder="1" applyAlignment="1">
      <alignment horizontal="center" vertical="center" wrapText="1"/>
    </xf>
    <xf numFmtId="0" fontId="0" fillId="7" borderId="76" xfId="0" applyFill="1" applyBorder="1" applyAlignment="1">
      <alignment horizontal="center" vertical="center" wrapText="1"/>
    </xf>
    <xf numFmtId="0" fontId="0" fillId="7" borderId="154" xfId="0" applyFill="1" applyBorder="1" applyAlignment="1">
      <alignment horizontal="center" vertical="center" wrapText="1"/>
    </xf>
    <xf numFmtId="0" fontId="9" fillId="31" borderId="321" xfId="0" applyFont="1" applyFill="1" applyBorder="1" applyAlignment="1">
      <alignment horizontal="right" wrapText="1"/>
    </xf>
    <xf numFmtId="0" fontId="9" fillId="31" borderId="322" xfId="0" applyFont="1" applyFill="1" applyBorder="1" applyAlignment="1">
      <alignment horizontal="right" wrapText="1"/>
    </xf>
    <xf numFmtId="0" fontId="9" fillId="31" borderId="71" xfId="0" applyFont="1" applyFill="1" applyBorder="1" applyAlignment="1">
      <alignment horizontal="right" wrapText="1"/>
    </xf>
    <xf numFmtId="0" fontId="9" fillId="54" borderId="78"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58" borderId="78"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24" fillId="7" borderId="8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76" xfId="0" applyFont="1" applyFill="1" applyBorder="1" applyAlignment="1">
      <alignment horizontal="center" vertical="center" wrapText="1"/>
    </xf>
    <xf numFmtId="0" fontId="20" fillId="7" borderId="87" xfId="0" applyFont="1" applyFill="1" applyBorder="1" applyAlignment="1">
      <alignment horizontal="center" vertical="center" wrapText="1"/>
    </xf>
    <xf numFmtId="0" fontId="20" fillId="7" borderId="76"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2" xfId="0" applyFont="1" applyFill="1" applyBorder="1" applyAlignment="1">
      <alignment horizontal="center" vertical="center" wrapText="1"/>
    </xf>
    <xf numFmtId="0" fontId="107" fillId="7" borderId="87"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133" xfId="0" applyFont="1" applyFill="1" applyBorder="1" applyAlignment="1">
      <alignment horizontal="center" vertical="center" wrapText="1"/>
    </xf>
    <xf numFmtId="0" fontId="107" fillId="7" borderId="76"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41" fillId="55" borderId="36" xfId="0" applyFont="1" applyFill="1" applyBorder="1" applyAlignment="1" applyProtection="1">
      <alignment horizontal="center" vertical="center"/>
      <protection locked="0"/>
    </xf>
    <xf numFmtId="0" fontId="141" fillId="55" borderId="34" xfId="0" applyFont="1" applyFill="1" applyBorder="1" applyAlignment="1" applyProtection="1">
      <alignment horizontal="center" vertical="center"/>
      <protection locked="0"/>
    </xf>
    <xf numFmtId="0" fontId="141" fillId="55" borderId="76" xfId="0" applyFont="1" applyFill="1" applyBorder="1" applyAlignment="1" applyProtection="1">
      <alignment horizontal="center" vertical="center"/>
      <protection locked="0"/>
    </xf>
    <xf numFmtId="0" fontId="141" fillId="55" borderId="154"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75" xfId="0" applyFill="1" applyBorder="1" applyAlignment="1">
      <alignment horizontal="center" vertical="center" wrapText="1"/>
    </xf>
    <xf numFmtId="0" fontId="0" fillId="7" borderId="476" xfId="0" applyFill="1" applyBorder="1" applyAlignment="1">
      <alignment horizontal="center" vertical="center" wrapText="1"/>
    </xf>
    <xf numFmtId="0" fontId="61" fillId="7" borderId="87" xfId="0" applyFont="1" applyFill="1" applyBorder="1" applyAlignment="1">
      <alignment horizontal="center" vertical="center" wrapText="1"/>
    </xf>
    <xf numFmtId="0" fontId="61" fillId="7" borderId="76" xfId="0" applyFont="1" applyFill="1" applyBorder="1" applyAlignment="1">
      <alignment horizontal="center" vertical="center" wrapText="1"/>
    </xf>
    <xf numFmtId="0" fontId="9" fillId="39" borderId="72" xfId="0" applyFont="1" applyFill="1" applyBorder="1" applyAlignment="1">
      <alignment horizontal="right" wrapText="1"/>
    </xf>
    <xf numFmtId="0" fontId="9" fillId="39" borderId="66" xfId="0" applyFont="1" applyFill="1" applyBorder="1" applyAlignment="1">
      <alignment horizontal="right" wrapText="1"/>
    </xf>
    <xf numFmtId="0" fontId="12" fillId="7" borderId="142" xfId="0" applyFont="1" applyFill="1" applyBorder="1" applyAlignment="1">
      <alignment horizontal="center" vertical="center" textRotation="90" wrapText="1"/>
    </xf>
    <xf numFmtId="0" fontId="9" fillId="54" borderId="72" xfId="0" applyFont="1" applyFill="1" applyBorder="1" applyAlignment="1" applyProtection="1">
      <alignment horizontal="right" wrapText="1"/>
      <protection locked="0"/>
    </xf>
    <xf numFmtId="0" fontId="9" fillId="54" borderId="66" xfId="0" applyFont="1" applyFill="1" applyBorder="1" applyAlignment="1" applyProtection="1">
      <alignment horizontal="right" wrapText="1"/>
      <protection locked="0"/>
    </xf>
    <xf numFmtId="0" fontId="9" fillId="54" borderId="69" xfId="0" applyFont="1" applyFill="1" applyBorder="1" applyAlignment="1" applyProtection="1">
      <alignment horizontal="right" wrapText="1"/>
      <protection locked="0"/>
    </xf>
    <xf numFmtId="0" fontId="9" fillId="54" borderId="70" xfId="0" applyFont="1" applyFill="1" applyBorder="1" applyAlignment="1" applyProtection="1">
      <alignment horizontal="right" wrapText="1"/>
      <protection locked="0"/>
    </xf>
    <xf numFmtId="0" fontId="16" fillId="7" borderId="53"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178" xfId="0" applyFont="1" applyFill="1" applyBorder="1" applyAlignment="1">
      <alignment horizontal="center" vertical="center" wrapText="1"/>
    </xf>
    <xf numFmtId="0" fontId="33" fillId="39" borderId="54" xfId="0" applyFont="1" applyFill="1" applyBorder="1" applyAlignment="1">
      <alignment horizontal="left" vertical="center" wrapText="1"/>
    </xf>
    <xf numFmtId="0" fontId="33" fillId="39" borderId="30" xfId="0" applyFont="1" applyFill="1" applyBorder="1" applyAlignment="1">
      <alignment horizontal="left" vertical="center" wrapText="1"/>
    </xf>
    <xf numFmtId="0" fontId="33" fillId="39" borderId="57"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0" xfId="0" applyFill="1" applyAlignment="1">
      <alignment horizontal="center" wrapText="1"/>
    </xf>
    <xf numFmtId="0" fontId="9" fillId="7" borderId="112" xfId="0" applyFont="1" applyFill="1" applyBorder="1" applyAlignment="1">
      <alignment horizontal="center" vertical="center" wrapText="1"/>
    </xf>
    <xf numFmtId="0" fontId="33" fillId="3" borderId="321" xfId="0" applyFont="1" applyFill="1" applyBorder="1" applyAlignment="1">
      <alignment horizontal="left" vertical="center"/>
    </xf>
    <xf numFmtId="0" fontId="33" fillId="3" borderId="322" xfId="0" applyFont="1" applyFill="1" applyBorder="1" applyAlignment="1">
      <alignment horizontal="left" vertical="center"/>
    </xf>
    <xf numFmtId="0" fontId="33" fillId="31" borderId="78" xfId="0" applyFont="1" applyFill="1" applyBorder="1" applyAlignment="1">
      <alignment horizontal="left" vertical="center"/>
    </xf>
    <xf numFmtId="0" fontId="33" fillId="31" borderId="0" xfId="0" applyFont="1" applyFill="1" applyAlignment="1">
      <alignment horizontal="left" vertical="center"/>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66" xfId="0" applyFont="1" applyFill="1" applyBorder="1" applyAlignment="1">
      <alignment horizontal="center" vertical="center" wrapText="1"/>
    </xf>
    <xf numFmtId="0" fontId="33" fillId="7" borderId="753" xfId="0" applyFont="1" applyFill="1" applyBorder="1" applyAlignment="1">
      <alignment vertical="center" wrapText="1"/>
    </xf>
    <xf numFmtId="0" fontId="33" fillId="7" borderId="308" xfId="0" applyFont="1" applyFill="1" applyBorder="1" applyAlignment="1">
      <alignment vertical="center" wrapText="1"/>
    </xf>
    <xf numFmtId="0" fontId="33" fillId="3" borderId="78" xfId="0" applyFont="1" applyFill="1" applyBorder="1" applyAlignment="1">
      <alignment vertical="center" wrapText="1"/>
    </xf>
    <xf numFmtId="0" fontId="33" fillId="3" borderId="0" xfId="0" applyFont="1" applyFill="1" applyAlignment="1">
      <alignment vertical="center" wrapText="1"/>
    </xf>
    <xf numFmtId="0" fontId="33" fillId="7" borderId="78" xfId="0" applyFont="1" applyFill="1" applyBorder="1" applyAlignment="1">
      <alignment vertical="center" wrapText="1"/>
    </xf>
    <xf numFmtId="0" fontId="33" fillId="7" borderId="0" xfId="0" applyFont="1" applyFill="1" applyAlignment="1">
      <alignment vertical="center" wrapText="1"/>
    </xf>
    <xf numFmtId="0" fontId="33" fillId="7" borderId="72" xfId="0" applyFont="1" applyFill="1" applyBorder="1" applyAlignment="1">
      <alignment vertical="center" wrapText="1"/>
    </xf>
    <xf numFmtId="0" fontId="33" fillId="7" borderId="707" xfId="0" applyFont="1" applyFill="1" applyBorder="1" applyAlignment="1">
      <alignment vertical="center" wrapText="1"/>
    </xf>
    <xf numFmtId="0" fontId="28" fillId="7" borderId="167"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156" xfId="0" applyFont="1" applyFill="1" applyBorder="1" applyAlignment="1">
      <alignment horizontal="center" vertical="center" wrapText="1"/>
    </xf>
    <xf numFmtId="0" fontId="28" fillId="7" borderId="76"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33" fillId="3" borderId="48" xfId="0" applyFont="1" applyFill="1" applyBorder="1" applyAlignment="1">
      <alignment vertical="center" wrapText="1"/>
    </xf>
    <xf numFmtId="0" fontId="16" fillId="7" borderId="13" xfId="0" applyFont="1" applyFill="1" applyBorder="1" applyAlignment="1">
      <alignment horizontal="center" vertical="center" wrapText="1"/>
    </xf>
    <xf numFmtId="0" fontId="16" fillId="7" borderId="208" xfId="0" applyFont="1" applyFill="1" applyBorder="1" applyAlignment="1">
      <alignment horizontal="center" vertical="center" wrapText="1"/>
    </xf>
    <xf numFmtId="0" fontId="9" fillId="7" borderId="66" xfId="0" applyFont="1" applyFill="1" applyBorder="1" applyAlignment="1">
      <alignment horizontal="center"/>
    </xf>
    <xf numFmtId="0" fontId="9" fillId="3" borderId="0" xfId="0" applyFont="1" applyFill="1" applyAlignment="1">
      <alignment horizontal="center" vertical="center" wrapText="1"/>
    </xf>
    <xf numFmtId="0" fontId="33" fillId="3" borderId="78" xfId="0" applyFont="1" applyFill="1" applyBorder="1"/>
    <xf numFmtId="0" fontId="33" fillId="3" borderId="0" xfId="0" applyFont="1" applyFill="1"/>
    <xf numFmtId="0" fontId="33" fillId="76" borderId="78" xfId="0" applyFont="1" applyFill="1" applyBorder="1"/>
    <xf numFmtId="0" fontId="33" fillId="76" borderId="0" xfId="0" applyFont="1" applyFill="1"/>
    <xf numFmtId="0" fontId="9" fillId="7" borderId="119" xfId="0" applyFont="1" applyFill="1" applyBorder="1" applyAlignment="1">
      <alignment horizontal="center" vertical="center" wrapText="1"/>
    </xf>
    <xf numFmtId="0" fontId="9" fillId="7" borderId="173" xfId="0" applyFont="1" applyFill="1" applyBorder="1" applyAlignment="1">
      <alignment horizontal="center" wrapText="1"/>
    </xf>
    <xf numFmtId="0" fontId="9" fillId="7" borderId="110" xfId="0" applyFont="1" applyFill="1" applyBorder="1" applyAlignment="1">
      <alignment horizontal="center" wrapText="1"/>
    </xf>
    <xf numFmtId="0" fontId="16" fillId="7" borderId="132"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33" fillId="3" borderId="78" xfId="0" applyFont="1" applyFill="1" applyBorder="1" applyAlignment="1">
      <alignment horizontal="left" vertical="center"/>
    </xf>
    <xf numFmtId="0" fontId="33" fillId="3" borderId="0" xfId="0" applyFont="1" applyFill="1" applyAlignment="1">
      <alignment horizontal="left" vertical="center"/>
    </xf>
    <xf numFmtId="0" fontId="33" fillId="3" borderId="133" xfId="0" applyFont="1" applyFill="1" applyBorder="1" applyAlignment="1">
      <alignment horizontal="left" vertical="center"/>
    </xf>
    <xf numFmtId="0" fontId="33" fillId="3" borderId="76" xfId="0" applyFont="1" applyFill="1" applyBorder="1" applyAlignment="1">
      <alignment horizontal="left" vertical="center"/>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1" borderId="749" xfId="0" applyFont="1" applyFill="1" applyBorder="1" applyAlignment="1">
      <alignment horizont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78"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176" xfId="0" applyFont="1" applyFill="1" applyBorder="1" applyAlignment="1">
      <alignment horizontal="right" wrapText="1"/>
    </xf>
    <xf numFmtId="0" fontId="13" fillId="55" borderId="66" xfId="0" applyFont="1" applyFill="1" applyBorder="1" applyAlignment="1" applyProtection="1">
      <alignment horizontal="right" vertical="center" wrapText="1"/>
      <protection locked="0"/>
    </xf>
    <xf numFmtId="0" fontId="13" fillId="55" borderId="178" xfId="0" applyFont="1" applyFill="1" applyBorder="1" applyAlignment="1" applyProtection="1">
      <alignment horizontal="right" vertical="center" wrapText="1"/>
      <protection locked="0"/>
    </xf>
    <xf numFmtId="0" fontId="12" fillId="7" borderId="149" xfId="0" applyFont="1" applyFill="1" applyBorder="1" applyAlignment="1">
      <alignment horizontal="center" vertical="center" textRotation="90" wrapText="1"/>
    </xf>
    <xf numFmtId="0" fontId="12" fillId="7" borderId="161"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3" xfId="0" applyFont="1" applyFill="1" applyBorder="1" applyAlignment="1">
      <alignment horizontal="center" vertical="center" textRotation="90" wrapText="1"/>
    </xf>
    <xf numFmtId="0" fontId="12" fillId="7" borderId="91" xfId="0" applyFont="1" applyFill="1" applyBorder="1" applyAlignment="1">
      <alignment horizontal="center" vertical="center" textRotation="90" wrapText="1"/>
    </xf>
    <xf numFmtId="0" fontId="12" fillId="7" borderId="151" xfId="0" applyFont="1" applyFill="1" applyBorder="1" applyAlignment="1">
      <alignment horizontal="center" vertical="center" textRotation="90" wrapText="1"/>
    </xf>
    <xf numFmtId="0" fontId="62" fillId="54" borderId="78" xfId="0" applyFont="1" applyFill="1" applyBorder="1" applyAlignment="1" applyProtection="1">
      <alignment horizontal="center" vertical="center" wrapText="1"/>
      <protection locked="0"/>
    </xf>
    <xf numFmtId="0" fontId="62" fillId="54" borderId="79" xfId="0" applyFont="1" applyFill="1" applyBorder="1" applyAlignment="1" applyProtection="1">
      <alignment horizontal="center" vertical="center" wrapText="1"/>
      <protection locked="0"/>
    </xf>
    <xf numFmtId="0" fontId="11" fillId="54" borderId="78"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79" xfId="0" applyFont="1" applyFill="1" applyBorder="1" applyAlignment="1" applyProtection="1">
      <alignment horizontal="right" vertical="center" wrapText="1"/>
      <protection locked="0"/>
    </xf>
    <xf numFmtId="0" fontId="11" fillId="51" borderId="78"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79" xfId="0" applyFont="1" applyFill="1" applyBorder="1" applyAlignment="1" applyProtection="1">
      <alignment horizontal="right" vertical="center" wrapText="1"/>
      <protection locked="0"/>
    </xf>
    <xf numFmtId="0" fontId="62" fillId="51" borderId="78" xfId="0" applyFont="1" applyFill="1" applyBorder="1" applyAlignment="1" applyProtection="1">
      <alignment horizontal="center" vertical="center" wrapText="1"/>
      <protection locked="0"/>
    </xf>
    <xf numFmtId="0" fontId="62" fillId="51" borderId="79" xfId="0" applyFont="1" applyFill="1" applyBorder="1" applyAlignment="1" applyProtection="1">
      <alignment horizontal="center" vertical="center" wrapText="1"/>
      <protection locked="0"/>
    </xf>
    <xf numFmtId="0" fontId="11" fillId="51" borderId="72" xfId="0" applyFont="1" applyFill="1" applyBorder="1" applyAlignment="1" applyProtection="1">
      <alignment horizontal="right" vertical="center" wrapText="1"/>
      <protection locked="0"/>
    </xf>
    <xf numFmtId="0" fontId="11" fillId="51" borderId="552" xfId="0" applyFont="1" applyFill="1" applyBorder="1" applyAlignment="1" applyProtection="1">
      <alignment horizontal="right" vertical="center" wrapText="1"/>
      <protection locked="0"/>
    </xf>
    <xf numFmtId="0" fontId="11" fillId="51" borderId="44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2" fillId="7" borderId="165" xfId="0" applyFont="1" applyFill="1" applyBorder="1" applyAlignment="1">
      <alignment horizontal="center" vertical="center" textRotation="90" wrapText="1"/>
    </xf>
    <xf numFmtId="0" fontId="12" fillId="7" borderId="180" xfId="0" applyFont="1" applyFill="1" applyBorder="1" applyAlignment="1">
      <alignment horizontal="center" vertical="center" textRotation="90" wrapText="1"/>
    </xf>
    <xf numFmtId="0" fontId="12" fillId="7" borderId="181"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3" fillId="51" borderId="217" xfId="0" applyFont="1" applyFill="1" applyBorder="1" applyAlignment="1" applyProtection="1">
      <alignment horizontal="right" vertical="center" wrapText="1"/>
      <protection locked="0"/>
    </xf>
    <xf numFmtId="0" fontId="13" fillId="51" borderId="216"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3" fillId="54" borderId="78"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9" fillId="7" borderId="158" xfId="0" applyFont="1" applyFill="1" applyBorder="1" applyAlignment="1">
      <alignment horizontal="right" wrapText="1"/>
    </xf>
    <xf numFmtId="0" fontId="9" fillId="7" borderId="70" xfId="0" applyFont="1" applyFill="1" applyBorder="1" applyAlignment="1">
      <alignment horizontal="right" wrapText="1"/>
    </xf>
    <xf numFmtId="0" fontId="9" fillId="7" borderId="176" xfId="0" applyFont="1" applyFill="1" applyBorder="1" applyAlignment="1">
      <alignment horizontal="right" wrapText="1"/>
    </xf>
    <xf numFmtId="0" fontId="9" fillId="3" borderId="79"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947" xfId="0" applyFont="1" applyFill="1" applyBorder="1" applyAlignment="1" applyProtection="1">
      <alignment horizontal="right" vertical="center" wrapText="1"/>
      <protection locked="0"/>
    </xf>
    <xf numFmtId="0" fontId="13" fillId="51" borderId="945" xfId="0" applyFont="1" applyFill="1" applyBorder="1" applyAlignment="1" applyProtection="1">
      <alignment horizontal="right" vertical="center" wrapText="1"/>
      <protection locked="0"/>
    </xf>
    <xf numFmtId="0" fontId="13" fillId="51" borderId="948" xfId="0" applyFont="1" applyFill="1" applyBorder="1" applyAlignment="1" applyProtection="1">
      <alignment horizontal="right" vertical="center" wrapText="1"/>
      <protection locked="0"/>
    </xf>
    <xf numFmtId="0" fontId="13" fillId="51" borderId="156" xfId="0" applyFont="1" applyFill="1" applyBorder="1" applyAlignment="1">
      <alignment horizontal="right"/>
    </xf>
    <xf numFmtId="0" fontId="13" fillId="51" borderId="76" xfId="0" applyFont="1" applyFill="1" applyBorder="1" applyAlignment="1">
      <alignment horizontal="right"/>
    </xf>
    <xf numFmtId="0" fontId="13" fillId="51" borderId="154" xfId="0" applyFont="1" applyFill="1" applyBorder="1" applyAlignment="1">
      <alignment horizontal="right"/>
    </xf>
    <xf numFmtId="0" fontId="62" fillId="51" borderId="72" xfId="0" applyFont="1" applyFill="1" applyBorder="1" applyAlignment="1" applyProtection="1">
      <alignment horizontal="center" vertical="center" wrapText="1"/>
      <protection locked="0"/>
    </xf>
    <xf numFmtId="0" fontId="62" fillId="51" borderId="440" xfId="0" applyFont="1" applyFill="1" applyBorder="1" applyAlignment="1" applyProtection="1">
      <alignment horizontal="center" vertical="center" wrapText="1"/>
      <protection locked="0"/>
    </xf>
    <xf numFmtId="0" fontId="9" fillId="7" borderId="173"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85" fillId="31" borderId="660" xfId="0" applyFont="1" applyFill="1" applyBorder="1" applyAlignment="1">
      <alignment horizontal="center"/>
    </xf>
    <xf numFmtId="0" fontId="20" fillId="7" borderId="162" xfId="0" applyFont="1" applyFill="1" applyBorder="1" applyAlignment="1">
      <alignment horizontal="center" vertical="center"/>
    </xf>
    <xf numFmtId="0" fontId="20" fillId="7" borderId="669" xfId="0" applyFont="1" applyFill="1" applyBorder="1" applyAlignment="1">
      <alignment horizontal="center" vertical="center"/>
    </xf>
    <xf numFmtId="0" fontId="11" fillId="51" borderId="349" xfId="0" applyFont="1" applyFill="1" applyBorder="1" applyAlignment="1" applyProtection="1">
      <alignment horizontal="center" vertical="center"/>
      <protection locked="0"/>
    </xf>
    <xf numFmtId="0" fontId="13" fillId="54" borderId="72" xfId="0" applyFont="1" applyFill="1" applyBorder="1" applyAlignment="1" applyProtection="1">
      <alignment horizontal="right" vertical="center" wrapText="1"/>
      <protection locked="0"/>
    </xf>
    <xf numFmtId="0" fontId="13" fillId="54" borderId="275"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2" fillId="31" borderId="128" xfId="0" applyFont="1" applyFill="1" applyBorder="1" applyAlignment="1">
      <alignment horizontal="center"/>
    </xf>
    <xf numFmtId="0" fontId="12" fillId="31" borderId="691" xfId="0" applyFont="1" applyFill="1" applyBorder="1" applyAlignment="1">
      <alignment horizontal="center"/>
    </xf>
    <xf numFmtId="0" fontId="89" fillId="31" borderId="323" xfId="0" applyFont="1" applyFill="1" applyBorder="1" applyAlignment="1">
      <alignment horizontal="center" wrapText="1"/>
    </xf>
    <xf numFmtId="0" fontId="89" fillId="31" borderId="322" xfId="0" applyFont="1" applyFill="1" applyBorder="1" applyAlignment="1">
      <alignment horizontal="center" wrapText="1"/>
    </xf>
    <xf numFmtId="0" fontId="89" fillId="31" borderId="325" xfId="0" applyFont="1" applyFill="1" applyBorder="1" applyAlignment="1">
      <alignment horizontal="center" wrapText="1"/>
    </xf>
    <xf numFmtId="0" fontId="89" fillId="31" borderId="89" xfId="0" applyFont="1" applyFill="1" applyBorder="1" applyAlignment="1">
      <alignment horizontal="center" wrapText="1"/>
    </xf>
    <xf numFmtId="0" fontId="89" fillId="31" borderId="76" xfId="0" applyFont="1" applyFill="1" applyBorder="1" applyAlignment="1">
      <alignment horizontal="center" wrapText="1"/>
    </xf>
    <xf numFmtId="0" fontId="89" fillId="31" borderId="90" xfId="0" applyFont="1" applyFill="1" applyBorder="1" applyAlignment="1">
      <alignment horizontal="center" wrapText="1"/>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1" borderId="68" xfId="0" applyFont="1" applyFill="1" applyBorder="1" applyAlignment="1" applyProtection="1">
      <alignment horizontal="center" vertical="center" wrapText="1"/>
      <protection locked="0"/>
    </xf>
    <xf numFmtId="0" fontId="9" fillId="54" borderId="76"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90" xfId="0" applyFont="1" applyFill="1" applyBorder="1" applyAlignment="1" applyProtection="1">
      <alignment horizontal="center" vertical="center" wrapText="1"/>
      <protection locked="0"/>
    </xf>
    <xf numFmtId="0" fontId="9" fillId="3" borderId="91"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89" xfId="0" applyFont="1" applyFill="1" applyBorder="1" applyAlignment="1">
      <alignment horizontal="center" vertical="center" wrapText="1"/>
    </xf>
    <xf numFmtId="0" fontId="9" fillId="31" borderId="76" xfId="0" applyFont="1" applyFill="1" applyBorder="1" applyAlignment="1">
      <alignment horizontal="center" vertical="center" wrapText="1"/>
    </xf>
    <xf numFmtId="0" fontId="13" fillId="3" borderId="79" xfId="0" applyFont="1" applyFill="1" applyBorder="1" applyAlignment="1">
      <alignment horizontal="center" vertical="center" wrapText="1"/>
    </xf>
    <xf numFmtId="0" fontId="48" fillId="7" borderId="346"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46"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51" borderId="677" xfId="0" applyFont="1" applyFill="1" applyBorder="1" applyAlignment="1" applyProtection="1">
      <alignment horizontal="center" vertical="center" shrinkToFit="1"/>
      <protection locked="0"/>
    </xf>
    <xf numFmtId="0" fontId="9" fillId="51" borderId="646" xfId="0" applyFont="1" applyFill="1" applyBorder="1" applyAlignment="1" applyProtection="1">
      <alignment horizontal="center" vertical="center" shrinkToFit="1"/>
      <protection locked="0"/>
    </xf>
    <xf numFmtId="0" fontId="33" fillId="76" borderId="321" xfId="0" applyFont="1" applyFill="1" applyBorder="1"/>
    <xf numFmtId="0" fontId="33" fillId="76" borderId="893" xfId="0" applyFont="1" applyFill="1" applyBorder="1"/>
    <xf numFmtId="0" fontId="48" fillId="3" borderId="67" xfId="0" applyFont="1" applyFill="1" applyBorder="1" applyAlignment="1">
      <alignment horizontal="left"/>
    </xf>
    <xf numFmtId="0" fontId="48" fillId="3" borderId="576" xfId="0" applyFont="1" applyFill="1" applyBorder="1" applyAlignment="1">
      <alignment horizontal="left"/>
    </xf>
    <xf numFmtId="0" fontId="48" fillId="3" borderId="577" xfId="0" applyFont="1" applyFill="1" applyBorder="1" applyAlignment="1">
      <alignment horizontal="left"/>
    </xf>
    <xf numFmtId="0" fontId="33" fillId="7" borderId="158"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1" xfId="0" applyFont="1" applyFill="1" applyBorder="1" applyAlignment="1">
      <alignment horizontal="left" vertical="center" wrapTex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2" xfId="0" applyFont="1" applyFill="1" applyBorder="1" applyAlignment="1">
      <alignment horizontal="left" vertical="center" shrinkToFit="1"/>
    </xf>
    <xf numFmtId="0" fontId="9" fillId="7" borderId="48" xfId="0" applyFont="1" applyFill="1" applyBorder="1" applyAlignment="1">
      <alignment vertical="center"/>
    </xf>
    <xf numFmtId="0" fontId="9" fillId="7" borderId="0" xfId="0" applyFont="1" applyFill="1" applyAlignment="1">
      <alignment vertical="center"/>
    </xf>
    <xf numFmtId="0" fontId="67" fillId="3" borderId="0" xfId="0" applyFont="1" applyFill="1" applyAlignment="1">
      <alignment horizontal="center"/>
    </xf>
    <xf numFmtId="0" fontId="61" fillId="7" borderId="8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7"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2"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9" fillId="7" borderId="87" xfId="0" applyFont="1" applyFill="1" applyBorder="1" applyAlignment="1">
      <alignment horizontal="right"/>
    </xf>
    <xf numFmtId="0" fontId="16" fillId="7" borderId="15" xfId="0" applyFont="1" applyFill="1" applyBorder="1" applyAlignment="1">
      <alignment horizontal="center" vertical="center" wrapText="1"/>
    </xf>
    <xf numFmtId="0" fontId="33" fillId="7" borderId="78"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8"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05"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2" xfId="0" applyFont="1" applyFill="1" applyBorder="1" applyAlignment="1">
      <alignment horizontal="left" vertical="center" shrinkToFit="1"/>
    </xf>
    <xf numFmtId="0" fontId="9" fillId="55" borderId="37" xfId="0" applyFont="1" applyFill="1" applyBorder="1" applyAlignment="1" applyProtection="1">
      <alignment vertical="center"/>
      <protection locked="0"/>
    </xf>
    <xf numFmtId="0" fontId="9" fillId="55" borderId="152" xfId="0" applyFont="1" applyFill="1" applyBorder="1" applyAlignment="1" applyProtection="1">
      <alignment vertical="center"/>
      <protection locked="0"/>
    </xf>
    <xf numFmtId="0" fontId="91" fillId="60" borderId="459" xfId="0" applyFont="1" applyFill="1" applyBorder="1" applyAlignment="1">
      <alignment horizontal="center" vertical="center" textRotation="90" wrapText="1"/>
    </xf>
    <xf numFmtId="0" fontId="91" fillId="60" borderId="462" xfId="0" applyFont="1" applyFill="1" applyBorder="1" applyAlignment="1">
      <alignment horizontal="center" vertical="center" textRotation="90" wrapText="1"/>
    </xf>
    <xf numFmtId="0" fontId="91" fillId="60" borderId="464" xfId="0" applyFont="1" applyFill="1" applyBorder="1" applyAlignment="1">
      <alignment horizontal="center" vertical="center" textRotation="90" wrapText="1"/>
    </xf>
    <xf numFmtId="0" fontId="62" fillId="54" borderId="86" xfId="0" applyFont="1" applyFill="1" applyBorder="1" applyAlignment="1" applyProtection="1">
      <alignment horizontal="left" vertical="top" wrapText="1"/>
      <protection locked="0"/>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76"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14" fillId="30" borderId="323" xfId="0" applyFont="1" applyFill="1" applyBorder="1" applyAlignment="1">
      <alignment horizontal="center" vertical="center" wrapText="1"/>
    </xf>
    <xf numFmtId="0" fontId="14" fillId="30" borderId="322" xfId="0" applyFont="1" applyFill="1" applyBorder="1" applyAlignment="1">
      <alignment horizontal="center" vertical="center" wrapText="1"/>
    </xf>
    <xf numFmtId="0" fontId="14" fillId="30" borderId="325"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89" xfId="0" applyFont="1" applyFill="1" applyBorder="1" applyAlignment="1">
      <alignment horizontal="center" vertical="center" wrapText="1"/>
    </xf>
    <xf numFmtId="0" fontId="14" fillId="30" borderId="76"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9" fillId="7" borderId="173" xfId="0" applyFont="1" applyFill="1" applyBorder="1" applyAlignment="1">
      <alignment horizontal="right" wrapText="1"/>
    </xf>
    <xf numFmtId="0" fontId="9" fillId="7" borderId="112" xfId="0" applyFont="1" applyFill="1" applyBorder="1" applyAlignment="1">
      <alignment horizontal="right" wrapText="1"/>
    </xf>
    <xf numFmtId="0" fontId="9" fillId="7" borderId="174" xfId="0" applyFont="1" applyFill="1" applyBorder="1" applyAlignment="1">
      <alignment horizontal="right" wrapText="1"/>
    </xf>
    <xf numFmtId="0" fontId="9" fillId="63" borderId="167" xfId="0" applyFont="1" applyFill="1" applyBorder="1" applyAlignment="1">
      <alignment horizontal="right" vertical="center" wrapText="1"/>
    </xf>
    <xf numFmtId="0" fontId="9" fillId="63" borderId="87" xfId="0" applyFont="1" applyFill="1" applyBorder="1" applyAlignment="1">
      <alignment horizontal="right" vertical="center" wrapText="1"/>
    </xf>
    <xf numFmtId="0" fontId="9" fillId="63" borderId="166"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8" xfId="0" applyFont="1" applyFill="1" applyBorder="1" applyAlignment="1">
      <alignment horizontal="center" vertical="center"/>
    </xf>
    <xf numFmtId="0" fontId="9" fillId="7" borderId="679" xfId="0" applyFont="1" applyFill="1" applyBorder="1" applyAlignment="1">
      <alignment horizontal="right" wrapText="1"/>
    </xf>
    <xf numFmtId="0" fontId="9" fillId="7" borderId="144" xfId="0" applyFont="1" applyFill="1" applyBorder="1" applyAlignment="1">
      <alignment horizontal="right" wrapText="1"/>
    </xf>
    <xf numFmtId="0" fontId="16" fillId="7" borderId="122" xfId="0" applyFont="1" applyFill="1" applyBorder="1" applyAlignment="1">
      <alignment horizontal="left" wrapText="1"/>
    </xf>
    <xf numFmtId="0" fontId="16" fillId="7" borderId="144" xfId="0" applyFont="1" applyFill="1" applyBorder="1" applyAlignment="1">
      <alignment horizontal="left" wrapTex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0" fillId="30" borderId="0" xfId="0" applyFont="1" applyFill="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29" fillId="8" borderId="61" xfId="0" applyFont="1" applyFill="1" applyBorder="1" applyAlignment="1">
      <alignment horizontal="center" vertical="center" textRotation="90" wrapText="1"/>
    </xf>
    <xf numFmtId="0" fontId="12" fillId="7" borderId="319" xfId="0" applyFont="1" applyFill="1" applyBorder="1" applyAlignment="1">
      <alignment horizontal="center" vertical="center" textRotation="90" wrapText="1"/>
    </xf>
    <xf numFmtId="0" fontId="12" fillId="7" borderId="754" xfId="0" applyFont="1" applyFill="1" applyBorder="1" applyAlignment="1">
      <alignment horizontal="center" vertical="center" textRotation="90" wrapText="1"/>
    </xf>
    <xf numFmtId="0" fontId="12" fillId="7" borderId="752" xfId="0" applyFont="1" applyFill="1" applyBorder="1" applyAlignment="1">
      <alignment horizontal="center" vertical="center" textRotation="90" wrapText="1"/>
    </xf>
    <xf numFmtId="0" fontId="12" fillId="7" borderId="65"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12" fillId="7" borderId="755" xfId="0" applyFont="1" applyFill="1" applyBorder="1" applyAlignment="1">
      <alignment horizontal="center" vertical="center" wrapText="1"/>
    </xf>
    <xf numFmtId="0" fontId="13" fillId="51" borderId="947" xfId="0" applyFont="1" applyFill="1" applyBorder="1" applyAlignment="1" applyProtection="1">
      <alignment horizontal="right"/>
      <protection locked="0"/>
    </xf>
    <xf numFmtId="0" fontId="13" fillId="51" borderId="987" xfId="0" applyFont="1" applyFill="1" applyBorder="1" applyAlignment="1" applyProtection="1">
      <alignment horizontal="right"/>
      <protection locked="0"/>
    </xf>
    <xf numFmtId="0" fontId="13" fillId="51" borderId="988" xfId="0" applyFont="1" applyFill="1" applyBorder="1" applyAlignment="1" applyProtection="1">
      <alignment horizontal="right"/>
      <protection locked="0"/>
    </xf>
    <xf numFmtId="0" fontId="13" fillId="54" borderId="346"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27" xfId="0" applyFont="1" applyFill="1" applyBorder="1" applyAlignment="1" applyProtection="1">
      <alignment horizontal="right"/>
      <protection locked="0"/>
    </xf>
    <xf numFmtId="0" fontId="13" fillId="51" borderId="346" xfId="0" applyFont="1" applyFill="1" applyBorder="1" applyAlignment="1" applyProtection="1">
      <alignment horizontal="right"/>
      <protection locked="0"/>
    </xf>
    <xf numFmtId="0" fontId="13" fillId="51" borderId="156" xfId="0" applyFont="1" applyFill="1" applyBorder="1" applyAlignment="1" applyProtection="1">
      <alignment horizontal="right"/>
      <protection locked="0"/>
    </xf>
    <xf numFmtId="0" fontId="13" fillId="51" borderId="76" xfId="0" applyFont="1" applyFill="1" applyBorder="1" applyAlignment="1" applyProtection="1">
      <alignment horizontal="right"/>
      <protection locked="0"/>
    </xf>
    <xf numFmtId="0" fontId="13" fillId="51" borderId="154" xfId="0" applyFont="1" applyFill="1" applyBorder="1" applyAlignment="1" applyProtection="1">
      <alignment horizontal="right"/>
      <protection locked="0"/>
    </xf>
    <xf numFmtId="0" fontId="10" fillId="7" borderId="142" xfId="0" applyFont="1" applyFill="1" applyBorder="1" applyAlignment="1">
      <alignment horizontal="right" vertical="center" wrapText="1"/>
    </xf>
    <xf numFmtId="0" fontId="10" fillId="7" borderId="127" xfId="0" applyFont="1" applyFill="1" applyBorder="1" applyAlignment="1">
      <alignment horizontal="right" vertical="center" wrapText="1"/>
    </xf>
    <xf numFmtId="0" fontId="12" fillId="7" borderId="905" xfId="0" applyFont="1" applyFill="1" applyBorder="1" applyAlignment="1">
      <alignment horizontal="center" vertical="center" textRotation="90" wrapText="1"/>
    </xf>
    <xf numFmtId="0" fontId="12" fillId="7" borderId="705" xfId="0" applyFont="1" applyFill="1" applyBorder="1" applyAlignment="1">
      <alignment horizontal="center" vertical="center" textRotation="90" wrapText="1"/>
    </xf>
    <xf numFmtId="0" fontId="29" fillId="8" borderId="293" xfId="0" applyFont="1" applyFill="1" applyBorder="1" applyAlignment="1">
      <alignment horizontal="center" vertical="center" textRotation="90" wrapText="1"/>
    </xf>
    <xf numFmtId="0" fontId="29" fillId="8" borderId="262" xfId="0" applyFont="1" applyFill="1" applyBorder="1" applyAlignment="1">
      <alignment horizontal="center" vertical="center" textRotation="90" wrapText="1"/>
    </xf>
    <xf numFmtId="0" fontId="29" fillId="8" borderId="242" xfId="0" applyFont="1" applyFill="1" applyBorder="1" applyAlignment="1">
      <alignment horizontal="center" vertical="center" textRotation="90" wrapText="1"/>
    </xf>
    <xf numFmtId="0" fontId="13" fillId="54" borderId="896" xfId="0" applyFont="1" applyFill="1" applyBorder="1" applyAlignment="1" applyProtection="1">
      <alignment horizontal="right"/>
      <protection locked="0"/>
    </xf>
    <xf numFmtId="0" fontId="13" fillId="54" borderId="898" xfId="0" applyFont="1" applyFill="1" applyBorder="1" applyAlignment="1" applyProtection="1">
      <alignment horizontal="right"/>
      <protection locked="0"/>
    </xf>
    <xf numFmtId="0" fontId="13" fillId="54" borderId="897" xfId="0" applyFont="1" applyFill="1" applyBorder="1" applyAlignment="1" applyProtection="1">
      <alignment horizontal="right"/>
      <protection locked="0"/>
    </xf>
    <xf numFmtId="0" fontId="13" fillId="54" borderId="728" xfId="0" applyFont="1" applyFill="1" applyBorder="1" applyAlignment="1" applyProtection="1">
      <alignment horizontal="right"/>
      <protection locked="0"/>
    </xf>
    <xf numFmtId="0" fontId="13" fillId="54" borderId="749" xfId="0" applyFont="1" applyFill="1" applyBorder="1" applyAlignment="1" applyProtection="1">
      <alignment horizontal="right"/>
      <protection locked="0"/>
    </xf>
    <xf numFmtId="0" fontId="13" fillId="54" borderId="748" xfId="0" applyFont="1" applyFill="1" applyBorder="1" applyAlignment="1" applyProtection="1">
      <alignment horizontal="right"/>
      <protection locked="0"/>
    </xf>
    <xf numFmtId="0" fontId="13" fillId="51" borderId="307" xfId="0" applyFont="1" applyFill="1" applyBorder="1" applyAlignment="1">
      <alignment horizontal="right"/>
    </xf>
    <xf numFmtId="0" fontId="13" fillId="51" borderId="308" xfId="0" applyFont="1" applyFill="1" applyBorder="1" applyAlignment="1">
      <alignment horizontal="right"/>
    </xf>
    <xf numFmtId="0" fontId="13" fillId="51" borderId="310" xfId="0" applyFont="1" applyFill="1" applyBorder="1" applyAlignment="1">
      <alignment horizontal="right"/>
    </xf>
    <xf numFmtId="0" fontId="13" fillId="54" borderId="346" xfId="0" applyFont="1" applyFill="1" applyBorder="1" applyAlignment="1">
      <alignment horizontal="right"/>
    </xf>
    <xf numFmtId="0" fontId="13" fillId="54" borderId="0" xfId="0" applyFont="1" applyFill="1" applyAlignment="1">
      <alignment horizontal="right"/>
    </xf>
    <xf numFmtId="0" fontId="13" fillId="54" borderId="27" xfId="0" applyFont="1" applyFill="1" applyBorder="1" applyAlignment="1">
      <alignment horizontal="right"/>
    </xf>
    <xf numFmtId="0" fontId="13" fillId="51" borderId="346" xfId="0" applyFont="1" applyFill="1" applyBorder="1" applyAlignment="1">
      <alignment horizontal="right"/>
    </xf>
    <xf numFmtId="0" fontId="13" fillId="51" borderId="0" xfId="0" applyFont="1" applyFill="1" applyAlignment="1">
      <alignment horizontal="right"/>
    </xf>
    <xf numFmtId="0" fontId="13" fillId="51" borderId="27" xfId="0" applyFont="1" applyFill="1" applyBorder="1" applyAlignment="1">
      <alignment horizontal="right"/>
    </xf>
    <xf numFmtId="0" fontId="16" fillId="7" borderId="337" xfId="0" applyFont="1" applyFill="1" applyBorder="1" applyAlignment="1">
      <alignment horizontal="center" vertical="center" wrapText="1"/>
    </xf>
    <xf numFmtId="0" fontId="33" fillId="76" borderId="72" xfId="0" applyFont="1" applyFill="1" applyBorder="1"/>
    <xf numFmtId="0" fontId="33" fillId="76" borderId="707" xfId="0" applyFont="1" applyFill="1" applyBorder="1"/>
    <xf numFmtId="0" fontId="33" fillId="3" borderId="321" xfId="0" applyFont="1" applyFill="1" applyBorder="1"/>
    <xf numFmtId="0" fontId="33" fillId="3" borderId="322" xfId="0" applyFont="1" applyFill="1" applyBorder="1"/>
    <xf numFmtId="0" fontId="33" fillId="3" borderId="133" xfId="0" applyFont="1" applyFill="1" applyBorder="1"/>
    <xf numFmtId="0" fontId="33" fillId="3" borderId="76" xfId="0" applyFont="1" applyFill="1" applyBorder="1"/>
    <xf numFmtId="0" fontId="13" fillId="7" borderId="896" xfId="0" applyFont="1" applyFill="1" applyBorder="1" applyAlignment="1">
      <alignment horizontal="left" vertical="center" wrapText="1"/>
    </xf>
    <xf numFmtId="0" fontId="13" fillId="7" borderId="898" xfId="0" applyFont="1" applyFill="1" applyBorder="1" applyAlignment="1">
      <alignment horizontal="left" vertical="center" wrapText="1"/>
    </xf>
    <xf numFmtId="0" fontId="13" fillId="7" borderId="902" xfId="0" applyFont="1" applyFill="1" applyBorder="1" applyAlignment="1">
      <alignment horizontal="left" vertical="center" wrapText="1"/>
    </xf>
    <xf numFmtId="0" fontId="13" fillId="7" borderId="879" xfId="0" applyFont="1" applyFill="1" applyBorder="1" applyAlignment="1">
      <alignment horizontal="left"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5" fillId="8" borderId="909" xfId="0" applyFont="1" applyFill="1" applyBorder="1" applyAlignment="1">
      <alignment horizontal="center" vertical="center" wrapText="1"/>
    </xf>
    <xf numFmtId="0" fontId="15" fillId="8" borderId="904" xfId="0" applyFont="1" applyFill="1" applyBorder="1" applyAlignment="1">
      <alignment horizontal="center" vertical="center" wrapText="1"/>
    </xf>
    <xf numFmtId="0" fontId="15" fillId="8" borderId="907" xfId="0" applyFont="1" applyFill="1" applyBorder="1" applyAlignment="1">
      <alignment horizontal="center" vertical="center" wrapText="1"/>
    </xf>
    <xf numFmtId="0" fontId="62" fillId="54" borderId="779" xfId="0" applyFont="1" applyFill="1" applyBorder="1" applyAlignment="1" applyProtection="1">
      <alignment horizontal="left" vertical="top" wrapText="1"/>
      <protection locked="0"/>
    </xf>
    <xf numFmtId="0" fontId="62" fillId="54" borderId="880" xfId="0" applyFont="1" applyFill="1" applyBorder="1" applyAlignment="1" applyProtection="1">
      <alignment horizontal="left" vertical="top" wrapText="1"/>
      <protection locked="0"/>
    </xf>
    <xf numFmtId="0" fontId="62" fillId="54" borderId="780" xfId="0" applyFont="1" applyFill="1" applyBorder="1" applyAlignment="1" applyProtection="1">
      <alignment horizontal="left" vertical="top" wrapText="1"/>
      <protection locked="0"/>
    </xf>
    <xf numFmtId="0" fontId="62" fillId="54" borderId="915" xfId="0" applyFont="1" applyFill="1" applyBorder="1" applyAlignment="1" applyProtection="1">
      <alignment horizontal="left" vertical="top" wrapText="1"/>
      <protection locked="0"/>
    </xf>
    <xf numFmtId="0" fontId="62" fillId="54" borderId="916" xfId="0" applyFont="1" applyFill="1" applyBorder="1" applyAlignment="1" applyProtection="1">
      <alignment horizontal="left" vertical="top" wrapText="1"/>
      <protection locked="0"/>
    </xf>
    <xf numFmtId="0" fontId="13" fillId="7" borderId="876" xfId="0" applyFont="1" applyFill="1" applyBorder="1" applyAlignment="1">
      <alignment horizontal="right" vertical="center" wrapText="1"/>
    </xf>
    <xf numFmtId="0" fontId="13" fillId="7" borderId="906" xfId="0" applyFont="1" applyFill="1" applyBorder="1" applyAlignment="1">
      <alignment horizontal="right" vertical="center" wrapText="1"/>
    </xf>
    <xf numFmtId="0" fontId="13" fillId="7" borderId="874" xfId="0" applyFont="1" applyFill="1" applyBorder="1" applyAlignment="1">
      <alignment horizontal="right" vertical="center" wrapText="1"/>
    </xf>
    <xf numFmtId="0" fontId="13" fillId="7" borderId="348" xfId="0" applyFont="1" applyFill="1" applyBorder="1" applyAlignment="1">
      <alignment horizontal="left" vertical="center" wrapText="1"/>
    </xf>
    <xf numFmtId="0" fontId="13" fillId="7" borderId="910" xfId="0" applyFont="1" applyFill="1" applyBorder="1" applyAlignment="1">
      <alignment horizontal="left" vertical="center" wrapText="1"/>
    </xf>
    <xf numFmtId="0" fontId="13" fillId="7" borderId="877" xfId="0" applyFont="1" applyFill="1" applyBorder="1" applyAlignment="1">
      <alignment horizontal="left" vertical="center" wrapText="1"/>
    </xf>
    <xf numFmtId="0" fontId="9" fillId="7" borderId="7" xfId="0" applyFont="1" applyFill="1" applyBorder="1" applyAlignment="1">
      <alignment horizontal="center" vertical="center" wrapText="1"/>
    </xf>
    <xf numFmtId="0" fontId="13" fillId="7" borderId="900" xfId="0" applyFont="1" applyFill="1" applyBorder="1" applyAlignment="1">
      <alignment horizontal="right" vertical="center" wrapText="1"/>
    </xf>
    <xf numFmtId="0" fontId="13" fillId="7" borderId="901" xfId="0" applyFont="1" applyFill="1" applyBorder="1" applyAlignment="1">
      <alignment horizontal="right" vertical="center" wrapText="1"/>
    </xf>
    <xf numFmtId="0" fontId="13" fillId="7" borderId="903"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65" xfId="0" applyFont="1" applyFill="1" applyBorder="1" applyAlignment="1">
      <alignment horizontal="right" vertical="center" wrapText="1"/>
    </xf>
    <xf numFmtId="0" fontId="13" fillId="7" borderId="312" xfId="0" applyFont="1" applyFill="1" applyBorder="1" applyAlignment="1">
      <alignment horizontal="left"/>
    </xf>
    <xf numFmtId="0" fontId="13" fillId="7" borderId="348" xfId="0" applyFont="1" applyFill="1" applyBorder="1" applyAlignment="1">
      <alignment horizontal="left"/>
    </xf>
    <xf numFmtId="0" fontId="9" fillId="7" borderId="77" xfId="0" applyFont="1" applyFill="1" applyBorder="1" applyAlignment="1">
      <alignment horizontal="center" vertical="center" wrapText="1"/>
    </xf>
    <xf numFmtId="0" fontId="12" fillId="30" borderId="132" xfId="0" applyFont="1" applyFill="1" applyBorder="1" applyAlignment="1">
      <alignment horizontal="center" vertical="center" wrapText="1"/>
    </xf>
    <xf numFmtId="0" fontId="12" fillId="30" borderId="88"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77" xfId="0" applyFont="1" applyFill="1" applyBorder="1" applyAlignment="1">
      <alignment horizontal="center" vertical="center" wrapText="1"/>
    </xf>
    <xf numFmtId="0" fontId="13" fillId="7" borderId="78"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9" fillId="7" borderId="248" xfId="0" applyFont="1" applyFill="1" applyBorder="1" applyAlignment="1">
      <alignment horizontal="center" vertical="center" wrapText="1"/>
    </xf>
    <xf numFmtId="0" fontId="9" fillId="7" borderId="24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09" xfId="0" applyFont="1" applyFill="1" applyBorder="1" applyAlignment="1">
      <alignment horizontal="center" vertical="center"/>
    </xf>
    <xf numFmtId="0" fontId="15" fillId="8" borderId="112" xfId="0" applyFont="1" applyFill="1" applyBorder="1" applyAlignment="1">
      <alignment horizontal="center" vertical="center"/>
    </xf>
    <xf numFmtId="0" fontId="15" fillId="8" borderId="140"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6" xfId="0" applyFont="1" applyFill="1" applyBorder="1" applyAlignment="1">
      <alignment horizontal="center" vertical="center"/>
    </xf>
    <xf numFmtId="0" fontId="20" fillId="7" borderId="76" xfId="0" applyFont="1" applyFill="1" applyBorder="1" applyAlignment="1">
      <alignment horizontal="center" vertical="center"/>
    </xf>
    <xf numFmtId="1" fontId="14" fillId="31" borderId="93" xfId="0" applyNumberFormat="1" applyFont="1" applyFill="1" applyBorder="1" applyAlignment="1">
      <alignment horizontal="center" vertical="center"/>
    </xf>
    <xf numFmtId="1" fontId="14" fillId="31" borderId="95" xfId="0" applyNumberFormat="1" applyFont="1" applyFill="1" applyBorder="1" applyAlignment="1">
      <alignment horizontal="center" vertical="center"/>
    </xf>
    <xf numFmtId="0" fontId="0" fillId="54" borderId="471" xfId="0" applyFill="1" applyBorder="1" applyAlignment="1" applyProtection="1">
      <alignment horizontal="center" vertical="center" wrapText="1"/>
      <protection locked="0"/>
    </xf>
    <xf numFmtId="0" fontId="20" fillId="7" borderId="629" xfId="0" applyFont="1" applyFill="1" applyBorder="1" applyAlignment="1">
      <alignment horizontal="center" vertical="center"/>
    </xf>
    <xf numFmtId="0" fontId="20" fillId="7" borderId="90" xfId="0" applyFont="1" applyFill="1" applyBorder="1" applyAlignment="1">
      <alignment horizontal="center" vertical="center"/>
    </xf>
    <xf numFmtId="0" fontId="10" fillId="7" borderId="321" xfId="0" applyFont="1" applyFill="1" applyBorder="1" applyAlignment="1">
      <alignment horizontal="right" vertical="center" wrapText="1"/>
    </xf>
    <xf numFmtId="0" fontId="10" fillId="7" borderId="133" xfId="0" applyFont="1" applyFill="1" applyBorder="1" applyAlignment="1">
      <alignment horizontal="right" vertical="center" wrapText="1"/>
    </xf>
    <xf numFmtId="0" fontId="12" fillId="7" borderId="132" xfId="0" applyFont="1" applyFill="1" applyBorder="1" applyAlignment="1">
      <alignment horizontal="center" vertical="center" wrapText="1"/>
    </xf>
    <xf numFmtId="0" fontId="12" fillId="7" borderId="142"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40"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31" borderId="91"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89" xfId="0" applyFont="1" applyFill="1" applyBorder="1" applyAlignment="1">
      <alignment horizontal="center" vertical="center" wrapText="1"/>
    </xf>
    <xf numFmtId="0" fontId="13" fillId="31" borderId="76"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7" borderId="344" xfId="0" applyFont="1" applyFill="1" applyBorder="1" applyAlignment="1">
      <alignment horizontal="center" vertical="center" wrapText="1"/>
    </xf>
    <xf numFmtId="0" fontId="13" fillId="7" borderId="281" xfId="0" applyFont="1" applyFill="1" applyBorder="1" applyAlignment="1">
      <alignment horizontal="center" vertical="center" wrapText="1"/>
    </xf>
    <xf numFmtId="0" fontId="12" fillId="50" borderId="342" xfId="0" applyFont="1" applyFill="1" applyBorder="1" applyAlignment="1" applyProtection="1">
      <alignment horizontal="center" vertical="center" wrapText="1"/>
      <protection locked="0"/>
    </xf>
    <xf numFmtId="0" fontId="12" fillId="50" borderId="343"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26" xfId="0" applyFont="1" applyFill="1" applyBorder="1" applyAlignment="1" applyProtection="1">
      <alignment horizontal="center" vertical="center" wrapText="1"/>
      <protection locked="0"/>
    </xf>
    <xf numFmtId="0" fontId="13" fillId="55" borderId="573" xfId="0" applyFont="1" applyFill="1" applyBorder="1" applyAlignment="1" applyProtection="1">
      <alignment horizontal="center" vertical="center" wrapText="1"/>
      <protection locked="0"/>
    </xf>
    <xf numFmtId="0" fontId="13" fillId="55" borderId="258" xfId="0" applyFont="1" applyFill="1" applyBorder="1" applyAlignment="1" applyProtection="1">
      <alignment horizontal="center" vertical="center" wrapText="1"/>
      <protection locked="0"/>
    </xf>
    <xf numFmtId="0" fontId="12" fillId="7" borderId="570"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24" fillId="7" borderId="273" xfId="0" applyFont="1" applyFill="1" applyBorder="1" applyAlignment="1">
      <alignment horizontal="center" vertical="center" wrapText="1"/>
    </xf>
    <xf numFmtId="0" fontId="24" fillId="7" borderId="306" xfId="0" applyFont="1" applyFill="1" applyBorder="1" applyAlignment="1">
      <alignment horizontal="center" vertical="center" wrapText="1"/>
    </xf>
    <xf numFmtId="0" fontId="24" fillId="7" borderId="307" xfId="0" applyFont="1" applyFill="1" applyBorder="1" applyAlignment="1">
      <alignment horizontal="center" vertical="center" wrapText="1"/>
    </xf>
    <xf numFmtId="0" fontId="9" fillId="3" borderId="87" xfId="0" applyFont="1" applyFill="1" applyBorder="1" applyAlignment="1">
      <alignment horizontal="left" vertical="center"/>
    </xf>
    <xf numFmtId="0" fontId="12" fillId="31" borderId="97" xfId="0" applyFont="1" applyFill="1" applyBorder="1" applyAlignment="1">
      <alignment horizontal="center"/>
    </xf>
    <xf numFmtId="0" fontId="12" fillId="31" borderId="99" xfId="0" applyFont="1" applyFill="1" applyBorder="1" applyAlignment="1">
      <alignment horizontal="center"/>
    </xf>
    <xf numFmtId="0" fontId="24" fillId="7" borderId="310" xfId="0" applyFont="1" applyFill="1" applyBorder="1" applyAlignment="1">
      <alignment horizontal="center" vertical="center" wrapText="1"/>
    </xf>
    <xf numFmtId="0" fontId="24" fillId="7" borderId="15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9" fillId="51" borderId="548"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48"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49" xfId="0" applyFont="1" applyFill="1" applyBorder="1" applyAlignment="1" applyProtection="1">
      <alignment horizontal="center"/>
      <protection locked="0"/>
    </xf>
    <xf numFmtId="0" fontId="9" fillId="51" borderId="76"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4" borderId="91" xfId="0" applyFont="1" applyFill="1" applyBorder="1" applyAlignment="1" applyProtection="1">
      <alignment horizontal="center"/>
      <protection locked="0"/>
    </xf>
    <xf numFmtId="0" fontId="9" fillId="51" borderId="89"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09" xfId="0" applyFont="1" applyFill="1" applyBorder="1" applyAlignment="1">
      <alignment horizontal="center" wrapText="1"/>
    </xf>
    <xf numFmtId="0" fontId="15" fillId="8" borderId="112" xfId="0" applyFont="1" applyFill="1" applyBorder="1" applyAlignment="1">
      <alignment horizontal="center" wrapText="1"/>
    </xf>
    <xf numFmtId="0" fontId="15" fillId="8" borderId="140" xfId="0" applyFont="1" applyFill="1" applyBorder="1" applyAlignment="1">
      <alignment horizontal="center" wrapText="1"/>
    </xf>
    <xf numFmtId="0" fontId="0" fillId="54" borderId="101" xfId="0" applyFill="1" applyBorder="1" applyAlignment="1" applyProtection="1">
      <alignment horizontal="center" vertical="center" wrapText="1"/>
      <protection locked="0"/>
    </xf>
    <xf numFmtId="0" fontId="12" fillId="7" borderId="565" xfId="0" applyFont="1" applyFill="1" applyBorder="1" applyAlignment="1">
      <alignment horizontal="center" vertical="center" wrapText="1"/>
    </xf>
    <xf numFmtId="0" fontId="12" fillId="7" borderId="566" xfId="0" applyFont="1" applyFill="1" applyBorder="1" applyAlignment="1">
      <alignment horizontal="center" vertical="center" wrapText="1"/>
    </xf>
    <xf numFmtId="0" fontId="9" fillId="7" borderId="567" xfId="0" applyFont="1" applyFill="1" applyBorder="1" applyAlignment="1">
      <alignment horizontal="center" vertical="center"/>
    </xf>
    <xf numFmtId="0" fontId="13" fillId="55" borderId="351" xfId="0" applyFont="1" applyFill="1" applyBorder="1" applyAlignment="1" applyProtection="1">
      <alignment horizontal="center" vertical="center" wrapText="1"/>
      <protection locked="0"/>
    </xf>
    <xf numFmtId="0" fontId="13" fillId="55" borderId="352" xfId="0" applyFont="1" applyFill="1" applyBorder="1" applyAlignment="1" applyProtection="1">
      <alignment horizontal="center" vertical="center" wrapText="1"/>
      <protection locked="0"/>
    </xf>
    <xf numFmtId="0" fontId="13" fillId="7" borderId="34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49" xfId="0" applyFont="1" applyFill="1" applyBorder="1" applyAlignment="1" applyProtection="1">
      <alignment horizontal="center" vertical="center" wrapText="1"/>
      <protection locked="0"/>
    </xf>
    <xf numFmtId="0" fontId="13" fillId="55" borderId="319" xfId="0" applyFont="1" applyFill="1" applyBorder="1" applyAlignment="1" applyProtection="1">
      <alignment horizontal="center" vertical="center" wrapText="1"/>
      <protection locked="0"/>
    </xf>
    <xf numFmtId="0" fontId="13" fillId="7" borderId="307"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34" fillId="8" borderId="220" xfId="0" applyFont="1" applyFill="1" applyBorder="1" applyAlignment="1">
      <alignment horizontal="center" vertical="center" textRotation="90"/>
    </xf>
    <xf numFmtId="0" fontId="34" fillId="8" borderId="264" xfId="0" applyFont="1" applyFill="1" applyBorder="1" applyAlignment="1">
      <alignment horizontal="center" vertical="center" textRotation="90"/>
    </xf>
    <xf numFmtId="0" fontId="34" fillId="8" borderId="265" xfId="0" applyFont="1" applyFill="1" applyBorder="1" applyAlignment="1">
      <alignment horizontal="center" vertical="center" textRotation="90"/>
    </xf>
    <xf numFmtId="0" fontId="147" fillId="7" borderId="11" xfId="0" applyFont="1" applyFill="1" applyBorder="1" applyAlignment="1">
      <alignment horizontal="center" vertical="center" wrapText="1"/>
    </xf>
    <xf numFmtId="0" fontId="147" fillId="7" borderId="12" xfId="0" applyFont="1" applyFill="1" applyBorder="1" applyAlignment="1">
      <alignment horizontal="center" vertical="center" wrapText="1"/>
    </xf>
    <xf numFmtId="0" fontId="147" fillId="7" borderId="14" xfId="0" applyFont="1" applyFill="1" applyBorder="1" applyAlignment="1">
      <alignment horizontal="center" vertical="center" wrapText="1"/>
    </xf>
    <xf numFmtId="0" fontId="147" fillId="7" borderId="0" xfId="0" applyFont="1" applyFill="1" applyAlignment="1">
      <alignment horizontal="center" vertical="center" wrapText="1"/>
    </xf>
    <xf numFmtId="0" fontId="147" fillId="7" borderId="22" xfId="0" applyFont="1" applyFill="1" applyBorder="1" applyAlignment="1">
      <alignment horizontal="center" vertical="center" wrapText="1"/>
    </xf>
    <xf numFmtId="0" fontId="147"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3" xfId="0" applyFont="1" applyFill="1" applyBorder="1" applyAlignment="1">
      <alignment horizontal="center" vertical="center"/>
    </xf>
    <xf numFmtId="0" fontId="13" fillId="7" borderId="74" xfId="0" applyFont="1" applyFill="1" applyBorder="1" applyAlignment="1">
      <alignment horizontal="center" vertical="center"/>
    </xf>
    <xf numFmtId="0" fontId="24" fillId="7" borderId="308" xfId="0" applyFont="1" applyFill="1" applyBorder="1" applyAlignment="1">
      <alignment horizontal="center" vertical="center" wrapText="1"/>
    </xf>
    <xf numFmtId="0" fontId="24" fillId="7" borderId="154" xfId="0" applyFont="1" applyFill="1" applyBorder="1" applyAlignment="1">
      <alignment horizontal="center" vertical="center" wrapText="1"/>
    </xf>
    <xf numFmtId="0" fontId="9" fillId="7" borderId="307" xfId="0" applyFont="1" applyFill="1" applyBorder="1" applyAlignment="1">
      <alignment horizontal="right" vertical="center"/>
    </xf>
    <xf numFmtId="0" fontId="9" fillId="7" borderId="308" xfId="0" applyFont="1" applyFill="1" applyBorder="1" applyAlignment="1">
      <alignment horizontal="right" vertical="center"/>
    </xf>
    <xf numFmtId="0" fontId="12" fillId="3" borderId="87" xfId="0" applyFont="1" applyFill="1" applyBorder="1" applyAlignment="1">
      <alignment horizontal="right" vertical="center"/>
    </xf>
    <xf numFmtId="0" fontId="13" fillId="7" borderId="306" xfId="0" applyFont="1" applyFill="1" applyBorder="1" applyAlignment="1">
      <alignment horizontal="center" vertical="center" wrapText="1"/>
    </xf>
    <xf numFmtId="0" fontId="9" fillId="0" borderId="289"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0" xfId="0" applyFont="1" applyBorder="1" applyAlignment="1">
      <alignment horizontal="center" vertical="center" wrapText="1"/>
    </xf>
    <xf numFmtId="0" fontId="9" fillId="0" borderId="291"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88" xfId="0" applyFont="1" applyFill="1" applyBorder="1" applyAlignment="1">
      <alignment horizontal="center" vertical="center"/>
    </xf>
    <xf numFmtId="0" fontId="9" fillId="7" borderId="307" xfId="0" applyFont="1" applyFill="1" applyBorder="1" applyAlignment="1">
      <alignment horizontal="right" vertical="center" wrapText="1"/>
    </xf>
    <xf numFmtId="0" fontId="24" fillId="7" borderId="75" xfId="0" applyFont="1" applyFill="1" applyBorder="1" applyAlignment="1">
      <alignment horizontal="center" vertical="center" wrapText="1"/>
    </xf>
    <xf numFmtId="0" fontId="24" fillId="7" borderId="287" xfId="0" applyFont="1" applyFill="1" applyBorder="1" applyAlignment="1">
      <alignment horizontal="center" vertical="center" wrapText="1"/>
    </xf>
    <xf numFmtId="0" fontId="45" fillId="8" borderId="147" xfId="0" applyFont="1" applyFill="1" applyBorder="1" applyAlignment="1">
      <alignment horizontal="center" vertical="center" wrapText="1"/>
    </xf>
    <xf numFmtId="0" fontId="45" fillId="8" borderId="148" xfId="0" applyFont="1" applyFill="1" applyBorder="1" applyAlignment="1">
      <alignment horizontal="center" vertical="center" wrapText="1"/>
    </xf>
    <xf numFmtId="0" fontId="13" fillId="55" borderId="345" xfId="0" applyFont="1" applyFill="1" applyBorder="1" applyAlignment="1" applyProtection="1">
      <alignment horizontal="center" vertical="center" wrapText="1"/>
      <protection locked="0"/>
    </xf>
    <xf numFmtId="0" fontId="24" fillId="7" borderId="333" xfId="0" applyFont="1" applyFill="1" applyBorder="1" applyAlignment="1">
      <alignment horizontal="center" vertical="center" wrapText="1"/>
    </xf>
    <xf numFmtId="0" fontId="9" fillId="30" borderId="471" xfId="0" applyFont="1" applyFill="1" applyBorder="1" applyAlignment="1">
      <alignment horizontal="center" vertical="center" wrapText="1"/>
    </xf>
    <xf numFmtId="0" fontId="9" fillId="30" borderId="632" xfId="0" applyFont="1" applyFill="1" applyBorder="1" applyAlignment="1">
      <alignment horizontal="center" vertical="center" wrapText="1"/>
    </xf>
    <xf numFmtId="0" fontId="9" fillId="30" borderId="633" xfId="0" applyFont="1" applyFill="1" applyBorder="1" applyAlignment="1">
      <alignment horizontal="center" vertical="center" wrapText="1"/>
    </xf>
    <xf numFmtId="0" fontId="9" fillId="54" borderId="547" xfId="0" applyFont="1" applyFill="1" applyBorder="1" applyAlignment="1" applyProtection="1">
      <alignment horizontal="center"/>
      <protection locked="0"/>
    </xf>
    <xf numFmtId="0" fontId="9" fillId="54" borderId="322" xfId="0" applyFont="1" applyFill="1" applyBorder="1" applyAlignment="1" applyProtection="1">
      <alignment horizontal="center"/>
      <protection locked="0"/>
    </xf>
    <xf numFmtId="0" fontId="9" fillId="54" borderId="325" xfId="0" applyFont="1" applyFill="1" applyBorder="1" applyAlignment="1" applyProtection="1">
      <alignment horizontal="center"/>
      <protection locked="0"/>
    </xf>
    <xf numFmtId="0" fontId="12" fillId="31" borderId="101" xfId="0" applyFont="1" applyFill="1" applyBorder="1" applyAlignment="1">
      <alignment horizontal="center"/>
    </xf>
    <xf numFmtId="0" fontId="13" fillId="7" borderId="273" xfId="0" applyFont="1" applyFill="1" applyBorder="1" applyAlignment="1">
      <alignment horizontal="center" vertical="center" wrapText="1"/>
    </xf>
    <xf numFmtId="0" fontId="0" fillId="54" borderId="103" xfId="0" applyFill="1" applyBorder="1" applyAlignment="1" applyProtection="1">
      <alignment horizontal="center" vertical="center" wrapText="1"/>
      <protection locked="0"/>
    </xf>
    <xf numFmtId="0" fontId="0" fillId="54" borderId="124" xfId="0" applyFill="1" applyBorder="1" applyAlignment="1" applyProtection="1">
      <alignment horizontal="center" vertical="center" wrapText="1"/>
      <protection locked="0"/>
    </xf>
    <xf numFmtId="0" fontId="13" fillId="55" borderId="261" xfId="0" applyFont="1" applyFill="1" applyBorder="1" applyAlignment="1" applyProtection="1">
      <alignment horizontal="center" vertical="center" wrapText="1"/>
      <protection locked="0"/>
    </xf>
    <xf numFmtId="0" fontId="13" fillId="55" borderId="313"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6" xfId="0" applyFont="1" applyFill="1" applyBorder="1" applyAlignment="1">
      <alignment horizontal="right" vertical="center"/>
    </xf>
    <xf numFmtId="0" fontId="9" fillId="7" borderId="156" xfId="0" applyFont="1" applyFill="1" applyBorder="1" applyAlignment="1">
      <alignment horizontal="center" vertical="center"/>
    </xf>
    <xf numFmtId="0" fontId="13" fillId="55" borderId="454"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572" xfId="0" applyFont="1" applyFill="1" applyBorder="1" applyAlignment="1" applyProtection="1">
      <alignment horizontal="center" vertical="center"/>
      <protection locked="0"/>
    </xf>
    <xf numFmtId="0" fontId="24" fillId="7" borderId="270" xfId="0" applyFont="1" applyFill="1" applyBorder="1" applyAlignment="1">
      <alignment horizontal="center" vertical="center" wrapText="1"/>
    </xf>
    <xf numFmtId="0" fontId="13" fillId="7" borderId="36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87"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88"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56" xfId="0" applyFont="1" applyFill="1" applyBorder="1" applyAlignment="1">
      <alignment horizontal="center" vertical="center" wrapText="1"/>
    </xf>
    <xf numFmtId="0" fontId="11" fillId="7" borderId="164" xfId="0" applyFont="1" applyFill="1" applyBorder="1" applyAlignment="1">
      <alignment horizontal="center" vertical="center" wrapText="1"/>
    </xf>
    <xf numFmtId="0" fontId="11" fillId="7" borderId="294"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4" xfId="0" applyFont="1" applyFill="1" applyBorder="1" applyAlignment="1">
      <alignment horizontal="center" vertical="center" wrapText="1"/>
    </xf>
    <xf numFmtId="0" fontId="9" fillId="7" borderId="471" xfId="0" applyFont="1" applyFill="1" applyBorder="1" applyAlignment="1">
      <alignment horizontal="right" vertical="center"/>
    </xf>
    <xf numFmtId="0" fontId="9" fillId="7" borderId="369" xfId="0" applyFont="1" applyFill="1" applyBorder="1" applyAlignment="1">
      <alignment horizontal="right" vertical="center"/>
    </xf>
    <xf numFmtId="0" fontId="9" fillId="7" borderId="489" xfId="0" applyFont="1" applyFill="1" applyBorder="1" applyAlignment="1">
      <alignment horizontal="right" vertical="center" shrinkToFit="1"/>
    </xf>
    <xf numFmtId="0" fontId="9" fillId="7" borderId="402" xfId="0" applyFont="1" applyFill="1" applyBorder="1" applyAlignment="1">
      <alignment horizontal="right" vertical="center" shrinkToFit="1"/>
    </xf>
    <xf numFmtId="0" fontId="9" fillId="7" borderId="122" xfId="0" applyFont="1" applyFill="1" applyBorder="1" applyAlignment="1">
      <alignment horizontal="center" vertical="center" shrinkToFit="1"/>
    </xf>
    <xf numFmtId="0" fontId="9" fillId="7" borderId="144" xfId="0" applyFont="1" applyFill="1" applyBorder="1" applyAlignment="1">
      <alignment horizontal="center" vertical="center" shrinkToFit="1"/>
    </xf>
    <xf numFmtId="0" fontId="9" fillId="30" borderId="361" xfId="0" applyFont="1" applyFill="1" applyBorder="1" applyAlignment="1">
      <alignment horizontal="right" vertical="center" wrapText="1"/>
    </xf>
    <xf numFmtId="0" fontId="9" fillId="30" borderId="362" xfId="0" applyFont="1" applyFill="1" applyBorder="1" applyAlignment="1">
      <alignment horizontal="right" vertical="center" wrapText="1"/>
    </xf>
    <xf numFmtId="0" fontId="13" fillId="7" borderId="452" xfId="0" applyFont="1" applyFill="1" applyBorder="1"/>
    <xf numFmtId="0" fontId="13" fillId="7" borderId="436" xfId="0" applyFont="1" applyFill="1" applyBorder="1"/>
    <xf numFmtId="0" fontId="13" fillId="7" borderId="681" xfId="0" applyFont="1" applyFill="1" applyBorder="1" applyAlignment="1">
      <alignment vertical="center" wrapText="1"/>
    </xf>
    <xf numFmtId="0" fontId="13" fillId="7" borderId="679" xfId="0" applyFont="1" applyFill="1" applyBorder="1" applyAlignment="1">
      <alignment vertical="center" wrapText="1"/>
    </xf>
    <xf numFmtId="0" fontId="13" fillId="7" borderId="680" xfId="0" applyFont="1" applyFill="1" applyBorder="1" applyAlignment="1">
      <alignment vertical="center" wrapText="1"/>
    </xf>
    <xf numFmtId="0" fontId="13" fillId="7" borderId="312" xfId="0" applyFont="1" applyFill="1" applyBorder="1" applyAlignment="1">
      <alignment horizontal="left" vertical="center" wrapText="1"/>
    </xf>
    <xf numFmtId="0" fontId="13" fillId="7" borderId="22" xfId="0" applyFont="1" applyFill="1" applyBorder="1" applyAlignment="1">
      <alignment horizontal="right"/>
    </xf>
    <xf numFmtId="0" fontId="13" fillId="7" borderId="309" xfId="0" applyFont="1" applyFill="1" applyBorder="1" applyAlignment="1">
      <alignment horizontal="right"/>
    </xf>
    <xf numFmtId="0" fontId="13" fillId="7" borderId="14" xfId="0" applyFont="1" applyFill="1" applyBorder="1" applyAlignment="1">
      <alignment horizontal="right"/>
    </xf>
    <xf numFmtId="0" fontId="28" fillId="7" borderId="317" xfId="0" applyFont="1" applyFill="1" applyBorder="1" applyAlignment="1">
      <alignment horizontal="center" vertical="center" wrapText="1"/>
    </xf>
    <xf numFmtId="0" fontId="28" fillId="7" borderId="347" xfId="0" applyFont="1" applyFill="1" applyBorder="1" applyAlignment="1">
      <alignment horizontal="center" vertical="center" wrapText="1"/>
    </xf>
    <xf numFmtId="0" fontId="9" fillId="7" borderId="471" xfId="0" applyFont="1" applyFill="1" applyBorder="1" applyAlignment="1">
      <alignment horizontal="center" vertical="center"/>
    </xf>
    <xf numFmtId="0" fontId="9" fillId="7" borderId="369" xfId="0" applyFont="1" applyFill="1" applyBorder="1" applyAlignment="1">
      <alignment horizontal="center" vertical="center"/>
    </xf>
    <xf numFmtId="0" fontId="13" fillId="7" borderId="369" xfId="0" applyFont="1" applyFill="1" applyBorder="1" applyAlignment="1">
      <alignment horizontal="center" vertical="center"/>
    </xf>
    <xf numFmtId="0" fontId="13" fillId="7" borderId="139" xfId="0" applyFont="1" applyFill="1" applyBorder="1" applyAlignment="1">
      <alignment horizontal="center" vertical="center"/>
    </xf>
    <xf numFmtId="0" fontId="45" fillId="8" borderId="106" xfId="0" applyFont="1" applyFill="1" applyBorder="1" applyAlignment="1">
      <alignment horizontal="right" vertical="center"/>
    </xf>
    <xf numFmtId="0" fontId="45" fillId="8" borderId="440" xfId="0" applyFont="1" applyFill="1" applyBorder="1" applyAlignment="1">
      <alignment horizontal="right" vertical="center"/>
    </xf>
    <xf numFmtId="0" fontId="13" fillId="55" borderId="369" xfId="0" applyFont="1" applyFill="1" applyBorder="1" applyAlignment="1" applyProtection="1">
      <alignment horizontal="center" vertical="center" wrapText="1"/>
      <protection locked="0"/>
    </xf>
    <xf numFmtId="0" fontId="13" fillId="55" borderId="572" xfId="0" applyFont="1" applyFill="1" applyBorder="1" applyAlignment="1" applyProtection="1">
      <alignment horizontal="center" vertical="center" wrapText="1"/>
      <protection locked="0"/>
    </xf>
    <xf numFmtId="0" fontId="9" fillId="7" borderId="321" xfId="0" applyFont="1" applyFill="1" applyBorder="1" applyAlignment="1">
      <alignment horizontal="center" vertical="center" shrinkToFit="1"/>
    </xf>
    <xf numFmtId="0" fontId="9" fillId="7" borderId="322"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0" xfId="0" applyFont="1" applyFill="1" applyBorder="1" applyAlignment="1">
      <alignment horizontal="center" vertical="center" shrinkToFit="1"/>
    </xf>
    <xf numFmtId="0" fontId="9" fillId="7" borderId="76" xfId="0" applyFont="1" applyFill="1" applyBorder="1" applyAlignment="1">
      <alignment horizontal="center" vertical="center" shrinkToFit="1"/>
    </xf>
    <xf numFmtId="0" fontId="9" fillId="7" borderId="127"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46" fillId="24" borderId="907" xfId="0" applyFont="1" applyFill="1" applyBorder="1" applyAlignment="1">
      <alignment horizontal="center" vertical="center"/>
    </xf>
    <xf numFmtId="0" fontId="46" fillId="24" borderId="772" xfId="0" applyFont="1" applyFill="1" applyBorder="1" applyAlignment="1">
      <alignment horizontal="center" vertical="center"/>
    </xf>
    <xf numFmtId="0" fontId="9" fillId="24" borderId="909" xfId="0" applyFont="1" applyFill="1" applyBorder="1" applyAlignment="1">
      <alignment horizontal="center" vertical="center"/>
    </xf>
    <xf numFmtId="0" fontId="9" fillId="24" borderId="904" xfId="0" applyFont="1" applyFill="1" applyBorder="1" applyAlignment="1">
      <alignment horizontal="center" vertical="center"/>
    </xf>
    <xf numFmtId="0" fontId="9" fillId="24" borderId="1007" xfId="0" applyFont="1" applyFill="1" applyBorder="1" applyAlignment="1">
      <alignment horizontal="center" vertical="center"/>
    </xf>
    <xf numFmtId="0" fontId="9" fillId="24" borderId="786" xfId="0" applyFont="1" applyFill="1" applyBorder="1" applyAlignment="1">
      <alignment horizontal="center" vertical="center"/>
    </xf>
    <xf numFmtId="0" fontId="13" fillId="28" borderId="495" xfId="0" applyFont="1" applyFill="1" applyBorder="1" applyAlignment="1" applyProtection="1">
      <alignment horizontal="right" vertical="center" wrapText="1"/>
      <protection locked="0"/>
    </xf>
    <xf numFmtId="0" fontId="13" fillId="28" borderId="355" xfId="0" applyFont="1" applyFill="1" applyBorder="1" applyAlignment="1" applyProtection="1">
      <alignment horizontal="right" vertical="center" wrapText="1"/>
      <protection locked="0"/>
    </xf>
    <xf numFmtId="0" fontId="13" fillId="28" borderId="496" xfId="0" applyFont="1" applyFill="1" applyBorder="1" applyAlignment="1" applyProtection="1">
      <alignment horizontal="right" vertical="center" wrapText="1"/>
      <protection locked="0"/>
    </xf>
    <xf numFmtId="0" fontId="13" fillId="28" borderId="490" xfId="0" applyFont="1" applyFill="1" applyBorder="1" applyAlignment="1" applyProtection="1">
      <alignment horizontal="left" vertical="center" wrapText="1"/>
      <protection locked="0"/>
    </xf>
    <xf numFmtId="0" fontId="13" fillId="28" borderId="355" xfId="0" applyFont="1" applyFill="1" applyBorder="1" applyAlignment="1" applyProtection="1">
      <alignment horizontal="left" vertical="center" wrapText="1"/>
      <protection locked="0"/>
    </xf>
    <xf numFmtId="0" fontId="13" fillId="28" borderId="368" xfId="0" applyFont="1" applyFill="1" applyBorder="1" applyAlignment="1" applyProtection="1">
      <alignment horizontal="left" vertical="center" wrapText="1"/>
      <protection locked="0"/>
    </xf>
    <xf numFmtId="0" fontId="15" fillId="13" borderId="109" xfId="0" applyFont="1" applyFill="1" applyBorder="1" applyAlignment="1">
      <alignment horizontal="center" vertical="center" wrapText="1"/>
    </xf>
    <xf numFmtId="0" fontId="15" fillId="13" borderId="994" xfId="0" applyFont="1" applyFill="1" applyBorder="1" applyAlignment="1">
      <alignment horizontal="center" vertical="center" wrapText="1"/>
    </xf>
    <xf numFmtId="0" fontId="15" fillId="13" borderId="995"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15" fillId="13" borderId="140" xfId="0" applyFont="1" applyFill="1" applyBorder="1" applyAlignment="1">
      <alignment horizontal="center" vertical="center" wrapText="1"/>
    </xf>
    <xf numFmtId="0" fontId="10" fillId="23" borderId="779" xfId="0" applyFont="1" applyFill="1" applyBorder="1" applyAlignment="1">
      <alignment horizontal="right" vertical="center" wrapText="1"/>
    </xf>
    <xf numFmtId="0" fontId="10" fillId="23" borderId="79" xfId="0" applyFont="1" applyFill="1" applyBorder="1" applyAlignment="1">
      <alignment horizontal="right" vertical="center" wrapText="1"/>
    </xf>
    <xf numFmtId="0" fontId="10" fillId="23" borderId="89" xfId="0" applyFont="1" applyFill="1" applyBorder="1" applyAlignment="1">
      <alignment horizontal="right" vertical="center" wrapText="1"/>
    </xf>
    <xf numFmtId="0" fontId="10" fillId="23" borderId="127" xfId="0" applyFont="1" applyFill="1" applyBorder="1" applyAlignment="1">
      <alignment horizontal="right" vertical="center" wrapText="1"/>
    </xf>
    <xf numFmtId="0" fontId="13" fillId="28" borderId="676" xfId="0" applyFont="1" applyFill="1" applyBorder="1" applyAlignment="1" applyProtection="1">
      <alignment horizontal="center" vertical="center" wrapText="1"/>
      <protection locked="0"/>
    </xf>
    <xf numFmtId="0" fontId="13" fillId="28" borderId="832"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28" fillId="12" borderId="87" xfId="0" applyFont="1" applyFill="1" applyBorder="1" applyAlignment="1">
      <alignment horizontal="center"/>
    </xf>
    <xf numFmtId="0" fontId="34" fillId="13" borderId="909" xfId="0" applyFont="1" applyFill="1" applyBorder="1" applyAlignment="1">
      <alignment horizontal="left" vertical="center" wrapText="1"/>
    </xf>
    <xf numFmtId="0" fontId="34" fillId="13" borderId="904" xfId="0" applyFont="1" applyFill="1" applyBorder="1" applyAlignment="1">
      <alignment horizontal="left" vertical="center" wrapText="1"/>
    </xf>
    <xf numFmtId="0" fontId="34" fillId="13" borderId="946" xfId="0" applyFont="1" applyFill="1" applyBorder="1" applyAlignment="1">
      <alignment horizontal="left" vertical="center" wrapText="1"/>
    </xf>
    <xf numFmtId="0" fontId="34" fillId="13" borderId="915" xfId="0" applyFont="1" applyFill="1" applyBorder="1" applyAlignment="1">
      <alignment horizontal="left" vertical="center" wrapText="1"/>
    </xf>
    <xf numFmtId="0" fontId="34" fillId="13" borderId="907" xfId="0" applyFont="1" applyFill="1" applyBorder="1" applyAlignment="1">
      <alignment horizontal="center" vertical="center"/>
    </xf>
    <xf numFmtId="0" fontId="34" fillId="13" borderId="916" xfId="0" applyFont="1" applyFill="1" applyBorder="1" applyAlignment="1">
      <alignment horizontal="center" vertical="center"/>
    </xf>
    <xf numFmtId="0" fontId="20" fillId="28" borderId="908" xfId="0" applyFont="1" applyFill="1" applyBorder="1" applyAlignment="1" applyProtection="1">
      <alignment horizontal="center" vertical="center"/>
      <protection locked="0"/>
    </xf>
    <xf numFmtId="0" fontId="20" fillId="28" borderId="190" xfId="0" applyFont="1" applyFill="1" applyBorder="1" applyAlignment="1" applyProtection="1">
      <alignment horizontal="center" vertical="center"/>
      <protection locked="0"/>
    </xf>
    <xf numFmtId="0" fontId="15" fillId="13" borderId="128" xfId="0" applyFont="1" applyFill="1" applyBorder="1" applyAlignment="1">
      <alignment horizontal="center" vertical="center"/>
    </xf>
    <xf numFmtId="0" fontId="15" fillId="13" borderId="737" xfId="0" applyFont="1" applyFill="1" applyBorder="1" applyAlignment="1">
      <alignment horizontal="center" vertical="center"/>
    </xf>
    <xf numFmtId="0" fontId="15" fillId="13" borderId="727" xfId="0" applyFont="1" applyFill="1" applyBorder="1" applyAlignment="1">
      <alignment horizontal="center" vertical="center"/>
    </xf>
    <xf numFmtId="0" fontId="9" fillId="23" borderId="471" xfId="0" applyFont="1" applyFill="1" applyBorder="1" applyAlignment="1">
      <alignment horizontal="center" vertical="center"/>
    </xf>
    <xf numFmtId="0" fontId="9" fillId="23" borderId="698" xfId="0" applyFont="1" applyFill="1" applyBorder="1" applyAlignment="1">
      <alignment horizontal="center" vertical="center"/>
    </xf>
    <xf numFmtId="0" fontId="9" fillId="23" borderId="139" xfId="0" applyFont="1" applyFill="1" applyBorder="1" applyAlignment="1">
      <alignment horizontal="center" vertical="center"/>
    </xf>
    <xf numFmtId="0" fontId="15" fillId="13" borderId="109" xfId="0" applyFont="1" applyFill="1" applyBorder="1" applyAlignment="1">
      <alignment horizontal="center" vertical="center"/>
    </xf>
    <xf numFmtId="0" fontId="15" fillId="13" borderId="994" xfId="0" applyFont="1" applyFill="1" applyBorder="1" applyAlignment="1">
      <alignment horizontal="center" vertical="center"/>
    </xf>
    <xf numFmtId="0" fontId="15" fillId="13" borderId="995" xfId="0" applyFont="1" applyFill="1" applyBorder="1" applyAlignment="1">
      <alignment horizontal="center" vertical="center"/>
    </xf>
    <xf numFmtId="0" fontId="12" fillId="23" borderId="986" xfId="0" applyFont="1" applyFill="1" applyBorder="1" applyAlignment="1">
      <alignment horizontal="center" vertical="center"/>
    </xf>
    <xf numFmtId="0" fontId="12" fillId="23" borderId="913" xfId="0" applyFont="1" applyFill="1" applyBorder="1" applyAlignment="1">
      <alignment horizontal="center" vertical="center"/>
    </xf>
    <xf numFmtId="0" fontId="12" fillId="23" borderId="139" xfId="0" applyFont="1" applyFill="1" applyBorder="1" applyAlignment="1">
      <alignment horizontal="center" vertical="center"/>
    </xf>
    <xf numFmtId="0" fontId="10" fillId="23" borderId="924" xfId="0" applyFont="1" applyFill="1" applyBorder="1" applyAlignment="1">
      <alignment horizontal="center" vertical="center" wrapText="1"/>
    </xf>
    <xf numFmtId="0" fontId="10" fillId="23" borderId="779" xfId="0" applyFont="1" applyFill="1" applyBorder="1" applyAlignment="1">
      <alignment horizontal="center" vertical="center" wrapText="1"/>
    </xf>
    <xf numFmtId="0" fontId="11" fillId="23" borderId="998" xfId="0" applyFont="1" applyFill="1" applyBorder="1" applyAlignment="1">
      <alignment horizontal="center" vertical="center" wrapText="1"/>
    </xf>
    <xf numFmtId="0" fontId="11" fillId="23" borderId="78" xfId="0" applyFont="1" applyFill="1" applyBorder="1" applyAlignment="1">
      <alignment horizontal="center" vertical="center" wrapText="1"/>
    </xf>
    <xf numFmtId="0" fontId="24" fillId="23" borderId="985" xfId="0" applyFont="1" applyFill="1" applyBorder="1" applyAlignment="1">
      <alignment horizontal="center" vertical="center" wrapText="1"/>
    </xf>
    <xf numFmtId="0" fontId="24" fillId="23" borderId="104" xfId="0" applyFont="1" applyFill="1" applyBorder="1" applyAlignment="1">
      <alignment horizontal="center" vertical="center" wrapText="1"/>
    </xf>
    <xf numFmtId="0" fontId="9" fillId="23" borderId="779" xfId="0" applyFont="1" applyFill="1" applyBorder="1"/>
    <xf numFmtId="0" fontId="0" fillId="23" borderId="0" xfId="0" applyFill="1"/>
    <xf numFmtId="0" fontId="13" fillId="28" borderId="401" xfId="0" applyFont="1" applyFill="1" applyBorder="1" applyAlignment="1" applyProtection="1">
      <alignment horizontal="center" vertical="center" wrapText="1"/>
      <protection locked="0"/>
    </xf>
    <xf numFmtId="0" fontId="10" fillId="12" borderId="779" xfId="0" applyFont="1" applyFill="1" applyBorder="1" applyAlignment="1">
      <alignment horizontal="center" vertical="center" wrapText="1"/>
    </xf>
    <xf numFmtId="0" fontId="11" fillId="12" borderId="78" xfId="0" applyFont="1" applyFill="1" applyBorder="1" applyAlignment="1">
      <alignment horizontal="center" vertical="center" wrapText="1"/>
    </xf>
    <xf numFmtId="0" fontId="13" fillId="28" borderId="499" xfId="0" applyFont="1" applyFill="1" applyBorder="1" applyAlignment="1" applyProtection="1">
      <alignment horizontal="right" vertical="center" wrapText="1"/>
      <protection locked="0"/>
    </xf>
    <xf numFmtId="0" fontId="13" fillId="28" borderId="485" xfId="0" applyFont="1" applyFill="1" applyBorder="1" applyAlignment="1" applyProtection="1">
      <alignment horizontal="right" vertical="center" wrapText="1"/>
      <protection locked="0"/>
    </xf>
    <xf numFmtId="0" fontId="13" fillId="28" borderId="484" xfId="0" applyFont="1" applyFill="1" applyBorder="1" applyAlignment="1" applyProtection="1">
      <alignment horizontal="right" vertical="center" wrapText="1"/>
      <protection locked="0"/>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6" fillId="23" borderId="86" xfId="0" applyFont="1" applyFill="1" applyBorder="1" applyAlignment="1">
      <alignment horizontal="center" vertical="center" wrapText="1"/>
    </xf>
    <xf numFmtId="0" fontId="146" fillId="23" borderId="87" xfId="0" applyFont="1" applyFill="1" applyBorder="1" applyAlignment="1">
      <alignment horizontal="center" vertical="center" wrapText="1"/>
    </xf>
    <xf numFmtId="0" fontId="146" fillId="23" borderId="91" xfId="0" applyFont="1" applyFill="1" applyBorder="1" applyAlignment="1">
      <alignment horizontal="center" vertical="center" wrapText="1"/>
    </xf>
    <xf numFmtId="0" fontId="146" fillId="23" borderId="0" xfId="0" applyFont="1" applyFill="1" applyAlignment="1">
      <alignment horizontal="center" vertical="center" wrapText="1"/>
    </xf>
    <xf numFmtId="0" fontId="146" fillId="23" borderId="89" xfId="0" applyFont="1" applyFill="1" applyBorder="1" applyAlignment="1">
      <alignment horizontal="center" vertical="center" wrapText="1"/>
    </xf>
    <xf numFmtId="0" fontId="146" fillId="23" borderId="76"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24" fillId="12" borderId="104" xfId="0" applyFont="1" applyFill="1" applyBorder="1" applyAlignment="1">
      <alignment horizontal="center" vertical="center" wrapText="1"/>
    </xf>
    <xf numFmtId="0" fontId="13" fillId="23" borderId="998" xfId="0" applyFont="1" applyFill="1" applyBorder="1" applyAlignment="1">
      <alignment horizontal="center" vertical="center" wrapText="1"/>
    </xf>
    <xf numFmtId="0" fontId="13" fillId="23" borderId="78" xfId="0" applyFont="1" applyFill="1" applyBorder="1" applyAlignment="1">
      <alignment horizontal="center" vertical="center" wrapText="1"/>
    </xf>
    <xf numFmtId="49" fontId="11" fillId="28" borderId="998" xfId="0" applyNumberFormat="1" applyFont="1" applyFill="1" applyBorder="1" applyAlignment="1" applyProtection="1">
      <alignment horizontal="center" vertical="center" wrapText="1"/>
      <protection locked="0"/>
    </xf>
    <xf numFmtId="49" fontId="11" fillId="28" borderId="987" xfId="0" applyNumberFormat="1" applyFont="1" applyFill="1" applyBorder="1" applyAlignment="1" applyProtection="1">
      <alignment horizontal="center" vertical="center" wrapText="1"/>
      <protection locked="0"/>
    </xf>
    <xf numFmtId="49" fontId="11" fillId="28" borderId="993" xfId="0" applyNumberFormat="1" applyFont="1" applyFill="1" applyBorder="1" applyAlignment="1" applyProtection="1">
      <alignment horizontal="center" vertical="center" wrapText="1"/>
      <protection locked="0"/>
    </xf>
    <xf numFmtId="49" fontId="11" fillId="28" borderId="78"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880" xfId="0" applyNumberFormat="1" applyFont="1" applyFill="1" applyBorder="1" applyAlignment="1" applyProtection="1">
      <alignment horizontal="center" vertical="center" wrapText="1"/>
      <protection locked="0"/>
    </xf>
    <xf numFmtId="49" fontId="11" fillId="19" borderId="78"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880" xfId="0" applyNumberFormat="1" applyFont="1" applyFill="1" applyBorder="1" applyAlignment="1" applyProtection="1">
      <alignment horizontal="center" vertical="center" wrapText="1"/>
      <protection locked="0"/>
    </xf>
    <xf numFmtId="0" fontId="9" fillId="23" borderId="0" xfId="0" applyFont="1" applyFill="1" applyAlignment="1">
      <alignment horizontal="left" wrapText="1"/>
    </xf>
    <xf numFmtId="0" fontId="10" fillId="23" borderId="323" xfId="0" applyFont="1" applyFill="1" applyBorder="1" applyAlignment="1">
      <alignment horizontal="right" vertical="center" wrapText="1"/>
    </xf>
    <xf numFmtId="0" fontId="10" fillId="23" borderId="892" xfId="0" applyFont="1" applyFill="1" applyBorder="1" applyAlignment="1">
      <alignment horizontal="right" vertical="center" wrapText="1"/>
    </xf>
    <xf numFmtId="0" fontId="13" fillId="28" borderId="534" xfId="0" applyFont="1" applyFill="1" applyBorder="1" applyAlignment="1" applyProtection="1">
      <alignment horizontal="center" vertical="center" wrapText="1"/>
      <protection locked="0"/>
    </xf>
    <xf numFmtId="0" fontId="13" fillId="28" borderId="701"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96" fillId="12" borderId="94" xfId="0" applyFont="1" applyFill="1" applyBorder="1" applyAlignment="1">
      <alignment horizontal="center" vertical="center"/>
    </xf>
    <xf numFmtId="0" fontId="9" fillId="23" borderId="129" xfId="0" applyFont="1" applyFill="1" applyBorder="1" applyAlignment="1">
      <alignment horizontal="center" vertical="center"/>
    </xf>
    <xf numFmtId="0" fontId="9" fillId="23" borderId="699" xfId="0" applyFont="1" applyFill="1" applyBorder="1" applyAlignment="1">
      <alignment horizontal="center" vertical="center"/>
    </xf>
    <xf numFmtId="0" fontId="13" fillId="12" borderId="104" xfId="0" applyFont="1" applyFill="1" applyBorder="1" applyAlignment="1">
      <alignment horizontal="center" vertical="center" wrapText="1"/>
    </xf>
    <xf numFmtId="0" fontId="13" fillId="23" borderId="104" xfId="0" applyFont="1" applyFill="1" applyBorder="1" applyAlignment="1">
      <alignment horizontal="center" vertical="center" wrapText="1"/>
    </xf>
    <xf numFmtId="0" fontId="109" fillId="24" borderId="109" xfId="0" applyFont="1" applyFill="1" applyBorder="1" applyAlignment="1" applyProtection="1">
      <alignment horizontal="center"/>
      <protection locked="0"/>
    </xf>
    <xf numFmtId="0" fontId="109" fillId="24" borderId="110" xfId="0" applyFont="1" applyFill="1" applyBorder="1" applyAlignment="1" applyProtection="1">
      <alignment horizontal="center"/>
      <protection locked="0"/>
    </xf>
    <xf numFmtId="0" fontId="109" fillId="24" borderId="213" xfId="0" applyFont="1" applyFill="1" applyBorder="1" applyAlignment="1" applyProtection="1">
      <alignment horizontal="center"/>
      <protection locked="0"/>
    </xf>
    <xf numFmtId="0" fontId="13" fillId="28" borderId="895" xfId="0" applyFont="1" applyFill="1" applyBorder="1" applyAlignment="1" applyProtection="1">
      <alignment horizontal="left" vertical="center" wrapText="1"/>
      <protection locked="0"/>
    </xf>
    <xf numFmtId="0" fontId="13" fillId="28" borderId="486" xfId="0" applyFont="1" applyFill="1" applyBorder="1" applyAlignment="1" applyProtection="1">
      <alignment horizontal="left" vertical="center" wrapText="1"/>
      <protection locked="0"/>
    </xf>
    <xf numFmtId="0" fontId="13" fillId="28" borderId="362" xfId="0" applyFont="1" applyFill="1" applyBorder="1" applyAlignment="1" applyProtection="1">
      <alignment horizontal="left" vertical="center" wrapText="1"/>
      <protection locked="0"/>
    </xf>
    <xf numFmtId="0" fontId="10" fillId="12" borderId="957" xfId="0" applyFont="1" applyFill="1" applyBorder="1" applyAlignment="1">
      <alignment horizontal="center" vertical="center" wrapText="1"/>
    </xf>
    <xf numFmtId="0" fontId="11" fillId="12" borderId="992" xfId="0" applyFont="1" applyFill="1" applyBorder="1" applyAlignment="1">
      <alignment horizontal="center" vertical="center" wrapText="1"/>
    </xf>
    <xf numFmtId="0" fontId="24" fillId="12" borderId="966" xfId="0" applyFont="1" applyFill="1" applyBorder="1" applyAlignment="1">
      <alignment horizontal="center" vertical="center" wrapText="1"/>
    </xf>
    <xf numFmtId="0" fontId="13" fillId="12" borderId="966" xfId="0" applyFont="1" applyFill="1" applyBorder="1" applyAlignment="1">
      <alignment horizontal="center" vertical="center" wrapText="1"/>
    </xf>
    <xf numFmtId="49" fontId="11" fillId="19" borderId="992" xfId="0" applyNumberFormat="1" applyFont="1" applyFill="1" applyBorder="1" applyAlignment="1" applyProtection="1">
      <alignment horizontal="center" vertical="center" wrapText="1"/>
      <protection locked="0"/>
    </xf>
    <xf numFmtId="49" fontId="11" fillId="19" borderId="965" xfId="0" applyNumberFormat="1" applyFont="1" applyFill="1" applyBorder="1" applyAlignment="1" applyProtection="1">
      <alignment horizontal="center" vertical="center" wrapText="1"/>
      <protection locked="0"/>
    </xf>
    <xf numFmtId="49" fontId="11" fillId="19" borderId="940" xfId="0" applyNumberFormat="1" applyFont="1" applyFill="1" applyBorder="1" applyAlignment="1" applyProtection="1">
      <alignment horizontal="center" vertical="center" wrapText="1"/>
      <protection locked="0"/>
    </xf>
    <xf numFmtId="0" fontId="13" fillId="24" borderId="101" xfId="0" applyFont="1" applyFill="1" applyBorder="1" applyAlignment="1">
      <alignment horizontal="left" vertical="center" wrapText="1"/>
    </xf>
    <xf numFmtId="0" fontId="13" fillId="24" borderId="97"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09" fillId="24" borderId="140" xfId="0" applyFont="1" applyFill="1" applyBorder="1" applyAlignment="1" applyProtection="1">
      <alignment horizontal="center"/>
      <protection locked="0"/>
    </xf>
    <xf numFmtId="0" fontId="9" fillId="24" borderId="91" xfId="0" applyFont="1" applyFill="1" applyBorder="1" applyAlignment="1">
      <alignment horizontal="center" vertical="center" shrinkToFit="1"/>
    </xf>
    <xf numFmtId="0" fontId="9" fillId="24" borderId="0" xfId="0" applyFont="1" applyFill="1" applyAlignment="1">
      <alignment horizontal="center" vertical="center" shrinkToFit="1"/>
    </xf>
    <xf numFmtId="0" fontId="20" fillId="28" borderId="542" xfId="0" applyFont="1" applyFill="1" applyBorder="1" applyAlignment="1" applyProtection="1">
      <alignment horizontal="center" vertical="center" shrinkToFit="1"/>
      <protection locked="0"/>
    </xf>
    <xf numFmtId="0" fontId="20" fillId="28" borderId="134" xfId="0" applyFont="1" applyFill="1" applyBorder="1" applyAlignment="1" applyProtection="1">
      <alignment horizontal="center" vertical="center" shrinkToFit="1"/>
      <protection locked="0"/>
    </xf>
    <xf numFmtId="0" fontId="20" fillId="28" borderId="135" xfId="0" applyFont="1" applyFill="1" applyBorder="1" applyAlignment="1" applyProtection="1">
      <alignment horizontal="center" vertical="center" shrinkToFit="1"/>
      <protection locked="0"/>
    </xf>
    <xf numFmtId="0" fontId="9" fillId="23" borderId="0" xfId="0" applyFont="1" applyFill="1"/>
    <xf numFmtId="0" fontId="13" fillId="28" borderId="493" xfId="0" applyFont="1" applyFill="1" applyBorder="1" applyAlignment="1" applyProtection="1">
      <alignment horizontal="right" vertical="center" wrapText="1"/>
      <protection locked="0"/>
    </xf>
    <xf numFmtId="0" fontId="13" fillId="28" borderId="486" xfId="0" applyFont="1" applyFill="1" applyBorder="1" applyAlignment="1" applyProtection="1">
      <alignment horizontal="right" vertical="center" wrapText="1"/>
      <protection locked="0"/>
    </xf>
    <xf numFmtId="0" fontId="13" fillId="28" borderId="538" xfId="0" applyFont="1" applyFill="1" applyBorder="1" applyAlignment="1" applyProtection="1">
      <alignment horizontal="right" vertical="center" wrapText="1"/>
      <protection locked="0"/>
    </xf>
    <xf numFmtId="0" fontId="11" fillId="23" borderId="920" xfId="0" applyFont="1" applyFill="1" applyBorder="1" applyAlignment="1">
      <alignment horizontal="center" vertical="center" wrapText="1"/>
    </xf>
    <xf numFmtId="0" fontId="24" fillId="23" borderId="942" xfId="0" applyFont="1" applyFill="1" applyBorder="1" applyAlignment="1">
      <alignment horizontal="center" vertical="center" wrapText="1"/>
    </xf>
    <xf numFmtId="0" fontId="48" fillId="23" borderId="987" xfId="0" applyFont="1" applyFill="1" applyBorder="1" applyAlignment="1">
      <alignment horizontal="center" vertical="center" wrapText="1"/>
    </xf>
    <xf numFmtId="0" fontId="48" fillId="23" borderId="993" xfId="0" applyFont="1" applyFill="1" applyBorder="1" applyAlignment="1">
      <alignment horizontal="center" vertical="center" wrapText="1"/>
    </xf>
    <xf numFmtId="0" fontId="48" fillId="23" borderId="915" xfId="0" applyFont="1" applyFill="1" applyBorder="1" applyAlignment="1">
      <alignment horizontal="center" vertical="center" wrapText="1"/>
    </xf>
    <xf numFmtId="0" fontId="48" fillId="23" borderId="916" xfId="0" applyFont="1" applyFill="1" applyBorder="1" applyAlignment="1">
      <alignment horizontal="center" vertical="center" wrapText="1"/>
    </xf>
    <xf numFmtId="0" fontId="13" fillId="23" borderId="920" xfId="0" applyFont="1" applyFill="1" applyBorder="1" applyAlignment="1">
      <alignment horizontal="center" vertical="center" wrapText="1"/>
    </xf>
    <xf numFmtId="0" fontId="13" fillId="19" borderId="779" xfId="0" applyFont="1" applyFill="1" applyBorder="1" applyAlignment="1" applyProtection="1">
      <alignment horizontal="center" vertical="center"/>
      <protection locked="0"/>
    </xf>
    <xf numFmtId="0" fontId="13" fillId="19" borderId="880" xfId="0" applyFont="1" applyFill="1" applyBorder="1" applyAlignment="1" applyProtection="1">
      <alignment horizontal="center" vertical="center"/>
      <protection locked="0"/>
    </xf>
    <xf numFmtId="0" fontId="13" fillId="28" borderId="779" xfId="0" applyFont="1" applyFill="1" applyBorder="1" applyAlignment="1" applyProtection="1">
      <alignment horizontal="center" vertical="center"/>
      <protection locked="0"/>
    </xf>
    <xf numFmtId="0" fontId="13" fillId="28" borderId="880" xfId="0" applyFont="1" applyFill="1" applyBorder="1" applyAlignment="1" applyProtection="1">
      <alignment horizontal="center" vertical="center"/>
      <protection locked="0"/>
    </xf>
    <xf numFmtId="0" fontId="15" fillId="13" borderId="909" xfId="0" applyFont="1" applyFill="1" applyBorder="1" applyAlignment="1">
      <alignment horizontal="center" vertical="center" wrapText="1"/>
    </xf>
    <xf numFmtId="0" fontId="15" fillId="13" borderId="904" xfId="0" applyFont="1" applyFill="1" applyBorder="1" applyAlignment="1">
      <alignment horizontal="center" vertical="center" wrapText="1"/>
    </xf>
    <xf numFmtId="0" fontId="15" fillId="13" borderId="907" xfId="0" applyFont="1" applyFill="1" applyBorder="1" applyAlignment="1">
      <alignment horizontal="center" vertical="center" wrapText="1"/>
    </xf>
    <xf numFmtId="0" fontId="38" fillId="23" borderId="924" xfId="0" applyFont="1" applyFill="1" applyBorder="1" applyAlignment="1">
      <alignment horizontal="center" vertical="center"/>
    </xf>
    <xf numFmtId="0" fontId="38" fillId="23" borderId="987" xfId="0" applyFont="1" applyFill="1" applyBorder="1" applyAlignment="1">
      <alignment horizontal="center" vertical="center"/>
    </xf>
    <xf numFmtId="0" fontId="38" fillId="23" borderId="957" xfId="0" applyFont="1" applyFill="1" applyBorder="1" applyAlignment="1">
      <alignment horizontal="center" vertical="center"/>
    </xf>
    <xf numFmtId="0" fontId="38" fillId="23" borderId="965" xfId="0" applyFont="1" applyFill="1" applyBorder="1" applyAlignment="1">
      <alignment horizontal="center" vertical="center"/>
    </xf>
    <xf numFmtId="0" fontId="38" fillId="23" borderId="993" xfId="0" applyFont="1" applyFill="1" applyBorder="1" applyAlignment="1">
      <alignment horizontal="center" vertical="center"/>
    </xf>
    <xf numFmtId="0" fontId="38" fillId="23" borderId="940" xfId="0" applyFont="1" applyFill="1" applyBorder="1" applyAlignment="1">
      <alignment horizontal="center" vertical="center"/>
    </xf>
    <xf numFmtId="0" fontId="9" fillId="23" borderId="989" xfId="0" applyFont="1" applyFill="1" applyBorder="1" applyAlignment="1">
      <alignment horizontal="center" vertical="center" wrapText="1"/>
    </xf>
    <xf numFmtId="0" fontId="50" fillId="23" borderId="951" xfId="0" applyFont="1" applyFill="1" applyBorder="1" applyAlignment="1">
      <alignment horizontal="center" vertical="center" wrapText="1"/>
    </xf>
    <xf numFmtId="0" fontId="9" fillId="23" borderId="951" xfId="0" applyFont="1" applyFill="1" applyBorder="1" applyAlignment="1">
      <alignment horizontal="center" vertical="center" wrapText="1"/>
    </xf>
    <xf numFmtId="0" fontId="50" fillId="23" borderId="961" xfId="0" applyFont="1" applyFill="1" applyBorder="1" applyAlignment="1">
      <alignment horizontal="center" vertical="center" wrapText="1"/>
    </xf>
    <xf numFmtId="0" fontId="13" fillId="28" borderId="909" xfId="0" applyFont="1" applyFill="1" applyBorder="1" applyAlignment="1" applyProtection="1">
      <alignment horizontal="center" vertical="center"/>
      <protection locked="0"/>
    </xf>
    <xf numFmtId="0" fontId="13" fillId="28" borderId="907" xfId="0" applyFont="1" applyFill="1" applyBorder="1" applyAlignment="1" applyProtection="1">
      <alignment horizontal="center" vertical="center"/>
      <protection locked="0"/>
    </xf>
    <xf numFmtId="0" fontId="28" fillId="23" borderId="946" xfId="0" applyFont="1" applyFill="1" applyBorder="1" applyAlignment="1">
      <alignment horizontal="center" vertical="center" wrapText="1"/>
    </xf>
    <xf numFmtId="0" fontId="28" fillId="23" borderId="915" xfId="0" applyFont="1" applyFill="1" applyBorder="1" applyAlignment="1">
      <alignment horizontal="center" vertical="center" wrapText="1"/>
    </xf>
    <xf numFmtId="0" fontId="28" fillId="23" borderId="916" xfId="0" applyFont="1" applyFill="1" applyBorder="1" applyAlignment="1">
      <alignment horizontal="center" vertical="center" wrapText="1"/>
    </xf>
    <xf numFmtId="0" fontId="9" fillId="23" borderId="779"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394" xfId="0" applyFont="1" applyFill="1" applyBorder="1" applyAlignment="1" applyProtection="1">
      <alignment horizontal="left" vertical="center" wrapText="1"/>
      <protection locked="0"/>
    </xf>
    <xf numFmtId="0" fontId="9" fillId="28" borderId="390" xfId="0" applyFont="1" applyFill="1" applyBorder="1" applyAlignment="1" applyProtection="1">
      <alignment horizontal="left" vertical="center" wrapText="1"/>
      <protection locked="0"/>
    </xf>
    <xf numFmtId="0" fontId="9" fillId="28" borderId="385" xfId="0" applyFont="1" applyFill="1" applyBorder="1" applyAlignment="1" applyProtection="1">
      <alignment horizontal="left" vertical="center" wrapText="1"/>
      <protection locked="0"/>
    </xf>
    <xf numFmtId="0" fontId="9" fillId="23" borderId="923" xfId="0" applyFont="1" applyFill="1" applyBorder="1" applyAlignment="1">
      <alignment horizontal="center" vertical="center"/>
    </xf>
    <xf numFmtId="0" fontId="9" fillId="23" borderId="913" xfId="0" applyFont="1" applyFill="1" applyBorder="1" applyAlignment="1">
      <alignment horizontal="center" vertical="center"/>
    </xf>
    <xf numFmtId="0" fontId="15" fillId="13" borderId="909" xfId="0" applyFont="1" applyFill="1" applyBorder="1" applyAlignment="1">
      <alignment horizontal="center"/>
    </xf>
    <xf numFmtId="0" fontId="15" fillId="13" borderId="904" xfId="0" applyFont="1" applyFill="1" applyBorder="1" applyAlignment="1">
      <alignment horizontal="center"/>
    </xf>
    <xf numFmtId="0" fontId="15" fillId="13" borderId="907" xfId="0" applyFont="1" applyFill="1" applyBorder="1" applyAlignment="1">
      <alignment horizontal="center"/>
    </xf>
    <xf numFmtId="0" fontId="9" fillId="23" borderId="909" xfId="0" applyFont="1" applyFill="1" applyBorder="1" applyAlignment="1">
      <alignment horizontal="right" vertical="center" wrapText="1"/>
    </xf>
    <xf numFmtId="0" fontId="9" fillId="23" borderId="904" xfId="0" applyFont="1" applyFill="1" applyBorder="1" applyAlignment="1">
      <alignment horizontal="right" vertical="center" wrapText="1"/>
    </xf>
    <xf numFmtId="0" fontId="13" fillId="24" borderId="103" xfId="0" applyFont="1" applyFill="1" applyBorder="1" applyAlignment="1">
      <alignment horizontal="left" vertical="center" wrapText="1"/>
    </xf>
    <xf numFmtId="0" fontId="13" fillId="24" borderId="11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25" fillId="23" borderId="984" xfId="0" applyFont="1" applyFill="1" applyBorder="1" applyAlignment="1">
      <alignment horizontal="center"/>
    </xf>
    <xf numFmtId="0" fontId="25" fillId="23" borderId="977" xfId="0" applyFont="1" applyFill="1" applyBorder="1" applyAlignment="1">
      <alignment horizontal="center"/>
    </xf>
    <xf numFmtId="0" fontId="25" fillId="23" borderId="978" xfId="0" applyFont="1" applyFill="1" applyBorder="1" applyAlignment="1">
      <alignment horizontal="center"/>
    </xf>
    <xf numFmtId="0" fontId="13" fillId="28" borderId="946" xfId="0" applyFont="1" applyFill="1" applyBorder="1" applyAlignment="1" applyProtection="1">
      <alignment horizontal="center" vertical="center"/>
      <protection locked="0"/>
    </xf>
    <xf numFmtId="0" fontId="13" fillId="28" borderId="916" xfId="0" applyFont="1" applyFill="1" applyBorder="1" applyAlignment="1" applyProtection="1">
      <alignment horizontal="center" vertical="center"/>
      <protection locked="0"/>
    </xf>
    <xf numFmtId="0" fontId="9" fillId="28" borderId="381" xfId="0" applyFont="1" applyFill="1" applyBorder="1" applyAlignment="1" applyProtection="1">
      <alignment horizontal="left" vertical="center" wrapText="1"/>
      <protection locked="0"/>
    </xf>
    <xf numFmtId="0" fontId="9" fillId="28" borderId="382" xfId="0" applyFont="1" applyFill="1" applyBorder="1" applyAlignment="1" applyProtection="1">
      <alignment horizontal="left" vertical="center" wrapText="1"/>
      <protection locked="0"/>
    </xf>
    <xf numFmtId="0" fontId="9" fillId="28" borderId="398" xfId="0" applyFont="1" applyFill="1" applyBorder="1" applyAlignment="1" applyProtection="1">
      <alignment horizontal="left" vertical="center" wrapText="1"/>
      <protection locked="0"/>
    </xf>
    <xf numFmtId="0" fontId="9" fillId="23" borderId="0" xfId="0" applyFont="1" applyFill="1" applyAlignment="1">
      <alignment horizontal="left" vertical="center"/>
    </xf>
    <xf numFmtId="0" fontId="9" fillId="23" borderId="915" xfId="0" applyFont="1" applyFill="1" applyBorder="1"/>
    <xf numFmtId="0" fontId="62" fillId="28" borderId="909" xfId="0" applyFont="1" applyFill="1" applyBorder="1" applyAlignment="1" applyProtection="1">
      <alignment horizontal="center" vertical="top" wrapText="1"/>
      <protection locked="0"/>
    </xf>
    <xf numFmtId="0" fontId="62" fillId="28" borderId="904" xfId="0" applyFont="1" applyFill="1" applyBorder="1" applyAlignment="1" applyProtection="1">
      <alignment horizontal="center" vertical="top" wrapText="1"/>
      <protection locked="0"/>
    </xf>
    <xf numFmtId="0" fontId="62" fillId="28" borderId="907" xfId="0" applyFont="1" applyFill="1" applyBorder="1" applyAlignment="1" applyProtection="1">
      <alignment horizontal="center" vertical="top" wrapText="1"/>
      <protection locked="0"/>
    </xf>
    <xf numFmtId="0" fontId="62" fillId="28" borderId="766" xfId="0" applyFont="1" applyFill="1" applyBorder="1" applyAlignment="1" applyProtection="1">
      <alignment horizontal="center" vertical="top" wrapText="1"/>
      <protection locked="0"/>
    </xf>
    <xf numFmtId="0" fontId="62" fillId="28" borderId="0" xfId="0" applyFont="1" applyFill="1" applyAlignment="1" applyProtection="1">
      <alignment horizontal="center" vertical="top" wrapText="1"/>
      <protection locked="0"/>
    </xf>
    <xf numFmtId="0" fontId="62" fillId="28" borderId="880" xfId="0" applyFont="1" applyFill="1" applyBorder="1" applyAlignment="1" applyProtection="1">
      <alignment horizontal="center" vertical="top" wrapText="1"/>
      <protection locked="0"/>
    </xf>
    <xf numFmtId="0" fontId="62" fillId="28" borderId="1007" xfId="0" applyFont="1" applyFill="1" applyBorder="1" applyAlignment="1" applyProtection="1">
      <alignment horizontal="center" vertical="top" wrapText="1"/>
      <protection locked="0"/>
    </xf>
    <xf numFmtId="0" fontId="62" fillId="28" borderId="915" xfId="0" applyFont="1" applyFill="1" applyBorder="1" applyAlignment="1" applyProtection="1">
      <alignment horizontal="center" vertical="top" wrapText="1"/>
      <protection locked="0"/>
    </xf>
    <xf numFmtId="0" fontId="62" fillId="28" borderId="916" xfId="0" applyFont="1" applyFill="1" applyBorder="1" applyAlignment="1" applyProtection="1">
      <alignment horizontal="center" vertical="top" wrapText="1"/>
      <protection locked="0"/>
    </xf>
    <xf numFmtId="0" fontId="53" fillId="43" borderId="909" xfId="0" applyFont="1" applyFill="1" applyBorder="1" applyAlignment="1">
      <alignment horizontal="left" vertical="center" indent="1"/>
    </xf>
    <xf numFmtId="0" fontId="53" fillId="43" borderId="904" xfId="0" applyFont="1" applyFill="1" applyBorder="1" applyAlignment="1">
      <alignment horizontal="left" vertical="center" indent="1"/>
    </xf>
    <xf numFmtId="0" fontId="53" fillId="43" borderId="957" xfId="0" applyFont="1" applyFill="1" applyBorder="1" applyAlignment="1">
      <alignment horizontal="left" vertical="center" indent="1"/>
    </xf>
    <xf numFmtId="0" fontId="53" fillId="43" borderId="965" xfId="0" applyFont="1" applyFill="1" applyBorder="1" applyAlignment="1">
      <alignment horizontal="left" vertical="center" indent="1"/>
    </xf>
    <xf numFmtId="0" fontId="57" fillId="43" borderId="904" xfId="0" applyFont="1" applyFill="1" applyBorder="1" applyAlignment="1">
      <alignment horizontal="right" vertical="center" wrapText="1" indent="1"/>
    </xf>
    <xf numFmtId="0" fontId="57" fillId="43" borderId="949" xfId="0" applyFont="1" applyFill="1" applyBorder="1" applyAlignment="1">
      <alignment horizontal="right" vertical="center" wrapText="1" indent="1"/>
    </xf>
    <xf numFmtId="0" fontId="57" fillId="43" borderId="965" xfId="0" applyFont="1" applyFill="1" applyBorder="1" applyAlignment="1">
      <alignment horizontal="right" vertical="center" wrapText="1" indent="1"/>
    </xf>
    <xf numFmtId="0" fontId="57" fillId="43" borderId="967" xfId="0" applyFont="1" applyFill="1" applyBorder="1" applyAlignment="1">
      <alignment horizontal="right" vertical="center" wrapText="1" indent="1"/>
    </xf>
    <xf numFmtId="0" fontId="10" fillId="28" borderId="1000" xfId="0" applyFont="1" applyFill="1" applyBorder="1" applyAlignment="1">
      <alignment horizontal="center" vertical="center"/>
    </xf>
    <xf numFmtId="0" fontId="10" fillId="28" borderId="999" xfId="0" applyFont="1" applyFill="1" applyBorder="1" applyAlignment="1">
      <alignment horizontal="center" vertical="center"/>
    </xf>
    <xf numFmtId="0" fontId="76" fillId="28" borderId="969" xfId="0" applyFont="1" applyFill="1" applyBorder="1"/>
    <xf numFmtId="0" fontId="76" fillId="28" borderId="970" xfId="0" applyFont="1" applyFill="1" applyBorder="1"/>
    <xf numFmtId="0" fontId="9" fillId="23" borderId="0" xfId="0" applyFont="1" applyFill="1" applyAlignment="1">
      <alignment horizontal="center"/>
    </xf>
    <xf numFmtId="0" fontId="76" fillId="28" borderId="953" xfId="0" applyFont="1" applyFill="1" applyBorder="1"/>
    <xf numFmtId="0" fontId="76" fillId="28" borderId="954" xfId="0" applyFont="1" applyFill="1" applyBorder="1"/>
    <xf numFmtId="0" fontId="76" fillId="28" borderId="955" xfId="0" applyFont="1" applyFill="1" applyBorder="1"/>
    <xf numFmtId="0" fontId="76" fillId="28" borderId="956" xfId="0" applyFont="1" applyFill="1" applyBorder="1"/>
    <xf numFmtId="0" fontId="0" fillId="23" borderId="915" xfId="0" applyFill="1" applyBorder="1"/>
    <xf numFmtId="0" fontId="15" fillId="8" borderId="994" xfId="0" applyFont="1" applyFill="1" applyBorder="1" applyAlignment="1">
      <alignment horizontal="center" vertical="center" wrapText="1"/>
    </xf>
    <xf numFmtId="0" fontId="15" fillId="8" borderId="995" xfId="0" applyFont="1" applyFill="1" applyBorder="1" applyAlignment="1">
      <alignment horizontal="center" vertical="center" wrapText="1"/>
    </xf>
    <xf numFmtId="49" fontId="9" fillId="28" borderId="625" xfId="12" applyNumberFormat="1" applyFont="1" applyFill="1" applyBorder="1" applyAlignment="1" applyProtection="1">
      <alignment horizontal="center" vertical="center"/>
      <protection locked="0"/>
    </xf>
    <xf numFmtId="49" fontId="9" fillId="28" borderId="619" xfId="12" applyNumberFormat="1" applyFont="1" applyFill="1" applyBorder="1" applyAlignment="1" applyProtection="1">
      <alignment horizontal="center" vertical="center"/>
      <protection locked="0"/>
    </xf>
    <xf numFmtId="0" fontId="134" fillId="15" borderId="323" xfId="12" applyFont="1" applyFill="1" applyBorder="1" applyAlignment="1">
      <alignment horizontal="center" vertical="center"/>
    </xf>
    <xf numFmtId="0" fontId="134" fillId="15" borderId="322" xfId="12" applyFont="1" applyFill="1" applyBorder="1" applyAlignment="1">
      <alignment horizontal="center" vertical="center"/>
    </xf>
    <xf numFmtId="0" fontId="134" fillId="15" borderId="325" xfId="12" applyFont="1" applyFill="1" applyBorder="1" applyAlignment="1">
      <alignment horizontal="center" vertical="center"/>
    </xf>
    <xf numFmtId="0" fontId="12" fillId="24" borderId="128" xfId="12" applyFont="1" applyFill="1" applyBorder="1" applyAlignment="1">
      <alignment horizontal="right" vertical="center" wrapText="1"/>
    </xf>
    <xf numFmtId="0" fontId="12" fillId="24" borderId="660" xfId="12" applyFont="1" applyFill="1" applyBorder="1" applyAlignment="1">
      <alignment horizontal="right" vertical="center" wrapText="1"/>
    </xf>
    <xf numFmtId="0" fontId="12" fillId="24" borderId="672" xfId="12" applyFont="1" applyFill="1" applyBorder="1" applyAlignment="1">
      <alignment horizontal="right" vertical="center" wrapText="1"/>
    </xf>
    <xf numFmtId="0" fontId="12" fillId="24" borderId="652"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72" xfId="12" applyFont="1" applyFill="1" applyBorder="1" applyAlignment="1">
      <alignment horizontal="right" vertical="center"/>
    </xf>
    <xf numFmtId="0" fontId="9" fillId="19" borderId="114"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12" fillId="24" borderId="471" xfId="12" applyFont="1" applyFill="1" applyBorder="1" applyAlignment="1">
      <alignment horizontal="center" vertical="center"/>
    </xf>
    <xf numFmtId="0" fontId="12" fillId="24" borderId="632" xfId="12" applyFont="1" applyFill="1" applyBorder="1" applyAlignment="1">
      <alignment horizontal="center" vertical="center"/>
    </xf>
    <xf numFmtId="0" fontId="12" fillId="24" borderId="633" xfId="12" applyFont="1" applyFill="1" applyBorder="1" applyAlignment="1">
      <alignment horizontal="center" vertical="center"/>
    </xf>
    <xf numFmtId="0" fontId="9" fillId="28" borderId="63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26" xfId="12" applyNumberFormat="1" applyFont="1" applyFill="1" applyBorder="1" applyAlignment="1" applyProtection="1">
      <alignment horizontal="center" vertical="center"/>
      <protection locked="0"/>
    </xf>
    <xf numFmtId="49" fontId="9" fillId="28" borderId="620" xfId="12" applyNumberFormat="1" applyFont="1" applyFill="1" applyBorder="1" applyAlignment="1" applyProtection="1">
      <alignment horizontal="center" vertical="center"/>
      <protection locked="0"/>
    </xf>
    <xf numFmtId="0" fontId="73" fillId="15" borderId="321" xfId="12" applyFont="1" applyFill="1" applyBorder="1" applyAlignment="1">
      <alignment horizontal="center" vertical="center"/>
    </xf>
    <xf numFmtId="0" fontId="73" fillId="15" borderId="322" xfId="12" applyFont="1" applyFill="1" applyBorder="1" applyAlignment="1">
      <alignment horizontal="center" vertical="center"/>
    </xf>
    <xf numFmtId="0" fontId="73" fillId="15" borderId="325" xfId="12" applyFont="1" applyFill="1" applyBorder="1" applyAlignment="1">
      <alignment horizontal="center" vertical="center"/>
    </xf>
    <xf numFmtId="0" fontId="134" fillId="15" borderId="321"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694" xfId="0" applyFont="1" applyFill="1" applyBorder="1" applyAlignment="1">
      <alignment horizontal="center" vertical="center" wrapText="1"/>
    </xf>
    <xf numFmtId="0" fontId="68" fillId="28" borderId="321" xfId="0" applyFont="1" applyFill="1" applyBorder="1" applyAlignment="1" applyProtection="1">
      <alignment horizontal="center" vertical="center" wrapText="1"/>
      <protection locked="0"/>
    </xf>
    <xf numFmtId="0" fontId="68" fillId="28" borderId="322"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694" xfId="0" applyFont="1" applyFill="1" applyBorder="1" applyAlignment="1" applyProtection="1">
      <alignment horizontal="center" vertical="center" wrapText="1"/>
      <protection locked="0"/>
    </xf>
    <xf numFmtId="0" fontId="68" fillId="28" borderId="695" xfId="0" applyFont="1" applyFill="1" applyBorder="1" applyAlignment="1" applyProtection="1">
      <alignment horizontal="center" vertical="center" wrapText="1"/>
      <protection locked="0"/>
    </xf>
    <xf numFmtId="0" fontId="9" fillId="23" borderId="87" xfId="0" applyFont="1" applyFill="1" applyBorder="1" applyAlignment="1">
      <alignment horizontal="center" wrapText="1"/>
    </xf>
    <xf numFmtId="0" fontId="9" fillId="23" borderId="88"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6" xfId="0" applyFont="1" applyFill="1" applyBorder="1" applyAlignment="1">
      <alignment horizontal="center" wrapText="1"/>
    </xf>
    <xf numFmtId="0" fontId="9" fillId="23" borderId="9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52" xfId="12" applyFont="1" applyFill="1" applyBorder="1" applyAlignment="1">
      <alignment horizontal="right" vertical="center" wrapText="1"/>
    </xf>
    <xf numFmtId="0" fontId="13" fillId="24" borderId="660" xfId="12" applyFont="1" applyFill="1" applyBorder="1" applyAlignment="1">
      <alignment horizontal="right" vertical="center" wrapText="1"/>
    </xf>
    <xf numFmtId="0" fontId="13" fillId="24" borderId="646" xfId="12" applyFont="1" applyFill="1" applyBorder="1" applyAlignment="1">
      <alignment horizontal="right" vertical="center" wrapText="1"/>
    </xf>
    <xf numFmtId="0" fontId="50" fillId="24" borderId="87" xfId="12" applyFill="1" applyBorder="1" applyAlignment="1">
      <alignment horizontal="center" vertical="center"/>
    </xf>
    <xf numFmtId="0" fontId="50" fillId="24" borderId="0" xfId="12" applyFill="1" applyAlignment="1">
      <alignment horizontal="center" vertical="center"/>
    </xf>
    <xf numFmtId="0" fontId="9" fillId="28" borderId="605" xfId="12" applyFont="1" applyFill="1" applyBorder="1" applyAlignment="1" applyProtection="1">
      <alignment vertical="center"/>
      <protection locked="0"/>
    </xf>
    <xf numFmtId="0" fontId="9" fillId="28" borderId="606" xfId="12" applyFont="1" applyFill="1" applyBorder="1" applyAlignment="1" applyProtection="1">
      <alignment vertical="center"/>
      <protection locked="0"/>
    </xf>
    <xf numFmtId="0" fontId="9" fillId="28" borderId="607" xfId="12" applyFont="1" applyFill="1" applyBorder="1" applyAlignment="1" applyProtection="1">
      <alignment vertical="center"/>
      <protection locked="0"/>
    </xf>
    <xf numFmtId="0" fontId="9" fillId="19" borderId="607" xfId="12" applyFont="1" applyFill="1" applyBorder="1" applyAlignment="1" applyProtection="1">
      <alignment vertical="center"/>
      <protection locked="0"/>
    </xf>
    <xf numFmtId="0" fontId="9" fillId="19" borderId="620" xfId="12" applyFont="1" applyFill="1" applyBorder="1" applyAlignment="1" applyProtection="1">
      <alignment vertical="center"/>
      <protection locked="0"/>
    </xf>
    <xf numFmtId="0" fontId="9" fillId="19" borderId="603"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9" fillId="19" borderId="605" xfId="12" applyFont="1" applyFill="1" applyBorder="1" applyAlignment="1" applyProtection="1">
      <alignment horizontal="center" vertical="center"/>
      <protection locked="0"/>
    </xf>
    <xf numFmtId="0" fontId="9" fillId="19" borderId="60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11" xfId="12" applyFont="1" applyFill="1" applyBorder="1" applyAlignment="1" applyProtection="1">
      <alignment horizontal="center" vertical="center"/>
      <protection locked="0"/>
    </xf>
    <xf numFmtId="0" fontId="9" fillId="28" borderId="610" xfId="12" applyFont="1" applyFill="1" applyBorder="1" applyAlignment="1" applyProtection="1">
      <alignment horizontal="center" vertical="center"/>
      <protection locked="0"/>
    </xf>
    <xf numFmtId="49" fontId="9" fillId="28" borderId="625" xfId="12" quotePrefix="1" applyNumberFormat="1" applyFont="1" applyFill="1" applyBorder="1" applyAlignment="1" applyProtection="1">
      <alignment horizontal="center" vertical="center"/>
      <protection locked="0"/>
    </xf>
    <xf numFmtId="0" fontId="67" fillId="16" borderId="87" xfId="12" applyFont="1" applyFill="1" applyBorder="1" applyAlignment="1">
      <alignment horizontal="center" vertical="center"/>
    </xf>
    <xf numFmtId="0" fontId="9" fillId="24" borderId="683" xfId="12" applyFont="1" applyFill="1" applyBorder="1" applyAlignment="1">
      <alignment horizontal="center" vertical="center"/>
    </xf>
    <xf numFmtId="0" fontId="12" fillId="24" borderId="677" xfId="12" applyFont="1" applyFill="1" applyBorder="1" applyAlignment="1">
      <alignment horizontal="right" vertical="center"/>
    </xf>
    <xf numFmtId="0" fontId="13" fillId="24" borderId="677" xfId="12" applyFont="1" applyFill="1" applyBorder="1" applyAlignment="1">
      <alignment horizontal="right" vertical="center" wrapText="1"/>
    </xf>
    <xf numFmtId="0" fontId="12" fillId="24" borderId="132" xfId="12" applyFont="1" applyFill="1" applyBorder="1" applyAlignment="1">
      <alignment horizontal="right" vertical="center"/>
    </xf>
    <xf numFmtId="0" fontId="12" fillId="24" borderId="87" xfId="12" applyFont="1" applyFill="1" applyBorder="1" applyAlignment="1">
      <alignment horizontal="right" vertical="center"/>
    </xf>
    <xf numFmtId="0" fontId="12" fillId="24" borderId="635" xfId="12" applyFont="1" applyFill="1" applyBorder="1" applyAlignment="1">
      <alignment horizontal="right" vertical="center"/>
    </xf>
    <xf numFmtId="0" fontId="12" fillId="24" borderId="0" xfId="12" applyFont="1" applyFill="1" applyAlignment="1">
      <alignment horizontal="right" vertical="center"/>
    </xf>
    <xf numFmtId="0" fontId="50" fillId="24" borderId="87" xfId="12" applyFill="1" applyBorder="1" applyAlignment="1">
      <alignment horizontal="center" vertical="center" shrinkToFit="1"/>
    </xf>
    <xf numFmtId="0" fontId="50" fillId="24" borderId="88"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3" fillId="15" borderId="322" xfId="12" applyFont="1" applyFill="1" applyBorder="1" applyAlignment="1">
      <alignment horizontal="center" vertical="center" wrapText="1"/>
    </xf>
    <xf numFmtId="0" fontId="73" fillId="15" borderId="683" xfId="12" applyFont="1" applyFill="1" applyBorder="1" applyAlignment="1">
      <alignment horizontal="center" vertical="center" wrapText="1"/>
    </xf>
    <xf numFmtId="49" fontId="9" fillId="28" borderId="627" xfId="12" applyNumberFormat="1" applyFont="1" applyFill="1" applyBorder="1" applyAlignment="1" applyProtection="1">
      <alignment horizontal="center" vertical="center"/>
      <protection locked="0"/>
    </xf>
    <xf numFmtId="49" fontId="9" fillId="28" borderId="628" xfId="12" applyNumberFormat="1" applyFont="1" applyFill="1" applyBorder="1" applyAlignment="1" applyProtection="1">
      <alignment horizontal="center" vertical="center"/>
      <protection locked="0"/>
    </xf>
    <xf numFmtId="0" fontId="12" fillId="24" borderId="139" xfId="12" applyFont="1" applyFill="1" applyBorder="1" applyAlignment="1">
      <alignment horizontal="center" vertical="center"/>
    </xf>
    <xf numFmtId="0" fontId="9" fillId="28" borderId="595" xfId="12" applyFont="1" applyFill="1" applyBorder="1" applyAlignment="1" applyProtection="1">
      <alignment vertical="center"/>
      <protection locked="0"/>
    </xf>
    <xf numFmtId="0" fontId="9" fillId="28" borderId="596" xfId="12" applyFont="1" applyFill="1" applyBorder="1" applyAlignment="1" applyProtection="1">
      <alignment vertical="center"/>
      <protection locked="0"/>
    </xf>
    <xf numFmtId="0" fontId="9" fillId="28" borderId="597" xfId="12" applyFont="1" applyFill="1" applyBorder="1" applyAlignment="1" applyProtection="1">
      <alignment vertical="center"/>
      <protection locked="0"/>
    </xf>
    <xf numFmtId="0" fontId="9" fillId="28" borderId="625" xfId="12" applyFont="1" applyFill="1" applyBorder="1" applyAlignment="1" applyProtection="1">
      <alignment horizontal="center" vertical="center"/>
      <protection locked="0"/>
    </xf>
    <xf numFmtId="0" fontId="9" fillId="28" borderId="619" xfId="12" applyFont="1" applyFill="1" applyBorder="1" applyAlignment="1" applyProtection="1">
      <alignment horizontal="center" vertical="center"/>
      <protection locked="0"/>
    </xf>
    <xf numFmtId="0" fontId="9" fillId="28" borderId="636"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6" xfId="12" applyFont="1" applyFill="1" applyBorder="1" applyAlignment="1">
      <alignment horizontal="center" vertical="center"/>
    </xf>
    <xf numFmtId="0" fontId="9" fillId="28" borderId="619" xfId="12" applyFont="1" applyFill="1" applyBorder="1" applyAlignment="1" applyProtection="1">
      <alignment vertical="center"/>
      <protection locked="0"/>
    </xf>
    <xf numFmtId="0" fontId="9" fillId="28" borderId="593" xfId="12" applyFont="1" applyFill="1" applyBorder="1" applyAlignment="1" applyProtection="1">
      <alignment vertical="center"/>
      <protection locked="0"/>
    </xf>
    <xf numFmtId="0" fontId="9" fillId="28" borderId="1055" xfId="12" applyFont="1" applyFill="1" applyBorder="1" applyAlignment="1" applyProtection="1">
      <alignment horizontal="center" vertical="center"/>
      <protection locked="0"/>
    </xf>
    <xf numFmtId="0" fontId="9" fillId="28" borderId="1056" xfId="12" applyFont="1" applyFill="1" applyBorder="1" applyAlignment="1" applyProtection="1">
      <alignment horizontal="center" vertical="center"/>
      <protection locked="0"/>
    </xf>
    <xf numFmtId="0" fontId="9" fillId="28" borderId="1044" xfId="12" applyFont="1" applyFill="1" applyBorder="1" applyAlignment="1" applyProtection="1">
      <alignment horizontal="center" vertical="center"/>
      <protection locked="0"/>
    </xf>
    <xf numFmtId="0" fontId="9" fillId="19" borderId="626" xfId="12" applyFont="1" applyFill="1" applyBorder="1" applyAlignment="1" applyProtection="1">
      <alignment horizontal="left" vertical="center"/>
      <protection locked="0"/>
    </xf>
    <xf numFmtId="0" fontId="9" fillId="19" borderId="620" xfId="12" applyFont="1" applyFill="1" applyBorder="1" applyAlignment="1" applyProtection="1">
      <alignment horizontal="left" vertical="center"/>
      <protection locked="0"/>
    </xf>
    <xf numFmtId="0" fontId="9" fillId="19" borderId="603" xfId="12" applyFont="1" applyFill="1" applyBorder="1" applyAlignment="1" applyProtection="1">
      <alignment horizontal="left" vertical="center"/>
      <protection locked="0"/>
    </xf>
    <xf numFmtId="0" fontId="9" fillId="19" borderId="622"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27"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09" xfId="12" applyFont="1" applyFill="1" applyBorder="1" applyAlignment="1" applyProtection="1">
      <alignment horizontal="left" vertical="center"/>
      <protection locked="0"/>
    </xf>
    <xf numFmtId="0" fontId="9" fillId="28" borderId="615" xfId="12" applyFont="1" applyFill="1" applyBorder="1" applyAlignment="1" applyProtection="1">
      <alignment vertical="center"/>
      <protection locked="0"/>
    </xf>
    <xf numFmtId="0" fontId="9" fillId="28" borderId="624" xfId="12" applyFont="1" applyFill="1" applyBorder="1" applyAlignment="1" applyProtection="1">
      <alignment vertical="center"/>
      <protection locked="0"/>
    </xf>
    <xf numFmtId="0" fontId="9" fillId="28" borderId="617" xfId="12" applyFont="1" applyFill="1" applyBorder="1" applyAlignment="1" applyProtection="1">
      <alignment vertical="center"/>
      <protection locked="0"/>
    </xf>
    <xf numFmtId="0" fontId="9" fillId="28" borderId="1057" xfId="12" applyFont="1" applyFill="1" applyBorder="1" applyAlignment="1" applyProtection="1">
      <alignment horizontal="center" vertical="center"/>
      <protection locked="0"/>
    </xf>
    <xf numFmtId="0" fontId="9" fillId="28" borderId="1058" xfId="12" applyFont="1" applyFill="1" applyBorder="1" applyAlignment="1" applyProtection="1">
      <alignment horizontal="center" vertical="center"/>
      <protection locked="0"/>
    </xf>
    <xf numFmtId="0" fontId="9" fillId="28" borderId="1050" xfId="12" applyFont="1" applyFill="1" applyBorder="1" applyAlignment="1" applyProtection="1">
      <alignment horizontal="center" vertical="center"/>
      <protection locked="0"/>
    </xf>
    <xf numFmtId="0" fontId="9" fillId="28" borderId="625" xfId="12" applyFont="1" applyFill="1" applyBorder="1" applyAlignment="1" applyProtection="1">
      <alignment horizontal="left" vertical="center"/>
      <protection locked="0"/>
    </xf>
    <xf numFmtId="0" fontId="9" fillId="28" borderId="619" xfId="12" applyFont="1" applyFill="1" applyBorder="1" applyAlignment="1" applyProtection="1">
      <alignment horizontal="left" vertical="center"/>
      <protection locked="0"/>
    </xf>
    <xf numFmtId="0" fontId="9" fillId="28" borderId="593" xfId="12" applyFont="1" applyFill="1" applyBorder="1" applyAlignment="1" applyProtection="1">
      <alignment horizontal="left" vertical="center"/>
      <protection locked="0"/>
    </xf>
    <xf numFmtId="0" fontId="9" fillId="24" borderId="661" xfId="12" applyFont="1" applyFill="1" applyBorder="1" applyAlignment="1">
      <alignment horizontal="center" vertical="center"/>
    </xf>
    <xf numFmtId="0" fontId="73" fillId="15" borderId="321"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35" xfId="12" applyFont="1" applyFill="1" applyBorder="1" applyAlignment="1">
      <alignment horizontal="right" vertical="center"/>
    </xf>
    <xf numFmtId="0" fontId="73" fillId="15" borderId="79"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40" xfId="12" applyFont="1" applyFill="1" applyBorder="1" applyAlignment="1">
      <alignment horizontal="right" vertical="center"/>
    </xf>
    <xf numFmtId="0" fontId="12" fillId="24" borderId="592" xfId="12" applyFont="1" applyFill="1" applyBorder="1" applyAlignment="1">
      <alignment horizontal="right" vertical="center"/>
    </xf>
    <xf numFmtId="0" fontId="12" fillId="24" borderId="623" xfId="12" applyFont="1" applyFill="1" applyBorder="1" applyAlignment="1">
      <alignment horizontal="right" vertical="center"/>
    </xf>
    <xf numFmtId="0" fontId="0" fillId="28" borderId="142" xfId="12" applyFont="1" applyFill="1" applyBorder="1" applyAlignment="1" applyProtection="1">
      <alignment horizontal="center" vertical="center"/>
      <protection locked="0"/>
    </xf>
    <xf numFmtId="0" fontId="50" fillId="28" borderId="79" xfId="12" applyFill="1" applyBorder="1" applyAlignment="1" applyProtection="1">
      <alignment horizontal="center" vertical="center"/>
      <protection locked="0"/>
    </xf>
    <xf numFmtId="0" fontId="12" fillId="24" borderId="591" xfId="12" applyFont="1" applyFill="1" applyBorder="1" applyAlignment="1">
      <alignment horizontal="right" vertical="center"/>
    </xf>
    <xf numFmtId="0" fontId="12" fillId="24" borderId="634" xfId="12" applyFont="1" applyFill="1" applyBorder="1" applyAlignment="1">
      <alignment horizontal="right" vertical="center"/>
    </xf>
    <xf numFmtId="0" fontId="50" fillId="28" borderId="142" xfId="12" applyFill="1" applyBorder="1" applyAlignment="1" applyProtection="1">
      <alignment horizontal="center" vertical="center"/>
      <protection locked="0"/>
    </xf>
    <xf numFmtId="0" fontId="14" fillId="28" borderId="86" xfId="12" applyFont="1"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142" xfId="12" applyFont="1" applyFill="1" applyBorder="1" applyAlignment="1" applyProtection="1">
      <alignment horizontal="center" vertical="center"/>
      <protection locked="0"/>
    </xf>
    <xf numFmtId="0" fontId="14" fillId="28" borderId="106" xfId="12" applyFont="1" applyFill="1" applyBorder="1" applyAlignment="1" applyProtection="1">
      <alignment horizontal="center" vertical="center"/>
      <protection locked="0"/>
    </xf>
    <xf numFmtId="0" fontId="14" fillId="28" borderId="661" xfId="12" applyFont="1" applyFill="1" applyBorder="1" applyAlignment="1" applyProtection="1">
      <alignment horizontal="center" vertical="center"/>
      <protection locked="0"/>
    </xf>
    <xf numFmtId="0" fontId="14" fillId="28" borderId="44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595" xfId="12" applyFont="1" applyFill="1" applyBorder="1" applyAlignment="1" applyProtection="1">
      <alignment horizontal="center" vertical="center"/>
      <protection locked="0"/>
    </xf>
    <xf numFmtId="0" fontId="9" fillId="28" borderId="594" xfId="12" applyFont="1" applyFill="1" applyBorder="1" applyAlignment="1" applyProtection="1">
      <alignment horizontal="center" vertical="center"/>
      <protection locked="0"/>
    </xf>
    <xf numFmtId="0" fontId="9" fillId="24" borderId="322" xfId="12" applyFont="1" applyFill="1" applyBorder="1" applyAlignment="1">
      <alignment horizontal="center" vertical="center"/>
    </xf>
    <xf numFmtId="0" fontId="9" fillId="19" borderId="605" xfId="12" applyFont="1" applyFill="1" applyBorder="1" applyAlignment="1" applyProtection="1">
      <alignment vertical="center"/>
      <protection locked="0"/>
    </xf>
    <xf numFmtId="0" fontId="9" fillId="19" borderId="606" xfId="12" applyFont="1" applyFill="1" applyBorder="1" applyAlignment="1" applyProtection="1">
      <alignment vertical="center"/>
      <protection locked="0"/>
    </xf>
    <xf numFmtId="0" fontId="9" fillId="19" borderId="626" xfId="12" applyFont="1" applyFill="1" applyBorder="1" applyAlignment="1" applyProtection="1">
      <alignment horizontal="center" vertical="center"/>
      <protection locked="0"/>
    </xf>
    <xf numFmtId="0" fontId="9" fillId="19" borderId="620" xfId="12" applyFont="1" applyFill="1" applyBorder="1" applyAlignment="1" applyProtection="1">
      <alignment horizontal="center" vertical="center"/>
      <protection locked="0"/>
    </xf>
    <xf numFmtId="0" fontId="9" fillId="19" borderId="631" xfId="12" applyFont="1" applyFill="1" applyBorder="1" applyAlignment="1" applyProtection="1">
      <alignment horizontal="center" vertical="center"/>
      <protection locked="0"/>
    </xf>
    <xf numFmtId="0" fontId="73" fillId="15" borderId="685" xfId="12" applyFont="1" applyFill="1" applyBorder="1" applyAlignment="1">
      <alignment horizontal="center" vertical="center"/>
    </xf>
    <xf numFmtId="0" fontId="73" fillId="15" borderId="683" xfId="12" applyFont="1" applyFill="1" applyBorder="1" applyAlignment="1">
      <alignment horizontal="center" vertical="center"/>
    </xf>
    <xf numFmtId="0" fontId="73" fillId="15" borderId="0" xfId="12" applyFont="1" applyFill="1" applyAlignment="1">
      <alignment horizontal="center" vertical="center" wrapText="1"/>
    </xf>
    <xf numFmtId="0" fontId="14" fillId="28" borderId="683" xfId="12" applyFont="1" applyFill="1" applyBorder="1" applyAlignment="1" applyProtection="1">
      <alignment horizontal="center" vertical="center"/>
      <protection locked="0"/>
    </xf>
    <xf numFmtId="0" fontId="14" fillId="28" borderId="678"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8" borderId="628" xfId="12" applyFont="1" applyFill="1" applyBorder="1" applyAlignment="1" applyProtection="1">
      <alignment horizontal="center" vertical="center"/>
      <protection locked="0"/>
    </xf>
    <xf numFmtId="0" fontId="9" fillId="28" borderId="630" xfId="12" applyFont="1" applyFill="1" applyBorder="1" applyAlignment="1" applyProtection="1">
      <alignment horizontal="center" vertical="center"/>
      <protection locked="0"/>
    </xf>
    <xf numFmtId="0" fontId="9" fillId="28" borderId="626" xfId="12" applyFont="1" applyFill="1" applyBorder="1" applyAlignment="1" applyProtection="1">
      <alignment horizontal="center" vertical="center"/>
      <protection locked="0"/>
    </xf>
    <xf numFmtId="0" fontId="9" fillId="28" borderId="620" xfId="12" applyFont="1" applyFill="1" applyBorder="1" applyAlignment="1" applyProtection="1">
      <alignment horizontal="center" vertical="center"/>
      <protection locked="0"/>
    </xf>
    <xf numFmtId="0" fontId="9" fillId="28" borderId="631" xfId="12" applyFont="1" applyFill="1" applyBorder="1" applyAlignment="1" applyProtection="1">
      <alignment horizontal="center" vertical="center"/>
      <protection locked="0"/>
    </xf>
    <xf numFmtId="0" fontId="9" fillId="28" borderId="605" xfId="12" applyFont="1" applyFill="1" applyBorder="1" applyAlignment="1" applyProtection="1">
      <alignment horizontal="center" vertical="center"/>
      <protection locked="0"/>
    </xf>
    <xf numFmtId="0" fontId="9" fillId="28" borderId="60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3" fillId="15" borderId="685" xfId="12" applyFont="1" applyFill="1" applyBorder="1" applyAlignment="1">
      <alignment horizontal="right" vertical="center"/>
    </xf>
    <xf numFmtId="0" fontId="73" fillId="15" borderId="678" xfId="12" applyFont="1" applyFill="1" applyBorder="1" applyAlignment="1">
      <alignment horizontal="right" vertical="center"/>
    </xf>
    <xf numFmtId="0" fontId="9" fillId="28" borderId="611"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13" xfId="12" applyFont="1" applyFill="1" applyBorder="1" applyAlignment="1" applyProtection="1">
      <alignment vertical="center"/>
      <protection locked="0"/>
    </xf>
    <xf numFmtId="0" fontId="133" fillId="15" borderId="86"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3" fillId="15" borderId="89" xfId="12" applyFont="1" applyFill="1" applyBorder="1" applyAlignment="1">
      <alignment horizontal="center" vertical="center" textRotation="90"/>
    </xf>
    <xf numFmtId="0" fontId="9" fillId="24" borderId="91" xfId="12" applyFont="1" applyFill="1" applyBorder="1" applyAlignment="1">
      <alignment horizontal="center" vertical="center"/>
    </xf>
    <xf numFmtId="0" fontId="136" fillId="24" borderId="124" xfId="12" applyFont="1" applyFill="1" applyBorder="1" applyAlignment="1">
      <alignment horizontal="center" vertical="center" wrapText="1"/>
    </xf>
    <xf numFmtId="0" fontId="136" fillId="24" borderId="144" xfId="12" applyFont="1" applyFill="1" applyBorder="1" applyAlignment="1">
      <alignment horizontal="center" vertical="center" wrapText="1"/>
    </xf>
    <xf numFmtId="0" fontId="136" fillId="24" borderId="125"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61" xfId="12" applyFont="1" applyFill="1" applyBorder="1" applyAlignment="1">
      <alignment horizontal="center" vertical="center"/>
    </xf>
    <xf numFmtId="0" fontId="73" fillId="15" borderId="661" xfId="12" applyFont="1" applyFill="1" applyBorder="1" applyAlignment="1">
      <alignment horizontal="center" vertical="center" wrapText="1"/>
    </xf>
    <xf numFmtId="0" fontId="50" fillId="24" borderId="97" xfId="12" applyFill="1" applyBorder="1" applyAlignment="1">
      <alignment horizontal="center" vertical="center" wrapText="1" shrinkToFit="1"/>
    </xf>
    <xf numFmtId="0" fontId="175" fillId="24" borderId="0" xfId="0" applyFont="1" applyFill="1" applyAlignment="1" applyProtection="1">
      <alignment horizontal="center"/>
      <protection locked="0"/>
    </xf>
    <xf numFmtId="0" fontId="12" fillId="7" borderId="1041" xfId="0" applyFont="1" applyFill="1" applyBorder="1" applyAlignment="1">
      <alignment horizontal="center" vertical="center" textRotation="90" wrapText="1"/>
    </xf>
    <xf numFmtId="0" fontId="12" fillId="7" borderId="943" xfId="0" applyFont="1" applyFill="1" applyBorder="1" applyAlignment="1">
      <alignment horizontal="center" vertical="center" textRotation="90" wrapText="1"/>
    </xf>
    <xf numFmtId="0" fontId="9" fillId="7" borderId="965" xfId="0" applyFont="1" applyFill="1" applyBorder="1" applyAlignment="1">
      <alignment horizontal="right" vertical="center" wrapText="1"/>
    </xf>
    <xf numFmtId="0" fontId="13" fillId="28" borderId="495" xfId="0" applyFont="1" applyFill="1" applyBorder="1" applyAlignment="1" applyProtection="1">
      <alignment vertical="center"/>
      <protection locked="0"/>
    </xf>
    <xf numFmtId="0" fontId="13" fillId="28" borderId="489" xfId="0" applyFont="1" applyFill="1" applyBorder="1" applyAlignment="1" applyProtection="1">
      <alignment vertical="center"/>
      <protection locked="0"/>
    </xf>
    <xf numFmtId="0" fontId="13" fillId="28" borderId="485"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3" borderId="321" xfId="0" applyFont="1" applyFill="1" applyBorder="1" applyAlignment="1">
      <alignment horizontal="center" vertical="center" wrapText="1"/>
    </xf>
    <xf numFmtId="0" fontId="13" fillId="23" borderId="325" xfId="0" applyFont="1" applyFill="1" applyBorder="1" applyAlignment="1">
      <alignment horizontal="center" vertical="center" wrapText="1"/>
    </xf>
    <xf numFmtId="0" fontId="15" fillId="13" borderId="128" xfId="0" applyFont="1" applyFill="1" applyBorder="1" applyAlignment="1">
      <alignment horizontal="center" vertical="center" wrapText="1"/>
    </xf>
    <xf numFmtId="0" fontId="15" fillId="13" borderId="722" xfId="0" applyFont="1" applyFill="1" applyBorder="1" applyAlignment="1">
      <alignment horizontal="center" vertical="center" wrapText="1"/>
    </xf>
    <xf numFmtId="0" fontId="24" fillId="23" borderId="682" xfId="0" applyFont="1" applyFill="1" applyBorder="1" applyAlignment="1">
      <alignment horizontal="center" vertical="center" wrapText="1"/>
    </xf>
    <xf numFmtId="0" fontId="24" fillId="23" borderId="131" xfId="0" applyFont="1" applyFill="1" applyBorder="1" applyAlignment="1">
      <alignment horizontal="center" vertical="center" wrapText="1"/>
    </xf>
    <xf numFmtId="0" fontId="13" fillId="23" borderId="132" xfId="0" applyFont="1" applyFill="1" applyBorder="1" applyAlignment="1">
      <alignment horizontal="center" vertical="center" shrinkToFit="1"/>
    </xf>
    <xf numFmtId="0" fontId="13" fillId="23" borderId="88" xfId="0" applyFont="1" applyFill="1" applyBorder="1" applyAlignment="1">
      <alignment horizontal="center" vertical="center" shrinkToFit="1"/>
    </xf>
    <xf numFmtId="1" fontId="24" fillId="23" borderId="327" xfId="0" applyNumberFormat="1" applyFont="1" applyFill="1" applyBorder="1" applyAlignment="1">
      <alignment horizontal="center" vertical="center" wrapText="1"/>
    </xf>
    <xf numFmtId="1" fontId="24" fillId="23" borderId="131" xfId="0" applyNumberFormat="1" applyFont="1" applyFill="1" applyBorder="1" applyAlignment="1">
      <alignment horizontal="center" vertical="center" wrapText="1"/>
    </xf>
    <xf numFmtId="0" fontId="13" fillId="28" borderId="368"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01" xfId="0" applyFont="1" applyFill="1" applyBorder="1" applyAlignment="1" applyProtection="1">
      <alignment vertical="center"/>
      <protection locked="0"/>
    </xf>
    <xf numFmtId="0" fontId="13" fillId="28" borderId="403" xfId="0" applyFont="1" applyFill="1" applyBorder="1" applyAlignment="1" applyProtection="1">
      <alignment vertical="center"/>
      <protection locked="0"/>
    </xf>
    <xf numFmtId="0" fontId="9" fillId="23" borderId="91" xfId="0" applyFont="1" applyFill="1" applyBorder="1" applyAlignment="1">
      <alignment horizontal="center" vertical="center" shrinkToFit="1"/>
    </xf>
    <xf numFmtId="0" fontId="9" fillId="23" borderId="7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08" xfId="0" applyFont="1" applyFill="1" applyBorder="1" applyAlignment="1">
      <alignment horizontal="center" vertical="center" wrapText="1"/>
    </xf>
    <xf numFmtId="0" fontId="62" fillId="28" borderId="86" xfId="0" applyFont="1" applyFill="1" applyBorder="1" applyAlignment="1" applyProtection="1">
      <alignment horizontal="left" vertical="top"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76"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3" fillId="0" borderId="132" xfId="0" applyFont="1" applyBorder="1" applyAlignment="1">
      <alignment horizontal="center" vertical="center" wrapText="1"/>
    </xf>
    <xf numFmtId="0" fontId="63" fillId="0" borderId="87" xfId="0" applyFont="1" applyBorder="1" applyAlignment="1">
      <alignment horizontal="center" vertical="center" wrapText="1"/>
    </xf>
    <xf numFmtId="0" fontId="63" fillId="0" borderId="142" xfId="0" applyFont="1" applyBorder="1" applyAlignment="1">
      <alignment horizontal="center" vertical="center" wrapText="1"/>
    </xf>
    <xf numFmtId="0" fontId="63" fillId="0" borderId="78" xfId="0" applyFont="1" applyBorder="1" applyAlignment="1">
      <alignment horizontal="center" vertical="center" wrapText="1"/>
    </xf>
    <xf numFmtId="0" fontId="63" fillId="0" borderId="0" xfId="0" applyFont="1" applyAlignment="1">
      <alignment horizontal="center" vertical="center" wrapText="1"/>
    </xf>
    <xf numFmtId="0" fontId="63" fillId="0" borderId="79"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07" xfId="0" applyFont="1" applyBorder="1" applyAlignment="1">
      <alignment horizontal="center" vertical="center" wrapText="1"/>
    </xf>
    <xf numFmtId="0" fontId="63" fillId="0" borderId="708"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0" xfId="0" applyFont="1" applyFill="1" applyBorder="1" applyAlignment="1">
      <alignment horizontal="center" vertical="center" wrapText="1"/>
    </xf>
    <xf numFmtId="0" fontId="55" fillId="0" borderId="78" xfId="0" applyFont="1" applyBorder="1" applyAlignment="1">
      <alignment horizontal="center" vertical="center"/>
    </xf>
    <xf numFmtId="0" fontId="55" fillId="0" borderId="79" xfId="0" applyFont="1" applyBorder="1" applyAlignment="1">
      <alignment horizontal="center" vertical="center"/>
    </xf>
    <xf numFmtId="0" fontId="55" fillId="0" borderId="709" xfId="0" applyFont="1" applyBorder="1" applyAlignment="1">
      <alignment horizontal="center" vertical="center"/>
    </xf>
    <xf numFmtId="0" fontId="55" fillId="0" borderId="127" xfId="0" applyFont="1" applyBorder="1" applyAlignment="1">
      <alignment horizontal="center" vertical="center"/>
    </xf>
    <xf numFmtId="0" fontId="62" fillId="24" borderId="79" xfId="0" applyFont="1" applyFill="1" applyBorder="1" applyAlignment="1">
      <alignment horizontal="center" vertical="center"/>
    </xf>
    <xf numFmtId="0" fontId="62" fillId="24" borderId="127" xfId="0" applyFont="1" applyFill="1" applyBorder="1" applyAlignment="1">
      <alignment horizontal="center" vertical="center"/>
    </xf>
    <xf numFmtId="0" fontId="34" fillId="13" borderId="86"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6" xfId="0" applyFont="1" applyFill="1" applyBorder="1" applyAlignment="1">
      <alignment horizontal="center" vertical="center" wrapText="1"/>
    </xf>
    <xf numFmtId="0" fontId="34" fillId="13" borderId="707" xfId="0" applyFont="1" applyFill="1" applyBorder="1" applyAlignment="1">
      <alignment horizontal="center" vertical="center" wrapText="1"/>
    </xf>
    <xf numFmtId="0" fontId="34" fillId="13" borderId="710" xfId="0" applyFont="1" applyFill="1" applyBorder="1" applyAlignment="1">
      <alignment horizontal="center" vertical="center" wrapText="1"/>
    </xf>
    <xf numFmtId="0" fontId="9" fillId="23" borderId="89" xfId="0" applyFont="1" applyFill="1" applyBorder="1" applyAlignment="1">
      <alignment horizontal="center" vertical="center" shrinkToFit="1"/>
    </xf>
    <xf numFmtId="0" fontId="9" fillId="23" borderId="127" xfId="0" applyFont="1" applyFill="1" applyBorder="1" applyAlignment="1">
      <alignment horizontal="center" vertical="center" shrinkToFit="1"/>
    </xf>
    <xf numFmtId="0" fontId="9" fillId="23" borderId="323" xfId="0" applyFont="1" applyFill="1" applyBorder="1" applyAlignment="1">
      <alignment horizontal="right" vertical="center" shrinkToFit="1"/>
    </xf>
    <xf numFmtId="0" fontId="9" fillId="23" borderId="320" xfId="0" applyFont="1" applyFill="1" applyBorder="1" applyAlignment="1">
      <alignment horizontal="right" vertical="center" shrinkToFit="1"/>
    </xf>
    <xf numFmtId="0" fontId="9" fillId="23" borderId="766" xfId="0" applyFont="1" applyFill="1" applyBorder="1" applyAlignment="1">
      <alignment horizontal="right" vertical="center" shrinkToFit="1"/>
    </xf>
    <xf numFmtId="0" fontId="9" fillId="23" borderId="79" xfId="0" applyFont="1" applyFill="1" applyBorder="1" applyAlignment="1">
      <alignment horizontal="right" vertical="center" shrinkToFit="1"/>
    </xf>
    <xf numFmtId="0" fontId="9" fillId="23" borderId="91" xfId="0" applyFont="1" applyFill="1" applyBorder="1" applyAlignment="1">
      <alignment horizontal="right" vertical="center" shrinkToFit="1"/>
    </xf>
    <xf numFmtId="0" fontId="151" fillId="13" borderId="321" xfId="0" applyFont="1" applyFill="1" applyBorder="1" applyAlignment="1">
      <alignment horizontal="center" vertical="center" wrapText="1"/>
    </xf>
    <xf numFmtId="0" fontId="151" fillId="13" borderId="322" xfId="0" applyFont="1" applyFill="1" applyBorder="1" applyAlignment="1">
      <alignment horizontal="center" vertical="center" wrapText="1"/>
    </xf>
    <xf numFmtId="0" fontId="151" fillId="13" borderId="325" xfId="0" applyFont="1" applyFill="1" applyBorder="1" applyAlignment="1">
      <alignment horizontal="center" vertical="center" wrapText="1"/>
    </xf>
    <xf numFmtId="0" fontId="151" fillId="13" borderId="72" xfId="0" applyFont="1" applyFill="1" applyBorder="1" applyAlignment="1">
      <alignment horizontal="center" vertical="center" wrapText="1"/>
    </xf>
    <xf numFmtId="0" fontId="151" fillId="13" borderId="707" xfId="0" applyFont="1" applyFill="1" applyBorder="1" applyAlignment="1">
      <alignment horizontal="center" vertical="center" wrapText="1"/>
    </xf>
    <xf numFmtId="0" fontId="151" fillId="13" borderId="710" xfId="0" applyFont="1" applyFill="1" applyBorder="1" applyAlignment="1">
      <alignment horizontal="center" vertical="center" wrapText="1"/>
    </xf>
    <xf numFmtId="0" fontId="11" fillId="24" borderId="88" xfId="0" applyFont="1" applyFill="1" applyBorder="1" applyAlignment="1">
      <alignment horizontal="center" vertical="center" wrapText="1"/>
    </xf>
    <xf numFmtId="0" fontId="11" fillId="24" borderId="71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07" xfId="0" applyFont="1" applyFill="1" applyBorder="1" applyAlignment="1">
      <alignment horizontal="right" vertical="center" wrapText="1"/>
    </xf>
    <xf numFmtId="0" fontId="66" fillId="13" borderId="722" xfId="0" applyFont="1" applyFill="1" applyBorder="1" applyAlignment="1">
      <alignment horizontal="center" vertical="center"/>
    </xf>
    <xf numFmtId="0" fontId="39" fillId="23" borderId="86"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140" fillId="55" borderId="693" xfId="0" applyFont="1" applyFill="1" applyBorder="1" applyAlignment="1" applyProtection="1">
      <alignment horizontal="center" vertical="center" wrapText="1"/>
      <protection locked="0"/>
    </xf>
    <xf numFmtId="0" fontId="140" fillId="55" borderId="88" xfId="0" applyFont="1" applyFill="1" applyBorder="1" applyAlignment="1" applyProtection="1">
      <alignment horizontal="center" vertical="center" wrapText="1"/>
      <protection locked="0"/>
    </xf>
    <xf numFmtId="0" fontId="140" fillId="55" borderId="374" xfId="0" applyFont="1" applyFill="1" applyBorder="1" applyAlignment="1" applyProtection="1">
      <alignment horizontal="center" vertical="center" wrapText="1"/>
      <protection locked="0"/>
    </xf>
    <xf numFmtId="0" fontId="140" fillId="55" borderId="68" xfId="0" applyFont="1" applyFill="1" applyBorder="1" applyAlignment="1" applyProtection="1">
      <alignment horizontal="center" vertical="center" wrapText="1"/>
      <protection locked="0"/>
    </xf>
    <xf numFmtId="0" fontId="140" fillId="55" borderId="455" xfId="0" applyFont="1" applyFill="1" applyBorder="1" applyAlignment="1" applyProtection="1">
      <alignment horizontal="center" vertical="center" wrapText="1"/>
      <protection locked="0"/>
    </xf>
    <xf numFmtId="0" fontId="140" fillId="55" borderId="90" xfId="0" applyFont="1" applyFill="1" applyBorder="1" applyAlignment="1" applyProtection="1">
      <alignment horizontal="center" vertical="center" wrapText="1"/>
      <protection locked="0"/>
    </xf>
    <xf numFmtId="0" fontId="63" fillId="0" borderId="132" xfId="0" quotePrefix="1" applyFont="1" applyBorder="1" applyAlignment="1">
      <alignment horizontal="center" vertical="center" wrapText="1"/>
    </xf>
    <xf numFmtId="0" fontId="63" fillId="0" borderId="87" xfId="0" quotePrefix="1" applyFont="1" applyBorder="1" applyAlignment="1">
      <alignment horizontal="center" vertical="center" wrapText="1"/>
    </xf>
    <xf numFmtId="0" fontId="63" fillId="0" borderId="142"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07" xfId="0" quotePrefix="1" applyFont="1" applyBorder="1" applyAlignment="1">
      <alignment horizontal="center" vertical="center" wrapText="1"/>
    </xf>
    <xf numFmtId="0" fontId="63" fillId="0" borderId="708" xfId="0" quotePrefix="1" applyFont="1" applyBorder="1" applyAlignment="1">
      <alignment horizontal="center" vertical="center" wrapText="1"/>
    </xf>
    <xf numFmtId="0" fontId="61" fillId="23" borderId="321" xfId="0" applyFont="1" applyFill="1" applyBorder="1" applyAlignment="1">
      <alignment horizontal="center" vertical="center" wrapText="1"/>
    </xf>
    <xf numFmtId="0" fontId="61" fillId="23" borderId="320" xfId="0" applyFont="1" applyFill="1" applyBorder="1" applyAlignment="1">
      <alignment horizontal="center" vertical="center" wrapText="1"/>
    </xf>
    <xf numFmtId="0" fontId="61" fillId="23" borderId="78"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19" borderId="78"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34" fillId="13" borderId="323" xfId="0" applyFont="1" applyFill="1" applyBorder="1" applyAlignment="1">
      <alignment horizontal="center" vertical="center" wrapText="1"/>
    </xf>
    <xf numFmtId="0" fontId="34" fillId="13" borderId="488"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45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476"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495" xfId="0" applyFont="1" applyFill="1" applyBorder="1" applyAlignment="1" applyProtection="1">
      <alignment vertical="center" wrapText="1"/>
      <protection locked="0"/>
    </xf>
    <xf numFmtId="0" fontId="13" fillId="28" borderId="355" xfId="0" applyFont="1" applyFill="1" applyBorder="1" applyAlignment="1" applyProtection="1">
      <alignment vertical="center" wrapText="1"/>
      <protection locked="0"/>
    </xf>
    <xf numFmtId="0" fontId="13" fillId="28" borderId="496" xfId="0" applyFont="1" applyFill="1" applyBorder="1" applyAlignment="1" applyProtection="1">
      <alignment vertical="center" wrapText="1"/>
      <protection locked="0"/>
    </xf>
    <xf numFmtId="0" fontId="29" fillId="13" borderId="93" xfId="0" applyFont="1" applyFill="1" applyBorder="1" applyAlignment="1">
      <alignment horizontal="center" vertical="center" textRotation="90" wrapText="1"/>
    </xf>
    <xf numFmtId="0" fontId="0" fillId="0" borderId="94" xfId="0" applyBorder="1" applyAlignment="1">
      <alignment horizontal="center" vertical="center" textRotation="90" wrapText="1"/>
    </xf>
    <xf numFmtId="0" fontId="0" fillId="0" borderId="95" xfId="0" applyBorder="1" applyAlignment="1">
      <alignment horizontal="center" vertical="center" textRotation="90" wrapText="1"/>
    </xf>
    <xf numFmtId="0" fontId="65" fillId="13" borderId="93" xfId="0" applyFont="1" applyFill="1" applyBorder="1" applyAlignment="1">
      <alignment horizontal="center" vertical="center" textRotation="90"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15" fillId="13" borderId="1040" xfId="0" applyFont="1" applyFill="1" applyBorder="1" applyAlignment="1">
      <alignment horizontal="center" vertical="center" wrapText="1"/>
    </xf>
    <xf numFmtId="0" fontId="15" fillId="13" borderId="1038" xfId="0" applyFont="1" applyFill="1" applyBorder="1" applyAlignment="1">
      <alignment horizontal="center" vertical="center" wrapText="1"/>
    </xf>
    <xf numFmtId="0" fontId="9" fillId="28" borderId="109" xfId="0" applyFont="1" applyFill="1" applyBorder="1" applyAlignment="1" applyProtection="1">
      <alignment horizontal="center"/>
      <protection locked="0"/>
    </xf>
    <xf numFmtId="0" fontId="9" fillId="28" borderId="1039" xfId="0" applyFont="1" applyFill="1" applyBorder="1" applyAlignment="1" applyProtection="1">
      <alignment horizontal="center"/>
      <protection locked="0"/>
    </xf>
    <xf numFmtId="0" fontId="9" fillId="28" borderId="535" xfId="0" applyFont="1" applyFill="1" applyBorder="1" applyAlignment="1" applyProtection="1">
      <alignment horizontal="center"/>
      <protection locked="0"/>
    </xf>
    <xf numFmtId="1" fontId="24" fillId="23" borderId="120" xfId="0" applyNumberFormat="1" applyFont="1" applyFill="1" applyBorder="1" applyAlignment="1">
      <alignment horizontal="center" vertical="center" wrapText="1"/>
    </xf>
    <xf numFmtId="0" fontId="14" fillId="19" borderId="376" xfId="0" applyFont="1" applyFill="1" applyBorder="1" applyAlignment="1">
      <alignment horizontal="center" vertical="center" wrapText="1"/>
    </xf>
    <xf numFmtId="0" fontId="14" fillId="19" borderId="377" xfId="0" applyFont="1" applyFill="1" applyBorder="1" applyAlignment="1">
      <alignment horizontal="center" vertical="center" wrapText="1"/>
    </xf>
    <xf numFmtId="0" fontId="14" fillId="19" borderId="324" xfId="0" applyFont="1" applyFill="1" applyBorder="1" applyAlignment="1">
      <alignment horizontal="center" vertical="center" wrapText="1"/>
    </xf>
    <xf numFmtId="0" fontId="14" fillId="19" borderId="328" xfId="0" applyFont="1" applyFill="1" applyBorder="1" applyAlignment="1">
      <alignment horizontal="center" vertical="center" wrapText="1"/>
    </xf>
    <xf numFmtId="0" fontId="24" fillId="23" borderId="376" xfId="0" applyFont="1" applyFill="1" applyBorder="1" applyAlignment="1">
      <alignment horizontal="center" vertical="center" wrapText="1"/>
    </xf>
    <xf numFmtId="0" fontId="24" fillId="23" borderId="377" xfId="0" applyFont="1" applyFill="1" applyBorder="1" applyAlignment="1">
      <alignment horizontal="center" vertical="center" wrapText="1"/>
    </xf>
    <xf numFmtId="0" fontId="24" fillId="23" borderId="324" xfId="0" applyFont="1" applyFill="1" applyBorder="1" applyAlignment="1">
      <alignment horizontal="center" vertical="center" wrapText="1"/>
    </xf>
    <xf numFmtId="0" fontId="24" fillId="23" borderId="328" xfId="0" applyFont="1" applyFill="1" applyBorder="1" applyAlignment="1">
      <alignment horizontal="center" vertical="center" wrapText="1"/>
    </xf>
    <xf numFmtId="0" fontId="15" fillId="13" borderId="542"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479" xfId="0" applyFont="1" applyFill="1" applyBorder="1" applyAlignment="1">
      <alignment horizontal="center" vertical="center" wrapText="1"/>
    </xf>
    <xf numFmtId="0" fontId="9" fillId="0" borderId="91"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1"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89" xfId="0" applyFont="1" applyBorder="1" applyAlignment="1">
      <alignment horizontal="center" vertical="center"/>
    </xf>
    <xf numFmtId="0" fontId="10" fillId="0" borderId="76" xfId="0" applyFont="1" applyBorder="1" applyAlignment="1">
      <alignment horizontal="center" vertical="center"/>
    </xf>
    <xf numFmtId="0" fontId="10" fillId="0" borderId="90" xfId="0" applyFont="1" applyBorder="1" applyAlignment="1">
      <alignment horizontal="center" vertical="center"/>
    </xf>
    <xf numFmtId="0" fontId="20" fillId="23" borderId="78" xfId="0" applyFont="1" applyFill="1" applyBorder="1" applyAlignment="1">
      <alignment horizontal="center" vertical="center" wrapText="1"/>
    </xf>
    <xf numFmtId="0" fontId="20" fillId="23" borderId="79" xfId="0" applyFont="1" applyFill="1" applyBorder="1" applyAlignment="1">
      <alignment horizontal="center" vertical="center" wrapText="1"/>
    </xf>
    <xf numFmtId="0" fontId="62" fillId="23" borderId="78"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1" fillId="23" borderId="709" xfId="0" applyFont="1" applyFill="1" applyBorder="1" applyAlignment="1">
      <alignment horizontal="center" vertical="center" wrapText="1"/>
    </xf>
    <xf numFmtId="0" fontId="61" fillId="23" borderId="127" xfId="0" applyFont="1" applyFill="1" applyBorder="1" applyAlignment="1">
      <alignment horizontal="center" vertical="center" wrapText="1"/>
    </xf>
    <xf numFmtId="0" fontId="55" fillId="23" borderId="323" xfId="0" applyFont="1" applyFill="1" applyBorder="1" applyAlignment="1">
      <alignment horizontal="center" vertical="center" wrapText="1"/>
    </xf>
    <xf numFmtId="0" fontId="55" fillId="23" borderId="322" xfId="0" applyFont="1" applyFill="1" applyBorder="1" applyAlignment="1">
      <alignment horizontal="center" vertical="center" wrapText="1"/>
    </xf>
    <xf numFmtId="0" fontId="55" fillId="23" borderId="320" xfId="0" applyFont="1" applyFill="1" applyBorder="1" applyAlignment="1">
      <alignment horizontal="center" vertical="center" wrapText="1"/>
    </xf>
    <xf numFmtId="0" fontId="55" fillId="23" borderId="91"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79" xfId="0" applyFont="1" applyFill="1" applyBorder="1" applyAlignment="1">
      <alignment horizontal="center" vertical="center" wrapText="1"/>
    </xf>
    <xf numFmtId="0" fontId="55" fillId="19" borderId="91"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79" xfId="0" applyFont="1" applyFill="1" applyBorder="1" applyAlignment="1">
      <alignment horizontal="center" vertical="center" wrapText="1"/>
    </xf>
    <xf numFmtId="0" fontId="55" fillId="23" borderId="91" xfId="0" applyFont="1" applyFill="1" applyBorder="1" applyAlignment="1">
      <alignment horizontal="center" vertical="center"/>
    </xf>
    <xf numFmtId="0" fontId="55" fillId="23" borderId="0" xfId="0" applyFont="1" applyFill="1" applyAlignment="1">
      <alignment horizontal="center" vertical="center"/>
    </xf>
    <xf numFmtId="0" fontId="55" fillId="23" borderId="79" xfId="0" applyFont="1" applyFill="1" applyBorder="1" applyAlignment="1">
      <alignment horizontal="center" vertical="center"/>
    </xf>
    <xf numFmtId="0" fontId="55" fillId="23" borderId="89" xfId="0" applyFont="1" applyFill="1" applyBorder="1" applyAlignment="1">
      <alignment horizontal="center" vertical="center"/>
    </xf>
    <xf numFmtId="0" fontId="55" fillId="23" borderId="76" xfId="0" applyFont="1" applyFill="1" applyBorder="1" applyAlignment="1">
      <alignment horizontal="center" vertical="center"/>
    </xf>
    <xf numFmtId="0" fontId="55" fillId="23" borderId="127" xfId="0" applyFont="1" applyFill="1" applyBorder="1" applyAlignment="1">
      <alignment horizontal="center" vertical="center"/>
    </xf>
    <xf numFmtId="0" fontId="13" fillId="28" borderId="500" xfId="0" applyFont="1" applyFill="1" applyBorder="1" applyAlignment="1" applyProtection="1">
      <alignment vertical="center" wrapText="1"/>
      <protection locked="0"/>
    </xf>
    <xf numFmtId="0" fontId="13" fillId="28" borderId="501" xfId="0" applyFont="1" applyFill="1" applyBorder="1" applyAlignment="1" applyProtection="1">
      <alignment vertical="center" wrapText="1"/>
      <protection locked="0"/>
    </xf>
    <xf numFmtId="0" fontId="13" fillId="28" borderId="502" xfId="0" applyFont="1" applyFill="1" applyBorder="1" applyAlignment="1" applyProtection="1">
      <alignment vertical="center" wrapText="1"/>
      <protection locked="0"/>
    </xf>
    <xf numFmtId="0" fontId="9" fillId="23" borderId="78" xfId="0" applyFont="1" applyFill="1" applyBorder="1" applyAlignment="1">
      <alignment horizontal="center" vertical="center"/>
    </xf>
    <xf numFmtId="0" fontId="9" fillId="23" borderId="0" xfId="0" applyFont="1" applyFill="1" applyAlignment="1">
      <alignment horizontal="center" vertical="center"/>
    </xf>
    <xf numFmtId="0" fontId="9" fillId="23" borderId="880" xfId="0" applyFont="1" applyFill="1" applyBorder="1" applyAlignment="1">
      <alignment horizontal="center" vertical="center"/>
    </xf>
    <xf numFmtId="0" fontId="9" fillId="24" borderId="78"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13" fillId="23" borderId="72" xfId="0" applyFont="1" applyFill="1" applyBorder="1" applyAlignment="1">
      <alignment horizontal="center" vertical="center" wrapText="1"/>
    </xf>
    <xf numFmtId="0" fontId="13" fillId="23" borderId="710" xfId="0" applyFont="1" applyFill="1" applyBorder="1" applyAlignment="1">
      <alignment horizontal="center" vertical="center" wrapText="1"/>
    </xf>
    <xf numFmtId="0" fontId="13" fillId="23" borderId="132" xfId="0" applyFont="1" applyFill="1" applyBorder="1" applyAlignment="1">
      <alignment horizontal="center" vertical="center" wrapText="1"/>
    </xf>
    <xf numFmtId="0" fontId="13" fillId="23" borderId="88"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10" xfId="0" applyFont="1" applyFill="1" applyBorder="1" applyAlignment="1">
      <alignment horizontal="center" vertical="center" shrinkToFit="1"/>
    </xf>
    <xf numFmtId="0" fontId="15" fillId="13" borderId="109" xfId="0" applyFont="1" applyFill="1" applyBorder="1" applyAlignment="1">
      <alignment horizontal="center"/>
    </xf>
    <xf numFmtId="0" fontId="15" fillId="13" borderId="112" xfId="0" applyFont="1" applyFill="1" applyBorder="1" applyAlignment="1">
      <alignment horizontal="center"/>
    </xf>
    <xf numFmtId="0" fontId="15" fillId="13" borderId="140" xfId="0" applyFont="1" applyFill="1" applyBorder="1" applyAlignment="1">
      <alignment horizontal="center"/>
    </xf>
    <xf numFmtId="0" fontId="9" fillId="23" borderId="323" xfId="0" applyFont="1" applyFill="1" applyBorder="1" applyAlignment="1">
      <alignment horizontal="center" vertical="center" shrinkToFit="1"/>
    </xf>
    <xf numFmtId="0" fontId="9" fillId="23" borderId="320" xfId="0" applyFont="1" applyFill="1" applyBorder="1" applyAlignment="1">
      <alignment horizontal="center" vertical="center" shrinkToFit="1"/>
    </xf>
    <xf numFmtId="0" fontId="9" fillId="24" borderId="709" xfId="0" applyFont="1" applyFill="1" applyBorder="1" applyAlignment="1">
      <alignment horizontal="center"/>
    </xf>
    <xf numFmtId="0" fontId="9" fillId="24" borderId="76" xfId="0" applyFont="1" applyFill="1" applyBorder="1" applyAlignment="1">
      <alignment horizontal="center"/>
    </xf>
    <xf numFmtId="0" fontId="9" fillId="24" borderId="90" xfId="0" applyFont="1" applyFill="1" applyBorder="1" applyAlignment="1">
      <alignment horizontal="center"/>
    </xf>
    <xf numFmtId="0" fontId="9" fillId="23" borderId="321"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9" fillId="23" borderId="325" xfId="0" applyFont="1" applyFill="1" applyBorder="1" applyAlignment="1">
      <alignment horizontal="center" vertical="center" wrapText="1"/>
    </xf>
    <xf numFmtId="0" fontId="9" fillId="24" borderId="322" xfId="0" applyFont="1" applyFill="1" applyBorder="1" applyAlignment="1">
      <alignment horizontal="center"/>
    </xf>
    <xf numFmtId="0" fontId="9" fillId="24" borderId="325" xfId="0" applyFont="1" applyFill="1" applyBorder="1" applyAlignment="1">
      <alignment horizontal="center"/>
    </xf>
    <xf numFmtId="0" fontId="9" fillId="23" borderId="707" xfId="0" applyFont="1" applyFill="1" applyBorder="1" applyAlignment="1">
      <alignment horizontal="center" vertical="center" wrapText="1"/>
    </xf>
    <xf numFmtId="0" fontId="9" fillId="23" borderId="710" xfId="0" applyFont="1" applyFill="1" applyBorder="1" applyAlignment="1">
      <alignment horizontal="center" vertical="center" wrapText="1"/>
    </xf>
    <xf numFmtId="0" fontId="9" fillId="23" borderId="321" xfId="0" applyFont="1" applyFill="1" applyBorder="1" applyAlignment="1">
      <alignment horizontal="center" vertical="center"/>
    </xf>
    <xf numFmtId="0" fontId="9" fillId="23" borderId="322" xfId="0" applyFont="1" applyFill="1" applyBorder="1" applyAlignment="1">
      <alignment horizontal="center" vertical="center"/>
    </xf>
    <xf numFmtId="0" fontId="9" fillId="23" borderId="325" xfId="0" applyFont="1" applyFill="1" applyBorder="1" applyAlignment="1">
      <alignment horizontal="center" vertical="center"/>
    </xf>
    <xf numFmtId="0" fontId="11" fillId="0" borderId="78" xfId="0" applyFont="1" applyBorder="1" applyAlignment="1">
      <alignment horizontal="center" vertical="center"/>
    </xf>
    <xf numFmtId="0" fontId="11" fillId="0" borderId="79" xfId="0" applyFont="1" applyBorder="1" applyAlignment="1">
      <alignment horizontal="center" vertical="center"/>
    </xf>
    <xf numFmtId="0" fontId="11" fillId="0" borderId="709" xfId="0" applyFont="1" applyBorder="1" applyAlignment="1">
      <alignment horizontal="center" vertical="center"/>
    </xf>
    <xf numFmtId="0" fontId="11" fillId="0" borderId="127" xfId="0" applyFont="1" applyBorder="1" applyAlignment="1">
      <alignment horizontal="center" vertical="center"/>
    </xf>
    <xf numFmtId="0" fontId="24" fillId="19" borderId="376" xfId="0" applyFont="1" applyFill="1" applyBorder="1" applyAlignment="1">
      <alignment horizontal="center" vertical="center" wrapText="1"/>
    </xf>
    <xf numFmtId="0" fontId="24" fillId="19" borderId="377" xfId="0" applyFont="1" applyFill="1" applyBorder="1" applyAlignment="1">
      <alignment horizontal="center" vertical="center" wrapText="1"/>
    </xf>
    <xf numFmtId="0" fontId="24" fillId="19" borderId="324" xfId="0" applyFont="1" applyFill="1" applyBorder="1" applyAlignment="1">
      <alignment horizontal="center" vertical="center" wrapText="1"/>
    </xf>
    <xf numFmtId="0" fontId="24" fillId="19" borderId="328" xfId="0" applyFont="1" applyFill="1" applyBorder="1" applyAlignment="1">
      <alignment horizontal="center" vertical="center" wrapText="1"/>
    </xf>
    <xf numFmtId="0" fontId="24" fillId="23" borderId="97" xfId="0" applyFont="1" applyFill="1" applyBorder="1" applyAlignment="1">
      <alignment horizontal="center" vertical="center" wrapText="1"/>
    </xf>
    <xf numFmtId="0" fontId="24" fillId="23" borderId="99" xfId="0" applyFont="1" applyFill="1" applyBorder="1" applyAlignment="1">
      <alignment horizontal="center" vertical="center" wrapText="1"/>
    </xf>
    <xf numFmtId="0" fontId="34" fillId="13" borderId="128" xfId="0" applyFont="1" applyFill="1" applyBorder="1" applyAlignment="1">
      <alignment horizontal="center" vertical="center" wrapText="1"/>
    </xf>
    <xf numFmtId="0" fontId="34" fillId="13" borderId="722" xfId="0" applyFont="1" applyFill="1" applyBorder="1" applyAlignment="1">
      <alignment horizontal="center" vertical="center" wrapText="1"/>
    </xf>
    <xf numFmtId="0" fontId="34" fillId="13" borderId="646" xfId="0" applyFont="1" applyFill="1" applyBorder="1" applyAlignment="1">
      <alignment horizontal="center" vertical="center" wrapText="1"/>
    </xf>
    <xf numFmtId="0" fontId="9" fillId="24" borderId="321" xfId="0" applyFont="1" applyFill="1" applyBorder="1" applyAlignment="1">
      <alignment horizontal="center"/>
    </xf>
    <xf numFmtId="0" fontId="151" fillId="13" borderId="323" xfId="0" applyFont="1" applyFill="1" applyBorder="1" applyAlignment="1">
      <alignment horizontal="center" vertical="center" wrapText="1"/>
    </xf>
    <xf numFmtId="0" fontId="151" fillId="13" borderId="106" xfId="0" applyFont="1" applyFill="1" applyBorder="1" applyAlignment="1">
      <alignment horizontal="center" vertical="center" wrapText="1"/>
    </xf>
    <xf numFmtId="0" fontId="14" fillId="23" borderId="376" xfId="0" applyFont="1" applyFill="1" applyBorder="1" applyAlignment="1">
      <alignment horizontal="center" vertical="center" wrapText="1"/>
    </xf>
    <xf numFmtId="0" fontId="14" fillId="23" borderId="377" xfId="0" applyFont="1" applyFill="1" applyBorder="1" applyAlignment="1">
      <alignment horizontal="center" vertical="center" wrapText="1"/>
    </xf>
    <xf numFmtId="0" fontId="14" fillId="23" borderId="114"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55" fillId="23" borderId="321" xfId="0" applyFont="1" applyFill="1" applyBorder="1" applyAlignment="1">
      <alignment horizontal="center" vertical="center" wrapText="1"/>
    </xf>
    <xf numFmtId="0" fontId="55" fillId="23" borderId="78" xfId="0" applyFont="1" applyFill="1" applyBorder="1" applyAlignment="1">
      <alignment horizontal="center" vertical="center" wrapText="1"/>
    </xf>
    <xf numFmtId="0" fontId="55" fillId="19" borderId="78" xfId="0" applyFont="1" applyFill="1" applyBorder="1" applyAlignment="1">
      <alignment horizontal="center" vertical="center" wrapText="1"/>
    </xf>
    <xf numFmtId="0" fontId="55" fillId="23" borderId="709" xfId="0" applyFont="1" applyFill="1" applyBorder="1" applyAlignment="1">
      <alignment horizontal="center" vertical="center" wrapText="1"/>
    </xf>
    <xf numFmtId="0" fontId="55" fillId="23" borderId="76" xfId="0" applyFont="1" applyFill="1" applyBorder="1" applyAlignment="1">
      <alignment horizontal="center" vertical="center" wrapText="1"/>
    </xf>
    <xf numFmtId="0" fontId="55" fillId="23" borderId="127" xfId="0" applyFont="1" applyFill="1" applyBorder="1" applyAlignment="1">
      <alignment horizontal="center" vertical="center" wrapText="1"/>
    </xf>
    <xf numFmtId="0" fontId="9" fillId="0" borderId="129" xfId="0" applyFont="1" applyBorder="1" applyAlignment="1">
      <alignment horizontal="center" vertical="center" shrinkToFit="1"/>
    </xf>
    <xf numFmtId="0" fontId="9" fillId="0" borderId="633" xfId="0" applyFont="1" applyBorder="1" applyAlignment="1">
      <alignment horizontal="center" vertical="center" shrinkToFit="1"/>
    </xf>
    <xf numFmtId="0" fontId="11" fillId="0" borderId="91" xfId="0" applyFont="1" applyBorder="1" applyAlignment="1">
      <alignment horizontal="center" vertical="center"/>
    </xf>
    <xf numFmtId="0" fontId="11" fillId="0" borderId="0" xfId="0" applyFont="1" applyAlignment="1">
      <alignment horizontal="center" vertical="center"/>
    </xf>
    <xf numFmtId="0" fontId="11" fillId="0" borderId="89" xfId="0" applyFont="1" applyBorder="1" applyAlignment="1">
      <alignment horizontal="center" vertical="center"/>
    </xf>
    <xf numFmtId="0" fontId="11" fillId="0" borderId="76" xfId="0" applyFont="1" applyBorder="1" applyAlignment="1">
      <alignment horizontal="center" vertical="center"/>
    </xf>
    <xf numFmtId="0" fontId="13" fillId="28" borderId="499"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038" xfId="0" applyFont="1" applyFill="1" applyBorder="1" applyAlignment="1">
      <alignment horizontal="center" vertical="center"/>
    </xf>
    <xf numFmtId="0" fontId="9" fillId="28" borderId="995" xfId="0" applyFont="1" applyFill="1" applyBorder="1" applyAlignment="1" applyProtection="1">
      <alignment horizontal="center"/>
      <protection locked="0"/>
    </xf>
    <xf numFmtId="0" fontId="39" fillId="24" borderId="904" xfId="0" applyFont="1" applyFill="1" applyBorder="1" applyAlignment="1">
      <alignment horizontal="center" vertical="center" wrapText="1"/>
    </xf>
    <xf numFmtId="0" fontId="39" fillId="24" borderId="0" xfId="0" applyFont="1" applyFill="1" applyAlignment="1">
      <alignment horizontal="center" vertical="center" wrapText="1"/>
    </xf>
    <xf numFmtId="0" fontId="48" fillId="7" borderId="72" xfId="0" applyFont="1" applyFill="1" applyBorder="1" applyAlignment="1">
      <alignment horizontal="right" vertical="center" wrapText="1"/>
    </xf>
    <xf numFmtId="0" fontId="48" fillId="7" borderId="707" xfId="0" applyFont="1" applyFill="1" applyBorder="1" applyAlignment="1">
      <alignment horizontal="right" vertical="center" wrapText="1"/>
    </xf>
    <xf numFmtId="0" fontId="9" fillId="0" borderId="106" xfId="0" applyFont="1" applyBorder="1" applyAlignment="1">
      <alignment horizontal="center" vertical="center" shrinkToFit="1"/>
    </xf>
    <xf numFmtId="0" fontId="9" fillId="0" borderId="708" xfId="0" applyFont="1" applyBorder="1" applyAlignment="1">
      <alignment horizontal="center" vertical="center"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3" xfId="0" applyFont="1" applyFill="1" applyBorder="1" applyAlignment="1">
      <alignment horizontal="center" vertical="center"/>
    </xf>
    <xf numFmtId="0" fontId="38" fillId="7" borderId="310"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07" xfId="0" applyFont="1" applyFill="1" applyBorder="1" applyAlignment="1">
      <alignment horizontal="center" vertical="center"/>
    </xf>
    <xf numFmtId="0" fontId="38" fillId="7" borderId="182" xfId="0" applyFont="1" applyFill="1" applyBorder="1" applyAlignment="1">
      <alignment horizontal="center" vertical="center"/>
    </xf>
    <xf numFmtId="0" fontId="38" fillId="7" borderId="346"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49"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11" xfId="0" applyFont="1" applyFill="1" applyBorder="1" applyAlignment="1">
      <alignment horizontal="center" vertical="center"/>
    </xf>
    <xf numFmtId="0" fontId="24" fillId="7" borderId="641" xfId="0" applyFont="1" applyFill="1" applyBorder="1" applyAlignment="1">
      <alignment horizontal="center" vertical="center"/>
    </xf>
    <xf numFmtId="0" fontId="24" fillId="7" borderId="331" xfId="0" applyFont="1" applyFill="1" applyBorder="1" applyAlignment="1">
      <alignment horizontal="center" vertical="center"/>
    </xf>
    <xf numFmtId="0" fontId="24" fillId="7" borderId="667" xfId="0" applyFont="1" applyFill="1" applyBorder="1" applyAlignment="1">
      <alignment horizontal="center" vertical="center"/>
    </xf>
    <xf numFmtId="0" fontId="15" fillId="8" borderId="109" xfId="0" applyFont="1" applyFill="1" applyBorder="1" applyAlignment="1">
      <alignment horizontal="center"/>
    </xf>
    <xf numFmtId="0" fontId="15" fillId="8" borderId="112" xfId="0" applyFont="1" applyFill="1" applyBorder="1" applyAlignment="1">
      <alignment horizontal="center"/>
    </xf>
    <xf numFmtId="0" fontId="15" fillId="8" borderId="140" xfId="0" applyFont="1" applyFill="1" applyBorder="1" applyAlignment="1">
      <alignment horizontal="center"/>
    </xf>
    <xf numFmtId="0" fontId="9" fillId="7" borderId="153" xfId="0" applyFont="1" applyFill="1" applyBorder="1" applyAlignment="1">
      <alignment horizontal="center" vertical="center" wrapText="1"/>
    </xf>
    <xf numFmtId="0" fontId="9" fillId="7" borderId="308" xfId="0" applyFont="1" applyFill="1" applyBorder="1" applyAlignment="1">
      <alignment horizontal="center" vertical="center"/>
    </xf>
    <xf numFmtId="0" fontId="9" fillId="7" borderId="89" xfId="0" applyFont="1" applyFill="1" applyBorder="1" applyAlignment="1">
      <alignment horizontal="center" vertical="center"/>
    </xf>
    <xf numFmtId="0" fontId="9" fillId="7" borderId="76" xfId="0" applyFont="1" applyFill="1" applyBorder="1" applyAlignment="1">
      <alignment horizontal="center" vertical="center"/>
    </xf>
    <xf numFmtId="0" fontId="13" fillId="55" borderId="670" xfId="0" applyFont="1" applyFill="1" applyBorder="1" applyAlignment="1" applyProtection="1">
      <alignment horizontal="center" vertical="center"/>
      <protection locked="0"/>
    </xf>
    <xf numFmtId="0" fontId="13" fillId="55" borderId="422" xfId="0" applyFont="1" applyFill="1" applyBorder="1" applyAlignment="1" applyProtection="1">
      <alignment horizontal="center" vertical="center"/>
      <protection locked="0"/>
    </xf>
    <xf numFmtId="0" fontId="9" fillId="0" borderId="665" xfId="0" applyFont="1" applyBorder="1" applyAlignment="1">
      <alignment horizontal="left"/>
    </xf>
    <xf numFmtId="0" fontId="9" fillId="0" borderId="663" xfId="0" applyFont="1" applyBorder="1" applyAlignment="1">
      <alignment horizontal="left"/>
    </xf>
    <xf numFmtId="0" fontId="13" fillId="7" borderId="663" xfId="0" applyFont="1" applyFill="1" applyBorder="1" applyAlignment="1">
      <alignment horizontal="center" vertical="center"/>
    </xf>
    <xf numFmtId="0" fontId="13" fillId="7" borderId="662" xfId="0" applyFont="1" applyFill="1" applyBorder="1" applyAlignment="1">
      <alignment horizontal="center" vertical="center"/>
    </xf>
    <xf numFmtId="0" fontId="9" fillId="7" borderId="0" xfId="0" applyFont="1" applyFill="1" applyAlignment="1">
      <alignment horizontal="left" vertical="center" wrapText="1"/>
    </xf>
    <xf numFmtId="0" fontId="9" fillId="59" borderId="91" xfId="0" applyFont="1" applyFill="1" applyBorder="1" applyAlignment="1" applyProtection="1">
      <alignment horizontal="center" vertical="center" wrapText="1"/>
      <protection locked="0"/>
    </xf>
    <xf numFmtId="0" fontId="9" fillId="59" borderId="79" xfId="0" applyFont="1" applyFill="1" applyBorder="1" applyAlignment="1" applyProtection="1">
      <alignment horizontal="center" vertical="center" wrapText="1"/>
      <protection locked="0"/>
    </xf>
    <xf numFmtId="0" fontId="9" fillId="55" borderId="91"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9" borderId="91" xfId="0" applyFont="1" applyFill="1" applyBorder="1" applyAlignment="1" applyProtection="1">
      <alignment horizontal="center"/>
      <protection locked="0"/>
    </xf>
    <xf numFmtId="0" fontId="9" fillId="59" borderId="79" xfId="0" applyFont="1" applyFill="1" applyBorder="1" applyAlignment="1" applyProtection="1">
      <alignment horizontal="center"/>
      <protection locked="0"/>
    </xf>
    <xf numFmtId="0" fontId="13" fillId="59" borderId="7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center" vertical="center" wrapText="1"/>
      <protection locked="0"/>
    </xf>
    <xf numFmtId="0" fontId="13" fillId="55" borderId="78"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9" fillId="30" borderId="323" xfId="0" applyFont="1" applyFill="1" applyBorder="1" applyAlignment="1">
      <alignment horizontal="right" vertical="center"/>
    </xf>
    <xf numFmtId="0" fontId="9" fillId="30" borderId="417" xfId="0" applyFont="1" applyFill="1" applyBorder="1" applyAlignment="1">
      <alignment horizontal="right" vertical="center"/>
    </xf>
    <xf numFmtId="0" fontId="38" fillId="7" borderId="217"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1" xfId="0" applyFont="1" applyFill="1" applyBorder="1" applyAlignment="1">
      <alignment horizontal="center" vertical="center"/>
    </xf>
    <xf numFmtId="0" fontId="38" fillId="7" borderId="73" xfId="0" applyFont="1" applyFill="1" applyBorder="1" applyAlignment="1">
      <alignment horizontal="center" vertical="center"/>
    </xf>
    <xf numFmtId="0" fontId="14" fillId="7" borderId="86" xfId="0" applyFont="1" applyFill="1" applyBorder="1" applyAlignment="1">
      <alignment horizontal="center" vertical="center" wrapText="1"/>
    </xf>
    <xf numFmtId="0" fontId="14" fillId="7" borderId="87"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76" xfId="0" applyFont="1" applyFill="1" applyBorder="1" applyAlignment="1">
      <alignment horizontal="center" vertical="center" wrapText="1"/>
    </xf>
    <xf numFmtId="0" fontId="13" fillId="54" borderId="161"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1"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1" xfId="0" applyFont="1" applyFill="1" applyBorder="1" applyAlignment="1">
      <alignment horizontal="center" vertical="center" wrapText="1"/>
    </xf>
    <xf numFmtId="0" fontId="12" fillId="30" borderId="10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79" xfId="0" applyFont="1" applyFill="1" applyBorder="1" applyAlignment="1">
      <alignment horizontal="center" vertical="center"/>
    </xf>
    <xf numFmtId="0" fontId="24" fillId="30" borderId="707" xfId="0" applyFont="1" applyFill="1" applyBorder="1" applyAlignment="1">
      <alignment horizontal="center" vertical="center"/>
    </xf>
    <xf numFmtId="0" fontId="24" fillId="30" borderId="708" xfId="0" applyFont="1" applyFill="1" applyBorder="1" applyAlignment="1">
      <alignment horizontal="center" vertical="center"/>
    </xf>
    <xf numFmtId="0" fontId="13" fillId="55" borderId="78"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321" xfId="0" applyFont="1" applyFill="1" applyBorder="1" applyAlignment="1" applyProtection="1">
      <alignment horizontal="left" vertical="center" wrapText="1"/>
      <protection locked="0"/>
    </xf>
    <xf numFmtId="0" fontId="13" fillId="55" borderId="322"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8"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9" fillId="7" borderId="170"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1" xfId="0" applyFont="1" applyFill="1" applyBorder="1"/>
    <xf numFmtId="0" fontId="9" fillId="7" borderId="14" xfId="0" applyFont="1" applyFill="1" applyBorder="1"/>
    <xf numFmtId="0" fontId="13" fillId="58" borderId="91"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58"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wrapText="1"/>
      <protection locked="0"/>
    </xf>
    <xf numFmtId="0" fontId="62" fillId="31" borderId="915" xfId="0" applyFont="1" applyFill="1" applyBorder="1" applyAlignment="1">
      <alignment horizontal="center"/>
    </xf>
    <xf numFmtId="0" fontId="62" fillId="31" borderId="919" xfId="0" applyFont="1" applyFill="1" applyBorder="1" applyAlignment="1">
      <alignment horizontal="center"/>
    </xf>
    <xf numFmtId="0" fontId="62" fillId="31" borderId="0" xfId="0" applyFont="1" applyFill="1" applyAlignment="1">
      <alignment horizontal="center"/>
    </xf>
    <xf numFmtId="0" fontId="0" fillId="3" borderId="0" xfId="0" applyFill="1" applyAlignment="1">
      <alignment horizontal="left"/>
    </xf>
    <xf numFmtId="0" fontId="73" fillId="8" borderId="0" xfId="0" applyFont="1" applyFill="1" applyAlignment="1">
      <alignment horizontal="center" vertical="center"/>
    </xf>
    <xf numFmtId="0" fontId="108" fillId="31" borderId="109"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40" xfId="0" applyFont="1" applyFill="1" applyBorder="1" applyAlignment="1">
      <alignment horizontal="center" vertical="center"/>
    </xf>
    <xf numFmtId="0" fontId="34" fillId="8" borderId="109"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40"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3"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39" fillId="31" borderId="91" xfId="0" applyFont="1" applyFill="1" applyBorder="1" applyAlignment="1">
      <alignment horizontal="center" vertical="center"/>
    </xf>
    <xf numFmtId="0" fontId="39" fillId="31" borderId="0" xfId="0" applyFont="1" applyFill="1" applyAlignment="1">
      <alignment horizontal="center" vertical="center"/>
    </xf>
    <xf numFmtId="0" fontId="39" fillId="31" borderId="89" xfId="0" applyFont="1" applyFill="1" applyBorder="1" applyAlignment="1">
      <alignment horizontal="center" vertical="center"/>
    </xf>
    <xf numFmtId="0" fontId="39" fillId="31" borderId="76" xfId="0" applyFont="1" applyFill="1" applyBorder="1" applyAlignment="1">
      <alignment horizontal="center" vertical="center"/>
    </xf>
    <xf numFmtId="0" fontId="45" fillId="8" borderId="112" xfId="0" applyFont="1" applyFill="1" applyBorder="1" applyAlignment="1">
      <alignment horizontal="center" vertical="center"/>
    </xf>
    <xf numFmtId="0" fontId="45" fillId="8" borderId="14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2" fillId="7" borderId="223"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59" xfId="0" applyFont="1" applyFill="1" applyBorder="1" applyAlignment="1">
      <alignment horizontal="center"/>
    </xf>
    <xf numFmtId="0" fontId="15" fillId="8" borderId="160" xfId="0" applyFont="1" applyFill="1" applyBorder="1" applyAlignment="1">
      <alignment horizontal="center"/>
    </xf>
    <xf numFmtId="0" fontId="15" fillId="8" borderId="147" xfId="0" applyFont="1" applyFill="1" applyBorder="1" applyAlignment="1">
      <alignment horizontal="right" vertical="center" wrapText="1"/>
    </xf>
    <xf numFmtId="0" fontId="15" fillId="8" borderId="159" xfId="0" applyFont="1" applyFill="1" applyBorder="1" applyAlignment="1">
      <alignment horizontal="right" vertical="center" wrapText="1"/>
    </xf>
    <xf numFmtId="0" fontId="9" fillId="7" borderId="72" xfId="0" applyFont="1" applyFill="1" applyBorder="1" applyAlignment="1">
      <alignment horizontal="center" vertical="center"/>
    </xf>
    <xf numFmtId="0" fontId="9" fillId="7" borderId="272" xfId="0" applyFont="1" applyFill="1" applyBorder="1" applyAlignment="1">
      <alignment horizontal="center" vertical="center"/>
    </xf>
    <xf numFmtId="0" fontId="9" fillId="7" borderId="131" xfId="0" applyFont="1" applyFill="1" applyBorder="1" applyAlignment="1">
      <alignment horizontal="center" vertical="center" wrapText="1"/>
    </xf>
    <xf numFmtId="0" fontId="9" fillId="7" borderId="106"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64" xfId="0" applyFont="1" applyFill="1" applyBorder="1" applyAlignment="1">
      <alignment horizontal="center" vertical="center"/>
    </xf>
    <xf numFmtId="0" fontId="37" fillId="7" borderId="214"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6"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0" xfId="0" applyFont="1" applyFill="1" applyBorder="1" applyAlignment="1">
      <alignment horizontal="center" vertical="center"/>
    </xf>
    <xf numFmtId="0" fontId="9" fillId="55" borderId="214"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1" xfId="0" applyFont="1" applyFill="1" applyBorder="1" applyAlignment="1" applyProtection="1">
      <alignment horizontal="center" vertical="center" wrapText="1"/>
      <protection locked="0"/>
    </xf>
    <xf numFmtId="0" fontId="13" fillId="55" borderId="200"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wrapText="1"/>
    </xf>
    <xf numFmtId="0" fontId="12" fillId="7" borderId="281" xfId="0" applyFont="1" applyFill="1" applyBorder="1" applyAlignment="1">
      <alignment horizontal="center" vertical="center" wrapText="1"/>
    </xf>
    <xf numFmtId="0" fontId="9" fillId="7" borderId="146" xfId="0" applyFont="1" applyFill="1" applyBorder="1" applyAlignment="1">
      <alignment horizontal="center" vertical="center" wrapText="1"/>
    </xf>
    <xf numFmtId="0" fontId="9" fillId="7" borderId="199" xfId="0" applyFont="1" applyFill="1" applyBorder="1" applyAlignment="1">
      <alignment horizontal="center" vertical="center" wrapText="1"/>
    </xf>
    <xf numFmtId="0" fontId="25" fillId="7" borderId="224" xfId="0" applyFont="1" applyFill="1" applyBorder="1" applyAlignment="1">
      <alignment horizontal="center" vertical="center" wrapText="1"/>
    </xf>
    <xf numFmtId="0" fontId="25" fillId="7" borderId="225" xfId="0" applyFont="1" applyFill="1" applyBorder="1" applyAlignment="1">
      <alignment horizontal="center" vertical="center" wrapText="1"/>
    </xf>
    <xf numFmtId="0" fontId="25" fillId="7" borderId="226" xfId="0" applyFont="1" applyFill="1" applyBorder="1" applyAlignment="1">
      <alignment horizontal="center" vertical="center" wrapText="1"/>
    </xf>
    <xf numFmtId="0" fontId="9" fillId="55" borderId="91"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9" fillId="30" borderId="91" xfId="0" applyFont="1" applyFill="1" applyBorder="1" applyAlignment="1">
      <alignment horizontal="right"/>
    </xf>
    <xf numFmtId="0" fontId="9" fillId="30" borderId="14" xfId="0" applyFont="1" applyFill="1" applyBorder="1" applyAlignment="1">
      <alignment horizontal="right"/>
    </xf>
    <xf numFmtId="0" fontId="16" fillId="40" borderId="214" xfId="0" applyFont="1" applyFill="1" applyBorder="1" applyAlignment="1">
      <alignment horizontal="center" vertical="center" wrapText="1"/>
    </xf>
    <xf numFmtId="0" fontId="16" fillId="40" borderId="216" xfId="0" applyFont="1" applyFill="1" applyBorder="1" applyAlignment="1">
      <alignment horizontal="center" vertical="center" wrapText="1"/>
    </xf>
    <xf numFmtId="0" fontId="16" fillId="40" borderId="106" xfId="0" applyFont="1" applyFill="1" applyBorder="1" applyAlignment="1">
      <alignment horizontal="center" vertical="center" wrapText="1"/>
    </xf>
    <xf numFmtId="0" fontId="16" fillId="40" borderId="275" xfId="0" applyFont="1" applyFill="1" applyBorder="1" applyAlignment="1">
      <alignment horizontal="center" vertical="center" wrapText="1"/>
    </xf>
    <xf numFmtId="0" fontId="13" fillId="7" borderId="216"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3" fillId="7" borderId="185"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9" fillId="7" borderId="96" xfId="0" applyFont="1" applyFill="1" applyBorder="1" applyAlignment="1">
      <alignment horizontal="left"/>
    </xf>
    <xf numFmtId="0" fontId="9" fillId="7" borderId="369" xfId="0" applyFont="1" applyFill="1" applyBorder="1" applyAlignment="1">
      <alignment horizontal="left"/>
    </xf>
    <xf numFmtId="0" fontId="28" fillId="7" borderId="122" xfId="0" applyFont="1" applyFill="1" applyBorder="1" applyAlignment="1">
      <alignment horizontal="center" vertical="center"/>
    </xf>
    <xf numFmtId="0" fontId="28" fillId="7" borderId="144" xfId="0" applyFont="1" applyFill="1" applyBorder="1" applyAlignment="1">
      <alignment horizontal="center" vertical="center"/>
    </xf>
    <xf numFmtId="0" fontId="28" fillId="7" borderId="125" xfId="0" applyFont="1" applyFill="1" applyBorder="1" applyAlignment="1">
      <alignment horizontal="center" vertical="center"/>
    </xf>
    <xf numFmtId="0" fontId="9" fillId="55" borderId="106"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61" xfId="0" applyFont="1" applyFill="1" applyBorder="1" applyAlignment="1">
      <alignment horizontal="center" vertical="center" wrapText="1"/>
    </xf>
    <xf numFmtId="0" fontId="9" fillId="7" borderId="89" xfId="0" applyFont="1" applyFill="1" applyBorder="1"/>
    <xf numFmtId="0" fontId="9" fillId="7" borderId="186" xfId="0" applyFont="1" applyFill="1" applyBorder="1"/>
    <xf numFmtId="0" fontId="9" fillId="7" borderId="552" xfId="0" applyFont="1" applyFill="1" applyBorder="1" applyAlignment="1">
      <alignment horizontal="right" vertical="center" wrapText="1"/>
    </xf>
    <xf numFmtId="0" fontId="9" fillId="7" borderId="553" xfId="0" applyFont="1" applyFill="1" applyBorder="1" applyAlignment="1">
      <alignment horizontal="right" vertical="center" wrapText="1"/>
    </xf>
    <xf numFmtId="0" fontId="16" fillId="7" borderId="122" xfId="0" applyFont="1" applyFill="1" applyBorder="1" applyAlignment="1">
      <alignment horizontal="center" vertical="center"/>
    </xf>
    <xf numFmtId="0" fontId="16" fillId="7" borderId="144" xfId="0" applyFont="1" applyFill="1" applyBorder="1" applyAlignment="1">
      <alignment horizontal="center" vertical="center"/>
    </xf>
    <xf numFmtId="0" fontId="16" fillId="7" borderId="125"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29" xfId="0" applyFont="1" applyFill="1" applyBorder="1" applyAlignment="1">
      <alignment horizontal="center" vertical="center" wrapText="1"/>
    </xf>
    <xf numFmtId="0" fontId="9" fillId="7" borderId="41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8"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1"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3" xfId="0" applyFont="1" applyFill="1" applyBorder="1" applyAlignment="1" applyProtection="1">
      <alignment horizontal="left" vertical="center" wrapText="1"/>
      <protection locked="0"/>
    </xf>
    <xf numFmtId="0" fontId="13" fillId="55" borderId="76" xfId="0" applyFont="1" applyFill="1" applyBorder="1" applyAlignment="1" applyProtection="1">
      <alignment horizontal="left" vertical="center" wrapText="1"/>
      <protection locked="0"/>
    </xf>
    <xf numFmtId="0" fontId="13" fillId="55" borderId="127" xfId="0" applyFont="1" applyFill="1" applyBorder="1" applyAlignment="1" applyProtection="1">
      <alignment horizontal="left" vertical="center" wrapText="1"/>
      <protection locked="0"/>
    </xf>
    <xf numFmtId="0" fontId="13" fillId="7" borderId="91" xfId="0" applyFont="1" applyFill="1" applyBorder="1" applyAlignment="1">
      <alignment horizontal="right" vertical="center" wrapText="1"/>
    </xf>
    <xf numFmtId="0" fontId="9" fillId="7" borderId="209" xfId="0" applyFont="1" applyFill="1" applyBorder="1" applyAlignment="1">
      <alignment horizontal="center" vertical="center" wrapText="1"/>
    </xf>
    <xf numFmtId="0" fontId="9" fillId="7" borderId="210" xfId="0" applyFont="1" applyFill="1" applyBorder="1" applyAlignment="1">
      <alignment horizontal="center" vertical="center" wrapText="1"/>
    </xf>
    <xf numFmtId="0" fontId="13" fillId="7" borderId="170"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2" xfId="0" applyFont="1" applyFill="1" applyBorder="1" applyAlignment="1">
      <alignment horizontal="left" vertical="center" wrapText="1"/>
    </xf>
    <xf numFmtId="0" fontId="21" fillId="7" borderId="348" xfId="0" applyFont="1" applyFill="1" applyBorder="1" applyAlignment="1">
      <alignment horizontal="center"/>
    </xf>
    <xf numFmtId="0" fontId="21" fillId="7" borderId="162" xfId="0" applyFont="1" applyFill="1" applyBorder="1" applyAlignment="1">
      <alignment horizontal="center"/>
    </xf>
    <xf numFmtId="0" fontId="27" fillId="7" borderId="349" xfId="0" applyFont="1" applyFill="1" applyBorder="1" applyAlignment="1">
      <alignment horizontal="center"/>
    </xf>
    <xf numFmtId="0" fontId="21" fillId="7" borderId="312" xfId="0" applyFont="1" applyFill="1" applyBorder="1" applyAlignment="1">
      <alignment horizontal="center"/>
    </xf>
    <xf numFmtId="0" fontId="21" fillId="7" borderId="331" xfId="0" applyFont="1" applyFill="1" applyBorder="1" applyAlignment="1">
      <alignment horizontal="center"/>
    </xf>
    <xf numFmtId="0" fontId="13" fillId="7" borderId="346" xfId="0" applyFont="1" applyFill="1" applyBorder="1" applyAlignment="1">
      <alignment vertical="center" wrapText="1"/>
    </xf>
    <xf numFmtId="0" fontId="13" fillId="7" borderId="68" xfId="0" applyFont="1" applyFill="1" applyBorder="1" applyAlignment="1">
      <alignment vertical="center" wrapText="1"/>
    </xf>
    <xf numFmtId="0" fontId="9" fillId="7" borderId="449" xfId="0" applyFont="1" applyFill="1" applyBorder="1" applyAlignment="1">
      <alignment horizontal="center"/>
    </xf>
    <xf numFmtId="0" fontId="9" fillId="7" borderId="450" xfId="0" applyFont="1" applyFill="1" applyBorder="1" applyAlignment="1">
      <alignment horizontal="center"/>
    </xf>
    <xf numFmtId="0" fontId="27" fillId="7" borderId="659" xfId="0" applyFont="1" applyFill="1" applyBorder="1" applyAlignment="1">
      <alignment horizontal="center"/>
    </xf>
    <xf numFmtId="0" fontId="21" fillId="7" borderId="668" xfId="0" applyFont="1" applyFill="1" applyBorder="1" applyAlignment="1">
      <alignment horizontal="center"/>
    </xf>
    <xf numFmtId="0" fontId="21" fillId="7" borderId="669" xfId="0" applyFont="1" applyFill="1" applyBorder="1" applyAlignment="1">
      <alignment horizontal="center"/>
    </xf>
    <xf numFmtId="0" fontId="13" fillId="7" borderId="89" xfId="0" applyFont="1" applyFill="1" applyBorder="1" applyAlignment="1">
      <alignment horizontal="right" vertical="center" wrapText="1"/>
    </xf>
    <xf numFmtId="0" fontId="13" fillId="7" borderId="76" xfId="0" applyFont="1" applyFill="1" applyBorder="1" applyAlignment="1">
      <alignment horizontal="right" vertical="center" wrapText="1"/>
    </xf>
    <xf numFmtId="0" fontId="13" fillId="7" borderId="154" xfId="0" applyFont="1" applyFill="1" applyBorder="1" applyAlignment="1">
      <alignment horizontal="right" vertical="center" wrapText="1"/>
    </xf>
    <xf numFmtId="0" fontId="13" fillId="7" borderId="658" xfId="0" applyFont="1" applyFill="1" applyBorder="1" applyAlignment="1">
      <alignment vertical="center" wrapText="1"/>
    </xf>
    <xf numFmtId="0" fontId="13" fillId="7" borderId="76" xfId="0" applyFont="1" applyFill="1" applyBorder="1" applyAlignment="1">
      <alignment vertical="center" wrapText="1"/>
    </xf>
    <xf numFmtId="0" fontId="13" fillId="7" borderId="90" xfId="0" applyFont="1" applyFill="1" applyBorder="1" applyAlignment="1">
      <alignment vertical="center" wrapText="1"/>
    </xf>
    <xf numFmtId="0" fontId="9" fillId="7" borderId="203" xfId="0" applyFont="1" applyFill="1" applyBorder="1" applyAlignment="1">
      <alignment horizontal="right" vertical="center" wrapText="1"/>
    </xf>
    <xf numFmtId="0" fontId="13" fillId="55" borderId="149"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6" xfId="0" applyFont="1" applyFill="1" applyBorder="1" applyAlignment="1">
      <alignment horizontal="center" vertical="center"/>
    </xf>
    <xf numFmtId="0" fontId="28" fillId="7" borderId="197" xfId="0" applyFont="1" applyFill="1" applyBorder="1" applyAlignment="1">
      <alignment horizontal="center" vertical="center"/>
    </xf>
    <xf numFmtId="0" fontId="28" fillId="7" borderId="198"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09" xfId="0" applyFont="1" applyFill="1" applyBorder="1" applyAlignment="1">
      <alignment horizontal="center" vertical="center"/>
    </xf>
    <xf numFmtId="0" fontId="45" fillId="8" borderId="329" xfId="0" applyFont="1" applyFill="1" applyBorder="1" applyAlignment="1">
      <alignment horizontal="center" vertical="center"/>
    </xf>
    <xf numFmtId="0" fontId="82" fillId="8" borderId="109" xfId="0" applyFont="1" applyFill="1" applyBorder="1" applyAlignment="1">
      <alignment horizontal="center"/>
    </xf>
    <xf numFmtId="0" fontId="82" fillId="8" borderId="112" xfId="0" applyFont="1" applyFill="1" applyBorder="1" applyAlignment="1">
      <alignment horizontal="center"/>
    </xf>
    <xf numFmtId="0" fontId="82" fillId="8" borderId="110" xfId="0" applyFont="1" applyFill="1" applyBorder="1" applyAlignment="1">
      <alignment horizontal="center"/>
    </xf>
    <xf numFmtId="0" fontId="13" fillId="55" borderId="213"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40" xfId="0" applyFont="1" applyFill="1" applyBorder="1" applyAlignment="1" applyProtection="1">
      <alignment horizontal="center" vertical="center" wrapText="1"/>
      <protection locked="0"/>
    </xf>
    <xf numFmtId="0" fontId="9" fillId="31" borderId="133" xfId="0" applyFont="1" applyFill="1" applyBorder="1" applyAlignment="1">
      <alignment horizontal="center"/>
    </xf>
    <xf numFmtId="0" fontId="9" fillId="31" borderId="76" xfId="0" applyFont="1" applyFill="1" applyBorder="1" applyAlignment="1">
      <alignment horizontal="center"/>
    </xf>
    <xf numFmtId="0" fontId="45" fillId="8" borderId="91" xfId="0" applyFont="1" applyFill="1" applyBorder="1" applyAlignment="1">
      <alignment horizontal="center" vertical="center"/>
    </xf>
    <xf numFmtId="0" fontId="45" fillId="8" borderId="0" xfId="0" applyFont="1" applyFill="1" applyAlignment="1">
      <alignment horizontal="center" vertical="center"/>
    </xf>
    <xf numFmtId="0" fontId="9" fillId="31" borderId="323" xfId="0" applyFont="1" applyFill="1" applyBorder="1" applyAlignment="1">
      <alignment horizontal="center"/>
    </xf>
    <xf numFmtId="0" fontId="9" fillId="31" borderId="322" xfId="0" applyFont="1" applyFill="1" applyBorder="1" applyAlignment="1">
      <alignment horizont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34" fillId="8" borderId="213" xfId="0" applyFont="1" applyFill="1" applyBorder="1" applyAlignment="1">
      <alignment horizontal="center" vertical="center" wrapText="1"/>
    </xf>
    <xf numFmtId="0" fontId="9" fillId="31" borderId="321" xfId="0" applyFont="1" applyFill="1" applyBorder="1" applyAlignment="1">
      <alignment horizontal="center"/>
    </xf>
    <xf numFmtId="0" fontId="13" fillId="31" borderId="0" xfId="0" applyFont="1" applyFill="1" applyAlignment="1">
      <alignment horizontal="center" vertical="center"/>
    </xf>
    <xf numFmtId="0" fontId="34" fillId="8" borderId="0" xfId="0" applyFont="1" applyFill="1" applyAlignment="1">
      <alignment horizontal="center" vertical="center" wrapText="1"/>
    </xf>
    <xf numFmtId="0" fontId="20" fillId="27" borderId="0" xfId="0" applyFont="1" applyFill="1" applyAlignment="1">
      <alignment horizontal="center"/>
    </xf>
    <xf numFmtId="0" fontId="9" fillId="31" borderId="100" xfId="0" applyFont="1" applyFill="1" applyBorder="1" applyAlignment="1">
      <alignment horizontal="center"/>
    </xf>
    <xf numFmtId="0" fontId="9" fillId="31" borderId="102" xfId="0" applyFont="1" applyFill="1" applyBorder="1" applyAlignment="1">
      <alignment horizontal="center"/>
    </xf>
    <xf numFmtId="0" fontId="9" fillId="31" borderId="90" xfId="0" applyFont="1" applyFill="1" applyBorder="1" applyAlignment="1">
      <alignment horizontal="center"/>
    </xf>
    <xf numFmtId="0" fontId="48" fillId="31" borderId="0" xfId="0" applyFont="1" applyFill="1" applyAlignment="1">
      <alignment horizontal="center" shrinkToFit="1"/>
    </xf>
    <xf numFmtId="0" fontId="9" fillId="58" borderId="0" xfId="0" applyFont="1" applyFill="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53" fillId="8" borderId="0" xfId="0" applyFont="1" applyFill="1" applyAlignment="1">
      <alignment horizontal="center" vertical="center"/>
    </xf>
    <xf numFmtId="0" fontId="13" fillId="30" borderId="924" xfId="0" applyFont="1" applyFill="1" applyBorder="1" applyAlignment="1" applyProtection="1">
      <alignment horizontal="center" vertical="center" wrapText="1"/>
      <protection locked="0"/>
    </xf>
    <xf numFmtId="0" fontId="13" fillId="30" borderId="1018" xfId="0" applyFont="1" applyFill="1" applyBorder="1" applyAlignment="1" applyProtection="1">
      <alignment horizontal="center" vertical="center" wrapText="1"/>
      <protection locked="0"/>
    </xf>
    <xf numFmtId="0" fontId="13" fillId="30" borderId="948" xfId="0" applyFont="1" applyFill="1" applyBorder="1" applyAlignment="1" applyProtection="1">
      <alignment horizontal="center" vertical="center" wrapText="1"/>
      <protection locked="0"/>
    </xf>
    <xf numFmtId="0" fontId="13" fillId="30" borderId="780" xfId="0" applyFont="1" applyFill="1" applyBorder="1" applyAlignment="1" applyProtection="1">
      <alignment horizontal="center" vertical="center" wrapText="1"/>
      <protection locked="0"/>
    </xf>
    <xf numFmtId="0" fontId="13" fillId="30" borderId="786" xfId="0" applyFont="1" applyFill="1" applyBorder="1" applyAlignment="1" applyProtection="1">
      <alignment horizontal="center" vertical="center" wrapText="1"/>
      <protection locked="0"/>
    </xf>
    <xf numFmtId="0" fontId="13" fillId="30" borderId="782" xfId="0" applyFont="1" applyFill="1" applyBorder="1" applyAlignment="1" applyProtection="1">
      <alignment horizontal="center" vertical="center" wrapText="1"/>
      <protection locked="0"/>
    </xf>
    <xf numFmtId="0" fontId="16" fillId="7" borderId="1021" xfId="0" applyFont="1" applyFill="1" applyBorder="1" applyAlignment="1">
      <alignment horizontal="center" vertical="center" wrapText="1"/>
    </xf>
    <xf numFmtId="0" fontId="16" fillId="7" borderId="1020" xfId="0" applyFont="1" applyFill="1" applyBorder="1" applyAlignment="1">
      <alignment horizontal="center" vertical="center" wrapText="1"/>
    </xf>
    <xf numFmtId="0" fontId="62" fillId="55" borderId="766"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880" xfId="0" applyFont="1" applyFill="1" applyBorder="1" applyAlignment="1" applyProtection="1">
      <alignment horizontal="center" vertical="top" wrapText="1"/>
      <protection locked="0"/>
    </xf>
    <xf numFmtId="0" fontId="62" fillId="55" borderId="779" xfId="0" applyFont="1" applyFill="1" applyBorder="1" applyAlignment="1" applyProtection="1">
      <alignment horizontal="center" vertical="top" wrapText="1"/>
      <protection locked="0"/>
    </xf>
    <xf numFmtId="0" fontId="62" fillId="55" borderId="780" xfId="0" applyFont="1" applyFill="1" applyBorder="1" applyAlignment="1" applyProtection="1">
      <alignment horizontal="center" vertical="top" wrapText="1"/>
      <protection locked="0"/>
    </xf>
    <xf numFmtId="0" fontId="62" fillId="55" borderId="786" xfId="0" applyFont="1" applyFill="1" applyBorder="1" applyAlignment="1" applyProtection="1">
      <alignment horizontal="center" vertical="top" wrapText="1"/>
      <protection locked="0"/>
    </xf>
    <xf numFmtId="0" fontId="62" fillId="55" borderId="1017" xfId="0" applyFont="1" applyFill="1" applyBorder="1" applyAlignment="1" applyProtection="1">
      <alignment horizontal="center" vertical="top"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990" xfId="0" applyFont="1" applyFill="1" applyBorder="1" applyAlignment="1">
      <alignment horizontal="center" vertical="center" wrapText="1"/>
    </xf>
    <xf numFmtId="0" fontId="9" fillId="3" borderId="990"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3" borderId="77" xfId="0" applyFont="1" applyFill="1" applyBorder="1" applyAlignment="1">
      <alignment horizontal="center" vertical="center" wrapText="1"/>
    </xf>
    <xf numFmtId="0" fontId="92" fillId="3" borderId="77" xfId="0" applyFont="1" applyFill="1" applyBorder="1" applyAlignment="1">
      <alignment horizontal="center" vertical="center" wrapText="1"/>
    </xf>
    <xf numFmtId="0" fontId="9" fillId="7" borderId="74"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9" fillId="3" borderId="900" xfId="0" applyFont="1" applyFill="1" applyBorder="1" applyAlignment="1">
      <alignment horizontal="center" vertical="center" wrapText="1"/>
    </xf>
    <xf numFmtId="0" fontId="9" fillId="3" borderId="991"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879" xfId="0" applyFont="1" applyFill="1" applyBorder="1" applyAlignment="1">
      <alignment horizontal="center" vertical="center" wrapText="1"/>
    </xf>
    <xf numFmtId="0" fontId="9" fillId="3" borderId="452"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15" fillId="8" borderId="163"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62" fillId="50" borderId="235" xfId="0" applyFont="1" applyFill="1" applyBorder="1" applyAlignment="1" applyProtection="1">
      <alignment horizontal="center" vertical="center" wrapText="1"/>
      <protection locked="0"/>
    </xf>
    <xf numFmtId="0" fontId="62" fillId="50" borderId="171" xfId="0" applyFont="1" applyFill="1" applyBorder="1" applyAlignment="1" applyProtection="1">
      <alignment horizontal="center" vertical="center" wrapText="1"/>
      <protection locked="0"/>
    </xf>
    <xf numFmtId="0" fontId="62" fillId="50" borderId="89"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3" xfId="0" applyFont="1" applyFill="1" applyBorder="1" applyAlignment="1">
      <alignment horizontal="center" vertical="center"/>
    </xf>
    <xf numFmtId="0" fontId="67" fillId="3" borderId="94" xfId="0" applyFont="1" applyFill="1" applyBorder="1" applyAlignment="1">
      <alignment horizontal="center" vertical="center"/>
    </xf>
    <xf numFmtId="0" fontId="169" fillId="3" borderId="94" xfId="0" applyFont="1" applyFill="1" applyBorder="1" applyAlignment="1">
      <alignment horizontal="center" vertical="center"/>
    </xf>
    <xf numFmtId="0" fontId="67" fillId="3" borderId="68" xfId="0" applyFont="1" applyFill="1" applyBorder="1" applyAlignment="1">
      <alignment horizontal="center" vertical="center"/>
    </xf>
    <xf numFmtId="0" fontId="11" fillId="55" borderId="429" xfId="0" applyFont="1" applyFill="1" applyBorder="1" applyAlignment="1" applyProtection="1">
      <alignment horizontal="left" vertical="center" wrapText="1"/>
      <protection locked="0"/>
    </xf>
    <xf numFmtId="0" fontId="11" fillId="55" borderId="423" xfId="0" applyFont="1" applyFill="1" applyBorder="1" applyAlignment="1" applyProtection="1">
      <alignment horizontal="left" vertical="center" wrapText="1"/>
      <protection locked="0"/>
    </xf>
    <xf numFmtId="0" fontId="13" fillId="30" borderId="766" xfId="0" applyFont="1" applyFill="1" applyBorder="1" applyAlignment="1">
      <alignment horizontal="left" vertical="center" wrapText="1"/>
    </xf>
    <xf numFmtId="0" fontId="13" fillId="30" borderId="773" xfId="0" applyFont="1" applyFill="1" applyBorder="1" applyAlignment="1">
      <alignment horizontal="left" vertical="center" wrapText="1"/>
    </xf>
    <xf numFmtId="0" fontId="13" fillId="30" borderId="89" xfId="0" applyFont="1" applyFill="1" applyBorder="1" applyAlignment="1">
      <alignment horizontal="left" vertical="center" wrapText="1"/>
    </xf>
    <xf numFmtId="0" fontId="13" fillId="30" borderId="186" xfId="0" applyFont="1" applyFill="1" applyBorder="1" applyAlignment="1">
      <alignment horizontal="left" vertical="center" wrapText="1"/>
    </xf>
    <xf numFmtId="0" fontId="9" fillId="31" borderId="766" xfId="0" applyFont="1" applyFill="1" applyBorder="1" applyAlignment="1">
      <alignment horizontal="right" vertical="center"/>
    </xf>
    <xf numFmtId="0" fontId="9" fillId="31" borderId="0" xfId="0" applyFont="1" applyFill="1" applyAlignment="1">
      <alignment horizontal="right" vertical="center"/>
    </xf>
    <xf numFmtId="0" fontId="9" fillId="31" borderId="635" xfId="0" applyFont="1" applyFill="1" applyBorder="1" applyAlignment="1">
      <alignment horizontal="left" vertical="center"/>
    </xf>
    <xf numFmtId="0" fontId="9" fillId="31" borderId="0" xfId="0" applyFont="1" applyFill="1" applyAlignment="1">
      <alignment horizontal="left" vertical="center"/>
    </xf>
    <xf numFmtId="0" fontId="9" fillId="31" borderId="761" xfId="0" applyFont="1" applyFill="1" applyBorder="1" applyAlignment="1">
      <alignment horizontal="left" vertical="center"/>
    </xf>
    <xf numFmtId="0" fontId="9" fillId="31" borderId="79" xfId="0" applyFont="1" applyFill="1" applyBorder="1" applyAlignment="1">
      <alignment horizontal="right" vertical="center"/>
    </xf>
    <xf numFmtId="0" fontId="15" fillId="8" borderId="869" xfId="0" applyFont="1" applyFill="1" applyBorder="1" applyAlignment="1">
      <alignment horizontal="center" vertical="center" wrapText="1"/>
    </xf>
    <xf numFmtId="0" fontId="15" fillId="8" borderId="870" xfId="0" applyFont="1" applyFill="1" applyBorder="1" applyAlignment="1">
      <alignment horizontal="center" vertical="center" wrapText="1"/>
    </xf>
    <xf numFmtId="0" fontId="15" fillId="8" borderId="871" xfId="0" applyFont="1" applyFill="1" applyBorder="1" applyAlignment="1">
      <alignment horizontal="center" vertical="center" wrapText="1"/>
    </xf>
    <xf numFmtId="0" fontId="62" fillId="55" borderId="11" xfId="0" applyFont="1" applyFill="1" applyBorder="1" applyAlignment="1" applyProtection="1">
      <alignment horizontal="center" vertical="top" wrapText="1"/>
      <protection locked="0"/>
    </xf>
    <xf numFmtId="0" fontId="62" fillId="55" borderId="12" xfId="0" applyFont="1" applyFill="1" applyBorder="1" applyAlignment="1" applyProtection="1">
      <alignment horizontal="center" vertical="top" wrapText="1"/>
      <protection locked="0"/>
    </xf>
    <xf numFmtId="0" fontId="62" fillId="55" borderId="13" xfId="0" applyFont="1" applyFill="1" applyBorder="1" applyAlignment="1" applyProtection="1">
      <alignment horizontal="center" vertical="top" wrapText="1"/>
      <protection locked="0"/>
    </xf>
    <xf numFmtId="0" fontId="62" fillId="55" borderId="14" xfId="0" applyFont="1" applyFill="1" applyBorder="1" applyAlignment="1" applyProtection="1">
      <alignment horizontal="center" vertical="top" wrapText="1"/>
      <protection locked="0"/>
    </xf>
    <xf numFmtId="0" fontId="62" fillId="55" borderId="15" xfId="0" applyFont="1" applyFill="1" applyBorder="1" applyAlignment="1" applyProtection="1">
      <alignment horizontal="center" vertical="top" wrapText="1"/>
      <protection locked="0"/>
    </xf>
    <xf numFmtId="0" fontId="62" fillId="55" borderId="22" xfId="0" applyFont="1" applyFill="1" applyBorder="1" applyAlignment="1" applyProtection="1">
      <alignment horizontal="center" vertical="top" wrapText="1"/>
      <protection locked="0"/>
    </xf>
    <xf numFmtId="0" fontId="62" fillId="55" borderId="16" xfId="0" applyFont="1" applyFill="1" applyBorder="1" applyAlignment="1" applyProtection="1">
      <alignment horizontal="center" vertical="top" wrapText="1"/>
      <protection locked="0"/>
    </xf>
    <xf numFmtId="0" fontId="62" fillId="55" borderId="17" xfId="0" applyFont="1" applyFill="1" applyBorder="1" applyAlignment="1" applyProtection="1">
      <alignment horizontal="center" vertical="top" wrapText="1"/>
      <protection locked="0"/>
    </xf>
    <xf numFmtId="0" fontId="9" fillId="31" borderId="91" xfId="0" applyFont="1" applyFill="1" applyBorder="1" applyAlignment="1">
      <alignment horizontal="right" vertical="center"/>
    </xf>
    <xf numFmtId="0" fontId="9" fillId="31" borderId="78" xfId="0" applyFont="1" applyFill="1" applyBorder="1" applyAlignment="1">
      <alignment horizontal="left" vertical="center"/>
    </xf>
    <xf numFmtId="0" fontId="9" fillId="31" borderId="68" xfId="0" applyFont="1" applyFill="1" applyBorder="1" applyAlignment="1">
      <alignment horizontal="left" vertical="center"/>
    </xf>
    <xf numFmtId="0" fontId="9" fillId="31" borderId="89" xfId="0" applyFont="1" applyFill="1" applyBorder="1" applyAlignment="1">
      <alignment horizontal="right" vertical="center"/>
    </xf>
    <xf numFmtId="0" fontId="9" fillId="31" borderId="786" xfId="0" applyFont="1" applyFill="1" applyBorder="1" applyAlignment="1">
      <alignment horizontal="right" vertical="center"/>
    </xf>
    <xf numFmtId="0" fontId="9" fillId="31" borderId="133" xfId="0" applyFont="1" applyFill="1" applyBorder="1" applyAlignment="1">
      <alignment horizontal="left" vertical="center"/>
    </xf>
    <xf numFmtId="0" fontId="9" fillId="31" borderId="786" xfId="0" applyFont="1" applyFill="1" applyBorder="1" applyAlignment="1">
      <alignment horizontal="left" vertical="center"/>
    </xf>
    <xf numFmtId="0" fontId="9" fillId="31" borderId="772" xfId="0" applyFont="1" applyFill="1" applyBorder="1" applyAlignment="1">
      <alignment horizontal="left" vertical="center"/>
    </xf>
    <xf numFmtId="0" fontId="74" fillId="8" borderId="86" xfId="0" quotePrefix="1" applyFont="1" applyFill="1" applyBorder="1" applyAlignment="1">
      <alignment horizontal="center" vertical="center" wrapText="1"/>
    </xf>
    <xf numFmtId="0" fontId="74" fillId="8" borderId="88"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68" xfId="0" applyFont="1" applyFill="1" applyBorder="1" applyAlignment="1">
      <alignment horizontal="center" vertical="center" wrapText="1"/>
    </xf>
    <xf numFmtId="0" fontId="169" fillId="3" borderId="68" xfId="0" applyFont="1" applyFill="1" applyBorder="1" applyAlignment="1">
      <alignment horizontal="center" vertical="center"/>
    </xf>
    <xf numFmtId="0" fontId="67" fillId="54" borderId="89" xfId="0" applyFont="1" applyFill="1" applyBorder="1" applyAlignment="1" applyProtection="1">
      <alignment horizontal="center" vertical="center"/>
      <protection locked="0"/>
    </xf>
    <xf numFmtId="0" fontId="67" fillId="54" borderId="90" xfId="0" applyFont="1" applyFill="1" applyBorder="1" applyAlignment="1" applyProtection="1">
      <alignment horizontal="center" vertical="center"/>
      <protection locked="0"/>
    </xf>
    <xf numFmtId="1" fontId="140" fillId="55" borderId="557" xfId="0" applyNumberFormat="1" applyFont="1" applyFill="1" applyBorder="1" applyAlignment="1" applyProtection="1">
      <alignment horizontal="center" vertical="center"/>
      <protection locked="0"/>
    </xf>
    <xf numFmtId="1" fontId="140" fillId="55" borderId="558" xfId="0" applyNumberFormat="1" applyFont="1" applyFill="1" applyBorder="1" applyAlignment="1" applyProtection="1">
      <alignment horizontal="center" vertical="center"/>
      <protection locked="0"/>
    </xf>
    <xf numFmtId="1" fontId="140" fillId="55" borderId="873" xfId="0" applyNumberFormat="1" applyFont="1" applyFill="1" applyBorder="1" applyAlignment="1" applyProtection="1">
      <alignment horizontal="center" vertical="center"/>
      <protection locked="0"/>
    </xf>
    <xf numFmtId="0" fontId="20" fillId="7" borderId="328" xfId="0" applyFont="1" applyFill="1" applyBorder="1" applyAlignment="1">
      <alignment horizontal="center" vertical="center"/>
    </xf>
    <xf numFmtId="0" fontId="20" fillId="7" borderId="377" xfId="0" applyFont="1" applyFill="1" applyBorder="1" applyAlignment="1">
      <alignment horizontal="center" vertical="center"/>
    </xf>
    <xf numFmtId="0" fontId="15" fillId="8" borderId="234" xfId="0" applyFont="1" applyFill="1" applyBorder="1" applyAlignment="1">
      <alignment horizontal="center" vertical="center" wrapText="1"/>
    </xf>
    <xf numFmtId="0" fontId="146" fillId="7" borderId="220" xfId="0" applyFont="1" applyFill="1" applyBorder="1" applyAlignment="1">
      <alignment horizontal="center" vertical="center" wrapText="1"/>
    </xf>
    <xf numFmtId="0" fontId="146" fillId="7" borderId="148" xfId="0" applyFont="1" applyFill="1" applyBorder="1" applyAlignment="1">
      <alignment horizontal="center" vertical="center" wrapText="1"/>
    </xf>
    <xf numFmtId="0" fontId="146" fillId="7" borderId="264" xfId="0" applyFont="1" applyFill="1" applyBorder="1" applyAlignment="1">
      <alignment horizontal="center" vertical="center" wrapText="1"/>
    </xf>
    <xf numFmtId="0" fontId="146" fillId="7" borderId="265" xfId="0" applyFont="1" applyFill="1" applyBorder="1" applyAlignment="1">
      <alignment horizontal="center" vertical="center" wrapText="1"/>
    </xf>
    <xf numFmtId="0" fontId="146" fillId="7" borderId="266"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142" xfId="0" applyFont="1" applyFill="1" applyBorder="1" applyAlignment="1">
      <alignment horizontal="center" vertical="center" wrapText="1"/>
    </xf>
    <xf numFmtId="0" fontId="15" fillId="8" borderId="220" xfId="0" applyFont="1" applyFill="1" applyBorder="1" applyAlignment="1">
      <alignment horizontal="center" vertical="center" wrapText="1"/>
    </xf>
    <xf numFmtId="0" fontId="15" fillId="8" borderId="221" xfId="0" applyFont="1" applyFill="1" applyBorder="1" applyAlignment="1">
      <alignment horizontal="center" vertical="center" wrapText="1"/>
    </xf>
    <xf numFmtId="0" fontId="15" fillId="8" borderId="263" xfId="0" applyFont="1" applyFill="1" applyBorder="1" applyAlignment="1">
      <alignment horizontal="center" vertical="center" wrapText="1"/>
    </xf>
    <xf numFmtId="0" fontId="11" fillId="55" borderId="539" xfId="0" applyFont="1" applyFill="1" applyBorder="1" applyAlignment="1" applyProtection="1">
      <alignment horizontal="left" vertical="center" wrapText="1"/>
      <protection locked="0"/>
    </xf>
    <xf numFmtId="0" fontId="11" fillId="55" borderId="540" xfId="0" applyFont="1" applyFill="1" applyBorder="1" applyAlignment="1" applyProtection="1">
      <alignment horizontal="left" vertical="center" wrapText="1"/>
      <protection locked="0"/>
    </xf>
    <xf numFmtId="0" fontId="13" fillId="7" borderId="89" xfId="0" applyFont="1" applyFill="1" applyBorder="1" applyAlignment="1">
      <alignment horizontal="left" vertical="center" wrapText="1"/>
    </xf>
    <xf numFmtId="0" fontId="9" fillId="7" borderId="80" xfId="0" applyFont="1" applyFill="1" applyBorder="1" applyAlignment="1">
      <alignment horizontal="center" vertical="center" wrapText="1"/>
    </xf>
    <xf numFmtId="0" fontId="25" fillId="7" borderId="322" xfId="0" applyFont="1" applyFill="1" applyBorder="1" applyAlignment="1">
      <alignment horizontal="left" vertical="center"/>
    </xf>
    <xf numFmtId="0" fontId="25" fillId="7" borderId="325" xfId="0" applyFont="1" applyFill="1" applyBorder="1" applyAlignment="1">
      <alignment horizontal="left" vertical="center"/>
    </xf>
    <xf numFmtId="0" fontId="9" fillId="7" borderId="282" xfId="0" applyFont="1" applyFill="1" applyBorder="1" applyAlignment="1">
      <alignment horizontal="center"/>
    </xf>
    <xf numFmtId="0" fontId="9" fillId="7" borderId="188" xfId="0" applyFont="1" applyFill="1" applyBorder="1" applyAlignment="1">
      <alignment horizontal="center"/>
    </xf>
    <xf numFmtId="0" fontId="9" fillId="7" borderId="189"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2" xfId="0" applyFont="1" applyFill="1" applyBorder="1" applyAlignment="1">
      <alignment horizontal="center" vertical="center" wrapText="1"/>
    </xf>
    <xf numFmtId="0" fontId="22" fillId="7" borderId="156" xfId="0" applyFont="1" applyFill="1" applyBorder="1" applyAlignment="1">
      <alignment horizontal="center" vertical="center" wrapText="1"/>
    </xf>
    <xf numFmtId="0" fontId="22" fillId="7" borderId="76" xfId="0" applyFont="1" applyFill="1" applyBorder="1" applyAlignment="1">
      <alignment horizontal="center" vertical="center" wrapText="1"/>
    </xf>
    <xf numFmtId="0" fontId="22" fillId="7" borderId="90" xfId="0" applyFont="1" applyFill="1" applyBorder="1" applyAlignment="1">
      <alignment horizontal="center" vertical="center" wrapText="1"/>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5" xfId="0" applyFont="1" applyFill="1" applyBorder="1" applyAlignment="1">
      <alignment horizontal="center" vertical="center" wrapText="1"/>
    </xf>
    <xf numFmtId="0" fontId="38" fillId="7" borderId="91" xfId="0" applyFont="1" applyFill="1" applyBorder="1" applyAlignment="1">
      <alignment horizontal="center" vertical="center" wrapText="1"/>
    </xf>
    <xf numFmtId="0" fontId="38" fillId="7" borderId="79" xfId="0" applyFont="1" applyFill="1" applyBorder="1" applyAlignment="1">
      <alignment horizontal="center" vertical="center" wrapText="1"/>
    </xf>
    <xf numFmtId="0" fontId="38" fillId="7" borderId="740" xfId="0" applyFont="1" applyFill="1" applyBorder="1" applyAlignment="1">
      <alignment horizontal="center" vertical="center" wrapText="1"/>
    </xf>
    <xf numFmtId="0" fontId="38" fillId="7" borderId="752" xfId="0" applyFont="1" applyFill="1" applyBorder="1" applyAlignment="1">
      <alignment horizontal="center" vertical="center" wrapText="1"/>
    </xf>
    <xf numFmtId="1" fontId="11" fillId="55" borderId="534" xfId="0" applyNumberFormat="1" applyFont="1" applyFill="1" applyBorder="1" applyAlignment="1" applyProtection="1">
      <alignment horizontal="center" vertical="center"/>
      <protection locked="0"/>
    </xf>
    <xf numFmtId="1" fontId="11" fillId="55" borderId="671" xfId="0" applyNumberFormat="1" applyFont="1" applyFill="1" applyBorder="1" applyAlignment="1" applyProtection="1">
      <alignment horizontal="center" vertical="center"/>
      <protection locked="0"/>
    </xf>
    <xf numFmtId="0" fontId="11" fillId="54" borderId="429" xfId="0" applyFont="1" applyFill="1" applyBorder="1" applyAlignment="1" applyProtection="1">
      <alignment horizontal="left" vertical="center" wrapText="1"/>
      <protection locked="0"/>
    </xf>
    <xf numFmtId="0" fontId="11" fillId="54" borderId="423" xfId="0" applyFont="1" applyFill="1" applyBorder="1" applyAlignment="1" applyProtection="1">
      <alignment horizontal="left" vertical="center" wrapText="1"/>
      <protection locked="0"/>
    </xf>
    <xf numFmtId="0" fontId="11" fillId="54" borderId="158" xfId="0" applyFont="1" applyFill="1" applyBorder="1" applyAlignment="1" applyProtection="1">
      <alignment horizontal="center" vertical="center"/>
      <protection locked="0"/>
    </xf>
    <xf numFmtId="0" fontId="11" fillId="54" borderId="554" xfId="0" applyFont="1" applyFill="1" applyBorder="1" applyAlignment="1" applyProtection="1">
      <alignment horizontal="center" vertical="center"/>
      <protection locked="0"/>
    </xf>
    <xf numFmtId="0" fontId="20" fillId="31" borderId="921" xfId="0" applyFont="1" applyFill="1" applyBorder="1" applyAlignment="1">
      <alignment horizontal="center" vertical="center"/>
    </xf>
    <xf numFmtId="0" fontId="20" fillId="31" borderId="377" xfId="0" applyFont="1" applyFill="1" applyBorder="1" applyAlignment="1">
      <alignment horizontal="center" vertical="center"/>
    </xf>
    <xf numFmtId="0" fontId="11" fillId="55" borderId="424" xfId="0" applyFont="1" applyFill="1" applyBorder="1" applyAlignment="1" applyProtection="1">
      <alignment horizontal="left" vertical="center" wrapText="1"/>
      <protection locked="0"/>
    </xf>
    <xf numFmtId="0" fontId="13" fillId="7" borderId="106" xfId="0" applyFont="1" applyFill="1" applyBorder="1" applyAlignment="1">
      <alignment horizontal="left" vertical="center" wrapText="1"/>
    </xf>
    <xf numFmtId="0" fontId="13" fillId="7" borderId="418" xfId="0" applyFont="1" applyFill="1" applyBorder="1" applyAlignment="1">
      <alignment horizontal="left" vertical="center" wrapText="1"/>
    </xf>
    <xf numFmtId="0" fontId="25" fillId="7" borderId="72" xfId="0" applyFont="1" applyFill="1" applyBorder="1" applyAlignment="1">
      <alignment horizontal="center" wrapText="1"/>
    </xf>
    <xf numFmtId="0" fontId="25" fillId="7" borderId="707" xfId="0" applyFont="1" applyFill="1" applyBorder="1" applyAlignment="1">
      <alignment horizontal="center" wrapText="1"/>
    </xf>
    <xf numFmtId="0" fontId="25" fillId="7" borderId="710"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1"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4"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9" fillId="7" borderId="475"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1" fillId="55" borderId="346" xfId="0" applyFont="1" applyFill="1" applyBorder="1" applyAlignment="1" applyProtection="1">
      <alignment horizontal="center" vertical="center"/>
      <protection locked="0"/>
    </xf>
    <xf numFmtId="0" fontId="12" fillId="7" borderId="321" xfId="0" applyFont="1" applyFill="1" applyBorder="1" applyAlignment="1">
      <alignment horizontal="right" vertical="center" wrapText="1"/>
    </xf>
    <xf numFmtId="0" fontId="12" fillId="7" borderId="488" xfId="0" applyFont="1" applyFill="1" applyBorder="1" applyAlignment="1">
      <alignment horizontal="right" vertical="center" wrapText="1"/>
    </xf>
    <xf numFmtId="0" fontId="13" fillId="31" borderId="106" xfId="0" applyFont="1" applyFill="1" applyBorder="1" applyAlignment="1">
      <alignment horizontal="left" vertical="center" wrapText="1"/>
    </xf>
    <xf numFmtId="0" fontId="13" fillId="31" borderId="418" xfId="0" applyFont="1" applyFill="1" applyBorder="1" applyAlignment="1">
      <alignment horizontal="left" vertical="center" wrapText="1"/>
    </xf>
    <xf numFmtId="0" fontId="9" fillId="7" borderId="46" xfId="0" applyFont="1" applyFill="1" applyBorder="1" applyAlignment="1">
      <alignment horizontal="center"/>
    </xf>
    <xf numFmtId="0" fontId="11" fillId="55" borderId="497" xfId="0" applyFont="1" applyFill="1" applyBorder="1" applyAlignment="1" applyProtection="1">
      <alignment horizontal="left" vertical="center" wrapText="1"/>
      <protection locked="0"/>
    </xf>
    <xf numFmtId="0" fontId="11" fillId="55" borderId="239" xfId="0" applyFont="1" applyFill="1" applyBorder="1" applyAlignment="1" applyProtection="1">
      <alignment horizontal="left" vertical="center" wrapText="1"/>
      <protection locked="0"/>
    </xf>
    <xf numFmtId="0" fontId="11" fillId="55" borderId="541" xfId="0" applyFont="1" applyFill="1" applyBorder="1" applyAlignment="1" applyProtection="1">
      <alignment horizontal="left" vertical="center" wrapText="1"/>
      <protection locked="0"/>
    </xf>
    <xf numFmtId="0" fontId="20" fillId="30" borderId="921" xfId="0" applyFont="1" applyFill="1" applyBorder="1" applyAlignment="1">
      <alignment horizontal="center" vertical="center"/>
    </xf>
    <xf numFmtId="0" fontId="20" fillId="30" borderId="377" xfId="0" applyFont="1" applyFill="1" applyBorder="1" applyAlignment="1">
      <alignment horizontal="center" vertical="center"/>
    </xf>
    <xf numFmtId="0" fontId="13" fillId="30" borderId="236" xfId="0" applyFont="1" applyFill="1" applyBorder="1" applyAlignment="1">
      <alignment horizontal="left" vertical="center" wrapText="1"/>
    </xf>
    <xf numFmtId="0" fontId="13" fillId="30" borderId="237" xfId="0" applyFont="1" applyFill="1" applyBorder="1" applyAlignment="1">
      <alignment horizontal="left" vertical="center" wrapText="1"/>
    </xf>
    <xf numFmtId="0" fontId="20" fillId="30" borderId="939" xfId="0" applyFont="1" applyFill="1" applyBorder="1" applyAlignment="1">
      <alignment horizontal="center" vertical="center"/>
    </xf>
    <xf numFmtId="0" fontId="20" fillId="7" borderId="325" xfId="0" applyFont="1" applyFill="1" applyBorder="1" applyAlignment="1">
      <alignment horizontal="center" vertical="center"/>
    </xf>
    <xf numFmtId="0" fontId="20" fillId="7" borderId="577" xfId="0" applyFont="1" applyFill="1" applyBorder="1" applyAlignment="1">
      <alignment horizontal="center" vertical="center"/>
    </xf>
    <xf numFmtId="0" fontId="13" fillId="31" borderId="500" xfId="0" applyFont="1" applyFill="1" applyBorder="1" applyAlignment="1">
      <alignment horizontal="left" vertical="center" wrapText="1"/>
    </xf>
    <xf numFmtId="0" fontId="13" fillId="31" borderId="501" xfId="0" applyFont="1" applyFill="1" applyBorder="1" applyAlignment="1">
      <alignment horizontal="left" vertical="center" wrapText="1"/>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2" fillId="7" borderId="74"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9" fillId="3" borderId="14" xfId="0" applyFont="1" applyFill="1" applyBorder="1" applyAlignment="1">
      <alignment horizontal="left"/>
    </xf>
    <xf numFmtId="0" fontId="9" fillId="7" borderId="58" xfId="0" applyFont="1" applyFill="1" applyBorder="1" applyAlignment="1">
      <alignment horizontal="center"/>
    </xf>
    <xf numFmtId="0" fontId="9" fillId="7" borderId="773" xfId="0" applyFont="1" applyFill="1" applyBorder="1" applyAlignment="1">
      <alignment horizontal="left" vertical="center" wrapText="1"/>
    </xf>
    <xf numFmtId="0" fontId="13" fillId="3" borderId="15" xfId="0" applyFont="1" applyFill="1" applyBorder="1" applyAlignment="1">
      <alignment horizontal="center" vertical="center" wrapText="1"/>
    </xf>
    <xf numFmtId="0" fontId="28" fillId="7" borderId="84" xfId="0" applyFont="1" applyFill="1" applyBorder="1" applyAlignment="1">
      <alignment horizontal="center" vertical="center" wrapText="1"/>
    </xf>
    <xf numFmtId="0" fontId="25" fillId="7" borderId="84" xfId="0" applyFont="1" applyFill="1" applyBorder="1" applyAlignment="1">
      <alignment horizontal="center" vertical="center"/>
    </xf>
    <xf numFmtId="0" fontId="9" fillId="7" borderId="44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15" xfId="0" applyFont="1" applyFill="1" applyBorder="1" applyAlignment="1">
      <alignment horizontal="left" vertical="center" wrapText="1"/>
    </xf>
    <xf numFmtId="0" fontId="9" fillId="7" borderId="348" xfId="0" applyFont="1" applyFill="1" applyBorder="1" applyAlignment="1">
      <alignment horizontal="left" vertical="center" wrapText="1"/>
    </xf>
    <xf numFmtId="0" fontId="9" fillId="7" borderId="162" xfId="0" applyFont="1" applyFill="1" applyBorder="1" applyAlignment="1">
      <alignment horizontal="left" vertical="center" wrapText="1"/>
    </xf>
    <xf numFmtId="0" fontId="11" fillId="58" borderId="379" xfId="0" applyFont="1" applyFill="1" applyBorder="1" applyAlignment="1" applyProtection="1">
      <alignment horizontal="center" vertical="center" wrapText="1"/>
      <protection locked="0"/>
    </xf>
    <xf numFmtId="0" fontId="11" fillId="58" borderId="353" xfId="0" applyFont="1" applyFill="1" applyBorder="1" applyAlignment="1" applyProtection="1">
      <alignment horizontal="center" vertical="center" wrapText="1"/>
      <protection locked="0"/>
    </xf>
    <xf numFmtId="0" fontId="11" fillId="58" borderId="38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48" xfId="0" applyFont="1" applyFill="1" applyBorder="1" applyAlignment="1">
      <alignment horizontal="left" vertical="center" wrapText="1"/>
    </xf>
    <xf numFmtId="0" fontId="9" fillId="39" borderId="162" xfId="0" applyFont="1" applyFill="1" applyBorder="1" applyAlignment="1">
      <alignment horizontal="left" vertical="center" wrapText="1"/>
    </xf>
    <xf numFmtId="0" fontId="11" fillId="55" borderId="562" xfId="0" applyFont="1" applyFill="1" applyBorder="1" applyAlignment="1" applyProtection="1">
      <alignment horizontal="left" vertical="center" wrapText="1"/>
      <protection locked="0"/>
    </xf>
    <xf numFmtId="0" fontId="11" fillId="55" borderId="556" xfId="0" applyFont="1" applyFill="1" applyBorder="1" applyAlignment="1" applyProtection="1">
      <alignment horizontal="left" vertical="center" wrapText="1"/>
      <protection locked="0"/>
    </xf>
    <xf numFmtId="20" fontId="11" fillId="55" borderId="394" xfId="0" applyNumberFormat="1" applyFont="1" applyFill="1" applyBorder="1" applyAlignment="1" applyProtection="1">
      <alignment horizontal="center" vertical="center" wrapText="1"/>
      <protection locked="0"/>
    </xf>
    <xf numFmtId="20" fontId="11" fillId="55" borderId="390" xfId="0" applyNumberFormat="1" applyFont="1" applyFill="1" applyBorder="1" applyAlignment="1" applyProtection="1">
      <alignment horizontal="center" vertical="center" wrapText="1"/>
      <protection locked="0"/>
    </xf>
    <xf numFmtId="20" fontId="11" fillId="55" borderId="385" xfId="0" applyNumberFormat="1" applyFont="1" applyFill="1" applyBorder="1" applyAlignment="1" applyProtection="1">
      <alignment horizontal="center" vertical="center" wrapText="1"/>
      <protection locked="0"/>
    </xf>
    <xf numFmtId="20" fontId="11" fillId="55" borderId="379" xfId="0" applyNumberFormat="1" applyFont="1" applyFill="1" applyBorder="1" applyAlignment="1" applyProtection="1">
      <alignment horizontal="center" vertical="center" wrapText="1"/>
      <protection locked="0"/>
    </xf>
    <xf numFmtId="20" fontId="11" fillId="55" borderId="353" xfId="0" applyNumberFormat="1" applyFont="1" applyFill="1" applyBorder="1" applyAlignment="1" applyProtection="1">
      <alignment horizontal="center" vertical="center" wrapText="1"/>
      <protection locked="0"/>
    </xf>
    <xf numFmtId="20" fontId="11" fillId="55" borderId="387" xfId="0" applyNumberFormat="1" applyFont="1" applyFill="1" applyBorder="1" applyAlignment="1" applyProtection="1">
      <alignment horizontal="center" vertical="center" wrapText="1"/>
      <protection locked="0"/>
    </xf>
    <xf numFmtId="0" fontId="11" fillId="55" borderId="499" xfId="0" applyFont="1" applyFill="1" applyBorder="1" applyAlignment="1" applyProtection="1">
      <alignment horizontal="left" vertical="center" wrapText="1"/>
      <protection locked="0"/>
    </xf>
    <xf numFmtId="0" fontId="11" fillId="55" borderId="485"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1" fillId="55" borderId="158" xfId="0" applyFont="1" applyFill="1" applyBorder="1" applyAlignment="1" applyProtection="1">
      <alignment horizontal="center" vertical="center"/>
      <protection locked="0"/>
    </xf>
    <xf numFmtId="0" fontId="11" fillId="55" borderId="554" xfId="0" applyFont="1" applyFill="1" applyBorder="1" applyAlignment="1" applyProtection="1">
      <alignment horizontal="center" vertical="center"/>
      <protection locked="0"/>
    </xf>
    <xf numFmtId="0" fontId="13" fillId="30" borderId="500" xfId="0" applyFont="1" applyFill="1" applyBorder="1" applyAlignment="1">
      <alignment horizontal="left" vertical="center" wrapText="1"/>
    </xf>
    <xf numFmtId="0" fontId="13" fillId="30" borderId="501" xfId="0" applyFont="1" applyFill="1" applyBorder="1" applyAlignment="1">
      <alignment horizontal="left" vertical="center" wrapText="1"/>
    </xf>
    <xf numFmtId="0" fontId="11" fillId="55" borderId="379" xfId="0" applyFont="1" applyFill="1" applyBorder="1" applyAlignment="1" applyProtection="1">
      <alignment horizontal="center" vertical="center" wrapText="1"/>
      <protection locked="0"/>
    </xf>
    <xf numFmtId="0" fontId="11" fillId="55" borderId="353" xfId="0" applyFont="1" applyFill="1" applyBorder="1" applyAlignment="1" applyProtection="1">
      <alignment horizontal="center" vertical="center" wrapText="1"/>
      <protection locked="0"/>
    </xf>
    <xf numFmtId="0" fontId="11" fillId="55" borderId="387" xfId="0" applyFont="1" applyFill="1" applyBorder="1" applyAlignment="1" applyProtection="1">
      <alignment horizontal="center" vertical="center" wrapText="1"/>
      <protection locked="0"/>
    </xf>
    <xf numFmtId="0" fontId="11" fillId="55" borderId="400"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11" fillId="55" borderId="470" xfId="0" applyFont="1" applyFill="1" applyBorder="1" applyAlignment="1" applyProtection="1">
      <alignment horizontal="center" vertical="center" wrapText="1"/>
      <protection locked="0"/>
    </xf>
    <xf numFmtId="0" fontId="11" fillId="55" borderId="381" xfId="0" applyFont="1" applyFill="1" applyBorder="1" applyAlignment="1" applyProtection="1">
      <alignment horizontal="center" vertical="center" wrapText="1"/>
      <protection locked="0"/>
    </xf>
    <xf numFmtId="0" fontId="11" fillId="55" borderId="382" xfId="0" applyFont="1" applyFill="1" applyBorder="1" applyAlignment="1" applyProtection="1">
      <alignment horizontal="center" vertical="center" wrapText="1"/>
      <protection locked="0"/>
    </xf>
    <xf numFmtId="0" fontId="11" fillId="55" borderId="398" xfId="0" applyFont="1" applyFill="1" applyBorder="1" applyAlignment="1" applyProtection="1">
      <alignment horizontal="center" vertical="center" wrapText="1"/>
      <protection locked="0"/>
    </xf>
    <xf numFmtId="0" fontId="9" fillId="7" borderId="185" xfId="0" applyFont="1" applyFill="1" applyBorder="1" applyAlignment="1">
      <alignment horizontal="left" vertical="center" wrapText="1"/>
    </xf>
    <xf numFmtId="0" fontId="9" fillId="7" borderId="451" xfId="0" applyFont="1" applyFill="1" applyBorder="1" applyAlignment="1">
      <alignment horizontal="left" vertical="center" wrapText="1"/>
    </xf>
    <xf numFmtId="0" fontId="9" fillId="7" borderId="250" xfId="0" applyFont="1" applyFill="1" applyBorder="1" applyAlignment="1">
      <alignment horizontal="left" vertical="center" wrapText="1"/>
    </xf>
    <xf numFmtId="0" fontId="11" fillId="58" borderId="410" xfId="0" applyFont="1" applyFill="1" applyBorder="1" applyAlignment="1" applyProtection="1">
      <alignment horizontal="center" vertical="center" wrapText="1"/>
      <protection locked="0"/>
    </xf>
    <xf numFmtId="0" fontId="11" fillId="58" borderId="372" xfId="0" applyFont="1" applyFill="1" applyBorder="1" applyAlignment="1" applyProtection="1">
      <alignment horizontal="center" vertical="center" wrapText="1"/>
      <protection locked="0"/>
    </xf>
    <xf numFmtId="0" fontId="11" fillId="58" borderId="41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296"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00" xfId="0" applyNumberFormat="1" applyFont="1" applyFill="1" applyBorder="1" applyAlignment="1">
      <alignment horizontal="center" vertical="center" wrapText="1"/>
    </xf>
    <xf numFmtId="20" fontId="11" fillId="39" borderId="358" xfId="0" applyNumberFormat="1" applyFont="1" applyFill="1" applyBorder="1" applyAlignment="1">
      <alignment horizontal="center" vertical="center" wrapText="1"/>
    </xf>
    <xf numFmtId="20" fontId="11" fillId="39" borderId="470" xfId="0" applyNumberFormat="1" applyFont="1" applyFill="1" applyBorder="1" applyAlignment="1">
      <alignment horizontal="center" vertical="center" wrapText="1"/>
    </xf>
    <xf numFmtId="20" fontId="11" fillId="39" borderId="410" xfId="0" applyNumberFormat="1" applyFont="1" applyFill="1" applyBorder="1" applyAlignment="1">
      <alignment horizontal="center" vertical="center" wrapText="1"/>
    </xf>
    <xf numFmtId="20" fontId="11" fillId="39" borderId="372" xfId="0" applyNumberFormat="1" applyFont="1" applyFill="1" applyBorder="1" applyAlignment="1">
      <alignment horizontal="center" vertical="center" wrapText="1"/>
    </xf>
    <xf numFmtId="20" fontId="11" fillId="39" borderId="41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23" xfId="0" applyFont="1" applyFill="1" applyBorder="1" applyAlignment="1" applyProtection="1">
      <alignment horizontal="left" vertical="center" wrapText="1"/>
      <protection locked="0"/>
    </xf>
    <xf numFmtId="0" fontId="11" fillId="55" borderId="322" xfId="0" applyFont="1" applyFill="1" applyBorder="1" applyAlignment="1" applyProtection="1">
      <alignment horizontal="left" vertical="center" wrapText="1"/>
      <protection locked="0"/>
    </xf>
    <xf numFmtId="0" fontId="11" fillId="55" borderId="176" xfId="0" applyFont="1" applyFill="1" applyBorder="1" applyAlignment="1" applyProtection="1">
      <alignment horizontal="left" vertical="center" wrapText="1"/>
      <protection locked="0"/>
    </xf>
    <xf numFmtId="0" fontId="13" fillId="30" borderId="744" xfId="0" applyFont="1" applyFill="1" applyBorder="1" applyAlignment="1">
      <alignment horizontal="left" vertical="center" wrapText="1"/>
    </xf>
    <xf numFmtId="0" fontId="13" fillId="30" borderId="743" xfId="0" applyFont="1" applyFill="1" applyBorder="1" applyAlignment="1">
      <alignment horizontal="left" vertical="center" wrapText="1"/>
    </xf>
    <xf numFmtId="20" fontId="11" fillId="30" borderId="400" xfId="0" applyNumberFormat="1" applyFont="1" applyFill="1" applyBorder="1" applyAlignment="1">
      <alignment horizontal="center" vertical="center" wrapText="1"/>
    </xf>
    <xf numFmtId="20" fontId="11" fillId="30" borderId="358" xfId="0" applyNumberFormat="1" applyFont="1" applyFill="1" applyBorder="1" applyAlignment="1">
      <alignment horizontal="center" vertical="center" wrapText="1"/>
    </xf>
    <xf numFmtId="20" fontId="11" fillId="30" borderId="470" xfId="0" applyNumberFormat="1" applyFont="1" applyFill="1" applyBorder="1" applyAlignment="1">
      <alignment horizontal="center" vertical="center" wrapText="1"/>
    </xf>
    <xf numFmtId="20" fontId="11" fillId="30" borderId="381"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398" xfId="0" applyNumberFormat="1" applyFont="1" applyFill="1" applyBorder="1" applyAlignment="1">
      <alignment horizontal="center" vertical="center" wrapText="1"/>
    </xf>
    <xf numFmtId="20" fontId="11" fillId="30" borderId="394" xfId="0" applyNumberFormat="1" applyFont="1" applyFill="1" applyBorder="1" applyAlignment="1">
      <alignment horizontal="center" vertical="center" wrapText="1"/>
    </xf>
    <xf numFmtId="20" fontId="11" fillId="30" borderId="390" xfId="0" applyNumberFormat="1" applyFont="1" applyFill="1" applyBorder="1" applyAlignment="1">
      <alignment horizontal="center" vertical="center" wrapText="1"/>
    </xf>
    <xf numFmtId="20" fontId="11" fillId="30" borderId="385" xfId="0" applyNumberFormat="1" applyFont="1" applyFill="1" applyBorder="1" applyAlignment="1">
      <alignment horizontal="center" vertical="center" wrapText="1"/>
    </xf>
    <xf numFmtId="20" fontId="11" fillId="30" borderId="410" xfId="0" applyNumberFormat="1" applyFont="1" applyFill="1" applyBorder="1" applyAlignment="1">
      <alignment horizontal="center" vertical="center" wrapText="1"/>
    </xf>
    <xf numFmtId="20" fontId="11" fillId="30" borderId="372" xfId="0" applyNumberFormat="1" applyFont="1" applyFill="1" applyBorder="1" applyAlignment="1">
      <alignment horizontal="center" vertical="center" wrapText="1"/>
    </xf>
    <xf numFmtId="20" fontId="11" fillId="30" borderId="411" xfId="0" applyNumberFormat="1" applyFont="1" applyFill="1" applyBorder="1" applyAlignment="1">
      <alignment horizontal="center" vertical="center" wrapText="1"/>
    </xf>
    <xf numFmtId="0" fontId="9" fillId="7" borderId="315"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21" fillId="7" borderId="23" xfId="0" applyFont="1" applyFill="1" applyBorder="1" applyAlignment="1">
      <alignment horizontal="center"/>
    </xf>
    <xf numFmtId="0" fontId="27" fillId="7" borderId="6" xfId="0" applyFont="1" applyFill="1" applyBorder="1" applyAlignment="1">
      <alignment horizontal="center"/>
    </xf>
    <xf numFmtId="0" fontId="21" fillId="7" borderId="21" xfId="0" applyFont="1" applyFill="1" applyBorder="1" applyAlignment="1">
      <alignment horizontal="center"/>
    </xf>
    <xf numFmtId="0" fontId="15" fillId="8" borderId="10" xfId="0" applyFont="1" applyFill="1" applyBorder="1" applyAlignment="1">
      <alignment horizontal="center"/>
    </xf>
    <xf numFmtId="0" fontId="9" fillId="7" borderId="77" xfId="0" applyFont="1" applyFill="1" applyBorder="1" applyAlignment="1">
      <alignment horizontal="center"/>
    </xf>
    <xf numFmtId="0" fontId="11" fillId="55" borderId="872" xfId="0" applyFont="1" applyFill="1" applyBorder="1" applyAlignment="1" applyProtection="1">
      <alignment horizontal="center" vertical="center"/>
      <protection locked="0"/>
    </xf>
    <xf numFmtId="0" fontId="160" fillId="30" borderId="564" xfId="0" applyFont="1" applyFill="1" applyBorder="1" applyAlignment="1">
      <alignment horizontal="center" vertical="center"/>
    </xf>
    <xf numFmtId="0" fontId="160" fillId="30" borderId="100" xfId="0" applyFont="1" applyFill="1" applyBorder="1" applyAlignment="1">
      <alignment horizontal="center" vertical="center"/>
    </xf>
    <xf numFmtId="0" fontId="11" fillId="55" borderId="156" xfId="0" applyFont="1" applyFill="1" applyBorder="1" applyAlignment="1" applyProtection="1">
      <alignment horizontal="center" vertical="center"/>
      <protection locked="0"/>
    </xf>
    <xf numFmtId="0" fontId="160" fillId="30" borderId="102" xfId="0" applyFont="1" applyFill="1" applyBorder="1" applyAlignment="1">
      <alignment horizontal="center" vertical="center"/>
    </xf>
    <xf numFmtId="1" fontId="11" fillId="55" borderId="492" xfId="0" applyNumberFormat="1" applyFont="1" applyFill="1" applyBorder="1" applyAlignment="1" applyProtection="1">
      <alignment horizontal="center" vertical="center"/>
      <protection locked="0"/>
    </xf>
    <xf numFmtId="0" fontId="13" fillId="7" borderId="766" xfId="0" applyFont="1" applyFill="1" applyBorder="1" applyAlignment="1">
      <alignment horizontal="left" vertical="center" wrapText="1"/>
    </xf>
    <xf numFmtId="0" fontId="13" fillId="7" borderId="773" xfId="0" applyFont="1" applyFill="1" applyBorder="1" applyAlignment="1">
      <alignment horizontal="left" vertical="center" wrapText="1"/>
    </xf>
    <xf numFmtId="1" fontId="11" fillId="55" borderId="832" xfId="0" applyNumberFormat="1" applyFont="1" applyFill="1" applyBorder="1" applyAlignment="1" applyProtection="1">
      <alignment horizontal="center" vertical="center"/>
      <protection locked="0"/>
    </xf>
    <xf numFmtId="1" fontId="140" fillId="55" borderId="563" xfId="0" applyNumberFormat="1" applyFont="1" applyFill="1" applyBorder="1" applyAlignment="1" applyProtection="1">
      <alignment horizontal="center" vertical="center"/>
      <protection locked="0"/>
    </xf>
    <xf numFmtId="0" fontId="20" fillId="7" borderId="921" xfId="0" applyFont="1" applyFill="1" applyBorder="1" applyAlignment="1">
      <alignment horizontal="center" vertical="center"/>
    </xf>
    <xf numFmtId="0" fontId="20" fillId="7" borderId="938" xfId="0" applyFont="1" applyFill="1" applyBorder="1" applyAlignment="1">
      <alignment horizontal="center" vertical="center"/>
    </xf>
    <xf numFmtId="0" fontId="21" fillId="7" borderId="274" xfId="0" applyFont="1" applyFill="1" applyBorder="1" applyAlignment="1">
      <alignment horizontal="center"/>
    </xf>
    <xf numFmtId="0" fontId="25" fillId="7" borderId="84" xfId="0" applyFont="1" applyFill="1" applyBorder="1" applyAlignment="1" applyProtection="1">
      <alignment horizontal="left" vertical="top" wrapText="1"/>
      <protection locked="0"/>
    </xf>
    <xf numFmtId="0" fontId="27" fillId="7" borderId="273" xfId="0" applyFont="1" applyFill="1" applyBorder="1" applyAlignment="1">
      <alignment horizontal="center"/>
    </xf>
    <xf numFmtId="0" fontId="9" fillId="7" borderId="774" xfId="0" applyFont="1" applyFill="1" applyBorder="1" applyAlignment="1">
      <alignment horizontal="right" vertical="center" wrapText="1"/>
    </xf>
    <xf numFmtId="0" fontId="12" fillId="7" borderId="775" xfId="0" applyFont="1" applyFill="1" applyBorder="1" applyAlignment="1">
      <alignment horizontal="right" vertical="center" wrapText="1"/>
    </xf>
    <xf numFmtId="0" fontId="12" fillId="7" borderId="774" xfId="0" applyFont="1" applyFill="1" applyBorder="1" applyAlignment="1">
      <alignment horizontal="right" vertical="center" wrapText="1"/>
    </xf>
    <xf numFmtId="0" fontId="57" fillId="60" borderId="128" xfId="0" applyFont="1" applyFill="1" applyBorder="1" applyAlignment="1">
      <alignment horizontal="center"/>
    </xf>
    <xf numFmtId="0" fontId="57" fillId="60" borderId="737" xfId="0" applyFont="1" applyFill="1" applyBorder="1" applyAlignment="1">
      <alignment horizontal="center"/>
    </xf>
    <xf numFmtId="0" fontId="57" fillId="60" borderId="712" xfId="0" applyFont="1" applyFill="1" applyBorder="1" applyAlignment="1">
      <alignment horizontal="center"/>
    </xf>
    <xf numFmtId="0" fontId="9" fillId="31" borderId="677" xfId="0" applyFont="1" applyFill="1" applyBorder="1" applyAlignment="1">
      <alignment horizontal="center"/>
    </xf>
    <xf numFmtId="0" fontId="9" fillId="31" borderId="737" xfId="0" applyFont="1" applyFill="1" applyBorder="1" applyAlignment="1">
      <alignment horizontal="center"/>
    </xf>
    <xf numFmtId="0" fontId="9" fillId="31" borderId="727" xfId="0" applyFont="1" applyFill="1" applyBorder="1" applyAlignment="1">
      <alignment horizontal="center"/>
    </xf>
    <xf numFmtId="0" fontId="9" fillId="31" borderId="323" xfId="0" applyFont="1" applyFill="1" applyBorder="1" applyAlignment="1">
      <alignment horizontal="right" vertical="center"/>
    </xf>
    <xf numFmtId="0" fontId="9" fillId="31" borderId="322" xfId="0" applyFont="1" applyFill="1" applyBorder="1" applyAlignment="1">
      <alignment horizontal="right" vertical="center"/>
    </xf>
    <xf numFmtId="0" fontId="9" fillId="31" borderId="71" xfId="0" applyFont="1" applyFill="1" applyBorder="1" applyAlignment="1">
      <alignment horizontal="right" vertical="center"/>
    </xf>
    <xf numFmtId="0" fontId="9" fillId="31" borderId="321" xfId="0" applyFont="1" applyFill="1" applyBorder="1" applyAlignment="1">
      <alignment horizontal="left" vertical="center"/>
    </xf>
    <xf numFmtId="0" fontId="9" fillId="31" borderId="322" xfId="0" applyFont="1" applyFill="1" applyBorder="1" applyAlignment="1">
      <alignment horizontal="left" vertical="center"/>
    </xf>
    <xf numFmtId="0" fontId="9" fillId="31" borderId="325" xfId="0" applyFont="1" applyFill="1" applyBorder="1" applyAlignment="1">
      <alignment horizontal="left" vertical="center"/>
    </xf>
    <xf numFmtId="0" fontId="9" fillId="3" borderId="773" xfId="0" applyFont="1" applyFill="1" applyBorder="1" applyAlignment="1">
      <alignment horizontal="left"/>
    </xf>
    <xf numFmtId="0" fontId="12" fillId="7" borderId="316" xfId="0" applyFont="1" applyFill="1" applyBorder="1" applyAlignment="1">
      <alignment horizontal="center" vertical="center" wrapText="1"/>
    </xf>
    <xf numFmtId="0" fontId="12" fillId="7" borderId="313" xfId="0" applyFont="1" applyFill="1" applyBorder="1" applyAlignment="1">
      <alignment horizontal="center" vertical="center" wrapText="1"/>
    </xf>
    <xf numFmtId="0" fontId="12" fillId="7" borderId="51" xfId="0" applyFont="1" applyFill="1" applyBorder="1" applyAlignment="1">
      <alignment horizontal="center" vertical="center" wrapText="1"/>
    </xf>
    <xf numFmtId="0" fontId="57" fillId="60" borderId="762" xfId="0" applyFont="1" applyFill="1" applyBorder="1" applyAlignment="1">
      <alignment horizontal="center" vertical="center"/>
    </xf>
    <xf numFmtId="0" fontId="57" fillId="60" borderId="763" xfId="0" applyFont="1" applyFill="1" applyBorder="1" applyAlignment="1">
      <alignment horizontal="center" vertical="center"/>
    </xf>
    <xf numFmtId="0" fontId="57" fillId="60" borderId="764" xfId="0" applyFont="1" applyFill="1" applyBorder="1" applyAlignment="1">
      <alignment horizontal="center" vertical="center"/>
    </xf>
    <xf numFmtId="0" fontId="9" fillId="31" borderId="765" xfId="0" applyFont="1" applyFill="1" applyBorder="1" applyAlignment="1">
      <alignment horizontal="center"/>
    </xf>
    <xf numFmtId="0" fontId="9" fillId="31" borderId="104" xfId="0" applyFont="1" applyFill="1" applyBorder="1" applyAlignment="1">
      <alignment horizontal="center"/>
    </xf>
    <xf numFmtId="0" fontId="9" fillId="31" borderId="766" xfId="0" applyFont="1" applyFill="1" applyBorder="1" applyAlignment="1">
      <alignment horizontal="center"/>
    </xf>
    <xf numFmtId="0" fontId="9" fillId="31" borderId="79" xfId="0" applyFont="1" applyFill="1" applyBorder="1" applyAlignment="1">
      <alignment horizontal="center"/>
    </xf>
    <xf numFmtId="0" fontId="9" fillId="31" borderId="126" xfId="0" applyFont="1" applyFill="1" applyBorder="1" applyAlignment="1">
      <alignment horizontal="center"/>
    </xf>
    <xf numFmtId="0" fontId="9" fillId="31" borderId="767" xfId="0" applyFont="1" applyFill="1" applyBorder="1" applyAlignment="1">
      <alignment horizontal="center"/>
    </xf>
    <xf numFmtId="0" fontId="159" fillId="31" borderId="768" xfId="0" quotePrefix="1" applyFont="1" applyFill="1" applyBorder="1" applyAlignment="1">
      <alignment horizontal="center" vertical="center"/>
    </xf>
    <xf numFmtId="0" fontId="159" fillId="31" borderId="97" xfId="0" applyFont="1" applyFill="1" applyBorder="1" applyAlignment="1">
      <alignment horizontal="center" vertical="center"/>
    </xf>
    <xf numFmtId="0" fontId="159" fillId="31" borderId="768" xfId="0" applyFont="1" applyFill="1" applyBorder="1" applyAlignment="1">
      <alignment horizontal="center" vertical="center"/>
    </xf>
    <xf numFmtId="0" fontId="160" fillId="31" borderId="321" xfId="0" applyFont="1" applyFill="1" applyBorder="1" applyAlignment="1">
      <alignment horizontal="center" vertical="center"/>
    </xf>
    <xf numFmtId="0" fontId="160" fillId="31" borderId="322" xfId="0" applyFont="1" applyFill="1" applyBorder="1" applyAlignment="1">
      <alignment horizontal="center" vertical="center"/>
    </xf>
    <xf numFmtId="0" fontId="160" fillId="31" borderId="325" xfId="0" applyFont="1" applyFill="1" applyBorder="1" applyAlignment="1">
      <alignment horizontal="center" vertical="center"/>
    </xf>
    <xf numFmtId="0" fontId="160" fillId="31" borderId="72" xfId="0" applyFont="1" applyFill="1" applyBorder="1" applyAlignment="1">
      <alignment horizontal="center" vertical="center"/>
    </xf>
    <xf numFmtId="0" fontId="160" fillId="31" borderId="707" xfId="0" applyFont="1" applyFill="1" applyBorder="1" applyAlignment="1">
      <alignment horizontal="center" vertical="center"/>
    </xf>
    <xf numFmtId="0" fontId="160" fillId="31" borderId="710" xfId="0" applyFont="1" applyFill="1" applyBorder="1" applyAlignment="1">
      <alignment horizontal="center" vertical="center"/>
    </xf>
    <xf numFmtId="0" fontId="157" fillId="31" borderId="122" xfId="0" applyFont="1" applyFill="1" applyBorder="1" applyAlignment="1">
      <alignment horizontal="center"/>
    </xf>
    <xf numFmtId="0" fontId="157" fillId="31" borderId="144" xfId="0" applyFont="1" applyFill="1" applyBorder="1" applyAlignment="1">
      <alignment horizontal="center"/>
    </xf>
    <xf numFmtId="0" fontId="157" fillId="31" borderId="125" xfId="0" applyFont="1" applyFill="1" applyBorder="1" applyAlignment="1">
      <alignment horizontal="center"/>
    </xf>
    <xf numFmtId="0" fontId="57" fillId="60" borderId="113" xfId="0" applyFont="1" applyFill="1" applyBorder="1" applyAlignment="1">
      <alignment horizontal="center" vertical="center"/>
    </xf>
    <xf numFmtId="0" fontId="57" fillId="60" borderId="686" xfId="0" applyFont="1" applyFill="1" applyBorder="1" applyAlignment="1">
      <alignment horizontal="center" vertical="center"/>
    </xf>
    <xf numFmtId="0" fontId="57" fillId="60" borderId="674" xfId="0" applyFont="1" applyFill="1" applyBorder="1" applyAlignment="1">
      <alignment horizontal="center" vertical="center"/>
    </xf>
    <xf numFmtId="0" fontId="57" fillId="60" borderId="769" xfId="0" applyFont="1" applyFill="1" applyBorder="1" applyAlignment="1">
      <alignment horizontal="center"/>
    </xf>
    <xf numFmtId="0" fontId="57" fillId="60" borderId="770" xfId="0" applyFont="1" applyFill="1" applyBorder="1" applyAlignment="1">
      <alignment horizontal="center"/>
    </xf>
    <xf numFmtId="0" fontId="57" fillId="60" borderId="771" xfId="0" applyFont="1" applyFill="1" applyBorder="1" applyAlignment="1">
      <alignment horizontal="center"/>
    </xf>
    <xf numFmtId="0" fontId="9" fillId="31" borderId="327" xfId="0" applyFont="1" applyFill="1" applyBorder="1" applyAlignment="1">
      <alignment horizontal="right" vertical="center"/>
    </xf>
    <xf numFmtId="0" fontId="9" fillId="31" borderId="324" xfId="0" applyFont="1" applyFill="1" applyBorder="1" applyAlignment="1">
      <alignment horizontal="right" vertical="center"/>
    </xf>
    <xf numFmtId="0" fontId="9" fillId="31" borderId="765" xfId="0" applyFont="1" applyFill="1" applyBorder="1" applyAlignment="1">
      <alignment horizontal="center" vertical="center" wrapText="1"/>
    </xf>
    <xf numFmtId="0" fontId="9" fillId="31" borderId="126" xfId="0" applyFont="1" applyFill="1" applyBorder="1" applyAlignment="1">
      <alignment horizontal="center" vertical="center" wrapText="1"/>
    </xf>
    <xf numFmtId="0" fontId="61" fillId="31" borderId="0" xfId="0" applyFont="1" applyFill="1" applyAlignment="1">
      <alignment horizontal="center" vertical="center"/>
    </xf>
    <xf numFmtId="0" fontId="61" fillId="31" borderId="68" xfId="0" applyFont="1" applyFill="1" applyBorder="1" applyAlignment="1">
      <alignment horizontal="center" vertical="center"/>
    </xf>
    <xf numFmtId="0" fontId="61" fillId="31" borderId="746" xfId="0" applyFont="1" applyFill="1" applyBorder="1" applyAlignment="1">
      <alignment horizontal="center" vertical="center"/>
    </xf>
    <xf numFmtId="0" fontId="61" fillId="31" borderId="772" xfId="0" applyFont="1" applyFill="1" applyBorder="1" applyAlignment="1">
      <alignment horizontal="center" vertical="center"/>
    </xf>
    <xf numFmtId="0" fontId="9" fillId="31" borderId="126" xfId="0" applyFont="1" applyFill="1" applyBorder="1" applyAlignment="1">
      <alignment horizontal="right" vertical="center"/>
    </xf>
    <xf numFmtId="0" fontId="9" fillId="31" borderId="767" xfId="0" applyFont="1" applyFill="1" applyBorder="1" applyAlignment="1">
      <alignment horizontal="right" vertical="center"/>
    </xf>
    <xf numFmtId="0" fontId="57" fillId="79" borderId="881" xfId="0" applyFont="1" applyFill="1" applyBorder="1" applyAlignment="1">
      <alignment horizontal="center" wrapText="1"/>
    </xf>
    <xf numFmtId="0" fontId="57" fillId="79" borderId="882" xfId="0" applyFont="1" applyFill="1" applyBorder="1" applyAlignment="1">
      <alignment horizontal="center" wrapText="1"/>
    </xf>
    <xf numFmtId="0" fontId="57" fillId="79" borderId="89" xfId="0" applyFont="1" applyFill="1" applyBorder="1" applyAlignment="1">
      <alignment horizontal="center" wrapText="1"/>
    </xf>
    <xf numFmtId="0" fontId="57" fillId="79" borderId="772" xfId="0" applyFont="1" applyFill="1" applyBorder="1" applyAlignment="1">
      <alignment horizontal="center" wrapText="1"/>
    </xf>
    <xf numFmtId="0" fontId="104" fillId="55" borderId="766" xfId="0" applyFont="1" applyFill="1" applyBorder="1" applyAlignment="1" applyProtection="1">
      <alignment horizontal="center" vertical="center"/>
      <protection locked="0"/>
    </xf>
    <xf numFmtId="0" fontId="104" fillId="55" borderId="880" xfId="0" applyFont="1" applyFill="1" applyBorder="1" applyAlignment="1" applyProtection="1">
      <alignment horizontal="center" vertical="center"/>
      <protection locked="0"/>
    </xf>
    <xf numFmtId="0" fontId="104" fillId="55" borderId="89" xfId="0" applyFont="1" applyFill="1" applyBorder="1" applyAlignment="1" applyProtection="1">
      <alignment horizontal="center" vertical="center"/>
      <protection locked="0"/>
    </xf>
    <xf numFmtId="0" fontId="104" fillId="55" borderId="772"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9" fillId="27" borderId="459" xfId="0" applyFont="1" applyFill="1" applyBorder="1" applyAlignment="1">
      <alignment horizontal="center" vertical="center" wrapText="1"/>
    </xf>
    <xf numFmtId="0" fontId="9" fillId="27" borderId="461" xfId="0" applyFont="1" applyFill="1" applyBorder="1" applyAlignment="1">
      <alignment horizontal="center" vertical="center" wrapText="1"/>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9" fillId="27" borderId="584" xfId="0" applyFont="1" applyFill="1" applyBorder="1" applyAlignment="1">
      <alignment horizontal="center" vertical="center" wrapText="1"/>
    </xf>
    <xf numFmtId="0" fontId="9" fillId="27" borderId="794" xfId="0" applyFont="1" applyFill="1" applyBorder="1" applyAlignment="1">
      <alignment horizontal="center" vertical="center" wrapText="1"/>
    </xf>
    <xf numFmtId="0" fontId="9" fillId="27" borderId="799" xfId="0" applyFont="1" applyFill="1" applyBorder="1" applyAlignment="1">
      <alignment horizontal="center" vertical="center" wrapText="1"/>
    </xf>
    <xf numFmtId="0" fontId="9" fillId="27" borderId="800" xfId="0" applyFont="1" applyFill="1" applyBorder="1" applyAlignment="1">
      <alignment horizontal="center" vertical="center" wrapText="1"/>
    </xf>
    <xf numFmtId="0" fontId="146" fillId="7" borderId="789" xfId="0" applyFont="1" applyFill="1" applyBorder="1" applyAlignment="1">
      <alignment horizontal="center" vertical="center" wrapText="1"/>
    </xf>
    <xf numFmtId="0" fontId="146" fillId="7" borderId="790" xfId="0" applyFont="1" applyFill="1" applyBorder="1" applyAlignment="1">
      <alignment horizontal="center" vertical="center" wrapText="1"/>
    </xf>
    <xf numFmtId="0" fontId="137" fillId="39" borderId="791" xfId="0" applyFont="1" applyFill="1" applyBorder="1" applyAlignment="1">
      <alignment horizontal="center" vertical="center" textRotation="255"/>
    </xf>
    <xf numFmtId="0" fontId="137" fillId="39" borderId="68" xfId="0" applyFont="1" applyFill="1" applyBorder="1" applyAlignment="1">
      <alignment horizontal="center" vertical="center" textRotation="255"/>
    </xf>
    <xf numFmtId="0" fontId="137" fillId="39" borderId="462" xfId="0" applyFont="1" applyFill="1" applyBorder="1" applyAlignment="1">
      <alignment horizontal="center" vertical="center" textRotation="255"/>
    </xf>
    <xf numFmtId="0" fontId="9" fillId="27" borderId="0" xfId="0" applyFont="1" applyFill="1" applyAlignment="1">
      <alignment horizontal="center" vertical="center" wrapText="1"/>
    </xf>
    <xf numFmtId="0" fontId="9" fillId="31" borderId="806" xfId="0" applyFont="1" applyFill="1" applyBorder="1" applyAlignment="1">
      <alignment horizontal="center"/>
    </xf>
    <xf numFmtId="0" fontId="9" fillId="31" borderId="807" xfId="0" applyFont="1" applyFill="1" applyBorder="1" applyAlignment="1">
      <alignment horizontal="center"/>
    </xf>
    <xf numFmtId="0" fontId="9" fillId="31" borderId="808" xfId="0" applyFont="1" applyFill="1" applyBorder="1" applyAlignment="1">
      <alignment horizontal="center"/>
    </xf>
    <xf numFmtId="0" fontId="9" fillId="31" borderId="809" xfId="0" applyFont="1" applyFill="1" applyBorder="1" applyAlignment="1">
      <alignment horizontal="center"/>
    </xf>
    <xf numFmtId="0" fontId="9" fillId="31" borderId="810" xfId="0" applyFont="1" applyFill="1" applyBorder="1" applyAlignment="1">
      <alignment horizontal="center"/>
    </xf>
    <xf numFmtId="0" fontId="9" fillId="7" borderId="811" xfId="0" applyFont="1" applyFill="1" applyBorder="1" applyAlignment="1">
      <alignment horizontal="center" vertical="center" wrapText="1"/>
    </xf>
    <xf numFmtId="0" fontId="9" fillId="7" borderId="807" xfId="0" applyFont="1" applyFill="1" applyBorder="1" applyAlignment="1">
      <alignment horizontal="center" vertical="center" wrapText="1"/>
    </xf>
    <xf numFmtId="0" fontId="9" fillId="7" borderId="812" xfId="0" applyFont="1" applyFill="1" applyBorder="1" applyAlignment="1">
      <alignment horizontal="center" vertical="center" wrapText="1"/>
    </xf>
    <xf numFmtId="0" fontId="9" fillId="7" borderId="813" xfId="0" applyFont="1" applyFill="1" applyBorder="1" applyAlignment="1">
      <alignment horizontal="center" vertical="center" wrapText="1"/>
    </xf>
    <xf numFmtId="0" fontId="9" fillId="27" borderId="460" xfId="0" applyFont="1" applyFill="1" applyBorder="1" applyAlignment="1">
      <alignment horizontal="center" vertical="center" wrapText="1"/>
    </xf>
    <xf numFmtId="0" fontId="34" fillId="80" borderId="109" xfId="0" applyFont="1" applyFill="1" applyBorder="1" applyAlignment="1">
      <alignment horizontal="center" vertical="center" wrapText="1"/>
    </xf>
    <xf numFmtId="0" fontId="34" fillId="80" borderId="112" xfId="0" applyFont="1" applyFill="1" applyBorder="1" applyAlignment="1">
      <alignment horizontal="center" vertical="center" wrapText="1"/>
    </xf>
    <xf numFmtId="0" fontId="34" fillId="80" borderId="140" xfId="0" applyFont="1" applyFill="1" applyBorder="1" applyAlignment="1">
      <alignment horizontal="center" vertical="center" wrapText="1"/>
    </xf>
    <xf numFmtId="0" fontId="9" fillId="27" borderId="769" xfId="0" applyFont="1" applyFill="1" applyBorder="1" applyAlignment="1">
      <alignment horizontal="center" vertical="center" wrapText="1"/>
    </xf>
    <xf numFmtId="0" fontId="9" fillId="27" borderId="798" xfId="0" applyFont="1" applyFill="1" applyBorder="1" applyAlignment="1">
      <alignment horizontal="center" vertical="center" wrapText="1"/>
    </xf>
    <xf numFmtId="0" fontId="9" fillId="27" borderId="91" xfId="0" applyFont="1" applyFill="1" applyBorder="1" applyAlignment="1">
      <alignment horizontal="center" vertical="center" wrapText="1"/>
    </xf>
    <xf numFmtId="0" fontId="9" fillId="27" borderId="106" xfId="0" applyFont="1" applyFill="1" applyBorder="1" applyAlignment="1">
      <alignment horizontal="center" vertical="center" wrapText="1"/>
    </xf>
    <xf numFmtId="0" fontId="37" fillId="7" borderId="153" xfId="0" applyFont="1" applyFill="1" applyBorder="1" applyAlignment="1">
      <alignment horizontal="center" vertical="center"/>
    </xf>
    <xf numFmtId="0" fontId="37" fillId="7" borderId="308" xfId="0" applyFont="1" applyFill="1" applyBorder="1" applyAlignment="1">
      <alignment horizontal="center" vertical="center"/>
    </xf>
    <xf numFmtId="0" fontId="37" fillId="7" borderId="750" xfId="0" applyFont="1" applyFill="1" applyBorder="1" applyAlignment="1">
      <alignment horizontal="center" vertical="center"/>
    </xf>
    <xf numFmtId="0" fontId="37" fillId="7" borderId="375" xfId="0" applyFont="1" applyFill="1" applyBorder="1" applyAlignment="1">
      <alignment horizontal="center" vertical="center"/>
    </xf>
    <xf numFmtId="0" fontId="37" fillId="7" borderId="272" xfId="0" applyFont="1" applyFill="1" applyBorder="1" applyAlignment="1">
      <alignment horizontal="center" vertical="center"/>
    </xf>
    <xf numFmtId="0" fontId="38" fillId="7" borderId="753"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747" xfId="0" applyFont="1" applyFill="1" applyBorder="1" applyAlignment="1">
      <alignment horizontal="center" vertical="center"/>
    </xf>
    <xf numFmtId="0" fontId="38" fillId="7" borderId="308" xfId="0" applyFont="1" applyFill="1" applyBorder="1" applyAlignment="1">
      <alignment horizontal="center" vertical="center"/>
    </xf>
    <xf numFmtId="0" fontId="38" fillId="7" borderId="554"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814" xfId="0" applyFont="1" applyFill="1" applyBorder="1" applyAlignment="1">
      <alignment horizontal="center" vertical="center"/>
    </xf>
    <xf numFmtId="0" fontId="38" fillId="7" borderId="815" xfId="0" applyFont="1" applyFill="1" applyBorder="1" applyAlignment="1">
      <alignment horizontal="center" vertical="center"/>
    </xf>
    <xf numFmtId="0" fontId="38" fillId="7" borderId="710" xfId="0" applyFont="1" applyFill="1" applyBorder="1" applyAlignment="1">
      <alignment horizontal="center" vertical="center"/>
    </xf>
    <xf numFmtId="0" fontId="136" fillId="31" borderId="816" xfId="0" applyFont="1" applyFill="1" applyBorder="1" applyAlignment="1">
      <alignment horizontal="center"/>
    </xf>
    <xf numFmtId="0" fontId="136" fillId="31" borderId="817" xfId="0" applyFont="1" applyFill="1" applyBorder="1" applyAlignment="1">
      <alignment horizontal="center"/>
    </xf>
    <xf numFmtId="0" fontId="136" fillId="31" borderId="818" xfId="0" applyFont="1" applyFill="1" applyBorder="1" applyAlignment="1">
      <alignment horizontal="center"/>
    </xf>
    <xf numFmtId="0" fontId="164" fillId="30" borderId="11" xfId="0" applyFont="1" applyFill="1" applyBorder="1" applyAlignment="1">
      <alignment horizontal="center" vertical="center"/>
    </xf>
    <xf numFmtId="0" fontId="164" fillId="30" borderId="12" xfId="0" applyFont="1" applyFill="1" applyBorder="1" applyAlignment="1">
      <alignment horizontal="center" vertical="center"/>
    </xf>
    <xf numFmtId="0" fontId="164" fillId="30" borderId="14" xfId="0" applyFont="1" applyFill="1" applyBorder="1" applyAlignment="1">
      <alignment horizontal="center" vertical="center"/>
    </xf>
    <xf numFmtId="0" fontId="164" fillId="30" borderId="0" xfId="0" applyFont="1" applyFill="1" applyAlignment="1">
      <alignment horizontal="center" vertical="center"/>
    </xf>
    <xf numFmtId="0" fontId="164" fillId="30" borderId="777" xfId="0" applyFont="1" applyFill="1" applyBorder="1" applyAlignment="1">
      <alignment horizontal="center" vertical="center"/>
    </xf>
    <xf numFmtId="0" fontId="164" fillId="30" borderId="776" xfId="0" applyFont="1" applyFill="1" applyBorder="1" applyAlignment="1">
      <alignment horizontal="center" vertical="center"/>
    </xf>
    <xf numFmtId="0" fontId="31" fillId="7" borderId="0" xfId="0" applyFont="1" applyFill="1" applyAlignment="1">
      <alignment horizontal="center" vertical="center" wrapText="1"/>
    </xf>
    <xf numFmtId="0" fontId="165"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821" xfId="0" applyFont="1" applyFill="1" applyBorder="1" applyAlignment="1" applyProtection="1">
      <alignment horizontal="center" vertical="center" wrapText="1"/>
      <protection locked="0"/>
    </xf>
    <xf numFmtId="0" fontId="93" fillId="28" borderId="822" xfId="0" applyFont="1" applyFill="1" applyBorder="1" applyAlignment="1" applyProtection="1">
      <alignment horizontal="center" vertical="center" wrapText="1"/>
      <protection locked="0"/>
    </xf>
    <xf numFmtId="0" fontId="93" fillId="28" borderId="823" xfId="0" applyFont="1" applyFill="1" applyBorder="1" applyAlignment="1" applyProtection="1">
      <alignment horizontal="center" vertical="center" wrapText="1"/>
      <protection locked="0"/>
    </xf>
    <xf numFmtId="0" fontId="93" fillId="28" borderId="824" xfId="0" applyFont="1" applyFill="1" applyBorder="1" applyAlignment="1" applyProtection="1">
      <alignment horizontal="center" vertical="center" wrapText="1"/>
      <protection locked="0"/>
    </xf>
    <xf numFmtId="0" fontId="93" fillId="28" borderId="825" xfId="0" applyFont="1" applyFill="1" applyBorder="1" applyAlignment="1" applyProtection="1">
      <alignment horizontal="center" vertical="center" wrapText="1"/>
      <protection locked="0"/>
    </xf>
    <xf numFmtId="0" fontId="93" fillId="28" borderId="826" xfId="0" applyFont="1" applyFill="1" applyBorder="1" applyAlignment="1" applyProtection="1">
      <alignment horizontal="center" vertical="center" wrapText="1"/>
      <protection locked="0"/>
    </xf>
    <xf numFmtId="0" fontId="57" fillId="43" borderId="769" xfId="0" applyFont="1" applyFill="1" applyBorder="1" applyAlignment="1">
      <alignment horizontal="center" vertical="center"/>
    </xf>
    <xf numFmtId="0" fontId="57" fillId="43" borderId="771" xfId="0" applyFont="1" applyFill="1" applyBorder="1" applyAlignment="1">
      <alignment horizontal="center" vertical="center"/>
    </xf>
    <xf numFmtId="0" fontId="34" fillId="13" borderId="93" xfId="0" applyFont="1" applyFill="1" applyBorder="1" applyAlignment="1">
      <alignment horizontal="center" vertical="center" textRotation="90"/>
    </xf>
    <xf numFmtId="0" fontId="34" fillId="13" borderId="94" xfId="0" applyFont="1" applyFill="1" applyBorder="1" applyAlignment="1">
      <alignment horizontal="center" vertical="center" textRotation="90"/>
    </xf>
    <xf numFmtId="0" fontId="34" fillId="13" borderId="95" xfId="0" applyFont="1" applyFill="1" applyBorder="1" applyAlignment="1">
      <alignment horizontal="center" vertical="center" textRotation="90"/>
    </xf>
    <xf numFmtId="0" fontId="9" fillId="23" borderId="737" xfId="0" applyFont="1" applyFill="1" applyBorder="1" applyAlignment="1">
      <alignment horizontal="center" vertical="center" wrapText="1"/>
    </xf>
    <xf numFmtId="0" fontId="9" fillId="23" borderId="712" xfId="0" applyFont="1" applyFill="1" applyBorder="1" applyAlignment="1">
      <alignment horizontal="center" vertical="center" wrapText="1"/>
    </xf>
    <xf numFmtId="0" fontId="66" fillId="13" borderId="737" xfId="0" applyFont="1" applyFill="1" applyBorder="1" applyAlignment="1">
      <alignment horizontal="center" vertical="center"/>
    </xf>
    <xf numFmtId="0" fontId="13" fillId="28" borderId="89" xfId="0" applyFont="1" applyFill="1" applyBorder="1" applyAlignment="1" applyProtection="1">
      <alignment horizontal="center" vertical="center" wrapText="1"/>
      <protection locked="0"/>
    </xf>
    <xf numFmtId="0" fontId="13" fillId="28" borderId="772" xfId="0" applyFont="1" applyFill="1" applyBorder="1" applyAlignment="1" applyProtection="1">
      <alignment horizontal="center" vertical="center" wrapText="1"/>
      <protection locked="0"/>
    </xf>
    <xf numFmtId="0" fontId="140" fillId="28" borderId="828" xfId="0" applyFont="1" applyFill="1" applyBorder="1" applyAlignment="1" applyProtection="1">
      <alignment horizontal="center" vertical="center" wrapText="1"/>
      <protection locked="0"/>
    </xf>
    <xf numFmtId="0" fontId="140" fillId="28" borderId="71" xfId="0" applyFont="1" applyFill="1" applyBorder="1" applyAlignment="1" applyProtection="1">
      <alignment horizontal="center" vertical="center" wrapText="1"/>
      <protection locked="0"/>
    </xf>
    <xf numFmtId="0" fontId="39" fillId="23" borderId="762" xfId="0" applyFont="1" applyFill="1" applyBorder="1" applyAlignment="1">
      <alignment horizontal="center" vertical="center" shrinkToFit="1"/>
    </xf>
    <xf numFmtId="0" fontId="39" fillId="23" borderId="131" xfId="0" applyFont="1" applyFill="1" applyBorder="1" applyAlignment="1">
      <alignment horizontal="center" vertical="center" shrinkToFit="1"/>
    </xf>
    <xf numFmtId="0" fontId="11" fillId="55" borderId="829" xfId="0" applyFont="1" applyFill="1" applyBorder="1" applyAlignment="1" applyProtection="1">
      <alignment horizontal="center" vertical="center" wrapText="1"/>
      <protection locked="0"/>
    </xf>
    <xf numFmtId="0" fontId="11" fillId="55" borderId="771" xfId="0" applyFont="1" applyFill="1" applyBorder="1" applyAlignment="1" applyProtection="1">
      <alignment horizontal="center" vertical="center" wrapText="1"/>
      <protection locked="0"/>
    </xf>
    <xf numFmtId="0" fontId="11" fillId="55" borderId="72" xfId="0" applyFont="1" applyFill="1" applyBorder="1" applyAlignment="1" applyProtection="1">
      <alignment horizontal="center" vertical="center" wrapText="1"/>
      <protection locked="0"/>
    </xf>
    <xf numFmtId="0" fontId="11" fillId="55" borderId="710" xfId="0" applyFont="1" applyFill="1" applyBorder="1" applyAlignment="1" applyProtection="1">
      <alignment horizontal="center" vertical="center" wrapText="1"/>
      <protection locked="0"/>
    </xf>
    <xf numFmtId="0" fontId="86" fillId="43" borderId="109" xfId="0" applyFont="1" applyFill="1" applyBorder="1" applyAlignment="1">
      <alignment horizontal="center"/>
    </xf>
    <xf numFmtId="0" fontId="86" fillId="43" borderId="112" xfId="0" applyFont="1" applyFill="1" applyBorder="1" applyAlignment="1">
      <alignment horizontal="center"/>
    </xf>
    <xf numFmtId="0" fontId="86" fillId="43" borderId="140" xfId="0" applyFont="1" applyFill="1" applyBorder="1" applyAlignment="1">
      <alignment horizontal="center"/>
    </xf>
    <xf numFmtId="0" fontId="9" fillId="7" borderId="78" xfId="0" applyFont="1" applyFill="1" applyBorder="1" applyAlignment="1">
      <alignment horizontal="right" vertical="center" wrapText="1"/>
    </xf>
    <xf numFmtId="0" fontId="9" fillId="7" borderId="708" xfId="0" applyFont="1" applyFill="1" applyBorder="1" applyAlignment="1">
      <alignment horizontal="right" vertical="center" wrapText="1"/>
    </xf>
    <xf numFmtId="0" fontId="166" fillId="43" borderId="769" xfId="0" applyFont="1" applyFill="1" applyBorder="1" applyAlignment="1">
      <alignment horizontal="center" vertical="center"/>
    </xf>
    <xf numFmtId="0" fontId="166" fillId="43" borderId="785" xfId="0" applyFont="1" applyFill="1" applyBorder="1" applyAlignment="1">
      <alignment horizontal="center" vertical="center"/>
    </xf>
    <xf numFmtId="0" fontId="166" fillId="43" borderId="771" xfId="0" applyFont="1" applyFill="1" applyBorder="1" applyAlignment="1">
      <alignment horizontal="center" vertical="center"/>
    </xf>
    <xf numFmtId="0" fontId="166" fillId="43" borderId="779" xfId="0" applyFont="1" applyFill="1" applyBorder="1" applyAlignment="1">
      <alignment horizontal="center" vertical="center"/>
    </xf>
    <xf numFmtId="0" fontId="166" fillId="43" borderId="0" xfId="0" applyFont="1" applyFill="1" applyAlignment="1">
      <alignment horizontal="center" vertical="center"/>
    </xf>
    <xf numFmtId="0" fontId="166" fillId="43" borderId="68" xfId="0" applyFont="1" applyFill="1" applyBorder="1" applyAlignment="1">
      <alignment horizontal="center" vertical="center"/>
    </xf>
    <xf numFmtId="0" fontId="140" fillId="28" borderId="830" xfId="0" applyFont="1" applyFill="1" applyBorder="1" applyAlignment="1" applyProtection="1">
      <alignment horizontal="center" vertical="center" wrapText="1"/>
      <protection locked="0"/>
    </xf>
    <xf numFmtId="0" fontId="140" fillId="28" borderId="831" xfId="0" applyFont="1" applyFill="1" applyBorder="1" applyAlignment="1" applyProtection="1">
      <alignment horizontal="center" vertical="center" wrapText="1"/>
      <protection locked="0"/>
    </xf>
    <xf numFmtId="0" fontId="9" fillId="7" borderId="321" xfId="0" applyFont="1" applyFill="1" applyBorder="1" applyAlignment="1">
      <alignment horizontal="right" vertical="center" wrapText="1"/>
    </xf>
    <xf numFmtId="0" fontId="9" fillId="7" borderId="71" xfId="0" applyFont="1" applyFill="1" applyBorder="1" applyAlignment="1">
      <alignment horizontal="right" vertical="center" wrapText="1"/>
    </xf>
    <xf numFmtId="0" fontId="13" fillId="24" borderId="144" xfId="0" applyFont="1" applyFill="1" applyBorder="1" applyAlignment="1">
      <alignment horizontal="center" vertical="center"/>
    </xf>
    <xf numFmtId="0" fontId="13" fillId="24" borderId="125" xfId="0" applyFont="1" applyFill="1" applyBorder="1" applyAlignment="1">
      <alignment horizontal="center" vertical="center"/>
    </xf>
    <xf numFmtId="0" fontId="140" fillId="28" borderId="455" xfId="0" applyFont="1" applyFill="1" applyBorder="1" applyAlignment="1" applyProtection="1">
      <alignment horizontal="center" vertical="center" wrapText="1"/>
      <protection locked="0"/>
    </xf>
    <xf numFmtId="0" fontId="140" fillId="28" borderId="784" xfId="0" applyFont="1" applyFill="1" applyBorder="1" applyAlignment="1" applyProtection="1">
      <alignment horizontal="center" vertical="center" wrapText="1"/>
      <protection locked="0"/>
    </xf>
    <xf numFmtId="0" fontId="61" fillId="19" borderId="104" xfId="0" applyFont="1" applyFill="1" applyBorder="1" applyAlignment="1">
      <alignment horizontal="center" vertical="center"/>
    </xf>
    <xf numFmtId="0" fontId="0" fillId="19" borderId="827" xfId="0" applyFill="1" applyBorder="1" applyAlignment="1">
      <alignment horizontal="center" vertical="center"/>
    </xf>
    <xf numFmtId="0" fontId="0" fillId="19" borderId="104" xfId="0" applyFill="1" applyBorder="1" applyAlignment="1">
      <alignment horizontal="center" vertical="center"/>
    </xf>
    <xf numFmtId="1" fontId="24" fillId="23" borderId="762" xfId="0" applyNumberFormat="1" applyFont="1" applyFill="1" applyBorder="1" applyAlignment="1">
      <alignment horizontal="center" vertical="center" wrapText="1"/>
    </xf>
    <xf numFmtId="0" fontId="13" fillId="23" borderId="829" xfId="0" applyFont="1" applyFill="1" applyBorder="1" applyAlignment="1">
      <alignment horizontal="center" wrapText="1"/>
    </xf>
    <xf numFmtId="0" fontId="13" fillId="23" borderId="771" xfId="0" applyFont="1" applyFill="1" applyBorder="1" applyAlignment="1">
      <alignment horizontal="center" wrapText="1"/>
    </xf>
    <xf numFmtId="0" fontId="0" fillId="24" borderId="827" xfId="0" applyFill="1" applyBorder="1" applyAlignment="1">
      <alignment horizontal="center" vertical="center"/>
    </xf>
    <xf numFmtId="0" fontId="0" fillId="24" borderId="104" xfId="0" applyFill="1" applyBorder="1" applyAlignment="1">
      <alignment horizontal="center" vertical="center"/>
    </xf>
    <xf numFmtId="0" fontId="61" fillId="24" borderId="104" xfId="0" applyFont="1" applyFill="1" applyBorder="1" applyAlignment="1">
      <alignment horizontal="center" vertical="center"/>
    </xf>
    <xf numFmtId="0" fontId="0" fillId="24" borderId="78" xfId="0" applyFill="1" applyBorder="1" applyAlignment="1">
      <alignment horizontal="center" vertical="center"/>
    </xf>
    <xf numFmtId="0" fontId="0" fillId="24" borderId="0" xfId="0" applyFill="1" applyAlignment="1">
      <alignment horizontal="center" vertical="center"/>
    </xf>
    <xf numFmtId="0" fontId="0" fillId="24" borderId="79" xfId="0" applyFill="1" applyBorder="1" applyAlignment="1">
      <alignment horizontal="center" vertical="center"/>
    </xf>
    <xf numFmtId="1" fontId="61" fillId="24" borderId="100" xfId="0" applyNumberFormat="1" applyFont="1" applyFill="1" applyBorder="1" applyAlignment="1">
      <alignment horizontal="center" vertical="center"/>
    </xf>
    <xf numFmtId="0" fontId="0" fillId="19" borderId="78" xfId="0" applyFill="1" applyBorder="1" applyAlignment="1">
      <alignment horizontal="center" vertical="center"/>
    </xf>
    <xf numFmtId="0" fontId="0" fillId="19" borderId="0" xfId="0" applyFill="1" applyAlignment="1">
      <alignment horizontal="center" vertical="center"/>
    </xf>
    <xf numFmtId="0" fontId="0" fillId="19" borderId="79" xfId="0" applyFill="1" applyBorder="1" applyAlignment="1">
      <alignment horizontal="center" vertical="center"/>
    </xf>
    <xf numFmtId="0" fontId="61" fillId="19" borderId="100" xfId="0" applyFont="1" applyFill="1" applyBorder="1" applyAlignment="1">
      <alignment horizontal="center" vertical="center"/>
    </xf>
    <xf numFmtId="0" fontId="61" fillId="24" borderId="100" xfId="0" applyFont="1" applyFill="1" applyBorder="1" applyAlignment="1">
      <alignment horizontal="center" vertical="center"/>
    </xf>
    <xf numFmtId="0" fontId="61" fillId="24" borderId="377" xfId="0" applyFont="1" applyFill="1" applyBorder="1" applyAlignment="1">
      <alignment horizontal="center" vertical="center"/>
    </xf>
    <xf numFmtId="0" fontId="0" fillId="24" borderId="72" xfId="0" applyFill="1" applyBorder="1" applyAlignment="1">
      <alignment horizontal="center" vertical="center"/>
    </xf>
    <xf numFmtId="0" fontId="0" fillId="24" borderId="707" xfId="0" applyFill="1" applyBorder="1" applyAlignment="1">
      <alignment horizontal="center" vertical="center"/>
    </xf>
    <xf numFmtId="0" fontId="0" fillId="24" borderId="708" xfId="0" applyFill="1" applyBorder="1" applyAlignment="1">
      <alignment horizontal="center" vertical="center"/>
    </xf>
    <xf numFmtId="0" fontId="61" fillId="24" borderId="376" xfId="0" applyFont="1" applyFill="1" applyBorder="1" applyAlignment="1">
      <alignment horizontal="center" vertical="center"/>
    </xf>
    <xf numFmtId="0" fontId="0" fillId="24" borderId="131" xfId="0" applyFill="1" applyBorder="1" applyAlignment="1">
      <alignment horizontal="center" vertical="center"/>
    </xf>
    <xf numFmtId="0" fontId="0" fillId="24" borderId="376" xfId="0" applyFill="1" applyBorder="1" applyAlignment="1">
      <alignment horizontal="center" vertical="center"/>
    </xf>
    <xf numFmtId="0" fontId="9" fillId="66" borderId="838" xfId="0" applyFont="1" applyFill="1" applyBorder="1" applyAlignment="1">
      <alignment horizontal="left"/>
    </xf>
    <xf numFmtId="0" fontId="9" fillId="66" borderId="839" xfId="0" applyFont="1" applyFill="1" applyBorder="1" applyAlignment="1">
      <alignment horizontal="left"/>
    </xf>
    <xf numFmtId="0" fontId="9" fillId="66" borderId="840" xfId="0" applyFont="1" applyFill="1" applyBorder="1" applyAlignment="1">
      <alignment horizontal="left"/>
    </xf>
    <xf numFmtId="0" fontId="86" fillId="43" borderId="769" xfId="0" applyFont="1" applyFill="1" applyBorder="1" applyAlignment="1">
      <alignment horizontal="center" vertical="center"/>
    </xf>
    <xf numFmtId="0" fontId="86" fillId="43" borderId="785" xfId="0" applyFont="1" applyFill="1" applyBorder="1" applyAlignment="1">
      <alignment horizontal="center" vertical="center"/>
    </xf>
    <xf numFmtId="0" fontId="86" fillId="43" borderId="771" xfId="0" applyFont="1" applyFill="1" applyBorder="1" applyAlignment="1">
      <alignment horizontal="center" vertical="center"/>
    </xf>
    <xf numFmtId="0" fontId="9" fillId="24" borderId="779" xfId="0" applyFont="1" applyFill="1" applyBorder="1" applyAlignment="1">
      <alignment vertical="center"/>
    </xf>
    <xf numFmtId="0" fontId="9" fillId="24" borderId="0" xfId="0" applyFont="1" applyFill="1" applyAlignment="1">
      <alignment vertical="center"/>
    </xf>
    <xf numFmtId="0" fontId="0" fillId="24" borderId="962" xfId="0" applyFill="1" applyBorder="1" applyAlignment="1">
      <alignment horizontal="center"/>
    </xf>
    <xf numFmtId="0" fontId="0" fillId="24" borderId="963" xfId="0" applyFill="1" applyBorder="1" applyAlignment="1">
      <alignment horizontal="center"/>
    </xf>
    <xf numFmtId="0" fontId="0" fillId="24" borderId="964" xfId="0" applyFill="1" applyBorder="1" applyAlignment="1">
      <alignment horizontal="center"/>
    </xf>
    <xf numFmtId="0" fontId="9" fillId="24" borderId="779" xfId="0" applyFont="1" applyFill="1" applyBorder="1" applyAlignment="1">
      <alignment horizontal="center" vertical="center"/>
    </xf>
    <xf numFmtId="0" fontId="9" fillId="24" borderId="0" xfId="0" applyFont="1" applyFill="1" applyAlignment="1">
      <alignment horizontal="center" vertical="center"/>
    </xf>
    <xf numFmtId="0" fontId="86" fillId="43" borderId="109" xfId="0" applyFont="1" applyFill="1" applyBorder="1" applyAlignment="1">
      <alignment horizontal="center" vertical="center"/>
    </xf>
    <xf numFmtId="0" fontId="86" fillId="43" borderId="112" xfId="0" applyFont="1" applyFill="1" applyBorder="1" applyAlignment="1">
      <alignment horizontal="center" vertical="center"/>
    </xf>
    <xf numFmtId="0" fontId="86" fillId="43" borderId="140" xfId="0" applyFont="1" applyFill="1" applyBorder="1" applyAlignment="1">
      <alignment horizontal="center" vertical="center"/>
    </xf>
    <xf numFmtId="0" fontId="9" fillId="24" borderId="89" xfId="0" applyFont="1" applyFill="1" applyBorder="1" applyAlignment="1">
      <alignment horizontal="center"/>
    </xf>
    <xf numFmtId="0" fontId="9" fillId="24" borderId="786" xfId="0" applyFont="1" applyFill="1" applyBorder="1" applyAlignment="1">
      <alignment horizontal="center"/>
    </xf>
    <xf numFmtId="0" fontId="9" fillId="66" borderId="835" xfId="0" applyFont="1" applyFill="1" applyBorder="1" applyAlignment="1">
      <alignment horizontal="left"/>
    </xf>
    <xf numFmtId="0" fontId="9" fillId="66" borderId="836" xfId="0" applyFont="1" applyFill="1" applyBorder="1" applyAlignment="1">
      <alignment horizontal="left"/>
    </xf>
    <xf numFmtId="0" fontId="9" fillId="66" borderId="837" xfId="0" applyFont="1" applyFill="1" applyBorder="1" applyAlignment="1">
      <alignment horizontal="left"/>
    </xf>
    <xf numFmtId="0" fontId="9" fillId="28" borderId="838" xfId="0" applyFont="1" applyFill="1" applyBorder="1" applyAlignment="1">
      <alignment horizontal="left"/>
    </xf>
    <xf numFmtId="0" fontId="9" fillId="28" borderId="839" xfId="0" applyFont="1" applyFill="1" applyBorder="1" applyAlignment="1">
      <alignment horizontal="left"/>
    </xf>
    <xf numFmtId="0" fontId="9" fillId="28" borderId="840" xfId="0" applyFont="1" applyFill="1" applyBorder="1" applyAlignment="1">
      <alignment horizontal="left"/>
    </xf>
    <xf numFmtId="0" fontId="9" fillId="24" borderId="772" xfId="0" applyFont="1" applyFill="1" applyBorder="1" applyAlignment="1">
      <alignment horizontal="center" vertical="center"/>
    </xf>
    <xf numFmtId="0" fontId="57" fillId="43" borderId="109" xfId="0" applyFont="1" applyFill="1" applyBorder="1" applyAlignment="1">
      <alignment horizontal="center"/>
    </xf>
    <xf numFmtId="0" fontId="57" fillId="43" borderId="112" xfId="0" applyFont="1" applyFill="1" applyBorder="1" applyAlignment="1">
      <alignment horizontal="center"/>
    </xf>
    <xf numFmtId="0" fontId="57" fillId="43" borderId="140" xfId="0" applyFont="1" applyFill="1" applyBorder="1" applyAlignment="1">
      <alignment horizontal="center"/>
    </xf>
    <xf numFmtId="0" fontId="166" fillId="43" borderId="783" xfId="0" applyFont="1" applyFill="1" applyBorder="1" applyAlignment="1">
      <alignment horizontal="center" vertical="center"/>
    </xf>
    <xf numFmtId="0" fontId="166" fillId="43" borderId="89" xfId="0" applyFont="1" applyFill="1" applyBorder="1" applyAlignment="1">
      <alignment horizontal="center" vertical="center"/>
    </xf>
    <xf numFmtId="0" fontId="166" fillId="43" borderId="786" xfId="0" applyFont="1" applyFill="1" applyBorder="1" applyAlignment="1">
      <alignment horizontal="center" vertical="center"/>
    </xf>
    <xf numFmtId="0" fontId="166" fillId="43" borderId="784" xfId="0" applyFont="1" applyFill="1" applyBorder="1" applyAlignment="1">
      <alignment horizontal="center" vertical="center"/>
    </xf>
    <xf numFmtId="0" fontId="46" fillId="66" borderId="829" xfId="0" applyFont="1" applyFill="1" applyBorder="1" applyAlignment="1" applyProtection="1">
      <alignment horizontal="center" vertical="center" wrapText="1"/>
      <protection locked="0"/>
    </xf>
    <xf numFmtId="0" fontId="46" fillId="66" borderId="771" xfId="0" applyFont="1" applyFill="1" applyBorder="1" applyAlignment="1" applyProtection="1">
      <alignment horizontal="center" vertical="center" wrapText="1"/>
      <protection locked="0"/>
    </xf>
    <xf numFmtId="0" fontId="46" fillId="66" borderId="775" xfId="0" applyFont="1" applyFill="1" applyBorder="1" applyAlignment="1" applyProtection="1">
      <alignment horizontal="center" vertical="center" wrapText="1"/>
      <protection locked="0"/>
    </xf>
    <xf numFmtId="0" fontId="46" fillId="66" borderId="772" xfId="0" applyFont="1" applyFill="1" applyBorder="1" applyAlignment="1" applyProtection="1">
      <alignment horizontal="center" vertical="center" wrapText="1"/>
      <protection locked="0"/>
    </xf>
    <xf numFmtId="0" fontId="9" fillId="24" borderId="779" xfId="0" applyFont="1" applyFill="1" applyBorder="1" applyAlignment="1">
      <alignment horizontal="center"/>
    </xf>
    <xf numFmtId="1" fontId="9" fillId="24" borderId="0" xfId="0" applyNumberFormat="1" applyFont="1" applyFill="1" applyAlignment="1">
      <alignment horizontal="center"/>
    </xf>
    <xf numFmtId="0" fontId="9" fillId="28" borderId="841" xfId="0" applyFont="1" applyFill="1" applyBorder="1" applyAlignment="1">
      <alignment horizontal="left"/>
    </xf>
    <xf numFmtId="0" fontId="9" fillId="28" borderId="842" xfId="0" applyFont="1" applyFill="1" applyBorder="1" applyAlignment="1">
      <alignment horizontal="left"/>
    </xf>
    <xf numFmtId="0" fontId="9" fillId="28" borderId="843" xfId="0" applyFont="1" applyFill="1" applyBorder="1" applyAlignment="1">
      <alignment horizontal="left"/>
    </xf>
    <xf numFmtId="0" fontId="136" fillId="24" borderId="89" xfId="0" applyFont="1" applyFill="1" applyBorder="1" applyAlignment="1">
      <alignment horizontal="center"/>
    </xf>
    <xf numFmtId="0" fontId="136" fillId="24" borderId="786" xfId="0" applyFont="1" applyFill="1" applyBorder="1" applyAlignment="1">
      <alignment horizontal="center"/>
    </xf>
    <xf numFmtId="0" fontId="9" fillId="24" borderId="975" xfId="0" applyFont="1" applyFill="1" applyBorder="1" applyAlignment="1" applyProtection="1">
      <alignment vertical="center"/>
      <protection locked="0"/>
    </xf>
    <xf numFmtId="0" fontId="9" fillId="24" borderId="951" xfId="0" applyFont="1" applyFill="1" applyBorder="1" applyAlignment="1" applyProtection="1">
      <alignment vertical="center"/>
      <protection locked="0"/>
    </xf>
    <xf numFmtId="0" fontId="9" fillId="24" borderId="976" xfId="0" applyFont="1" applyFill="1" applyBorder="1" applyAlignment="1" applyProtection="1">
      <alignment vertical="center"/>
      <protection locked="0"/>
    </xf>
    <xf numFmtId="0" fontId="9" fillId="24" borderId="677" xfId="0" applyFont="1" applyFill="1" applyBorder="1" applyAlignment="1">
      <alignment horizontal="center" vertical="center" wrapText="1"/>
    </xf>
    <xf numFmtId="0" fontId="9" fillId="24" borderId="727" xfId="0" applyFont="1" applyFill="1" applyBorder="1" applyAlignment="1">
      <alignment horizontal="center" vertical="center" wrapText="1"/>
    </xf>
    <xf numFmtId="0" fontId="9" fillId="24" borderId="72" xfId="0" applyFont="1" applyFill="1" applyBorder="1" applyAlignment="1" applyProtection="1">
      <alignment vertical="center"/>
      <protection locked="0"/>
    </xf>
    <xf numFmtId="0" fontId="9" fillId="24" borderId="707" xfId="0" applyFont="1" applyFill="1" applyBorder="1" applyAlignment="1" applyProtection="1">
      <alignment vertical="center"/>
      <protection locked="0"/>
    </xf>
    <xf numFmtId="0" fontId="9" fillId="24" borderId="708" xfId="0" applyFont="1" applyFill="1" applyBorder="1" applyAlignment="1" applyProtection="1">
      <alignment vertical="center"/>
      <protection locked="0"/>
    </xf>
    <xf numFmtId="0" fontId="9" fillId="66" borderId="625" xfId="0" applyFont="1" applyFill="1" applyBorder="1" applyProtection="1">
      <protection locked="0"/>
    </xf>
    <xf numFmtId="0" fontId="9" fillId="66" borderId="619" xfId="0" applyFont="1" applyFill="1" applyBorder="1" applyProtection="1">
      <protection locked="0"/>
    </xf>
    <xf numFmtId="0" fontId="9" fillId="66" borderId="636" xfId="0" applyFont="1" applyFill="1" applyBorder="1" applyProtection="1">
      <protection locked="0"/>
    </xf>
    <xf numFmtId="0" fontId="9" fillId="67" borderId="848" xfId="0" applyFont="1" applyFill="1" applyBorder="1" applyProtection="1">
      <protection locked="0"/>
    </xf>
    <xf numFmtId="0" fontId="9" fillId="67" borderId="849" xfId="0" applyFont="1" applyFill="1" applyBorder="1" applyProtection="1">
      <protection locked="0"/>
    </xf>
    <xf numFmtId="0" fontId="9" fillId="67" borderId="850" xfId="0" applyFont="1" applyFill="1" applyBorder="1" applyProtection="1">
      <protection locked="0"/>
    </xf>
    <xf numFmtId="0" fontId="9" fillId="66" borderId="852" xfId="0" applyFont="1" applyFill="1" applyBorder="1" applyProtection="1">
      <protection locked="0"/>
    </xf>
    <xf numFmtId="0" fontId="9" fillId="66" borderId="839" xfId="0" applyFont="1" applyFill="1" applyBorder="1" applyProtection="1">
      <protection locked="0"/>
    </xf>
    <xf numFmtId="0" fontId="9" fillId="66" borderId="853" xfId="0" applyFont="1" applyFill="1" applyBorder="1" applyProtection="1">
      <protection locked="0"/>
    </xf>
    <xf numFmtId="0" fontId="9" fillId="67" borderId="852" xfId="0" applyFont="1" applyFill="1" applyBorder="1" applyProtection="1">
      <protection locked="0"/>
    </xf>
    <xf numFmtId="0" fontId="9" fillId="67" borderId="839" xfId="0" applyFont="1" applyFill="1" applyBorder="1" applyProtection="1">
      <protection locked="0"/>
    </xf>
    <xf numFmtId="0" fontId="9" fillId="67" borderId="853" xfId="0" applyFont="1" applyFill="1" applyBorder="1" applyProtection="1">
      <protection locked="0"/>
    </xf>
    <xf numFmtId="0" fontId="9" fillId="67" borderId="855" xfId="0" applyFont="1" applyFill="1" applyBorder="1" applyProtection="1">
      <protection locked="0"/>
    </xf>
    <xf numFmtId="0" fontId="9" fillId="67" borderId="856" xfId="0" applyFont="1" applyFill="1" applyBorder="1" applyProtection="1">
      <protection locked="0"/>
    </xf>
    <xf numFmtId="0" fontId="9" fillId="67" borderId="857" xfId="0" applyFont="1" applyFill="1" applyBorder="1" applyProtection="1">
      <protection locked="0"/>
    </xf>
    <xf numFmtId="0" fontId="93" fillId="24" borderId="323" xfId="0" applyFont="1" applyFill="1" applyBorder="1" applyAlignment="1">
      <alignment horizontal="center" vertical="center"/>
    </xf>
    <xf numFmtId="0" fontId="93" fillId="24" borderId="322" xfId="0" applyFont="1" applyFill="1" applyBorder="1" applyAlignment="1">
      <alignment horizontal="center" vertical="center"/>
    </xf>
    <xf numFmtId="0" fontId="93" fillId="24" borderId="89" xfId="0" applyFont="1" applyFill="1" applyBorder="1" applyAlignment="1">
      <alignment horizontal="center" vertical="center"/>
    </xf>
    <xf numFmtId="0" fontId="93" fillId="24" borderId="786" xfId="0" applyFont="1" applyFill="1" applyBorder="1" applyAlignment="1">
      <alignment horizontal="center" vertical="center"/>
    </xf>
    <xf numFmtId="0" fontId="93" fillId="24" borderId="325" xfId="0" applyFont="1" applyFill="1" applyBorder="1" applyAlignment="1">
      <alignment horizontal="center" vertical="center"/>
    </xf>
    <xf numFmtId="0" fontId="93" fillId="24" borderId="772" xfId="0" applyFont="1" applyFill="1" applyBorder="1" applyAlignment="1">
      <alignment horizontal="center" vertical="center"/>
    </xf>
    <xf numFmtId="0" fontId="13" fillId="24" borderId="327" xfId="0" applyFont="1" applyFill="1" applyBorder="1" applyAlignment="1">
      <alignment horizontal="center" vertical="center" wrapText="1"/>
    </xf>
    <xf numFmtId="0" fontId="13" fillId="24" borderId="827" xfId="0" applyFont="1" applyFill="1" applyBorder="1" applyAlignment="1">
      <alignment horizontal="center" vertical="center" wrapText="1"/>
    </xf>
    <xf numFmtId="0" fontId="9" fillId="66" borderId="861" xfId="0" applyFont="1" applyFill="1" applyBorder="1" applyAlignment="1" applyProtection="1">
      <alignment horizontal="center" vertical="center"/>
      <protection locked="0"/>
    </xf>
    <xf numFmtId="0" fontId="9" fillId="66" borderId="862" xfId="0" applyFont="1" applyFill="1" applyBorder="1" applyAlignment="1" applyProtection="1">
      <alignment horizontal="center" vertical="center"/>
      <protection locked="0"/>
    </xf>
    <xf numFmtId="0" fontId="13" fillId="24" borderId="863" xfId="0" applyFont="1" applyFill="1" applyBorder="1" applyAlignment="1">
      <alignment horizontal="center" vertical="center"/>
    </xf>
    <xf numFmtId="0" fontId="13" fillId="24" borderId="720" xfId="0" applyFont="1" applyFill="1" applyBorder="1" applyAlignment="1">
      <alignment horizontal="center" vertical="center"/>
    </xf>
    <xf numFmtId="0" fontId="9" fillId="67" borderId="865" xfId="0" applyFont="1" applyFill="1" applyBorder="1" applyAlignment="1" applyProtection="1">
      <alignment horizontal="center" vertical="center"/>
      <protection locked="0"/>
    </xf>
    <xf numFmtId="0" fontId="9" fillId="67" borderId="866" xfId="0" applyFont="1" applyFill="1" applyBorder="1" applyAlignment="1" applyProtection="1">
      <alignment horizontal="center" vertical="center"/>
      <protection locked="0"/>
    </xf>
    <xf numFmtId="0" fontId="9" fillId="66" borderId="78" xfId="0" applyFont="1" applyFill="1" applyBorder="1" applyAlignment="1" applyProtection="1">
      <alignment vertical="center"/>
      <protection locked="0"/>
    </xf>
    <xf numFmtId="0" fontId="9" fillId="66" borderId="68" xfId="0" applyFont="1" applyFill="1" applyBorder="1" applyAlignment="1" applyProtection="1">
      <alignment vertical="center"/>
      <protection locked="0"/>
    </xf>
    <xf numFmtId="0" fontId="9" fillId="67" borderId="855" xfId="0" applyFont="1" applyFill="1" applyBorder="1" applyAlignment="1" applyProtection="1">
      <alignment horizontal="center" vertical="center"/>
      <protection locked="0"/>
    </xf>
    <xf numFmtId="0" fontId="9" fillId="67" borderId="856" xfId="0" applyFont="1" applyFill="1" applyBorder="1" applyAlignment="1" applyProtection="1">
      <alignment horizontal="center" vertical="center"/>
      <protection locked="0"/>
    </xf>
    <xf numFmtId="0" fontId="9" fillId="67" borderId="867" xfId="0" applyFont="1" applyFill="1" applyBorder="1" applyAlignment="1" applyProtection="1">
      <alignment horizontal="center" vertical="center"/>
      <protection locked="0"/>
    </xf>
    <xf numFmtId="0" fontId="9" fillId="66" borderId="863" xfId="0" applyFont="1" applyFill="1" applyBorder="1" applyAlignment="1" applyProtection="1">
      <alignment vertical="center"/>
      <protection locked="0"/>
    </xf>
    <xf numFmtId="0" fontId="9" fillId="66" borderId="720" xfId="0" applyFont="1" applyFill="1" applyBorder="1" applyAlignment="1" applyProtection="1">
      <alignment vertical="center"/>
      <protection locked="0"/>
    </xf>
    <xf numFmtId="0" fontId="48" fillId="7" borderId="708" xfId="0" applyFont="1" applyFill="1" applyBorder="1" applyAlignment="1">
      <alignment horizontal="right" vertical="center" wrapText="1"/>
    </xf>
    <xf numFmtId="0" fontId="9" fillId="7" borderId="775" xfId="0" applyFont="1" applyFill="1" applyBorder="1" applyAlignment="1">
      <alignment horizontal="right" vertical="center" wrapText="1"/>
    </xf>
    <xf numFmtId="0" fontId="9" fillId="7" borderId="786" xfId="0" applyFont="1" applyFill="1" applyBorder="1" applyAlignment="1">
      <alignment horizontal="right" vertical="center" wrapText="1"/>
    </xf>
    <xf numFmtId="0" fontId="9" fillId="7" borderId="784" xfId="0" applyFont="1" applyFill="1" applyBorder="1" applyAlignment="1">
      <alignment horizontal="right" vertical="center" wrapText="1"/>
    </xf>
    <xf numFmtId="0" fontId="9" fillId="24" borderId="327" xfId="0" quotePrefix="1" applyFont="1" applyFill="1" applyBorder="1" applyAlignment="1">
      <alignment horizontal="center" vertical="center"/>
    </xf>
    <xf numFmtId="0" fontId="9" fillId="24" borderId="324" xfId="0" applyFont="1" applyFill="1" applyBorder="1" applyAlignment="1">
      <alignment horizontal="center" vertical="center"/>
    </xf>
    <xf numFmtId="0" fontId="13" fillId="24" borderId="324" xfId="0" applyFont="1" applyFill="1" applyBorder="1" applyAlignment="1">
      <alignment horizontal="center" vertical="center"/>
    </xf>
    <xf numFmtId="0" fontId="13" fillId="24" borderId="328" xfId="0" applyFont="1" applyFill="1" applyBorder="1" applyAlignment="1">
      <alignment horizontal="center" vertical="center"/>
    </xf>
    <xf numFmtId="0" fontId="9" fillId="24" borderId="827" xfId="0" quotePrefix="1" applyFont="1" applyFill="1" applyBorder="1" applyAlignment="1">
      <alignment horizontal="center" vertical="center"/>
    </xf>
    <xf numFmtId="0" fontId="9" fillId="24" borderId="104" xfId="0" applyFont="1" applyFill="1" applyBorder="1" applyAlignment="1">
      <alignment horizontal="center" vertical="center"/>
    </xf>
    <xf numFmtId="0" fontId="13" fillId="24" borderId="104" xfId="0" applyFont="1" applyFill="1" applyBorder="1" applyAlignment="1">
      <alignment horizontal="center" vertical="center"/>
    </xf>
    <xf numFmtId="0" fontId="13" fillId="24" borderId="100" xfId="0" applyFont="1" applyFill="1" applyBorder="1" applyAlignment="1">
      <alignment horizontal="center" vertical="center"/>
    </xf>
    <xf numFmtId="0" fontId="9" fillId="24" borderId="126" xfId="0" quotePrefix="1" applyFont="1" applyFill="1" applyBorder="1" applyAlignment="1">
      <alignment horizontal="center" vertical="center"/>
    </xf>
    <xf numFmtId="0" fontId="9" fillId="24" borderId="157" xfId="0" applyFont="1" applyFill="1" applyBorder="1" applyAlignment="1">
      <alignment horizontal="center" vertical="center"/>
    </xf>
    <xf numFmtId="0" fontId="13" fillId="24" borderId="157" xfId="0" applyFont="1" applyFill="1" applyBorder="1" applyAlignment="1">
      <alignment horizontal="center" vertical="center"/>
    </xf>
    <xf numFmtId="0" fontId="13" fillId="24" borderId="102" xfId="0" applyFont="1" applyFill="1" applyBorder="1" applyAlignment="1">
      <alignment horizontal="center" vertical="center"/>
    </xf>
    <xf numFmtId="0" fontId="9" fillId="24" borderId="827" xfId="0" applyFont="1" applyFill="1" applyBorder="1" applyAlignment="1">
      <alignment horizontal="center" vertical="center"/>
    </xf>
    <xf numFmtId="0" fontId="9" fillId="24" borderId="941" xfId="0" applyFont="1" applyFill="1" applyBorder="1" applyAlignment="1">
      <alignment horizontal="center" vertical="center"/>
    </xf>
    <xf numFmtId="0" fontId="9" fillId="24" borderId="942" xfId="0" applyFont="1" applyFill="1" applyBorder="1" applyAlignment="1">
      <alignment horizontal="center" vertical="center"/>
    </xf>
    <xf numFmtId="0" fontId="13" fillId="24" borderId="942" xfId="0" applyFont="1" applyFill="1" applyBorder="1" applyAlignment="1">
      <alignment horizontal="center" vertical="center"/>
    </xf>
    <xf numFmtId="0" fontId="13" fillId="24" borderId="938" xfId="0" applyFont="1" applyFill="1" applyBorder="1" applyAlignment="1">
      <alignment horizontal="center" vertical="center"/>
    </xf>
    <xf numFmtId="0" fontId="13" fillId="24" borderId="104" xfId="0" quotePrefix="1" applyFont="1" applyFill="1" applyBorder="1" applyAlignment="1">
      <alignment horizontal="center" vertical="center"/>
    </xf>
    <xf numFmtId="0" fontId="9" fillId="24" borderId="327" xfId="0" applyFont="1" applyFill="1" applyBorder="1" applyAlignment="1">
      <alignment horizontal="center" vertical="center"/>
    </xf>
    <xf numFmtId="0" fontId="13" fillId="24" borderId="324" xfId="0" quotePrefix="1" applyFont="1" applyFill="1" applyBorder="1" applyAlignment="1">
      <alignment horizontal="center" vertical="center"/>
    </xf>
    <xf numFmtId="0" fontId="9" fillId="24" borderId="126" xfId="0" applyFont="1" applyFill="1" applyBorder="1" applyAlignment="1">
      <alignment horizontal="center" vertical="center"/>
    </xf>
    <xf numFmtId="0" fontId="13" fillId="24" borderId="157" xfId="0" quotePrefix="1" applyFont="1" applyFill="1" applyBorder="1" applyAlignment="1">
      <alignment horizontal="center" vertical="center"/>
    </xf>
    <xf numFmtId="0" fontId="86" fillId="43" borderId="128" xfId="0" applyFont="1" applyFill="1" applyBorder="1" applyAlignment="1">
      <alignment horizontal="center" vertical="center"/>
    </xf>
    <xf numFmtId="0" fontId="86" fillId="43" borderId="737" xfId="0" applyFont="1" applyFill="1" applyBorder="1" applyAlignment="1">
      <alignment horizontal="center" vertical="center"/>
    </xf>
    <xf numFmtId="0" fontId="86" fillId="43" borderId="727" xfId="0" applyFont="1" applyFill="1" applyBorder="1" applyAlignment="1">
      <alignment horizontal="center" vertical="center"/>
    </xf>
    <xf numFmtId="0" fontId="53" fillId="43" borderId="909" xfId="0" applyFont="1" applyFill="1" applyBorder="1" applyAlignment="1">
      <alignment horizontal="center" vertical="center"/>
    </xf>
    <xf numFmtId="0" fontId="53" fillId="43" borderId="904" xfId="0" applyFont="1" applyFill="1" applyBorder="1" applyAlignment="1">
      <alignment horizontal="center" vertical="center"/>
    </xf>
    <xf numFmtId="0" fontId="53" fillId="43" borderId="907" xfId="0" applyFont="1" applyFill="1" applyBorder="1" applyAlignment="1">
      <alignment horizontal="center" vertical="center"/>
    </xf>
    <xf numFmtId="0" fontId="53" fillId="43" borderId="946" xfId="0" applyFont="1" applyFill="1" applyBorder="1" applyAlignment="1">
      <alignment horizontal="center" vertical="center"/>
    </xf>
    <xf numFmtId="0" fontId="53" fillId="43" borderId="915" xfId="0" applyFont="1" applyFill="1" applyBorder="1" applyAlignment="1">
      <alignment horizontal="center" vertical="center"/>
    </xf>
    <xf numFmtId="0" fontId="53" fillId="43" borderId="916" xfId="0" applyFont="1" applyFill="1" applyBorder="1" applyAlignment="1">
      <alignment horizontal="center" vertical="center"/>
    </xf>
    <xf numFmtId="0" fontId="12" fillId="24" borderId="779" xfId="0" applyFont="1" applyFill="1" applyBorder="1" applyAlignment="1">
      <alignment horizontal="center"/>
    </xf>
    <xf numFmtId="0" fontId="12" fillId="24" borderId="79" xfId="0" applyFont="1" applyFill="1" applyBorder="1" applyAlignment="1">
      <alignment horizontal="center"/>
    </xf>
    <xf numFmtId="0" fontId="9" fillId="24" borderId="984" xfId="0" applyFont="1" applyFill="1" applyBorder="1" applyAlignment="1">
      <alignment horizontal="center"/>
    </xf>
    <xf numFmtId="0" fontId="9" fillId="24" borderId="977" xfId="0" applyFont="1" applyFill="1" applyBorder="1" applyAlignment="1">
      <alignment horizontal="center"/>
    </xf>
    <xf numFmtId="0" fontId="12" fillId="24" borderId="979" xfId="0" applyFont="1" applyFill="1" applyBorder="1" applyAlignment="1">
      <alignment horizontal="center"/>
    </xf>
    <xf numFmtId="0" fontId="12" fillId="24" borderId="976" xfId="0" applyFont="1" applyFill="1" applyBorder="1" applyAlignment="1">
      <alignment horizontal="center"/>
    </xf>
    <xf numFmtId="0" fontId="61" fillId="19" borderId="100" xfId="0" applyFont="1" applyFill="1" applyBorder="1" applyAlignment="1" applyProtection="1">
      <alignment horizontal="center" vertical="center"/>
      <protection locked="0"/>
    </xf>
    <xf numFmtId="0" fontId="0" fillId="66" borderId="779" xfId="0" applyFill="1" applyBorder="1" applyAlignment="1" applyProtection="1">
      <alignment horizontal="center" vertical="top"/>
      <protection locked="0"/>
    </xf>
    <xf numFmtId="0" fontId="0" fillId="66" borderId="0" xfId="0" applyFill="1" applyAlignment="1" applyProtection="1">
      <alignment horizontal="center" vertical="top"/>
      <protection locked="0"/>
    </xf>
    <xf numFmtId="0" fontId="0" fillId="66" borderId="880" xfId="0" applyFill="1" applyBorder="1" applyAlignment="1" applyProtection="1">
      <alignment horizontal="center" vertical="top"/>
      <protection locked="0"/>
    </xf>
    <xf numFmtId="0" fontId="0" fillId="66" borderId="946" xfId="0" applyFill="1" applyBorder="1" applyAlignment="1" applyProtection="1">
      <alignment horizontal="center" vertical="top"/>
      <protection locked="0"/>
    </xf>
    <xf numFmtId="0" fontId="0" fillId="66" borderId="915" xfId="0" applyFill="1" applyBorder="1" applyAlignment="1" applyProtection="1">
      <alignment horizontal="center" vertical="top"/>
      <protection locked="0"/>
    </xf>
    <xf numFmtId="0" fontId="0" fillId="66" borderId="916" xfId="0" applyFill="1" applyBorder="1" applyAlignment="1" applyProtection="1">
      <alignment horizontal="center" vertical="top"/>
      <protection locked="0"/>
    </xf>
    <xf numFmtId="0" fontId="86" fillId="43" borderId="950" xfId="0" applyFont="1" applyFill="1" applyBorder="1" applyAlignment="1">
      <alignment horizontal="center" vertical="center"/>
    </xf>
    <xf numFmtId="0" fontId="86" fillId="43" borderId="951" xfId="0" applyFont="1" applyFill="1" applyBorder="1" applyAlignment="1">
      <alignment horizontal="center" vertical="center"/>
    </xf>
    <xf numFmtId="0" fontId="86" fillId="43" borderId="961" xfId="0" applyFont="1" applyFill="1" applyBorder="1" applyAlignment="1">
      <alignment horizontal="center" vertical="center"/>
    </xf>
    <xf numFmtId="0" fontId="9" fillId="24" borderId="930" xfId="0" applyFont="1" applyFill="1" applyBorder="1" applyAlignment="1">
      <alignment horizontal="center" vertical="center"/>
    </xf>
    <xf numFmtId="0" fontId="9" fillId="24" borderId="985" xfId="0" applyFont="1" applyFill="1" applyBorder="1" applyAlignment="1">
      <alignment horizontal="center" vertical="center"/>
    </xf>
    <xf numFmtId="0" fontId="13" fillId="24" borderId="985" xfId="0" applyFont="1" applyFill="1" applyBorder="1" applyAlignment="1">
      <alignment horizontal="center" vertical="center"/>
    </xf>
    <xf numFmtId="0" fontId="13" fillId="24" borderId="921" xfId="0" applyFont="1" applyFill="1" applyBorder="1" applyAlignment="1">
      <alignment horizontal="center" vertical="center"/>
    </xf>
    <xf numFmtId="0" fontId="86" fillId="43" borderId="950" xfId="0" applyFont="1" applyFill="1" applyBorder="1" applyAlignment="1">
      <alignment horizontal="center"/>
    </xf>
    <xf numFmtId="0" fontId="86" fillId="43" borderId="951" xfId="0" applyFont="1" applyFill="1" applyBorder="1" applyAlignment="1">
      <alignment horizontal="center"/>
    </xf>
    <xf numFmtId="0" fontId="86" fillId="43" borderId="961" xfId="0" applyFont="1" applyFill="1" applyBorder="1" applyAlignment="1">
      <alignment horizontal="center"/>
    </xf>
    <xf numFmtId="0" fontId="15" fillId="8" borderId="220" xfId="0" applyFont="1" applyFill="1" applyBorder="1" applyAlignment="1">
      <alignment horizontal="center" vertical="center"/>
    </xf>
    <xf numFmtId="0" fontId="15" fillId="8" borderId="221" xfId="0" applyFont="1" applyFill="1" applyBorder="1" applyAlignment="1">
      <alignment horizontal="center" vertical="center"/>
    </xf>
    <xf numFmtId="0" fontId="15" fillId="8" borderId="222" xfId="0" applyFont="1" applyFill="1" applyBorder="1" applyAlignment="1">
      <alignment horizontal="center" vertical="center"/>
    </xf>
    <xf numFmtId="0" fontId="24" fillId="55" borderId="235"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1"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0" xfId="0" applyFont="1" applyFill="1" applyBorder="1" applyAlignment="1" applyProtection="1">
      <alignment horizontal="center" vertical="center"/>
      <protection locked="0"/>
    </xf>
    <xf numFmtId="0" fontId="24" fillId="55" borderId="179" xfId="0" applyFont="1" applyFill="1" applyBorder="1" applyAlignment="1" applyProtection="1">
      <alignment horizontal="center" vertical="center"/>
      <protection locked="0"/>
    </xf>
    <xf numFmtId="0" fontId="13" fillId="7" borderId="106"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3" fillId="7" borderId="272"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3"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5" xfId="0" applyFont="1" applyFill="1" applyBorder="1" applyAlignment="1" applyProtection="1">
      <alignment horizontal="center" vertical="center"/>
      <protection locked="0"/>
    </xf>
    <xf numFmtId="0" fontId="9" fillId="7" borderId="214" xfId="0" applyFont="1" applyFill="1" applyBorder="1" applyAlignment="1">
      <alignment horizontal="left" vertical="center"/>
    </xf>
    <xf numFmtId="0" fontId="9" fillId="7" borderId="216" xfId="0" applyFont="1" applyFill="1" applyBorder="1" applyAlignment="1">
      <alignment horizontal="left" vertical="center"/>
    </xf>
    <xf numFmtId="0" fontId="9" fillId="7" borderId="71" xfId="0" applyFont="1" applyFill="1" applyBorder="1" applyAlignment="1">
      <alignment horizontal="left" vertical="center"/>
    </xf>
    <xf numFmtId="0" fontId="9" fillId="7" borderId="2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136"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1"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13" fillId="59" borderId="161"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29" xfId="0" applyFont="1" applyFill="1" applyBorder="1" applyAlignment="1">
      <alignment horizontal="center" vertical="center" wrapText="1"/>
    </xf>
    <xf numFmtId="0" fontId="13" fillId="7" borderId="98"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9" fillId="7" borderId="106" xfId="0" applyFont="1" applyFill="1" applyBorder="1" applyAlignment="1">
      <alignment horizontal="left" vertical="center" wrapText="1"/>
    </xf>
    <xf numFmtId="0" fontId="9" fillId="7" borderId="275"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4" xfId="0" applyFont="1" applyFill="1" applyBorder="1" applyAlignment="1">
      <alignment horizontal="center" vertical="center"/>
    </xf>
    <xf numFmtId="0" fontId="28" fillId="7" borderId="225" xfId="0" applyFont="1" applyFill="1" applyBorder="1" applyAlignment="1">
      <alignment horizontal="center" vertical="center"/>
    </xf>
    <xf numFmtId="0" fontId="28" fillId="7" borderId="226" xfId="0" applyFont="1" applyFill="1" applyBorder="1" applyAlignment="1">
      <alignment horizontal="center" vertical="center"/>
    </xf>
    <xf numFmtId="0" fontId="9" fillId="7" borderId="89" xfId="0" applyFont="1" applyFill="1" applyBorder="1" applyAlignment="1">
      <alignment horizontal="left" vertical="center" wrapText="1"/>
    </xf>
    <xf numFmtId="0" fontId="9" fillId="7" borderId="133"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9" fillId="7" borderId="116" xfId="0" applyFont="1" applyFill="1" applyBorder="1" applyAlignment="1">
      <alignment horizontal="center" vertical="center" wrapText="1"/>
    </xf>
    <xf numFmtId="0" fontId="0" fillId="0" borderId="0" xfId="0" applyAlignment="1">
      <alignment horizontal="center"/>
    </xf>
    <xf numFmtId="0" fontId="98" fillId="15" borderId="0" xfId="0" applyFont="1" applyFill="1" applyAlignment="1">
      <alignment horizontal="left" vertical="center"/>
    </xf>
    <xf numFmtId="0" fontId="53" fillId="8" borderId="87" xfId="0" applyFont="1" applyFill="1" applyBorder="1" applyAlignment="1">
      <alignment horizontal="center" vertical="center"/>
    </xf>
    <xf numFmtId="0" fontId="53" fillId="8" borderId="88"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904" xfId="0" applyFont="1" applyFill="1" applyBorder="1" applyAlignment="1">
      <alignment horizontal="center" vertical="center"/>
    </xf>
    <xf numFmtId="0" fontId="53" fillId="8" borderId="907" xfId="0" applyFont="1" applyFill="1" applyBorder="1" applyAlignment="1">
      <alignment horizontal="center" vertical="center"/>
    </xf>
    <xf numFmtId="0" fontId="53" fillId="8" borderId="880" xfId="0" applyFont="1" applyFill="1" applyBorder="1" applyAlignment="1">
      <alignment horizontal="center" vertical="center"/>
    </xf>
    <xf numFmtId="0" fontId="29" fillId="13" borderId="86"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3" xfId="0" applyFont="1" applyFill="1" applyBorder="1" applyAlignment="1">
      <alignment horizontal="center" vertical="center" wrapText="1"/>
    </xf>
    <xf numFmtId="0" fontId="45" fillId="13" borderId="94" xfId="0" applyFont="1" applyFill="1" applyBorder="1" applyAlignment="1">
      <alignment horizontal="center" vertical="center" wrapText="1"/>
    </xf>
    <xf numFmtId="0" fontId="0" fillId="0" borderId="93" xfId="0"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135" fillId="0" borderId="904" xfId="0" applyFont="1" applyBorder="1" applyAlignment="1">
      <alignment horizontal="center"/>
    </xf>
    <xf numFmtId="0" fontId="135" fillId="0" borderId="0" xfId="0" applyFont="1" applyAlignment="1">
      <alignment horizontal="center"/>
    </xf>
    <xf numFmtId="0" fontId="9" fillId="0" borderId="908" xfId="0" applyFont="1"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0" fillId="0" borderId="908" xfId="0" applyBorder="1" applyAlignment="1">
      <alignment horizontal="center"/>
    </xf>
    <xf numFmtId="49" fontId="9" fillId="0" borderId="0" xfId="0" applyNumberFormat="1" applyFont="1" applyAlignment="1">
      <alignment horizontal="center"/>
    </xf>
    <xf numFmtId="0" fontId="9" fillId="54" borderId="953" xfId="0" applyFont="1" applyFill="1" applyBorder="1" applyAlignment="1" applyProtection="1">
      <alignment horizontal="left" vertical="center"/>
      <protection locked="0"/>
    </xf>
    <xf numFmtId="0" fontId="9" fillId="54" borderId="954" xfId="0" applyFont="1" applyFill="1" applyBorder="1" applyAlignment="1" applyProtection="1">
      <alignment horizontal="left" vertical="center"/>
      <protection locked="0"/>
    </xf>
    <xf numFmtId="0" fontId="9" fillId="54" borderId="831" xfId="0" applyFont="1" applyFill="1" applyBorder="1" applyAlignment="1" applyProtection="1">
      <alignment horizontal="left" vertical="center"/>
      <protection locked="0"/>
    </xf>
    <xf numFmtId="0" fontId="9" fillId="54" borderId="955" xfId="0" applyFont="1" applyFill="1" applyBorder="1" applyAlignment="1" applyProtection="1">
      <alignment horizontal="left" vertical="center"/>
      <protection locked="0"/>
    </xf>
    <xf numFmtId="0" fontId="9" fillId="54" borderId="956" xfId="0" applyFont="1" applyFill="1" applyBorder="1" applyAlignment="1" applyProtection="1">
      <alignment horizontal="left" vertical="center"/>
      <protection locked="0"/>
    </xf>
    <xf numFmtId="0" fontId="9" fillId="54" borderId="972" xfId="0" applyFont="1" applyFill="1" applyBorder="1" applyAlignment="1" applyProtection="1">
      <alignment horizontal="left" vertical="center"/>
      <protection locked="0"/>
    </xf>
    <xf numFmtId="0" fontId="57" fillId="60" borderId="950" xfId="0" applyFont="1" applyFill="1" applyBorder="1" applyAlignment="1">
      <alignment horizontal="center"/>
    </xf>
    <xf numFmtId="0" fontId="57" fillId="60" borderId="951" xfId="0" applyFont="1" applyFill="1" applyBorder="1" applyAlignment="1">
      <alignment horizontal="center"/>
    </xf>
    <xf numFmtId="0" fontId="57" fillId="60" borderId="961" xfId="0" applyFont="1" applyFill="1" applyBorder="1" applyAlignment="1">
      <alignment horizontal="center"/>
    </xf>
    <xf numFmtId="0" fontId="13" fillId="54" borderId="946" xfId="0" applyFont="1" applyFill="1" applyBorder="1" applyAlignment="1" applyProtection="1">
      <alignment horizontal="center" vertical="center"/>
      <protection locked="0"/>
    </xf>
    <xf numFmtId="0" fontId="13" fillId="54" borderId="786" xfId="0" applyFont="1" applyFill="1" applyBorder="1" applyAlignment="1" applyProtection="1">
      <alignment horizontal="center" vertical="center"/>
      <protection locked="0"/>
    </xf>
    <xf numFmtId="0" fontId="13" fillId="54" borderId="916" xfId="0" applyFont="1" applyFill="1" applyBorder="1" applyAlignment="1" applyProtection="1">
      <alignment horizontal="center" vertical="center"/>
      <protection locked="0"/>
    </xf>
    <xf numFmtId="0" fontId="57" fillId="60" borderId="909" xfId="0" applyFont="1" applyFill="1" applyBorder="1" applyAlignment="1">
      <alignment horizontal="center" vertical="center" wrapText="1"/>
    </xf>
    <xf numFmtId="0" fontId="57" fillId="60" borderId="904" xfId="0" applyFont="1" applyFill="1" applyBorder="1" applyAlignment="1">
      <alignment horizontal="center" vertical="center" wrapText="1"/>
    </xf>
    <xf numFmtId="0" fontId="57" fillId="60" borderId="946" xfId="0" applyFont="1" applyFill="1" applyBorder="1" applyAlignment="1">
      <alignment horizontal="center" vertical="center" wrapText="1"/>
    </xf>
    <xf numFmtId="0" fontId="57" fillId="60" borderId="786" xfId="0" applyFont="1" applyFill="1" applyBorder="1" applyAlignment="1">
      <alignment horizontal="center" vertical="center" wrapText="1"/>
    </xf>
    <xf numFmtId="0" fontId="11" fillId="54" borderId="907" xfId="0" applyFont="1" applyFill="1" applyBorder="1" applyAlignment="1" applyProtection="1">
      <alignment horizontal="center" vertical="center"/>
      <protection locked="0"/>
    </xf>
    <xf numFmtId="0" fontId="11" fillId="54" borderId="916" xfId="0" applyFont="1" applyFill="1" applyBorder="1" applyAlignment="1" applyProtection="1">
      <alignment horizontal="center" vertical="center"/>
      <protection locked="0"/>
    </xf>
    <xf numFmtId="0" fontId="57" fillId="60" borderId="909" xfId="0" applyFont="1" applyFill="1" applyBorder="1" applyAlignment="1">
      <alignment horizontal="center" vertical="center"/>
    </xf>
    <xf numFmtId="0" fontId="57" fillId="60" borderId="904" xfId="0" applyFont="1" applyFill="1" applyBorder="1" applyAlignment="1">
      <alignment horizontal="center" vertical="center"/>
    </xf>
    <xf numFmtId="0" fontId="57" fillId="60" borderId="907" xfId="0" applyFont="1" applyFill="1" applyBorder="1" applyAlignment="1">
      <alignment horizontal="center" vertical="center"/>
    </xf>
    <xf numFmtId="0" fontId="9" fillId="31" borderId="106" xfId="0" applyFont="1" applyFill="1" applyBorder="1" applyAlignment="1">
      <alignment horizontal="left" vertical="center"/>
    </xf>
    <xf numFmtId="0" fontId="9" fillId="31" borderId="965" xfId="0" applyFont="1" applyFill="1" applyBorder="1" applyAlignment="1">
      <alignment horizontal="left" vertical="center"/>
    </xf>
    <xf numFmtId="0" fontId="9" fillId="31" borderId="967" xfId="0" applyFont="1" applyFill="1" applyBorder="1" applyAlignment="1">
      <alignment horizontal="left" vertical="center"/>
    </xf>
    <xf numFmtId="0" fontId="9" fillId="54" borderId="969" xfId="0" applyFont="1" applyFill="1" applyBorder="1" applyAlignment="1" applyProtection="1">
      <alignment horizontal="left" vertical="center"/>
      <protection locked="0"/>
    </xf>
    <xf numFmtId="0" fontId="9" fillId="54" borderId="970" xfId="0" applyFont="1" applyFill="1" applyBorder="1" applyAlignment="1" applyProtection="1">
      <alignment horizontal="left" vertical="center"/>
      <protection locked="0"/>
    </xf>
    <xf numFmtId="0" fontId="9" fillId="54" borderId="971" xfId="0" applyFont="1" applyFill="1" applyBorder="1" applyAlignment="1" applyProtection="1">
      <alignment horizontal="left" vertical="center"/>
      <protection locked="0"/>
    </xf>
    <xf numFmtId="49" fontId="9" fillId="55" borderId="236" xfId="0" applyNumberFormat="1" applyFont="1" applyFill="1" applyBorder="1" applyAlignment="1" applyProtection="1">
      <alignment vertical="center" wrapText="1"/>
      <protection locked="0"/>
    </xf>
    <xf numFmtId="49" fontId="9" fillId="55" borderId="237" xfId="0" applyNumberFormat="1" applyFont="1" applyFill="1" applyBorder="1" applyAlignment="1" applyProtection="1">
      <alignment vertical="center" wrapText="1"/>
      <protection locked="0"/>
    </xf>
    <xf numFmtId="49" fontId="9" fillId="55" borderId="494" xfId="0" applyNumberFormat="1" applyFont="1" applyFill="1" applyBorder="1" applyAlignment="1" applyProtection="1">
      <alignment vertical="center" wrapText="1"/>
      <protection locked="0"/>
    </xf>
    <xf numFmtId="49" fontId="9" fillId="55" borderId="493" xfId="0" applyNumberFormat="1" applyFont="1" applyFill="1" applyBorder="1" applyAlignment="1" applyProtection="1">
      <alignment vertical="center" wrapText="1"/>
      <protection locked="0"/>
    </xf>
    <xf numFmtId="49" fontId="9" fillId="55" borderId="486" xfId="0" applyNumberFormat="1" applyFont="1" applyFill="1" applyBorder="1" applyAlignment="1" applyProtection="1">
      <alignment vertical="center" wrapText="1"/>
      <protection locked="0"/>
    </xf>
    <xf numFmtId="49" fontId="9" fillId="55" borderId="538" xfId="0" applyNumberFormat="1" applyFont="1" applyFill="1" applyBorder="1" applyAlignment="1" applyProtection="1">
      <alignment vertical="center" wrapText="1"/>
      <protection locked="0"/>
    </xf>
    <xf numFmtId="49" fontId="13" fillId="7" borderId="129" xfId="0" applyNumberFormat="1" applyFont="1" applyFill="1" applyBorder="1" applyAlignment="1">
      <alignment horizontal="center" vertical="center" wrapText="1"/>
    </xf>
    <xf numFmtId="49" fontId="13" fillId="7" borderId="632" xfId="0" applyNumberFormat="1" applyFont="1" applyFill="1" applyBorder="1" applyAlignment="1">
      <alignment horizontal="center" vertical="center" wrapText="1"/>
    </xf>
    <xf numFmtId="49" fontId="13" fillId="7" borderId="633" xfId="0" applyNumberFormat="1" applyFont="1" applyFill="1" applyBorder="1" applyAlignment="1">
      <alignment horizontal="center" vertical="center" wrapText="1"/>
    </xf>
    <xf numFmtId="49" fontId="9" fillId="55" borderId="9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79" xfId="0" applyNumberFormat="1" applyFont="1" applyFill="1" applyBorder="1" applyAlignment="1" applyProtection="1">
      <alignment vertical="center" wrapText="1"/>
      <protection locked="0"/>
    </xf>
    <xf numFmtId="49" fontId="9" fillId="55" borderId="500" xfId="0" applyNumberFormat="1" applyFont="1" applyFill="1" applyBorder="1" applyAlignment="1" applyProtection="1">
      <alignment vertical="center" wrapText="1"/>
      <protection locked="0"/>
    </xf>
    <xf numFmtId="49" fontId="9" fillId="55" borderId="501" xfId="0" applyNumberFormat="1" applyFont="1" applyFill="1" applyBorder="1" applyAlignment="1" applyProtection="1">
      <alignment vertical="center" wrapText="1"/>
      <protection locked="0"/>
    </xf>
    <xf numFmtId="49" fontId="9" fillId="55" borderId="502" xfId="0" applyNumberFormat="1" applyFont="1" applyFill="1" applyBorder="1" applyAlignment="1" applyProtection="1">
      <alignment vertical="center" wrapText="1"/>
      <protection locked="0"/>
    </xf>
    <xf numFmtId="49" fontId="9" fillId="55" borderId="323" xfId="0" applyNumberFormat="1" applyFont="1" applyFill="1" applyBorder="1" applyAlignment="1" applyProtection="1">
      <alignment vertical="center"/>
      <protection locked="0"/>
    </xf>
    <xf numFmtId="49" fontId="9" fillId="55" borderId="322"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49" fontId="9" fillId="55" borderId="495" xfId="0" applyNumberFormat="1" applyFont="1" applyFill="1" applyBorder="1" applyAlignment="1" applyProtection="1">
      <alignment vertical="center" wrapText="1"/>
      <protection locked="0"/>
    </xf>
    <xf numFmtId="49" fontId="9" fillId="55" borderId="355" xfId="0" applyNumberFormat="1" applyFont="1" applyFill="1" applyBorder="1" applyAlignment="1" applyProtection="1">
      <alignment vertical="center" wrapText="1"/>
      <protection locked="0"/>
    </xf>
    <xf numFmtId="49" fontId="9" fillId="55" borderId="496" xfId="0" applyNumberFormat="1" applyFont="1" applyFill="1" applyBorder="1" applyAlignment="1" applyProtection="1">
      <alignment vertical="center" wrapText="1"/>
      <protection locked="0"/>
    </xf>
    <xf numFmtId="0" fontId="12" fillId="31" borderId="722" xfId="0" applyFont="1" applyFill="1" applyBorder="1" applyAlignment="1">
      <alignment horizontal="center"/>
    </xf>
    <xf numFmtId="0" fontId="12" fillId="31" borderId="727" xfId="0" applyFont="1" applyFill="1" applyBorder="1" applyAlignment="1">
      <alignment horizontal="center"/>
    </xf>
    <xf numFmtId="0" fontId="9" fillId="28" borderId="122" xfId="0" applyFont="1" applyFill="1" applyBorder="1" applyAlignment="1" applyProtection="1">
      <alignment horizontal="center" vertical="center" wrapText="1"/>
      <protection locked="0"/>
    </xf>
    <xf numFmtId="0" fontId="9" fillId="28" borderId="144" xfId="0" applyFont="1" applyFill="1" applyBorder="1" applyAlignment="1" applyProtection="1">
      <alignment horizontal="center" vertical="center" wrapText="1"/>
      <protection locked="0"/>
    </xf>
    <xf numFmtId="0" fontId="9" fillId="28" borderId="125" xfId="0" applyFont="1" applyFill="1" applyBorder="1" applyAlignment="1" applyProtection="1">
      <alignment horizontal="center" vertical="center" wrapText="1"/>
      <protection locked="0"/>
    </xf>
    <xf numFmtId="0" fontId="57" fillId="43" borderId="909" xfId="0" applyFont="1" applyFill="1" applyBorder="1" applyAlignment="1">
      <alignment horizontal="center" vertical="center" wrapText="1"/>
    </xf>
    <xf numFmtId="0" fontId="57" fillId="43" borderId="907" xfId="0" applyFont="1" applyFill="1" applyBorder="1" applyAlignment="1">
      <alignment horizontal="center" vertical="center" wrapText="1"/>
    </xf>
    <xf numFmtId="0" fontId="57" fillId="43" borderId="780" xfId="0" applyFont="1" applyFill="1" applyBorder="1" applyAlignment="1">
      <alignment horizontal="center" vertical="center" wrapText="1"/>
    </xf>
    <xf numFmtId="0" fontId="57" fillId="43" borderId="916" xfId="0" applyFont="1" applyFill="1" applyBorder="1" applyAlignment="1">
      <alignment horizontal="center" vertical="center" wrapText="1"/>
    </xf>
    <xf numFmtId="0" fontId="10" fillId="31" borderId="908" xfId="0" applyFont="1" applyFill="1" applyBorder="1" applyAlignment="1">
      <alignment horizontal="center" vertical="center"/>
    </xf>
    <xf numFmtId="0" fontId="10" fillId="31" borderId="95" xfId="0" applyFont="1" applyFill="1" applyBorder="1" applyAlignment="1">
      <alignment horizontal="center" vertical="center"/>
    </xf>
    <xf numFmtId="0" fontId="14" fillId="7" borderId="88"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3" fillId="54" borderId="109" xfId="0" applyFont="1" applyFill="1" applyBorder="1" applyAlignment="1" applyProtection="1">
      <alignment horizontal="center"/>
      <protection locked="0"/>
    </xf>
    <xf numFmtId="0" fontId="13" fillId="54" borderId="112" xfId="0" applyFont="1" applyFill="1" applyBorder="1" applyAlignment="1" applyProtection="1">
      <alignment horizontal="center"/>
      <protection locked="0"/>
    </xf>
    <xf numFmtId="0" fontId="13" fillId="54" borderId="329" xfId="0" applyFont="1" applyFill="1" applyBorder="1" applyAlignment="1" applyProtection="1">
      <alignment horizontal="center"/>
      <protection locked="0"/>
    </xf>
    <xf numFmtId="0" fontId="9" fillId="51" borderId="780" xfId="0" applyFont="1" applyFill="1" applyBorder="1" applyProtection="1">
      <protection locked="0"/>
    </xf>
    <xf numFmtId="0" fontId="9" fillId="51" borderId="915" xfId="0" applyFont="1" applyFill="1" applyBorder="1" applyProtection="1">
      <protection locked="0"/>
    </xf>
    <xf numFmtId="0" fontId="9" fillId="51" borderId="916" xfId="0" applyFont="1" applyFill="1" applyBorder="1" applyProtection="1">
      <protection locked="0"/>
    </xf>
    <xf numFmtId="0" fontId="62" fillId="54" borderId="481" xfId="0" applyFont="1" applyFill="1" applyBorder="1" applyAlignment="1" applyProtection="1">
      <alignment horizontal="center"/>
      <protection locked="0"/>
    </xf>
    <xf numFmtId="0" fontId="62" fillId="54" borderId="660" xfId="0" applyFont="1" applyFill="1" applyBorder="1" applyAlignment="1" applyProtection="1">
      <alignment horizontal="center"/>
      <protection locked="0"/>
    </xf>
    <xf numFmtId="0" fontId="62" fillId="54" borderId="647" xfId="0" applyFont="1" applyFill="1" applyBorder="1" applyAlignment="1" applyProtection="1">
      <alignment horizontal="center"/>
      <protection locked="0"/>
    </xf>
    <xf numFmtId="0" fontId="9" fillId="54" borderId="391" xfId="0" applyFont="1" applyFill="1" applyBorder="1" applyAlignment="1" applyProtection="1">
      <alignment horizontal="center"/>
      <protection locked="0"/>
    </xf>
    <xf numFmtId="0" fontId="9" fillId="54" borderId="484" xfId="0" applyFont="1" applyFill="1" applyBorder="1" applyAlignment="1" applyProtection="1">
      <alignment horizontal="center"/>
      <protection locked="0"/>
    </xf>
    <xf numFmtId="0" fontId="9" fillId="31" borderId="471" xfId="0" applyFont="1" applyFill="1" applyBorder="1" applyAlignment="1">
      <alignment horizontal="right"/>
    </xf>
    <xf numFmtId="0" fontId="9" fillId="31" borderId="632" xfId="0" applyFont="1" applyFill="1" applyBorder="1" applyAlignment="1">
      <alignment horizontal="right"/>
    </xf>
    <xf numFmtId="0" fontId="9" fillId="54" borderId="357" xfId="0" applyFont="1" applyFill="1" applyBorder="1" applyAlignment="1" applyProtection="1">
      <alignment horizontal="center"/>
      <protection locked="0"/>
    </xf>
    <xf numFmtId="0" fontId="9" fillId="54" borderId="638" xfId="0" applyFont="1" applyFill="1" applyBorder="1" applyAlignment="1" applyProtection="1">
      <alignment horizontal="center"/>
      <protection locked="0"/>
    </xf>
    <xf numFmtId="0" fontId="9" fillId="54" borderId="139" xfId="0" applyFont="1" applyFill="1" applyBorder="1" applyAlignment="1" applyProtection="1">
      <alignment horizontal="center"/>
      <protection locked="0"/>
    </xf>
    <xf numFmtId="0" fontId="9" fillId="54" borderId="396" xfId="0" applyFont="1" applyFill="1" applyBorder="1" applyAlignment="1" applyProtection="1">
      <alignment horizontal="center"/>
      <protection locked="0"/>
    </xf>
    <xf numFmtId="0" fontId="9" fillId="54" borderId="538" xfId="0" applyFont="1" applyFill="1" applyBorder="1" applyAlignment="1" applyProtection="1">
      <alignment horizontal="center"/>
      <protection locked="0"/>
    </xf>
    <xf numFmtId="0" fontId="9" fillId="31" borderId="124" xfId="0" applyFont="1" applyFill="1" applyBorder="1" applyAlignment="1">
      <alignment horizontal="right"/>
    </xf>
    <xf numFmtId="0" fontId="9" fillId="31" borderId="144" xfId="0" applyFont="1" applyFill="1" applyBorder="1" applyAlignment="1">
      <alignment horizontal="right"/>
    </xf>
    <xf numFmtId="0" fontId="9" fillId="31" borderId="437" xfId="0" applyFont="1" applyFill="1" applyBorder="1" applyAlignment="1">
      <alignment horizontal="right"/>
    </xf>
    <xf numFmtId="0" fontId="9" fillId="54" borderId="495" xfId="0" applyFont="1" applyFill="1" applyBorder="1" applyAlignment="1" applyProtection="1">
      <alignment horizontal="right"/>
      <protection locked="0"/>
    </xf>
    <xf numFmtId="0" fontId="9" fillId="54" borderId="355" xfId="0" applyFont="1" applyFill="1" applyBorder="1" applyAlignment="1" applyProtection="1">
      <alignment horizontal="right"/>
      <protection locked="0"/>
    </xf>
    <xf numFmtId="0" fontId="9" fillId="54" borderId="496" xfId="0" applyFont="1" applyFill="1" applyBorder="1" applyAlignment="1" applyProtection="1">
      <alignment horizontal="right"/>
      <protection locked="0"/>
    </xf>
    <xf numFmtId="0" fontId="9" fillId="54" borderId="497" xfId="0" applyFont="1" applyFill="1" applyBorder="1" applyAlignment="1" applyProtection="1">
      <alignment horizontal="right"/>
      <protection locked="0"/>
    </xf>
    <xf numFmtId="0" fontId="9" fillId="54" borderId="239" xfId="0" applyFont="1" applyFill="1" applyBorder="1" applyAlignment="1" applyProtection="1">
      <alignment horizontal="right"/>
      <protection locked="0"/>
    </xf>
    <xf numFmtId="0" fontId="9" fillId="54" borderId="498" xfId="0" applyFont="1" applyFill="1" applyBorder="1" applyAlignment="1" applyProtection="1">
      <alignment horizontal="right"/>
      <protection locked="0"/>
    </xf>
    <xf numFmtId="0" fontId="9" fillId="54" borderId="78"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490" xfId="0" applyFont="1" applyFill="1" applyBorder="1" applyAlignment="1" applyProtection="1">
      <alignment horizontal="left"/>
      <protection locked="0"/>
    </xf>
    <xf numFmtId="0" fontId="9" fillId="54" borderId="355" xfId="0" applyFont="1" applyFill="1" applyBorder="1" applyAlignment="1" applyProtection="1">
      <alignment horizontal="left"/>
      <protection locked="0"/>
    </xf>
    <xf numFmtId="0" fontId="9" fillId="54" borderId="368" xfId="0" applyFont="1" applyFill="1" applyBorder="1" applyAlignment="1" applyProtection="1">
      <alignment horizontal="left"/>
      <protection locked="0"/>
    </xf>
    <xf numFmtId="49" fontId="13" fillId="55" borderId="99" xfId="0" applyNumberFormat="1" applyFont="1" applyFill="1" applyBorder="1" applyAlignment="1" applyProtection="1">
      <alignment horizontal="center" vertical="center" wrapText="1"/>
      <protection locked="0"/>
    </xf>
    <xf numFmtId="49" fontId="13" fillId="55" borderId="115" xfId="0" applyNumberFormat="1" applyFont="1" applyFill="1" applyBorder="1" applyAlignment="1" applyProtection="1">
      <alignment horizontal="center" vertical="center" wrapText="1"/>
      <protection locked="0"/>
    </xf>
    <xf numFmtId="49" fontId="9" fillId="55" borderId="97" xfId="0" applyNumberFormat="1" applyFont="1" applyFill="1" applyBorder="1" applyAlignment="1" applyProtection="1">
      <alignment horizontal="center" vertical="center" wrapText="1"/>
      <protection locked="0"/>
    </xf>
    <xf numFmtId="49" fontId="9" fillId="55" borderId="114" xfId="0" applyNumberFormat="1" applyFont="1" applyFill="1" applyBorder="1" applyAlignment="1" applyProtection="1">
      <alignment horizontal="center" vertical="center" wrapText="1"/>
      <protection locked="0"/>
    </xf>
    <xf numFmtId="0" fontId="9" fillId="51" borderId="7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635" xfId="0" applyFont="1" applyFill="1" applyBorder="1" applyAlignment="1" applyProtection="1">
      <alignment horizontal="center"/>
      <protection locked="0"/>
    </xf>
    <xf numFmtId="0" fontId="67" fillId="27" borderId="0" xfId="0" applyFont="1" applyFill="1" applyAlignment="1">
      <alignment horizontal="center"/>
    </xf>
    <xf numFmtId="0" fontId="13" fillId="89" borderId="779" xfId="0" applyFont="1" applyFill="1" applyBorder="1" applyAlignment="1" applyProtection="1">
      <alignment vertical="center" wrapText="1"/>
      <protection locked="0"/>
    </xf>
    <xf numFmtId="0" fontId="13" fillId="89" borderId="0" xfId="0" applyFont="1" applyFill="1" applyAlignment="1" applyProtection="1">
      <alignment vertical="center" wrapText="1"/>
      <protection locked="0"/>
    </xf>
    <xf numFmtId="0" fontId="13" fillId="89" borderId="79" xfId="0" applyFont="1" applyFill="1" applyBorder="1" applyAlignment="1" applyProtection="1">
      <alignment vertical="center" wrapText="1"/>
      <protection locked="0"/>
    </xf>
    <xf numFmtId="0" fontId="13" fillId="58" borderId="89" xfId="0" applyFont="1" applyFill="1" applyBorder="1" applyAlignment="1" applyProtection="1">
      <alignment vertical="center" wrapText="1"/>
      <protection locked="0"/>
    </xf>
    <xf numFmtId="0" fontId="13" fillId="58" borderId="915" xfId="0" applyFont="1" applyFill="1" applyBorder="1" applyAlignment="1" applyProtection="1">
      <alignment vertical="center" wrapText="1"/>
      <protection locked="0"/>
    </xf>
    <xf numFmtId="0" fontId="13" fillId="58" borderId="919" xfId="0" applyFont="1" applyFill="1" applyBorder="1" applyAlignment="1" applyProtection="1">
      <alignment vertical="center" wrapText="1"/>
      <protection locked="0"/>
    </xf>
    <xf numFmtId="0" fontId="13" fillId="58" borderId="78"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79" xfId="0" applyFont="1" applyFill="1" applyBorder="1" applyAlignment="1" applyProtection="1">
      <alignment horizontal="left" vertical="center" wrapText="1"/>
      <protection locked="0"/>
    </xf>
    <xf numFmtId="0" fontId="9" fillId="7" borderId="309" xfId="0" applyFont="1" applyFill="1" applyBorder="1" applyAlignment="1">
      <alignment horizontal="right"/>
    </xf>
    <xf numFmtId="0" fontId="9" fillId="7" borderId="589" xfId="0" applyFont="1" applyFill="1" applyBorder="1" applyAlignment="1">
      <alignment horizontal="right"/>
    </xf>
    <xf numFmtId="0" fontId="13" fillId="55" borderId="483" xfId="0" applyFont="1" applyFill="1" applyBorder="1" applyAlignment="1" applyProtection="1">
      <alignment horizontal="left"/>
      <protection locked="0"/>
    </xf>
    <xf numFmtId="0" fontId="13" fillId="55" borderId="332" xfId="0" applyFont="1" applyFill="1" applyBorder="1" applyAlignment="1" applyProtection="1">
      <alignment horizontal="left" vertical="center" wrapText="1"/>
      <protection locked="0"/>
    </xf>
    <xf numFmtId="0" fontId="13" fillId="55" borderId="334"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590"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29" xfId="0" applyFont="1" applyFill="1" applyBorder="1" applyAlignment="1">
      <alignment horizontal="center" vertical="center" wrapText="1"/>
    </xf>
    <xf numFmtId="0" fontId="9" fillId="31" borderId="128" xfId="0" applyFont="1" applyFill="1" applyBorder="1" applyAlignment="1">
      <alignment horizontal="center"/>
    </xf>
    <xf numFmtId="0" fontId="9" fillId="31" borderId="722" xfId="0" applyFont="1" applyFill="1" applyBorder="1" applyAlignment="1">
      <alignment horizontal="center"/>
    </xf>
    <xf numFmtId="0" fontId="13" fillId="55" borderId="924" xfId="0" applyFont="1" applyFill="1" applyBorder="1" applyAlignment="1" applyProtection="1">
      <alignment vertical="center" wrapText="1"/>
      <protection locked="0"/>
    </xf>
    <xf numFmtId="0" fontId="13" fillId="55" borderId="911" xfId="0" applyFont="1" applyFill="1" applyBorder="1" applyAlignment="1" applyProtection="1">
      <alignment vertical="center" wrapText="1"/>
      <protection locked="0"/>
    </xf>
    <xf numFmtId="0" fontId="13" fillId="55" borderId="912" xfId="0" applyFont="1" applyFill="1" applyBorder="1" applyAlignment="1" applyProtection="1">
      <alignment vertical="center" wrapText="1"/>
      <protection locked="0"/>
    </xf>
    <xf numFmtId="0" fontId="13" fillId="59" borderId="89" xfId="0" applyFont="1" applyFill="1" applyBorder="1" applyAlignment="1" applyProtection="1">
      <alignment vertical="center" wrapText="1"/>
      <protection locked="0"/>
    </xf>
    <xf numFmtId="0" fontId="13" fillId="59" borderId="915" xfId="0" applyFont="1" applyFill="1" applyBorder="1" applyAlignment="1" applyProtection="1">
      <alignment vertical="center" wrapText="1"/>
      <protection locked="0"/>
    </xf>
    <xf numFmtId="0" fontId="13" fillId="59" borderId="916" xfId="0" applyFont="1" applyFill="1" applyBorder="1" applyAlignment="1" applyProtection="1">
      <alignment vertical="center" wrapText="1"/>
      <protection locked="0"/>
    </xf>
    <xf numFmtId="49" fontId="9" fillId="55" borderId="499" xfId="0" applyNumberFormat="1" applyFont="1" applyFill="1" applyBorder="1" applyAlignment="1" applyProtection="1">
      <alignment vertical="center"/>
      <protection locked="0"/>
    </xf>
    <xf numFmtId="49" fontId="9" fillId="55" borderId="485" xfId="0" applyNumberFormat="1" applyFont="1" applyFill="1" applyBorder="1" applyAlignment="1" applyProtection="1">
      <alignment vertical="center"/>
      <protection locked="0"/>
    </xf>
    <xf numFmtId="49" fontId="9" fillId="55" borderId="484" xfId="0" applyNumberFormat="1" applyFont="1" applyFill="1" applyBorder="1" applyAlignment="1" applyProtection="1">
      <alignment vertical="center"/>
      <protection locked="0"/>
    </xf>
    <xf numFmtId="0" fontId="59" fillId="3" borderId="0" xfId="0" applyFont="1" applyFill="1" applyAlignment="1">
      <alignment horizontal="center"/>
    </xf>
    <xf numFmtId="0" fontId="15" fillId="8" borderId="174" xfId="0" applyFont="1" applyFill="1" applyBorder="1" applyAlignment="1">
      <alignment horizontal="center" vertical="center" wrapText="1"/>
    </xf>
    <xf numFmtId="0" fontId="15" fillId="8" borderId="93" xfId="0" applyFont="1" applyFill="1" applyBorder="1" applyAlignment="1">
      <alignment horizontal="center" vertical="center" textRotation="90"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60" xfId="0" applyFont="1" applyFill="1" applyBorder="1" applyAlignment="1">
      <alignment horizontal="right" vertical="center" wrapText="1"/>
    </xf>
    <xf numFmtId="0" fontId="9" fillId="31" borderId="660" xfId="0" applyFont="1" applyFill="1" applyBorder="1" applyAlignment="1">
      <alignment horizontal="center"/>
    </xf>
    <xf numFmtId="0" fontId="9" fillId="31" borderId="651" xfId="0" applyFont="1" applyFill="1" applyBorder="1" applyAlignment="1">
      <alignment horizontal="center"/>
    </xf>
    <xf numFmtId="0" fontId="9" fillId="54" borderId="323" xfId="0" applyFont="1" applyFill="1" applyBorder="1" applyAlignment="1" applyProtection="1">
      <alignment horizontal="left"/>
      <protection locked="0"/>
    </xf>
    <xf numFmtId="0" fontId="9" fillId="54" borderId="322"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4" borderId="89" xfId="0" applyFont="1" applyFill="1" applyBorder="1" applyProtection="1">
      <protection locked="0"/>
    </xf>
    <xf numFmtId="0" fontId="9" fillId="54" borderId="76" xfId="0" applyFont="1" applyFill="1" applyBorder="1" applyProtection="1">
      <protection locked="0"/>
    </xf>
    <xf numFmtId="0" fontId="9" fillId="54" borderId="127" xfId="0" applyFont="1" applyFill="1" applyBorder="1" applyProtection="1">
      <protection locked="0"/>
    </xf>
    <xf numFmtId="0" fontId="9" fillId="54" borderId="330" xfId="0" applyFont="1" applyFill="1" applyBorder="1" applyAlignment="1" applyProtection="1">
      <alignment horizontal="center"/>
      <protection locked="0"/>
    </xf>
    <xf numFmtId="0" fontId="9" fillId="54" borderId="127" xfId="0" applyFont="1" applyFill="1" applyBorder="1" applyAlignment="1" applyProtection="1">
      <alignment horizontal="center"/>
      <protection locked="0"/>
    </xf>
    <xf numFmtId="0" fontId="15" fillId="13" borderId="86" xfId="0" applyFont="1" applyFill="1" applyBorder="1" applyAlignment="1">
      <alignment horizontal="center" vertical="center" wrapText="1"/>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76"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9" fillId="51" borderId="91" xfId="0" applyFont="1" applyFill="1" applyBorder="1" applyProtection="1">
      <protection locked="0"/>
    </xf>
    <xf numFmtId="0" fontId="9" fillId="51" borderId="0" xfId="0" applyFont="1" applyFill="1" applyProtection="1">
      <protection locked="0"/>
    </xf>
    <xf numFmtId="0" fontId="9" fillId="51" borderId="79" xfId="0" applyFont="1" applyFill="1" applyBorder="1" applyProtection="1">
      <protection locked="0"/>
    </xf>
    <xf numFmtId="0" fontId="9" fillId="7" borderId="633" xfId="0" applyFont="1" applyFill="1" applyBorder="1" applyAlignment="1">
      <alignment horizontal="center" vertical="center" wrapText="1"/>
    </xf>
    <xf numFmtId="0" fontId="9" fillId="54" borderId="485" xfId="0" applyFont="1" applyFill="1" applyBorder="1" applyAlignment="1" applyProtection="1">
      <alignment horizontal="right"/>
      <protection locked="0"/>
    </xf>
    <xf numFmtId="49" fontId="13" fillId="7" borderId="686" xfId="0" applyNumberFormat="1" applyFont="1" applyFill="1" applyBorder="1" applyAlignment="1">
      <alignment horizontal="center" vertical="center" wrapText="1"/>
    </xf>
    <xf numFmtId="49" fontId="13" fillId="7" borderId="653" xfId="0" applyNumberFormat="1"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54" borderId="493" xfId="0" applyFont="1" applyFill="1" applyBorder="1" applyAlignment="1" applyProtection="1">
      <alignment horizontal="right"/>
      <protection locked="0"/>
    </xf>
    <xf numFmtId="0" fontId="9" fillId="54" borderId="486" xfId="0" applyFont="1" applyFill="1" applyBorder="1" applyAlignment="1" applyProtection="1">
      <alignment horizontal="right"/>
      <protection locked="0"/>
    </xf>
    <xf numFmtId="0" fontId="9" fillId="54" borderId="538" xfId="0" applyFont="1" applyFill="1" applyBorder="1" applyAlignment="1" applyProtection="1">
      <alignment horizontal="right"/>
      <protection locked="0"/>
    </xf>
    <xf numFmtId="0" fontId="9" fillId="54" borderId="361" xfId="0" applyFont="1" applyFill="1" applyBorder="1" applyAlignment="1" applyProtection="1">
      <alignment horizontal="left"/>
      <protection locked="0"/>
    </xf>
    <xf numFmtId="0" fontId="9" fillId="54" borderId="486" xfId="0" applyFont="1" applyFill="1" applyBorder="1" applyAlignment="1" applyProtection="1">
      <alignment horizontal="left"/>
      <protection locked="0"/>
    </xf>
    <xf numFmtId="0" fontId="9" fillId="54" borderId="362" xfId="0" applyFont="1" applyFill="1" applyBorder="1" applyAlignment="1" applyProtection="1">
      <alignment horizontal="left"/>
      <protection locked="0"/>
    </xf>
    <xf numFmtId="0" fontId="9" fillId="54" borderId="441" xfId="0" applyFont="1" applyFill="1" applyBorder="1" applyAlignment="1" applyProtection="1">
      <alignment horizontal="left"/>
      <protection locked="0"/>
    </xf>
    <xf numFmtId="0" fontId="9" fillId="54" borderId="237" xfId="0" applyFont="1" applyFill="1" applyBorder="1" applyAlignment="1" applyProtection="1">
      <alignment horizontal="left"/>
      <protection locked="0"/>
    </xf>
    <xf numFmtId="0" fontId="9" fillId="54" borderId="238" xfId="0" applyFont="1" applyFill="1" applyBorder="1" applyAlignment="1" applyProtection="1">
      <alignment horizontal="left"/>
      <protection locked="0"/>
    </xf>
    <xf numFmtId="0" fontId="12" fillId="30" borderId="132" xfId="0" applyFont="1" applyFill="1" applyBorder="1" applyAlignment="1">
      <alignment horizontal="center"/>
    </xf>
    <xf numFmtId="0" fontId="12" fillId="30" borderId="87" xfId="0" applyFont="1" applyFill="1" applyBorder="1" applyAlignment="1">
      <alignment horizontal="center"/>
    </xf>
    <xf numFmtId="0" fontId="12" fillId="30" borderId="88" xfId="0" applyFont="1" applyFill="1" applyBorder="1" applyAlignment="1">
      <alignment horizontal="center"/>
    </xf>
    <xf numFmtId="0" fontId="9" fillId="54" borderId="491" xfId="0" applyFont="1" applyFill="1" applyBorder="1" applyAlignment="1" applyProtection="1">
      <alignment horizontal="left"/>
      <protection locked="0"/>
    </xf>
    <xf numFmtId="0" fontId="9" fillId="54" borderId="239" xfId="0" applyFont="1" applyFill="1" applyBorder="1" applyAlignment="1" applyProtection="1">
      <alignment horizontal="left"/>
      <protection locked="0"/>
    </xf>
    <xf numFmtId="0" fontId="9" fillId="54" borderId="240" xfId="0" applyFont="1" applyFill="1" applyBorder="1" applyAlignment="1" applyProtection="1">
      <alignment horizontal="left"/>
      <protection locked="0"/>
    </xf>
    <xf numFmtId="0" fontId="13" fillId="54" borderId="481" xfId="0" applyFont="1" applyFill="1" applyBorder="1" applyAlignment="1" applyProtection="1">
      <alignment horizontal="left"/>
      <protection locked="0"/>
    </xf>
    <xf numFmtId="0" fontId="13" fillId="54" borderId="660" xfId="0" applyFont="1" applyFill="1" applyBorder="1" applyAlignment="1" applyProtection="1">
      <alignment horizontal="left"/>
      <protection locked="0"/>
    </xf>
    <xf numFmtId="0" fontId="13" fillId="54" borderId="646" xfId="0" applyFont="1" applyFill="1" applyBorder="1" applyAlignment="1" applyProtection="1">
      <alignment horizontal="left"/>
      <protection locked="0"/>
    </xf>
    <xf numFmtId="0" fontId="9" fillId="54" borderId="489" xfId="0" applyFont="1" applyFill="1" applyBorder="1" applyAlignment="1" applyProtection="1">
      <alignment horizontal="left"/>
      <protection locked="0"/>
    </xf>
    <xf numFmtId="0" fontId="9" fillId="54" borderId="485" xfId="0" applyFont="1" applyFill="1" applyBorder="1" applyAlignment="1" applyProtection="1">
      <alignment horizontal="left"/>
      <protection locked="0"/>
    </xf>
    <xf numFmtId="0" fontId="9" fillId="54" borderId="402" xfId="0" applyFont="1" applyFill="1" applyBorder="1" applyAlignment="1" applyProtection="1">
      <alignment horizontal="left"/>
      <protection locked="0"/>
    </xf>
    <xf numFmtId="49" fontId="13" fillId="7" borderId="128" xfId="0" applyNumberFormat="1" applyFont="1" applyFill="1" applyBorder="1" applyAlignment="1">
      <alignment horizontal="center" vertical="center" wrapText="1"/>
    </xf>
    <xf numFmtId="49" fontId="13" fillId="7" borderId="660" xfId="0" applyNumberFormat="1" applyFont="1" applyFill="1" applyBorder="1" applyAlignment="1">
      <alignment horizontal="center" vertical="center" wrapText="1"/>
    </xf>
    <xf numFmtId="49" fontId="13" fillId="7" borderId="651" xfId="0" applyNumberFormat="1" applyFont="1" applyFill="1" applyBorder="1" applyAlignment="1">
      <alignment horizontal="center" vertical="center" wrapText="1"/>
    </xf>
    <xf numFmtId="0" fontId="13" fillId="55" borderId="38" xfId="0" applyFont="1" applyFill="1" applyBorder="1" applyAlignment="1" applyProtection="1">
      <alignment horizontal="left" vertical="center"/>
      <protection locked="0"/>
    </xf>
    <xf numFmtId="0" fontId="13" fillId="55" borderId="709" xfId="0" applyFont="1" applyFill="1" applyBorder="1" applyAlignment="1" applyProtection="1">
      <alignment horizontal="left" vertical="center" wrapText="1"/>
      <protection locked="0"/>
    </xf>
    <xf numFmtId="0" fontId="109" fillId="24" borderId="112" xfId="0" applyFont="1" applyFill="1" applyBorder="1" applyAlignment="1" applyProtection="1">
      <alignment horizontal="center"/>
      <protection locked="0"/>
    </xf>
    <xf numFmtId="0" fontId="109" fillId="24" borderId="329" xfId="0" applyFont="1" applyFill="1" applyBorder="1" applyAlignment="1" applyProtection="1">
      <alignment horizontal="center"/>
      <protection locked="0"/>
    </xf>
    <xf numFmtId="0" fontId="9" fillId="31" borderId="86" xfId="0" applyFont="1" applyFill="1" applyBorder="1" applyAlignment="1">
      <alignment horizontal="center"/>
    </xf>
    <xf numFmtId="0" fontId="9" fillId="31" borderId="87" xfId="0" applyFont="1" applyFill="1" applyBorder="1" applyAlignment="1">
      <alignment horizontal="center"/>
    </xf>
    <xf numFmtId="0" fontId="9" fillId="31" borderId="106" xfId="0" applyFont="1" applyFill="1" applyBorder="1" applyAlignment="1">
      <alignment horizontal="center"/>
    </xf>
    <xf numFmtId="0" fontId="9" fillId="31" borderId="683" xfId="0" applyFont="1" applyFill="1" applyBorder="1" applyAlignment="1">
      <alignment horizontal="center"/>
    </xf>
    <xf numFmtId="0" fontId="9" fillId="31" borderId="122" xfId="0" applyFont="1" applyFill="1" applyBorder="1" applyAlignment="1">
      <alignment horizontal="center"/>
    </xf>
    <xf numFmtId="0" fontId="9" fillId="31" borderId="144" xfId="0" applyFont="1" applyFill="1" applyBorder="1" applyAlignment="1">
      <alignment horizontal="center"/>
    </xf>
    <xf numFmtId="0" fontId="75" fillId="49" borderId="0" xfId="0" applyFont="1" applyFill="1" applyAlignment="1">
      <alignment horizontal="center" vertical="center"/>
    </xf>
    <xf numFmtId="0" fontId="9" fillId="54" borderId="482" xfId="0" applyFont="1" applyFill="1" applyBorder="1" applyAlignment="1" applyProtection="1">
      <alignment horizontal="center" vertical="center"/>
      <protection locked="0"/>
    </xf>
    <xf numFmtId="0" fontId="9" fillId="54" borderId="125" xfId="0" applyFont="1" applyFill="1" applyBorder="1" applyAlignment="1" applyProtection="1">
      <alignment horizontal="center" vertical="center"/>
      <protection locked="0"/>
    </xf>
    <xf numFmtId="0" fontId="18" fillId="54" borderId="86" xfId="0" applyFont="1" applyFill="1" applyBorder="1" applyAlignment="1" applyProtection="1">
      <alignment horizontal="center" vertical="center" wrapText="1"/>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6"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9" fillId="31" borderId="660" xfId="0" applyFont="1" applyFill="1" applyBorder="1" applyAlignment="1">
      <alignment horizontal="center" wrapText="1"/>
    </xf>
    <xf numFmtId="0" fontId="13" fillId="51" borderId="72" xfId="0" applyFont="1" applyFill="1" applyBorder="1" applyAlignment="1" applyProtection="1">
      <alignment horizontal="center" vertical="center" wrapText="1"/>
      <protection locked="0"/>
    </xf>
    <xf numFmtId="0" fontId="13" fillId="51" borderId="710" xfId="0" applyFont="1" applyFill="1" applyBorder="1" applyAlignment="1" applyProtection="1">
      <alignment horizontal="center" vertical="center" wrapText="1"/>
      <protection locked="0"/>
    </xf>
    <xf numFmtId="0" fontId="13" fillId="55" borderId="321" xfId="0" applyFont="1" applyFill="1" applyBorder="1" applyAlignment="1" applyProtection="1">
      <alignment horizontal="center" vertical="center" wrapText="1"/>
      <protection locked="0"/>
    </xf>
    <xf numFmtId="0" fontId="13" fillId="55" borderId="325" xfId="0" applyFont="1" applyFill="1" applyBorder="1" applyAlignment="1" applyProtection="1">
      <alignment horizontal="center" vertical="center" wrapText="1"/>
      <protection locked="0"/>
    </xf>
    <xf numFmtId="0" fontId="13" fillId="55" borderId="86"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 borderId="106" xfId="0" applyFont="1" applyFill="1" applyBorder="1" applyAlignment="1">
      <alignment vertical="center"/>
    </xf>
    <xf numFmtId="0" fontId="9" fillId="3" borderId="707" xfId="0" applyFont="1" applyFill="1" applyBorder="1" applyAlignment="1">
      <alignment vertical="center"/>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5" fillId="8" borderId="93"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58" xfId="0" applyFont="1" applyFill="1" applyBorder="1" applyAlignment="1" applyProtection="1">
      <alignment horizontal="center" vertical="center" wrapText="1"/>
      <protection locked="0"/>
    </xf>
    <xf numFmtId="0" fontId="13" fillId="55" borderId="158"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7" xfId="0" applyFont="1" applyFill="1" applyBorder="1" applyAlignment="1" applyProtection="1">
      <alignment horizontal="center" vertical="center" wrapText="1"/>
      <protection locked="0"/>
    </xf>
    <xf numFmtId="0" fontId="13" fillId="55" borderId="709"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13" fillId="51" borderId="86" xfId="0" applyFont="1" applyFill="1" applyBorder="1" applyAlignment="1" applyProtection="1">
      <alignment horizontal="center" vertical="center" wrapText="1"/>
      <protection locked="0"/>
    </xf>
    <xf numFmtId="0" fontId="13" fillId="51" borderId="142" xfId="0" applyFont="1" applyFill="1" applyBorder="1" applyAlignment="1" applyProtection="1">
      <alignment horizontal="center" vertical="center" wrapText="1"/>
      <protection locked="0"/>
    </xf>
    <xf numFmtId="0" fontId="13" fillId="51" borderId="89" xfId="0" applyFont="1" applyFill="1" applyBorder="1" applyAlignment="1" applyProtection="1">
      <alignment horizontal="center" vertical="center" wrapText="1"/>
      <protection locked="0"/>
    </xf>
    <xf numFmtId="0" fontId="13" fillId="51" borderId="127" xfId="0" applyFont="1" applyFill="1" applyBorder="1" applyAlignment="1" applyProtection="1">
      <alignment horizontal="center" vertical="center" wrapText="1"/>
      <protection locked="0"/>
    </xf>
    <xf numFmtId="0" fontId="109" fillId="31" borderId="109" xfId="0" applyFont="1" applyFill="1" applyBorder="1" applyAlignment="1">
      <alignment horizontal="center"/>
    </xf>
    <xf numFmtId="0" fontId="109" fillId="31" borderId="112" xfId="0" applyFont="1" applyFill="1" applyBorder="1" applyAlignment="1">
      <alignment horizontal="center"/>
    </xf>
    <xf numFmtId="0" fontId="109" fillId="31" borderId="140" xfId="0" applyFont="1" applyFill="1" applyBorder="1" applyAlignment="1">
      <alignment horizontal="center"/>
    </xf>
    <xf numFmtId="0" fontId="13" fillId="51" borderId="91"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1" borderId="34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30" borderId="321" xfId="0" applyFont="1" applyFill="1" applyBorder="1" applyAlignment="1" applyProtection="1">
      <alignment horizontal="center" vertical="center"/>
      <protection locked="0"/>
    </xf>
    <xf numFmtId="0" fontId="9" fillId="30" borderId="322" xfId="0" applyFont="1" applyFill="1" applyBorder="1" applyAlignment="1" applyProtection="1">
      <alignment horizontal="center" vertical="center"/>
      <protection locked="0"/>
    </xf>
    <xf numFmtId="0" fontId="9" fillId="30" borderId="325" xfId="0" applyFont="1" applyFill="1" applyBorder="1" applyAlignment="1" applyProtection="1">
      <alignment horizontal="center" vertical="center"/>
      <protection locked="0"/>
    </xf>
    <xf numFmtId="0" fontId="9" fillId="31" borderId="129" xfId="0" applyFont="1" applyFill="1" applyBorder="1" applyAlignment="1">
      <alignment horizontal="right"/>
    </xf>
    <xf numFmtId="0" fontId="9" fillId="31" borderId="633" xfId="0" applyFont="1" applyFill="1" applyBorder="1" applyAlignment="1">
      <alignment horizontal="right"/>
    </xf>
    <xf numFmtId="0" fontId="13" fillId="62" borderId="86" xfId="0" applyFont="1" applyFill="1" applyBorder="1" applyAlignment="1" applyProtection="1">
      <alignment horizontal="center" vertical="center"/>
      <protection locked="0"/>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31" borderId="101" xfId="0" applyFont="1" applyFill="1" applyBorder="1" applyAlignment="1">
      <alignment horizontal="center" vertical="center" wrapText="1"/>
    </xf>
    <xf numFmtId="0" fontId="13" fillId="31" borderId="97"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21" fillId="54" borderId="481" xfId="0" applyFont="1" applyFill="1" applyBorder="1" applyAlignment="1" applyProtection="1">
      <alignment horizontal="center"/>
      <protection locked="0"/>
    </xf>
    <xf numFmtId="0" fontId="21" fillId="54" borderId="660" xfId="0" applyFont="1" applyFill="1" applyBorder="1" applyAlignment="1" applyProtection="1">
      <alignment horizontal="center"/>
      <protection locked="0"/>
    </xf>
    <xf numFmtId="0" fontId="21" fillId="54" borderId="646"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660" xfId="0" applyFont="1" applyFill="1" applyBorder="1" applyAlignment="1">
      <alignment horizontal="right"/>
    </xf>
    <xf numFmtId="0" fontId="9" fillId="31" borderId="89" xfId="0" applyFont="1" applyFill="1" applyBorder="1" applyAlignment="1">
      <alignment horizontal="right"/>
    </xf>
    <xf numFmtId="0" fontId="9" fillId="31" borderId="76" xfId="0" applyFont="1" applyFill="1" applyBorder="1" applyAlignment="1">
      <alignment horizontal="right"/>
    </xf>
    <xf numFmtId="0" fontId="9" fillId="30" borderId="124" xfId="0" applyFont="1" applyFill="1" applyBorder="1" applyAlignment="1" applyProtection="1">
      <alignment horizontal="center" vertical="center"/>
      <protection locked="0"/>
    </xf>
    <xf numFmtId="0" fontId="9" fillId="30" borderId="144" xfId="0" applyFont="1" applyFill="1" applyBorder="1" applyAlignment="1" applyProtection="1">
      <alignment horizontal="center" vertical="center"/>
      <protection locked="0"/>
    </xf>
    <xf numFmtId="0" fontId="9" fillId="30" borderId="125" xfId="0" applyFont="1" applyFill="1" applyBorder="1" applyAlignment="1" applyProtection="1">
      <alignment horizontal="center" vertical="center"/>
      <protection locked="0"/>
    </xf>
    <xf numFmtId="0" fontId="9" fillId="7" borderId="346" xfId="0" applyFont="1" applyFill="1" applyBorder="1" applyAlignment="1">
      <alignment vertical="center" wrapText="1"/>
    </xf>
    <xf numFmtId="0" fontId="9" fillId="7" borderId="730"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9" fillId="7" borderId="306" xfId="0" applyFont="1" applyFill="1" applyBorder="1" applyAlignment="1">
      <alignment horizontal="right" vertical="center" wrapText="1"/>
    </xf>
    <xf numFmtId="0" fontId="9" fillId="7" borderId="728" xfId="0" applyFont="1" applyFill="1" applyBorder="1" applyAlignment="1">
      <alignment horizontal="right" vertical="center" wrapText="1"/>
    </xf>
    <xf numFmtId="0" fontId="13" fillId="55" borderId="357" xfId="0" applyFont="1" applyFill="1" applyBorder="1" applyAlignment="1" applyProtection="1">
      <alignment horizontal="center" vertical="center" wrapText="1"/>
      <protection locked="0"/>
    </xf>
    <xf numFmtId="0" fontId="13" fillId="55" borderId="698" xfId="0" applyFont="1" applyFill="1" applyBorder="1" applyAlignment="1" applyProtection="1">
      <alignment horizontal="center" vertical="center" wrapText="1"/>
      <protection locked="0"/>
    </xf>
    <xf numFmtId="0" fontId="13" fillId="55" borderId="720" xfId="0" applyFont="1" applyFill="1" applyBorder="1" applyAlignment="1" applyProtection="1">
      <alignment horizontal="center" vertical="center" wrapText="1"/>
      <protection locked="0"/>
    </xf>
    <xf numFmtId="0" fontId="140" fillId="55" borderId="78" xfId="0" applyFont="1" applyFill="1" applyBorder="1" applyAlignment="1" applyProtection="1">
      <alignment horizontal="center" vertical="center" wrapText="1"/>
      <protection locked="0"/>
    </xf>
    <xf numFmtId="0" fontId="140" fillId="55" borderId="490" xfId="0" applyFont="1" applyFill="1" applyBorder="1" applyAlignment="1" applyProtection="1">
      <alignment horizontal="center" vertical="center" wrapText="1"/>
      <protection locked="0"/>
    </xf>
    <xf numFmtId="0" fontId="140" fillId="55" borderId="368" xfId="0" applyFont="1" applyFill="1" applyBorder="1" applyAlignment="1" applyProtection="1">
      <alignment horizontal="center" vertical="center" wrapText="1"/>
      <protection locked="0"/>
    </xf>
    <xf numFmtId="0" fontId="140" fillId="55" borderId="709" xfId="0" applyFont="1" applyFill="1" applyBorder="1" applyAlignment="1" applyProtection="1">
      <alignment horizontal="center" vertical="center" wrapText="1"/>
      <protection locked="0"/>
    </xf>
    <xf numFmtId="0" fontId="140" fillId="55" borderId="441" xfId="0" applyFont="1" applyFill="1" applyBorder="1" applyAlignment="1" applyProtection="1">
      <alignment horizontal="center" vertical="center" wrapText="1"/>
      <protection locked="0"/>
    </xf>
    <xf numFmtId="0" fontId="140" fillId="55" borderId="494" xfId="0" applyFont="1" applyFill="1" applyBorder="1" applyAlignment="1" applyProtection="1">
      <alignment horizontal="center" vertical="center" wrapText="1"/>
      <protection locked="0"/>
    </xf>
    <xf numFmtId="0" fontId="9" fillId="7" borderId="699" xfId="0" applyFont="1" applyFill="1" applyBorder="1" applyAlignment="1">
      <alignment horizontal="right"/>
    </xf>
    <xf numFmtId="0" fontId="9" fillId="7" borderId="97" xfId="0" applyFont="1" applyFill="1" applyBorder="1" applyAlignment="1">
      <alignment horizontal="right"/>
    </xf>
    <xf numFmtId="0" fontId="140" fillId="55" borderId="76" xfId="0" applyFont="1" applyFill="1" applyBorder="1" applyAlignment="1" applyProtection="1">
      <alignment horizontal="center" vertical="center" wrapText="1"/>
      <protection locked="0"/>
    </xf>
    <xf numFmtId="0" fontId="140" fillId="55" borderId="127" xfId="0" applyFont="1" applyFill="1" applyBorder="1" applyAlignment="1" applyProtection="1">
      <alignment horizontal="center" vertical="center" wrapText="1"/>
      <protection locked="0"/>
    </xf>
    <xf numFmtId="0" fontId="140" fillId="55" borderId="361" xfId="0" applyFont="1" applyFill="1" applyBorder="1" applyAlignment="1" applyProtection="1">
      <alignment horizontal="center" vertical="center" wrapText="1"/>
      <protection locked="0"/>
    </xf>
    <xf numFmtId="0" fontId="140" fillId="55" borderId="538" xfId="0" applyFont="1" applyFill="1" applyBorder="1" applyAlignment="1" applyProtection="1">
      <alignment horizontal="center" vertical="center" wrapText="1"/>
      <protection locked="0"/>
    </xf>
    <xf numFmtId="0" fontId="111" fillId="31" borderId="321" xfId="0" applyFont="1" applyFill="1" applyBorder="1" applyAlignment="1">
      <alignment horizontal="center" vertical="center"/>
    </xf>
    <xf numFmtId="0" fontId="111" fillId="31" borderId="322" xfId="0" applyFont="1" applyFill="1" applyBorder="1" applyAlignment="1">
      <alignment horizontal="center" vertical="center"/>
    </xf>
    <xf numFmtId="0" fontId="111" fillId="31" borderId="78" xfId="0" applyFont="1" applyFill="1" applyBorder="1" applyAlignment="1">
      <alignment horizontal="center" vertical="center"/>
    </xf>
    <xf numFmtId="0" fontId="111" fillId="31" borderId="0" xfId="0" applyFont="1" applyFill="1" applyAlignment="1">
      <alignment horizontal="center" vertical="center"/>
    </xf>
    <xf numFmtId="0" fontId="111" fillId="31" borderId="709" xfId="0" applyFont="1" applyFill="1" applyBorder="1" applyAlignment="1">
      <alignment horizontal="center" vertical="center"/>
    </xf>
    <xf numFmtId="0" fontId="111" fillId="31" borderId="76" xfId="0" applyFont="1" applyFill="1" applyBorder="1" applyAlignment="1">
      <alignment horizontal="center" vertical="center"/>
    </xf>
    <xf numFmtId="0" fontId="140" fillId="55" borderId="496" xfId="0" applyFont="1" applyFill="1" applyBorder="1" applyAlignment="1" applyProtection="1">
      <alignment horizontal="center" vertical="center" wrapText="1"/>
      <protection locked="0"/>
    </xf>
    <xf numFmtId="0" fontId="91" fillId="43" borderId="141" xfId="0" applyFont="1" applyFill="1" applyBorder="1" applyAlignment="1">
      <alignment horizontal="center" vertical="center" textRotation="90" wrapText="1"/>
    </xf>
    <xf numFmtId="0" fontId="91" fillId="43" borderId="340" xfId="0" applyFont="1" applyFill="1" applyBorder="1" applyAlignment="1">
      <alignment horizontal="center" vertical="center" textRotation="90" wrapText="1"/>
    </xf>
    <xf numFmtId="0" fontId="91" fillId="43" borderId="341" xfId="0" applyFont="1" applyFill="1" applyBorder="1" applyAlignment="1">
      <alignment horizontal="center" vertical="center" textRotation="90" wrapText="1"/>
    </xf>
    <xf numFmtId="0" fontId="140" fillId="55" borderId="321" xfId="0" applyFont="1" applyFill="1" applyBorder="1" applyAlignment="1" applyProtection="1">
      <alignment horizontal="center" vertical="center" wrapText="1"/>
      <protection locked="0"/>
    </xf>
    <xf numFmtId="0" fontId="140" fillId="55" borderId="71" xfId="0" applyFont="1" applyFill="1" applyBorder="1" applyAlignment="1" applyProtection="1">
      <alignment horizontal="center" vertical="center" wrapText="1"/>
      <protection locked="0"/>
    </xf>
    <xf numFmtId="0" fontId="140" fillId="55" borderId="491" xfId="0" applyFont="1" applyFill="1" applyBorder="1" applyAlignment="1" applyProtection="1">
      <alignment horizontal="center" vertical="center" wrapText="1"/>
      <protection locked="0"/>
    </xf>
    <xf numFmtId="0" fontId="140" fillId="55" borderId="498" xfId="0" applyFont="1" applyFill="1" applyBorder="1" applyAlignment="1" applyProtection="1">
      <alignment horizontal="center" vertical="center" wrapText="1"/>
      <protection locked="0"/>
    </xf>
    <xf numFmtId="0" fontId="9" fillId="30" borderId="97" xfId="0" applyFont="1" applyFill="1" applyBorder="1" applyAlignment="1">
      <alignment horizontal="center"/>
    </xf>
    <xf numFmtId="0" fontId="9" fillId="7" borderId="123" xfId="0" applyFont="1" applyFill="1" applyBorder="1" applyAlignment="1">
      <alignment horizontal="right"/>
    </xf>
    <xf numFmtId="0" fontId="9" fillId="7" borderId="114" xfId="0" applyFont="1" applyFill="1" applyBorder="1" applyAlignment="1">
      <alignment horizontal="right"/>
    </xf>
    <xf numFmtId="0" fontId="9" fillId="30" borderId="169" xfId="0" applyFont="1" applyFill="1" applyBorder="1" applyAlignment="1">
      <alignment horizontal="center"/>
    </xf>
    <xf numFmtId="0" fontId="140" fillId="55" borderId="322" xfId="0" applyFont="1" applyFill="1" applyBorder="1" applyAlignment="1" applyProtection="1">
      <alignment horizontal="center" vertical="center" wrapText="1"/>
      <protection locked="0"/>
    </xf>
    <xf numFmtId="0" fontId="140" fillId="55" borderId="0" xfId="0" applyFont="1" applyFill="1" applyAlignment="1" applyProtection="1">
      <alignment horizontal="center" vertical="center" wrapText="1"/>
      <protection locked="0"/>
    </xf>
    <xf numFmtId="0" fontId="9" fillId="54" borderId="686"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9" fillId="54" borderId="674"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30" borderId="686" xfId="0" applyFont="1" applyFill="1" applyBorder="1" applyAlignment="1">
      <alignment horizontal="center"/>
    </xf>
    <xf numFmtId="0" fontId="140" fillId="55" borderId="489" xfId="0" applyFont="1" applyFill="1" applyBorder="1" applyAlignment="1" applyProtection="1">
      <alignment horizontal="center" vertical="center" wrapText="1"/>
      <protection locked="0"/>
    </xf>
    <xf numFmtId="0" fontId="140" fillId="55" borderId="484" xfId="0" applyFont="1" applyFill="1" applyBorder="1" applyAlignment="1" applyProtection="1">
      <alignment horizontal="center" vertical="center" wrapText="1"/>
      <protection locked="0"/>
    </xf>
    <xf numFmtId="0" fontId="55" fillId="31" borderId="87" xfId="0" applyFont="1" applyFill="1" applyBorder="1"/>
    <xf numFmtId="0" fontId="9" fillId="7" borderId="724"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9" fillId="7" borderId="677" xfId="0" applyFont="1" applyFill="1" applyBorder="1" applyAlignment="1">
      <alignment horizontal="center" vertical="center" wrapText="1"/>
    </xf>
    <xf numFmtId="0" fontId="9" fillId="7" borderId="646" xfId="0" applyFont="1" applyFill="1" applyBorder="1" applyAlignment="1">
      <alignment horizontal="center" vertical="center" wrapText="1"/>
    </xf>
    <xf numFmtId="0" fontId="13" fillId="55" borderId="513"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9" fillId="7" borderId="311" xfId="0" applyFont="1" applyFill="1" applyBorder="1" applyAlignment="1">
      <alignment horizontal="center" vertical="center" wrapText="1"/>
    </xf>
    <xf numFmtId="0" fontId="9" fillId="7" borderId="312"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5" borderId="643" xfId="0" applyFont="1" applyFill="1" applyBorder="1" applyAlignment="1" applyProtection="1">
      <alignment horizontal="left" vertical="center" wrapText="1"/>
      <protection locked="0"/>
    </xf>
    <xf numFmtId="0" fontId="13" fillId="55" borderId="644" xfId="0" applyFont="1" applyFill="1" applyBorder="1" applyAlignment="1" applyProtection="1">
      <alignment horizontal="left" vertical="center" wrapText="1"/>
      <protection locked="0"/>
    </xf>
    <xf numFmtId="0" fontId="13" fillId="55" borderId="645" xfId="0" applyFont="1" applyFill="1" applyBorder="1" applyAlignment="1" applyProtection="1">
      <alignment horizontal="left" vertical="center" wrapText="1"/>
      <protection locked="0"/>
    </xf>
    <xf numFmtId="0" fontId="9" fillId="7" borderId="735" xfId="0" applyFont="1" applyFill="1" applyBorder="1" applyAlignment="1">
      <alignment horizontal="right" vertical="center" wrapText="1"/>
    </xf>
    <xf numFmtId="0" fontId="9" fillId="7" borderId="282" xfId="0" applyFont="1" applyFill="1" applyBorder="1" applyAlignment="1">
      <alignment horizontal="right" vertical="center" wrapText="1"/>
    </xf>
    <xf numFmtId="0" fontId="140" fillId="55" borderId="503" xfId="0" applyFont="1" applyFill="1" applyBorder="1" applyAlignment="1" applyProtection="1">
      <alignment horizontal="center" vertical="center" wrapText="1"/>
      <protection locked="0"/>
    </xf>
    <xf numFmtId="0" fontId="140" fillId="55" borderId="502" xfId="0" applyFont="1" applyFill="1" applyBorder="1" applyAlignment="1" applyProtection="1">
      <alignment horizontal="center" vertical="center" wrapText="1"/>
      <protection locked="0"/>
    </xf>
    <xf numFmtId="0" fontId="13" fillId="55" borderId="504"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13" fillId="55" borderId="505" xfId="0" applyFont="1" applyFill="1" applyBorder="1" applyAlignment="1" applyProtection="1">
      <alignment horizontal="center" vertical="center" wrapText="1"/>
      <protection locked="0"/>
    </xf>
    <xf numFmtId="0" fontId="13" fillId="55" borderId="506" xfId="0" applyFont="1" applyFill="1" applyBorder="1" applyAlignment="1" applyProtection="1">
      <alignment horizontal="center" vertical="center" wrapText="1"/>
      <protection locked="0"/>
    </xf>
    <xf numFmtId="0" fontId="9" fillId="7" borderId="323" xfId="0" applyFont="1" applyFill="1" applyBorder="1" applyAlignment="1">
      <alignment vertical="center"/>
    </xf>
    <xf numFmtId="0" fontId="9" fillId="7" borderId="322" xfId="0" applyFont="1" applyFill="1" applyBorder="1" applyAlignment="1">
      <alignment vertical="center"/>
    </xf>
    <xf numFmtId="0" fontId="9" fillId="7" borderId="331" xfId="0" applyFont="1" applyFill="1" applyBorder="1" applyAlignment="1">
      <alignment horizontal="center" vertical="center" wrapText="1"/>
    </xf>
    <xf numFmtId="0" fontId="9" fillId="7" borderId="346" xfId="0" applyFont="1" applyFill="1" applyBorder="1" applyAlignment="1">
      <alignment wrapText="1"/>
    </xf>
    <xf numFmtId="0" fontId="9" fillId="7" borderId="0" xfId="0" applyFont="1" applyFill="1" applyAlignment="1">
      <alignment wrapText="1"/>
    </xf>
    <xf numFmtId="0" fontId="9" fillId="7" borderId="76" xfId="0" applyFont="1" applyFill="1" applyBorder="1" applyAlignment="1">
      <alignment vertical="center" wrapText="1"/>
    </xf>
    <xf numFmtId="0" fontId="13" fillId="55" borderId="519" xfId="0" applyFont="1" applyFill="1" applyBorder="1" applyAlignment="1" applyProtection="1">
      <alignment horizontal="center" vertical="center"/>
      <protection locked="0"/>
    </xf>
    <xf numFmtId="0" fontId="13" fillId="55" borderId="195" xfId="0" applyFont="1" applyFill="1" applyBorder="1" applyAlignment="1" applyProtection="1">
      <alignment horizontal="left" vertical="center" wrapText="1"/>
      <protection locked="0"/>
    </xf>
    <xf numFmtId="0" fontId="13" fillId="55" borderId="520" xfId="0" applyFont="1" applyFill="1" applyBorder="1" applyAlignment="1" applyProtection="1">
      <alignment horizontal="center"/>
      <protection locked="0"/>
    </xf>
    <xf numFmtId="0" fontId="13" fillId="55" borderId="656" xfId="0" applyFont="1" applyFill="1" applyBorder="1" applyAlignment="1" applyProtection="1">
      <alignment horizontal="center"/>
      <protection locked="0"/>
    </xf>
    <xf numFmtId="0" fontId="13" fillId="55" borderId="518" xfId="0" applyFont="1" applyFill="1" applyBorder="1" applyAlignment="1" applyProtection="1">
      <alignment horizontal="center" vertical="center"/>
      <protection locked="0"/>
    </xf>
    <xf numFmtId="0" fontId="13" fillId="51" borderId="554" xfId="0" applyFont="1" applyFill="1" applyBorder="1" applyAlignment="1" applyProtection="1">
      <alignment horizontal="center" vertical="center" wrapText="1"/>
      <protection locked="0"/>
    </xf>
    <xf numFmtId="0" fontId="13" fillId="51" borderId="708"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1" borderId="78"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09" xfId="0" applyFont="1" applyFill="1" applyBorder="1" applyAlignment="1" applyProtection="1">
      <alignment vertical="center" wrapText="1"/>
      <protection locked="0"/>
    </xf>
    <xf numFmtId="0" fontId="13" fillId="55" borderId="308" xfId="0" applyFont="1" applyFill="1" applyBorder="1" applyAlignment="1" applyProtection="1">
      <alignment vertical="center" wrapText="1"/>
      <protection locked="0"/>
    </xf>
    <xf numFmtId="0" fontId="13" fillId="55" borderId="310" xfId="0" applyFont="1" applyFill="1" applyBorder="1" applyAlignment="1" applyProtection="1">
      <alignment vertical="center" wrapText="1"/>
      <protection locked="0"/>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9" fillId="3" borderId="91" xfId="0" applyFont="1" applyFill="1" applyBorder="1" applyAlignment="1">
      <alignment vertical="center"/>
    </xf>
    <xf numFmtId="0" fontId="9" fillId="7" borderId="89" xfId="0" applyFont="1" applyFill="1" applyBorder="1" applyAlignment="1">
      <alignment vertical="center"/>
    </xf>
    <xf numFmtId="0" fontId="9" fillId="7" borderId="76" xfId="0" applyFont="1" applyFill="1" applyBorder="1" applyAlignment="1">
      <alignment vertical="center"/>
    </xf>
    <xf numFmtId="0" fontId="13" fillId="55" borderId="106" xfId="0" applyFont="1" applyFill="1" applyBorder="1" applyAlignment="1" applyProtection="1">
      <alignment horizontal="center" vertical="center" wrapText="1"/>
      <protection locked="0"/>
    </xf>
    <xf numFmtId="0" fontId="13" fillId="55" borderId="678" xfId="0" applyFont="1" applyFill="1" applyBorder="1" applyAlignment="1" applyProtection="1">
      <alignment horizontal="center" vertical="center" wrapText="1"/>
      <protection locked="0"/>
    </xf>
    <xf numFmtId="0" fontId="13" fillId="31" borderId="127" xfId="0" applyFont="1" applyFill="1" applyBorder="1" applyAlignment="1">
      <alignment horizontal="center" vertical="center" wrapText="1"/>
    </xf>
    <xf numFmtId="0" fontId="55" fillId="31" borderId="0" xfId="0" applyFont="1" applyFill="1"/>
    <xf numFmtId="0" fontId="24" fillId="55" borderId="514" xfId="0" applyFont="1" applyFill="1" applyBorder="1" applyAlignment="1" applyProtection="1">
      <alignment horizontal="center" vertical="center" wrapText="1"/>
      <protection locked="0"/>
    </xf>
    <xf numFmtId="0" fontId="24" fillId="55" borderId="522"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21" xfId="0" applyFont="1" applyFill="1" applyBorder="1" applyAlignment="1" applyProtection="1">
      <alignment horizontal="center" vertical="center" wrapText="1"/>
      <protection locked="0"/>
    </xf>
    <xf numFmtId="0" fontId="24" fillId="55" borderId="313" xfId="0" applyFont="1" applyFill="1" applyBorder="1" applyAlignment="1" applyProtection="1">
      <alignment horizontal="center" vertical="center" wrapText="1"/>
      <protection locked="0"/>
    </xf>
    <xf numFmtId="0" fontId="24" fillId="55" borderId="317" xfId="0" applyFont="1" applyFill="1" applyBorder="1" applyAlignment="1" applyProtection="1">
      <alignment horizontal="center" vertical="center" wrapText="1"/>
      <protection locked="0"/>
    </xf>
    <xf numFmtId="0" fontId="24" fillId="55" borderId="182" xfId="0" applyFont="1" applyFill="1" applyBorder="1" applyAlignment="1" applyProtection="1">
      <alignment horizontal="center" vertical="center" wrapText="1"/>
      <protection locked="0"/>
    </xf>
    <xf numFmtId="0" fontId="24" fillId="55" borderId="710" xfId="0" applyFont="1" applyFill="1" applyBorder="1" applyAlignment="1" applyProtection="1">
      <alignment horizontal="center" vertical="center" wrapText="1"/>
      <protection locked="0"/>
    </xf>
    <xf numFmtId="0" fontId="24" fillId="55" borderId="529" xfId="0" applyFont="1" applyFill="1" applyBorder="1" applyAlignment="1" applyProtection="1">
      <alignment horizontal="center" vertical="center" wrapText="1"/>
      <protection locked="0"/>
    </xf>
    <xf numFmtId="0" fontId="24" fillId="55" borderId="530" xfId="0" applyFont="1" applyFill="1" applyBorder="1" applyAlignment="1" applyProtection="1">
      <alignment horizontal="center" vertical="center" wrapText="1"/>
      <protection locked="0"/>
    </xf>
    <xf numFmtId="0" fontId="24" fillId="55" borderId="531"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25" xfId="0" applyFont="1" applyFill="1" applyBorder="1" applyAlignment="1" applyProtection="1">
      <alignment horizontal="center" vertical="center" wrapText="1"/>
      <protection locked="0"/>
    </xf>
    <xf numFmtId="0" fontId="24" fillId="55" borderId="526" xfId="0" applyFont="1" applyFill="1" applyBorder="1" applyAlignment="1" applyProtection="1">
      <alignment horizontal="center" vertical="center" wrapText="1"/>
      <protection locked="0"/>
    </xf>
    <xf numFmtId="0" fontId="24" fillId="55" borderId="528" xfId="0" applyFont="1" applyFill="1" applyBorder="1" applyAlignment="1" applyProtection="1">
      <alignment horizontal="center" vertical="center" wrapText="1"/>
      <protection locked="0"/>
    </xf>
    <xf numFmtId="0" fontId="24" fillId="55" borderId="527" xfId="0" applyFont="1" applyFill="1" applyBorder="1" applyAlignment="1" applyProtection="1">
      <alignment horizontal="center" vertical="center" wrapText="1"/>
      <protection locked="0"/>
    </xf>
    <xf numFmtId="0" fontId="13" fillId="55" borderId="515" xfId="0" applyFont="1" applyFill="1" applyBorder="1" applyAlignment="1" applyProtection="1">
      <alignment horizontal="left" vertical="center" wrapText="1"/>
      <protection locked="0"/>
    </xf>
    <xf numFmtId="0" fontId="13" fillId="55" borderId="512"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24" fillId="55" borderId="524" xfId="0" applyFont="1" applyFill="1" applyBorder="1" applyAlignment="1" applyProtection="1">
      <alignment horizontal="center" vertical="center" wrapText="1"/>
      <protection locked="0"/>
    </xf>
    <xf numFmtId="0" fontId="24" fillId="55" borderId="523" xfId="0" applyFont="1" applyFill="1" applyBorder="1" applyAlignment="1" applyProtection="1">
      <alignment horizontal="center" vertical="center" wrapText="1"/>
      <protection locked="0"/>
    </xf>
    <xf numFmtId="0" fontId="13" fillId="55" borderId="517" xfId="0" applyFont="1" applyFill="1" applyBorder="1" applyAlignment="1" applyProtection="1">
      <alignment horizontal="center" vertical="center"/>
      <protection locked="0"/>
    </xf>
    <xf numFmtId="0" fontId="24" fillId="55" borderId="316" xfId="0" applyFont="1" applyFill="1" applyBorder="1" applyAlignment="1" applyProtection="1">
      <alignment horizontal="center" vertical="center" wrapText="1"/>
      <protection locked="0"/>
    </xf>
    <xf numFmtId="0" fontId="24" fillId="55" borderId="318" xfId="0" applyFont="1" applyFill="1" applyBorder="1" applyAlignment="1" applyProtection="1">
      <alignment horizontal="center" vertical="center" wrapText="1"/>
      <protection locked="0"/>
    </xf>
    <xf numFmtId="0" fontId="9" fillId="7" borderId="307" xfId="0" applyFont="1" applyFill="1" applyBorder="1" applyAlignment="1">
      <alignment vertical="center" wrapText="1"/>
    </xf>
    <xf numFmtId="0" fontId="9" fillId="7" borderId="308" xfId="0" applyFont="1" applyFill="1" applyBorder="1" applyAlignment="1">
      <alignment vertical="center" wrapText="1"/>
    </xf>
    <xf numFmtId="0" fontId="13" fillId="55" borderId="481" xfId="0" applyFont="1" applyFill="1" applyBorder="1" applyAlignment="1" applyProtection="1">
      <alignment horizontal="center" vertical="center" wrapText="1"/>
      <protection locked="0"/>
    </xf>
    <xf numFmtId="0" fontId="13" fillId="55" borderId="722" xfId="0" applyFont="1" applyFill="1" applyBorder="1" applyAlignment="1" applyProtection="1">
      <alignment horizontal="center" vertical="center" wrapText="1"/>
      <protection locked="0"/>
    </xf>
    <xf numFmtId="0" fontId="13" fillId="55" borderId="727" xfId="0" applyFont="1" applyFill="1" applyBorder="1" applyAlignment="1" applyProtection="1">
      <alignment horizontal="center" vertical="center" wrapText="1"/>
      <protection locked="0"/>
    </xf>
    <xf numFmtId="0" fontId="9" fillId="7" borderId="740" xfId="0" applyFont="1" applyFill="1" applyBorder="1" applyAlignment="1">
      <alignment horizontal="right" vertical="center" wrapText="1"/>
    </xf>
    <xf numFmtId="0" fontId="9" fillId="7" borderId="741" xfId="0" applyFont="1" applyFill="1" applyBorder="1" applyAlignment="1">
      <alignment horizontal="right" vertical="center" wrapText="1"/>
    </xf>
    <xf numFmtId="0" fontId="14" fillId="7" borderId="909" xfId="0" applyFont="1" applyFill="1" applyBorder="1" applyAlignment="1">
      <alignment horizontal="center" vertical="center" wrapText="1"/>
    </xf>
    <xf numFmtId="0" fontId="14" fillId="7" borderId="904" xfId="0" applyFont="1" applyFill="1" applyBorder="1" applyAlignment="1">
      <alignment horizontal="center" vertical="center" wrapText="1"/>
    </xf>
    <xf numFmtId="0" fontId="14" fillId="7" borderId="907" xfId="0" applyFont="1" applyFill="1" applyBorder="1" applyAlignment="1">
      <alignment horizontal="center" vertical="center" wrapText="1"/>
    </xf>
    <xf numFmtId="0" fontId="14" fillId="7" borderId="780" xfId="0" applyFont="1" applyFill="1" applyBorder="1" applyAlignment="1">
      <alignment horizontal="center" vertical="center" wrapText="1"/>
    </xf>
    <xf numFmtId="0" fontId="14" fillId="7" borderId="915" xfId="0" applyFont="1" applyFill="1" applyBorder="1" applyAlignment="1">
      <alignment horizontal="center" vertical="center" wrapText="1"/>
    </xf>
    <xf numFmtId="0" fontId="14" fillId="7" borderId="916" xfId="0" applyFont="1" applyFill="1" applyBorder="1" applyAlignment="1">
      <alignment horizontal="center" vertical="center" wrapText="1"/>
    </xf>
    <xf numFmtId="0" fontId="140" fillId="55" borderId="403" xfId="0" applyFont="1" applyFill="1" applyBorder="1" applyAlignment="1" applyProtection="1">
      <alignment horizontal="center" vertical="center" wrapText="1"/>
      <protection locked="0"/>
    </xf>
    <xf numFmtId="0" fontId="9" fillId="30" borderId="725" xfId="0" applyFont="1" applyFill="1" applyBorder="1" applyAlignment="1">
      <alignment horizontal="center"/>
    </xf>
    <xf numFmtId="0" fontId="140" fillId="55" borderId="79"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140" fillId="55" borderId="402" xfId="0" applyFont="1" applyFill="1" applyBorder="1" applyAlignment="1" applyProtection="1">
      <alignment horizontal="center" vertical="center" wrapText="1"/>
      <protection locked="0"/>
    </xf>
    <xf numFmtId="0" fontId="9" fillId="30" borderId="653" xfId="0" applyFont="1" applyFill="1" applyBorder="1" applyAlignment="1">
      <alignment horizontal="center"/>
    </xf>
    <xf numFmtId="0" fontId="57" fillId="43" borderId="930" xfId="0" applyFont="1" applyFill="1" applyBorder="1" applyAlignment="1">
      <alignment horizontal="center" vertical="center"/>
    </xf>
    <xf numFmtId="0" fontId="57" fillId="43" borderId="941" xfId="0" applyFont="1" applyFill="1" applyBorder="1" applyAlignment="1">
      <alignment horizontal="center" vertical="center"/>
    </xf>
    <xf numFmtId="0" fontId="57" fillId="43" borderId="908" xfId="0" applyFont="1" applyFill="1" applyBorder="1" applyAlignment="1">
      <alignment horizontal="center" vertical="center" wrapText="1"/>
    </xf>
    <xf numFmtId="0" fontId="57" fillId="43" borderId="95" xfId="0" applyFont="1" applyFill="1" applyBorder="1" applyAlignment="1">
      <alignment horizontal="center" vertical="center" wrapText="1"/>
    </xf>
    <xf numFmtId="0" fontId="10" fillId="31" borderId="921" xfId="0" applyFont="1" applyFill="1" applyBorder="1" applyAlignment="1">
      <alignment horizontal="center" vertical="center"/>
    </xf>
    <xf numFmtId="0" fontId="10" fillId="31" borderId="377" xfId="0" applyFont="1" applyFill="1" applyBorder="1" applyAlignment="1">
      <alignment horizontal="center" vertical="center"/>
    </xf>
    <xf numFmtId="0" fontId="12" fillId="31" borderId="213" xfId="0" applyFont="1" applyFill="1" applyBorder="1" applyAlignment="1">
      <alignment horizontal="center"/>
    </xf>
    <xf numFmtId="0" fontId="12" fillId="31" borderId="536" xfId="0" applyFont="1" applyFill="1" applyBorder="1" applyAlignment="1">
      <alignment horizontal="center"/>
    </xf>
    <xf numFmtId="0" fontId="10" fillId="31" borderId="918" xfId="0" applyFont="1" applyFill="1" applyBorder="1" applyAlignment="1">
      <alignment horizontal="center" vertical="center"/>
    </xf>
    <xf numFmtId="0" fontId="10" fillId="31" borderId="708" xfId="0" applyFont="1" applyFill="1" applyBorder="1" applyAlignment="1">
      <alignment horizontal="center" vertical="center"/>
    </xf>
    <xf numFmtId="0" fontId="10" fillId="31" borderId="937" xfId="0" applyFont="1" applyFill="1" applyBorder="1" applyAlignment="1">
      <alignment horizontal="center" vertical="center"/>
    </xf>
    <xf numFmtId="0" fontId="10" fillId="31" borderId="376" xfId="0" applyFont="1" applyFill="1" applyBorder="1" applyAlignment="1">
      <alignment horizontal="center" vertical="center"/>
    </xf>
    <xf numFmtId="0" fontId="13" fillId="55" borderId="346"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51" borderId="779"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9" fillId="54" borderId="89" xfId="0" applyFont="1" applyFill="1" applyBorder="1" applyAlignment="1" applyProtection="1">
      <alignment horizontal="left"/>
      <protection locked="0"/>
    </xf>
    <xf numFmtId="0" fontId="9" fillId="54" borderId="915" xfId="0" applyFont="1" applyFill="1" applyBorder="1" applyAlignment="1" applyProtection="1">
      <alignment horizontal="left"/>
      <protection locked="0"/>
    </xf>
    <xf numFmtId="0" fontId="9" fillId="51" borderId="909" xfId="0" applyFont="1" applyFill="1" applyBorder="1" applyProtection="1">
      <protection locked="0"/>
    </xf>
    <xf numFmtId="0" fontId="9" fillId="51" borderId="904" xfId="0" applyFont="1" applyFill="1" applyBorder="1" applyProtection="1">
      <protection locked="0"/>
    </xf>
    <xf numFmtId="0" fontId="9" fillId="51" borderId="907" xfId="0" applyFont="1" applyFill="1" applyBorder="1" applyProtection="1">
      <protection locked="0"/>
    </xf>
    <xf numFmtId="0" fontId="9" fillId="54" borderId="779" xfId="0" applyFont="1" applyFill="1" applyBorder="1" applyProtection="1">
      <protection locked="0"/>
    </xf>
    <xf numFmtId="0" fontId="9" fillId="54" borderId="0" xfId="0" applyFont="1" applyFill="1" applyProtection="1">
      <protection locked="0"/>
    </xf>
    <xf numFmtId="0" fontId="9" fillId="54" borderId="880" xfId="0" applyFont="1" applyFill="1" applyBorder="1" applyProtection="1">
      <protection locked="0"/>
    </xf>
    <xf numFmtId="0" fontId="9" fillId="51" borderId="779" xfId="0" applyFont="1" applyFill="1" applyBorder="1" applyProtection="1">
      <protection locked="0"/>
    </xf>
    <xf numFmtId="0" fontId="9" fillId="51" borderId="880" xfId="0" applyFont="1" applyFill="1" applyBorder="1" applyProtection="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4" xfId="0" applyFont="1" applyFill="1" applyBorder="1" applyAlignment="1" applyProtection="1">
      <alignment horizontal="center"/>
      <protection locked="0"/>
    </xf>
    <xf numFmtId="0" fontId="9" fillId="7" borderId="925" xfId="0" applyFont="1" applyFill="1" applyBorder="1" applyAlignment="1">
      <alignment horizontal="center" vertical="center"/>
    </xf>
    <xf numFmtId="0" fontId="9" fillId="7" borderId="926" xfId="0" applyFont="1" applyFill="1" applyBorder="1" applyAlignment="1">
      <alignment horizontal="center" vertical="center"/>
    </xf>
    <xf numFmtId="0" fontId="9" fillId="7" borderId="927" xfId="0" applyFont="1" applyFill="1" applyBorder="1" applyAlignment="1">
      <alignment horizontal="center" vertical="center"/>
    </xf>
    <xf numFmtId="0" fontId="9" fillId="7" borderId="128"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2" xfId="0" applyFont="1" applyFill="1" applyBorder="1" applyAlignment="1">
      <alignment horizontal="center" vertical="center"/>
    </xf>
    <xf numFmtId="0" fontId="9" fillId="54" borderId="924" xfId="0" applyFont="1" applyFill="1" applyBorder="1" applyAlignment="1" applyProtection="1">
      <alignment horizontal="left"/>
      <protection locked="0"/>
    </xf>
    <xf numFmtId="0" fontId="9" fillId="54" borderId="911" xfId="0" applyFont="1" applyFill="1" applyBorder="1" applyAlignment="1" applyProtection="1">
      <alignment horizontal="left"/>
      <protection locked="0"/>
    </xf>
    <xf numFmtId="0" fontId="9" fillId="54" borderId="918" xfId="0" applyFont="1" applyFill="1" applyBorder="1" applyAlignment="1" applyProtection="1">
      <alignment horizontal="left"/>
      <protection locked="0"/>
    </xf>
    <xf numFmtId="0" fontId="9" fillId="51" borderId="79" xfId="0" applyFont="1" applyFill="1" applyBorder="1" applyAlignment="1" applyProtection="1">
      <alignment horizontal="left"/>
      <protection locked="0"/>
    </xf>
    <xf numFmtId="0" fontId="9" fillId="54" borderId="780" xfId="0" applyFont="1" applyFill="1" applyBorder="1" applyAlignment="1" applyProtection="1">
      <alignment horizontal="left"/>
      <protection locked="0"/>
    </xf>
    <xf numFmtId="0" fontId="9" fillId="54" borderId="919" xfId="0" applyFont="1" applyFill="1" applyBorder="1" applyAlignment="1" applyProtection="1">
      <alignment horizontal="left"/>
      <protection locked="0"/>
    </xf>
    <xf numFmtId="0" fontId="12" fillId="31" borderId="112" xfId="0" applyFont="1" applyFill="1" applyBorder="1" applyAlignment="1">
      <alignment horizontal="center"/>
    </xf>
    <xf numFmtId="0" fontId="9" fillId="54" borderId="535"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10" fillId="31" borderId="930" xfId="0" applyFont="1" applyFill="1" applyBorder="1" applyAlignment="1">
      <alignment horizontal="center" vertical="center"/>
    </xf>
    <xf numFmtId="0" fontId="10" fillId="31" borderId="943" xfId="0" applyFont="1" applyFill="1" applyBorder="1" applyAlignment="1">
      <alignment horizontal="center" vertical="center"/>
    </xf>
    <xf numFmtId="0" fontId="10" fillId="31" borderId="917" xfId="0" applyFont="1" applyFill="1" applyBorder="1" applyAlignment="1">
      <alignment horizontal="center" vertical="center"/>
    </xf>
    <xf numFmtId="0" fontId="10" fillId="31" borderId="72" xfId="0" applyFont="1" applyFill="1" applyBorder="1" applyAlignment="1">
      <alignment horizontal="center" vertical="center"/>
    </xf>
    <xf numFmtId="0" fontId="12" fillId="28" borderId="128" xfId="0" applyFont="1" applyFill="1" applyBorder="1" applyAlignment="1" applyProtection="1">
      <alignment horizontal="center" vertical="center" wrapText="1"/>
      <protection locked="0"/>
    </xf>
    <xf numFmtId="0" fontId="12" fillId="28" borderId="712" xfId="0" applyFont="1" applyFill="1" applyBorder="1" applyAlignment="1" applyProtection="1">
      <alignment horizontal="center" vertical="center" wrapText="1"/>
      <protection locked="0"/>
    </xf>
    <xf numFmtId="0" fontId="9" fillId="31" borderId="725"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27" xfId="0" applyFont="1" applyFill="1" applyBorder="1" applyAlignment="1" applyProtection="1">
      <alignment horizontal="center"/>
      <protection locked="0"/>
    </xf>
    <xf numFmtId="0" fontId="9" fillId="54" borderId="495" xfId="0" applyFont="1" applyFill="1" applyBorder="1" applyAlignment="1" applyProtection="1">
      <alignment horizontal="center"/>
      <protection locked="0"/>
    </xf>
    <xf numFmtId="0" fontId="9" fillId="54" borderId="355" xfId="0" applyFont="1" applyFill="1" applyBorder="1" applyAlignment="1" applyProtection="1">
      <alignment horizontal="center"/>
      <protection locked="0"/>
    </xf>
    <xf numFmtId="0" fontId="9" fillId="54" borderId="368" xfId="0" applyFont="1" applyFill="1" applyBorder="1" applyAlignment="1" applyProtection="1">
      <alignment horizontal="center"/>
      <protection locked="0"/>
    </xf>
    <xf numFmtId="0" fontId="9" fillId="54" borderId="493" xfId="0" applyFont="1" applyFill="1" applyBorder="1" applyAlignment="1" applyProtection="1">
      <alignment horizontal="center"/>
      <protection locked="0"/>
    </xf>
    <xf numFmtId="0" fontId="9" fillId="54" borderId="486" xfId="0" applyFont="1" applyFill="1" applyBorder="1" applyAlignment="1" applyProtection="1">
      <alignment horizontal="center"/>
      <protection locked="0"/>
    </xf>
    <xf numFmtId="0" fontId="9" fillId="54" borderId="362" xfId="0" applyFont="1" applyFill="1" applyBorder="1" applyAlignment="1" applyProtection="1">
      <alignment horizontal="center"/>
      <protection locked="0"/>
    </xf>
    <xf numFmtId="0" fontId="57" fillId="43" borderId="109" xfId="0" applyFont="1" applyFill="1" applyBorder="1" applyAlignment="1">
      <alignment horizontal="center" vertical="center" wrapText="1"/>
    </xf>
    <xf numFmtId="0" fontId="57" fillId="43" borderId="140" xfId="0" applyFont="1" applyFill="1" applyBorder="1" applyAlignment="1">
      <alignment horizontal="center" vertical="center" wrapText="1"/>
    </xf>
    <xf numFmtId="0" fontId="15" fillId="8" borderId="299" xfId="0" applyFont="1" applyFill="1" applyBorder="1" applyAlignment="1">
      <alignment horizontal="center" vertical="center" wrapText="1"/>
    </xf>
    <xf numFmtId="0" fontId="9" fillId="7" borderId="335" xfId="0" applyFont="1" applyFill="1" applyBorder="1" applyAlignment="1">
      <alignment horizontal="center" vertical="center" wrapText="1"/>
    </xf>
    <xf numFmtId="0" fontId="13" fillId="55" borderId="319"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46" xfId="0" applyFont="1" applyFill="1" applyBorder="1" applyAlignment="1" applyProtection="1">
      <alignment horizontal="center"/>
      <protection locked="0"/>
    </xf>
    <xf numFmtId="0" fontId="13" fillId="55" borderId="349" xfId="0" applyFont="1" applyFill="1" applyBorder="1" applyAlignment="1" applyProtection="1">
      <alignment horizontal="center"/>
      <protection locked="0"/>
    </xf>
    <xf numFmtId="0" fontId="13" fillId="55" borderId="315" xfId="0" applyFont="1" applyFill="1" applyBorder="1" applyAlignment="1" applyProtection="1">
      <alignment horizontal="center"/>
      <protection locked="0"/>
    </xf>
    <xf numFmtId="0" fontId="13" fillId="55" borderId="182" xfId="0" applyFont="1" applyFill="1" applyBorder="1" applyAlignment="1" applyProtection="1">
      <alignment horizontal="center"/>
      <protection locked="0"/>
    </xf>
    <xf numFmtId="0" fontId="11" fillId="55" borderId="641" xfId="0" applyFont="1" applyFill="1" applyBorder="1" applyAlignment="1" applyProtection="1">
      <alignment horizontal="center" vertical="center"/>
      <protection locked="0"/>
    </xf>
    <xf numFmtId="0" fontId="13" fillId="55" borderId="311" xfId="0" applyFont="1" applyFill="1" applyBorder="1" applyAlignment="1" applyProtection="1">
      <alignment horizontal="center"/>
      <protection locked="0"/>
    </xf>
    <xf numFmtId="0" fontId="11" fillId="55" borderId="649" xfId="0" applyFont="1" applyFill="1" applyBorder="1" applyAlignment="1" applyProtection="1">
      <alignment horizontal="center" vertical="center"/>
      <protection locked="0"/>
    </xf>
    <xf numFmtId="0" fontId="11" fillId="55" borderId="729" xfId="0" applyFont="1" applyFill="1" applyBorder="1" applyAlignment="1" applyProtection="1">
      <alignment horizontal="center" vertical="center"/>
      <protection locked="0"/>
    </xf>
    <xf numFmtId="0" fontId="12" fillId="31" borderId="929" xfId="0" applyFont="1" applyFill="1" applyBorder="1" applyAlignment="1">
      <alignment horizontal="center"/>
    </xf>
    <xf numFmtId="0" fontId="12" fillId="31" borderId="922" xfId="0" applyFont="1" applyFill="1" applyBorder="1" applyAlignment="1">
      <alignment horizontal="center"/>
    </xf>
    <xf numFmtId="0" fontId="9" fillId="54" borderId="109" xfId="0" applyFont="1" applyFill="1" applyBorder="1" applyAlignment="1" applyProtection="1">
      <alignment horizontal="center" vertical="center"/>
      <protection locked="0"/>
    </xf>
    <xf numFmtId="0" fontId="9" fillId="54" borderId="112" xfId="0" applyFont="1" applyFill="1" applyBorder="1" applyAlignment="1" applyProtection="1">
      <alignment horizontal="center" vertical="center"/>
      <protection locked="0"/>
    </xf>
    <xf numFmtId="0" fontId="9" fillId="54" borderId="140" xfId="0" applyFont="1" applyFill="1" applyBorder="1" applyAlignment="1" applyProtection="1">
      <alignment horizontal="center" vertical="center"/>
      <protection locked="0"/>
    </xf>
    <xf numFmtId="0" fontId="9" fillId="54" borderId="779" xfId="0" applyFont="1" applyFill="1" applyBorder="1" applyAlignment="1" applyProtection="1">
      <alignment horizontal="left"/>
      <protection locked="0"/>
    </xf>
    <xf numFmtId="0" fontId="9"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13" fillId="51" borderId="349" xfId="0" applyFont="1" applyFill="1" applyBorder="1" applyAlignment="1" applyProtection="1">
      <alignment horizontal="center"/>
      <protection locked="0"/>
    </xf>
    <xf numFmtId="0" fontId="11" fillId="55" borderId="728"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07" xfId="0" applyFont="1" applyFill="1" applyBorder="1" applyAlignment="1" applyProtection="1">
      <alignment horizontal="center"/>
      <protection locked="0"/>
    </xf>
    <xf numFmtId="0" fontId="9" fillId="54" borderId="321"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57" fillId="60" borderId="907" xfId="0" applyFont="1" applyFill="1" applyBorder="1" applyAlignment="1">
      <alignment horizontal="center" vertical="center" wrapText="1"/>
    </xf>
    <xf numFmtId="0" fontId="57" fillId="60" borderId="779" xfId="0" applyFont="1" applyFill="1" applyBorder="1" applyAlignment="1">
      <alignment horizontal="center" vertical="center" wrapText="1"/>
    </xf>
    <xf numFmtId="0" fontId="57" fillId="60" borderId="880" xfId="0" applyFont="1" applyFill="1" applyBorder="1" applyAlignment="1">
      <alignment horizontal="center" vertical="center" wrapText="1"/>
    </xf>
    <xf numFmtId="0" fontId="57" fillId="60" borderId="89" xfId="0" applyFont="1" applyFill="1" applyBorder="1" applyAlignment="1">
      <alignment horizontal="center" vertical="center" wrapText="1"/>
    </xf>
    <xf numFmtId="0" fontId="57" fillId="60" borderId="916" xfId="0" applyFont="1" applyFill="1" applyBorder="1" applyAlignment="1">
      <alignment horizontal="center" vertical="center" wrapText="1"/>
    </xf>
    <xf numFmtId="0" fontId="13" fillId="89" borderId="909" xfId="0" applyFont="1" applyFill="1" applyBorder="1" applyAlignment="1" applyProtection="1">
      <alignment vertical="center" wrapText="1"/>
      <protection locked="0"/>
    </xf>
    <xf numFmtId="0" fontId="13" fillId="89" borderId="904" xfId="0" applyFont="1" applyFill="1" applyBorder="1" applyAlignment="1" applyProtection="1">
      <alignment vertical="center" wrapText="1"/>
      <protection locked="0"/>
    </xf>
    <xf numFmtId="0" fontId="9" fillId="31" borderId="779" xfId="0" applyFont="1" applyFill="1" applyBorder="1" applyAlignment="1">
      <alignment horizontal="left"/>
    </xf>
    <xf numFmtId="0" fontId="9" fillId="31" borderId="0" xfId="0" applyFont="1" applyFill="1" applyAlignment="1">
      <alignment horizontal="left"/>
    </xf>
    <xf numFmtId="0" fontId="13" fillId="58" borderId="779" xfId="0" applyFont="1" applyFill="1" applyBorder="1" applyAlignment="1" applyProtection="1">
      <alignment vertical="center" wrapText="1"/>
      <protection locked="0"/>
    </xf>
    <xf numFmtId="0" fontId="13" fillId="58" borderId="79" xfId="0" applyFont="1" applyFill="1" applyBorder="1" applyAlignment="1" applyProtection="1">
      <alignment vertical="center" wrapText="1"/>
      <protection locked="0"/>
    </xf>
    <xf numFmtId="0" fontId="9" fillId="31" borderId="89" xfId="0" applyFont="1" applyFill="1" applyBorder="1" applyAlignment="1">
      <alignment horizontal="left"/>
    </xf>
    <xf numFmtId="0" fontId="9" fillId="31" borderId="915" xfId="0" applyFont="1" applyFill="1" applyBorder="1" applyAlignment="1">
      <alignment horizontal="left"/>
    </xf>
    <xf numFmtId="0" fontId="9" fillId="54" borderId="91" xfId="0" applyFont="1" applyFill="1" applyBorder="1" applyProtection="1">
      <protection locked="0"/>
    </xf>
    <xf numFmtId="0" fontId="9" fillId="54" borderId="79" xfId="0" applyFont="1" applyFill="1" applyBorder="1" applyProtection="1">
      <protection locked="0"/>
    </xf>
    <xf numFmtId="0" fontId="9" fillId="54" borderId="635" xfId="0" applyFont="1" applyFill="1" applyBorder="1" applyAlignment="1" applyProtection="1">
      <alignment horizontal="center"/>
      <protection locked="0"/>
    </xf>
    <xf numFmtId="0" fontId="9" fillId="54" borderId="79" xfId="0" applyFont="1" applyFill="1" applyBorder="1" applyAlignment="1" applyProtection="1">
      <alignment horizontal="center"/>
      <protection locked="0"/>
    </xf>
    <xf numFmtId="0" fontId="18" fillId="55" borderId="91"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1"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89" xfId="0" applyFont="1" applyFill="1" applyBorder="1" applyAlignment="1" applyProtection="1">
      <alignment horizontal="center" vertical="center"/>
      <protection locked="0"/>
    </xf>
    <xf numFmtId="0" fontId="18" fillId="55" borderId="76" xfId="0" applyFont="1" applyFill="1" applyBorder="1" applyAlignment="1" applyProtection="1">
      <alignment horizontal="center" vertical="center"/>
      <protection locked="0"/>
    </xf>
    <xf numFmtId="0" fontId="18" fillId="55" borderId="90"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wrapText="1"/>
      <protection locked="0"/>
    </xf>
    <xf numFmtId="0" fontId="13" fillId="54" borderId="91"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0" fillId="31" borderId="144" xfId="0" applyFill="1" applyBorder="1" applyAlignment="1">
      <alignment horizontal="center" shrinkToFit="1"/>
    </xf>
    <xf numFmtId="0" fontId="9" fillId="7" borderId="106" xfId="0" applyFont="1" applyFill="1" applyBorder="1" applyAlignment="1">
      <alignment horizontal="center" vertical="center" wrapText="1"/>
    </xf>
    <xf numFmtId="0" fontId="9" fillId="7" borderId="683" xfId="0" applyFont="1" applyFill="1" applyBorder="1" applyAlignment="1">
      <alignment horizontal="center" vertical="center" wrapText="1"/>
    </xf>
    <xf numFmtId="0" fontId="9" fillId="7" borderId="553" xfId="0" applyFont="1" applyFill="1" applyBorder="1" applyAlignment="1">
      <alignment horizontal="center" vertical="center" wrapText="1"/>
    </xf>
    <xf numFmtId="0" fontId="13" fillId="55" borderId="91"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1"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1"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137" fillId="40" borderId="109" xfId="0" applyFont="1" applyFill="1" applyBorder="1" applyAlignment="1">
      <alignment horizontal="center" vertical="center" wrapText="1"/>
    </xf>
    <xf numFmtId="0" fontId="137" fillId="40" borderId="112" xfId="0" applyFont="1" applyFill="1" applyBorder="1" applyAlignment="1">
      <alignment horizontal="center" vertical="center" wrapText="1"/>
    </xf>
    <xf numFmtId="0" fontId="13" fillId="51" borderId="89" xfId="0" applyFont="1" applyFill="1" applyBorder="1" applyAlignment="1" applyProtection="1">
      <alignment horizontal="left" vertical="center" wrapText="1"/>
      <protection locked="0"/>
    </xf>
    <xf numFmtId="0" fontId="13" fillId="51" borderId="76" xfId="0" applyFont="1" applyFill="1" applyBorder="1" applyAlignment="1" applyProtection="1">
      <alignment horizontal="left" vertical="center" wrapText="1"/>
      <protection locked="0"/>
    </xf>
    <xf numFmtId="0" fontId="13" fillId="51" borderId="154" xfId="0" applyFont="1" applyFill="1" applyBorder="1" applyAlignment="1" applyProtection="1">
      <alignment horizontal="left" vertical="center" wrapText="1"/>
      <protection locked="0"/>
    </xf>
    <xf numFmtId="0" fontId="89" fillId="28" borderId="478" xfId="0" applyFont="1" applyFill="1" applyBorder="1" applyAlignment="1" applyProtection="1">
      <alignment horizontal="center" vertical="center" wrapText="1"/>
      <protection locked="0"/>
    </xf>
    <xf numFmtId="0" fontId="89" fillId="28" borderId="479" xfId="0" applyFont="1" applyFill="1" applyBorder="1" applyAlignment="1" applyProtection="1">
      <alignment horizontal="center" vertical="center" wrapText="1"/>
      <protection locked="0"/>
    </xf>
    <xf numFmtId="0" fontId="89" fillId="28" borderId="383" xfId="0" applyFont="1" applyFill="1" applyBorder="1" applyAlignment="1" applyProtection="1">
      <alignment horizontal="center" vertical="center" wrapText="1"/>
      <protection locked="0"/>
    </xf>
    <xf numFmtId="0" fontId="89" fillId="28" borderId="362" xfId="0" applyFont="1" applyFill="1" applyBorder="1" applyAlignment="1" applyProtection="1">
      <alignment horizontal="center" vertical="center" wrapText="1"/>
      <protection locked="0"/>
    </xf>
    <xf numFmtId="0" fontId="91" fillId="43" borderId="909" xfId="0" applyFont="1" applyFill="1" applyBorder="1" applyAlignment="1">
      <alignment horizontal="center" vertical="center" wrapText="1"/>
    </xf>
    <xf numFmtId="0" fontId="91" fillId="43" borderId="904" xfId="0" applyFont="1" applyFill="1" applyBorder="1" applyAlignment="1">
      <alignment horizontal="center" vertical="center" wrapText="1"/>
    </xf>
    <xf numFmtId="0" fontId="91" fillId="43" borderId="907" xfId="0" applyFont="1" applyFill="1" applyBorder="1" applyAlignment="1">
      <alignment horizontal="center" vertical="center" wrapText="1"/>
    </xf>
    <xf numFmtId="0" fontId="91" fillId="43" borderId="779"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880" xfId="0" applyFont="1" applyFill="1" applyBorder="1" applyAlignment="1">
      <alignment horizontal="center" vertical="center" wrapText="1"/>
    </xf>
    <xf numFmtId="0" fontId="91" fillId="43" borderId="252" xfId="0" applyFont="1" applyFill="1" applyBorder="1" applyAlignment="1">
      <alignment horizontal="center" vertical="center" wrapText="1"/>
    </xf>
    <xf numFmtId="0" fontId="91" fillId="43" borderId="253" xfId="0" applyFont="1" applyFill="1" applyBorder="1" applyAlignment="1">
      <alignment horizontal="center" vertical="center" wrapText="1"/>
    </xf>
    <xf numFmtId="0" fontId="91" fillId="43" borderId="254" xfId="0" applyFont="1" applyFill="1" applyBorder="1" applyAlignment="1">
      <alignment horizontal="center" vertical="center" wrapText="1"/>
    </xf>
    <xf numFmtId="0" fontId="9" fillId="55" borderId="909" xfId="0" applyFont="1" applyFill="1" applyBorder="1" applyAlignment="1" applyProtection="1">
      <alignment horizontal="center" vertical="center" shrinkToFit="1"/>
      <protection locked="0"/>
    </xf>
    <xf numFmtId="0" fontId="9" fillId="55" borderId="904" xfId="0" applyFont="1" applyFill="1" applyBorder="1" applyAlignment="1" applyProtection="1">
      <alignment horizontal="center" vertical="center" shrinkToFit="1"/>
      <protection locked="0"/>
    </xf>
    <xf numFmtId="0" fontId="9" fillId="55" borderId="907" xfId="0" applyFont="1" applyFill="1" applyBorder="1" applyAlignment="1" applyProtection="1">
      <alignment horizontal="center" vertical="center" shrinkToFit="1"/>
      <protection locked="0"/>
    </xf>
    <xf numFmtId="0" fontId="92" fillId="45" borderId="255" xfId="0" applyFont="1" applyFill="1" applyBorder="1" applyAlignment="1">
      <alignment horizontal="center" vertical="center"/>
    </xf>
    <xf numFmtId="0" fontId="92" fillId="45" borderId="944" xfId="0" applyFont="1" applyFill="1" applyBorder="1" applyAlignment="1">
      <alignment horizontal="center" vertical="center"/>
    </xf>
    <xf numFmtId="0" fontId="9" fillId="54" borderId="256" xfId="0" applyFont="1" applyFill="1" applyBorder="1" applyAlignment="1" applyProtection="1">
      <alignment horizontal="center" shrinkToFit="1"/>
      <protection locked="0"/>
    </xf>
    <xf numFmtId="0" fontId="9" fillId="54" borderId="251" xfId="0" applyFont="1" applyFill="1" applyBorder="1" applyAlignment="1" applyProtection="1">
      <alignment horizontal="center" shrinkToFit="1"/>
      <protection locked="0"/>
    </xf>
    <xf numFmtId="0" fontId="9" fillId="54" borderId="257" xfId="0" applyFont="1" applyFill="1" applyBorder="1" applyAlignment="1" applyProtection="1">
      <alignment horizontal="center" shrinkToFit="1"/>
      <protection locked="0"/>
    </xf>
    <xf numFmtId="0" fontId="9" fillId="58" borderId="780" xfId="0" applyFont="1" applyFill="1" applyBorder="1" applyAlignment="1" applyProtection="1">
      <alignment horizontal="center" vertical="center" shrinkToFit="1"/>
      <protection locked="0"/>
    </xf>
    <xf numFmtId="0" fontId="9" fillId="58" borderId="915" xfId="0" applyFont="1" applyFill="1" applyBorder="1" applyAlignment="1" applyProtection="1">
      <alignment horizontal="center" vertical="center" shrinkToFit="1"/>
      <protection locked="0"/>
    </xf>
    <xf numFmtId="0" fontId="9" fillId="58" borderId="916" xfId="0" applyFont="1" applyFill="1" applyBorder="1" applyAlignment="1" applyProtection="1">
      <alignment horizontal="center" vertical="center" shrinkToFit="1"/>
      <protection locked="0"/>
    </xf>
    <xf numFmtId="0" fontId="9" fillId="7" borderId="707" xfId="0" applyFont="1" applyFill="1" applyBorder="1" applyAlignment="1">
      <alignment horizontal="center" vertical="center"/>
    </xf>
    <xf numFmtId="0" fontId="9" fillId="7" borderId="940" xfId="0" applyFont="1" applyFill="1" applyBorder="1" applyAlignment="1">
      <alignment horizontal="center" vertical="center"/>
    </xf>
    <xf numFmtId="0" fontId="9" fillId="58" borderId="779"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880" xfId="0" applyFont="1" applyFill="1" applyBorder="1" applyAlignment="1" applyProtection="1">
      <alignment horizontal="center" shrinkToFit="1"/>
      <protection locked="0"/>
    </xf>
    <xf numFmtId="0" fontId="91" fillId="43" borderId="109" xfId="0" applyFont="1" applyFill="1" applyBorder="1" applyAlignment="1">
      <alignment horizontal="center" vertical="center" wrapText="1"/>
    </xf>
    <xf numFmtId="0" fontId="91" fillId="43" borderId="112" xfId="0" applyFont="1" applyFill="1" applyBorder="1" applyAlignment="1">
      <alignment horizontal="center" vertical="center" wrapText="1"/>
    </xf>
    <xf numFmtId="0" fontId="91" fillId="43" borderId="140" xfId="0" applyFont="1" applyFill="1" applyBorder="1" applyAlignment="1">
      <alignment horizontal="center" vertical="center" wrapText="1"/>
    </xf>
    <xf numFmtId="0" fontId="9" fillId="55" borderId="923" xfId="0" applyFont="1" applyFill="1" applyBorder="1" applyAlignment="1" applyProtection="1">
      <alignment horizontal="center" vertical="center" shrinkToFit="1"/>
      <protection locked="0"/>
    </xf>
    <xf numFmtId="0" fontId="9" fillId="55" borderId="913" xfId="0" applyFont="1" applyFill="1" applyBorder="1" applyAlignment="1" applyProtection="1">
      <alignment horizontal="center" vertical="center" shrinkToFit="1"/>
      <protection locked="0"/>
    </xf>
    <xf numFmtId="0" fontId="9" fillId="55" borderId="914" xfId="0" applyFont="1" applyFill="1" applyBorder="1" applyAlignment="1" applyProtection="1">
      <alignment horizontal="center" vertical="center" shrinkToFit="1"/>
      <protection locked="0"/>
    </xf>
    <xf numFmtId="0" fontId="9" fillId="54" borderId="780" xfId="0" applyFont="1" applyFill="1" applyBorder="1" applyAlignment="1" applyProtection="1">
      <alignment horizontal="center" shrinkToFit="1"/>
      <protection locked="0"/>
    </xf>
    <xf numFmtId="0" fontId="9" fillId="54" borderId="915" xfId="0" applyFont="1" applyFill="1" applyBorder="1" applyAlignment="1" applyProtection="1">
      <alignment horizontal="center" shrinkToFit="1"/>
      <protection locked="0"/>
    </xf>
    <xf numFmtId="0" fontId="9" fillId="54" borderId="916" xfId="0" applyFont="1" applyFill="1" applyBorder="1" applyAlignment="1" applyProtection="1">
      <alignment horizontal="center" shrinkToFit="1"/>
      <protection locked="0"/>
    </xf>
    <xf numFmtId="0" fontId="9" fillId="31" borderId="122" xfId="0" applyFont="1" applyFill="1" applyBorder="1" applyAlignment="1">
      <alignment horizontal="right"/>
    </xf>
    <xf numFmtId="0" fontId="91" fillId="43" borderId="780" xfId="0" applyFont="1" applyFill="1" applyBorder="1" applyAlignment="1">
      <alignment horizontal="center" vertical="center" wrapText="1"/>
    </xf>
    <xf numFmtId="0" fontId="91" fillId="43" borderId="915" xfId="0" applyFont="1" applyFill="1" applyBorder="1" applyAlignment="1">
      <alignment horizontal="center" vertical="center" wrapText="1"/>
    </xf>
    <xf numFmtId="0" fontId="91" fillId="43" borderId="916" xfId="0" applyFont="1" applyFill="1" applyBorder="1" applyAlignment="1">
      <alignment horizontal="center" vertical="center" wrapText="1"/>
    </xf>
    <xf numFmtId="0" fontId="13" fillId="54" borderId="962" xfId="0" applyFont="1" applyFill="1" applyBorder="1" applyAlignment="1" applyProtection="1">
      <alignment horizontal="center"/>
      <protection locked="0"/>
    </xf>
    <xf numFmtId="0" fontId="13" fillId="54" borderId="963" xfId="0" applyFont="1" applyFill="1" applyBorder="1" applyAlignment="1" applyProtection="1">
      <alignment horizontal="center"/>
      <protection locked="0"/>
    </xf>
    <xf numFmtId="0" fontId="13" fillId="54" borderId="964" xfId="0" applyFont="1" applyFill="1" applyBorder="1" applyAlignment="1" applyProtection="1">
      <alignment horizontal="center"/>
      <protection locked="0"/>
    </xf>
    <xf numFmtId="0" fontId="57" fillId="60" borderId="950" xfId="0" applyFont="1" applyFill="1" applyBorder="1" applyAlignment="1">
      <alignment horizontal="center" vertical="center"/>
    </xf>
    <xf numFmtId="0" fontId="57" fillId="60" borderId="951" xfId="0" applyFont="1" applyFill="1" applyBorder="1" applyAlignment="1">
      <alignment horizontal="center" vertical="center"/>
    </xf>
    <xf numFmtId="0" fontId="57" fillId="60" borderId="961" xfId="0" applyFont="1" applyFill="1" applyBorder="1" applyAlignment="1">
      <alignment horizontal="center" vertical="center"/>
    </xf>
    <xf numFmtId="0" fontId="86" fillId="60" borderId="909" xfId="0" applyFont="1" applyFill="1" applyBorder="1" applyAlignment="1">
      <alignment horizontal="center" vertical="center"/>
    </xf>
    <xf numFmtId="0" fontId="86" fillId="60" borderId="904" xfId="0" applyFont="1" applyFill="1" applyBorder="1" applyAlignment="1">
      <alignment horizontal="center" vertical="center"/>
    </xf>
    <xf numFmtId="0" fontId="86" fillId="60" borderId="946" xfId="0" applyFont="1" applyFill="1" applyBorder="1" applyAlignment="1">
      <alignment horizontal="center" vertical="center"/>
    </xf>
    <xf numFmtId="0" fontId="86" fillId="60" borderId="786" xfId="0" applyFont="1" applyFill="1" applyBorder="1" applyAlignment="1">
      <alignment horizontal="center" vertical="center"/>
    </xf>
    <xf numFmtId="0" fontId="13" fillId="7" borderId="707" xfId="0" applyFont="1" applyFill="1" applyBorder="1" applyAlignment="1" applyProtection="1">
      <alignment horizontal="center" vertical="center" wrapText="1"/>
      <protection locked="0"/>
    </xf>
    <xf numFmtId="0" fontId="13" fillId="7" borderId="940" xfId="0" applyFont="1" applyFill="1" applyBorder="1" applyAlignment="1" applyProtection="1">
      <alignment horizontal="center" vertical="center" wrapText="1"/>
      <protection locked="0"/>
    </xf>
    <xf numFmtId="0" fontId="9" fillId="7" borderId="913" xfId="0" applyFont="1" applyFill="1" applyBorder="1" applyAlignment="1">
      <alignment horizontal="center" vertical="center" wrapText="1"/>
    </xf>
    <xf numFmtId="0" fontId="13" fillId="31" borderId="929" xfId="0" applyFont="1" applyFill="1" applyBorder="1" applyAlignment="1">
      <alignment horizontal="center" vertical="center"/>
    </xf>
    <xf numFmtId="0" fontId="13" fillId="31" borderId="913" xfId="0" applyFont="1" applyFill="1" applyBorder="1" applyAlignment="1">
      <alignment horizontal="center" vertical="center"/>
    </xf>
    <xf numFmtId="0" fontId="9" fillId="31" borderId="924" xfId="0" applyFont="1" applyFill="1" applyBorder="1" applyAlignment="1">
      <alignment horizontal="center" shrinkToFit="1"/>
    </xf>
    <xf numFmtId="0" fontId="9" fillId="31" borderId="911" xfId="0" applyFont="1" applyFill="1" applyBorder="1" applyAlignment="1">
      <alignment horizontal="center" shrinkToFit="1"/>
    </xf>
    <xf numFmtId="0" fontId="9" fillId="31" borderId="912" xfId="0" applyFont="1" applyFill="1" applyBorder="1" applyAlignment="1">
      <alignment horizontal="center" shrinkToFit="1"/>
    </xf>
    <xf numFmtId="0" fontId="57" fillId="43" borderId="908" xfId="0" applyFont="1" applyFill="1" applyBorder="1" applyAlignment="1">
      <alignment horizontal="center" vertical="center" textRotation="90" wrapText="1"/>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13" fillId="31" borderId="707" xfId="0" applyFont="1" applyFill="1" applyBorder="1" applyAlignment="1">
      <alignment horizontal="center" vertical="center"/>
    </xf>
    <xf numFmtId="0" fontId="57" fillId="43" borderId="113" xfId="0" applyFont="1" applyFill="1" applyBorder="1" applyAlignment="1">
      <alignment horizontal="center" vertical="center" wrapText="1"/>
    </xf>
    <xf numFmtId="0" fontId="57" fillId="43" borderId="674" xfId="0" applyFont="1" applyFill="1" applyBorder="1" applyAlignment="1">
      <alignment horizontal="center" vertical="center" wrapText="1"/>
    </xf>
    <xf numFmtId="0" fontId="57" fillId="43" borderId="103" xfId="0" applyFont="1" applyFill="1" applyBorder="1" applyAlignment="1">
      <alignment horizontal="center" vertical="center" wrapText="1"/>
    </xf>
    <xf numFmtId="0" fontId="57" fillId="43" borderId="115" xfId="0" applyFont="1" applyFill="1" applyBorder="1" applyAlignment="1">
      <alignment horizontal="center" vertical="center" wrapText="1"/>
    </xf>
    <xf numFmtId="0" fontId="10" fillId="31" borderId="727" xfId="0" applyFont="1" applyFill="1" applyBorder="1" applyAlignment="1">
      <alignment horizontal="center" vertical="center"/>
    </xf>
    <xf numFmtId="0" fontId="10" fillId="31" borderId="125" xfId="0" applyFont="1" applyFill="1" applyBorder="1" applyAlignment="1">
      <alignment horizontal="center" vertical="center"/>
    </xf>
    <xf numFmtId="0" fontId="57" fillId="43" borderId="141" xfId="0" applyFont="1" applyFill="1" applyBorder="1" applyAlignment="1">
      <alignment horizontal="center" vertical="center" wrapText="1"/>
    </xf>
    <xf numFmtId="0" fontId="57" fillId="43" borderId="341" xfId="0" applyFont="1" applyFill="1" applyBorder="1" applyAlignment="1">
      <alignment horizontal="center" vertical="center" wrapText="1"/>
    </xf>
    <xf numFmtId="0" fontId="10" fillId="31" borderId="722" xfId="0" applyFont="1" applyFill="1" applyBorder="1" applyAlignment="1">
      <alignment horizontal="center" vertical="center"/>
    </xf>
    <xf numFmtId="0" fontId="10" fillId="31" borderId="144" xfId="0" applyFont="1" applyFill="1" applyBorder="1" applyAlignment="1">
      <alignment horizontal="center" vertical="center"/>
    </xf>
    <xf numFmtId="0" fontId="10" fillId="31" borderId="827" xfId="0" applyFont="1" applyFill="1" applyBorder="1" applyAlignment="1">
      <alignment horizontal="center" vertical="center"/>
    </xf>
    <xf numFmtId="0" fontId="10" fillId="31" borderId="913" xfId="0" applyFont="1" applyFill="1" applyBorder="1" applyAlignment="1">
      <alignment horizontal="center" vertical="center"/>
    </xf>
    <xf numFmtId="0" fontId="10" fillId="31" borderId="0" xfId="0" applyFont="1" applyFill="1" applyAlignment="1">
      <alignment horizontal="center" vertical="center"/>
    </xf>
    <xf numFmtId="0" fontId="10" fillId="31" borderId="79" xfId="0" applyFont="1" applyFill="1" applyBorder="1" applyAlignment="1">
      <alignment horizontal="center" vertical="center"/>
    </xf>
    <xf numFmtId="0" fontId="10" fillId="31" borderId="78" xfId="0" applyFont="1" applyFill="1" applyBorder="1" applyAlignment="1">
      <alignment horizontal="center" vertical="center"/>
    </xf>
    <xf numFmtId="0" fontId="10" fillId="31" borderId="100" xfId="0" applyFont="1" applyFill="1" applyBorder="1" applyAlignment="1">
      <alignment horizontal="center" vertical="center"/>
    </xf>
    <xf numFmtId="0" fontId="9" fillId="54" borderId="542" xfId="0" applyFont="1" applyFill="1" applyBorder="1" applyAlignment="1" applyProtection="1">
      <alignment horizontal="center"/>
      <protection locked="0"/>
    </xf>
    <xf numFmtId="0" fontId="9" fillId="54" borderId="134" xfId="0" applyFont="1" applyFill="1" applyBorder="1" applyAlignment="1" applyProtection="1">
      <alignment horizontal="center"/>
      <protection locked="0"/>
    </xf>
    <xf numFmtId="0" fontId="9" fillId="54" borderId="479" xfId="0" applyFont="1" applyFill="1" applyBorder="1" applyAlignment="1" applyProtection="1">
      <alignment horizontal="center"/>
      <protection locked="0"/>
    </xf>
    <xf numFmtId="0" fontId="9" fillId="31" borderId="106" xfId="0" applyFont="1" applyFill="1" applyBorder="1" applyAlignment="1">
      <alignment horizontal="center" shrinkToFit="1"/>
    </xf>
    <xf numFmtId="0" fontId="9" fillId="31" borderId="707" xfId="0" applyFont="1" applyFill="1" applyBorder="1" applyAlignment="1">
      <alignment horizontal="center" shrinkToFit="1"/>
    </xf>
    <xf numFmtId="0" fontId="9" fillId="31" borderId="940" xfId="0" applyFont="1" applyFill="1" applyBorder="1" applyAlignment="1">
      <alignment horizontal="center" shrinkToFit="1"/>
    </xf>
    <xf numFmtId="0" fontId="12" fillId="28" borderId="722" xfId="0" applyFont="1" applyFill="1" applyBorder="1" applyAlignment="1" applyProtection="1">
      <alignment horizontal="center" vertical="center" wrapText="1"/>
      <protection locked="0"/>
    </xf>
    <xf numFmtId="0" fontId="9" fillId="31" borderId="924" xfId="0" applyFont="1" applyFill="1" applyBorder="1" applyAlignment="1">
      <alignment horizontal="center"/>
    </xf>
    <xf numFmtId="0" fontId="9" fillId="31" borderId="911"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880" xfId="0" applyFont="1" applyFill="1" applyBorder="1" applyAlignment="1" applyProtection="1">
      <alignment horizontal="center" vertical="center" shrinkToFit="1"/>
      <protection locked="0"/>
    </xf>
    <xf numFmtId="0" fontId="9" fillId="31" borderId="911" xfId="0" applyFont="1" applyFill="1" applyBorder="1" applyAlignment="1" applyProtection="1">
      <alignment horizontal="center" vertical="center" shrinkToFit="1"/>
      <protection locked="0"/>
    </xf>
    <xf numFmtId="0" fontId="9" fillId="31" borderId="912" xfId="0" applyFont="1" applyFill="1" applyBorder="1" applyAlignment="1" applyProtection="1">
      <alignment horizontal="center" vertical="center" shrinkToFit="1"/>
      <protection locked="0"/>
    </xf>
    <xf numFmtId="0" fontId="9" fillId="31" borderId="707" xfId="0" applyFont="1" applyFill="1" applyBorder="1" applyAlignment="1">
      <alignment horizontal="center"/>
    </xf>
    <xf numFmtId="0" fontId="13" fillId="7" borderId="1050" xfId="0" applyFont="1" applyFill="1" applyBorder="1" applyAlignment="1" applyProtection="1">
      <alignment horizontal="center" vertical="center" wrapText="1"/>
      <protection locked="0"/>
    </xf>
    <xf numFmtId="0" fontId="13" fillId="7" borderId="1052" xfId="0" applyFont="1" applyFill="1" applyBorder="1" applyAlignment="1" applyProtection="1">
      <alignment horizontal="center" vertical="center" wrapText="1"/>
      <protection locked="0"/>
    </xf>
    <xf numFmtId="0" fontId="9" fillId="31" borderId="710" xfId="0" applyFont="1" applyFill="1" applyBorder="1" applyAlignment="1">
      <alignment horizontal="center" shrinkToFit="1"/>
    </xf>
    <xf numFmtId="0" fontId="9" fillId="31" borderId="779" xfId="0" applyFont="1" applyFill="1" applyBorder="1" applyAlignment="1">
      <alignment horizontal="center"/>
    </xf>
    <xf numFmtId="0" fontId="13" fillId="7" borderId="710" xfId="0" applyFont="1" applyFill="1" applyBorder="1" applyAlignment="1" applyProtection="1">
      <alignment horizontal="center" vertical="center" wrapText="1"/>
      <protection locked="0"/>
    </xf>
    <xf numFmtId="0" fontId="9" fillId="7" borderId="911" xfId="0" applyFont="1" applyFill="1" applyBorder="1" applyAlignment="1">
      <alignment horizontal="center" vertical="center" wrapText="1"/>
    </xf>
    <xf numFmtId="0" fontId="57" fillId="43" borderId="924" xfId="0" applyFont="1" applyFill="1" applyBorder="1" applyAlignment="1">
      <alignment horizontal="center" vertical="center"/>
    </xf>
    <xf numFmtId="0" fontId="57" fillId="43" borderId="89" xfId="0" applyFont="1" applyFill="1" applyBorder="1" applyAlignment="1">
      <alignment horizontal="center" vertical="center"/>
    </xf>
    <xf numFmtId="0" fontId="9" fillId="54" borderId="915" xfId="0" applyFont="1" applyFill="1" applyBorder="1" applyAlignment="1" applyProtection="1">
      <alignment horizontal="center"/>
      <protection locked="0"/>
    </xf>
    <xf numFmtId="0" fontId="29" fillId="8" borderId="86"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76" xfId="0" applyFont="1" applyFill="1" applyBorder="1" applyAlignment="1">
      <alignment horizontal="center" vertical="center"/>
    </xf>
    <xf numFmtId="0" fontId="29" fillId="8" borderId="90" xfId="0" applyFont="1" applyFill="1" applyBorder="1" applyAlignment="1">
      <alignment horizontal="center" vertical="center"/>
    </xf>
    <xf numFmtId="0" fontId="9" fillId="42" borderId="0" xfId="0" applyFont="1" applyFill="1" applyAlignment="1">
      <alignment horizontal="left" vertical="center"/>
    </xf>
    <xf numFmtId="0" fontId="9" fillId="42" borderId="623" xfId="0" applyFont="1" applyFill="1" applyBorder="1" applyAlignment="1">
      <alignment horizontal="left" vertical="center"/>
    </xf>
    <xf numFmtId="0" fontId="47" fillId="8" borderId="86" xfId="0" applyFont="1" applyFill="1" applyBorder="1" applyAlignment="1">
      <alignment horizontal="center" vertic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58" fillId="43" borderId="86" xfId="0" applyFont="1" applyFill="1" applyBorder="1" applyAlignment="1">
      <alignment horizont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33" fillId="50" borderId="91" xfId="0" applyFont="1" applyFill="1" applyBorder="1" applyAlignment="1">
      <alignment horizontal="center" vertical="center"/>
    </xf>
    <xf numFmtId="0" fontId="33" fillId="50" borderId="0" xfId="0" applyFont="1" applyFill="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6" xfId="0" applyFont="1" applyFill="1" applyBorder="1" applyAlignment="1">
      <alignment horizontal="center" vertical="center"/>
    </xf>
    <xf numFmtId="0" fontId="45" fillId="8" borderId="167" xfId="0" applyFont="1" applyFill="1" applyBorder="1" applyAlignment="1">
      <alignment horizontal="center"/>
    </xf>
    <xf numFmtId="0" fontId="45" fillId="8" borderId="142" xfId="0" applyFont="1" applyFill="1" applyBorder="1" applyAlignment="1">
      <alignment horizontal="center"/>
    </xf>
    <xf numFmtId="0" fontId="34" fillId="8" borderId="7" xfId="0" applyFont="1" applyFill="1" applyBorder="1" applyAlignment="1">
      <alignment horizontal="center" vertical="center"/>
    </xf>
    <xf numFmtId="0" fontId="102" fillId="8" borderId="10" xfId="0" applyFont="1" applyFill="1" applyBorder="1" applyAlignment="1">
      <alignment horizontal="left" vertical="center" wrapText="1"/>
    </xf>
    <xf numFmtId="0" fontId="45" fillId="8" borderId="132" xfId="0" applyFont="1" applyFill="1" applyBorder="1" applyAlignment="1">
      <alignment horizontal="center"/>
    </xf>
    <xf numFmtId="0" fontId="45" fillId="8" borderId="166" xfId="0" applyFont="1" applyFill="1" applyBorder="1" applyAlignment="1">
      <alignment horizontal="center"/>
    </xf>
    <xf numFmtId="0" fontId="34" fillId="8" borderId="86"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6" xfId="0" applyFont="1" applyFill="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93" xfId="0" applyFont="1" applyFill="1" applyBorder="1" applyAlignment="1">
      <alignment horizontal="center" textRotation="90"/>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0" fillId="24" borderId="109" xfId="0" applyFill="1" applyBorder="1" applyAlignment="1">
      <alignment horizontal="center"/>
    </xf>
    <xf numFmtId="0" fontId="0" fillId="24" borderId="140" xfId="0" applyFill="1" applyBorder="1" applyAlignment="1">
      <alignment horizontal="center"/>
    </xf>
    <xf numFmtId="0" fontId="9" fillId="38" borderId="0" xfId="0" applyFont="1" applyFill="1" applyAlignment="1">
      <alignment horizontal="left" vertical="center"/>
    </xf>
    <xf numFmtId="0" fontId="9" fillId="38" borderId="79" xfId="0" applyFont="1" applyFill="1" applyBorder="1" applyAlignment="1">
      <alignment horizontal="left" vertical="center"/>
    </xf>
    <xf numFmtId="0" fontId="34" fillId="8" borderId="147" xfId="0" applyFont="1" applyFill="1" applyBorder="1" applyAlignment="1">
      <alignment horizontal="center" vertical="center" wrapText="1"/>
    </xf>
    <xf numFmtId="0" fontId="34" fillId="8" borderId="15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285"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299" xfId="0" applyFont="1" applyFill="1" applyBorder="1" applyAlignment="1">
      <alignment horizontal="center" vertical="center" wrapText="1"/>
    </xf>
    <xf numFmtId="0" fontId="0" fillId="0" borderId="909" xfId="0" applyBorder="1" applyAlignment="1">
      <alignment horizontal="center" vertical="center"/>
    </xf>
    <xf numFmtId="0" fontId="0" fillId="0" borderId="907" xfId="0" applyBorder="1" applyAlignment="1">
      <alignment horizontal="center" vertical="center"/>
    </xf>
    <xf numFmtId="0" fontId="0" fillId="0" borderId="780" xfId="0" applyBorder="1" applyAlignment="1">
      <alignment horizontal="center" vertical="center"/>
    </xf>
    <xf numFmtId="0" fontId="0" fillId="0" borderId="916" xfId="0" applyBorder="1" applyAlignment="1">
      <alignment horizontal="center" vertical="center"/>
    </xf>
    <xf numFmtId="0" fontId="45" fillId="32" borderId="908"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15" fillId="8" borderId="707" xfId="0" applyFont="1" applyFill="1" applyBorder="1" applyAlignment="1">
      <alignment horizontal="center" vertical="center" wrapText="1"/>
    </xf>
    <xf numFmtId="0" fontId="34" fillId="8" borderId="220" xfId="0" applyFont="1" applyFill="1" applyBorder="1" applyAlignment="1">
      <alignment horizontal="center" vertical="center" wrapText="1"/>
    </xf>
    <xf numFmtId="0" fontId="34" fillId="8" borderId="221" xfId="0" applyFont="1" applyFill="1" applyBorder="1" applyAlignment="1">
      <alignment horizontal="center" vertical="center" wrapText="1"/>
    </xf>
    <xf numFmtId="0" fontId="34" fillId="8" borderId="222" xfId="0" applyFont="1" applyFill="1" applyBorder="1" applyAlignment="1">
      <alignment horizontal="center" vertical="center" wrapText="1"/>
    </xf>
    <xf numFmtId="0" fontId="15" fillId="8" borderId="780" xfId="0" applyFont="1" applyFill="1" applyBorder="1" applyAlignment="1">
      <alignment horizontal="center" vertical="center" wrapText="1"/>
    </xf>
    <xf numFmtId="0" fontId="15" fillId="8" borderId="915" xfId="0" applyFont="1" applyFill="1" applyBorder="1" applyAlignment="1">
      <alignment horizontal="center" vertical="center" wrapText="1"/>
    </xf>
    <xf numFmtId="0" fontId="15" fillId="8" borderId="916" xfId="0" applyFont="1" applyFill="1" applyBorder="1" applyAlignment="1">
      <alignment horizontal="center" vertical="center" wrapText="1"/>
    </xf>
    <xf numFmtId="0" fontId="0" fillId="25" borderId="96" xfId="0" applyFill="1" applyBorder="1" applyAlignment="1">
      <alignment horizontal="center" wrapText="1"/>
    </xf>
    <xf numFmtId="0" fontId="0" fillId="25" borderId="632" xfId="0" applyFill="1" applyBorder="1" applyAlignment="1">
      <alignment horizontal="center" wrapText="1"/>
    </xf>
    <xf numFmtId="0" fontId="15" fillId="8" borderId="285" xfId="0" applyFont="1" applyFill="1" applyBorder="1" applyAlignment="1">
      <alignment horizontal="center" vertical="center" wrapText="1"/>
    </xf>
    <xf numFmtId="0" fontId="0" fillId="16" borderId="880" xfId="0" applyFill="1" applyBorder="1" applyAlignment="1">
      <alignment horizontal="center" vertical="center" wrapText="1"/>
    </xf>
    <xf numFmtId="0" fontId="0" fillId="16" borderId="0" xfId="0" applyFill="1" applyAlignment="1">
      <alignment horizontal="center" vertical="center" wrapText="1"/>
    </xf>
    <xf numFmtId="0" fontId="0" fillId="16" borderId="916" xfId="0" applyFill="1" applyBorder="1" applyAlignment="1">
      <alignment horizontal="center" vertical="center" wrapText="1"/>
    </xf>
    <xf numFmtId="0" fontId="9" fillId="25" borderId="101" xfId="0" applyFont="1" applyFill="1" applyBorder="1" applyAlignment="1">
      <alignment horizontal="center" vertical="center" wrapText="1"/>
    </xf>
    <xf numFmtId="0" fontId="9" fillId="25" borderId="97" xfId="0" applyFont="1" applyFill="1" applyBorder="1" applyAlignment="1">
      <alignment horizontal="center" vertical="center" wrapText="1"/>
    </xf>
    <xf numFmtId="0" fontId="15" fillId="8" borderId="106" xfId="0" applyFont="1" applyFill="1" applyBorder="1" applyAlignment="1">
      <alignment horizontal="center" vertical="center" wrapText="1"/>
    </xf>
    <xf numFmtId="0" fontId="0" fillId="16" borderId="91"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89" xfId="0" applyFill="1" applyBorder="1" applyAlignment="1">
      <alignment horizontal="center" vertical="center"/>
    </xf>
    <xf numFmtId="0" fontId="0" fillId="16" borderId="76" xfId="0" applyFill="1" applyBorder="1" applyAlignment="1">
      <alignment horizontal="center" vertical="center"/>
    </xf>
    <xf numFmtId="0" fontId="0" fillId="16" borderId="90" xfId="0" applyFill="1" applyBorder="1" applyAlignment="1">
      <alignment horizontal="center" vertical="center"/>
    </xf>
    <xf numFmtId="0" fontId="9" fillId="25" borderId="96" xfId="0" applyFont="1" applyFill="1" applyBorder="1" applyAlignment="1">
      <alignment horizontal="center"/>
    </xf>
    <xf numFmtId="0" fontId="9" fillId="25" borderId="632" xfId="0" applyFont="1" applyFill="1" applyBorder="1" applyAlignment="1">
      <alignment horizontal="center"/>
    </xf>
    <xf numFmtId="0" fontId="9" fillId="25" borderId="139" xfId="0" applyFont="1" applyFill="1" applyBorder="1" applyAlignment="1">
      <alignment horizontal="center"/>
    </xf>
    <xf numFmtId="0" fontId="9" fillId="25" borderId="633" xfId="0" applyFont="1" applyFill="1" applyBorder="1" applyAlignment="1">
      <alignment horizontal="center"/>
    </xf>
    <xf numFmtId="0" fontId="9" fillId="25" borderId="72" xfId="0" applyFont="1" applyFill="1" applyBorder="1" applyAlignment="1">
      <alignment horizontal="center"/>
    </xf>
    <xf numFmtId="0" fontId="9" fillId="25" borderId="707" xfId="0" applyFont="1" applyFill="1" applyBorder="1" applyAlignment="1">
      <alignment horizontal="center"/>
    </xf>
    <xf numFmtId="0" fontId="9" fillId="25" borderId="708" xfId="0" applyFont="1" applyFill="1" applyBorder="1" applyAlignment="1">
      <alignment horizontal="center"/>
    </xf>
    <xf numFmtId="0" fontId="15" fillId="8" borderId="710" xfId="0" applyFont="1" applyFill="1" applyBorder="1" applyAlignment="1">
      <alignment horizontal="center" vertical="center" wrapText="1"/>
    </xf>
    <xf numFmtId="0" fontId="0" fillId="3" borderId="109" xfId="0" applyFill="1" applyBorder="1" applyAlignment="1">
      <alignment horizontal="center"/>
    </xf>
    <xf numFmtId="0" fontId="0" fillId="3" borderId="140" xfId="0" applyFill="1" applyBorder="1" applyAlignment="1">
      <alignment horizontal="center"/>
    </xf>
    <xf numFmtId="0" fontId="9" fillId="25" borderId="216"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08"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45" fillId="32" borderId="909" xfId="0" applyFont="1" applyFill="1" applyBorder="1" applyAlignment="1">
      <alignment horizontal="left" vertical="center" wrapText="1"/>
    </xf>
    <xf numFmtId="0" fontId="45" fillId="32" borderId="907" xfId="0" applyFont="1" applyFill="1" applyBorder="1" applyAlignment="1">
      <alignment horizontal="left" vertical="center" wrapText="1"/>
    </xf>
    <xf numFmtId="0" fontId="0" fillId="0" borderId="142" xfId="0" applyBorder="1" applyAlignment="1">
      <alignment horizontal="center" vertical="center"/>
    </xf>
    <xf numFmtId="0" fontId="0" fillId="0" borderId="106" xfId="0" applyBorder="1" applyAlignment="1">
      <alignment horizontal="center" vertical="center"/>
    </xf>
    <xf numFmtId="0" fontId="0" fillId="0" borderId="708" xfId="0" applyBorder="1" applyAlignment="1">
      <alignment horizontal="center" vertical="center"/>
    </xf>
    <xf numFmtId="0" fontId="0" fillId="0" borderId="132" xfId="0" applyBorder="1" applyAlignment="1">
      <alignment horizontal="center" vertical="center"/>
    </xf>
    <xf numFmtId="0" fontId="0" fillId="0" borderId="72" xfId="0" applyBorder="1" applyAlignment="1">
      <alignment horizontal="center" vertical="center"/>
    </xf>
    <xf numFmtId="0" fontId="0" fillId="0" borderId="940" xfId="0" applyBorder="1" applyAlignment="1">
      <alignment horizontal="center" vertical="center"/>
    </xf>
    <xf numFmtId="0" fontId="0" fillId="25" borderId="139" xfId="0" applyFill="1" applyBorder="1" applyAlignment="1">
      <alignment horizontal="center" wrapText="1"/>
    </xf>
    <xf numFmtId="0" fontId="53" fillId="43" borderId="0" xfId="0" applyFont="1" applyFill="1" applyAlignment="1">
      <alignment horizontal="center" vertical="center"/>
    </xf>
    <xf numFmtId="0" fontId="0" fillId="73" borderId="91" xfId="0" applyFill="1" applyBorder="1" applyAlignment="1">
      <alignment horizontal="right" vertical="center" wrapText="1"/>
    </xf>
    <xf numFmtId="0" fontId="0" fillId="73" borderId="0" xfId="0" applyFill="1" applyAlignment="1">
      <alignment horizontal="right" vertical="center" wrapText="1"/>
    </xf>
    <xf numFmtId="0" fontId="9" fillId="38" borderId="76" xfId="0" applyFont="1" applyFill="1" applyBorder="1" applyAlignment="1">
      <alignment horizontal="left" vertical="center"/>
    </xf>
    <xf numFmtId="0" fontId="9" fillId="38" borderId="127" xfId="0" applyFont="1" applyFill="1" applyBorder="1" applyAlignment="1">
      <alignment horizontal="left" vertical="center"/>
    </xf>
    <xf numFmtId="0" fontId="0" fillId="0" borderId="0" xfId="0" applyAlignment="1">
      <alignment horizontal="left"/>
    </xf>
    <xf numFmtId="0" fontId="34" fillId="8" borderId="194" xfId="0" applyFont="1" applyFill="1" applyBorder="1" applyAlignment="1">
      <alignment horizontal="center" vertical="center" wrapText="1"/>
    </xf>
    <xf numFmtId="0" fontId="34" fillId="8" borderId="212"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212"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86"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10" fillId="29" borderId="968" xfId="0" applyFont="1" applyFill="1" applyBorder="1" applyAlignment="1">
      <alignment horizontal="center"/>
    </xf>
    <xf numFmtId="0" fontId="10" fillId="29" borderId="904" xfId="0" applyFont="1" applyFill="1" applyBorder="1" applyAlignment="1">
      <alignment horizontal="center"/>
    </xf>
    <xf numFmtId="0" fontId="10" fillId="29" borderId="949" xfId="0" applyFont="1" applyFill="1" applyBorder="1" applyAlignment="1">
      <alignment horizontal="center"/>
    </xf>
    <xf numFmtId="0" fontId="45" fillId="8" borderId="91" xfId="0" applyFont="1" applyFill="1" applyBorder="1" applyAlignment="1">
      <alignment horizontal="left" vertical="center"/>
    </xf>
    <xf numFmtId="0" fontId="45" fillId="8" borderId="0" xfId="0" applyFont="1" applyFill="1" applyAlignment="1">
      <alignment horizontal="left" vertical="center"/>
    </xf>
    <xf numFmtId="0" fontId="15" fillId="8" borderId="91" xfId="0" applyFont="1" applyFill="1" applyBorder="1" applyAlignment="1">
      <alignment horizontal="right" vertical="center"/>
    </xf>
    <xf numFmtId="0" fontId="15" fillId="8" borderId="0" xfId="0" applyFont="1" applyFill="1" applyAlignment="1">
      <alignment horizontal="right" vertical="center"/>
    </xf>
    <xf numFmtId="0" fontId="34" fillId="8" borderId="7" xfId="0" applyFont="1" applyFill="1" applyBorder="1" applyAlignment="1">
      <alignment horizont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29" fillId="72" borderId="875" xfId="0" applyFont="1" applyFill="1" applyBorder="1" applyAlignment="1">
      <alignment horizontal="center" vertical="center" wrapText="1"/>
    </xf>
    <xf numFmtId="0" fontId="0" fillId="26" borderId="104" xfId="0" applyFill="1" applyBorder="1" applyAlignment="1">
      <alignment horizontal="center" vertical="center"/>
    </xf>
    <xf numFmtId="0" fontId="0" fillId="26" borderId="105" xfId="0" applyFill="1" applyBorder="1" applyAlignment="1">
      <alignment horizontal="center" vertical="center"/>
    </xf>
    <xf numFmtId="0" fontId="45" fillId="8" borderId="89" xfId="0" applyFont="1" applyFill="1" applyBorder="1" applyAlignment="1">
      <alignment horizontal="right" vertical="center"/>
    </xf>
    <xf numFmtId="0" fontId="45" fillId="8" borderId="76" xfId="0" applyFont="1" applyFill="1" applyBorder="1" applyAlignment="1">
      <alignment horizontal="right" vertical="center"/>
    </xf>
    <xf numFmtId="0" fontId="58" fillId="43" borderId="91" xfId="0" applyFont="1" applyFill="1" applyBorder="1" applyAlignment="1">
      <alignment horizontal="center"/>
    </xf>
    <xf numFmtId="0" fontId="58" fillId="43" borderId="68" xfId="0" applyFont="1" applyFill="1" applyBorder="1" applyAlignment="1">
      <alignment horizontal="center"/>
    </xf>
    <xf numFmtId="0" fontId="45" fillId="41" borderId="76" xfId="0" applyFont="1" applyFill="1" applyBorder="1" applyAlignment="1">
      <alignment horizontal="center" vertical="center"/>
    </xf>
    <xf numFmtId="0" fontId="45" fillId="41" borderId="90" xfId="0" applyFont="1" applyFill="1" applyBorder="1" applyAlignment="1">
      <alignment horizontal="center" vertical="center"/>
    </xf>
    <xf numFmtId="0" fontId="53" fillId="43" borderId="109" xfId="0" applyFont="1" applyFill="1" applyBorder="1" applyAlignment="1">
      <alignment horizontal="center"/>
    </xf>
    <xf numFmtId="0" fontId="53" fillId="43" borderId="112" xfId="0" applyFont="1" applyFill="1" applyBorder="1" applyAlignment="1">
      <alignment horizontal="center"/>
    </xf>
    <xf numFmtId="0" fontId="53" fillId="43" borderId="140" xfId="0" applyFont="1" applyFill="1" applyBorder="1" applyAlignment="1">
      <alignment horizontal="center"/>
    </xf>
    <xf numFmtId="0" fontId="9" fillId="42" borderId="0" xfId="0" quotePrefix="1" applyFont="1" applyFill="1" applyAlignment="1">
      <alignment horizontal="left"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29" fillId="8" borderId="191" xfId="0" applyFont="1" applyFill="1" applyBorder="1" applyAlignment="1">
      <alignment horizontal="center" vertical="center"/>
    </xf>
    <xf numFmtId="0" fontId="29" fillId="8" borderId="192"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292"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293" xfId="0" applyFont="1" applyFill="1" applyBorder="1" applyAlignment="1">
      <alignment horizontal="center" vertical="center"/>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6" xfId="0"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106"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7" xfId="0" applyFont="1" applyFill="1" applyBorder="1" applyAlignment="1">
      <alignment horizontal="center" vertical="center"/>
    </xf>
    <xf numFmtId="0" fontId="29" fillId="74" borderId="459" xfId="0" applyFont="1" applyFill="1" applyBorder="1" applyAlignment="1">
      <alignment horizontal="center" vertical="center"/>
    </xf>
    <xf numFmtId="0" fontId="29" fillId="74" borderId="460" xfId="0" applyFont="1" applyFill="1" applyBorder="1" applyAlignment="1">
      <alignment horizontal="center" vertical="center"/>
    </xf>
    <xf numFmtId="0" fontId="29" fillId="74" borderId="461" xfId="0" applyFont="1" applyFill="1" applyBorder="1" applyAlignment="1">
      <alignment horizontal="center" vertical="center"/>
    </xf>
    <xf numFmtId="0" fontId="29" fillId="74" borderId="462" xfId="0" applyFont="1" applyFill="1" applyBorder="1" applyAlignment="1">
      <alignment horizontal="center" vertical="center"/>
    </xf>
    <xf numFmtId="0" fontId="29" fillId="74" borderId="0" xfId="0" applyFont="1" applyFill="1" applyAlignment="1">
      <alignment horizontal="center" vertical="center"/>
    </xf>
    <xf numFmtId="0" fontId="29" fillId="74" borderId="463" xfId="0" applyFont="1" applyFill="1" applyBorder="1" applyAlignment="1">
      <alignment horizontal="center" vertical="center"/>
    </xf>
    <xf numFmtId="0" fontId="0" fillId="44" borderId="91" xfId="0" applyFill="1" applyBorder="1" applyAlignment="1">
      <alignment horizontal="right" vertical="center" wrapText="1"/>
    </xf>
    <xf numFmtId="0" fontId="0" fillId="44" borderId="0" xfId="0" applyFill="1" applyAlignment="1">
      <alignment horizontal="right" vertical="center" wrapText="1"/>
    </xf>
    <xf numFmtId="0" fontId="45" fillId="8" borderId="109" xfId="0" applyFont="1" applyFill="1" applyBorder="1" applyAlignment="1">
      <alignment horizontal="left" vertical="center"/>
    </xf>
    <xf numFmtId="0" fontId="45" fillId="8" borderId="112" xfId="0" applyFont="1" applyFill="1" applyBorder="1" applyAlignment="1">
      <alignment horizontal="left" vertical="center"/>
    </xf>
    <xf numFmtId="0" fontId="45" fillId="8" borderId="68" xfId="0" applyFont="1" applyFill="1" applyBorder="1" applyAlignment="1">
      <alignment horizontal="center" vertical="center" wrapText="1"/>
    </xf>
    <xf numFmtId="0" fontId="0" fillId="24" borderId="86" xfId="0" applyFill="1" applyBorder="1" applyAlignment="1">
      <alignment horizontal="center"/>
    </xf>
    <xf numFmtId="0" fontId="0" fillId="24" borderId="88" xfId="0" applyFill="1" applyBorder="1" applyAlignment="1">
      <alignment horizontal="center"/>
    </xf>
    <xf numFmtId="0" fontId="90" fillId="43" borderId="87" xfId="0" applyFont="1" applyFill="1" applyBorder="1" applyAlignment="1">
      <alignment horizontal="center" vertical="center" wrapText="1"/>
    </xf>
    <xf numFmtId="0" fontId="90" fillId="43" borderId="909" xfId="0" applyFont="1" applyFill="1" applyBorder="1" applyAlignment="1">
      <alignment horizontal="center" vertical="center" wrapText="1"/>
    </xf>
    <xf numFmtId="0" fontId="90" fillId="43" borderId="904" xfId="0" applyFont="1" applyFill="1" applyBorder="1" applyAlignment="1">
      <alignment horizontal="center" vertical="center" wrapText="1"/>
    </xf>
    <xf numFmtId="0" fontId="90" fillId="43" borderId="907" xfId="0" applyFont="1" applyFill="1" applyBorder="1" applyAlignment="1">
      <alignment horizontal="center" vertical="center" wrapText="1"/>
    </xf>
    <xf numFmtId="0" fontId="10" fillId="29" borderId="132" xfId="0" applyFont="1" applyFill="1" applyBorder="1" applyAlignment="1">
      <alignment horizontal="center"/>
    </xf>
    <xf numFmtId="0" fontId="10" fillId="29" borderId="87" xfId="0" applyFont="1" applyFill="1" applyBorder="1" applyAlignment="1">
      <alignment horizontal="center"/>
    </xf>
    <xf numFmtId="0" fontId="10" fillId="29" borderId="142" xfId="0" applyFont="1" applyFill="1" applyBorder="1" applyAlignment="1">
      <alignment horizontal="center"/>
    </xf>
    <xf numFmtId="0" fontId="0" fillId="44" borderId="91" xfId="0" applyFill="1" applyBorder="1" applyAlignment="1">
      <alignment horizontal="left" vertical="center" wrapText="1"/>
    </xf>
    <xf numFmtId="0" fontId="0" fillId="44" borderId="0" xfId="0" applyFill="1" applyAlignment="1">
      <alignment horizontal="left" vertical="center" wrapText="1"/>
    </xf>
    <xf numFmtId="0" fontId="15" fillId="8" borderId="93" xfId="0" applyFont="1" applyFill="1" applyBorder="1" applyAlignment="1">
      <alignment horizontal="left" vertical="center"/>
    </xf>
    <xf numFmtId="0" fontId="15" fillId="8" borderId="247"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09"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40" xfId="0" applyFont="1" applyFill="1" applyBorder="1" applyAlignment="1">
      <alignment horizontal="center" vertical="center" wrapText="1"/>
    </xf>
    <xf numFmtId="0" fontId="9" fillId="44" borderId="89" xfId="0" applyFont="1" applyFill="1" applyBorder="1" applyAlignment="1">
      <alignment horizontal="left" vertical="center" wrapText="1"/>
    </xf>
    <xf numFmtId="0" fontId="9" fillId="44" borderId="76" xfId="0" applyFont="1" applyFill="1" applyBorder="1" applyAlignment="1">
      <alignment horizontal="left" vertical="center" wrapText="1"/>
    </xf>
    <xf numFmtId="0" fontId="0" fillId="73" borderId="946" xfId="0" applyFill="1" applyBorder="1" applyAlignment="1">
      <alignment horizontal="right" vertical="center" wrapText="1"/>
    </xf>
    <xf numFmtId="0" fontId="0" fillId="73" borderId="915" xfId="0" applyFill="1" applyBorder="1" applyAlignment="1">
      <alignment horizontal="right" vertical="center" wrapText="1"/>
    </xf>
    <xf numFmtId="0" fontId="79" fillId="8" borderId="86" xfId="0" applyFont="1"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0" xfId="0" applyFont="1" applyFill="1" applyAlignment="1">
      <alignment horizontal="center" vertical="center" wrapText="1"/>
    </xf>
    <xf numFmtId="0" fontId="15" fillId="8" borderId="462" xfId="0" applyFont="1" applyFill="1" applyBorder="1" applyAlignment="1">
      <alignment horizontal="center"/>
    </xf>
    <xf numFmtId="0" fontId="15" fillId="8" borderId="0" xfId="0" applyFont="1" applyFill="1" applyAlignment="1">
      <alignment horizontal="center"/>
    </xf>
    <xf numFmtId="0" fontId="45" fillId="8" borderId="348" xfId="0" applyFont="1" applyFill="1" applyBorder="1" applyAlignment="1">
      <alignment horizontal="center"/>
    </xf>
    <xf numFmtId="0" fontId="45" fillId="8" borderId="162" xfId="0" applyFont="1" applyFill="1" applyBorder="1" applyAlignment="1">
      <alignment horizontal="center"/>
    </xf>
    <xf numFmtId="0" fontId="45" fillId="8" borderId="346" xfId="0" applyFont="1" applyFill="1" applyBorder="1" applyAlignment="1">
      <alignment horizontal="center"/>
    </xf>
    <xf numFmtId="0" fontId="15" fillId="8" borderId="9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76"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94" fillId="41" borderId="86"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49" fontId="43" fillId="8" borderId="0" xfId="0" applyNumberFormat="1" applyFont="1" applyFill="1" applyAlignment="1">
      <alignment horizontal="center" vertical="center"/>
    </xf>
    <xf numFmtId="49" fontId="43" fillId="8" borderId="68" xfId="0" applyNumberFormat="1" applyFont="1" applyFill="1" applyBorder="1" applyAlignment="1">
      <alignment horizontal="center" vertical="center"/>
    </xf>
    <xf numFmtId="0" fontId="12" fillId="16" borderId="97"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3" fillId="8" borderId="86" xfId="0" applyFont="1" applyFill="1" applyBorder="1" applyAlignment="1">
      <alignment horizontal="center" vertical="center"/>
    </xf>
    <xf numFmtId="0" fontId="73" fillId="8" borderId="87" xfId="0" applyFont="1" applyFill="1" applyBorder="1" applyAlignment="1">
      <alignment horizontal="center" vertical="center"/>
    </xf>
    <xf numFmtId="0" fontId="73" fillId="8" borderId="91" xfId="0" applyFont="1" applyFill="1" applyBorder="1" applyAlignment="1">
      <alignment horizontal="center" vertical="center"/>
    </xf>
    <xf numFmtId="0" fontId="15" fillId="74" borderId="11" xfId="0" applyFont="1" applyFill="1" applyBorder="1" applyAlignment="1">
      <alignment horizontal="center"/>
    </xf>
    <xf numFmtId="0" fontId="15" fillId="74" borderId="13" xfId="0" applyFont="1" applyFill="1" applyBorder="1" applyAlignment="1">
      <alignment horizontal="center"/>
    </xf>
    <xf numFmtId="0" fontId="15" fillId="74" borderId="147" xfId="0" applyFont="1" applyFill="1" applyBorder="1" applyAlignment="1">
      <alignment horizontal="center" vertical="center" wrapText="1"/>
    </xf>
    <xf numFmtId="0" fontId="15" fillId="74" borderId="159" xfId="0" applyFont="1" applyFill="1" applyBorder="1" applyAlignment="1">
      <alignment horizontal="center" vertical="center" wrapText="1"/>
    </xf>
    <xf numFmtId="0" fontId="15" fillId="74" borderId="160" xfId="0" applyFont="1" applyFill="1" applyBorder="1" applyAlignment="1">
      <alignment horizontal="center" vertical="center" wrapText="1"/>
    </xf>
    <xf numFmtId="0" fontId="15" fillId="74" borderId="278" xfId="0" applyFont="1" applyFill="1" applyBorder="1" applyAlignment="1">
      <alignment horizontal="center" vertical="center" wrapText="1"/>
    </xf>
    <xf numFmtId="0" fontId="15" fillId="74" borderId="279" xfId="0" applyFont="1" applyFill="1" applyBorder="1" applyAlignment="1">
      <alignment horizontal="center" vertical="center" wrapText="1"/>
    </xf>
    <xf numFmtId="0" fontId="15" fillId="74" borderId="28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91" xfId="0" applyFont="1" applyFill="1" applyBorder="1" applyAlignment="1">
      <alignment horizontal="right" vertical="center"/>
    </xf>
    <xf numFmtId="0" fontId="45" fillId="8" borderId="0" xfId="0" applyFont="1" applyFill="1" applyAlignment="1">
      <alignment horizontal="righ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1" xfId="0" applyNumberFormat="1" applyFont="1" applyFill="1" applyBorder="1" applyAlignment="1">
      <alignment horizontal="center" vertical="center"/>
    </xf>
    <xf numFmtId="0" fontId="50" fillId="16" borderId="97"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29" fillId="74" borderId="7" xfId="0" applyFont="1" applyFill="1" applyBorder="1" applyAlignment="1">
      <alignment horizontal="center" vertical="center" wrapText="1"/>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74" borderId="17" xfId="0" applyFont="1" applyFill="1" applyBorder="1" applyAlignment="1">
      <alignment horizontal="left" vertical="center"/>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909" xfId="0" applyFont="1" applyFill="1" applyBorder="1" applyAlignment="1">
      <alignment horizontal="center" vertical="center"/>
    </xf>
    <xf numFmtId="0" fontId="29" fillId="8" borderId="904" xfId="0" applyFont="1" applyFill="1" applyBorder="1" applyAlignment="1">
      <alignment horizontal="center" vertical="center"/>
    </xf>
    <xf numFmtId="0" fontId="29" fillId="8" borderId="907"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65" fillId="8" borderId="191"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278" xfId="0" applyFont="1" applyFill="1" applyBorder="1" applyAlignment="1">
      <alignment horizontal="center" vertical="center" wrapText="1"/>
    </xf>
    <xf numFmtId="0" fontId="65" fillId="8" borderId="280" xfId="0" applyFont="1" applyFill="1" applyBorder="1" applyAlignment="1">
      <alignment horizontal="center" vertical="center" wrapText="1"/>
    </xf>
    <xf numFmtId="0" fontId="34" fillId="8" borderId="1013"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29" fillId="8" borderId="91" xfId="0" applyFont="1" applyFill="1" applyBorder="1" applyAlignment="1">
      <alignment horizontal="center" vertical="center" wrapText="1"/>
    </xf>
    <xf numFmtId="0" fontId="0" fillId="34" borderId="97"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45" fillId="8" borderId="22" xfId="0" applyFont="1" applyFill="1" applyBorder="1" applyAlignment="1">
      <alignment horizontal="right"/>
    </xf>
    <xf numFmtId="0" fontId="53" fillId="43" borderId="909" xfId="0" applyFont="1" applyFill="1" applyBorder="1" applyAlignment="1">
      <alignment horizontal="center"/>
    </xf>
    <xf numFmtId="0" fontId="53" fillId="43" borderId="904" xfId="0" applyFont="1" applyFill="1" applyBorder="1" applyAlignment="1">
      <alignment horizontal="center"/>
    </xf>
    <xf numFmtId="0" fontId="53" fillId="43" borderId="907" xfId="0" applyFont="1" applyFill="1" applyBorder="1" applyAlignment="1">
      <alignment horizontal="center"/>
    </xf>
    <xf numFmtId="0" fontId="79" fillId="8" borderId="88"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34" fillId="8" borderId="86" xfId="0" applyFont="1" applyFill="1" applyBorder="1" applyAlignment="1">
      <alignment horizont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45" fillId="74" borderId="22" xfId="0" applyFont="1" applyFill="1" applyBorder="1" applyAlignment="1">
      <alignment horizontal="right" vertical="center"/>
    </xf>
    <xf numFmtId="0" fontId="45" fillId="74" borderId="16" xfId="0" applyFont="1" applyFill="1" applyBorder="1" applyAlignment="1">
      <alignment horizontal="left" vertical="center"/>
    </xf>
    <xf numFmtId="0" fontId="86" fillId="78" borderId="769" xfId="0" applyFont="1" applyFill="1" applyBorder="1" applyAlignment="1">
      <alignment horizontal="center" vertical="center"/>
    </xf>
    <xf numFmtId="0" fontId="86" fillId="78" borderId="771" xfId="0" applyFont="1" applyFill="1" applyBorder="1" applyAlignment="1">
      <alignment horizontal="center" vertical="center"/>
    </xf>
    <xf numFmtId="0" fontId="73" fillId="8" borderId="132" xfId="0" applyFont="1" applyFill="1" applyBorder="1" applyAlignment="1">
      <alignment horizontal="center" vertical="center" wrapText="1"/>
    </xf>
    <xf numFmtId="0" fontId="73" fillId="8" borderId="87"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78"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6" xfId="0" applyFont="1" applyFill="1" applyBorder="1" applyAlignment="1">
      <alignment horizontal="center" vertical="center"/>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6"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49" fontId="13" fillId="46" borderId="269" xfId="0" applyNumberFormat="1" applyFont="1" applyFill="1" applyBorder="1" applyAlignment="1">
      <alignment horizontal="center" vertical="center"/>
    </xf>
    <xf numFmtId="49" fontId="13" fillId="46" borderId="105" xfId="0" applyNumberFormat="1" applyFont="1" applyFill="1" applyBorder="1" applyAlignment="1">
      <alignment horizontal="center" vertical="center"/>
    </xf>
    <xf numFmtId="0" fontId="45" fillId="8" borderId="164" xfId="0" applyFont="1" applyFill="1" applyBorder="1" applyAlignment="1">
      <alignment horizontal="center"/>
    </xf>
    <xf numFmtId="0" fontId="45" fillId="8" borderId="76" xfId="0" applyFont="1" applyFill="1" applyBorder="1" applyAlignment="1">
      <alignment horizontal="center" wrapText="1"/>
    </xf>
    <xf numFmtId="0" fontId="10" fillId="29" borderId="97" xfId="0" applyFont="1" applyFill="1" applyBorder="1" applyAlignment="1">
      <alignment horizontal="center"/>
    </xf>
    <xf numFmtId="0" fontId="34" fillId="8" borderId="86" xfId="0" applyFont="1" applyFill="1" applyBorder="1" applyAlignment="1">
      <alignment horizontal="center" vertical="top"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70" fillId="8" borderId="93"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15" fillId="8" borderId="86"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0" fillId="0" borderId="0" xfId="0" applyAlignment="1">
      <alignment horizontal="center" wrapText="1"/>
    </xf>
    <xf numFmtId="0" fontId="34" fillId="8" borderId="91"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73" xfId="0" applyFont="1" applyFill="1" applyBorder="1" applyAlignment="1">
      <alignment horizontal="center"/>
    </xf>
    <xf numFmtId="0" fontId="10" fillId="29" borderId="632" xfId="0" applyFont="1" applyFill="1" applyBorder="1" applyAlignment="1">
      <alignment horizontal="center"/>
    </xf>
    <xf numFmtId="0" fontId="10" fillId="29" borderId="633" xfId="0" applyFont="1" applyFill="1" applyBorder="1" applyAlignment="1">
      <alignment horizontal="center"/>
    </xf>
    <xf numFmtId="0" fontId="10" fillId="29" borderId="673" xfId="0" applyFont="1" applyFill="1" applyBorder="1" applyAlignment="1">
      <alignment horizontal="left"/>
    </xf>
    <xf numFmtId="0" fontId="10" fillId="29" borderId="632" xfId="0" applyFont="1" applyFill="1" applyBorder="1" applyAlignment="1">
      <alignment horizontal="left"/>
    </xf>
    <xf numFmtId="0" fontId="10" fillId="29" borderId="633" xfId="0" applyFont="1" applyFill="1" applyBorder="1" applyAlignment="1">
      <alignment horizontal="left"/>
    </xf>
    <xf numFmtId="0" fontId="53" fillId="43" borderId="86"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15" fillId="78" borderId="112" xfId="0" applyFont="1" applyFill="1" applyBorder="1" applyAlignment="1">
      <alignment horizontal="center" vertical="center" wrapText="1"/>
    </xf>
    <xf numFmtId="0" fontId="15" fillId="78" borderId="140" xfId="0" applyFont="1" applyFill="1" applyBorder="1" applyAlignment="1">
      <alignment horizontal="center" vertical="center" wrapText="1"/>
    </xf>
    <xf numFmtId="0" fontId="15" fillId="78" borderId="109" xfId="0" applyFont="1" applyFill="1" applyBorder="1" applyAlignment="1">
      <alignment horizontal="center" vertical="center" wrapText="1"/>
    </xf>
    <xf numFmtId="0" fontId="0" fillId="86" borderId="109" xfId="0" applyFill="1" applyBorder="1" applyAlignment="1">
      <alignment horizontal="center"/>
    </xf>
    <xf numFmtId="0" fontId="0" fillId="86" borderId="140"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6" xfId="0" applyFont="1" applyFill="1" applyBorder="1" applyAlignment="1">
      <alignment horizontal="left" vertical="center"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09" xfId="0" applyFont="1" applyFill="1" applyBorder="1" applyAlignment="1">
      <alignment horizontal="center"/>
    </xf>
    <xf numFmtId="0" fontId="58" fillId="43" borderId="112" xfId="0" applyFont="1" applyFill="1" applyBorder="1" applyAlignment="1">
      <alignment horizontal="center"/>
    </xf>
    <xf numFmtId="0" fontId="58" fillId="43" borderId="140" xfId="0" applyFont="1" applyFill="1" applyBorder="1" applyAlignment="1">
      <alignment horizontal="center"/>
    </xf>
    <xf numFmtId="0" fontId="15" fillId="74" borderId="875" xfId="0" applyFont="1" applyFill="1" applyBorder="1" applyAlignment="1">
      <alignment horizontal="center" vertical="center" wrapText="1"/>
    </xf>
    <xf numFmtId="0" fontId="10" fillId="29" borderId="471" xfId="0" applyFont="1" applyFill="1" applyBorder="1" applyAlignment="1">
      <alignment horizontal="left"/>
    </xf>
    <xf numFmtId="0" fontId="98" fillId="15" borderId="0" xfId="0" applyFont="1" applyFill="1" applyAlignment="1">
      <alignment horizontal="center" vertical="center"/>
    </xf>
    <xf numFmtId="0" fontId="29" fillId="8" borderId="459" xfId="0" applyFont="1" applyFill="1" applyBorder="1" applyAlignment="1">
      <alignment horizontal="center" vertical="center"/>
    </xf>
    <xf numFmtId="0" fontId="29" fillId="8" borderId="460" xfId="0" applyFont="1" applyFill="1" applyBorder="1" applyAlignment="1">
      <alignment horizontal="center" vertical="center"/>
    </xf>
    <xf numFmtId="0" fontId="29" fillId="8" borderId="461" xfId="0" applyFont="1" applyFill="1" applyBorder="1" applyAlignment="1">
      <alignment horizontal="center" vertical="center"/>
    </xf>
    <xf numFmtId="0" fontId="29" fillId="8" borderId="462" xfId="0" applyFont="1" applyFill="1" applyBorder="1" applyAlignment="1">
      <alignment horizontal="center" vertical="center"/>
    </xf>
    <xf numFmtId="0" fontId="29" fillId="8" borderId="463"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9" fillId="74"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95" xfId="0" applyFont="1" applyFill="1" applyBorder="1" applyAlignment="1">
      <alignment horizontal="left" vertical="center"/>
    </xf>
    <xf numFmtId="0" fontId="0" fillId="33" borderId="132" xfId="0" applyFill="1" applyBorder="1" applyAlignment="1">
      <alignment horizontal="left" vertical="center" wrapText="1"/>
    </xf>
    <xf numFmtId="0" fontId="0" fillId="33" borderId="78" xfId="0" applyFill="1" applyBorder="1" applyAlignment="1">
      <alignment horizontal="left" vertical="center" wrapText="1"/>
    </xf>
    <xf numFmtId="0" fontId="0" fillId="33" borderId="920" xfId="0" applyFill="1" applyBorder="1" applyAlignment="1">
      <alignment horizontal="left" vertical="center" wrapText="1"/>
    </xf>
    <xf numFmtId="0" fontId="15" fillId="8" borderId="147" xfId="0" applyFont="1" applyFill="1" applyBorder="1" applyAlignment="1">
      <alignment horizontal="center" vertical="center"/>
    </xf>
    <xf numFmtId="0" fontId="15" fillId="8" borderId="160" xfId="0" applyFont="1" applyFill="1" applyBorder="1" applyAlignment="1">
      <alignment horizontal="center" vertical="center"/>
    </xf>
    <xf numFmtId="0" fontId="15" fillId="8" borderId="285" xfId="0" applyFont="1" applyFill="1" applyBorder="1" applyAlignment="1">
      <alignment horizontal="center" vertical="center"/>
    </xf>
    <xf numFmtId="0" fontId="15" fillId="8" borderId="299"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07" xfId="0" applyFont="1" applyFill="1" applyBorder="1" applyAlignment="1">
      <alignment horizontal="center" vertical="top" wrapText="1"/>
    </xf>
    <xf numFmtId="0" fontId="9" fillId="25" borderId="710" xfId="0" applyFont="1" applyFill="1" applyBorder="1" applyAlignment="1">
      <alignment horizontal="center" vertical="top" wrapText="1"/>
    </xf>
    <xf numFmtId="0" fontId="0" fillId="19" borderId="321" xfId="0" applyFill="1" applyBorder="1" applyAlignment="1">
      <alignment horizontal="center"/>
    </xf>
    <xf numFmtId="0" fontId="0" fillId="19" borderId="325" xfId="0" applyFill="1" applyBorder="1" applyAlignment="1">
      <alignment horizontal="center"/>
    </xf>
    <xf numFmtId="0" fontId="0" fillId="19" borderId="677" xfId="0" applyFill="1" applyBorder="1" applyAlignment="1">
      <alignment horizontal="center"/>
    </xf>
    <xf numFmtId="0" fontId="0" fillId="19" borderId="646" xfId="0" applyFill="1" applyBorder="1" applyAlignment="1">
      <alignment horizontal="center"/>
    </xf>
    <xf numFmtId="0" fontId="13" fillId="19" borderId="91" xfId="0" applyFont="1" applyFill="1" applyBorder="1" applyAlignment="1">
      <alignment horizontal="center"/>
    </xf>
    <xf numFmtId="0" fontId="13" fillId="19" borderId="79" xfId="0" applyFont="1" applyFill="1" applyBorder="1" applyAlignment="1">
      <alignment horizontal="center"/>
    </xf>
    <xf numFmtId="49" fontId="62" fillId="46" borderId="104" xfId="0" applyNumberFormat="1" applyFont="1" applyFill="1" applyBorder="1" applyAlignment="1">
      <alignment horizontal="center" vertical="center" wrapText="1"/>
    </xf>
    <xf numFmtId="49" fontId="62" fillId="46" borderId="105"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58" fillId="43" borderId="0" xfId="0" applyFont="1" applyFill="1" applyAlignment="1">
      <alignment horizontal="left" vertical="center" wrapText="1"/>
    </xf>
    <xf numFmtId="0" fontId="58" fillId="60" borderId="0" xfId="0" applyFont="1" applyFill="1" applyAlignment="1">
      <alignment horizontal="left" vertical="center" wrapText="1"/>
    </xf>
    <xf numFmtId="0" fontId="97" fillId="60" borderId="0" xfId="0" applyFont="1" applyFill="1" applyAlignment="1">
      <alignment horizontal="left" vertical="center" wrapText="1"/>
    </xf>
    <xf numFmtId="0" fontId="97" fillId="60" borderId="0" xfId="0" applyFont="1" applyFill="1" applyAlignment="1">
      <alignment horizontal="left" vertical="center"/>
    </xf>
    <xf numFmtId="0" fontId="86" fillId="43" borderId="0" xfId="0" applyFont="1" applyFill="1" applyAlignment="1">
      <alignment horizontal="center" vertical="center"/>
    </xf>
    <xf numFmtId="0" fontId="53" fillId="43" borderId="462" xfId="0" applyFont="1" applyFill="1" applyBorder="1" applyAlignment="1">
      <alignment horizontal="center" vertical="center"/>
    </xf>
    <xf numFmtId="0" fontId="53" fillId="43" borderId="766" xfId="0" applyFont="1" applyFill="1" applyBorder="1" applyAlignment="1">
      <alignment horizontal="center" vertical="center"/>
    </xf>
    <xf numFmtId="0" fontId="53" fillId="43" borderId="880" xfId="0" applyFont="1" applyFill="1" applyBorder="1" applyAlignment="1">
      <alignment horizontal="center" vertical="center"/>
    </xf>
    <xf numFmtId="0" fontId="14" fillId="7" borderId="0" xfId="0" applyFont="1" applyFill="1" applyAlignment="1" applyProtection="1">
      <alignment horizontal="right" vertical="center" wrapText="1"/>
      <protection hidden="1"/>
    </xf>
    <xf numFmtId="0" fontId="10" fillId="7" borderId="0" xfId="0" applyFont="1" applyFill="1" applyAlignment="1" applyProtection="1">
      <alignment horizontal="right" vertical="center" wrapText="1"/>
      <protection hidden="1"/>
    </xf>
    <xf numFmtId="0" fontId="12" fillId="7" borderId="0" xfId="0" applyFont="1" applyFill="1" applyAlignment="1" applyProtection="1">
      <alignment horizontal="right" vertical="center" wrapText="1"/>
      <protection hidden="1"/>
    </xf>
    <xf numFmtId="0" fontId="53" fillId="43" borderId="909" xfId="0" applyFont="1" applyFill="1" applyBorder="1" applyAlignment="1" applyProtection="1">
      <alignment horizontal="center" vertical="center"/>
      <protection hidden="1"/>
    </xf>
    <xf numFmtId="0" fontId="53" fillId="43" borderId="904" xfId="0" applyFont="1" applyFill="1" applyBorder="1" applyAlignment="1" applyProtection="1">
      <alignment horizontal="center" vertical="center"/>
      <protection hidden="1"/>
    </xf>
    <xf numFmtId="0" fontId="53" fillId="43" borderId="907" xfId="0" applyFont="1" applyFill="1" applyBorder="1" applyAlignment="1" applyProtection="1">
      <alignment horizontal="center" vertical="center"/>
      <protection hidden="1"/>
    </xf>
    <xf numFmtId="0" fontId="62" fillId="28" borderId="989" xfId="0" applyFont="1" applyFill="1" applyBorder="1" applyAlignment="1" applyProtection="1">
      <alignment horizontal="left" vertical="center"/>
      <protection locked="0"/>
    </xf>
    <xf numFmtId="0" fontId="62" fillId="28" borderId="951" xfId="0" applyFont="1" applyFill="1" applyBorder="1" applyAlignment="1" applyProtection="1">
      <alignment horizontal="left" vertical="center"/>
      <protection locked="0"/>
    </xf>
    <xf numFmtId="0" fontId="62" fillId="28" borderId="976" xfId="0" applyFont="1" applyFill="1" applyBorder="1" applyAlignment="1" applyProtection="1">
      <alignment horizontal="left" vertical="center"/>
      <protection locked="0"/>
    </xf>
    <xf numFmtId="0" fontId="9" fillId="24" borderId="1002" xfId="0" applyFont="1" applyFill="1" applyBorder="1" applyAlignment="1" applyProtection="1">
      <alignment horizontal="left" vertical="center" wrapText="1"/>
      <protection hidden="1"/>
    </xf>
    <xf numFmtId="0" fontId="9" fillId="24" borderId="1003" xfId="0" applyFont="1" applyFill="1" applyBorder="1" applyAlignment="1" applyProtection="1">
      <alignment horizontal="left" vertical="center" wrapText="1"/>
      <protection hidden="1"/>
    </xf>
    <xf numFmtId="0" fontId="9" fillId="24" borderId="993" xfId="0" applyFont="1" applyFill="1" applyBorder="1" applyAlignment="1" applyProtection="1">
      <alignment horizontal="left" vertical="center" wrapText="1"/>
      <protection hidden="1"/>
    </xf>
    <xf numFmtId="0" fontId="9" fillId="24" borderId="635" xfId="0" applyFont="1" applyFill="1" applyBorder="1" applyAlignment="1" applyProtection="1">
      <alignment horizontal="left" vertical="center" wrapText="1"/>
      <protection hidden="1"/>
    </xf>
    <xf numFmtId="0" fontId="9" fillId="24" borderId="0" xfId="0" applyFont="1" applyFill="1" applyAlignment="1" applyProtection="1">
      <alignment horizontal="left" vertical="center" wrapText="1"/>
      <protection hidden="1"/>
    </xf>
    <xf numFmtId="0" fontId="9" fillId="24" borderId="880" xfId="0" applyFont="1" applyFill="1" applyBorder="1" applyAlignment="1" applyProtection="1">
      <alignment horizontal="left" vertical="center" wrapText="1"/>
      <protection hidden="1"/>
    </xf>
    <xf numFmtId="0" fontId="9" fillId="24" borderId="992" xfId="0" applyFont="1" applyFill="1" applyBorder="1" applyAlignment="1" applyProtection="1">
      <alignment horizontal="left" vertical="center" wrapText="1"/>
      <protection hidden="1"/>
    </xf>
    <xf numFmtId="0" fontId="9" fillId="24" borderId="965" xfId="0" applyFont="1" applyFill="1" applyBorder="1" applyAlignment="1" applyProtection="1">
      <alignment horizontal="left" vertical="center" wrapText="1"/>
      <protection hidden="1"/>
    </xf>
    <xf numFmtId="0" fontId="9" fillId="24" borderId="940" xfId="0" applyFont="1" applyFill="1" applyBorder="1" applyAlignment="1" applyProtection="1">
      <alignment horizontal="left" vertical="center" wrapText="1"/>
      <protection hidden="1"/>
    </xf>
    <xf numFmtId="0" fontId="9" fillId="24" borderId="924" xfId="0" applyFont="1" applyFill="1" applyBorder="1" applyAlignment="1" applyProtection="1">
      <alignment horizontal="right" vertical="center"/>
      <protection hidden="1"/>
    </xf>
    <xf numFmtId="0" fontId="9" fillId="24" borderId="1001" xfId="0" applyFont="1" applyFill="1" applyBorder="1" applyAlignment="1" applyProtection="1">
      <alignment horizontal="right" vertical="center"/>
      <protection hidden="1"/>
    </xf>
    <xf numFmtId="0" fontId="9" fillId="24" borderId="946" xfId="0" applyFont="1" applyFill="1" applyBorder="1" applyAlignment="1" applyProtection="1">
      <alignment horizontal="right" vertical="center"/>
      <protection hidden="1"/>
    </xf>
    <xf numFmtId="0" fontId="9" fillId="24" borderId="919" xfId="0" applyFont="1" applyFill="1" applyBorder="1" applyAlignment="1" applyProtection="1">
      <alignment horizontal="right" vertical="center"/>
      <protection hidden="1"/>
    </xf>
    <xf numFmtId="0" fontId="13" fillId="24" borderId="1002" xfId="0" applyFont="1" applyFill="1" applyBorder="1" applyAlignment="1" applyProtection="1">
      <alignment horizontal="left" vertical="center" wrapText="1"/>
      <protection hidden="1"/>
    </xf>
    <xf numFmtId="0" fontId="13" fillId="24" borderId="1003" xfId="0" applyFont="1" applyFill="1" applyBorder="1" applyAlignment="1" applyProtection="1">
      <alignment horizontal="left" vertical="center" wrapText="1"/>
      <protection hidden="1"/>
    </xf>
    <xf numFmtId="0" fontId="13" fillId="24" borderId="993" xfId="0" applyFont="1" applyFill="1" applyBorder="1" applyAlignment="1" applyProtection="1">
      <alignment horizontal="left" vertical="center" wrapText="1"/>
      <protection hidden="1"/>
    </xf>
    <xf numFmtId="0" fontId="13" fillId="24" borderId="920" xfId="0" applyFont="1" applyFill="1" applyBorder="1" applyAlignment="1" applyProtection="1">
      <alignment horizontal="left" vertical="center" wrapText="1"/>
      <protection hidden="1"/>
    </xf>
    <xf numFmtId="0" fontId="13" fillId="24" borderId="915" xfId="0" applyFont="1" applyFill="1" applyBorder="1" applyAlignment="1" applyProtection="1">
      <alignment horizontal="left" vertical="center" wrapText="1"/>
      <protection hidden="1"/>
    </xf>
    <xf numFmtId="0" fontId="13" fillId="24" borderId="916" xfId="0" applyFont="1" applyFill="1" applyBorder="1" applyAlignment="1" applyProtection="1">
      <alignment horizontal="left" vertical="center" wrapText="1"/>
      <protection hidden="1"/>
    </xf>
    <xf numFmtId="0" fontId="9" fillId="0" borderId="0" xfId="0" applyFont="1" applyAlignment="1">
      <alignment horizontal="center" vertical="center"/>
    </xf>
    <xf numFmtId="0" fontId="34" fillId="13" borderId="90" xfId="0" applyFont="1" applyFill="1" applyBorder="1" applyAlignment="1">
      <alignment horizontal="center" vertical="center" wrapText="1"/>
    </xf>
    <xf numFmtId="0" fontId="56" fillId="20" borderId="108" xfId="0" applyFont="1" applyFill="1" applyBorder="1" applyAlignment="1">
      <alignment horizontal="center" vertical="center" wrapText="1"/>
    </xf>
    <xf numFmtId="0" fontId="56" fillId="20" borderId="104" xfId="0" applyFont="1" applyFill="1" applyBorder="1" applyAlignment="1">
      <alignment horizontal="center" vertical="center" wrapText="1"/>
    </xf>
    <xf numFmtId="0" fontId="57" fillId="13" borderId="108" xfId="0" applyFont="1" applyFill="1" applyBorder="1" applyAlignment="1">
      <alignment horizontal="center" vertical="center"/>
    </xf>
    <xf numFmtId="0" fontId="58" fillId="21" borderId="70" xfId="0" applyFont="1" applyFill="1" applyBorder="1" applyAlignment="1">
      <alignment horizontal="center"/>
    </xf>
    <xf numFmtId="0" fontId="50" fillId="12" borderId="78" xfId="0" applyFont="1" applyFill="1" applyBorder="1" applyAlignment="1">
      <alignment horizontal="center"/>
    </xf>
    <xf numFmtId="0" fontId="50" fillId="12" borderId="0" xfId="0" applyFont="1" applyFill="1" applyAlignment="1">
      <alignment horizontal="center"/>
    </xf>
    <xf numFmtId="0" fontId="34" fillId="13" borderId="93"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34" fillId="13" borderId="766" xfId="0" applyFont="1" applyFill="1" applyBorder="1" applyAlignment="1">
      <alignment horizontal="center" vertical="center" wrapText="1"/>
    </xf>
    <xf numFmtId="0" fontId="0" fillId="12" borderId="78" xfId="0" applyFill="1" applyBorder="1" applyAlignment="1">
      <alignment horizontal="center"/>
    </xf>
    <xf numFmtId="0" fontId="0" fillId="12" borderId="78" xfId="0" quotePrefix="1" applyFill="1" applyBorder="1" applyAlignment="1">
      <alignment horizontal="center"/>
    </xf>
    <xf numFmtId="0" fontId="29" fillId="13" borderId="106"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1" xfId="0" applyFont="1" applyFill="1" applyBorder="1" applyAlignment="1">
      <alignment horizontal="center" vertical="center"/>
    </xf>
    <xf numFmtId="0" fontId="57" fillId="13" borderId="0" xfId="0" applyFont="1" applyFill="1" applyAlignment="1">
      <alignment horizontal="center" vertical="center"/>
    </xf>
    <xf numFmtId="0" fontId="58" fillId="21" borderId="660" xfId="0" applyFont="1" applyFill="1" applyBorder="1" applyAlignment="1">
      <alignment horizontal="center"/>
    </xf>
    <xf numFmtId="0" fontId="50" fillId="12" borderId="78" xfId="0" quotePrefix="1" applyFont="1" applyFill="1" applyBorder="1" applyAlignment="1">
      <alignment horizontal="center"/>
    </xf>
    <xf numFmtId="0" fontId="50" fillId="12" borderId="0" xfId="0" quotePrefix="1" applyFont="1" applyFill="1" applyAlignment="1">
      <alignment horizontal="center"/>
    </xf>
    <xf numFmtId="0" fontId="50" fillId="12" borderId="661" xfId="0" quotePrefix="1" applyFont="1" applyFill="1" applyBorder="1" applyAlignment="1">
      <alignment horizontal="center"/>
    </xf>
    <xf numFmtId="0" fontId="50" fillId="12" borderId="661" xfId="0" applyFont="1" applyFill="1" applyBorder="1" applyAlignment="1">
      <alignment horizontal="center"/>
    </xf>
    <xf numFmtId="0" fontId="58" fillId="21" borderId="632" xfId="0" applyFont="1" applyFill="1" applyBorder="1" applyAlignment="1">
      <alignment horizontal="center"/>
    </xf>
    <xf numFmtId="0" fontId="0" fillId="12" borderId="661" xfId="0" applyFill="1" applyBorder="1" applyAlignment="1">
      <alignment horizontal="center"/>
    </xf>
    <xf numFmtId="0" fontId="0" fillId="12" borderId="0" xfId="0" quotePrefix="1" applyFill="1" applyAlignment="1">
      <alignment horizontal="center"/>
    </xf>
    <xf numFmtId="0" fontId="0" fillId="12" borderId="661" xfId="0" quotePrefix="1" applyFill="1" applyBorder="1" applyAlignment="1">
      <alignment horizontal="center"/>
    </xf>
    <xf numFmtId="0" fontId="0" fillId="16" borderId="78" xfId="0" applyFill="1" applyBorder="1" applyAlignment="1">
      <alignment horizontal="left"/>
    </xf>
    <xf numFmtId="0" fontId="0" fillId="16" borderId="79" xfId="0" applyFill="1" applyBorder="1" applyAlignment="1">
      <alignment horizontal="left"/>
    </xf>
    <xf numFmtId="0" fontId="50" fillId="12" borderId="78" xfId="0" applyFont="1" applyFill="1" applyBorder="1" applyAlignment="1">
      <alignment horizontal="left"/>
    </xf>
    <xf numFmtId="0" fontId="50" fillId="12" borderId="79" xfId="0" applyFont="1" applyFill="1" applyBorder="1" applyAlignment="1">
      <alignment horizontal="left"/>
    </xf>
    <xf numFmtId="0" fontId="0" fillId="22" borderId="96" xfId="0" applyFill="1" applyBorder="1" applyAlignment="1">
      <alignment horizontal="left"/>
    </xf>
    <xf numFmtId="0" fontId="0" fillId="22" borderId="107" xfId="0" applyFill="1" applyBorder="1" applyAlignment="1">
      <alignment horizontal="left"/>
    </xf>
    <xf numFmtId="0" fontId="73" fillId="22" borderId="78" xfId="0" applyFont="1" applyFill="1" applyBorder="1" applyAlignment="1">
      <alignment horizontal="center"/>
    </xf>
    <xf numFmtId="0" fontId="73" fillId="22" borderId="68" xfId="0" applyFont="1" applyFill="1" applyBorder="1" applyAlignment="1">
      <alignment horizontal="center"/>
    </xf>
    <xf numFmtId="0" fontId="0" fillId="22" borderId="78" xfId="0" applyFill="1" applyBorder="1" applyAlignment="1">
      <alignment horizontal="center"/>
    </xf>
    <xf numFmtId="0" fontId="0" fillId="22" borderId="68" xfId="0" applyFill="1" applyBorder="1" applyAlignment="1">
      <alignment horizontal="center"/>
    </xf>
    <xf numFmtId="0" fontId="0" fillId="16" borderId="78" xfId="0" applyFill="1" applyBorder="1" applyAlignment="1">
      <alignment horizontal="center"/>
    </xf>
    <xf numFmtId="0" fontId="0" fillId="16" borderId="68" xfId="0" applyFill="1" applyBorder="1" applyAlignment="1">
      <alignment horizontal="center"/>
    </xf>
    <xf numFmtId="0" fontId="50" fillId="16" borderId="0" xfId="0" applyFont="1" applyFill="1" applyAlignment="1">
      <alignment horizontal="left"/>
    </xf>
    <xf numFmtId="0" fontId="0" fillId="16" borderId="0" xfId="0" applyFill="1" applyAlignment="1">
      <alignment horizontal="left"/>
    </xf>
    <xf numFmtId="0" fontId="0" fillId="22" borderId="96" xfId="0" applyFill="1" applyBorder="1" applyAlignment="1">
      <alignment horizontal="center"/>
    </xf>
    <xf numFmtId="0" fontId="0" fillId="22" borderId="139" xfId="0" applyFill="1" applyBorder="1" applyAlignment="1">
      <alignment horizontal="center"/>
    </xf>
    <xf numFmtId="0" fontId="50" fillId="12" borderId="322" xfId="0" quotePrefix="1" applyFont="1" applyFill="1" applyBorder="1" applyAlignment="1">
      <alignment horizontal="center"/>
    </xf>
    <xf numFmtId="0" fontId="50" fillId="12" borderId="322" xfId="0" applyFont="1" applyFill="1" applyBorder="1" applyAlignment="1">
      <alignment horizontal="center"/>
    </xf>
    <xf numFmtId="0" fontId="50" fillId="12" borderId="68" xfId="0" applyFont="1" applyFill="1" applyBorder="1" applyAlignment="1">
      <alignment horizontal="center"/>
    </xf>
    <xf numFmtId="0" fontId="50" fillId="16" borderId="76" xfId="0" applyFont="1" applyFill="1" applyBorder="1" applyAlignment="1">
      <alignment horizontal="left"/>
    </xf>
    <xf numFmtId="0" fontId="0" fillId="16" borderId="76" xfId="0" applyFill="1" applyBorder="1" applyAlignment="1">
      <alignment horizontal="left"/>
    </xf>
    <xf numFmtId="0" fontId="50" fillId="12" borderId="133" xfId="0" applyFont="1" applyFill="1" applyBorder="1" applyAlignment="1">
      <alignment horizontal="left"/>
    </xf>
    <xf numFmtId="0" fontId="50" fillId="12" borderId="127" xfId="0" applyFont="1" applyFill="1" applyBorder="1" applyAlignment="1">
      <alignment horizontal="left"/>
    </xf>
    <xf numFmtId="0" fontId="50" fillId="12" borderId="133" xfId="0" applyFont="1" applyFill="1" applyBorder="1" applyAlignment="1">
      <alignment horizontal="center"/>
    </xf>
    <xf numFmtId="0" fontId="50" fillId="12" borderId="90" xfId="0" applyFont="1" applyFill="1" applyBorder="1" applyAlignment="1">
      <alignment horizontal="center"/>
    </xf>
    <xf numFmtId="0" fontId="29" fillId="13" borderId="86" xfId="0" applyFont="1" applyFill="1" applyBorder="1" applyAlignment="1">
      <alignment horizontal="center" vertical="center" wrapText="1"/>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8" fillId="21" borderId="992" xfId="0" applyFont="1" applyFill="1" applyBorder="1" applyAlignment="1">
      <alignment horizontal="center"/>
    </xf>
    <xf numFmtId="0" fontId="58" fillId="21" borderId="965" xfId="0" applyFont="1" applyFill="1" applyBorder="1" applyAlignment="1">
      <alignment horizontal="center"/>
    </xf>
    <xf numFmtId="0" fontId="58" fillId="21" borderId="967" xfId="0" applyFont="1" applyFill="1" applyBorder="1" applyAlignment="1">
      <alignment horizontal="center"/>
    </xf>
    <xf numFmtId="0" fontId="58" fillId="21" borderId="986" xfId="0" applyFont="1" applyFill="1" applyBorder="1" applyAlignment="1">
      <alignment horizontal="center"/>
    </xf>
    <xf numFmtId="0" fontId="58" fillId="21" borderId="913" xfId="0" applyFont="1" applyFill="1" applyBorder="1" applyAlignment="1">
      <alignment horizontal="center"/>
    </xf>
    <xf numFmtId="0" fontId="58" fillId="21" borderId="922" xfId="0" applyFont="1" applyFill="1" applyBorder="1" applyAlignment="1">
      <alignment horizontal="center"/>
    </xf>
    <xf numFmtId="0" fontId="0" fillId="93" borderId="917" xfId="0" quotePrefix="1" applyFill="1" applyBorder="1" applyAlignment="1">
      <alignment horizontal="center"/>
    </xf>
    <xf numFmtId="0" fontId="0" fillId="93" borderId="1018" xfId="0" applyFill="1" applyBorder="1" applyAlignment="1">
      <alignment horizontal="center"/>
    </xf>
    <xf numFmtId="0" fontId="0" fillId="93" borderId="918" xfId="0" applyFill="1" applyBorder="1" applyAlignment="1">
      <alignment horizontal="center"/>
    </xf>
    <xf numFmtId="0" fontId="0" fillId="93" borderId="78" xfId="0" applyFill="1" applyBorder="1" applyAlignment="1">
      <alignment horizontal="center"/>
    </xf>
    <xf numFmtId="0" fontId="0" fillId="93" borderId="0" xfId="0" applyFill="1" applyAlignment="1">
      <alignment horizontal="center"/>
    </xf>
    <xf numFmtId="0" fontId="0" fillId="93" borderId="79" xfId="0" applyFill="1" applyBorder="1" applyAlignment="1">
      <alignment horizontal="center"/>
    </xf>
    <xf numFmtId="0" fontId="0" fillId="93" borderId="992" xfId="0" quotePrefix="1" applyFill="1" applyBorder="1" applyAlignment="1">
      <alignment horizontal="center"/>
    </xf>
    <xf numFmtId="0" fontId="0" fillId="93" borderId="965" xfId="0" applyFill="1" applyBorder="1" applyAlignment="1">
      <alignment horizontal="center"/>
    </xf>
    <xf numFmtId="0" fontId="0" fillId="93" borderId="967" xfId="0" applyFill="1" applyBorder="1" applyAlignment="1">
      <alignment horizontal="center"/>
    </xf>
    <xf numFmtId="0" fontId="0" fillId="93" borderId="917" xfId="0" applyFill="1" applyBorder="1" applyAlignment="1">
      <alignment horizontal="center"/>
    </xf>
    <xf numFmtId="0" fontId="0" fillId="93" borderId="78" xfId="0" quotePrefix="1" applyFill="1" applyBorder="1" applyAlignment="1">
      <alignment horizontal="center"/>
    </xf>
    <xf numFmtId="0" fontId="58" fillId="22" borderId="96" xfId="0" applyFont="1" applyFill="1" applyBorder="1" applyAlignment="1">
      <alignment horizontal="left"/>
    </xf>
    <xf numFmtId="0" fontId="58" fillId="22" borderId="107" xfId="0" applyFont="1" applyFill="1" applyBorder="1" applyAlignment="1">
      <alignment horizontal="left"/>
    </xf>
    <xf numFmtId="0" fontId="58" fillId="22" borderId="96" xfId="0" applyFont="1" applyFill="1" applyBorder="1" applyAlignment="1">
      <alignment horizontal="center"/>
    </xf>
    <xf numFmtId="0" fontId="58" fillId="22" borderId="139" xfId="0" applyFont="1" applyFill="1" applyBorder="1" applyAlignment="1">
      <alignment horizontal="center"/>
    </xf>
    <xf numFmtId="0" fontId="0" fillId="93" borderId="78" xfId="0" applyFill="1" applyBorder="1" applyAlignment="1">
      <alignment horizontal="left"/>
    </xf>
    <xf numFmtId="0" fontId="0" fillId="93" borderId="79" xfId="0" applyFill="1" applyBorder="1" applyAlignment="1">
      <alignment horizontal="left"/>
    </xf>
    <xf numFmtId="0" fontId="50" fillId="93" borderId="0" xfId="0" applyFont="1" applyFill="1" applyAlignment="1">
      <alignment horizontal="left"/>
    </xf>
    <xf numFmtId="0" fontId="0" fillId="93" borderId="68" xfId="0" applyFill="1" applyBorder="1" applyAlignment="1">
      <alignment horizontal="center"/>
    </xf>
    <xf numFmtId="0" fontId="0" fillId="93" borderId="0" xfId="0" applyFill="1" applyAlignment="1">
      <alignment horizontal="left"/>
    </xf>
    <xf numFmtId="0" fontId="50" fillId="93" borderId="78" xfId="0" applyFont="1" applyFill="1" applyBorder="1" applyAlignment="1">
      <alignment horizontal="left"/>
    </xf>
    <xf numFmtId="0" fontId="50" fillId="93" borderId="79" xfId="0" applyFont="1" applyFill="1" applyBorder="1" applyAlignment="1">
      <alignment horizontal="left"/>
    </xf>
    <xf numFmtId="0" fontId="50" fillId="93" borderId="78" xfId="0" applyFont="1" applyFill="1" applyBorder="1" applyAlignment="1">
      <alignment horizontal="center"/>
    </xf>
    <xf numFmtId="0" fontId="50" fillId="93" borderId="880" xfId="0" applyFont="1" applyFill="1" applyBorder="1" applyAlignment="1">
      <alignment horizontal="center"/>
    </xf>
    <xf numFmtId="0" fontId="58" fillId="22" borderId="471" xfId="0" applyFont="1" applyFill="1" applyBorder="1" applyAlignment="1">
      <alignment horizontal="left"/>
    </xf>
    <xf numFmtId="0" fontId="58" fillId="22" borderId="699" xfId="0" applyFont="1" applyFill="1" applyBorder="1" applyAlignment="1">
      <alignment horizontal="left"/>
    </xf>
    <xf numFmtId="0" fontId="58" fillId="22" borderId="471" xfId="0" applyFont="1" applyFill="1" applyBorder="1" applyAlignment="1">
      <alignment horizontal="center"/>
    </xf>
    <xf numFmtId="0" fontId="58" fillId="22" borderId="720" xfId="0" applyFont="1" applyFill="1" applyBorder="1" applyAlignment="1">
      <alignment horizontal="center"/>
    </xf>
    <xf numFmtId="0" fontId="0" fillId="93" borderId="880" xfId="0" applyFill="1" applyBorder="1" applyAlignment="1">
      <alignment horizontal="center"/>
    </xf>
    <xf numFmtId="0" fontId="50" fillId="93" borderId="72" xfId="0" applyFont="1" applyFill="1" applyBorder="1" applyAlignment="1">
      <alignment horizontal="left"/>
    </xf>
    <xf numFmtId="0" fontId="50" fillId="93" borderId="708" xfId="0" applyFont="1" applyFill="1" applyBorder="1" applyAlignment="1">
      <alignment horizontal="left"/>
    </xf>
    <xf numFmtId="0" fontId="50" fillId="93" borderId="707" xfId="0" applyFont="1" applyFill="1" applyBorder="1" applyAlignment="1">
      <alignment horizontal="left"/>
    </xf>
    <xf numFmtId="0" fontId="0" fillId="93" borderId="707" xfId="0" applyFill="1" applyBorder="1" applyAlignment="1">
      <alignment horizontal="left"/>
    </xf>
    <xf numFmtId="0" fontId="50" fillId="93" borderId="72" xfId="0" applyFont="1" applyFill="1" applyBorder="1" applyAlignment="1">
      <alignment horizontal="center"/>
    </xf>
    <xf numFmtId="0" fontId="50" fillId="93" borderId="710" xfId="0" applyFont="1" applyFill="1" applyBorder="1" applyAlignment="1">
      <alignment horizontal="center"/>
    </xf>
    <xf numFmtId="0" fontId="50" fillId="93" borderId="1024" xfId="0" applyFont="1" applyFill="1" applyBorder="1" applyAlignment="1">
      <alignment horizontal="left"/>
    </xf>
    <xf numFmtId="0" fontId="50" fillId="93" borderId="919" xfId="0" applyFont="1" applyFill="1" applyBorder="1" applyAlignment="1">
      <alignment horizontal="left"/>
    </xf>
    <xf numFmtId="0" fontId="50" fillId="93" borderId="915" xfId="0" applyFont="1" applyFill="1" applyBorder="1" applyAlignment="1">
      <alignment horizontal="left"/>
    </xf>
    <xf numFmtId="0" fontId="0" fillId="93" borderId="915" xfId="0" applyFill="1" applyBorder="1" applyAlignment="1">
      <alignment horizontal="left"/>
    </xf>
    <xf numFmtId="0" fontId="50" fillId="93" borderId="1024" xfId="0" applyFont="1" applyFill="1" applyBorder="1" applyAlignment="1">
      <alignment horizontal="center"/>
    </xf>
    <xf numFmtId="0" fontId="50" fillId="93" borderId="1017" xfId="0" applyFont="1" applyFill="1" applyBorder="1" applyAlignment="1">
      <alignment horizontal="center"/>
    </xf>
    <xf numFmtId="0" fontId="0" fillId="93" borderId="1024" xfId="0" quotePrefix="1" applyFill="1" applyBorder="1" applyAlignment="1">
      <alignment horizontal="center"/>
    </xf>
    <xf numFmtId="0" fontId="0" fillId="93" borderId="786" xfId="0" applyFill="1" applyBorder="1" applyAlignment="1">
      <alignment horizontal="center"/>
    </xf>
    <xf numFmtId="0" fontId="0" fillId="93" borderId="919" xfId="0" applyFill="1" applyBorder="1" applyAlignment="1">
      <alignment horizontal="center"/>
    </xf>
    <xf numFmtId="0" fontId="53" fillId="43" borderId="0" xfId="0" applyFont="1" applyFill="1" applyAlignment="1">
      <alignment horizontal="center"/>
    </xf>
    <xf numFmtId="0" fontId="53" fillId="43" borderId="761" xfId="0" applyFont="1" applyFill="1" applyBorder="1" applyAlignment="1">
      <alignment horizontal="center"/>
    </xf>
    <xf numFmtId="0" fontId="58" fillId="43" borderId="909" xfId="0" applyFont="1" applyFill="1" applyBorder="1" applyAlignment="1">
      <alignment horizontal="center"/>
    </xf>
    <xf numFmtId="0" fontId="58" fillId="43" borderId="907" xfId="0" applyFont="1" applyFill="1" applyBorder="1" applyAlignment="1">
      <alignment horizontal="center"/>
    </xf>
    <xf numFmtId="0" fontId="58" fillId="43" borderId="904" xfId="0" applyFont="1" applyFill="1" applyBorder="1" applyAlignment="1">
      <alignment horizontal="center"/>
    </xf>
    <xf numFmtId="0" fontId="58" fillId="43" borderId="0" xfId="0" applyFont="1" applyFill="1" applyAlignment="1">
      <alignment horizontal="center"/>
    </xf>
    <xf numFmtId="0" fontId="58" fillId="43" borderId="761" xfId="0" applyFont="1" applyFill="1" applyBorder="1" applyAlignment="1">
      <alignment horizontal="center"/>
    </xf>
    <xf numFmtId="0" fontId="10" fillId="43" borderId="909" xfId="0" applyFont="1" applyFill="1" applyBorder="1" applyAlignment="1">
      <alignment horizontal="center"/>
    </xf>
    <xf numFmtId="0" fontId="10" fillId="43" borderId="904" xfId="0" applyFont="1" applyFill="1" applyBorder="1" applyAlignment="1">
      <alignment horizontal="center"/>
    </xf>
    <xf numFmtId="0" fontId="10" fillId="43" borderId="907" xfId="0" applyFont="1" applyFill="1" applyBorder="1" applyAlignment="1">
      <alignment horizontal="center"/>
    </xf>
    <xf numFmtId="0" fontId="86" fillId="43" borderId="909" xfId="0" applyFont="1" applyFill="1" applyBorder="1" applyAlignment="1">
      <alignment horizontal="center" vertical="center"/>
    </xf>
    <xf numFmtId="0" fontId="86" fillId="43" borderId="904" xfId="0" applyFont="1" applyFill="1" applyBorder="1" applyAlignment="1">
      <alignment horizontal="center" vertical="center"/>
    </xf>
    <xf numFmtId="0" fontId="86" fillId="43" borderId="907" xfId="0" applyFont="1" applyFill="1" applyBorder="1" applyAlignment="1">
      <alignment horizontal="center" vertical="center"/>
    </xf>
    <xf numFmtId="0" fontId="53" fillId="43" borderId="91" xfId="0" applyFont="1" applyFill="1" applyBorder="1" applyAlignment="1">
      <alignment horizontal="center"/>
    </xf>
    <xf numFmtId="0" fontId="86" fillId="20" borderId="909" xfId="0" applyFont="1" applyFill="1" applyBorder="1" applyAlignment="1">
      <alignment horizontal="center" vertical="center"/>
    </xf>
    <xf numFmtId="0" fontId="86" fillId="20" borderId="904" xfId="0" applyFont="1" applyFill="1" applyBorder="1" applyAlignment="1">
      <alignment horizontal="center" vertical="center"/>
    </xf>
    <xf numFmtId="0" fontId="86" fillId="20" borderId="907" xfId="0" applyFont="1" applyFill="1" applyBorder="1" applyAlignment="1">
      <alignment horizontal="center" vertical="center"/>
    </xf>
    <xf numFmtId="0" fontId="53" fillId="43" borderId="904" xfId="0" applyFont="1" applyFill="1" applyBorder="1"/>
    <xf numFmtId="0" fontId="53" fillId="43" borderId="907" xfId="0" applyFont="1" applyFill="1" applyBorder="1"/>
    <xf numFmtId="0" fontId="12" fillId="16" borderId="91" xfId="0" applyFont="1" applyFill="1" applyBorder="1" applyAlignment="1">
      <alignment horizontal="center"/>
    </xf>
    <xf numFmtId="0" fontId="12" fillId="16" borderId="0" xfId="0" applyFont="1" applyFill="1" applyAlignment="1">
      <alignment horizontal="center"/>
    </xf>
    <xf numFmtId="0" fontId="12" fillId="16" borderId="91" xfId="0" applyFont="1" applyFill="1" applyBorder="1" applyAlignment="1">
      <alignment horizontal="center" vertical="center"/>
    </xf>
    <xf numFmtId="0" fontId="12" fillId="16" borderId="0" xfId="0" applyFont="1" applyFill="1" applyAlignment="1">
      <alignment horizontal="center" vertical="center"/>
    </xf>
    <xf numFmtId="0" fontId="86" fillId="43" borderId="899" xfId="0" applyFont="1" applyFill="1" applyBorder="1" applyAlignment="1">
      <alignment horizontal="center" vertical="center"/>
    </xf>
    <xf numFmtId="0" fontId="20" fillId="28" borderId="128" xfId="0" applyFont="1" applyFill="1" applyBorder="1" applyAlignment="1" applyProtection="1">
      <alignment horizontal="center" vertical="center" wrapText="1"/>
      <protection locked="0"/>
    </xf>
    <xf numFmtId="0" fontId="20" fillId="28" borderId="116" xfId="0" applyFont="1" applyFill="1" applyBorder="1" applyAlignment="1" applyProtection="1">
      <alignment horizontal="center" vertical="center" wrapText="1"/>
      <protection locked="0"/>
    </xf>
    <xf numFmtId="0" fontId="41" fillId="23" borderId="87" xfId="0" applyFont="1" applyFill="1" applyBorder="1" applyAlignment="1">
      <alignment horizontal="right"/>
    </xf>
    <xf numFmtId="0" fontId="13" fillId="23" borderId="87" xfId="0" applyFont="1" applyFill="1" applyBorder="1" applyAlignment="1">
      <alignment horizontal="left" vertical="center" wrapText="1"/>
    </xf>
    <xf numFmtId="0" fontId="13" fillId="23" borderId="88" xfId="0" applyFont="1" applyFill="1" applyBorder="1" applyAlignment="1">
      <alignment horizontal="left" vertical="center" wrapText="1"/>
    </xf>
    <xf numFmtId="0" fontId="0" fillId="23" borderId="86" xfId="0" applyFill="1" applyBorder="1" applyAlignment="1">
      <alignment wrapText="1"/>
    </xf>
    <xf numFmtId="0" fontId="0" fillId="23" borderId="87" xfId="0" applyFill="1" applyBorder="1" applyAlignment="1">
      <alignment wrapText="1"/>
    </xf>
    <xf numFmtId="0" fontId="0" fillId="23" borderId="91" xfId="0" applyFill="1" applyBorder="1" applyAlignment="1">
      <alignment wrapText="1"/>
    </xf>
    <xf numFmtId="0" fontId="0" fillId="23" borderId="0" xfId="0" applyFill="1" applyAlignment="1">
      <alignment wrapText="1"/>
    </xf>
    <xf numFmtId="0" fontId="0" fillId="23" borderId="89" xfId="0" applyFill="1" applyBorder="1" applyAlignment="1">
      <alignment wrapText="1"/>
    </xf>
    <xf numFmtId="0" fontId="0" fillId="23" borderId="76" xfId="0" applyFill="1" applyBorder="1" applyAlignment="1">
      <alignment wrapText="1"/>
    </xf>
    <xf numFmtId="0" fontId="27" fillId="12" borderId="91" xfId="0" applyFont="1" applyFill="1" applyBorder="1" applyAlignment="1">
      <alignment horizontal="center"/>
    </xf>
    <xf numFmtId="0" fontId="27" fillId="12" borderId="79" xfId="0" applyFont="1" applyFill="1" applyBorder="1" applyAlignment="1">
      <alignment horizontal="center"/>
    </xf>
    <xf numFmtId="0" fontId="13" fillId="12" borderId="78"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1" xfId="0" applyFont="1" applyFill="1" applyBorder="1" applyAlignment="1">
      <alignment horizontal="center"/>
    </xf>
    <xf numFmtId="0" fontId="27" fillId="23" borderId="79" xfId="0" applyFont="1" applyFill="1" applyBorder="1" applyAlignment="1">
      <alignment horizontal="center"/>
    </xf>
    <xf numFmtId="0" fontId="13" fillId="23" borderId="78"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29" xfId="0" applyFont="1" applyFill="1" applyBorder="1" applyAlignment="1">
      <alignment horizontal="center"/>
    </xf>
    <xf numFmtId="0" fontId="41" fillId="23" borderId="107" xfId="0" applyFont="1" applyFill="1" applyBorder="1" applyAlignment="1">
      <alignment horizontal="center"/>
    </xf>
    <xf numFmtId="0" fontId="27" fillId="12" borderId="89" xfId="0" applyFont="1" applyFill="1" applyBorder="1" applyAlignment="1">
      <alignment horizontal="center"/>
    </xf>
    <xf numFmtId="0" fontId="27" fillId="12" borderId="127" xfId="0" applyFont="1" applyFill="1" applyBorder="1" applyAlignment="1">
      <alignment horizontal="center"/>
    </xf>
    <xf numFmtId="0" fontId="13" fillId="12" borderId="133" xfId="0" applyFont="1" applyFill="1" applyBorder="1" applyAlignment="1">
      <alignment horizontal="left"/>
    </xf>
    <xf numFmtId="0" fontId="13" fillId="12" borderId="76" xfId="0" applyFont="1" applyFill="1" applyBorder="1" applyAlignment="1">
      <alignment horizontal="left"/>
    </xf>
    <xf numFmtId="0" fontId="13" fillId="12" borderId="90" xfId="0" applyFont="1" applyFill="1" applyBorder="1" applyAlignment="1">
      <alignment horizontal="left"/>
    </xf>
    <xf numFmtId="0" fontId="13" fillId="23" borderId="86" xfId="0" applyFont="1" applyFill="1" applyBorder="1" applyAlignment="1">
      <alignment horizontal="left" vertical="top" wrapText="1"/>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76" xfId="0" applyFont="1" applyFill="1" applyBorder="1" applyAlignment="1">
      <alignment horizontal="left" vertical="top" wrapText="1"/>
    </xf>
    <xf numFmtId="0" fontId="13" fillId="23" borderId="90" xfId="0" applyFont="1" applyFill="1" applyBorder="1" applyAlignment="1">
      <alignment horizontal="left" vertical="top" wrapText="1"/>
    </xf>
    <xf numFmtId="0" fontId="16" fillId="23" borderId="544" xfId="0" applyFont="1" applyFill="1" applyBorder="1" applyAlignment="1">
      <alignment horizontal="center" vertical="center" wrapText="1"/>
    </xf>
    <xf numFmtId="0" fontId="16" fillId="23" borderId="543" xfId="0" applyFont="1" applyFill="1" applyBorder="1" applyAlignment="1">
      <alignment horizontal="center" vertical="center" wrapText="1"/>
    </xf>
    <xf numFmtId="0" fontId="69" fillId="13" borderId="989" xfId="0" applyFont="1" applyFill="1" applyBorder="1" applyAlignment="1">
      <alignment horizontal="center" vertical="center" wrapText="1"/>
    </xf>
    <xf numFmtId="0" fontId="69" fillId="13" borderId="951" xfId="0" applyFont="1" applyFill="1" applyBorder="1" applyAlignment="1">
      <alignment horizontal="center" vertical="center" wrapText="1"/>
    </xf>
    <xf numFmtId="0" fontId="69" fillId="13" borderId="976" xfId="0" applyFont="1" applyFill="1" applyBorder="1" applyAlignment="1">
      <alignment horizontal="center" vertical="center" wrapText="1"/>
    </xf>
    <xf numFmtId="0" fontId="41" fillId="23" borderId="87" xfId="0" applyFont="1" applyFill="1" applyBorder="1" applyAlignment="1">
      <alignment horizontal="right" vertical="center"/>
    </xf>
    <xf numFmtId="0" fontId="13" fillId="23" borderId="321" xfId="0" applyFont="1" applyFill="1" applyBorder="1" applyAlignment="1">
      <alignment horizontal="left"/>
    </xf>
    <xf numFmtId="0" fontId="13" fillId="23" borderId="322" xfId="0" applyFont="1" applyFill="1" applyBorder="1" applyAlignment="1">
      <alignment horizontal="left"/>
    </xf>
    <xf numFmtId="0" fontId="13" fillId="23" borderId="325" xfId="0" applyFont="1" applyFill="1" applyBorder="1" applyAlignment="1">
      <alignment horizontal="left"/>
    </xf>
    <xf numFmtId="0" fontId="13" fillId="23" borderId="683" xfId="0" applyFont="1" applyFill="1" applyBorder="1" applyAlignment="1">
      <alignment horizontal="left" vertical="center" wrapText="1"/>
    </xf>
    <xf numFmtId="0" fontId="12" fillId="23" borderId="683" xfId="0" applyFont="1" applyFill="1" applyBorder="1" applyAlignment="1">
      <alignment horizontal="right" vertical="center" wrapText="1"/>
    </xf>
    <xf numFmtId="0" fontId="41" fillId="23" borderId="633" xfId="0" applyFont="1" applyFill="1" applyBorder="1" applyAlignment="1">
      <alignment horizontal="center"/>
    </xf>
    <xf numFmtId="0" fontId="41" fillId="23" borderId="683" xfId="0" applyFont="1" applyFill="1" applyBorder="1" applyAlignment="1">
      <alignment horizontal="right" vertical="center"/>
    </xf>
    <xf numFmtId="0" fontId="41" fillId="23" borderId="545" xfId="0" applyFont="1" applyFill="1" applyBorder="1" applyAlignment="1">
      <alignment horizontal="center"/>
    </xf>
    <xf numFmtId="0" fontId="13" fillId="23" borderId="439" xfId="0" applyFont="1" applyFill="1" applyBorder="1" applyAlignment="1">
      <alignment horizontal="left" vertical="center" wrapText="1"/>
    </xf>
    <xf numFmtId="0" fontId="41" fillId="23" borderId="439" xfId="0" applyFont="1" applyFill="1" applyBorder="1" applyAlignment="1">
      <alignment horizontal="right" vertical="center"/>
    </xf>
    <xf numFmtId="0" fontId="12" fillId="23" borderId="43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53" xfId="0" applyFont="1" applyFill="1" applyBorder="1" applyAlignment="1" applyProtection="1">
      <alignment horizontal="center" vertical="top" wrapText="1"/>
      <protection locked="0"/>
    </xf>
    <xf numFmtId="0" fontId="27" fillId="23" borderId="323"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56" fillId="24" borderId="486" xfId="0" applyFont="1" applyFill="1" applyBorder="1" applyAlignment="1">
      <alignment horizontal="center" vertical="top" wrapText="1"/>
    </xf>
    <xf numFmtId="17" fontId="86" fillId="25" borderId="76" xfId="0" quotePrefix="1" applyNumberFormat="1" applyFont="1" applyFill="1" applyBorder="1" applyAlignment="1">
      <alignment horizontal="center" vertical="center"/>
    </xf>
    <xf numFmtId="0" fontId="45" fillId="13" borderId="908"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45" fillId="13" borderId="904" xfId="0" applyFont="1" applyFill="1" applyBorder="1" applyAlignment="1">
      <alignment horizontal="center" vertical="center" wrapText="1"/>
    </xf>
    <xf numFmtId="0" fontId="45" fillId="13" borderId="915" xfId="0" applyFont="1" applyFill="1" applyBorder="1" applyAlignment="1">
      <alignment horizontal="center" vertical="center" wrapText="1"/>
    </xf>
    <xf numFmtId="0" fontId="65" fillId="13" borderId="86" xfId="0" applyFont="1" applyFill="1" applyBorder="1" applyAlignment="1">
      <alignment horizontal="center" vertical="center" wrapText="1"/>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45" fillId="13" borderId="109" xfId="0" applyFont="1" applyFill="1" applyBorder="1" applyAlignment="1">
      <alignment horizontal="center" wrapText="1"/>
    </xf>
    <xf numFmtId="0" fontId="45" fillId="13" borderId="112" xfId="0" applyFont="1" applyFill="1" applyBorder="1" applyAlignment="1">
      <alignment horizontal="center" wrapText="1"/>
    </xf>
    <xf numFmtId="0" fontId="45" fillId="13" borderId="140" xfId="0" applyFont="1" applyFill="1" applyBorder="1" applyAlignment="1">
      <alignment horizontal="center" wrapText="1"/>
    </xf>
    <xf numFmtId="0" fontId="53" fillId="78" borderId="769" xfId="0" applyFont="1" applyFill="1" applyBorder="1" applyAlignment="1">
      <alignment horizontal="center" vertical="center"/>
    </xf>
    <xf numFmtId="0" fontId="53" fillId="78" borderId="785" xfId="0" applyFont="1" applyFill="1" applyBorder="1" applyAlignment="1">
      <alignment horizontal="center" vertical="center"/>
    </xf>
    <xf numFmtId="0" fontId="53" fillId="78" borderId="771" xfId="0" applyFont="1" applyFill="1" applyBorder="1" applyAlignment="1">
      <alignment horizontal="center" vertical="center"/>
    </xf>
    <xf numFmtId="0" fontId="53" fillId="78" borderId="89" xfId="0" applyFont="1" applyFill="1" applyBorder="1" applyAlignment="1">
      <alignment horizontal="center" vertical="center"/>
    </xf>
    <xf numFmtId="0" fontId="53" fillId="78" borderId="786" xfId="0" applyFont="1" applyFill="1" applyBorder="1" applyAlignment="1">
      <alignment horizontal="center" vertical="center"/>
    </xf>
    <xf numFmtId="0" fontId="53" fillId="78" borderId="772" xfId="0" applyFont="1" applyFill="1" applyBorder="1" applyAlignment="1">
      <alignment horizontal="center" vertical="center"/>
    </xf>
    <xf numFmtId="0" fontId="86" fillId="78" borderId="109" xfId="0" applyFont="1" applyFill="1" applyBorder="1" applyAlignment="1">
      <alignment horizontal="center" vertical="center"/>
    </xf>
    <xf numFmtId="0" fontId="86" fillId="78" borderId="112" xfId="0" applyFont="1" applyFill="1" applyBorder="1" applyAlignment="1">
      <alignment horizontal="center" vertical="center"/>
    </xf>
    <xf numFmtId="0" fontId="86" fillId="78" borderId="140" xfId="0" applyFont="1" applyFill="1" applyBorder="1" applyAlignment="1">
      <alignment horizontal="center" vertical="center"/>
    </xf>
    <xf numFmtId="0" fontId="86" fillId="78" borderId="785" xfId="0" applyFont="1" applyFill="1" applyBorder="1" applyAlignment="1">
      <alignment horizontal="center" vertical="center"/>
    </xf>
    <xf numFmtId="0" fontId="94" fillId="13" borderId="909" xfId="0" applyFont="1" applyFill="1" applyBorder="1" applyAlignment="1">
      <alignment horizontal="center" vertical="center"/>
    </xf>
    <xf numFmtId="0" fontId="94" fillId="13" borderId="904" xfId="0" applyFont="1" applyFill="1" applyBorder="1" applyAlignment="1">
      <alignment horizontal="center" vertical="center"/>
    </xf>
    <xf numFmtId="0" fontId="94" fillId="13" borderId="907" xfId="0" applyFont="1" applyFill="1" applyBorder="1" applyAlignment="1">
      <alignment horizontal="center" vertical="center"/>
    </xf>
    <xf numFmtId="0" fontId="94" fillId="13" borderId="106" xfId="0" applyFont="1" applyFill="1" applyBorder="1" applyAlignment="1">
      <alignment horizontal="center" vertical="center"/>
    </xf>
    <xf numFmtId="0" fontId="94" fillId="13" borderId="576" xfId="0" applyFont="1" applyFill="1" applyBorder="1" applyAlignment="1">
      <alignment horizontal="center" vertical="center"/>
    </xf>
    <xf numFmtId="0" fontId="94" fillId="13" borderId="940" xfId="0" applyFont="1" applyFill="1" applyBorder="1" applyAlignment="1">
      <alignment horizontal="center" vertical="center"/>
    </xf>
    <xf numFmtId="0" fontId="29" fillId="13" borderId="779" xfId="0" applyFont="1" applyFill="1" applyBorder="1" applyAlignment="1">
      <alignment horizontal="center" vertical="center"/>
    </xf>
    <xf numFmtId="0" fontId="29" fillId="13" borderId="880" xfId="0" applyFont="1" applyFill="1" applyBorder="1" applyAlignment="1">
      <alignment horizontal="center" vertical="center"/>
    </xf>
    <xf numFmtId="0" fontId="45" fillId="13" borderId="907" xfId="0" applyFont="1" applyFill="1" applyBorder="1" applyAlignment="1">
      <alignment horizontal="center" vertical="center" wrapText="1"/>
    </xf>
    <xf numFmtId="0" fontId="27" fillId="12" borderId="78" xfId="0" applyFont="1" applyFill="1" applyBorder="1" applyAlignment="1">
      <alignment horizontal="center"/>
    </xf>
    <xf numFmtId="0" fontId="21" fillId="12" borderId="78" xfId="0" applyFont="1" applyFill="1" applyBorder="1" applyAlignment="1">
      <alignment horizontal="center"/>
    </xf>
    <xf numFmtId="0" fontId="0" fillId="12" borderId="880" xfId="0" applyFill="1" applyBorder="1" applyAlignment="1">
      <alignment horizontal="center"/>
    </xf>
    <xf numFmtId="0" fontId="21" fillId="23" borderId="78" xfId="0" applyFont="1" applyFill="1" applyBorder="1" applyAlignment="1">
      <alignment horizontal="center"/>
    </xf>
    <xf numFmtId="0" fontId="0" fillId="0" borderId="880" xfId="0" applyBorder="1" applyAlignment="1">
      <alignment horizontal="center"/>
    </xf>
    <xf numFmtId="0" fontId="27" fillId="23" borderId="78" xfId="0" applyFont="1" applyFill="1" applyBorder="1" applyAlignment="1">
      <alignment horizontal="center"/>
    </xf>
    <xf numFmtId="0" fontId="27" fillId="12" borderId="1049" xfId="0" applyFont="1" applyFill="1" applyBorder="1" applyAlignment="1">
      <alignment horizontal="center"/>
    </xf>
    <xf numFmtId="0" fontId="27" fillId="12" borderId="272" xfId="0" applyFont="1" applyFill="1" applyBorder="1" applyAlignment="1">
      <alignment horizontal="center"/>
    </xf>
    <xf numFmtId="0" fontId="21" fillId="12" borderId="1049" xfId="0" applyFont="1" applyFill="1" applyBorder="1" applyAlignment="1">
      <alignment horizontal="center"/>
    </xf>
    <xf numFmtId="0" fontId="0" fillId="12" borderId="1050" xfId="0" applyFill="1" applyBorder="1" applyAlignment="1">
      <alignment horizontal="center"/>
    </xf>
    <xf numFmtId="0" fontId="0" fillId="12" borderId="1052" xfId="0" applyFill="1" applyBorder="1" applyAlignment="1">
      <alignment horizontal="center"/>
    </xf>
    <xf numFmtId="0" fontId="41" fillId="23" borderId="0" xfId="0" applyFont="1" applyFill="1" applyAlignment="1">
      <alignment horizontal="right"/>
    </xf>
    <xf numFmtId="0" fontId="13" fillId="23" borderId="0" xfId="0" applyFont="1" applyFill="1" applyAlignment="1">
      <alignment horizontal="center" vertical="center" wrapText="1"/>
    </xf>
    <xf numFmtId="0" fontId="13" fillId="23" borderId="880" xfId="0" applyFont="1" applyFill="1" applyBorder="1" applyAlignment="1">
      <alignment horizontal="center" vertical="center" wrapText="1"/>
    </xf>
    <xf numFmtId="0" fontId="9" fillId="23" borderId="1044" xfId="0" applyFont="1" applyFill="1" applyBorder="1" applyAlignment="1">
      <alignment horizontal="left" vertical="center" wrapText="1"/>
    </xf>
    <xf numFmtId="0" fontId="9" fillId="23" borderId="918" xfId="0" applyFont="1" applyFill="1" applyBorder="1" applyAlignment="1">
      <alignment horizontal="left" vertical="center" wrapText="1"/>
    </xf>
    <xf numFmtId="0" fontId="9" fillId="23" borderId="1011" xfId="0" applyFont="1" applyFill="1" applyBorder="1" applyAlignment="1">
      <alignment horizontal="left" vertical="center" wrapText="1"/>
    </xf>
    <xf numFmtId="0" fontId="9" fillId="23" borderId="1046" xfId="0" applyFont="1" applyFill="1" applyBorder="1" applyAlignment="1">
      <alignment horizontal="left" vertical="center" wrapText="1"/>
    </xf>
    <xf numFmtId="0" fontId="12" fillId="23" borderId="1044" xfId="0" applyFont="1" applyFill="1" applyBorder="1" applyAlignment="1">
      <alignment horizontal="right" vertical="center" wrapText="1"/>
    </xf>
    <xf numFmtId="0" fontId="12" fillId="23" borderId="1011" xfId="0" applyFont="1" applyFill="1" applyBorder="1" applyAlignment="1">
      <alignment horizontal="right" vertical="center" wrapText="1"/>
    </xf>
    <xf numFmtId="0" fontId="21" fillId="23" borderId="1044" xfId="0" quotePrefix="1" applyFont="1" applyFill="1" applyBorder="1" applyAlignment="1">
      <alignment horizontal="center" vertical="center" wrapText="1"/>
    </xf>
    <xf numFmtId="0" fontId="21" fillId="23" borderId="912" xfId="0" quotePrefix="1" applyFont="1" applyFill="1" applyBorder="1" applyAlignment="1">
      <alignment horizontal="center" vertical="center" wrapText="1"/>
    </xf>
    <xf numFmtId="0" fontId="21" fillId="23" borderId="1011" xfId="0" quotePrefix="1" applyFont="1" applyFill="1" applyBorder="1" applyAlignment="1">
      <alignment horizontal="center" vertical="center" wrapText="1"/>
    </xf>
    <xf numFmtId="0" fontId="21" fillId="23" borderId="1017" xfId="0" quotePrefix="1" applyFont="1" applyFill="1" applyBorder="1" applyAlignment="1">
      <alignment horizontal="center" vertical="center" wrapText="1"/>
    </xf>
    <xf numFmtId="0" fontId="12" fillId="23" borderId="924" xfId="0" applyFont="1" applyFill="1" applyBorder="1" applyAlignment="1">
      <alignment horizontal="right" vertical="center" wrapText="1"/>
    </xf>
    <xf numFmtId="0" fontId="12" fillId="23" borderId="1023" xfId="0" applyFont="1" applyFill="1" applyBorder="1" applyAlignment="1">
      <alignment horizontal="right" vertical="center" wrapText="1"/>
    </xf>
    <xf numFmtId="0" fontId="16" fillId="23" borderId="1048" xfId="0" applyFont="1" applyFill="1" applyBorder="1" applyAlignment="1">
      <alignment horizontal="center" vertical="center"/>
    </xf>
    <xf numFmtId="0" fontId="16" fillId="23" borderId="1047" xfId="0" applyFont="1" applyFill="1" applyBorder="1" applyAlignment="1">
      <alignment horizontal="center" vertical="center"/>
    </xf>
    <xf numFmtId="0" fontId="13" fillId="23" borderId="1051" xfId="0" applyFont="1" applyFill="1" applyBorder="1" applyAlignment="1">
      <alignment horizontal="center" vertical="center" wrapText="1"/>
    </xf>
    <xf numFmtId="0" fontId="13" fillId="23" borderId="1043" xfId="0" applyFont="1" applyFill="1" applyBorder="1" applyAlignment="1">
      <alignment horizontal="center" vertical="center" wrapText="1"/>
    </xf>
    <xf numFmtId="0" fontId="13" fillId="23" borderId="1047" xfId="0" applyFont="1" applyFill="1" applyBorder="1" applyAlignment="1">
      <alignment horizontal="center" vertical="center" wrapText="1"/>
    </xf>
    <xf numFmtId="0" fontId="12" fillId="23" borderId="1051" xfId="0" applyFont="1" applyFill="1" applyBorder="1" applyAlignment="1">
      <alignment horizontal="right" vertical="center" wrapText="1"/>
    </xf>
    <xf numFmtId="0" fontId="12" fillId="23" borderId="1043" xfId="0" applyFont="1" applyFill="1" applyBorder="1" applyAlignment="1">
      <alignment horizontal="right" vertical="center" wrapText="1"/>
    </xf>
    <xf numFmtId="0" fontId="41" fillId="23" borderId="1043" xfId="0" applyFont="1" applyFill="1" applyBorder="1" applyAlignment="1">
      <alignment horizontal="right"/>
    </xf>
    <xf numFmtId="0" fontId="13" fillId="23" borderId="1045" xfId="0" applyFont="1" applyFill="1" applyBorder="1" applyAlignment="1">
      <alignment horizontal="center" vertical="center" wrapText="1"/>
    </xf>
    <xf numFmtId="0" fontId="41" fillId="23" borderId="917" xfId="0" applyFont="1" applyFill="1" applyBorder="1" applyAlignment="1">
      <alignment horizontal="right"/>
    </xf>
    <xf numFmtId="0" fontId="41" fillId="23" borderId="1044" xfId="0" applyFont="1" applyFill="1" applyBorder="1" applyAlignment="1">
      <alignment horizontal="right"/>
    </xf>
    <xf numFmtId="0" fontId="13" fillId="23" borderId="1044" xfId="0" applyFont="1" applyFill="1" applyBorder="1" applyAlignment="1">
      <alignment horizontal="center" vertical="center" wrapText="1"/>
    </xf>
    <xf numFmtId="0" fontId="13" fillId="23" borderId="912" xfId="0" applyFont="1" applyFill="1" applyBorder="1" applyAlignment="1">
      <alignment horizontal="center" vertical="center" wrapText="1"/>
    </xf>
    <xf numFmtId="0" fontId="69" fillId="43" borderId="989" xfId="0" applyFont="1" applyFill="1" applyBorder="1" applyAlignment="1">
      <alignment horizontal="center" vertical="center" wrapText="1"/>
    </xf>
    <xf numFmtId="0" fontId="69" fillId="43" borderId="951" xfId="0" applyFont="1" applyFill="1" applyBorder="1" applyAlignment="1">
      <alignment horizontal="center" vertical="center" wrapText="1"/>
    </xf>
    <xf numFmtId="0" fontId="11" fillId="28" borderId="917" xfId="0" applyFont="1" applyFill="1" applyBorder="1" applyAlignment="1" applyProtection="1">
      <alignment horizontal="center" vertical="center" wrapText="1"/>
      <protection locked="0"/>
    </xf>
    <xf numFmtId="0" fontId="11" fillId="28" borderId="1044" xfId="0" applyFont="1" applyFill="1" applyBorder="1" applyAlignment="1" applyProtection="1">
      <alignment horizontal="center" vertical="center" wrapText="1"/>
      <protection locked="0"/>
    </xf>
    <xf numFmtId="0" fontId="11" fillId="28" borderId="918" xfId="0" applyFont="1" applyFill="1" applyBorder="1" applyAlignment="1" applyProtection="1">
      <alignment horizontal="center" vertical="center" wrapText="1"/>
      <protection locked="0"/>
    </xf>
    <xf numFmtId="0" fontId="11" fillId="28" borderId="1049" xfId="0" applyFont="1" applyFill="1" applyBorder="1" applyAlignment="1" applyProtection="1">
      <alignment horizontal="center" vertical="center" wrapText="1"/>
      <protection locked="0"/>
    </xf>
    <xf numFmtId="0" fontId="11" fillId="28" borderId="1050" xfId="0" applyFont="1" applyFill="1" applyBorder="1" applyAlignment="1" applyProtection="1">
      <alignment horizontal="center" vertical="center" wrapText="1"/>
      <protection locked="0"/>
    </xf>
    <xf numFmtId="0" fontId="11" fillId="28" borderId="272" xfId="0" applyFont="1" applyFill="1" applyBorder="1" applyAlignment="1" applyProtection="1">
      <alignment horizontal="center" vertical="center" wrapText="1"/>
      <protection locked="0"/>
    </xf>
    <xf numFmtId="0" fontId="69" fillId="43" borderId="976" xfId="0" applyFont="1" applyFill="1" applyBorder="1" applyAlignment="1">
      <alignment horizontal="center" vertical="center" wrapText="1"/>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23" borderId="909" xfId="0" applyFill="1" applyBorder="1" applyAlignment="1">
      <alignment wrapText="1"/>
    </xf>
    <xf numFmtId="0" fontId="0" fillId="23" borderId="904" xfId="0" applyFill="1" applyBorder="1" applyAlignment="1">
      <alignment wrapText="1"/>
    </xf>
    <xf numFmtId="0" fontId="0" fillId="23" borderId="1023" xfId="0" applyFill="1" applyBorder="1" applyAlignment="1">
      <alignment wrapText="1"/>
    </xf>
    <xf numFmtId="0" fontId="0" fillId="23" borderId="1011" xfId="0" applyFill="1" applyBorder="1" applyAlignment="1">
      <alignment wrapText="1"/>
    </xf>
    <xf numFmtId="0" fontId="160" fillId="28" borderId="989" xfId="0" applyFont="1" applyFill="1" applyBorder="1" applyAlignment="1" applyProtection="1">
      <alignment horizontal="center" vertical="center" wrapText="1"/>
      <protection locked="0"/>
    </xf>
    <xf numFmtId="0" fontId="160" fillId="28" borderId="951" xfId="0" applyFont="1" applyFill="1" applyBorder="1" applyAlignment="1" applyProtection="1">
      <alignment horizontal="center" vertical="center" wrapText="1"/>
      <protection locked="0"/>
    </xf>
    <xf numFmtId="0" fontId="160" fillId="28" borderId="976"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869">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9"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fill>
        <patternFill patternType="solid">
          <bgColor theme="0" tint="-4.9989318521683403E-2"/>
        </patternFill>
      </fill>
    </dxf>
    <dxf>
      <fill>
        <patternFill>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b/>
        <i/>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ndense val="0"/>
        <extend val="0"/>
        <color indexed="10"/>
      </font>
    </dxf>
    <dxf>
      <font>
        <condense val="0"/>
        <extend val="0"/>
        <color indexed="10"/>
      </font>
    </dxf>
    <dxf>
      <font>
        <condense val="0"/>
        <extend val="0"/>
        <color indexed="23"/>
      </font>
    </dxf>
    <dxf>
      <font>
        <condense val="0"/>
        <extend val="0"/>
        <color indexed="10"/>
      </font>
    </dxf>
    <dxf>
      <font>
        <b/>
        <i val="0"/>
        <condense val="0"/>
        <extend val="0"/>
      </font>
    </dxf>
    <dxf>
      <font>
        <condense val="0"/>
        <extend val="0"/>
        <color indexed="10"/>
      </font>
    </dxf>
    <dxf>
      <font>
        <color theme="1"/>
      </font>
    </dxf>
    <dxf>
      <font>
        <color theme="1"/>
      </font>
    </dxf>
    <dxf>
      <font>
        <color theme="1"/>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333333"/>
      <color rgb="FFA89C00"/>
      <color rgb="FFFFFFFF"/>
      <color rgb="FFF6F379"/>
      <color rgb="FF807700"/>
      <color rgb="FFFFFF66"/>
      <color rgb="FFFFFFCC"/>
      <color rgb="FFD9D9D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8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91109</xdr:colOff>
      <xdr:row>2</xdr:row>
      <xdr:rowOff>66261</xdr:rowOff>
    </xdr:from>
    <xdr:to>
      <xdr:col>5</xdr:col>
      <xdr:colOff>129209</xdr:colOff>
      <xdr:row>7</xdr:row>
      <xdr:rowOff>90402</xdr:rowOff>
    </xdr:to>
    <xdr:pic>
      <xdr:nvPicPr>
        <xdr:cNvPr id="2" name="Picture 86" descr="logo_anima">
          <a:extLst>
            <a:ext uri="{FF2B5EF4-FFF2-40B4-BE49-F238E27FC236}">
              <a16:creationId xmlns:a16="http://schemas.microsoft.com/office/drawing/2014/main" id="{80A3971F-012F-407D-92D4-E79EAA94E9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67359" y="390111"/>
          <a:ext cx="2038350" cy="8337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8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A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A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3" name="Picture 86" descr="logo_anima">
          <a:extLst>
            <a:ext uri="{FF2B5EF4-FFF2-40B4-BE49-F238E27FC236}">
              <a16:creationId xmlns:a16="http://schemas.microsoft.com/office/drawing/2014/main" id="{C371F413-CCE7-41A3-9F77-5237D74C71F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29</xdr:col>
      <xdr:colOff>38100</xdr:colOff>
      <xdr:row>2</xdr:row>
      <xdr:rowOff>28575</xdr:rowOff>
    </xdr:from>
    <xdr:ext cx="2038350" cy="852401"/>
    <xdr:pic>
      <xdr:nvPicPr>
        <xdr:cNvPr id="4" name="Picture 86" descr="logo_anima">
          <a:extLst>
            <a:ext uri="{FF2B5EF4-FFF2-40B4-BE49-F238E27FC236}">
              <a16:creationId xmlns:a16="http://schemas.microsoft.com/office/drawing/2014/main" id="{05F117C2-0D3D-43F3-95B1-5D3FFE292D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97726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5" name="Picture 86" descr="logo_anima">
          <a:extLst>
            <a:ext uri="{FF2B5EF4-FFF2-40B4-BE49-F238E27FC236}">
              <a16:creationId xmlns:a16="http://schemas.microsoft.com/office/drawing/2014/main" id="{23FE83C0-9CE6-44B0-9211-6BEE10F7CE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91833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6" name="Picture 86" descr="logo_anima">
          <a:extLst>
            <a:ext uri="{FF2B5EF4-FFF2-40B4-BE49-F238E27FC236}">
              <a16:creationId xmlns:a16="http://schemas.microsoft.com/office/drawing/2014/main" id="{68906FAB-9120-47EC-9572-79E96B2B4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85940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8" name="BtnPDF" hidden="1">
              <a:extLst>
                <a:ext uri="{63B3BB69-23CF-44E3-9099-C40C66FF867C}">
                  <a14:compatExt spid="_x0000_s56328"/>
                </a:ext>
                <a:ext uri="{FF2B5EF4-FFF2-40B4-BE49-F238E27FC236}">
                  <a16:creationId xmlns:a16="http://schemas.microsoft.com/office/drawing/2014/main" id="{00000000-0008-0000-1A00-000008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4C84B466-5407-4765-B745-895C41CE77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81921" name="ComboGrimorioPsiquica"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6" name="Picture 86" descr="logo_anima">
          <a:extLst>
            <a:ext uri="{FF2B5EF4-FFF2-40B4-BE49-F238E27FC236}">
              <a16:creationId xmlns:a16="http://schemas.microsoft.com/office/drawing/2014/main" id="{35DCBD21-E312-42F9-A7AF-92CCE380A9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C:\Users\juami\OneDrive\Documentos\2.%20Rol\Fichas\Ficha%20Anima%20v8.6.2%20-%20Akuma%20Exxet%202.5.2.xlsm" TargetMode="External"/><Relationship Id="rId1" Type="http://schemas.openxmlformats.org/officeDocument/2006/relationships/externalLinkPath" Target="file:///C:\Users\juami\OneDrive\Documentos\2.%20Rol\1.%20&#193;nima%20Beyond%20Fantasy\2.%20Fichas%20de%20personaje\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Mi%20unidad\Rol\Ficha%20Anima%20v8.6.3%20-%20Akuma%20Exxet%203.2.1%20(beta).xlsm" TargetMode="External"/><Relationship Id="rId1" Type="http://schemas.openxmlformats.org/officeDocument/2006/relationships/externalLinkPath" Target="file:///G:\Mi%20unidad\Rol\Ficha%20Anima%20v8.6.3%20-%20Akuma%20Exxet%203.2.1%20(beta).xlsm"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Akuma/2.%20Rol/&#193;nima%20Beyond%20Fantasy/2.%20Fichas%20de%20personaje/2.%20NPCs/La%20Orden%20de%20Kannati/Andrei,%20la%20Tercera%20Neurona%20-%20Hechicero%20Mentalista%20(C).xlsm" TargetMode="External"/><Relationship Id="rId2"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 Id="rId1" Type="http://schemas.openxmlformats.org/officeDocument/2006/relationships/externalLinkPath" Target="/Akuma/2.%20Rol/&#193;nima%20Beyond%20Fantasy/2.%20Fichas%20de%20personaje/2.%20NPCs/La%20Orden%20de%20Kannati/Andrei,%20la%20Tercera%20Neurona%20-%20Hechicero%20Mentalista%20(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row r="105">
          <cell r="AK105" t="str">
            <v>Ficha Excel. Versión 8.6.2</v>
          </cell>
        </row>
      </sheetData>
      <sheetData sheetId="2"/>
      <sheetData sheetId="3">
        <row r="6">
          <cell r="K6">
            <v>1</v>
          </cell>
        </row>
        <row r="11">
          <cell r="D11" t="str">
            <v>AGI</v>
          </cell>
          <cell r="G11">
            <v>0</v>
          </cell>
          <cell r="H11">
            <v>0</v>
          </cell>
          <cell r="J11">
            <v>0</v>
          </cell>
          <cell r="Y11" t="str">
            <v>Natural</v>
          </cell>
        </row>
        <row r="12">
          <cell r="D12" t="str">
            <v>CON</v>
          </cell>
          <cell r="G12">
            <v>0</v>
          </cell>
          <cell r="H12">
            <v>0</v>
          </cell>
          <cell r="AM12" t="str">
            <v/>
          </cell>
        </row>
        <row r="13">
          <cell r="D13" t="str">
            <v>DES</v>
          </cell>
          <cell r="G13">
            <v>0</v>
          </cell>
          <cell r="H13">
            <v>0</v>
          </cell>
          <cell r="Y13" t="str">
            <v>No</v>
          </cell>
          <cell r="AM13" t="str">
            <v/>
          </cell>
        </row>
        <row r="14">
          <cell r="D14" t="str">
            <v>FUE</v>
          </cell>
          <cell r="G14">
            <v>0</v>
          </cell>
          <cell r="H14">
            <v>0</v>
          </cell>
          <cell r="AM14" t="str">
            <v/>
          </cell>
        </row>
        <row r="15">
          <cell r="D15" t="str">
            <v>INT</v>
          </cell>
          <cell r="G15">
            <v>0</v>
          </cell>
          <cell r="H15">
            <v>0</v>
          </cell>
          <cell r="AM15" t="str">
            <v/>
          </cell>
        </row>
        <row r="16">
          <cell r="D16" t="str">
            <v>PER</v>
          </cell>
          <cell r="G16">
            <v>0</v>
          </cell>
          <cell r="H16">
            <v>0</v>
          </cell>
          <cell r="N16">
            <v>0</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0</v>
          </cell>
        </row>
        <row r="31">
          <cell r="D31">
            <v>60</v>
          </cell>
          <cell r="F31" t="str">
            <v>Desarmado</v>
          </cell>
        </row>
        <row r="36">
          <cell r="AN36" t="b">
            <v>0</v>
          </cell>
        </row>
        <row r="37">
          <cell r="AN37" t="b">
            <v>0</v>
          </cell>
        </row>
        <row r="42">
          <cell r="AM42" t="str">
            <v/>
          </cell>
          <cell r="AO42" t="str">
            <v/>
          </cell>
        </row>
        <row r="43">
          <cell r="AM43" t="str">
            <v/>
          </cell>
          <cell r="AO43" t="str">
            <v/>
          </cell>
        </row>
        <row r="44">
          <cell r="AM44" t="str">
            <v/>
          </cell>
          <cell r="AO44" t="str">
            <v/>
          </cell>
        </row>
        <row r="45">
          <cell r="AM45" t="str">
            <v/>
          </cell>
          <cell r="AO45" t="str">
            <v/>
          </cell>
        </row>
        <row r="46">
          <cell r="AM46" t="str">
            <v/>
          </cell>
          <cell r="AO46" t="str">
            <v/>
          </cell>
        </row>
        <row r="47">
          <cell r="AM47" t="str">
            <v/>
          </cell>
          <cell r="AO47" t="str">
            <v/>
          </cell>
        </row>
        <row r="48">
          <cell r="AM48" t="str">
            <v/>
          </cell>
          <cell r="AO48" t="str">
            <v/>
          </cell>
        </row>
        <row r="49">
          <cell r="AM49" t="str">
            <v/>
          </cell>
          <cell r="AO49" t="str">
            <v/>
          </cell>
        </row>
        <row r="50">
          <cell r="AM50" t="str">
            <v/>
          </cell>
          <cell r="AO50" t="str">
            <v/>
          </cell>
        </row>
        <row r="51">
          <cell r="AM51" t="str">
            <v/>
          </cell>
          <cell r="AO51" t="str">
            <v/>
          </cell>
        </row>
        <row r="52">
          <cell r="AM52" t="str">
            <v/>
          </cell>
          <cell r="AO52" t="str">
            <v/>
          </cell>
        </row>
        <row r="53">
          <cell r="AM53" t="str">
            <v/>
          </cell>
          <cell r="AO53" t="str">
            <v/>
          </cell>
        </row>
        <row r="54">
          <cell r="AM54" t="str">
            <v/>
          </cell>
          <cell r="AO54" t="str">
            <v/>
          </cell>
        </row>
        <row r="55">
          <cell r="AM55" t="str">
            <v/>
          </cell>
          <cell r="AO55" t="str">
            <v/>
          </cell>
        </row>
        <row r="56">
          <cell r="AM56" t="str">
            <v/>
          </cell>
          <cell r="AO56" t="str">
            <v/>
          </cell>
        </row>
        <row r="57">
          <cell r="J57">
            <v>45</v>
          </cell>
          <cell r="AM57" t="str">
            <v/>
          </cell>
          <cell r="AO57" t="str">
            <v/>
          </cell>
        </row>
        <row r="58">
          <cell r="AM58" t="str">
            <v/>
          </cell>
          <cell r="AO58" t="str">
            <v/>
          </cell>
        </row>
        <row r="59">
          <cell r="AM59" t="str">
            <v/>
          </cell>
          <cell r="AO59" t="str">
            <v/>
          </cell>
        </row>
        <row r="60">
          <cell r="AM60" t="str">
            <v/>
          </cell>
          <cell r="AO60" t="str">
            <v/>
          </cell>
        </row>
        <row r="61">
          <cell r="AM61" t="str">
            <v/>
          </cell>
          <cell r="AO61" t="str">
            <v/>
          </cell>
        </row>
        <row r="62">
          <cell r="AM62" t="str">
            <v/>
          </cell>
          <cell r="AO62" t="str">
            <v/>
          </cell>
        </row>
        <row r="63">
          <cell r="AM63" t="str">
            <v/>
          </cell>
          <cell r="AO63" t="str">
            <v/>
          </cell>
        </row>
        <row r="64">
          <cell r="AM64" t="str">
            <v/>
          </cell>
          <cell r="AO64" t="str">
            <v/>
          </cell>
        </row>
        <row r="65">
          <cell r="AM65" t="str">
            <v/>
          </cell>
          <cell r="AO65" t="str">
            <v/>
          </cell>
        </row>
        <row r="66">
          <cell r="AM66" t="str">
            <v/>
          </cell>
          <cell r="AO66" t="str">
            <v/>
          </cell>
        </row>
        <row r="67">
          <cell r="C67" t="str">
            <v>Lenguas</v>
          </cell>
          <cell r="G67" t="str">
            <v>Notas Principal</v>
          </cell>
          <cell r="AM67" t="str">
            <v/>
          </cell>
          <cell r="AO67" t="str">
            <v/>
          </cell>
        </row>
        <row r="68">
          <cell r="AM68" t="str">
            <v/>
          </cell>
          <cell r="AO68" t="str">
            <v/>
          </cell>
        </row>
        <row r="69">
          <cell r="AM69" t="str">
            <v/>
          </cell>
          <cell r="AO69" t="str">
            <v/>
          </cell>
        </row>
        <row r="74">
          <cell r="V74" t="str">
            <v>Notas Poderes</v>
          </cell>
        </row>
        <row r="79">
          <cell r="D79" t="str">
            <v/>
          </cell>
        </row>
      </sheetData>
      <sheetData sheetId="4">
        <row r="5">
          <cell r="AI5" t="b">
            <v>0</v>
          </cell>
        </row>
        <row r="6">
          <cell r="AH6" t="str">
            <v>Combinado</v>
          </cell>
          <cell r="AI6" t="b">
            <v>0</v>
          </cell>
        </row>
        <row r="7">
          <cell r="O7" t="str">
            <v>Guerrero Ment. (P)</v>
          </cell>
          <cell r="AH7" t="str">
            <v>Mayor combinado</v>
          </cell>
          <cell r="AI7" t="b">
            <v>0</v>
          </cell>
        </row>
        <row r="8">
          <cell r="AH8" t="str">
            <v>Indiviual</v>
          </cell>
          <cell r="AI8" t="b">
            <v>0</v>
          </cell>
        </row>
        <row r="9">
          <cell r="AH9" t="str">
            <v>Último</v>
          </cell>
        </row>
        <row r="10">
          <cell r="AI10" t="b">
            <v>0</v>
          </cell>
        </row>
        <row r="17">
          <cell r="R17">
            <v>4</v>
          </cell>
        </row>
        <row r="25">
          <cell r="AA25">
            <v>20</v>
          </cell>
        </row>
        <row r="26">
          <cell r="AA26">
            <v>20</v>
          </cell>
          <cell r="AD26">
            <v>20</v>
          </cell>
        </row>
        <row r="27">
          <cell r="AA27">
            <v>20</v>
          </cell>
        </row>
        <row r="28">
          <cell r="AA28">
            <v>0</v>
          </cell>
        </row>
        <row r="42">
          <cell r="AA42">
            <v>80</v>
          </cell>
        </row>
        <row r="43">
          <cell r="L43" t="str">
            <v/>
          </cell>
          <cell r="N43" t="str">
            <v/>
          </cell>
          <cell r="P43" t="str">
            <v/>
          </cell>
          <cell r="R43" t="str">
            <v/>
          </cell>
          <cell r="T43" t="str">
            <v/>
          </cell>
          <cell r="V43" t="str">
            <v/>
          </cell>
        </row>
        <row r="44">
          <cell r="L44" t="str">
            <v/>
          </cell>
          <cell r="N44" t="str">
            <v/>
          </cell>
          <cell r="P44" t="str">
            <v/>
          </cell>
          <cell r="R44" t="str">
            <v/>
          </cell>
          <cell r="T44" t="str">
            <v/>
          </cell>
          <cell r="V44" t="str">
            <v/>
          </cell>
        </row>
        <row r="45">
          <cell r="L45" t="str">
            <v/>
          </cell>
          <cell r="N45" t="str">
            <v/>
          </cell>
          <cell r="P45" t="str">
            <v/>
          </cell>
          <cell r="R45" t="str">
            <v/>
          </cell>
          <cell r="T45" t="str">
            <v/>
          </cell>
          <cell r="V45" t="str">
            <v/>
          </cell>
        </row>
        <row r="46">
          <cell r="L46" t="str">
            <v/>
          </cell>
          <cell r="N46" t="str">
            <v/>
          </cell>
          <cell r="P46" t="str">
            <v/>
          </cell>
          <cell r="R46" t="str">
            <v/>
          </cell>
          <cell r="T46" t="str">
            <v/>
          </cell>
          <cell r="V46" t="str">
            <v/>
          </cell>
        </row>
        <row r="47">
          <cell r="L47" t="str">
            <v/>
          </cell>
          <cell r="N47" t="str">
            <v/>
          </cell>
          <cell r="P47" t="str">
            <v/>
          </cell>
          <cell r="R47" t="str">
            <v/>
          </cell>
          <cell r="T47" t="str">
            <v/>
          </cell>
          <cell r="V47" t="str">
            <v/>
          </cell>
        </row>
        <row r="48">
          <cell r="L48" t="str">
            <v/>
          </cell>
          <cell r="N48" t="str">
            <v/>
          </cell>
          <cell r="P48" t="str">
            <v/>
          </cell>
          <cell r="R48" t="str">
            <v/>
          </cell>
          <cell r="T48" t="str">
            <v/>
          </cell>
          <cell r="V48" t="str">
            <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16">
          <cell r="AA116">
            <v>4</v>
          </cell>
        </row>
        <row r="117">
          <cell r="AA117">
            <v>0</v>
          </cell>
        </row>
        <row r="139">
          <cell r="AA139">
            <v>-30</v>
          </cell>
        </row>
        <row r="140">
          <cell r="AA140">
            <v>-30</v>
          </cell>
        </row>
        <row r="141">
          <cell r="AA141">
            <v>-30</v>
          </cell>
        </row>
        <row r="142">
          <cell r="AA142">
            <v>-30</v>
          </cell>
        </row>
        <row r="143">
          <cell r="AA143">
            <v>-30</v>
          </cell>
        </row>
        <row r="144">
          <cell r="AA144">
            <v>-30</v>
          </cell>
        </row>
        <row r="145">
          <cell r="AA145">
            <v>-30</v>
          </cell>
        </row>
        <row r="146">
          <cell r="AA146">
            <v>-30</v>
          </cell>
        </row>
        <row r="147">
          <cell r="AA147">
            <v>-10</v>
          </cell>
        </row>
        <row r="148">
          <cell r="AA148">
            <v>-30</v>
          </cell>
        </row>
        <row r="149">
          <cell r="AA149">
            <v>-30</v>
          </cell>
        </row>
        <row r="150">
          <cell r="AA150">
            <v>-30</v>
          </cell>
        </row>
        <row r="151">
          <cell r="AA151">
            <v>-30</v>
          </cell>
        </row>
        <row r="152">
          <cell r="AA152">
            <v>-30</v>
          </cell>
        </row>
        <row r="153">
          <cell r="AA153">
            <v>-30</v>
          </cell>
        </row>
        <row r="154">
          <cell r="AA154">
            <v>-30</v>
          </cell>
        </row>
        <row r="155">
          <cell r="AA155">
            <v>-30</v>
          </cell>
        </row>
        <row r="156">
          <cell r="AA156">
            <v>-30</v>
          </cell>
        </row>
        <row r="157">
          <cell r="AA157" t="str">
            <v>-</v>
          </cell>
        </row>
        <row r="158">
          <cell r="AA158">
            <v>-30</v>
          </cell>
        </row>
        <row r="159">
          <cell r="AA159">
            <v>-30</v>
          </cell>
        </row>
        <row r="160">
          <cell r="AA160" t="str">
            <v>-</v>
          </cell>
        </row>
        <row r="161">
          <cell r="AA161">
            <v>-30</v>
          </cell>
        </row>
        <row r="162">
          <cell r="AA162" t="str">
            <v>-</v>
          </cell>
        </row>
        <row r="163">
          <cell r="AA163">
            <v>-30</v>
          </cell>
        </row>
        <row r="164">
          <cell r="AA164">
            <v>-30</v>
          </cell>
        </row>
        <row r="165">
          <cell r="AA165">
            <v>-30</v>
          </cell>
        </row>
        <row r="166">
          <cell r="AA166" t="str">
            <v>-</v>
          </cell>
        </row>
        <row r="167">
          <cell r="AA167" t="str">
            <v>-</v>
          </cell>
        </row>
        <row r="169">
          <cell r="AA169">
            <v>-30</v>
          </cell>
        </row>
        <row r="170">
          <cell r="AA170">
            <v>-30</v>
          </cell>
        </row>
        <row r="171">
          <cell r="AA171">
            <v>-30</v>
          </cell>
        </row>
        <row r="172">
          <cell r="AA172">
            <v>-30</v>
          </cell>
        </row>
        <row r="173">
          <cell r="AA173">
            <v>-30</v>
          </cell>
        </row>
        <row r="174">
          <cell r="AA174">
            <v>-30</v>
          </cell>
        </row>
        <row r="175">
          <cell r="AA175">
            <v>-30</v>
          </cell>
        </row>
        <row r="176">
          <cell r="AA176">
            <v>-30</v>
          </cell>
        </row>
        <row r="177">
          <cell r="AA177">
            <v>-30</v>
          </cell>
        </row>
        <row r="178">
          <cell r="AA178" t="str">
            <v>-</v>
          </cell>
        </row>
        <row r="179">
          <cell r="AA179">
            <v>-30</v>
          </cell>
        </row>
        <row r="180">
          <cell r="AA180" t="str">
            <v>-</v>
          </cell>
        </row>
        <row r="181">
          <cell r="AA181" t="str">
            <v>-</v>
          </cell>
        </row>
        <row r="182">
          <cell r="AA182">
            <v>-30</v>
          </cell>
        </row>
        <row r="183">
          <cell r="AA183">
            <v>-30</v>
          </cell>
        </row>
        <row r="184">
          <cell r="AA184">
            <v>-30</v>
          </cell>
        </row>
        <row r="185">
          <cell r="AA185" t="str">
            <v>-</v>
          </cell>
        </row>
        <row r="186">
          <cell r="AA186">
            <v>-30</v>
          </cell>
        </row>
        <row r="187">
          <cell r="AA187">
            <v>-30</v>
          </cell>
        </row>
        <row r="188">
          <cell r="AA188">
            <v>-30</v>
          </cell>
        </row>
        <row r="189">
          <cell r="AA189">
            <v>-30</v>
          </cell>
        </row>
        <row r="190">
          <cell r="AA190">
            <v>-30</v>
          </cell>
        </row>
        <row r="205">
          <cell r="Z205">
            <v>900</v>
          </cell>
        </row>
        <row r="208">
          <cell r="C208" t="str">
            <v>Notas PDs</v>
          </cell>
        </row>
      </sheetData>
      <sheetData sheetId="5">
        <row r="15">
          <cell r="AD15">
            <v>0</v>
          </cell>
          <cell r="AF15">
            <v>0</v>
          </cell>
        </row>
        <row r="17">
          <cell r="S17">
            <v>0</v>
          </cell>
          <cell r="AT17">
            <v>20</v>
          </cell>
        </row>
        <row r="19">
          <cell r="AT19">
            <v>20</v>
          </cell>
        </row>
        <row r="21">
          <cell r="H21">
            <v>60</v>
          </cell>
          <cell r="I21">
            <v>20</v>
          </cell>
          <cell r="J21">
            <v>20</v>
          </cell>
          <cell r="K21" t="str">
            <v>Par</v>
          </cell>
          <cell r="AT21">
            <v>20</v>
          </cell>
        </row>
        <row r="23">
          <cell r="AT23">
            <v>20</v>
          </cell>
        </row>
        <row r="25">
          <cell r="AT25">
            <v>20</v>
          </cell>
        </row>
        <row r="27">
          <cell r="AT27">
            <v>20</v>
          </cell>
        </row>
        <row r="30">
          <cell r="AW30">
            <v>0</v>
          </cell>
          <cell r="AX30">
            <v>0</v>
          </cell>
          <cell r="AY30">
            <v>0</v>
          </cell>
          <cell r="AZ30">
            <v>0</v>
          </cell>
          <cell r="BA30">
            <v>0</v>
          </cell>
          <cell r="BB30">
            <v>0</v>
          </cell>
          <cell r="BC30">
            <v>0</v>
          </cell>
          <cell r="BD30">
            <v>0</v>
          </cell>
          <cell r="BE30">
            <v>0</v>
          </cell>
          <cell r="BF30">
            <v>0</v>
          </cell>
        </row>
        <row r="31">
          <cell r="AW31">
            <v>0</v>
          </cell>
          <cell r="AX31">
            <v>0</v>
          </cell>
          <cell r="AY31">
            <v>0</v>
          </cell>
          <cell r="AZ31">
            <v>0</v>
          </cell>
          <cell r="BA31">
            <v>0</v>
          </cell>
          <cell r="BB31">
            <v>0</v>
          </cell>
          <cell r="BC31">
            <v>0</v>
          </cell>
          <cell r="BD31">
            <v>0</v>
          </cell>
          <cell r="BE31">
            <v>0</v>
          </cell>
          <cell r="BF31">
            <v>0</v>
          </cell>
        </row>
        <row r="32">
          <cell r="AW32" t="str">
            <v/>
          </cell>
          <cell r="AX32" t="str">
            <v/>
          </cell>
          <cell r="AY32" t="str">
            <v/>
          </cell>
          <cell r="AZ32" t="str">
            <v/>
          </cell>
          <cell r="BA32" t="str">
            <v/>
          </cell>
          <cell r="BB32" t="str">
            <v/>
          </cell>
          <cell r="BC32" t="str">
            <v/>
          </cell>
          <cell r="BD32" t="str">
            <v/>
          </cell>
          <cell r="BE32" t="str">
            <v/>
          </cell>
          <cell r="BF32" t="str">
            <v/>
          </cell>
        </row>
        <row r="33">
          <cell r="AW33" t="str">
            <v>Normal</v>
          </cell>
          <cell r="AX33" t="str">
            <v>Normal</v>
          </cell>
          <cell r="AY33" t="str">
            <v>Normal</v>
          </cell>
          <cell r="AZ33" t="str">
            <v>Normal</v>
          </cell>
          <cell r="BA33" t="str">
            <v>Normal</v>
          </cell>
          <cell r="BB33" t="str">
            <v>Normal</v>
          </cell>
          <cell r="BC33" t="str">
            <v>Normal</v>
          </cell>
          <cell r="BD33" t="str">
            <v>Normal</v>
          </cell>
          <cell r="BE33" t="str">
            <v>Normal</v>
          </cell>
          <cell r="BF33" t="str">
            <v>Normal</v>
          </cell>
        </row>
        <row r="34">
          <cell r="AW34" t="str">
            <v>-</v>
          </cell>
          <cell r="AX34" t="str">
            <v>-</v>
          </cell>
          <cell r="AY34" t="str">
            <v>-</v>
          </cell>
          <cell r="AZ34" t="str">
            <v>-</v>
          </cell>
          <cell r="BA34" t="str">
            <v>-</v>
          </cell>
          <cell r="BB34" t="str">
            <v>-</v>
          </cell>
          <cell r="BC34">
            <v>0</v>
          </cell>
          <cell r="BD34">
            <v>0</v>
          </cell>
          <cell r="BE34">
            <v>0</v>
          </cell>
          <cell r="BF34">
            <v>0</v>
          </cell>
        </row>
        <row r="35">
          <cell r="AW35" t="str">
            <v>-</v>
          </cell>
          <cell r="AX35" t="str">
            <v>-</v>
          </cell>
          <cell r="AY35" t="str">
            <v>-</v>
          </cell>
          <cell r="AZ35" t="str">
            <v>-</v>
          </cell>
          <cell r="BA35" t="str">
            <v>-</v>
          </cell>
          <cell r="BB35" t="str">
            <v>-</v>
          </cell>
          <cell r="BC35">
            <v>0</v>
          </cell>
          <cell r="BD35">
            <v>0</v>
          </cell>
          <cell r="BE35">
            <v>0</v>
          </cell>
          <cell r="BF35">
            <v>0</v>
          </cell>
        </row>
        <row r="36">
          <cell r="AW36" t="str">
            <v/>
          </cell>
          <cell r="AX36" t="str">
            <v/>
          </cell>
          <cell r="AY36" t="str">
            <v/>
          </cell>
          <cell r="AZ36" t="str">
            <v/>
          </cell>
          <cell r="BA36" t="str">
            <v/>
          </cell>
          <cell r="BB36" t="str">
            <v/>
          </cell>
          <cell r="BC36" t="str">
            <v/>
          </cell>
          <cell r="BD36" t="str">
            <v/>
          </cell>
          <cell r="BE36" t="str">
            <v/>
          </cell>
          <cell r="BF36" t="str">
            <v/>
          </cell>
        </row>
        <row r="37">
          <cell r="AW37" t="str">
            <v>A una mano</v>
          </cell>
          <cell r="AX37" t="str">
            <v>A una mano</v>
          </cell>
          <cell r="AY37" t="str">
            <v>A una mano</v>
          </cell>
          <cell r="AZ37" t="str">
            <v>A una mano</v>
          </cell>
          <cell r="BA37" t="str">
            <v>A una mano</v>
          </cell>
          <cell r="BB37" t="str">
            <v>A una mano</v>
          </cell>
          <cell r="BC37" t="str">
            <v>A una mano</v>
          </cell>
          <cell r="BD37" t="str">
            <v>A una mano</v>
          </cell>
          <cell r="BE37" t="str">
            <v>A dos manos</v>
          </cell>
          <cell r="BF37" t="str">
            <v>A dos manos</v>
          </cell>
        </row>
        <row r="38">
          <cell r="AW38" t="str">
            <v>Única</v>
          </cell>
          <cell r="AX38" t="str">
            <v>Única</v>
          </cell>
          <cell r="AY38" t="str">
            <v>Única</v>
          </cell>
          <cell r="AZ38" t="str">
            <v>Única</v>
          </cell>
          <cell r="BA38" t="str">
            <v>Única</v>
          </cell>
          <cell r="BB38" t="str">
            <v>Única</v>
          </cell>
          <cell r="BC38" t="str">
            <v>Única</v>
          </cell>
          <cell r="BD38" t="str">
            <v>Única</v>
          </cell>
          <cell r="BE38" t="str">
            <v>Única</v>
          </cell>
          <cell r="BF38" t="str">
            <v>Única</v>
          </cell>
        </row>
        <row r="39">
          <cell r="AW39" t="str">
            <v>-</v>
          </cell>
          <cell r="AX39" t="str">
            <v>-</v>
          </cell>
          <cell r="AY39" t="str">
            <v>-</v>
          </cell>
          <cell r="AZ39" t="str">
            <v>-</v>
          </cell>
          <cell r="BA39" t="str">
            <v>-</v>
          </cell>
          <cell r="BB39" t="str">
            <v>-</v>
          </cell>
          <cell r="BC39" t="str">
            <v>-</v>
          </cell>
          <cell r="BD39" t="str">
            <v>-</v>
          </cell>
          <cell r="BE39" t="str">
            <v>-</v>
          </cell>
          <cell r="BF39" t="str">
            <v>-</v>
          </cell>
        </row>
        <row r="40">
          <cell r="AW40" t="e">
            <v>#N/A</v>
          </cell>
          <cell r="AX40" t="e">
            <v>#N/A</v>
          </cell>
          <cell r="AY40" t="e">
            <v>#N/A</v>
          </cell>
          <cell r="AZ40" t="e">
            <v>#N/A</v>
          </cell>
          <cell r="BA40" t="e">
            <v>#N/A</v>
          </cell>
          <cell r="BB40" t="e">
            <v>#N/A</v>
          </cell>
          <cell r="BC40" t="e">
            <v>#N/A</v>
          </cell>
          <cell r="BD40" t="e">
            <v>#N/A</v>
          </cell>
          <cell r="BE40" t="e">
            <v>#N/A</v>
          </cell>
          <cell r="BF40" t="e">
            <v>#N/A</v>
          </cell>
        </row>
        <row r="41">
          <cell r="AW41" t="e">
            <v>#N/A</v>
          </cell>
          <cell r="AX41" t="e">
            <v>#N/A</v>
          </cell>
          <cell r="AY41" t="e">
            <v>#N/A</v>
          </cell>
          <cell r="AZ41" t="e">
            <v>#N/A</v>
          </cell>
          <cell r="BA41" t="e">
            <v>#N/A</v>
          </cell>
          <cell r="BB41" t="e">
            <v>#N/A</v>
          </cell>
          <cell r="BC41" t="e">
            <v>#N/A</v>
          </cell>
          <cell r="BD41" t="e">
            <v>#N/A</v>
          </cell>
          <cell r="BE41" t="e">
            <v>#N/A</v>
          </cell>
          <cell r="BF41" t="e">
            <v>#N/A</v>
          </cell>
        </row>
        <row r="42">
          <cell r="AW42" t="e">
            <v>#N/A</v>
          </cell>
          <cell r="AX42" t="e">
            <v>#N/A</v>
          </cell>
          <cell r="AY42" t="e">
            <v>#N/A</v>
          </cell>
          <cell r="AZ42" t="e">
            <v>#N/A</v>
          </cell>
          <cell r="BA42" t="e">
            <v>#N/A</v>
          </cell>
          <cell r="BB42" t="e">
            <v>#N/A</v>
          </cell>
          <cell r="BC42" t="e">
            <v>#N/A</v>
          </cell>
          <cell r="BD42" t="e">
            <v>#N/A</v>
          </cell>
          <cell r="BE42" t="e">
            <v>#N/A</v>
          </cell>
          <cell r="BF42" t="e">
            <v>#N/A</v>
          </cell>
        </row>
        <row r="43">
          <cell r="AW43" t="e">
            <v>#N/A</v>
          </cell>
          <cell r="AX43" t="e">
            <v>#N/A</v>
          </cell>
          <cell r="AY43" t="e">
            <v>#N/A</v>
          </cell>
          <cell r="AZ43" t="e">
            <v>#N/A</v>
          </cell>
          <cell r="BA43" t="e">
            <v>#N/A</v>
          </cell>
          <cell r="BB43" t="e">
            <v>#N/A</v>
          </cell>
          <cell r="BC43" t="e">
            <v>#N/A</v>
          </cell>
          <cell r="BD43" t="e">
            <v>#N/A</v>
          </cell>
          <cell r="BE43" t="e">
            <v>#N/A</v>
          </cell>
          <cell r="BF43" t="e">
            <v>#N/A</v>
          </cell>
        </row>
        <row r="44">
          <cell r="AW44" t="e">
            <v>#N/A</v>
          </cell>
          <cell r="AX44" t="e">
            <v>#N/A</v>
          </cell>
          <cell r="AY44" t="e">
            <v>#N/A</v>
          </cell>
          <cell r="AZ44" t="e">
            <v>#N/A</v>
          </cell>
          <cell r="BA44" t="e">
            <v>#N/A</v>
          </cell>
          <cell r="BB44" t="e">
            <v>#N/A</v>
          </cell>
          <cell r="BC44" t="e">
            <v>#N/A</v>
          </cell>
          <cell r="BD44" t="e">
            <v>#N/A</v>
          </cell>
          <cell r="BE44" t="e">
            <v>#N/A</v>
          </cell>
          <cell r="BF44" t="e">
            <v>#N/A</v>
          </cell>
        </row>
        <row r="45">
          <cell r="AW45" t="e">
            <v>#N/A</v>
          </cell>
          <cell r="AX45" t="e">
            <v>#N/A</v>
          </cell>
          <cell r="AY45" t="e">
            <v>#N/A</v>
          </cell>
          <cell r="AZ45" t="e">
            <v>#N/A</v>
          </cell>
          <cell r="BA45" t="e">
            <v>#N/A</v>
          </cell>
          <cell r="BB45" t="e">
            <v>#N/A</v>
          </cell>
          <cell r="BC45" t="e">
            <v>#N/A</v>
          </cell>
          <cell r="BD45" t="e">
            <v>#N/A</v>
          </cell>
          <cell r="BE45" t="e">
            <v>#N/A</v>
          </cell>
          <cell r="BF45" t="e">
            <v>#N/A</v>
          </cell>
        </row>
        <row r="46">
          <cell r="AW46" t="e">
            <v>#N/A</v>
          </cell>
          <cell r="AX46" t="e">
            <v>#N/A</v>
          </cell>
          <cell r="AY46" t="e">
            <v>#N/A</v>
          </cell>
          <cell r="AZ46" t="e">
            <v>#N/A</v>
          </cell>
          <cell r="BA46" t="e">
            <v>#N/A</v>
          </cell>
          <cell r="BB46" t="e">
            <v>#N/A</v>
          </cell>
          <cell r="BC46" t="e">
            <v>#N/A</v>
          </cell>
          <cell r="BD46" t="e">
            <v>#N/A</v>
          </cell>
          <cell r="BE46" t="e">
            <v>#N/A</v>
          </cell>
          <cell r="BF46" t="e">
            <v>#N/A</v>
          </cell>
        </row>
        <row r="66">
          <cell r="C66" t="str">
            <v>Notas Equipo de Combate</v>
          </cell>
        </row>
        <row r="73">
          <cell r="C73" t="str">
            <v>Notas Capacidades Combate</v>
          </cell>
        </row>
      </sheetData>
      <sheetData sheetId="6">
        <row r="10">
          <cell r="R10" t="b">
            <v>0</v>
          </cell>
        </row>
        <row r="13">
          <cell r="R13" t="b">
            <v>0</v>
          </cell>
        </row>
        <row r="14">
          <cell r="R14" t="b">
            <v>0</v>
          </cell>
        </row>
        <row r="16">
          <cell r="R16" t="b">
            <v>0</v>
          </cell>
        </row>
        <row r="19">
          <cell r="R19" t="b">
            <v>0</v>
          </cell>
        </row>
        <row r="30">
          <cell r="R30" t="b">
            <v>0</v>
          </cell>
        </row>
        <row r="32">
          <cell r="R32" t="b">
            <v>0</v>
          </cell>
        </row>
        <row r="33">
          <cell r="R33" t="b">
            <v>0</v>
          </cell>
        </row>
        <row r="35">
          <cell r="R35" t="b">
            <v>0</v>
          </cell>
        </row>
        <row r="36">
          <cell r="R36" t="b">
            <v>0</v>
          </cell>
        </row>
        <row r="38">
          <cell r="R38" t="b">
            <v>0</v>
          </cell>
        </row>
        <row r="39">
          <cell r="R39" t="b">
            <v>0</v>
          </cell>
        </row>
        <row r="49">
          <cell r="R49" t="b">
            <v>0</v>
          </cell>
        </row>
        <row r="50">
          <cell r="R50" t="b">
            <v>0</v>
          </cell>
        </row>
        <row r="54">
          <cell r="B54" t="b">
            <v>0</v>
          </cell>
        </row>
        <row r="56">
          <cell r="B56" t="b">
            <v>0</v>
          </cell>
        </row>
        <row r="58">
          <cell r="B58" t="b">
            <v>0</v>
          </cell>
        </row>
        <row r="66">
          <cell r="C66" t="str">
            <v>Notas Ki</v>
          </cell>
        </row>
      </sheetData>
      <sheetData sheetId="7" refreshError="1"/>
      <sheetData sheetId="8">
        <row r="63">
          <cell r="C63" t="str">
            <v>Notas Místicos</v>
          </cell>
        </row>
      </sheetData>
      <sheetData sheetId="9" refreshError="1"/>
      <sheetData sheetId="10">
        <row r="91">
          <cell r="C91" t="str">
            <v>Notas Sheele</v>
          </cell>
        </row>
      </sheetData>
      <sheetData sheetId="11">
        <row r="75">
          <cell r="V75" t="str">
            <v>Notas Psíquicos</v>
          </cell>
        </row>
      </sheetData>
      <sheetData sheetId="12" refreshError="1"/>
      <sheetData sheetId="13">
        <row r="8">
          <cell r="C8" t="str">
            <v>Sí</v>
          </cell>
        </row>
        <row r="9">
          <cell r="C9" t="str">
            <v>No</v>
          </cell>
        </row>
        <row r="14">
          <cell r="C14">
            <v>1</v>
          </cell>
          <cell r="D14">
            <v>-30</v>
          </cell>
          <cell r="E14">
            <v>1</v>
          </cell>
          <cell r="G14">
            <v>1</v>
          </cell>
          <cell r="H14">
            <v>0</v>
          </cell>
          <cell r="I14">
            <v>0.5</v>
          </cell>
          <cell r="J14">
            <v>1</v>
          </cell>
          <cell r="L14">
            <v>1</v>
          </cell>
          <cell r="M14">
            <v>-30</v>
          </cell>
          <cell r="P14">
            <v>1</v>
          </cell>
          <cell r="Q14">
            <v>1</v>
          </cell>
        </row>
        <row r="15">
          <cell r="C15">
            <v>2</v>
          </cell>
          <cell r="D15">
            <v>-20</v>
          </cell>
          <cell r="E15">
            <v>2</v>
          </cell>
          <cell r="G15">
            <v>2</v>
          </cell>
          <cell r="H15">
            <v>0</v>
          </cell>
          <cell r="I15">
            <v>5</v>
          </cell>
          <cell r="J15">
            <v>10</v>
          </cell>
          <cell r="L15">
            <v>2</v>
          </cell>
          <cell r="M15">
            <v>-30</v>
          </cell>
          <cell r="P15">
            <v>2</v>
          </cell>
          <cell r="Q15">
            <v>1</v>
          </cell>
        </row>
        <row r="16">
          <cell r="C16">
            <v>3</v>
          </cell>
          <cell r="D16">
            <v>-10</v>
          </cell>
          <cell r="E16">
            <v>3</v>
          </cell>
          <cell r="G16">
            <v>3</v>
          </cell>
          <cell r="H16">
            <v>0</v>
          </cell>
          <cell r="I16">
            <v>10</v>
          </cell>
          <cell r="J16">
            <v>20</v>
          </cell>
          <cell r="L16">
            <v>3</v>
          </cell>
          <cell r="M16">
            <v>-30</v>
          </cell>
          <cell r="P16">
            <v>3</v>
          </cell>
          <cell r="Q16">
            <v>1</v>
          </cell>
        </row>
        <row r="17">
          <cell r="C17">
            <v>4</v>
          </cell>
          <cell r="D17">
            <v>-5</v>
          </cell>
          <cell r="E17">
            <v>4</v>
          </cell>
          <cell r="G17">
            <v>4</v>
          </cell>
          <cell r="H17">
            <v>0</v>
          </cell>
          <cell r="I17">
            <v>15</v>
          </cell>
          <cell r="J17">
            <v>40</v>
          </cell>
          <cell r="L17">
            <v>4</v>
          </cell>
          <cell r="M17">
            <v>-10</v>
          </cell>
          <cell r="P17">
            <v>4</v>
          </cell>
          <cell r="Q17">
            <v>1</v>
          </cell>
        </row>
        <row r="18">
          <cell r="C18">
            <v>5</v>
          </cell>
          <cell r="D18">
            <v>0</v>
          </cell>
          <cell r="E18">
            <v>5</v>
          </cell>
          <cell r="G18">
            <v>5</v>
          </cell>
          <cell r="H18">
            <v>0</v>
          </cell>
          <cell r="I18">
            <v>25</v>
          </cell>
          <cell r="J18">
            <v>60</v>
          </cell>
          <cell r="L18">
            <v>5</v>
          </cell>
          <cell r="M18">
            <v>0</v>
          </cell>
          <cell r="P18">
            <v>5</v>
          </cell>
          <cell r="Q18">
            <v>1</v>
          </cell>
        </row>
        <row r="19">
          <cell r="C19">
            <v>6</v>
          </cell>
          <cell r="D19">
            <v>5</v>
          </cell>
          <cell r="E19">
            <v>6</v>
          </cell>
          <cell r="G19">
            <v>6</v>
          </cell>
          <cell r="H19">
            <v>0</v>
          </cell>
          <cell r="I19">
            <v>40</v>
          </cell>
          <cell r="J19">
            <v>120</v>
          </cell>
          <cell r="L19">
            <v>6</v>
          </cell>
          <cell r="M19">
            <v>0</v>
          </cell>
          <cell r="P19">
            <v>6</v>
          </cell>
          <cell r="Q19">
            <v>1</v>
          </cell>
        </row>
        <row r="20">
          <cell r="C20">
            <v>7</v>
          </cell>
          <cell r="D20">
            <v>5</v>
          </cell>
          <cell r="E20">
            <v>7</v>
          </cell>
          <cell r="G20">
            <v>7</v>
          </cell>
          <cell r="H20">
            <v>0</v>
          </cell>
          <cell r="I20">
            <v>60</v>
          </cell>
          <cell r="J20">
            <v>180</v>
          </cell>
          <cell r="L20">
            <v>7</v>
          </cell>
          <cell r="M20">
            <v>10</v>
          </cell>
          <cell r="P20">
            <v>7</v>
          </cell>
          <cell r="Q20">
            <v>1</v>
          </cell>
        </row>
        <row r="21">
          <cell r="C21">
            <v>8</v>
          </cell>
          <cell r="D21">
            <v>10</v>
          </cell>
          <cell r="E21">
            <v>8</v>
          </cell>
          <cell r="G21">
            <v>8</v>
          </cell>
          <cell r="H21">
            <v>1</v>
          </cell>
          <cell r="I21">
            <v>80</v>
          </cell>
          <cell r="J21">
            <v>260</v>
          </cell>
          <cell r="L21">
            <v>8</v>
          </cell>
          <cell r="M21">
            <v>20</v>
          </cell>
          <cell r="P21">
            <v>8</v>
          </cell>
          <cell r="Q21">
            <v>1</v>
          </cell>
        </row>
        <row r="22">
          <cell r="C22">
            <v>9</v>
          </cell>
          <cell r="D22">
            <v>10</v>
          </cell>
          <cell r="E22">
            <v>10</v>
          </cell>
          <cell r="G22">
            <v>9</v>
          </cell>
          <cell r="H22">
            <v>1</v>
          </cell>
          <cell r="I22">
            <v>100</v>
          </cell>
          <cell r="J22">
            <v>350</v>
          </cell>
          <cell r="L22">
            <v>9</v>
          </cell>
          <cell r="M22">
            <v>30</v>
          </cell>
          <cell r="P22">
            <v>9</v>
          </cell>
          <cell r="Q22">
            <v>1</v>
          </cell>
        </row>
        <row r="23">
          <cell r="C23">
            <v>10</v>
          </cell>
          <cell r="D23">
            <v>15</v>
          </cell>
          <cell r="E23">
            <v>15</v>
          </cell>
          <cell r="G23">
            <v>10</v>
          </cell>
          <cell r="H23">
            <v>2</v>
          </cell>
          <cell r="I23">
            <v>150</v>
          </cell>
          <cell r="J23">
            <v>420</v>
          </cell>
          <cell r="L23">
            <v>10</v>
          </cell>
          <cell r="M23">
            <v>50</v>
          </cell>
          <cell r="N23">
            <v>0</v>
          </cell>
          <cell r="P23">
            <v>10</v>
          </cell>
          <cell r="Q23">
            <v>2</v>
          </cell>
        </row>
        <row r="24">
          <cell r="C24">
            <v>11</v>
          </cell>
          <cell r="D24">
            <v>20</v>
          </cell>
          <cell r="E24">
            <v>20</v>
          </cell>
          <cell r="G24">
            <v>11</v>
          </cell>
          <cell r="H24">
            <v>3</v>
          </cell>
          <cell r="I24">
            <v>200</v>
          </cell>
          <cell r="J24">
            <v>600</v>
          </cell>
          <cell r="L24">
            <v>11</v>
          </cell>
          <cell r="M24">
            <v>100</v>
          </cell>
          <cell r="N24">
            <v>5</v>
          </cell>
          <cell r="P24">
            <v>11</v>
          </cell>
          <cell r="Q24">
            <v>2</v>
          </cell>
        </row>
        <row r="25">
          <cell r="C25">
            <v>12</v>
          </cell>
          <cell r="D25">
            <v>20</v>
          </cell>
          <cell r="E25">
            <v>30</v>
          </cell>
          <cell r="G25">
            <v>12</v>
          </cell>
          <cell r="H25">
            <v>3</v>
          </cell>
          <cell r="I25">
            <v>350</v>
          </cell>
          <cell r="J25">
            <v>1000</v>
          </cell>
          <cell r="L25">
            <v>12</v>
          </cell>
          <cell r="M25">
            <v>250</v>
          </cell>
          <cell r="P25">
            <v>12</v>
          </cell>
          <cell r="Q25">
            <v>2</v>
          </cell>
        </row>
        <row r="26">
          <cell r="C26">
            <v>13</v>
          </cell>
          <cell r="D26">
            <v>25</v>
          </cell>
          <cell r="E26">
            <v>40</v>
          </cell>
          <cell r="G26">
            <v>13</v>
          </cell>
          <cell r="H26">
            <v>4</v>
          </cell>
          <cell r="I26">
            <v>1000</v>
          </cell>
          <cell r="J26">
            <v>3000</v>
          </cell>
          <cell r="L26">
            <v>13</v>
          </cell>
          <cell r="M26">
            <v>500</v>
          </cell>
          <cell r="N26">
            <v>10</v>
          </cell>
          <cell r="P26">
            <v>13</v>
          </cell>
          <cell r="Q26">
            <v>3</v>
          </cell>
          <cell r="T26">
            <v>0</v>
          </cell>
          <cell r="U26" t="str">
            <v>-</v>
          </cell>
        </row>
        <row r="27">
          <cell r="C27">
            <v>14</v>
          </cell>
          <cell r="D27">
            <v>25</v>
          </cell>
          <cell r="E27">
            <v>50</v>
          </cell>
          <cell r="G27">
            <v>14</v>
          </cell>
          <cell r="H27">
            <v>4</v>
          </cell>
          <cell r="I27">
            <v>5000</v>
          </cell>
          <cell r="J27">
            <v>25000</v>
          </cell>
          <cell r="L27">
            <v>14</v>
          </cell>
          <cell r="M27">
            <v>1000</v>
          </cell>
          <cell r="P27">
            <v>14</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15</v>
          </cell>
          <cell r="Q28">
            <v>3</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P29">
            <v>16</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P30">
            <v>17</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P31">
            <v>18</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P32">
            <v>19</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P33">
            <v>20</v>
          </cell>
          <cell r="Q33">
            <v>4</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F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F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v>10</v>
          </cell>
          <cell r="F40" t="str">
            <v xml:space="preserve">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v>10</v>
          </cell>
          <cell r="F41" t="str">
            <v xml:space="preserve">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v>10</v>
          </cell>
          <cell r="F42" t="str">
            <v xml:space="preserve">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v>10</v>
          </cell>
          <cell r="F43" t="str">
            <v xml:space="preserve">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v>10</v>
          </cell>
          <cell r="F44" t="str">
            <v xml:space="preserve">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v>20</v>
          </cell>
          <cell r="F45" t="str">
            <v xml:space="preserve">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v>20</v>
          </cell>
          <cell r="F46" t="str">
            <v xml:space="preserve">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v>30</v>
          </cell>
          <cell r="F47" t="str">
            <v xml:space="preserve">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v>40</v>
          </cell>
          <cell r="F48" t="str">
            <v xml:space="preserve">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v>50</v>
          </cell>
          <cell r="F49" t="str">
            <v xml:space="preserve">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v>75</v>
          </cell>
          <cell r="F50" t="str">
            <v xml:space="preserve"> PV / día *</v>
          </cell>
          <cell r="G50" t="str">
            <v>-15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v>100</v>
          </cell>
          <cell r="F51" t="str">
            <v xml:space="preserve"> PV / día *</v>
          </cell>
          <cell r="G51" t="str">
            <v>-20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v>250</v>
          </cell>
          <cell r="F52" t="str">
            <v xml:space="preserve"> PV / día *</v>
          </cell>
          <cell r="G52" t="str">
            <v>-25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v>500</v>
          </cell>
          <cell r="F53" t="str">
            <v xml:space="preserve"> PV / día *</v>
          </cell>
          <cell r="G53" t="str">
            <v>-30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v>1</v>
          </cell>
          <cell r="F54" t="str">
            <v xml:space="preserve"> PV / min *</v>
          </cell>
          <cell r="G54" t="str">
            <v>-40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v>2</v>
          </cell>
          <cell r="F55" t="str">
            <v xml:space="preserve"> PV / min *</v>
          </cell>
          <cell r="G55" t="str">
            <v>-50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cell r="AI55" t="b">
            <v>0</v>
          </cell>
          <cell r="AJ55" t="b">
            <v>0</v>
          </cell>
        </row>
        <row r="56">
          <cell r="C56">
            <v>19</v>
          </cell>
          <cell r="D56">
            <v>12</v>
          </cell>
          <cell r="E56">
            <v>5</v>
          </cell>
          <cell r="F56" t="str">
            <v xml:space="preserve"> PV / min *</v>
          </cell>
          <cell r="G56" t="str">
            <v>-5 por hora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v>5</v>
          </cell>
          <cell r="F57" t="str">
            <v xml:space="preserve">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v>10</v>
          </cell>
          <cell r="F58" t="str">
            <v xml:space="preserve"> PV / min *</v>
          </cell>
          <cell r="G58" t="str">
            <v>-10 por hora</v>
          </cell>
          <cell r="H58" t="str">
            <v>Miembros unidos se recuperan en 1 día. Supera entre la vida y la muerte. Sin cicatrices. Sin desangramiento.</v>
          </cell>
          <cell r="U58">
            <v>1</v>
          </cell>
          <cell r="AA58" t="b">
            <v>0</v>
          </cell>
        </row>
        <row r="59">
          <cell r="D59">
            <v>14</v>
          </cell>
          <cell r="E59">
            <v>1</v>
          </cell>
          <cell r="F59" t="str">
            <v xml:space="preserve"> PV / turno *</v>
          </cell>
          <cell r="G59" t="str">
            <v>-15 por hora</v>
          </cell>
          <cell r="H59" t="str">
            <v>Miembros unidos se recuperan en horas. Supera entre la vida y la muerte. Sin cicatrices. Sin desangramiento.</v>
          </cell>
        </row>
        <row r="60">
          <cell r="D60">
            <v>15</v>
          </cell>
          <cell r="E60">
            <v>5</v>
          </cell>
          <cell r="F60" t="str">
            <v xml:space="preserve"> PV / turno *</v>
          </cell>
          <cell r="G60" t="str">
            <v>-20 por hora</v>
          </cell>
          <cell r="H60" t="str">
            <v>Salvo cabeza, miembros crecen en 1 semana, unidos en 1 asalto. Supera entre la vida y la muerte. Sin cicatrices. Sin desangramiento.</v>
          </cell>
        </row>
        <row r="61">
          <cell r="D61">
            <v>16</v>
          </cell>
          <cell r="E61">
            <v>10</v>
          </cell>
          <cell r="F61" t="str">
            <v xml:space="preserve"> PV / turno *</v>
          </cell>
          <cell r="G61" t="str">
            <v>-10 por minuto</v>
          </cell>
          <cell r="H61" t="str">
            <v>Salvo cabeza, miembros crecen en 1 día, unidos en 1 asalto. Supera entre la vida y la muerte. Sin cicatrices. Sin desangramiento.</v>
          </cell>
        </row>
        <row r="62">
          <cell r="D62">
            <v>17</v>
          </cell>
          <cell r="E62">
            <v>25</v>
          </cell>
          <cell r="F62" t="str">
            <v xml:space="preserve"> PV / turno *</v>
          </cell>
          <cell r="G62" t="str">
            <v>-10 por asalto</v>
          </cell>
          <cell r="H62" t="str">
            <v>Salvo cabeza, miembros crecen en minutos, unidos en 1 asalto. Supera entre la vida y la muerte. Sin cicatrices. Sin desangramiento.</v>
          </cell>
        </row>
        <row r="63">
          <cell r="D63">
            <v>18</v>
          </cell>
          <cell r="E63">
            <v>50</v>
          </cell>
          <cell r="F63" t="str">
            <v xml:space="preserve"> PV / turno *</v>
          </cell>
          <cell r="G63" t="str">
            <v>-25 por asalto</v>
          </cell>
          <cell r="H63" t="str">
            <v>Salvo cabeza, miembros crecen en asaltos, unidos en 1 asalto. Supera entre la vida y la muerte. Sin cicatrices. Sin desangramiento.</v>
          </cell>
        </row>
        <row r="64">
          <cell r="D64">
            <v>19</v>
          </cell>
          <cell r="E64">
            <v>100</v>
          </cell>
          <cell r="F64" t="str">
            <v xml:space="preserve"> PV / turno *</v>
          </cell>
          <cell r="G64" t="str">
            <v>Todos</v>
          </cell>
          <cell r="H64" t="str">
            <v>Los miembros crecen en 1 asalto. Supera entre la vida y la muerte. Sin cicatrices. Sin desangramiento.</v>
          </cell>
          <cell r="AI64" t="b">
            <v>0</v>
          </cell>
          <cell r="AJ64" t="b">
            <v>0</v>
          </cell>
        </row>
        <row r="65">
          <cell r="D65">
            <v>20</v>
          </cell>
          <cell r="E65">
            <v>250</v>
          </cell>
          <cell r="F65" t="str">
            <v xml:space="preserve"> PV / turno *</v>
          </cell>
          <cell r="G65" t="str">
            <v>Todos</v>
          </cell>
          <cell r="H65" t="str">
            <v>Inmune a críticos físicos. Los miembros crecen en 1 asalto. Supera entre la vida y la muerte. Sin cicatrices. Sin desangramiento.</v>
          </cell>
          <cell r="AI65" t="b">
            <v>0</v>
          </cell>
          <cell r="AJ65" t="b">
            <v>0</v>
          </cell>
        </row>
        <row r="69">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cell r="W69">
            <v>0</v>
          </cell>
          <cell r="X69">
            <v>0</v>
          </cell>
          <cell r="Y69">
            <v>0</v>
          </cell>
          <cell r="Z69">
            <v>0</v>
          </cell>
          <cell r="AA69">
            <v>0</v>
          </cell>
        </row>
        <row r="70">
          <cell r="C70">
            <v>1</v>
          </cell>
          <cell r="D70">
            <v>0</v>
          </cell>
          <cell r="E70">
            <v>0</v>
          </cell>
          <cell r="F70">
            <v>0</v>
          </cell>
          <cell r="G70">
            <v>0</v>
          </cell>
          <cell r="H70">
            <v>0</v>
          </cell>
          <cell r="I70">
            <v>0</v>
          </cell>
          <cell r="J70">
            <v>0</v>
          </cell>
          <cell r="K70">
            <v>0</v>
          </cell>
          <cell r="L70">
            <v>0</v>
          </cell>
          <cell r="M70">
            <v>0</v>
          </cell>
          <cell r="N70">
            <v>0</v>
          </cell>
          <cell r="P70">
            <v>1</v>
          </cell>
          <cell r="Q70">
            <v>100</v>
          </cell>
          <cell r="R70">
            <v>125</v>
          </cell>
          <cell r="S70">
            <v>150</v>
          </cell>
          <cell r="T70">
            <v>175</v>
          </cell>
          <cell r="U70">
            <v>200</v>
          </cell>
          <cell r="V70">
            <v>225</v>
          </cell>
          <cell r="W70">
            <v>250</v>
          </cell>
          <cell r="X70">
            <v>275</v>
          </cell>
          <cell r="Y70">
            <v>300</v>
          </cell>
          <cell r="Z70">
            <v>325</v>
          </cell>
          <cell r="AA70">
            <v>350</v>
          </cell>
        </row>
        <row r="71">
          <cell r="C71">
            <v>2</v>
          </cell>
          <cell r="D71">
            <v>100</v>
          </cell>
          <cell r="E71">
            <v>125</v>
          </cell>
          <cell r="F71">
            <v>150</v>
          </cell>
          <cell r="G71">
            <v>175</v>
          </cell>
          <cell r="H71">
            <v>200</v>
          </cell>
          <cell r="I71">
            <v>225</v>
          </cell>
          <cell r="J71">
            <v>250</v>
          </cell>
          <cell r="K71">
            <v>275</v>
          </cell>
          <cell r="L71">
            <v>300</v>
          </cell>
          <cell r="M71">
            <v>325</v>
          </cell>
          <cell r="N71">
            <v>350</v>
          </cell>
          <cell r="P71">
            <v>2</v>
          </cell>
          <cell r="Q71">
            <v>125</v>
          </cell>
          <cell r="R71">
            <v>150</v>
          </cell>
          <cell r="S71">
            <v>175</v>
          </cell>
          <cell r="T71">
            <v>200</v>
          </cell>
          <cell r="U71">
            <v>225</v>
          </cell>
          <cell r="V71">
            <v>250</v>
          </cell>
          <cell r="W71">
            <v>275</v>
          </cell>
          <cell r="X71">
            <v>300</v>
          </cell>
          <cell r="Y71">
            <v>325</v>
          </cell>
          <cell r="Z71">
            <v>350</v>
          </cell>
          <cell r="AA71">
            <v>375</v>
          </cell>
        </row>
        <row r="72">
          <cell r="C72">
            <v>3</v>
          </cell>
          <cell r="D72">
            <v>225</v>
          </cell>
          <cell r="E72">
            <v>275</v>
          </cell>
          <cell r="F72">
            <v>325</v>
          </cell>
          <cell r="G72">
            <v>375</v>
          </cell>
          <cell r="H72">
            <v>425</v>
          </cell>
          <cell r="I72">
            <v>475</v>
          </cell>
          <cell r="J72">
            <v>525</v>
          </cell>
          <cell r="K72">
            <v>575</v>
          </cell>
          <cell r="L72">
            <v>625</v>
          </cell>
          <cell r="M72">
            <v>675</v>
          </cell>
          <cell r="N72">
            <v>725</v>
          </cell>
          <cell r="P72">
            <v>3</v>
          </cell>
          <cell r="Q72">
            <v>150</v>
          </cell>
          <cell r="R72">
            <v>175</v>
          </cell>
          <cell r="S72">
            <v>200</v>
          </cell>
          <cell r="T72">
            <v>225</v>
          </cell>
          <cell r="U72">
            <v>250</v>
          </cell>
          <cell r="V72">
            <v>275</v>
          </cell>
          <cell r="W72">
            <v>300</v>
          </cell>
          <cell r="X72">
            <v>325</v>
          </cell>
          <cell r="Y72">
            <v>350</v>
          </cell>
          <cell r="Z72">
            <v>375</v>
          </cell>
          <cell r="AA72">
            <v>400</v>
          </cell>
        </row>
        <row r="73">
          <cell r="C73">
            <v>4</v>
          </cell>
          <cell r="D73">
            <v>375</v>
          </cell>
          <cell r="E73">
            <v>450</v>
          </cell>
          <cell r="F73">
            <v>525</v>
          </cell>
          <cell r="G73">
            <v>600</v>
          </cell>
          <cell r="H73">
            <v>675</v>
          </cell>
          <cell r="I73">
            <v>750</v>
          </cell>
          <cell r="J73">
            <v>825</v>
          </cell>
          <cell r="K73">
            <v>900</v>
          </cell>
          <cell r="L73">
            <v>975</v>
          </cell>
          <cell r="M73">
            <v>1050</v>
          </cell>
          <cell r="N73">
            <v>1125</v>
          </cell>
          <cell r="P73">
            <v>4</v>
          </cell>
          <cell r="Q73">
            <v>175</v>
          </cell>
          <cell r="R73">
            <v>200</v>
          </cell>
          <cell r="S73">
            <v>225</v>
          </cell>
          <cell r="T73">
            <v>250</v>
          </cell>
          <cell r="U73">
            <v>275</v>
          </cell>
          <cell r="V73">
            <v>300</v>
          </cell>
          <cell r="W73">
            <v>325</v>
          </cell>
          <cell r="X73">
            <v>350</v>
          </cell>
          <cell r="Y73">
            <v>375</v>
          </cell>
          <cell r="Z73">
            <v>400</v>
          </cell>
          <cell r="AA73">
            <v>425</v>
          </cell>
        </row>
        <row r="74">
          <cell r="C74">
            <v>5</v>
          </cell>
          <cell r="D74">
            <v>550</v>
          </cell>
          <cell r="E74">
            <v>650</v>
          </cell>
          <cell r="F74">
            <v>750</v>
          </cell>
          <cell r="G74">
            <v>850</v>
          </cell>
          <cell r="H74">
            <v>950</v>
          </cell>
          <cell r="I74">
            <v>1050</v>
          </cell>
          <cell r="J74">
            <v>1150</v>
          </cell>
          <cell r="K74">
            <v>1250</v>
          </cell>
          <cell r="L74">
            <v>1350</v>
          </cell>
          <cell r="M74">
            <v>1450</v>
          </cell>
          <cell r="N74">
            <v>1550</v>
          </cell>
          <cell r="P74">
            <v>5</v>
          </cell>
          <cell r="Q74">
            <v>200</v>
          </cell>
          <cell r="R74">
            <v>225</v>
          </cell>
          <cell r="S74">
            <v>250</v>
          </cell>
          <cell r="T74">
            <v>275</v>
          </cell>
          <cell r="U74">
            <v>300</v>
          </cell>
          <cell r="V74">
            <v>325</v>
          </cell>
          <cell r="W74">
            <v>350</v>
          </cell>
          <cell r="X74">
            <v>375</v>
          </cell>
          <cell r="Y74">
            <v>400</v>
          </cell>
          <cell r="Z74">
            <v>425</v>
          </cell>
          <cell r="AA74">
            <v>450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cell r="P75">
            <v>6</v>
          </cell>
          <cell r="Q75">
            <v>225</v>
          </cell>
          <cell r="R75">
            <v>250</v>
          </cell>
          <cell r="S75">
            <v>275</v>
          </cell>
          <cell r="T75">
            <v>300</v>
          </cell>
          <cell r="U75">
            <v>325</v>
          </cell>
          <cell r="V75">
            <v>350</v>
          </cell>
          <cell r="W75">
            <v>375</v>
          </cell>
          <cell r="X75">
            <v>400</v>
          </cell>
          <cell r="Y75">
            <v>425</v>
          </cell>
          <cell r="Z75">
            <v>450</v>
          </cell>
          <cell r="AA75">
            <v>475</v>
          </cell>
        </row>
        <row r="76">
          <cell r="C76">
            <v>7</v>
          </cell>
          <cell r="D76">
            <v>975</v>
          </cell>
          <cell r="E76">
            <v>1125</v>
          </cell>
          <cell r="F76">
            <v>1275</v>
          </cell>
          <cell r="G76">
            <v>1425</v>
          </cell>
          <cell r="H76">
            <v>1575</v>
          </cell>
          <cell r="I76">
            <v>1725</v>
          </cell>
          <cell r="J76">
            <v>1875</v>
          </cell>
          <cell r="K76">
            <v>2025</v>
          </cell>
          <cell r="L76">
            <v>2175</v>
          </cell>
          <cell r="M76">
            <v>2325</v>
          </cell>
          <cell r="N76">
            <v>2475</v>
          </cell>
          <cell r="P76">
            <v>7</v>
          </cell>
          <cell r="Q76">
            <v>250</v>
          </cell>
          <cell r="R76">
            <v>275</v>
          </cell>
          <cell r="S76">
            <v>300</v>
          </cell>
          <cell r="T76">
            <v>325</v>
          </cell>
          <cell r="U76">
            <v>350</v>
          </cell>
          <cell r="V76">
            <v>375</v>
          </cell>
          <cell r="W76">
            <v>400</v>
          </cell>
          <cell r="X76">
            <v>425</v>
          </cell>
          <cell r="Y76">
            <v>450</v>
          </cell>
          <cell r="Z76">
            <v>475</v>
          </cell>
          <cell r="AA76">
            <v>500</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cell r="P77">
            <v>8</v>
          </cell>
          <cell r="Q77">
            <v>275</v>
          </cell>
          <cell r="R77">
            <v>300</v>
          </cell>
          <cell r="S77">
            <v>325</v>
          </cell>
          <cell r="T77">
            <v>350</v>
          </cell>
          <cell r="U77">
            <v>375</v>
          </cell>
          <cell r="V77">
            <v>400</v>
          </cell>
          <cell r="W77">
            <v>425</v>
          </cell>
          <cell r="X77">
            <v>450</v>
          </cell>
          <cell r="Y77">
            <v>475</v>
          </cell>
          <cell r="Z77">
            <v>500</v>
          </cell>
          <cell r="AA77">
            <v>525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cell r="P78">
            <v>9</v>
          </cell>
          <cell r="Q78">
            <v>300</v>
          </cell>
          <cell r="R78">
            <v>325</v>
          </cell>
          <cell r="S78">
            <v>350</v>
          </cell>
          <cell r="T78">
            <v>375</v>
          </cell>
          <cell r="U78">
            <v>400</v>
          </cell>
          <cell r="V78">
            <v>425</v>
          </cell>
          <cell r="W78">
            <v>450</v>
          </cell>
          <cell r="X78">
            <v>475</v>
          </cell>
          <cell r="Y78">
            <v>500</v>
          </cell>
          <cell r="Z78">
            <v>525</v>
          </cell>
          <cell r="AA78">
            <v>550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cell r="P79">
            <v>10</v>
          </cell>
          <cell r="Q79">
            <v>325</v>
          </cell>
          <cell r="R79">
            <v>350</v>
          </cell>
          <cell r="S79">
            <v>375</v>
          </cell>
          <cell r="T79">
            <v>400</v>
          </cell>
          <cell r="U79">
            <v>425</v>
          </cell>
          <cell r="V79">
            <v>450</v>
          </cell>
          <cell r="W79">
            <v>475</v>
          </cell>
          <cell r="X79">
            <v>500</v>
          </cell>
          <cell r="Y79">
            <v>525</v>
          </cell>
          <cell r="Z79">
            <v>550</v>
          </cell>
          <cell r="AA79">
            <v>575</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cell r="P80">
            <v>11</v>
          </cell>
          <cell r="Q80">
            <v>350</v>
          </cell>
          <cell r="R80">
            <v>375</v>
          </cell>
          <cell r="S80">
            <v>400</v>
          </cell>
          <cell r="T80">
            <v>425</v>
          </cell>
          <cell r="U80">
            <v>450</v>
          </cell>
          <cell r="V80">
            <v>475</v>
          </cell>
          <cell r="W80">
            <v>500</v>
          </cell>
          <cell r="X80">
            <v>525</v>
          </cell>
          <cell r="Y80">
            <v>550</v>
          </cell>
          <cell r="Z80">
            <v>575</v>
          </cell>
          <cell r="AA80">
            <v>600</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cell r="P81">
            <v>12</v>
          </cell>
          <cell r="Q81">
            <v>375</v>
          </cell>
          <cell r="R81">
            <v>400</v>
          </cell>
          <cell r="S81">
            <v>425</v>
          </cell>
          <cell r="T81">
            <v>450</v>
          </cell>
          <cell r="U81">
            <v>475</v>
          </cell>
          <cell r="V81">
            <v>500</v>
          </cell>
          <cell r="W81">
            <v>525</v>
          </cell>
          <cell r="X81">
            <v>550</v>
          </cell>
          <cell r="Y81">
            <v>575</v>
          </cell>
          <cell r="Z81">
            <v>600</v>
          </cell>
          <cell r="AA81">
            <v>625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cell r="P82">
            <v>13</v>
          </cell>
          <cell r="Q82">
            <v>400</v>
          </cell>
          <cell r="R82">
            <v>425</v>
          </cell>
          <cell r="S82">
            <v>450</v>
          </cell>
          <cell r="T82">
            <v>475</v>
          </cell>
          <cell r="U82">
            <v>500</v>
          </cell>
          <cell r="V82">
            <v>525</v>
          </cell>
          <cell r="W82">
            <v>550</v>
          </cell>
          <cell r="X82">
            <v>575</v>
          </cell>
          <cell r="Y82">
            <v>600</v>
          </cell>
          <cell r="Z82">
            <v>625</v>
          </cell>
          <cell r="AA82">
            <v>650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cell r="P83">
            <v>14</v>
          </cell>
          <cell r="Q83">
            <v>425</v>
          </cell>
          <cell r="R83">
            <v>450</v>
          </cell>
          <cell r="S83">
            <v>475</v>
          </cell>
          <cell r="T83">
            <v>500</v>
          </cell>
          <cell r="U83">
            <v>525</v>
          </cell>
          <cell r="V83">
            <v>550</v>
          </cell>
          <cell r="W83">
            <v>575</v>
          </cell>
          <cell r="X83">
            <v>600</v>
          </cell>
          <cell r="Y83">
            <v>625</v>
          </cell>
          <cell r="Z83">
            <v>650</v>
          </cell>
          <cell r="AA83">
            <v>675</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cell r="P84">
            <v>15</v>
          </cell>
          <cell r="Q84">
            <v>450</v>
          </cell>
          <cell r="R84">
            <v>475</v>
          </cell>
          <cell r="S84">
            <v>500</v>
          </cell>
          <cell r="T84">
            <v>525</v>
          </cell>
          <cell r="U84">
            <v>550</v>
          </cell>
          <cell r="V84">
            <v>575</v>
          </cell>
          <cell r="W84">
            <v>600</v>
          </cell>
          <cell r="X84">
            <v>625</v>
          </cell>
          <cell r="Y84">
            <v>650</v>
          </cell>
          <cell r="Z84">
            <v>675</v>
          </cell>
          <cell r="AA84">
            <v>700</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cell r="P85">
            <v>16</v>
          </cell>
          <cell r="Q85">
            <v>475</v>
          </cell>
          <cell r="R85">
            <v>500</v>
          </cell>
          <cell r="S85">
            <v>525</v>
          </cell>
          <cell r="T85">
            <v>550</v>
          </cell>
          <cell r="U85">
            <v>575</v>
          </cell>
          <cell r="V85">
            <v>600</v>
          </cell>
          <cell r="W85">
            <v>625</v>
          </cell>
          <cell r="X85">
            <v>650</v>
          </cell>
          <cell r="Y85">
            <v>675</v>
          </cell>
          <cell r="Z85">
            <v>700</v>
          </cell>
          <cell r="AA85">
            <v>725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cell r="P86">
            <v>17</v>
          </cell>
          <cell r="Q86">
            <v>500</v>
          </cell>
          <cell r="R86">
            <v>525</v>
          </cell>
          <cell r="S86">
            <v>550</v>
          </cell>
          <cell r="T86">
            <v>575</v>
          </cell>
          <cell r="U86">
            <v>600</v>
          </cell>
          <cell r="V86">
            <v>625</v>
          </cell>
          <cell r="W86">
            <v>650</v>
          </cell>
          <cell r="X86">
            <v>675</v>
          </cell>
          <cell r="Y86">
            <v>700</v>
          </cell>
          <cell r="Z86">
            <v>725</v>
          </cell>
          <cell r="AA86">
            <v>750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cell r="P87">
            <v>18</v>
          </cell>
          <cell r="Q87">
            <v>525</v>
          </cell>
          <cell r="R87">
            <v>550</v>
          </cell>
          <cell r="S87">
            <v>575</v>
          </cell>
          <cell r="T87">
            <v>600</v>
          </cell>
          <cell r="U87">
            <v>625</v>
          </cell>
          <cell r="V87">
            <v>650</v>
          </cell>
          <cell r="W87">
            <v>675</v>
          </cell>
          <cell r="X87">
            <v>700</v>
          </cell>
          <cell r="Y87">
            <v>725</v>
          </cell>
          <cell r="Z87">
            <v>750</v>
          </cell>
          <cell r="AA87">
            <v>775</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cell r="P88">
            <v>19</v>
          </cell>
          <cell r="Q88">
            <v>550</v>
          </cell>
          <cell r="R88">
            <v>575</v>
          </cell>
          <cell r="S88">
            <v>600</v>
          </cell>
          <cell r="T88">
            <v>625</v>
          </cell>
          <cell r="U88">
            <v>650</v>
          </cell>
          <cell r="V88">
            <v>675</v>
          </cell>
          <cell r="W88">
            <v>700</v>
          </cell>
          <cell r="X88">
            <v>725</v>
          </cell>
          <cell r="Y88">
            <v>750</v>
          </cell>
          <cell r="Z88">
            <v>775</v>
          </cell>
          <cell r="AA88">
            <v>800</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cell r="P89">
            <v>20</v>
          </cell>
          <cell r="Q89">
            <v>575</v>
          </cell>
          <cell r="R89">
            <v>600</v>
          </cell>
          <cell r="S89">
            <v>625</v>
          </cell>
          <cell r="T89">
            <v>650</v>
          </cell>
          <cell r="U89">
            <v>675</v>
          </cell>
          <cell r="V89">
            <v>700</v>
          </cell>
          <cell r="W89">
            <v>725</v>
          </cell>
          <cell r="X89">
            <v>750</v>
          </cell>
          <cell r="Y89">
            <v>775</v>
          </cell>
          <cell r="Z89">
            <v>800</v>
          </cell>
          <cell r="AA89">
            <v>825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cell r="P90">
            <v>21</v>
          </cell>
          <cell r="Q90">
            <v>600</v>
          </cell>
          <cell r="R90">
            <v>625</v>
          </cell>
          <cell r="S90">
            <v>650</v>
          </cell>
          <cell r="T90">
            <v>675</v>
          </cell>
          <cell r="U90">
            <v>700</v>
          </cell>
          <cell r="V90">
            <v>725</v>
          </cell>
          <cell r="W90">
            <v>750</v>
          </cell>
          <cell r="X90">
            <v>775</v>
          </cell>
          <cell r="Y90">
            <v>800</v>
          </cell>
          <cell r="Z90">
            <v>825</v>
          </cell>
          <cell r="AA90">
            <v>850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cell r="P91">
            <v>22</v>
          </cell>
          <cell r="Q91">
            <v>625</v>
          </cell>
          <cell r="R91">
            <v>650</v>
          </cell>
          <cell r="S91">
            <v>675</v>
          </cell>
          <cell r="T91">
            <v>700</v>
          </cell>
          <cell r="U91">
            <v>725</v>
          </cell>
          <cell r="V91">
            <v>750</v>
          </cell>
          <cell r="W91">
            <v>775</v>
          </cell>
          <cell r="X91">
            <v>800</v>
          </cell>
          <cell r="Y91">
            <v>825</v>
          </cell>
          <cell r="Z91">
            <v>850</v>
          </cell>
          <cell r="AA91">
            <v>875</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cell r="P92">
            <v>23</v>
          </cell>
          <cell r="Q92">
            <v>650</v>
          </cell>
          <cell r="R92">
            <v>675</v>
          </cell>
          <cell r="S92">
            <v>700</v>
          </cell>
          <cell r="T92">
            <v>725</v>
          </cell>
          <cell r="U92">
            <v>750</v>
          </cell>
          <cell r="V92">
            <v>775</v>
          </cell>
          <cell r="W92">
            <v>800</v>
          </cell>
          <cell r="X92">
            <v>825</v>
          </cell>
          <cell r="Y92">
            <v>850</v>
          </cell>
          <cell r="Z92">
            <v>875</v>
          </cell>
          <cell r="AA92">
            <v>900</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cell r="P93">
            <v>24</v>
          </cell>
          <cell r="Q93">
            <v>675</v>
          </cell>
          <cell r="R93">
            <v>700</v>
          </cell>
          <cell r="S93">
            <v>725</v>
          </cell>
          <cell r="T93">
            <v>750</v>
          </cell>
          <cell r="U93">
            <v>775</v>
          </cell>
          <cell r="V93">
            <v>800</v>
          </cell>
          <cell r="W93">
            <v>825</v>
          </cell>
          <cell r="X93">
            <v>850</v>
          </cell>
          <cell r="Y93">
            <v>875</v>
          </cell>
          <cell r="Z93">
            <v>900</v>
          </cell>
          <cell r="AA93">
            <v>925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cell r="P94">
            <v>25</v>
          </cell>
          <cell r="Q94">
            <v>700</v>
          </cell>
          <cell r="R94">
            <v>725</v>
          </cell>
          <cell r="S94">
            <v>750</v>
          </cell>
          <cell r="T94">
            <v>775</v>
          </cell>
          <cell r="U94">
            <v>800</v>
          </cell>
          <cell r="V94">
            <v>825</v>
          </cell>
          <cell r="W94">
            <v>850</v>
          </cell>
          <cell r="X94">
            <v>875</v>
          </cell>
          <cell r="Y94">
            <v>900</v>
          </cell>
          <cell r="Z94">
            <v>925</v>
          </cell>
          <cell r="AA94">
            <v>950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cell r="P95">
            <v>26</v>
          </cell>
          <cell r="Q95">
            <v>725</v>
          </cell>
          <cell r="R95">
            <v>750</v>
          </cell>
          <cell r="S95">
            <v>775</v>
          </cell>
          <cell r="T95">
            <v>800</v>
          </cell>
          <cell r="U95">
            <v>825</v>
          </cell>
          <cell r="V95">
            <v>850</v>
          </cell>
          <cell r="W95">
            <v>875</v>
          </cell>
          <cell r="X95">
            <v>900</v>
          </cell>
          <cell r="Y95">
            <v>925</v>
          </cell>
          <cell r="Z95">
            <v>950</v>
          </cell>
          <cell r="AA95">
            <v>975</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cell r="P96">
            <v>27</v>
          </cell>
          <cell r="Q96">
            <v>750</v>
          </cell>
          <cell r="R96">
            <v>775</v>
          </cell>
          <cell r="S96">
            <v>800</v>
          </cell>
          <cell r="T96">
            <v>825</v>
          </cell>
          <cell r="U96">
            <v>850</v>
          </cell>
          <cell r="V96">
            <v>875</v>
          </cell>
          <cell r="W96">
            <v>900</v>
          </cell>
          <cell r="X96">
            <v>925</v>
          </cell>
          <cell r="Y96">
            <v>950</v>
          </cell>
          <cell r="Z96">
            <v>975</v>
          </cell>
          <cell r="AA96">
            <v>1000</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cell r="P97">
            <v>28</v>
          </cell>
          <cell r="Q97">
            <v>775</v>
          </cell>
          <cell r="R97">
            <v>800</v>
          </cell>
          <cell r="S97">
            <v>825</v>
          </cell>
          <cell r="T97">
            <v>850</v>
          </cell>
          <cell r="U97">
            <v>875</v>
          </cell>
          <cell r="V97">
            <v>900</v>
          </cell>
          <cell r="W97">
            <v>925</v>
          </cell>
          <cell r="X97">
            <v>950</v>
          </cell>
          <cell r="Y97">
            <v>975</v>
          </cell>
          <cell r="Z97">
            <v>1000</v>
          </cell>
          <cell r="AA97">
            <v>1025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cell r="P98">
            <v>29</v>
          </cell>
          <cell r="Q98">
            <v>800</v>
          </cell>
          <cell r="R98">
            <v>825</v>
          </cell>
          <cell r="S98">
            <v>850</v>
          </cell>
          <cell r="T98">
            <v>875</v>
          </cell>
          <cell r="U98">
            <v>900</v>
          </cell>
          <cell r="V98">
            <v>925</v>
          </cell>
          <cell r="W98">
            <v>950</v>
          </cell>
          <cell r="X98">
            <v>975</v>
          </cell>
          <cell r="Y98">
            <v>1000</v>
          </cell>
          <cell r="Z98">
            <v>1025</v>
          </cell>
          <cell r="AA98">
            <v>1050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cell r="P99">
            <v>30</v>
          </cell>
          <cell r="Q99">
            <v>825</v>
          </cell>
          <cell r="R99">
            <v>850</v>
          </cell>
          <cell r="S99">
            <v>875</v>
          </cell>
          <cell r="T99">
            <v>900</v>
          </cell>
          <cell r="U99">
            <v>925</v>
          </cell>
          <cell r="V99">
            <v>950</v>
          </cell>
          <cell r="W99">
            <v>975</v>
          </cell>
          <cell r="X99">
            <v>1000</v>
          </cell>
          <cell r="Y99">
            <v>1025</v>
          </cell>
          <cell r="Z99">
            <v>1050</v>
          </cell>
          <cell r="AA99">
            <v>1075</v>
          </cell>
        </row>
        <row r="107">
          <cell r="C107" t="str">
            <v>Hombre</v>
          </cell>
          <cell r="F107" t="str">
            <v>Cumplido</v>
          </cell>
          <cell r="BO107" t="str">
            <v>&gt; COMUNES</v>
          </cell>
          <cell r="BP107" t="str">
            <v>Ailish</v>
          </cell>
          <cell r="BQ107" t="str">
            <v>Akerón</v>
          </cell>
          <cell r="BR107" t="str">
            <v>Arkes</v>
          </cell>
          <cell r="BS107" t="str">
            <v>Brukeniano</v>
          </cell>
          <cell r="BT107" t="str">
            <v>Hermital</v>
          </cell>
          <cell r="BU107" t="str">
            <v>Irula</v>
          </cell>
          <cell r="BV107" t="str">
            <v>Jashú</v>
          </cell>
          <cell r="BW107" t="str">
            <v>Kannawa</v>
          </cell>
          <cell r="BX107" t="str">
            <v>Kola</v>
          </cell>
          <cell r="BY107" t="str">
            <v>Latín</v>
          </cell>
          <cell r="BZ107" t="str">
            <v>Latín Modal</v>
          </cell>
          <cell r="CA107" t="str">
            <v>Maka'k</v>
          </cell>
          <cell r="CB107" t="str">
            <v>Ogashima</v>
          </cell>
          <cell r="CC107" t="str">
            <v>Sheeham</v>
          </cell>
          <cell r="CD107" t="str">
            <v>Tarazv</v>
          </cell>
          <cell r="CE107" t="str">
            <v>Ukk</v>
          </cell>
          <cell r="CF107" t="str">
            <v>Valoa</v>
          </cell>
          <cell r="CG107" t="str">
            <v>Yamato</v>
          </cell>
          <cell r="CH107" t="str">
            <v>Yamato shun</v>
          </cell>
          <cell r="CI107" t="str">
            <v>&gt; MUERTAS</v>
          </cell>
          <cell r="CJ107" t="str">
            <v>Dael</v>
          </cell>
          <cell r="CK107" t="str">
            <v>Dagón</v>
          </cell>
          <cell r="CL107" t="str">
            <v>Draedico</v>
          </cell>
          <cell r="CM107" t="str">
            <v>Draedico antiguo</v>
          </cell>
          <cell r="CN107" t="str">
            <v>Elium lacrimae</v>
          </cell>
          <cell r="CO107" t="str">
            <v>Kadath</v>
          </cell>
          <cell r="CP107" t="str">
            <v>Kamyu</v>
          </cell>
          <cell r="CQ107" t="str">
            <v>Legameton</v>
          </cell>
          <cell r="CR107" t="str">
            <v>Lileth</v>
          </cell>
          <cell r="CS107" t="str">
            <v>Nepranus</v>
          </cell>
          <cell r="CT107" t="str">
            <v>Nuth</v>
          </cell>
          <cell r="CU107" t="str">
            <v>S'lish</v>
          </cell>
          <cell r="CV107" t="str">
            <v>Uktalta</v>
          </cell>
          <cell r="CW107" t="str">
            <v>Ultwe'alariel</v>
          </cell>
          <cell r="CX107" t="str">
            <v>Yvah</v>
          </cell>
          <cell r="CY107" t="str">
            <v>&gt; PERSONALIZADAS</v>
          </cell>
          <cell r="CZ107" t="str">
            <v>Lengua P. #1</v>
          </cell>
          <cell r="DA107" t="str">
            <v>Lengua P. #2</v>
          </cell>
          <cell r="DB107" t="str">
            <v>Lengua P. #3</v>
          </cell>
        </row>
        <row r="108">
          <cell r="C108" t="str">
            <v>Mujer</v>
          </cell>
          <cell r="F108" t="str">
            <v>No Cumplido</v>
          </cell>
        </row>
        <row r="109">
          <cell r="C109" t="str">
            <v>Otro</v>
          </cell>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Asher</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Aion</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Zínner</v>
          </cell>
          <cell r="F115" t="str">
            <v>Cola</v>
          </cell>
          <cell r="J115" t="str">
            <v>Nephilim Devah</v>
          </cell>
          <cell r="K115">
            <v>-10</v>
          </cell>
          <cell r="L115">
            <v>-10</v>
          </cell>
          <cell r="N115">
            <v>10</v>
          </cell>
          <cell r="O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Tayahar</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Ryuan</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Piel resistente, Sangre fría, Alma inmortal (-3 PXs)</v>
          </cell>
        </row>
        <row r="118">
          <cell r="C118" t="str">
            <v>Norne</v>
          </cell>
          <cell r="J118" t="str">
            <v>Humano</v>
          </cell>
          <cell r="Q118">
            <v>0</v>
          </cell>
          <cell r="R118">
            <v>0</v>
          </cell>
          <cell r="S118">
            <v>0</v>
          </cell>
          <cell r="T118">
            <v>0</v>
          </cell>
          <cell r="U118">
            <v>0</v>
          </cell>
          <cell r="V118">
            <v>0</v>
          </cell>
          <cell r="W118">
            <v>0</v>
          </cell>
          <cell r="X118">
            <v>0</v>
          </cell>
          <cell r="Y118">
            <v>0</v>
          </cell>
          <cell r="AC118" t="str">
            <v/>
          </cell>
        </row>
        <row r="119">
          <cell r="C119" t="str">
            <v>Vildian</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Daevar</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0</v>
          </cell>
          <cell r="AC120" t="str">
            <v>Gigantes, Físico excepcional, Aguante al cansancio, Resistencia física, El tercer ojo, Armas naturales, Fuerza Inhumana, Debilidad contra magia, Modificador de nivel: +1</v>
          </cell>
        </row>
        <row r="121">
          <cell r="C121" t="str">
            <v>Kwa</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Celsus</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Dravado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Basano</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Sulem</v>
          </cell>
          <cell r="F125" t="str">
            <v>Ánima</v>
          </cell>
          <cell r="J125" t="str">
            <v>Devah</v>
          </cell>
          <cell r="K125">
            <v>-10</v>
          </cell>
          <cell r="L125">
            <v>-10</v>
          </cell>
          <cell r="N125">
            <v>15</v>
          </cell>
          <cell r="O125">
            <v>15</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Achí</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Eruk</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C128" t="str">
            <v>Roman</v>
          </cell>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0</v>
          </cell>
          <cell r="S131">
            <v>0</v>
          </cell>
          <cell r="T131">
            <v>0</v>
          </cell>
          <cell r="U131">
            <v>0</v>
          </cell>
          <cell r="V131">
            <v>0</v>
          </cell>
          <cell r="W131">
            <v>0</v>
          </cell>
          <cell r="X131">
            <v>0</v>
          </cell>
          <cell r="Y131">
            <v>0</v>
          </cell>
          <cell r="Z131">
            <v>0</v>
          </cell>
          <cell r="AA131">
            <v>0</v>
          </cell>
          <cell r="AB131">
            <v>0</v>
          </cell>
        </row>
        <row r="136">
          <cell r="F136" t="str">
            <v xml:space="preserve"> </v>
          </cell>
          <cell r="L136" t="str">
            <v/>
          </cell>
          <cell r="N136" t="str">
            <v/>
          </cell>
        </row>
        <row r="137">
          <cell r="F137" t="str">
            <v xml:space="preserve"> </v>
          </cell>
          <cell r="L137" t="str">
            <v/>
          </cell>
          <cell r="N137" t="str">
            <v/>
          </cell>
        </row>
        <row r="138">
          <cell r="C138" t="str">
            <v>&gt;&gt; VIEJO CONTINENTE</v>
          </cell>
          <cell r="F138" t="str">
            <v xml:space="preserve"> </v>
          </cell>
        </row>
        <row r="139">
          <cell r="C139" t="str">
            <v>&gt; El Sacro Santo Imperio de Abel</v>
          </cell>
          <cell r="F139" t="str">
            <v xml:space="preserve"> </v>
          </cell>
        </row>
        <row r="140">
          <cell r="C140" t="str">
            <v>Abel</v>
          </cell>
          <cell r="F140" t="str">
            <v xml:space="preserve"> </v>
          </cell>
        </row>
        <row r="141">
          <cell r="C141" t="str">
            <v>Ilmora</v>
          </cell>
          <cell r="G141" t="str">
            <v>Clase</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cell r="DF141" t="str">
            <v/>
          </cell>
        </row>
        <row r="142">
          <cell r="C142" t="str">
            <v>Helenia</v>
          </cell>
          <cell r="G142" t="str">
            <v>Acrobacias</v>
          </cell>
          <cell r="T142">
            <v>10</v>
          </cell>
          <cell r="AU142">
            <v>20</v>
          </cell>
          <cell r="BS142">
            <v>20</v>
          </cell>
          <cell r="DF142">
            <v>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cell r="DF143">
            <v>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cell r="DF144">
            <v>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X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cell r="DF145">
            <v>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cell r="DF146">
            <v>0</v>
          </cell>
        </row>
        <row r="147">
          <cell r="C147" t="str">
            <v>Kanon</v>
          </cell>
          <cell r="G147" t="str">
            <v>Saltar</v>
          </cell>
          <cell r="AB147">
            <v>20</v>
          </cell>
          <cell r="BV147">
            <v>20</v>
          </cell>
          <cell r="BZ147">
            <v>20</v>
          </cell>
          <cell r="CG147">
            <v>20</v>
          </cell>
          <cell r="DA147">
            <v>20</v>
          </cell>
          <cell r="DD147">
            <v>20</v>
          </cell>
          <cell r="DF147">
            <v>0</v>
          </cell>
        </row>
        <row r="148">
          <cell r="C148" t="str">
            <v xml:space="preserve">&gt; La Alianza Azur
</v>
          </cell>
          <cell r="G148" t="str">
            <v>Pilotar</v>
          </cell>
          <cell r="DF148">
            <v>0</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cell r="DF149">
            <v>0</v>
          </cell>
        </row>
        <row r="150">
          <cell r="C150" t="str">
            <v>Remo</v>
          </cell>
          <cell r="G150" t="str">
            <v>Intimidar</v>
          </cell>
          <cell r="P150">
            <v>20</v>
          </cell>
          <cell r="Q150">
            <v>20</v>
          </cell>
          <cell r="AA150">
            <v>20</v>
          </cell>
          <cell r="AB150">
            <v>20</v>
          </cell>
          <cell r="AC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cell r="DF150">
            <v>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cell r="DF151">
            <v>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cell r="DF152">
            <v>0</v>
          </cell>
        </row>
        <row r="153">
          <cell r="C153" t="str">
            <v>Goldar</v>
          </cell>
          <cell r="G153" t="str">
            <v>Comercio</v>
          </cell>
          <cell r="DF153">
            <v>0</v>
          </cell>
        </row>
        <row r="154">
          <cell r="C154" t="str">
            <v>Haufman</v>
          </cell>
          <cell r="G154" t="str">
            <v>Callejeo</v>
          </cell>
          <cell r="DF154">
            <v>0</v>
          </cell>
        </row>
        <row r="155">
          <cell r="C155" t="str">
            <v>Hendell</v>
          </cell>
          <cell r="G155" t="str">
            <v>Etiqueta</v>
          </cell>
          <cell r="DF155">
            <v>0</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cell r="DF156">
            <v>0</v>
          </cell>
        </row>
        <row r="157">
          <cell r="C157" t="str">
            <v>Moth</v>
          </cell>
          <cell r="G157" t="str">
            <v>Buscar</v>
          </cell>
          <cell r="BH157">
            <v>20</v>
          </cell>
          <cell r="DF157">
            <v>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cell r="DF158">
            <v>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cell r="DF159">
            <v>0</v>
          </cell>
        </row>
        <row r="160">
          <cell r="C160" t="str">
            <v>Gabriel</v>
          </cell>
          <cell r="G160" t="str">
            <v>Ciencia</v>
          </cell>
          <cell r="K160">
            <v>20</v>
          </cell>
          <cell r="L160">
            <v>20</v>
          </cell>
          <cell r="BK160">
            <v>20</v>
          </cell>
          <cell r="BL160">
            <v>20</v>
          </cell>
          <cell r="BN160">
            <v>30</v>
          </cell>
          <cell r="DF160">
            <v>0</v>
          </cell>
        </row>
        <row r="161">
          <cell r="C161" t="str">
            <v>Phaion Eien Seimon</v>
          </cell>
          <cell r="G161" t="str">
            <v>Ley</v>
          </cell>
          <cell r="DF161">
            <v>0</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cell r="DF162">
            <v>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cell r="DF163">
            <v>0</v>
          </cell>
        </row>
        <row r="164">
          <cell r="C164" t="str">
            <v>Argos</v>
          </cell>
          <cell r="G164" t="str">
            <v>Tactica</v>
          </cell>
          <cell r="DF164">
            <v>0</v>
          </cell>
        </row>
        <row r="165">
          <cell r="C165" t="str">
            <v xml:space="preserve">&gt; Tierras de Al-Enneth
</v>
          </cell>
          <cell r="G165" t="str">
            <v>Medicina</v>
          </cell>
          <cell r="K165">
            <v>20</v>
          </cell>
          <cell r="CZ165">
            <v>20</v>
          </cell>
          <cell r="DF165">
            <v>0</v>
          </cell>
        </row>
        <row r="166">
          <cell r="C166" t="str">
            <v>Kushistán</v>
          </cell>
          <cell r="G166" t="str">
            <v>Memorizar</v>
          </cell>
          <cell r="K166">
            <v>20</v>
          </cell>
          <cell r="L166">
            <v>20</v>
          </cell>
          <cell r="AN166">
            <v>20</v>
          </cell>
          <cell r="BK166">
            <v>20</v>
          </cell>
          <cell r="BL166">
            <v>20</v>
          </cell>
          <cell r="BN166">
            <v>20</v>
          </cell>
          <cell r="DF166">
            <v>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cell r="DF167">
            <v>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cell r="DF168">
            <v>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cell r="DF169">
            <v>0</v>
          </cell>
        </row>
        <row r="170">
          <cell r="C170" t="str">
            <v>Nanwe</v>
          </cell>
          <cell r="G170" t="str">
            <v>V. Mágica</v>
          </cell>
          <cell r="DF170">
            <v>0</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cell r="DF171">
            <v>0</v>
          </cell>
        </row>
        <row r="172">
          <cell r="C172" t="str">
            <v>Kashmir</v>
          </cell>
          <cell r="G172" t="str">
            <v>P. Fuerza</v>
          </cell>
          <cell r="P172">
            <v>20</v>
          </cell>
          <cell r="AD172">
            <v>20</v>
          </cell>
          <cell r="AG172">
            <v>30</v>
          </cell>
          <cell r="AI172">
            <v>20</v>
          </cell>
          <cell r="AM172">
            <v>20</v>
          </cell>
          <cell r="AU172">
            <v>20</v>
          </cell>
          <cell r="AX172">
            <v>10</v>
          </cell>
          <cell r="BO172">
            <v>20</v>
          </cell>
          <cell r="BP172">
            <v>20</v>
          </cell>
          <cell r="BY172">
            <v>20</v>
          </cell>
          <cell r="DF172">
            <v>0</v>
          </cell>
        </row>
        <row r="173">
          <cell r="C173" t="str">
            <v>Baho</v>
          </cell>
          <cell r="G173" t="str">
            <v>Res. Dolor</v>
          </cell>
          <cell r="AI173">
            <v>20</v>
          </cell>
          <cell r="AJ173">
            <v>20</v>
          </cell>
          <cell r="AK173">
            <v>20</v>
          </cell>
          <cell r="AN173">
            <v>20</v>
          </cell>
          <cell r="BB173">
            <v>20</v>
          </cell>
          <cell r="BO173">
            <v>20</v>
          </cell>
          <cell r="BY173">
            <v>20</v>
          </cell>
          <cell r="DF173">
            <v>0</v>
          </cell>
        </row>
        <row r="174">
          <cell r="C174" t="str">
            <v>&gt; Las tierras Orientales</v>
          </cell>
          <cell r="G174" t="str">
            <v>Cerrajería</v>
          </cell>
          <cell r="DF174">
            <v>0</v>
          </cell>
        </row>
        <row r="175">
          <cell r="C175" t="str">
            <v>Lannet</v>
          </cell>
          <cell r="G175" t="str">
            <v>Disfraz</v>
          </cell>
          <cell r="DF175">
            <v>0</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cell r="DF176">
            <v>0</v>
          </cell>
        </row>
        <row r="177">
          <cell r="C177" t="str">
            <v>&gt;&gt; NUEVO CONTINENTE</v>
          </cell>
          <cell r="G177" t="str">
            <v>Robo</v>
          </cell>
          <cell r="AB177">
            <v>20</v>
          </cell>
          <cell r="AS177">
            <v>20</v>
          </cell>
          <cell r="AT177">
            <v>10</v>
          </cell>
          <cell r="DF177">
            <v>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cell r="DF178">
            <v>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cell r="DF179">
            <v>0</v>
          </cell>
        </row>
        <row r="180">
          <cell r="C180" t="str">
            <v>Arabal</v>
          </cell>
          <cell r="G180" t="str">
            <v>Venenos</v>
          </cell>
          <cell r="DF180">
            <v>0</v>
          </cell>
        </row>
        <row r="181">
          <cell r="C181" t="str">
            <v>Pristina</v>
          </cell>
          <cell r="G181" t="str">
            <v>Arte</v>
          </cell>
          <cell r="K181">
            <v>20</v>
          </cell>
          <cell r="BF181">
            <v>10</v>
          </cell>
          <cell r="BG181">
            <v>10</v>
          </cell>
          <cell r="BN181">
            <v>30</v>
          </cell>
          <cell r="BQ181">
            <v>20</v>
          </cell>
          <cell r="DF181">
            <v>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cell r="DF182">
            <v>0</v>
          </cell>
        </row>
        <row r="183">
          <cell r="C183" t="str">
            <v>Elcia</v>
          </cell>
          <cell r="G183" t="str">
            <v>Forja</v>
          </cell>
          <cell r="P183">
            <v>20</v>
          </cell>
          <cell r="BF183">
            <v>30</v>
          </cell>
          <cell r="DF183">
            <v>0</v>
          </cell>
        </row>
        <row r="184">
          <cell r="C184" t="str">
            <v>Espheria</v>
          </cell>
          <cell r="G184" t="str">
            <v>Runas</v>
          </cell>
          <cell r="DF184">
            <v>0</v>
          </cell>
        </row>
        <row r="185">
          <cell r="C185" t="str">
            <v>Itzi</v>
          </cell>
          <cell r="G185" t="str">
            <v>Alquimia</v>
          </cell>
          <cell r="DF185">
            <v>0</v>
          </cell>
        </row>
        <row r="186">
          <cell r="C186" t="str">
            <v>Dafne</v>
          </cell>
          <cell r="G186" t="str">
            <v>Animismo</v>
          </cell>
          <cell r="DF186">
            <v>0</v>
          </cell>
        </row>
        <row r="187">
          <cell r="C187" t="str">
            <v>Bekent</v>
          </cell>
          <cell r="G187" t="str">
            <v>Música</v>
          </cell>
          <cell r="S187">
            <v>30</v>
          </cell>
          <cell r="BQ187">
            <v>20</v>
          </cell>
          <cell r="CR187">
            <v>20</v>
          </cell>
          <cell r="CS187">
            <v>20</v>
          </cell>
          <cell r="CT187">
            <v>20</v>
          </cell>
          <cell r="DF187">
            <v>0</v>
          </cell>
        </row>
        <row r="188">
          <cell r="C188" t="str">
            <v>&gt;&gt; INTERREGNOS</v>
          </cell>
          <cell r="G188" t="str">
            <v>T. Manos</v>
          </cell>
          <cell r="H188">
            <v>20</v>
          </cell>
          <cell r="Y188">
            <v>20</v>
          </cell>
          <cell r="CR188">
            <v>20</v>
          </cell>
          <cell r="DF188">
            <v>0</v>
          </cell>
        </row>
        <row r="189">
          <cell r="C189" t="str">
            <v>Heinlein</v>
          </cell>
          <cell r="G189" t="str">
            <v>Caligrafía ritual</v>
          </cell>
          <cell r="DF189">
            <v>0</v>
          </cell>
        </row>
        <row r="190">
          <cell r="C190" t="str">
            <v>Dravenor</v>
          </cell>
          <cell r="G190" t="str">
            <v>Orfebrería</v>
          </cell>
          <cell r="DF190">
            <v>0</v>
          </cell>
        </row>
        <row r="191">
          <cell r="C191" t="str">
            <v>Theresia</v>
          </cell>
          <cell r="G191" t="str">
            <v>Confección</v>
          </cell>
          <cell r="DF191">
            <v>0</v>
          </cell>
        </row>
        <row r="192">
          <cell r="C192" t="str">
            <v>Deloran</v>
          </cell>
          <cell r="G192" t="str">
            <v>Conf. marionetas</v>
          </cell>
          <cell r="DF192">
            <v>0</v>
          </cell>
        </row>
        <row r="193">
          <cell r="C193" t="str">
            <v>&gt;&gt; PERSONALIZACIÓN</v>
          </cell>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cell r="DF193">
            <v>0</v>
          </cell>
        </row>
        <row r="194">
          <cell r="C194" t="str">
            <v>Región Personalizada</v>
          </cell>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cell r="DF194">
            <v>0</v>
          </cell>
        </row>
        <row r="195">
          <cell r="AH195" t="str">
            <v>20 Rastrear</v>
          </cell>
          <cell r="DF195">
            <v>0</v>
          </cell>
        </row>
        <row r="196">
          <cell r="AH196" t="str">
            <v>20 Historia (Local)</v>
          </cell>
          <cell r="DF196">
            <v>0</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Nv/CV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Ciencia</v>
          </cell>
          <cell r="BV201" t="str">
            <v>Memorizar</v>
          </cell>
          <cell r="BW201" t="str">
            <v>Cerrajería</v>
          </cell>
          <cell r="BX201" t="str">
            <v>Ocultarse</v>
          </cell>
          <cell r="BY201" t="str">
            <v>Sigilo</v>
          </cell>
          <cell r="BZ201" t="str">
            <v>Robo</v>
          </cell>
          <cell r="CA201" t="str">
            <v>Venenos</v>
          </cell>
          <cell r="CB201" t="str">
            <v>Ocultismo</v>
          </cell>
          <cell r="CC201" t="str">
            <v>V. Mágica</v>
          </cell>
          <cell r="CD201" t="str">
            <v>Disfraz</v>
          </cell>
          <cell r="CE201" t="str">
            <v>Convocar</v>
          </cell>
          <cell r="CF201" t="str">
            <v>Atar</v>
          </cell>
          <cell r="CG201" t="str">
            <v>Detección Ki</v>
          </cell>
          <cell r="CH201" t="str">
            <v>Ocultación Ki</v>
          </cell>
          <cell r="CI201" t="str">
            <v>Investigación Psi</v>
          </cell>
          <cell r="CJ201" t="str">
            <v>Arquetipo 1</v>
          </cell>
          <cell r="CK201" t="str">
            <v>Arquetipo 2</v>
          </cell>
          <cell r="CL201" t="str">
            <v>Arquetipo</v>
          </cell>
        </row>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J202" t="str">
            <v>Luchador</v>
          </cell>
          <cell r="CK202" t="str">
            <v>Sin</v>
          </cell>
          <cell r="CL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J203" t="str">
            <v>Luchador</v>
          </cell>
          <cell r="CK203" t="str">
            <v>Sin</v>
          </cell>
          <cell r="CL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J204" t="str">
            <v>Luchador</v>
          </cell>
          <cell r="CK204" t="str">
            <v>Sin</v>
          </cell>
          <cell r="CL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J205" t="str">
            <v>Luchador</v>
          </cell>
          <cell r="CK205" t="str">
            <v>Sin</v>
          </cell>
          <cell r="CL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J206" t="str">
            <v>Luchador</v>
          </cell>
          <cell r="CK206" t="str">
            <v>Sin</v>
          </cell>
          <cell r="CL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J207" t="str">
            <v>Luchador</v>
          </cell>
          <cell r="CK207" t="str">
            <v>Sin</v>
          </cell>
          <cell r="CL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J208" t="str">
            <v>Luchador</v>
          </cell>
          <cell r="CK208" t="str">
            <v>Sin</v>
          </cell>
          <cell r="CL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J209" t="str">
            <v>Domine</v>
          </cell>
          <cell r="CK209" t="str">
            <v>Sin</v>
          </cell>
          <cell r="CL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J210" t="str">
            <v>Domine</v>
          </cell>
          <cell r="CK210" t="str">
            <v>Luchador</v>
          </cell>
          <cell r="CL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G211">
            <v>10</v>
          </cell>
          <cell r="CJ211" t="str">
            <v>Acechador</v>
          </cell>
          <cell r="CK211" t="str">
            <v>Luchador</v>
          </cell>
          <cell r="CL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X212">
            <v>10</v>
          </cell>
          <cell r="BY212">
            <v>10</v>
          </cell>
          <cell r="CH212">
            <v>5</v>
          </cell>
          <cell r="CJ212" t="str">
            <v>Acechador</v>
          </cell>
          <cell r="CK212" t="str">
            <v>Luchador</v>
          </cell>
          <cell r="CL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X213">
            <v>5</v>
          </cell>
          <cell r="BY213">
            <v>5</v>
          </cell>
          <cell r="BZ213">
            <v>10</v>
          </cell>
          <cell r="CH213">
            <v>5</v>
          </cell>
          <cell r="CJ213" t="str">
            <v>Acechador</v>
          </cell>
          <cell r="CK213" t="str">
            <v>Sin</v>
          </cell>
          <cell r="CL213" t="str">
            <v>AcechadorSin</v>
          </cell>
        </row>
        <row r="214">
          <cell r="D214" t="str">
            <v>Ladrón Psiónico (P)</v>
          </cell>
          <cell r="E214">
            <v>5</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2</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2</v>
          </cell>
          <cell r="AM214">
            <v>2</v>
          </cell>
          <cell r="AN214">
            <v>3</v>
          </cell>
          <cell r="AO214">
            <v>3</v>
          </cell>
          <cell r="AP214">
            <v>2</v>
          </cell>
          <cell r="AQ214">
            <v>3</v>
          </cell>
          <cell r="AR214">
            <v>3</v>
          </cell>
          <cell r="AS214">
            <v>3</v>
          </cell>
          <cell r="AT214">
            <v>3</v>
          </cell>
          <cell r="AU214">
            <v>3</v>
          </cell>
          <cell r="AV214">
            <v>3</v>
          </cell>
          <cell r="AW214">
            <v>3</v>
          </cell>
          <cell r="AX214">
            <v>3</v>
          </cell>
          <cell r="AY214">
            <v>3</v>
          </cell>
          <cell r="AZ214">
            <v>3</v>
          </cell>
          <cell r="BA214">
            <v>3</v>
          </cell>
          <cell r="BL214">
            <v>5</v>
          </cell>
          <cell r="BV214">
            <v>5</v>
          </cell>
          <cell r="BW214">
            <v>5</v>
          </cell>
          <cell r="BX214">
            <v>10</v>
          </cell>
          <cell r="BY214">
            <v>10</v>
          </cell>
          <cell r="CD214">
            <v>5</v>
          </cell>
          <cell r="CH214">
            <v>5</v>
          </cell>
          <cell r="CI214">
            <v>5</v>
          </cell>
          <cell r="CJ214" t="str">
            <v>Acechador</v>
          </cell>
          <cell r="CK214" t="str">
            <v>Psíquico</v>
          </cell>
          <cell r="CL214" t="str">
            <v>AcechadorPsíquico</v>
          </cell>
        </row>
        <row r="215">
          <cell r="D215" t="str">
            <v>Ladrón Psiónico (F)</v>
          </cell>
          <cell r="E215">
            <v>5</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2</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2</v>
          </cell>
          <cell r="AM215">
            <v>2</v>
          </cell>
          <cell r="AN215">
            <v>3</v>
          </cell>
          <cell r="AO215">
            <v>3</v>
          </cell>
          <cell r="AP215">
            <v>2</v>
          </cell>
          <cell r="AQ215">
            <v>3</v>
          </cell>
          <cell r="AR215">
            <v>3</v>
          </cell>
          <cell r="AS215">
            <v>3</v>
          </cell>
          <cell r="AT215">
            <v>3</v>
          </cell>
          <cell r="AU215">
            <v>3</v>
          </cell>
          <cell r="AV215">
            <v>3</v>
          </cell>
          <cell r="AW215">
            <v>3</v>
          </cell>
          <cell r="AX215">
            <v>3</v>
          </cell>
          <cell r="AY215">
            <v>3</v>
          </cell>
          <cell r="AZ215">
            <v>3</v>
          </cell>
          <cell r="BA215">
            <v>3</v>
          </cell>
          <cell r="BK215">
            <v>5</v>
          </cell>
          <cell r="BL215">
            <v>5</v>
          </cell>
          <cell r="BV215">
            <v>5</v>
          </cell>
          <cell r="BW215">
            <v>5</v>
          </cell>
          <cell r="BX215">
            <v>10</v>
          </cell>
          <cell r="BY215">
            <v>10</v>
          </cell>
          <cell r="CD215">
            <v>5</v>
          </cell>
          <cell r="CH215">
            <v>5</v>
          </cell>
          <cell r="CJ215" t="str">
            <v>Acechador</v>
          </cell>
          <cell r="CK215" t="str">
            <v>Psíquico</v>
          </cell>
          <cell r="CL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25</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X216">
            <v>10</v>
          </cell>
          <cell r="BY216">
            <v>10</v>
          </cell>
          <cell r="CA216">
            <v>10</v>
          </cell>
          <cell r="CJ216" t="str">
            <v>Acechador</v>
          </cell>
          <cell r="CK216" t="str">
            <v>Sin</v>
          </cell>
          <cell r="CL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B217">
            <v>5</v>
          </cell>
          <cell r="CC217">
            <v>10</v>
          </cell>
          <cell r="CJ217" t="str">
            <v>Místico</v>
          </cell>
          <cell r="CK217" t="str">
            <v>Sin</v>
          </cell>
          <cell r="CL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C218">
            <v>5</v>
          </cell>
          <cell r="CJ218" t="str">
            <v>Luchador</v>
          </cell>
          <cell r="CK218" t="str">
            <v>Místico</v>
          </cell>
          <cell r="CL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X219">
            <v>10</v>
          </cell>
          <cell r="BY219">
            <v>10</v>
          </cell>
          <cell r="BZ219">
            <v>5</v>
          </cell>
          <cell r="CC219">
            <v>5</v>
          </cell>
          <cell r="CD219">
            <v>5</v>
          </cell>
          <cell r="CJ219" t="str">
            <v>Acechador</v>
          </cell>
          <cell r="CK219" t="str">
            <v>Místico</v>
          </cell>
          <cell r="CL219" t="str">
            <v>AcechadorMístico</v>
          </cell>
        </row>
        <row r="220">
          <cell r="D220" t="str">
            <v>Hechicero Mentalista</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CB220">
            <v>5</v>
          </cell>
          <cell r="CC220">
            <v>10</v>
          </cell>
          <cell r="CJ220" t="str">
            <v>Místico</v>
          </cell>
          <cell r="CK220" t="str">
            <v>Psíquico</v>
          </cell>
          <cell r="CL220" t="str">
            <v>MísticoPsíquico</v>
          </cell>
        </row>
        <row r="221">
          <cell r="D221" t="str">
            <v>Hechicero Ment. (P)</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2</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U221">
            <v>5</v>
          </cell>
          <cell r="CB221">
            <v>5</v>
          </cell>
          <cell r="CC221">
            <v>10</v>
          </cell>
          <cell r="CI221">
            <v>10</v>
          </cell>
          <cell r="CJ221" t="str">
            <v>Místico</v>
          </cell>
          <cell r="CK221" t="str">
            <v>Psíquico</v>
          </cell>
          <cell r="CL221" t="str">
            <v>MísticoPsíquico</v>
          </cell>
        </row>
        <row r="222">
          <cell r="D222" t="str">
            <v>Hechicero Ment. (F)</v>
          </cell>
          <cell r="E222">
            <v>5</v>
          </cell>
          <cell r="F222">
            <v>5</v>
          </cell>
          <cell r="G222">
            <v>20</v>
          </cell>
          <cell r="H222">
            <v>10</v>
          </cell>
          <cell r="I222">
            <v>0.5</v>
          </cell>
          <cell r="J222">
            <v>0.5</v>
          </cell>
          <cell r="K222">
            <v>0.5</v>
          </cell>
          <cell r="L222">
            <v>1</v>
          </cell>
          <cell r="Q222">
            <v>100</v>
          </cell>
          <cell r="R222">
            <v>3</v>
          </cell>
          <cell r="S222">
            <v>3</v>
          </cell>
          <cell r="T222">
            <v>2</v>
          </cell>
          <cell r="U222">
            <v>3</v>
          </cell>
          <cell r="V222">
            <v>2</v>
          </cell>
          <cell r="W222">
            <v>30</v>
          </cell>
          <cell r="X222">
            <v>1</v>
          </cell>
          <cell r="Y222">
            <v>50</v>
          </cell>
          <cell r="Z222">
            <v>2</v>
          </cell>
          <cell r="AA222">
            <v>2</v>
          </cell>
          <cell r="AB222">
            <v>2</v>
          </cell>
          <cell r="AC222">
            <v>2</v>
          </cell>
          <cell r="AD222">
            <v>2</v>
          </cell>
          <cell r="AE222">
            <v>10</v>
          </cell>
          <cell r="AF222">
            <v>2</v>
          </cell>
          <cell r="AG222">
            <v>2</v>
          </cell>
          <cell r="AH222">
            <v>2</v>
          </cell>
          <cell r="AI222">
            <v>2</v>
          </cell>
          <cell r="AJ222">
            <v>2</v>
          </cell>
          <cell r="AK222">
            <v>3</v>
          </cell>
          <cell r="AL222">
            <v>2</v>
          </cell>
          <cell r="AM222">
            <v>2</v>
          </cell>
          <cell r="AN222">
            <v>3</v>
          </cell>
          <cell r="AO222">
            <v>2</v>
          </cell>
          <cell r="AP222">
            <v>2</v>
          </cell>
          <cell r="AQ222">
            <v>3</v>
          </cell>
          <cell r="AR222">
            <v>3</v>
          </cell>
          <cell r="AS222">
            <v>3</v>
          </cell>
          <cell r="AT222">
            <v>3</v>
          </cell>
          <cell r="AU222">
            <v>3</v>
          </cell>
          <cell r="AV222">
            <v>3</v>
          </cell>
          <cell r="AW222">
            <v>3</v>
          </cell>
          <cell r="AX222">
            <v>3</v>
          </cell>
          <cell r="AY222">
            <v>3</v>
          </cell>
          <cell r="AZ222">
            <v>3</v>
          </cell>
          <cell r="BA222">
            <v>3</v>
          </cell>
          <cell r="BK222">
            <v>5</v>
          </cell>
          <cell r="BV222">
            <v>5</v>
          </cell>
          <cell r="CB222">
            <v>5</v>
          </cell>
          <cell r="CC222">
            <v>10</v>
          </cell>
          <cell r="CJ222" t="str">
            <v>Místico</v>
          </cell>
          <cell r="CK222" t="str">
            <v>Psíquico</v>
          </cell>
          <cell r="CL222" t="str">
            <v>MísticoPsíquico</v>
          </cell>
        </row>
        <row r="223">
          <cell r="D223" t="str">
            <v>Conjurador</v>
          </cell>
          <cell r="E223">
            <v>5</v>
          </cell>
          <cell r="F223">
            <v>5</v>
          </cell>
          <cell r="G223">
            <v>20</v>
          </cell>
          <cell r="H223">
            <v>10</v>
          </cell>
          <cell r="I223">
            <v>0.5</v>
          </cell>
          <cell r="J223">
            <v>0.60000000000000009</v>
          </cell>
          <cell r="K223">
            <v>0.5</v>
          </cell>
          <cell r="L223">
            <v>3</v>
          </cell>
          <cell r="Q223">
            <v>50</v>
          </cell>
          <cell r="R223">
            <v>3</v>
          </cell>
          <cell r="S223">
            <v>3</v>
          </cell>
          <cell r="T223">
            <v>2</v>
          </cell>
          <cell r="U223">
            <v>3</v>
          </cell>
          <cell r="V223">
            <v>3</v>
          </cell>
          <cell r="W223">
            <v>30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3</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1</v>
          </cell>
          <cell r="BC223">
            <v>0</v>
          </cell>
          <cell r="BM223">
            <v>10</v>
          </cell>
          <cell r="BN223">
            <v>10</v>
          </cell>
          <cell r="CB223">
            <v>10</v>
          </cell>
          <cell r="CC223">
            <v>5</v>
          </cell>
          <cell r="CE223">
            <v>10</v>
          </cell>
          <cell r="CF223">
            <v>10</v>
          </cell>
          <cell r="CJ223" t="str">
            <v>Místico</v>
          </cell>
          <cell r="CK223" t="str">
            <v>Sin</v>
          </cell>
          <cell r="CL223" t="str">
            <v>MísticoSin</v>
          </cell>
        </row>
        <row r="224">
          <cell r="D224" t="str">
            <v>Guerrero Conjurador</v>
          </cell>
          <cell r="E224">
            <v>5</v>
          </cell>
          <cell r="F224">
            <v>10</v>
          </cell>
          <cell r="G224">
            <v>20</v>
          </cell>
          <cell r="H224">
            <v>20</v>
          </cell>
          <cell r="I224">
            <v>0.5</v>
          </cell>
          <cell r="J224">
            <v>0.5</v>
          </cell>
          <cell r="K224">
            <v>0.5</v>
          </cell>
          <cell r="L224">
            <v>3</v>
          </cell>
          <cell r="M224">
            <v>5</v>
          </cell>
          <cell r="N224">
            <v>5</v>
          </cell>
          <cell r="O224">
            <v>5</v>
          </cell>
          <cell r="Q224">
            <v>20</v>
          </cell>
          <cell r="R224">
            <v>2</v>
          </cell>
          <cell r="S224">
            <v>2</v>
          </cell>
          <cell r="T224">
            <v>2</v>
          </cell>
          <cell r="U224">
            <v>2</v>
          </cell>
          <cell r="V224">
            <v>2</v>
          </cell>
          <cell r="W224">
            <v>20</v>
          </cell>
          <cell r="X224">
            <v>1</v>
          </cell>
          <cell r="Y224">
            <v>60</v>
          </cell>
          <cell r="Z224">
            <v>3</v>
          </cell>
          <cell r="AA224">
            <v>1</v>
          </cell>
          <cell r="AB224">
            <v>1</v>
          </cell>
          <cell r="AC224">
            <v>1</v>
          </cell>
          <cell r="AD224">
            <v>1</v>
          </cell>
          <cell r="AE224">
            <v>20</v>
          </cell>
          <cell r="AF224">
            <v>3</v>
          </cell>
          <cell r="AG224">
            <v>2</v>
          </cell>
          <cell r="AH224">
            <v>2</v>
          </cell>
          <cell r="AI224">
            <v>2</v>
          </cell>
          <cell r="AJ224">
            <v>2</v>
          </cell>
          <cell r="AK224">
            <v>2</v>
          </cell>
          <cell r="AL224">
            <v>2</v>
          </cell>
          <cell r="AM224">
            <v>2</v>
          </cell>
          <cell r="AN224">
            <v>3</v>
          </cell>
          <cell r="AO224">
            <v>3</v>
          </cell>
          <cell r="AP224">
            <v>3</v>
          </cell>
          <cell r="AQ224">
            <v>3</v>
          </cell>
          <cell r="AR224">
            <v>3</v>
          </cell>
          <cell r="AS224">
            <v>3</v>
          </cell>
          <cell r="AT224">
            <v>3</v>
          </cell>
          <cell r="AU224">
            <v>3</v>
          </cell>
          <cell r="AV224">
            <v>3</v>
          </cell>
          <cell r="AW224">
            <v>3</v>
          </cell>
          <cell r="AX224">
            <v>3</v>
          </cell>
          <cell r="AY224">
            <v>3</v>
          </cell>
          <cell r="AZ224">
            <v>3</v>
          </cell>
          <cell r="BA224">
            <v>3</v>
          </cell>
          <cell r="BM224">
            <v>5</v>
          </cell>
          <cell r="BN224">
            <v>5</v>
          </cell>
          <cell r="CB224">
            <v>5</v>
          </cell>
          <cell r="CE224">
            <v>5</v>
          </cell>
          <cell r="CF224">
            <v>5</v>
          </cell>
          <cell r="CJ224" t="str">
            <v>Luchador</v>
          </cell>
          <cell r="CK224" t="str">
            <v>Místico</v>
          </cell>
          <cell r="CL224" t="str">
            <v>LuchadorMístico</v>
          </cell>
        </row>
        <row r="225">
          <cell r="D225" t="str">
            <v>Mentalista</v>
          </cell>
          <cell r="E225">
            <v>5</v>
          </cell>
          <cell r="F225">
            <v>5</v>
          </cell>
          <cell r="G225">
            <v>20</v>
          </cell>
          <cell r="H225">
            <v>10</v>
          </cell>
          <cell r="I225">
            <v>0.5</v>
          </cell>
          <cell r="J225">
            <v>0.5</v>
          </cell>
          <cell r="K225">
            <v>0.60000000000000009</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3</v>
          </cell>
          <cell r="AP225">
            <v>3</v>
          </cell>
          <cell r="AQ225">
            <v>3</v>
          </cell>
          <cell r="AR225">
            <v>3</v>
          </cell>
          <cell r="AS225">
            <v>3</v>
          </cell>
          <cell r="AT225">
            <v>3</v>
          </cell>
          <cell r="AU225">
            <v>3</v>
          </cell>
          <cell r="AV225">
            <v>3</v>
          </cell>
          <cell r="AW225">
            <v>3</v>
          </cell>
          <cell r="AX225">
            <v>3</v>
          </cell>
          <cell r="AY225">
            <v>3</v>
          </cell>
          <cell r="AZ225">
            <v>3</v>
          </cell>
          <cell r="BA225">
            <v>3</v>
          </cell>
          <cell r="CJ225" t="str">
            <v>Psíquico</v>
          </cell>
          <cell r="CK225" t="str">
            <v>Sin</v>
          </cell>
          <cell r="CL225" t="str">
            <v>PsíquicoSin</v>
          </cell>
        </row>
        <row r="226">
          <cell r="D226" t="str">
            <v>Mentalista (P)</v>
          </cell>
          <cell r="E226">
            <v>5</v>
          </cell>
          <cell r="F226">
            <v>5</v>
          </cell>
          <cell r="G226">
            <v>20</v>
          </cell>
          <cell r="H226">
            <v>10</v>
          </cell>
          <cell r="I226">
            <v>0.5</v>
          </cell>
          <cell r="J226">
            <v>0.5</v>
          </cell>
          <cell r="K226">
            <v>0.60000000000000009</v>
          </cell>
          <cell r="L226">
            <v>1</v>
          </cell>
          <cell r="R226">
            <v>3</v>
          </cell>
          <cell r="S226">
            <v>3</v>
          </cell>
          <cell r="T226">
            <v>2</v>
          </cell>
          <cell r="U226">
            <v>3</v>
          </cell>
          <cell r="V226">
            <v>2</v>
          </cell>
          <cell r="W226">
            <v>30</v>
          </cell>
          <cell r="X226">
            <v>3</v>
          </cell>
          <cell r="Y226">
            <v>70</v>
          </cell>
          <cell r="Z226">
            <v>3</v>
          </cell>
          <cell r="AA226">
            <v>3</v>
          </cell>
          <cell r="AB226">
            <v>3</v>
          </cell>
          <cell r="AC226">
            <v>3</v>
          </cell>
          <cell r="AD226">
            <v>3</v>
          </cell>
          <cell r="AE226">
            <v>10</v>
          </cell>
          <cell r="AF226">
            <v>2</v>
          </cell>
          <cell r="AG226">
            <v>2</v>
          </cell>
          <cell r="AH226">
            <v>2</v>
          </cell>
          <cell r="AI226">
            <v>2</v>
          </cell>
          <cell r="AJ226">
            <v>2</v>
          </cell>
          <cell r="AK226">
            <v>3</v>
          </cell>
          <cell r="AL226">
            <v>2</v>
          </cell>
          <cell r="AM226">
            <v>2</v>
          </cell>
          <cell r="AN226">
            <v>3</v>
          </cell>
          <cell r="AO226">
            <v>2</v>
          </cell>
          <cell r="AP226">
            <v>2</v>
          </cell>
          <cell r="AQ226">
            <v>3</v>
          </cell>
          <cell r="AR226">
            <v>3</v>
          </cell>
          <cell r="AS226">
            <v>3</v>
          </cell>
          <cell r="AT226">
            <v>3</v>
          </cell>
          <cell r="AU226">
            <v>3</v>
          </cell>
          <cell r="AV226">
            <v>3</v>
          </cell>
          <cell r="AW226">
            <v>3</v>
          </cell>
          <cell r="AX226">
            <v>3</v>
          </cell>
          <cell r="AY226">
            <v>3</v>
          </cell>
          <cell r="AZ226">
            <v>3</v>
          </cell>
          <cell r="BA226">
            <v>3</v>
          </cell>
          <cell r="BU226">
            <v>10</v>
          </cell>
          <cell r="CI226">
            <v>10</v>
          </cell>
          <cell r="CJ226" t="str">
            <v>Psíquico</v>
          </cell>
          <cell r="CK226" t="str">
            <v>Sin</v>
          </cell>
          <cell r="CL226" t="str">
            <v>PsíquicoSin</v>
          </cell>
        </row>
        <row r="227">
          <cell r="D227" t="str">
            <v>Mentalista (F)</v>
          </cell>
          <cell r="E227">
            <v>5</v>
          </cell>
          <cell r="F227">
            <v>5</v>
          </cell>
          <cell r="G227">
            <v>20</v>
          </cell>
          <cell r="H227">
            <v>10</v>
          </cell>
          <cell r="I227">
            <v>0.5</v>
          </cell>
          <cell r="J227">
            <v>0.5</v>
          </cell>
          <cell r="K227">
            <v>0.60000000000000009</v>
          </cell>
          <cell r="L227">
            <v>1</v>
          </cell>
          <cell r="R227">
            <v>3</v>
          </cell>
          <cell r="S227">
            <v>3</v>
          </cell>
          <cell r="T227">
            <v>2</v>
          </cell>
          <cell r="U227">
            <v>3</v>
          </cell>
          <cell r="V227">
            <v>2</v>
          </cell>
          <cell r="W227">
            <v>30</v>
          </cell>
          <cell r="X227">
            <v>3</v>
          </cell>
          <cell r="Y227">
            <v>70</v>
          </cell>
          <cell r="Z227">
            <v>3</v>
          </cell>
          <cell r="AA227">
            <v>3</v>
          </cell>
          <cell r="AB227">
            <v>3</v>
          </cell>
          <cell r="AC227">
            <v>3</v>
          </cell>
          <cell r="AD227">
            <v>3</v>
          </cell>
          <cell r="AE227">
            <v>10</v>
          </cell>
          <cell r="AF227">
            <v>2</v>
          </cell>
          <cell r="AG227">
            <v>2</v>
          </cell>
          <cell r="AH227">
            <v>2</v>
          </cell>
          <cell r="AI227">
            <v>2</v>
          </cell>
          <cell r="AJ227">
            <v>2</v>
          </cell>
          <cell r="AK227">
            <v>3</v>
          </cell>
          <cell r="AL227">
            <v>2</v>
          </cell>
          <cell r="AM227">
            <v>2</v>
          </cell>
          <cell r="AN227">
            <v>3</v>
          </cell>
          <cell r="AO227">
            <v>2</v>
          </cell>
          <cell r="AP227">
            <v>2</v>
          </cell>
          <cell r="AQ227">
            <v>3</v>
          </cell>
          <cell r="AR227">
            <v>3</v>
          </cell>
          <cell r="AS227">
            <v>3</v>
          </cell>
          <cell r="AT227">
            <v>3</v>
          </cell>
          <cell r="AU227">
            <v>3</v>
          </cell>
          <cell r="AV227">
            <v>3</v>
          </cell>
          <cell r="AW227">
            <v>3</v>
          </cell>
          <cell r="AX227">
            <v>3</v>
          </cell>
          <cell r="AY227">
            <v>3</v>
          </cell>
          <cell r="AZ227">
            <v>3</v>
          </cell>
          <cell r="BA227">
            <v>3</v>
          </cell>
          <cell r="BK227">
            <v>10</v>
          </cell>
          <cell r="BV227">
            <v>10</v>
          </cell>
          <cell r="CJ227" t="str">
            <v>Psíquico</v>
          </cell>
          <cell r="CK227" t="str">
            <v>Sin</v>
          </cell>
          <cell r="CL227" t="str">
            <v>PsíquicoSin</v>
          </cell>
        </row>
        <row r="228">
          <cell r="D228" t="str">
            <v>Guerrero Ment. (P)</v>
          </cell>
          <cell r="E228">
            <v>5</v>
          </cell>
          <cell r="F228">
            <v>10</v>
          </cell>
          <cell r="G228">
            <v>20</v>
          </cell>
          <cell r="H228">
            <v>20</v>
          </cell>
          <cell r="I228">
            <v>0.5</v>
          </cell>
          <cell r="J228">
            <v>0.5</v>
          </cell>
          <cell r="K228">
            <v>0.5</v>
          </cell>
          <cell r="L228">
            <v>1</v>
          </cell>
          <cell r="M228">
            <v>5</v>
          </cell>
          <cell r="N228">
            <v>5</v>
          </cell>
          <cell r="O228">
            <v>5</v>
          </cell>
          <cell r="R228">
            <v>2</v>
          </cell>
          <cell r="S228">
            <v>2</v>
          </cell>
          <cell r="T228">
            <v>2</v>
          </cell>
          <cell r="U228">
            <v>3</v>
          </cell>
          <cell r="V228">
            <v>2</v>
          </cell>
          <cell r="W228">
            <v>25</v>
          </cell>
          <cell r="X228">
            <v>3</v>
          </cell>
          <cell r="Y228">
            <v>70</v>
          </cell>
          <cell r="Z228">
            <v>3</v>
          </cell>
          <cell r="AA228">
            <v>3</v>
          </cell>
          <cell r="AB228">
            <v>3</v>
          </cell>
          <cell r="AC228">
            <v>3</v>
          </cell>
          <cell r="AD228">
            <v>3</v>
          </cell>
          <cell r="AE228">
            <v>15</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BU228">
            <v>5</v>
          </cell>
          <cell r="CI228">
            <v>5</v>
          </cell>
          <cell r="CJ228" t="str">
            <v>Luchador</v>
          </cell>
          <cell r="CK228" t="str">
            <v>Psíquico</v>
          </cell>
          <cell r="CL228" t="str">
            <v>LuchadorPsíquico</v>
          </cell>
        </row>
        <row r="229">
          <cell r="D229" t="str">
            <v>Guerrero Ment. (F)</v>
          </cell>
          <cell r="E229">
            <v>5</v>
          </cell>
          <cell r="F229">
            <v>10</v>
          </cell>
          <cell r="G229">
            <v>20</v>
          </cell>
          <cell r="H229">
            <v>20</v>
          </cell>
          <cell r="I229">
            <v>0.5</v>
          </cell>
          <cell r="J229">
            <v>0.5</v>
          </cell>
          <cell r="K229">
            <v>0.5</v>
          </cell>
          <cell r="L229">
            <v>1</v>
          </cell>
          <cell r="M229">
            <v>5</v>
          </cell>
          <cell r="N229">
            <v>5</v>
          </cell>
          <cell r="O229">
            <v>5</v>
          </cell>
          <cell r="R229">
            <v>2</v>
          </cell>
          <cell r="S229">
            <v>2</v>
          </cell>
          <cell r="T229">
            <v>2</v>
          </cell>
          <cell r="U229">
            <v>3</v>
          </cell>
          <cell r="V229">
            <v>2</v>
          </cell>
          <cell r="W229">
            <v>25</v>
          </cell>
          <cell r="X229">
            <v>3</v>
          </cell>
          <cell r="Y229">
            <v>70</v>
          </cell>
          <cell r="Z229">
            <v>3</v>
          </cell>
          <cell r="AA229">
            <v>3</v>
          </cell>
          <cell r="AB229">
            <v>3</v>
          </cell>
          <cell r="AC229">
            <v>3</v>
          </cell>
          <cell r="AD229">
            <v>3</v>
          </cell>
          <cell r="AE229">
            <v>15</v>
          </cell>
          <cell r="AF229">
            <v>2</v>
          </cell>
          <cell r="AG229">
            <v>2</v>
          </cell>
          <cell r="AH229">
            <v>2</v>
          </cell>
          <cell r="AI229">
            <v>2</v>
          </cell>
          <cell r="AJ229">
            <v>2</v>
          </cell>
          <cell r="AK229">
            <v>2</v>
          </cell>
          <cell r="AL229">
            <v>2</v>
          </cell>
          <cell r="AM229">
            <v>2</v>
          </cell>
          <cell r="AN229">
            <v>3</v>
          </cell>
          <cell r="AO229">
            <v>3</v>
          </cell>
          <cell r="AP229">
            <v>3</v>
          </cell>
          <cell r="AQ229">
            <v>3</v>
          </cell>
          <cell r="AR229">
            <v>3</v>
          </cell>
          <cell r="AS229">
            <v>3</v>
          </cell>
          <cell r="AT229">
            <v>3</v>
          </cell>
          <cell r="AU229">
            <v>3</v>
          </cell>
          <cell r="AV229">
            <v>3</v>
          </cell>
          <cell r="AW229">
            <v>3</v>
          </cell>
          <cell r="AX229">
            <v>3</v>
          </cell>
          <cell r="AY229">
            <v>3</v>
          </cell>
          <cell r="AZ229">
            <v>3</v>
          </cell>
          <cell r="BA229">
            <v>3</v>
          </cell>
          <cell r="BK229">
            <v>5</v>
          </cell>
          <cell r="BV229">
            <v>5</v>
          </cell>
          <cell r="CJ229" t="str">
            <v>Luchador</v>
          </cell>
          <cell r="CK229" t="str">
            <v>Psíquico</v>
          </cell>
          <cell r="CL229" t="str">
            <v>LuchadorPsíquico</v>
          </cell>
        </row>
        <row r="230">
          <cell r="D230" t="str">
            <v>Guerrero Mentalista</v>
          </cell>
          <cell r="E230">
            <v>5</v>
          </cell>
          <cell r="F230">
            <v>10</v>
          </cell>
          <cell r="G230">
            <v>20</v>
          </cell>
          <cell r="H230">
            <v>20</v>
          </cell>
          <cell r="I230">
            <v>0.5</v>
          </cell>
          <cell r="J230">
            <v>0.5</v>
          </cell>
          <cell r="K230">
            <v>0.5</v>
          </cell>
          <cell r="L230">
            <v>1</v>
          </cell>
          <cell r="M230">
            <v>5</v>
          </cell>
          <cell r="N230">
            <v>5</v>
          </cell>
          <cell r="O230">
            <v>5</v>
          </cell>
          <cell r="R230">
            <v>2</v>
          </cell>
          <cell r="S230">
            <v>2</v>
          </cell>
          <cell r="T230">
            <v>2</v>
          </cell>
          <cell r="U230">
            <v>2</v>
          </cell>
          <cell r="V230">
            <v>2</v>
          </cell>
          <cell r="W230">
            <v>25</v>
          </cell>
          <cell r="X230">
            <v>3</v>
          </cell>
          <cell r="Y230">
            <v>70</v>
          </cell>
          <cell r="Z230">
            <v>3</v>
          </cell>
          <cell r="AA230">
            <v>3</v>
          </cell>
          <cell r="AB230">
            <v>3</v>
          </cell>
          <cell r="AC230">
            <v>3</v>
          </cell>
          <cell r="AD230">
            <v>3</v>
          </cell>
          <cell r="AE230">
            <v>15</v>
          </cell>
          <cell r="AF230">
            <v>2</v>
          </cell>
          <cell r="AG230">
            <v>2</v>
          </cell>
          <cell r="AH230">
            <v>2</v>
          </cell>
          <cell r="AI230">
            <v>2</v>
          </cell>
          <cell r="AJ230">
            <v>3</v>
          </cell>
          <cell r="AK230">
            <v>2</v>
          </cell>
          <cell r="AL230">
            <v>2</v>
          </cell>
          <cell r="AM230">
            <v>2</v>
          </cell>
          <cell r="AN230">
            <v>3</v>
          </cell>
          <cell r="AO230">
            <v>3</v>
          </cell>
          <cell r="AP230">
            <v>3</v>
          </cell>
          <cell r="AQ230">
            <v>3</v>
          </cell>
          <cell r="AR230">
            <v>3</v>
          </cell>
          <cell r="AS230">
            <v>3</v>
          </cell>
          <cell r="AT230">
            <v>3</v>
          </cell>
          <cell r="AU230">
            <v>3</v>
          </cell>
          <cell r="AV230">
            <v>3</v>
          </cell>
          <cell r="AW230">
            <v>3</v>
          </cell>
          <cell r="AX230">
            <v>3</v>
          </cell>
          <cell r="AY230">
            <v>3</v>
          </cell>
          <cell r="AZ230">
            <v>3</v>
          </cell>
          <cell r="BA230">
            <v>3</v>
          </cell>
          <cell r="CJ230" t="str">
            <v>Luchador</v>
          </cell>
          <cell r="CK230" t="str">
            <v>Psíquico</v>
          </cell>
          <cell r="CL230" t="str">
            <v>LuchadorPsíquico</v>
          </cell>
        </row>
        <row r="231">
          <cell r="D231" t="str">
            <v>Novel</v>
          </cell>
          <cell r="E231">
            <v>5</v>
          </cell>
          <cell r="F231">
            <v>5</v>
          </cell>
          <cell r="G231">
            <v>20</v>
          </cell>
          <cell r="H231">
            <v>20</v>
          </cell>
          <cell r="I231">
            <v>0.60000000000000009</v>
          </cell>
          <cell r="J231">
            <v>0.60000000000000009</v>
          </cell>
          <cell r="K231">
            <v>0.60000000000000009</v>
          </cell>
          <cell r="L231">
            <v>2</v>
          </cell>
          <cell r="Q231">
            <v>10</v>
          </cell>
          <cell r="R231">
            <v>2</v>
          </cell>
          <cell r="S231">
            <v>2</v>
          </cell>
          <cell r="T231">
            <v>2</v>
          </cell>
          <cell r="U231">
            <v>2</v>
          </cell>
          <cell r="V231">
            <v>2</v>
          </cell>
          <cell r="W231">
            <v>20</v>
          </cell>
          <cell r="X231">
            <v>2</v>
          </cell>
          <cell r="Y231">
            <v>60</v>
          </cell>
          <cell r="Z231">
            <v>2</v>
          </cell>
          <cell r="AA231">
            <v>2</v>
          </cell>
          <cell r="AB231">
            <v>2</v>
          </cell>
          <cell r="AC231">
            <v>2</v>
          </cell>
          <cell r="AD231">
            <v>2</v>
          </cell>
          <cell r="AE231">
            <v>20</v>
          </cell>
          <cell r="AF231">
            <v>2</v>
          </cell>
          <cell r="AG231">
            <v>2</v>
          </cell>
          <cell r="AH231">
            <v>2</v>
          </cell>
          <cell r="AI231">
            <v>2</v>
          </cell>
          <cell r="AJ231">
            <v>2</v>
          </cell>
          <cell r="AK231">
            <v>2</v>
          </cell>
          <cell r="AL231">
            <v>2</v>
          </cell>
          <cell r="AM231">
            <v>2</v>
          </cell>
          <cell r="AN231">
            <v>3</v>
          </cell>
          <cell r="AO231">
            <v>3</v>
          </cell>
          <cell r="AP231">
            <v>3</v>
          </cell>
          <cell r="AQ231">
            <v>3</v>
          </cell>
          <cell r="AR231">
            <v>3</v>
          </cell>
          <cell r="AS231">
            <v>3</v>
          </cell>
          <cell r="AT231">
            <v>3</v>
          </cell>
          <cell r="AU231">
            <v>3</v>
          </cell>
          <cell r="AV231">
            <v>3</v>
          </cell>
          <cell r="AW231">
            <v>3</v>
          </cell>
          <cell r="AX231">
            <v>3</v>
          </cell>
          <cell r="AY231">
            <v>3</v>
          </cell>
          <cell r="AZ231">
            <v>3</v>
          </cell>
          <cell r="BA231">
            <v>3</v>
          </cell>
          <cell r="CJ231" t="str">
            <v>Sin</v>
          </cell>
          <cell r="CK231" t="str">
            <v>Sin</v>
          </cell>
          <cell r="CL231" t="str">
            <v>SinSin</v>
          </cell>
        </row>
        <row r="232">
          <cell r="E232" t="str">
            <v>Turno</v>
          </cell>
          <cell r="F232" t="str">
            <v>PV</v>
          </cell>
          <cell r="G232" t="str">
            <v>-</v>
          </cell>
          <cell r="H232" t="str">
            <v>Conocimiento Marcial</v>
          </cell>
          <cell r="I232" t="str">
            <v>-</v>
          </cell>
          <cell r="J232" t="str">
            <v>-</v>
          </cell>
          <cell r="K232" t="str">
            <v>-</v>
          </cell>
          <cell r="L232" t="str">
            <v>-</v>
          </cell>
          <cell r="M232" t="str">
            <v>H. Ataque</v>
          </cell>
          <cell r="N232" t="str">
            <v>H. Parada</v>
          </cell>
          <cell r="O232" t="str">
            <v>H. Esquiva</v>
          </cell>
          <cell r="P232" t="str">
            <v>Llevar Armadura</v>
          </cell>
          <cell r="Q232" t="str">
            <v>Zeón</v>
          </cell>
          <cell r="R232" t="str">
            <v>-</v>
          </cell>
          <cell r="S232" t="str">
            <v>-</v>
          </cell>
          <cell r="T232" t="str">
            <v>-</v>
          </cell>
          <cell r="U232" t="str">
            <v>-</v>
          </cell>
          <cell r="V232" t="str">
            <v>-</v>
          </cell>
          <cell r="W232" t="str">
            <v>-</v>
          </cell>
          <cell r="X232" t="str">
            <v>-</v>
          </cell>
          <cell r="Y232" t="str">
            <v>-</v>
          </cell>
          <cell r="Z232" t="str">
            <v>-</v>
          </cell>
          <cell r="AA232" t="str">
            <v>-</v>
          </cell>
          <cell r="AB232" t="str">
            <v>-</v>
          </cell>
          <cell r="AC232" t="str">
            <v>-</v>
          </cell>
          <cell r="AD232" t="str">
            <v>-</v>
          </cell>
          <cell r="AE232" t="str">
            <v>-</v>
          </cell>
          <cell r="AF232" t="str">
            <v>-</v>
          </cell>
          <cell r="AG232" t="str">
            <v>-</v>
          </cell>
          <cell r="AH232" t="str">
            <v>-</v>
          </cell>
          <cell r="AI232" t="str">
            <v>-</v>
          </cell>
          <cell r="AJ232" t="str">
            <v>-</v>
          </cell>
          <cell r="AK232" t="str">
            <v>-</v>
          </cell>
          <cell r="AL232" t="str">
            <v>-</v>
          </cell>
          <cell r="AM232" t="str">
            <v>-</v>
          </cell>
          <cell r="AN232" t="str">
            <v>-</v>
          </cell>
          <cell r="AO232" t="str">
            <v>-</v>
          </cell>
          <cell r="AP232" t="str">
            <v>-</v>
          </cell>
          <cell r="AQ232" t="str">
            <v>-</v>
          </cell>
          <cell r="AR232" t="str">
            <v>-</v>
          </cell>
          <cell r="AS232" t="str">
            <v>-</v>
          </cell>
          <cell r="AT232" t="str">
            <v>-</v>
          </cell>
          <cell r="AU232" t="str">
            <v>-</v>
          </cell>
          <cell r="AV232" t="str">
            <v>-</v>
          </cell>
          <cell r="AW232" t="str">
            <v>-</v>
          </cell>
          <cell r="AX232" t="str">
            <v>-</v>
          </cell>
          <cell r="AY232" t="str">
            <v>-</v>
          </cell>
          <cell r="AZ232" t="str">
            <v>-</v>
          </cell>
          <cell r="BA232" t="str">
            <v>-</v>
          </cell>
          <cell r="BB232" t="str">
            <v>P. Fuerza</v>
          </cell>
          <cell r="BC232" t="str">
            <v>Acrobacias</v>
          </cell>
          <cell r="BD232" t="str">
            <v>Saltar</v>
          </cell>
          <cell r="BE232" t="str">
            <v>Atletismo</v>
          </cell>
          <cell r="BF232" t="str">
            <v>T. Manos</v>
          </cell>
          <cell r="BG232" t="str">
            <v>Estilo</v>
          </cell>
          <cell r="BH232" t="str">
            <v>Liderazgo</v>
          </cell>
          <cell r="BI232" t="str">
            <v>Res. Dolor</v>
          </cell>
          <cell r="BJ232" t="str">
            <v>Intimidar</v>
          </cell>
          <cell r="BK232" t="str">
            <v>Frialdad</v>
          </cell>
          <cell r="BL232" t="str">
            <v>Persuasión</v>
          </cell>
          <cell r="BM232" t="str">
            <v>Desconvocar</v>
          </cell>
          <cell r="BN232" t="str">
            <v>Controlar</v>
          </cell>
          <cell r="BO232" t="str">
            <v>Advertir</v>
          </cell>
          <cell r="BP232" t="str">
            <v>Buscar</v>
          </cell>
          <cell r="BQ232" t="str">
            <v>Rastrear</v>
          </cell>
          <cell r="BR232" t="str">
            <v>Trampería</v>
          </cell>
          <cell r="BS232" t="str">
            <v>Animales</v>
          </cell>
          <cell r="BT232" t="str">
            <v>Herbolaria</v>
          </cell>
          <cell r="BU232" t="str">
            <v>Ciencia</v>
          </cell>
          <cell r="BV232" t="str">
            <v>Memorizar</v>
          </cell>
          <cell r="BW232" t="str">
            <v>Cerrajería</v>
          </cell>
          <cell r="BX232" t="str">
            <v>Ocultarse</v>
          </cell>
          <cell r="BY232" t="str">
            <v>Sigilo</v>
          </cell>
          <cell r="BZ232" t="str">
            <v>Robo</v>
          </cell>
          <cell r="CA232" t="str">
            <v>Venenos</v>
          </cell>
          <cell r="CB232" t="str">
            <v>Ocultismo</v>
          </cell>
          <cell r="CC232" t="str">
            <v>V. Mágica</v>
          </cell>
          <cell r="CD232" t="str">
            <v>Disfraz</v>
          </cell>
          <cell r="CE232" t="str">
            <v>Convocar</v>
          </cell>
          <cell r="CF232" t="str">
            <v>Atar</v>
          </cell>
          <cell r="CG232" t="str">
            <v>Detección Ki</v>
          </cell>
          <cell r="CH232" t="str">
            <v>Ocultación Ki</v>
          </cell>
          <cell r="CI232" t="str">
            <v>Investigación Psi</v>
          </cell>
        </row>
        <row r="233">
          <cell r="E233">
            <v>20</v>
          </cell>
          <cell r="F233">
            <v>40</v>
          </cell>
          <cell r="G233" t="str">
            <v>-</v>
          </cell>
          <cell r="H233">
            <v>80</v>
          </cell>
          <cell r="I233" t="str">
            <v>-</v>
          </cell>
          <cell r="J233" t="str">
            <v>-</v>
          </cell>
          <cell r="K233" t="str">
            <v>-</v>
          </cell>
          <cell r="L233" t="str">
            <v>-</v>
          </cell>
          <cell r="M233">
            <v>20</v>
          </cell>
          <cell r="N233">
            <v>20</v>
          </cell>
          <cell r="O233">
            <v>20</v>
          </cell>
          <cell r="P233">
            <v>0</v>
          </cell>
          <cell r="Q233">
            <v>0</v>
          </cell>
          <cell r="R233" t="str">
            <v>-</v>
          </cell>
          <cell r="S233" t="str">
            <v>-</v>
          </cell>
          <cell r="T233" t="str">
            <v>-</v>
          </cell>
          <cell r="U233" t="str">
            <v>-</v>
          </cell>
          <cell r="V233" t="str">
            <v>-</v>
          </cell>
          <cell r="W233" t="str">
            <v>-</v>
          </cell>
          <cell r="X233" t="str">
            <v>-</v>
          </cell>
          <cell r="Y233" t="str">
            <v>-</v>
          </cell>
          <cell r="Z233" t="str">
            <v>-</v>
          </cell>
          <cell r="AA233" t="str">
            <v>-</v>
          </cell>
          <cell r="AB233" t="str">
            <v>-</v>
          </cell>
          <cell r="AC233" t="str">
            <v>-</v>
          </cell>
          <cell r="AD233" t="str">
            <v>-</v>
          </cell>
          <cell r="AE233" t="str">
            <v>-</v>
          </cell>
          <cell r="AF233" t="str">
            <v>-</v>
          </cell>
          <cell r="AG233" t="str">
            <v>-</v>
          </cell>
          <cell r="AH233" t="str">
            <v>-</v>
          </cell>
          <cell r="AI233" t="str">
            <v>-</v>
          </cell>
          <cell r="AJ233" t="str">
            <v>-</v>
          </cell>
          <cell r="AK233" t="str">
            <v>-</v>
          </cell>
          <cell r="AL233" t="str">
            <v>-</v>
          </cell>
          <cell r="AM233" t="str">
            <v>-</v>
          </cell>
          <cell r="AN233" t="str">
            <v>-</v>
          </cell>
          <cell r="AO233" t="str">
            <v>-</v>
          </cell>
          <cell r="AP233" t="str">
            <v>-</v>
          </cell>
          <cell r="AQ233" t="str">
            <v>-</v>
          </cell>
          <cell r="AR233" t="str">
            <v>-</v>
          </cell>
          <cell r="AS233" t="str">
            <v>-</v>
          </cell>
          <cell r="AT233" t="str">
            <v>-</v>
          </cell>
          <cell r="AU233" t="str">
            <v>-</v>
          </cell>
          <cell r="AV233" t="str">
            <v>-</v>
          </cell>
          <cell r="AW233" t="str">
            <v>-</v>
          </cell>
          <cell r="AX233" t="str">
            <v>-</v>
          </cell>
          <cell r="AY233" t="str">
            <v>-</v>
          </cell>
          <cell r="AZ233" t="str">
            <v>-</v>
          </cell>
          <cell r="BA233" t="str">
            <v>-</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20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20</v>
          </cell>
        </row>
        <row r="243">
          <cell r="AA243" t="str">
            <v>Tablas!$AA$244:$AA$384</v>
          </cell>
          <cell r="AC243" t="str">
            <v xml:space="preserve"> &gt; VENTAJAS COMUNES</v>
          </cell>
        </row>
        <row r="244">
          <cell r="AA244" t="str">
            <v xml:space="preserve"> &gt; VENTAJAS COMUNES</v>
          </cell>
          <cell r="AC244" t="str">
            <v>Repetir tirada de características</v>
          </cell>
          <cell r="AD244">
            <v>1</v>
          </cell>
          <cell r="AE244">
            <v>0</v>
          </cell>
          <cell r="AF244">
            <v>0</v>
          </cell>
          <cell r="AH244" t="str">
            <v>Comunes</v>
          </cell>
        </row>
        <row r="245">
          <cell r="AA245" t="str">
            <v>+1 a característica: AGI</v>
          </cell>
          <cell r="AC245" t="str">
            <v>+1 a característica: AGI</v>
          </cell>
          <cell r="AD245">
            <v>1</v>
          </cell>
          <cell r="AE245">
            <v>0</v>
          </cell>
          <cell r="AF245">
            <v>0</v>
          </cell>
          <cell r="AH245" t="str">
            <v>Comunes</v>
          </cell>
        </row>
        <row r="246">
          <cell r="AA246" t="str">
            <v>+1 a característica: CON</v>
          </cell>
          <cell r="AC246" t="str">
            <v>+1 a característica: CON</v>
          </cell>
          <cell r="AD246">
            <v>1</v>
          </cell>
          <cell r="AE246">
            <v>0</v>
          </cell>
          <cell r="AF246">
            <v>0</v>
          </cell>
          <cell r="AH246" t="str">
            <v>Comunes</v>
          </cell>
        </row>
        <row r="247">
          <cell r="AA247" t="str">
            <v>+1 a característica: DES</v>
          </cell>
          <cell r="AC247" t="str">
            <v>+1 a característica: DES</v>
          </cell>
          <cell r="AD247">
            <v>1</v>
          </cell>
          <cell r="AE247">
            <v>0</v>
          </cell>
          <cell r="AF247">
            <v>0</v>
          </cell>
          <cell r="AH247" t="str">
            <v>Comunes</v>
          </cell>
        </row>
        <row r="248">
          <cell r="AA248" t="str">
            <v>+1 a característica: FUE</v>
          </cell>
          <cell r="AC248" t="str">
            <v>+1 a característica: FUE</v>
          </cell>
          <cell r="AD248">
            <v>1</v>
          </cell>
          <cell r="AE248">
            <v>0</v>
          </cell>
          <cell r="AF248">
            <v>0</v>
          </cell>
          <cell r="AH248" t="str">
            <v>Comunes</v>
          </cell>
        </row>
        <row r="249">
          <cell r="AA249" t="str">
            <v>+1 a característica: INT</v>
          </cell>
          <cell r="AC249" t="str">
            <v>+1 a característica: INT</v>
          </cell>
          <cell r="AD249">
            <v>1</v>
          </cell>
          <cell r="AE249">
            <v>0</v>
          </cell>
          <cell r="AF249">
            <v>0</v>
          </cell>
          <cell r="AH249" t="str">
            <v>Comunes</v>
          </cell>
        </row>
        <row r="250">
          <cell r="AA250" t="str">
            <v>+1 a característica: PER</v>
          </cell>
          <cell r="AC250" t="str">
            <v>+1 a característica: PER</v>
          </cell>
          <cell r="AD250">
            <v>1</v>
          </cell>
          <cell r="AE250">
            <v>0</v>
          </cell>
          <cell r="AF250">
            <v>0</v>
          </cell>
          <cell r="AH250" t="str">
            <v>Comunes</v>
          </cell>
        </row>
        <row r="251">
          <cell r="AA251" t="str">
            <v>+1 a característica: POD</v>
          </cell>
          <cell r="AC251" t="str">
            <v>+1 a característica: POD</v>
          </cell>
          <cell r="AD251">
            <v>1</v>
          </cell>
          <cell r="AE251">
            <v>0</v>
          </cell>
          <cell r="AF251">
            <v>0</v>
          </cell>
          <cell r="AH251" t="str">
            <v>Comunes</v>
          </cell>
        </row>
        <row r="252">
          <cell r="P252">
            <v>0</v>
          </cell>
          <cell r="AA252" t="str">
            <v>+1 a característica: VOL</v>
          </cell>
          <cell r="AC252" t="str">
            <v>+1 a característica: VOL</v>
          </cell>
          <cell r="AD252">
            <v>1</v>
          </cell>
          <cell r="AE252">
            <v>0</v>
          </cell>
          <cell r="AF252">
            <v>0</v>
          </cell>
          <cell r="AH252" t="str">
            <v>Comunes</v>
          </cell>
        </row>
        <row r="253">
          <cell r="AA253" t="str">
            <v>Ac. de Ki incrementada (1)</v>
          </cell>
          <cell r="AC253" t="str">
            <v>Sustituir característica por 9</v>
          </cell>
          <cell r="AD253">
            <v>2</v>
          </cell>
          <cell r="AE253">
            <v>0</v>
          </cell>
          <cell r="AF253">
            <v>0</v>
          </cell>
          <cell r="AH253" t="str">
            <v>Comunes</v>
          </cell>
        </row>
        <row r="254">
          <cell r="AA254" t="str">
            <v>Ac. de Ki incrementada (2)</v>
          </cell>
          <cell r="AC254" t="str">
            <v>Res. física excepcional (1)</v>
          </cell>
          <cell r="AD254">
            <v>1</v>
          </cell>
          <cell r="AE254">
            <v>0</v>
          </cell>
          <cell r="AF254">
            <v>0</v>
          </cell>
          <cell r="AG254">
            <v>1</v>
          </cell>
          <cell r="AH254" t="str">
            <v>Comunes</v>
          </cell>
        </row>
        <row r="255">
          <cell r="AA255" t="str">
            <v>Acc. psíquico natural (1)</v>
          </cell>
          <cell r="AC255" t="str">
            <v>Res. física excepcional (2)</v>
          </cell>
          <cell r="AD255">
            <v>2</v>
          </cell>
          <cell r="AE255">
            <v>0</v>
          </cell>
          <cell r="AF255">
            <v>0</v>
          </cell>
          <cell r="AG255">
            <v>1</v>
          </cell>
          <cell r="AH255" t="str">
            <v>Comunes</v>
          </cell>
        </row>
        <row r="256">
          <cell r="AA256" t="str">
            <v>Acc. psíquico natural (2)</v>
          </cell>
          <cell r="AC256" t="str">
            <v>Res. mágica excepcional (1)</v>
          </cell>
          <cell r="AD256">
            <v>1</v>
          </cell>
          <cell r="AE256">
            <v>0</v>
          </cell>
          <cell r="AF256">
            <v>0</v>
          </cell>
          <cell r="AG256">
            <v>1</v>
          </cell>
          <cell r="AH256" t="str">
            <v>Comunes</v>
          </cell>
        </row>
        <row r="257">
          <cell r="AA257" t="str">
            <v>Acc. psíquico natural (3)</v>
          </cell>
          <cell r="AC257" t="str">
            <v>Res. mágica excepcional (2)</v>
          </cell>
          <cell r="AD257">
            <v>2</v>
          </cell>
          <cell r="AE257">
            <v>0</v>
          </cell>
          <cell r="AF257">
            <v>0</v>
          </cell>
          <cell r="AG257">
            <v>1</v>
          </cell>
          <cell r="AH257" t="str">
            <v>Comunes</v>
          </cell>
        </row>
        <row r="258">
          <cell r="AA258" t="str">
            <v>Acceso a 1 disciplina psiquica</v>
          </cell>
          <cell r="AC258" t="str">
            <v>Res. psi. excepcional (1)</v>
          </cell>
          <cell r="AD258">
            <v>1</v>
          </cell>
          <cell r="AE258">
            <v>0</v>
          </cell>
          <cell r="AF258">
            <v>0</v>
          </cell>
          <cell r="AG258">
            <v>1</v>
          </cell>
          <cell r="AH258" t="str">
            <v>Comunes</v>
          </cell>
        </row>
        <row r="259">
          <cell r="AA259" t="str">
            <v>Acceso libre a dis. psiquicas</v>
          </cell>
          <cell r="AC259" t="str">
            <v>Res. psi. excepcional (2)</v>
          </cell>
          <cell r="AD259">
            <v>2</v>
          </cell>
          <cell r="AE259">
            <v>0</v>
          </cell>
          <cell r="AF259">
            <v>0</v>
          </cell>
          <cell r="AG259">
            <v>1</v>
          </cell>
          <cell r="AH259" t="str">
            <v>Comunes</v>
          </cell>
        </row>
        <row r="260">
          <cell r="AA260" t="str">
            <v>Acumulación plena</v>
          </cell>
          <cell r="AC260" t="str">
            <v>Acceso a 1 disciplina psiquica</v>
          </cell>
          <cell r="AD260">
            <v>1</v>
          </cell>
          <cell r="AE260">
            <v>0</v>
          </cell>
          <cell r="AF260">
            <v>0</v>
          </cell>
          <cell r="AH260" t="str">
            <v>Comunes</v>
          </cell>
        </row>
        <row r="261">
          <cell r="AA261" t="str">
            <v>Afinidad animal</v>
          </cell>
          <cell r="AC261" t="str">
            <v>Acceso libre a dis. psiquicas</v>
          </cell>
          <cell r="AD261">
            <v>2</v>
          </cell>
          <cell r="AE261">
            <v>0</v>
          </cell>
          <cell r="AF261">
            <v>0</v>
          </cell>
          <cell r="AH261" t="str">
            <v>Comunes</v>
          </cell>
        </row>
        <row r="262">
          <cell r="AA262" t="str">
            <v>Afinidad de uso</v>
          </cell>
          <cell r="AC262" t="str">
            <v>Afinidad animal</v>
          </cell>
          <cell r="AD262">
            <v>1</v>
          </cell>
          <cell r="AE262">
            <v>0</v>
          </cell>
          <cell r="AF262">
            <v>0</v>
          </cell>
          <cell r="AH262" t="str">
            <v>Comunes</v>
          </cell>
        </row>
        <row r="263">
          <cell r="AA263" t="str">
            <v>Afortunado</v>
          </cell>
          <cell r="AC263" t="str">
            <v>Regeneración (1) básica</v>
          </cell>
          <cell r="AD263">
            <v>1</v>
          </cell>
          <cell r="AE263">
            <v>0</v>
          </cell>
          <cell r="AF263">
            <v>0</v>
          </cell>
          <cell r="AG263">
            <v>1</v>
          </cell>
          <cell r="AH263" t="str">
            <v>Comunes</v>
          </cell>
        </row>
        <row r="264">
          <cell r="AA264" t="str">
            <v>Al límite</v>
          </cell>
          <cell r="AC264" t="str">
            <v>Regeneración (2) avanzada</v>
          </cell>
          <cell r="AD264">
            <v>2</v>
          </cell>
          <cell r="AE264">
            <v>0</v>
          </cell>
          <cell r="AF264">
            <v>0</v>
          </cell>
          <cell r="AG264">
            <v>1</v>
          </cell>
          <cell r="AH264" t="str">
            <v>Comunes</v>
          </cell>
        </row>
        <row r="265">
          <cell r="AA265" t="str">
            <v>Ambidestría</v>
          </cell>
          <cell r="AC265" t="str">
            <v>Regeneración (3) mayor</v>
          </cell>
          <cell r="AD265">
            <v>3</v>
          </cell>
          <cell r="AE265">
            <v>0</v>
          </cell>
          <cell r="AF265">
            <v>0</v>
          </cell>
          <cell r="AG265">
            <v>1</v>
          </cell>
          <cell r="AH265" t="str">
            <v>Comunes</v>
          </cell>
        </row>
        <row r="266">
          <cell r="AA266" t="str">
            <v>Apr. innato (2): Atléticas</v>
          </cell>
          <cell r="AC266" t="str">
            <v>Sentidos agudos</v>
          </cell>
          <cell r="AD266">
            <v>1</v>
          </cell>
          <cell r="AE266">
            <v>0</v>
          </cell>
          <cell r="AF266">
            <v>0</v>
          </cell>
          <cell r="AG266">
            <v>1</v>
          </cell>
          <cell r="AH266" t="str">
            <v>Comunes</v>
          </cell>
        </row>
        <row r="267">
          <cell r="AA267" t="str">
            <v>Apr. innato (2): Creativas</v>
          </cell>
          <cell r="AC267" t="str">
            <v>Ambidestría</v>
          </cell>
          <cell r="AD267">
            <v>1</v>
          </cell>
          <cell r="AE267">
            <v>0</v>
          </cell>
          <cell r="AF267">
            <v>0</v>
          </cell>
          <cell r="AG267">
            <v>1</v>
          </cell>
          <cell r="AH267" t="str">
            <v>Comunes</v>
          </cell>
        </row>
        <row r="268">
          <cell r="AA268" t="str">
            <v>Apr. innato (2): Intelectuales</v>
          </cell>
          <cell r="AC268" t="str">
            <v>Don</v>
          </cell>
          <cell r="AD268">
            <v>2</v>
          </cell>
          <cell r="AE268">
            <v>0</v>
          </cell>
          <cell r="AF268">
            <v>0</v>
          </cell>
          <cell r="AG268">
            <v>2</v>
          </cell>
          <cell r="AH268" t="str">
            <v>Comunes</v>
          </cell>
        </row>
        <row r="269">
          <cell r="AA269" t="str">
            <v>Apr. innato (2): Perceptivas</v>
          </cell>
          <cell r="AC269" t="str">
            <v>Visión nocturna</v>
          </cell>
          <cell r="AD269">
            <v>1</v>
          </cell>
          <cell r="AE269">
            <v>0</v>
          </cell>
          <cell r="AF269">
            <v>0</v>
          </cell>
          <cell r="AH269" t="str">
            <v>Comunes</v>
          </cell>
        </row>
        <row r="270">
          <cell r="AA270" t="str">
            <v>Apr. innato (2): Sociales</v>
          </cell>
          <cell r="AC270" t="str">
            <v>Inquietante</v>
          </cell>
          <cell r="AD270">
            <v>1</v>
          </cell>
          <cell r="AE270">
            <v>0</v>
          </cell>
          <cell r="AF270">
            <v>0</v>
          </cell>
          <cell r="AH270" t="str">
            <v>Comunes</v>
          </cell>
        </row>
        <row r="271">
          <cell r="AA271" t="str">
            <v>Apr. innato (2): Subterfugio</v>
          </cell>
          <cell r="AC271" t="str">
            <v>Apto en una materia (1)</v>
          </cell>
          <cell r="AD271">
            <v>1</v>
          </cell>
          <cell r="AE271">
            <v>0</v>
          </cell>
          <cell r="AF271">
            <v>0</v>
          </cell>
          <cell r="AG271">
            <v>1</v>
          </cell>
          <cell r="AH271" t="str">
            <v>Comunes</v>
          </cell>
        </row>
        <row r="272">
          <cell r="AA272" t="str">
            <v>Apr. innato (2): Vigor</v>
          </cell>
          <cell r="AC272" t="str">
            <v>Apto en una materia (2)</v>
          </cell>
          <cell r="AD272">
            <v>2</v>
          </cell>
          <cell r="AE272">
            <v>0</v>
          </cell>
          <cell r="AF272">
            <v>0</v>
          </cell>
          <cell r="AG272">
            <v>1</v>
          </cell>
          <cell r="AH272" t="str">
            <v>Comunes</v>
          </cell>
        </row>
        <row r="273">
          <cell r="AA273" t="str">
            <v>Apr. innato (3): Atléticas</v>
          </cell>
          <cell r="AC273" t="str">
            <v>Apto en campo: Atléticas</v>
          </cell>
          <cell r="AD273">
            <v>2</v>
          </cell>
          <cell r="AE273">
            <v>0</v>
          </cell>
          <cell r="AF273">
            <v>0</v>
          </cell>
          <cell r="AG273">
            <v>1</v>
          </cell>
          <cell r="AH273" t="str">
            <v>Comunes</v>
          </cell>
        </row>
        <row r="274">
          <cell r="AA274" t="str">
            <v>Apr. innato (3): Creativas</v>
          </cell>
          <cell r="AC274" t="str">
            <v>Apto en campo: Sociales</v>
          </cell>
          <cell r="AD274">
            <v>2</v>
          </cell>
          <cell r="AE274">
            <v>0</v>
          </cell>
          <cell r="AF274">
            <v>0</v>
          </cell>
          <cell r="AG274">
            <v>1</v>
          </cell>
          <cell r="AH274" t="str">
            <v>Comunes</v>
          </cell>
        </row>
        <row r="275">
          <cell r="AA275" t="str">
            <v>Apr. innato (3): Intelectuales</v>
          </cell>
          <cell r="AC275" t="str">
            <v>Apto en campo: Perceptivas</v>
          </cell>
          <cell r="AD275">
            <v>2</v>
          </cell>
          <cell r="AE275">
            <v>0</v>
          </cell>
          <cell r="AF275">
            <v>0</v>
          </cell>
          <cell r="AG275">
            <v>1</v>
          </cell>
          <cell r="AH275" t="str">
            <v>Comunes</v>
          </cell>
        </row>
        <row r="276">
          <cell r="AA276" t="str">
            <v>Apr. innato (3): Perceptivas</v>
          </cell>
          <cell r="AC276" t="str">
            <v>Apto en campo: Intelectuales</v>
          </cell>
          <cell r="AD276">
            <v>2</v>
          </cell>
          <cell r="AE276">
            <v>0</v>
          </cell>
          <cell r="AF276">
            <v>0</v>
          </cell>
          <cell r="AG276">
            <v>1</v>
          </cell>
          <cell r="AH276" t="str">
            <v>Comunes</v>
          </cell>
        </row>
        <row r="277">
          <cell r="AA277" t="str">
            <v>Apr. innato (3): Sociales</v>
          </cell>
          <cell r="AC277" t="str">
            <v>Apto en campo: Vigor</v>
          </cell>
          <cell r="AD277">
            <v>2</v>
          </cell>
          <cell r="AE277">
            <v>0</v>
          </cell>
          <cell r="AF277">
            <v>0</v>
          </cell>
          <cell r="AG277">
            <v>1</v>
          </cell>
          <cell r="AH277" t="str">
            <v>Comunes</v>
          </cell>
        </row>
        <row r="278">
          <cell r="AA278" t="str">
            <v>Apr. innato (3): Subterfugio</v>
          </cell>
          <cell r="AC278" t="str">
            <v>Apto en campo: Subterfugio</v>
          </cell>
          <cell r="AD278">
            <v>2</v>
          </cell>
          <cell r="AE278">
            <v>0</v>
          </cell>
          <cell r="AF278">
            <v>0</v>
          </cell>
          <cell r="AG278">
            <v>1</v>
          </cell>
          <cell r="AH278" t="str">
            <v>Comunes</v>
          </cell>
        </row>
        <row r="279">
          <cell r="AA279" t="str">
            <v>Apr. innato (3): Vigor</v>
          </cell>
          <cell r="AC279" t="str">
            <v>Apto en campo: Creativas</v>
          </cell>
          <cell r="AD279">
            <v>2</v>
          </cell>
          <cell r="AE279">
            <v>0</v>
          </cell>
          <cell r="AF279">
            <v>0</v>
          </cell>
          <cell r="AG279">
            <v>1</v>
          </cell>
          <cell r="AH279" t="str">
            <v>Comunes</v>
          </cell>
        </row>
        <row r="280">
          <cell r="AA280" t="str">
            <v>Aprendizaje (1)</v>
          </cell>
          <cell r="AC280" t="str">
            <v>Aprendizaje innato (1)</v>
          </cell>
          <cell r="AD280">
            <v>1</v>
          </cell>
          <cell r="AE280">
            <v>0</v>
          </cell>
          <cell r="AF280">
            <v>0</v>
          </cell>
          <cell r="AG280">
            <v>1</v>
          </cell>
          <cell r="AH280" t="str">
            <v>Comunes</v>
          </cell>
        </row>
        <row r="281">
          <cell r="AA281" t="str">
            <v>Aprendizaje (2)</v>
          </cell>
          <cell r="AC281" t="str">
            <v>Aprendizaje innato (2)</v>
          </cell>
          <cell r="AD281">
            <v>2</v>
          </cell>
          <cell r="AE281">
            <v>0</v>
          </cell>
          <cell r="AF281">
            <v>0</v>
          </cell>
          <cell r="AG281">
            <v>1</v>
          </cell>
          <cell r="AH281" t="str">
            <v>Comunes</v>
          </cell>
        </row>
        <row r="282">
          <cell r="AA282" t="str">
            <v>Aprendizaje (3)</v>
          </cell>
          <cell r="AC282" t="str">
            <v>Aprendizaje innato (3)</v>
          </cell>
          <cell r="AD282">
            <v>3</v>
          </cell>
          <cell r="AE282">
            <v>0</v>
          </cell>
          <cell r="AF282">
            <v>0</v>
          </cell>
          <cell r="AG282">
            <v>1</v>
          </cell>
          <cell r="AH282" t="str">
            <v>Comunes</v>
          </cell>
        </row>
        <row r="283">
          <cell r="AA283" t="str">
            <v>Aprendizaje innato (1)</v>
          </cell>
          <cell r="AC283" t="str">
            <v>Apr. innato (2): Atléticas</v>
          </cell>
          <cell r="AD283">
            <v>2</v>
          </cell>
          <cell r="AE283">
            <v>0</v>
          </cell>
          <cell r="AF283">
            <v>0</v>
          </cell>
          <cell r="AG283">
            <v>1</v>
          </cell>
          <cell r="AH283" t="str">
            <v>Comunes</v>
          </cell>
        </row>
        <row r="284">
          <cell r="AA284" t="str">
            <v>Aprendizaje innato (2)</v>
          </cell>
          <cell r="AC284" t="str">
            <v>Apr. innato (2): Sociales</v>
          </cell>
          <cell r="AD284">
            <v>2</v>
          </cell>
          <cell r="AE284">
            <v>0</v>
          </cell>
          <cell r="AF284">
            <v>0</v>
          </cell>
          <cell r="AG284">
            <v>1</v>
          </cell>
          <cell r="AH284" t="str">
            <v>Comunes</v>
          </cell>
        </row>
        <row r="285">
          <cell r="AA285" t="str">
            <v>Aprendizaje innato (3)</v>
          </cell>
          <cell r="AC285" t="str">
            <v>Apr. innato (2): Perceptivas</v>
          </cell>
          <cell r="AD285">
            <v>2</v>
          </cell>
          <cell r="AE285">
            <v>0</v>
          </cell>
          <cell r="AF285">
            <v>0</v>
          </cell>
          <cell r="AG285">
            <v>1</v>
          </cell>
          <cell r="AH285" t="str">
            <v>Comunes</v>
          </cell>
        </row>
        <row r="286">
          <cell r="AA286" t="str">
            <v>Aprendizaje marcial</v>
          </cell>
          <cell r="AC286" t="str">
            <v>Apr. innato (2): Intelectuales</v>
          </cell>
          <cell r="AD286">
            <v>2</v>
          </cell>
          <cell r="AE286">
            <v>0</v>
          </cell>
          <cell r="AF286">
            <v>0</v>
          </cell>
          <cell r="AG286">
            <v>1</v>
          </cell>
          <cell r="AH286" t="str">
            <v>Comunes</v>
          </cell>
        </row>
        <row r="287">
          <cell r="AA287" t="str">
            <v>Apto en campo: Atléticas</v>
          </cell>
          <cell r="AC287" t="str">
            <v>Apr. innato (2): Vigor</v>
          </cell>
          <cell r="AD287">
            <v>2</v>
          </cell>
          <cell r="AE287">
            <v>0</v>
          </cell>
          <cell r="AF287">
            <v>0</v>
          </cell>
          <cell r="AG287">
            <v>1</v>
          </cell>
          <cell r="AH287" t="str">
            <v>Comunes</v>
          </cell>
        </row>
        <row r="288">
          <cell r="AA288" t="str">
            <v>Apto en campo: Creativas</v>
          </cell>
          <cell r="AC288" t="str">
            <v>Apr. innato (2): Subterfugio</v>
          </cell>
          <cell r="AD288">
            <v>2</v>
          </cell>
          <cell r="AE288">
            <v>0</v>
          </cell>
          <cell r="AF288">
            <v>0</v>
          </cell>
          <cell r="AG288">
            <v>1</v>
          </cell>
          <cell r="AH288" t="str">
            <v>Comunes</v>
          </cell>
        </row>
        <row r="289">
          <cell r="M289" t="str">
            <v>Acrobacias</v>
          </cell>
          <cell r="AA289" t="str">
            <v>Apto en campo: Intelectuales</v>
          </cell>
          <cell r="AC289" t="str">
            <v>Apr. innato (2): Creativas</v>
          </cell>
          <cell r="AD289">
            <v>2</v>
          </cell>
          <cell r="AE289">
            <v>0</v>
          </cell>
          <cell r="AF289">
            <v>0</v>
          </cell>
          <cell r="AG289">
            <v>1</v>
          </cell>
          <cell r="AH289" t="str">
            <v>Comunes</v>
          </cell>
        </row>
        <row r="290">
          <cell r="M290" t="str">
            <v>Atletismo</v>
          </cell>
          <cell r="AA290" t="str">
            <v>Apto en campo: Perceptivas</v>
          </cell>
          <cell r="AC290" t="str">
            <v>Apr. innato (3): Atléticas</v>
          </cell>
          <cell r="AD290">
            <v>3</v>
          </cell>
          <cell r="AE290">
            <v>0</v>
          </cell>
          <cell r="AF290">
            <v>0</v>
          </cell>
          <cell r="AG290">
            <v>1</v>
          </cell>
          <cell r="AH290" t="str">
            <v>Comunes</v>
          </cell>
        </row>
        <row r="291">
          <cell r="M291" t="str">
            <v>Montar</v>
          </cell>
          <cell r="AA291" t="str">
            <v>Apto en campo: Sociales</v>
          </cell>
          <cell r="AC291" t="str">
            <v>Apr. innato (3): Sociales</v>
          </cell>
          <cell r="AD291">
            <v>3</v>
          </cell>
          <cell r="AE291">
            <v>0</v>
          </cell>
          <cell r="AF291">
            <v>0</v>
          </cell>
          <cell r="AG291">
            <v>1</v>
          </cell>
          <cell r="AH291" t="str">
            <v>Comunes</v>
          </cell>
        </row>
        <row r="292">
          <cell r="M292" t="str">
            <v>Nadar</v>
          </cell>
          <cell r="AA292" t="str">
            <v>Apto en campo: Subterfugio</v>
          </cell>
          <cell r="AC292" t="str">
            <v>Apr. innato (3): Perceptivas</v>
          </cell>
          <cell r="AD292">
            <v>3</v>
          </cell>
          <cell r="AE292">
            <v>0</v>
          </cell>
          <cell r="AF292">
            <v>0</v>
          </cell>
          <cell r="AG292">
            <v>1</v>
          </cell>
          <cell r="AH292" t="str">
            <v>Comunes</v>
          </cell>
        </row>
        <row r="293">
          <cell r="M293" t="str">
            <v>Trepar</v>
          </cell>
          <cell r="AA293" t="str">
            <v>Apto en campo: Vigor</v>
          </cell>
          <cell r="AC293" t="str">
            <v>Apr. innato (3): Intelectuales</v>
          </cell>
          <cell r="AD293">
            <v>3</v>
          </cell>
          <cell r="AE293">
            <v>0</v>
          </cell>
          <cell r="AF293">
            <v>0</v>
          </cell>
          <cell r="AG293">
            <v>1</v>
          </cell>
          <cell r="AH293" t="str">
            <v>Comunes</v>
          </cell>
        </row>
        <row r="294">
          <cell r="M294" t="str">
            <v>Saltar</v>
          </cell>
          <cell r="AA294" t="str">
            <v>Apto en una materia (1)</v>
          </cell>
          <cell r="AC294" t="str">
            <v>Apr. innato (3): Vigor</v>
          </cell>
          <cell r="AD294">
            <v>3</v>
          </cell>
          <cell r="AE294">
            <v>0</v>
          </cell>
          <cell r="AF294">
            <v>0</v>
          </cell>
          <cell r="AG294">
            <v>1</v>
          </cell>
          <cell r="AH294" t="str">
            <v>Comunes</v>
          </cell>
        </row>
        <row r="295">
          <cell r="M295" t="str">
            <v>Pilotar</v>
          </cell>
          <cell r="AA295" t="str">
            <v>Apto en una materia (2)</v>
          </cell>
          <cell r="AC295" t="str">
            <v>Apr. innato (3): Subterfugio</v>
          </cell>
          <cell r="AD295">
            <v>3</v>
          </cell>
          <cell r="AE295">
            <v>0</v>
          </cell>
          <cell r="AF295">
            <v>0</v>
          </cell>
          <cell r="AG295">
            <v>1</v>
          </cell>
          <cell r="AH295" t="str">
            <v>Comunes</v>
          </cell>
        </row>
        <row r="296">
          <cell r="M296" t="str">
            <v>Estilo</v>
          </cell>
          <cell r="AA296" t="str">
            <v>Armadura mística</v>
          </cell>
          <cell r="AC296" t="str">
            <v>Apr. innato (3): Creativas</v>
          </cell>
          <cell r="AD296">
            <v>3</v>
          </cell>
          <cell r="AE296">
            <v>0</v>
          </cell>
          <cell r="AF296">
            <v>0</v>
          </cell>
          <cell r="AG296">
            <v>1</v>
          </cell>
          <cell r="AH296" t="str">
            <v>Comunes</v>
          </cell>
        </row>
        <row r="297">
          <cell r="M297" t="str">
            <v>Intimidar</v>
          </cell>
          <cell r="AA297" t="str">
            <v>Armadura natural</v>
          </cell>
          <cell r="AC297" t="str">
            <v>Con. de todas las materias</v>
          </cell>
          <cell r="AD297">
            <v>2</v>
          </cell>
          <cell r="AE297">
            <v>0</v>
          </cell>
          <cell r="AF297">
            <v>0</v>
          </cell>
          <cell r="AG297">
            <v>1</v>
          </cell>
          <cell r="AH297" t="str">
            <v>Comunes</v>
          </cell>
        </row>
        <row r="298">
          <cell r="M298" t="str">
            <v>Liderazgo</v>
          </cell>
          <cell r="AA298" t="str">
            <v>Bono natural incrementado</v>
          </cell>
          <cell r="AC298" t="str">
            <v>Sueño ligero</v>
          </cell>
          <cell r="AD298">
            <v>1</v>
          </cell>
          <cell r="AE298">
            <v>0</v>
          </cell>
          <cell r="AF298">
            <v>0</v>
          </cell>
          <cell r="AH298" t="str">
            <v>Comunes</v>
          </cell>
        </row>
        <row r="299">
          <cell r="M299" t="str">
            <v>Persuasión</v>
          </cell>
          <cell r="AA299" t="str">
            <v>Buena suerte</v>
          </cell>
          <cell r="AC299" t="str">
            <v>Encanto</v>
          </cell>
          <cell r="AD299">
            <v>1</v>
          </cell>
          <cell r="AE299">
            <v>0</v>
          </cell>
          <cell r="AF299">
            <v>0</v>
          </cell>
          <cell r="AH299" t="str">
            <v>Comunes</v>
          </cell>
        </row>
        <row r="300">
          <cell r="M300" t="str">
            <v>Comercio</v>
          </cell>
          <cell r="AA300" t="str">
            <v>Con. de todas las materias</v>
          </cell>
          <cell r="AC300" t="str">
            <v>Buena suerte</v>
          </cell>
          <cell r="AD300">
            <v>1</v>
          </cell>
          <cell r="AE300">
            <v>0</v>
          </cell>
          <cell r="AF300">
            <v>0</v>
          </cell>
          <cell r="AH300" t="str">
            <v>Comunes</v>
          </cell>
        </row>
        <row r="301">
          <cell r="M301" t="str">
            <v>Callejeo</v>
          </cell>
          <cell r="AA301" t="str">
            <v>Convocador de masas (1)</v>
          </cell>
          <cell r="AC301" t="str">
            <v>Afortunado</v>
          </cell>
          <cell r="AD301">
            <v>1</v>
          </cell>
          <cell r="AE301">
            <v>0</v>
          </cell>
          <cell r="AF301">
            <v>0</v>
          </cell>
          <cell r="AH301" t="str">
            <v>Comunes</v>
          </cell>
        </row>
        <row r="302">
          <cell r="M302" t="str">
            <v>Etiqueta</v>
          </cell>
          <cell r="AA302" t="str">
            <v>Convocador de masas (2)</v>
          </cell>
          <cell r="AC302" t="str">
            <v>Reflejos rápidos (1)</v>
          </cell>
          <cell r="AD302">
            <v>1</v>
          </cell>
          <cell r="AE302">
            <v>0</v>
          </cell>
          <cell r="AF302">
            <v>0</v>
          </cell>
          <cell r="AG302">
            <v>1</v>
          </cell>
          <cell r="AH302" t="str">
            <v>Comunes</v>
          </cell>
        </row>
        <row r="303">
          <cell r="M303" t="str">
            <v>Advertir</v>
          </cell>
          <cell r="AA303" t="str">
            <v>Convocador de masas (3)</v>
          </cell>
          <cell r="AC303" t="str">
            <v>Reflejos rápidos (2)</v>
          </cell>
          <cell r="AD303">
            <v>2</v>
          </cell>
          <cell r="AE303">
            <v>0</v>
          </cell>
          <cell r="AF303">
            <v>0</v>
          </cell>
          <cell r="AG303">
            <v>1</v>
          </cell>
          <cell r="AH303" t="str">
            <v>Comunes</v>
          </cell>
        </row>
        <row r="304">
          <cell r="M304" t="str">
            <v>Buscar</v>
          </cell>
          <cell r="AA304" t="str">
            <v>Difícil de matar (1)</v>
          </cell>
          <cell r="AC304" t="str">
            <v>Reflejos rápidos (3)</v>
          </cell>
          <cell r="AD304">
            <v>3</v>
          </cell>
          <cell r="AE304">
            <v>0</v>
          </cell>
          <cell r="AF304">
            <v>0</v>
          </cell>
          <cell r="AG304">
            <v>1</v>
          </cell>
          <cell r="AH304" t="str">
            <v>Comunes</v>
          </cell>
        </row>
        <row r="305">
          <cell r="M305" t="str">
            <v>Rastrear</v>
          </cell>
          <cell r="AA305" t="str">
            <v>Difícil de matar (2)</v>
          </cell>
          <cell r="AC305" t="str">
            <v>Tamaño no natural +1</v>
          </cell>
          <cell r="AD305">
            <v>1</v>
          </cell>
          <cell r="AE305">
            <v>0</v>
          </cell>
          <cell r="AF305">
            <v>0</v>
          </cell>
          <cell r="AG305">
            <v>1</v>
          </cell>
          <cell r="AH305" t="str">
            <v>Comunes</v>
          </cell>
        </row>
        <row r="306">
          <cell r="M306" t="str">
            <v>Animales</v>
          </cell>
          <cell r="AA306" t="str">
            <v>Difícil de matar (3)</v>
          </cell>
          <cell r="AC306" t="str">
            <v>Tamaño no natural +2</v>
          </cell>
          <cell r="AD306">
            <v>1</v>
          </cell>
          <cell r="AE306">
            <v>0</v>
          </cell>
          <cell r="AF306">
            <v>0</v>
          </cell>
          <cell r="AG306">
            <v>1</v>
          </cell>
          <cell r="AH306" t="str">
            <v>Comunes</v>
          </cell>
        </row>
        <row r="307">
          <cell r="M307" t="str">
            <v>Ciencia</v>
          </cell>
          <cell r="AA307" t="str">
            <v>Don</v>
          </cell>
          <cell r="AC307" t="str">
            <v>Tamaño no natural +3</v>
          </cell>
          <cell r="AD307">
            <v>1</v>
          </cell>
          <cell r="AE307">
            <v>0</v>
          </cell>
          <cell r="AF307">
            <v>0</v>
          </cell>
          <cell r="AG307">
            <v>1</v>
          </cell>
          <cell r="AH307" t="str">
            <v>Comunes</v>
          </cell>
        </row>
        <row r="308">
          <cell r="M308" t="str">
            <v>Ley</v>
          </cell>
          <cell r="AA308" t="str">
            <v>Don incompleto</v>
          </cell>
          <cell r="AC308" t="str">
            <v>Tamaño no natural +4</v>
          </cell>
          <cell r="AD308">
            <v>1</v>
          </cell>
          <cell r="AE308">
            <v>0</v>
          </cell>
          <cell r="AF308">
            <v>0</v>
          </cell>
          <cell r="AG308">
            <v>1</v>
          </cell>
          <cell r="AH308" t="str">
            <v>Comunes</v>
          </cell>
        </row>
        <row r="309">
          <cell r="M309" t="str">
            <v>Herbolaria</v>
          </cell>
          <cell r="AA309" t="str">
            <v>Elan (1)</v>
          </cell>
          <cell r="AC309" t="str">
            <v>Tamaño no natural +5</v>
          </cell>
          <cell r="AD309">
            <v>1</v>
          </cell>
          <cell r="AE309">
            <v>0</v>
          </cell>
          <cell r="AF309">
            <v>0</v>
          </cell>
          <cell r="AG309">
            <v>1</v>
          </cell>
          <cell r="AH309" t="str">
            <v>Comunes</v>
          </cell>
        </row>
        <row r="310">
          <cell r="M310" t="str">
            <v>Historia</v>
          </cell>
          <cell r="AA310" t="str">
            <v>Elan (2)</v>
          </cell>
          <cell r="AC310" t="str">
            <v>Tamaño no natural -1</v>
          </cell>
          <cell r="AD310">
            <v>1</v>
          </cell>
          <cell r="AE310">
            <v>0</v>
          </cell>
          <cell r="AF310">
            <v>0</v>
          </cell>
          <cell r="AG310">
            <v>1</v>
          </cell>
          <cell r="AH310" t="str">
            <v>Comunes</v>
          </cell>
        </row>
        <row r="311">
          <cell r="M311" t="str">
            <v>Tactica</v>
          </cell>
          <cell r="AA311" t="str">
            <v>Elan (3)</v>
          </cell>
          <cell r="AC311" t="str">
            <v>Tamaño no natural -2</v>
          </cell>
          <cell r="AD311">
            <v>1</v>
          </cell>
          <cell r="AE311">
            <v>0</v>
          </cell>
          <cell r="AF311">
            <v>0</v>
          </cell>
          <cell r="AG311">
            <v>1</v>
          </cell>
          <cell r="AH311" t="str">
            <v>Comunes</v>
          </cell>
        </row>
        <row r="312">
          <cell r="M312" t="str">
            <v>Medicina</v>
          </cell>
          <cell r="AA312" t="str">
            <v>Encanto</v>
          </cell>
          <cell r="AC312" t="str">
            <v>Tamaño no natural -3</v>
          </cell>
          <cell r="AD312">
            <v>1</v>
          </cell>
          <cell r="AE312">
            <v>0</v>
          </cell>
          <cell r="AF312">
            <v>0</v>
          </cell>
          <cell r="AG312">
            <v>1</v>
          </cell>
          <cell r="AH312" t="str">
            <v>Comunes</v>
          </cell>
        </row>
        <row r="313">
          <cell r="M313" t="str">
            <v>Memorizar</v>
          </cell>
          <cell r="AA313" t="str">
            <v>Esencia Sheele</v>
          </cell>
          <cell r="AC313" t="str">
            <v>Tamaño no natural -4</v>
          </cell>
          <cell r="AD313">
            <v>1</v>
          </cell>
          <cell r="AE313">
            <v>0</v>
          </cell>
          <cell r="AF313">
            <v>0</v>
          </cell>
          <cell r="AG313">
            <v>1</v>
          </cell>
          <cell r="AH313" t="str">
            <v>Comunes</v>
          </cell>
        </row>
        <row r="314">
          <cell r="M314" t="str">
            <v>Navegación</v>
          </cell>
          <cell r="AA314" t="str">
            <v>Familiar (2)</v>
          </cell>
          <cell r="AC314" t="str">
            <v>Tamaño no natural -5</v>
          </cell>
          <cell r="AD314">
            <v>1</v>
          </cell>
          <cell r="AE314">
            <v>0</v>
          </cell>
          <cell r="AF314">
            <v>0</v>
          </cell>
          <cell r="AG314">
            <v>1</v>
          </cell>
          <cell r="AH314" t="str">
            <v>Comunes</v>
          </cell>
        </row>
        <row r="315">
          <cell r="M315" t="str">
            <v>Ocultismo</v>
          </cell>
          <cell r="AA315" t="str">
            <v>Familiar (3)</v>
          </cell>
          <cell r="AC315" t="str">
            <v>Sentido del peligro</v>
          </cell>
          <cell r="AD315">
            <v>2</v>
          </cell>
          <cell r="AE315">
            <v>0</v>
          </cell>
          <cell r="AF315">
            <v>0</v>
          </cell>
          <cell r="AH315" t="str">
            <v>Comunes</v>
          </cell>
        </row>
        <row r="316">
          <cell r="M316" t="str">
            <v>Tasación</v>
          </cell>
          <cell r="AA316" t="str">
            <v>Habilidoso</v>
          </cell>
          <cell r="AC316" t="str">
            <v>Armadura natural</v>
          </cell>
          <cell r="AD316">
            <v>1</v>
          </cell>
          <cell r="AE316">
            <v>0</v>
          </cell>
          <cell r="AF316">
            <v>0</v>
          </cell>
          <cell r="AG316">
            <v>1</v>
          </cell>
          <cell r="AH316" t="str">
            <v>Comunes</v>
          </cell>
        </row>
        <row r="317">
          <cell r="M317" t="str">
            <v>V. Mágica</v>
          </cell>
          <cell r="AA317" t="str">
            <v>Infatigable (1)</v>
          </cell>
          <cell r="AC317" t="str">
            <v>Armadura mística</v>
          </cell>
          <cell r="AD317">
            <v>1</v>
          </cell>
          <cell r="AE317">
            <v>0</v>
          </cell>
          <cell r="AF317">
            <v>0</v>
          </cell>
          <cell r="AG317">
            <v>1</v>
          </cell>
          <cell r="AH317" t="str">
            <v>Comunes</v>
          </cell>
        </row>
        <row r="318">
          <cell r="G318">
            <v>0</v>
          </cell>
          <cell r="M318" t="str">
            <v>Investigación psi</v>
          </cell>
          <cell r="AA318" t="str">
            <v>Infatigable (2)</v>
          </cell>
          <cell r="AC318" t="str">
            <v>Acc. psíquico natural (1)</v>
          </cell>
          <cell r="AD318">
            <v>1</v>
          </cell>
          <cell r="AE318">
            <v>0</v>
          </cell>
          <cell r="AF318">
            <v>0</v>
          </cell>
          <cell r="AH318" t="str">
            <v>Comunes</v>
          </cell>
        </row>
        <row r="319">
          <cell r="M319" t="str">
            <v>Frialdad</v>
          </cell>
          <cell r="AA319" t="str">
            <v>Infatigable (3)</v>
          </cell>
          <cell r="AC319" t="str">
            <v>Acc. psíquico natural (2)</v>
          </cell>
          <cell r="AD319">
            <v>2</v>
          </cell>
          <cell r="AE319">
            <v>0</v>
          </cell>
          <cell r="AF319">
            <v>0</v>
          </cell>
          <cell r="AH319" t="str">
            <v>Comunes</v>
          </cell>
        </row>
        <row r="320">
          <cell r="M320" t="str">
            <v>P. Fuerza</v>
          </cell>
          <cell r="AA320" t="str">
            <v>Inm. al dolor y al cansancio</v>
          </cell>
          <cell r="AC320" t="str">
            <v>Acc. psíquico natural (3)</v>
          </cell>
          <cell r="AD320">
            <v>3</v>
          </cell>
          <cell r="AE320">
            <v>0</v>
          </cell>
          <cell r="AF320">
            <v>0</v>
          </cell>
          <cell r="AH320" t="str">
            <v>Comunes</v>
          </cell>
        </row>
        <row r="321">
          <cell r="M321" t="str">
            <v>Res. Dolor</v>
          </cell>
          <cell r="AA321" t="str">
            <v>Inmunidad psíquica</v>
          </cell>
          <cell r="AC321" t="str">
            <v>Inm. al dolor y al cansancio</v>
          </cell>
          <cell r="AD321">
            <v>1</v>
          </cell>
          <cell r="AE321">
            <v>0</v>
          </cell>
          <cell r="AF321">
            <v>0</v>
          </cell>
          <cell r="AG321">
            <v>1</v>
          </cell>
          <cell r="AH321" t="str">
            <v>Comunes</v>
          </cell>
        </row>
        <row r="322">
          <cell r="M322" t="str">
            <v>Cerrajería</v>
          </cell>
          <cell r="AA322" t="str">
            <v>Inmunidad sobrenatural (1)</v>
          </cell>
          <cell r="AC322" t="str">
            <v>Ver lo sobrenatural</v>
          </cell>
          <cell r="AD322">
            <v>1</v>
          </cell>
          <cell r="AE322">
            <v>0</v>
          </cell>
          <cell r="AF322">
            <v>0</v>
          </cell>
          <cell r="AH322" t="str">
            <v>Comunes</v>
          </cell>
        </row>
        <row r="323">
          <cell r="M323" t="str">
            <v>Disfraz</v>
          </cell>
          <cell r="AA323" t="str">
            <v>Inmunidad sobrenatural (2)</v>
          </cell>
          <cell r="AC323" t="str">
            <v>Maestro marcial (1)</v>
          </cell>
          <cell r="AD323">
            <v>1</v>
          </cell>
          <cell r="AE323">
            <v>0</v>
          </cell>
          <cell r="AF323">
            <v>0</v>
          </cell>
          <cell r="AG323">
            <v>1</v>
          </cell>
          <cell r="AH323" t="str">
            <v>Comunes</v>
          </cell>
        </row>
        <row r="324">
          <cell r="M324" t="str">
            <v>Ocultarse</v>
          </cell>
          <cell r="AA324" t="str">
            <v>Inmunidad sobrenatural (3)</v>
          </cell>
          <cell r="AC324" t="str">
            <v>Maestro marcial (2)</v>
          </cell>
          <cell r="AD324">
            <v>2</v>
          </cell>
          <cell r="AE324">
            <v>0</v>
          </cell>
          <cell r="AF324">
            <v>0</v>
          </cell>
          <cell r="AG324">
            <v>1</v>
          </cell>
          <cell r="AH324" t="str">
            <v>Comunes</v>
          </cell>
        </row>
        <row r="325">
          <cell r="M325" t="str">
            <v>Robo</v>
          </cell>
          <cell r="AA325" t="str">
            <v>Inquietante</v>
          </cell>
          <cell r="AC325" t="str">
            <v>Maestro marcial (3)</v>
          </cell>
          <cell r="AD325">
            <v>3</v>
          </cell>
          <cell r="AE325">
            <v>0</v>
          </cell>
          <cell r="AF325">
            <v>0</v>
          </cell>
          <cell r="AG325">
            <v>1</v>
          </cell>
          <cell r="AH325" t="str">
            <v>Comunes</v>
          </cell>
        </row>
        <row r="326">
          <cell r="M326" t="str">
            <v>Sigilo</v>
          </cell>
          <cell r="AA326" t="str">
            <v>Inutilidad gestual</v>
          </cell>
          <cell r="AC326" t="str">
            <v>Infatigable (1)</v>
          </cell>
          <cell r="AD326">
            <v>1</v>
          </cell>
          <cell r="AE326">
            <v>0</v>
          </cell>
          <cell r="AF326">
            <v>0</v>
          </cell>
          <cell r="AG326">
            <v>1</v>
          </cell>
          <cell r="AH326" t="str">
            <v>Comunes</v>
          </cell>
        </row>
        <row r="327">
          <cell r="K327">
            <v>0</v>
          </cell>
          <cell r="M327" t="str">
            <v>Trampería</v>
          </cell>
          <cell r="AA327" t="str">
            <v>Ki imperceptible</v>
          </cell>
          <cell r="AC327" t="str">
            <v>Infatigable (2)</v>
          </cell>
          <cell r="AD327">
            <v>2</v>
          </cell>
          <cell r="AE327">
            <v>0</v>
          </cell>
          <cell r="AF327">
            <v>0</v>
          </cell>
          <cell r="AG327">
            <v>1</v>
          </cell>
          <cell r="AH327" t="str">
            <v>Comunes</v>
          </cell>
        </row>
        <row r="328">
          <cell r="M328" t="str">
            <v>Venenos</v>
          </cell>
          <cell r="AA328" t="str">
            <v>Libre albedrío</v>
          </cell>
          <cell r="AC328" t="str">
            <v>Infatigable (3)</v>
          </cell>
          <cell r="AD328">
            <v>3</v>
          </cell>
          <cell r="AE328">
            <v>0</v>
          </cell>
          <cell r="AF328">
            <v>0</v>
          </cell>
          <cell r="AG328">
            <v>1</v>
          </cell>
          <cell r="AH328" t="str">
            <v>Comunes</v>
          </cell>
        </row>
        <row r="329">
          <cell r="M329" t="str">
            <v>Arte</v>
          </cell>
          <cell r="AA329" t="str">
            <v>Límite dual</v>
          </cell>
          <cell r="AC329" t="str">
            <v xml:space="preserve"> &gt; Desplazamiento rápido</v>
          </cell>
          <cell r="AD329">
            <v>1</v>
          </cell>
          <cell r="AE329">
            <v>0</v>
          </cell>
          <cell r="AF329">
            <v>0</v>
          </cell>
          <cell r="AG329">
            <v>1</v>
          </cell>
          <cell r="AH329" t="str">
            <v>Comunes</v>
          </cell>
        </row>
        <row r="330">
          <cell r="M330" t="str">
            <v>Baile</v>
          </cell>
          <cell r="AA330" t="str">
            <v>Maestro marcial (1)</v>
          </cell>
          <cell r="AC330" t="str">
            <v>Recuperación de Ki (1)</v>
          </cell>
          <cell r="AD330">
            <v>1</v>
          </cell>
          <cell r="AE330">
            <v>0</v>
          </cell>
          <cell r="AF330">
            <v>0</v>
          </cell>
          <cell r="AH330" t="str">
            <v>Comunes</v>
          </cell>
        </row>
        <row r="331">
          <cell r="M331" t="str">
            <v>Forja</v>
          </cell>
          <cell r="AA331" t="str">
            <v>Maestro marcial (2)</v>
          </cell>
          <cell r="AC331" t="str">
            <v>Recuperación de Ki (2)</v>
          </cell>
          <cell r="AD331">
            <v>2</v>
          </cell>
          <cell r="AE331">
            <v>0</v>
          </cell>
          <cell r="AF331">
            <v>0</v>
          </cell>
          <cell r="AH331" t="str">
            <v>Comunes</v>
          </cell>
        </row>
        <row r="332">
          <cell r="M332" t="str">
            <v>Runas</v>
          </cell>
          <cell r="AA332" t="str">
            <v>Maestro marcial (3)</v>
          </cell>
          <cell r="AC332" t="str">
            <v>Recuperación de Ki (3)</v>
          </cell>
          <cell r="AD332">
            <v>3</v>
          </cell>
          <cell r="AE332">
            <v>0</v>
          </cell>
          <cell r="AF332">
            <v>0</v>
          </cell>
          <cell r="AH332" t="str">
            <v>Comunes</v>
          </cell>
        </row>
        <row r="333">
          <cell r="M333" t="str">
            <v>Alquimia</v>
          </cell>
          <cell r="AA333" t="str">
            <v>Percepción del Ki</v>
          </cell>
          <cell r="AC333" t="str">
            <v>Elan (1)</v>
          </cell>
          <cell r="AD333">
            <v>1</v>
          </cell>
          <cell r="AE333">
            <v>0</v>
          </cell>
          <cell r="AF333">
            <v>0</v>
          </cell>
          <cell r="AH333" t="str">
            <v>Comunes</v>
          </cell>
        </row>
        <row r="334">
          <cell r="M334" t="str">
            <v>Animismo</v>
          </cell>
          <cell r="AA334" t="str">
            <v>Poder innato</v>
          </cell>
          <cell r="AC334" t="str">
            <v>Elan (2)</v>
          </cell>
          <cell r="AD334">
            <v>2</v>
          </cell>
          <cell r="AE334">
            <v>0</v>
          </cell>
          <cell r="AF334">
            <v>0</v>
          </cell>
          <cell r="AH334" t="str">
            <v>Comunes</v>
          </cell>
        </row>
        <row r="335">
          <cell r="M335" t="str">
            <v>Música</v>
          </cell>
          <cell r="AA335" t="str">
            <v>Recuperación de Ki (1)</v>
          </cell>
          <cell r="AC335" t="str">
            <v>Elan (3)</v>
          </cell>
          <cell r="AD335">
            <v>3</v>
          </cell>
          <cell r="AE335">
            <v>0</v>
          </cell>
          <cell r="AF335">
            <v>0</v>
          </cell>
          <cell r="AH335" t="str">
            <v>Comunes</v>
          </cell>
        </row>
        <row r="336">
          <cell r="M336" t="str">
            <v>T. Manos</v>
          </cell>
          <cell r="AA336" t="str">
            <v>Recuperación de Ki (2)</v>
          </cell>
          <cell r="AC336" t="str">
            <v>Aprendizaje (1)</v>
          </cell>
          <cell r="AD336">
            <v>1</v>
          </cell>
          <cell r="AE336">
            <v>0</v>
          </cell>
          <cell r="AF336">
            <v>0</v>
          </cell>
          <cell r="AH336" t="str">
            <v>Comunes</v>
          </cell>
        </row>
        <row r="337">
          <cell r="M337" t="str">
            <v>Caligrafía ritual</v>
          </cell>
          <cell r="AA337" t="str">
            <v>Recuperación de Ki (3)</v>
          </cell>
          <cell r="AC337" t="str">
            <v>Aprendizaje (2)</v>
          </cell>
          <cell r="AD337">
            <v>2</v>
          </cell>
          <cell r="AE337">
            <v>0</v>
          </cell>
          <cell r="AF337">
            <v>0</v>
          </cell>
          <cell r="AH337" t="str">
            <v>Comunes</v>
          </cell>
        </row>
        <row r="338">
          <cell r="M338" t="str">
            <v>Orfebrería</v>
          </cell>
          <cell r="AA338" t="str">
            <v>Reflejos rápidos (1)</v>
          </cell>
          <cell r="AC338" t="str">
            <v>Aprendizaje (3)</v>
          </cell>
          <cell r="AD338">
            <v>3</v>
          </cell>
          <cell r="AE338">
            <v>0</v>
          </cell>
          <cell r="AF338">
            <v>0</v>
          </cell>
          <cell r="AH338" t="str">
            <v>Comunes</v>
          </cell>
        </row>
        <row r="339">
          <cell r="M339" t="str">
            <v>Confección</v>
          </cell>
          <cell r="AA339" t="str">
            <v>Reflejos rápidos (2)</v>
          </cell>
          <cell r="AC339" t="str">
            <v xml:space="preserve"> &gt; Mutación (1)</v>
          </cell>
          <cell r="AD339">
            <v>1</v>
          </cell>
          <cell r="AE339">
            <v>0</v>
          </cell>
          <cell r="AF339">
            <v>0</v>
          </cell>
          <cell r="AH339" t="str">
            <v>Comunes</v>
          </cell>
        </row>
        <row r="340">
          <cell r="M340" t="str">
            <v>Conf. marionetas</v>
          </cell>
          <cell r="AA340" t="str">
            <v>Reflejos rápidos (3)</v>
          </cell>
          <cell r="AC340" t="str">
            <v xml:space="preserve"> &gt; Mutación (2)</v>
          </cell>
          <cell r="AD340">
            <v>2</v>
          </cell>
          <cell r="AE340">
            <v>0</v>
          </cell>
          <cell r="AF340">
            <v>0</v>
          </cell>
          <cell r="AH340" t="str">
            <v>Comunes</v>
          </cell>
        </row>
        <row r="341">
          <cell r="M341" t="str">
            <v>#1</v>
          </cell>
          <cell r="AA341" t="str">
            <v>Regeneración (1) básica</v>
          </cell>
          <cell r="AC341" t="str">
            <v xml:space="preserve"> &gt; Mutación (3)</v>
          </cell>
          <cell r="AD341">
            <v>3</v>
          </cell>
          <cell r="AE341">
            <v>0</v>
          </cell>
          <cell r="AF341">
            <v>0</v>
          </cell>
          <cell r="AH341" t="str">
            <v>Comunes</v>
          </cell>
        </row>
        <row r="342">
          <cell r="M342" t="str">
            <v>#2</v>
          </cell>
          <cell r="AA342" t="str">
            <v>Regeneración (2) avanzada</v>
          </cell>
          <cell r="AC342" t="str">
            <v xml:space="preserve"> &gt; [PN] VENTAJAS COMUNES</v>
          </cell>
          <cell r="AH342" t="str">
            <v>Comunes</v>
          </cell>
        </row>
        <row r="343">
          <cell r="M343" t="str">
            <v>#3</v>
          </cell>
          <cell r="AA343" t="str">
            <v>Regeneración (3) mayor</v>
          </cell>
          <cell r="AC343" t="str">
            <v>Difícil de matar (1)</v>
          </cell>
          <cell r="AD343">
            <v>1</v>
          </cell>
          <cell r="AE343">
            <v>0</v>
          </cell>
          <cell r="AF343">
            <v>0</v>
          </cell>
          <cell r="AG343">
            <v>2</v>
          </cell>
          <cell r="AH343" t="str">
            <v>Comunes</v>
          </cell>
        </row>
        <row r="344">
          <cell r="M344" t="str">
            <v>#4</v>
          </cell>
          <cell r="AA344" t="str">
            <v>Repetir tirada de características</v>
          </cell>
          <cell r="AC344" t="str">
            <v>Difícil de matar (2)</v>
          </cell>
          <cell r="AD344">
            <v>2</v>
          </cell>
          <cell r="AE344">
            <v>0</v>
          </cell>
          <cell r="AF344">
            <v>0</v>
          </cell>
          <cell r="AG344">
            <v>2</v>
          </cell>
          <cell r="AH344" t="str">
            <v>Comunes</v>
          </cell>
        </row>
        <row r="345">
          <cell r="M345" t="str">
            <v>#5</v>
          </cell>
          <cell r="AA345" t="str">
            <v>Res. física excepcional (1)</v>
          </cell>
          <cell r="AC345" t="str">
            <v>Difícil de matar (3)</v>
          </cell>
          <cell r="AD345">
            <v>3</v>
          </cell>
          <cell r="AE345">
            <v>0</v>
          </cell>
          <cell r="AF345">
            <v>0</v>
          </cell>
          <cell r="AG345">
            <v>2</v>
          </cell>
          <cell r="AH345" t="str">
            <v>Comunes</v>
          </cell>
        </row>
        <row r="346">
          <cell r="AA346" t="str">
            <v>Res. física excepcional (2)</v>
          </cell>
          <cell r="AC346" t="str">
            <v>Al límite</v>
          </cell>
          <cell r="AD346">
            <v>1</v>
          </cell>
          <cell r="AE346">
            <v>0</v>
          </cell>
          <cell r="AF346">
            <v>0</v>
          </cell>
          <cell r="AH346" t="str">
            <v>Comunes</v>
          </cell>
        </row>
        <row r="347">
          <cell r="AA347" t="str">
            <v>Res. mágica excepcional (1)</v>
          </cell>
          <cell r="AC347" t="str">
            <v>Inmunidad sobrenatural (1)</v>
          </cell>
          <cell r="AD347">
            <v>1</v>
          </cell>
          <cell r="AE347">
            <v>0</v>
          </cell>
          <cell r="AF347">
            <v>0</v>
          </cell>
          <cell r="AH347" t="str">
            <v>Comunes</v>
          </cell>
        </row>
        <row r="348">
          <cell r="AA348" t="str">
            <v>Res. mágica excepcional (2)</v>
          </cell>
          <cell r="AC348" t="str">
            <v>Inmunidad sobrenatural (2)</v>
          </cell>
          <cell r="AD348">
            <v>2</v>
          </cell>
          <cell r="AE348">
            <v>0</v>
          </cell>
          <cell r="AF348">
            <v>0</v>
          </cell>
          <cell r="AH348" t="str">
            <v>Comunes</v>
          </cell>
        </row>
        <row r="349">
          <cell r="AA349" t="str">
            <v>Res. psi. excepcional (1)</v>
          </cell>
          <cell r="AC349" t="str">
            <v>Inmunidad sobrenatural (3)</v>
          </cell>
          <cell r="AD349">
            <v>3</v>
          </cell>
          <cell r="AE349">
            <v>0</v>
          </cell>
          <cell r="AF349">
            <v>0</v>
          </cell>
          <cell r="AH349" t="str">
            <v>Comunes</v>
          </cell>
        </row>
        <row r="350">
          <cell r="AA350" t="str">
            <v>Res. psi. excepcional (2)</v>
          </cell>
          <cell r="AC350" t="str">
            <v>Sin límite de familiares</v>
          </cell>
          <cell r="AD350">
            <v>2</v>
          </cell>
          <cell r="AE350">
            <v>0</v>
          </cell>
          <cell r="AF350">
            <v>0</v>
          </cell>
          <cell r="AH350" t="str">
            <v>Comunes</v>
          </cell>
        </row>
        <row r="351">
          <cell r="AA351" t="str">
            <v>Seductor</v>
          </cell>
          <cell r="AC351" t="str">
            <v>Sentido del combate: Ataque</v>
          </cell>
          <cell r="AD351">
            <v>3</v>
          </cell>
          <cell r="AE351">
            <v>0</v>
          </cell>
          <cell r="AF351">
            <v>0</v>
          </cell>
          <cell r="AG351">
            <v>1</v>
          </cell>
          <cell r="AH351" t="str">
            <v>Comunes</v>
          </cell>
        </row>
        <row r="352">
          <cell r="AA352" t="str">
            <v>Sellos magistrales</v>
          </cell>
          <cell r="AC352" t="str">
            <v>Sentido del combate: Parada</v>
          </cell>
          <cell r="AD352">
            <v>3</v>
          </cell>
          <cell r="AE352">
            <v>0</v>
          </cell>
          <cell r="AF352">
            <v>0</v>
          </cell>
          <cell r="AG352">
            <v>1</v>
          </cell>
          <cell r="AH352" t="str">
            <v>Comunes</v>
          </cell>
        </row>
        <row r="353">
          <cell r="AA353" t="str">
            <v>Sentido del combate: Ataque</v>
          </cell>
          <cell r="AC353" t="str">
            <v>Sentido del combate: Esquiva</v>
          </cell>
          <cell r="AD353">
            <v>3</v>
          </cell>
          <cell r="AE353">
            <v>0</v>
          </cell>
          <cell r="AF353">
            <v>0</v>
          </cell>
          <cell r="AG353">
            <v>1</v>
          </cell>
          <cell r="AH353" t="str">
            <v>Comunes</v>
          </cell>
        </row>
        <row r="354">
          <cell r="AA354" t="str">
            <v>Sentido del combate: Esquiva</v>
          </cell>
          <cell r="AC354" t="str">
            <v>Bono natural incrementado</v>
          </cell>
          <cell r="AD354">
            <v>2</v>
          </cell>
          <cell r="AE354">
            <v>0</v>
          </cell>
          <cell r="AF354">
            <v>0</v>
          </cell>
          <cell r="AG354">
            <v>1</v>
          </cell>
          <cell r="AH354" t="str">
            <v>Comunes</v>
          </cell>
        </row>
        <row r="355">
          <cell r="AA355" t="str">
            <v>Sentido del combate: Parada</v>
          </cell>
          <cell r="AC355" t="str">
            <v>Uso de armadura (1)</v>
          </cell>
          <cell r="AD355">
            <v>1</v>
          </cell>
          <cell r="AE355">
            <v>0</v>
          </cell>
          <cell r="AF355">
            <v>0</v>
          </cell>
          <cell r="AG355">
            <v>1</v>
          </cell>
          <cell r="AH355" t="str">
            <v>Comunes</v>
          </cell>
        </row>
        <row r="356">
          <cell r="AA356" t="str">
            <v>Sentido del peligro</v>
          </cell>
          <cell r="AC356" t="str">
            <v>Uso de armadura (2)</v>
          </cell>
          <cell r="AD356">
            <v>2</v>
          </cell>
          <cell r="AE356">
            <v>0</v>
          </cell>
          <cell r="AF356">
            <v>0</v>
          </cell>
          <cell r="AG356">
            <v>1</v>
          </cell>
          <cell r="AH356" t="str">
            <v>Comunes</v>
          </cell>
        </row>
        <row r="357">
          <cell r="AA357" t="str">
            <v>Sentidos agudos</v>
          </cell>
          <cell r="AC357" t="str">
            <v>Uso de armadura (3)</v>
          </cell>
          <cell r="AD357">
            <v>3</v>
          </cell>
          <cell r="AE357">
            <v>0</v>
          </cell>
          <cell r="AF357">
            <v>0</v>
          </cell>
          <cell r="AG357">
            <v>1</v>
          </cell>
          <cell r="AH357" t="str">
            <v>Comunes</v>
          </cell>
        </row>
        <row r="358">
          <cell r="AA358" t="str">
            <v>Sin límite de familiares</v>
          </cell>
          <cell r="AC358" t="str">
            <v>Versátil</v>
          </cell>
          <cell r="AD358">
            <v>1</v>
          </cell>
          <cell r="AE358">
            <v>0</v>
          </cell>
          <cell r="AF358">
            <v>0</v>
          </cell>
          <cell r="AG358">
            <v>1</v>
          </cell>
          <cell r="AH358" t="str">
            <v>Comunes</v>
          </cell>
        </row>
        <row r="359">
          <cell r="AA359" t="str">
            <v>Sueño ligero</v>
          </cell>
          <cell r="AC359" t="str">
            <v>Superviviente</v>
          </cell>
          <cell r="AD359">
            <v>1</v>
          </cell>
          <cell r="AE359">
            <v>0</v>
          </cell>
          <cell r="AF359">
            <v>0</v>
          </cell>
          <cell r="AH359" t="str">
            <v>Comunes</v>
          </cell>
        </row>
        <row r="360">
          <cell r="AA360" t="str">
            <v>Superviviente</v>
          </cell>
          <cell r="AC360" t="str">
            <v>Tocado por el Destino</v>
          </cell>
          <cell r="AD360">
            <v>1</v>
          </cell>
          <cell r="AE360">
            <v>0</v>
          </cell>
          <cell r="AF360">
            <v>0</v>
          </cell>
          <cell r="AH360" t="str">
            <v>Comunes</v>
          </cell>
        </row>
        <row r="361">
          <cell r="AA361" t="str">
            <v>Sustituir característica por 9</v>
          </cell>
          <cell r="AC361" t="str">
            <v>Inmunidad psíquica</v>
          </cell>
          <cell r="AD361">
            <v>1</v>
          </cell>
          <cell r="AE361">
            <v>0</v>
          </cell>
          <cell r="AF361">
            <v>0</v>
          </cell>
          <cell r="AH361" t="str">
            <v>Comunes</v>
          </cell>
        </row>
        <row r="362">
          <cell r="AA362" t="str">
            <v>Tamaño no natural +1</v>
          </cell>
          <cell r="AC362" t="str">
            <v>Habilidoso</v>
          </cell>
          <cell r="AD362">
            <v>1</v>
          </cell>
          <cell r="AE362">
            <v>0</v>
          </cell>
          <cell r="AF362">
            <v>0</v>
          </cell>
          <cell r="AG362">
            <v>2</v>
          </cell>
          <cell r="AH362" t="str">
            <v>Comunes</v>
          </cell>
        </row>
        <row r="363">
          <cell r="AA363" t="str">
            <v>Tamaño no natural +2</v>
          </cell>
          <cell r="AC363" t="str">
            <v>Libre albedrío</v>
          </cell>
          <cell r="AD363">
            <v>1</v>
          </cell>
          <cell r="AE363">
            <v>0</v>
          </cell>
          <cell r="AF363">
            <v>0</v>
          </cell>
          <cell r="AH363" t="str">
            <v>Comunes</v>
          </cell>
        </row>
        <row r="364">
          <cell r="AA364" t="str">
            <v>Tamaño no natural +3</v>
          </cell>
          <cell r="AC364" t="str">
            <v>Seductor</v>
          </cell>
          <cell r="AD364">
            <v>1</v>
          </cell>
          <cell r="AE364">
            <v>0</v>
          </cell>
          <cell r="AF364">
            <v>0</v>
          </cell>
          <cell r="AH364" t="str">
            <v>Comunes</v>
          </cell>
        </row>
        <row r="365">
          <cell r="AA365" t="str">
            <v>Tamaño no natural +4</v>
          </cell>
          <cell r="AC365" t="str">
            <v xml:space="preserve"> &gt; [DE] VENTAJAS COMUNES</v>
          </cell>
          <cell r="AH365" t="str">
            <v>Comunes</v>
          </cell>
        </row>
        <row r="366">
          <cell r="AA366" t="str">
            <v>Tamaño no natural +5</v>
          </cell>
          <cell r="AC366" t="str">
            <v>Acumulación plena</v>
          </cell>
          <cell r="AD366">
            <v>2</v>
          </cell>
          <cell r="AE366">
            <v>0</v>
          </cell>
          <cell r="AF366">
            <v>0</v>
          </cell>
          <cell r="AH366" t="str">
            <v>Comunes</v>
          </cell>
        </row>
        <row r="367">
          <cell r="AA367" t="str">
            <v>Tamaño no natural -1</v>
          </cell>
          <cell r="AC367" t="str">
            <v>Aprendizaje marcial</v>
          </cell>
          <cell r="AD367">
            <v>1</v>
          </cell>
          <cell r="AE367">
            <v>0</v>
          </cell>
          <cell r="AF367">
            <v>0</v>
          </cell>
          <cell r="AH367" t="str">
            <v>Comunes</v>
          </cell>
        </row>
        <row r="368">
          <cell r="AA368" t="str">
            <v>Tamaño no natural -2</v>
          </cell>
          <cell r="AC368" t="str">
            <v>Ki imperceptible</v>
          </cell>
          <cell r="AD368">
            <v>1</v>
          </cell>
          <cell r="AE368">
            <v>0</v>
          </cell>
          <cell r="AF368">
            <v>0</v>
          </cell>
          <cell r="AG368">
            <v>1</v>
          </cell>
          <cell r="AH368" t="str">
            <v>Comunes</v>
          </cell>
        </row>
        <row r="369">
          <cell r="AA369" t="str">
            <v>Tamaño no natural -3</v>
          </cell>
          <cell r="AC369" t="str">
            <v>Poder innato</v>
          </cell>
          <cell r="AD369">
            <v>1</v>
          </cell>
          <cell r="AE369">
            <v>0</v>
          </cell>
          <cell r="AF369">
            <v>0</v>
          </cell>
          <cell r="AG369">
            <v>1</v>
          </cell>
          <cell r="AH369" t="str">
            <v>Comunes</v>
          </cell>
        </row>
        <row r="370">
          <cell r="AA370" t="str">
            <v>Tamaño no natural -4</v>
          </cell>
          <cell r="AC370" t="str">
            <v>Técnicas desvinculadas</v>
          </cell>
          <cell r="AD370">
            <v>1</v>
          </cell>
          <cell r="AE370">
            <v>0</v>
          </cell>
          <cell r="AF370">
            <v>0</v>
          </cell>
          <cell r="AH370" t="str">
            <v>Comunes</v>
          </cell>
        </row>
        <row r="371">
          <cell r="AA371" t="str">
            <v>Tamaño no natural -5</v>
          </cell>
          <cell r="AC371" t="str">
            <v>Ac. de Ki incrementada (1)</v>
          </cell>
          <cell r="AD371">
            <v>1</v>
          </cell>
          <cell r="AE371">
            <v>0</v>
          </cell>
          <cell r="AF371">
            <v>0</v>
          </cell>
          <cell r="AH371" t="str">
            <v>Comunes</v>
          </cell>
        </row>
        <row r="372">
          <cell r="AA372" t="str">
            <v>Técnicas desvinculadas</v>
          </cell>
          <cell r="AC372" t="str">
            <v>Ac. de Ki incrementada (2)</v>
          </cell>
          <cell r="AD372">
            <v>2</v>
          </cell>
          <cell r="AE372">
            <v>0</v>
          </cell>
          <cell r="AF372">
            <v>0</v>
          </cell>
          <cell r="AH372" t="str">
            <v>Comunes</v>
          </cell>
        </row>
        <row r="373">
          <cell r="AA373" t="str">
            <v>Tocado por el Destino</v>
          </cell>
          <cell r="AC373" t="str">
            <v>Percepción del Ki</v>
          </cell>
          <cell r="AD373">
            <v>1</v>
          </cell>
          <cell r="AE373">
            <v>0</v>
          </cell>
          <cell r="AF373">
            <v>0</v>
          </cell>
          <cell r="AG373">
            <v>1</v>
          </cell>
          <cell r="AH373" t="str">
            <v>Comunes</v>
          </cell>
        </row>
        <row r="374">
          <cell r="AA374" t="str">
            <v>Uso de armadura (1)</v>
          </cell>
          <cell r="AC374" t="str">
            <v>Límite dual</v>
          </cell>
          <cell r="AD374">
            <v>1</v>
          </cell>
          <cell r="AE374">
            <v>0</v>
          </cell>
          <cell r="AF374">
            <v>0</v>
          </cell>
          <cell r="AG374">
            <v>1</v>
          </cell>
          <cell r="AH374" t="str">
            <v>Comunes</v>
          </cell>
        </row>
        <row r="375">
          <cell r="AA375" t="str">
            <v>Uso de armadura (2)</v>
          </cell>
          <cell r="AC375" t="str">
            <v>Inutilidad gestual</v>
          </cell>
          <cell r="AD375">
            <v>1</v>
          </cell>
          <cell r="AE375">
            <v>0</v>
          </cell>
          <cell r="AF375">
            <v>0</v>
          </cell>
          <cell r="AH375" t="str">
            <v>Comunes</v>
          </cell>
        </row>
        <row r="376">
          <cell r="AA376" t="str">
            <v>Uso de armadura (3)</v>
          </cell>
          <cell r="AC376" t="str">
            <v>Sellos magistrales</v>
          </cell>
          <cell r="AD376">
            <v>1</v>
          </cell>
          <cell r="AE376">
            <v>0</v>
          </cell>
          <cell r="AF376">
            <v>0</v>
          </cell>
          <cell r="AH376" t="str">
            <v>Comunes</v>
          </cell>
        </row>
        <row r="377">
          <cell r="AA377" t="str">
            <v>Ver lo sobrenatural</v>
          </cell>
          <cell r="AC377" t="str">
            <v xml:space="preserve"> &gt; [AE] VENTAJAS COMUNES</v>
          </cell>
          <cell r="AH377" t="str">
            <v>Comunes</v>
          </cell>
        </row>
        <row r="378">
          <cell r="AA378" t="str">
            <v>Versátil</v>
          </cell>
          <cell r="AC378" t="str">
            <v>Don incompleto</v>
          </cell>
          <cell r="AD378">
            <v>1</v>
          </cell>
          <cell r="AE378">
            <v>0</v>
          </cell>
          <cell r="AF378">
            <v>0</v>
          </cell>
          <cell r="AH378" t="str">
            <v>Comunes</v>
          </cell>
        </row>
        <row r="379">
          <cell r="AA379" t="str">
            <v>Visión nocturna</v>
          </cell>
          <cell r="AC379" t="str">
            <v>Esencia Sheele</v>
          </cell>
          <cell r="AD379">
            <v>1</v>
          </cell>
          <cell r="AE379">
            <v>0</v>
          </cell>
          <cell r="AF379">
            <v>0</v>
          </cell>
          <cell r="AH379" t="str">
            <v>Comunes</v>
          </cell>
        </row>
        <row r="380">
          <cell r="AA380" t="str">
            <v xml:space="preserve"> &gt; VENTAJAS PERSONALIZADAS</v>
          </cell>
          <cell r="AC380" t="str">
            <v>Familiar (2)</v>
          </cell>
          <cell r="AD380">
            <v>2</v>
          </cell>
          <cell r="AE380">
            <v>0</v>
          </cell>
          <cell r="AF380">
            <v>0</v>
          </cell>
          <cell r="AH380" t="str">
            <v>Comunes</v>
          </cell>
        </row>
        <row r="381">
          <cell r="AA381" t="str">
            <v>Ventaja personalizada #1</v>
          </cell>
          <cell r="AC381" t="str">
            <v>Familiar (3)</v>
          </cell>
          <cell r="AD381">
            <v>3</v>
          </cell>
          <cell r="AE381">
            <v>0</v>
          </cell>
          <cell r="AF381">
            <v>0</v>
          </cell>
          <cell r="AH381" t="str">
            <v>Comunes</v>
          </cell>
        </row>
        <row r="382">
          <cell r="AA382" t="str">
            <v>Ventaja personalizada #2</v>
          </cell>
          <cell r="AC382" t="str">
            <v>Convocador de masas (1)</v>
          </cell>
          <cell r="AD382">
            <v>1</v>
          </cell>
          <cell r="AE382">
            <v>0</v>
          </cell>
          <cell r="AF382">
            <v>0</v>
          </cell>
          <cell r="AG382">
            <v>1</v>
          </cell>
          <cell r="AH382" t="str">
            <v>Comunes</v>
          </cell>
        </row>
        <row r="383">
          <cell r="AA383" t="str">
            <v>Ventaja personalizada #3</v>
          </cell>
          <cell r="AC383" t="str">
            <v>Convocador de masas (2)</v>
          </cell>
          <cell r="AD383">
            <v>2</v>
          </cell>
          <cell r="AE383">
            <v>0</v>
          </cell>
          <cell r="AF383">
            <v>0</v>
          </cell>
          <cell r="AG383">
            <v>1</v>
          </cell>
          <cell r="AH383" t="str">
            <v>Comunes</v>
          </cell>
        </row>
        <row r="384">
          <cell r="AA384" t="str">
            <v>Ventaja personalizada #4</v>
          </cell>
          <cell r="AC384" t="str">
            <v>Convocador de masas (3)</v>
          </cell>
          <cell r="AD384">
            <v>3</v>
          </cell>
          <cell r="AE384">
            <v>0</v>
          </cell>
          <cell r="AF384">
            <v>0</v>
          </cell>
          <cell r="AG384">
            <v>1</v>
          </cell>
          <cell r="AH384" t="str">
            <v>Comunes</v>
          </cell>
        </row>
        <row r="385">
          <cell r="AA385" t="e">
            <v>#N/A</v>
          </cell>
          <cell r="AC385" t="str">
            <v xml:space="preserve"> &gt; [PE] VENTAJAS COMUNES</v>
          </cell>
          <cell r="AH385" t="str">
            <v>Comunes</v>
          </cell>
        </row>
        <row r="386">
          <cell r="AA386" t="e">
            <v>#N/A</v>
          </cell>
          <cell r="AC386" t="str">
            <v>Afinidad de uso</v>
          </cell>
          <cell r="AD386">
            <v>1</v>
          </cell>
          <cell r="AE386">
            <v>0</v>
          </cell>
          <cell r="AF386">
            <v>0</v>
          </cell>
          <cell r="AH386" t="str">
            <v>Comunes</v>
          </cell>
        </row>
        <row r="387">
          <cell r="AA387" t="e">
            <v>#N/A</v>
          </cell>
          <cell r="AC387" t="str">
            <v xml:space="preserve"> &gt; VENTAJAS PERSONALIZADAS</v>
          </cell>
          <cell r="AH387" t="str">
            <v>Comunes</v>
          </cell>
        </row>
        <row r="388">
          <cell r="AA388" t="e">
            <v>#N/A</v>
          </cell>
          <cell r="AC388" t="str">
            <v>Ventaja personalizada #1</v>
          </cell>
          <cell r="AD388">
            <v>0</v>
          </cell>
          <cell r="AE388">
            <v>0</v>
          </cell>
          <cell r="AF388">
            <v>0</v>
          </cell>
          <cell r="AH388" t="str">
            <v>Comunes</v>
          </cell>
        </row>
        <row r="389">
          <cell r="AA389" t="e">
            <v>#N/A</v>
          </cell>
          <cell r="AC389" t="str">
            <v>Ventaja personalizada #2</v>
          </cell>
          <cell r="AD389">
            <v>0</v>
          </cell>
          <cell r="AE389">
            <v>0</v>
          </cell>
          <cell r="AF389">
            <v>0</v>
          </cell>
          <cell r="AH389" t="str">
            <v>Comunes</v>
          </cell>
        </row>
        <row r="390">
          <cell r="AA390" t="e">
            <v>#N/A</v>
          </cell>
          <cell r="AC390" t="str">
            <v>Ventaja personalizada #3</v>
          </cell>
          <cell r="AD390">
            <v>0</v>
          </cell>
          <cell r="AE390">
            <v>0</v>
          </cell>
          <cell r="AF390">
            <v>0</v>
          </cell>
          <cell r="AH390" t="str">
            <v>Comunes</v>
          </cell>
        </row>
        <row r="391">
          <cell r="AA391" t="e">
            <v>#N/A</v>
          </cell>
          <cell r="AC391" t="str">
            <v>Ventaja personalizada #4</v>
          </cell>
          <cell r="AD391">
            <v>0</v>
          </cell>
          <cell r="AE391">
            <v>0</v>
          </cell>
          <cell r="AF391">
            <v>0</v>
          </cell>
          <cell r="AH391" t="str">
            <v>Comunes</v>
          </cell>
        </row>
        <row r="392">
          <cell r="AC392" t="str">
            <v xml:space="preserve"> &gt; VENTAJAS: DON</v>
          </cell>
          <cell r="AH392" t="str">
            <v>Don</v>
          </cell>
        </row>
        <row r="393">
          <cell r="AC393" t="str">
            <v>Rec. superior de magia (1)</v>
          </cell>
          <cell r="AD393">
            <v>1</v>
          </cell>
          <cell r="AE393">
            <v>0</v>
          </cell>
          <cell r="AF393">
            <v>0</v>
          </cell>
          <cell r="AG393">
            <v>1</v>
          </cell>
          <cell r="AH393" t="str">
            <v>Don</v>
          </cell>
        </row>
        <row r="394">
          <cell r="AA394" t="str">
            <v xml:space="preserve"> &gt; VENTAJAS: DON</v>
          </cell>
          <cell r="AC394" t="str">
            <v>Rec. superior de magia (2)</v>
          </cell>
          <cell r="AD394">
            <v>2</v>
          </cell>
          <cell r="AE394">
            <v>0</v>
          </cell>
          <cell r="AF394">
            <v>0</v>
          </cell>
          <cell r="AG394">
            <v>1</v>
          </cell>
          <cell r="AH394" t="str">
            <v>Don</v>
          </cell>
        </row>
        <row r="395">
          <cell r="AA395" t="str">
            <v>Aprendizaje mágico gradual</v>
          </cell>
          <cell r="AC395" t="str">
            <v>Rec. superior de magia (3)</v>
          </cell>
          <cell r="AD395">
            <v>3</v>
          </cell>
          <cell r="AE395">
            <v>0</v>
          </cell>
          <cell r="AF395">
            <v>0</v>
          </cell>
          <cell r="AG395">
            <v>1</v>
          </cell>
          <cell r="AH395" t="str">
            <v>Don</v>
          </cell>
        </row>
        <row r="396">
          <cell r="AA396" t="str">
            <v>Apto desarrollo de la magia</v>
          </cell>
          <cell r="AC396" t="str">
            <v>Apto desarrollo de la magia</v>
          </cell>
          <cell r="AD396">
            <v>1</v>
          </cell>
          <cell r="AE396">
            <v>0</v>
          </cell>
          <cell r="AF396">
            <v>0</v>
          </cell>
          <cell r="AG396">
            <v>1</v>
          </cell>
          <cell r="AH396" t="str">
            <v>Don</v>
          </cell>
        </row>
        <row r="397">
          <cell r="AA397" t="str">
            <v>Con. natural de Vía: Agua</v>
          </cell>
          <cell r="AC397" t="str">
            <v>Con. natural de Vía: Luz</v>
          </cell>
          <cell r="AD397">
            <v>1</v>
          </cell>
          <cell r="AE397">
            <v>0</v>
          </cell>
          <cell r="AF397">
            <v>0</v>
          </cell>
          <cell r="AG397">
            <v>1</v>
          </cell>
          <cell r="AH397" t="str">
            <v>Don</v>
          </cell>
        </row>
        <row r="398">
          <cell r="AA398" t="str">
            <v>Con. natural de Vía: Aire</v>
          </cell>
          <cell r="AC398" t="str">
            <v>Con. natural de Vía: Osc.</v>
          </cell>
          <cell r="AD398">
            <v>1</v>
          </cell>
          <cell r="AE398">
            <v>0</v>
          </cell>
          <cell r="AF398">
            <v>0</v>
          </cell>
          <cell r="AG398">
            <v>1</v>
          </cell>
          <cell r="AH398" t="str">
            <v>Don</v>
          </cell>
        </row>
        <row r="399">
          <cell r="AA399" t="str">
            <v>Con. natural de Vía: Creación</v>
          </cell>
          <cell r="AC399" t="str">
            <v>Con. natural de Vía: Fuego</v>
          </cell>
          <cell r="AD399">
            <v>1</v>
          </cell>
          <cell r="AE399">
            <v>0</v>
          </cell>
          <cell r="AF399">
            <v>0</v>
          </cell>
          <cell r="AG399">
            <v>1</v>
          </cell>
          <cell r="AH399" t="str">
            <v>Don</v>
          </cell>
        </row>
        <row r="400">
          <cell r="AA400" t="str">
            <v>Con. natural de Vía: Destruc.</v>
          </cell>
          <cell r="AC400" t="str">
            <v>Con. natural de Vía: Agua</v>
          </cell>
          <cell r="AD400">
            <v>1</v>
          </cell>
          <cell r="AE400">
            <v>0</v>
          </cell>
          <cell r="AF400">
            <v>0</v>
          </cell>
          <cell r="AG400">
            <v>1</v>
          </cell>
          <cell r="AH400" t="str">
            <v>Don</v>
          </cell>
        </row>
        <row r="401">
          <cell r="AA401" t="str">
            <v>Con. natural de Vía: Esencia</v>
          </cell>
          <cell r="AC401" t="str">
            <v>Con. natural de Vía: Aire</v>
          </cell>
          <cell r="AD401">
            <v>1</v>
          </cell>
          <cell r="AE401">
            <v>0</v>
          </cell>
          <cell r="AF401">
            <v>0</v>
          </cell>
          <cell r="AG401">
            <v>1</v>
          </cell>
          <cell r="AH401" t="str">
            <v>Don</v>
          </cell>
        </row>
        <row r="402">
          <cell r="AA402" t="str">
            <v>Con. natural de Vía: Fuego</v>
          </cell>
          <cell r="AC402" t="str">
            <v>Con. natural de Vía: Tierra</v>
          </cell>
          <cell r="AD402">
            <v>1</v>
          </cell>
          <cell r="AE402">
            <v>0</v>
          </cell>
          <cell r="AF402">
            <v>0</v>
          </cell>
          <cell r="AG402">
            <v>1</v>
          </cell>
          <cell r="AH402" t="str">
            <v>Don</v>
          </cell>
        </row>
        <row r="403">
          <cell r="AA403" t="str">
            <v>Con. natural de Vía: Ilusión</v>
          </cell>
          <cell r="AC403" t="str">
            <v>Con. natural de Vía: Creación</v>
          </cell>
          <cell r="AD403">
            <v>1</v>
          </cell>
          <cell r="AE403">
            <v>0</v>
          </cell>
          <cell r="AF403">
            <v>0</v>
          </cell>
          <cell r="AG403">
            <v>1</v>
          </cell>
          <cell r="AH403" t="str">
            <v>Don</v>
          </cell>
        </row>
        <row r="404">
          <cell r="AA404" t="str">
            <v>Con. natural de Vía: Luz</v>
          </cell>
          <cell r="AC404" t="str">
            <v>Con. natural de Vía: Destruc.</v>
          </cell>
          <cell r="AD404">
            <v>1</v>
          </cell>
          <cell r="AE404">
            <v>0</v>
          </cell>
          <cell r="AF404">
            <v>0</v>
          </cell>
          <cell r="AG404">
            <v>1</v>
          </cell>
          <cell r="AH404" t="str">
            <v>Don</v>
          </cell>
        </row>
        <row r="405">
          <cell r="AA405" t="str">
            <v>Con. natural de Vía: Nigro.</v>
          </cell>
          <cell r="AC405" t="str">
            <v>Con. natural de Vía: Esencia</v>
          </cell>
          <cell r="AD405">
            <v>1</v>
          </cell>
          <cell r="AE405">
            <v>0</v>
          </cell>
          <cell r="AF405">
            <v>0</v>
          </cell>
          <cell r="AG405">
            <v>1</v>
          </cell>
          <cell r="AH405" t="str">
            <v>Don</v>
          </cell>
        </row>
        <row r="406">
          <cell r="AA406" t="str">
            <v>Con. natural de Vía: Osc.</v>
          </cell>
          <cell r="AC406" t="str">
            <v>Con. natural de Vía: Ilusión</v>
          </cell>
          <cell r="AD406">
            <v>1</v>
          </cell>
          <cell r="AE406">
            <v>0</v>
          </cell>
          <cell r="AF406">
            <v>0</v>
          </cell>
          <cell r="AG406">
            <v>1</v>
          </cell>
          <cell r="AH406" t="str">
            <v>Don</v>
          </cell>
        </row>
        <row r="407">
          <cell r="AA407" t="str">
            <v>Con. natural de Vía: Tierra</v>
          </cell>
          <cell r="AC407" t="str">
            <v>Con. natural de Vía: Nigro.</v>
          </cell>
          <cell r="AD407">
            <v>1</v>
          </cell>
          <cell r="AE407">
            <v>0</v>
          </cell>
          <cell r="AF407">
            <v>0</v>
          </cell>
          <cell r="AG407">
            <v>1</v>
          </cell>
          <cell r="AH407" t="str">
            <v>Don</v>
          </cell>
        </row>
        <row r="408">
          <cell r="AA408" t="str">
            <v>Des. elemental: Agua</v>
          </cell>
          <cell r="AC408" t="str">
            <v>Magia innata mejorada (1)</v>
          </cell>
          <cell r="AD408">
            <v>1</v>
          </cell>
          <cell r="AE408">
            <v>0</v>
          </cell>
          <cell r="AF408">
            <v>0</v>
          </cell>
          <cell r="AG408">
            <v>1</v>
          </cell>
          <cell r="AH408" t="str">
            <v>Don</v>
          </cell>
        </row>
        <row r="409">
          <cell r="AA409" t="str">
            <v>Des. elemental: Aire</v>
          </cell>
          <cell r="AC409" t="str">
            <v>Magia innata mejorada (2)</v>
          </cell>
          <cell r="AD409">
            <v>2</v>
          </cell>
          <cell r="AE409">
            <v>0</v>
          </cell>
          <cell r="AF409">
            <v>0</v>
          </cell>
          <cell r="AG409">
            <v>1</v>
          </cell>
          <cell r="AH409" t="str">
            <v>Don</v>
          </cell>
        </row>
        <row r="410">
          <cell r="AA410" t="str">
            <v>Des. elemental: Creación</v>
          </cell>
          <cell r="AC410" t="str">
            <v>Magia innata mejorada (3)</v>
          </cell>
          <cell r="AD410">
            <v>3</v>
          </cell>
          <cell r="AE410">
            <v>0</v>
          </cell>
          <cell r="AF410">
            <v>0</v>
          </cell>
          <cell r="AG410">
            <v>1</v>
          </cell>
          <cell r="AH410" t="str">
            <v>Don</v>
          </cell>
        </row>
        <row r="411">
          <cell r="AA411" t="str">
            <v>Des. elemental: Destrucción</v>
          </cell>
          <cell r="AC411" t="str">
            <v>Potencial enfrentado</v>
          </cell>
          <cell r="AD411">
            <v>1</v>
          </cell>
          <cell r="AE411">
            <v>0</v>
          </cell>
          <cell r="AF411">
            <v>0</v>
          </cell>
          <cell r="AH411" t="str">
            <v>Don</v>
          </cell>
        </row>
        <row r="412">
          <cell r="AA412" t="str">
            <v>Des. elemental: Esencia</v>
          </cell>
          <cell r="AC412" t="str">
            <v>Inutilidad somática</v>
          </cell>
          <cell r="AD412">
            <v>1</v>
          </cell>
          <cell r="AE412">
            <v>0</v>
          </cell>
          <cell r="AF412">
            <v>0</v>
          </cell>
          <cell r="AH412" t="str">
            <v>Don</v>
          </cell>
        </row>
        <row r="413">
          <cell r="AA413" t="str">
            <v>Des. elemental: Fuego</v>
          </cell>
          <cell r="AC413" t="str">
            <v>Inutilidad oral</v>
          </cell>
          <cell r="AD413">
            <v>1</v>
          </cell>
          <cell r="AE413">
            <v>0</v>
          </cell>
          <cell r="AF413">
            <v>0</v>
          </cell>
          <cell r="AH413" t="str">
            <v>Don</v>
          </cell>
        </row>
        <row r="414">
          <cell r="AA414" t="str">
            <v>Des. elemental: Ilusión</v>
          </cell>
          <cell r="AC414" t="str">
            <v>Des. elemental: Luz</v>
          </cell>
          <cell r="AD414">
            <v>1</v>
          </cell>
          <cell r="AE414">
            <v>0</v>
          </cell>
          <cell r="AF414">
            <v>0</v>
          </cell>
          <cell r="AG414">
            <v>1</v>
          </cell>
          <cell r="AH414" t="str">
            <v>Don</v>
          </cell>
        </row>
        <row r="415">
          <cell r="AA415" t="str">
            <v>Des. elemental: Luz</v>
          </cell>
          <cell r="AC415" t="str">
            <v>Des. elemental: Oscuridad</v>
          </cell>
          <cell r="AD415">
            <v>1</v>
          </cell>
          <cell r="AE415">
            <v>0</v>
          </cell>
          <cell r="AF415">
            <v>0</v>
          </cell>
          <cell r="AG415">
            <v>1</v>
          </cell>
          <cell r="AH415" t="str">
            <v>Don</v>
          </cell>
        </row>
        <row r="416">
          <cell r="AA416" t="str">
            <v>Des. elemental: Nigromancia</v>
          </cell>
          <cell r="AC416" t="str">
            <v>Des. elemental: Fuego</v>
          </cell>
          <cell r="AD416">
            <v>1</v>
          </cell>
          <cell r="AE416">
            <v>0</v>
          </cell>
          <cell r="AF416">
            <v>0</v>
          </cell>
          <cell r="AG416">
            <v>1</v>
          </cell>
          <cell r="AH416" t="str">
            <v>Don</v>
          </cell>
        </row>
        <row r="417">
          <cell r="AA417" t="str">
            <v>Des. elemental: Oscuridad</v>
          </cell>
          <cell r="AC417" t="str">
            <v>Des. elemental: Agua</v>
          </cell>
          <cell r="AD417">
            <v>1</v>
          </cell>
          <cell r="AE417">
            <v>0</v>
          </cell>
          <cell r="AF417">
            <v>0</v>
          </cell>
          <cell r="AG417">
            <v>1</v>
          </cell>
          <cell r="AH417" t="str">
            <v>Don</v>
          </cell>
        </row>
        <row r="418">
          <cell r="AA418" t="str">
            <v>Des. elemental: Tierra</v>
          </cell>
          <cell r="AC418" t="str">
            <v>Des. elemental: Aire</v>
          </cell>
          <cell r="AD418">
            <v>1</v>
          </cell>
          <cell r="AE418">
            <v>0</v>
          </cell>
          <cell r="AF418">
            <v>0</v>
          </cell>
          <cell r="AG418">
            <v>1</v>
          </cell>
          <cell r="AH418" t="str">
            <v>Don</v>
          </cell>
        </row>
        <row r="419">
          <cell r="AA419" t="str">
            <v>Desequilibrio sephirótico</v>
          </cell>
          <cell r="AC419" t="str">
            <v>Des. elemental: Tierra</v>
          </cell>
          <cell r="AD419">
            <v>1</v>
          </cell>
          <cell r="AE419">
            <v>0</v>
          </cell>
          <cell r="AF419">
            <v>0</v>
          </cell>
          <cell r="AG419">
            <v>1</v>
          </cell>
          <cell r="AH419" t="str">
            <v>Don</v>
          </cell>
        </row>
        <row r="420">
          <cell r="AA420" t="str">
            <v>Dicción mágica</v>
          </cell>
          <cell r="AC420" t="str">
            <v>Des. elemental: Creación</v>
          </cell>
          <cell r="AD420">
            <v>1</v>
          </cell>
          <cell r="AE420">
            <v>0</v>
          </cell>
          <cell r="AF420">
            <v>0</v>
          </cell>
          <cell r="AG420">
            <v>1</v>
          </cell>
          <cell r="AH420" t="str">
            <v>Don</v>
          </cell>
        </row>
        <row r="421">
          <cell r="AA421" t="str">
            <v>Hechicero nato</v>
          </cell>
          <cell r="AC421" t="str">
            <v>Des. elemental: Destrucción</v>
          </cell>
          <cell r="AD421">
            <v>1</v>
          </cell>
          <cell r="AE421">
            <v>0</v>
          </cell>
          <cell r="AF421">
            <v>0</v>
          </cell>
          <cell r="AG421">
            <v>1</v>
          </cell>
          <cell r="AH421" t="str">
            <v>Don</v>
          </cell>
        </row>
        <row r="422">
          <cell r="AA422" t="str">
            <v>Inutilidad oral</v>
          </cell>
          <cell r="AC422" t="str">
            <v>Des. elemental: Esencia</v>
          </cell>
          <cell r="AD422">
            <v>1</v>
          </cell>
          <cell r="AE422">
            <v>0</v>
          </cell>
          <cell r="AF422">
            <v>0</v>
          </cell>
          <cell r="AG422">
            <v>1</v>
          </cell>
          <cell r="AH422" t="str">
            <v>Don</v>
          </cell>
        </row>
        <row r="423">
          <cell r="AA423" t="str">
            <v>Inutilidad somática</v>
          </cell>
          <cell r="AC423" t="str">
            <v>Des. elemental: Ilusión</v>
          </cell>
          <cell r="AD423">
            <v>1</v>
          </cell>
          <cell r="AE423">
            <v>0</v>
          </cell>
          <cell r="AF423">
            <v>0</v>
          </cell>
          <cell r="AG423">
            <v>1</v>
          </cell>
          <cell r="AH423" t="str">
            <v>Don</v>
          </cell>
        </row>
        <row r="424">
          <cell r="AA424" t="str">
            <v>Magia innata mejorada (1)</v>
          </cell>
          <cell r="AC424" t="str">
            <v>Des. elemental: Nigromancia</v>
          </cell>
          <cell r="AD424">
            <v>1</v>
          </cell>
          <cell r="AE424">
            <v>0</v>
          </cell>
          <cell r="AF424">
            <v>0</v>
          </cell>
          <cell r="AG424">
            <v>1</v>
          </cell>
          <cell r="AH424" t="str">
            <v>Don</v>
          </cell>
        </row>
        <row r="425">
          <cell r="AA425" t="str">
            <v>Magia innata mejorada (2)</v>
          </cell>
          <cell r="AC425" t="str">
            <v>Desequilibrio sephirótico</v>
          </cell>
          <cell r="AD425">
            <v>2</v>
          </cell>
          <cell r="AE425">
            <v>0</v>
          </cell>
          <cell r="AF425">
            <v>0</v>
          </cell>
          <cell r="AG425">
            <v>1</v>
          </cell>
          <cell r="AH425" t="str">
            <v>Don</v>
          </cell>
        </row>
        <row r="426">
          <cell r="AA426" t="str">
            <v>Magia innata mejorada (3)</v>
          </cell>
          <cell r="AC426" t="str">
            <v xml:space="preserve"> &gt; [PN] VENTAJAS: DON</v>
          </cell>
          <cell r="AH426" t="str">
            <v>Don</v>
          </cell>
        </row>
        <row r="427">
          <cell r="AA427" t="str">
            <v>Magia opuesta</v>
          </cell>
          <cell r="AC427" t="str">
            <v>Magia opuesta</v>
          </cell>
          <cell r="AD427">
            <v>1</v>
          </cell>
          <cell r="AE427">
            <v>0</v>
          </cell>
          <cell r="AF427">
            <v>0</v>
          </cell>
          <cell r="AG427">
            <v>1</v>
          </cell>
          <cell r="AH427" t="str">
            <v>Don</v>
          </cell>
        </row>
        <row r="428">
          <cell r="AA428" t="str">
            <v>Naturaleza mágica (1)</v>
          </cell>
          <cell r="AC428" t="str">
            <v>Naturaleza mágica (1)</v>
          </cell>
          <cell r="AD428">
            <v>1</v>
          </cell>
          <cell r="AE428">
            <v>0</v>
          </cell>
          <cell r="AF428">
            <v>0</v>
          </cell>
          <cell r="AG428">
            <v>1</v>
          </cell>
          <cell r="AH428" t="str">
            <v>Don</v>
          </cell>
        </row>
        <row r="429">
          <cell r="AA429" t="str">
            <v>Naturaleza mágica (2)</v>
          </cell>
          <cell r="AC429" t="str">
            <v>Naturaleza mágica (2)</v>
          </cell>
          <cell r="AD429">
            <v>2</v>
          </cell>
          <cell r="AE429">
            <v>0</v>
          </cell>
          <cell r="AF429">
            <v>0</v>
          </cell>
          <cell r="AG429">
            <v>1</v>
          </cell>
          <cell r="AH429" t="str">
            <v>Don</v>
          </cell>
        </row>
        <row r="430">
          <cell r="AA430" t="str">
            <v>Naturaleza mágica (3)</v>
          </cell>
          <cell r="AC430" t="str">
            <v>Naturaleza mágica (3)</v>
          </cell>
          <cell r="AD430">
            <v>3</v>
          </cell>
          <cell r="AE430">
            <v>0</v>
          </cell>
          <cell r="AF430">
            <v>0</v>
          </cell>
          <cell r="AG430">
            <v>1</v>
          </cell>
          <cell r="AH430" t="str">
            <v>Don</v>
          </cell>
        </row>
        <row r="431">
          <cell r="AA431" t="str">
            <v>Poder natural</v>
          </cell>
          <cell r="AC431" t="str">
            <v>Poder natural</v>
          </cell>
          <cell r="AD431">
            <v>1</v>
          </cell>
          <cell r="AE431">
            <v>0</v>
          </cell>
          <cell r="AF431">
            <v>0</v>
          </cell>
          <cell r="AH431" t="str">
            <v>Don</v>
          </cell>
        </row>
        <row r="432">
          <cell r="AA432" t="str">
            <v>Potencial enfrentado</v>
          </cell>
          <cell r="AC432" t="str">
            <v>Dicción mágica</v>
          </cell>
          <cell r="AD432">
            <v>1</v>
          </cell>
          <cell r="AE432">
            <v>0</v>
          </cell>
          <cell r="AF432">
            <v>0</v>
          </cell>
          <cell r="AH432" t="str">
            <v>Don</v>
          </cell>
        </row>
        <row r="433">
          <cell r="AA433" t="str">
            <v>Rec. superior de magia (1)</v>
          </cell>
          <cell r="AC433" t="str">
            <v xml:space="preserve"> &gt; [AE] VENTAJAS: DON</v>
          </cell>
          <cell r="AH433" t="str">
            <v>Don</v>
          </cell>
        </row>
        <row r="434">
          <cell r="AA434" t="str">
            <v>Rec. superior de magia (2)</v>
          </cell>
          <cell r="AC434" t="str">
            <v>Versatilidad metamágica</v>
          </cell>
          <cell r="AD434">
            <v>1</v>
          </cell>
          <cell r="AE434">
            <v>0</v>
          </cell>
          <cell r="AF434">
            <v>0</v>
          </cell>
          <cell r="AH434" t="str">
            <v>Don</v>
          </cell>
        </row>
        <row r="435">
          <cell r="AA435" t="str">
            <v>Rec. superior de magia (3)</v>
          </cell>
          <cell r="AC435" t="str">
            <v>Hechicero nato</v>
          </cell>
          <cell r="AD435">
            <v>1</v>
          </cell>
          <cell r="AE435">
            <v>0</v>
          </cell>
          <cell r="AF435">
            <v>0</v>
          </cell>
          <cell r="AH435" t="str">
            <v>Don</v>
          </cell>
        </row>
        <row r="436">
          <cell r="AA436" t="str">
            <v>Versatilidad metamágica</v>
          </cell>
          <cell r="AC436" t="str">
            <v>Aprendizaje mágico gradual</v>
          </cell>
          <cell r="AD436">
            <v>2</v>
          </cell>
          <cell r="AE436">
            <v>0</v>
          </cell>
          <cell r="AF436">
            <v>0</v>
          </cell>
          <cell r="AG436">
            <v>1</v>
          </cell>
          <cell r="AH436" t="str">
            <v>Don</v>
          </cell>
        </row>
        <row r="437">
          <cell r="AA437" t="str">
            <v xml:space="preserve"> &gt; VENTAJAS: PSIQUICOS</v>
          </cell>
          <cell r="AC437" t="str">
            <v xml:space="preserve"> &gt; VENTAJAS: PSIQUICOS</v>
          </cell>
          <cell r="AH437" t="str">
            <v>Psiquicos</v>
          </cell>
        </row>
        <row r="438">
          <cell r="AA438" t="str">
            <v>Aceleración psicológica</v>
          </cell>
          <cell r="AC438" t="str">
            <v>Concentración extrema</v>
          </cell>
          <cell r="AD438">
            <v>1</v>
          </cell>
          <cell r="AE438">
            <v>0</v>
          </cell>
          <cell r="AF438">
            <v>0</v>
          </cell>
          <cell r="AG438">
            <v>1</v>
          </cell>
          <cell r="AH438" t="str">
            <v>Psiquicos</v>
          </cell>
        </row>
        <row r="439">
          <cell r="AA439" t="str">
            <v>Ambivalencia psíquica</v>
          </cell>
          <cell r="AC439" t="str">
            <v>Calibre</v>
          </cell>
          <cell r="AD439">
            <v>1</v>
          </cell>
          <cell r="AE439">
            <v>0</v>
          </cell>
          <cell r="AF439">
            <v>0</v>
          </cell>
          <cell r="AG439">
            <v>1</v>
          </cell>
          <cell r="AH439" t="str">
            <v>Psiquicos</v>
          </cell>
        </row>
        <row r="440">
          <cell r="AA440" t="str">
            <v>Bipolaridad (1)</v>
          </cell>
          <cell r="AC440" t="str">
            <v>Mantenimiento añadido</v>
          </cell>
          <cell r="AD440">
            <v>2</v>
          </cell>
          <cell r="AE440">
            <v>0</v>
          </cell>
          <cell r="AF440">
            <v>0</v>
          </cell>
          <cell r="AH440" t="str">
            <v>Psiquicos</v>
          </cell>
        </row>
        <row r="441">
          <cell r="AA441" t="str">
            <v>Bipolaridad (2)</v>
          </cell>
          <cell r="AC441" t="str">
            <v>Res. a la fatiga psíquica</v>
          </cell>
          <cell r="AD441">
            <v>1</v>
          </cell>
          <cell r="AE441">
            <v>0</v>
          </cell>
          <cell r="AF441">
            <v>0</v>
          </cell>
          <cell r="AH441" t="str">
            <v>Psiquicos</v>
          </cell>
        </row>
        <row r="442">
          <cell r="AA442" t="str">
            <v>Calibre</v>
          </cell>
          <cell r="AC442" t="str">
            <v>Recuperación de CVs (1)</v>
          </cell>
          <cell r="AD442">
            <v>1</v>
          </cell>
          <cell r="AE442">
            <v>0</v>
          </cell>
          <cell r="AF442">
            <v>0</v>
          </cell>
          <cell r="AH442" t="str">
            <v>Psiquicos</v>
          </cell>
        </row>
        <row r="443">
          <cell r="AA443" t="str">
            <v>Con. psíquico innato (1)</v>
          </cell>
          <cell r="AC443" t="str">
            <v>Recuperación de CVs (2)</v>
          </cell>
          <cell r="AD443">
            <v>2</v>
          </cell>
          <cell r="AE443">
            <v>0</v>
          </cell>
          <cell r="AF443">
            <v>0</v>
          </cell>
          <cell r="AH443" t="str">
            <v>Psiquicos</v>
          </cell>
        </row>
        <row r="444">
          <cell r="AA444" t="str">
            <v>Con. psíquico innato (2)</v>
          </cell>
          <cell r="AC444" t="str">
            <v>Recuperación de CVs (3)</v>
          </cell>
          <cell r="AD444">
            <v>3</v>
          </cell>
          <cell r="AE444">
            <v>0</v>
          </cell>
          <cell r="AF444">
            <v>0</v>
          </cell>
          <cell r="AH444" t="str">
            <v>Psiquicos</v>
          </cell>
        </row>
        <row r="445">
          <cell r="AA445" t="str">
            <v>Con. psíquico innato (3)</v>
          </cell>
          <cell r="AC445" t="str">
            <v>Des. psíquico: Piroquinesis</v>
          </cell>
          <cell r="AD445">
            <v>2</v>
          </cell>
          <cell r="AE445">
            <v>0</v>
          </cell>
          <cell r="AF445">
            <v>0</v>
          </cell>
          <cell r="AG445">
            <v>1</v>
          </cell>
          <cell r="AH445" t="str">
            <v>Psiquicos</v>
          </cell>
        </row>
        <row r="446">
          <cell r="AA446" t="str">
            <v>Concentración extrema</v>
          </cell>
          <cell r="AC446" t="str">
            <v>Des. psíquico: Crioquinesis</v>
          </cell>
          <cell r="AD446">
            <v>2</v>
          </cell>
          <cell r="AE446">
            <v>0</v>
          </cell>
          <cell r="AF446">
            <v>0</v>
          </cell>
          <cell r="AG446">
            <v>1</v>
          </cell>
          <cell r="AH446" t="str">
            <v>Psiquicos</v>
          </cell>
        </row>
        <row r="447">
          <cell r="AA447" t="str">
            <v>Concentración pasiva</v>
          </cell>
          <cell r="AC447" t="str">
            <v>Des. psíquico: Telequinesis</v>
          </cell>
          <cell r="AD447">
            <v>2</v>
          </cell>
          <cell r="AE447">
            <v>0</v>
          </cell>
          <cell r="AF447">
            <v>0</v>
          </cell>
          <cell r="AG447">
            <v>1</v>
          </cell>
          <cell r="AH447" t="str">
            <v>Psiquicos</v>
          </cell>
        </row>
        <row r="448">
          <cell r="AA448" t="str">
            <v>Conexión sistemática (1)</v>
          </cell>
          <cell r="AC448" t="str">
            <v>Des. psíquico: Telepatía</v>
          </cell>
          <cell r="AD448">
            <v>2</v>
          </cell>
          <cell r="AE448">
            <v>0</v>
          </cell>
          <cell r="AF448">
            <v>0</v>
          </cell>
          <cell r="AG448">
            <v>1</v>
          </cell>
          <cell r="AH448" t="str">
            <v>Psiquicos</v>
          </cell>
        </row>
        <row r="449">
          <cell r="AA449" t="str">
            <v>Conexión sistemática (2)</v>
          </cell>
          <cell r="AC449" t="str">
            <v>Des. psíquico: Energía</v>
          </cell>
          <cell r="AD449">
            <v>2</v>
          </cell>
          <cell r="AE449">
            <v>0</v>
          </cell>
          <cell r="AF449">
            <v>0</v>
          </cell>
          <cell r="AG449">
            <v>1</v>
          </cell>
          <cell r="AH449" t="str">
            <v>Psiquicos</v>
          </cell>
        </row>
        <row r="450">
          <cell r="AA450" t="str">
            <v>Conexión sistemática (3)</v>
          </cell>
          <cell r="AC450" t="str">
            <v>Des. psíquico: Inc. Físico</v>
          </cell>
          <cell r="AD450">
            <v>2</v>
          </cell>
          <cell r="AE450">
            <v>0</v>
          </cell>
          <cell r="AF450">
            <v>0</v>
          </cell>
          <cell r="AG450">
            <v>1</v>
          </cell>
          <cell r="AH450" t="str">
            <v>Psiquicos</v>
          </cell>
        </row>
        <row r="451">
          <cell r="AA451" t="str">
            <v>Des. psí: Antimateria</v>
          </cell>
          <cell r="AC451" t="str">
            <v>Des. psíquico: Sentiente</v>
          </cell>
          <cell r="AD451">
            <v>2</v>
          </cell>
          <cell r="AE451">
            <v>0</v>
          </cell>
          <cell r="AF451">
            <v>0</v>
          </cell>
          <cell r="AG451">
            <v>1</v>
          </cell>
          <cell r="AH451" t="str">
            <v>Psiquicos</v>
          </cell>
        </row>
        <row r="452">
          <cell r="AA452" t="str">
            <v>Des. psí: Chronoquinesis</v>
          </cell>
          <cell r="AC452" t="str">
            <v>Des. psíquico: Telemetría</v>
          </cell>
          <cell r="AD452">
            <v>2</v>
          </cell>
          <cell r="AE452">
            <v>0</v>
          </cell>
          <cell r="AF452">
            <v>0</v>
          </cell>
          <cell r="AG452">
            <v>1</v>
          </cell>
          <cell r="AH452" t="str">
            <v>Psiquicos</v>
          </cell>
        </row>
        <row r="453">
          <cell r="AA453" t="str">
            <v>Des. psí: Control del sonido</v>
          </cell>
          <cell r="AC453" t="str">
            <v>Des. psíquico: Causalidad</v>
          </cell>
          <cell r="AD453">
            <v>2</v>
          </cell>
          <cell r="AE453">
            <v>0</v>
          </cell>
          <cell r="AF453">
            <v>0</v>
          </cell>
          <cell r="AG453">
            <v>1</v>
          </cell>
          <cell r="AH453" t="str">
            <v>Psiquicos</v>
          </cell>
        </row>
        <row r="454">
          <cell r="AA454" t="str">
            <v>Des. psí: Dominio del espacio</v>
          </cell>
          <cell r="AC454" t="str">
            <v>Des. psí: Electromagnetismo</v>
          </cell>
          <cell r="AD454">
            <v>2</v>
          </cell>
          <cell r="AE454">
            <v>0</v>
          </cell>
          <cell r="AF454">
            <v>0</v>
          </cell>
          <cell r="AG454">
            <v>1</v>
          </cell>
          <cell r="AH454" t="str">
            <v>Psiquicos</v>
          </cell>
        </row>
        <row r="455">
          <cell r="AA455" t="str">
            <v>Des. psí: Electromagnetismo</v>
          </cell>
          <cell r="AC455" t="str">
            <v>Des. psíquico: Teletransporte</v>
          </cell>
          <cell r="AD455">
            <v>2</v>
          </cell>
          <cell r="AE455">
            <v>0</v>
          </cell>
          <cell r="AF455">
            <v>0</v>
          </cell>
          <cell r="AG455">
            <v>1</v>
          </cell>
          <cell r="AH455" t="str">
            <v>Psiquicos</v>
          </cell>
        </row>
        <row r="456">
          <cell r="AA456" t="str">
            <v>Des. psí: Filoquinesis</v>
          </cell>
          <cell r="AC456" t="str">
            <v>Des. psíquico: Luz</v>
          </cell>
          <cell r="AD456">
            <v>2</v>
          </cell>
          <cell r="AE456">
            <v>0</v>
          </cell>
          <cell r="AF456">
            <v>0</v>
          </cell>
          <cell r="AG456">
            <v>1</v>
          </cell>
          <cell r="AH456" t="str">
            <v>Psiquicos</v>
          </cell>
        </row>
        <row r="457">
          <cell r="AA457" t="str">
            <v>Des. psí: Gravitatoria</v>
          </cell>
          <cell r="AC457" t="str">
            <v>Des. psí: Gravitatoria</v>
          </cell>
          <cell r="AD457">
            <v>2</v>
          </cell>
          <cell r="AE457">
            <v>0</v>
          </cell>
          <cell r="AF457">
            <v>0</v>
          </cell>
          <cell r="AG457">
            <v>1</v>
          </cell>
          <cell r="AH457" t="str">
            <v>Psiquicos</v>
          </cell>
        </row>
        <row r="458">
          <cell r="AA458" t="str">
            <v>Des. psí: Hidroquinesis</v>
          </cell>
          <cell r="AC458" t="str">
            <v>Des. psí: Control del sonido</v>
          </cell>
          <cell r="AD458">
            <v>2</v>
          </cell>
          <cell r="AE458">
            <v>0</v>
          </cell>
          <cell r="AF458">
            <v>0</v>
          </cell>
          <cell r="AG458">
            <v>1</v>
          </cell>
          <cell r="AH458" t="str">
            <v>Psiquicos</v>
          </cell>
        </row>
        <row r="459">
          <cell r="AA459" t="str">
            <v>Des. psí: Presión</v>
          </cell>
          <cell r="AC459" t="str">
            <v>Des. psí: Presión</v>
          </cell>
          <cell r="AD459">
            <v>2</v>
          </cell>
          <cell r="AE459">
            <v>0</v>
          </cell>
          <cell r="AF459">
            <v>0</v>
          </cell>
          <cell r="AG459">
            <v>1</v>
          </cell>
          <cell r="AH459" t="str">
            <v>Psiquicos</v>
          </cell>
        </row>
        <row r="460">
          <cell r="AA460" t="str">
            <v>Des. psí: Sentiente [AK]</v>
          </cell>
          <cell r="AC460" t="str">
            <v>Des. psí: Antimateria</v>
          </cell>
          <cell r="AD460">
            <v>2</v>
          </cell>
          <cell r="AE460">
            <v>0</v>
          </cell>
          <cell r="AF460">
            <v>0</v>
          </cell>
          <cell r="AG460">
            <v>1</v>
          </cell>
          <cell r="AH460" t="str">
            <v>Psiquicos</v>
          </cell>
        </row>
        <row r="461">
          <cell r="AA461" t="str">
            <v>Des. psíquico: Causalidad</v>
          </cell>
          <cell r="AC461" t="str">
            <v>Des. psí: Filoquinesis</v>
          </cell>
          <cell r="AD461">
            <v>2</v>
          </cell>
          <cell r="AE461">
            <v>0</v>
          </cell>
          <cell r="AF461">
            <v>0</v>
          </cell>
          <cell r="AG461">
            <v>1</v>
          </cell>
          <cell r="AH461" t="str">
            <v>Psiquicos</v>
          </cell>
        </row>
        <row r="462">
          <cell r="AA462" t="str">
            <v>Des. psíquico: Crioquinesis</v>
          </cell>
          <cell r="AC462" t="str">
            <v>Des. psí: Dominio del espacio</v>
          </cell>
          <cell r="AD462">
            <v>2</v>
          </cell>
          <cell r="AE462">
            <v>0</v>
          </cell>
          <cell r="AF462">
            <v>0</v>
          </cell>
          <cell r="AG462">
            <v>1</v>
          </cell>
          <cell r="AH462" t="str">
            <v>Psiquicos</v>
          </cell>
        </row>
        <row r="463">
          <cell r="AA463" t="str">
            <v>Des. psíquico: Energía</v>
          </cell>
          <cell r="AC463" t="str">
            <v>Des. psí: Hidroquinesis</v>
          </cell>
          <cell r="AD463">
            <v>2</v>
          </cell>
          <cell r="AE463">
            <v>0</v>
          </cell>
          <cell r="AF463">
            <v>0</v>
          </cell>
          <cell r="AG463">
            <v>1</v>
          </cell>
          <cell r="AH463" t="str">
            <v>Psiquicos</v>
          </cell>
        </row>
        <row r="464">
          <cell r="AA464" t="str">
            <v>Des. psíquico: Inc. Físico</v>
          </cell>
          <cell r="AC464" t="str">
            <v>Des. psí: Chronoquinesis</v>
          </cell>
          <cell r="AD464">
            <v>2</v>
          </cell>
          <cell r="AE464">
            <v>0</v>
          </cell>
          <cell r="AF464">
            <v>0</v>
          </cell>
          <cell r="AG464">
            <v>1</v>
          </cell>
          <cell r="AH464" t="str">
            <v>Psiquicos</v>
          </cell>
        </row>
        <row r="465">
          <cell r="AA465" t="str">
            <v>Des. psíquico: Luz</v>
          </cell>
          <cell r="AC465" t="str">
            <v>Des. psí: Sentiente [AK]</v>
          </cell>
          <cell r="AD465">
            <v>2</v>
          </cell>
          <cell r="AE465">
            <v>0</v>
          </cell>
          <cell r="AF465">
            <v>0</v>
          </cell>
          <cell r="AG465">
            <v>1</v>
          </cell>
          <cell r="AH465" t="str">
            <v>Psiquicos</v>
          </cell>
        </row>
        <row r="466">
          <cell r="AA466" t="str">
            <v>Des. psíquico: Piroquinesis</v>
          </cell>
          <cell r="AC466" t="str">
            <v>Concentración pasiva</v>
          </cell>
          <cell r="AD466">
            <v>1</v>
          </cell>
          <cell r="AE466">
            <v>0</v>
          </cell>
          <cell r="AF466">
            <v>0</v>
          </cell>
          <cell r="AH466" t="str">
            <v>Psiquicos</v>
          </cell>
        </row>
        <row r="467">
          <cell r="AA467" t="str">
            <v>Des. psíquico: Sentiente</v>
          </cell>
          <cell r="AC467" t="str">
            <v xml:space="preserve"> &gt; [PN] VENTAJAS: PSIQUICOS</v>
          </cell>
          <cell r="AH467" t="str">
            <v>Psiquicos</v>
          </cell>
        </row>
        <row r="468">
          <cell r="AA468" t="str">
            <v>Des. psíquico: Telemetría</v>
          </cell>
          <cell r="AC468" t="str">
            <v>Ambivalencia psíquica</v>
          </cell>
          <cell r="AD468">
            <v>1</v>
          </cell>
          <cell r="AE468">
            <v>0</v>
          </cell>
          <cell r="AF468">
            <v>0</v>
          </cell>
          <cell r="AH468" t="str">
            <v>Psiquicos</v>
          </cell>
        </row>
        <row r="469">
          <cell r="AA469" t="str">
            <v>Des. psíquico: Telepatía</v>
          </cell>
          <cell r="AC469" t="str">
            <v>Mod. psíquico incrementado</v>
          </cell>
          <cell r="AD469">
            <v>1</v>
          </cell>
          <cell r="AE469">
            <v>0</v>
          </cell>
          <cell r="AF469">
            <v>0</v>
          </cell>
          <cell r="AH469" t="str">
            <v>Psiquicos</v>
          </cell>
        </row>
        <row r="470">
          <cell r="AA470" t="str">
            <v>Des. psíquico: Telequinesis</v>
          </cell>
          <cell r="AC470" t="str">
            <v xml:space="preserve"> &gt; [AE] VENTAJAS: PSIQUICOS</v>
          </cell>
          <cell r="AF470">
            <v>0</v>
          </cell>
          <cell r="AH470" t="str">
            <v>Psiquicos</v>
          </cell>
        </row>
        <row r="471">
          <cell r="AA471" t="str">
            <v>Des. psíquico: Teletransporte</v>
          </cell>
          <cell r="AC471" t="str">
            <v>Aceleración psicológica</v>
          </cell>
          <cell r="AD471">
            <v>1</v>
          </cell>
          <cell r="AE471">
            <v>0</v>
          </cell>
          <cell r="AF471">
            <v>0</v>
          </cell>
          <cell r="AH471" t="str">
            <v>Psiquicos</v>
          </cell>
        </row>
        <row r="472">
          <cell r="AA472" t="str">
            <v>Hacker psiónico</v>
          </cell>
          <cell r="AC472" t="str">
            <v>Neurodivergente</v>
          </cell>
          <cell r="AD472">
            <v>1</v>
          </cell>
          <cell r="AE472">
            <v>0</v>
          </cell>
          <cell r="AF472">
            <v>0</v>
          </cell>
          <cell r="AH472" t="str">
            <v>Psiquicos</v>
          </cell>
        </row>
        <row r="473">
          <cell r="AA473" t="str">
            <v>Mantenimiento añadido</v>
          </cell>
          <cell r="AC473" t="str">
            <v>Bipolaridad (1)</v>
          </cell>
          <cell r="AD473">
            <v>1</v>
          </cell>
          <cell r="AE473">
            <v>0</v>
          </cell>
          <cell r="AF473">
            <v>0</v>
          </cell>
          <cell r="AH473" t="str">
            <v>Psiquicos</v>
          </cell>
        </row>
        <row r="474">
          <cell r="AA474" t="str">
            <v>Mod. psíquico incrementado</v>
          </cell>
          <cell r="AC474" t="str">
            <v>Bipolaridad (2)</v>
          </cell>
          <cell r="AD474">
            <v>2</v>
          </cell>
          <cell r="AE474">
            <v>0</v>
          </cell>
          <cell r="AF474">
            <v>0</v>
          </cell>
          <cell r="AH474" t="str">
            <v>Psiquicos</v>
          </cell>
        </row>
        <row r="475">
          <cell r="AA475" t="str">
            <v>Neurodivergente</v>
          </cell>
          <cell r="AC475" t="str">
            <v>Con. psíquico innato (1)</v>
          </cell>
          <cell r="AD475">
            <v>1</v>
          </cell>
          <cell r="AE475">
            <v>0</v>
          </cell>
          <cell r="AF475">
            <v>0</v>
          </cell>
          <cell r="AH475" t="str">
            <v>Psiquicos</v>
          </cell>
        </row>
        <row r="476">
          <cell r="AA476" t="str">
            <v>Recuperación de CVs (1)</v>
          </cell>
          <cell r="AC476" t="str">
            <v>Con. psíquico innato (2)</v>
          </cell>
          <cell r="AD476">
            <v>2</v>
          </cell>
          <cell r="AE476">
            <v>0</v>
          </cell>
          <cell r="AF476">
            <v>0</v>
          </cell>
          <cell r="AH476" t="str">
            <v>Psiquicos</v>
          </cell>
        </row>
        <row r="477">
          <cell r="AA477" t="str">
            <v>Recuperación de CVs (2)</v>
          </cell>
          <cell r="AC477" t="str">
            <v>Con. psíquico innato (3)</v>
          </cell>
          <cell r="AD477">
            <v>3</v>
          </cell>
          <cell r="AE477">
            <v>0</v>
          </cell>
          <cell r="AF477">
            <v>0</v>
          </cell>
          <cell r="AH477" t="str">
            <v>Psiquicos</v>
          </cell>
        </row>
        <row r="478">
          <cell r="AA478" t="str">
            <v>Recuperación de CVs (3)</v>
          </cell>
          <cell r="AC478" t="str">
            <v>Conexión sistemática (1)</v>
          </cell>
          <cell r="AD478">
            <v>1</v>
          </cell>
          <cell r="AE478">
            <v>0</v>
          </cell>
          <cell r="AF478">
            <v>0</v>
          </cell>
          <cell r="AH478" t="str">
            <v>Psiquicos</v>
          </cell>
        </row>
        <row r="479">
          <cell r="AA479" t="str">
            <v>Res. a la fatiga psíquica</v>
          </cell>
          <cell r="AC479" t="str">
            <v>Conexión sistemática (2)</v>
          </cell>
          <cell r="AD479">
            <v>2</v>
          </cell>
          <cell r="AE479">
            <v>0</v>
          </cell>
          <cell r="AF479">
            <v>0</v>
          </cell>
          <cell r="AH479" t="str">
            <v>Psiquicos</v>
          </cell>
        </row>
        <row r="480">
          <cell r="AA480" t="e">
            <v>#N/A</v>
          </cell>
          <cell r="AC480" t="str">
            <v>Conexión sistemática (3)</v>
          </cell>
          <cell r="AD480">
            <v>3</v>
          </cell>
          <cell r="AE480">
            <v>0</v>
          </cell>
          <cell r="AF480">
            <v>0</v>
          </cell>
          <cell r="AH480" t="str">
            <v>Psiquicos</v>
          </cell>
        </row>
        <row r="481">
          <cell r="AA481" t="e">
            <v>#N/A</v>
          </cell>
          <cell r="AC481" t="str">
            <v>Hacker psiónico</v>
          </cell>
          <cell r="AD481">
            <v>1</v>
          </cell>
          <cell r="AE481">
            <v>0</v>
          </cell>
          <cell r="AF481">
            <v>0</v>
          </cell>
          <cell r="AH481" t="str">
            <v>Psiquicos</v>
          </cell>
        </row>
        <row r="482">
          <cell r="AA482" t="str">
            <v xml:space="preserve"> &gt; VENTAJAS TRASFONDO</v>
          </cell>
          <cell r="AC482" t="str">
            <v xml:space="preserve"> &gt; VENTAJAS TRASFONDO</v>
          </cell>
          <cell r="AH482" t="str">
            <v>Trasfondo</v>
          </cell>
        </row>
        <row r="483">
          <cell r="AA483" t="str">
            <v>Aliado poderoso (1)</v>
          </cell>
          <cell r="AC483" t="str">
            <v>Fondos iniciales (2 000 mo)</v>
          </cell>
          <cell r="AD483">
            <v>1</v>
          </cell>
          <cell r="AE483">
            <v>0</v>
          </cell>
          <cell r="AF483">
            <v>0</v>
          </cell>
          <cell r="AH483" t="str">
            <v>Trasfondo</v>
          </cell>
        </row>
        <row r="484">
          <cell r="AA484" t="str">
            <v>Aliado poderoso (2)</v>
          </cell>
          <cell r="AC484" t="str">
            <v>Fondos iniciales (5 000 mo)</v>
          </cell>
          <cell r="AD484">
            <v>2</v>
          </cell>
          <cell r="AE484">
            <v>0</v>
          </cell>
          <cell r="AF484">
            <v>0</v>
          </cell>
          <cell r="AH484" t="str">
            <v>Trasfondo</v>
          </cell>
        </row>
        <row r="485">
          <cell r="AA485" t="str">
            <v>Aliado poderoso (3)</v>
          </cell>
          <cell r="AC485" t="str">
            <v>Fondos iniciales (10 000 mo)</v>
          </cell>
          <cell r="AD485">
            <v>3</v>
          </cell>
          <cell r="AE485">
            <v>0</v>
          </cell>
          <cell r="AF485">
            <v>0</v>
          </cell>
          <cell r="AH485" t="str">
            <v>Trasfondo</v>
          </cell>
        </row>
        <row r="486">
          <cell r="AA486" t="str">
            <v>Artefacto (1)</v>
          </cell>
          <cell r="AC486" t="str">
            <v>Curtido (1)</v>
          </cell>
          <cell r="AD486">
            <v>1</v>
          </cell>
          <cell r="AE486">
            <v>0</v>
          </cell>
          <cell r="AF486">
            <v>0</v>
          </cell>
          <cell r="AH486" t="str">
            <v>Trasfondo</v>
          </cell>
        </row>
        <row r="487">
          <cell r="AA487" t="str">
            <v>Artefacto (2)</v>
          </cell>
          <cell r="AC487" t="str">
            <v>Curtido (2)</v>
          </cell>
          <cell r="AD487">
            <v>2</v>
          </cell>
          <cell r="AE487">
            <v>0</v>
          </cell>
          <cell r="AF487">
            <v>0</v>
          </cell>
          <cell r="AH487" t="str">
            <v>Trasfondo</v>
          </cell>
        </row>
        <row r="488">
          <cell r="AA488" t="str">
            <v>Artefacto (3)</v>
          </cell>
          <cell r="AC488" t="str">
            <v>Curtido (3)</v>
          </cell>
          <cell r="AD488">
            <v>3</v>
          </cell>
          <cell r="AE488">
            <v>0</v>
          </cell>
          <cell r="AF488">
            <v>0</v>
          </cell>
          <cell r="AH488" t="str">
            <v>Trasfondo</v>
          </cell>
        </row>
        <row r="489">
          <cell r="AA489" t="str">
            <v>Contactos (1)</v>
          </cell>
          <cell r="AC489" t="str">
            <v>Artefacto (1)</v>
          </cell>
          <cell r="AD489">
            <v>1</v>
          </cell>
          <cell r="AE489">
            <v>0</v>
          </cell>
          <cell r="AF489">
            <v>0</v>
          </cell>
          <cell r="AH489" t="str">
            <v>Trasfondo</v>
          </cell>
        </row>
        <row r="490">
          <cell r="AA490" t="str">
            <v>Contactos (2)</v>
          </cell>
          <cell r="AC490" t="str">
            <v>Artefacto (2)</v>
          </cell>
          <cell r="AD490">
            <v>2</v>
          </cell>
          <cell r="AE490">
            <v>0</v>
          </cell>
          <cell r="AF490">
            <v>0</v>
          </cell>
          <cell r="AH490" t="str">
            <v>Trasfondo</v>
          </cell>
        </row>
        <row r="491">
          <cell r="AA491" t="str">
            <v>Contactos (3)</v>
          </cell>
          <cell r="AC491" t="str">
            <v>Artefacto (3)</v>
          </cell>
          <cell r="AD491">
            <v>3</v>
          </cell>
          <cell r="AE491">
            <v>0</v>
          </cell>
          <cell r="AF491">
            <v>0</v>
          </cell>
          <cell r="AH491" t="str">
            <v>Trasfondo</v>
          </cell>
        </row>
        <row r="492">
          <cell r="AA492" t="str">
            <v>Curtido (1)</v>
          </cell>
          <cell r="AC492" t="str">
            <v>Fama (1)</v>
          </cell>
          <cell r="AD492">
            <v>1</v>
          </cell>
          <cell r="AE492">
            <v>0</v>
          </cell>
          <cell r="AF492">
            <v>0</v>
          </cell>
          <cell r="AH492" t="str">
            <v>Trasfondo</v>
          </cell>
        </row>
        <row r="493">
          <cell r="AA493" t="str">
            <v>Curtido (2)</v>
          </cell>
          <cell r="AC493" t="str">
            <v>Fama (2)</v>
          </cell>
          <cell r="AD493">
            <v>2</v>
          </cell>
          <cell r="AE493">
            <v>0</v>
          </cell>
          <cell r="AF493">
            <v>0</v>
          </cell>
          <cell r="AH493" t="str">
            <v>Trasfondo</v>
          </cell>
        </row>
        <row r="494">
          <cell r="AA494" t="str">
            <v>Curtido (3)</v>
          </cell>
          <cell r="AC494" t="str">
            <v>Raices culturales</v>
          </cell>
          <cell r="AD494">
            <v>1</v>
          </cell>
          <cell r="AE494">
            <v>0</v>
          </cell>
          <cell r="AF494">
            <v>0</v>
          </cell>
          <cell r="AH494" t="str">
            <v>Trasfondo</v>
          </cell>
        </row>
        <row r="495">
          <cell r="AA495" t="str">
            <v>Fama (1)</v>
          </cell>
          <cell r="AC495" t="str">
            <v>Santo</v>
          </cell>
          <cell r="AD495">
            <v>2</v>
          </cell>
          <cell r="AE495">
            <v>0</v>
          </cell>
          <cell r="AF495">
            <v>0</v>
          </cell>
          <cell r="AH495" t="str">
            <v>Trasfondo</v>
          </cell>
        </row>
        <row r="496">
          <cell r="AA496" t="str">
            <v>Fama (2)</v>
          </cell>
          <cell r="AC496" t="str">
            <v>Posición social (1)</v>
          </cell>
          <cell r="AD496">
            <v>1</v>
          </cell>
          <cell r="AE496">
            <v>0</v>
          </cell>
          <cell r="AF496">
            <v>0</v>
          </cell>
          <cell r="AH496" t="str">
            <v>Trasfondo</v>
          </cell>
        </row>
        <row r="497">
          <cell r="AA497" t="str">
            <v>Fondos iniciales (10 000 mo)</v>
          </cell>
          <cell r="AC497" t="str">
            <v>Posición social (2)</v>
          </cell>
          <cell r="AD497">
            <v>2</v>
          </cell>
          <cell r="AE497">
            <v>0</v>
          </cell>
          <cell r="AF497">
            <v>0</v>
          </cell>
          <cell r="AH497" t="str">
            <v>Trasfondo</v>
          </cell>
        </row>
        <row r="498">
          <cell r="AA498" t="str">
            <v>Fondos iniciales (2 000 mo)</v>
          </cell>
          <cell r="AC498" t="str">
            <v>Contactos (1)</v>
          </cell>
          <cell r="AD498">
            <v>1</v>
          </cell>
          <cell r="AE498">
            <v>0</v>
          </cell>
          <cell r="AF498">
            <v>0</v>
          </cell>
          <cell r="AH498" t="str">
            <v>Trasfondo</v>
          </cell>
        </row>
        <row r="499">
          <cell r="AA499" t="str">
            <v>Fondos iniciales (5 000 mo)</v>
          </cell>
          <cell r="AC499" t="str">
            <v>Contactos (2)</v>
          </cell>
          <cell r="AD499">
            <v>2</v>
          </cell>
          <cell r="AE499">
            <v>0</v>
          </cell>
          <cell r="AF499">
            <v>0</v>
          </cell>
          <cell r="AH499" t="str">
            <v>Trasfondo</v>
          </cell>
        </row>
        <row r="500">
          <cell r="AA500" t="str">
            <v>Posición social (1)</v>
          </cell>
          <cell r="AC500" t="str">
            <v>Contactos (3)</v>
          </cell>
          <cell r="AD500">
            <v>3</v>
          </cell>
          <cell r="AE500">
            <v>0</v>
          </cell>
          <cell r="AF500">
            <v>0</v>
          </cell>
          <cell r="AH500" t="str">
            <v>Trasfondo</v>
          </cell>
        </row>
        <row r="501">
          <cell r="AA501" t="str">
            <v>Posición social (2)</v>
          </cell>
          <cell r="AC501" t="str">
            <v>Aliado poderoso (1)</v>
          </cell>
          <cell r="AD501">
            <v>1</v>
          </cell>
          <cell r="AE501">
            <v>0</v>
          </cell>
          <cell r="AF501">
            <v>0</v>
          </cell>
          <cell r="AH501" t="str">
            <v>Trasfondo</v>
          </cell>
        </row>
        <row r="502">
          <cell r="AA502" t="str">
            <v>Raices culturales</v>
          </cell>
          <cell r="AC502" t="str">
            <v>Aliado poderoso (2)</v>
          </cell>
          <cell r="AD502">
            <v>2</v>
          </cell>
          <cell r="AE502">
            <v>0</v>
          </cell>
          <cell r="AF502">
            <v>0</v>
          </cell>
          <cell r="AH502" t="str">
            <v>Trasfondo</v>
          </cell>
        </row>
        <row r="503">
          <cell r="AA503" t="str">
            <v>Sangre Antigua</v>
          </cell>
          <cell r="AC503" t="str">
            <v>Aliado poderoso (3)</v>
          </cell>
          <cell r="AD503">
            <v>3</v>
          </cell>
          <cell r="AE503">
            <v>0</v>
          </cell>
          <cell r="AF503">
            <v>0</v>
          </cell>
          <cell r="AH503" t="str">
            <v>Trasfondo</v>
          </cell>
        </row>
        <row r="504">
          <cell r="AA504" t="str">
            <v>Santo</v>
          </cell>
          <cell r="AC504" t="str">
            <v>Sangre Antigua</v>
          </cell>
          <cell r="AD504">
            <v>2</v>
          </cell>
          <cell r="AE504">
            <v>0</v>
          </cell>
          <cell r="AF504">
            <v>0</v>
          </cell>
          <cell r="AH504" t="str">
            <v>Trasfondo</v>
          </cell>
        </row>
        <row r="505">
          <cell r="AA505" t="str">
            <v>Tablas!$AA$506:$AA$562</v>
          </cell>
          <cell r="AC505" t="str">
            <v xml:space="preserve"> &gt; DESVENTAJAS COMUNES</v>
          </cell>
          <cell r="AH505" t="str">
            <v>Comunes</v>
          </cell>
        </row>
        <row r="506">
          <cell r="AA506" t="str">
            <v xml:space="preserve"> &gt; DESVENTAJAS COMUNES</v>
          </cell>
          <cell r="AC506" t="str">
            <v>-2 a característica: AGI</v>
          </cell>
          <cell r="AD506">
            <v>-1</v>
          </cell>
          <cell r="AE506">
            <v>0</v>
          </cell>
          <cell r="AF506">
            <v>0</v>
          </cell>
          <cell r="AG506">
            <v>1</v>
          </cell>
          <cell r="AH506" t="str">
            <v>Comunes</v>
          </cell>
        </row>
        <row r="507">
          <cell r="AA507" t="str">
            <v>-2 a característica: AGI</v>
          </cell>
          <cell r="AC507" t="str">
            <v>-2 a característica: CON</v>
          </cell>
          <cell r="AD507">
            <v>-1</v>
          </cell>
          <cell r="AE507">
            <v>0</v>
          </cell>
          <cell r="AF507">
            <v>0</v>
          </cell>
          <cell r="AG507">
            <v>1</v>
          </cell>
          <cell r="AH507" t="str">
            <v>Comunes</v>
          </cell>
        </row>
        <row r="508">
          <cell r="AA508" t="str">
            <v>-2 a característica: CON</v>
          </cell>
          <cell r="AC508" t="str">
            <v>-2 a característica: DES</v>
          </cell>
          <cell r="AD508">
            <v>-1</v>
          </cell>
          <cell r="AE508">
            <v>0</v>
          </cell>
          <cell r="AF508">
            <v>0</v>
          </cell>
          <cell r="AG508">
            <v>1</v>
          </cell>
          <cell r="AH508" t="str">
            <v>Comunes</v>
          </cell>
        </row>
        <row r="509">
          <cell r="AA509" t="str">
            <v>-2 a característica: DES</v>
          </cell>
          <cell r="AC509" t="str">
            <v>-2 a característica: FUE</v>
          </cell>
          <cell r="AD509">
            <v>-1</v>
          </cell>
          <cell r="AE509">
            <v>0</v>
          </cell>
          <cell r="AF509">
            <v>0</v>
          </cell>
          <cell r="AG509">
            <v>1</v>
          </cell>
          <cell r="AH509" t="str">
            <v>Comunes</v>
          </cell>
        </row>
        <row r="510">
          <cell r="AA510" t="str">
            <v>-2 a característica: FUE</v>
          </cell>
          <cell r="AC510" t="str">
            <v>-2 a característica: INT</v>
          </cell>
          <cell r="AD510">
            <v>-1</v>
          </cell>
          <cell r="AE510">
            <v>0</v>
          </cell>
          <cell r="AF510">
            <v>0</v>
          </cell>
          <cell r="AG510">
            <v>1</v>
          </cell>
          <cell r="AH510" t="str">
            <v>Comunes</v>
          </cell>
        </row>
        <row r="511">
          <cell r="AA511" t="str">
            <v>-2 a característica: INT</v>
          </cell>
          <cell r="AC511" t="str">
            <v>-2 a característica: PER</v>
          </cell>
          <cell r="AD511">
            <v>-1</v>
          </cell>
          <cell r="AE511">
            <v>0</v>
          </cell>
          <cell r="AF511">
            <v>0</v>
          </cell>
          <cell r="AG511">
            <v>1</v>
          </cell>
          <cell r="AH511" t="str">
            <v>Comunes</v>
          </cell>
        </row>
        <row r="512">
          <cell r="AA512" t="str">
            <v>-2 a característica: PER</v>
          </cell>
          <cell r="AC512" t="str">
            <v>-2 a característica: POD</v>
          </cell>
          <cell r="AD512">
            <v>-1</v>
          </cell>
          <cell r="AE512">
            <v>0</v>
          </cell>
          <cell r="AF512">
            <v>0</v>
          </cell>
          <cell r="AG512">
            <v>1</v>
          </cell>
          <cell r="AH512" t="str">
            <v>Comunes</v>
          </cell>
        </row>
        <row r="513">
          <cell r="AA513" t="str">
            <v>-2 a característica: POD</v>
          </cell>
          <cell r="AC513" t="str">
            <v>-2 a característica: VOL</v>
          </cell>
          <cell r="AD513">
            <v>-1</v>
          </cell>
          <cell r="AE513">
            <v>0</v>
          </cell>
          <cell r="AF513">
            <v>0</v>
          </cell>
          <cell r="AG513">
            <v>1</v>
          </cell>
          <cell r="AH513" t="str">
            <v>Comunes</v>
          </cell>
        </row>
        <row r="514">
          <cell r="AA514" t="str">
            <v>-2 a característica: VOL</v>
          </cell>
          <cell r="AC514" t="str">
            <v>Miopía</v>
          </cell>
          <cell r="AD514">
            <v>-1</v>
          </cell>
          <cell r="AE514">
            <v>0</v>
          </cell>
          <cell r="AF514">
            <v>0</v>
          </cell>
          <cell r="AG514">
            <v>2</v>
          </cell>
          <cell r="AH514" t="str">
            <v>Comunes</v>
          </cell>
        </row>
        <row r="515">
          <cell r="AA515" t="str">
            <v>Adicción o vicio grave</v>
          </cell>
          <cell r="AC515" t="str">
            <v>Salud enfermiza</v>
          </cell>
          <cell r="AD515">
            <v>-1</v>
          </cell>
          <cell r="AE515">
            <v>0</v>
          </cell>
          <cell r="AF515">
            <v>0</v>
          </cell>
          <cell r="AG515">
            <v>1</v>
          </cell>
          <cell r="AH515" t="str">
            <v>Comunes</v>
          </cell>
        </row>
        <row r="516">
          <cell r="AA516" t="str">
            <v>Alergia grave</v>
          </cell>
          <cell r="AC516" t="str">
            <v>Vulnerable a los venenos</v>
          </cell>
          <cell r="AD516">
            <v>-1</v>
          </cell>
          <cell r="AE516">
            <v>0</v>
          </cell>
          <cell r="AF516">
            <v>0</v>
          </cell>
          <cell r="AG516">
            <v>1</v>
          </cell>
          <cell r="AH516" t="str">
            <v>Comunes</v>
          </cell>
        </row>
        <row r="517">
          <cell r="AA517" t="str">
            <v>Aprendizaje lento (1)</v>
          </cell>
          <cell r="AC517" t="str">
            <v>Fácil posesión</v>
          </cell>
          <cell r="AD517">
            <v>-1</v>
          </cell>
          <cell r="AE517">
            <v>0</v>
          </cell>
          <cell r="AF517">
            <v>0</v>
          </cell>
          <cell r="AH517" t="str">
            <v>Comunes</v>
          </cell>
        </row>
        <row r="518">
          <cell r="AA518" t="str">
            <v>Aprendizaje lento (2)</v>
          </cell>
          <cell r="AC518" t="str">
            <v>Vulnerable a la magia</v>
          </cell>
          <cell r="AD518">
            <v>-1</v>
          </cell>
          <cell r="AE518">
            <v>0</v>
          </cell>
          <cell r="AF518">
            <v>0</v>
          </cell>
          <cell r="AG518">
            <v>1</v>
          </cell>
          <cell r="AH518" t="str">
            <v>Comunes</v>
          </cell>
        </row>
        <row r="519">
          <cell r="AA519" t="str">
            <v>Arma exclusiva</v>
          </cell>
          <cell r="AC519" t="str">
            <v>Vulnerable a frío o calor</v>
          </cell>
          <cell r="AD519">
            <v>-1</v>
          </cell>
          <cell r="AE519">
            <v>0</v>
          </cell>
          <cell r="AF519">
            <v>0</v>
          </cell>
          <cell r="AH519" t="str">
            <v>Comunes</v>
          </cell>
        </row>
        <row r="520">
          <cell r="AA520" t="str">
            <v>Aspecto desagradable</v>
          </cell>
          <cell r="AC520" t="str">
            <v>Extremidad atrofiada</v>
          </cell>
          <cell r="AD520">
            <v>-1</v>
          </cell>
          <cell r="AE520">
            <v>0</v>
          </cell>
          <cell r="AF520">
            <v>0</v>
          </cell>
          <cell r="AH520" t="str">
            <v>Comunes</v>
          </cell>
        </row>
        <row r="521">
          <cell r="AA521" t="str">
            <v>Ciego</v>
          </cell>
          <cell r="AC521" t="str">
            <v>Debilidad física</v>
          </cell>
          <cell r="AD521">
            <v>-1</v>
          </cell>
          <cell r="AE521">
            <v>0</v>
          </cell>
          <cell r="AF521">
            <v>0</v>
          </cell>
          <cell r="AG521">
            <v>1</v>
          </cell>
          <cell r="AH521" t="str">
            <v>Comunes</v>
          </cell>
        </row>
        <row r="522">
          <cell r="AA522" t="str">
            <v>Cobardía</v>
          </cell>
          <cell r="AC522" t="str">
            <v>Aspecto desagradable</v>
          </cell>
          <cell r="AD522">
            <v>-1</v>
          </cell>
          <cell r="AE522">
            <v>0</v>
          </cell>
          <cell r="AF522">
            <v>0</v>
          </cell>
          <cell r="AH522" t="str">
            <v>Comunes</v>
          </cell>
        </row>
        <row r="523">
          <cell r="AA523" t="str">
            <v>Debilidad física</v>
          </cell>
          <cell r="AC523" t="str">
            <v>Lenta curación</v>
          </cell>
          <cell r="AD523">
            <v>-1</v>
          </cell>
          <cell r="AE523">
            <v>0</v>
          </cell>
          <cell r="AF523">
            <v>0</v>
          </cell>
          <cell r="AH523" t="str">
            <v>Comunes</v>
          </cell>
        </row>
        <row r="524">
          <cell r="AA524" t="str">
            <v>Desafortunado</v>
          </cell>
          <cell r="AC524" t="str">
            <v>Enfermedad grave</v>
          </cell>
          <cell r="AD524">
            <v>-2</v>
          </cell>
          <cell r="AE524">
            <v>0</v>
          </cell>
          <cell r="AF524">
            <v>0</v>
          </cell>
          <cell r="AH524" t="str">
            <v>Comunes</v>
          </cell>
        </row>
        <row r="525">
          <cell r="AA525" t="str">
            <v>Destino aciago</v>
          </cell>
          <cell r="AC525" t="str">
            <v>Alergia grave</v>
          </cell>
          <cell r="AD525">
            <v>-1</v>
          </cell>
          <cell r="AE525">
            <v>0</v>
          </cell>
          <cell r="AF525">
            <v>0</v>
          </cell>
          <cell r="AH525" t="str">
            <v>Comunes</v>
          </cell>
        </row>
        <row r="526">
          <cell r="AA526" t="str">
            <v>Endeble</v>
          </cell>
          <cell r="AC526" t="str">
            <v>Sueño profundo</v>
          </cell>
          <cell r="AD526">
            <v>-1</v>
          </cell>
          <cell r="AE526">
            <v>0</v>
          </cell>
          <cell r="AF526">
            <v>0</v>
          </cell>
          <cell r="AH526" t="str">
            <v>Comunes</v>
          </cell>
        </row>
        <row r="527">
          <cell r="AA527" t="str">
            <v>Enfermedad grave</v>
          </cell>
          <cell r="AC527" t="str">
            <v>Fobia grave</v>
          </cell>
          <cell r="AD527">
            <v>-1</v>
          </cell>
          <cell r="AE527">
            <v>0</v>
          </cell>
          <cell r="AF527">
            <v>0</v>
          </cell>
          <cell r="AH527" t="str">
            <v>Comunes</v>
          </cell>
        </row>
        <row r="528">
          <cell r="AA528" t="str">
            <v>Exhausto</v>
          </cell>
          <cell r="AC528" t="str">
            <v>Mala suerte</v>
          </cell>
          <cell r="AD528">
            <v>-1</v>
          </cell>
          <cell r="AE528">
            <v>0</v>
          </cell>
          <cell r="AF528">
            <v>0</v>
          </cell>
          <cell r="AH528" t="str">
            <v>Comunes</v>
          </cell>
        </row>
        <row r="529">
          <cell r="AA529" t="str">
            <v>Extremidad atrofiada</v>
          </cell>
          <cell r="AC529" t="str">
            <v>Desafortunado</v>
          </cell>
          <cell r="AD529">
            <v>-1</v>
          </cell>
          <cell r="AE529">
            <v>0</v>
          </cell>
          <cell r="AF529">
            <v>0</v>
          </cell>
          <cell r="AH529" t="str">
            <v>Comunes</v>
          </cell>
        </row>
        <row r="530">
          <cell r="AA530" t="str">
            <v>Fácil posesión</v>
          </cell>
          <cell r="AC530" t="str">
            <v>Mudo</v>
          </cell>
          <cell r="AD530">
            <v>-1</v>
          </cell>
          <cell r="AE530">
            <v>0</v>
          </cell>
          <cell r="AF530">
            <v>0</v>
          </cell>
          <cell r="AH530" t="str">
            <v>Comunes</v>
          </cell>
        </row>
        <row r="531">
          <cell r="AA531" t="str">
            <v>Fobia grave</v>
          </cell>
          <cell r="AC531" t="str">
            <v>Ciego</v>
          </cell>
          <cell r="AD531">
            <v>-2</v>
          </cell>
          <cell r="AE531">
            <v>0</v>
          </cell>
          <cell r="AF531">
            <v>0</v>
          </cell>
          <cell r="AH531" t="str">
            <v>Comunes</v>
          </cell>
        </row>
        <row r="532">
          <cell r="AA532" t="str">
            <v>Insufrible</v>
          </cell>
          <cell r="AC532" t="str">
            <v>Sordo</v>
          </cell>
          <cell r="AD532">
            <v>-1</v>
          </cell>
          <cell r="AE532">
            <v>0</v>
          </cell>
          <cell r="AF532">
            <v>0</v>
          </cell>
          <cell r="AH532" t="str">
            <v>Comunes</v>
          </cell>
        </row>
        <row r="533">
          <cell r="AA533" t="str">
            <v>Lenta curación</v>
          </cell>
          <cell r="AC533" t="str">
            <v>Arma exclusiva</v>
          </cell>
          <cell r="AD533">
            <v>-1</v>
          </cell>
          <cell r="AE533">
            <v>0</v>
          </cell>
          <cell r="AF533">
            <v>0</v>
          </cell>
          <cell r="AG533">
            <v>1</v>
          </cell>
          <cell r="AH533" t="str">
            <v>Comunes</v>
          </cell>
        </row>
        <row r="534">
          <cell r="AA534" t="str">
            <v>Mala suerte</v>
          </cell>
          <cell r="AC534" t="str">
            <v>Reacción lenta (1)</v>
          </cell>
          <cell r="AD534">
            <v>-1</v>
          </cell>
          <cell r="AE534">
            <v>0</v>
          </cell>
          <cell r="AF534">
            <v>0</v>
          </cell>
          <cell r="AG534">
            <v>1</v>
          </cell>
          <cell r="AH534" t="str">
            <v>Comunes</v>
          </cell>
        </row>
        <row r="535">
          <cell r="AA535" t="str">
            <v>Maldito (1)</v>
          </cell>
          <cell r="AC535" t="str">
            <v>Reacción lenta (2)</v>
          </cell>
          <cell r="AD535">
            <v>-2</v>
          </cell>
          <cell r="AE535">
            <v>0</v>
          </cell>
          <cell r="AF535">
            <v>0</v>
          </cell>
          <cell r="AG535">
            <v>1</v>
          </cell>
          <cell r="AH535" t="str">
            <v>Comunes</v>
          </cell>
        </row>
        <row r="536">
          <cell r="AA536" t="str">
            <v>Maldito (2)</v>
          </cell>
          <cell r="AC536" t="str">
            <v>Adicción o vicio grave</v>
          </cell>
          <cell r="AD536">
            <v>-1</v>
          </cell>
          <cell r="AE536">
            <v>0</v>
          </cell>
          <cell r="AF536">
            <v>0</v>
          </cell>
          <cell r="AH536" t="str">
            <v>Comunes</v>
          </cell>
        </row>
        <row r="537">
          <cell r="AA537" t="str">
            <v>Miopía</v>
          </cell>
          <cell r="AC537" t="str">
            <v>Aprendizaje lento (1)</v>
          </cell>
          <cell r="AD537">
            <v>-1</v>
          </cell>
          <cell r="AE537">
            <v>0</v>
          </cell>
          <cell r="AF537">
            <v>0</v>
          </cell>
          <cell r="AH537" t="str">
            <v>Comunes</v>
          </cell>
        </row>
        <row r="538">
          <cell r="AA538" t="str">
            <v>Mudo</v>
          </cell>
          <cell r="AC538" t="str">
            <v>Aprendizaje lento (2)</v>
          </cell>
          <cell r="AD538">
            <v>-2</v>
          </cell>
          <cell r="AE538">
            <v>0</v>
          </cell>
          <cell r="AF538">
            <v>0</v>
          </cell>
          <cell r="AH538" t="str">
            <v>Comunes</v>
          </cell>
        </row>
        <row r="539">
          <cell r="AA539" t="str">
            <v>Patoso</v>
          </cell>
          <cell r="AC539" t="str">
            <v>Vulnerable al dolor</v>
          </cell>
          <cell r="AD539">
            <v>-1</v>
          </cell>
          <cell r="AE539">
            <v>0</v>
          </cell>
          <cell r="AF539">
            <v>0</v>
          </cell>
          <cell r="AG539">
            <v>1</v>
          </cell>
          <cell r="AH539" t="str">
            <v>Comunes</v>
          </cell>
        </row>
        <row r="540">
          <cell r="AA540" t="str">
            <v>Reacción lenta (1)</v>
          </cell>
          <cell r="AC540" t="str">
            <v>Exhausto</v>
          </cell>
          <cell r="AD540">
            <v>-1</v>
          </cell>
          <cell r="AE540">
            <v>0</v>
          </cell>
          <cell r="AF540">
            <v>0</v>
          </cell>
          <cell r="AG540">
            <v>1</v>
          </cell>
          <cell r="AH540" t="str">
            <v>Comunes</v>
          </cell>
        </row>
        <row r="541">
          <cell r="AA541" t="str">
            <v>Reacción lenta (2)</v>
          </cell>
          <cell r="AC541" t="str">
            <v xml:space="preserve"> &gt; [PN] DESVENTAJAS COMUNES</v>
          </cell>
          <cell r="AH541" t="str">
            <v>Comunes</v>
          </cell>
        </row>
        <row r="542">
          <cell r="AA542" t="str">
            <v>Salud enfermiza</v>
          </cell>
          <cell r="AC542" t="str">
            <v>Endeble</v>
          </cell>
          <cell r="AD542">
            <v>-1</v>
          </cell>
          <cell r="AE542">
            <v>0</v>
          </cell>
          <cell r="AF542">
            <v>0</v>
          </cell>
          <cell r="AH542" t="str">
            <v>Comunes</v>
          </cell>
        </row>
        <row r="543">
          <cell r="AA543" t="str">
            <v>Sin bonificador natural</v>
          </cell>
          <cell r="AC543" t="str">
            <v>Cobardía</v>
          </cell>
          <cell r="AD543">
            <v>-1</v>
          </cell>
          <cell r="AE543">
            <v>0</v>
          </cell>
          <cell r="AF543">
            <v>0</v>
          </cell>
          <cell r="AH543" t="str">
            <v>Comunes</v>
          </cell>
        </row>
        <row r="544">
          <cell r="AA544" t="str">
            <v>Sordo</v>
          </cell>
          <cell r="AC544" t="str">
            <v>Patoso</v>
          </cell>
          <cell r="AD544">
            <v>-1</v>
          </cell>
          <cell r="AE544">
            <v>0</v>
          </cell>
          <cell r="AF544">
            <v>0</v>
          </cell>
          <cell r="AH544" t="str">
            <v>Comunes</v>
          </cell>
        </row>
        <row r="545">
          <cell r="AA545" t="str">
            <v>Sueño profundo</v>
          </cell>
          <cell r="AC545" t="str">
            <v>Sin bonificador natural</v>
          </cell>
          <cell r="AD545">
            <v>-1</v>
          </cell>
          <cell r="AE545">
            <v>0</v>
          </cell>
          <cell r="AF545">
            <v>0</v>
          </cell>
          <cell r="AG545">
            <v>1</v>
          </cell>
          <cell r="AH545" t="str">
            <v>Comunes</v>
          </cell>
        </row>
        <row r="546">
          <cell r="AA546" t="str">
            <v>Vulnerable a frío o calor</v>
          </cell>
          <cell r="AC546" t="str">
            <v>Insufrible</v>
          </cell>
          <cell r="AD546">
            <v>-1</v>
          </cell>
          <cell r="AE546">
            <v>0</v>
          </cell>
          <cell r="AF546">
            <v>0</v>
          </cell>
          <cell r="AH546" t="str">
            <v>Comunes</v>
          </cell>
        </row>
        <row r="547">
          <cell r="AA547" t="str">
            <v>Vulnerable a la magia</v>
          </cell>
          <cell r="AC547" t="str">
            <v>Maldito (1)</v>
          </cell>
          <cell r="AD547">
            <v>-1</v>
          </cell>
          <cell r="AE547">
            <v>0</v>
          </cell>
          <cell r="AF547">
            <v>0</v>
          </cell>
          <cell r="AH547" t="str">
            <v>Comunes</v>
          </cell>
        </row>
        <row r="548">
          <cell r="AA548" t="str">
            <v>Vulnerable a los venenos</v>
          </cell>
          <cell r="AC548" t="str">
            <v>Maldito (2)</v>
          </cell>
          <cell r="AD548">
            <v>-2</v>
          </cell>
          <cell r="AE548">
            <v>0</v>
          </cell>
          <cell r="AF548">
            <v>0</v>
          </cell>
          <cell r="AH548" t="str">
            <v>Comunes</v>
          </cell>
        </row>
        <row r="549">
          <cell r="AA549" t="str">
            <v>Vulnerable al dolor</v>
          </cell>
          <cell r="AC549" t="str">
            <v>Destino aciago</v>
          </cell>
          <cell r="AD549">
            <v>-2</v>
          </cell>
          <cell r="AE549">
            <v>0</v>
          </cell>
          <cell r="AF549">
            <v>0</v>
          </cell>
          <cell r="AH549" t="str">
            <v>Comunes</v>
          </cell>
        </row>
        <row r="550">
          <cell r="AA550" t="str">
            <v xml:space="preserve"> &gt; DESVENTAJAS TRASFONDO</v>
          </cell>
          <cell r="AC550" t="str">
            <v xml:space="preserve"> &gt; DESVENTAJAS: DON</v>
          </cell>
          <cell r="AH550" t="str">
            <v>Don</v>
          </cell>
        </row>
        <row r="551">
          <cell r="AA551" t="str">
            <v>Código de conducta</v>
          </cell>
          <cell r="AC551" t="str">
            <v>Obligación oral</v>
          </cell>
          <cell r="AD551">
            <v>-1</v>
          </cell>
          <cell r="AE551">
            <v>0</v>
          </cell>
          <cell r="AF551">
            <v>0</v>
          </cell>
          <cell r="AH551" t="str">
            <v>Don</v>
          </cell>
        </row>
        <row r="552">
          <cell r="AA552" t="str">
            <v>Deudas</v>
          </cell>
          <cell r="AC552" t="str">
            <v>Obligación somática</v>
          </cell>
          <cell r="AD552">
            <v>-1</v>
          </cell>
          <cell r="AE552">
            <v>0</v>
          </cell>
          <cell r="AF552">
            <v>0</v>
          </cell>
          <cell r="AH552" t="str">
            <v>Don</v>
          </cell>
        </row>
        <row r="553">
          <cell r="AA553" t="str">
            <v>Enemigo poderoso (1)</v>
          </cell>
          <cell r="AC553" t="str">
            <v>Extenuación mágica</v>
          </cell>
          <cell r="AD553">
            <v>-1</v>
          </cell>
          <cell r="AE553">
            <v>0</v>
          </cell>
          <cell r="AF553">
            <v>0</v>
          </cell>
          <cell r="AH553" t="str">
            <v>Don</v>
          </cell>
        </row>
        <row r="554">
          <cell r="AA554" t="str">
            <v>Enemigo poderoso (2)</v>
          </cell>
          <cell r="AC554" t="str">
            <v>Magia atada a acción</v>
          </cell>
          <cell r="AD554">
            <v>-1</v>
          </cell>
          <cell r="AE554">
            <v>0</v>
          </cell>
          <cell r="AF554">
            <v>0</v>
          </cell>
          <cell r="AH554" t="str">
            <v>Don</v>
          </cell>
        </row>
        <row r="555">
          <cell r="AA555" t="str">
            <v>Novato</v>
          </cell>
          <cell r="AC555" t="str">
            <v>Lenta recuperación de magia</v>
          </cell>
          <cell r="AD555">
            <v>-1</v>
          </cell>
          <cell r="AE555">
            <v>0</v>
          </cell>
          <cell r="AF555">
            <v>0</v>
          </cell>
          <cell r="AG555">
            <v>1</v>
          </cell>
          <cell r="AH555" t="str">
            <v>Don</v>
          </cell>
        </row>
        <row r="556">
          <cell r="AA556" t="str">
            <v>Paria</v>
          </cell>
          <cell r="AC556" t="str">
            <v>Magia estanca</v>
          </cell>
          <cell r="AD556">
            <v>-2</v>
          </cell>
          <cell r="AE556">
            <v>0</v>
          </cell>
          <cell r="AF556">
            <v>0</v>
          </cell>
          <cell r="AG556">
            <v>1</v>
          </cell>
          <cell r="AH556" t="str">
            <v>Don</v>
          </cell>
        </row>
        <row r="557">
          <cell r="AA557" t="str">
            <v>Secreto inconfesable</v>
          </cell>
          <cell r="AC557" t="str">
            <v>Lazo existencial</v>
          </cell>
          <cell r="AD557">
            <v>-1</v>
          </cell>
          <cell r="AE557">
            <v>0</v>
          </cell>
          <cell r="AF557">
            <v>0</v>
          </cell>
          <cell r="AG557">
            <v>2</v>
          </cell>
          <cell r="AH557" t="str">
            <v>Don</v>
          </cell>
        </row>
        <row r="558">
          <cell r="AA558" t="str">
            <v xml:space="preserve"> &gt; DESVENTAJAS PERSONALIZADAS</v>
          </cell>
          <cell r="AC558" t="str">
            <v>Brujería</v>
          </cell>
          <cell r="AD558">
            <v>-2</v>
          </cell>
          <cell r="AE558">
            <v>0</v>
          </cell>
          <cell r="AF558">
            <v>0</v>
          </cell>
          <cell r="AH558" t="str">
            <v>Don</v>
          </cell>
        </row>
        <row r="559">
          <cell r="AA559" t="str">
            <v>Desventaja Personalizada #1</v>
          </cell>
          <cell r="AC559" t="str">
            <v xml:space="preserve"> &gt; DESVENTAJAS: PSIQUICOS</v>
          </cell>
          <cell r="AH559" t="str">
            <v>Psiquicos</v>
          </cell>
        </row>
        <row r="560">
          <cell r="AA560" t="str">
            <v>Desventaja Personalizada #2</v>
          </cell>
          <cell r="AC560" t="str">
            <v>Sin concentración</v>
          </cell>
          <cell r="AD560">
            <v>-1</v>
          </cell>
          <cell r="AE560">
            <v>0</v>
          </cell>
          <cell r="AF560">
            <v>0</v>
          </cell>
          <cell r="AG560">
            <v>1</v>
          </cell>
          <cell r="AH560" t="str">
            <v>Psiquicos</v>
          </cell>
        </row>
        <row r="561">
          <cell r="AA561" t="str">
            <v>Desventaja Personalizada #3</v>
          </cell>
          <cell r="AC561" t="str">
            <v>Extenuación psíquica</v>
          </cell>
          <cell r="AD561">
            <v>-1</v>
          </cell>
          <cell r="AE561">
            <v>0</v>
          </cell>
          <cell r="AF561">
            <v>0</v>
          </cell>
          <cell r="AH561" t="str">
            <v>Psiquicos</v>
          </cell>
        </row>
        <row r="562">
          <cell r="AA562" t="str">
            <v>Desventaja Personalizada #4</v>
          </cell>
          <cell r="AC562" t="str">
            <v>Poder único</v>
          </cell>
          <cell r="AD562">
            <v>-1</v>
          </cell>
          <cell r="AE562">
            <v>0</v>
          </cell>
          <cell r="AF562">
            <v>0</v>
          </cell>
          <cell r="AH562" t="str">
            <v>Psiquicos</v>
          </cell>
        </row>
        <row r="563">
          <cell r="AA563" t="e">
            <v>#N/A</v>
          </cell>
          <cell r="AC563" t="str">
            <v>Consumición psíquica</v>
          </cell>
          <cell r="AD563">
            <v>-2</v>
          </cell>
          <cell r="AE563">
            <v>0</v>
          </cell>
          <cell r="AF563">
            <v>0</v>
          </cell>
          <cell r="AH563" t="str">
            <v>Psiquicos</v>
          </cell>
        </row>
        <row r="564">
          <cell r="AA564" t="e">
            <v>#N/A</v>
          </cell>
          <cell r="AC564" t="str">
            <v>Trastorno obsesivo-compulsivo</v>
          </cell>
          <cell r="AD564">
            <v>-1</v>
          </cell>
          <cell r="AE564">
            <v>0</v>
          </cell>
          <cell r="AF564">
            <v>0</v>
          </cell>
          <cell r="AH564" t="str">
            <v>Psiquicos</v>
          </cell>
        </row>
        <row r="565">
          <cell r="AA565" t="e">
            <v>#N/A</v>
          </cell>
          <cell r="AC565" t="str">
            <v>Mente cuadrada</v>
          </cell>
          <cell r="AD565">
            <v>-1</v>
          </cell>
          <cell r="AE565">
            <v>0</v>
          </cell>
          <cell r="AF565">
            <v>0</v>
          </cell>
          <cell r="AH565" t="str">
            <v>Psiquicos</v>
          </cell>
        </row>
        <row r="566">
          <cell r="AA566" t="e">
            <v>#N/A</v>
          </cell>
          <cell r="AC566" t="str">
            <v xml:space="preserve"> &gt; DESVENTAJAS TRASFONDO</v>
          </cell>
          <cell r="AH566" t="str">
            <v>Trasfondo</v>
          </cell>
        </row>
        <row r="567">
          <cell r="AA567" t="e">
            <v>#N/A</v>
          </cell>
          <cell r="AC567" t="str">
            <v>Novato</v>
          </cell>
          <cell r="AD567">
            <v>-1</v>
          </cell>
          <cell r="AE567">
            <v>0</v>
          </cell>
          <cell r="AF567">
            <v>0</v>
          </cell>
          <cell r="AH567" t="str">
            <v>Trasfondo</v>
          </cell>
        </row>
        <row r="568">
          <cell r="AA568" t="e">
            <v>#N/A</v>
          </cell>
          <cell r="AC568" t="str">
            <v>Paria</v>
          </cell>
          <cell r="AD568">
            <v>-1</v>
          </cell>
          <cell r="AE568">
            <v>0</v>
          </cell>
          <cell r="AF568">
            <v>0</v>
          </cell>
          <cell r="AH568" t="str">
            <v>Trasfondo</v>
          </cell>
        </row>
        <row r="569">
          <cell r="AA569" t="e">
            <v>#N/A</v>
          </cell>
          <cell r="AC569" t="str">
            <v>Enemigo poderoso (1)</v>
          </cell>
          <cell r="AD569">
            <v>-1</v>
          </cell>
          <cell r="AE569">
            <v>0</v>
          </cell>
          <cell r="AF569">
            <v>0</v>
          </cell>
          <cell r="AH569" t="str">
            <v>Trasfondo</v>
          </cell>
        </row>
        <row r="570">
          <cell r="AA570" t="e">
            <v>#N/A</v>
          </cell>
          <cell r="AC570" t="str">
            <v>Enemigo poderoso (2)</v>
          </cell>
          <cell r="AD570">
            <v>-2</v>
          </cell>
          <cell r="AE570">
            <v>0</v>
          </cell>
          <cell r="AF570">
            <v>0</v>
          </cell>
          <cell r="AH570" t="str">
            <v>Trasfondo</v>
          </cell>
        </row>
        <row r="571">
          <cell r="AA571" t="e">
            <v>#N/A</v>
          </cell>
          <cell r="AC571" t="str">
            <v>Deudas</v>
          </cell>
          <cell r="AD571">
            <v>-1</v>
          </cell>
          <cell r="AE571">
            <v>0</v>
          </cell>
          <cell r="AF571">
            <v>0</v>
          </cell>
          <cell r="AH571" t="str">
            <v>Trasfondo</v>
          </cell>
        </row>
        <row r="572">
          <cell r="AA572" t="e">
            <v>#N/A</v>
          </cell>
          <cell r="AC572" t="str">
            <v>Código de conducta</v>
          </cell>
          <cell r="AD572">
            <v>-1</v>
          </cell>
          <cell r="AE572">
            <v>0</v>
          </cell>
          <cell r="AF572">
            <v>0</v>
          </cell>
          <cell r="AH572" t="str">
            <v>Trasfondo</v>
          </cell>
        </row>
        <row r="573">
          <cell r="AA573" t="e">
            <v>#N/A</v>
          </cell>
          <cell r="AC573" t="str">
            <v>Secreto inconfesable</v>
          </cell>
          <cell r="AD573">
            <v>-1</v>
          </cell>
          <cell r="AE573">
            <v>0</v>
          </cell>
          <cell r="AF573">
            <v>0</v>
          </cell>
          <cell r="AH573" t="str">
            <v>Trasfondo</v>
          </cell>
        </row>
        <row r="574">
          <cell r="AC574" t="str">
            <v xml:space="preserve"> &gt; DESVENTAJAS PERSONALIZADAS</v>
          </cell>
          <cell r="AH574" t="str">
            <v>Comunes</v>
          </cell>
        </row>
        <row r="575">
          <cell r="AC575" t="str">
            <v>Desventaja Personalizada #1</v>
          </cell>
          <cell r="AD575">
            <v>0</v>
          </cell>
          <cell r="AE575">
            <v>0</v>
          </cell>
          <cell r="AF575">
            <v>0</v>
          </cell>
          <cell r="AH575" t="str">
            <v>Comunes</v>
          </cell>
        </row>
        <row r="576">
          <cell r="AC576" t="str">
            <v>Desventaja Personalizada #2</v>
          </cell>
          <cell r="AD576">
            <v>0</v>
          </cell>
          <cell r="AE576">
            <v>0</v>
          </cell>
          <cell r="AF576">
            <v>0</v>
          </cell>
          <cell r="AH576" t="str">
            <v>Comunes</v>
          </cell>
        </row>
        <row r="577">
          <cell r="AC577" t="str">
            <v>Desventaja Personalizada #3</v>
          </cell>
          <cell r="AD577">
            <v>0</v>
          </cell>
          <cell r="AE577">
            <v>0</v>
          </cell>
          <cell r="AF577">
            <v>0</v>
          </cell>
          <cell r="AH577" t="str">
            <v>Comunes</v>
          </cell>
        </row>
        <row r="588">
          <cell r="T588" t="str">
            <v>Conocida</v>
          </cell>
          <cell r="U588">
            <v>0</v>
          </cell>
          <cell r="AC588" t="str">
            <v>Natural</v>
          </cell>
          <cell r="AE588" t="str">
            <v>A una mano</v>
          </cell>
        </row>
        <row r="589">
          <cell r="T589" t="str">
            <v>Distinta</v>
          </cell>
          <cell r="U589">
            <v>-60</v>
          </cell>
          <cell r="X589" t="str">
            <v>Arma similar</v>
          </cell>
          <cell r="Y589">
            <v>10</v>
          </cell>
          <cell r="Z589" t="str">
            <v>Uso de arma similar:</v>
          </cell>
          <cell r="AC589" t="str">
            <v>Blanda</v>
          </cell>
          <cell r="AE589" t="str">
            <v>A dos manos</v>
          </cell>
          <cell r="AG589" t="str">
            <v>Metal</v>
          </cell>
          <cell r="AH589" t="str">
            <v>Medio</v>
          </cell>
          <cell r="AI589">
            <v>40</v>
          </cell>
          <cell r="AJ589">
            <v>2</v>
          </cell>
          <cell r="AK589">
            <v>0</v>
          </cell>
        </row>
        <row r="590">
          <cell r="D590" t="str">
            <v>&gt; ARM. BLANDAS</v>
          </cell>
          <cell r="E590">
            <v>0</v>
          </cell>
          <cell r="F590">
            <v>0</v>
          </cell>
          <cell r="G590">
            <v>0</v>
          </cell>
          <cell r="H590">
            <v>0</v>
          </cell>
          <cell r="I590">
            <v>0</v>
          </cell>
          <cell r="J590" t="str">
            <v>-</v>
          </cell>
          <cell r="K590" t="str">
            <v>-</v>
          </cell>
          <cell r="L590">
            <v>0</v>
          </cell>
          <cell r="M590">
            <v>0</v>
          </cell>
          <cell r="N590">
            <v>0</v>
          </cell>
          <cell r="O590">
            <v>0</v>
          </cell>
          <cell r="P590">
            <v>0</v>
          </cell>
          <cell r="Q590">
            <v>0</v>
          </cell>
          <cell r="R590">
            <v>0</v>
          </cell>
          <cell r="T590" t="str">
            <v>Mixta</v>
          </cell>
          <cell r="U590">
            <v>-40</v>
          </cell>
          <cell r="X590" t="str">
            <v>Arma mixta</v>
          </cell>
          <cell r="Y590">
            <v>15</v>
          </cell>
          <cell r="Z590" t="str">
            <v>Uso de arma mixta:</v>
          </cell>
          <cell r="AC590" t="str">
            <v>Dura</v>
          </cell>
          <cell r="AG590" t="str">
            <v>Fuerza excepcional</v>
          </cell>
          <cell r="AH590" t="str">
            <v>Difícil</v>
          </cell>
          <cell r="AI590">
            <v>60</v>
          </cell>
          <cell r="AJ590">
            <v>2</v>
          </cell>
          <cell r="AK590">
            <v>1</v>
          </cell>
        </row>
        <row r="591">
          <cell r="D591" t="str">
            <v>Acolchada</v>
          </cell>
          <cell r="E591">
            <v>0</v>
          </cell>
          <cell r="F591">
            <v>-5</v>
          </cell>
          <cell r="G591">
            <v>0</v>
          </cell>
          <cell r="H591">
            <v>10</v>
          </cell>
          <cell r="I591">
            <v>25</v>
          </cell>
          <cell r="J591" t="str">
            <v>Camisola</v>
          </cell>
          <cell r="K591" t="str">
            <v>Blanda</v>
          </cell>
          <cell r="L591">
            <v>1</v>
          </cell>
          <cell r="M591">
            <v>1</v>
          </cell>
          <cell r="N591">
            <v>1</v>
          </cell>
          <cell r="O591">
            <v>1</v>
          </cell>
          <cell r="P591">
            <v>2</v>
          </cell>
          <cell r="Q591">
            <v>2</v>
          </cell>
          <cell r="R591">
            <v>0</v>
          </cell>
          <cell r="T591" t="str">
            <v>Similar</v>
          </cell>
          <cell r="U591">
            <v>-20</v>
          </cell>
          <cell r="X591" t="str">
            <v>Arma distinta / Desarmado</v>
          </cell>
          <cell r="Y591">
            <v>20</v>
          </cell>
          <cell r="Z591" t="str">
            <v>Uso de arma distinta:</v>
          </cell>
          <cell r="AG591" t="str">
            <v>Tamaño excepcional</v>
          </cell>
          <cell r="AH591" t="str">
            <v>Muy Difícil</v>
          </cell>
          <cell r="AI591">
            <v>80</v>
          </cell>
          <cell r="AJ591">
            <v>3</v>
          </cell>
          <cell r="AK591">
            <v>1</v>
          </cell>
        </row>
        <row r="592">
          <cell r="D592" t="str">
            <v>Cota de cuero</v>
          </cell>
          <cell r="E592">
            <v>0</v>
          </cell>
          <cell r="F592">
            <v>0</v>
          </cell>
          <cell r="G592">
            <v>0</v>
          </cell>
          <cell r="H592">
            <v>12</v>
          </cell>
          <cell r="I592">
            <v>25</v>
          </cell>
          <cell r="J592" t="str">
            <v>Camisola</v>
          </cell>
          <cell r="K592" t="str">
            <v>Blanda</v>
          </cell>
          <cell r="L592">
            <v>1</v>
          </cell>
          <cell r="M592">
            <v>0</v>
          </cell>
          <cell r="N592">
            <v>2</v>
          </cell>
          <cell r="O592">
            <v>1</v>
          </cell>
          <cell r="P592">
            <v>2</v>
          </cell>
          <cell r="Q592">
            <v>1</v>
          </cell>
          <cell r="R592">
            <v>0</v>
          </cell>
          <cell r="X592" t="str">
            <v>Tabla de tipología</v>
          </cell>
          <cell r="Y592">
            <v>50</v>
          </cell>
          <cell r="Z592" t="str">
            <v>Tipología de armas:</v>
          </cell>
          <cell r="AG592" t="str">
            <v>Nodo de Ki</v>
          </cell>
          <cell r="AH592" t="str">
            <v>Absurdo</v>
          </cell>
          <cell r="AI592">
            <v>100</v>
          </cell>
          <cell r="AJ592">
            <v>3</v>
          </cell>
          <cell r="AK592">
            <v>2</v>
          </cell>
        </row>
        <row r="593">
          <cell r="D593" t="str">
            <v>Gabardina</v>
          </cell>
          <cell r="E593">
            <v>0</v>
          </cell>
          <cell r="F593">
            <v>-5</v>
          </cell>
          <cell r="G593">
            <v>0</v>
          </cell>
          <cell r="H593">
            <v>10</v>
          </cell>
          <cell r="I593">
            <v>25</v>
          </cell>
          <cell r="J593" t="str">
            <v>Completa</v>
          </cell>
          <cell r="K593" t="str">
            <v>Blanda</v>
          </cell>
          <cell r="L593">
            <v>1</v>
          </cell>
          <cell r="M593">
            <v>0</v>
          </cell>
          <cell r="N593">
            <v>2</v>
          </cell>
          <cell r="O593">
            <v>1</v>
          </cell>
          <cell r="P593">
            <v>2</v>
          </cell>
          <cell r="Q593">
            <v>2</v>
          </cell>
          <cell r="R593">
            <v>0</v>
          </cell>
          <cell r="X593" t="str">
            <v>Tabla de armas improvisadas</v>
          </cell>
          <cell r="Y593">
            <v>50</v>
          </cell>
          <cell r="Z593" t="str">
            <v>Armas improvisadas</v>
          </cell>
          <cell r="AC593" t="str">
            <v>Camisola</v>
          </cell>
          <cell r="AG593" t="str">
            <v>Apariencia real</v>
          </cell>
          <cell r="AH593" t="str">
            <v>Casi Imposible</v>
          </cell>
          <cell r="AI593">
            <v>140</v>
          </cell>
          <cell r="AJ593">
            <v>4</v>
          </cell>
          <cell r="AK593">
            <v>3</v>
          </cell>
        </row>
        <row r="594">
          <cell r="D594" t="str">
            <v>Perpunte</v>
          </cell>
          <cell r="E594">
            <v>10</v>
          </cell>
          <cell r="F594">
            <v>-10</v>
          </cell>
          <cell r="G594">
            <v>0</v>
          </cell>
          <cell r="H594">
            <v>11</v>
          </cell>
          <cell r="I594">
            <v>25</v>
          </cell>
          <cell r="J594" t="str">
            <v>Camisola</v>
          </cell>
          <cell r="K594" t="str">
            <v>Blanda</v>
          </cell>
          <cell r="L594">
            <v>2</v>
          </cell>
          <cell r="M594">
            <v>1</v>
          </cell>
          <cell r="N594">
            <v>2</v>
          </cell>
          <cell r="O594">
            <v>0</v>
          </cell>
          <cell r="P594">
            <v>2</v>
          </cell>
          <cell r="Q594">
            <v>2</v>
          </cell>
          <cell r="R594">
            <v>0</v>
          </cell>
          <cell r="X594" t="str">
            <v>Tabla de armas arquetípicas</v>
          </cell>
          <cell r="Y594">
            <v>50</v>
          </cell>
          <cell r="Z594" t="str">
            <v>Tabla de profesión:</v>
          </cell>
          <cell r="AC594" t="str">
            <v>Peto</v>
          </cell>
          <cell r="AG594" t="str">
            <v>Armas naturales mejoradas</v>
          </cell>
          <cell r="AH594" t="str">
            <v>Imposible</v>
          </cell>
          <cell r="AI594">
            <v>180</v>
          </cell>
          <cell r="AJ594">
            <v>4</v>
          </cell>
          <cell r="AK594">
            <v>4</v>
          </cell>
        </row>
        <row r="595">
          <cell r="D595" t="str">
            <v>Piel</v>
          </cell>
          <cell r="E595">
            <v>10</v>
          </cell>
          <cell r="F595">
            <v>-10</v>
          </cell>
          <cell r="G595">
            <v>0</v>
          </cell>
          <cell r="H595">
            <v>10</v>
          </cell>
          <cell r="I595">
            <v>25</v>
          </cell>
          <cell r="J595" t="str">
            <v>Camisola</v>
          </cell>
          <cell r="K595" t="str">
            <v>Blanda</v>
          </cell>
          <cell r="L595">
            <v>2</v>
          </cell>
          <cell r="M595">
            <v>1</v>
          </cell>
          <cell r="N595">
            <v>2</v>
          </cell>
          <cell r="O595">
            <v>1</v>
          </cell>
          <cell r="P595">
            <v>2</v>
          </cell>
          <cell r="Q595">
            <v>2</v>
          </cell>
          <cell r="R595">
            <v>0</v>
          </cell>
          <cell r="AC595" t="str">
            <v>Completa</v>
          </cell>
          <cell r="AG595" t="str">
            <v>Sin cuerdas</v>
          </cell>
          <cell r="AH595" t="str">
            <v>Inhumano</v>
          </cell>
          <cell r="AI595">
            <v>240</v>
          </cell>
          <cell r="AJ595">
            <v>5</v>
          </cell>
          <cell r="AK595">
            <v>5</v>
          </cell>
        </row>
        <row r="596">
          <cell r="D596" t="str">
            <v>Completa cuero</v>
          </cell>
          <cell r="E596">
            <v>10</v>
          </cell>
          <cell r="F596">
            <v>0</v>
          </cell>
          <cell r="G596">
            <v>1</v>
          </cell>
          <cell r="H596">
            <v>12</v>
          </cell>
          <cell r="I596">
            <v>25</v>
          </cell>
          <cell r="J596" t="str">
            <v>Completa</v>
          </cell>
          <cell r="K596" t="str">
            <v>Blanda</v>
          </cell>
          <cell r="L596">
            <v>1</v>
          </cell>
          <cell r="M596">
            <v>0</v>
          </cell>
          <cell r="N596">
            <v>2</v>
          </cell>
          <cell r="O596">
            <v>1</v>
          </cell>
          <cell r="P596">
            <v>2</v>
          </cell>
          <cell r="Q596">
            <v>1</v>
          </cell>
          <cell r="R596">
            <v>0</v>
          </cell>
          <cell r="X596" t="str">
            <v>Tabla personalizada #1</v>
          </cell>
          <cell r="Z596" t="str">
            <v/>
          </cell>
          <cell r="AA596">
            <v>0</v>
          </cell>
          <cell r="AC596" t="str">
            <v>Cabeza</v>
          </cell>
          <cell r="AG596" t="str">
            <v>Capacidad de combate</v>
          </cell>
          <cell r="AH596" t="str">
            <v>Zen</v>
          </cell>
          <cell r="AI596">
            <v>280</v>
          </cell>
          <cell r="AJ596">
            <v>6</v>
          </cell>
          <cell r="AK596">
            <v>6</v>
          </cell>
        </row>
        <row r="597">
          <cell r="D597" t="str">
            <v>Laminar</v>
          </cell>
          <cell r="E597">
            <v>20</v>
          </cell>
          <cell r="F597">
            <v>-10</v>
          </cell>
          <cell r="G597">
            <v>0</v>
          </cell>
          <cell r="H597">
            <v>12</v>
          </cell>
          <cell r="I597">
            <v>25</v>
          </cell>
          <cell r="J597" t="str">
            <v>Camisola</v>
          </cell>
          <cell r="K597" t="str">
            <v>Blanda</v>
          </cell>
          <cell r="L597">
            <v>3</v>
          </cell>
          <cell r="M597">
            <v>1</v>
          </cell>
          <cell r="N597">
            <v>1</v>
          </cell>
          <cell r="O597">
            <v>0</v>
          </cell>
          <cell r="P597">
            <v>2</v>
          </cell>
          <cell r="Q597">
            <v>2</v>
          </cell>
          <cell r="R597">
            <v>0</v>
          </cell>
          <cell r="X597" t="str">
            <v>Tabla personalizada #2</v>
          </cell>
          <cell r="Z597" t="str">
            <v/>
          </cell>
          <cell r="AA597">
            <v>0</v>
          </cell>
        </row>
        <row r="598">
          <cell r="D598" t="str">
            <v>Brigantina</v>
          </cell>
          <cell r="E598">
            <v>25</v>
          </cell>
          <cell r="F598">
            <v>-10</v>
          </cell>
          <cell r="G598">
            <v>0</v>
          </cell>
          <cell r="H598">
            <v>12</v>
          </cell>
          <cell r="I598">
            <v>25</v>
          </cell>
          <cell r="J598" t="str">
            <v>Camisola</v>
          </cell>
          <cell r="K598" t="str">
            <v>Blanda</v>
          </cell>
          <cell r="L598">
            <v>3</v>
          </cell>
          <cell r="M598">
            <v>2</v>
          </cell>
          <cell r="N598">
            <v>3</v>
          </cell>
          <cell r="O598">
            <v>1</v>
          </cell>
          <cell r="P598">
            <v>0</v>
          </cell>
          <cell r="Q598">
            <v>1</v>
          </cell>
          <cell r="R598">
            <v>0</v>
          </cell>
          <cell r="X598" t="str">
            <v>Tabla personalizada #3</v>
          </cell>
          <cell r="Z598" t="str">
            <v/>
          </cell>
          <cell r="AA598">
            <v>0</v>
          </cell>
        </row>
        <row r="599">
          <cell r="D599" t="str">
            <v>Mallas</v>
          </cell>
          <cell r="E599">
            <v>30</v>
          </cell>
          <cell r="F599">
            <v>-15</v>
          </cell>
          <cell r="G599">
            <v>1</v>
          </cell>
          <cell r="H599">
            <v>15</v>
          </cell>
          <cell r="I599">
            <v>30</v>
          </cell>
          <cell r="J599" t="str">
            <v>Completa</v>
          </cell>
          <cell r="K599" t="str">
            <v>Blanda</v>
          </cell>
          <cell r="L599">
            <v>4</v>
          </cell>
          <cell r="M599">
            <v>2</v>
          </cell>
          <cell r="N599">
            <v>1</v>
          </cell>
          <cell r="O599">
            <v>2</v>
          </cell>
          <cell r="P599">
            <v>0</v>
          </cell>
          <cell r="Q599">
            <v>1</v>
          </cell>
          <cell r="R599">
            <v>0</v>
          </cell>
          <cell r="X599" t="str">
            <v>Tabla personalizada #4</v>
          </cell>
          <cell r="Z599" t="str">
            <v/>
          </cell>
          <cell r="AA599">
            <v>0</v>
          </cell>
        </row>
        <row r="600">
          <cell r="D600" t="str">
            <v>Anillas</v>
          </cell>
          <cell r="E600">
            <v>60</v>
          </cell>
          <cell r="F600">
            <v>-20</v>
          </cell>
          <cell r="G600">
            <v>2</v>
          </cell>
          <cell r="H600">
            <v>15</v>
          </cell>
          <cell r="I600">
            <v>30</v>
          </cell>
          <cell r="J600" t="str">
            <v>Camisola</v>
          </cell>
          <cell r="K600" t="str">
            <v>Blanda</v>
          </cell>
          <cell r="L600">
            <v>4</v>
          </cell>
          <cell r="M600">
            <v>3</v>
          </cell>
          <cell r="N600">
            <v>1</v>
          </cell>
          <cell r="O600">
            <v>2</v>
          </cell>
          <cell r="P600">
            <v>0</v>
          </cell>
          <cell r="Q600">
            <v>1</v>
          </cell>
          <cell r="R600">
            <v>0</v>
          </cell>
          <cell r="X600" t="str">
            <v>Bárbaro</v>
          </cell>
          <cell r="Z600" t="str">
            <v>Hacha de guerra, Hacha a dos manos, Espada a dos manos, Espada bastarda, Maza pesada</v>
          </cell>
          <cell r="AA600">
            <v>0</v>
          </cell>
          <cell r="AC600" t="str">
            <v>Sin equipo</v>
          </cell>
          <cell r="AD600">
            <v>0</v>
          </cell>
          <cell r="AE600">
            <v>0</v>
          </cell>
          <cell r="AF600">
            <v>0</v>
          </cell>
        </row>
        <row r="601">
          <cell r="D601" t="str">
            <v>&gt; ARM. DURAS</v>
          </cell>
          <cell r="E601">
            <v>0</v>
          </cell>
          <cell r="F601">
            <v>0</v>
          </cell>
          <cell r="G601">
            <v>0</v>
          </cell>
          <cell r="H601">
            <v>0</v>
          </cell>
          <cell r="I601">
            <v>0</v>
          </cell>
          <cell r="J601" t="str">
            <v>-</v>
          </cell>
          <cell r="K601" t="str">
            <v>-</v>
          </cell>
          <cell r="L601">
            <v>0</v>
          </cell>
          <cell r="M601">
            <v>0</v>
          </cell>
          <cell r="N601">
            <v>0</v>
          </cell>
          <cell r="O601">
            <v>0</v>
          </cell>
          <cell r="P601">
            <v>0</v>
          </cell>
          <cell r="Q601">
            <v>0</v>
          </cell>
          <cell r="R601">
            <v>0</v>
          </cell>
          <cell r="X601" t="str">
            <v>Caballero</v>
          </cell>
          <cell r="Z601" t="str">
            <v>Espada larga, Lanza de caballería, Maza ligera, Espada bastarda y Escudo medio</v>
          </cell>
          <cell r="AA601">
            <v>0</v>
          </cell>
          <cell r="AC601" t="str">
            <v>Equipo (Turno)</v>
          </cell>
          <cell r="AD601">
            <v>10</v>
          </cell>
          <cell r="AE601">
            <v>-10</v>
          </cell>
          <cell r="AF601">
            <v>0</v>
          </cell>
        </row>
        <row r="602">
          <cell r="D602" t="str">
            <v>Cuero endurecido</v>
          </cell>
          <cell r="E602">
            <v>20</v>
          </cell>
          <cell r="F602">
            <v>-10</v>
          </cell>
          <cell r="G602">
            <v>0</v>
          </cell>
          <cell r="H602">
            <v>13</v>
          </cell>
          <cell r="I602">
            <v>25</v>
          </cell>
          <cell r="J602" t="str">
            <v>Peto</v>
          </cell>
          <cell r="K602" t="str">
            <v>Dura</v>
          </cell>
          <cell r="L602">
            <v>2</v>
          </cell>
          <cell r="M602">
            <v>2</v>
          </cell>
          <cell r="N602">
            <v>2</v>
          </cell>
          <cell r="O602">
            <v>2</v>
          </cell>
          <cell r="P602">
            <v>2</v>
          </cell>
          <cell r="Q602">
            <v>2</v>
          </cell>
          <cell r="R602">
            <v>0</v>
          </cell>
          <cell r="X602" t="str">
            <v>Nómada</v>
          </cell>
          <cell r="Z602" t="str">
            <v>Daga, Turcus, Arco largo, Cimitarra y Lanza</v>
          </cell>
          <cell r="AA602">
            <v>0</v>
          </cell>
          <cell r="AC602" t="str">
            <v>Equipo (HA/HD)</v>
          </cell>
          <cell r="AD602">
            <v>10</v>
          </cell>
          <cell r="AE602">
            <v>0</v>
          </cell>
          <cell r="AF602">
            <v>-5</v>
          </cell>
        </row>
        <row r="603">
          <cell r="D603" t="str">
            <v>Cuero tachonado</v>
          </cell>
          <cell r="E603">
            <v>25</v>
          </cell>
          <cell r="F603">
            <v>-10</v>
          </cell>
          <cell r="G603">
            <v>1</v>
          </cell>
          <cell r="H603">
            <v>14</v>
          </cell>
          <cell r="I603">
            <v>25</v>
          </cell>
          <cell r="J603" t="str">
            <v>Peto</v>
          </cell>
          <cell r="K603" t="str">
            <v>Dura</v>
          </cell>
          <cell r="L603">
            <v>3</v>
          </cell>
          <cell r="M603">
            <v>1</v>
          </cell>
          <cell r="N603">
            <v>2</v>
          </cell>
          <cell r="O603">
            <v>2</v>
          </cell>
          <cell r="P603">
            <v>1</v>
          </cell>
          <cell r="Q603">
            <v>2</v>
          </cell>
          <cell r="R603">
            <v>0</v>
          </cell>
          <cell r="X603" t="str">
            <v>Gladiador</v>
          </cell>
          <cell r="Z603" t="str">
            <v>Espada corta, Red, Rodela, Tridente y Látigo</v>
          </cell>
          <cell r="AA603">
            <v>0</v>
          </cell>
          <cell r="AC603" t="str">
            <v>Equipo pesado (Turno)</v>
          </cell>
          <cell r="AD603">
            <v>20</v>
          </cell>
          <cell r="AE603">
            <v>-20</v>
          </cell>
          <cell r="AF603">
            <v>0</v>
          </cell>
        </row>
        <row r="604">
          <cell r="D604" t="str">
            <v>Segmentada</v>
          </cell>
          <cell r="E604">
            <v>30</v>
          </cell>
          <cell r="F604">
            <v>-15</v>
          </cell>
          <cell r="G604">
            <v>0</v>
          </cell>
          <cell r="H604">
            <v>13</v>
          </cell>
          <cell r="I604">
            <v>25</v>
          </cell>
          <cell r="J604" t="str">
            <v>Camisola</v>
          </cell>
          <cell r="K604" t="str">
            <v>Dura</v>
          </cell>
          <cell r="L604">
            <v>4</v>
          </cell>
          <cell r="M604">
            <v>3</v>
          </cell>
          <cell r="N604">
            <v>3</v>
          </cell>
          <cell r="O604">
            <v>2</v>
          </cell>
          <cell r="P604">
            <v>0</v>
          </cell>
          <cell r="Q604">
            <v>2</v>
          </cell>
          <cell r="R604">
            <v>0</v>
          </cell>
          <cell r="X604" t="str">
            <v>Cazador</v>
          </cell>
          <cell r="Z604" t="str">
            <v>Jabalina, Arco Corto, Espada corta, Lanza y Boleadoras</v>
          </cell>
          <cell r="AA604">
            <v>0</v>
          </cell>
          <cell r="AC604" t="str">
            <v>Equipo pesado (HA/HD)</v>
          </cell>
          <cell r="AD604">
            <v>20</v>
          </cell>
          <cell r="AE604">
            <v>0</v>
          </cell>
          <cell r="AF604">
            <v>-10</v>
          </cell>
        </row>
        <row r="605">
          <cell r="D605" t="str">
            <v>Peto</v>
          </cell>
          <cell r="E605">
            <v>40</v>
          </cell>
          <cell r="F605">
            <v>-15</v>
          </cell>
          <cell r="G605">
            <v>1</v>
          </cell>
          <cell r="H605">
            <v>16</v>
          </cell>
          <cell r="I605">
            <v>30</v>
          </cell>
          <cell r="J605" t="str">
            <v>Peto</v>
          </cell>
          <cell r="K605" t="str">
            <v>Dura</v>
          </cell>
          <cell r="L605">
            <v>4</v>
          </cell>
          <cell r="M605">
            <v>5</v>
          </cell>
          <cell r="N605">
            <v>4</v>
          </cell>
          <cell r="O605">
            <v>1</v>
          </cell>
          <cell r="P605">
            <v>0</v>
          </cell>
          <cell r="Q605">
            <v>1</v>
          </cell>
          <cell r="R605">
            <v>0</v>
          </cell>
          <cell r="X605" t="str">
            <v>Ninja</v>
          </cell>
          <cell r="Z605" t="str">
            <v>Katana, Tanto, Garras, Shuriken y Kusari-Gama</v>
          </cell>
          <cell r="AA605">
            <v>0</v>
          </cell>
        </row>
        <row r="606">
          <cell r="D606" t="str">
            <v>Piezas</v>
          </cell>
          <cell r="E606">
            <v>50</v>
          </cell>
          <cell r="F606">
            <v>-20</v>
          </cell>
          <cell r="G606">
            <v>2</v>
          </cell>
          <cell r="H606">
            <v>15</v>
          </cell>
          <cell r="I606">
            <v>30</v>
          </cell>
          <cell r="J606" t="str">
            <v>Completa</v>
          </cell>
          <cell r="K606" t="str">
            <v>Dura</v>
          </cell>
          <cell r="L606">
            <v>4</v>
          </cell>
          <cell r="M606">
            <v>3</v>
          </cell>
          <cell r="N606">
            <v>2</v>
          </cell>
          <cell r="O606">
            <v>3</v>
          </cell>
          <cell r="P606">
            <v>2</v>
          </cell>
          <cell r="Q606">
            <v>2</v>
          </cell>
          <cell r="R606">
            <v>0</v>
          </cell>
          <cell r="X606" t="str">
            <v>Asesino</v>
          </cell>
          <cell r="Z606" t="str">
            <v>Espada corta, Ballesta de mano, Garrote, Cerbatana y Estilete</v>
          </cell>
          <cell r="AA606">
            <v>0</v>
          </cell>
        </row>
        <row r="607">
          <cell r="D607" t="str">
            <v>Semicompleta</v>
          </cell>
          <cell r="E607">
            <v>70</v>
          </cell>
          <cell r="F607">
            <v>-20</v>
          </cell>
          <cell r="G607">
            <v>3</v>
          </cell>
          <cell r="H607">
            <v>16</v>
          </cell>
          <cell r="I607">
            <v>35</v>
          </cell>
          <cell r="J607" t="str">
            <v>Completa</v>
          </cell>
          <cell r="K607" t="str">
            <v>Dura</v>
          </cell>
          <cell r="L607">
            <v>4</v>
          </cell>
          <cell r="M607">
            <v>4</v>
          </cell>
          <cell r="N607">
            <v>4</v>
          </cell>
          <cell r="O607">
            <v>2</v>
          </cell>
          <cell r="P607">
            <v>0</v>
          </cell>
          <cell r="Q607">
            <v>1</v>
          </cell>
          <cell r="R607">
            <v>1</v>
          </cell>
          <cell r="X607" t="str">
            <v>Soldado</v>
          </cell>
          <cell r="Z607" t="str">
            <v>Ballesta, Espada larga, Alabarda, Lanza y Escudo medio</v>
          </cell>
          <cell r="AA607">
            <v>0</v>
          </cell>
        </row>
        <row r="608">
          <cell r="D608" t="str">
            <v>Escamas</v>
          </cell>
          <cell r="E608">
            <v>80</v>
          </cell>
          <cell r="F608">
            <v>-25</v>
          </cell>
          <cell r="G608">
            <v>3</v>
          </cell>
          <cell r="H608">
            <v>17</v>
          </cell>
          <cell r="I608">
            <v>35</v>
          </cell>
          <cell r="J608" t="str">
            <v>Completa</v>
          </cell>
          <cell r="K608" t="str">
            <v>Dura</v>
          </cell>
          <cell r="L608">
            <v>4</v>
          </cell>
          <cell r="M608">
            <v>4</v>
          </cell>
          <cell r="N608">
            <v>4</v>
          </cell>
          <cell r="O608">
            <v>3</v>
          </cell>
          <cell r="P608">
            <v>0</v>
          </cell>
          <cell r="Q608">
            <v>3</v>
          </cell>
          <cell r="R608">
            <v>1</v>
          </cell>
          <cell r="X608" t="str">
            <v>Duelista</v>
          </cell>
          <cell r="Z608" t="str">
            <v>Estoque, Florete, Daga de parada, Sable y Espada larga</v>
          </cell>
          <cell r="AA608">
            <v>0</v>
          </cell>
          <cell r="AC608">
            <v>-10</v>
          </cell>
          <cell r="AE608" t="str">
            <v>Normal</v>
          </cell>
          <cell r="AF608">
            <v>1</v>
          </cell>
          <cell r="AG608">
            <v>1</v>
          </cell>
          <cell r="AH608">
            <v>0</v>
          </cell>
          <cell r="AI608">
            <v>1</v>
          </cell>
          <cell r="AJ608">
            <v>0</v>
          </cell>
          <cell r="AK608">
            <v>0</v>
          </cell>
        </row>
        <row r="609">
          <cell r="D609" t="str">
            <v>Placas</v>
          </cell>
          <cell r="E609">
            <v>90</v>
          </cell>
          <cell r="F609">
            <v>-35</v>
          </cell>
          <cell r="G609">
            <v>4</v>
          </cell>
          <cell r="H609">
            <v>17</v>
          </cell>
          <cell r="I609">
            <v>40</v>
          </cell>
          <cell r="J609" t="str">
            <v>Completa</v>
          </cell>
          <cell r="K609" t="str">
            <v>Dura</v>
          </cell>
          <cell r="L609">
            <v>5</v>
          </cell>
          <cell r="M609">
            <v>4</v>
          </cell>
          <cell r="N609">
            <v>5</v>
          </cell>
          <cell r="O609">
            <v>3</v>
          </cell>
          <cell r="P609">
            <v>0</v>
          </cell>
          <cell r="Q609">
            <v>3</v>
          </cell>
          <cell r="R609">
            <v>1</v>
          </cell>
          <cell r="X609" t="str">
            <v>Aborigen</v>
          </cell>
          <cell r="Z609" t="str">
            <v>Jabalina, Lanza, Escudo corporal, Arco Corto y Cerbatana</v>
          </cell>
          <cell r="AA609">
            <v>0</v>
          </cell>
          <cell r="AC609">
            <v>-5</v>
          </cell>
          <cell r="AE609" t="str">
            <v>Enorme</v>
          </cell>
          <cell r="AF609">
            <v>9</v>
          </cell>
          <cell r="AG609">
            <v>23</v>
          </cell>
          <cell r="AH609">
            <v>2</v>
          </cell>
          <cell r="AI609">
            <v>1.5</v>
          </cell>
          <cell r="AJ609">
            <v>6</v>
          </cell>
          <cell r="AK609">
            <v>3</v>
          </cell>
        </row>
        <row r="610">
          <cell r="D610" t="str">
            <v>Completa</v>
          </cell>
          <cell r="E610">
            <v>100</v>
          </cell>
          <cell r="F610">
            <v>-50</v>
          </cell>
          <cell r="G610">
            <v>4</v>
          </cell>
          <cell r="H610">
            <v>18</v>
          </cell>
          <cell r="I610">
            <v>45</v>
          </cell>
          <cell r="J610" t="str">
            <v>Completa</v>
          </cell>
          <cell r="K610" t="str">
            <v>Dura</v>
          </cell>
          <cell r="L610">
            <v>5</v>
          </cell>
          <cell r="M610">
            <v>5</v>
          </cell>
          <cell r="N610">
            <v>5</v>
          </cell>
          <cell r="O610">
            <v>4</v>
          </cell>
          <cell r="P610">
            <v>0</v>
          </cell>
          <cell r="Q610">
            <v>4</v>
          </cell>
          <cell r="R610">
            <v>2</v>
          </cell>
          <cell r="X610" t="str">
            <v>Pirata</v>
          </cell>
          <cell r="Z610" t="str">
            <v>Arpón, Red, Garfio, Sable y Hacha de mano</v>
          </cell>
          <cell r="AA610">
            <v>0</v>
          </cell>
          <cell r="AC610">
            <v>0</v>
          </cell>
          <cell r="AE610" t="str">
            <v>Gigante</v>
          </cell>
          <cell r="AF610">
            <v>23</v>
          </cell>
          <cell r="AG610">
            <v>29</v>
          </cell>
          <cell r="AH610">
            <v>5</v>
          </cell>
          <cell r="AI610">
            <v>2</v>
          </cell>
          <cell r="AJ610">
            <v>16</v>
          </cell>
          <cell r="AK610">
            <v>8</v>
          </cell>
        </row>
        <row r="611">
          <cell r="D611" t="str">
            <v>Completa pesada</v>
          </cell>
          <cell r="E611">
            <v>120</v>
          </cell>
          <cell r="F611">
            <v>-60</v>
          </cell>
          <cell r="G611">
            <v>5</v>
          </cell>
          <cell r="H611">
            <v>19</v>
          </cell>
          <cell r="I611">
            <v>45</v>
          </cell>
          <cell r="J611" t="str">
            <v>Completa</v>
          </cell>
          <cell r="K611" t="str">
            <v>Dura</v>
          </cell>
          <cell r="L611">
            <v>6</v>
          </cell>
          <cell r="M611">
            <v>6</v>
          </cell>
          <cell r="N611">
            <v>6</v>
          </cell>
          <cell r="O611">
            <v>4</v>
          </cell>
          <cell r="P611">
            <v>0</v>
          </cell>
          <cell r="Q611">
            <v>4</v>
          </cell>
          <cell r="R611">
            <v>2</v>
          </cell>
          <cell r="X611" t="str">
            <v>Bandido</v>
          </cell>
          <cell r="Z611" t="str">
            <v>Daga, Ballesta, Espada corta, Maza ligera y Garrote</v>
          </cell>
          <cell r="AA611">
            <v>0</v>
          </cell>
          <cell r="AC611">
            <v>5</v>
          </cell>
        </row>
        <row r="612">
          <cell r="D612" t="str">
            <v>Campaña pesada</v>
          </cell>
          <cell r="E612">
            <v>150</v>
          </cell>
          <cell r="F612">
            <v>-70</v>
          </cell>
          <cell r="G612">
            <v>6</v>
          </cell>
          <cell r="H612">
            <v>20</v>
          </cell>
          <cell r="I612">
            <v>50</v>
          </cell>
          <cell r="J612" t="str">
            <v>Completa</v>
          </cell>
          <cell r="K612" t="str">
            <v>Dura</v>
          </cell>
          <cell r="L612">
            <v>7</v>
          </cell>
          <cell r="M612">
            <v>7</v>
          </cell>
          <cell r="N612">
            <v>7</v>
          </cell>
          <cell r="O612">
            <v>4</v>
          </cell>
          <cell r="P612">
            <v>0</v>
          </cell>
          <cell r="Q612">
            <v>4</v>
          </cell>
          <cell r="R612">
            <v>2</v>
          </cell>
          <cell r="AC612">
            <v>10</v>
          </cell>
        </row>
        <row r="613">
          <cell r="D613" t="str">
            <v>&gt; ARM. ORIENTALES</v>
          </cell>
          <cell r="E613">
            <v>0</v>
          </cell>
          <cell r="F613">
            <v>0</v>
          </cell>
          <cell r="G613">
            <v>0</v>
          </cell>
          <cell r="H613">
            <v>0</v>
          </cell>
          <cell r="I613">
            <v>0</v>
          </cell>
          <cell r="J613" t="str">
            <v>-</v>
          </cell>
          <cell r="K613" t="str">
            <v>-</v>
          </cell>
          <cell r="L613">
            <v>0</v>
          </cell>
          <cell r="M613">
            <v>0</v>
          </cell>
          <cell r="N613">
            <v>0</v>
          </cell>
          <cell r="O613">
            <v>0</v>
          </cell>
          <cell r="P613">
            <v>0</v>
          </cell>
          <cell r="Q613">
            <v>0</v>
          </cell>
          <cell r="R613">
            <v>0</v>
          </cell>
          <cell r="X613" t="str">
            <v>-</v>
          </cell>
          <cell r="AC613">
            <v>15</v>
          </cell>
        </row>
        <row r="614">
          <cell r="D614" t="str">
            <v>Kozan-do</v>
          </cell>
          <cell r="E614">
            <v>25</v>
          </cell>
          <cell r="F614">
            <v>-10</v>
          </cell>
          <cell r="G614">
            <v>0</v>
          </cell>
          <cell r="H614">
            <v>13</v>
          </cell>
          <cell r="I614">
            <v>25</v>
          </cell>
          <cell r="J614" t="str">
            <v>Camisola</v>
          </cell>
          <cell r="K614" t="str">
            <v>Blanda</v>
          </cell>
          <cell r="L614">
            <v>3</v>
          </cell>
          <cell r="M614">
            <v>1</v>
          </cell>
          <cell r="N614">
            <v>1</v>
          </cell>
          <cell r="O614">
            <v>2</v>
          </cell>
          <cell r="P614">
            <v>0</v>
          </cell>
          <cell r="Q614">
            <v>1</v>
          </cell>
          <cell r="R614">
            <v>0</v>
          </cell>
          <cell r="X614" t="str">
            <v>Asta</v>
          </cell>
          <cell r="Z614" t="str">
            <v>Arpón, Bastón de Combate, Berdiche, Brandistock, Glavius, Goedendag, Guandao, Jabalina, Lanza, Lanza de caballería, Pica, Pudao, Tridente, Vara, Anciano de primavera, Kumade, Lajatang, Nagimaki, Naginata, Sang Kauw, Sode Garami, Uchi-ne</v>
          </cell>
          <cell r="AA614">
            <v>0</v>
          </cell>
          <cell r="AC614">
            <v>20</v>
          </cell>
        </row>
        <row r="615">
          <cell r="D615" t="str">
            <v>Keiko</v>
          </cell>
          <cell r="E615">
            <v>30</v>
          </cell>
          <cell r="F615">
            <v>-10</v>
          </cell>
          <cell r="G615">
            <v>0</v>
          </cell>
          <cell r="H615">
            <v>14</v>
          </cell>
          <cell r="I615">
            <v>25</v>
          </cell>
          <cell r="J615" t="str">
            <v>Completa</v>
          </cell>
          <cell r="K615" t="str">
            <v>Dura</v>
          </cell>
          <cell r="L615">
            <v>3</v>
          </cell>
          <cell r="M615">
            <v>2</v>
          </cell>
          <cell r="N615">
            <v>2</v>
          </cell>
          <cell r="O615">
            <v>2</v>
          </cell>
          <cell r="P615">
            <v>0</v>
          </cell>
          <cell r="Q615">
            <v>1</v>
          </cell>
          <cell r="R615">
            <v>0</v>
          </cell>
          <cell r="X615" t="str">
            <v>Corta</v>
          </cell>
          <cell r="Z615" t="str">
            <v>Cestus, Cinquedea, Daga, Daga de parada, Dirk, Escramasajón, Espada corta, Estilete, Garfio, Hu Die Dao, Katzbalger, Kerambit, Kukri, Lujiaodao, Pata, Abanico de combate, Bumerán, Cuervo, Garras, Katar, Sai, Shuko, Shuriken, Tanto, Tonfa, Jutte, Kama, Kris, Kunai</v>
          </cell>
          <cell r="AA615">
            <v>0</v>
          </cell>
          <cell r="AC615">
            <v>25</v>
          </cell>
        </row>
        <row r="616">
          <cell r="D616" t="str">
            <v>O-Yoroi</v>
          </cell>
          <cell r="E616">
            <v>30</v>
          </cell>
          <cell r="F616">
            <v>-10</v>
          </cell>
          <cell r="G616">
            <v>1</v>
          </cell>
          <cell r="H616">
            <v>15</v>
          </cell>
          <cell r="I616">
            <v>30</v>
          </cell>
          <cell r="J616" t="str">
            <v>Completa</v>
          </cell>
          <cell r="K616" t="str">
            <v>Dura</v>
          </cell>
          <cell r="L616">
            <v>3</v>
          </cell>
          <cell r="M616">
            <v>2</v>
          </cell>
          <cell r="N616">
            <v>3</v>
          </cell>
          <cell r="O616">
            <v>2</v>
          </cell>
          <cell r="P616">
            <v>2</v>
          </cell>
          <cell r="Q616">
            <v>2</v>
          </cell>
          <cell r="R616">
            <v>0</v>
          </cell>
          <cell r="X616" t="str">
            <v>Cuerda</v>
          </cell>
          <cell r="Z616" t="str">
            <v>Cadena, Látigo, Lazo, Liu Xing Chui, Red, Urumi, Nunchaku, Kau Sin Ke</v>
          </cell>
          <cell r="AA616">
            <v>0</v>
          </cell>
          <cell r="AC616">
            <v>30</v>
          </cell>
        </row>
        <row r="617">
          <cell r="D617" t="str">
            <v>Tanko</v>
          </cell>
          <cell r="E617">
            <v>35</v>
          </cell>
          <cell r="F617">
            <v>-15</v>
          </cell>
          <cell r="G617">
            <v>1</v>
          </cell>
          <cell r="H617">
            <v>14</v>
          </cell>
          <cell r="I617">
            <v>25</v>
          </cell>
          <cell r="J617" t="str">
            <v>Camisola</v>
          </cell>
          <cell r="K617" t="str">
            <v>Dura</v>
          </cell>
          <cell r="L617">
            <v>4</v>
          </cell>
          <cell r="M617">
            <v>2</v>
          </cell>
          <cell r="N617">
            <v>3</v>
          </cell>
          <cell r="O617">
            <v>1</v>
          </cell>
          <cell r="P617">
            <v>0</v>
          </cell>
          <cell r="Q617">
            <v>1</v>
          </cell>
          <cell r="R617">
            <v>0</v>
          </cell>
          <cell r="X617" t="str">
            <v>Escudo</v>
          </cell>
          <cell r="Z617" t="str">
            <v>Escudo corporal, Escudo medio, Rodela</v>
          </cell>
          <cell r="AA617">
            <v>0</v>
          </cell>
          <cell r="AC617">
            <v>35</v>
          </cell>
        </row>
        <row r="618">
          <cell r="D618" t="str">
            <v>&gt; ARM. SOBRENAT.</v>
          </cell>
          <cell r="E618">
            <v>0</v>
          </cell>
          <cell r="F618">
            <v>0</v>
          </cell>
          <cell r="G618">
            <v>0</v>
          </cell>
          <cell r="H618">
            <v>0</v>
          </cell>
          <cell r="I618">
            <v>0</v>
          </cell>
          <cell r="J618" t="str">
            <v>-</v>
          </cell>
          <cell r="K618" t="str">
            <v>-</v>
          </cell>
          <cell r="L618">
            <v>0</v>
          </cell>
          <cell r="M618">
            <v>0</v>
          </cell>
          <cell r="N618">
            <v>0</v>
          </cell>
          <cell r="O618">
            <v>0</v>
          </cell>
          <cell r="P618">
            <v>0</v>
          </cell>
          <cell r="Q618">
            <v>0</v>
          </cell>
          <cell r="R618">
            <v>0</v>
          </cell>
          <cell r="X618" t="str">
            <v>Espada</v>
          </cell>
          <cell r="Z618" t="str">
            <v>Bracamarte, Cimitarra, Espada ancha, Espada larga, Estoque, Koncerz, Sable, Shang Gou, Spatha, Katana, Katana de doble hoja, Boku-to, Ninja-to, Wakizashi</v>
          </cell>
          <cell r="AA618">
            <v>0</v>
          </cell>
          <cell r="AC618">
            <v>40</v>
          </cell>
        </row>
        <row r="619">
          <cell r="D619" t="str">
            <v>Arm. De Luz/Osc. (B)</v>
          </cell>
          <cell r="E619">
            <v>0</v>
          </cell>
          <cell r="F619">
            <v>0</v>
          </cell>
          <cell r="G619">
            <v>0</v>
          </cell>
          <cell r="H619">
            <v>0</v>
          </cell>
          <cell r="I619">
            <v>0</v>
          </cell>
          <cell r="J619" t="str">
            <v>Completa</v>
          </cell>
          <cell r="K619" t="str">
            <v>Natural</v>
          </cell>
          <cell r="L619">
            <v>1</v>
          </cell>
          <cell r="M619">
            <v>1</v>
          </cell>
          <cell r="N619">
            <v>1</v>
          </cell>
          <cell r="O619">
            <v>1</v>
          </cell>
          <cell r="P619">
            <v>1</v>
          </cell>
          <cell r="Q619">
            <v>1</v>
          </cell>
          <cell r="R619">
            <v>2</v>
          </cell>
          <cell r="X619" t="str">
            <v>Hacha</v>
          </cell>
          <cell r="Z619" t="str">
            <v>Hacha de guerra, Hacha de mano</v>
          </cell>
          <cell r="AA619">
            <v>0</v>
          </cell>
          <cell r="AC619">
            <v>45</v>
          </cell>
        </row>
        <row r="620">
          <cell r="D620" t="str">
            <v>Arm. De Luz/Osc. (I)</v>
          </cell>
          <cell r="E620">
            <v>0</v>
          </cell>
          <cell r="F620">
            <v>0</v>
          </cell>
          <cell r="G620">
            <v>0</v>
          </cell>
          <cell r="H620">
            <v>0</v>
          </cell>
          <cell r="I620">
            <v>0</v>
          </cell>
          <cell r="J620" t="str">
            <v>Completa</v>
          </cell>
          <cell r="K620" t="str">
            <v>Natural</v>
          </cell>
          <cell r="L620">
            <v>2</v>
          </cell>
          <cell r="M620">
            <v>2</v>
          </cell>
          <cell r="N620">
            <v>2</v>
          </cell>
          <cell r="O620">
            <v>2</v>
          </cell>
          <cell r="P620">
            <v>2</v>
          </cell>
          <cell r="Q620">
            <v>2</v>
          </cell>
          <cell r="R620">
            <v>5</v>
          </cell>
          <cell r="X620" t="str">
            <v>Mandoble</v>
          </cell>
          <cell r="Z620" t="str">
            <v>Claymore, Espada a dos manos, Grosse Messer, Montante, Nodachi, Quebradora</v>
          </cell>
          <cell r="AA620">
            <v>0</v>
          </cell>
          <cell r="AC620">
            <v>50</v>
          </cell>
        </row>
        <row r="621">
          <cell r="D621" t="str">
            <v>Arm. De Luz/Osc. (Av)</v>
          </cell>
          <cell r="E621">
            <v>0</v>
          </cell>
          <cell r="F621">
            <v>0</v>
          </cell>
          <cell r="G621">
            <v>0</v>
          </cell>
          <cell r="H621">
            <v>0</v>
          </cell>
          <cell r="I621">
            <v>0</v>
          </cell>
          <cell r="J621" t="str">
            <v>Completa</v>
          </cell>
          <cell r="K621" t="str">
            <v>Natural</v>
          </cell>
          <cell r="L621">
            <v>4</v>
          </cell>
          <cell r="M621">
            <v>4</v>
          </cell>
          <cell r="N621">
            <v>4</v>
          </cell>
          <cell r="O621">
            <v>4</v>
          </cell>
          <cell r="P621">
            <v>4</v>
          </cell>
          <cell r="Q621">
            <v>4</v>
          </cell>
          <cell r="R621">
            <v>8</v>
          </cell>
          <cell r="X621" t="str">
            <v>Maza</v>
          </cell>
          <cell r="Z621" t="str">
            <v>Chui, Garrote, Gran martillo guerra, Martillo de guerra, Maza Barra, Maza ligera, Kiseru, Tetsubo</v>
          </cell>
          <cell r="AA621">
            <v>0</v>
          </cell>
        </row>
        <row r="622">
          <cell r="D622" t="str">
            <v>Arm. De Luz/Osc. (Ar)</v>
          </cell>
          <cell r="E622">
            <v>0</v>
          </cell>
          <cell r="F622">
            <v>0</v>
          </cell>
          <cell r="G622">
            <v>0</v>
          </cell>
          <cell r="H622">
            <v>0</v>
          </cell>
          <cell r="I622">
            <v>0</v>
          </cell>
          <cell r="J622" t="str">
            <v>Completa</v>
          </cell>
          <cell r="K622" t="str">
            <v>Natural</v>
          </cell>
          <cell r="L622">
            <v>6</v>
          </cell>
          <cell r="M622">
            <v>6</v>
          </cell>
          <cell r="N622">
            <v>6</v>
          </cell>
          <cell r="O622">
            <v>6</v>
          </cell>
          <cell r="P622">
            <v>6</v>
          </cell>
          <cell r="Q622">
            <v>6</v>
          </cell>
          <cell r="R622">
            <v>12</v>
          </cell>
          <cell r="X622" t="str">
            <v>Lanzamiento</v>
          </cell>
          <cell r="Z622" t="str">
            <v>Bolas, Boleadoras, Dardos de mano, Turcus</v>
          </cell>
          <cell r="AA622">
            <v>0</v>
          </cell>
        </row>
        <row r="623">
          <cell r="D623" t="str">
            <v>Coraza (Base)</v>
          </cell>
          <cell r="E623">
            <v>0</v>
          </cell>
          <cell r="F623">
            <v>0</v>
          </cell>
          <cell r="G623">
            <v>0</v>
          </cell>
          <cell r="H623">
            <v>0</v>
          </cell>
          <cell r="I623">
            <v>0</v>
          </cell>
          <cell r="J623" t="str">
            <v>Completa</v>
          </cell>
          <cell r="K623" t="str">
            <v>Natural</v>
          </cell>
          <cell r="L623">
            <v>2</v>
          </cell>
          <cell r="M623">
            <v>2</v>
          </cell>
          <cell r="N623">
            <v>2</v>
          </cell>
          <cell r="O623">
            <v>2</v>
          </cell>
          <cell r="P623">
            <v>2</v>
          </cell>
          <cell r="Q623">
            <v>2</v>
          </cell>
          <cell r="R623">
            <v>0</v>
          </cell>
          <cell r="X623" t="str">
            <v>Proyectiles</v>
          </cell>
          <cell r="Z623" t="str">
            <v>Arcabuz, Arco compuesto, Arco corto, Arco de balas, Arco largo, Atlatl, Ballesta, Ballesta de mano, Ballesta de repetición, Ballesta pesada, Cerbatana, Daikyu, Honda, Pistola, Balista ligera, Balista pesada, Cañón</v>
          </cell>
          <cell r="AA623">
            <v>0</v>
          </cell>
        </row>
        <row r="624">
          <cell r="D624" t="str">
            <v>Coraza (Intermedio)</v>
          </cell>
          <cell r="E624">
            <v>0</v>
          </cell>
          <cell r="F624">
            <v>0</v>
          </cell>
          <cell r="G624">
            <v>0</v>
          </cell>
          <cell r="H624">
            <v>0</v>
          </cell>
          <cell r="I624">
            <v>0</v>
          </cell>
          <cell r="J624" t="str">
            <v>Completa</v>
          </cell>
          <cell r="K624" t="str">
            <v>Natural</v>
          </cell>
          <cell r="L624">
            <v>4</v>
          </cell>
          <cell r="M624">
            <v>4</v>
          </cell>
          <cell r="N624">
            <v>4</v>
          </cell>
          <cell r="O624">
            <v>4</v>
          </cell>
          <cell r="P624">
            <v>4</v>
          </cell>
          <cell r="Q624">
            <v>4</v>
          </cell>
          <cell r="R624">
            <v>0</v>
          </cell>
          <cell r="X624" t="str">
            <v>Munición</v>
          </cell>
          <cell r="Z624" t="str">
            <v>Balas, Balas de cañón, Dardos de cerbatana, Flechas de descarga, Flechas de fajo, Flechas de mella, Piedras, Saetas, Saetas ligeras, Saetas pesadas</v>
          </cell>
          <cell r="AA624">
            <v>0</v>
          </cell>
          <cell r="AG624" t="str">
            <v xml:space="preserve">Desarmado, </v>
          </cell>
        </row>
        <row r="625">
          <cell r="D625" t="str">
            <v>Coraza (Avanzado)</v>
          </cell>
          <cell r="E625">
            <v>0</v>
          </cell>
          <cell r="F625">
            <v>0</v>
          </cell>
          <cell r="G625">
            <v>0</v>
          </cell>
          <cell r="H625">
            <v>0</v>
          </cell>
          <cell r="I625">
            <v>0</v>
          </cell>
          <cell r="J625" t="str">
            <v>Completa</v>
          </cell>
          <cell r="K625" t="str">
            <v>Natural</v>
          </cell>
          <cell r="L625">
            <v>6</v>
          </cell>
          <cell r="M625">
            <v>6</v>
          </cell>
          <cell r="N625">
            <v>6</v>
          </cell>
          <cell r="O625">
            <v>6</v>
          </cell>
          <cell r="P625">
            <v>6</v>
          </cell>
          <cell r="Q625">
            <v>6</v>
          </cell>
          <cell r="R625">
            <v>0</v>
          </cell>
        </row>
        <row r="626">
          <cell r="D626" t="str">
            <v>Coraza (Arcano)</v>
          </cell>
          <cell r="E626">
            <v>0</v>
          </cell>
          <cell r="F626">
            <v>0</v>
          </cell>
          <cell r="G626">
            <v>0</v>
          </cell>
          <cell r="H626">
            <v>0</v>
          </cell>
          <cell r="I626">
            <v>0</v>
          </cell>
          <cell r="J626" t="str">
            <v>Completa</v>
          </cell>
          <cell r="K626" t="str">
            <v>Natural</v>
          </cell>
          <cell r="L626">
            <v>8</v>
          </cell>
          <cell r="M626">
            <v>8</v>
          </cell>
          <cell r="N626">
            <v>8</v>
          </cell>
          <cell r="O626">
            <v>8</v>
          </cell>
          <cell r="P626">
            <v>8</v>
          </cell>
          <cell r="Q626">
            <v>8</v>
          </cell>
          <cell r="R626">
            <v>0</v>
          </cell>
        </row>
        <row r="627">
          <cell r="D627" t="str">
            <v>Cuerpo Sólido (B)</v>
          </cell>
          <cell r="E627">
            <v>0</v>
          </cell>
          <cell r="F627">
            <v>0</v>
          </cell>
          <cell r="G627">
            <v>0</v>
          </cell>
          <cell r="H627">
            <v>0</v>
          </cell>
          <cell r="I627">
            <v>0</v>
          </cell>
          <cell r="J627" t="str">
            <v>Completa</v>
          </cell>
          <cell r="K627" t="str">
            <v>Natural</v>
          </cell>
          <cell r="L627">
            <v>6</v>
          </cell>
          <cell r="M627">
            <v>6</v>
          </cell>
          <cell r="N627">
            <v>6</v>
          </cell>
          <cell r="O627">
            <v>6</v>
          </cell>
          <cell r="P627">
            <v>6</v>
          </cell>
          <cell r="Q627">
            <v>6</v>
          </cell>
          <cell r="R627">
            <v>0</v>
          </cell>
        </row>
        <row r="628">
          <cell r="D628" t="str">
            <v>Cuerpo Sólido (I)</v>
          </cell>
          <cell r="E628">
            <v>0</v>
          </cell>
          <cell r="F628">
            <v>0</v>
          </cell>
          <cell r="G628">
            <v>0</v>
          </cell>
          <cell r="H628">
            <v>0</v>
          </cell>
          <cell r="I628">
            <v>0</v>
          </cell>
          <cell r="J628" t="str">
            <v>Completa</v>
          </cell>
          <cell r="K628" t="str">
            <v>Natural</v>
          </cell>
          <cell r="L628">
            <v>8</v>
          </cell>
          <cell r="M628">
            <v>8</v>
          </cell>
          <cell r="N628">
            <v>8</v>
          </cell>
          <cell r="O628">
            <v>8</v>
          </cell>
          <cell r="P628">
            <v>8</v>
          </cell>
          <cell r="Q628">
            <v>8</v>
          </cell>
          <cell r="R628">
            <v>0</v>
          </cell>
        </row>
        <row r="629">
          <cell r="D629" t="str">
            <v>Cuerpo Sólido (Av)</v>
          </cell>
          <cell r="E629">
            <v>0</v>
          </cell>
          <cell r="F629">
            <v>0</v>
          </cell>
          <cell r="G629">
            <v>0</v>
          </cell>
          <cell r="H629">
            <v>0</v>
          </cell>
          <cell r="I629">
            <v>0</v>
          </cell>
          <cell r="J629" t="str">
            <v>Completa</v>
          </cell>
          <cell r="K629" t="str">
            <v>Natural</v>
          </cell>
          <cell r="L629">
            <v>10</v>
          </cell>
          <cell r="M629">
            <v>10</v>
          </cell>
          <cell r="N629">
            <v>10</v>
          </cell>
          <cell r="O629">
            <v>10</v>
          </cell>
          <cell r="P629">
            <v>10</v>
          </cell>
          <cell r="Q629">
            <v>10</v>
          </cell>
          <cell r="R629">
            <v>0</v>
          </cell>
          <cell r="V629" t="str">
            <v>&gt; YELMOS</v>
          </cell>
          <cell r="W629">
            <v>0</v>
          </cell>
          <cell r="X629">
            <v>0</v>
          </cell>
          <cell r="Y629">
            <v>0</v>
          </cell>
          <cell r="Z629">
            <v>0</v>
          </cell>
          <cell r="AA629" t="str">
            <v>-</v>
          </cell>
          <cell r="AB629" t="str">
            <v>-</v>
          </cell>
          <cell r="AC629">
            <v>0</v>
          </cell>
          <cell r="AD629">
            <v>0</v>
          </cell>
          <cell r="AE629">
            <v>0</v>
          </cell>
          <cell r="AF629">
            <v>0</v>
          </cell>
          <cell r="AG629">
            <v>0</v>
          </cell>
          <cell r="AH629">
            <v>0</v>
          </cell>
          <cell r="AI629">
            <v>0</v>
          </cell>
        </row>
        <row r="630">
          <cell r="D630" t="str">
            <v>Cuerpo Sólido (Ar)</v>
          </cell>
          <cell r="E630">
            <v>0</v>
          </cell>
          <cell r="F630">
            <v>0</v>
          </cell>
          <cell r="G630">
            <v>0</v>
          </cell>
          <cell r="H630">
            <v>0</v>
          </cell>
          <cell r="I630">
            <v>0</v>
          </cell>
          <cell r="J630" t="str">
            <v>Completa</v>
          </cell>
          <cell r="K630" t="str">
            <v>Natural</v>
          </cell>
          <cell r="L630">
            <v>12</v>
          </cell>
          <cell r="M630">
            <v>12</v>
          </cell>
          <cell r="N630">
            <v>12</v>
          </cell>
          <cell r="O630">
            <v>12</v>
          </cell>
          <cell r="P630">
            <v>12</v>
          </cell>
          <cell r="Q630">
            <v>12</v>
          </cell>
          <cell r="R630">
            <v>0</v>
          </cell>
          <cell r="V630" t="str">
            <v>Armadura #1</v>
          </cell>
          <cell r="W630">
            <v>0</v>
          </cell>
          <cell r="X630">
            <v>0</v>
          </cell>
          <cell r="Y630">
            <v>0</v>
          </cell>
          <cell r="Z630">
            <v>0</v>
          </cell>
          <cell r="AA630">
            <v>0</v>
          </cell>
          <cell r="AB630">
            <v>0</v>
          </cell>
          <cell r="AC630">
            <v>0</v>
          </cell>
          <cell r="AD630">
            <v>0</v>
          </cell>
          <cell r="AE630">
            <v>0</v>
          </cell>
          <cell r="AF630">
            <v>0</v>
          </cell>
          <cell r="AG630">
            <v>0</v>
          </cell>
          <cell r="AH630">
            <v>0</v>
          </cell>
          <cell r="AI630">
            <v>0</v>
          </cell>
        </row>
        <row r="631">
          <cell r="D631" t="str">
            <v>Protección Mágica (B)</v>
          </cell>
          <cell r="E631">
            <v>0</v>
          </cell>
          <cell r="F631">
            <v>0</v>
          </cell>
          <cell r="G631">
            <v>0</v>
          </cell>
          <cell r="H631">
            <v>0</v>
          </cell>
          <cell r="I631">
            <v>0</v>
          </cell>
          <cell r="J631" t="str">
            <v>Completa</v>
          </cell>
          <cell r="K631" t="str">
            <v>Natural</v>
          </cell>
          <cell r="L631">
            <v>2</v>
          </cell>
          <cell r="M631">
            <v>2</v>
          </cell>
          <cell r="N631">
            <v>2</v>
          </cell>
          <cell r="O631">
            <v>2</v>
          </cell>
          <cell r="P631">
            <v>2</v>
          </cell>
          <cell r="Q631">
            <v>2</v>
          </cell>
          <cell r="R631">
            <v>0</v>
          </cell>
          <cell r="V631" t="str">
            <v>Armadura #2</v>
          </cell>
          <cell r="W631">
            <v>0</v>
          </cell>
          <cell r="X631">
            <v>0</v>
          </cell>
          <cell r="Y631">
            <v>0</v>
          </cell>
          <cell r="Z631">
            <v>0</v>
          </cell>
          <cell r="AA631">
            <v>0</v>
          </cell>
          <cell r="AB631">
            <v>0</v>
          </cell>
          <cell r="AC631">
            <v>0</v>
          </cell>
          <cell r="AD631">
            <v>0</v>
          </cell>
          <cell r="AE631">
            <v>0</v>
          </cell>
          <cell r="AF631">
            <v>0</v>
          </cell>
          <cell r="AG631">
            <v>0</v>
          </cell>
          <cell r="AH631">
            <v>0</v>
          </cell>
          <cell r="AI631">
            <v>0</v>
          </cell>
        </row>
        <row r="632">
          <cell r="D632" t="str">
            <v>Protección Mágica (I)</v>
          </cell>
          <cell r="E632">
            <v>0</v>
          </cell>
          <cell r="F632">
            <v>0</v>
          </cell>
          <cell r="G632">
            <v>0</v>
          </cell>
          <cell r="H632">
            <v>0</v>
          </cell>
          <cell r="I632">
            <v>0</v>
          </cell>
          <cell r="J632" t="str">
            <v>Completa</v>
          </cell>
          <cell r="K632" t="str">
            <v>Natural</v>
          </cell>
          <cell r="L632">
            <v>4</v>
          </cell>
          <cell r="M632">
            <v>4</v>
          </cell>
          <cell r="N632">
            <v>4</v>
          </cell>
          <cell r="O632">
            <v>4</v>
          </cell>
          <cell r="P632">
            <v>4</v>
          </cell>
          <cell r="Q632">
            <v>4</v>
          </cell>
          <cell r="R632">
            <v>0</v>
          </cell>
          <cell r="V632" t="str">
            <v>Anilla</v>
          </cell>
          <cell r="W632">
            <v>0</v>
          </cell>
          <cell r="X632">
            <v>0</v>
          </cell>
          <cell r="Y632">
            <v>8</v>
          </cell>
          <cell r="Z632">
            <v>15</v>
          </cell>
          <cell r="AA632" t="str">
            <v>Cabeza</v>
          </cell>
          <cell r="AB632" t="str">
            <v>Dura</v>
          </cell>
          <cell r="AC632">
            <v>2</v>
          </cell>
          <cell r="AD632">
            <v>2</v>
          </cell>
          <cell r="AE632">
            <v>1</v>
          </cell>
          <cell r="AF632">
            <v>1</v>
          </cell>
          <cell r="AG632">
            <v>1</v>
          </cell>
          <cell r="AH632">
            <v>1</v>
          </cell>
          <cell r="AI632">
            <v>0</v>
          </cell>
        </row>
        <row r="633">
          <cell r="D633" t="str">
            <v>Protección Mágica (Av)</v>
          </cell>
          <cell r="E633">
            <v>0</v>
          </cell>
          <cell r="F633">
            <v>0</v>
          </cell>
          <cell r="G633">
            <v>0</v>
          </cell>
          <cell r="H633">
            <v>0</v>
          </cell>
          <cell r="I633">
            <v>0</v>
          </cell>
          <cell r="J633" t="str">
            <v>Completa</v>
          </cell>
          <cell r="K633" t="str">
            <v>Natural</v>
          </cell>
          <cell r="L633">
            <v>6</v>
          </cell>
          <cell r="M633">
            <v>6</v>
          </cell>
          <cell r="N633">
            <v>6</v>
          </cell>
          <cell r="O633">
            <v>6</v>
          </cell>
          <cell r="P633">
            <v>6</v>
          </cell>
          <cell r="Q633">
            <v>6</v>
          </cell>
          <cell r="R633">
            <v>0</v>
          </cell>
          <cell r="V633" t="str">
            <v>Capucha Cuero</v>
          </cell>
          <cell r="W633">
            <v>0</v>
          </cell>
          <cell r="X633">
            <v>0</v>
          </cell>
          <cell r="Y633">
            <v>10</v>
          </cell>
          <cell r="Z633">
            <v>15</v>
          </cell>
          <cell r="AA633" t="str">
            <v>Cabeza</v>
          </cell>
          <cell r="AB633" t="str">
            <v>Blanda</v>
          </cell>
          <cell r="AC633">
            <v>1</v>
          </cell>
          <cell r="AD633">
            <v>0</v>
          </cell>
          <cell r="AE633">
            <v>2</v>
          </cell>
          <cell r="AF633">
            <v>1</v>
          </cell>
          <cell r="AG633">
            <v>3</v>
          </cell>
          <cell r="AH633">
            <v>1</v>
          </cell>
          <cell r="AI633">
            <v>0</v>
          </cell>
        </row>
        <row r="634">
          <cell r="D634" t="str">
            <v>Protección Mágica (Ar)</v>
          </cell>
          <cell r="E634">
            <v>0</v>
          </cell>
          <cell r="F634">
            <v>0</v>
          </cell>
          <cell r="G634">
            <v>0</v>
          </cell>
          <cell r="H634">
            <v>0</v>
          </cell>
          <cell r="I634">
            <v>0</v>
          </cell>
          <cell r="J634" t="str">
            <v>Completa</v>
          </cell>
          <cell r="K634" t="str">
            <v>Natural</v>
          </cell>
          <cell r="L634">
            <v>8</v>
          </cell>
          <cell r="M634">
            <v>8</v>
          </cell>
          <cell r="N634">
            <v>8</v>
          </cell>
          <cell r="O634">
            <v>8</v>
          </cell>
          <cell r="P634">
            <v>8</v>
          </cell>
          <cell r="Q634">
            <v>8</v>
          </cell>
          <cell r="R634">
            <v>0</v>
          </cell>
          <cell r="V634" t="str">
            <v>Capucha de Malla</v>
          </cell>
          <cell r="W634">
            <v>0</v>
          </cell>
          <cell r="X634">
            <v>-10</v>
          </cell>
          <cell r="Y634">
            <v>13</v>
          </cell>
          <cell r="Z634">
            <v>20</v>
          </cell>
          <cell r="AA634" t="str">
            <v>Cabeza</v>
          </cell>
          <cell r="AB634" t="str">
            <v>Blanda</v>
          </cell>
          <cell r="AC634">
            <v>4</v>
          </cell>
          <cell r="AD634">
            <v>2</v>
          </cell>
          <cell r="AE634">
            <v>1</v>
          </cell>
          <cell r="AF634">
            <v>2</v>
          </cell>
          <cell r="AG634">
            <v>0</v>
          </cell>
          <cell r="AH634">
            <v>1</v>
          </cell>
          <cell r="AI634">
            <v>0</v>
          </cell>
        </row>
        <row r="635">
          <cell r="D635" t="str">
            <v>Guardarropa (Arcano)</v>
          </cell>
          <cell r="E635">
            <v>0</v>
          </cell>
          <cell r="F635">
            <v>0</v>
          </cell>
          <cell r="G635">
            <v>0</v>
          </cell>
          <cell r="H635">
            <v>0</v>
          </cell>
          <cell r="I635">
            <v>0</v>
          </cell>
          <cell r="J635" t="str">
            <v>Completa</v>
          </cell>
          <cell r="K635" t="str">
            <v>Blanda</v>
          </cell>
          <cell r="L635">
            <v>4</v>
          </cell>
          <cell r="M635">
            <v>4</v>
          </cell>
          <cell r="N635">
            <v>4</v>
          </cell>
          <cell r="O635">
            <v>4</v>
          </cell>
          <cell r="P635">
            <v>4</v>
          </cell>
          <cell r="Q635">
            <v>4</v>
          </cell>
          <cell r="R635">
            <v>4</v>
          </cell>
          <cell r="V635" t="str">
            <v>Coronilla</v>
          </cell>
          <cell r="W635">
            <v>0</v>
          </cell>
          <cell r="X635">
            <v>0</v>
          </cell>
          <cell r="Y635">
            <v>12</v>
          </cell>
          <cell r="Z635">
            <v>15</v>
          </cell>
          <cell r="AA635" t="str">
            <v>Cabeza</v>
          </cell>
          <cell r="AB635" t="str">
            <v>Dura</v>
          </cell>
          <cell r="AC635">
            <v>4</v>
          </cell>
          <cell r="AD635">
            <v>4</v>
          </cell>
          <cell r="AE635">
            <v>3</v>
          </cell>
          <cell r="AF635">
            <v>2</v>
          </cell>
          <cell r="AG635">
            <v>0</v>
          </cell>
          <cell r="AH635">
            <v>3</v>
          </cell>
          <cell r="AI635">
            <v>0</v>
          </cell>
        </row>
        <row r="636">
          <cell r="D636" t="str">
            <v>Aura de Vacío (B)</v>
          </cell>
          <cell r="E636">
            <v>0</v>
          </cell>
          <cell r="F636">
            <v>0</v>
          </cell>
          <cell r="G636">
            <v>0</v>
          </cell>
          <cell r="H636">
            <v>0</v>
          </cell>
          <cell r="I636">
            <v>0</v>
          </cell>
          <cell r="J636" t="str">
            <v>Completa</v>
          </cell>
          <cell r="K636" t="str">
            <v>Natural</v>
          </cell>
          <cell r="L636">
            <v>0</v>
          </cell>
          <cell r="M636">
            <v>0</v>
          </cell>
          <cell r="N636">
            <v>0</v>
          </cell>
          <cell r="O636">
            <v>0</v>
          </cell>
          <cell r="P636">
            <v>0</v>
          </cell>
          <cell r="Q636">
            <v>0</v>
          </cell>
          <cell r="R636">
            <v>4</v>
          </cell>
          <cell r="V636" t="str">
            <v>Frentón</v>
          </cell>
          <cell r="W636">
            <v>0</v>
          </cell>
          <cell r="X636">
            <v>0</v>
          </cell>
          <cell r="Y636">
            <v>12</v>
          </cell>
          <cell r="Z636">
            <v>15</v>
          </cell>
          <cell r="AA636" t="str">
            <v>Cabeza</v>
          </cell>
          <cell r="AB636" t="str">
            <v>Dura</v>
          </cell>
          <cell r="AC636">
            <v>3</v>
          </cell>
          <cell r="AD636">
            <v>3</v>
          </cell>
          <cell r="AE636">
            <v>3</v>
          </cell>
          <cell r="AF636">
            <v>1</v>
          </cell>
          <cell r="AG636">
            <v>1</v>
          </cell>
          <cell r="AH636">
            <v>2</v>
          </cell>
          <cell r="AI636">
            <v>0</v>
          </cell>
        </row>
        <row r="637">
          <cell r="D637" t="str">
            <v>Aura de Vacío (I)</v>
          </cell>
          <cell r="E637">
            <v>0</v>
          </cell>
          <cell r="F637">
            <v>0</v>
          </cell>
          <cell r="G637">
            <v>0</v>
          </cell>
          <cell r="H637">
            <v>0</v>
          </cell>
          <cell r="I637">
            <v>0</v>
          </cell>
          <cell r="J637" t="str">
            <v>Completa</v>
          </cell>
          <cell r="K637" t="str">
            <v>Natural</v>
          </cell>
          <cell r="L637">
            <v>0</v>
          </cell>
          <cell r="M637">
            <v>0</v>
          </cell>
          <cell r="N637">
            <v>0</v>
          </cell>
          <cell r="O637">
            <v>0</v>
          </cell>
          <cell r="P637">
            <v>0</v>
          </cell>
          <cell r="Q637">
            <v>0</v>
          </cell>
          <cell r="R637">
            <v>6</v>
          </cell>
          <cell r="V637" t="str">
            <v>Yelmo Abierto</v>
          </cell>
          <cell r="W637">
            <v>5</v>
          </cell>
          <cell r="X637">
            <v>-20</v>
          </cell>
          <cell r="Y637">
            <v>16</v>
          </cell>
          <cell r="Z637">
            <v>25</v>
          </cell>
          <cell r="AA637" t="str">
            <v>Cabeza</v>
          </cell>
          <cell r="AB637" t="str">
            <v>Dura</v>
          </cell>
          <cell r="AC637">
            <v>5</v>
          </cell>
          <cell r="AD637">
            <v>4</v>
          </cell>
          <cell r="AE637">
            <v>5</v>
          </cell>
          <cell r="AF637">
            <v>3</v>
          </cell>
          <cell r="AG637">
            <v>0</v>
          </cell>
          <cell r="AH637">
            <v>3</v>
          </cell>
          <cell r="AI637">
            <v>1</v>
          </cell>
        </row>
        <row r="638">
          <cell r="D638" t="str">
            <v>Aura de Vacío (Av)</v>
          </cell>
          <cell r="E638">
            <v>0</v>
          </cell>
          <cell r="F638">
            <v>0</v>
          </cell>
          <cell r="G638">
            <v>0</v>
          </cell>
          <cell r="H638">
            <v>0</v>
          </cell>
          <cell r="I638">
            <v>0</v>
          </cell>
          <cell r="J638" t="str">
            <v>Completa</v>
          </cell>
          <cell r="K638" t="str">
            <v>Natural</v>
          </cell>
          <cell r="L638">
            <v>0</v>
          </cell>
          <cell r="M638">
            <v>0</v>
          </cell>
          <cell r="N638">
            <v>0</v>
          </cell>
          <cell r="O638">
            <v>0</v>
          </cell>
          <cell r="P638">
            <v>0</v>
          </cell>
          <cell r="Q638">
            <v>0</v>
          </cell>
          <cell r="R638">
            <v>8</v>
          </cell>
          <cell r="V638" t="str">
            <v>Yelmo Cerrado</v>
          </cell>
          <cell r="W638">
            <v>10</v>
          </cell>
          <cell r="X638">
            <v>-30</v>
          </cell>
          <cell r="Y638">
            <v>16</v>
          </cell>
          <cell r="Z638">
            <v>25</v>
          </cell>
          <cell r="AA638" t="str">
            <v>Cabeza</v>
          </cell>
          <cell r="AB638" t="str">
            <v>Dura</v>
          </cell>
          <cell r="AC638">
            <v>5</v>
          </cell>
          <cell r="AD638">
            <v>5</v>
          </cell>
          <cell r="AE638">
            <v>5</v>
          </cell>
          <cell r="AF638">
            <v>4</v>
          </cell>
          <cell r="AG638">
            <v>0</v>
          </cell>
          <cell r="AH638">
            <v>4</v>
          </cell>
          <cell r="AI638">
            <v>2</v>
          </cell>
        </row>
        <row r="639">
          <cell r="D639" t="str">
            <v>Aura de Vacío (Ar)</v>
          </cell>
          <cell r="E639">
            <v>0</v>
          </cell>
          <cell r="F639">
            <v>0</v>
          </cell>
          <cell r="G639">
            <v>0</v>
          </cell>
          <cell r="H639">
            <v>0</v>
          </cell>
          <cell r="I639">
            <v>0</v>
          </cell>
          <cell r="J639" t="str">
            <v>Completa</v>
          </cell>
          <cell r="K639" t="str">
            <v>Natural</v>
          </cell>
          <cell r="L639">
            <v>0</v>
          </cell>
          <cell r="M639">
            <v>0</v>
          </cell>
          <cell r="N639">
            <v>0</v>
          </cell>
          <cell r="O639">
            <v>0</v>
          </cell>
          <cell r="P639">
            <v>0</v>
          </cell>
          <cell r="Q639">
            <v>0</v>
          </cell>
          <cell r="R639">
            <v>10</v>
          </cell>
        </row>
        <row r="640">
          <cell r="D640" t="str">
            <v>&gt; ARM. PERSONALIZADA</v>
          </cell>
          <cell r="E640">
            <v>0</v>
          </cell>
          <cell r="F640">
            <v>0</v>
          </cell>
          <cell r="G640">
            <v>0</v>
          </cell>
          <cell r="H640">
            <v>0</v>
          </cell>
          <cell r="I640">
            <v>0</v>
          </cell>
          <cell r="J640" t="str">
            <v>-</v>
          </cell>
          <cell r="K640" t="str">
            <v>-</v>
          </cell>
          <cell r="L640">
            <v>0</v>
          </cell>
          <cell r="M640">
            <v>0</v>
          </cell>
          <cell r="N640">
            <v>0</v>
          </cell>
          <cell r="O640">
            <v>0</v>
          </cell>
          <cell r="P640">
            <v>0</v>
          </cell>
          <cell r="Q640">
            <v>0</v>
          </cell>
          <cell r="R640">
            <v>0</v>
          </cell>
        </row>
        <row r="641">
          <cell r="D641" t="str">
            <v>Armadura #1</v>
          </cell>
          <cell r="E641">
            <v>0</v>
          </cell>
          <cell r="F641">
            <v>0</v>
          </cell>
          <cell r="G641">
            <v>0</v>
          </cell>
          <cell r="H641">
            <v>0</v>
          </cell>
          <cell r="I641">
            <v>0</v>
          </cell>
          <cell r="J641" t="str">
            <v>-</v>
          </cell>
          <cell r="K641" t="str">
            <v>-</v>
          </cell>
          <cell r="L641">
            <v>0</v>
          </cell>
          <cell r="M641">
            <v>0</v>
          </cell>
          <cell r="N641">
            <v>0</v>
          </cell>
          <cell r="O641">
            <v>0</v>
          </cell>
          <cell r="P641">
            <v>0</v>
          </cell>
          <cell r="Q641">
            <v>0</v>
          </cell>
          <cell r="R641">
            <v>0</v>
          </cell>
        </row>
        <row r="642">
          <cell r="D642" t="str">
            <v>Armadura #2</v>
          </cell>
          <cell r="E642">
            <v>0</v>
          </cell>
          <cell r="F642">
            <v>0</v>
          </cell>
          <cell r="G642">
            <v>0</v>
          </cell>
          <cell r="H642">
            <v>0</v>
          </cell>
          <cell r="I642">
            <v>0</v>
          </cell>
          <cell r="J642" t="str">
            <v>-</v>
          </cell>
          <cell r="K642" t="str">
            <v>-</v>
          </cell>
          <cell r="L642">
            <v>0</v>
          </cell>
          <cell r="M642">
            <v>0</v>
          </cell>
          <cell r="N642">
            <v>0</v>
          </cell>
          <cell r="O642">
            <v>0</v>
          </cell>
          <cell r="P642">
            <v>0</v>
          </cell>
          <cell r="Q642">
            <v>0</v>
          </cell>
          <cell r="R642">
            <v>0</v>
          </cell>
        </row>
        <row r="647">
          <cell r="Z647" t="str">
            <v>-/-</v>
          </cell>
        </row>
        <row r="648">
          <cell r="D648" t="str">
            <v>Desarmado</v>
          </cell>
          <cell r="K648" t="str">
            <v>Natural/-</v>
          </cell>
          <cell r="L648" t="str">
            <v>Conocida</v>
          </cell>
          <cell r="X648" t="str">
            <v>Pequeña</v>
          </cell>
          <cell r="Y648">
            <v>0</v>
          </cell>
        </row>
        <row r="649">
          <cell r="D649" t="str">
            <v>Armas naturales</v>
          </cell>
          <cell r="E649">
            <v>0</v>
          </cell>
          <cell r="F649">
            <v>20</v>
          </cell>
          <cell r="G649">
            <v>0</v>
          </cell>
          <cell r="H649">
            <v>0</v>
          </cell>
          <cell r="I649" t="str">
            <v>-</v>
          </cell>
          <cell r="J649" t="str">
            <v>-</v>
          </cell>
          <cell r="K649" t="str">
            <v>Natural/-</v>
          </cell>
          <cell r="L649" t="str">
            <v>Distinta</v>
          </cell>
          <cell r="M649">
            <v>4</v>
          </cell>
          <cell r="N649">
            <v>-4</v>
          </cell>
          <cell r="S649" t="str">
            <v>-</v>
          </cell>
          <cell r="T649">
            <v>0</v>
          </cell>
          <cell r="U649">
            <v>0</v>
          </cell>
          <cell r="V649" t="str">
            <v>Armas naturales no disponibles</v>
          </cell>
          <cell r="X649" t="str">
            <v>Mediana</v>
          </cell>
          <cell r="Y649">
            <v>0</v>
          </cell>
          <cell r="AB649" t="str">
            <v>Tablas!$AB$650:$AB$767</v>
          </cell>
          <cell r="AC649" t="str">
            <v>Tablas!$AC$650:$AC$703</v>
          </cell>
          <cell r="AD649" t="str">
            <v>Tablas!$AD$653:$AD$666</v>
          </cell>
          <cell r="AE649" t="str">
            <v>Tablas!$AE$653:$AE$670</v>
          </cell>
        </row>
        <row r="650">
          <cell r="D650" t="str">
            <v>Arma #1</v>
          </cell>
          <cell r="E650">
            <v>0</v>
          </cell>
          <cell r="F650">
            <v>0</v>
          </cell>
          <cell r="G650">
            <v>0</v>
          </cell>
          <cell r="H650">
            <v>0</v>
          </cell>
          <cell r="I650" t="str">
            <v>-</v>
          </cell>
          <cell r="J650" t="str">
            <v>-</v>
          </cell>
          <cell r="K650" t="str">
            <v>-/-</v>
          </cell>
          <cell r="L650" t="str">
            <v>Distinta</v>
          </cell>
          <cell r="M650">
            <v>0</v>
          </cell>
          <cell r="N650">
            <v>0</v>
          </cell>
          <cell r="O650">
            <v>0</v>
          </cell>
          <cell r="P650">
            <v>0</v>
          </cell>
          <cell r="Q650">
            <v>0</v>
          </cell>
          <cell r="R650" t="str">
            <v>-</v>
          </cell>
          <cell r="S650">
            <v>0</v>
          </cell>
          <cell r="T650">
            <v>0</v>
          </cell>
          <cell r="U650" t="str">
            <v/>
          </cell>
          <cell r="V650" t="str">
            <v/>
          </cell>
          <cell r="X650" t="str">
            <v>Mediana</v>
          </cell>
          <cell r="Y650">
            <v>0</v>
          </cell>
        </row>
        <row r="651">
          <cell r="D651" t="str">
            <v>Arma #2</v>
          </cell>
          <cell r="E651">
            <v>0</v>
          </cell>
          <cell r="F651">
            <v>0</v>
          </cell>
          <cell r="G651">
            <v>0</v>
          </cell>
          <cell r="H651">
            <v>0</v>
          </cell>
          <cell r="I651" t="str">
            <v>FIL</v>
          </cell>
          <cell r="J651" t="str">
            <v>-</v>
          </cell>
          <cell r="K651" t="str">
            <v>-/-</v>
          </cell>
          <cell r="L651" t="str">
            <v>Distinta</v>
          </cell>
          <cell r="M651">
            <v>0</v>
          </cell>
          <cell r="N651">
            <v>0</v>
          </cell>
          <cell r="O651">
            <v>0</v>
          </cell>
          <cell r="P651">
            <v>0</v>
          </cell>
          <cell r="Q651">
            <v>0</v>
          </cell>
          <cell r="R651" t="str">
            <v>-</v>
          </cell>
          <cell r="S651">
            <v>0</v>
          </cell>
          <cell r="T651">
            <v>0</v>
          </cell>
          <cell r="U651" t="str">
            <v/>
          </cell>
          <cell r="V651" t="str">
            <v/>
          </cell>
          <cell r="X651" t="str">
            <v>Mediana</v>
          </cell>
          <cell r="Y651">
            <v>0</v>
          </cell>
        </row>
        <row r="652">
          <cell r="D652" t="str">
            <v>Arma #3</v>
          </cell>
          <cell r="E652">
            <v>0</v>
          </cell>
          <cell r="F652">
            <v>0</v>
          </cell>
          <cell r="G652">
            <v>0</v>
          </cell>
          <cell r="H652">
            <v>0</v>
          </cell>
          <cell r="I652" t="str">
            <v>-</v>
          </cell>
          <cell r="J652" t="str">
            <v>-</v>
          </cell>
          <cell r="K652" t="str">
            <v>-/-</v>
          </cell>
          <cell r="L652" t="str">
            <v>Distinta</v>
          </cell>
          <cell r="M652">
            <v>0</v>
          </cell>
          <cell r="N652">
            <v>0</v>
          </cell>
          <cell r="O652">
            <v>0</v>
          </cell>
          <cell r="P652">
            <v>0</v>
          </cell>
          <cell r="Q652">
            <v>0</v>
          </cell>
          <cell r="R652" t="str">
            <v>-</v>
          </cell>
          <cell r="S652">
            <v>0</v>
          </cell>
          <cell r="T652">
            <v>0</v>
          </cell>
          <cell r="U652" t="str">
            <v/>
          </cell>
          <cell r="V652" t="str">
            <v/>
          </cell>
          <cell r="X652" t="str">
            <v>Mediana</v>
          </cell>
          <cell r="Y652">
            <v>0</v>
          </cell>
        </row>
        <row r="653">
          <cell r="D653" t="str">
            <v>&gt; ARMAS COMUNES</v>
          </cell>
          <cell r="K653" t="str">
            <v>/</v>
          </cell>
          <cell r="X653" t="str">
            <v/>
          </cell>
        </row>
        <row r="654">
          <cell r="D654" t="str">
            <v>Alabarda</v>
          </cell>
          <cell r="E654">
            <v>60</v>
          </cell>
          <cell r="F654">
            <v>-15</v>
          </cell>
          <cell r="G654">
            <v>11</v>
          </cell>
          <cell r="H654">
            <v>6</v>
          </cell>
          <cell r="I654" t="str">
            <v>FIL</v>
          </cell>
          <cell r="J654" t="str">
            <v>CON</v>
          </cell>
          <cell r="K654" t="str">
            <v>Asta/Mandoble</v>
          </cell>
          <cell r="L654" t="str">
            <v>Distinta</v>
          </cell>
          <cell r="M654">
            <v>15</v>
          </cell>
          <cell r="N654">
            <v>4</v>
          </cell>
          <cell r="O654">
            <v>20</v>
          </cell>
          <cell r="R654" t="str">
            <v>-</v>
          </cell>
          <cell r="S654" t="str">
            <v>-</v>
          </cell>
          <cell r="T654" t="str">
            <v>-</v>
          </cell>
          <cell r="V654" t="str">
            <v>A 1 o 2 manos</v>
          </cell>
          <cell r="X654" t="str">
            <v>Grande</v>
          </cell>
          <cell r="Y654">
            <v>0</v>
          </cell>
        </row>
        <row r="655">
          <cell r="D655" t="str">
            <v>Arpón</v>
          </cell>
          <cell r="E655">
            <v>35</v>
          </cell>
          <cell r="F655">
            <v>-5</v>
          </cell>
          <cell r="G655">
            <v>5</v>
          </cell>
          <cell r="H655">
            <v>5</v>
          </cell>
          <cell r="I655" t="str">
            <v>PEN</v>
          </cell>
          <cell r="J655" t="str">
            <v>-</v>
          </cell>
          <cell r="K655" t="str">
            <v>Asta/-</v>
          </cell>
          <cell r="L655" t="str">
            <v>Distinta</v>
          </cell>
          <cell r="M655">
            <v>11</v>
          </cell>
          <cell r="N655">
            <v>0</v>
          </cell>
          <cell r="O655">
            <v>15</v>
          </cell>
          <cell r="R655">
            <v>100</v>
          </cell>
          <cell r="S655" t="str">
            <v>-</v>
          </cell>
          <cell r="T655">
            <v>20</v>
          </cell>
          <cell r="V655" t="str">
            <v>A 1 o 2 manos, Lanzable (100/XXXm)</v>
          </cell>
          <cell r="X655" t="str">
            <v>Grande</v>
          </cell>
          <cell r="Y655">
            <v>0</v>
          </cell>
        </row>
        <row r="656">
          <cell r="D656" t="str">
            <v>Bastón de Combate</v>
          </cell>
          <cell r="E656">
            <v>25</v>
          </cell>
          <cell r="F656">
            <v>15</v>
          </cell>
          <cell r="G656">
            <v>5</v>
          </cell>
          <cell r="H656">
            <v>5</v>
          </cell>
          <cell r="I656" t="str">
            <v>CON</v>
          </cell>
          <cell r="J656" t="str">
            <v>-</v>
          </cell>
          <cell r="K656" t="str">
            <v>Asta/-</v>
          </cell>
          <cell r="L656" t="str">
            <v>Distinta</v>
          </cell>
          <cell r="M656">
            <v>10</v>
          </cell>
          <cell r="N656">
            <v>-1</v>
          </cell>
          <cell r="O656">
            <v>15</v>
          </cell>
          <cell r="R656" t="str">
            <v>-</v>
          </cell>
          <cell r="S656" t="str">
            <v>-</v>
          </cell>
          <cell r="T656" t="str">
            <v>-</v>
          </cell>
          <cell r="V656" t="str">
            <v>-</v>
          </cell>
          <cell r="X656" t="str">
            <v>Grande</v>
          </cell>
          <cell r="Y656">
            <v>0</v>
          </cell>
        </row>
        <row r="657">
          <cell r="D657" t="str">
            <v>Bec de Corbin</v>
          </cell>
          <cell r="E657">
            <v>50</v>
          </cell>
          <cell r="F657">
            <v>-10</v>
          </cell>
          <cell r="G657" t="str">
            <v>-</v>
          </cell>
          <cell r="H657">
            <v>6</v>
          </cell>
          <cell r="I657" t="str">
            <v>PEN</v>
          </cell>
          <cell r="J657" t="str">
            <v xml:space="preserve">CON </v>
          </cell>
          <cell r="K657" t="str">
            <v>Asta/Maza</v>
          </cell>
          <cell r="L657" t="str">
            <v>Distinta</v>
          </cell>
          <cell r="M657">
            <v>12</v>
          </cell>
          <cell r="N657">
            <v>2</v>
          </cell>
          <cell r="O657">
            <v>20</v>
          </cell>
          <cell r="R657" t="str">
            <v>-</v>
          </cell>
          <cell r="S657" t="str">
            <v>-</v>
          </cell>
          <cell r="T657" t="str">
            <v>-</v>
          </cell>
          <cell r="V657" t="str">
            <v>A 2 manos</v>
          </cell>
          <cell r="X657" t="str">
            <v>Grande</v>
          </cell>
          <cell r="Y657">
            <v>0</v>
          </cell>
        </row>
        <row r="658">
          <cell r="D658" t="str">
            <v>Berdiche</v>
          </cell>
          <cell r="E658">
            <v>50</v>
          </cell>
          <cell r="F658">
            <v>-15</v>
          </cell>
          <cell r="G658" t="str">
            <v>-</v>
          </cell>
          <cell r="H658">
            <v>6</v>
          </cell>
          <cell r="I658" t="str">
            <v>FIL</v>
          </cell>
          <cell r="J658" t="str">
            <v>CON</v>
          </cell>
          <cell r="K658" t="str">
            <v>Asta/-</v>
          </cell>
          <cell r="L658" t="str">
            <v>Distinta</v>
          </cell>
          <cell r="M658">
            <v>12</v>
          </cell>
          <cell r="N658">
            <v>4</v>
          </cell>
          <cell r="O658">
            <v>20</v>
          </cell>
          <cell r="R658" t="str">
            <v>-</v>
          </cell>
          <cell r="S658" t="str">
            <v>-</v>
          </cell>
          <cell r="T658" t="str">
            <v>-</v>
          </cell>
          <cell r="V658" t="str">
            <v>A 2 manos</v>
          </cell>
          <cell r="X658" t="str">
            <v>Grande</v>
          </cell>
          <cell r="Y658">
            <v>0</v>
          </cell>
        </row>
        <row r="659">
          <cell r="D659" t="str">
            <v>Bolas</v>
          </cell>
          <cell r="E659">
            <v>20</v>
          </cell>
          <cell r="F659">
            <v>0</v>
          </cell>
          <cell r="G659">
            <v>5</v>
          </cell>
          <cell r="H659">
            <v>5</v>
          </cell>
          <cell r="I659" t="str">
            <v>CON</v>
          </cell>
          <cell r="J659" t="str">
            <v>-</v>
          </cell>
          <cell r="K659" t="str">
            <v>Lanzamiento/-</v>
          </cell>
          <cell r="L659" t="str">
            <v>Distinta</v>
          </cell>
          <cell r="M659">
            <v>10</v>
          </cell>
          <cell r="N659">
            <v>2</v>
          </cell>
          <cell r="O659">
            <v>15</v>
          </cell>
          <cell r="R659">
            <v>50</v>
          </cell>
          <cell r="S659" t="str">
            <v>-</v>
          </cell>
          <cell r="T659">
            <v>20</v>
          </cell>
          <cell r="V659" t="str">
            <v>Lanzable (50/20m)</v>
          </cell>
          <cell r="X659" t="str">
            <v>Mediana</v>
          </cell>
          <cell r="Y659">
            <v>0</v>
          </cell>
        </row>
        <row r="660">
          <cell r="D660" t="str">
            <v>Boleadoras</v>
          </cell>
          <cell r="E660">
            <v>30</v>
          </cell>
          <cell r="F660">
            <v>-10</v>
          </cell>
          <cell r="G660">
            <v>5</v>
          </cell>
          <cell r="H660">
            <v>5</v>
          </cell>
          <cell r="I660" t="str">
            <v>CON</v>
          </cell>
          <cell r="J660" t="str">
            <v>-</v>
          </cell>
          <cell r="K660" t="str">
            <v>Lanzamiento/-</v>
          </cell>
          <cell r="L660" t="str">
            <v>Distinta</v>
          </cell>
          <cell r="M660">
            <v>6</v>
          </cell>
          <cell r="N660">
            <v>2</v>
          </cell>
          <cell r="O660">
            <v>15</v>
          </cell>
          <cell r="R660">
            <v>80</v>
          </cell>
          <cell r="S660" t="str">
            <v>-</v>
          </cell>
          <cell r="T660">
            <v>20</v>
          </cell>
          <cell r="V660" t="str">
            <v>Presa (FUE 10), Compleja, Ver, Lanzable (80/XXXm)</v>
          </cell>
          <cell r="X660" t="str">
            <v>Mediana</v>
          </cell>
          <cell r="Y660">
            <v>0</v>
          </cell>
        </row>
        <row r="661">
          <cell r="D661" t="str">
            <v>Bracamarte</v>
          </cell>
          <cell r="E661">
            <v>60</v>
          </cell>
          <cell r="F661">
            <v>-10</v>
          </cell>
          <cell r="G661">
            <v>7</v>
          </cell>
          <cell r="H661">
            <v>7</v>
          </cell>
          <cell r="I661" t="str">
            <v>FIL</v>
          </cell>
          <cell r="J661" t="str">
            <v>-</v>
          </cell>
          <cell r="K661" t="str">
            <v>Espada/-</v>
          </cell>
          <cell r="L661" t="str">
            <v>Distinta</v>
          </cell>
          <cell r="M661">
            <v>15</v>
          </cell>
          <cell r="N661">
            <v>4</v>
          </cell>
          <cell r="O661">
            <v>20</v>
          </cell>
          <cell r="R661" t="str">
            <v>-</v>
          </cell>
          <cell r="S661" t="str">
            <v>-</v>
          </cell>
          <cell r="T661" t="str">
            <v>-</v>
          </cell>
          <cell r="V661" t="str">
            <v>-</v>
          </cell>
          <cell r="X661" t="str">
            <v>Mediana</v>
          </cell>
          <cell r="Y661">
            <v>0</v>
          </cell>
        </row>
        <row r="662">
          <cell r="D662" t="str">
            <v>Brandistock</v>
          </cell>
          <cell r="E662">
            <v>40</v>
          </cell>
          <cell r="F662">
            <v>0</v>
          </cell>
          <cell r="G662" t="str">
            <v>-</v>
          </cell>
          <cell r="H662">
            <v>6</v>
          </cell>
          <cell r="I662" t="str">
            <v>PEN</v>
          </cell>
          <cell r="J662" t="str">
            <v>CON</v>
          </cell>
          <cell r="K662" t="str">
            <v>Asta/-</v>
          </cell>
          <cell r="L662" t="str">
            <v>Distinta</v>
          </cell>
          <cell r="M662">
            <v>9</v>
          </cell>
          <cell r="N662">
            <v>3</v>
          </cell>
          <cell r="O662">
            <v>25</v>
          </cell>
          <cell r="R662" t="str">
            <v>-</v>
          </cell>
          <cell r="S662" t="str">
            <v>-</v>
          </cell>
          <cell r="T662" t="str">
            <v>-</v>
          </cell>
          <cell r="V662" t="str">
            <v>A 2 manos, Ver</v>
          </cell>
          <cell r="X662" t="str">
            <v>Grande</v>
          </cell>
          <cell r="Y662">
            <v>0</v>
          </cell>
        </row>
        <row r="663">
          <cell r="D663" t="str">
            <v>Cadena</v>
          </cell>
          <cell r="E663">
            <v>25</v>
          </cell>
          <cell r="F663">
            <v>0</v>
          </cell>
          <cell r="G663">
            <v>6</v>
          </cell>
          <cell r="H663">
            <v>6</v>
          </cell>
          <cell r="I663" t="str">
            <v>CON</v>
          </cell>
          <cell r="J663" t="str">
            <v>-</v>
          </cell>
          <cell r="K663" t="str">
            <v>Cuerda/-</v>
          </cell>
          <cell r="L663" t="str">
            <v>Distinta</v>
          </cell>
          <cell r="M663">
            <v>13</v>
          </cell>
          <cell r="N663">
            <v>2</v>
          </cell>
          <cell r="O663">
            <v>15</v>
          </cell>
          <cell r="R663" t="str">
            <v>-</v>
          </cell>
          <cell r="S663" t="str">
            <v>-</v>
          </cell>
          <cell r="T663" t="str">
            <v>-</v>
          </cell>
          <cell r="V663" t="str">
            <v>Presa (FUE 8), Compleja</v>
          </cell>
          <cell r="X663" t="str">
            <v>Mediana</v>
          </cell>
          <cell r="Y663">
            <v>0</v>
          </cell>
        </row>
        <row r="664">
          <cell r="D664" t="str">
            <v>Cestus</v>
          </cell>
          <cell r="E664">
            <v>25</v>
          </cell>
          <cell r="F664">
            <v>10</v>
          </cell>
          <cell r="G664">
            <v>3</v>
          </cell>
          <cell r="H664">
            <v>3</v>
          </cell>
          <cell r="I664" t="str">
            <v>PEN</v>
          </cell>
          <cell r="J664" t="str">
            <v>FIL</v>
          </cell>
          <cell r="K664" t="str">
            <v>Corta/-</v>
          </cell>
          <cell r="L664" t="str">
            <v>Distinta</v>
          </cell>
          <cell r="M664">
            <v>11</v>
          </cell>
          <cell r="N664">
            <v>-2</v>
          </cell>
          <cell r="O664">
            <v>15</v>
          </cell>
          <cell r="R664" t="str">
            <v>-</v>
          </cell>
          <cell r="S664" t="str">
            <v>-</v>
          </cell>
          <cell r="T664" t="str">
            <v>-</v>
          </cell>
          <cell r="V664" t="str">
            <v>-</v>
          </cell>
          <cell r="X664" t="str">
            <v>Pequeña</v>
          </cell>
          <cell r="Y664">
            <v>0</v>
          </cell>
        </row>
        <row r="665">
          <cell r="D665" t="str">
            <v>Chui</v>
          </cell>
          <cell r="E665">
            <v>40</v>
          </cell>
          <cell r="F665">
            <v>5</v>
          </cell>
          <cell r="G665">
            <v>6</v>
          </cell>
          <cell r="H665">
            <v>6</v>
          </cell>
          <cell r="I665" t="str">
            <v>CON</v>
          </cell>
          <cell r="J665" t="str">
            <v>-</v>
          </cell>
          <cell r="K665" t="str">
            <v>Maza/-</v>
          </cell>
          <cell r="L665" t="str">
            <v>Distinta</v>
          </cell>
          <cell r="M665">
            <v>13</v>
          </cell>
          <cell r="N665">
            <v>3</v>
          </cell>
          <cell r="O665">
            <v>15</v>
          </cell>
          <cell r="R665" t="str">
            <v>-</v>
          </cell>
          <cell r="S665" t="str">
            <v>-</v>
          </cell>
          <cell r="T665" t="str">
            <v>-</v>
          </cell>
          <cell r="V665" t="str">
            <v>-</v>
          </cell>
          <cell r="X665" t="str">
            <v>Mediana</v>
          </cell>
          <cell r="Y665">
            <v>0</v>
          </cell>
        </row>
        <row r="666">
          <cell r="D666" t="str">
            <v>Cimitarra</v>
          </cell>
          <cell r="E666">
            <v>50</v>
          </cell>
          <cell r="F666">
            <v>-5</v>
          </cell>
          <cell r="G666">
            <v>5</v>
          </cell>
          <cell r="H666">
            <v>5</v>
          </cell>
          <cell r="I666" t="str">
            <v>FIL</v>
          </cell>
          <cell r="J666" t="str">
            <v>-</v>
          </cell>
          <cell r="K666" t="str">
            <v>Espada/-</v>
          </cell>
          <cell r="L666" t="str">
            <v>Distinta</v>
          </cell>
          <cell r="M666">
            <v>13</v>
          </cell>
          <cell r="N666">
            <v>4</v>
          </cell>
          <cell r="O666">
            <v>20</v>
          </cell>
          <cell r="R666" t="str">
            <v>-</v>
          </cell>
          <cell r="S666" t="str">
            <v>-</v>
          </cell>
          <cell r="T666" t="str">
            <v>-</v>
          </cell>
          <cell r="V666" t="str">
            <v>-</v>
          </cell>
          <cell r="X666" t="str">
            <v>Mediana</v>
          </cell>
          <cell r="Y666">
            <v>0</v>
          </cell>
        </row>
        <row r="667">
          <cell r="D667" t="str">
            <v>Cinquedea</v>
          </cell>
          <cell r="E667">
            <v>35</v>
          </cell>
          <cell r="F667">
            <v>0</v>
          </cell>
          <cell r="G667">
            <v>4</v>
          </cell>
          <cell r="H667">
            <v>4</v>
          </cell>
          <cell r="I667" t="str">
            <v>PEN</v>
          </cell>
          <cell r="J667" t="str">
            <v>FIL</v>
          </cell>
          <cell r="K667" t="str">
            <v>Corta/-</v>
          </cell>
          <cell r="L667" t="str">
            <v>Distinta</v>
          </cell>
          <cell r="M667">
            <v>12</v>
          </cell>
          <cell r="N667">
            <v>0</v>
          </cell>
          <cell r="O667">
            <v>20</v>
          </cell>
          <cell r="R667" t="str">
            <v>-</v>
          </cell>
          <cell r="S667" t="str">
            <v>-</v>
          </cell>
          <cell r="T667" t="str">
            <v>-</v>
          </cell>
          <cell r="V667" t="str">
            <v>Precisa</v>
          </cell>
          <cell r="X667" t="str">
            <v>Pequeña</v>
          </cell>
          <cell r="Y667">
            <v>0</v>
          </cell>
        </row>
        <row r="668">
          <cell r="D668" t="str">
            <v>Claymore</v>
          </cell>
          <cell r="E668">
            <v>65</v>
          </cell>
          <cell r="F668">
            <v>-20</v>
          </cell>
          <cell r="G668" t="str">
            <v>-</v>
          </cell>
          <cell r="H668">
            <v>7</v>
          </cell>
          <cell r="I668" t="str">
            <v>FIL</v>
          </cell>
          <cell r="J668" t="str">
            <v>CON</v>
          </cell>
          <cell r="K668" t="str">
            <v>Mandoble/-</v>
          </cell>
          <cell r="L668" t="str">
            <v>Distinta</v>
          </cell>
          <cell r="M668">
            <v>16</v>
          </cell>
          <cell r="N668">
            <v>5</v>
          </cell>
          <cell r="O668">
            <v>25</v>
          </cell>
          <cell r="R668" t="str">
            <v>-</v>
          </cell>
          <cell r="S668" t="str">
            <v>-</v>
          </cell>
          <cell r="T668" t="str">
            <v>-</v>
          </cell>
          <cell r="V668" t="str">
            <v>A 2 manos</v>
          </cell>
          <cell r="X668" t="str">
            <v>Grande</v>
          </cell>
          <cell r="Y668">
            <v>0</v>
          </cell>
        </row>
        <row r="669">
          <cell r="D669" t="str">
            <v>Daga</v>
          </cell>
          <cell r="E669">
            <v>30</v>
          </cell>
          <cell r="F669">
            <v>20</v>
          </cell>
          <cell r="G669">
            <v>3</v>
          </cell>
          <cell r="H669">
            <v>3</v>
          </cell>
          <cell r="I669" t="str">
            <v>PEN</v>
          </cell>
          <cell r="J669" t="str">
            <v>FIL</v>
          </cell>
          <cell r="K669" t="str">
            <v>Corta/-</v>
          </cell>
          <cell r="L669" t="str">
            <v>Distinta</v>
          </cell>
          <cell r="M669">
            <v>10</v>
          </cell>
          <cell r="N669">
            <v>-2</v>
          </cell>
          <cell r="O669">
            <v>15</v>
          </cell>
          <cell r="R669">
            <v>50</v>
          </cell>
          <cell r="S669" t="str">
            <v>-</v>
          </cell>
          <cell r="T669">
            <v>20</v>
          </cell>
          <cell r="V669" t="str">
            <v>Lanzable (50/XXXm), Precisa</v>
          </cell>
          <cell r="X669" t="str">
            <v>Pequeña</v>
          </cell>
          <cell r="Y669">
            <v>0</v>
          </cell>
        </row>
        <row r="670">
          <cell r="D670" t="str">
            <v>Daga de parada</v>
          </cell>
          <cell r="E670">
            <v>30</v>
          </cell>
          <cell r="F670">
            <v>15</v>
          </cell>
          <cell r="G670">
            <v>3</v>
          </cell>
          <cell r="H670">
            <v>3</v>
          </cell>
          <cell r="I670" t="str">
            <v>PEN</v>
          </cell>
          <cell r="J670" t="str">
            <v>FIL</v>
          </cell>
          <cell r="K670" t="str">
            <v>Corta/-</v>
          </cell>
          <cell r="L670" t="str">
            <v>Distinta</v>
          </cell>
          <cell r="M670">
            <v>12</v>
          </cell>
          <cell r="N670">
            <v>0</v>
          </cell>
          <cell r="O670">
            <v>20</v>
          </cell>
          <cell r="R670">
            <v>50</v>
          </cell>
          <cell r="S670" t="str">
            <v>-</v>
          </cell>
          <cell r="T670">
            <v>15</v>
          </cell>
          <cell r="V670" t="str">
            <v>Lanzable (50/XXXm), Precisa, Traba</v>
          </cell>
          <cell r="X670" t="str">
            <v>Pequeña</v>
          </cell>
          <cell r="Y670">
            <v>0</v>
          </cell>
        </row>
        <row r="671">
          <cell r="D671" t="str">
            <v>Dardos de mano</v>
          </cell>
          <cell r="E671">
            <v>20</v>
          </cell>
          <cell r="F671">
            <v>20</v>
          </cell>
          <cell r="G671">
            <v>3</v>
          </cell>
          <cell r="H671">
            <v>3</v>
          </cell>
          <cell r="I671" t="str">
            <v>PEN</v>
          </cell>
          <cell r="J671" t="str">
            <v>-</v>
          </cell>
          <cell r="K671" t="str">
            <v>Lanzamiento/-</v>
          </cell>
          <cell r="L671" t="str">
            <v>Distinta</v>
          </cell>
          <cell r="M671">
            <v>3</v>
          </cell>
          <cell r="N671">
            <v>-4</v>
          </cell>
          <cell r="O671">
            <v>15</v>
          </cell>
          <cell r="R671">
            <v>40</v>
          </cell>
          <cell r="S671" t="str">
            <v>-</v>
          </cell>
          <cell r="T671">
            <v>20</v>
          </cell>
          <cell r="V671" t="str">
            <v>Lanzable (40/XXXm)</v>
          </cell>
          <cell r="X671" t="str">
            <v>Mediana</v>
          </cell>
          <cell r="Y671">
            <v>0</v>
          </cell>
        </row>
        <row r="672">
          <cell r="D672" t="str">
            <v>Dirk</v>
          </cell>
          <cell r="E672">
            <v>35</v>
          </cell>
          <cell r="F672">
            <v>15</v>
          </cell>
          <cell r="G672">
            <v>5</v>
          </cell>
          <cell r="H672">
            <v>5</v>
          </cell>
          <cell r="I672" t="str">
            <v>PEN</v>
          </cell>
          <cell r="J672" t="str">
            <v>-</v>
          </cell>
          <cell r="K672" t="str">
            <v>Corta/-</v>
          </cell>
          <cell r="L672" t="str">
            <v>Distinta</v>
          </cell>
          <cell r="M672">
            <v>10</v>
          </cell>
          <cell r="N672">
            <v>-2</v>
          </cell>
          <cell r="O672">
            <v>15</v>
          </cell>
          <cell r="R672" t="str">
            <v>-</v>
          </cell>
          <cell r="S672" t="str">
            <v>-</v>
          </cell>
          <cell r="T672" t="str">
            <v>-</v>
          </cell>
          <cell r="V672" t="str">
            <v>Precisa</v>
          </cell>
          <cell r="X672" t="str">
            <v>Pequeña</v>
          </cell>
          <cell r="Y672">
            <v>0</v>
          </cell>
        </row>
        <row r="673">
          <cell r="D673" t="str">
            <v>Escramasajón</v>
          </cell>
          <cell r="E673">
            <v>45</v>
          </cell>
          <cell r="F673">
            <v>0</v>
          </cell>
          <cell r="G673">
            <v>4</v>
          </cell>
          <cell r="H673">
            <v>4</v>
          </cell>
          <cell r="I673" t="str">
            <v>FIL</v>
          </cell>
          <cell r="J673" t="str">
            <v>PEN</v>
          </cell>
          <cell r="K673" t="str">
            <v>Corta/-</v>
          </cell>
          <cell r="L673" t="str">
            <v>Distinta</v>
          </cell>
          <cell r="M673">
            <v>14</v>
          </cell>
          <cell r="N673">
            <v>4</v>
          </cell>
          <cell r="O673">
            <v>20</v>
          </cell>
          <cell r="R673" t="str">
            <v>-</v>
          </cell>
          <cell r="S673" t="str">
            <v>-</v>
          </cell>
          <cell r="T673" t="str">
            <v>-</v>
          </cell>
          <cell r="V673" t="str">
            <v>-</v>
          </cell>
          <cell r="X673" t="str">
            <v>Pequeña</v>
          </cell>
          <cell r="Y673">
            <v>0</v>
          </cell>
        </row>
        <row r="674">
          <cell r="D674" t="str">
            <v>Espada a dos manos</v>
          </cell>
          <cell r="E674">
            <v>90</v>
          </cell>
          <cell r="F674">
            <v>-60</v>
          </cell>
          <cell r="G674">
            <v>10</v>
          </cell>
          <cell r="H674">
            <v>8</v>
          </cell>
          <cell r="I674" t="str">
            <v>FIL</v>
          </cell>
          <cell r="J674" t="str">
            <v>CON</v>
          </cell>
          <cell r="K674" t="str">
            <v>Mandoble/-</v>
          </cell>
          <cell r="L674" t="str">
            <v>Distinta</v>
          </cell>
          <cell r="M674">
            <v>18</v>
          </cell>
          <cell r="N674">
            <v>6</v>
          </cell>
          <cell r="O674">
            <v>30</v>
          </cell>
          <cell r="R674" t="str">
            <v>-</v>
          </cell>
          <cell r="S674" t="str">
            <v>-</v>
          </cell>
          <cell r="T674" t="str">
            <v>-</v>
          </cell>
          <cell r="V674" t="str">
            <v>A 1 o 2 manos</v>
          </cell>
          <cell r="X674" t="str">
            <v>Grande</v>
          </cell>
          <cell r="Y674">
            <v>0</v>
          </cell>
        </row>
        <row r="675">
          <cell r="D675" t="str">
            <v>Espada ancha</v>
          </cell>
          <cell r="E675">
            <v>55</v>
          </cell>
          <cell r="F675">
            <v>-5</v>
          </cell>
          <cell r="G675">
            <v>5</v>
          </cell>
          <cell r="H675">
            <v>5</v>
          </cell>
          <cell r="I675" t="str">
            <v>FIL</v>
          </cell>
          <cell r="J675" t="str">
            <v>-</v>
          </cell>
          <cell r="K675" t="str">
            <v>Espada/-</v>
          </cell>
          <cell r="L675" t="str">
            <v>Distinta</v>
          </cell>
          <cell r="M675">
            <v>15</v>
          </cell>
          <cell r="N675">
            <v>3</v>
          </cell>
          <cell r="O675">
            <v>25</v>
          </cell>
          <cell r="R675" t="str">
            <v>-</v>
          </cell>
          <cell r="S675" t="str">
            <v>-</v>
          </cell>
          <cell r="T675" t="str">
            <v>-</v>
          </cell>
          <cell r="V675" t="str">
            <v>-</v>
          </cell>
          <cell r="X675" t="str">
            <v>Mediana</v>
          </cell>
          <cell r="Y675">
            <v>0</v>
          </cell>
        </row>
        <row r="676">
          <cell r="D676" t="str">
            <v>Espada bastarda</v>
          </cell>
          <cell r="E676">
            <v>70</v>
          </cell>
          <cell r="F676">
            <v>-30</v>
          </cell>
          <cell r="G676">
            <v>9</v>
          </cell>
          <cell r="H676">
            <v>7</v>
          </cell>
          <cell r="I676" t="str">
            <v>FIL</v>
          </cell>
          <cell r="J676" t="str">
            <v>CON</v>
          </cell>
          <cell r="K676" t="str">
            <v>Espada/Mandoble</v>
          </cell>
          <cell r="L676" t="str">
            <v>Distinta</v>
          </cell>
          <cell r="M676">
            <v>15</v>
          </cell>
          <cell r="N676">
            <v>5</v>
          </cell>
          <cell r="O676">
            <v>25</v>
          </cell>
          <cell r="R676" t="str">
            <v>-</v>
          </cell>
          <cell r="S676" t="str">
            <v>-</v>
          </cell>
          <cell r="T676" t="str">
            <v>-</v>
          </cell>
          <cell r="V676" t="str">
            <v>A 1 o 2 manos</v>
          </cell>
          <cell r="X676" t="str">
            <v>Grande</v>
          </cell>
          <cell r="Y676">
            <v>0</v>
          </cell>
        </row>
        <row r="677">
          <cell r="D677" t="str">
            <v>Espada corta</v>
          </cell>
          <cell r="E677">
            <v>40</v>
          </cell>
          <cell r="F677">
            <v>15</v>
          </cell>
          <cell r="G677">
            <v>4</v>
          </cell>
          <cell r="H677">
            <v>4</v>
          </cell>
          <cell r="I677" t="str">
            <v>PEN</v>
          </cell>
          <cell r="J677" t="str">
            <v>FIL</v>
          </cell>
          <cell r="K677" t="str">
            <v>Corta/-</v>
          </cell>
          <cell r="L677" t="str">
            <v>Distinta</v>
          </cell>
          <cell r="M677">
            <v>12</v>
          </cell>
          <cell r="N677">
            <v>1</v>
          </cell>
          <cell r="O677">
            <v>20</v>
          </cell>
          <cell r="R677" t="str">
            <v>-</v>
          </cell>
          <cell r="S677" t="str">
            <v>-</v>
          </cell>
          <cell r="T677" t="str">
            <v>-</v>
          </cell>
          <cell r="V677" t="str">
            <v>Precisa</v>
          </cell>
          <cell r="X677" t="str">
            <v>Pequeña</v>
          </cell>
          <cell r="Y677">
            <v>0</v>
          </cell>
        </row>
        <row r="678">
          <cell r="D678" t="str">
            <v>Espada larga</v>
          </cell>
          <cell r="E678">
            <v>50</v>
          </cell>
          <cell r="F678">
            <v>0</v>
          </cell>
          <cell r="G678">
            <v>6</v>
          </cell>
          <cell r="H678">
            <v>6</v>
          </cell>
          <cell r="I678" t="str">
            <v>FIL</v>
          </cell>
          <cell r="J678" t="str">
            <v>-</v>
          </cell>
          <cell r="K678" t="str">
            <v>Espada/-</v>
          </cell>
          <cell r="L678" t="str">
            <v>Distinta</v>
          </cell>
          <cell r="M678">
            <v>13</v>
          </cell>
          <cell r="N678">
            <v>3</v>
          </cell>
          <cell r="O678">
            <v>25</v>
          </cell>
          <cell r="R678" t="str">
            <v>-</v>
          </cell>
          <cell r="S678" t="str">
            <v>-</v>
          </cell>
          <cell r="T678" t="str">
            <v>-</v>
          </cell>
          <cell r="V678" t="str">
            <v>-</v>
          </cell>
          <cell r="X678" t="str">
            <v>Mediana</v>
          </cell>
          <cell r="Y678">
            <v>0</v>
          </cell>
        </row>
        <row r="679">
          <cell r="D679" t="str">
            <v>Estilete</v>
          </cell>
          <cell r="E679">
            <v>25</v>
          </cell>
          <cell r="F679">
            <v>20</v>
          </cell>
          <cell r="G679">
            <v>3</v>
          </cell>
          <cell r="H679">
            <v>3</v>
          </cell>
          <cell r="I679" t="str">
            <v>PEN</v>
          </cell>
          <cell r="J679" t="str">
            <v>-</v>
          </cell>
          <cell r="K679" t="str">
            <v>Corta/-</v>
          </cell>
          <cell r="L679" t="str">
            <v>Distinta</v>
          </cell>
          <cell r="M679">
            <v>8</v>
          </cell>
          <cell r="N679">
            <v>-3</v>
          </cell>
          <cell r="O679">
            <v>15</v>
          </cell>
          <cell r="R679">
            <v>30</v>
          </cell>
          <cell r="S679" t="str">
            <v>-</v>
          </cell>
          <cell r="T679">
            <v>30</v>
          </cell>
          <cell r="V679" t="str">
            <v>Lanzable (30/XXXm), Precisa</v>
          </cell>
          <cell r="X679" t="str">
            <v>Pequeña</v>
          </cell>
          <cell r="Y679">
            <v>0</v>
          </cell>
        </row>
        <row r="680">
          <cell r="D680" t="str">
            <v>Estoque</v>
          </cell>
          <cell r="E680">
            <v>40</v>
          </cell>
          <cell r="F680">
            <v>15</v>
          </cell>
          <cell r="G680">
            <v>4</v>
          </cell>
          <cell r="H680">
            <v>4</v>
          </cell>
          <cell r="I680" t="str">
            <v>PEN</v>
          </cell>
          <cell r="J680" t="str">
            <v>FIL</v>
          </cell>
          <cell r="K680" t="str">
            <v>Espada/-</v>
          </cell>
          <cell r="L680" t="str">
            <v>Distinta</v>
          </cell>
          <cell r="M680">
            <v>11</v>
          </cell>
          <cell r="N680">
            <v>2</v>
          </cell>
          <cell r="O680">
            <v>20</v>
          </cell>
          <cell r="R680" t="str">
            <v>-</v>
          </cell>
          <cell r="S680" t="str">
            <v>-</v>
          </cell>
          <cell r="T680" t="str">
            <v>-</v>
          </cell>
          <cell r="V680" t="str">
            <v>Precisa</v>
          </cell>
          <cell r="X680" t="str">
            <v>Mediana</v>
          </cell>
          <cell r="Y680">
            <v>0</v>
          </cell>
        </row>
        <row r="681">
          <cell r="D681" t="str">
            <v>Falcata</v>
          </cell>
          <cell r="E681">
            <v>60</v>
          </cell>
          <cell r="F681">
            <v>-10</v>
          </cell>
          <cell r="G681">
            <v>7</v>
          </cell>
          <cell r="H681">
            <v>7</v>
          </cell>
          <cell r="I681" t="str">
            <v>FIL</v>
          </cell>
          <cell r="J681" t="str">
            <v>-</v>
          </cell>
          <cell r="K681" t="str">
            <v>Espada/Hacha</v>
          </cell>
          <cell r="L681" t="str">
            <v>Distinta</v>
          </cell>
          <cell r="M681">
            <v>12</v>
          </cell>
          <cell r="N681">
            <v>5</v>
          </cell>
          <cell r="O681">
            <v>20</v>
          </cell>
          <cell r="R681" t="str">
            <v>-</v>
          </cell>
          <cell r="S681" t="str">
            <v>-</v>
          </cell>
          <cell r="T681" t="str">
            <v>-</v>
          </cell>
          <cell r="V681" t="str">
            <v>-</v>
          </cell>
          <cell r="X681" t="str">
            <v>Mediana</v>
          </cell>
          <cell r="Y681">
            <v>0</v>
          </cell>
        </row>
        <row r="682">
          <cell r="D682" t="str">
            <v>Florete</v>
          </cell>
          <cell r="E682">
            <v>35</v>
          </cell>
          <cell r="F682">
            <v>15</v>
          </cell>
          <cell r="G682">
            <v>3</v>
          </cell>
          <cell r="H682">
            <v>3</v>
          </cell>
          <cell r="I682" t="str">
            <v>PEN</v>
          </cell>
          <cell r="J682" t="str">
            <v>-</v>
          </cell>
          <cell r="K682" t="str">
            <v>Espada/Corta</v>
          </cell>
          <cell r="L682" t="str">
            <v>Distinta</v>
          </cell>
          <cell r="M682">
            <v>9</v>
          </cell>
          <cell r="N682">
            <v>-2</v>
          </cell>
          <cell r="O682">
            <v>20</v>
          </cell>
          <cell r="R682" t="str">
            <v>-</v>
          </cell>
          <cell r="S682" t="str">
            <v>-</v>
          </cell>
          <cell r="T682" t="str">
            <v>-</v>
          </cell>
          <cell r="V682" t="str">
            <v>Precisa</v>
          </cell>
          <cell r="X682" t="str">
            <v>Pequeña</v>
          </cell>
          <cell r="Y682">
            <v>0</v>
          </cell>
        </row>
        <row r="683">
          <cell r="D683" t="str">
            <v>Garfio</v>
          </cell>
          <cell r="E683">
            <v>30</v>
          </cell>
          <cell r="F683">
            <v>10</v>
          </cell>
          <cell r="G683">
            <v>3</v>
          </cell>
          <cell r="H683">
            <v>3</v>
          </cell>
          <cell r="I683" t="str">
            <v>PEN</v>
          </cell>
          <cell r="J683" t="str">
            <v>-</v>
          </cell>
          <cell r="K683" t="str">
            <v>Corta/-</v>
          </cell>
          <cell r="L683" t="str">
            <v>Distinta</v>
          </cell>
          <cell r="M683">
            <v>11</v>
          </cell>
          <cell r="N683">
            <v>-2</v>
          </cell>
          <cell r="O683">
            <v>15</v>
          </cell>
          <cell r="R683" t="str">
            <v>-</v>
          </cell>
          <cell r="S683" t="str">
            <v>-</v>
          </cell>
          <cell r="T683" t="str">
            <v>-</v>
          </cell>
          <cell r="V683" t="str">
            <v>-</v>
          </cell>
          <cell r="X683" t="str">
            <v>Pequeña</v>
          </cell>
          <cell r="Y683">
            <v>0</v>
          </cell>
        </row>
        <row r="684">
          <cell r="D684" t="str">
            <v>Garrote</v>
          </cell>
          <cell r="E684">
            <v>30</v>
          </cell>
          <cell r="F684">
            <v>0</v>
          </cell>
          <cell r="G684">
            <v>5</v>
          </cell>
          <cell r="H684">
            <v>5</v>
          </cell>
          <cell r="I684" t="str">
            <v>CON</v>
          </cell>
          <cell r="J684" t="str">
            <v>-</v>
          </cell>
          <cell r="K684" t="str">
            <v>Maza/-</v>
          </cell>
          <cell r="L684" t="str">
            <v>Distinta</v>
          </cell>
          <cell r="M684">
            <v>11</v>
          </cell>
          <cell r="N684">
            <v>-2</v>
          </cell>
          <cell r="O684">
            <v>15</v>
          </cell>
          <cell r="R684" t="str">
            <v>-</v>
          </cell>
          <cell r="S684" t="str">
            <v>-</v>
          </cell>
          <cell r="T684" t="str">
            <v>-</v>
          </cell>
          <cell r="V684" t="str">
            <v>-</v>
          </cell>
          <cell r="X684" t="str">
            <v>Mediana</v>
          </cell>
          <cell r="Y684">
            <v>0</v>
          </cell>
        </row>
        <row r="685">
          <cell r="D685" t="str">
            <v>Glavius</v>
          </cell>
          <cell r="E685">
            <v>40</v>
          </cell>
          <cell r="F685">
            <v>0</v>
          </cell>
          <cell r="G685">
            <v>7</v>
          </cell>
          <cell r="H685">
            <v>6</v>
          </cell>
          <cell r="I685" t="str">
            <v>PEN</v>
          </cell>
          <cell r="J685" t="str">
            <v>FIL</v>
          </cell>
          <cell r="K685" t="str">
            <v>Asta/-</v>
          </cell>
          <cell r="L685" t="str">
            <v>Distinta</v>
          </cell>
          <cell r="M685">
            <v>12</v>
          </cell>
          <cell r="N685">
            <v>1</v>
          </cell>
          <cell r="O685">
            <v>20</v>
          </cell>
          <cell r="R685" t="str">
            <v>-</v>
          </cell>
          <cell r="S685" t="str">
            <v>-</v>
          </cell>
          <cell r="T685" t="str">
            <v>-</v>
          </cell>
          <cell r="V685" t="str">
            <v>A 1 o 2 manos</v>
          </cell>
          <cell r="X685" t="str">
            <v>Grande</v>
          </cell>
          <cell r="Y685">
            <v>0</v>
          </cell>
        </row>
        <row r="686">
          <cell r="D686" t="str">
            <v>Goedendag</v>
          </cell>
          <cell r="E686">
            <v>35</v>
          </cell>
          <cell r="F686">
            <v>5</v>
          </cell>
          <cell r="G686">
            <v>6</v>
          </cell>
          <cell r="H686">
            <v>4</v>
          </cell>
          <cell r="I686" t="str">
            <v>PEN</v>
          </cell>
          <cell r="J686" t="str">
            <v>CON</v>
          </cell>
          <cell r="K686" t="str">
            <v>Asta/-</v>
          </cell>
          <cell r="L686" t="str">
            <v>Distinta</v>
          </cell>
          <cell r="M686">
            <v>10</v>
          </cell>
          <cell r="N686">
            <v>2</v>
          </cell>
          <cell r="O686">
            <v>20</v>
          </cell>
          <cell r="R686" t="str">
            <v>-</v>
          </cell>
          <cell r="S686" t="str">
            <v>-</v>
          </cell>
          <cell r="T686" t="str">
            <v>-</v>
          </cell>
          <cell r="V686" t="str">
            <v>A 1 o 2 manos, Ver</v>
          </cell>
          <cell r="X686" t="str">
            <v>Grande</v>
          </cell>
          <cell r="Y686">
            <v>0</v>
          </cell>
        </row>
        <row r="687">
          <cell r="D687" t="str">
            <v>Grosse Messer</v>
          </cell>
          <cell r="E687">
            <v>75</v>
          </cell>
          <cell r="F687">
            <v>-30</v>
          </cell>
          <cell r="G687">
            <v>9</v>
          </cell>
          <cell r="H687">
            <v>6</v>
          </cell>
          <cell r="I687" t="str">
            <v>FIL</v>
          </cell>
          <cell r="J687" t="str">
            <v>-</v>
          </cell>
          <cell r="K687" t="str">
            <v>Mandoble/-</v>
          </cell>
          <cell r="L687" t="str">
            <v>Distinta</v>
          </cell>
          <cell r="M687">
            <v>12</v>
          </cell>
          <cell r="N687">
            <v>3</v>
          </cell>
          <cell r="O687">
            <v>20</v>
          </cell>
          <cell r="R687" t="str">
            <v>-</v>
          </cell>
          <cell r="S687" t="str">
            <v>-</v>
          </cell>
          <cell r="T687" t="str">
            <v>-</v>
          </cell>
          <cell r="V687" t="str">
            <v>A 2 manos</v>
          </cell>
          <cell r="X687" t="str">
            <v>Grande</v>
          </cell>
          <cell r="Y687">
            <v>0</v>
          </cell>
        </row>
        <row r="688">
          <cell r="D688" t="str">
            <v>Gran martillo guerra</v>
          </cell>
          <cell r="E688">
            <v>70</v>
          </cell>
          <cell r="F688">
            <v>-35</v>
          </cell>
          <cell r="G688">
            <v>10</v>
          </cell>
          <cell r="H688">
            <v>7</v>
          </cell>
          <cell r="I688" t="str">
            <v>CON</v>
          </cell>
          <cell r="J688" t="str">
            <v>-</v>
          </cell>
          <cell r="K688" t="str">
            <v>Maza/-</v>
          </cell>
          <cell r="L688" t="str">
            <v>Distinta</v>
          </cell>
          <cell r="M688">
            <v>16</v>
          </cell>
          <cell r="N688">
            <v>6</v>
          </cell>
          <cell r="O688">
            <v>20</v>
          </cell>
          <cell r="R688" t="str">
            <v>-</v>
          </cell>
          <cell r="S688" t="str">
            <v>-</v>
          </cell>
          <cell r="T688" t="str">
            <v>-</v>
          </cell>
          <cell r="V688" t="str">
            <v>A 1 o 2 manos</v>
          </cell>
          <cell r="X688" t="str">
            <v>Mediana</v>
          </cell>
          <cell r="Y688">
            <v>0</v>
          </cell>
        </row>
        <row r="689">
          <cell r="D689" t="str">
            <v>Guadaña</v>
          </cell>
          <cell r="E689">
            <v>35</v>
          </cell>
          <cell r="F689">
            <v>0</v>
          </cell>
          <cell r="G689">
            <v>9</v>
          </cell>
          <cell r="H689">
            <v>5</v>
          </cell>
          <cell r="I689" t="str">
            <v>FIL</v>
          </cell>
          <cell r="J689" t="str">
            <v>CON</v>
          </cell>
          <cell r="K689" t="str">
            <v>Asta/Mandoble</v>
          </cell>
          <cell r="L689" t="str">
            <v>Distinta</v>
          </cell>
          <cell r="M689">
            <v>12</v>
          </cell>
          <cell r="N689">
            <v>2</v>
          </cell>
          <cell r="O689">
            <v>25</v>
          </cell>
          <cell r="R689" t="str">
            <v>-</v>
          </cell>
          <cell r="S689" t="str">
            <v>-</v>
          </cell>
          <cell r="T689" t="str">
            <v>-</v>
          </cell>
          <cell r="V689" t="str">
            <v>A 1 o 2 manos</v>
          </cell>
          <cell r="X689" t="str">
            <v>Grande</v>
          </cell>
          <cell r="Y689">
            <v>0</v>
          </cell>
        </row>
        <row r="690">
          <cell r="D690" t="str">
            <v>Guandao</v>
          </cell>
          <cell r="E690">
            <v>65</v>
          </cell>
          <cell r="F690">
            <v>-20</v>
          </cell>
          <cell r="G690">
            <v>11</v>
          </cell>
          <cell r="H690">
            <v>7</v>
          </cell>
          <cell r="I690" t="str">
            <v>FIL</v>
          </cell>
          <cell r="J690" t="str">
            <v>PEN</v>
          </cell>
          <cell r="K690" t="str">
            <v>Asta/-</v>
          </cell>
          <cell r="L690" t="str">
            <v>Distinta</v>
          </cell>
          <cell r="M690">
            <v>13</v>
          </cell>
          <cell r="N690">
            <v>3</v>
          </cell>
          <cell r="O690">
            <v>20</v>
          </cell>
          <cell r="R690" t="str">
            <v>-</v>
          </cell>
          <cell r="S690" t="str">
            <v>-</v>
          </cell>
          <cell r="T690" t="str">
            <v>-</v>
          </cell>
          <cell r="V690" t="str">
            <v>A 2 manos</v>
          </cell>
          <cell r="X690" t="str">
            <v>Grande</v>
          </cell>
          <cell r="Y690">
            <v>0</v>
          </cell>
        </row>
        <row r="691">
          <cell r="D691" t="str">
            <v>Hacha a dos manos</v>
          </cell>
          <cell r="E691">
            <v>100</v>
          </cell>
          <cell r="F691">
            <v>-70</v>
          </cell>
          <cell r="G691">
            <v>11</v>
          </cell>
          <cell r="H691">
            <v>9</v>
          </cell>
          <cell r="I691" t="str">
            <v>FIL</v>
          </cell>
          <cell r="J691" t="str">
            <v>CON</v>
          </cell>
          <cell r="K691" t="str">
            <v>Hacha/Mandoble</v>
          </cell>
          <cell r="L691" t="str">
            <v>Distinta</v>
          </cell>
          <cell r="M691">
            <v>17</v>
          </cell>
          <cell r="N691">
            <v>7</v>
          </cell>
          <cell r="O691">
            <v>30</v>
          </cell>
          <cell r="R691" t="str">
            <v>-</v>
          </cell>
          <cell r="S691" t="str">
            <v>-</v>
          </cell>
          <cell r="T691" t="str">
            <v>-</v>
          </cell>
          <cell r="V691" t="str">
            <v>A 1 o 2 manos</v>
          </cell>
          <cell r="X691" t="str">
            <v>Grande</v>
          </cell>
          <cell r="Y691">
            <v>0</v>
          </cell>
        </row>
        <row r="692">
          <cell r="D692" t="str">
            <v>Hacha de guerra</v>
          </cell>
          <cell r="E692">
            <v>70</v>
          </cell>
          <cell r="F692">
            <v>-30</v>
          </cell>
          <cell r="G692">
            <v>7</v>
          </cell>
          <cell r="H692">
            <v>7</v>
          </cell>
          <cell r="I692" t="str">
            <v>FIL</v>
          </cell>
          <cell r="J692" t="str">
            <v>CON</v>
          </cell>
          <cell r="K692" t="str">
            <v>Hacha/-</v>
          </cell>
          <cell r="L692" t="str">
            <v>Distinta</v>
          </cell>
          <cell r="M692">
            <v>15</v>
          </cell>
          <cell r="N692">
            <v>5</v>
          </cell>
          <cell r="O692">
            <v>25</v>
          </cell>
          <cell r="R692">
            <v>100</v>
          </cell>
          <cell r="S692" t="str">
            <v>-</v>
          </cell>
          <cell r="T692">
            <v>5</v>
          </cell>
          <cell r="V692" t="str">
            <v>Lanzable (100/XXXm)</v>
          </cell>
          <cell r="X692" t="str">
            <v>Mediana</v>
          </cell>
          <cell r="Y692">
            <v>0</v>
          </cell>
        </row>
        <row r="693">
          <cell r="D693" t="str">
            <v>Hacha de mano</v>
          </cell>
          <cell r="E693">
            <v>45</v>
          </cell>
          <cell r="F693">
            <v>0</v>
          </cell>
          <cell r="G693">
            <v>5</v>
          </cell>
          <cell r="H693">
            <v>5</v>
          </cell>
          <cell r="I693" t="str">
            <v>FIL</v>
          </cell>
          <cell r="J693" t="str">
            <v>-</v>
          </cell>
          <cell r="K693" t="str">
            <v>Hacha/-</v>
          </cell>
          <cell r="L693" t="str">
            <v>Distinta</v>
          </cell>
          <cell r="M693">
            <v>13</v>
          </cell>
          <cell r="N693">
            <v>4</v>
          </cell>
          <cell r="O693">
            <v>15</v>
          </cell>
          <cell r="R693">
            <v>80</v>
          </cell>
          <cell r="S693" t="str">
            <v>-</v>
          </cell>
          <cell r="T693">
            <v>10</v>
          </cell>
          <cell r="V693" t="str">
            <v>Lanzable (80/XXXm)</v>
          </cell>
          <cell r="X693" t="str">
            <v>Mediana</v>
          </cell>
          <cell r="Y693">
            <v>0</v>
          </cell>
        </row>
        <row r="694">
          <cell r="D694" t="str">
            <v>Hu Die Dao</v>
          </cell>
          <cell r="E694">
            <v>30</v>
          </cell>
          <cell r="F694">
            <v>15</v>
          </cell>
          <cell r="G694">
            <v>5</v>
          </cell>
          <cell r="H694">
            <v>5</v>
          </cell>
          <cell r="I694" t="str">
            <v>FIL</v>
          </cell>
          <cell r="J694" t="str">
            <v>CON</v>
          </cell>
          <cell r="K694" t="str">
            <v>Corta/-</v>
          </cell>
          <cell r="L694" t="str">
            <v>Distinta</v>
          </cell>
          <cell r="M694">
            <v>10</v>
          </cell>
          <cell r="N694">
            <v>-2</v>
          </cell>
          <cell r="O694">
            <v>20</v>
          </cell>
          <cell r="R694" t="str">
            <v>-</v>
          </cell>
          <cell r="S694" t="str">
            <v>-</v>
          </cell>
          <cell r="T694" t="str">
            <v>-</v>
          </cell>
          <cell r="V694" t="str">
            <v>Precisa, Ver</v>
          </cell>
          <cell r="X694" t="str">
            <v>Pequeña</v>
          </cell>
          <cell r="Y694">
            <v>0</v>
          </cell>
        </row>
        <row r="695">
          <cell r="D695" t="str">
            <v>Jabalina</v>
          </cell>
          <cell r="E695">
            <v>35</v>
          </cell>
          <cell r="F695">
            <v>5</v>
          </cell>
          <cell r="G695">
            <v>4</v>
          </cell>
          <cell r="H695">
            <v>4</v>
          </cell>
          <cell r="I695" t="str">
            <v>PEN</v>
          </cell>
          <cell r="J695" t="str">
            <v>-</v>
          </cell>
          <cell r="K695" t="str">
            <v>Asta/-</v>
          </cell>
          <cell r="L695" t="str">
            <v>Distinta</v>
          </cell>
          <cell r="M695">
            <v>10</v>
          </cell>
          <cell r="N695">
            <v>-2</v>
          </cell>
          <cell r="O695">
            <v>20</v>
          </cell>
          <cell r="R695">
            <v>80</v>
          </cell>
          <cell r="S695" t="str">
            <v>-</v>
          </cell>
          <cell r="T695">
            <v>30</v>
          </cell>
          <cell r="V695" t="str">
            <v>Lanzable (100/XXXm)</v>
          </cell>
          <cell r="X695" t="str">
            <v>Grande</v>
          </cell>
          <cell r="Y695">
            <v>0</v>
          </cell>
        </row>
        <row r="696">
          <cell r="D696" t="str">
            <v>Katzbalger</v>
          </cell>
          <cell r="E696">
            <v>45</v>
          </cell>
          <cell r="F696">
            <v>10</v>
          </cell>
          <cell r="G696">
            <v>5</v>
          </cell>
          <cell r="H696">
            <v>5</v>
          </cell>
          <cell r="I696" t="str">
            <v>FIL</v>
          </cell>
          <cell r="J696" t="str">
            <v>-</v>
          </cell>
          <cell r="K696" t="str">
            <v>Corta/-</v>
          </cell>
          <cell r="L696" t="str">
            <v>Distinta</v>
          </cell>
          <cell r="M696">
            <v>13</v>
          </cell>
          <cell r="N696">
            <v>2</v>
          </cell>
          <cell r="O696">
            <v>20</v>
          </cell>
          <cell r="R696" t="str">
            <v>-</v>
          </cell>
          <cell r="S696" t="str">
            <v>-</v>
          </cell>
          <cell r="T696" t="str">
            <v>-</v>
          </cell>
          <cell r="V696" t="str">
            <v>-</v>
          </cell>
          <cell r="X696" t="str">
            <v>Pequeña</v>
          </cell>
          <cell r="Y696">
            <v>0</v>
          </cell>
        </row>
        <row r="697">
          <cell r="D697" t="str">
            <v>Kerambit</v>
          </cell>
          <cell r="E697">
            <v>25</v>
          </cell>
          <cell r="F697">
            <v>20</v>
          </cell>
          <cell r="G697">
            <v>4</v>
          </cell>
          <cell r="H697">
            <v>4</v>
          </cell>
          <cell r="I697" t="str">
            <v>FIL</v>
          </cell>
          <cell r="J697" t="str">
            <v>CON</v>
          </cell>
          <cell r="K697" t="str">
            <v>Corta/-</v>
          </cell>
          <cell r="L697" t="str">
            <v>Distinta</v>
          </cell>
          <cell r="M697">
            <v>10</v>
          </cell>
          <cell r="N697">
            <v>-2</v>
          </cell>
          <cell r="O697">
            <v>15</v>
          </cell>
          <cell r="R697" t="str">
            <v>-</v>
          </cell>
          <cell r="S697" t="str">
            <v>-</v>
          </cell>
          <cell r="T697" t="str">
            <v>-</v>
          </cell>
          <cell r="V697" t="str">
            <v>Precisa, Ver</v>
          </cell>
          <cell r="X697" t="str">
            <v>Pequeña</v>
          </cell>
          <cell r="Y697">
            <v>0</v>
          </cell>
        </row>
        <row r="698">
          <cell r="D698" t="str">
            <v>Koncerz</v>
          </cell>
          <cell r="E698">
            <v>60</v>
          </cell>
          <cell r="F698">
            <v>-30</v>
          </cell>
          <cell r="G698">
            <v>8</v>
          </cell>
          <cell r="H698">
            <v>8</v>
          </cell>
          <cell r="I698" t="str">
            <v>PEN</v>
          </cell>
          <cell r="J698" t="str">
            <v>-</v>
          </cell>
          <cell r="K698" t="str">
            <v>Espada/-</v>
          </cell>
          <cell r="L698" t="str">
            <v>Distinta</v>
          </cell>
          <cell r="M698">
            <v>9</v>
          </cell>
          <cell r="N698">
            <v>2</v>
          </cell>
          <cell r="O698">
            <v>20</v>
          </cell>
          <cell r="R698" t="str">
            <v>-</v>
          </cell>
          <cell r="S698" t="str">
            <v>-</v>
          </cell>
          <cell r="T698" t="str">
            <v>-</v>
          </cell>
          <cell r="V698" t="str">
            <v>Ver</v>
          </cell>
          <cell r="X698" t="str">
            <v>Mediana</v>
          </cell>
          <cell r="Y698">
            <v>0</v>
          </cell>
        </row>
        <row r="699">
          <cell r="D699" t="str">
            <v>Kukri</v>
          </cell>
          <cell r="E699">
            <v>35</v>
          </cell>
          <cell r="F699">
            <v>10</v>
          </cell>
          <cell r="G699">
            <v>6</v>
          </cell>
          <cell r="H699">
            <v>6</v>
          </cell>
          <cell r="I699" t="str">
            <v>FIL</v>
          </cell>
          <cell r="J699" t="str">
            <v>-</v>
          </cell>
          <cell r="K699" t="str">
            <v>Corta/-</v>
          </cell>
          <cell r="L699" t="str">
            <v>Distinta</v>
          </cell>
          <cell r="M699">
            <v>12</v>
          </cell>
          <cell r="N699">
            <v>3</v>
          </cell>
          <cell r="O699">
            <v>20</v>
          </cell>
          <cell r="R699" t="str">
            <v>-</v>
          </cell>
          <cell r="S699" t="str">
            <v>-</v>
          </cell>
          <cell r="T699" t="str">
            <v>-</v>
          </cell>
          <cell r="V699" t="str">
            <v>-</v>
          </cell>
          <cell r="X699" t="str">
            <v>Pequeña</v>
          </cell>
          <cell r="Y699">
            <v>0</v>
          </cell>
        </row>
        <row r="700">
          <cell r="D700" t="str">
            <v>Lanza</v>
          </cell>
          <cell r="E700">
            <v>40</v>
          </cell>
          <cell r="F700">
            <v>5</v>
          </cell>
          <cell r="G700">
            <v>6</v>
          </cell>
          <cell r="H700">
            <v>4</v>
          </cell>
          <cell r="I700" t="str">
            <v>PEN</v>
          </cell>
          <cell r="J700" t="str">
            <v>-</v>
          </cell>
          <cell r="K700" t="str">
            <v>Asta/-</v>
          </cell>
          <cell r="L700" t="str">
            <v>Distinta</v>
          </cell>
          <cell r="M700">
            <v>13</v>
          </cell>
          <cell r="N700">
            <v>2</v>
          </cell>
          <cell r="O700">
            <v>25</v>
          </cell>
          <cell r="R700">
            <v>80</v>
          </cell>
          <cell r="S700" t="str">
            <v>-</v>
          </cell>
          <cell r="T700">
            <v>30</v>
          </cell>
          <cell r="V700" t="str">
            <v>Lanzable (80/XXXm), A 1 o 2 manos</v>
          </cell>
          <cell r="X700" t="str">
            <v>Grande</v>
          </cell>
          <cell r="Y700">
            <v>0</v>
          </cell>
        </row>
        <row r="701">
          <cell r="D701" t="str">
            <v>Lanza de caballería</v>
          </cell>
          <cell r="E701">
            <v>80</v>
          </cell>
          <cell r="F701">
            <v>-30</v>
          </cell>
          <cell r="G701">
            <v>8</v>
          </cell>
          <cell r="H701">
            <v>8</v>
          </cell>
          <cell r="I701" t="str">
            <v>PEN</v>
          </cell>
          <cell r="J701" t="str">
            <v>-</v>
          </cell>
          <cell r="K701" t="str">
            <v>Asta/-</v>
          </cell>
          <cell r="L701" t="str">
            <v>Distinta</v>
          </cell>
          <cell r="M701">
            <v>12</v>
          </cell>
          <cell r="N701">
            <v>7</v>
          </cell>
          <cell r="O701">
            <v>25</v>
          </cell>
          <cell r="R701" t="str">
            <v>-</v>
          </cell>
          <cell r="S701" t="str">
            <v>-</v>
          </cell>
          <cell r="T701" t="str">
            <v>-</v>
          </cell>
          <cell r="V701" t="str">
            <v>Ver</v>
          </cell>
          <cell r="X701" t="str">
            <v>Grande</v>
          </cell>
          <cell r="Y701">
            <v>0</v>
          </cell>
        </row>
        <row r="702">
          <cell r="D702" t="str">
            <v>Látigo</v>
          </cell>
          <cell r="E702">
            <v>35</v>
          </cell>
          <cell r="F702">
            <v>-20</v>
          </cell>
          <cell r="G702">
            <v>4</v>
          </cell>
          <cell r="H702">
            <v>4</v>
          </cell>
          <cell r="I702" t="str">
            <v>FIL</v>
          </cell>
          <cell r="J702" t="str">
            <v>CON</v>
          </cell>
          <cell r="K702" t="str">
            <v>Cuerda/-</v>
          </cell>
          <cell r="L702" t="str">
            <v>Distinta</v>
          </cell>
          <cell r="M702">
            <v>9</v>
          </cell>
          <cell r="N702">
            <v>-3</v>
          </cell>
          <cell r="O702">
            <v>20</v>
          </cell>
          <cell r="R702" t="str">
            <v>-</v>
          </cell>
          <cell r="S702" t="str">
            <v>-</v>
          </cell>
          <cell r="T702" t="str">
            <v>-</v>
          </cell>
          <cell r="V702" t="str">
            <v>Compleja, Presa (FUE 8)</v>
          </cell>
          <cell r="X702" t="str">
            <v>Mediana</v>
          </cell>
          <cell r="Y702">
            <v>0</v>
          </cell>
        </row>
        <row r="703">
          <cell r="D703" t="str">
            <v>Lazo</v>
          </cell>
          <cell r="E703">
            <v>5</v>
          </cell>
          <cell r="F703">
            <v>10</v>
          </cell>
          <cell r="G703" t="str">
            <v>-</v>
          </cell>
          <cell r="H703">
            <v>4</v>
          </cell>
          <cell r="I703" t="str">
            <v>CON</v>
          </cell>
          <cell r="J703" t="str">
            <v>-</v>
          </cell>
          <cell r="K703" t="str">
            <v>Cuerda/-</v>
          </cell>
          <cell r="L703" t="str">
            <v>Distinta</v>
          </cell>
          <cell r="M703">
            <v>9</v>
          </cell>
          <cell r="N703">
            <v>-4</v>
          </cell>
          <cell r="O703">
            <v>20</v>
          </cell>
          <cell r="R703" t="str">
            <v>-</v>
          </cell>
          <cell r="S703" t="str">
            <v>-</v>
          </cell>
          <cell r="T703" t="str">
            <v>-</v>
          </cell>
          <cell r="V703" t="str">
            <v>Compleja, Presa (FUE 9), Ver</v>
          </cell>
          <cell r="X703" t="str">
            <v>Mediana</v>
          </cell>
          <cell r="Y703">
            <v>0</v>
          </cell>
        </row>
        <row r="704">
          <cell r="D704" t="str">
            <v>Liu Xing Chui</v>
          </cell>
          <cell r="E704">
            <v>30</v>
          </cell>
          <cell r="F704">
            <v>15</v>
          </cell>
          <cell r="G704">
            <v>5</v>
          </cell>
          <cell r="H704">
            <v>5</v>
          </cell>
          <cell r="I704" t="str">
            <v>CON</v>
          </cell>
          <cell r="J704" t="str">
            <v>-</v>
          </cell>
          <cell r="K704" t="str">
            <v>Cuerda/-</v>
          </cell>
          <cell r="L704" t="str">
            <v>Distinta</v>
          </cell>
          <cell r="M704">
            <v>8</v>
          </cell>
          <cell r="N704">
            <v>1</v>
          </cell>
          <cell r="O704">
            <v>15</v>
          </cell>
          <cell r="R704" t="str">
            <v>-</v>
          </cell>
          <cell r="S704" t="str">
            <v>-</v>
          </cell>
          <cell r="T704" t="str">
            <v>-</v>
          </cell>
          <cell r="V704" t="str">
            <v>A 2 manos,Presa (FUE 8),Compleja</v>
          </cell>
          <cell r="X704" t="str">
            <v>Mediana</v>
          </cell>
          <cell r="Y704">
            <v>0</v>
          </cell>
        </row>
        <row r="705">
          <cell r="D705" t="str">
            <v>Lujiaodao</v>
          </cell>
          <cell r="E705">
            <v>25</v>
          </cell>
          <cell r="F705">
            <v>20</v>
          </cell>
          <cell r="G705">
            <v>5</v>
          </cell>
          <cell r="H705">
            <v>5</v>
          </cell>
          <cell r="I705" t="str">
            <v>FIL</v>
          </cell>
          <cell r="J705" t="str">
            <v>-</v>
          </cell>
          <cell r="K705" t="str">
            <v>Corta/-</v>
          </cell>
          <cell r="L705" t="str">
            <v>Distinta</v>
          </cell>
          <cell r="M705">
            <v>12</v>
          </cell>
          <cell r="N705">
            <v>5</v>
          </cell>
          <cell r="O705">
            <v>15</v>
          </cell>
          <cell r="R705" t="str">
            <v>-</v>
          </cell>
          <cell r="S705" t="str">
            <v>-</v>
          </cell>
          <cell r="T705" t="str">
            <v>-</v>
          </cell>
          <cell r="V705" t="str">
            <v>Traba el Arma</v>
          </cell>
          <cell r="X705" t="str">
            <v>Pequeña</v>
          </cell>
          <cell r="Y705">
            <v>0</v>
          </cell>
        </row>
        <row r="706">
          <cell r="D706" t="str">
            <v>Mangual</v>
          </cell>
          <cell r="E706">
            <v>80</v>
          </cell>
          <cell r="F706">
            <v>-50</v>
          </cell>
          <cell r="G706">
            <v>10</v>
          </cell>
          <cell r="H706">
            <v>8</v>
          </cell>
          <cell r="I706" t="str">
            <v>CON</v>
          </cell>
          <cell r="J706" t="str">
            <v>-</v>
          </cell>
          <cell r="K706" t="str">
            <v>Maza/Mandoble</v>
          </cell>
          <cell r="L706" t="str">
            <v>Distinta</v>
          </cell>
          <cell r="M706">
            <v>14</v>
          </cell>
          <cell r="N706">
            <v>6</v>
          </cell>
          <cell r="O706">
            <v>20</v>
          </cell>
          <cell r="R706" t="str">
            <v>-</v>
          </cell>
          <cell r="S706" t="str">
            <v>-</v>
          </cell>
          <cell r="T706" t="str">
            <v>-</v>
          </cell>
          <cell r="V706" t="str">
            <v>Compleja</v>
          </cell>
          <cell r="X706" t="str">
            <v>Grande</v>
          </cell>
          <cell r="Y706">
            <v>0</v>
          </cell>
        </row>
        <row r="707">
          <cell r="D707" t="str">
            <v>Martillo de guerra</v>
          </cell>
          <cell r="E707">
            <v>50</v>
          </cell>
          <cell r="F707">
            <v>-5</v>
          </cell>
          <cell r="G707">
            <v>6</v>
          </cell>
          <cell r="H707">
            <v>6</v>
          </cell>
          <cell r="I707" t="str">
            <v>CON</v>
          </cell>
          <cell r="J707" t="str">
            <v>-</v>
          </cell>
          <cell r="K707" t="str">
            <v>Maza/-</v>
          </cell>
          <cell r="L707" t="str">
            <v>Distinta</v>
          </cell>
          <cell r="M707">
            <v>15</v>
          </cell>
          <cell r="N707">
            <v>4</v>
          </cell>
          <cell r="O707">
            <v>15</v>
          </cell>
          <cell r="R707" t="str">
            <v>-</v>
          </cell>
          <cell r="S707" t="str">
            <v>-</v>
          </cell>
          <cell r="T707" t="str">
            <v>-</v>
          </cell>
          <cell r="V707" t="str">
            <v>-</v>
          </cell>
          <cell r="X707" t="str">
            <v>Mediana</v>
          </cell>
          <cell r="Y707">
            <v>0</v>
          </cell>
        </row>
        <row r="708">
          <cell r="D708" t="str">
            <v>Mayal</v>
          </cell>
          <cell r="E708">
            <v>40</v>
          </cell>
          <cell r="F708">
            <v>0</v>
          </cell>
          <cell r="G708">
            <v>6</v>
          </cell>
          <cell r="H708">
            <v>6</v>
          </cell>
          <cell r="I708" t="str">
            <v>CON</v>
          </cell>
          <cell r="J708" t="str">
            <v>-</v>
          </cell>
          <cell r="K708" t="str">
            <v>Maza/Cuerda</v>
          </cell>
          <cell r="L708" t="str">
            <v>Distinta</v>
          </cell>
          <cell r="M708">
            <v>13</v>
          </cell>
          <cell r="N708">
            <v>4</v>
          </cell>
          <cell r="O708">
            <v>15</v>
          </cell>
          <cell r="R708" t="str">
            <v>-</v>
          </cell>
          <cell r="S708" t="str">
            <v>-</v>
          </cell>
          <cell r="T708" t="str">
            <v>-</v>
          </cell>
          <cell r="V708" t="str">
            <v>Compleja</v>
          </cell>
          <cell r="X708" t="str">
            <v>Mediana</v>
          </cell>
          <cell r="Y708">
            <v>0</v>
          </cell>
        </row>
        <row r="709">
          <cell r="D709" t="str">
            <v>Maza Barra</v>
          </cell>
          <cell r="E709">
            <v>50</v>
          </cell>
          <cell r="F709">
            <v>0</v>
          </cell>
          <cell r="G709">
            <v>7</v>
          </cell>
          <cell r="H709">
            <v>6</v>
          </cell>
          <cell r="I709" t="str">
            <v>CON</v>
          </cell>
          <cell r="J709" t="str">
            <v>-</v>
          </cell>
          <cell r="K709" t="str">
            <v>Maza/-</v>
          </cell>
          <cell r="L709" t="str">
            <v>Distinta</v>
          </cell>
          <cell r="M709">
            <v>14</v>
          </cell>
          <cell r="N709">
            <v>4</v>
          </cell>
          <cell r="O709">
            <v>20</v>
          </cell>
          <cell r="R709" t="str">
            <v>-</v>
          </cell>
          <cell r="S709" t="str">
            <v>-</v>
          </cell>
          <cell r="T709" t="str">
            <v>-</v>
          </cell>
          <cell r="V709" t="str">
            <v>A 1 o 2 manos</v>
          </cell>
          <cell r="X709" t="str">
            <v>Mediana</v>
          </cell>
          <cell r="Y709">
            <v>0</v>
          </cell>
        </row>
        <row r="710">
          <cell r="D710" t="str">
            <v>Maza ligera</v>
          </cell>
          <cell r="E710">
            <v>40</v>
          </cell>
          <cell r="F710">
            <v>0</v>
          </cell>
          <cell r="G710">
            <v>6</v>
          </cell>
          <cell r="H710">
            <v>6</v>
          </cell>
          <cell r="I710" t="str">
            <v>CON</v>
          </cell>
          <cell r="J710" t="str">
            <v>-</v>
          </cell>
          <cell r="K710" t="str">
            <v>Maza/-</v>
          </cell>
          <cell r="L710" t="str">
            <v>Distinta</v>
          </cell>
          <cell r="M710">
            <v>14</v>
          </cell>
          <cell r="N710">
            <v>4</v>
          </cell>
          <cell r="O710">
            <v>15</v>
          </cell>
          <cell r="R710" t="str">
            <v>-</v>
          </cell>
          <cell r="S710" t="str">
            <v>-</v>
          </cell>
          <cell r="T710" t="str">
            <v>-</v>
          </cell>
          <cell r="V710" t="str">
            <v>-</v>
          </cell>
          <cell r="X710" t="str">
            <v>Mediana</v>
          </cell>
          <cell r="Y710">
            <v>0</v>
          </cell>
        </row>
        <row r="711">
          <cell r="D711" t="str">
            <v>Maza pesada</v>
          </cell>
          <cell r="E711">
            <v>60</v>
          </cell>
          <cell r="F711">
            <v>-15</v>
          </cell>
          <cell r="G711">
            <v>10</v>
          </cell>
          <cell r="H711">
            <v>6</v>
          </cell>
          <cell r="I711" t="str">
            <v>CON</v>
          </cell>
          <cell r="J711" t="str">
            <v>-</v>
          </cell>
          <cell r="K711" t="str">
            <v>Maza/Mandoble</v>
          </cell>
          <cell r="L711" t="str">
            <v>Distinta</v>
          </cell>
          <cell r="M711">
            <v>16</v>
          </cell>
          <cell r="N711">
            <v>5</v>
          </cell>
          <cell r="O711">
            <v>15</v>
          </cell>
          <cell r="R711" t="str">
            <v>-</v>
          </cell>
          <cell r="S711" t="str">
            <v>-</v>
          </cell>
          <cell r="T711" t="str">
            <v>-</v>
          </cell>
          <cell r="V711" t="str">
            <v>A 1 o 2 manos</v>
          </cell>
          <cell r="X711" t="str">
            <v>Grande</v>
          </cell>
          <cell r="Y711">
            <v>0</v>
          </cell>
        </row>
        <row r="712">
          <cell r="D712" t="str">
            <v>Montante</v>
          </cell>
          <cell r="E712">
            <v>80</v>
          </cell>
          <cell r="F712">
            <v>-50</v>
          </cell>
          <cell r="G712">
            <v>11</v>
          </cell>
          <cell r="H712">
            <v>8</v>
          </cell>
          <cell r="I712" t="str">
            <v>PEN</v>
          </cell>
          <cell r="J712" t="str">
            <v>FIL</v>
          </cell>
          <cell r="K712" t="str">
            <v>Mandoble/-</v>
          </cell>
          <cell r="L712" t="str">
            <v>Distinta</v>
          </cell>
          <cell r="M712">
            <v>18</v>
          </cell>
          <cell r="N712">
            <v>5</v>
          </cell>
          <cell r="O712">
            <v>25</v>
          </cell>
          <cell r="R712" t="str">
            <v>-</v>
          </cell>
          <cell r="S712" t="str">
            <v>-</v>
          </cell>
          <cell r="T712" t="str">
            <v>-</v>
          </cell>
          <cell r="V712" t="str">
            <v>A 2 manos</v>
          </cell>
          <cell r="X712" t="str">
            <v>Grande</v>
          </cell>
          <cell r="Y712">
            <v>0</v>
          </cell>
        </row>
        <row r="713">
          <cell r="D713" t="str">
            <v>Pata</v>
          </cell>
          <cell r="E713">
            <v>40</v>
          </cell>
          <cell r="F713">
            <v>15</v>
          </cell>
          <cell r="G713">
            <v>6</v>
          </cell>
          <cell r="H713" t="str">
            <v>-</v>
          </cell>
          <cell r="I713" t="str">
            <v>FIL</v>
          </cell>
          <cell r="J713" t="str">
            <v>PEN</v>
          </cell>
          <cell r="K713" t="str">
            <v>Corta/-</v>
          </cell>
          <cell r="L713" t="str">
            <v>Distinta</v>
          </cell>
          <cell r="M713">
            <v>13</v>
          </cell>
          <cell r="N713">
            <v>2</v>
          </cell>
          <cell r="O713">
            <v>20</v>
          </cell>
          <cell r="R713" t="str">
            <v>-</v>
          </cell>
          <cell r="S713" t="str">
            <v>-</v>
          </cell>
          <cell r="T713" t="str">
            <v>-</v>
          </cell>
          <cell r="V713" t="str">
            <v>Precisa</v>
          </cell>
          <cell r="X713" t="str">
            <v>Pequeña</v>
          </cell>
          <cell r="Y713">
            <v>0</v>
          </cell>
        </row>
        <row r="714">
          <cell r="D714" t="str">
            <v>Pica</v>
          </cell>
          <cell r="E714">
            <v>60</v>
          </cell>
          <cell r="F714">
            <v>-30</v>
          </cell>
          <cell r="G714" t="str">
            <v>-</v>
          </cell>
          <cell r="H714">
            <v>6</v>
          </cell>
          <cell r="I714" t="str">
            <v>PEN</v>
          </cell>
          <cell r="J714" t="str">
            <v>-</v>
          </cell>
          <cell r="K714" t="str">
            <v>Asta/-</v>
          </cell>
          <cell r="L714" t="str">
            <v>Distinta</v>
          </cell>
          <cell r="M714">
            <v>12</v>
          </cell>
          <cell r="N714">
            <v>4</v>
          </cell>
          <cell r="O714">
            <v>15</v>
          </cell>
          <cell r="R714" t="str">
            <v>-</v>
          </cell>
          <cell r="S714" t="str">
            <v>-</v>
          </cell>
          <cell r="T714" t="str">
            <v>-</v>
          </cell>
          <cell r="V714" t="str">
            <v>A 2  manos, Ver</v>
          </cell>
          <cell r="X714" t="str">
            <v>Grande</v>
          </cell>
          <cell r="Y714">
            <v>0</v>
          </cell>
        </row>
        <row r="715">
          <cell r="D715" t="str">
            <v>Pudao</v>
          </cell>
          <cell r="E715">
            <v>40</v>
          </cell>
          <cell r="F715">
            <v>-5</v>
          </cell>
          <cell r="G715">
            <v>7</v>
          </cell>
          <cell r="H715">
            <v>6</v>
          </cell>
          <cell r="I715" t="str">
            <v>FIL</v>
          </cell>
          <cell r="J715" t="str">
            <v>CON</v>
          </cell>
          <cell r="K715" t="str">
            <v>Asta/-</v>
          </cell>
          <cell r="L715" t="str">
            <v>Distinta</v>
          </cell>
          <cell r="M715">
            <v>12</v>
          </cell>
          <cell r="N715">
            <v>2</v>
          </cell>
          <cell r="O715">
            <v>20</v>
          </cell>
          <cell r="R715" t="str">
            <v>-</v>
          </cell>
          <cell r="S715" t="str">
            <v>-</v>
          </cell>
          <cell r="T715" t="str">
            <v>-</v>
          </cell>
          <cell r="V715" t="str">
            <v>A 1 o 2 manos</v>
          </cell>
          <cell r="X715" t="str">
            <v>Grande</v>
          </cell>
          <cell r="Y715">
            <v>0</v>
          </cell>
        </row>
        <row r="716">
          <cell r="D716" t="str">
            <v>Red</v>
          </cell>
          <cell r="E716">
            <v>5</v>
          </cell>
          <cell r="F716">
            <v>0</v>
          </cell>
          <cell r="G716">
            <v>4</v>
          </cell>
          <cell r="H716">
            <v>4</v>
          </cell>
          <cell r="I716" t="str">
            <v>CON</v>
          </cell>
          <cell r="J716" t="str">
            <v>FIL</v>
          </cell>
          <cell r="K716" t="str">
            <v>Cuerda/-</v>
          </cell>
          <cell r="L716" t="str">
            <v>Distinta</v>
          </cell>
          <cell r="M716">
            <v>13</v>
          </cell>
          <cell r="N716">
            <v>-4</v>
          </cell>
          <cell r="O716">
            <v>15</v>
          </cell>
          <cell r="R716">
            <v>100</v>
          </cell>
          <cell r="S716" t="str">
            <v>-</v>
          </cell>
          <cell r="T716">
            <v>5</v>
          </cell>
          <cell r="V716" t="str">
            <v>Lanzable (100/XXXm), Presa (FUE 10), Ver</v>
          </cell>
          <cell r="X716" t="str">
            <v>Mediana</v>
          </cell>
          <cell r="Y716">
            <v>0</v>
          </cell>
        </row>
        <row r="717">
          <cell r="D717" t="str">
            <v>Sable</v>
          </cell>
          <cell r="E717">
            <v>45</v>
          </cell>
          <cell r="F717">
            <v>10</v>
          </cell>
          <cell r="G717">
            <v>6</v>
          </cell>
          <cell r="H717">
            <v>6</v>
          </cell>
          <cell r="I717" t="str">
            <v>FIL</v>
          </cell>
          <cell r="J717" t="str">
            <v>PEN</v>
          </cell>
          <cell r="K717" t="str">
            <v>Espada/-</v>
          </cell>
          <cell r="L717" t="str">
            <v>Distinta</v>
          </cell>
          <cell r="M717">
            <v>12</v>
          </cell>
          <cell r="N717">
            <v>3</v>
          </cell>
          <cell r="O717">
            <v>20</v>
          </cell>
          <cell r="R717" t="str">
            <v>-</v>
          </cell>
          <cell r="S717" t="str">
            <v>-</v>
          </cell>
          <cell r="T717" t="str">
            <v>-</v>
          </cell>
          <cell r="V717" t="str">
            <v>-</v>
          </cell>
          <cell r="X717" t="str">
            <v>Mediana</v>
          </cell>
          <cell r="Y717">
            <v>0</v>
          </cell>
        </row>
        <row r="718">
          <cell r="D718" t="str">
            <v>Shang Gou</v>
          </cell>
          <cell r="E718">
            <v>40</v>
          </cell>
          <cell r="F718">
            <v>5</v>
          </cell>
          <cell r="G718">
            <v>5</v>
          </cell>
          <cell r="H718">
            <v>5</v>
          </cell>
          <cell r="I718" t="str">
            <v>FIL</v>
          </cell>
          <cell r="J718" t="str">
            <v>-</v>
          </cell>
          <cell r="K718" t="str">
            <v>Espada/-</v>
          </cell>
          <cell r="L718" t="str">
            <v>Distinta</v>
          </cell>
          <cell r="M718">
            <v>12</v>
          </cell>
          <cell r="N718">
            <v>1</v>
          </cell>
          <cell r="O718">
            <v>20</v>
          </cell>
          <cell r="R718" t="str">
            <v>-</v>
          </cell>
          <cell r="S718" t="str">
            <v>-</v>
          </cell>
          <cell r="T718" t="str">
            <v>-</v>
          </cell>
          <cell r="V718" t="str">
            <v>Compleja, Traba el arma, Ver</v>
          </cell>
          <cell r="X718" t="str">
            <v>Mediana</v>
          </cell>
          <cell r="Y718">
            <v>0</v>
          </cell>
        </row>
        <row r="719">
          <cell r="D719" t="str">
            <v>Spatha</v>
          </cell>
          <cell r="E719">
            <v>45</v>
          </cell>
          <cell r="F719">
            <v>5</v>
          </cell>
          <cell r="G719">
            <v>6</v>
          </cell>
          <cell r="H719">
            <v>6</v>
          </cell>
          <cell r="I719" t="str">
            <v>PEN</v>
          </cell>
          <cell r="J719" t="str">
            <v>FIL</v>
          </cell>
          <cell r="K719" t="str">
            <v>Espada/-</v>
          </cell>
          <cell r="L719" t="str">
            <v>Distinta</v>
          </cell>
          <cell r="M719">
            <v>14</v>
          </cell>
          <cell r="N719">
            <v>3</v>
          </cell>
          <cell r="O719">
            <v>20</v>
          </cell>
          <cell r="R719" t="str">
            <v>-</v>
          </cell>
          <cell r="S719" t="str">
            <v>-</v>
          </cell>
          <cell r="T719" t="str">
            <v>-</v>
          </cell>
          <cell r="V719" t="str">
            <v>-</v>
          </cell>
          <cell r="X719" t="str">
            <v>Mediana</v>
          </cell>
          <cell r="Y719">
            <v>0</v>
          </cell>
        </row>
        <row r="720">
          <cell r="D720" t="str">
            <v>Tridente</v>
          </cell>
          <cell r="E720">
            <v>40</v>
          </cell>
          <cell r="F720">
            <v>-10</v>
          </cell>
          <cell r="G720">
            <v>7</v>
          </cell>
          <cell r="H720">
            <v>6</v>
          </cell>
          <cell r="I720" t="str">
            <v>PEN</v>
          </cell>
          <cell r="J720" t="str">
            <v>-</v>
          </cell>
          <cell r="K720" t="str">
            <v>Asta/-</v>
          </cell>
          <cell r="L720" t="str">
            <v>Distinta</v>
          </cell>
          <cell r="M720">
            <v>12</v>
          </cell>
          <cell r="N720">
            <v>3</v>
          </cell>
          <cell r="O720">
            <v>15</v>
          </cell>
          <cell r="R720">
            <v>100</v>
          </cell>
          <cell r="S720" t="str">
            <v>-</v>
          </cell>
          <cell r="T720">
            <v>15</v>
          </cell>
          <cell r="V720" t="str">
            <v>Lanzable (100/XXXm), A 1 o 2 manos</v>
          </cell>
          <cell r="X720" t="str">
            <v>Grande</v>
          </cell>
          <cell r="Y720">
            <v>0</v>
          </cell>
        </row>
        <row r="721">
          <cell r="D721" t="str">
            <v>Turcus</v>
          </cell>
          <cell r="E721">
            <v>40</v>
          </cell>
          <cell r="F721">
            <v>0</v>
          </cell>
          <cell r="G721">
            <v>6</v>
          </cell>
          <cell r="H721">
            <v>6</v>
          </cell>
          <cell r="I721" t="str">
            <v>FIL</v>
          </cell>
          <cell r="J721" t="str">
            <v>-</v>
          </cell>
          <cell r="K721" t="str">
            <v>Lanzamiento/-</v>
          </cell>
          <cell r="L721" t="str">
            <v>Distinta</v>
          </cell>
          <cell r="M721">
            <v>9</v>
          </cell>
          <cell r="N721">
            <v>2</v>
          </cell>
          <cell r="O721">
            <v>20</v>
          </cell>
          <cell r="R721">
            <v>80</v>
          </cell>
          <cell r="S721" t="str">
            <v>-</v>
          </cell>
          <cell r="T721">
            <v>30</v>
          </cell>
          <cell r="V721" t="str">
            <v>Lanzable (80/XXXm), Ver</v>
          </cell>
          <cell r="X721" t="str">
            <v>Mediana</v>
          </cell>
          <cell r="Y721">
            <v>0</v>
          </cell>
        </row>
        <row r="722">
          <cell r="D722" t="str">
            <v>Urumi</v>
          </cell>
          <cell r="E722">
            <v>25</v>
          </cell>
          <cell r="F722">
            <v>15</v>
          </cell>
          <cell r="G722">
            <v>4</v>
          </cell>
          <cell r="H722">
            <v>4</v>
          </cell>
          <cell r="I722" t="str">
            <v>FIL</v>
          </cell>
          <cell r="J722" t="str">
            <v>-</v>
          </cell>
          <cell r="K722" t="str">
            <v>Cuerda/-</v>
          </cell>
          <cell r="L722" t="str">
            <v>Distinta</v>
          </cell>
          <cell r="M722">
            <v>7</v>
          </cell>
          <cell r="N722">
            <v>-3</v>
          </cell>
          <cell r="O722">
            <v>15</v>
          </cell>
          <cell r="R722" t="str">
            <v>-</v>
          </cell>
          <cell r="S722" t="str">
            <v>-</v>
          </cell>
          <cell r="T722" t="str">
            <v>-</v>
          </cell>
          <cell r="V722" t="str">
            <v>Compleja, Ver</v>
          </cell>
          <cell r="X722" t="str">
            <v>Mediana</v>
          </cell>
          <cell r="Y722">
            <v>0</v>
          </cell>
        </row>
        <row r="723">
          <cell r="D723" t="str">
            <v>Valaska</v>
          </cell>
          <cell r="E723">
            <v>40</v>
          </cell>
          <cell r="F723">
            <v>0</v>
          </cell>
          <cell r="G723">
            <v>8</v>
          </cell>
          <cell r="H723">
            <v>5</v>
          </cell>
          <cell r="I723" t="str">
            <v>FIL</v>
          </cell>
          <cell r="J723" t="str">
            <v>CON</v>
          </cell>
          <cell r="K723" t="str">
            <v>Asta/Hacha</v>
          </cell>
          <cell r="L723" t="str">
            <v>Distinta</v>
          </cell>
          <cell r="M723">
            <v>11</v>
          </cell>
          <cell r="N723">
            <v>2</v>
          </cell>
          <cell r="O723">
            <v>20</v>
          </cell>
          <cell r="R723" t="str">
            <v>-</v>
          </cell>
          <cell r="S723" t="str">
            <v>-</v>
          </cell>
          <cell r="T723" t="str">
            <v>-</v>
          </cell>
          <cell r="V723" t="str">
            <v>A 1 o 2 manos</v>
          </cell>
          <cell r="X723" t="str">
            <v>Grande</v>
          </cell>
          <cell r="Y723">
            <v>0</v>
          </cell>
        </row>
        <row r="724">
          <cell r="D724" t="str">
            <v>Vara</v>
          </cell>
          <cell r="E724">
            <v>30</v>
          </cell>
          <cell r="F724">
            <v>10</v>
          </cell>
          <cell r="G724">
            <v>4</v>
          </cell>
          <cell r="H724">
            <v>4</v>
          </cell>
          <cell r="I724" t="str">
            <v>CON</v>
          </cell>
          <cell r="J724" t="str">
            <v>-</v>
          </cell>
          <cell r="K724" t="str">
            <v>Asta/-</v>
          </cell>
          <cell r="L724" t="str">
            <v>Distinta</v>
          </cell>
          <cell r="M724">
            <v>11</v>
          </cell>
          <cell r="N724">
            <v>0</v>
          </cell>
          <cell r="O724">
            <v>30</v>
          </cell>
          <cell r="R724" t="str">
            <v>-</v>
          </cell>
          <cell r="S724" t="str">
            <v>-</v>
          </cell>
          <cell r="T724" t="str">
            <v>-</v>
          </cell>
          <cell r="V724" t="str">
            <v>A 2 manos</v>
          </cell>
          <cell r="X724" t="str">
            <v>Grande</v>
          </cell>
          <cell r="Y724">
            <v>0</v>
          </cell>
        </row>
        <row r="725">
          <cell r="D725" t="str">
            <v>&gt; ESCUDOS</v>
          </cell>
          <cell r="K725" t="str">
            <v>/</v>
          </cell>
        </row>
        <row r="726">
          <cell r="D726" t="str">
            <v>Escudo corporal</v>
          </cell>
          <cell r="E726">
            <v>25</v>
          </cell>
          <cell r="F726">
            <v>-40</v>
          </cell>
          <cell r="G726">
            <v>10</v>
          </cell>
          <cell r="H726">
            <v>10</v>
          </cell>
          <cell r="I726" t="str">
            <v>CON</v>
          </cell>
          <cell r="J726" t="str">
            <v>-</v>
          </cell>
          <cell r="K726" t="str">
            <v>Escudo/-</v>
          </cell>
          <cell r="L726" t="str">
            <v>Distinta</v>
          </cell>
          <cell r="M726">
            <v>18</v>
          </cell>
          <cell r="N726">
            <v>1</v>
          </cell>
          <cell r="O726">
            <v>25</v>
          </cell>
          <cell r="P726">
            <v>30</v>
          </cell>
          <cell r="Q726">
            <v>15</v>
          </cell>
          <cell r="R726" t="str">
            <v>-</v>
          </cell>
          <cell r="S726" t="str">
            <v>-</v>
          </cell>
          <cell r="T726" t="str">
            <v>-</v>
          </cell>
          <cell r="V726" t="str">
            <v>Escudo. -30 HP/-15 HE si se usa para atacar.</v>
          </cell>
          <cell r="Y726">
            <v>0</v>
          </cell>
        </row>
        <row r="727">
          <cell r="D727" t="str">
            <v>Escudo medio</v>
          </cell>
          <cell r="E727">
            <v>20</v>
          </cell>
          <cell r="F727">
            <v>-25</v>
          </cell>
          <cell r="G727">
            <v>7</v>
          </cell>
          <cell r="H727">
            <v>7</v>
          </cell>
          <cell r="I727" t="str">
            <v>CON</v>
          </cell>
          <cell r="J727" t="str">
            <v>-</v>
          </cell>
          <cell r="K727" t="str">
            <v>Escudo/-</v>
          </cell>
          <cell r="L727" t="str">
            <v>Distinta</v>
          </cell>
          <cell r="M727">
            <v>16</v>
          </cell>
          <cell r="N727">
            <v>0</v>
          </cell>
          <cell r="O727">
            <v>25</v>
          </cell>
          <cell r="P727">
            <v>20</v>
          </cell>
          <cell r="Q727">
            <v>10</v>
          </cell>
          <cell r="R727" t="str">
            <v>-</v>
          </cell>
          <cell r="S727" t="str">
            <v>-</v>
          </cell>
          <cell r="T727" t="str">
            <v>-</v>
          </cell>
          <cell r="V727" t="str">
            <v>Escudo. -20 HP/-10 HE si se usa para atacar.</v>
          </cell>
          <cell r="Y727">
            <v>0</v>
          </cell>
        </row>
        <row r="728">
          <cell r="D728" t="str">
            <v>Rodela</v>
          </cell>
          <cell r="E728">
            <v>15</v>
          </cell>
          <cell r="F728">
            <v>-15</v>
          </cell>
          <cell r="G728">
            <v>5</v>
          </cell>
          <cell r="H728">
            <v>5</v>
          </cell>
          <cell r="I728" t="str">
            <v>CON</v>
          </cell>
          <cell r="J728" t="str">
            <v>-</v>
          </cell>
          <cell r="K728" t="str">
            <v>Escudo/-</v>
          </cell>
          <cell r="L728" t="str">
            <v>Distinta</v>
          </cell>
          <cell r="M728">
            <v>14</v>
          </cell>
          <cell r="N728">
            <v>0</v>
          </cell>
          <cell r="O728">
            <v>20</v>
          </cell>
          <cell r="P728">
            <v>10</v>
          </cell>
          <cell r="Q728">
            <v>5</v>
          </cell>
          <cell r="R728" t="str">
            <v>-</v>
          </cell>
          <cell r="S728" t="str">
            <v>-</v>
          </cell>
          <cell r="T728" t="str">
            <v>-</v>
          </cell>
          <cell r="V728" t="str">
            <v>Escudo. -10 HP/-5 HE si se usa para atacar.</v>
          </cell>
          <cell r="Y728">
            <v>0</v>
          </cell>
        </row>
        <row r="729">
          <cell r="D729" t="str">
            <v>&gt; ARMAS EXÓTICAS</v>
          </cell>
          <cell r="K729" t="str">
            <v>/</v>
          </cell>
        </row>
        <row r="730">
          <cell r="D730" t="str">
            <v>Abanico de combate</v>
          </cell>
          <cell r="E730">
            <v>30</v>
          </cell>
          <cell r="F730">
            <v>20</v>
          </cell>
          <cell r="G730">
            <v>4</v>
          </cell>
          <cell r="H730">
            <v>4</v>
          </cell>
          <cell r="I730" t="str">
            <v>FIL</v>
          </cell>
          <cell r="J730" t="str">
            <v>CON</v>
          </cell>
          <cell r="K730" t="str">
            <v>Corta/-</v>
          </cell>
          <cell r="L730" t="str">
            <v>Distinta</v>
          </cell>
          <cell r="M730">
            <v>8</v>
          </cell>
          <cell r="N730">
            <v>0</v>
          </cell>
          <cell r="O730">
            <v>25</v>
          </cell>
          <cell r="R730">
            <v>40</v>
          </cell>
          <cell r="S730" t="str">
            <v>-</v>
          </cell>
          <cell r="T730">
            <v>20</v>
          </cell>
          <cell r="V730" t="str">
            <v>Precisa, Lanzable (40/XXXm)</v>
          </cell>
          <cell r="X730" t="str">
            <v>Pequeña</v>
          </cell>
          <cell r="Y730">
            <v>0</v>
          </cell>
        </row>
        <row r="731">
          <cell r="D731" t="str">
            <v>Anciano de primavera</v>
          </cell>
          <cell r="E731">
            <v>35</v>
          </cell>
          <cell r="F731">
            <v>15</v>
          </cell>
          <cell r="G731">
            <v>4</v>
          </cell>
          <cell r="H731">
            <v>4</v>
          </cell>
          <cell r="I731" t="str">
            <v>FIL</v>
          </cell>
          <cell r="J731" t="str">
            <v>PEN</v>
          </cell>
          <cell r="K731" t="str">
            <v>Asta/-</v>
          </cell>
          <cell r="L731" t="str">
            <v>Distinta</v>
          </cell>
          <cell r="M731">
            <v>12</v>
          </cell>
          <cell r="N731">
            <v>2</v>
          </cell>
          <cell r="O731">
            <v>25</v>
          </cell>
          <cell r="R731" t="str">
            <v>-</v>
          </cell>
          <cell r="S731" t="str">
            <v>-</v>
          </cell>
          <cell r="T731" t="str">
            <v>-</v>
          </cell>
          <cell r="V731" t="str">
            <v>Compleja, A 2 manos, Ver</v>
          </cell>
          <cell r="X731" t="str">
            <v>Grande</v>
          </cell>
          <cell r="Y731">
            <v>0</v>
          </cell>
        </row>
        <row r="732">
          <cell r="D732" t="str">
            <v>Bumerán</v>
          </cell>
          <cell r="E732">
            <v>30</v>
          </cell>
          <cell r="F732">
            <v>10</v>
          </cell>
          <cell r="G732">
            <v>4</v>
          </cell>
          <cell r="H732">
            <v>4</v>
          </cell>
          <cell r="I732" t="str">
            <v>CON</v>
          </cell>
          <cell r="J732" t="str">
            <v>FIL</v>
          </cell>
          <cell r="K732" t="str">
            <v>Corta/-</v>
          </cell>
          <cell r="L732" t="str">
            <v>Distinta</v>
          </cell>
          <cell r="M732">
            <v>10</v>
          </cell>
          <cell r="N732">
            <v>0</v>
          </cell>
          <cell r="O732">
            <v>15</v>
          </cell>
          <cell r="R732">
            <v>60</v>
          </cell>
          <cell r="S732" t="str">
            <v>-</v>
          </cell>
          <cell r="T732">
            <v>20</v>
          </cell>
          <cell r="V732" t="str">
            <v>Lanzable (60/XXXm), Ver</v>
          </cell>
          <cell r="X732" t="str">
            <v>Pequeña</v>
          </cell>
          <cell r="Y732">
            <v>0</v>
          </cell>
        </row>
        <row r="733">
          <cell r="D733" t="str">
            <v>Cuervo</v>
          </cell>
          <cell r="E733">
            <v>35</v>
          </cell>
          <cell r="F733">
            <v>10</v>
          </cell>
          <cell r="G733">
            <v>4</v>
          </cell>
          <cell r="H733">
            <v>4</v>
          </cell>
          <cell r="I733" t="str">
            <v>CON</v>
          </cell>
          <cell r="J733" t="str">
            <v>FIL</v>
          </cell>
          <cell r="K733" t="str">
            <v>Corta/-</v>
          </cell>
          <cell r="L733" t="str">
            <v>Distinta</v>
          </cell>
          <cell r="M733">
            <v>11</v>
          </cell>
          <cell r="N733">
            <v>2</v>
          </cell>
          <cell r="O733">
            <v>25</v>
          </cell>
          <cell r="R733" t="str">
            <v>-</v>
          </cell>
          <cell r="S733" t="str">
            <v>-</v>
          </cell>
          <cell r="T733" t="str">
            <v>-</v>
          </cell>
          <cell r="V733" t="str">
            <v>Compleja, Precisa, Ver</v>
          </cell>
          <cell r="X733" t="str">
            <v>Pequeña</v>
          </cell>
          <cell r="Y733">
            <v>0</v>
          </cell>
        </row>
        <row r="734">
          <cell r="D734" t="str">
            <v>Garras</v>
          </cell>
          <cell r="E734">
            <v>30</v>
          </cell>
          <cell r="F734">
            <v>15</v>
          </cell>
          <cell r="G734">
            <v>4</v>
          </cell>
          <cell r="H734">
            <v>4</v>
          </cell>
          <cell r="I734" t="str">
            <v>FIL</v>
          </cell>
          <cell r="J734" t="str">
            <v>PEN</v>
          </cell>
          <cell r="K734" t="str">
            <v>Corta/-</v>
          </cell>
          <cell r="L734" t="str">
            <v>Distinta</v>
          </cell>
          <cell r="M734">
            <v>12</v>
          </cell>
          <cell r="N734">
            <v>2</v>
          </cell>
          <cell r="O734">
            <v>15</v>
          </cell>
          <cell r="R734" t="str">
            <v>-</v>
          </cell>
          <cell r="S734" t="str">
            <v>-</v>
          </cell>
          <cell r="T734" t="str">
            <v>-</v>
          </cell>
          <cell r="V734" t="str">
            <v>-</v>
          </cell>
          <cell r="X734" t="str">
            <v>Pequeña</v>
          </cell>
          <cell r="Y734">
            <v>0</v>
          </cell>
        </row>
        <row r="735">
          <cell r="D735" t="str">
            <v>Katana</v>
          </cell>
          <cell r="E735">
            <v>50</v>
          </cell>
          <cell r="F735">
            <v>0</v>
          </cell>
          <cell r="G735">
            <v>6</v>
          </cell>
          <cell r="H735">
            <v>5</v>
          </cell>
          <cell r="I735" t="str">
            <v>FIL</v>
          </cell>
          <cell r="J735" t="str">
            <v>-</v>
          </cell>
          <cell r="K735" t="str">
            <v>Espada/-</v>
          </cell>
          <cell r="L735" t="str">
            <v>Distinta</v>
          </cell>
          <cell r="M735">
            <v>11</v>
          </cell>
          <cell r="N735">
            <v>3</v>
          </cell>
          <cell r="O735">
            <v>40</v>
          </cell>
          <cell r="R735" t="str">
            <v>-</v>
          </cell>
          <cell r="S735" t="str">
            <v>-</v>
          </cell>
          <cell r="T735" t="str">
            <v>-</v>
          </cell>
          <cell r="V735" t="str">
            <v>A 1 o 2 manos</v>
          </cell>
          <cell r="X735" t="str">
            <v>Mediana</v>
          </cell>
          <cell r="Y735">
            <v>0</v>
          </cell>
        </row>
        <row r="736">
          <cell r="D736" t="str">
            <v>Katana de doble hoja</v>
          </cell>
          <cell r="E736">
            <v>55</v>
          </cell>
          <cell r="F736">
            <v>-5</v>
          </cell>
          <cell r="G736">
            <v>8</v>
          </cell>
          <cell r="H736">
            <v>8</v>
          </cell>
          <cell r="I736" t="str">
            <v>FIL</v>
          </cell>
          <cell r="J736" t="str">
            <v>-</v>
          </cell>
          <cell r="K736" t="str">
            <v>Espada/-</v>
          </cell>
          <cell r="L736" t="str">
            <v>Distinta</v>
          </cell>
          <cell r="M736">
            <v>11</v>
          </cell>
          <cell r="N736">
            <v>3</v>
          </cell>
          <cell r="O736">
            <v>40</v>
          </cell>
          <cell r="R736" t="str">
            <v>-</v>
          </cell>
          <cell r="S736" t="str">
            <v>-</v>
          </cell>
          <cell r="T736" t="str">
            <v>-</v>
          </cell>
          <cell r="V736" t="str">
            <v>A 2 manos. Permite ataque extra con -10</v>
          </cell>
          <cell r="X736" t="str">
            <v>Mediana</v>
          </cell>
          <cell r="Y736">
            <v>0</v>
          </cell>
        </row>
        <row r="737">
          <cell r="D737" t="str">
            <v>Katar</v>
          </cell>
          <cell r="E737">
            <v>40</v>
          </cell>
          <cell r="F737">
            <v>10</v>
          </cell>
          <cell r="G737">
            <v>8</v>
          </cell>
          <cell r="H737">
            <v>8</v>
          </cell>
          <cell r="I737" t="str">
            <v>PEN</v>
          </cell>
          <cell r="J737" t="str">
            <v>FIL</v>
          </cell>
          <cell r="K737" t="str">
            <v>Corta/-</v>
          </cell>
          <cell r="L737" t="str">
            <v>Distinta</v>
          </cell>
          <cell r="M737">
            <v>13</v>
          </cell>
          <cell r="N737">
            <v>3</v>
          </cell>
          <cell r="O737">
            <v>25</v>
          </cell>
          <cell r="R737" t="str">
            <v>-</v>
          </cell>
          <cell r="S737" t="str">
            <v>-</v>
          </cell>
          <cell r="T737" t="str">
            <v>-</v>
          </cell>
          <cell r="V737" t="str">
            <v>Compleja, Ver</v>
          </cell>
          <cell r="X737" t="str">
            <v>Pequeña</v>
          </cell>
          <cell r="Y737">
            <v>0</v>
          </cell>
        </row>
        <row r="738">
          <cell r="D738" t="str">
            <v>Kusari-Gama</v>
          </cell>
          <cell r="E738">
            <v>40</v>
          </cell>
          <cell r="F738">
            <v>5</v>
          </cell>
          <cell r="G738">
            <v>5</v>
          </cell>
          <cell r="H738">
            <v>5</v>
          </cell>
          <cell r="I738" t="str">
            <v>FIL</v>
          </cell>
          <cell r="J738" t="str">
            <v>CON</v>
          </cell>
          <cell r="K738" t="str">
            <v>Corta/Cuerda</v>
          </cell>
          <cell r="L738" t="str">
            <v>Distinta</v>
          </cell>
          <cell r="M738">
            <v>12</v>
          </cell>
          <cell r="N738">
            <v>4</v>
          </cell>
          <cell r="O738">
            <v>25</v>
          </cell>
          <cell r="R738" t="str">
            <v>-</v>
          </cell>
          <cell r="S738" t="str">
            <v>-</v>
          </cell>
          <cell r="T738" t="str">
            <v>-</v>
          </cell>
          <cell r="V738" t="str">
            <v>A 2 manos, Presa (FUE 8), Ver</v>
          </cell>
          <cell r="X738" t="str">
            <v>Pequeña</v>
          </cell>
          <cell r="Y738">
            <v>0</v>
          </cell>
        </row>
        <row r="739">
          <cell r="D739" t="str">
            <v>Nodachi</v>
          </cell>
          <cell r="E739">
            <v>80</v>
          </cell>
          <cell r="F739">
            <v>-35</v>
          </cell>
          <cell r="G739">
            <v>10</v>
          </cell>
          <cell r="H739">
            <v>8</v>
          </cell>
          <cell r="I739" t="str">
            <v>FIL</v>
          </cell>
          <cell r="J739" t="str">
            <v>-</v>
          </cell>
          <cell r="K739" t="str">
            <v>Mandoble/-</v>
          </cell>
          <cell r="L739" t="str">
            <v>Distinta</v>
          </cell>
          <cell r="M739">
            <v>14</v>
          </cell>
          <cell r="N739">
            <v>4</v>
          </cell>
          <cell r="O739">
            <v>40</v>
          </cell>
          <cell r="R739" t="str">
            <v>-</v>
          </cell>
          <cell r="S739" t="str">
            <v>-</v>
          </cell>
          <cell r="T739" t="str">
            <v>-</v>
          </cell>
          <cell r="V739" t="str">
            <v>A 1 o 2 manos</v>
          </cell>
          <cell r="X739" t="str">
            <v>Grande</v>
          </cell>
          <cell r="Y739">
            <v>0</v>
          </cell>
        </row>
        <row r="740">
          <cell r="D740" t="str">
            <v>Nunchaku</v>
          </cell>
          <cell r="E740">
            <v>30</v>
          </cell>
          <cell r="F740">
            <v>15</v>
          </cell>
          <cell r="G740">
            <v>5</v>
          </cell>
          <cell r="H740">
            <v>5</v>
          </cell>
          <cell r="I740" t="str">
            <v>CON</v>
          </cell>
          <cell r="J740" t="str">
            <v>-</v>
          </cell>
          <cell r="K740" t="str">
            <v>Cuerda/-</v>
          </cell>
          <cell r="L740" t="str">
            <v>Distinta</v>
          </cell>
          <cell r="M740">
            <v>11</v>
          </cell>
          <cell r="N740">
            <v>0</v>
          </cell>
          <cell r="O740">
            <v>15</v>
          </cell>
          <cell r="R740" t="str">
            <v>-</v>
          </cell>
          <cell r="S740" t="str">
            <v>-</v>
          </cell>
          <cell r="T740" t="str">
            <v>-</v>
          </cell>
          <cell r="V740" t="str">
            <v>-</v>
          </cell>
          <cell r="X740" t="str">
            <v>Mediana</v>
          </cell>
          <cell r="Y740">
            <v>0</v>
          </cell>
        </row>
        <row r="741">
          <cell r="D741" t="str">
            <v>Quebradora</v>
          </cell>
          <cell r="E741">
            <v>50</v>
          </cell>
          <cell r="F741">
            <v>-20</v>
          </cell>
          <cell r="G741">
            <v>10</v>
          </cell>
          <cell r="H741">
            <v>8</v>
          </cell>
          <cell r="I741" t="str">
            <v>CON</v>
          </cell>
          <cell r="J741" t="str">
            <v>FIL</v>
          </cell>
          <cell r="K741" t="str">
            <v>Mandoble/-</v>
          </cell>
          <cell r="L741" t="str">
            <v>Distinta</v>
          </cell>
          <cell r="M741">
            <v>16</v>
          </cell>
          <cell r="N741">
            <v>8</v>
          </cell>
          <cell r="O741">
            <v>25</v>
          </cell>
          <cell r="R741" t="str">
            <v>-</v>
          </cell>
          <cell r="S741" t="str">
            <v>-</v>
          </cell>
          <cell r="T741" t="str">
            <v>-</v>
          </cell>
          <cell r="V741" t="str">
            <v>A 1 o 2 manos</v>
          </cell>
          <cell r="X741" t="str">
            <v>Grande</v>
          </cell>
          <cell r="Y741">
            <v>0</v>
          </cell>
        </row>
        <row r="742">
          <cell r="D742" t="str">
            <v>Sai</v>
          </cell>
          <cell r="E742">
            <v>35</v>
          </cell>
          <cell r="F742">
            <v>15</v>
          </cell>
          <cell r="G742">
            <v>4</v>
          </cell>
          <cell r="H742">
            <v>4</v>
          </cell>
          <cell r="I742" t="str">
            <v>PEN</v>
          </cell>
          <cell r="J742" t="str">
            <v>FIL</v>
          </cell>
          <cell r="K742" t="str">
            <v>Corta/-</v>
          </cell>
          <cell r="L742" t="str">
            <v>Distinta</v>
          </cell>
          <cell r="M742">
            <v>12</v>
          </cell>
          <cell r="N742">
            <v>0</v>
          </cell>
          <cell r="O742">
            <v>25</v>
          </cell>
          <cell r="R742" t="str">
            <v>-</v>
          </cell>
          <cell r="S742" t="str">
            <v>-</v>
          </cell>
          <cell r="T742" t="str">
            <v>-</v>
          </cell>
          <cell r="V742" t="str">
            <v>Precisa, Traba</v>
          </cell>
          <cell r="X742" t="str">
            <v>Pequeña</v>
          </cell>
          <cell r="Y742">
            <v>0</v>
          </cell>
        </row>
        <row r="743">
          <cell r="D743" t="str">
            <v>Shuko</v>
          </cell>
          <cell r="E743">
            <v>20</v>
          </cell>
          <cell r="F743">
            <v>10</v>
          </cell>
          <cell r="G743">
            <v>4</v>
          </cell>
          <cell r="H743">
            <v>4</v>
          </cell>
          <cell r="I743" t="str">
            <v>PEN</v>
          </cell>
          <cell r="J743" t="str">
            <v>-</v>
          </cell>
          <cell r="K743" t="str">
            <v>Corta/-</v>
          </cell>
          <cell r="L743" t="str">
            <v>Distinta</v>
          </cell>
          <cell r="M743">
            <v>9</v>
          </cell>
          <cell r="N743">
            <v>-2</v>
          </cell>
          <cell r="O743">
            <v>25</v>
          </cell>
          <cell r="R743" t="str">
            <v>-</v>
          </cell>
          <cell r="S743" t="str">
            <v>-</v>
          </cell>
          <cell r="T743" t="str">
            <v>-</v>
          </cell>
          <cell r="V743" t="str">
            <v>Ver</v>
          </cell>
          <cell r="X743" t="str">
            <v>Pequeña</v>
          </cell>
          <cell r="Y743">
            <v>0</v>
          </cell>
        </row>
        <row r="744">
          <cell r="D744" t="str">
            <v>Shuriken</v>
          </cell>
          <cell r="E744">
            <v>25</v>
          </cell>
          <cell r="F744">
            <v>20</v>
          </cell>
          <cell r="G744">
            <v>4</v>
          </cell>
          <cell r="H744">
            <v>4</v>
          </cell>
          <cell r="I744" t="str">
            <v>FIL</v>
          </cell>
          <cell r="J744" t="str">
            <v>PEN</v>
          </cell>
          <cell r="K744" t="str">
            <v>Corta/-</v>
          </cell>
          <cell r="L744" t="str">
            <v>Distinta</v>
          </cell>
          <cell r="M744">
            <v>10</v>
          </cell>
          <cell r="N744">
            <v>1</v>
          </cell>
          <cell r="O744">
            <v>20</v>
          </cell>
          <cell r="R744">
            <v>30</v>
          </cell>
          <cell r="S744" t="str">
            <v>-</v>
          </cell>
          <cell r="T744">
            <v>20</v>
          </cell>
          <cell r="V744" t="str">
            <v>Lanzable (30/XXXm)</v>
          </cell>
          <cell r="X744" t="str">
            <v>Pequeña</v>
          </cell>
          <cell r="Y744">
            <v>0</v>
          </cell>
        </row>
        <row r="745">
          <cell r="D745" t="str">
            <v>Tanto</v>
          </cell>
          <cell r="E745">
            <v>40</v>
          </cell>
          <cell r="F745">
            <v>20</v>
          </cell>
          <cell r="G745">
            <v>3</v>
          </cell>
          <cell r="H745">
            <v>3</v>
          </cell>
          <cell r="I745" t="str">
            <v>FIL</v>
          </cell>
          <cell r="J745" t="str">
            <v>-</v>
          </cell>
          <cell r="K745" t="str">
            <v>Corta/-</v>
          </cell>
          <cell r="L745" t="str">
            <v>Distinta</v>
          </cell>
          <cell r="M745">
            <v>9</v>
          </cell>
          <cell r="N745">
            <v>1</v>
          </cell>
          <cell r="O745">
            <v>40</v>
          </cell>
          <cell r="R745" t="str">
            <v>-</v>
          </cell>
          <cell r="S745" t="str">
            <v>-</v>
          </cell>
          <cell r="T745" t="str">
            <v>-</v>
          </cell>
          <cell r="V745" t="str">
            <v>Precisa</v>
          </cell>
          <cell r="X745" t="str">
            <v>Pequeña</v>
          </cell>
          <cell r="Y745">
            <v>0</v>
          </cell>
        </row>
        <row r="746">
          <cell r="D746" t="str">
            <v>Tonfa</v>
          </cell>
          <cell r="E746">
            <v>30</v>
          </cell>
          <cell r="F746">
            <v>20</v>
          </cell>
          <cell r="G746">
            <v>4</v>
          </cell>
          <cell r="H746">
            <v>4</v>
          </cell>
          <cell r="I746" t="str">
            <v>CON</v>
          </cell>
          <cell r="J746" t="str">
            <v>-</v>
          </cell>
          <cell r="K746" t="str">
            <v>Corta/-</v>
          </cell>
          <cell r="L746" t="str">
            <v>Distinta</v>
          </cell>
          <cell r="M746">
            <v>13</v>
          </cell>
          <cell r="N746">
            <v>0</v>
          </cell>
          <cell r="O746">
            <v>25</v>
          </cell>
          <cell r="R746" t="str">
            <v>-</v>
          </cell>
          <cell r="S746" t="str">
            <v>-</v>
          </cell>
          <cell r="T746" t="str">
            <v>-</v>
          </cell>
          <cell r="V746" t="str">
            <v>Precisa</v>
          </cell>
          <cell r="X746" t="str">
            <v>Pequeña</v>
          </cell>
          <cell r="Y746">
            <v>0</v>
          </cell>
        </row>
        <row r="747">
          <cell r="D747" t="str">
            <v>Boku-to</v>
          </cell>
          <cell r="E747">
            <v>25</v>
          </cell>
          <cell r="F747">
            <v>0</v>
          </cell>
          <cell r="G747">
            <v>6</v>
          </cell>
          <cell r="H747">
            <v>5</v>
          </cell>
          <cell r="I747" t="str">
            <v>CON</v>
          </cell>
          <cell r="J747" t="str">
            <v>-</v>
          </cell>
          <cell r="K747" t="str">
            <v>Espada/-</v>
          </cell>
          <cell r="L747" t="str">
            <v>Distinta</v>
          </cell>
          <cell r="M747">
            <v>8</v>
          </cell>
          <cell r="N747">
            <v>-1</v>
          </cell>
          <cell r="O747">
            <v>15</v>
          </cell>
          <cell r="R747" t="str">
            <v>-</v>
          </cell>
          <cell r="S747" t="str">
            <v>-</v>
          </cell>
          <cell r="T747" t="str">
            <v>-</v>
          </cell>
          <cell r="V747" t="str">
            <v>1 o 2 manos, Ver</v>
          </cell>
          <cell r="X747" t="str">
            <v>Mediana</v>
          </cell>
          <cell r="Y747">
            <v>0</v>
          </cell>
        </row>
        <row r="748">
          <cell r="D748" t="str">
            <v>Jutte</v>
          </cell>
          <cell r="E748">
            <v>20</v>
          </cell>
          <cell r="F748">
            <v>15</v>
          </cell>
          <cell r="G748">
            <v>4</v>
          </cell>
          <cell r="H748">
            <v>4</v>
          </cell>
          <cell r="I748" t="str">
            <v>CON</v>
          </cell>
          <cell r="J748" t="str">
            <v>-</v>
          </cell>
          <cell r="K748" t="str">
            <v>Corta/-</v>
          </cell>
          <cell r="L748" t="str">
            <v>Distinta</v>
          </cell>
          <cell r="M748">
            <v>13</v>
          </cell>
          <cell r="N748">
            <v>2</v>
          </cell>
          <cell r="O748">
            <v>20</v>
          </cell>
          <cell r="R748" t="str">
            <v>-</v>
          </cell>
          <cell r="S748" t="str">
            <v>-</v>
          </cell>
          <cell r="T748" t="str">
            <v>-</v>
          </cell>
          <cell r="V748" t="str">
            <v>Traba el arma</v>
          </cell>
          <cell r="X748" t="str">
            <v>Pequeña</v>
          </cell>
          <cell r="Y748">
            <v>0</v>
          </cell>
        </row>
        <row r="749">
          <cell r="D749" t="str">
            <v>Kama</v>
          </cell>
          <cell r="E749">
            <v>40</v>
          </cell>
          <cell r="F749">
            <v>5</v>
          </cell>
          <cell r="G749">
            <v>4</v>
          </cell>
          <cell r="H749">
            <v>4</v>
          </cell>
          <cell r="I749" t="str">
            <v>FIL</v>
          </cell>
          <cell r="J749" t="str">
            <v>PEN</v>
          </cell>
          <cell r="K749" t="str">
            <v>Corta/-</v>
          </cell>
          <cell r="L749" t="str">
            <v>Distinta</v>
          </cell>
          <cell r="M749">
            <v>12</v>
          </cell>
          <cell r="N749">
            <v>1</v>
          </cell>
          <cell r="O749">
            <v>20</v>
          </cell>
          <cell r="R749" t="str">
            <v>-</v>
          </cell>
          <cell r="S749" t="str">
            <v>-</v>
          </cell>
          <cell r="T749" t="str">
            <v>-</v>
          </cell>
          <cell r="V749" t="str">
            <v>-</v>
          </cell>
          <cell r="X749" t="str">
            <v>Pequeña</v>
          </cell>
          <cell r="Y749">
            <v>0</v>
          </cell>
        </row>
        <row r="750">
          <cell r="D750" t="str">
            <v>Kau Sin Ke</v>
          </cell>
          <cell r="E750">
            <v>30</v>
          </cell>
          <cell r="F750">
            <v>0</v>
          </cell>
          <cell r="G750">
            <v>6</v>
          </cell>
          <cell r="H750">
            <v>6</v>
          </cell>
          <cell r="I750" t="str">
            <v>CON</v>
          </cell>
          <cell r="J750" t="str">
            <v>-</v>
          </cell>
          <cell r="K750" t="str">
            <v>Cuerda/-</v>
          </cell>
          <cell r="L750" t="str">
            <v>Distinta</v>
          </cell>
          <cell r="M750">
            <v>13</v>
          </cell>
          <cell r="N750">
            <v>3</v>
          </cell>
          <cell r="O750">
            <v>20</v>
          </cell>
          <cell r="R750" t="str">
            <v>-</v>
          </cell>
          <cell r="S750" t="str">
            <v>-</v>
          </cell>
          <cell r="T750" t="str">
            <v>-</v>
          </cell>
          <cell r="V750" t="str">
            <v>Compleja,Presa (FUE 8)</v>
          </cell>
          <cell r="X750" t="str">
            <v>Mediana</v>
          </cell>
          <cell r="Y750">
            <v>0</v>
          </cell>
        </row>
        <row r="751">
          <cell r="D751" t="str">
            <v>Kiseru</v>
          </cell>
          <cell r="E751">
            <v>20</v>
          </cell>
          <cell r="F751">
            <v>15</v>
          </cell>
          <cell r="G751">
            <v>4</v>
          </cell>
          <cell r="H751">
            <v>4</v>
          </cell>
          <cell r="I751" t="str">
            <v>CON</v>
          </cell>
          <cell r="J751" t="str">
            <v>-</v>
          </cell>
          <cell r="K751" t="str">
            <v>Maza/-</v>
          </cell>
          <cell r="L751" t="str">
            <v>Distinta</v>
          </cell>
          <cell r="M751">
            <v>13</v>
          </cell>
          <cell r="N751">
            <v>3</v>
          </cell>
          <cell r="O751">
            <v>20</v>
          </cell>
          <cell r="R751" t="str">
            <v>-</v>
          </cell>
          <cell r="S751" t="str">
            <v>-</v>
          </cell>
          <cell r="T751" t="str">
            <v>-</v>
          </cell>
          <cell r="V751" t="str">
            <v>-</v>
          </cell>
          <cell r="X751" t="str">
            <v>Mediana</v>
          </cell>
          <cell r="Y751">
            <v>0</v>
          </cell>
        </row>
        <row r="752">
          <cell r="D752" t="str">
            <v>Kris</v>
          </cell>
          <cell r="E752">
            <v>30</v>
          </cell>
          <cell r="F752">
            <v>15</v>
          </cell>
          <cell r="G752">
            <v>4</v>
          </cell>
          <cell r="H752">
            <v>4</v>
          </cell>
          <cell r="I752" t="str">
            <v>PEN</v>
          </cell>
          <cell r="J752" t="str">
            <v>FIL</v>
          </cell>
          <cell r="K752" t="str">
            <v>Corta/-</v>
          </cell>
          <cell r="L752" t="str">
            <v>Distinta</v>
          </cell>
          <cell r="M752">
            <v>11</v>
          </cell>
          <cell r="N752">
            <v>1</v>
          </cell>
          <cell r="O752">
            <v>20</v>
          </cell>
          <cell r="R752" t="str">
            <v>-</v>
          </cell>
          <cell r="S752" t="str">
            <v>-</v>
          </cell>
          <cell r="T752" t="str">
            <v>-</v>
          </cell>
          <cell r="V752" t="str">
            <v>Precisa</v>
          </cell>
          <cell r="X752" t="str">
            <v>Pequeña</v>
          </cell>
          <cell r="Y752">
            <v>0</v>
          </cell>
        </row>
        <row r="753">
          <cell r="D753" t="str">
            <v>Kumade</v>
          </cell>
          <cell r="E753">
            <v>35</v>
          </cell>
          <cell r="F753">
            <v>-10</v>
          </cell>
          <cell r="G753">
            <v>4</v>
          </cell>
          <cell r="H753">
            <v>4</v>
          </cell>
          <cell r="I753" t="str">
            <v>PEN</v>
          </cell>
          <cell r="J753" t="str">
            <v>-</v>
          </cell>
          <cell r="K753" t="str">
            <v>Asta/-</v>
          </cell>
          <cell r="L753" t="str">
            <v>Distinta</v>
          </cell>
          <cell r="M753">
            <v>13</v>
          </cell>
          <cell r="N753">
            <v>2</v>
          </cell>
          <cell r="O753">
            <v>25</v>
          </cell>
          <cell r="R753" t="str">
            <v>-</v>
          </cell>
          <cell r="S753" t="str">
            <v>-</v>
          </cell>
          <cell r="T753" t="str">
            <v>-</v>
          </cell>
          <cell r="V753" t="str">
            <v>Ver</v>
          </cell>
          <cell r="X753" t="str">
            <v>Grande</v>
          </cell>
          <cell r="Y753">
            <v>0</v>
          </cell>
        </row>
        <row r="754">
          <cell r="D754" t="str">
            <v>Kunai</v>
          </cell>
          <cell r="E754">
            <v>25</v>
          </cell>
          <cell r="F754">
            <v>20</v>
          </cell>
          <cell r="G754">
            <v>4</v>
          </cell>
          <cell r="H754">
            <v>4</v>
          </cell>
          <cell r="I754" t="str">
            <v>PEN</v>
          </cell>
          <cell r="J754" t="str">
            <v>-</v>
          </cell>
          <cell r="K754" t="str">
            <v>Corta/-</v>
          </cell>
          <cell r="L754" t="str">
            <v>Distinta</v>
          </cell>
          <cell r="M754">
            <v>10</v>
          </cell>
          <cell r="N754">
            <v>2</v>
          </cell>
          <cell r="O754">
            <v>15</v>
          </cell>
          <cell r="R754">
            <v>40</v>
          </cell>
          <cell r="S754" t="str">
            <v>-</v>
          </cell>
          <cell r="T754">
            <v>20</v>
          </cell>
          <cell r="V754" t="str">
            <v>Lanzable (40/XXXm)</v>
          </cell>
          <cell r="X754" t="str">
            <v>Pequeña</v>
          </cell>
          <cell r="Y754">
            <v>0</v>
          </cell>
        </row>
        <row r="755">
          <cell r="D755" t="str">
            <v>Kyoketsu-shogui</v>
          </cell>
          <cell r="E755">
            <v>25</v>
          </cell>
          <cell r="F755">
            <v>10</v>
          </cell>
          <cell r="G755">
            <v>4</v>
          </cell>
          <cell r="H755">
            <v>4</v>
          </cell>
          <cell r="I755" t="str">
            <v>PEN</v>
          </cell>
          <cell r="J755" t="str">
            <v>-</v>
          </cell>
          <cell r="K755" t="str">
            <v>Corta/Cuerda</v>
          </cell>
          <cell r="L755" t="str">
            <v>Distinta</v>
          </cell>
          <cell r="M755">
            <v>9</v>
          </cell>
          <cell r="N755">
            <v>-3</v>
          </cell>
          <cell r="O755">
            <v>20</v>
          </cell>
          <cell r="R755" t="str">
            <v>-</v>
          </cell>
          <cell r="S755" t="str">
            <v>-</v>
          </cell>
          <cell r="T755" t="str">
            <v>-</v>
          </cell>
          <cell r="V755" t="str">
            <v>Presa (Fuerza 7),Ver</v>
          </cell>
          <cell r="X755" t="str">
            <v>Pequeña</v>
          </cell>
          <cell r="Y755">
            <v>0</v>
          </cell>
        </row>
        <row r="756">
          <cell r="D756" t="str">
            <v>Lajatang</v>
          </cell>
          <cell r="E756">
            <v>40</v>
          </cell>
          <cell r="F756">
            <v>-5</v>
          </cell>
          <cell r="G756">
            <v>6</v>
          </cell>
          <cell r="H756">
            <v>6</v>
          </cell>
          <cell r="I756" t="str">
            <v>FIL</v>
          </cell>
          <cell r="J756" t="str">
            <v>-</v>
          </cell>
          <cell r="K756" t="str">
            <v>Asta/-</v>
          </cell>
          <cell r="L756" t="str">
            <v>Distinta</v>
          </cell>
          <cell r="M756">
            <v>13</v>
          </cell>
          <cell r="N756">
            <v>3</v>
          </cell>
          <cell r="O756">
            <v>25</v>
          </cell>
          <cell r="R756" t="str">
            <v>-</v>
          </cell>
          <cell r="S756" t="str">
            <v>-</v>
          </cell>
          <cell r="T756" t="str">
            <v>-</v>
          </cell>
          <cell r="V756" t="str">
            <v>Compleja, 2 manos, Ver</v>
          </cell>
          <cell r="X756" t="str">
            <v>Grande</v>
          </cell>
          <cell r="Y756">
            <v>0</v>
          </cell>
        </row>
        <row r="757">
          <cell r="D757" t="str">
            <v>Nagimaki</v>
          </cell>
          <cell r="E757">
            <v>40</v>
          </cell>
          <cell r="F757">
            <v>10</v>
          </cell>
          <cell r="G757">
            <v>6</v>
          </cell>
          <cell r="H757">
            <v>6</v>
          </cell>
          <cell r="I757" t="str">
            <v>FIL</v>
          </cell>
          <cell r="J757" t="str">
            <v>-</v>
          </cell>
          <cell r="K757" t="str">
            <v>Asta/-</v>
          </cell>
          <cell r="L757" t="str">
            <v>Distinta</v>
          </cell>
          <cell r="M757">
            <v>12</v>
          </cell>
          <cell r="N757">
            <v>2</v>
          </cell>
          <cell r="O757">
            <v>20</v>
          </cell>
          <cell r="R757" t="str">
            <v>-</v>
          </cell>
          <cell r="S757" t="str">
            <v>-</v>
          </cell>
          <cell r="T757" t="str">
            <v>-</v>
          </cell>
          <cell r="V757" t="str">
            <v>A 2  manos</v>
          </cell>
          <cell r="X757" t="str">
            <v>Grande</v>
          </cell>
          <cell r="Y757">
            <v>0</v>
          </cell>
        </row>
        <row r="758">
          <cell r="D758" t="str">
            <v>Naginata</v>
          </cell>
          <cell r="E758">
            <v>55</v>
          </cell>
          <cell r="F758">
            <v>-10</v>
          </cell>
          <cell r="G758">
            <v>8</v>
          </cell>
          <cell r="H758">
            <v>6</v>
          </cell>
          <cell r="I758" t="str">
            <v>FIL</v>
          </cell>
          <cell r="J758" t="str">
            <v>PEN</v>
          </cell>
          <cell r="K758" t="str">
            <v>Asta/-</v>
          </cell>
          <cell r="L758" t="str">
            <v>Distinta</v>
          </cell>
          <cell r="M758">
            <v>13</v>
          </cell>
          <cell r="N758">
            <v>3</v>
          </cell>
          <cell r="O758">
            <v>25</v>
          </cell>
          <cell r="R758" t="str">
            <v>-</v>
          </cell>
          <cell r="S758" t="str">
            <v>-</v>
          </cell>
          <cell r="T758" t="str">
            <v>-</v>
          </cell>
          <cell r="V758" t="str">
            <v>A 1 o 2 manos</v>
          </cell>
          <cell r="X758" t="str">
            <v>Grande</v>
          </cell>
          <cell r="Y758">
            <v>0</v>
          </cell>
        </row>
        <row r="759">
          <cell r="D759" t="str">
            <v>Ninja-to</v>
          </cell>
          <cell r="E759">
            <v>45</v>
          </cell>
          <cell r="F759">
            <v>10</v>
          </cell>
          <cell r="G759">
            <v>4</v>
          </cell>
          <cell r="H759">
            <v>4</v>
          </cell>
          <cell r="I759" t="str">
            <v>FIL</v>
          </cell>
          <cell r="J759" t="str">
            <v>PEN</v>
          </cell>
          <cell r="K759" t="str">
            <v>Espada/-</v>
          </cell>
          <cell r="L759" t="str">
            <v>Distinta</v>
          </cell>
          <cell r="M759">
            <v>12</v>
          </cell>
          <cell r="N759">
            <v>1</v>
          </cell>
          <cell r="O759">
            <v>25</v>
          </cell>
          <cell r="R759" t="str">
            <v>-</v>
          </cell>
          <cell r="S759" t="str">
            <v>-</v>
          </cell>
          <cell r="T759" t="str">
            <v>-</v>
          </cell>
          <cell r="V759" t="str">
            <v>-</v>
          </cell>
          <cell r="X759" t="str">
            <v>Mediana</v>
          </cell>
          <cell r="Y759">
            <v>0</v>
          </cell>
        </row>
        <row r="760">
          <cell r="D760" t="str">
            <v>Ram Dao</v>
          </cell>
          <cell r="E760">
            <v>60</v>
          </cell>
          <cell r="F760">
            <v>-20</v>
          </cell>
          <cell r="G760">
            <v>9</v>
          </cell>
          <cell r="H760">
            <v>7</v>
          </cell>
          <cell r="I760" t="str">
            <v>FIL</v>
          </cell>
          <cell r="J760" t="str">
            <v>-</v>
          </cell>
          <cell r="K760" t="str">
            <v>Espada/Mandoble</v>
          </cell>
          <cell r="L760" t="str">
            <v>Distinta</v>
          </cell>
          <cell r="M760">
            <v>16</v>
          </cell>
          <cell r="N760">
            <v>7</v>
          </cell>
          <cell r="O760">
            <v>30</v>
          </cell>
          <cell r="R760" t="str">
            <v>-</v>
          </cell>
          <cell r="S760" t="str">
            <v>-</v>
          </cell>
          <cell r="T760" t="str">
            <v>-</v>
          </cell>
          <cell r="V760" t="str">
            <v>A 1 o 2 manos</v>
          </cell>
          <cell r="X760" t="str">
            <v>Grande</v>
          </cell>
          <cell r="Y760">
            <v>0</v>
          </cell>
        </row>
        <row r="761">
          <cell r="D761" t="str">
            <v>Sang Kauw</v>
          </cell>
          <cell r="E761">
            <v>50</v>
          </cell>
          <cell r="F761">
            <v>-10</v>
          </cell>
          <cell r="G761">
            <v>6</v>
          </cell>
          <cell r="H761">
            <v>6</v>
          </cell>
          <cell r="I761" t="str">
            <v>FIL</v>
          </cell>
          <cell r="J761" t="str">
            <v>PEN</v>
          </cell>
          <cell r="K761" t="str">
            <v>Asta/-</v>
          </cell>
          <cell r="L761" t="str">
            <v>Distinta</v>
          </cell>
          <cell r="M761">
            <v>10</v>
          </cell>
          <cell r="N761">
            <v>2</v>
          </cell>
          <cell r="O761">
            <v>25</v>
          </cell>
          <cell r="R761" t="str">
            <v>-</v>
          </cell>
          <cell r="S761" t="str">
            <v>-</v>
          </cell>
          <cell r="T761" t="str">
            <v>-</v>
          </cell>
          <cell r="V761" t="str">
            <v>Ver</v>
          </cell>
          <cell r="X761" t="str">
            <v>Grande</v>
          </cell>
          <cell r="Y761">
            <v>0</v>
          </cell>
        </row>
        <row r="762">
          <cell r="D762" t="str">
            <v>Sode Garami</v>
          </cell>
          <cell r="E762">
            <v>20</v>
          </cell>
          <cell r="F762">
            <v>0</v>
          </cell>
          <cell r="G762">
            <v>5</v>
          </cell>
          <cell r="H762">
            <v>5</v>
          </cell>
          <cell r="I762" t="str">
            <v>CON</v>
          </cell>
          <cell r="J762" t="str">
            <v>-</v>
          </cell>
          <cell r="K762" t="str">
            <v>Asta/-</v>
          </cell>
          <cell r="L762" t="str">
            <v>Distinta</v>
          </cell>
          <cell r="M762">
            <v>13</v>
          </cell>
          <cell r="N762">
            <v>2</v>
          </cell>
          <cell r="O762">
            <v>20</v>
          </cell>
          <cell r="R762" t="str">
            <v>-</v>
          </cell>
          <cell r="S762" t="str">
            <v>-</v>
          </cell>
          <cell r="T762" t="str">
            <v>-</v>
          </cell>
          <cell r="V762" t="str">
            <v>A 2 manos, Presa (FUE 7), Ver</v>
          </cell>
          <cell r="X762" t="str">
            <v>Grande</v>
          </cell>
          <cell r="Y762">
            <v>0</v>
          </cell>
        </row>
        <row r="763">
          <cell r="D763" t="str">
            <v>Tetsubo</v>
          </cell>
          <cell r="E763">
            <v>80</v>
          </cell>
          <cell r="F763">
            <v>-50</v>
          </cell>
          <cell r="G763">
            <v>10</v>
          </cell>
          <cell r="H763">
            <v>8</v>
          </cell>
          <cell r="I763" t="str">
            <v>CON</v>
          </cell>
          <cell r="J763" t="str">
            <v>-</v>
          </cell>
          <cell r="K763" t="str">
            <v>Maza/-</v>
          </cell>
          <cell r="L763" t="str">
            <v>Distinta</v>
          </cell>
          <cell r="M763">
            <v>13</v>
          </cell>
          <cell r="N763">
            <v>4</v>
          </cell>
          <cell r="O763">
            <v>30</v>
          </cell>
          <cell r="R763" t="str">
            <v>-</v>
          </cell>
          <cell r="S763" t="str">
            <v>-</v>
          </cell>
          <cell r="T763" t="str">
            <v>-</v>
          </cell>
          <cell r="V763" t="str">
            <v>A 1 o 2 manos</v>
          </cell>
          <cell r="X763" t="str">
            <v>Mediana</v>
          </cell>
          <cell r="Y763">
            <v>0</v>
          </cell>
        </row>
        <row r="764">
          <cell r="D764" t="str">
            <v>Uchi-ne</v>
          </cell>
          <cell r="E764">
            <v>25</v>
          </cell>
          <cell r="F764">
            <v>10</v>
          </cell>
          <cell r="G764">
            <v>4</v>
          </cell>
          <cell r="H764">
            <v>4</v>
          </cell>
          <cell r="I764" t="str">
            <v>PEN</v>
          </cell>
          <cell r="J764" t="str">
            <v>-</v>
          </cell>
          <cell r="K764" t="str">
            <v>Asta/-</v>
          </cell>
          <cell r="L764" t="str">
            <v>Distinta</v>
          </cell>
          <cell r="M764">
            <v>10</v>
          </cell>
          <cell r="N764">
            <v>-2</v>
          </cell>
          <cell r="O764">
            <v>20</v>
          </cell>
          <cell r="R764">
            <v>100</v>
          </cell>
          <cell r="S764" t="str">
            <v>-</v>
          </cell>
          <cell r="T764">
            <v>30</v>
          </cell>
          <cell r="V764" t="str">
            <v>Lanzable (100/XXXm)</v>
          </cell>
          <cell r="X764" t="str">
            <v>Grande</v>
          </cell>
          <cell r="Y764">
            <v>0</v>
          </cell>
        </row>
        <row r="765">
          <cell r="D765" t="str">
            <v>Wakizashi</v>
          </cell>
          <cell r="E765">
            <v>45</v>
          </cell>
          <cell r="F765">
            <v>0</v>
          </cell>
          <cell r="G765">
            <v>4</v>
          </cell>
          <cell r="H765">
            <v>4</v>
          </cell>
          <cell r="I765" t="str">
            <v>FIL</v>
          </cell>
          <cell r="J765" t="str">
            <v>-</v>
          </cell>
          <cell r="K765" t="str">
            <v>Espada/-</v>
          </cell>
          <cell r="L765" t="str">
            <v>Distinta</v>
          </cell>
          <cell r="M765">
            <v>11</v>
          </cell>
          <cell r="N765">
            <v>3</v>
          </cell>
          <cell r="O765">
            <v>40</v>
          </cell>
          <cell r="R765" t="str">
            <v>-</v>
          </cell>
          <cell r="S765" t="str">
            <v>-</v>
          </cell>
          <cell r="T765" t="str">
            <v>-</v>
          </cell>
          <cell r="V765" t="str">
            <v>-</v>
          </cell>
          <cell r="X765" t="str">
            <v>Mediana</v>
          </cell>
          <cell r="Y765">
            <v>0</v>
          </cell>
        </row>
        <row r="766">
          <cell r="D766" t="str">
            <v>&gt; A. DE PROYECTILES</v>
          </cell>
          <cell r="K766" t="str">
            <v>/</v>
          </cell>
        </row>
        <row r="767">
          <cell r="D767" t="str">
            <v>Arcabuz</v>
          </cell>
          <cell r="E767">
            <v>0</v>
          </cell>
          <cell r="F767">
            <v>-20</v>
          </cell>
          <cell r="G767">
            <v>6</v>
          </cell>
          <cell r="H767">
            <v>6</v>
          </cell>
          <cell r="I767" t="str">
            <v>-</v>
          </cell>
          <cell r="J767" t="str">
            <v>-</v>
          </cell>
          <cell r="K767" t="str">
            <v>Proyectiles/-</v>
          </cell>
          <cell r="L767" t="str">
            <v>Distinta</v>
          </cell>
          <cell r="M767">
            <v>9</v>
          </cell>
          <cell r="N767">
            <v>-3</v>
          </cell>
          <cell r="O767">
            <v>20</v>
          </cell>
          <cell r="R767" t="str">
            <v>-</v>
          </cell>
          <cell r="S767">
            <v>4</v>
          </cell>
          <cell r="T767">
            <v>80</v>
          </cell>
          <cell r="U767">
            <v>11</v>
          </cell>
          <cell r="V767" t="str">
            <v>Compleja, Ver</v>
          </cell>
          <cell r="X767" t="str">
            <v>Mediana</v>
          </cell>
          <cell r="Y767">
            <v>20</v>
          </cell>
        </row>
        <row r="768">
          <cell r="D768" t="str">
            <v>Arco compuesto</v>
          </cell>
          <cell r="E768">
            <v>0</v>
          </cell>
          <cell r="F768">
            <v>-30</v>
          </cell>
          <cell r="G768" t="str">
            <v>-</v>
          </cell>
          <cell r="H768">
            <v>7</v>
          </cell>
          <cell r="I768" t="str">
            <v>-</v>
          </cell>
          <cell r="J768" t="str">
            <v>-</v>
          </cell>
          <cell r="K768" t="str">
            <v>Proyectiles/-</v>
          </cell>
          <cell r="L768" t="str">
            <v>Distinta</v>
          </cell>
          <cell r="M768">
            <v>8</v>
          </cell>
          <cell r="N768">
            <v>-2</v>
          </cell>
          <cell r="O768">
            <v>25</v>
          </cell>
          <cell r="R768" t="str">
            <v>-</v>
          </cell>
          <cell r="S768">
            <v>1</v>
          </cell>
          <cell r="T768">
            <v>90</v>
          </cell>
          <cell r="V768" t="str">
            <v>A 2 manos</v>
          </cell>
          <cell r="X768" t="str">
            <v>Grande</v>
          </cell>
          <cell r="Y768">
            <v>0</v>
          </cell>
        </row>
        <row r="769">
          <cell r="D769" t="str">
            <v>Arco corto</v>
          </cell>
          <cell r="E769">
            <v>0</v>
          </cell>
          <cell r="F769">
            <v>-10</v>
          </cell>
          <cell r="G769" t="str">
            <v>-</v>
          </cell>
          <cell r="H769">
            <v>4</v>
          </cell>
          <cell r="I769" t="str">
            <v>-</v>
          </cell>
          <cell r="J769" t="str">
            <v>-</v>
          </cell>
          <cell r="K769" t="str">
            <v>Proyectiles/-</v>
          </cell>
          <cell r="L769" t="str">
            <v>Distinta</v>
          </cell>
          <cell r="M769">
            <v>7</v>
          </cell>
          <cell r="N769">
            <v>-3</v>
          </cell>
          <cell r="O769">
            <v>15</v>
          </cell>
          <cell r="R769" t="str">
            <v>-</v>
          </cell>
          <cell r="S769">
            <v>1</v>
          </cell>
          <cell r="T769">
            <v>40</v>
          </cell>
          <cell r="V769" t="str">
            <v>A 2 manos</v>
          </cell>
          <cell r="X769" t="str">
            <v>Grande</v>
          </cell>
          <cell r="Y769">
            <v>0</v>
          </cell>
        </row>
        <row r="770">
          <cell r="D770" t="str">
            <v>Arco de balas</v>
          </cell>
          <cell r="E770">
            <v>-20</v>
          </cell>
          <cell r="F770">
            <v>-10</v>
          </cell>
          <cell r="G770">
            <v>4</v>
          </cell>
          <cell r="H770">
            <v>4</v>
          </cell>
          <cell r="I770" t="str">
            <v>-</v>
          </cell>
          <cell r="J770" t="str">
            <v>-</v>
          </cell>
          <cell r="K770" t="str">
            <v>Proyectiles/-</v>
          </cell>
          <cell r="L770" t="str">
            <v>Distinta</v>
          </cell>
          <cell r="M770">
            <v>6</v>
          </cell>
          <cell r="N770">
            <v>-3</v>
          </cell>
          <cell r="O770">
            <v>15</v>
          </cell>
          <cell r="R770" t="str">
            <v>-</v>
          </cell>
          <cell r="S770">
            <v>1</v>
          </cell>
          <cell r="T770">
            <v>40</v>
          </cell>
          <cell r="V770" t="str">
            <v>A 2 manos, Ver</v>
          </cell>
          <cell r="X770" t="str">
            <v>Grande</v>
          </cell>
          <cell r="Y770">
            <v>0</v>
          </cell>
        </row>
        <row r="771">
          <cell r="D771" t="str">
            <v>Arco largo</v>
          </cell>
          <cell r="E771">
            <v>0</v>
          </cell>
          <cell r="F771">
            <v>-30</v>
          </cell>
          <cell r="G771" t="str">
            <v>-</v>
          </cell>
          <cell r="H771">
            <v>7</v>
          </cell>
          <cell r="I771" t="str">
            <v>-</v>
          </cell>
          <cell r="J771" t="str">
            <v>-</v>
          </cell>
          <cell r="K771" t="str">
            <v>Proyectiles/-</v>
          </cell>
          <cell r="L771" t="str">
            <v>Distinta</v>
          </cell>
          <cell r="M771">
            <v>8</v>
          </cell>
          <cell r="N771">
            <v>-2</v>
          </cell>
          <cell r="O771">
            <v>20</v>
          </cell>
          <cell r="R771" t="str">
            <v>-</v>
          </cell>
          <cell r="S771">
            <v>1</v>
          </cell>
          <cell r="T771">
            <v>60</v>
          </cell>
          <cell r="V771" t="str">
            <v>A 2 manos</v>
          </cell>
          <cell r="X771" t="str">
            <v>Grande</v>
          </cell>
          <cell r="Y771">
            <v>0</v>
          </cell>
        </row>
        <row r="772">
          <cell r="D772" t="str">
            <v>Atlatl</v>
          </cell>
          <cell r="E772">
            <v>0</v>
          </cell>
          <cell r="F772">
            <v>0</v>
          </cell>
          <cell r="G772">
            <v>5</v>
          </cell>
          <cell r="H772">
            <v>5</v>
          </cell>
          <cell r="I772" t="str">
            <v>-</v>
          </cell>
          <cell r="J772" t="str">
            <v>-</v>
          </cell>
          <cell r="K772" t="str">
            <v>Proyectiles/-</v>
          </cell>
          <cell r="L772" t="str">
            <v>Distinta</v>
          </cell>
          <cell r="M772">
            <v>8</v>
          </cell>
          <cell r="N772">
            <v>-4</v>
          </cell>
          <cell r="O772">
            <v>10</v>
          </cell>
          <cell r="R772" t="str">
            <v>-</v>
          </cell>
          <cell r="S772">
            <v>1</v>
          </cell>
          <cell r="T772">
            <v>30</v>
          </cell>
          <cell r="U772">
            <v>2</v>
          </cell>
          <cell r="V772" t="str">
            <v>Ver</v>
          </cell>
          <cell r="X772" t="str">
            <v>Mediana</v>
          </cell>
          <cell r="Y772">
            <v>-20</v>
          </cell>
        </row>
        <row r="773">
          <cell r="D773" t="str">
            <v>Ballesta</v>
          </cell>
          <cell r="E773">
            <v>0</v>
          </cell>
          <cell r="F773">
            <v>0</v>
          </cell>
          <cell r="G773">
            <v>8</v>
          </cell>
          <cell r="H773">
            <v>4</v>
          </cell>
          <cell r="I773" t="str">
            <v>-</v>
          </cell>
          <cell r="J773" t="str">
            <v>-</v>
          </cell>
          <cell r="K773" t="str">
            <v>Proyectiles/-</v>
          </cell>
          <cell r="L773" t="str">
            <v>Distinta</v>
          </cell>
          <cell r="M773">
            <v>8</v>
          </cell>
          <cell r="N773">
            <v>-2</v>
          </cell>
          <cell r="O773">
            <v>20</v>
          </cell>
          <cell r="R773" t="str">
            <v>-</v>
          </cell>
          <cell r="S773">
            <v>2</v>
          </cell>
          <cell r="T773">
            <v>60</v>
          </cell>
          <cell r="U773">
            <v>8</v>
          </cell>
          <cell r="V773" t="str">
            <v>1 o 2 manos, Ver</v>
          </cell>
          <cell r="X773" t="str">
            <v>Mediana</v>
          </cell>
          <cell r="Y773">
            <v>10</v>
          </cell>
        </row>
        <row r="774">
          <cell r="D774" t="str">
            <v>Ballesta de mano</v>
          </cell>
          <cell r="E774">
            <v>0</v>
          </cell>
          <cell r="F774">
            <v>10</v>
          </cell>
          <cell r="G774">
            <v>3</v>
          </cell>
          <cell r="H774">
            <v>3</v>
          </cell>
          <cell r="I774" t="str">
            <v>-</v>
          </cell>
          <cell r="J774" t="str">
            <v>-</v>
          </cell>
          <cell r="K774" t="str">
            <v>Proyectiles/-</v>
          </cell>
          <cell r="L774" t="str">
            <v>Distinta</v>
          </cell>
          <cell r="M774">
            <v>5</v>
          </cell>
          <cell r="N774">
            <v>-4</v>
          </cell>
          <cell r="O774">
            <v>15</v>
          </cell>
          <cell r="R774" t="str">
            <v>-</v>
          </cell>
          <cell r="S774">
            <v>2</v>
          </cell>
          <cell r="T774">
            <v>30</v>
          </cell>
          <cell r="U774">
            <v>5</v>
          </cell>
          <cell r="V774" t="str">
            <v>Ver</v>
          </cell>
          <cell r="X774" t="str">
            <v>Mediana</v>
          </cell>
          <cell r="Y774">
            <v>0</v>
          </cell>
        </row>
        <row r="775">
          <cell r="D775" t="str">
            <v>Ballesta de repetición</v>
          </cell>
          <cell r="E775">
            <v>0</v>
          </cell>
          <cell r="F775">
            <v>0</v>
          </cell>
          <cell r="G775">
            <v>8</v>
          </cell>
          <cell r="H775">
            <v>4</v>
          </cell>
          <cell r="I775" t="str">
            <v>-</v>
          </cell>
          <cell r="J775" t="str">
            <v>-</v>
          </cell>
          <cell r="K775" t="str">
            <v>Proyectiles/-</v>
          </cell>
          <cell r="L775" t="str">
            <v>Distinta</v>
          </cell>
          <cell r="M775">
            <v>6</v>
          </cell>
          <cell r="N775">
            <v>-2</v>
          </cell>
          <cell r="O775">
            <v>20</v>
          </cell>
          <cell r="R775" t="str">
            <v>-</v>
          </cell>
          <cell r="S775">
            <v>3</v>
          </cell>
          <cell r="T775">
            <v>60</v>
          </cell>
          <cell r="U775">
            <v>8</v>
          </cell>
          <cell r="V775" t="str">
            <v>1 o 2 manos, Ver</v>
          </cell>
          <cell r="X775" t="str">
            <v>Mediana</v>
          </cell>
          <cell r="Y775">
            <v>10</v>
          </cell>
        </row>
        <row r="776">
          <cell r="D776" t="str">
            <v>Ballesta pesada</v>
          </cell>
          <cell r="E776">
            <v>0</v>
          </cell>
          <cell r="F776">
            <v>-20</v>
          </cell>
          <cell r="G776">
            <v>10</v>
          </cell>
          <cell r="H776">
            <v>7</v>
          </cell>
          <cell r="I776" t="str">
            <v>-</v>
          </cell>
          <cell r="J776" t="str">
            <v>-</v>
          </cell>
          <cell r="K776" t="str">
            <v>Proyectiles/-</v>
          </cell>
          <cell r="L776" t="str">
            <v>Distinta</v>
          </cell>
          <cell r="M776">
            <v>8</v>
          </cell>
          <cell r="N776">
            <v>-1</v>
          </cell>
          <cell r="O776">
            <v>20</v>
          </cell>
          <cell r="R776" t="str">
            <v>-</v>
          </cell>
          <cell r="S776">
            <v>2</v>
          </cell>
          <cell r="T776">
            <v>80</v>
          </cell>
          <cell r="U776">
            <v>10</v>
          </cell>
          <cell r="V776" t="str">
            <v>1 o 2 manos, Ver</v>
          </cell>
          <cell r="X776" t="str">
            <v>Mediana</v>
          </cell>
          <cell r="Y776">
            <v>15</v>
          </cell>
        </row>
        <row r="777">
          <cell r="D777" t="str">
            <v>Cerbatana</v>
          </cell>
          <cell r="E777">
            <v>0</v>
          </cell>
          <cell r="F777">
            <v>-10</v>
          </cell>
          <cell r="G777">
            <v>4</v>
          </cell>
          <cell r="H777">
            <v>4</v>
          </cell>
          <cell r="I777" t="str">
            <v>-</v>
          </cell>
          <cell r="J777" t="str">
            <v>-</v>
          </cell>
          <cell r="K777" t="str">
            <v>Proyectiles/-</v>
          </cell>
          <cell r="L777" t="str">
            <v>Distinta</v>
          </cell>
          <cell r="M777">
            <v>3</v>
          </cell>
          <cell r="N777">
            <v>-3</v>
          </cell>
          <cell r="O777">
            <v>15</v>
          </cell>
          <cell r="R777" t="str">
            <v>-</v>
          </cell>
          <cell r="S777">
            <v>1</v>
          </cell>
          <cell r="T777">
            <v>50</v>
          </cell>
          <cell r="V777" t="str">
            <v>-</v>
          </cell>
          <cell r="X777" t="str">
            <v>Pequeña</v>
          </cell>
          <cell r="Y777">
            <v>0</v>
          </cell>
        </row>
        <row r="778">
          <cell r="D778" t="str">
            <v>Daikyu</v>
          </cell>
          <cell r="E778">
            <v>0</v>
          </cell>
          <cell r="F778">
            <v>-30</v>
          </cell>
          <cell r="G778">
            <v>7</v>
          </cell>
          <cell r="H778">
            <v>7</v>
          </cell>
          <cell r="I778" t="str">
            <v>-</v>
          </cell>
          <cell r="J778" t="str">
            <v>-</v>
          </cell>
          <cell r="K778" t="str">
            <v>Proyectiles/-</v>
          </cell>
          <cell r="L778" t="str">
            <v>Distinta</v>
          </cell>
          <cell r="M778">
            <v>8</v>
          </cell>
          <cell r="N778">
            <v>-2</v>
          </cell>
          <cell r="O778">
            <v>20</v>
          </cell>
          <cell r="R778" t="str">
            <v>-</v>
          </cell>
          <cell r="S778">
            <v>1</v>
          </cell>
          <cell r="T778">
            <v>90</v>
          </cell>
          <cell r="V778" t="str">
            <v>A 2 manos</v>
          </cell>
          <cell r="X778" t="str">
            <v>Grande</v>
          </cell>
          <cell r="Y778">
            <v>0</v>
          </cell>
        </row>
        <row r="779">
          <cell r="D779" t="str">
            <v>Honda</v>
          </cell>
          <cell r="E779">
            <v>0</v>
          </cell>
          <cell r="F779">
            <v>-40</v>
          </cell>
          <cell r="G779">
            <v>4</v>
          </cell>
          <cell r="H779">
            <v>4</v>
          </cell>
          <cell r="I779" t="str">
            <v>-</v>
          </cell>
          <cell r="J779" t="str">
            <v>-</v>
          </cell>
          <cell r="K779" t="str">
            <v>Proyectiles/-</v>
          </cell>
          <cell r="L779" t="str">
            <v>Distinta</v>
          </cell>
          <cell r="M779">
            <v>3</v>
          </cell>
          <cell r="N779">
            <v>-6</v>
          </cell>
          <cell r="O779">
            <v>10</v>
          </cell>
          <cell r="R779" t="str">
            <v>-</v>
          </cell>
          <cell r="S779">
            <v>1</v>
          </cell>
          <cell r="T779">
            <v>50</v>
          </cell>
          <cell r="V779" t="str">
            <v>-</v>
          </cell>
          <cell r="X779" t="str">
            <v>Pequeña</v>
          </cell>
          <cell r="Y779">
            <v>0</v>
          </cell>
        </row>
        <row r="780">
          <cell r="D780" t="str">
            <v>Pistola</v>
          </cell>
          <cell r="E780">
            <v>0</v>
          </cell>
          <cell r="F780">
            <v>0</v>
          </cell>
          <cell r="G780">
            <v>4</v>
          </cell>
          <cell r="H780">
            <v>4</v>
          </cell>
          <cell r="I780" t="str">
            <v>-</v>
          </cell>
          <cell r="J780" t="str">
            <v>-</v>
          </cell>
          <cell r="K780" t="str">
            <v>Proyectiles/-</v>
          </cell>
          <cell r="L780" t="str">
            <v>Distinta</v>
          </cell>
          <cell r="M780">
            <v>8</v>
          </cell>
          <cell r="N780">
            <v>-3</v>
          </cell>
          <cell r="O780">
            <v>20</v>
          </cell>
          <cell r="R780" t="str">
            <v>-</v>
          </cell>
          <cell r="S780">
            <v>4</v>
          </cell>
          <cell r="T780">
            <v>50</v>
          </cell>
          <cell r="U780">
            <v>9</v>
          </cell>
          <cell r="V780" t="str">
            <v>Compleja, Ver</v>
          </cell>
          <cell r="X780" t="str">
            <v>Mediana</v>
          </cell>
          <cell r="Y780">
            <v>10</v>
          </cell>
        </row>
        <row r="781">
          <cell r="D781" t="str">
            <v>&gt; ARMAS DE ASEDIO</v>
          </cell>
        </row>
        <row r="782">
          <cell r="D782" t="str">
            <v>Balista ligera</v>
          </cell>
          <cell r="E782">
            <v>0</v>
          </cell>
          <cell r="F782">
            <v>-80</v>
          </cell>
          <cell r="G782">
            <v>0</v>
          </cell>
          <cell r="H782">
            <v>0</v>
          </cell>
          <cell r="I782" t="str">
            <v>-</v>
          </cell>
          <cell r="J782" t="str">
            <v>-</v>
          </cell>
          <cell r="K782" t="str">
            <v>Proyectiles/-</v>
          </cell>
          <cell r="L782" t="str">
            <v>Distinta</v>
          </cell>
          <cell r="M782">
            <v>18</v>
          </cell>
          <cell r="N782" t="str">
            <v>-</v>
          </cell>
          <cell r="O782">
            <v>25</v>
          </cell>
          <cell r="R782" t="str">
            <v>-</v>
          </cell>
          <cell r="T782">
            <v>150</v>
          </cell>
          <cell r="U782">
            <v>10</v>
          </cell>
          <cell r="V782" t="str">
            <v>Ver</v>
          </cell>
          <cell r="X782" t="str">
            <v>Grande</v>
          </cell>
          <cell r="Y782">
            <v>15</v>
          </cell>
        </row>
        <row r="783">
          <cell r="D783" t="str">
            <v>Balista pesada</v>
          </cell>
          <cell r="E783">
            <v>0</v>
          </cell>
          <cell r="F783">
            <v>-100</v>
          </cell>
          <cell r="G783">
            <v>0</v>
          </cell>
          <cell r="H783">
            <v>0</v>
          </cell>
          <cell r="I783" t="str">
            <v>-</v>
          </cell>
          <cell r="J783" t="str">
            <v>-</v>
          </cell>
          <cell r="K783" t="str">
            <v>Proyectiles/-</v>
          </cell>
          <cell r="L783" t="str">
            <v>Distinta</v>
          </cell>
          <cell r="M783">
            <v>20</v>
          </cell>
          <cell r="N783" t="str">
            <v>-</v>
          </cell>
          <cell r="O783">
            <v>30</v>
          </cell>
          <cell r="R783" t="str">
            <v>-</v>
          </cell>
          <cell r="T783">
            <v>200</v>
          </cell>
          <cell r="U783">
            <v>13</v>
          </cell>
          <cell r="V783" t="str">
            <v>Ver</v>
          </cell>
          <cell r="X783" t="str">
            <v>Grande</v>
          </cell>
          <cell r="Y783">
            <v>25</v>
          </cell>
        </row>
        <row r="784">
          <cell r="D784" t="str">
            <v>Cañón</v>
          </cell>
          <cell r="E784">
            <v>0</v>
          </cell>
          <cell r="F784">
            <v>-100</v>
          </cell>
          <cell r="G784">
            <v>0</v>
          </cell>
          <cell r="H784">
            <v>0</v>
          </cell>
          <cell r="I784" t="str">
            <v>-</v>
          </cell>
          <cell r="J784" t="str">
            <v>-</v>
          </cell>
          <cell r="K784" t="str">
            <v>Proyectiles/-</v>
          </cell>
          <cell r="L784" t="str">
            <v>Distinta</v>
          </cell>
          <cell r="M784">
            <v>24</v>
          </cell>
          <cell r="N784" t="str">
            <v>-</v>
          </cell>
          <cell r="O784">
            <v>30</v>
          </cell>
          <cell r="R784" t="str">
            <v>-</v>
          </cell>
          <cell r="S784">
            <v>12</v>
          </cell>
          <cell r="T784">
            <v>250</v>
          </cell>
          <cell r="U784">
            <v>14</v>
          </cell>
          <cell r="V784" t="str">
            <v>Ver</v>
          </cell>
          <cell r="X784" t="str">
            <v>Grande</v>
          </cell>
          <cell r="Y784">
            <v>25</v>
          </cell>
        </row>
        <row r="785">
          <cell r="D785" t="str">
            <v>&gt; MUNICIÓN</v>
          </cell>
          <cell r="K785" t="str">
            <v>/</v>
          </cell>
          <cell r="X785" t="str">
            <v/>
          </cell>
        </row>
        <row r="786">
          <cell r="D786" t="str">
            <v>Balas</v>
          </cell>
          <cell r="E786">
            <v>60</v>
          </cell>
          <cell r="F786" t="str">
            <v>-</v>
          </cell>
          <cell r="G786">
            <v>0</v>
          </cell>
          <cell r="H786">
            <v>0</v>
          </cell>
          <cell r="I786" t="str">
            <v>PEN</v>
          </cell>
          <cell r="J786" t="str">
            <v>-</v>
          </cell>
          <cell r="K786" t="str">
            <v>Munición/-</v>
          </cell>
          <cell r="M786">
            <v>11</v>
          </cell>
          <cell r="N786">
            <v>5</v>
          </cell>
          <cell r="O786">
            <v>15</v>
          </cell>
          <cell r="R786" t="str">
            <v>-</v>
          </cell>
          <cell r="S786" t="str">
            <v>-</v>
          </cell>
          <cell r="T786" t="str">
            <v>-</v>
          </cell>
          <cell r="V786" t="str">
            <v>Munición para armas de fuego</v>
          </cell>
          <cell r="Y786">
            <v>0</v>
          </cell>
        </row>
        <row r="787">
          <cell r="D787" t="str">
            <v>Balas de arco</v>
          </cell>
          <cell r="E787">
            <v>30</v>
          </cell>
          <cell r="F787" t="str">
            <v>-</v>
          </cell>
          <cell r="G787">
            <v>0</v>
          </cell>
          <cell r="H787">
            <v>0</v>
          </cell>
          <cell r="I787" t="str">
            <v>PEN</v>
          </cell>
          <cell r="J787" t="str">
            <v>-</v>
          </cell>
          <cell r="K787" t="str">
            <v>Munición/-</v>
          </cell>
          <cell r="M787">
            <v>6</v>
          </cell>
          <cell r="N787">
            <v>1</v>
          </cell>
          <cell r="O787">
            <v>10</v>
          </cell>
          <cell r="R787" t="str">
            <v>-</v>
          </cell>
          <cell r="S787" t="str">
            <v>-</v>
          </cell>
          <cell r="T787" t="str">
            <v>-</v>
          </cell>
          <cell r="V787" t="str">
            <v>Munición para arcos de balas</v>
          </cell>
          <cell r="Y787">
            <v>0</v>
          </cell>
        </row>
        <row r="788">
          <cell r="D788" t="str">
            <v>Balas de cañón</v>
          </cell>
          <cell r="E788">
            <v>150</v>
          </cell>
          <cell r="F788" t="str">
            <v>-</v>
          </cell>
          <cell r="G788">
            <v>0</v>
          </cell>
          <cell r="H788">
            <v>0</v>
          </cell>
          <cell r="I788" t="str">
            <v>CON</v>
          </cell>
          <cell r="J788" t="str">
            <v>-</v>
          </cell>
          <cell r="K788" t="str">
            <v>Munición/-</v>
          </cell>
          <cell r="M788">
            <v>20</v>
          </cell>
          <cell r="N788">
            <v>14</v>
          </cell>
          <cell r="O788">
            <v>15</v>
          </cell>
          <cell r="R788" t="str">
            <v>-</v>
          </cell>
          <cell r="S788" t="str">
            <v>-</v>
          </cell>
          <cell r="T788" t="str">
            <v>-</v>
          </cell>
          <cell r="V788" t="str">
            <v>Munición para cañón</v>
          </cell>
          <cell r="Y788">
            <v>0</v>
          </cell>
        </row>
        <row r="789">
          <cell r="D789" t="str">
            <v>Balas de cañón Leo</v>
          </cell>
          <cell r="E789">
            <v>120</v>
          </cell>
          <cell r="F789" t="str">
            <v>-</v>
          </cell>
          <cell r="G789">
            <v>0</v>
          </cell>
          <cell r="H789">
            <v>0</v>
          </cell>
          <cell r="I789" t="str">
            <v>CON</v>
          </cell>
          <cell r="J789" t="str">
            <v>-</v>
          </cell>
          <cell r="K789" t="str">
            <v>Munición/-</v>
          </cell>
          <cell r="M789">
            <v>20</v>
          </cell>
          <cell r="N789">
            <v>14</v>
          </cell>
          <cell r="O789">
            <v>15</v>
          </cell>
          <cell r="R789" t="str">
            <v>-</v>
          </cell>
          <cell r="S789" t="str">
            <v>-</v>
          </cell>
          <cell r="T789" t="str">
            <v>-</v>
          </cell>
          <cell r="V789" t="str">
            <v>Munición para cañón Leo</v>
          </cell>
          <cell r="Y789">
            <v>0</v>
          </cell>
        </row>
        <row r="790">
          <cell r="D790" t="str">
            <v>Balas de Leo</v>
          </cell>
          <cell r="E790">
            <v>50</v>
          </cell>
          <cell r="F790" t="str">
            <v>-</v>
          </cell>
          <cell r="G790">
            <v>0</v>
          </cell>
          <cell r="H790">
            <v>0</v>
          </cell>
          <cell r="I790" t="str">
            <v>PEN</v>
          </cell>
          <cell r="J790" t="str">
            <v>-</v>
          </cell>
          <cell r="K790" t="str">
            <v>Munición/-</v>
          </cell>
          <cell r="M790">
            <v>11</v>
          </cell>
          <cell r="N790">
            <v>5</v>
          </cell>
          <cell r="O790">
            <v>15</v>
          </cell>
          <cell r="R790" t="str">
            <v>-</v>
          </cell>
          <cell r="S790" t="str">
            <v>-</v>
          </cell>
          <cell r="T790" t="str">
            <v>-</v>
          </cell>
          <cell r="V790" t="str">
            <v>Munición para Leo</v>
          </cell>
          <cell r="Y790">
            <v>0</v>
          </cell>
          <cell r="AB790" t="str">
            <v>-</v>
          </cell>
          <cell r="AC790" t="str">
            <v>Tablas!$AD$790:$AR$790</v>
          </cell>
          <cell r="AD790" t="str">
            <v>Balas</v>
          </cell>
          <cell r="AE790" t="str">
            <v>Balas de arco</v>
          </cell>
          <cell r="AF790" t="str">
            <v>Balas de cañón</v>
          </cell>
          <cell r="AG790" t="str">
            <v>Dardos de cerbatana</v>
          </cell>
          <cell r="AH790" t="str">
            <v>Flechas de descarga</v>
          </cell>
          <cell r="AI790" t="str">
            <v>Flechas de fajo</v>
          </cell>
          <cell r="AJ790" t="str">
            <v>Flechas de mella</v>
          </cell>
          <cell r="AK790" t="str">
            <v>Jabalina</v>
          </cell>
          <cell r="AL790" t="str">
            <v>Piedras de arco</v>
          </cell>
          <cell r="AM790" t="str">
            <v>Piedras de honda</v>
          </cell>
          <cell r="AN790" t="str">
            <v>Saetas</v>
          </cell>
          <cell r="AO790" t="str">
            <v>Saetas ligeras</v>
          </cell>
          <cell r="AP790" t="str">
            <v>Saetas pesadas</v>
          </cell>
          <cell r="AQ790" t="str">
            <v>Virote ligero</v>
          </cell>
          <cell r="AR790" t="str">
            <v>Virote pesado</v>
          </cell>
          <cell r="AS790" t="str">
            <v/>
          </cell>
          <cell r="AT790" t="str">
            <v/>
          </cell>
          <cell r="AU790" t="str">
            <v/>
          </cell>
        </row>
        <row r="791">
          <cell r="D791" t="str">
            <v>Dardos de cerbatana</v>
          </cell>
          <cell r="E791">
            <v>5</v>
          </cell>
          <cell r="F791" t="str">
            <v>-</v>
          </cell>
          <cell r="G791">
            <v>0</v>
          </cell>
          <cell r="H791">
            <v>0</v>
          </cell>
          <cell r="I791" t="str">
            <v>PEN</v>
          </cell>
          <cell r="J791" t="str">
            <v>-</v>
          </cell>
          <cell r="K791" t="str">
            <v>Munición/-</v>
          </cell>
          <cell r="M791">
            <v>2</v>
          </cell>
          <cell r="N791">
            <v>-4</v>
          </cell>
          <cell r="O791">
            <v>15</v>
          </cell>
          <cell r="R791" t="str">
            <v>-</v>
          </cell>
          <cell r="S791" t="str">
            <v>-</v>
          </cell>
          <cell r="T791" t="str">
            <v>-</v>
          </cell>
          <cell r="V791" t="str">
            <v>Munición para cerbatana</v>
          </cell>
          <cell r="Y791">
            <v>0</v>
          </cell>
          <cell r="AB791" t="str">
            <v>-</v>
          </cell>
          <cell r="AC791" t="str">
            <v>Tablas!$AD$791:$AR$791</v>
          </cell>
          <cell r="AD791" t="str">
            <v>Balas</v>
          </cell>
          <cell r="AE791" t="str">
            <v>Balas de arco</v>
          </cell>
          <cell r="AF791" t="str">
            <v>Balas de cañón</v>
          </cell>
          <cell r="AG791" t="str">
            <v>Dardos de cerbatana</v>
          </cell>
          <cell r="AH791" t="str">
            <v>Flechas de descarga</v>
          </cell>
          <cell r="AI791" t="str">
            <v>Flechas de fajo</v>
          </cell>
          <cell r="AJ791" t="str">
            <v>Flechas de mella</v>
          </cell>
          <cell r="AK791" t="str">
            <v>Jabalina</v>
          </cell>
          <cell r="AL791" t="str">
            <v>Piedras de arco</v>
          </cell>
          <cell r="AM791" t="str">
            <v>Piedras de honda</v>
          </cell>
          <cell r="AN791" t="str">
            <v>Saetas</v>
          </cell>
          <cell r="AO791" t="str">
            <v>Saetas ligeras</v>
          </cell>
          <cell r="AP791" t="str">
            <v>Saetas pesadas</v>
          </cell>
          <cell r="AQ791" t="str">
            <v>Virote ligero</v>
          </cell>
          <cell r="AR791" t="str">
            <v>Virote pesado</v>
          </cell>
          <cell r="AS791" t="str">
            <v/>
          </cell>
          <cell r="AT791" t="str">
            <v/>
          </cell>
          <cell r="AU791" t="str">
            <v/>
          </cell>
        </row>
        <row r="792">
          <cell r="D792" t="str">
            <v>Flechas de descarga</v>
          </cell>
          <cell r="E792">
            <v>40</v>
          </cell>
          <cell r="F792" t="str">
            <v>-</v>
          </cell>
          <cell r="G792">
            <v>0</v>
          </cell>
          <cell r="H792">
            <v>0</v>
          </cell>
          <cell r="I792" t="str">
            <v>PEN</v>
          </cell>
          <cell r="J792" t="str">
            <v>-</v>
          </cell>
          <cell r="K792" t="str">
            <v>Munición/-</v>
          </cell>
          <cell r="M792">
            <v>4</v>
          </cell>
          <cell r="N792">
            <v>1</v>
          </cell>
          <cell r="O792">
            <v>20</v>
          </cell>
          <cell r="R792" t="str">
            <v>-</v>
          </cell>
          <cell r="S792" t="str">
            <v>-</v>
          </cell>
          <cell r="T792" t="str">
            <v>-</v>
          </cell>
          <cell r="V792" t="str">
            <v>Munición para arcos</v>
          </cell>
          <cell r="Y792">
            <v>0</v>
          </cell>
          <cell r="AB792" t="str">
            <v>-</v>
          </cell>
          <cell r="AC792" t="str">
            <v>Tablas!$AD$792:$AR$792</v>
          </cell>
          <cell r="AD792" t="str">
            <v>Balas</v>
          </cell>
          <cell r="AE792" t="str">
            <v>Balas de arco</v>
          </cell>
          <cell r="AF792" t="str">
            <v>Balas de cañón</v>
          </cell>
          <cell r="AG792" t="str">
            <v>Dardos de cerbatana</v>
          </cell>
          <cell r="AH792" t="str">
            <v>Flechas de descarga</v>
          </cell>
          <cell r="AI792" t="str">
            <v>Flechas de fajo</v>
          </cell>
          <cell r="AJ792" t="str">
            <v>Flechas de mella</v>
          </cell>
          <cell r="AK792" t="str">
            <v>Jabalina</v>
          </cell>
          <cell r="AL792" t="str">
            <v>Piedras de arco</v>
          </cell>
          <cell r="AM792" t="str">
            <v>Piedras de honda</v>
          </cell>
          <cell r="AN792" t="str">
            <v>Saetas</v>
          </cell>
          <cell r="AO792" t="str">
            <v>Saetas ligeras</v>
          </cell>
          <cell r="AP792" t="str">
            <v>Saetas pesadas</v>
          </cell>
          <cell r="AQ792" t="str">
            <v>Virote ligero</v>
          </cell>
          <cell r="AR792" t="str">
            <v>Virote pesado</v>
          </cell>
          <cell r="AS792" t="str">
            <v/>
          </cell>
          <cell r="AT792" t="str">
            <v/>
          </cell>
          <cell r="AU792" t="str">
            <v/>
          </cell>
        </row>
        <row r="793">
          <cell r="D793" t="str">
            <v>Flechas de fajo</v>
          </cell>
          <cell r="E793">
            <v>30</v>
          </cell>
          <cell r="F793" t="str">
            <v>-</v>
          </cell>
          <cell r="G793">
            <v>0</v>
          </cell>
          <cell r="H793">
            <v>0</v>
          </cell>
          <cell r="I793" t="str">
            <v>PEN</v>
          </cell>
          <cell r="J793" t="str">
            <v>-</v>
          </cell>
          <cell r="K793" t="str">
            <v>Munición/-</v>
          </cell>
          <cell r="M793">
            <v>3</v>
          </cell>
          <cell r="N793">
            <v>0</v>
          </cell>
          <cell r="O793">
            <v>20</v>
          </cell>
          <cell r="R793" t="str">
            <v>-</v>
          </cell>
          <cell r="S793" t="str">
            <v>-</v>
          </cell>
          <cell r="T793" t="str">
            <v>-</v>
          </cell>
          <cell r="V793" t="str">
            <v>+20 al Alcance. Munición arcos</v>
          </cell>
          <cell r="Y793">
            <v>0</v>
          </cell>
          <cell r="AB793" t="str">
            <v>Armas naturales</v>
          </cell>
          <cell r="AC793" t="str">
            <v>Tablas!$AD$793:$AD$793</v>
          </cell>
          <cell r="AD793" t="str">
            <v>Munición natural</v>
          </cell>
        </row>
        <row r="794">
          <cell r="D794" t="str">
            <v>Flechas de mella</v>
          </cell>
          <cell r="E794">
            <v>30</v>
          </cell>
          <cell r="F794" t="str">
            <v>-</v>
          </cell>
          <cell r="G794">
            <v>0</v>
          </cell>
          <cell r="H794">
            <v>0</v>
          </cell>
          <cell r="I794" t="str">
            <v>PEN</v>
          </cell>
          <cell r="J794" t="str">
            <v>-</v>
          </cell>
          <cell r="K794" t="str">
            <v>Munición/-</v>
          </cell>
          <cell r="M794">
            <v>3</v>
          </cell>
          <cell r="N794">
            <v>0</v>
          </cell>
          <cell r="O794">
            <v>20</v>
          </cell>
          <cell r="R794" t="str">
            <v>-</v>
          </cell>
          <cell r="S794" t="str">
            <v>-</v>
          </cell>
          <cell r="T794" t="str">
            <v>-</v>
          </cell>
          <cell r="V794" t="str">
            <v>-1 TA del Defensor. Munición arcos</v>
          </cell>
          <cell r="Y794">
            <v>0</v>
          </cell>
          <cell r="AB794" t="str">
            <v>Arcabuz</v>
          </cell>
          <cell r="AC794" t="str">
            <v>Tablas!$AD$794:$AD$794</v>
          </cell>
          <cell r="AD794" t="str">
            <v>Balas</v>
          </cell>
          <cell r="AE794" t="str">
            <v/>
          </cell>
          <cell r="AF794" t="str">
            <v/>
          </cell>
          <cell r="AG794" t="str">
            <v/>
          </cell>
        </row>
        <row r="795">
          <cell r="D795" t="str">
            <v>Jabalina (Munición)</v>
          </cell>
          <cell r="E795">
            <v>35</v>
          </cell>
          <cell r="F795" t="str">
            <v>-</v>
          </cell>
          <cell r="G795">
            <v>0</v>
          </cell>
          <cell r="H795">
            <v>0</v>
          </cell>
          <cell r="I795" t="str">
            <v>PEN</v>
          </cell>
          <cell r="J795" t="str">
            <v>-</v>
          </cell>
          <cell r="K795" t="str">
            <v>Munición/-</v>
          </cell>
          <cell r="M795">
            <v>10</v>
          </cell>
          <cell r="N795">
            <v>-2</v>
          </cell>
          <cell r="O795">
            <v>20</v>
          </cell>
          <cell r="R795" t="str">
            <v>-</v>
          </cell>
          <cell r="S795" t="str">
            <v>-</v>
          </cell>
          <cell r="T795" t="str">
            <v>-</v>
          </cell>
          <cell r="V795" t="str">
            <v>Munición para Atlatl</v>
          </cell>
          <cell r="Y795">
            <v>0</v>
          </cell>
          <cell r="AB795" t="str">
            <v>Arco compuesto</v>
          </cell>
          <cell r="AC795" t="str">
            <v>Tablas!$AD$795:$AF$795</v>
          </cell>
          <cell r="AD795" t="str">
            <v>Flechas de descarga</v>
          </cell>
          <cell r="AE795" t="str">
            <v>Flechas de fajo</v>
          </cell>
          <cell r="AF795" t="str">
            <v>Flechas de mella</v>
          </cell>
          <cell r="AG795" t="str">
            <v/>
          </cell>
          <cell r="AH795" t="str">
            <v/>
          </cell>
          <cell r="AI795" t="str">
            <v/>
          </cell>
        </row>
        <row r="796">
          <cell r="D796" t="str">
            <v>Piedras de arco</v>
          </cell>
          <cell r="E796">
            <v>20</v>
          </cell>
          <cell r="F796" t="str">
            <v>-</v>
          </cell>
          <cell r="G796">
            <v>0</v>
          </cell>
          <cell r="H796">
            <v>0</v>
          </cell>
          <cell r="I796" t="str">
            <v>CON</v>
          </cell>
          <cell r="J796" t="str">
            <v>-</v>
          </cell>
          <cell r="K796" t="str">
            <v>Munición/-</v>
          </cell>
          <cell r="M796">
            <v>5</v>
          </cell>
          <cell r="N796">
            <v>0</v>
          </cell>
          <cell r="O796">
            <v>5</v>
          </cell>
          <cell r="R796" t="str">
            <v>-</v>
          </cell>
          <cell r="S796" t="str">
            <v>-</v>
          </cell>
          <cell r="T796" t="str">
            <v>-</v>
          </cell>
          <cell r="V796" t="str">
            <v>Munición para arcos de balas</v>
          </cell>
          <cell r="Y796">
            <v>0</v>
          </cell>
          <cell r="AB796" t="str">
            <v>Arco corto</v>
          </cell>
          <cell r="AC796" t="str">
            <v>Tablas!$AD$796:$AF$796</v>
          </cell>
          <cell r="AD796" t="str">
            <v>Flechas de descarga</v>
          </cell>
          <cell r="AE796" t="str">
            <v>Flechas de fajo</v>
          </cell>
          <cell r="AF796" t="str">
            <v>Flechas de mella</v>
          </cell>
          <cell r="AG796" t="str">
            <v/>
          </cell>
          <cell r="AH796" t="str">
            <v/>
          </cell>
          <cell r="AI796" t="str">
            <v/>
          </cell>
        </row>
        <row r="797">
          <cell r="D797" t="str">
            <v>Piedras de honda</v>
          </cell>
          <cell r="E797">
            <v>15</v>
          </cell>
          <cell r="F797" t="str">
            <v>-</v>
          </cell>
          <cell r="G797">
            <v>0</v>
          </cell>
          <cell r="H797">
            <v>0</v>
          </cell>
          <cell r="I797" t="str">
            <v>CON</v>
          </cell>
          <cell r="J797" t="str">
            <v>-</v>
          </cell>
          <cell r="K797" t="str">
            <v>Munición/-</v>
          </cell>
          <cell r="M797">
            <v>7</v>
          </cell>
          <cell r="N797">
            <v>2</v>
          </cell>
          <cell r="O797">
            <v>10</v>
          </cell>
          <cell r="R797" t="str">
            <v>-</v>
          </cell>
          <cell r="S797" t="str">
            <v>-</v>
          </cell>
          <cell r="T797" t="str">
            <v>-</v>
          </cell>
          <cell r="V797" t="str">
            <v>Munición para honda</v>
          </cell>
          <cell r="Y797">
            <v>0</v>
          </cell>
          <cell r="AB797" t="str">
            <v>Arco de balas</v>
          </cell>
          <cell r="AC797" t="str">
            <v>Tablas!$AD$797:$AE$797</v>
          </cell>
          <cell r="AD797" t="str">
            <v>Balas de arco</v>
          </cell>
          <cell r="AE797" t="str">
            <v>Piedras de arco</v>
          </cell>
          <cell r="AF797" t="str">
            <v/>
          </cell>
          <cell r="AG797" t="str">
            <v/>
          </cell>
          <cell r="AH797" t="str">
            <v/>
          </cell>
        </row>
        <row r="798">
          <cell r="D798" t="str">
            <v>Saetas</v>
          </cell>
          <cell r="E798">
            <v>40</v>
          </cell>
          <cell r="F798" t="str">
            <v>-</v>
          </cell>
          <cell r="G798">
            <v>0</v>
          </cell>
          <cell r="H798">
            <v>0</v>
          </cell>
          <cell r="I798" t="str">
            <v>PEN</v>
          </cell>
          <cell r="J798" t="str">
            <v>-</v>
          </cell>
          <cell r="K798" t="str">
            <v>Munición/-</v>
          </cell>
          <cell r="M798">
            <v>3</v>
          </cell>
          <cell r="N798">
            <v>0</v>
          </cell>
          <cell r="O798">
            <v>15</v>
          </cell>
          <cell r="R798" t="str">
            <v>-</v>
          </cell>
          <cell r="S798" t="str">
            <v>-</v>
          </cell>
          <cell r="T798" t="str">
            <v>-</v>
          </cell>
          <cell r="V798" t="str">
            <v xml:space="preserve">Munición para ballestas </v>
          </cell>
          <cell r="Y798">
            <v>0</v>
          </cell>
          <cell r="AB798" t="str">
            <v>Arco largo</v>
          </cell>
          <cell r="AC798" t="str">
            <v>Tablas!$AD$798:$AF$798</v>
          </cell>
          <cell r="AD798" t="str">
            <v>Flechas de descarga</v>
          </cell>
          <cell r="AE798" t="str">
            <v>Flechas de fajo</v>
          </cell>
          <cell r="AF798" t="str">
            <v>Flechas de mella</v>
          </cell>
          <cell r="AG798" t="str">
            <v/>
          </cell>
          <cell r="AH798" t="str">
            <v/>
          </cell>
          <cell r="AI798" t="str">
            <v/>
          </cell>
        </row>
        <row r="799">
          <cell r="D799" t="str">
            <v>Saetas ligeras</v>
          </cell>
          <cell r="E799">
            <v>30</v>
          </cell>
          <cell r="F799" t="str">
            <v>-</v>
          </cell>
          <cell r="G799">
            <v>0</v>
          </cell>
          <cell r="H799">
            <v>0</v>
          </cell>
          <cell r="I799" t="str">
            <v>PEN</v>
          </cell>
          <cell r="J799" t="str">
            <v>-</v>
          </cell>
          <cell r="K799" t="str">
            <v>Munición/-</v>
          </cell>
          <cell r="M799">
            <v>2</v>
          </cell>
          <cell r="N799">
            <v>-1</v>
          </cell>
          <cell r="O799">
            <v>15</v>
          </cell>
          <cell r="R799" t="str">
            <v>-</v>
          </cell>
          <cell r="S799" t="str">
            <v>-</v>
          </cell>
          <cell r="T799" t="str">
            <v>-</v>
          </cell>
          <cell r="V799" t="str">
            <v>Munición para ballestas de mano</v>
          </cell>
          <cell r="Y799">
            <v>0</v>
          </cell>
          <cell r="AB799" t="str">
            <v>Atlatl</v>
          </cell>
          <cell r="AC799" t="str">
            <v>Tablas!$AD$799:$AD$799</v>
          </cell>
          <cell r="AD799" t="str">
            <v>Jabalina (Munición)</v>
          </cell>
          <cell r="AE799" t="str">
            <v/>
          </cell>
          <cell r="AF799" t="str">
            <v/>
          </cell>
          <cell r="AG799" t="str">
            <v/>
          </cell>
        </row>
        <row r="800">
          <cell r="D800" t="str">
            <v>Saetas pesadas</v>
          </cell>
          <cell r="E800">
            <v>60</v>
          </cell>
          <cell r="F800" t="str">
            <v>-</v>
          </cell>
          <cell r="G800">
            <v>0</v>
          </cell>
          <cell r="H800">
            <v>0</v>
          </cell>
          <cell r="I800" t="str">
            <v>PEN</v>
          </cell>
          <cell r="J800" t="str">
            <v>-</v>
          </cell>
          <cell r="K800" t="str">
            <v>Munición/-</v>
          </cell>
          <cell r="M800">
            <v>4</v>
          </cell>
          <cell r="N800">
            <v>1</v>
          </cell>
          <cell r="O800">
            <v>15</v>
          </cell>
          <cell r="R800" t="str">
            <v>-</v>
          </cell>
          <cell r="S800" t="str">
            <v>-</v>
          </cell>
          <cell r="T800" t="str">
            <v>-</v>
          </cell>
          <cell r="V800" t="str">
            <v>Munición para ballestas pesadas</v>
          </cell>
          <cell r="Y800">
            <v>0</v>
          </cell>
          <cell r="AB800" t="str">
            <v>Ballesta</v>
          </cell>
          <cell r="AC800" t="str">
            <v>Tablas!$AD$800:$AD$800</v>
          </cell>
          <cell r="AD800" t="str">
            <v>Saetas</v>
          </cell>
          <cell r="AE800" t="str">
            <v/>
          </cell>
          <cell r="AF800" t="str">
            <v/>
          </cell>
          <cell r="AG800" t="str">
            <v/>
          </cell>
        </row>
        <row r="801">
          <cell r="D801" t="str">
            <v>Virote ligero</v>
          </cell>
          <cell r="E801">
            <v>120</v>
          </cell>
          <cell r="F801" t="str">
            <v>-</v>
          </cell>
          <cell r="G801">
            <v>0</v>
          </cell>
          <cell r="H801">
            <v>0</v>
          </cell>
          <cell r="I801" t="str">
            <v>PEN</v>
          </cell>
          <cell r="J801" t="str">
            <v>-</v>
          </cell>
          <cell r="K801" t="str">
            <v>Munición/-</v>
          </cell>
          <cell r="M801">
            <v>16</v>
          </cell>
          <cell r="N801">
            <v>8</v>
          </cell>
          <cell r="O801">
            <v>15</v>
          </cell>
          <cell r="R801" t="str">
            <v>-</v>
          </cell>
          <cell r="S801" t="str">
            <v>-</v>
          </cell>
          <cell r="T801" t="str">
            <v>-</v>
          </cell>
          <cell r="V801" t="str">
            <v>Munición para balistas ligeras</v>
          </cell>
          <cell r="Y801">
            <v>0</v>
          </cell>
          <cell r="AB801" t="str">
            <v>Ballesta de mano</v>
          </cell>
          <cell r="AC801" t="str">
            <v>Tablas!$AD$801:$AD$801</v>
          </cell>
          <cell r="AD801" t="str">
            <v>Saetas ligeras</v>
          </cell>
          <cell r="AE801" t="str">
            <v/>
          </cell>
          <cell r="AF801" t="str">
            <v/>
          </cell>
          <cell r="AG801" t="str">
            <v/>
          </cell>
        </row>
        <row r="802">
          <cell r="D802" t="str">
            <v>Virote pesado</v>
          </cell>
          <cell r="E802">
            <v>150</v>
          </cell>
          <cell r="F802" t="str">
            <v>-</v>
          </cell>
          <cell r="G802">
            <v>0</v>
          </cell>
          <cell r="H802">
            <v>0</v>
          </cell>
          <cell r="I802" t="str">
            <v>PEN</v>
          </cell>
          <cell r="J802" t="str">
            <v>-</v>
          </cell>
          <cell r="K802" t="str">
            <v>Munición/-</v>
          </cell>
          <cell r="M802">
            <v>18</v>
          </cell>
          <cell r="N802">
            <v>12</v>
          </cell>
          <cell r="O802">
            <v>15</v>
          </cell>
          <cell r="R802" t="str">
            <v>-</v>
          </cell>
          <cell r="S802" t="str">
            <v>-</v>
          </cell>
          <cell r="T802" t="str">
            <v>-</v>
          </cell>
          <cell r="V802" t="str">
            <v>Munición para balistas pesadas</v>
          </cell>
          <cell r="Y802">
            <v>0</v>
          </cell>
          <cell r="AB802" t="str">
            <v>Ballesta de repetición</v>
          </cell>
          <cell r="AC802" t="str">
            <v>Tablas!$AD$802:$AD$802</v>
          </cell>
          <cell r="AD802" t="str">
            <v>Saetas</v>
          </cell>
          <cell r="AE802" t="str">
            <v/>
          </cell>
          <cell r="AF802" t="str">
            <v/>
          </cell>
          <cell r="AG802" t="str">
            <v/>
          </cell>
        </row>
        <row r="803">
          <cell r="D803" t="str">
            <v>Munición natural</v>
          </cell>
          <cell r="E803">
            <v>0</v>
          </cell>
          <cell r="F803" t="str">
            <v>-</v>
          </cell>
          <cell r="G803">
            <v>0</v>
          </cell>
          <cell r="H803">
            <v>0</v>
          </cell>
          <cell r="I803" t="str">
            <v>-</v>
          </cell>
          <cell r="J803" t="str">
            <v>-</v>
          </cell>
          <cell r="K803" t="str">
            <v>Munición/-</v>
          </cell>
          <cell r="M803">
            <v>4</v>
          </cell>
          <cell r="N803">
            <v>-4</v>
          </cell>
          <cell r="R803" t="str">
            <v>-</v>
          </cell>
          <cell r="S803" t="str">
            <v>-</v>
          </cell>
          <cell r="T803" t="str">
            <v>-</v>
          </cell>
          <cell r="V803" t="str">
            <v>Munición para armas naturales</v>
          </cell>
          <cell r="Y803">
            <v>0</v>
          </cell>
          <cell r="AB803" t="str">
            <v>Ballesta pesada</v>
          </cell>
          <cell r="AC803" t="str">
            <v>Tablas!$AD$803:$AD$803</v>
          </cell>
          <cell r="AD803" t="str">
            <v>Saetas pesadas</v>
          </cell>
          <cell r="AE803" t="str">
            <v/>
          </cell>
          <cell r="AF803" t="str">
            <v/>
          </cell>
          <cell r="AG803" t="str">
            <v/>
          </cell>
        </row>
        <row r="804">
          <cell r="D804" t="str">
            <v>&gt; ARS MAGNUS</v>
          </cell>
          <cell r="K804" t="str">
            <v>/</v>
          </cell>
          <cell r="AB804" t="str">
            <v>Cerbatana</v>
          </cell>
          <cell r="AC804" t="str">
            <v>Tablas!$AD$804:$AD$804</v>
          </cell>
          <cell r="AD804" t="str">
            <v>Dardos de cerbatana</v>
          </cell>
          <cell r="AE804" t="str">
            <v/>
          </cell>
          <cell r="AF804" t="str">
            <v/>
          </cell>
          <cell r="AG804" t="str">
            <v/>
          </cell>
        </row>
        <row r="805">
          <cell r="D805" t="str">
            <v>Umbra</v>
          </cell>
          <cell r="E805">
            <v>45</v>
          </cell>
          <cell r="F805">
            <v>20</v>
          </cell>
          <cell r="G805">
            <v>0</v>
          </cell>
          <cell r="H805">
            <v>0</v>
          </cell>
          <cell r="I805" t="str">
            <v>*</v>
          </cell>
          <cell r="J805" t="str">
            <v>-</v>
          </cell>
          <cell r="K805" t="str">
            <v>Natural/-</v>
          </cell>
          <cell r="L805" t="str">
            <v>Distinta</v>
          </cell>
          <cell r="M805" t="str">
            <v>-</v>
          </cell>
          <cell r="N805">
            <v>0</v>
          </cell>
          <cell r="O805">
            <v>45</v>
          </cell>
          <cell r="V805" t="str">
            <v>Sorpresa, Pantalla, At. área, Presa (DES), Uso indirecto, Ofuscación</v>
          </cell>
          <cell r="Y805">
            <v>0</v>
          </cell>
          <cell r="AB805" t="str">
            <v>Daikyu</v>
          </cell>
          <cell r="AC805" t="str">
            <v>Tablas!$AD$805:$AF$805</v>
          </cell>
          <cell r="AD805" t="str">
            <v>Flechas de descarga</v>
          </cell>
          <cell r="AE805" t="str">
            <v>Flechas de fajo</v>
          </cell>
          <cell r="AF805" t="str">
            <v>Flechas de mella</v>
          </cell>
          <cell r="AG805" t="str">
            <v/>
          </cell>
          <cell r="AH805" t="str">
            <v/>
          </cell>
          <cell r="AI805" t="str">
            <v/>
          </cell>
        </row>
        <row r="806">
          <cell r="D806" t="str">
            <v>&gt; ARMAS IMPOSIBLES</v>
          </cell>
          <cell r="K806" t="str">
            <v>/</v>
          </cell>
          <cell r="AB806" t="str">
            <v>Honda</v>
          </cell>
          <cell r="AC806" t="str">
            <v>Tablas!$AD$806:$AD$806</v>
          </cell>
          <cell r="AD806" t="str">
            <v>Piedras de honda</v>
          </cell>
          <cell r="AE806" t="str">
            <v/>
          </cell>
          <cell r="AF806" t="str">
            <v/>
          </cell>
          <cell r="AG806" t="str">
            <v/>
          </cell>
        </row>
        <row r="807">
          <cell r="D807" t="str">
            <v>Aries</v>
          </cell>
          <cell r="E807">
            <v>100</v>
          </cell>
          <cell r="F807">
            <v>-20</v>
          </cell>
          <cell r="G807">
            <v>0</v>
          </cell>
          <cell r="H807">
            <v>0</v>
          </cell>
          <cell r="I807" t="str">
            <v>PEN</v>
          </cell>
          <cell r="J807" t="str">
            <v>FIL</v>
          </cell>
          <cell r="K807" t="str">
            <v>/</v>
          </cell>
          <cell r="L807" t="str">
            <v>Distinta</v>
          </cell>
          <cell r="M807">
            <v>16</v>
          </cell>
          <cell r="N807">
            <v>6</v>
          </cell>
          <cell r="O807">
            <v>30</v>
          </cell>
          <cell r="R807" t="str">
            <v>-</v>
          </cell>
          <cell r="S807" t="str">
            <v>-</v>
          </cell>
          <cell r="T807" t="str">
            <v>-</v>
          </cell>
          <cell r="V807" t="str">
            <v>Compleja, Presa (FUE 10), Alcance (8m), Arma Grande, A 2 manos</v>
          </cell>
          <cell r="X807" t="str">
            <v>Grande</v>
          </cell>
          <cell r="Y807">
            <v>0</v>
          </cell>
          <cell r="AB807" t="str">
            <v>Pistola</v>
          </cell>
          <cell r="AC807" t="str">
            <v>Tablas!$AD$807:$AD$807</v>
          </cell>
          <cell r="AD807" t="str">
            <v>Balas</v>
          </cell>
          <cell r="AE807" t="str">
            <v/>
          </cell>
          <cell r="AF807" t="str">
            <v/>
          </cell>
          <cell r="AG807" t="str">
            <v/>
          </cell>
        </row>
        <row r="808">
          <cell r="D808" t="str">
            <v>Taurus</v>
          </cell>
          <cell r="E808">
            <v>120</v>
          </cell>
          <cell r="F808">
            <v>-80</v>
          </cell>
          <cell r="G808">
            <v>12</v>
          </cell>
          <cell r="H808">
            <v>10</v>
          </cell>
          <cell r="I808" t="str">
            <v>FIL</v>
          </cell>
          <cell r="J808" t="str">
            <v>CON</v>
          </cell>
          <cell r="K808" t="str">
            <v>/</v>
          </cell>
          <cell r="L808" t="str">
            <v>Distinta</v>
          </cell>
          <cell r="M808">
            <v>16</v>
          </cell>
          <cell r="N808">
            <v>8</v>
          </cell>
          <cell r="O808">
            <v>25</v>
          </cell>
          <cell r="R808" t="str">
            <v>-</v>
          </cell>
          <cell r="S808" t="str">
            <v>-</v>
          </cell>
          <cell r="T808" t="str">
            <v>-</v>
          </cell>
          <cell r="V808" t="str">
            <v>Lanzable (-/20m), Compleja, A 1 o 2 manos</v>
          </cell>
          <cell r="X808" t="str">
            <v>Grande</v>
          </cell>
          <cell r="Y808">
            <v>0</v>
          </cell>
          <cell r="AB808" t="str">
            <v>Balista ligera</v>
          </cell>
          <cell r="AC808" t="str">
            <v>Tablas!$AD$808:$AD$808</v>
          </cell>
          <cell r="AD808" t="str">
            <v>Virote ligero</v>
          </cell>
          <cell r="AE808" t="str">
            <v/>
          </cell>
          <cell r="AF808" t="str">
            <v/>
          </cell>
          <cell r="AG808" t="str">
            <v/>
          </cell>
        </row>
        <row r="809">
          <cell r="D809" t="str">
            <v>Cáncer</v>
          </cell>
          <cell r="E809">
            <v>50</v>
          </cell>
          <cell r="F809">
            <v>15</v>
          </cell>
          <cell r="G809">
            <v>4</v>
          </cell>
          <cell r="H809">
            <v>4</v>
          </cell>
          <cell r="I809" t="str">
            <v>FIL</v>
          </cell>
          <cell r="J809" t="str">
            <v>PEN</v>
          </cell>
          <cell r="K809" t="str">
            <v>/</v>
          </cell>
          <cell r="L809" t="str">
            <v>Distinta</v>
          </cell>
          <cell r="M809">
            <v>10</v>
          </cell>
          <cell r="N809">
            <v>0</v>
          </cell>
          <cell r="O809">
            <v>30</v>
          </cell>
          <cell r="R809" t="str">
            <v>-</v>
          </cell>
          <cell r="S809" t="str">
            <v>-</v>
          </cell>
          <cell r="T809" t="str">
            <v>-</v>
          </cell>
          <cell r="V809" t="str">
            <v>Alcance (5m), Presa (FUE 11), Invisible (MDF), -2 TA, Ver</v>
          </cell>
          <cell r="X809" t="str">
            <v>Pequeña</v>
          </cell>
          <cell r="Y809">
            <v>0</v>
          </cell>
          <cell r="AB809" t="str">
            <v>Balista pesada</v>
          </cell>
          <cell r="AC809" t="str">
            <v>Tablas!$AD$809:$AD$809</v>
          </cell>
          <cell r="AD809" t="str">
            <v>Virote pesado</v>
          </cell>
          <cell r="AE809" t="str">
            <v/>
          </cell>
          <cell r="AF809" t="str">
            <v/>
          </cell>
          <cell r="AG809" t="str">
            <v/>
          </cell>
        </row>
        <row r="810">
          <cell r="D810" t="str">
            <v>Leo (Espada-Pistola)</v>
          </cell>
          <cell r="E810">
            <v>70</v>
          </cell>
          <cell r="F810">
            <v>-30</v>
          </cell>
          <cell r="G810">
            <v>8</v>
          </cell>
          <cell r="H810">
            <v>6</v>
          </cell>
          <cell r="I810" t="str">
            <v>FIL</v>
          </cell>
          <cell r="J810" t="str">
            <v>CON</v>
          </cell>
          <cell r="K810" t="str">
            <v>/</v>
          </cell>
          <cell r="L810" t="str">
            <v>Distinta</v>
          </cell>
          <cell r="M810">
            <v>13</v>
          </cell>
          <cell r="N810">
            <v>4</v>
          </cell>
          <cell r="O810">
            <v>35</v>
          </cell>
          <cell r="R810" t="str">
            <v>-</v>
          </cell>
          <cell r="S810" t="str">
            <v>-</v>
          </cell>
          <cell r="T810" t="str">
            <v>-</v>
          </cell>
          <cell r="V810" t="str">
            <v>Cargador, A 1 o 2 manos</v>
          </cell>
          <cell r="X810" t="str">
            <v>Mediana</v>
          </cell>
          <cell r="Y810">
            <v>0</v>
          </cell>
          <cell r="AB810" t="str">
            <v>Cañón</v>
          </cell>
          <cell r="AC810" t="str">
            <v>Tablas!$AD$810:$AD$810</v>
          </cell>
          <cell r="AD810" t="str">
            <v>Balas de cañón</v>
          </cell>
          <cell r="AE810" t="str">
            <v/>
          </cell>
          <cell r="AF810" t="str">
            <v/>
          </cell>
          <cell r="AG810" t="str">
            <v/>
          </cell>
        </row>
        <row r="811">
          <cell r="D811" t="str">
            <v>Leo (Espada-Pistola) P.</v>
          </cell>
          <cell r="E811">
            <v>0</v>
          </cell>
          <cell r="F811">
            <v>0</v>
          </cell>
          <cell r="G811">
            <v>8</v>
          </cell>
          <cell r="H811">
            <v>6</v>
          </cell>
          <cell r="I811" t="str">
            <v>PEN</v>
          </cell>
          <cell r="J811" t="str">
            <v>-</v>
          </cell>
          <cell r="K811" t="str">
            <v>/</v>
          </cell>
          <cell r="L811" t="str">
            <v>Distinta</v>
          </cell>
          <cell r="M811">
            <v>13</v>
          </cell>
          <cell r="N811">
            <v>4</v>
          </cell>
          <cell r="O811">
            <v>35</v>
          </cell>
          <cell r="R811" t="str">
            <v>-</v>
          </cell>
          <cell r="S811">
            <v>2</v>
          </cell>
          <cell r="T811">
            <v>50</v>
          </cell>
          <cell r="U811">
            <v>10</v>
          </cell>
          <cell r="V811" t="str">
            <v>Cargador, A 1 o 2 manos</v>
          </cell>
          <cell r="X811" t="str">
            <v>Mediana</v>
          </cell>
          <cell r="Y811">
            <v>0</v>
          </cell>
          <cell r="AB811" t="str">
            <v>Leo (Espada-Pistola) P.</v>
          </cell>
          <cell r="AC811" t="str">
            <v>Tablas!$AD$811:$AD$811</v>
          </cell>
          <cell r="AD811" t="str">
            <v>Balas de Leo</v>
          </cell>
          <cell r="AE811" t="str">
            <v/>
          </cell>
          <cell r="AF811" t="str">
            <v/>
          </cell>
          <cell r="AG811" t="str">
            <v/>
          </cell>
        </row>
        <row r="812">
          <cell r="D812" t="str">
            <v>Leo (Lanza-Rifle)</v>
          </cell>
          <cell r="E812">
            <v>40</v>
          </cell>
          <cell r="F812">
            <v>5</v>
          </cell>
          <cell r="G812">
            <v>5</v>
          </cell>
          <cell r="H812">
            <v>3</v>
          </cell>
          <cell r="I812" t="str">
            <v>PEN</v>
          </cell>
          <cell r="J812" t="str">
            <v>-</v>
          </cell>
          <cell r="K812" t="str">
            <v>/</v>
          </cell>
          <cell r="L812" t="str">
            <v>Distinta</v>
          </cell>
          <cell r="M812">
            <v>12</v>
          </cell>
          <cell r="N812">
            <v>2</v>
          </cell>
          <cell r="O812">
            <v>35</v>
          </cell>
          <cell r="R812" t="str">
            <v>-</v>
          </cell>
          <cell r="S812" t="str">
            <v>-</v>
          </cell>
          <cell r="T812" t="str">
            <v>-</v>
          </cell>
          <cell r="V812" t="str">
            <v>Cargador, A 1 o 2 manos</v>
          </cell>
          <cell r="X812" t="str">
            <v>Mediana</v>
          </cell>
          <cell r="Y812">
            <v>0</v>
          </cell>
          <cell r="AB812" t="str">
            <v>Leo (Lanza-Rifle) R.</v>
          </cell>
          <cell r="AC812" t="str">
            <v>Tablas!$AD$812:$AD$812</v>
          </cell>
          <cell r="AD812" t="str">
            <v>Balas de Leo</v>
          </cell>
          <cell r="AE812" t="str">
            <v/>
          </cell>
          <cell r="AF812" t="str">
            <v/>
          </cell>
          <cell r="AG812" t="str">
            <v/>
          </cell>
        </row>
        <row r="813">
          <cell r="D813" t="str">
            <v>Leo (Lanza-Rifle) R.</v>
          </cell>
          <cell r="E813">
            <v>0</v>
          </cell>
          <cell r="F813">
            <v>-20</v>
          </cell>
          <cell r="G813">
            <v>5</v>
          </cell>
          <cell r="H813">
            <v>3</v>
          </cell>
          <cell r="I813" t="str">
            <v>PEN</v>
          </cell>
          <cell r="J813" t="str">
            <v>-</v>
          </cell>
          <cell r="K813" t="str">
            <v>/</v>
          </cell>
          <cell r="L813" t="str">
            <v>Distinta</v>
          </cell>
          <cell r="M813">
            <v>12</v>
          </cell>
          <cell r="N813">
            <v>2</v>
          </cell>
          <cell r="O813">
            <v>35</v>
          </cell>
          <cell r="R813" t="str">
            <v>-</v>
          </cell>
          <cell r="S813">
            <v>2</v>
          </cell>
          <cell r="T813">
            <v>80</v>
          </cell>
          <cell r="U813">
            <v>11</v>
          </cell>
          <cell r="V813" t="str">
            <v>Cargador, A 1 o 2 manos</v>
          </cell>
          <cell r="X813" t="str">
            <v>Mediana</v>
          </cell>
          <cell r="Y813">
            <v>0</v>
          </cell>
          <cell r="AB813" t="str">
            <v>Leo (Maza-Cañón) C.</v>
          </cell>
          <cell r="AC813" t="str">
            <v>Tablas!$AD$813:$AD$813</v>
          </cell>
          <cell r="AD813" t="str">
            <v>Balas de cañón Leo</v>
          </cell>
          <cell r="AE813" t="str">
            <v/>
          </cell>
          <cell r="AF813" t="str">
            <v/>
          </cell>
          <cell r="AG813" t="str">
            <v/>
          </cell>
        </row>
        <row r="814">
          <cell r="D814" t="str">
            <v>Leo (Maza-Cañón) C.</v>
          </cell>
          <cell r="E814">
            <v>0</v>
          </cell>
          <cell r="F814">
            <v>-40</v>
          </cell>
          <cell r="G814" t="str">
            <v>-</v>
          </cell>
          <cell r="H814">
            <v>7</v>
          </cell>
          <cell r="I814" t="str">
            <v>CON</v>
          </cell>
          <cell r="J814" t="str">
            <v>-</v>
          </cell>
          <cell r="K814" t="str">
            <v>/</v>
          </cell>
          <cell r="L814" t="str">
            <v>Distinta</v>
          </cell>
          <cell r="M814">
            <v>15</v>
          </cell>
          <cell r="N814">
            <v>5</v>
          </cell>
          <cell r="O814">
            <v>35</v>
          </cell>
          <cell r="R814" t="str">
            <v>-</v>
          </cell>
          <cell r="S814">
            <v>10</v>
          </cell>
          <cell r="T814">
            <v>250</v>
          </cell>
          <cell r="U814">
            <v>12</v>
          </cell>
          <cell r="V814" t="str">
            <v>At. área automático (2m), A 2 manos</v>
          </cell>
          <cell r="X814" t="str">
            <v>Grande</v>
          </cell>
          <cell r="Y814">
            <v>0</v>
          </cell>
          <cell r="AB814" t="str">
            <v/>
          </cell>
          <cell r="AC814" t="str">
            <v>Tablas!$AD$814:$AD$814</v>
          </cell>
          <cell r="AD814" t="str">
            <v>Munición natural</v>
          </cell>
        </row>
        <row r="815">
          <cell r="D815" t="str">
            <v>Leo (Maza-Cañón)</v>
          </cell>
          <cell r="E815">
            <v>60</v>
          </cell>
          <cell r="F815">
            <v>-15</v>
          </cell>
          <cell r="G815" t="str">
            <v>-</v>
          </cell>
          <cell r="H815">
            <v>7</v>
          </cell>
          <cell r="I815" t="str">
            <v>CON</v>
          </cell>
          <cell r="J815" t="str">
            <v>-</v>
          </cell>
          <cell r="K815" t="str">
            <v>/</v>
          </cell>
          <cell r="L815" t="str">
            <v>Distinta</v>
          </cell>
          <cell r="M815">
            <v>15</v>
          </cell>
          <cell r="N815">
            <v>5</v>
          </cell>
          <cell r="O815">
            <v>35</v>
          </cell>
          <cell r="R815" t="str">
            <v>-</v>
          </cell>
          <cell r="S815" t="str">
            <v>-</v>
          </cell>
          <cell r="T815" t="str">
            <v>-</v>
          </cell>
          <cell r="V815" t="str">
            <v>At. área automático (2m), A 2 manos</v>
          </cell>
          <cell r="X815" t="str">
            <v>Grande</v>
          </cell>
          <cell r="Y815">
            <v>0</v>
          </cell>
          <cell r="AB815" t="str">
            <v/>
          </cell>
          <cell r="AC815" t="str">
            <v>Tablas!$AD$815:$AD$815</v>
          </cell>
          <cell r="AD815" t="str">
            <v>Munición natural</v>
          </cell>
        </row>
        <row r="816">
          <cell r="D816" t="str">
            <v>Mundus</v>
          </cell>
          <cell r="E816">
            <v>80</v>
          </cell>
          <cell r="F816">
            <v>20</v>
          </cell>
          <cell r="G816" t="str">
            <v>-</v>
          </cell>
          <cell r="H816">
            <v>0</v>
          </cell>
          <cell r="I816" t="str">
            <v>Esp</v>
          </cell>
          <cell r="J816" t="str">
            <v>-</v>
          </cell>
          <cell r="K816" t="str">
            <v>/</v>
          </cell>
          <cell r="L816" t="str">
            <v>Distinta</v>
          </cell>
          <cell r="M816" t="str">
            <v>-</v>
          </cell>
          <cell r="N816">
            <v>8</v>
          </cell>
          <cell r="O816" t="str">
            <v>Esp</v>
          </cell>
          <cell r="R816" t="str">
            <v>-</v>
          </cell>
          <cell r="S816" t="str">
            <v>-</v>
          </cell>
          <cell r="T816" t="str">
            <v>-</v>
          </cell>
          <cell r="V816" t="str">
            <v>Ver</v>
          </cell>
          <cell r="Y816">
            <v>0</v>
          </cell>
          <cell r="AB816" t="str">
            <v/>
          </cell>
          <cell r="AC816" t="str">
            <v>Tablas!$AD$816:$AD$816</v>
          </cell>
          <cell r="AD816" t="str">
            <v>Munición natural</v>
          </cell>
        </row>
        <row r="817">
          <cell r="D817" t="str">
            <v>Virgo (Viento pequeño)</v>
          </cell>
          <cell r="E817">
            <v>50</v>
          </cell>
          <cell r="F817">
            <v>-10</v>
          </cell>
          <cell r="G817">
            <v>0</v>
          </cell>
          <cell r="H817">
            <v>0</v>
          </cell>
          <cell r="I817" t="str">
            <v>CON</v>
          </cell>
          <cell r="J817" t="str">
            <v>-</v>
          </cell>
          <cell r="K817" t="str">
            <v>/</v>
          </cell>
          <cell r="L817" t="str">
            <v>Distinta</v>
          </cell>
          <cell r="M817">
            <v>0</v>
          </cell>
          <cell r="N817">
            <v>2</v>
          </cell>
          <cell r="O817">
            <v>45</v>
          </cell>
          <cell r="R817" t="str">
            <v>-</v>
          </cell>
          <cell r="S817" t="str">
            <v>-</v>
          </cell>
          <cell r="T817">
            <v>0</v>
          </cell>
          <cell r="V817" t="str">
            <v>Alcance 90m, Fascinación, Ver</v>
          </cell>
          <cell r="X817" t="str">
            <v>Mediana</v>
          </cell>
          <cell r="Y817">
            <v>0</v>
          </cell>
          <cell r="AB817" t="str">
            <v/>
          </cell>
          <cell r="AC817" t="str">
            <v>Tablas!$AD$817:$AD$817</v>
          </cell>
          <cell r="AD817" t="str">
            <v>Munición natural</v>
          </cell>
        </row>
        <row r="818">
          <cell r="D818" t="str">
            <v>Virgo (Viento grande)</v>
          </cell>
          <cell r="E818">
            <v>70</v>
          </cell>
          <cell r="F818">
            <v>-10</v>
          </cell>
          <cell r="G818">
            <v>0</v>
          </cell>
          <cell r="H818">
            <v>0</v>
          </cell>
          <cell r="I818" t="str">
            <v>CON</v>
          </cell>
          <cell r="J818" t="str">
            <v>-</v>
          </cell>
          <cell r="K818" t="str">
            <v>/</v>
          </cell>
          <cell r="L818" t="str">
            <v>Distinta</v>
          </cell>
          <cell r="M818">
            <v>0</v>
          </cell>
          <cell r="N818">
            <v>2</v>
          </cell>
          <cell r="O818">
            <v>45</v>
          </cell>
          <cell r="R818" t="str">
            <v>-</v>
          </cell>
          <cell r="S818" t="str">
            <v>-</v>
          </cell>
          <cell r="T818">
            <v>0</v>
          </cell>
          <cell r="V818" t="str">
            <v>Alcance 90m, Ver</v>
          </cell>
          <cell r="X818" t="str">
            <v>Mediana</v>
          </cell>
          <cell r="Y818">
            <v>0</v>
          </cell>
          <cell r="AB818" t="str">
            <v/>
          </cell>
          <cell r="AC818" t="str">
            <v>Tablas!$AD$818:$AD$818</v>
          </cell>
          <cell r="AD818" t="str">
            <v>Munición natural</v>
          </cell>
        </row>
        <row r="819">
          <cell r="D819" t="str">
            <v>Virgo (Cuerda)</v>
          </cell>
          <cell r="E819">
            <v>50</v>
          </cell>
          <cell r="F819">
            <v>-10</v>
          </cell>
          <cell r="G819">
            <v>0</v>
          </cell>
          <cell r="H819">
            <v>0</v>
          </cell>
          <cell r="I819" t="str">
            <v>CON</v>
          </cell>
          <cell r="J819" t="str">
            <v>-</v>
          </cell>
          <cell r="K819" t="str">
            <v>/</v>
          </cell>
          <cell r="L819" t="str">
            <v>Distinta</v>
          </cell>
          <cell r="M819">
            <v>0</v>
          </cell>
          <cell r="N819">
            <v>2</v>
          </cell>
          <cell r="O819">
            <v>45</v>
          </cell>
          <cell r="R819" t="str">
            <v>-</v>
          </cell>
          <cell r="S819" t="str">
            <v>-</v>
          </cell>
          <cell r="T819">
            <v>0</v>
          </cell>
          <cell r="V819" t="str">
            <v>Alcance 90m, Resonancia mejorada, Ver</v>
          </cell>
          <cell r="X819" t="str">
            <v>Mediana</v>
          </cell>
          <cell r="Y819">
            <v>0</v>
          </cell>
          <cell r="AB819" t="str">
            <v/>
          </cell>
          <cell r="AC819" t="str">
            <v>Tablas!$AD$819:$AD$819</v>
          </cell>
          <cell r="AD819" t="str">
            <v>Munición natural</v>
          </cell>
        </row>
        <row r="820">
          <cell r="D820" t="str">
            <v>Virgo (Percusión)</v>
          </cell>
          <cell r="E820">
            <v>50</v>
          </cell>
          <cell r="F820">
            <v>-10</v>
          </cell>
          <cell r="G820">
            <v>0</v>
          </cell>
          <cell r="H820">
            <v>0</v>
          </cell>
          <cell r="I820" t="str">
            <v>CON</v>
          </cell>
          <cell r="J820" t="str">
            <v>-</v>
          </cell>
          <cell r="K820" t="str">
            <v>/</v>
          </cell>
          <cell r="L820" t="str">
            <v>Distinta</v>
          </cell>
          <cell r="M820">
            <v>0</v>
          </cell>
          <cell r="N820">
            <v>2</v>
          </cell>
          <cell r="O820">
            <v>45</v>
          </cell>
          <cell r="R820" t="str">
            <v>-</v>
          </cell>
          <cell r="S820" t="str">
            <v>-</v>
          </cell>
          <cell r="T820">
            <v>0</v>
          </cell>
          <cell r="V820" t="str">
            <v>Alcance 90m, Impacto FUE 12, Ver</v>
          </cell>
          <cell r="X820" t="str">
            <v>Mediana</v>
          </cell>
          <cell r="Y820">
            <v>0</v>
          </cell>
          <cell r="AB820" t="str">
            <v/>
          </cell>
          <cell r="AC820" t="str">
            <v>Tablas!$AD$820:$AD$820</v>
          </cell>
          <cell r="AD820" t="str">
            <v>Munición natural</v>
          </cell>
        </row>
        <row r="821">
          <cell r="D821" t="str">
            <v>Libra</v>
          </cell>
          <cell r="E821">
            <v>50</v>
          </cell>
          <cell r="F821">
            <v>0</v>
          </cell>
          <cell r="G821">
            <v>5</v>
          </cell>
          <cell r="H821">
            <v>5</v>
          </cell>
          <cell r="I821" t="str">
            <v>VAR</v>
          </cell>
          <cell r="J821" t="str">
            <v>-</v>
          </cell>
          <cell r="K821" t="str">
            <v>/</v>
          </cell>
          <cell r="L821" t="str">
            <v>Distinta</v>
          </cell>
          <cell r="M821">
            <v>15</v>
          </cell>
          <cell r="N821">
            <v>2</v>
          </cell>
          <cell r="O821">
            <v>45</v>
          </cell>
          <cell r="R821" t="str">
            <v>-</v>
          </cell>
          <cell r="S821" t="str">
            <v>-</v>
          </cell>
          <cell r="T821" t="str">
            <v>-</v>
          </cell>
          <cell r="V821" t="str">
            <v>Capacidades variables</v>
          </cell>
          <cell r="X821" t="str">
            <v>Mediana</v>
          </cell>
          <cell r="Y821">
            <v>0</v>
          </cell>
          <cell r="AB821" t="str">
            <v/>
          </cell>
          <cell r="AC821" t="str">
            <v>Tablas!$AD$821:$AD$821</v>
          </cell>
          <cell r="AD821" t="str">
            <v>Munición natural</v>
          </cell>
        </row>
        <row r="822">
          <cell r="D822" t="str">
            <v>Scorpio (Espada)</v>
          </cell>
          <cell r="E822">
            <v>50</v>
          </cell>
          <cell r="F822">
            <v>0</v>
          </cell>
          <cell r="G822">
            <v>5</v>
          </cell>
          <cell r="H822">
            <v>5</v>
          </cell>
          <cell r="I822" t="str">
            <v>FIL</v>
          </cell>
          <cell r="J822" t="str">
            <v>PEN</v>
          </cell>
          <cell r="K822" t="str">
            <v>/</v>
          </cell>
          <cell r="L822" t="str">
            <v>Distinta</v>
          </cell>
          <cell r="M822">
            <v>13</v>
          </cell>
          <cell r="N822">
            <v>2</v>
          </cell>
          <cell r="O822">
            <v>35</v>
          </cell>
          <cell r="R822" t="str">
            <v>-</v>
          </cell>
          <cell r="S822" t="str">
            <v>-</v>
          </cell>
          <cell r="T822" t="str">
            <v>-</v>
          </cell>
          <cell r="V822" t="str">
            <v>-</v>
          </cell>
          <cell r="X822" t="str">
            <v>Mediana</v>
          </cell>
          <cell r="Y822">
            <v>0</v>
          </cell>
          <cell r="AB822" t="str">
            <v/>
          </cell>
          <cell r="AC822" t="str">
            <v>Tablas!$AD$822:$AD$822</v>
          </cell>
          <cell r="AD822" t="str">
            <v>Munición natural</v>
          </cell>
        </row>
        <row r="823">
          <cell r="D823" t="str">
            <v>Scorpio (Látigo)</v>
          </cell>
          <cell r="E823">
            <v>40</v>
          </cell>
          <cell r="F823">
            <v>-10</v>
          </cell>
          <cell r="G823">
            <v>5</v>
          </cell>
          <cell r="H823">
            <v>5</v>
          </cell>
          <cell r="I823" t="str">
            <v>FIL</v>
          </cell>
          <cell r="J823" t="str">
            <v>PEN</v>
          </cell>
          <cell r="K823" t="str">
            <v>/</v>
          </cell>
          <cell r="L823" t="str">
            <v>Distinta</v>
          </cell>
          <cell r="M823">
            <v>13</v>
          </cell>
          <cell r="N823">
            <v>2</v>
          </cell>
          <cell r="O823">
            <v>35</v>
          </cell>
          <cell r="R823" t="str">
            <v>-</v>
          </cell>
          <cell r="S823" t="str">
            <v>-</v>
          </cell>
          <cell r="T823" t="str">
            <v>-</v>
          </cell>
          <cell r="V823" t="str">
            <v>Presa (FUE 10), Alcance (10m), Arma Grande, Torbellino envolvente</v>
          </cell>
          <cell r="X823" t="str">
            <v>Mediana</v>
          </cell>
          <cell r="Y823">
            <v>0</v>
          </cell>
          <cell r="AB823" t="str">
            <v/>
          </cell>
          <cell r="AC823" t="str">
            <v>Tablas!$AD$823:$AD$823</v>
          </cell>
          <cell r="AD823" t="str">
            <v>Munición natural</v>
          </cell>
        </row>
        <row r="824">
          <cell r="D824" t="str">
            <v>Sagittarius</v>
          </cell>
          <cell r="E824">
            <v>40</v>
          </cell>
          <cell r="F824">
            <v>10</v>
          </cell>
          <cell r="G824">
            <v>4</v>
          </cell>
          <cell r="H824">
            <v>4</v>
          </cell>
          <cell r="I824" t="str">
            <v>PEN</v>
          </cell>
          <cell r="J824" t="str">
            <v>CON</v>
          </cell>
          <cell r="K824" t="str">
            <v>/</v>
          </cell>
          <cell r="L824" t="str">
            <v>Distinta</v>
          </cell>
          <cell r="M824">
            <v>0</v>
          </cell>
          <cell r="N824">
            <v>0</v>
          </cell>
          <cell r="O824" t="str">
            <v>Esp</v>
          </cell>
          <cell r="R824">
            <v>100</v>
          </cell>
          <cell r="S824" t="str">
            <v>-</v>
          </cell>
          <cell r="T824">
            <v>10</v>
          </cell>
          <cell r="V824" t="str">
            <v>Lanzable (100/XXXm)</v>
          </cell>
          <cell r="X824" t="str">
            <v>Pequeña</v>
          </cell>
          <cell r="Y824">
            <v>0</v>
          </cell>
        </row>
        <row r="825">
          <cell r="D825" t="str">
            <v>Capricornius</v>
          </cell>
          <cell r="E825">
            <v>100</v>
          </cell>
          <cell r="F825">
            <v>20</v>
          </cell>
          <cell r="G825">
            <v>3</v>
          </cell>
          <cell r="H825">
            <v>3</v>
          </cell>
          <cell r="I825" t="str">
            <v>PEN</v>
          </cell>
          <cell r="J825" t="str">
            <v>-</v>
          </cell>
          <cell r="K825" t="str">
            <v>/</v>
          </cell>
          <cell r="L825" t="str">
            <v>Distinta</v>
          </cell>
          <cell r="M825">
            <v>8</v>
          </cell>
          <cell r="N825">
            <v>-5</v>
          </cell>
          <cell r="O825">
            <v>20</v>
          </cell>
          <cell r="R825">
            <v>30</v>
          </cell>
          <cell r="S825" t="str">
            <v>-</v>
          </cell>
          <cell r="T825">
            <v>10</v>
          </cell>
          <cell r="V825" t="str">
            <v>1/10 Daño, Lanzable (30/XXXm), Precisa</v>
          </cell>
          <cell r="X825" t="str">
            <v>Pequeña</v>
          </cell>
          <cell r="Y825">
            <v>0</v>
          </cell>
        </row>
        <row r="826">
          <cell r="D826" t="str">
            <v>Aquarius</v>
          </cell>
          <cell r="E826">
            <v>60</v>
          </cell>
          <cell r="F826">
            <v>10</v>
          </cell>
          <cell r="G826">
            <v>3</v>
          </cell>
          <cell r="H826">
            <v>3</v>
          </cell>
          <cell r="I826" t="str">
            <v>FIL</v>
          </cell>
          <cell r="J826" t="str">
            <v>CON</v>
          </cell>
          <cell r="K826" t="str">
            <v>/</v>
          </cell>
          <cell r="L826" t="str">
            <v>Distinta</v>
          </cell>
          <cell r="M826">
            <v>20</v>
          </cell>
          <cell r="N826">
            <v>5</v>
          </cell>
          <cell r="O826">
            <v>30</v>
          </cell>
          <cell r="R826" t="str">
            <v>-</v>
          </cell>
          <cell r="S826" t="str">
            <v>-</v>
          </cell>
          <cell r="T826" t="str">
            <v>-</v>
          </cell>
          <cell r="V826" t="str">
            <v>Escudo contra proyectiles, Presa (FUE 8)</v>
          </cell>
          <cell r="X826" t="str">
            <v>Mediana</v>
          </cell>
          <cell r="Y826">
            <v>0</v>
          </cell>
        </row>
        <row r="827">
          <cell r="D827" t="str">
            <v>Piscis</v>
          </cell>
          <cell r="E827">
            <v>30</v>
          </cell>
          <cell r="F827">
            <v>20</v>
          </cell>
          <cell r="G827">
            <v>0</v>
          </cell>
          <cell r="H827">
            <v>0</v>
          </cell>
          <cell r="I827" t="str">
            <v>CON</v>
          </cell>
          <cell r="J827" t="str">
            <v>-</v>
          </cell>
          <cell r="K827" t="str">
            <v>/</v>
          </cell>
          <cell r="L827" t="str">
            <v>Distinta</v>
          </cell>
          <cell r="M827">
            <v>8</v>
          </cell>
          <cell r="N827">
            <v>-2</v>
          </cell>
          <cell r="O827">
            <v>20</v>
          </cell>
          <cell r="R827" t="str">
            <v>-</v>
          </cell>
          <cell r="S827" t="str">
            <v>-</v>
          </cell>
          <cell r="T827" t="str">
            <v>-</v>
          </cell>
          <cell r="V827" t="str">
            <v>Presa (FUE 8), Alcance (8m)</v>
          </cell>
          <cell r="X827" t="str">
            <v>Pequeña</v>
          </cell>
          <cell r="Y827">
            <v>0</v>
          </cell>
        </row>
        <row r="828">
          <cell r="D828" t="str">
            <v>Ophiucos</v>
          </cell>
          <cell r="E828">
            <v>50</v>
          </cell>
          <cell r="F828">
            <v>0</v>
          </cell>
          <cell r="G828">
            <v>0</v>
          </cell>
          <cell r="H828">
            <v>0</v>
          </cell>
          <cell r="I828" t="str">
            <v>FIL</v>
          </cell>
          <cell r="J828" t="str">
            <v>PEN</v>
          </cell>
          <cell r="K828" t="str">
            <v>/</v>
          </cell>
          <cell r="L828" t="str">
            <v>Distinta</v>
          </cell>
          <cell r="M828">
            <v>10</v>
          </cell>
          <cell r="N828">
            <v>11</v>
          </cell>
          <cell r="O828">
            <v>90</v>
          </cell>
          <cell r="R828" t="str">
            <v>-</v>
          </cell>
          <cell r="S828" t="str">
            <v>-</v>
          </cell>
          <cell r="T828" t="str">
            <v>-</v>
          </cell>
          <cell r="V828" t="str">
            <v>Liberación absoluta, Liberación en área, Uso sellado, Comb. con Ki</v>
          </cell>
          <cell r="X828" t="str">
            <v>Mediana</v>
          </cell>
          <cell r="Y828">
            <v>0</v>
          </cell>
        </row>
        <row r="829">
          <cell r="D829" t="str">
            <v>&gt; ATAQUES DE MONSTRUO</v>
          </cell>
        </row>
        <row r="830">
          <cell r="D830" t="str">
            <v/>
          </cell>
          <cell r="E830" t="e">
            <v>#N/A</v>
          </cell>
          <cell r="F830">
            <v>20</v>
          </cell>
          <cell r="G830">
            <v>0</v>
          </cell>
          <cell r="H830">
            <v>0</v>
          </cell>
          <cell r="I830" t="str">
            <v>-</v>
          </cell>
          <cell r="J830" t="str">
            <v>-</v>
          </cell>
          <cell r="K830" t="str">
            <v>Natural/-</v>
          </cell>
          <cell r="L830" t="str">
            <v>Conocida</v>
          </cell>
          <cell r="M830">
            <v>4</v>
          </cell>
          <cell r="N830" t="e">
            <v>#N/A</v>
          </cell>
          <cell r="T830" t="str">
            <v>-</v>
          </cell>
          <cell r="U830">
            <v>0</v>
          </cell>
          <cell r="V830" t="str">
            <v>Ver</v>
          </cell>
          <cell r="X830" t="str">
            <v>Mediana</v>
          </cell>
          <cell r="Y830">
            <v>0</v>
          </cell>
        </row>
        <row r="831">
          <cell r="D831" t="str">
            <v/>
          </cell>
          <cell r="E831" t="e">
            <v>#N/A</v>
          </cell>
          <cell r="F831">
            <v>20</v>
          </cell>
          <cell r="G831">
            <v>0</v>
          </cell>
          <cell r="H831">
            <v>0</v>
          </cell>
          <cell r="I831" t="str">
            <v>-</v>
          </cell>
          <cell r="J831" t="str">
            <v>-</v>
          </cell>
          <cell r="K831" t="str">
            <v>Natural/-</v>
          </cell>
          <cell r="L831" t="str">
            <v>Conocida</v>
          </cell>
          <cell r="M831">
            <v>4</v>
          </cell>
          <cell r="N831" t="e">
            <v>#N/A</v>
          </cell>
          <cell r="T831" t="str">
            <v>-</v>
          </cell>
          <cell r="U831">
            <v>0</v>
          </cell>
          <cell r="V831" t="str">
            <v>Ver</v>
          </cell>
          <cell r="X831" t="str">
            <v>Mediana</v>
          </cell>
          <cell r="Y831">
            <v>0</v>
          </cell>
        </row>
        <row r="832">
          <cell r="D832" t="str">
            <v/>
          </cell>
          <cell r="E832" t="e">
            <v>#N/A</v>
          </cell>
          <cell r="F832">
            <v>20</v>
          </cell>
          <cell r="G832">
            <v>0</v>
          </cell>
          <cell r="H832">
            <v>0</v>
          </cell>
          <cell r="I832" t="str">
            <v>-</v>
          </cell>
          <cell r="J832" t="str">
            <v>-</v>
          </cell>
          <cell r="K832" t="str">
            <v>Natural/-</v>
          </cell>
          <cell r="L832" t="str">
            <v>Conocida</v>
          </cell>
          <cell r="M832">
            <v>4</v>
          </cell>
          <cell r="N832" t="e">
            <v>#N/A</v>
          </cell>
          <cell r="T832" t="str">
            <v>-</v>
          </cell>
          <cell r="U832">
            <v>0</v>
          </cell>
          <cell r="V832" t="str">
            <v>Ver</v>
          </cell>
          <cell r="X832" t="str">
            <v>Mediana</v>
          </cell>
          <cell r="Y832">
            <v>0</v>
          </cell>
        </row>
        <row r="833">
          <cell r="D833" t="str">
            <v/>
          </cell>
          <cell r="E833" t="e">
            <v>#N/A</v>
          </cell>
          <cell r="F833">
            <v>20</v>
          </cell>
          <cell r="G833">
            <v>0</v>
          </cell>
          <cell r="H833">
            <v>0</v>
          </cell>
          <cell r="I833" t="str">
            <v>-</v>
          </cell>
          <cell r="J833" t="str">
            <v>-</v>
          </cell>
          <cell r="K833" t="str">
            <v>Natural/-</v>
          </cell>
          <cell r="L833" t="str">
            <v>Conocida</v>
          </cell>
          <cell r="M833">
            <v>4</v>
          </cell>
          <cell r="N833" t="e">
            <v>#N/A</v>
          </cell>
          <cell r="T833" t="str">
            <v>-</v>
          </cell>
          <cell r="U833">
            <v>0</v>
          </cell>
          <cell r="V833" t="str">
            <v>Ver</v>
          </cell>
          <cell r="X833" t="str">
            <v>Mediana</v>
          </cell>
          <cell r="Y833">
            <v>0</v>
          </cell>
        </row>
        <row r="834">
          <cell r="D834" t="str">
            <v/>
          </cell>
          <cell r="E834" t="e">
            <v>#N/A</v>
          </cell>
          <cell r="F834">
            <v>20</v>
          </cell>
          <cell r="G834">
            <v>0</v>
          </cell>
          <cell r="H834">
            <v>0</v>
          </cell>
          <cell r="I834" t="str">
            <v>-</v>
          </cell>
          <cell r="J834" t="str">
            <v>-</v>
          </cell>
          <cell r="K834" t="str">
            <v>Natural/-</v>
          </cell>
          <cell r="L834" t="str">
            <v>Conocida</v>
          </cell>
          <cell r="M834">
            <v>4</v>
          </cell>
          <cell r="N834" t="e">
            <v>#N/A</v>
          </cell>
          <cell r="T834" t="str">
            <v>-</v>
          </cell>
          <cell r="U834">
            <v>0</v>
          </cell>
          <cell r="V834" t="str">
            <v>Ver</v>
          </cell>
          <cell r="X834" t="str">
            <v>Mediana</v>
          </cell>
          <cell r="Y834">
            <v>0</v>
          </cell>
        </row>
        <row r="835">
          <cell r="D835" t="str">
            <v/>
          </cell>
          <cell r="E835" t="e">
            <v>#N/A</v>
          </cell>
          <cell r="F835">
            <v>20</v>
          </cell>
          <cell r="G835">
            <v>0</v>
          </cell>
          <cell r="H835">
            <v>0</v>
          </cell>
          <cell r="I835" t="str">
            <v>-</v>
          </cell>
          <cell r="J835" t="str">
            <v>-</v>
          </cell>
          <cell r="K835" t="str">
            <v>Natural/-</v>
          </cell>
          <cell r="L835" t="str">
            <v>Conocida</v>
          </cell>
          <cell r="M835">
            <v>4</v>
          </cell>
          <cell r="N835" t="e">
            <v>#N/A</v>
          </cell>
          <cell r="T835" t="str">
            <v>-</v>
          </cell>
          <cell r="U835">
            <v>0</v>
          </cell>
          <cell r="V835" t="str">
            <v>Ver</v>
          </cell>
          <cell r="X835" t="str">
            <v>Mediana</v>
          </cell>
          <cell r="Y835">
            <v>0</v>
          </cell>
        </row>
        <row r="836">
          <cell r="D836" t="str">
            <v/>
          </cell>
          <cell r="E836" t="e">
            <v>#N/A</v>
          </cell>
          <cell r="F836">
            <v>20</v>
          </cell>
          <cell r="G836">
            <v>0</v>
          </cell>
          <cell r="H836">
            <v>0</v>
          </cell>
          <cell r="I836" t="str">
            <v>-</v>
          </cell>
          <cell r="J836" t="str">
            <v>-</v>
          </cell>
          <cell r="K836" t="str">
            <v>Natural/-</v>
          </cell>
          <cell r="L836" t="str">
            <v>Conocida</v>
          </cell>
          <cell r="M836">
            <v>4</v>
          </cell>
          <cell r="N836" t="e">
            <v>#N/A</v>
          </cell>
          <cell r="T836" t="str">
            <v>-</v>
          </cell>
          <cell r="U836">
            <v>0</v>
          </cell>
          <cell r="V836" t="str">
            <v>Ver</v>
          </cell>
          <cell r="X836" t="str">
            <v>Mediana</v>
          </cell>
          <cell r="Y836">
            <v>0</v>
          </cell>
        </row>
        <row r="837">
          <cell r="D837" t="str">
            <v/>
          </cell>
          <cell r="E837" t="e">
            <v>#N/A</v>
          </cell>
          <cell r="F837">
            <v>20</v>
          </cell>
          <cell r="G837">
            <v>0</v>
          </cell>
          <cell r="H837">
            <v>0</v>
          </cell>
          <cell r="I837" t="str">
            <v>-</v>
          </cell>
          <cell r="J837" t="str">
            <v>-</v>
          </cell>
          <cell r="K837" t="str">
            <v>Natural/-</v>
          </cell>
          <cell r="L837" t="str">
            <v>Conocida</v>
          </cell>
          <cell r="M837">
            <v>4</v>
          </cell>
          <cell r="N837" t="e">
            <v>#N/A</v>
          </cell>
          <cell r="T837" t="str">
            <v>-</v>
          </cell>
          <cell r="U837">
            <v>0</v>
          </cell>
          <cell r="V837" t="str">
            <v>Ver</v>
          </cell>
          <cell r="X837" t="str">
            <v>Mediana</v>
          </cell>
          <cell r="Y837">
            <v>0</v>
          </cell>
        </row>
        <row r="838">
          <cell r="D838" t="str">
            <v/>
          </cell>
          <cell r="E838" t="e">
            <v>#N/A</v>
          </cell>
          <cell r="F838">
            <v>20</v>
          </cell>
          <cell r="G838">
            <v>0</v>
          </cell>
          <cell r="H838">
            <v>0</v>
          </cell>
          <cell r="I838" t="str">
            <v>-</v>
          </cell>
          <cell r="J838" t="str">
            <v>-</v>
          </cell>
          <cell r="K838" t="str">
            <v>Natural/-</v>
          </cell>
          <cell r="L838" t="str">
            <v>Conocida</v>
          </cell>
          <cell r="M838">
            <v>4</v>
          </cell>
          <cell r="N838" t="e">
            <v>#N/A</v>
          </cell>
          <cell r="T838" t="str">
            <v>-</v>
          </cell>
          <cell r="U838">
            <v>0</v>
          </cell>
          <cell r="V838" t="str">
            <v>Ver</v>
          </cell>
          <cell r="X838" t="str">
            <v>Mediana</v>
          </cell>
          <cell r="Y838">
            <v>0</v>
          </cell>
        </row>
        <row r="839">
          <cell r="D839" t="str">
            <v/>
          </cell>
          <cell r="E839" t="e">
            <v>#N/A</v>
          </cell>
          <cell r="F839">
            <v>20</v>
          </cell>
          <cell r="G839">
            <v>0</v>
          </cell>
          <cell r="H839">
            <v>0</v>
          </cell>
          <cell r="I839" t="str">
            <v>-</v>
          </cell>
          <cell r="J839" t="str">
            <v>-</v>
          </cell>
          <cell r="K839" t="str">
            <v>Natural/-</v>
          </cell>
          <cell r="L839" t="str">
            <v>Conocida</v>
          </cell>
          <cell r="M839">
            <v>4</v>
          </cell>
          <cell r="N839" t="e">
            <v>#N/A</v>
          </cell>
          <cell r="T839" t="str">
            <v>-</v>
          </cell>
          <cell r="U839">
            <v>0</v>
          </cell>
          <cell r="V839" t="str">
            <v>Ver</v>
          </cell>
          <cell r="X839" t="str">
            <v>Mediana</v>
          </cell>
          <cell r="Y839">
            <v>0</v>
          </cell>
        </row>
        <row r="840">
          <cell r="D840" t="str">
            <v>&gt; ATAQUES DE MONSTRUO</v>
          </cell>
        </row>
        <row r="841">
          <cell r="D841" t="str">
            <v/>
          </cell>
          <cell r="E841" t="e">
            <v>#N/A</v>
          </cell>
          <cell r="F841">
            <v>20</v>
          </cell>
          <cell r="G841">
            <v>0</v>
          </cell>
          <cell r="H841">
            <v>0</v>
          </cell>
          <cell r="I841" t="str">
            <v>-</v>
          </cell>
          <cell r="J841" t="str">
            <v>-</v>
          </cell>
          <cell r="K841" t="str">
            <v>Natural/-</v>
          </cell>
          <cell r="L841" t="str">
            <v>Conocida</v>
          </cell>
          <cell r="M841">
            <v>4</v>
          </cell>
          <cell r="N841" t="e">
            <v>#N/A</v>
          </cell>
          <cell r="S841" t="str">
            <v>-</v>
          </cell>
          <cell r="T841">
            <v>0</v>
          </cell>
          <cell r="U841">
            <v>0</v>
          </cell>
          <cell r="V841" t="str">
            <v>Ver</v>
          </cell>
          <cell r="X841" t="str">
            <v>Mediana</v>
          </cell>
          <cell r="Y841">
            <v>0</v>
          </cell>
        </row>
        <row r="842">
          <cell r="D842" t="str">
            <v/>
          </cell>
          <cell r="E842" t="e">
            <v>#N/A</v>
          </cell>
          <cell r="F842">
            <v>20</v>
          </cell>
          <cell r="G842">
            <v>0</v>
          </cell>
          <cell r="H842">
            <v>0</v>
          </cell>
          <cell r="I842" t="str">
            <v>-</v>
          </cell>
          <cell r="J842" t="str">
            <v>-</v>
          </cell>
          <cell r="K842" t="str">
            <v>Natural/-</v>
          </cell>
          <cell r="L842" t="str">
            <v>Conocida</v>
          </cell>
          <cell r="M842">
            <v>4</v>
          </cell>
          <cell r="N842" t="e">
            <v>#N/A</v>
          </cell>
          <cell r="T842" t="str">
            <v>-</v>
          </cell>
          <cell r="U842">
            <v>0</v>
          </cell>
          <cell r="V842" t="str">
            <v>Ver</v>
          </cell>
          <cell r="X842" t="str">
            <v>Mediana</v>
          </cell>
          <cell r="Y842">
            <v>0</v>
          </cell>
        </row>
        <row r="843">
          <cell r="D843" t="str">
            <v/>
          </cell>
          <cell r="E843" t="e">
            <v>#N/A</v>
          </cell>
          <cell r="F843">
            <v>20</v>
          </cell>
          <cell r="G843">
            <v>0</v>
          </cell>
          <cell r="H843">
            <v>0</v>
          </cell>
          <cell r="I843" t="str">
            <v>-</v>
          </cell>
          <cell r="J843" t="str">
            <v>-</v>
          </cell>
          <cell r="K843" t="str">
            <v>Natural/-</v>
          </cell>
          <cell r="L843" t="str">
            <v>Conocida</v>
          </cell>
          <cell r="M843">
            <v>4</v>
          </cell>
          <cell r="N843" t="e">
            <v>#N/A</v>
          </cell>
          <cell r="T843" t="str">
            <v>-</v>
          </cell>
          <cell r="U843">
            <v>0</v>
          </cell>
          <cell r="V843" t="str">
            <v>Ver</v>
          </cell>
          <cell r="X843" t="str">
            <v>Mediana</v>
          </cell>
          <cell r="Y843">
            <v>0</v>
          </cell>
        </row>
        <row r="844">
          <cell r="D844" t="str">
            <v/>
          </cell>
          <cell r="E844" t="e">
            <v>#N/A</v>
          </cell>
          <cell r="F844">
            <v>20</v>
          </cell>
          <cell r="G844">
            <v>0</v>
          </cell>
          <cell r="H844">
            <v>0</v>
          </cell>
          <cell r="I844" t="str">
            <v>-</v>
          </cell>
          <cell r="J844" t="str">
            <v>-</v>
          </cell>
          <cell r="K844" t="str">
            <v>Natural/-</v>
          </cell>
          <cell r="L844" t="str">
            <v>Conocida</v>
          </cell>
          <cell r="M844">
            <v>4</v>
          </cell>
          <cell r="N844" t="e">
            <v>#N/A</v>
          </cell>
          <cell r="T844" t="str">
            <v>-</v>
          </cell>
          <cell r="U844">
            <v>0</v>
          </cell>
          <cell r="V844" t="str">
            <v>Ver</v>
          </cell>
          <cell r="X844" t="str">
            <v>Mediana</v>
          </cell>
          <cell r="Y844">
            <v>0</v>
          </cell>
        </row>
        <row r="845">
          <cell r="D845" t="str">
            <v/>
          </cell>
          <cell r="E845" t="e">
            <v>#N/A</v>
          </cell>
          <cell r="F845">
            <v>20</v>
          </cell>
          <cell r="G845">
            <v>0</v>
          </cell>
          <cell r="H845">
            <v>0</v>
          </cell>
          <cell r="I845" t="str">
            <v>-</v>
          </cell>
          <cell r="J845" t="str">
            <v>-</v>
          </cell>
          <cell r="K845" t="str">
            <v>Natural/-</v>
          </cell>
          <cell r="L845" t="str">
            <v>Conocida</v>
          </cell>
          <cell r="M845">
            <v>4</v>
          </cell>
          <cell r="N845" t="e">
            <v>#N/A</v>
          </cell>
          <cell r="T845" t="str">
            <v>-</v>
          </cell>
          <cell r="U845">
            <v>0</v>
          </cell>
          <cell r="V845" t="str">
            <v>Ver</v>
          </cell>
          <cell r="X845" t="str">
            <v>Mediana</v>
          </cell>
          <cell r="Y845">
            <v>0</v>
          </cell>
        </row>
        <row r="846">
          <cell r="D846" t="str">
            <v/>
          </cell>
          <cell r="E846" t="e">
            <v>#N/A</v>
          </cell>
          <cell r="F846">
            <v>20</v>
          </cell>
          <cell r="G846">
            <v>0</v>
          </cell>
          <cell r="H846">
            <v>0</v>
          </cell>
          <cell r="I846" t="str">
            <v>-</v>
          </cell>
          <cell r="J846" t="str">
            <v>-</v>
          </cell>
          <cell r="K846" t="str">
            <v>Natural/-</v>
          </cell>
          <cell r="L846" t="str">
            <v>Conocida</v>
          </cell>
          <cell r="M846">
            <v>4</v>
          </cell>
          <cell r="N846" t="e">
            <v>#N/A</v>
          </cell>
          <cell r="T846" t="str">
            <v>-</v>
          </cell>
          <cell r="U846">
            <v>0</v>
          </cell>
          <cell r="V846" t="str">
            <v>Ver</v>
          </cell>
          <cell r="X846" t="str">
            <v>Mediana</v>
          </cell>
          <cell r="Y846">
            <v>0</v>
          </cell>
        </row>
        <row r="847">
          <cell r="D847" t="str">
            <v/>
          </cell>
          <cell r="E847" t="e">
            <v>#N/A</v>
          </cell>
          <cell r="F847">
            <v>20</v>
          </cell>
          <cell r="G847">
            <v>0</v>
          </cell>
          <cell r="H847">
            <v>0</v>
          </cell>
          <cell r="I847" t="str">
            <v>-</v>
          </cell>
          <cell r="J847" t="str">
            <v>-</v>
          </cell>
          <cell r="K847" t="str">
            <v>Natural/-</v>
          </cell>
          <cell r="L847" t="str">
            <v>Conocida</v>
          </cell>
          <cell r="M847">
            <v>4</v>
          </cell>
          <cell r="N847" t="e">
            <v>#N/A</v>
          </cell>
          <cell r="T847" t="str">
            <v>-</v>
          </cell>
          <cell r="U847">
            <v>0</v>
          </cell>
          <cell r="V847" t="str">
            <v>Ver</v>
          </cell>
          <cell r="X847" t="str">
            <v>Mediana</v>
          </cell>
          <cell r="Y847">
            <v>0</v>
          </cell>
        </row>
        <row r="848">
          <cell r="D848" t="str">
            <v/>
          </cell>
          <cell r="E848" t="e">
            <v>#N/A</v>
          </cell>
          <cell r="F848">
            <v>20</v>
          </cell>
          <cell r="G848">
            <v>0</v>
          </cell>
          <cell r="H848">
            <v>0</v>
          </cell>
          <cell r="I848" t="str">
            <v>-</v>
          </cell>
          <cell r="J848" t="str">
            <v>-</v>
          </cell>
          <cell r="K848" t="str">
            <v>Natural/-</v>
          </cell>
          <cell r="L848" t="str">
            <v>Conocida</v>
          </cell>
          <cell r="M848">
            <v>4</v>
          </cell>
          <cell r="N848" t="e">
            <v>#N/A</v>
          </cell>
          <cell r="T848" t="str">
            <v>-</v>
          </cell>
          <cell r="U848">
            <v>0</v>
          </cell>
          <cell r="V848" t="str">
            <v>Ver</v>
          </cell>
          <cell r="X848" t="str">
            <v>Mediana</v>
          </cell>
          <cell r="Y848">
            <v>0</v>
          </cell>
        </row>
        <row r="849">
          <cell r="D849" t="str">
            <v/>
          </cell>
          <cell r="E849" t="e">
            <v>#N/A</v>
          </cell>
          <cell r="F849">
            <v>20</v>
          </cell>
          <cell r="G849">
            <v>0</v>
          </cell>
          <cell r="H849">
            <v>0</v>
          </cell>
          <cell r="I849" t="str">
            <v>-</v>
          </cell>
          <cell r="J849" t="str">
            <v>-</v>
          </cell>
          <cell r="K849" t="str">
            <v>Natural/-</v>
          </cell>
          <cell r="L849" t="str">
            <v>Conocida</v>
          </cell>
          <cell r="M849">
            <v>4</v>
          </cell>
          <cell r="N849" t="e">
            <v>#N/A</v>
          </cell>
          <cell r="T849" t="str">
            <v>-</v>
          </cell>
          <cell r="U849">
            <v>0</v>
          </cell>
          <cell r="V849" t="str">
            <v>Ver</v>
          </cell>
          <cell r="X849" t="str">
            <v>Mediana</v>
          </cell>
          <cell r="Y849">
            <v>0</v>
          </cell>
        </row>
        <row r="850">
          <cell r="D850" t="str">
            <v/>
          </cell>
          <cell r="E850" t="e">
            <v>#N/A</v>
          </cell>
          <cell r="F850">
            <v>20</v>
          </cell>
          <cell r="G850">
            <v>0</v>
          </cell>
          <cell r="H850">
            <v>0</v>
          </cell>
          <cell r="I850" t="str">
            <v>-</v>
          </cell>
          <cell r="J850" t="str">
            <v>-</v>
          </cell>
          <cell r="K850" t="str">
            <v>Natural/-</v>
          </cell>
          <cell r="L850" t="str">
            <v>Conocida</v>
          </cell>
          <cell r="M850">
            <v>4</v>
          </cell>
          <cell r="N850" t="e">
            <v>#N/A</v>
          </cell>
          <cell r="T850" t="str">
            <v>-</v>
          </cell>
          <cell r="U850">
            <v>0</v>
          </cell>
          <cell r="V850" t="str">
            <v>Ver</v>
          </cell>
          <cell r="X850" t="str">
            <v>Mediana</v>
          </cell>
          <cell r="Y850">
            <v>0</v>
          </cell>
        </row>
        <row r="860">
          <cell r="D860" t="str">
            <v>&gt; A. MARCIALES BÁSICAS</v>
          </cell>
          <cell r="N860" t="str">
            <v>-</v>
          </cell>
          <cell r="S860">
            <v>1</v>
          </cell>
          <cell r="X860">
            <v>0</v>
          </cell>
          <cell r="Z860" t="str">
            <v>-</v>
          </cell>
        </row>
        <row r="861">
          <cell r="D861" t="str">
            <v>Aikido (Base)</v>
          </cell>
          <cell r="E861">
            <v>10</v>
          </cell>
          <cell r="G861">
            <v>0</v>
          </cell>
          <cell r="N861" t="str">
            <v>En contraataque añade (2xFUE enemigo) al Daño</v>
          </cell>
          <cell r="S861">
            <v>45</v>
          </cell>
          <cell r="X861">
            <v>0</v>
          </cell>
          <cell r="Y861">
            <v>0</v>
          </cell>
          <cell r="Z861" t="str">
            <v>NO</v>
          </cell>
          <cell r="AA861">
            <v>20</v>
          </cell>
          <cell r="AB861">
            <v>20</v>
          </cell>
          <cell r="AC861">
            <v>20</v>
          </cell>
        </row>
        <row r="862">
          <cell r="D862" t="str">
            <v>Aikido (Avanzado)</v>
          </cell>
          <cell r="E862">
            <v>10</v>
          </cell>
          <cell r="G862">
            <v>10</v>
          </cell>
          <cell r="I862">
            <v>10</v>
          </cell>
          <cell r="J862">
            <v>10</v>
          </cell>
          <cell r="N862" t="str">
            <v>En contraataque Presa y Derribo sin penalizador y Daño +2xFUE enemigo</v>
          </cell>
          <cell r="S862">
            <v>69</v>
          </cell>
          <cell r="X862">
            <v>0</v>
          </cell>
          <cell r="Y862">
            <v>0</v>
          </cell>
          <cell r="Z862" t="str">
            <v>NO</v>
          </cell>
          <cell r="AA862">
            <v>20</v>
          </cell>
          <cell r="AB862">
            <v>10</v>
          </cell>
          <cell r="AC862">
            <v>10</v>
          </cell>
        </row>
        <row r="863">
          <cell r="D863" t="str">
            <v>Aikido (Supremo)</v>
          </cell>
          <cell r="E863">
            <v>10</v>
          </cell>
          <cell r="G863">
            <v>20</v>
          </cell>
          <cell r="I863">
            <v>10</v>
          </cell>
          <cell r="J863">
            <v>10</v>
          </cell>
          <cell r="N863" t="str">
            <v>Bono +2 Presa y Derribo. Contra: Presa y Derribo sin pen. y daño +4xFUE enemigo</v>
          </cell>
          <cell r="S863">
            <v>79</v>
          </cell>
          <cell r="X863">
            <v>0</v>
          </cell>
          <cell r="Y863">
            <v>0</v>
          </cell>
          <cell r="Z863" t="str">
            <v>NO</v>
          </cell>
          <cell r="AA863">
            <v>20</v>
          </cell>
          <cell r="AB863">
            <v>10</v>
          </cell>
          <cell r="AC863">
            <v>10</v>
          </cell>
        </row>
        <row r="864">
          <cell r="D864" t="str">
            <v>Boxeo (Base)</v>
          </cell>
          <cell r="E864">
            <v>10</v>
          </cell>
          <cell r="G864">
            <v>0</v>
          </cell>
          <cell r="K864">
            <v>5</v>
          </cell>
          <cell r="N864" t="str">
            <v>-</v>
          </cell>
          <cell r="S864">
            <v>1</v>
          </cell>
          <cell r="X864">
            <v>0</v>
          </cell>
          <cell r="Y864">
            <v>0</v>
          </cell>
          <cell r="Z864" t="str">
            <v>NO</v>
          </cell>
          <cell r="AA864">
            <v>20</v>
          </cell>
          <cell r="AB864">
            <v>20</v>
          </cell>
          <cell r="AC864">
            <v>20</v>
          </cell>
        </row>
        <row r="865">
          <cell r="D865" t="str">
            <v>Boxeo (Avanzado)</v>
          </cell>
          <cell r="E865">
            <v>20</v>
          </cell>
          <cell r="G865">
            <v>10</v>
          </cell>
          <cell r="K865">
            <v>5</v>
          </cell>
          <cell r="N865" t="str">
            <v>Bono especial de +10 en contraataque</v>
          </cell>
          <cell r="S865">
            <v>36</v>
          </cell>
          <cell r="X865">
            <v>0</v>
          </cell>
          <cell r="Y865">
            <v>0</v>
          </cell>
          <cell r="Z865" t="str">
            <v>NO</v>
          </cell>
          <cell r="AA865">
            <v>20</v>
          </cell>
          <cell r="AB865">
            <v>20</v>
          </cell>
          <cell r="AC865">
            <v>20</v>
          </cell>
          <cell r="AF865" t="str">
            <v>Base</v>
          </cell>
          <cell r="AG865" t="str">
            <v>Base</v>
          </cell>
        </row>
        <row r="866">
          <cell r="D866" t="str">
            <v>Boxeo (Supremo)</v>
          </cell>
          <cell r="E866">
            <v>30</v>
          </cell>
          <cell r="G866">
            <v>20</v>
          </cell>
          <cell r="H866">
            <v>10</v>
          </cell>
          <cell r="K866">
            <v>10</v>
          </cell>
          <cell r="N866" t="str">
            <v>Bono especial de +10 en contraataque</v>
          </cell>
          <cell r="S866">
            <v>36</v>
          </cell>
          <cell r="X866">
            <v>0</v>
          </cell>
          <cell r="Y866">
            <v>0</v>
          </cell>
          <cell r="Z866" t="str">
            <v>NO</v>
          </cell>
          <cell r="AA866">
            <v>10</v>
          </cell>
          <cell r="AB866">
            <v>20</v>
          </cell>
          <cell r="AC866">
            <v>20</v>
          </cell>
          <cell r="AF866" t="str">
            <v>Avanzado</v>
          </cell>
          <cell r="AG866" t="str">
            <v>Arcano</v>
          </cell>
        </row>
        <row r="867">
          <cell r="D867" t="str">
            <v>Capoeira (Base)</v>
          </cell>
          <cell r="E867">
            <v>20</v>
          </cell>
          <cell r="G867">
            <v>0</v>
          </cell>
          <cell r="N867" t="str">
            <v>Ataque en Área como arma media</v>
          </cell>
          <cell r="S867">
            <v>30</v>
          </cell>
          <cell r="X867">
            <v>0</v>
          </cell>
          <cell r="Y867">
            <v>0</v>
          </cell>
          <cell r="Z867" t="str">
            <v>NO</v>
          </cell>
          <cell r="AA867">
            <v>20</v>
          </cell>
          <cell r="AB867">
            <v>20</v>
          </cell>
          <cell r="AC867">
            <v>20</v>
          </cell>
          <cell r="AF867" t="str">
            <v>Supremo</v>
          </cell>
        </row>
        <row r="868">
          <cell r="D868" t="str">
            <v>Capoeira (Avanzado)</v>
          </cell>
          <cell r="E868">
            <v>20</v>
          </cell>
          <cell r="G868">
            <v>10</v>
          </cell>
          <cell r="I868">
            <v>10</v>
          </cell>
          <cell r="N868" t="str">
            <v>Ataque en Área como arma grande</v>
          </cell>
          <cell r="S868">
            <v>31</v>
          </cell>
          <cell r="X868">
            <v>0</v>
          </cell>
          <cell r="Y868">
            <v>0</v>
          </cell>
          <cell r="Z868" t="str">
            <v>NO</v>
          </cell>
          <cell r="AA868">
            <v>20</v>
          </cell>
          <cell r="AB868">
            <v>10</v>
          </cell>
          <cell r="AC868">
            <v>20</v>
          </cell>
        </row>
        <row r="869">
          <cell r="D869" t="str">
            <v>Capoeira (Supremo)</v>
          </cell>
          <cell r="E869">
            <v>20</v>
          </cell>
          <cell r="G869">
            <v>20</v>
          </cell>
          <cell r="I869">
            <v>10</v>
          </cell>
          <cell r="N869" t="str">
            <v>Ataque en Área como arma grande y con penalizador reducido a -10</v>
          </cell>
          <cell r="S869">
            <v>64</v>
          </cell>
          <cell r="X869">
            <v>0</v>
          </cell>
          <cell r="Y869">
            <v>0</v>
          </cell>
          <cell r="Z869" t="str">
            <v>NO</v>
          </cell>
          <cell r="AA869">
            <v>20</v>
          </cell>
          <cell r="AB869">
            <v>10</v>
          </cell>
          <cell r="AC869">
            <v>20</v>
          </cell>
        </row>
        <row r="870">
          <cell r="D870" t="str">
            <v>Grappling (Base)</v>
          </cell>
          <cell r="E870">
            <v>10</v>
          </cell>
          <cell r="G870">
            <v>0</v>
          </cell>
          <cell r="N870" t="str">
            <v>Presa y Derribo con mitad de penalizadores</v>
          </cell>
          <cell r="S870">
            <v>42</v>
          </cell>
          <cell r="X870">
            <v>0</v>
          </cell>
          <cell r="Y870">
            <v>0</v>
          </cell>
          <cell r="Z870" t="str">
            <v>NO</v>
          </cell>
          <cell r="AA870">
            <v>20</v>
          </cell>
          <cell r="AB870">
            <v>20</v>
          </cell>
          <cell r="AC870">
            <v>20</v>
          </cell>
        </row>
        <row r="871">
          <cell r="D871" t="str">
            <v>Grappling (Avanzado)</v>
          </cell>
          <cell r="E871">
            <v>20</v>
          </cell>
          <cell r="G871">
            <v>10</v>
          </cell>
          <cell r="N871" t="str">
            <v>Presa y Derribo sin penalizadores</v>
          </cell>
          <cell r="S871">
            <v>33</v>
          </cell>
          <cell r="X871">
            <v>0</v>
          </cell>
          <cell r="Y871">
            <v>0</v>
          </cell>
          <cell r="Z871" t="str">
            <v>NO</v>
          </cell>
          <cell r="AA871">
            <v>20</v>
          </cell>
          <cell r="AB871">
            <v>20</v>
          </cell>
          <cell r="AC871">
            <v>20</v>
          </cell>
        </row>
        <row r="872">
          <cell r="D872" t="str">
            <v>Grappling (Supremo)</v>
          </cell>
          <cell r="E872">
            <v>20</v>
          </cell>
          <cell r="G872">
            <v>20</v>
          </cell>
          <cell r="N872" t="str">
            <v>Presa y Derribo sin penalizadores. Se puede hacer Daño completo en Presa y Derribo</v>
          </cell>
          <cell r="S872">
            <v>82</v>
          </cell>
          <cell r="X872">
            <v>0</v>
          </cell>
          <cell r="Y872">
            <v>0</v>
          </cell>
          <cell r="Z872" t="str">
            <v>NO</v>
          </cell>
          <cell r="AA872">
            <v>20</v>
          </cell>
          <cell r="AB872">
            <v>20</v>
          </cell>
          <cell r="AC872">
            <v>20</v>
          </cell>
        </row>
        <row r="873">
          <cell r="D873" t="str">
            <v>Kardad (Base)</v>
          </cell>
          <cell r="E873">
            <v>10</v>
          </cell>
          <cell r="G873">
            <v>0</v>
          </cell>
          <cell r="N873" t="str">
            <v>Bono de +1 a los controles para defenderse de Presa y Derribo</v>
          </cell>
          <cell r="S873">
            <v>61</v>
          </cell>
          <cell r="X873">
            <v>0</v>
          </cell>
          <cell r="Y873">
            <v>0</v>
          </cell>
          <cell r="Z873" t="str">
            <v>NO</v>
          </cell>
          <cell r="AA873">
            <v>20</v>
          </cell>
          <cell r="AB873">
            <v>20</v>
          </cell>
          <cell r="AC873">
            <v>20</v>
          </cell>
        </row>
        <row r="874">
          <cell r="D874" t="str">
            <v>Kardad (Avanzado)</v>
          </cell>
          <cell r="E874">
            <v>20</v>
          </cell>
          <cell r="G874">
            <v>10</v>
          </cell>
          <cell r="I874">
            <v>10</v>
          </cell>
          <cell r="J874">
            <v>10</v>
          </cell>
          <cell r="N874" t="str">
            <v>Bono de +3 a los controles para defenderse de Presa y Derribo</v>
          </cell>
          <cell r="S874">
            <v>61</v>
          </cell>
          <cell r="X874">
            <v>0</v>
          </cell>
          <cell r="Y874">
            <v>0</v>
          </cell>
          <cell r="Z874" t="str">
            <v>NO</v>
          </cell>
          <cell r="AA874">
            <v>20</v>
          </cell>
          <cell r="AB874">
            <v>10</v>
          </cell>
          <cell r="AC874">
            <v>10</v>
          </cell>
        </row>
        <row r="875">
          <cell r="D875" t="str">
            <v>Kardad (Supremo)</v>
          </cell>
          <cell r="E875">
            <v>30</v>
          </cell>
          <cell r="G875">
            <v>20</v>
          </cell>
          <cell r="I875">
            <v>10</v>
          </cell>
          <cell r="J875">
            <v>10</v>
          </cell>
          <cell r="N875" t="str">
            <v>Bono +3 Presa y Derribo. Cada turno puede repetir control para evitar Presa o Derribo</v>
          </cell>
          <cell r="S875">
            <v>85</v>
          </cell>
          <cell r="X875">
            <v>0</v>
          </cell>
          <cell r="Y875">
            <v>0</v>
          </cell>
          <cell r="Z875" t="str">
            <v>NO</v>
          </cell>
          <cell r="AA875">
            <v>20</v>
          </cell>
          <cell r="AB875">
            <v>10</v>
          </cell>
          <cell r="AC875">
            <v>10</v>
          </cell>
        </row>
        <row r="876">
          <cell r="D876" t="str">
            <v>Kempo (Base)</v>
          </cell>
          <cell r="E876">
            <v>10</v>
          </cell>
          <cell r="G876">
            <v>0</v>
          </cell>
          <cell r="N876" t="str">
            <v>Ataques adicionales con penalizador de -15 a la HA</v>
          </cell>
          <cell r="S876">
            <v>50</v>
          </cell>
          <cell r="X876">
            <v>0</v>
          </cell>
          <cell r="Y876">
            <v>0</v>
          </cell>
          <cell r="Z876" t="str">
            <v>-</v>
          </cell>
          <cell r="AA876">
            <v>20</v>
          </cell>
          <cell r="AB876">
            <v>20</v>
          </cell>
          <cell r="AC876">
            <v>20</v>
          </cell>
        </row>
        <row r="877">
          <cell r="D877" t="str">
            <v>Kempo (Avanzado)</v>
          </cell>
          <cell r="E877">
            <v>20</v>
          </cell>
          <cell r="G877">
            <v>10</v>
          </cell>
          <cell r="N877" t="str">
            <v>Ataques adicionales con penalizador de -10 a la HA</v>
          </cell>
          <cell r="S877">
            <v>50</v>
          </cell>
          <cell r="X877">
            <v>0</v>
          </cell>
          <cell r="Y877">
            <v>0</v>
          </cell>
          <cell r="Z877" t="str">
            <v>NO</v>
          </cell>
          <cell r="AA877">
            <v>20</v>
          </cell>
          <cell r="AB877">
            <v>20</v>
          </cell>
          <cell r="AC877">
            <v>20</v>
          </cell>
        </row>
        <row r="878">
          <cell r="D878" t="str">
            <v>Kempo (Supremo)</v>
          </cell>
          <cell r="E878">
            <v>20</v>
          </cell>
          <cell r="G878">
            <v>20</v>
          </cell>
          <cell r="H878">
            <v>10</v>
          </cell>
          <cell r="N878" t="str">
            <v>Ataques adicionales -10 HA. Número de Ataques adicionales como si tuviera +100 HA</v>
          </cell>
          <cell r="S878">
            <v>81</v>
          </cell>
          <cell r="X878">
            <v>0</v>
          </cell>
          <cell r="Y878">
            <v>0</v>
          </cell>
          <cell r="Z878" t="str">
            <v>NO</v>
          </cell>
          <cell r="AA878">
            <v>10</v>
          </cell>
          <cell r="AB878">
            <v>20</v>
          </cell>
          <cell r="AC878">
            <v>20</v>
          </cell>
        </row>
        <row r="879">
          <cell r="D879" t="str">
            <v>Kuan (Base)</v>
          </cell>
          <cell r="E879">
            <v>10</v>
          </cell>
          <cell r="G879">
            <v>0</v>
          </cell>
          <cell r="N879" t="str">
            <v>Mitad de penalizador para parar Proyectiles Lanzados</v>
          </cell>
          <cell r="S879">
            <v>52</v>
          </cell>
          <cell r="X879">
            <v>0</v>
          </cell>
          <cell r="Y879">
            <v>0</v>
          </cell>
          <cell r="Z879" t="str">
            <v>NO</v>
          </cell>
          <cell r="AA879">
            <v>20</v>
          </cell>
          <cell r="AB879">
            <v>20</v>
          </cell>
          <cell r="AC879">
            <v>20</v>
          </cell>
        </row>
        <row r="880">
          <cell r="D880" t="str">
            <v>Kuan (Avanzado)</v>
          </cell>
          <cell r="E880">
            <v>20</v>
          </cell>
          <cell r="G880">
            <v>10</v>
          </cell>
          <cell r="J880">
            <v>10</v>
          </cell>
          <cell r="N880" t="str">
            <v>Mitad de penalizador para parar Proyectiles (Lanzados y Disparados)</v>
          </cell>
          <cell r="S880">
            <v>67</v>
          </cell>
          <cell r="X880">
            <v>0</v>
          </cell>
          <cell r="Y880">
            <v>0</v>
          </cell>
          <cell r="Z880" t="str">
            <v>NO</v>
          </cell>
          <cell r="AA880">
            <v>20</v>
          </cell>
          <cell r="AB880">
            <v>20</v>
          </cell>
          <cell r="AC880">
            <v>10</v>
          </cell>
        </row>
        <row r="881">
          <cell r="D881" t="str">
            <v>Kuan (Supremo)</v>
          </cell>
          <cell r="E881">
            <v>20</v>
          </cell>
          <cell r="G881">
            <v>20</v>
          </cell>
          <cell r="J881">
            <v>10</v>
          </cell>
          <cell r="N881" t="str">
            <v>Sin penalizador por parar Proyectiles (Lanzados y Disparados)</v>
          </cell>
          <cell r="S881">
            <v>61</v>
          </cell>
          <cell r="X881">
            <v>0</v>
          </cell>
          <cell r="Y881">
            <v>0</v>
          </cell>
          <cell r="Z881" t="str">
            <v>NO</v>
          </cell>
          <cell r="AA881">
            <v>20</v>
          </cell>
          <cell r="AB881">
            <v>20</v>
          </cell>
          <cell r="AC881">
            <v>10</v>
          </cell>
        </row>
        <row r="882">
          <cell r="D882" t="str">
            <v>Kung Fu (Base)</v>
          </cell>
          <cell r="E882">
            <v>20</v>
          </cell>
          <cell r="G882">
            <v>0</v>
          </cell>
          <cell r="N882" t="str">
            <v>-</v>
          </cell>
          <cell r="S882">
            <v>1</v>
          </cell>
          <cell r="X882">
            <v>0</v>
          </cell>
          <cell r="Y882">
            <v>0</v>
          </cell>
          <cell r="Z882" t="str">
            <v>NO</v>
          </cell>
          <cell r="AA882">
            <v>20</v>
          </cell>
          <cell r="AB882">
            <v>20</v>
          </cell>
          <cell r="AC882">
            <v>20</v>
          </cell>
        </row>
        <row r="883">
          <cell r="D883" t="str">
            <v>Kung Fu (Avanzado)</v>
          </cell>
          <cell r="E883">
            <v>20</v>
          </cell>
          <cell r="G883">
            <v>10</v>
          </cell>
          <cell r="N883" t="str">
            <v>Bono variable: +10 a Ataque, Parada, Esquiva, Turno o Daño</v>
          </cell>
          <cell r="S883">
            <v>58</v>
          </cell>
          <cell r="X883">
            <v>0</v>
          </cell>
          <cell r="Y883">
            <v>0</v>
          </cell>
          <cell r="Z883" t="str">
            <v>NO</v>
          </cell>
          <cell r="AA883">
            <v>20</v>
          </cell>
          <cell r="AB883">
            <v>20</v>
          </cell>
          <cell r="AC883">
            <v>20</v>
          </cell>
        </row>
        <row r="884">
          <cell r="D884" t="str">
            <v>Kung Fu (Supremo)</v>
          </cell>
          <cell r="E884">
            <v>20</v>
          </cell>
          <cell r="G884">
            <v>20</v>
          </cell>
          <cell r="N884" t="str">
            <v>Bono variable: +20 a Ataque, Parada, Esquiva, Turno o Daño</v>
          </cell>
          <cell r="S884">
            <v>58</v>
          </cell>
          <cell r="U884" t="str">
            <v>PEN</v>
          </cell>
          <cell r="X884">
            <v>0</v>
          </cell>
          <cell r="Y884">
            <v>0</v>
          </cell>
          <cell r="Z884" t="str">
            <v>NO</v>
          </cell>
          <cell r="AA884">
            <v>20</v>
          </cell>
          <cell r="AB884">
            <v>20</v>
          </cell>
          <cell r="AC884">
            <v>20</v>
          </cell>
        </row>
        <row r="885">
          <cell r="D885" t="str">
            <v>Lama (Base)</v>
          </cell>
          <cell r="E885">
            <v>10</v>
          </cell>
          <cell r="G885">
            <v>0</v>
          </cell>
          <cell r="I885">
            <v>10</v>
          </cell>
          <cell r="J885">
            <v>10</v>
          </cell>
          <cell r="N885" t="str">
            <v>-</v>
          </cell>
          <cell r="S885">
            <v>1</v>
          </cell>
          <cell r="X885">
            <v>0</v>
          </cell>
          <cell r="Y885">
            <v>0</v>
          </cell>
          <cell r="Z885" t="str">
            <v>NO</v>
          </cell>
          <cell r="AA885">
            <v>20</v>
          </cell>
          <cell r="AB885">
            <v>10</v>
          </cell>
          <cell r="AC885">
            <v>10</v>
          </cell>
        </row>
        <row r="886">
          <cell r="D886" t="str">
            <v>Lama (Avanzado)</v>
          </cell>
          <cell r="E886">
            <v>20</v>
          </cell>
          <cell r="G886">
            <v>10</v>
          </cell>
          <cell r="N886" t="str">
            <v>Permite una defensa adicional sin penalizador</v>
          </cell>
          <cell r="S886">
            <v>45</v>
          </cell>
          <cell r="X886">
            <v>0</v>
          </cell>
          <cell r="Y886">
            <v>0</v>
          </cell>
          <cell r="Z886" t="str">
            <v>NO</v>
          </cell>
          <cell r="AA886">
            <v>20</v>
          </cell>
          <cell r="AB886">
            <v>20</v>
          </cell>
          <cell r="AC886">
            <v>20</v>
          </cell>
        </row>
        <row r="887">
          <cell r="D887" t="str">
            <v>Lama (Supremo)</v>
          </cell>
          <cell r="E887">
            <v>20</v>
          </cell>
          <cell r="G887">
            <v>20</v>
          </cell>
          <cell r="I887">
            <v>10</v>
          </cell>
          <cell r="J887">
            <v>10</v>
          </cell>
          <cell r="N887" t="str">
            <v>Permite dos defensas adicionales sin penalizador</v>
          </cell>
          <cell r="S887">
            <v>48</v>
          </cell>
          <cell r="X887">
            <v>0</v>
          </cell>
          <cell r="Y887">
            <v>0</v>
          </cell>
          <cell r="Z887" t="str">
            <v>NO</v>
          </cell>
          <cell r="AA887">
            <v>20</v>
          </cell>
          <cell r="AB887">
            <v>10</v>
          </cell>
          <cell r="AC887">
            <v>10</v>
          </cell>
        </row>
        <row r="888">
          <cell r="D888" t="str">
            <v>Malla-yuddha (Base)</v>
          </cell>
          <cell r="E888">
            <v>20</v>
          </cell>
          <cell r="G888">
            <v>0</v>
          </cell>
          <cell r="L888">
            <v>10</v>
          </cell>
          <cell r="N888" t="str">
            <v>Bono de +10 a su Entereza al parar ataques con sus manos (aplicado)</v>
          </cell>
          <cell r="S888">
            <v>67</v>
          </cell>
          <cell r="X888">
            <v>0</v>
          </cell>
          <cell r="Y888">
            <v>0</v>
          </cell>
          <cell r="Z888" t="str">
            <v>NO</v>
          </cell>
          <cell r="AA888">
            <v>20</v>
          </cell>
          <cell r="AB888">
            <v>20</v>
          </cell>
          <cell r="AC888">
            <v>20</v>
          </cell>
        </row>
        <row r="889">
          <cell r="D889" t="str">
            <v>Malla-yuddha (Avanzado)</v>
          </cell>
          <cell r="E889">
            <v>30</v>
          </cell>
          <cell r="G889">
            <v>10</v>
          </cell>
          <cell r="J889">
            <v>10</v>
          </cell>
          <cell r="N889" t="str">
            <v>No sufre daños por parar ataques con sus manos</v>
          </cell>
          <cell r="S889">
            <v>46</v>
          </cell>
          <cell r="X889">
            <v>0</v>
          </cell>
          <cell r="Y889">
            <v>0</v>
          </cell>
          <cell r="Z889" t="str">
            <v>NO</v>
          </cell>
          <cell r="AA889">
            <v>20</v>
          </cell>
          <cell r="AB889">
            <v>20</v>
          </cell>
          <cell r="AC889">
            <v>10</v>
          </cell>
        </row>
        <row r="890">
          <cell r="D890" t="str">
            <v>Malla-yuddha (Supremo)</v>
          </cell>
          <cell r="E890">
            <v>40</v>
          </cell>
          <cell r="G890">
            <v>20</v>
          </cell>
          <cell r="J890">
            <v>20</v>
          </cell>
          <cell r="N890" t="str">
            <v>Desarmar sin penalizador en contraataque</v>
          </cell>
          <cell r="S890">
            <v>40</v>
          </cell>
          <cell r="X890">
            <v>0</v>
          </cell>
          <cell r="Y890">
            <v>0</v>
          </cell>
          <cell r="Z890" t="str">
            <v>NO</v>
          </cell>
          <cell r="AA890">
            <v>20</v>
          </cell>
          <cell r="AB890">
            <v>20</v>
          </cell>
          <cell r="AC890">
            <v>0</v>
          </cell>
        </row>
        <row r="891">
          <cell r="D891" t="str">
            <v>Moai Thai (Base)</v>
          </cell>
          <cell r="E891">
            <v>20</v>
          </cell>
          <cell r="G891">
            <v>0</v>
          </cell>
          <cell r="N891" t="str">
            <v>-</v>
          </cell>
          <cell r="S891">
            <v>1</v>
          </cell>
          <cell r="X891">
            <v>0</v>
          </cell>
          <cell r="Y891">
            <v>0</v>
          </cell>
          <cell r="Z891" t="str">
            <v>NO</v>
          </cell>
          <cell r="AA891">
            <v>20</v>
          </cell>
          <cell r="AB891">
            <v>20</v>
          </cell>
          <cell r="AC891">
            <v>20</v>
          </cell>
        </row>
        <row r="892">
          <cell r="D892" t="str">
            <v>Moai Thai (Avanzado)</v>
          </cell>
          <cell r="E892">
            <v>20</v>
          </cell>
          <cell r="G892">
            <v>10</v>
          </cell>
          <cell r="N892" t="str">
            <v>-</v>
          </cell>
          <cell r="S892">
            <v>1</v>
          </cell>
          <cell r="X892">
            <v>0</v>
          </cell>
          <cell r="Y892">
            <v>0</v>
          </cell>
          <cell r="Z892" t="str">
            <v>NO</v>
          </cell>
          <cell r="AA892">
            <v>20</v>
          </cell>
          <cell r="AB892">
            <v>20</v>
          </cell>
          <cell r="AC892">
            <v>20</v>
          </cell>
        </row>
        <row r="893">
          <cell r="D893" t="str">
            <v>Moai Thai (Supremo)</v>
          </cell>
          <cell r="E893">
            <v>20</v>
          </cell>
          <cell r="G893">
            <v>20</v>
          </cell>
          <cell r="N893" t="str">
            <v>Añade +20 al nivel del crítico obtenido</v>
          </cell>
          <cell r="S893">
            <v>39</v>
          </cell>
          <cell r="X893">
            <v>0</v>
          </cell>
          <cell r="Y893">
            <v>0</v>
          </cell>
          <cell r="Z893" t="str">
            <v>NO</v>
          </cell>
          <cell r="AA893">
            <v>20</v>
          </cell>
          <cell r="AB893">
            <v>20</v>
          </cell>
          <cell r="AC893">
            <v>20</v>
          </cell>
        </row>
        <row r="894">
          <cell r="D894" t="str">
            <v>Pankration (Base)</v>
          </cell>
          <cell r="E894">
            <v>20</v>
          </cell>
          <cell r="G894">
            <v>0</v>
          </cell>
          <cell r="N894" t="str">
            <v>Mitad de penalizador para Presa</v>
          </cell>
          <cell r="S894">
            <v>31</v>
          </cell>
          <cell r="X894">
            <v>0</v>
          </cell>
          <cell r="Y894">
            <v>0</v>
          </cell>
          <cell r="Z894" t="str">
            <v>NO</v>
          </cell>
          <cell r="AA894">
            <v>20</v>
          </cell>
          <cell r="AB894">
            <v>20</v>
          </cell>
          <cell r="AC894">
            <v>20</v>
          </cell>
        </row>
        <row r="895">
          <cell r="D895" t="str">
            <v>Pankration (Avanzado)</v>
          </cell>
          <cell r="E895">
            <v>20</v>
          </cell>
          <cell r="G895">
            <v>10</v>
          </cell>
          <cell r="N895" t="str">
            <v>Mitad de penalizador para Presa. Habilidad de combate plena mientras realiza Presa</v>
          </cell>
          <cell r="S895">
            <v>82</v>
          </cell>
          <cell r="X895">
            <v>0</v>
          </cell>
          <cell r="Y895">
            <v>0</v>
          </cell>
          <cell r="Z895" t="str">
            <v>NO</v>
          </cell>
          <cell r="AA895">
            <v>20</v>
          </cell>
          <cell r="AB895">
            <v>20</v>
          </cell>
          <cell r="AC895">
            <v>20</v>
          </cell>
        </row>
        <row r="896">
          <cell r="D896" t="str">
            <v>Pankration (Supremo)</v>
          </cell>
          <cell r="E896">
            <v>20</v>
          </cell>
          <cell r="G896">
            <v>20</v>
          </cell>
          <cell r="I896">
            <v>10</v>
          </cell>
          <cell r="J896">
            <v>10</v>
          </cell>
          <cell r="N896" t="str">
            <v>Mitad penalizador Presa. Combate pleno y chequeo -5 para liberarse mientras apresa</v>
          </cell>
          <cell r="S896">
            <v>82</v>
          </cell>
          <cell r="X896">
            <v>0</v>
          </cell>
          <cell r="Y896">
            <v>0</v>
          </cell>
          <cell r="Z896" t="str">
            <v>NO</v>
          </cell>
          <cell r="AA896">
            <v>20</v>
          </cell>
          <cell r="AB896">
            <v>10</v>
          </cell>
          <cell r="AC896">
            <v>10</v>
          </cell>
        </row>
        <row r="897">
          <cell r="D897" t="str">
            <v>Sambo (Base)</v>
          </cell>
          <cell r="E897">
            <v>10</v>
          </cell>
          <cell r="G897">
            <v>0</v>
          </cell>
          <cell r="N897" t="str">
            <v>Mitad de penalizador: Derribo y Desarmar</v>
          </cell>
          <cell r="S897">
            <v>40</v>
          </cell>
          <cell r="X897">
            <v>0</v>
          </cell>
          <cell r="Y897">
            <v>0</v>
          </cell>
          <cell r="Z897" t="str">
            <v>-</v>
          </cell>
          <cell r="AA897">
            <v>20</v>
          </cell>
          <cell r="AB897">
            <v>20</v>
          </cell>
          <cell r="AC897">
            <v>20</v>
          </cell>
        </row>
        <row r="898">
          <cell r="D898" t="str">
            <v>Sambo (Avanzado)</v>
          </cell>
          <cell r="E898">
            <v>20</v>
          </cell>
          <cell r="G898">
            <v>10</v>
          </cell>
          <cell r="J898">
            <v>10</v>
          </cell>
          <cell r="N898" t="str">
            <v>Mitad de penalizador: Derribo, Desarmar, Presa y Ataque en Área</v>
          </cell>
          <cell r="S898">
            <v>63</v>
          </cell>
          <cell r="X898">
            <v>0</v>
          </cell>
          <cell r="Y898">
            <v>0</v>
          </cell>
          <cell r="Z898" t="str">
            <v>NO</v>
          </cell>
          <cell r="AA898">
            <v>20</v>
          </cell>
          <cell r="AB898">
            <v>20</v>
          </cell>
          <cell r="AC898">
            <v>10</v>
          </cell>
        </row>
        <row r="899">
          <cell r="D899" t="str">
            <v>Sambo (Supremo)</v>
          </cell>
          <cell r="E899">
            <v>30</v>
          </cell>
          <cell r="G899">
            <v>20</v>
          </cell>
          <cell r="J899">
            <v>10</v>
          </cell>
          <cell r="N899" t="str">
            <v>Mitad de penalizador: Derribo, Desarmar, Presa, Ataque en Área y Ataques Apuntados</v>
          </cell>
          <cell r="S899">
            <v>82</v>
          </cell>
          <cell r="X899">
            <v>0</v>
          </cell>
          <cell r="Y899">
            <v>0</v>
          </cell>
          <cell r="Z899" t="str">
            <v>NO</v>
          </cell>
          <cell r="AA899">
            <v>20</v>
          </cell>
          <cell r="AB899">
            <v>20</v>
          </cell>
          <cell r="AC899">
            <v>10</v>
          </cell>
        </row>
        <row r="900">
          <cell r="D900" t="str">
            <v>Shotokan (Base)</v>
          </cell>
          <cell r="E900">
            <v>20</v>
          </cell>
          <cell r="G900">
            <v>0</v>
          </cell>
          <cell r="H900">
            <v>5</v>
          </cell>
          <cell r="N900" t="str">
            <v>-</v>
          </cell>
          <cell r="S900">
            <v>1</v>
          </cell>
          <cell r="X900">
            <v>0</v>
          </cell>
          <cell r="Y900">
            <v>0</v>
          </cell>
          <cell r="Z900" t="str">
            <v>-</v>
          </cell>
          <cell r="AA900">
            <v>15</v>
          </cell>
          <cell r="AB900">
            <v>20</v>
          </cell>
          <cell r="AC900">
            <v>20</v>
          </cell>
        </row>
        <row r="901">
          <cell r="D901" t="str">
            <v>Shotokan (Avanzado)</v>
          </cell>
          <cell r="E901">
            <v>30</v>
          </cell>
          <cell r="G901">
            <v>10</v>
          </cell>
          <cell r="H901">
            <v>5</v>
          </cell>
          <cell r="N901" t="str">
            <v>-</v>
          </cell>
          <cell r="S901">
            <v>1</v>
          </cell>
          <cell r="X901">
            <v>0</v>
          </cell>
          <cell r="Y901">
            <v>0</v>
          </cell>
          <cell r="Z901" t="str">
            <v>NO</v>
          </cell>
          <cell r="AA901">
            <v>15</v>
          </cell>
          <cell r="AB901">
            <v>20</v>
          </cell>
          <cell r="AC901">
            <v>20</v>
          </cell>
        </row>
        <row r="902">
          <cell r="D902" t="str">
            <v>Shotokan (Supremo)</v>
          </cell>
          <cell r="E902">
            <v>50</v>
          </cell>
          <cell r="G902">
            <v>20</v>
          </cell>
          <cell r="H902">
            <v>10</v>
          </cell>
          <cell r="N902" t="str">
            <v>-</v>
          </cell>
          <cell r="S902">
            <v>1</v>
          </cell>
          <cell r="X902">
            <v>0</v>
          </cell>
          <cell r="Y902">
            <v>0</v>
          </cell>
          <cell r="Z902" t="str">
            <v>NO</v>
          </cell>
          <cell r="AA902">
            <v>10</v>
          </cell>
          <cell r="AB902">
            <v>20</v>
          </cell>
          <cell r="AC902">
            <v>20</v>
          </cell>
        </row>
        <row r="903">
          <cell r="D903" t="str">
            <v>Soo Bahk (Base)</v>
          </cell>
          <cell r="E903">
            <v>10</v>
          </cell>
          <cell r="G903">
            <v>0</v>
          </cell>
          <cell r="N903" t="str">
            <v>Mitad de penalizador por Flanco</v>
          </cell>
          <cell r="S903">
            <v>31</v>
          </cell>
          <cell r="X903">
            <v>0</v>
          </cell>
          <cell r="Y903">
            <v>0</v>
          </cell>
          <cell r="Z903" t="str">
            <v>NO</v>
          </cell>
          <cell r="AA903">
            <v>20</v>
          </cell>
          <cell r="AB903">
            <v>20</v>
          </cell>
          <cell r="AC903">
            <v>20</v>
          </cell>
        </row>
        <row r="904">
          <cell r="D904" t="str">
            <v>Soo Bahk (Avanzado)</v>
          </cell>
          <cell r="E904">
            <v>20</v>
          </cell>
          <cell r="G904">
            <v>10</v>
          </cell>
          <cell r="I904">
            <v>10</v>
          </cell>
          <cell r="J904">
            <v>10</v>
          </cell>
          <cell r="N904" t="str">
            <v>Sin penalizador por Flanco</v>
          </cell>
          <cell r="S904">
            <v>26</v>
          </cell>
          <cell r="X904">
            <v>0</v>
          </cell>
          <cell r="Y904">
            <v>0</v>
          </cell>
          <cell r="Z904" t="str">
            <v>NO</v>
          </cell>
          <cell r="AA904">
            <v>20</v>
          </cell>
          <cell r="AB904">
            <v>10</v>
          </cell>
          <cell r="AC904">
            <v>10</v>
          </cell>
        </row>
        <row r="905">
          <cell r="D905" t="str">
            <v>Soo Bahk (Supremo)</v>
          </cell>
          <cell r="E905">
            <v>30</v>
          </cell>
          <cell r="G905">
            <v>20</v>
          </cell>
          <cell r="I905">
            <v>10</v>
          </cell>
          <cell r="J905">
            <v>10</v>
          </cell>
          <cell r="N905" t="str">
            <v>Sin penalizador por Flanco y Derribado</v>
          </cell>
          <cell r="S905">
            <v>38</v>
          </cell>
          <cell r="X905">
            <v>0</v>
          </cell>
          <cell r="Y905">
            <v>0</v>
          </cell>
          <cell r="Z905" t="str">
            <v>NO</v>
          </cell>
          <cell r="AA905">
            <v>20</v>
          </cell>
          <cell r="AB905">
            <v>10</v>
          </cell>
          <cell r="AC905">
            <v>10</v>
          </cell>
        </row>
        <row r="906">
          <cell r="D906" t="str">
            <v>Tae Kwon Do (Base)</v>
          </cell>
          <cell r="E906">
            <v>10</v>
          </cell>
          <cell r="G906">
            <v>0</v>
          </cell>
          <cell r="N906" t="str">
            <v>Ataque adicional, incluso tras atacar con armas al -30</v>
          </cell>
          <cell r="S906">
            <v>54</v>
          </cell>
          <cell r="X906">
            <v>0</v>
          </cell>
          <cell r="Y906">
            <v>0</v>
          </cell>
          <cell r="Z906" t="str">
            <v>-</v>
          </cell>
          <cell r="AA906">
            <v>20</v>
          </cell>
          <cell r="AB906">
            <v>20</v>
          </cell>
          <cell r="AC906">
            <v>20</v>
          </cell>
        </row>
        <row r="907">
          <cell r="D907" t="str">
            <v>Tae Kwon Do (Avanzado)</v>
          </cell>
          <cell r="E907">
            <v>20</v>
          </cell>
          <cell r="G907">
            <v>10</v>
          </cell>
          <cell r="N907" t="str">
            <v>Ataque adicional, incluso tras atacar con armas al -20</v>
          </cell>
          <cell r="S907">
            <v>54</v>
          </cell>
          <cell r="X907">
            <v>0</v>
          </cell>
          <cell r="Y907">
            <v>0</v>
          </cell>
          <cell r="Z907" t="str">
            <v>NO</v>
          </cell>
          <cell r="AA907">
            <v>20</v>
          </cell>
          <cell r="AB907">
            <v>20</v>
          </cell>
          <cell r="AC907">
            <v>20</v>
          </cell>
        </row>
        <row r="908">
          <cell r="D908" t="str">
            <v>Tae Kwon Do (Supremo)</v>
          </cell>
          <cell r="E908">
            <v>20</v>
          </cell>
          <cell r="G908">
            <v>20</v>
          </cell>
          <cell r="N908" t="str">
            <v>Ataque adicional, incluso tras atacar con armas, sin penalizador</v>
          </cell>
          <cell r="S908">
            <v>64</v>
          </cell>
          <cell r="X908">
            <v>0</v>
          </cell>
          <cell r="Y908">
            <v>0</v>
          </cell>
          <cell r="Z908" t="str">
            <v>NO</v>
          </cell>
          <cell r="AA908">
            <v>20</v>
          </cell>
          <cell r="AB908">
            <v>20</v>
          </cell>
          <cell r="AC908">
            <v>20</v>
          </cell>
        </row>
        <row r="909">
          <cell r="D909" t="str">
            <v>Tai Chi (Base)</v>
          </cell>
          <cell r="E909">
            <v>20</v>
          </cell>
          <cell r="G909">
            <v>10</v>
          </cell>
          <cell r="N909" t="str">
            <v>-</v>
          </cell>
          <cell r="S909">
            <v>1</v>
          </cell>
          <cell r="X909">
            <v>0</v>
          </cell>
          <cell r="Y909">
            <v>0</v>
          </cell>
          <cell r="Z909" t="str">
            <v>-</v>
          </cell>
          <cell r="AA909">
            <v>20</v>
          </cell>
          <cell r="AB909">
            <v>20</v>
          </cell>
          <cell r="AC909">
            <v>20</v>
          </cell>
        </row>
        <row r="910">
          <cell r="D910" t="str">
            <v>Tai Chi (Avanzado)</v>
          </cell>
          <cell r="E910">
            <v>20</v>
          </cell>
          <cell r="G910">
            <v>30</v>
          </cell>
          <cell r="N910" t="str">
            <v>-</v>
          </cell>
          <cell r="S910">
            <v>1</v>
          </cell>
          <cell r="X910">
            <v>0</v>
          </cell>
          <cell r="Y910">
            <v>0</v>
          </cell>
          <cell r="Z910" t="str">
            <v>NO</v>
          </cell>
          <cell r="AA910">
            <v>20</v>
          </cell>
          <cell r="AB910">
            <v>20</v>
          </cell>
          <cell r="AC910">
            <v>20</v>
          </cell>
        </row>
        <row r="911">
          <cell r="D911" t="str">
            <v>Tai Chi (Supremo)</v>
          </cell>
          <cell r="E911">
            <v>20</v>
          </cell>
          <cell r="F911">
            <v>0</v>
          </cell>
          <cell r="G911">
            <v>60</v>
          </cell>
          <cell r="N911" t="str">
            <v>-</v>
          </cell>
          <cell r="S911">
            <v>1</v>
          </cell>
          <cell r="X911">
            <v>0</v>
          </cell>
          <cell r="Y911">
            <v>0</v>
          </cell>
          <cell r="Z911" t="str">
            <v>NO</v>
          </cell>
          <cell r="AA911">
            <v>20</v>
          </cell>
          <cell r="AB911">
            <v>20</v>
          </cell>
          <cell r="AC911">
            <v>20</v>
          </cell>
        </row>
        <row r="912">
          <cell r="D912" t="str">
            <v>Xing Quan (Base)</v>
          </cell>
          <cell r="E912">
            <v>10</v>
          </cell>
          <cell r="G912">
            <v>0</v>
          </cell>
          <cell r="N912" t="str">
            <v>Bono de +10 a HA si lleva la iniciativa y declara ataque único</v>
          </cell>
          <cell r="S912">
            <v>62</v>
          </cell>
          <cell r="X912">
            <v>0</v>
          </cell>
          <cell r="Y912">
            <v>0</v>
          </cell>
          <cell r="Z912" t="str">
            <v>NO</v>
          </cell>
          <cell r="AA912">
            <v>20</v>
          </cell>
          <cell r="AB912">
            <v>20</v>
          </cell>
          <cell r="AC912">
            <v>20</v>
          </cell>
        </row>
        <row r="913">
          <cell r="D913" t="str">
            <v>Xing Quan (Avanzado)</v>
          </cell>
          <cell r="E913">
            <v>20</v>
          </cell>
          <cell r="G913">
            <v>10</v>
          </cell>
          <cell r="N913" t="str">
            <v>Bono de +20 a HA si lleva la iniciativa y declara ataque único</v>
          </cell>
          <cell r="S913">
            <v>62</v>
          </cell>
          <cell r="X913">
            <v>0</v>
          </cell>
          <cell r="Y913">
            <v>0</v>
          </cell>
          <cell r="Z913" t="str">
            <v>NO</v>
          </cell>
          <cell r="AA913">
            <v>20</v>
          </cell>
          <cell r="AB913">
            <v>20</v>
          </cell>
          <cell r="AC913">
            <v>20</v>
          </cell>
        </row>
        <row r="914">
          <cell r="D914" t="str">
            <v>Xing Quan (Supremo)</v>
          </cell>
          <cell r="E914">
            <v>30</v>
          </cell>
          <cell r="G914">
            <v>20</v>
          </cell>
          <cell r="N914" t="str">
            <v>Bono de +30 a HA si lleva la iniciativa y declara ataque único</v>
          </cell>
          <cell r="S914">
            <v>62</v>
          </cell>
          <cell r="X914">
            <v>0</v>
          </cell>
          <cell r="Y914">
            <v>0</v>
          </cell>
          <cell r="Z914" t="str">
            <v>NO</v>
          </cell>
          <cell r="AA914">
            <v>20</v>
          </cell>
          <cell r="AB914">
            <v>20</v>
          </cell>
          <cell r="AC914">
            <v>20</v>
          </cell>
        </row>
        <row r="915">
          <cell r="D915" t="str">
            <v>&gt; A. MARCIALES AVANZADAS</v>
          </cell>
          <cell r="N915" t="str">
            <v>-</v>
          </cell>
          <cell r="S915">
            <v>1</v>
          </cell>
          <cell r="X915">
            <v>0</v>
          </cell>
          <cell r="Y915">
            <v>0</v>
          </cell>
          <cell r="Z915" t="str">
            <v>-</v>
          </cell>
        </row>
        <row r="916">
          <cell r="D916" t="str">
            <v>Asakusen (Base)</v>
          </cell>
          <cell r="E916">
            <v>0</v>
          </cell>
          <cell r="F916">
            <v>10</v>
          </cell>
          <cell r="G916">
            <v>10</v>
          </cell>
          <cell r="H916">
            <v>10</v>
          </cell>
          <cell r="I916">
            <v>10</v>
          </cell>
          <cell r="J916">
            <v>10</v>
          </cell>
          <cell r="K916">
            <v>10</v>
          </cell>
          <cell r="N916" t="str">
            <v>-</v>
          </cell>
          <cell r="S916">
            <v>1</v>
          </cell>
          <cell r="X916">
            <v>0</v>
          </cell>
          <cell r="Y916">
            <v>0</v>
          </cell>
          <cell r="Z916" t="str">
            <v>NO</v>
          </cell>
          <cell r="AA916">
            <v>10</v>
          </cell>
          <cell r="AB916">
            <v>10</v>
          </cell>
          <cell r="AC916">
            <v>10</v>
          </cell>
        </row>
        <row r="917">
          <cell r="D917" t="str">
            <v>Asakusen (Arcano)</v>
          </cell>
          <cell r="E917">
            <v>0</v>
          </cell>
          <cell r="G917">
            <v>20</v>
          </cell>
          <cell r="N917" t="str">
            <v>Sustituye bono de Kung Fu por +40. +20 al Crítico si Apuntado</v>
          </cell>
          <cell r="S917">
            <v>61</v>
          </cell>
          <cell r="V917">
            <v>10</v>
          </cell>
          <cell r="W917">
            <v>10</v>
          </cell>
          <cell r="X917">
            <v>0</v>
          </cell>
          <cell r="Y917">
            <v>0</v>
          </cell>
          <cell r="Z917" t="str">
            <v>NO</v>
          </cell>
          <cell r="AA917">
            <v>20</v>
          </cell>
          <cell r="AB917">
            <v>20</v>
          </cell>
          <cell r="AC917">
            <v>20</v>
          </cell>
        </row>
        <row r="918">
          <cell r="D918" t="str">
            <v>Dumah (Base)</v>
          </cell>
          <cell r="E918">
            <v>0</v>
          </cell>
          <cell r="F918">
            <v>10</v>
          </cell>
          <cell r="G918">
            <v>10</v>
          </cell>
          <cell r="H918">
            <v>20</v>
          </cell>
          <cell r="M918">
            <v>10</v>
          </cell>
          <cell r="N918" t="str">
            <v xml:space="preserve"> -2 TA enemiga y +10 a la Rotura (aplicado)</v>
          </cell>
          <cell r="S918">
            <v>43</v>
          </cell>
          <cell r="T918" t="str">
            <v>FIL</v>
          </cell>
          <cell r="U918" t="str">
            <v>PEN</v>
          </cell>
          <cell r="X918">
            <v>0</v>
          </cell>
          <cell r="Y918">
            <v>0</v>
          </cell>
          <cell r="Z918" t="str">
            <v>NO</v>
          </cell>
          <cell r="AA918">
            <v>0</v>
          </cell>
          <cell r="AB918">
            <v>20</v>
          </cell>
          <cell r="AC918">
            <v>20</v>
          </cell>
        </row>
        <row r="919">
          <cell r="D919" t="str">
            <v>Dumah (Arcano)</v>
          </cell>
          <cell r="E919">
            <v>0</v>
          </cell>
          <cell r="F919">
            <v>10</v>
          </cell>
          <cell r="G919">
            <v>20</v>
          </cell>
          <cell r="M919">
            <v>15</v>
          </cell>
          <cell r="N919" t="str">
            <v xml:space="preserve"> -6 TA enemiga y +25 a la Rotura (aplicado). Desangramiento directo</v>
          </cell>
          <cell r="S919">
            <v>67</v>
          </cell>
          <cell r="V919">
            <v>20</v>
          </cell>
          <cell r="X919">
            <v>0</v>
          </cell>
          <cell r="Y919">
            <v>0</v>
          </cell>
          <cell r="Z919" t="str">
            <v>NO</v>
          </cell>
          <cell r="AA919">
            <v>20</v>
          </cell>
          <cell r="AB919">
            <v>20</v>
          </cell>
          <cell r="AC919">
            <v>20</v>
          </cell>
        </row>
        <row r="920">
          <cell r="D920" t="str">
            <v>Emp (Base)</v>
          </cell>
          <cell r="E920">
            <v>0</v>
          </cell>
          <cell r="G920">
            <v>10</v>
          </cell>
          <cell r="H920">
            <v>20</v>
          </cell>
          <cell r="K920">
            <v>10</v>
          </cell>
          <cell r="N920" t="str">
            <v>Desarmar sin penalizador y con +3 a los controles enfrentados</v>
          </cell>
          <cell r="S920">
            <v>61</v>
          </cell>
          <cell r="X920">
            <v>0</v>
          </cell>
          <cell r="Y920">
            <v>0</v>
          </cell>
          <cell r="Z920" t="str">
            <v>NO</v>
          </cell>
          <cell r="AA920">
            <v>0</v>
          </cell>
          <cell r="AB920">
            <v>20</v>
          </cell>
          <cell r="AC920">
            <v>20</v>
          </cell>
        </row>
        <row r="921">
          <cell r="D921" t="str">
            <v>Emp (Arcano)</v>
          </cell>
          <cell r="E921">
            <v>0</v>
          </cell>
          <cell r="G921">
            <v>20</v>
          </cell>
          <cell r="K921">
            <v>10</v>
          </cell>
          <cell r="N921" t="str">
            <v>Desarmar bono +3 y sin penalizador. Chequeo de Desarmar en cada Parada con éxito</v>
          </cell>
          <cell r="S921">
            <v>80</v>
          </cell>
          <cell r="V921">
            <v>20</v>
          </cell>
          <cell r="X921">
            <v>0</v>
          </cell>
          <cell r="Y921">
            <v>0</v>
          </cell>
          <cell r="Z921" t="str">
            <v>NO</v>
          </cell>
          <cell r="AA921">
            <v>20</v>
          </cell>
          <cell r="AB921">
            <v>20</v>
          </cell>
          <cell r="AC921">
            <v>20</v>
          </cell>
        </row>
        <row r="922">
          <cell r="D922" t="str">
            <v>Enuth (Base)</v>
          </cell>
          <cell r="E922">
            <v>0</v>
          </cell>
          <cell r="G922">
            <v>10</v>
          </cell>
          <cell r="I922">
            <v>20</v>
          </cell>
          <cell r="J922">
            <v>20</v>
          </cell>
          <cell r="N922" t="str">
            <v>Nivel crítico +20 declarando Inconsciencia. Puede reducir daño</v>
          </cell>
          <cell r="S922">
            <v>62</v>
          </cell>
          <cell r="X922">
            <v>0</v>
          </cell>
          <cell r="Y922">
            <v>0</v>
          </cell>
          <cell r="Z922" t="str">
            <v>NO</v>
          </cell>
          <cell r="AA922">
            <v>20</v>
          </cell>
          <cell r="AB922">
            <v>0</v>
          </cell>
          <cell r="AC922">
            <v>0</v>
          </cell>
        </row>
        <row r="923">
          <cell r="D923" t="str">
            <v>Enuth (Arcano)</v>
          </cell>
          <cell r="E923">
            <v>0</v>
          </cell>
          <cell r="G923">
            <v>20</v>
          </cell>
          <cell r="N923" t="str">
            <v>Golpe de Inconsciencia automático y +50 al Crítico. Puede reducir daño. Cálculo vida</v>
          </cell>
          <cell r="S923">
            <v>84</v>
          </cell>
          <cell r="V923">
            <v>15</v>
          </cell>
          <cell r="W923">
            <v>15</v>
          </cell>
          <cell r="X923">
            <v>0</v>
          </cell>
          <cell r="Y923">
            <v>0</v>
          </cell>
          <cell r="Z923" t="str">
            <v>NO</v>
          </cell>
          <cell r="AA923">
            <v>20</v>
          </cell>
          <cell r="AB923">
            <v>20</v>
          </cell>
          <cell r="AC923">
            <v>20</v>
          </cell>
        </row>
        <row r="924">
          <cell r="D924" t="str">
            <v>Exelion (Base)</v>
          </cell>
          <cell r="E924">
            <v>90</v>
          </cell>
          <cell r="G924">
            <v>15</v>
          </cell>
          <cell r="H924">
            <v>10</v>
          </cell>
          <cell r="N924" t="str">
            <v>Daño no modificable de ninguna manera</v>
          </cell>
          <cell r="S924">
            <v>37</v>
          </cell>
          <cell r="X924">
            <v>0</v>
          </cell>
          <cell r="Y924">
            <v>0</v>
          </cell>
          <cell r="Z924" t="str">
            <v>NO</v>
          </cell>
          <cell r="AA924">
            <v>10</v>
          </cell>
          <cell r="AB924">
            <v>20</v>
          </cell>
          <cell r="AC924">
            <v>20</v>
          </cell>
        </row>
        <row r="925">
          <cell r="D925" t="str">
            <v>Exelion (Arcano)</v>
          </cell>
          <cell r="E925">
            <v>90</v>
          </cell>
          <cell r="G925">
            <v>35</v>
          </cell>
          <cell r="N925" t="str">
            <v>Daño no modificable de ninguna manera</v>
          </cell>
          <cell r="S925">
            <v>37</v>
          </cell>
          <cell r="V925">
            <v>25</v>
          </cell>
          <cell r="X925">
            <v>0</v>
          </cell>
          <cell r="Y925">
            <v>0</v>
          </cell>
          <cell r="Z925" t="str">
            <v>NO</v>
          </cell>
          <cell r="AA925">
            <v>20</v>
          </cell>
          <cell r="AB925">
            <v>20</v>
          </cell>
          <cell r="AC925">
            <v>20</v>
          </cell>
        </row>
        <row r="926">
          <cell r="D926" t="str">
            <v>Godhand (Base)</v>
          </cell>
          <cell r="E926">
            <v>0</v>
          </cell>
          <cell r="G926">
            <v>10</v>
          </cell>
          <cell r="H926">
            <v>10</v>
          </cell>
          <cell r="N926" t="str">
            <v>Sacrifica 1 Ataque: +30 HA, +50 Daño primero del siguiente turno</v>
          </cell>
          <cell r="S926">
            <v>64</v>
          </cell>
          <cell r="X926">
            <v>0</v>
          </cell>
          <cell r="Y926">
            <v>0</v>
          </cell>
          <cell r="Z926" t="str">
            <v>NO</v>
          </cell>
          <cell r="AA926">
            <v>10</v>
          </cell>
          <cell r="AB926">
            <v>20</v>
          </cell>
          <cell r="AC926">
            <v>20</v>
          </cell>
        </row>
        <row r="927">
          <cell r="D927" t="str">
            <v>Godhand (Arcano)</v>
          </cell>
          <cell r="E927">
            <v>0</v>
          </cell>
          <cell r="G927">
            <v>20</v>
          </cell>
          <cell r="N927" t="str">
            <v>Sacrifica 1 Ataque: +60 HA, +100 Daño primero del siguiente turno</v>
          </cell>
          <cell r="S927">
            <v>65</v>
          </cell>
          <cell r="V927">
            <v>15</v>
          </cell>
          <cell r="X927">
            <v>0</v>
          </cell>
          <cell r="Y927">
            <v>0</v>
          </cell>
          <cell r="Z927" t="str">
            <v>NO</v>
          </cell>
          <cell r="AA927">
            <v>20</v>
          </cell>
          <cell r="AB927">
            <v>20</v>
          </cell>
          <cell r="AC927">
            <v>20</v>
          </cell>
        </row>
        <row r="928">
          <cell r="D928" t="str">
            <v>Hakyoukuken (Base)</v>
          </cell>
          <cell r="E928">
            <v>0</v>
          </cell>
          <cell r="F928">
            <v>20</v>
          </cell>
          <cell r="G928">
            <v>10</v>
          </cell>
          <cell r="H928">
            <v>10</v>
          </cell>
          <cell r="K928">
            <v>20</v>
          </cell>
          <cell r="N928" t="str">
            <v>Penalizador -2 a las TA blandas y +20 al nivel de Crítico obtenido</v>
          </cell>
          <cell r="S928">
            <v>66</v>
          </cell>
          <cell r="X928">
            <v>0</v>
          </cell>
          <cell r="Y928">
            <v>0</v>
          </cell>
          <cell r="Z928" t="str">
            <v>NO</v>
          </cell>
          <cell r="AA928">
            <v>10</v>
          </cell>
          <cell r="AB928">
            <v>20</v>
          </cell>
          <cell r="AC928">
            <v>20</v>
          </cell>
        </row>
        <row r="929">
          <cell r="D929" t="str">
            <v>Hakyoukuken (Arcano)</v>
          </cell>
          <cell r="E929">
            <v>0</v>
          </cell>
          <cell r="F929">
            <v>10</v>
          </cell>
          <cell r="G929">
            <v>20</v>
          </cell>
          <cell r="K929">
            <v>20</v>
          </cell>
          <cell r="N929" t="str">
            <v>Anula las TA blandas. Bono al Crítico aumentado a +40</v>
          </cell>
          <cell r="S929">
            <v>53</v>
          </cell>
          <cell r="V929">
            <v>20</v>
          </cell>
          <cell r="X929">
            <v>0</v>
          </cell>
          <cell r="Y929">
            <v>0</v>
          </cell>
          <cell r="Z929" t="str">
            <v>NO</v>
          </cell>
          <cell r="AA929">
            <v>20</v>
          </cell>
          <cell r="AB929">
            <v>20</v>
          </cell>
          <cell r="AC929">
            <v>20</v>
          </cell>
        </row>
        <row r="930">
          <cell r="D930" t="str">
            <v>Hanja (Base)</v>
          </cell>
          <cell r="E930">
            <v>0</v>
          </cell>
          <cell r="G930">
            <v>10</v>
          </cell>
          <cell r="I930">
            <v>10</v>
          </cell>
          <cell r="J930">
            <v>10</v>
          </cell>
          <cell r="N930" t="str">
            <v>Sin penalizador por Espalda y Espacio reducido</v>
          </cell>
          <cell r="S930">
            <v>46</v>
          </cell>
          <cell r="X930">
            <v>0</v>
          </cell>
          <cell r="Y930">
            <v>0</v>
          </cell>
          <cell r="Z930" t="str">
            <v>NO</v>
          </cell>
          <cell r="AA930">
            <v>20</v>
          </cell>
          <cell r="AB930">
            <v>10</v>
          </cell>
          <cell r="AC930">
            <v>10</v>
          </cell>
        </row>
        <row r="931">
          <cell r="D931" t="str">
            <v>Hanja (Arcano)</v>
          </cell>
          <cell r="E931">
            <v>0</v>
          </cell>
          <cell r="G931">
            <v>20</v>
          </cell>
          <cell r="N931" t="str">
            <v>Sin penalizador por Espalda, Espacio reducido, Amenazado y Parálisis menor y parcial</v>
          </cell>
          <cell r="S931">
            <v>84</v>
          </cell>
          <cell r="V931">
            <v>20</v>
          </cell>
          <cell r="X931">
            <v>0</v>
          </cell>
          <cell r="Y931">
            <v>0</v>
          </cell>
          <cell r="Z931" t="str">
            <v>NO</v>
          </cell>
          <cell r="AA931">
            <v>20</v>
          </cell>
          <cell r="AB931">
            <v>20</v>
          </cell>
          <cell r="AC931">
            <v>20</v>
          </cell>
        </row>
        <row r="932">
          <cell r="D932" t="str">
            <v>Lama Tsu (Base)</v>
          </cell>
          <cell r="E932">
            <v>0</v>
          </cell>
          <cell r="G932">
            <v>10</v>
          </cell>
          <cell r="I932">
            <v>20</v>
          </cell>
          <cell r="J932">
            <v>20</v>
          </cell>
          <cell r="N932" t="str">
            <v>Añade 2 defensas adicionales sin penalizador</v>
          </cell>
          <cell r="S932">
            <v>44</v>
          </cell>
          <cell r="X932">
            <v>0</v>
          </cell>
          <cell r="Y932">
            <v>0</v>
          </cell>
          <cell r="Z932" t="str">
            <v>NO</v>
          </cell>
          <cell r="AA932">
            <v>20</v>
          </cell>
          <cell r="AB932">
            <v>0</v>
          </cell>
          <cell r="AC932">
            <v>0</v>
          </cell>
        </row>
        <row r="933">
          <cell r="D933" t="str">
            <v>Lama Tsu (Arcano)</v>
          </cell>
          <cell r="E933">
            <v>0</v>
          </cell>
          <cell r="G933">
            <v>20</v>
          </cell>
          <cell r="N933" t="str">
            <v>Nunca aplica penalizador por defensas adicionales</v>
          </cell>
          <cell r="S933">
            <v>49</v>
          </cell>
          <cell r="W933">
            <v>20</v>
          </cell>
          <cell r="X933">
            <v>0</v>
          </cell>
          <cell r="Y933">
            <v>0</v>
          </cell>
          <cell r="Z933" t="str">
            <v>NO</v>
          </cell>
          <cell r="AA933">
            <v>20</v>
          </cell>
          <cell r="AB933">
            <v>20</v>
          </cell>
          <cell r="AC933">
            <v>20</v>
          </cell>
        </row>
        <row r="934">
          <cell r="D934" t="str">
            <v>Melkaiah (Base)</v>
          </cell>
          <cell r="E934">
            <v>0</v>
          </cell>
          <cell r="G934">
            <v>10</v>
          </cell>
          <cell r="H934">
            <v>10</v>
          </cell>
          <cell r="N934" t="str">
            <v>Bono +3 a controles enfrentados para Presa y Derribo</v>
          </cell>
          <cell r="S934">
            <v>52</v>
          </cell>
          <cell r="X934">
            <v>0</v>
          </cell>
          <cell r="Y934">
            <v>0</v>
          </cell>
          <cell r="Z934" t="str">
            <v>NO</v>
          </cell>
          <cell r="AA934">
            <v>10</v>
          </cell>
          <cell r="AB934">
            <v>20</v>
          </cell>
          <cell r="AC934">
            <v>20</v>
          </cell>
        </row>
        <row r="935">
          <cell r="D935" t="str">
            <v>Melkaiah (Arcano)</v>
          </cell>
          <cell r="E935">
            <v>0</v>
          </cell>
          <cell r="G935">
            <v>20</v>
          </cell>
          <cell r="N935" t="str">
            <v>Bono +3 Presa y Derribo. +50 a Ataque Completo (Presa). +3 a Aplastar y Estrangular</v>
          </cell>
          <cell r="S935">
            <v>83</v>
          </cell>
          <cell r="V935">
            <v>10</v>
          </cell>
          <cell r="W935">
            <v>10</v>
          </cell>
          <cell r="X935">
            <v>0</v>
          </cell>
          <cell r="Y935">
            <v>0</v>
          </cell>
          <cell r="Z935" t="str">
            <v>NO</v>
          </cell>
          <cell r="AA935">
            <v>20</v>
          </cell>
          <cell r="AB935">
            <v>20</v>
          </cell>
          <cell r="AC935">
            <v>20</v>
          </cell>
        </row>
        <row r="936">
          <cell r="D936" t="str">
            <v>Mushin (Base)</v>
          </cell>
          <cell r="E936">
            <v>0</v>
          </cell>
          <cell r="G936">
            <v>15</v>
          </cell>
          <cell r="H936">
            <v>10</v>
          </cell>
          <cell r="N936" t="str">
            <v>RF Daño+20 (Max 220): penalizador igual al Fracaso, daño 2xFracaso</v>
          </cell>
          <cell r="S936">
            <v>66</v>
          </cell>
          <cell r="X936">
            <v>0</v>
          </cell>
          <cell r="Y936">
            <v>0</v>
          </cell>
          <cell r="Z936" t="str">
            <v>NO</v>
          </cell>
          <cell r="AA936">
            <v>10</v>
          </cell>
          <cell r="AB936">
            <v>20</v>
          </cell>
          <cell r="AC936">
            <v>20</v>
          </cell>
        </row>
        <row r="937">
          <cell r="D937" t="str">
            <v>Mushin (Arcano)</v>
          </cell>
          <cell r="E937">
            <v>0</v>
          </cell>
          <cell r="G937">
            <v>30</v>
          </cell>
          <cell r="N937" t="str">
            <v>RF Daño+40 (Max 240): penalizador = Fracaso, daño = 2xFracaso. Puntos de presión</v>
          </cell>
          <cell r="S937">
            <v>80</v>
          </cell>
          <cell r="V937">
            <v>20</v>
          </cell>
          <cell r="X937">
            <v>0</v>
          </cell>
          <cell r="Y937">
            <v>0</v>
          </cell>
          <cell r="Z937" t="str">
            <v>NO</v>
          </cell>
          <cell r="AA937">
            <v>20</v>
          </cell>
          <cell r="AB937">
            <v>20</v>
          </cell>
          <cell r="AC937">
            <v>20</v>
          </cell>
        </row>
        <row r="938">
          <cell r="D938" t="str">
            <v>Rex Frame (Base)</v>
          </cell>
          <cell r="E938">
            <v>0</v>
          </cell>
          <cell r="G938">
            <v>10</v>
          </cell>
          <cell r="I938">
            <v>10</v>
          </cell>
          <cell r="J938">
            <v>10</v>
          </cell>
          <cell r="N938" t="str">
            <v>TA 3 contra todo. Barrera de Daño 60</v>
          </cell>
          <cell r="S938">
            <v>36</v>
          </cell>
          <cell r="X938">
            <v>0</v>
          </cell>
          <cell r="Y938">
            <v>0</v>
          </cell>
          <cell r="Z938" t="str">
            <v>NO</v>
          </cell>
          <cell r="AA938">
            <v>20</v>
          </cell>
          <cell r="AB938">
            <v>10</v>
          </cell>
          <cell r="AC938">
            <v>10</v>
          </cell>
        </row>
        <row r="939">
          <cell r="D939" t="str">
            <v>Rex Frame (Arcano)</v>
          </cell>
          <cell r="E939">
            <v>0</v>
          </cell>
          <cell r="G939">
            <v>30</v>
          </cell>
          <cell r="N939" t="str">
            <v>TA 6 contra todo. Barrera de Daño 200</v>
          </cell>
          <cell r="S939">
            <v>37</v>
          </cell>
          <cell r="W939">
            <v>20</v>
          </cell>
          <cell r="X939">
            <v>0</v>
          </cell>
          <cell r="Y939">
            <v>0</v>
          </cell>
          <cell r="Z939" t="str">
            <v>NO</v>
          </cell>
          <cell r="AA939">
            <v>20</v>
          </cell>
          <cell r="AB939">
            <v>20</v>
          </cell>
          <cell r="AC939">
            <v>20</v>
          </cell>
        </row>
        <row r="940">
          <cell r="D940" t="str">
            <v>Selene (Base)</v>
          </cell>
          <cell r="E940">
            <v>0</v>
          </cell>
          <cell r="G940">
            <v>10</v>
          </cell>
          <cell r="I940">
            <v>20</v>
          </cell>
          <cell r="J940">
            <v>20</v>
          </cell>
          <cell r="N940" t="str">
            <v>Dobla el bono de contraataque con Artes Marciales</v>
          </cell>
          <cell r="S940">
            <v>49</v>
          </cell>
          <cell r="X940">
            <v>0</v>
          </cell>
          <cell r="Y940">
            <v>0</v>
          </cell>
          <cell r="Z940" t="str">
            <v>NO</v>
          </cell>
          <cell r="AA940">
            <v>20</v>
          </cell>
          <cell r="AB940">
            <v>0</v>
          </cell>
          <cell r="AC940">
            <v>0</v>
          </cell>
        </row>
        <row r="941">
          <cell r="D941" t="str">
            <v>Selene (Arcano)</v>
          </cell>
          <cell r="E941">
            <v>0</v>
          </cell>
          <cell r="G941">
            <v>20</v>
          </cell>
          <cell r="N941" t="str">
            <v>Dobla bono de contraataque. Defensa con éxito contraataque automático</v>
          </cell>
          <cell r="S941">
            <v>69</v>
          </cell>
          <cell r="W941">
            <v>20</v>
          </cell>
          <cell r="X941">
            <v>0</v>
          </cell>
          <cell r="Y941">
            <v>0</v>
          </cell>
          <cell r="Z941" t="str">
            <v>NO</v>
          </cell>
          <cell r="AA941">
            <v>20</v>
          </cell>
          <cell r="AB941">
            <v>20</v>
          </cell>
          <cell r="AC941">
            <v>20</v>
          </cell>
        </row>
        <row r="942">
          <cell r="D942" t="str">
            <v>Seraphite (Base)</v>
          </cell>
          <cell r="E942">
            <v>0</v>
          </cell>
          <cell r="F942">
            <v>10</v>
          </cell>
          <cell r="G942">
            <v>10</v>
          </cell>
          <cell r="H942">
            <v>20</v>
          </cell>
          <cell r="N942" t="str">
            <v>Bono opcional de +20 al Ataque, -30 a Defensa</v>
          </cell>
          <cell r="S942">
            <v>45</v>
          </cell>
          <cell r="X942">
            <v>0</v>
          </cell>
          <cell r="Y942">
            <v>0</v>
          </cell>
          <cell r="Z942" t="str">
            <v>NO</v>
          </cell>
          <cell r="AA942">
            <v>0</v>
          </cell>
          <cell r="AB942">
            <v>20</v>
          </cell>
          <cell r="AC942">
            <v>20</v>
          </cell>
        </row>
        <row r="943">
          <cell r="D943" t="str">
            <v>Seraphite (Arcano)</v>
          </cell>
          <cell r="E943">
            <v>0</v>
          </cell>
          <cell r="G943">
            <v>20</v>
          </cell>
          <cell r="N943" t="str">
            <v>Bono opcional de +30 al Ataque, -50 a Defensa: No pierde acción</v>
          </cell>
          <cell r="S943">
            <v>63</v>
          </cell>
          <cell r="V943">
            <v>20</v>
          </cell>
          <cell r="X943">
            <v>0</v>
          </cell>
          <cell r="Y943">
            <v>0</v>
          </cell>
          <cell r="Z943" t="str">
            <v>NO</v>
          </cell>
          <cell r="AA943">
            <v>20</v>
          </cell>
          <cell r="AB943">
            <v>20</v>
          </cell>
          <cell r="AC943">
            <v>20</v>
          </cell>
        </row>
        <row r="944">
          <cell r="D944" t="str">
            <v>Shephon (Base)</v>
          </cell>
          <cell r="E944">
            <v>0</v>
          </cell>
          <cell r="G944">
            <v>10</v>
          </cell>
          <cell r="I944">
            <v>20</v>
          </cell>
          <cell r="J944">
            <v>20</v>
          </cell>
          <cell r="N944" t="str">
            <v>Defensa Total concede un bono de +60</v>
          </cell>
          <cell r="S944">
            <v>36</v>
          </cell>
          <cell r="X944">
            <v>0</v>
          </cell>
          <cell r="Y944">
            <v>0</v>
          </cell>
          <cell r="Z944" t="str">
            <v>NO</v>
          </cell>
          <cell r="AA944">
            <v>20</v>
          </cell>
          <cell r="AB944">
            <v>0</v>
          </cell>
          <cell r="AC944">
            <v>0</v>
          </cell>
        </row>
        <row r="945">
          <cell r="D945" t="str">
            <v>Shephon (Arcano)</v>
          </cell>
          <cell r="E945">
            <v>0</v>
          </cell>
          <cell r="G945">
            <v>20</v>
          </cell>
          <cell r="N945" t="str">
            <v>Defensa Total concede un bono de +100</v>
          </cell>
          <cell r="S945">
            <v>37</v>
          </cell>
          <cell r="W945">
            <v>20</v>
          </cell>
          <cell r="X945">
            <v>0</v>
          </cell>
          <cell r="Y945">
            <v>0</v>
          </cell>
          <cell r="Z945" t="str">
            <v>NO</v>
          </cell>
          <cell r="AA945">
            <v>20</v>
          </cell>
          <cell r="AB945">
            <v>20</v>
          </cell>
          <cell r="AC945">
            <v>20</v>
          </cell>
        </row>
        <row r="946">
          <cell r="D946" t="str">
            <v>Suyanta (Base)</v>
          </cell>
          <cell r="E946">
            <v>0</v>
          </cell>
          <cell r="G946">
            <v>15</v>
          </cell>
          <cell r="H946">
            <v>10</v>
          </cell>
          <cell r="N946" t="str">
            <v>Puede escoger dañar la reserva de Ki en lugar de quitar PVs</v>
          </cell>
          <cell r="S946">
            <v>59</v>
          </cell>
          <cell r="X946">
            <v>0</v>
          </cell>
          <cell r="Y946">
            <v>0</v>
          </cell>
          <cell r="Z946" t="str">
            <v>NO</v>
          </cell>
          <cell r="AA946">
            <v>10</v>
          </cell>
          <cell r="AB946">
            <v>20</v>
          </cell>
          <cell r="AC946">
            <v>20</v>
          </cell>
        </row>
        <row r="947">
          <cell r="D947" t="str">
            <v>Suyanta (Arcano)</v>
          </cell>
          <cell r="E947">
            <v>0</v>
          </cell>
          <cell r="F947">
            <v>0</v>
          </cell>
          <cell r="G947">
            <v>35</v>
          </cell>
          <cell r="N947" t="str">
            <v>Daña a la vez la reserva de Ki y sus PVs</v>
          </cell>
          <cell r="S947">
            <v>40</v>
          </cell>
          <cell r="V947">
            <v>15</v>
          </cell>
          <cell r="X947">
            <v>0</v>
          </cell>
          <cell r="Y947">
            <v>0</v>
          </cell>
          <cell r="Z947" t="str">
            <v>NO</v>
          </cell>
          <cell r="AA947">
            <v>20</v>
          </cell>
          <cell r="AB947">
            <v>20</v>
          </cell>
          <cell r="AC947">
            <v>20</v>
          </cell>
        </row>
        <row r="948">
          <cell r="D948" t="str">
            <v>Velez (Base)</v>
          </cell>
          <cell r="E948">
            <v>0</v>
          </cell>
          <cell r="G948">
            <v>20</v>
          </cell>
          <cell r="I948">
            <v>20</v>
          </cell>
          <cell r="J948">
            <v>20</v>
          </cell>
          <cell r="N948" t="str">
            <v>-</v>
          </cell>
          <cell r="S948">
            <v>1</v>
          </cell>
          <cell r="T948" t="str">
            <v>ENE</v>
          </cell>
          <cell r="X948">
            <v>0</v>
          </cell>
          <cell r="Y948">
            <v>0</v>
          </cell>
          <cell r="Z948" t="str">
            <v>NO</v>
          </cell>
          <cell r="AA948">
            <v>20</v>
          </cell>
          <cell r="AB948">
            <v>0</v>
          </cell>
          <cell r="AC948">
            <v>0</v>
          </cell>
        </row>
        <row r="949">
          <cell r="D949" t="str">
            <v>Velez (Arcano)</v>
          </cell>
          <cell r="E949">
            <v>0</v>
          </cell>
          <cell r="G949">
            <v>40</v>
          </cell>
          <cell r="N949" t="str">
            <v>Ataques intangibles de Energía. Permite usar POD para chequeos</v>
          </cell>
          <cell r="S949">
            <v>62</v>
          </cell>
          <cell r="T949" t="str">
            <v>ENE</v>
          </cell>
          <cell r="W949">
            <v>15</v>
          </cell>
          <cell r="X949">
            <v>0</v>
          </cell>
          <cell r="Y949">
            <v>0</v>
          </cell>
          <cell r="Z949" t="str">
            <v>NO</v>
          </cell>
          <cell r="AA949">
            <v>20</v>
          </cell>
          <cell r="AB949">
            <v>20</v>
          </cell>
          <cell r="AC949">
            <v>20</v>
          </cell>
        </row>
        <row r="950">
          <cell r="O950">
            <v>0</v>
          </cell>
          <cell r="P950">
            <v>0</v>
          </cell>
        </row>
        <row r="951">
          <cell r="Q951">
            <v>0</v>
          </cell>
        </row>
        <row r="957">
          <cell r="E957" t="str">
            <v>&gt; A. MARCIALES BÁSICAS</v>
          </cell>
          <cell r="F957">
            <v>0</v>
          </cell>
          <cell r="H957" t="str">
            <v>-</v>
          </cell>
          <cell r="I957" t="str">
            <v>-</v>
          </cell>
          <cell r="R957" t="str">
            <v>Batto jutsu / Iai jutsu</v>
          </cell>
          <cell r="S957">
            <v>30</v>
          </cell>
          <cell r="T957">
            <v>0</v>
          </cell>
          <cell r="U957" t="str">
            <v>Desenfundar sin penalizador. No válido para armas a 2 manos</v>
          </cell>
          <cell r="Y957" t="str">
            <v>Desenfundar sin penalizador. No válido para armas a 2 manos</v>
          </cell>
        </row>
        <row r="958">
          <cell r="E958" t="str">
            <v>Tabla de Armas: Aikido</v>
          </cell>
          <cell r="F958">
            <v>40</v>
          </cell>
          <cell r="G958">
            <v>0</v>
          </cell>
          <cell r="H958" t="str">
            <v>NO</v>
          </cell>
          <cell r="I958" t="str">
            <v>Jutte, Abanico de combate, Vara, Sai, Tonfa y Lujiaodao</v>
          </cell>
          <cell r="K958">
            <v>0</v>
          </cell>
          <cell r="L958">
            <v>0</v>
          </cell>
          <cell r="M958">
            <v>0</v>
          </cell>
          <cell r="N958" t="str">
            <v>Aikido</v>
          </cell>
          <cell r="R958" t="str">
            <v>Tabla de Área</v>
          </cell>
          <cell r="S958">
            <v>50</v>
          </cell>
          <cell r="T958">
            <v>0</v>
          </cell>
          <cell r="U958" t="str">
            <v>Mitad de penalizador para la maniobra de Ataque en Área</v>
          </cell>
          <cell r="Y958" t="str">
            <v>Mitad de penalizador para la maniobra de Ataque en Área</v>
          </cell>
        </row>
        <row r="959">
          <cell r="E959" t="str">
            <v>Tabla de Armas: Boxeo</v>
          </cell>
          <cell r="F959">
            <v>10</v>
          </cell>
          <cell r="G959">
            <v>0</v>
          </cell>
          <cell r="H959" t="str">
            <v>NO</v>
          </cell>
          <cell r="I959" t="str">
            <v>Cestus y Katar</v>
          </cell>
          <cell r="K959">
            <v>0</v>
          </cell>
          <cell r="L959">
            <v>0</v>
          </cell>
          <cell r="M959">
            <v>0</v>
          </cell>
          <cell r="N959" t="str">
            <v>Boxeo</v>
          </cell>
          <cell r="R959" t="str">
            <v>Tabla de Precisión</v>
          </cell>
          <cell r="S959">
            <v>50</v>
          </cell>
          <cell r="T959">
            <v>0</v>
          </cell>
          <cell r="U959" t="str">
            <v>Mitad de penalizador para la maniobra de Engatillar</v>
          </cell>
          <cell r="Y959" t="str">
            <v>Mitad de penalizador para la maniobra de Engatillar</v>
          </cell>
        </row>
        <row r="960">
          <cell r="E960" t="str">
            <v>Tabla de Armas: Capoeira</v>
          </cell>
          <cell r="F960">
            <v>30</v>
          </cell>
          <cell r="G960">
            <v>0</v>
          </cell>
          <cell r="H960" t="str">
            <v>NO</v>
          </cell>
          <cell r="I960" t="str">
            <v>Sable, Urumi, Talwar y Bracamarte</v>
          </cell>
          <cell r="K960">
            <v>0</v>
          </cell>
          <cell r="L960">
            <v>0</v>
          </cell>
          <cell r="M960">
            <v>0</v>
          </cell>
          <cell r="N960" t="str">
            <v>Capoeira</v>
          </cell>
          <cell r="R960" t="str">
            <v>Tabla de Desarme</v>
          </cell>
          <cell r="S960">
            <v>40</v>
          </cell>
          <cell r="T960">
            <v>0</v>
          </cell>
          <cell r="U960" t="str">
            <v>Mitad de penalizador para la maniobra de Desarmar</v>
          </cell>
          <cell r="Y960" t="str">
            <v>Mitad de penalizador para la maniobra de Desarmar</v>
          </cell>
        </row>
        <row r="961">
          <cell r="E961" t="str">
            <v>Tabla de Armas: Grappling</v>
          </cell>
          <cell r="F961">
            <v>10</v>
          </cell>
          <cell r="G961">
            <v>0</v>
          </cell>
          <cell r="H961" t="str">
            <v>NO</v>
          </cell>
          <cell r="I961" t="str">
            <v>Cestus y Dirk</v>
          </cell>
          <cell r="K961">
            <v>0</v>
          </cell>
          <cell r="L961">
            <v>0</v>
          </cell>
          <cell r="M961">
            <v>0</v>
          </cell>
          <cell r="N961" t="str">
            <v>Grappling</v>
          </cell>
          <cell r="R961" t="str">
            <v>Tabla de Ataque encadenado</v>
          </cell>
          <cell r="S961">
            <v>50</v>
          </cell>
          <cell r="T961">
            <v>0</v>
          </cell>
          <cell r="U961" t="str">
            <v>Reduce el penalizador de Ataque adicional 1 Tamaño</v>
          </cell>
          <cell r="Y961" t="str">
            <v>Reduce el penalizador de Ataque adicional 1 Tamaño</v>
          </cell>
        </row>
        <row r="962">
          <cell r="E962" t="str">
            <v>Tabla de Armas: Kardad</v>
          </cell>
          <cell r="F962">
            <v>40</v>
          </cell>
          <cell r="G962">
            <v>0</v>
          </cell>
          <cell r="H962" t="str">
            <v>NO</v>
          </cell>
          <cell r="I962" t="str">
            <v>Pata, Espada corta, Katar, Kris y Lanza</v>
          </cell>
          <cell r="K962">
            <v>0</v>
          </cell>
          <cell r="L962">
            <v>0</v>
          </cell>
          <cell r="M962">
            <v>0</v>
          </cell>
          <cell r="N962" t="str">
            <v>Kardad</v>
          </cell>
          <cell r="R962" t="str">
            <v>Tabla de Desvío</v>
          </cell>
          <cell r="S962">
            <v>30</v>
          </cell>
          <cell r="T962">
            <v>0</v>
          </cell>
          <cell r="U962" t="str">
            <v>Permite sumar DES a la Entereza del arma</v>
          </cell>
          <cell r="Y962" t="str">
            <v>Permite sumar DES a la Entereza del arma</v>
          </cell>
          <cell r="AC962">
            <v>0</v>
          </cell>
        </row>
        <row r="963">
          <cell r="E963" t="str">
            <v>Tabla de Armas: Kempo</v>
          </cell>
          <cell r="F963">
            <v>10</v>
          </cell>
          <cell r="G963">
            <v>0</v>
          </cell>
          <cell r="H963" t="str">
            <v>NO</v>
          </cell>
          <cell r="I963" t="str">
            <v>Hu die dao y Tonfa</v>
          </cell>
          <cell r="K963">
            <v>0</v>
          </cell>
          <cell r="L963">
            <v>0</v>
          </cell>
          <cell r="M963">
            <v>0</v>
          </cell>
          <cell r="N963" t="str">
            <v>Kempo</v>
          </cell>
          <cell r="R963" t="str">
            <v>Tabla de Reducción de armadura</v>
          </cell>
          <cell r="S963">
            <v>40</v>
          </cell>
          <cell r="T963">
            <v>1</v>
          </cell>
          <cell r="U963" t="str">
            <v>Permite restar 1 punto a la armadura del enemigo</v>
          </cell>
          <cell r="Y963" t="str">
            <v>Permite restar XXX puntos a la armadura del enemigo</v>
          </cell>
        </row>
        <row r="964">
          <cell r="E964" t="str">
            <v>Tabla de Armas: Kuan</v>
          </cell>
          <cell r="F964">
            <v>30</v>
          </cell>
          <cell r="G964">
            <v>0</v>
          </cell>
          <cell r="H964" t="str">
            <v>NO</v>
          </cell>
          <cell r="I964" t="str">
            <v>Cuervo, Lujiaodao, Hu die dao y Kerambit</v>
          </cell>
          <cell r="K964">
            <v>0</v>
          </cell>
          <cell r="L964">
            <v>0</v>
          </cell>
          <cell r="M964">
            <v>0</v>
          </cell>
          <cell r="N964" t="str">
            <v>Kuan</v>
          </cell>
          <cell r="R964" t="str">
            <v>Tabla de Combate a ciegas</v>
          </cell>
          <cell r="S964">
            <v>40</v>
          </cell>
          <cell r="T964">
            <v>0</v>
          </cell>
          <cell r="U964" t="str">
            <v>Mitad de penalizador por Ceguera parcial y Cegera completa</v>
          </cell>
          <cell r="Y964" t="str">
            <v>Mitad de penalizador por Ceguera parcial y Cegera completa</v>
          </cell>
        </row>
        <row r="965">
          <cell r="E965" t="str">
            <v>Tabla de Armas: Kung Fu</v>
          </cell>
          <cell r="F965">
            <v>60</v>
          </cell>
          <cell r="G965">
            <v>0</v>
          </cell>
          <cell r="H965" t="str">
            <v>NO</v>
          </cell>
          <cell r="I965" t="str">
            <v>Abanico de combate, Shang Gou, Hu die dao, Guandao, Pudao, Chui, Liu Xing Chui, Nunchaku, Garras y Espada larga</v>
          </cell>
          <cell r="K965">
            <v>0</v>
          </cell>
          <cell r="L965">
            <v>0</v>
          </cell>
          <cell r="M965">
            <v>0</v>
          </cell>
          <cell r="N965" t="str">
            <v>Kung Fu</v>
          </cell>
          <cell r="R965" t="str">
            <v>Tabla de Disparo en movimiento</v>
          </cell>
          <cell r="S965">
            <v>40</v>
          </cell>
          <cell r="T965">
            <v>0</v>
          </cell>
          <cell r="U965" t="str">
            <v>Reducción de penalizador por disparo en movimiento</v>
          </cell>
          <cell r="Y965" t="str">
            <v>Reducción de penalizador por disparo en movimiento</v>
          </cell>
        </row>
        <row r="966">
          <cell r="E966" t="str">
            <v>Tabla de Armas: Lama</v>
          </cell>
          <cell r="F966">
            <v>10</v>
          </cell>
          <cell r="G966">
            <v>0</v>
          </cell>
          <cell r="H966" t="str">
            <v>NO</v>
          </cell>
          <cell r="I966" t="str">
            <v>Vara y Tonfa</v>
          </cell>
          <cell r="K966">
            <v>0</v>
          </cell>
          <cell r="L966">
            <v>0</v>
          </cell>
          <cell r="M966">
            <v>0</v>
          </cell>
          <cell r="N966" t="str">
            <v>Lama</v>
          </cell>
          <cell r="R966" t="str">
            <v>Tabla de Blanco en movimiento</v>
          </cell>
          <cell r="S966">
            <v>50</v>
          </cell>
          <cell r="T966">
            <v>0</v>
          </cell>
          <cell r="U966" t="str">
            <v>Mitad de penalizador por disparar a un blanco en movimiento</v>
          </cell>
          <cell r="Y966" t="str">
            <v>Mitad de penalizador por disparar a un blanco en movimiento</v>
          </cell>
        </row>
        <row r="967">
          <cell r="E967" t="str">
            <v>Tabla de Armas: Malla-yuddha</v>
          </cell>
          <cell r="F967">
            <v>20</v>
          </cell>
          <cell r="G967">
            <v>0</v>
          </cell>
          <cell r="H967" t="str">
            <v>NO</v>
          </cell>
          <cell r="I967" t="str">
            <v>Lujiaodao, Daga de parada y Sai</v>
          </cell>
          <cell r="K967">
            <v>0</v>
          </cell>
          <cell r="L967">
            <v>0</v>
          </cell>
          <cell r="M967">
            <v>0</v>
          </cell>
          <cell r="N967" t="str">
            <v>Malla-yuddha</v>
          </cell>
          <cell r="R967" t="str">
            <v>Tabla de Varios blancos</v>
          </cell>
          <cell r="S967">
            <v>40</v>
          </cell>
          <cell r="T967">
            <v>0</v>
          </cell>
          <cell r="U967" t="str">
            <v>Sin penalizador por cambio de blanco en disparos o lanzamientos</v>
          </cell>
          <cell r="Y967" t="str">
            <v>Sin penalizador por cambio de blanco en disparos o lanzamientos</v>
          </cell>
        </row>
        <row r="968">
          <cell r="E968" t="str">
            <v>Tabla de Armas: Moai Thai</v>
          </cell>
          <cell r="F968">
            <v>20</v>
          </cell>
          <cell r="G968">
            <v>0</v>
          </cell>
          <cell r="H968" t="str">
            <v>NO</v>
          </cell>
          <cell r="I968" t="str">
            <v>Cestus y Ram dao</v>
          </cell>
          <cell r="K968">
            <v>0</v>
          </cell>
          <cell r="L968">
            <v>0</v>
          </cell>
          <cell r="M968">
            <v>0</v>
          </cell>
          <cell r="N968" t="str">
            <v>Moai Thai</v>
          </cell>
          <cell r="R968" t="str">
            <v>Tabla de Defensa contra proyectiles</v>
          </cell>
          <cell r="S968">
            <v>40</v>
          </cell>
          <cell r="T968">
            <v>0</v>
          </cell>
          <cell r="U968" t="str">
            <v>Uso de armas tipo Mandoble como si fuesen de tipo Escudo</v>
          </cell>
          <cell r="Y968" t="str">
            <v>Uso de armas tipo Mandoble como si fuesen de tipo Escudo</v>
          </cell>
        </row>
        <row r="969">
          <cell r="E969" t="str">
            <v>Tabla de Armas: Pankration</v>
          </cell>
          <cell r="F969">
            <v>20</v>
          </cell>
          <cell r="G969">
            <v>0</v>
          </cell>
          <cell r="H969" t="str">
            <v>NO</v>
          </cell>
          <cell r="I969" t="str">
            <v>Daga, Kerambit y Cestus</v>
          </cell>
          <cell r="K969">
            <v>0</v>
          </cell>
          <cell r="L969">
            <v>0</v>
          </cell>
          <cell r="M969">
            <v>0</v>
          </cell>
          <cell r="N969" t="str">
            <v>Pankration</v>
          </cell>
          <cell r="R969" t="str">
            <v>Tabla de Ataque adicional</v>
          </cell>
          <cell r="S969">
            <v>40</v>
          </cell>
          <cell r="T969">
            <v>1</v>
          </cell>
          <cell r="U969" t="str">
            <v>Permite 1 ataque adicional con el penalizador correspondiente</v>
          </cell>
          <cell r="Y969" t="str">
            <v>Permite XXX ataques adicionales con el penalizador correspondiente</v>
          </cell>
        </row>
        <row r="970">
          <cell r="E970" t="str">
            <v>Tabla de Armas: Sambo</v>
          </cell>
          <cell r="F970">
            <v>30</v>
          </cell>
          <cell r="G970">
            <v>0</v>
          </cell>
          <cell r="H970" t="str">
            <v>NO</v>
          </cell>
          <cell r="I970" t="str">
            <v>Kerambit, Dirk, Daga y Sai</v>
          </cell>
          <cell r="K970">
            <v>0</v>
          </cell>
          <cell r="L970">
            <v>0</v>
          </cell>
          <cell r="M970">
            <v>0</v>
          </cell>
          <cell r="N970" t="str">
            <v>Sambo</v>
          </cell>
          <cell r="R970" t="str">
            <v>Tabla de Acumulación de Proyectiles</v>
          </cell>
          <cell r="S970">
            <v>20</v>
          </cell>
          <cell r="T970">
            <v>0</v>
          </cell>
          <cell r="U970" t="str">
            <v>Permite usar Acumulación de Proyectiles sin penalizador a la HA</v>
          </cell>
          <cell r="Y970" t="str">
            <v>Permite usar Acumulación de Proyectiles sin penalizador a la HA</v>
          </cell>
        </row>
        <row r="971">
          <cell r="E971" t="str">
            <v>Tabla de Armas: Shotokan</v>
          </cell>
          <cell r="F971">
            <v>20</v>
          </cell>
          <cell r="G971">
            <v>0</v>
          </cell>
          <cell r="H971" t="str">
            <v>NO</v>
          </cell>
          <cell r="I971" t="str">
            <v>Katana, Tanto y Lanza</v>
          </cell>
          <cell r="K971">
            <v>0</v>
          </cell>
          <cell r="L971">
            <v>0</v>
          </cell>
          <cell r="M971">
            <v>0</v>
          </cell>
          <cell r="N971" t="str">
            <v>Shotokan</v>
          </cell>
          <cell r="R971" t="str">
            <v>Tabla de 2ª Arma: Estilo Defensivo</v>
          </cell>
          <cell r="S971">
            <v>30</v>
          </cell>
          <cell r="T971">
            <v>0</v>
          </cell>
          <cell r="U971" t="str">
            <v>Defensa extra con arma adicional si no se emplea para atacar</v>
          </cell>
          <cell r="Y971" t="str">
            <v>Defensa extra con arma adicional si no se emplea para atacar</v>
          </cell>
        </row>
        <row r="972">
          <cell r="E972" t="str">
            <v>Tabla de Armas: Soo Bahk</v>
          </cell>
          <cell r="F972">
            <v>10</v>
          </cell>
          <cell r="G972">
            <v>0</v>
          </cell>
          <cell r="H972" t="str">
            <v>NO</v>
          </cell>
          <cell r="I972" t="str">
            <v>Sang kauw y Daga</v>
          </cell>
          <cell r="K972">
            <v>0</v>
          </cell>
          <cell r="L972">
            <v>0</v>
          </cell>
          <cell r="M972">
            <v>0</v>
          </cell>
          <cell r="N972" t="str">
            <v>Soo Bahk</v>
          </cell>
          <cell r="R972" t="str">
            <v>Tabla de Crítico Incrementado</v>
          </cell>
          <cell r="S972">
            <v>20</v>
          </cell>
          <cell r="T972">
            <v>0</v>
          </cell>
          <cell r="U972" t="str">
            <v>Añade 10 para calcular el Nivel de Crítico</v>
          </cell>
          <cell r="Y972" t="str">
            <v>Añade XXX0 para calcular el Nivel de Crítico</v>
          </cell>
        </row>
        <row r="973">
          <cell r="E973" t="str">
            <v>Tabla de Armas: Tae Kwon Do</v>
          </cell>
          <cell r="F973">
            <v>40</v>
          </cell>
          <cell r="G973">
            <v>0</v>
          </cell>
          <cell r="H973" t="str">
            <v>NO</v>
          </cell>
          <cell r="I973" t="str">
            <v>Vara, Espada bastarda, Bracamarte, Pudao y Bastón de combate</v>
          </cell>
          <cell r="K973">
            <v>0</v>
          </cell>
          <cell r="L973">
            <v>0</v>
          </cell>
          <cell r="M973">
            <v>0</v>
          </cell>
          <cell r="N973" t="str">
            <v>Tae Kwon Do</v>
          </cell>
          <cell r="R973" t="str">
            <v>Tabla de Ataque inusual</v>
          </cell>
          <cell r="S973">
            <v>20</v>
          </cell>
          <cell r="T973">
            <v>0</v>
          </cell>
          <cell r="U973" t="str">
            <v>Permite atacar con el Crítico Secundario sin penalizador</v>
          </cell>
          <cell r="Y973" t="str">
            <v>Permite atacar con el Crítico Secundario sin penalizador</v>
          </cell>
        </row>
        <row r="974">
          <cell r="E974" t="str">
            <v>Tabla de Armas: Tai Chi</v>
          </cell>
          <cell r="F974">
            <v>30</v>
          </cell>
          <cell r="G974">
            <v>0</v>
          </cell>
          <cell r="H974" t="str">
            <v>NO</v>
          </cell>
          <cell r="I974" t="str">
            <v>Lujiaodao, Hu die dao, Lajatang y Naginata</v>
          </cell>
          <cell r="K974">
            <v>0</v>
          </cell>
          <cell r="L974">
            <v>0</v>
          </cell>
          <cell r="M974">
            <v>0</v>
          </cell>
          <cell r="N974" t="str">
            <v>Tai Chi</v>
          </cell>
          <cell r="R974" t="str">
            <v>Tabla de Presa inusual</v>
          </cell>
          <cell r="S974">
            <v>40</v>
          </cell>
          <cell r="T974">
            <v>0</v>
          </cell>
          <cell r="U974" t="str">
            <v>Permite usar Presa con armas sin ella. -60 a la HA y -3 al control</v>
          </cell>
          <cell r="Y974" t="str">
            <v>Permite usar Presa con armas sin ella. -60 a la HA y -3 al control</v>
          </cell>
        </row>
        <row r="975">
          <cell r="E975" t="str">
            <v>Tabla de Armas: Xing Quan</v>
          </cell>
          <cell r="F975">
            <v>40</v>
          </cell>
          <cell r="G975">
            <v>0</v>
          </cell>
          <cell r="H975" t="str">
            <v>NO</v>
          </cell>
          <cell r="I975" t="str">
            <v>Katar, Pata, Garras, Anciano de primavera y Hu die dao</v>
          </cell>
          <cell r="K975">
            <v>0</v>
          </cell>
          <cell r="L975">
            <v>0</v>
          </cell>
          <cell r="M975">
            <v>0</v>
          </cell>
          <cell r="N975" t="str">
            <v>Xing Quan</v>
          </cell>
          <cell r="R975" t="str">
            <v>Tabla de Guardaespaldas</v>
          </cell>
          <cell r="S975">
            <v>30</v>
          </cell>
          <cell r="T975">
            <v>0</v>
          </cell>
          <cell r="U975" t="str">
            <v>Penalizador de -10 para cubrir o apartar a otros</v>
          </cell>
          <cell r="Y975" t="str">
            <v>Penalizador de -10 para cubrir o apartar a otros</v>
          </cell>
        </row>
        <row r="976">
          <cell r="E976" t="str">
            <v>&gt; A. MARCIALES AVANZADAS</v>
          </cell>
          <cell r="F976">
            <v>0</v>
          </cell>
          <cell r="H976" t="str">
            <v>-</v>
          </cell>
          <cell r="I976" t="str">
            <v/>
          </cell>
          <cell r="R976" t="str">
            <v>Tabla de Mov. en Espacios reducidos</v>
          </cell>
          <cell r="S976">
            <v>30</v>
          </cell>
          <cell r="T976">
            <v>0</v>
          </cell>
          <cell r="U976" t="str">
            <v>Mitad de penalizador por combatir en Espacios reducidos</v>
          </cell>
          <cell r="Y976" t="str">
            <v>Mitad de penalizador por combatir en Espacios reducidos</v>
          </cell>
        </row>
        <row r="977">
          <cell r="E977" t="str">
            <v>Tabla de Armas: Emp</v>
          </cell>
          <cell r="F977">
            <v>40</v>
          </cell>
          <cell r="G977">
            <v>0</v>
          </cell>
          <cell r="H977" t="str">
            <v>NO</v>
          </cell>
          <cell r="I977" t="str">
            <v>Jutte, Daga de parada, Sai, Lujiaodao y Tonfa</v>
          </cell>
          <cell r="K977">
            <v>0</v>
          </cell>
          <cell r="L977">
            <v>0</v>
          </cell>
          <cell r="M977">
            <v>0</v>
          </cell>
          <cell r="N977" t="str">
            <v>Emp</v>
          </cell>
          <cell r="R977" t="str">
            <v>Tabla de Esquiva con Escudo</v>
          </cell>
          <cell r="S977">
            <v>30</v>
          </cell>
          <cell r="T977">
            <v>0</v>
          </cell>
          <cell r="U977" t="str">
            <v>Usa el bono de parada del escudo como bono de esquiva</v>
          </cell>
          <cell r="Y977" t="str">
            <v>Usa el bono de parada del escudo como bono de esquiva</v>
          </cell>
        </row>
        <row r="978">
          <cell r="E978" t="str">
            <v>Tabla de Armas: Enuth</v>
          </cell>
          <cell r="F978">
            <v>10</v>
          </cell>
          <cell r="G978">
            <v>0</v>
          </cell>
          <cell r="H978" t="str">
            <v>NO</v>
          </cell>
          <cell r="I978" t="str">
            <v>Vara y Bastón de combate</v>
          </cell>
          <cell r="K978">
            <v>0</v>
          </cell>
          <cell r="L978">
            <v>0</v>
          </cell>
          <cell r="M978">
            <v>0</v>
          </cell>
          <cell r="N978" t="str">
            <v>Enuth</v>
          </cell>
          <cell r="R978" t="str">
            <v>Tabla de Sujeción</v>
          </cell>
          <cell r="S978">
            <v>10</v>
          </cell>
          <cell r="T978">
            <v>0</v>
          </cell>
          <cell r="U978" t="str">
            <v>Bono de +3 al control para evitar ser Desarmado</v>
          </cell>
          <cell r="Y978" t="str">
            <v>Bono de +3 al control para evitar ser Desarmado</v>
          </cell>
        </row>
        <row r="979">
          <cell r="E979" t="str">
            <v>Tabla de Armas: Hakyoukuken</v>
          </cell>
          <cell r="F979">
            <v>20</v>
          </cell>
          <cell r="G979">
            <v>0</v>
          </cell>
          <cell r="H979" t="str">
            <v>NO</v>
          </cell>
          <cell r="I979" t="str">
            <v>Vara, Tonfa y Nunchaku</v>
          </cell>
          <cell r="K979">
            <v>0</v>
          </cell>
          <cell r="L979">
            <v>0</v>
          </cell>
          <cell r="M979">
            <v>0</v>
          </cell>
          <cell r="N979" t="str">
            <v>Hakyoukuken</v>
          </cell>
        </row>
        <row r="980">
          <cell r="E980" t="str">
            <v>Tabla de Armas: Hanja</v>
          </cell>
          <cell r="F980">
            <v>20</v>
          </cell>
          <cell r="G980">
            <v>0</v>
          </cell>
          <cell r="H980" t="str">
            <v>NO</v>
          </cell>
          <cell r="I980" t="str">
            <v>Anciano de primavera, Kau sin ke y Shang gou</v>
          </cell>
          <cell r="K980">
            <v>0</v>
          </cell>
          <cell r="L980">
            <v>0</v>
          </cell>
          <cell r="M980">
            <v>0</v>
          </cell>
          <cell r="N980" t="str">
            <v>Hanja</v>
          </cell>
        </row>
        <row r="981">
          <cell r="E981" t="str">
            <v>Tabla de Armas: Melkaiah</v>
          </cell>
          <cell r="F981">
            <v>20</v>
          </cell>
          <cell r="G981">
            <v>0</v>
          </cell>
          <cell r="H981" t="str">
            <v>NO</v>
          </cell>
          <cell r="I981" t="str">
            <v>Kerambit, Cestus y Kukri</v>
          </cell>
          <cell r="K981">
            <v>0</v>
          </cell>
          <cell r="L981">
            <v>0</v>
          </cell>
          <cell r="M981">
            <v>0</v>
          </cell>
          <cell r="N981" t="str">
            <v>Melkaiah</v>
          </cell>
        </row>
        <row r="982">
          <cell r="E982" t="str">
            <v>Tabla de Armas: Mushin</v>
          </cell>
          <cell r="F982">
            <v>10</v>
          </cell>
          <cell r="G982">
            <v>0</v>
          </cell>
          <cell r="H982" t="str">
            <v>NO</v>
          </cell>
          <cell r="I982" t="str">
            <v>Dirk y Shikomi-zue</v>
          </cell>
          <cell r="K982">
            <v>0</v>
          </cell>
          <cell r="L982">
            <v>0</v>
          </cell>
          <cell r="M982">
            <v>0</v>
          </cell>
          <cell r="N982" t="str">
            <v>Mushin</v>
          </cell>
        </row>
        <row r="983">
          <cell r="E983" t="str">
            <v>Tabla de Armas: Rex Frame</v>
          </cell>
          <cell r="F983">
            <v>40</v>
          </cell>
          <cell r="G983">
            <v>0</v>
          </cell>
          <cell r="H983" t="str">
            <v>NO</v>
          </cell>
          <cell r="I983" t="str">
            <v>Espada a dos manos, Montante, Hacha a dos manos, Claymore y Grosse messer</v>
          </cell>
          <cell r="K983">
            <v>0</v>
          </cell>
          <cell r="L983">
            <v>0</v>
          </cell>
          <cell r="M983">
            <v>0</v>
          </cell>
          <cell r="N983" t="str">
            <v>Rex Frame</v>
          </cell>
        </row>
        <row r="984">
          <cell r="E984" t="str">
            <v>Tabla de Armas: Selene</v>
          </cell>
          <cell r="F984">
            <v>40</v>
          </cell>
          <cell r="G984">
            <v>0</v>
          </cell>
          <cell r="H984" t="str">
            <v>NO</v>
          </cell>
          <cell r="I984" t="str">
            <v>Estilete, Daga, Sai, Kunai y Kogai</v>
          </cell>
          <cell r="K984">
            <v>0</v>
          </cell>
          <cell r="L984">
            <v>0</v>
          </cell>
          <cell r="M984">
            <v>0</v>
          </cell>
          <cell r="N984" t="str">
            <v>Selene</v>
          </cell>
        </row>
        <row r="985">
          <cell r="E985" t="str">
            <v>Tabla de Armas: Seraphite</v>
          </cell>
          <cell r="F985">
            <v>30</v>
          </cell>
          <cell r="G985">
            <v>0</v>
          </cell>
          <cell r="H985" t="str">
            <v>NO</v>
          </cell>
          <cell r="I985" t="str">
            <v>Cestus, Falcata, Quebradora y Espada ancha</v>
          </cell>
          <cell r="K985">
            <v>0</v>
          </cell>
          <cell r="L985">
            <v>0</v>
          </cell>
          <cell r="M985">
            <v>0</v>
          </cell>
          <cell r="N985" t="str">
            <v>Seraphite</v>
          </cell>
        </row>
        <row r="986">
          <cell r="E986" t="str">
            <v>Tabla de Armas: Shephon</v>
          </cell>
          <cell r="F986">
            <v>20</v>
          </cell>
          <cell r="G986">
            <v>0</v>
          </cell>
          <cell r="H986" t="str">
            <v>NO</v>
          </cell>
          <cell r="I986" t="str">
            <v>Sai, Daga de parada y Rodela</v>
          </cell>
          <cell r="K986">
            <v>0</v>
          </cell>
          <cell r="L986">
            <v>0</v>
          </cell>
          <cell r="M986">
            <v>0</v>
          </cell>
          <cell r="N986" t="str">
            <v>Shephon</v>
          </cell>
        </row>
        <row r="987">
          <cell r="E987" t="str">
            <v>Tabla de Armas: Suyanta</v>
          </cell>
          <cell r="F987">
            <v>20</v>
          </cell>
          <cell r="G987">
            <v>0</v>
          </cell>
          <cell r="H987" t="str">
            <v>NO</v>
          </cell>
          <cell r="I987" t="str">
            <v>Dirk, Daga y Espada corta</v>
          </cell>
          <cell r="K987">
            <v>0</v>
          </cell>
          <cell r="L987">
            <v>0</v>
          </cell>
          <cell r="M987">
            <v>0</v>
          </cell>
          <cell r="N987" t="str">
            <v>Suyanta</v>
          </cell>
        </row>
        <row r="995">
          <cell r="C995" t="str">
            <v>&gt; ARS MAGNUS MENORES</v>
          </cell>
          <cell r="E995" t="str">
            <v>&gt; ARS MAGNUS MENORES</v>
          </cell>
          <cell r="F995">
            <v>0</v>
          </cell>
          <cell r="G995">
            <v>0</v>
          </cell>
          <cell r="I995" t="str">
            <v>-</v>
          </cell>
          <cell r="J995" t="str">
            <v>-</v>
          </cell>
          <cell r="T995" t="str">
            <v>&gt; ARS COGNITIAM MENORES</v>
          </cell>
        </row>
        <row r="996">
          <cell r="C996" t="str">
            <v>Ataque Final</v>
          </cell>
          <cell r="E996" t="str">
            <v>Berserker</v>
          </cell>
          <cell r="F996">
            <v>30</v>
          </cell>
          <cell r="G996">
            <v>10</v>
          </cell>
          <cell r="H996">
            <v>0</v>
          </cell>
          <cell r="I996" t="str">
            <v>-</v>
          </cell>
          <cell r="J996" t="str">
            <v xml:space="preserve"> +10 al Ataque, -20 a Defensa e ignora penalizador por Dolor o Cansancio. Chequeo de VOL para dejar de luchar (-2 si está a 1/4 de PVs)</v>
          </cell>
          <cell r="T996" t="str">
            <v>Cambiar tipología</v>
          </cell>
        </row>
        <row r="997">
          <cell r="C997" t="str">
            <v>Berserker</v>
          </cell>
          <cell r="E997" t="str">
            <v>Yuuse Batojutsu</v>
          </cell>
          <cell r="F997">
            <v>20</v>
          </cell>
          <cell r="G997">
            <v>10</v>
          </cell>
          <cell r="H997">
            <v>0</v>
          </cell>
          <cell r="I997" t="str">
            <v>NO</v>
          </cell>
          <cell r="J997" t="str">
            <v xml:space="preserve"> +10 a Ataque y Turno por cada asalto con el arma enfundada y concentrándose (Max +30). No puede atacar ni desenfundar pero sí defenderse y acumular Ki</v>
          </cell>
          <cell r="T997" t="str">
            <v>Gravimetría</v>
          </cell>
        </row>
        <row r="998">
          <cell r="C998" t="str">
            <v>Guardián</v>
          </cell>
          <cell r="E998" t="str">
            <v>Kiai</v>
          </cell>
          <cell r="F998">
            <v>10</v>
          </cell>
          <cell r="G998">
            <v>10</v>
          </cell>
          <cell r="H998">
            <v>0</v>
          </cell>
          <cell r="I998" t="str">
            <v>NO</v>
          </cell>
          <cell r="J998" t="str">
            <v>Añade +10 al Daño de Artes Marciales y permite atacar energía. Consume 1 de Ki y sólo puede usarse cada 5 asaltos o consume Cansancio</v>
          </cell>
          <cell r="T998" t="str">
            <v>Incremento sensorial</v>
          </cell>
        </row>
        <row r="999">
          <cell r="C999" t="str">
            <v>Kiai</v>
          </cell>
          <cell r="E999" t="str">
            <v>Guardián</v>
          </cell>
          <cell r="F999">
            <v>40</v>
          </cell>
          <cell r="G999">
            <v>10</v>
          </cell>
          <cell r="H999">
            <v>0</v>
          </cell>
          <cell r="I999" t="str">
            <v>NO</v>
          </cell>
          <cell r="J999" t="str">
            <v>No hace falta tener acción para proteger a otro personaje. Penalizador por defender a otro pasa a -10</v>
          </cell>
          <cell r="T999" t="str">
            <v>Movimiento orbital</v>
          </cell>
        </row>
        <row r="1000">
          <cell r="C1000" t="str">
            <v>Maniobra Especial</v>
          </cell>
          <cell r="E1000" t="str">
            <v>Ataque Final</v>
          </cell>
          <cell r="F1000">
            <v>30</v>
          </cell>
          <cell r="G1000">
            <v>10</v>
          </cell>
          <cell r="H1000">
            <v>0</v>
          </cell>
          <cell r="I1000" t="str">
            <v>-</v>
          </cell>
          <cell r="J1000" t="str">
            <v>Permite realizar un Ataque con +20 y cada Cansancio  añade +20 en lugar de +15. Sólo una vez al día y si los PVs son menos de la mitad</v>
          </cell>
          <cell r="T1000" t="str">
            <v>Oposición</v>
          </cell>
        </row>
        <row r="1001">
          <cell r="C1001" t="str">
            <v>Yuuse Batojutsu</v>
          </cell>
          <cell r="E1001" t="str">
            <v>Maniobra Especial</v>
          </cell>
          <cell r="F1001">
            <v>30</v>
          </cell>
          <cell r="G1001">
            <v>10</v>
          </cell>
          <cell r="H1001">
            <v>0</v>
          </cell>
          <cell r="I1001" t="str">
            <v>-</v>
          </cell>
          <cell r="J1001" t="str">
            <v>Bono especial condicionado de +20 al Ataque</v>
          </cell>
          <cell r="T1001" t="str">
            <v>Protector</v>
          </cell>
        </row>
        <row r="1002">
          <cell r="C1002" t="str">
            <v>&gt; ARS MAGNUS MAYORES</v>
          </cell>
          <cell r="E1002" t="str">
            <v>&gt; ARS MAGNUS MAYORES</v>
          </cell>
          <cell r="F1002">
            <v>0</v>
          </cell>
          <cell r="G1002">
            <v>0</v>
          </cell>
          <cell r="I1002" t="str">
            <v>-</v>
          </cell>
          <cell r="J1002" t="str">
            <v>-</v>
          </cell>
          <cell r="T1002" t="str">
            <v>Traslación ofensiva</v>
          </cell>
        </row>
        <row r="1003">
          <cell r="C1003" t="str">
            <v>Agnitum: Ojo Absoluto</v>
          </cell>
          <cell r="E1003" t="str">
            <v>Ashuriam: Asalto Dimensional</v>
          </cell>
          <cell r="F1003">
            <v>80</v>
          </cell>
          <cell r="G1003">
            <v>80</v>
          </cell>
          <cell r="H1003">
            <v>0</v>
          </cell>
          <cell r="I1003" t="str">
            <v>NO</v>
          </cell>
          <cell r="J1003" t="str">
            <v>Asalto Dimensional: Permite cambiar de dimensión y atacar a través de las rendijas entre los dos mundos</v>
          </cell>
          <cell r="T1003" t="str">
            <v>&gt; ARS COGNITIAM MAYORES</v>
          </cell>
        </row>
        <row r="1004">
          <cell r="C1004" t="str">
            <v>Ashuriam: Asalto Dimensional</v>
          </cell>
          <cell r="E1004" t="str">
            <v>Agnitum: Ojo Absoluto</v>
          </cell>
          <cell r="F1004">
            <v>30</v>
          </cell>
          <cell r="G1004">
            <v>30</v>
          </cell>
          <cell r="H1004">
            <v>0</v>
          </cell>
          <cell r="I1004" t="str">
            <v>NO</v>
          </cell>
          <cell r="J1004" t="str">
            <v>Ojo Absoluto: Permite desplazar los sentidos a objetos disparados o lanzados y controlarlos a distancia</v>
          </cell>
          <cell r="T1004" t="str">
            <v>Aversio: Proyección Ofensiva</v>
          </cell>
        </row>
        <row r="1005">
          <cell r="C1005" t="str">
            <v>Caos Meister: Control del Caos</v>
          </cell>
          <cell r="E1005" t="str">
            <v>Caos Meister: Control del Caos</v>
          </cell>
          <cell r="F1005">
            <v>80</v>
          </cell>
          <cell r="G1005">
            <v>100</v>
          </cell>
          <cell r="H1005">
            <v>0</v>
          </cell>
          <cell r="I1005" t="str">
            <v>NO</v>
          </cell>
          <cell r="J1005" t="str">
            <v>Alteración Existencial, Dualidad del Destino, Null Tempus</v>
          </cell>
          <cell r="T1005" t="str">
            <v>Fames: Devorador de mentes</v>
          </cell>
        </row>
        <row r="1006">
          <cell r="C1006" t="str">
            <v>Etherial: Ataques Infinitos</v>
          </cell>
          <cell r="E1006" t="str">
            <v>Etherial: Ataques Infinitos</v>
          </cell>
          <cell r="F1006">
            <v>40</v>
          </cell>
          <cell r="G1006">
            <v>40</v>
          </cell>
          <cell r="H1006">
            <v>0</v>
          </cell>
          <cell r="I1006" t="str">
            <v>NO</v>
          </cell>
          <cell r="J1006" t="str">
            <v>Crítico Seguro, Ataque Absoluto, Mil Golpes, Sello de Poder</v>
          </cell>
          <cell r="T1006" t="str">
            <v>Fluctus: Manipulación Entrópica</v>
          </cell>
        </row>
        <row r="1007">
          <cell r="C1007" t="str">
            <v>Haima: Sombra de Sangre</v>
          </cell>
          <cell r="E1007" t="str">
            <v>Haima: Sombra de Sangre</v>
          </cell>
          <cell r="F1007">
            <v>30</v>
          </cell>
          <cell r="G1007">
            <v>30</v>
          </cell>
          <cell r="H1007">
            <v>0</v>
          </cell>
          <cell r="I1007" t="str">
            <v>NO</v>
          </cell>
          <cell r="J1007" t="str">
            <v>Sombra de Sangre: Permite crear dobles instantáneos que absorben el daño recibido</v>
          </cell>
          <cell r="T1007" t="str">
            <v>Gelum: Abrigo Helado</v>
          </cell>
        </row>
        <row r="1008">
          <cell r="C1008" t="str">
            <v>Infinium: Fluctuación del Espacio</v>
          </cell>
          <cell r="E1008" t="str">
            <v>Magnum: Liberación de Poder</v>
          </cell>
          <cell r="F1008">
            <v>30</v>
          </cell>
          <cell r="G1008">
            <v>50</v>
          </cell>
          <cell r="H1008">
            <v>0</v>
          </cell>
          <cell r="I1008" t="str">
            <v>NO</v>
          </cell>
          <cell r="J1008" t="str">
            <v>Liberación de Poder: Permite concentrar energía (de 1 a 5 asaltos) para un ataque potenciado (+20 HA/asalto). -20 Defensa en concentración</v>
          </cell>
          <cell r="T1008" t="str">
            <v>Humanus: Máscaras Matriciales</v>
          </cell>
        </row>
        <row r="1009">
          <cell r="C1009" t="str">
            <v>Magnum: Liberación de Poder</v>
          </cell>
          <cell r="E1009" t="str">
            <v>Infinium: Fluctuación del Espacio</v>
          </cell>
          <cell r="F1009">
            <v>40</v>
          </cell>
          <cell r="G1009">
            <v>40</v>
          </cell>
          <cell r="H1009">
            <v>0</v>
          </cell>
          <cell r="I1009" t="str">
            <v>NO</v>
          </cell>
          <cell r="J1009" t="str">
            <v>Fluctuación del Espacio: Permite el movimiento instantáneo para obtener Flanco o Espalda</v>
          </cell>
          <cell r="T1009" t="str">
            <v>Ignis: Bruja Carmesí en Llamas</v>
          </cell>
        </row>
        <row r="1010">
          <cell r="C1010" t="str">
            <v>Matrix: División Existencial</v>
          </cell>
          <cell r="E1010" t="str">
            <v>Matrix: División Existencial</v>
          </cell>
          <cell r="F1010">
            <v>50</v>
          </cell>
          <cell r="G1010">
            <v>50</v>
          </cell>
          <cell r="H1010">
            <v>0</v>
          </cell>
          <cell r="I1010" t="str">
            <v>NO</v>
          </cell>
          <cell r="J1010" t="str">
            <v>División Existencial: Permite crear dobles perfectos del usuario</v>
          </cell>
          <cell r="T1010" t="str">
            <v>Iter: Ojo Atemporal</v>
          </cell>
        </row>
        <row r="1011">
          <cell r="C1011" t="str">
            <v>Mundus: Control del Entorno</v>
          </cell>
          <cell r="E1011" t="str">
            <v>Mundus: Control del Entorno</v>
          </cell>
          <cell r="F1011">
            <v>30</v>
          </cell>
          <cell r="G1011">
            <v>50</v>
          </cell>
          <cell r="H1011">
            <v>0</v>
          </cell>
          <cell r="I1011" t="str">
            <v>NO</v>
          </cell>
          <cell r="J1011" t="str">
            <v>Control del entorno como arma, Usos especializados</v>
          </cell>
          <cell r="T1011" t="str">
            <v>Motus: Saltos en el Espacio</v>
          </cell>
        </row>
        <row r="1012">
          <cell r="C1012" t="str">
            <v>Raikou: Hoja Relámpago</v>
          </cell>
          <cell r="E1012" t="str">
            <v>Raikou: Hoja Relámpago</v>
          </cell>
          <cell r="F1012">
            <v>60</v>
          </cell>
          <cell r="G1012">
            <v>60</v>
          </cell>
          <cell r="H1012">
            <v>0</v>
          </cell>
          <cell r="I1012" t="str">
            <v>NO</v>
          </cell>
          <cell r="J1012" t="str">
            <v>Hoja Relámpago: Permite encadenar ataques obteniendo bonificadores por cada ataque exitoso</v>
          </cell>
          <cell r="T1012" t="str">
            <v>Perditio: Caos Primario</v>
          </cell>
        </row>
        <row r="1013">
          <cell r="C1013" t="str">
            <v>Rem: Los Ojos del Destino</v>
          </cell>
          <cell r="E1013" t="str">
            <v>Rem: Los Ojos del Destino</v>
          </cell>
          <cell r="F1013">
            <v>40</v>
          </cell>
          <cell r="G1013">
            <v>60</v>
          </cell>
          <cell r="H1013">
            <v>0</v>
          </cell>
          <cell r="I1013" t="str">
            <v>NO</v>
          </cell>
          <cell r="J1013" t="str">
            <v>Los Ojos del Destino: Permite obtener bonificadores tras estudiar ataques y técnicas de los oponentes</v>
          </cell>
          <cell r="T1013" t="str">
            <v>Permutatio: Control Elemental</v>
          </cell>
        </row>
        <row r="1014">
          <cell r="C1014" t="str">
            <v>Samiel: Retribución Final</v>
          </cell>
          <cell r="E1014" t="str">
            <v>Samiel: Retribución Final</v>
          </cell>
          <cell r="F1014">
            <v>60</v>
          </cell>
          <cell r="G1014">
            <v>60</v>
          </cell>
          <cell r="H1014">
            <v>0</v>
          </cell>
          <cell r="I1014" t="str">
            <v>NO</v>
          </cell>
          <cell r="J1014" t="str">
            <v>Retribución Final: Permite obtener bonificadores contra un oponente tras haber sido dañado por él</v>
          </cell>
          <cell r="T1014" t="str">
            <v>Potentia: Ego Desencadenado</v>
          </cell>
        </row>
        <row r="1015">
          <cell r="C1015" t="str">
            <v>Shinkyou: La Posición Espejo</v>
          </cell>
          <cell r="E1015" t="str">
            <v>Shinkyou: La Posición Espejo</v>
          </cell>
          <cell r="F1015">
            <v>60</v>
          </cell>
          <cell r="G1015">
            <v>80</v>
          </cell>
          <cell r="H1015">
            <v>0</v>
          </cell>
          <cell r="I1015" t="str">
            <v>NO</v>
          </cell>
          <cell r="J1015" t="str">
            <v>La Posición Espejo: Bono de +50 a Defensa y Contraataque automático durante 5 asaltos. Sin Acciones activas</v>
          </cell>
          <cell r="T1015" t="str">
            <v>Saxum: Expansión de Dominio</v>
          </cell>
        </row>
        <row r="1016">
          <cell r="C1016" t="str">
            <v>Summun: Acumulación de Energía</v>
          </cell>
          <cell r="E1016" t="str">
            <v>Summun: Acumulación de Energía</v>
          </cell>
          <cell r="F1016">
            <v>30</v>
          </cell>
          <cell r="G1016">
            <v>30</v>
          </cell>
          <cell r="H1016">
            <v>0</v>
          </cell>
          <cell r="I1016" t="str">
            <v>NO</v>
          </cell>
          <cell r="J1016" t="str">
            <v>Acumulación de Energía: Permite atacar a distancia deformando el espacio entre los luchadores</v>
          </cell>
          <cell r="T1016" t="str">
            <v>Sensus: Sentidos Absolutos</v>
          </cell>
        </row>
        <row r="1017">
          <cell r="C1017" t="str">
            <v>Transformación: El Despertar</v>
          </cell>
          <cell r="E1017" t="str">
            <v>Transformación: El Despertar</v>
          </cell>
          <cell r="F1017">
            <v>50</v>
          </cell>
          <cell r="G1017">
            <v>50</v>
          </cell>
          <cell r="H1017">
            <v>0</v>
          </cell>
          <cell r="I1017" t="str">
            <v>NO</v>
          </cell>
          <cell r="J1017" t="str">
            <v>El Despertar: Transformación que otorga el bono de POD a toda acción y un bono variable a las Acumulaciones de Ki. Concede Zen</v>
          </cell>
          <cell r="T1017" t="str">
            <v>Telum: Filo Matricial</v>
          </cell>
        </row>
        <row r="1018">
          <cell r="C1018" t="str">
            <v>Transformación: Eliodón</v>
          </cell>
          <cell r="E1018" t="str">
            <v>Transformación: Poder Físico</v>
          </cell>
          <cell r="F1018">
            <v>30</v>
          </cell>
          <cell r="G1018">
            <v>50</v>
          </cell>
          <cell r="H1018">
            <v>0</v>
          </cell>
          <cell r="I1018" t="str">
            <v>NO</v>
          </cell>
          <cell r="J1018" t="str">
            <v>Primer Estado, Segundo Estado</v>
          </cell>
          <cell r="T1018" t="str">
            <v>Tempestas: Jinete de las Tormentas</v>
          </cell>
        </row>
        <row r="1019">
          <cell r="C1019" t="str">
            <v>Transformación: Los Sellos del Dragón</v>
          </cell>
          <cell r="E1019" t="str">
            <v>Transformación: Eliodón</v>
          </cell>
          <cell r="F1019">
            <v>20</v>
          </cell>
          <cell r="G1019">
            <v>40</v>
          </cell>
          <cell r="H1019">
            <v>0</v>
          </cell>
          <cell r="I1019" t="str">
            <v>NO</v>
          </cell>
          <cell r="J1019" t="str">
            <v>Eliodón: Transformación temporal obteniendo Poderes de Criatura adicionales</v>
          </cell>
          <cell r="T1019" t="str">
            <v>Tempus: Arenas del Tiempo</v>
          </cell>
        </row>
        <row r="1020">
          <cell r="C1020" t="str">
            <v>Transformación: Poder Físico</v>
          </cell>
          <cell r="E1020" t="str">
            <v>Transformación: Ruptura del Destino</v>
          </cell>
          <cell r="F1020">
            <v>100</v>
          </cell>
          <cell r="G1020">
            <v>100</v>
          </cell>
          <cell r="H1020">
            <v>0</v>
          </cell>
          <cell r="I1020" t="str">
            <v>NO</v>
          </cell>
          <cell r="J1020" t="str">
            <v>Ruptura del Destino: Transformación que permite obtener un +100 a la actividad, que decae en -10 por turno hasta -100</v>
          </cell>
          <cell r="T1020" t="str">
            <v>Terminus: Destructor de Mundos</v>
          </cell>
        </row>
        <row r="1021">
          <cell r="C1021" t="str">
            <v>Transformación: Ruptura del Destino</v>
          </cell>
          <cell r="E1021" t="str">
            <v>Transformación: Los Sellos del Dragón</v>
          </cell>
          <cell r="F1021">
            <v>20</v>
          </cell>
          <cell r="G1021">
            <v>50</v>
          </cell>
          <cell r="H1021">
            <v>0</v>
          </cell>
          <cell r="I1021" t="str">
            <v>NO</v>
          </cell>
          <cell r="J1021" t="str">
            <v>Sellos del Dragón, Las Puertas</v>
          </cell>
          <cell r="T1021" t="str">
            <v>Terra: Inquisidor de Acero</v>
          </cell>
        </row>
        <row r="1022">
          <cell r="C1022" t="str">
            <v>Umbra: Ataque de Sombras</v>
          </cell>
          <cell r="E1022" t="str">
            <v>Umbra: Ataque de Sombras</v>
          </cell>
          <cell r="F1022">
            <v>30</v>
          </cell>
          <cell r="G1022">
            <v>50</v>
          </cell>
          <cell r="H1022">
            <v>0</v>
          </cell>
          <cell r="I1022" t="str">
            <v>NO</v>
          </cell>
          <cell r="J1022" t="str">
            <v>Control de la propia sombra como arma</v>
          </cell>
          <cell r="T1022" t="str">
            <v>Vacuos: Presión desatada</v>
          </cell>
        </row>
        <row r="1023">
          <cell r="C1023" t="str">
            <v>&gt; ARMAS IMPOSIBLES</v>
          </cell>
          <cell r="E1023" t="str">
            <v>&gt; ARMAS IMPOSIBLES</v>
          </cell>
          <cell r="F1023">
            <v>0</v>
          </cell>
          <cell r="G1023">
            <v>0</v>
          </cell>
          <cell r="I1023" t="str">
            <v>-</v>
          </cell>
          <cell r="J1023" t="str">
            <v>-</v>
          </cell>
          <cell r="T1023" t="str">
            <v>Victus: Hacedor de Sangre</v>
          </cell>
        </row>
        <row r="1024">
          <cell r="C1024" t="str">
            <v>Aquarius: Capas y prendas de vestir</v>
          </cell>
          <cell r="E1024" t="str">
            <v>Aries: Masificación armas y cadenas</v>
          </cell>
          <cell r="F1024">
            <v>40</v>
          </cell>
          <cell r="G1024">
            <v>40</v>
          </cell>
          <cell r="H1024">
            <v>0</v>
          </cell>
          <cell r="I1024" t="str">
            <v>NO</v>
          </cell>
          <cell r="J1024" t="str">
            <v xml:space="preserve">Uso de Aries, Elección de armas, Ataque masivo </v>
          </cell>
          <cell r="T1024" t="str">
            <v>Vinculum: Liberación Gravitatoria</v>
          </cell>
        </row>
        <row r="1025">
          <cell r="C1025" t="str">
            <v>Aries: Masificación armas y cadenas</v>
          </cell>
          <cell r="E1025" t="str">
            <v>Taurus: Enormes armas dobles</v>
          </cell>
          <cell r="F1025">
            <v>20</v>
          </cell>
          <cell r="G1025">
            <v>30</v>
          </cell>
          <cell r="H1025">
            <v>0</v>
          </cell>
          <cell r="I1025" t="str">
            <v>NO</v>
          </cell>
          <cell r="J1025" t="str">
            <v>Uso de Taurus, Lanzamiento en arco, Parar el ataque, Recoger el arma</v>
          </cell>
          <cell r="T1025" t="str">
            <v>&gt; ARS COGNITIAM PERSONALIZADOS</v>
          </cell>
        </row>
        <row r="1026">
          <cell r="C1026" t="str">
            <v>Cáncer Magister: Monofilos</v>
          </cell>
          <cell r="E1026" t="str">
            <v>Gémini: Marionetas</v>
          </cell>
          <cell r="F1026">
            <v>50</v>
          </cell>
          <cell r="G1026">
            <v>50</v>
          </cell>
          <cell r="H1026">
            <v>0</v>
          </cell>
          <cell r="I1026" t="str">
            <v>NO</v>
          </cell>
          <cell r="J1026" t="str">
            <v>Uso de Marionetas de combate, Ver reglas</v>
          </cell>
          <cell r="T1026" t="str">
            <v>Ars Cognitiam Pesonalizado 1</v>
          </cell>
        </row>
        <row r="1027">
          <cell r="C1027" t="str">
            <v>Cáncer: Monofilos</v>
          </cell>
          <cell r="E1027" t="str">
            <v>Cáncer: Monofilos</v>
          </cell>
          <cell r="F1027">
            <v>40</v>
          </cell>
          <cell r="G1027">
            <v>20</v>
          </cell>
          <cell r="H1027">
            <v>0</v>
          </cell>
          <cell r="I1027" t="str">
            <v>NO</v>
          </cell>
          <cell r="J1027" t="str">
            <v>Uso de Cáncer, Casi invisible, Presa mitad penalizador, Perforadora, Parada -10</v>
          </cell>
          <cell r="T1027" t="str">
            <v>Ars Cognitiam Pesonalizado 2</v>
          </cell>
        </row>
        <row r="1028">
          <cell r="C1028" t="str">
            <v>Capricornius: Agujas</v>
          </cell>
          <cell r="E1028" t="str">
            <v>Cáncer Magister: Monofilos</v>
          </cell>
          <cell r="F1028">
            <v>30</v>
          </cell>
          <cell r="G1028">
            <v>30</v>
          </cell>
          <cell r="H1028">
            <v>0</v>
          </cell>
          <cell r="I1028" t="str">
            <v>NO</v>
          </cell>
          <cell r="J1028" t="str">
            <v>Sin penalizador por Presa, Visibilidad menor, Perforación incrementada, Imparable, Ataque en área a todos los enemigos a 10m de radio</v>
          </cell>
          <cell r="T1028" t="str">
            <v>Ars Cognitiam Pesonalizado 3</v>
          </cell>
        </row>
        <row r="1029">
          <cell r="C1029" t="str">
            <v>Gémini: Marionetas</v>
          </cell>
          <cell r="E1029" t="str">
            <v>Leo: Armas-pistola</v>
          </cell>
          <cell r="F1029">
            <v>20</v>
          </cell>
          <cell r="G1029">
            <v>10</v>
          </cell>
          <cell r="H1029">
            <v>0</v>
          </cell>
          <cell r="I1029" t="str">
            <v>NO</v>
          </cell>
          <cell r="J1029" t="str">
            <v>Uso de Leo, Ataque combinado</v>
          </cell>
        </row>
        <row r="1030">
          <cell r="C1030" t="str">
            <v>Leo: Armas-pistola</v>
          </cell>
          <cell r="E1030" t="str">
            <v>Virgo: Instrumentos pequeños de viento</v>
          </cell>
          <cell r="F1030">
            <v>50</v>
          </cell>
          <cell r="G1030">
            <v>50</v>
          </cell>
          <cell r="H1030">
            <v>0</v>
          </cell>
          <cell r="I1030" t="str">
            <v>NO</v>
          </cell>
          <cell r="J1030" t="str">
            <v>Uso de Virgo, Daño por resonancia, Ignora protecciones, Ataque sónico, Ataque en área -10 (5m), Ataque único, Fascinación</v>
          </cell>
        </row>
        <row r="1031">
          <cell r="C1031" t="str">
            <v>Libra: Arma variable</v>
          </cell>
          <cell r="E1031" t="str">
            <v>Virgo: Instrumentos grandes de viento</v>
          </cell>
          <cell r="F1031">
            <v>50</v>
          </cell>
          <cell r="G1031">
            <v>50</v>
          </cell>
          <cell r="H1031">
            <v>0</v>
          </cell>
          <cell r="I1031" t="str">
            <v>NO</v>
          </cell>
          <cell r="J1031" t="str">
            <v>Uso de Virgo, Daño por resonancia, Ignora protecciones, Ataque sónico, Ataque en área -10 (5m), Ataque único, Daño incrementado</v>
          </cell>
        </row>
        <row r="1032">
          <cell r="C1032" t="str">
            <v>Ophiucos Sigma</v>
          </cell>
          <cell r="E1032" t="str">
            <v>Virgo: Instrumentos de cuerda</v>
          </cell>
          <cell r="F1032">
            <v>50</v>
          </cell>
          <cell r="G1032">
            <v>50</v>
          </cell>
          <cell r="H1032">
            <v>0</v>
          </cell>
          <cell r="I1032" t="str">
            <v>NO</v>
          </cell>
          <cell r="J1032" t="str">
            <v>Uso de Virgo, Daño por resonancia, Ignora protecciones, Ataque sónico, Ataque en área -10 (5m), Ataque único, Resonancia, Cáncer reducido</v>
          </cell>
        </row>
        <row r="1033">
          <cell r="C1033" t="str">
            <v>Ophiucos: Señor de Espadas Infinitas</v>
          </cell>
          <cell r="E1033" t="str">
            <v>Virgo: Instrumentos de percusión</v>
          </cell>
          <cell r="F1033">
            <v>50</v>
          </cell>
          <cell r="G1033">
            <v>50</v>
          </cell>
          <cell r="H1033">
            <v>0</v>
          </cell>
          <cell r="I1033" t="str">
            <v>NO</v>
          </cell>
          <cell r="J1033" t="str">
            <v>Uso de Virgo, Daño por resonancia, Ignora protecciones, Ataque sónico, Ataque en área -10 (5m), Ataque único, Impacto FUE 12</v>
          </cell>
        </row>
        <row r="1034">
          <cell r="C1034" t="str">
            <v>Piscis: Yoyó</v>
          </cell>
          <cell r="E1034" t="str">
            <v>Libra: Arma variable</v>
          </cell>
          <cell r="F1034">
            <v>30</v>
          </cell>
          <cell r="G1034">
            <v>20</v>
          </cell>
          <cell r="H1034">
            <v>0</v>
          </cell>
          <cell r="I1034" t="str">
            <v>NO</v>
          </cell>
          <cell r="J1034" t="str">
            <v>Uso de Libra, Capacidades variables</v>
          </cell>
        </row>
        <row r="1035">
          <cell r="C1035" t="str">
            <v>Sagittarius Magister: Obj. arrojadizos</v>
          </cell>
          <cell r="E1035" t="str">
            <v>Scorpio: Espada-látigo</v>
          </cell>
          <cell r="F1035">
            <v>10</v>
          </cell>
          <cell r="G1035">
            <v>10</v>
          </cell>
          <cell r="H1035">
            <v>0</v>
          </cell>
          <cell r="I1035" t="str">
            <v>NO</v>
          </cell>
          <cell r="J1035" t="str">
            <v>Uso de Scorpio, Forma dual, Presa con Daño completo, Torbellino envolvente</v>
          </cell>
        </row>
        <row r="1036">
          <cell r="C1036" t="str">
            <v>Sagittarius: Objetos arrojadizos</v>
          </cell>
          <cell r="E1036" t="str">
            <v>Sagittarius: Objetos arrojadizos</v>
          </cell>
          <cell r="F1036">
            <v>40</v>
          </cell>
          <cell r="G1036">
            <v>30</v>
          </cell>
          <cell r="H1036">
            <v>0</v>
          </cell>
          <cell r="I1036" t="str">
            <v>NO</v>
          </cell>
          <cell r="J1036" t="str">
            <v>Uso de Sagittarius, Proyectiles disparados</v>
          </cell>
        </row>
        <row r="1037">
          <cell r="C1037" t="str">
            <v>Scorpio: Espada-látigo</v>
          </cell>
          <cell r="E1037" t="str">
            <v>Sagittarius Magister: Obj. arrojadizos</v>
          </cell>
          <cell r="F1037">
            <v>30</v>
          </cell>
          <cell r="G1037">
            <v>30</v>
          </cell>
          <cell r="H1037">
            <v>0</v>
          </cell>
          <cell r="I1037" t="str">
            <v>NO</v>
          </cell>
          <cell r="J1037" t="str">
            <v>Escoger 2 (o 3 con especialización): Destructor, Penetrante, Área, Precisión absoluta, Exterminador, Quebrantador de escudos</v>
          </cell>
        </row>
        <row r="1038">
          <cell r="C1038" t="str">
            <v>Taurus: Enormes armas dobles</v>
          </cell>
          <cell r="E1038" t="str">
            <v>Capricornius: Agujas</v>
          </cell>
          <cell r="F1038">
            <v>20</v>
          </cell>
          <cell r="G1038">
            <v>20</v>
          </cell>
          <cell r="H1038">
            <v>0</v>
          </cell>
          <cell r="I1038" t="str">
            <v>NO</v>
          </cell>
          <cell r="J1038" t="str">
            <v>Uso de Capricornius, Crítico incrementado +20, Daño completo para calculo de Crítico</v>
          </cell>
        </row>
        <row r="1039">
          <cell r="C1039" t="str">
            <v>Virgo: Instrumentos de cuerda</v>
          </cell>
          <cell r="E1039" t="str">
            <v>Aquarius: Capas y prendas de vestir</v>
          </cell>
          <cell r="F1039">
            <v>20</v>
          </cell>
          <cell r="G1039">
            <v>20</v>
          </cell>
          <cell r="H1039">
            <v>0</v>
          </cell>
          <cell r="I1039" t="str">
            <v>NO</v>
          </cell>
          <cell r="J1039" t="str">
            <v>Uso de Aquarius, Escudo contra proyectiles, Posición defensiva</v>
          </cell>
        </row>
        <row r="1040">
          <cell r="C1040" t="str">
            <v>Virgo: Instrumentos de percusión</v>
          </cell>
          <cell r="E1040" t="str">
            <v>Piscis: Yoyó</v>
          </cell>
          <cell r="F1040">
            <v>10</v>
          </cell>
          <cell r="G1040">
            <v>20</v>
          </cell>
          <cell r="H1040">
            <v>0</v>
          </cell>
          <cell r="I1040" t="str">
            <v>NO</v>
          </cell>
          <cell r="J1040" t="str">
            <v>Uso de Piscis, Cuchillas (opcional), Ataque en área (5m)</v>
          </cell>
        </row>
        <row r="1041">
          <cell r="C1041" t="str">
            <v>Virgo: Instrumentos grandes de viento</v>
          </cell>
          <cell r="E1041" t="str">
            <v>Ophiucos: Señor de Espadas Infinitas</v>
          </cell>
          <cell r="F1041">
            <v>50</v>
          </cell>
          <cell r="G1041">
            <v>100</v>
          </cell>
          <cell r="H1041">
            <v>0</v>
          </cell>
          <cell r="I1041" t="str">
            <v>NO</v>
          </cell>
          <cell r="J1041" t="str">
            <v>Uso de Ophiucos, Liberación absoluta, Liberación en área, Uso sellado, Combinación con Ki</v>
          </cell>
        </row>
        <row r="1042">
          <cell r="C1042" t="str">
            <v>Virgo: Instrumentos pequeños de viento</v>
          </cell>
          <cell r="E1042" t="str">
            <v>Ophiucos Sigma</v>
          </cell>
          <cell r="F1042">
            <v>80</v>
          </cell>
          <cell r="G1042">
            <v>70</v>
          </cell>
          <cell r="H1042">
            <v>0</v>
          </cell>
          <cell r="I1042" t="str">
            <v>NO</v>
          </cell>
          <cell r="J1042" t="str">
            <v>Uso de Ophiucos Sigma, Vórtice, Desenfundado Automático, Combinación con Ataques Múltiples, Preparación Previa, Liberación Absoluta</v>
          </cell>
        </row>
        <row r="1043">
          <cell r="C1043" t="str">
            <v>&gt; ARS MAGNUS PERSONALIZADOS</v>
          </cell>
          <cell r="E1043" t="str">
            <v>&gt; ARS MAGNUS PERSONALIZADOS</v>
          </cell>
          <cell r="F1043">
            <v>0</v>
          </cell>
          <cell r="G1043">
            <v>0</v>
          </cell>
          <cell r="I1043" t="str">
            <v>-</v>
          </cell>
        </row>
        <row r="1044">
          <cell r="C1044" t="str">
            <v>Ars Magnus Personalizado 1</v>
          </cell>
          <cell r="E1044" t="str">
            <v>Ars Magnus Personalizado 1</v>
          </cell>
          <cell r="F1044">
            <v>0</v>
          </cell>
          <cell r="G1044">
            <v>0</v>
          </cell>
          <cell r="H1044">
            <v>0</v>
          </cell>
          <cell r="I1044" t="str">
            <v>-</v>
          </cell>
          <cell r="J1044" t="str">
            <v>Ars Magnus Personalizado 1</v>
          </cell>
        </row>
        <row r="1045">
          <cell r="C1045" t="str">
            <v>Ars Magnus Personalizado 2</v>
          </cell>
          <cell r="E1045" t="str">
            <v>Ars Magnus Personalizado 2</v>
          </cell>
          <cell r="F1045">
            <v>0</v>
          </cell>
          <cell r="G1045">
            <v>0</v>
          </cell>
          <cell r="H1045">
            <v>0</v>
          </cell>
          <cell r="I1045" t="str">
            <v>-</v>
          </cell>
          <cell r="J1045" t="str">
            <v>Ars Magnus Personalizado 2</v>
          </cell>
        </row>
        <row r="1046">
          <cell r="C1046" t="str">
            <v>Ars Magnus Personalizado 3</v>
          </cell>
          <cell r="E1046" t="str">
            <v>Ars Magnus Personalizado 3</v>
          </cell>
          <cell r="F1046">
            <v>0</v>
          </cell>
          <cell r="G1046">
            <v>0</v>
          </cell>
          <cell r="H1046">
            <v>0</v>
          </cell>
          <cell r="I1046" t="str">
            <v>-</v>
          </cell>
          <cell r="J1046" t="str">
            <v>Ars Magnus Personalizado 3</v>
          </cell>
        </row>
        <row r="1047">
          <cell r="C1047" t="str">
            <v>&gt; TABLAS DE COMBATE SOBRENATURAL</v>
          </cell>
          <cell r="E1047" t="str">
            <v>&gt; TABLAS DE COMBATE SOBRENATURAL</v>
          </cell>
          <cell r="F1047">
            <v>0</v>
          </cell>
          <cell r="G1047">
            <v>0</v>
          </cell>
          <cell r="I1047" t="str">
            <v>-</v>
          </cell>
          <cell r="J1047" t="str">
            <v>-</v>
          </cell>
        </row>
        <row r="1048">
          <cell r="C1048" t="str">
            <v>Ataque a distancia</v>
          </cell>
          <cell r="E1048" t="str">
            <v>Atrapar</v>
          </cell>
          <cell r="F1048">
            <v>20</v>
          </cell>
          <cell r="G1048">
            <v>10</v>
          </cell>
          <cell r="H1048">
            <v>0</v>
          </cell>
          <cell r="I1048" t="str">
            <v>NO</v>
          </cell>
          <cell r="J1048" t="str">
            <v>Ver poder requerido. Permite considerar que el arma tiene Presa o si la tiene sólo -10 de penalizador</v>
          </cell>
        </row>
        <row r="1049">
          <cell r="C1049" t="str">
            <v>Atrapar</v>
          </cell>
          <cell r="E1049" t="str">
            <v>Controlar a distancia</v>
          </cell>
          <cell r="F1049">
            <v>20</v>
          </cell>
          <cell r="G1049">
            <v>20</v>
          </cell>
          <cell r="H1049">
            <v>0</v>
          </cell>
          <cell r="I1049" t="str">
            <v>NO</v>
          </cell>
          <cell r="J1049" t="str">
            <v>Ver poder requerido. Aplica sólo un -20 a su Ataque y Defensa, para luchar con una arma movida a distancia</v>
          </cell>
        </row>
        <row r="1050">
          <cell r="C1050" t="str">
            <v>Controlar a distancia</v>
          </cell>
          <cell r="E1050" t="str">
            <v>Ataque a distancia</v>
          </cell>
          <cell r="F1050">
            <v>20</v>
          </cell>
          <cell r="G1050">
            <v>20</v>
          </cell>
          <cell r="H1050">
            <v>0</v>
          </cell>
          <cell r="I1050" t="str">
            <v>NO</v>
          </cell>
          <cell r="J1050" t="str">
            <v>Ver poder requerido. Permite proyectar intensidades de energía a distancia. Consumo: 1 Ki o 10 Zeón. Ver tiempo de reutilización</v>
          </cell>
        </row>
        <row r="1051">
          <cell r="C1051" t="str">
            <v>Escudo protector</v>
          </cell>
          <cell r="E1051" t="str">
            <v>Movimiento acelerado</v>
          </cell>
          <cell r="F1051">
            <v>20</v>
          </cell>
          <cell r="G1051">
            <v>0</v>
          </cell>
          <cell r="H1051">
            <v>0</v>
          </cell>
          <cell r="I1051" t="str">
            <v>NO</v>
          </cell>
          <cell r="J1051" t="str">
            <v>Ver poder requerido. Permite incrementar el Tipo de Movimiento</v>
          </cell>
        </row>
        <row r="1052">
          <cell r="C1052" t="str">
            <v>Incremento de daño</v>
          </cell>
          <cell r="E1052" t="str">
            <v>Incremento de daño</v>
          </cell>
          <cell r="F1052">
            <v>20</v>
          </cell>
          <cell r="G1052">
            <v>20</v>
          </cell>
          <cell r="H1052">
            <v>0</v>
          </cell>
          <cell r="I1052" t="str">
            <v>-</v>
          </cell>
          <cell r="J1052" t="str">
            <v>Ver poder requerido. Permite incrementar el Daño</v>
          </cell>
        </row>
        <row r="1053">
          <cell r="C1053" t="str">
            <v>Movimiento acelerado</v>
          </cell>
          <cell r="E1053" t="str">
            <v>Escudo protector</v>
          </cell>
          <cell r="F1053">
            <v>10</v>
          </cell>
          <cell r="G1053">
            <v>10</v>
          </cell>
          <cell r="H1053">
            <v>0</v>
          </cell>
          <cell r="I1053" t="str">
            <v>NO</v>
          </cell>
          <cell r="J1053" t="str">
            <v>Ver poder requerido. Crea un escudo elemental para bloquear ataques a distancia</v>
          </cell>
        </row>
        <row r="1054">
          <cell r="C1054" t="str">
            <v>Refuerzo físico</v>
          </cell>
          <cell r="E1054" t="str">
            <v>Refuerzo físico</v>
          </cell>
          <cell r="F1054">
            <v>20</v>
          </cell>
          <cell r="G1054">
            <v>10</v>
          </cell>
          <cell r="H1054">
            <v>0</v>
          </cell>
          <cell r="I1054" t="str">
            <v>-</v>
          </cell>
          <cell r="J1054" t="str">
            <v>Ver poder requerido. Bono a la FUE</v>
          </cell>
        </row>
        <row r="1055">
          <cell r="C1055" t="str">
            <v>Técnica característica</v>
          </cell>
          <cell r="E1055" t="str">
            <v>Técnica característica</v>
          </cell>
          <cell r="F1055">
            <v>40</v>
          </cell>
          <cell r="G1055">
            <v>30</v>
          </cell>
          <cell r="H1055">
            <v>0</v>
          </cell>
          <cell r="I1055" t="str">
            <v>NO</v>
          </cell>
          <cell r="J1055" t="str">
            <v>Ver poder requerido. Efectos variables a definir. Consumo: 1 Ki o 10 Zeón. Ver tiempo de reutilización</v>
          </cell>
        </row>
        <row r="1056">
          <cell r="C1056" t="str">
            <v>Técnica mayor</v>
          </cell>
          <cell r="E1056" t="str">
            <v>Técnica mayor</v>
          </cell>
          <cell r="F1056">
            <v>20</v>
          </cell>
          <cell r="G1056">
            <v>20</v>
          </cell>
          <cell r="H1056">
            <v>0</v>
          </cell>
          <cell r="I1056" t="str">
            <v>NO</v>
          </cell>
          <cell r="J1056" t="str">
            <v>Ver poder requerido. Consumo: 2 Ki o 20 Zeón</v>
          </cell>
        </row>
        <row r="1061">
          <cell r="E1061" t="str">
            <v>Proyección Mágica como ataque</v>
          </cell>
          <cell r="F1061">
            <v>75</v>
          </cell>
          <cell r="G1061" t="str">
            <v>Permite usar la H. Ataque como Proyección Mágica ofensiva</v>
          </cell>
        </row>
        <row r="1062">
          <cell r="E1062" t="str">
            <v>Proyección Mágica como defensa</v>
          </cell>
          <cell r="F1062">
            <v>75</v>
          </cell>
          <cell r="G1062" t="str">
            <v>Permite usar la H. Defensa como Proyección Mágica defensiva</v>
          </cell>
        </row>
        <row r="1063">
          <cell r="E1063" t="str">
            <v>Tabla de Proyección Psíquica</v>
          </cell>
          <cell r="F1063">
            <v>100</v>
          </cell>
          <cell r="G1063" t="str">
            <v>Ataque y Defensa como Proyección Psíquica</v>
          </cell>
        </row>
        <row r="1074">
          <cell r="W1074">
            <v>1</v>
          </cell>
          <cell r="X1074">
            <v>0</v>
          </cell>
        </row>
        <row r="1075">
          <cell r="D1075" t="str">
            <v>Agon: Límite de la Guerra</v>
          </cell>
          <cell r="P1075">
            <v>1</v>
          </cell>
          <cell r="Q1075">
            <v>0</v>
          </cell>
          <cell r="S1075">
            <v>4</v>
          </cell>
          <cell r="T1075">
            <v>1</v>
          </cell>
          <cell r="U1075">
            <v>1</v>
          </cell>
          <cell r="W1075">
            <v>2</v>
          </cell>
          <cell r="X1075">
            <v>0</v>
          </cell>
          <cell r="Z1075" t="str">
            <v>&gt; ARCANOS</v>
          </cell>
        </row>
        <row r="1076">
          <cell r="D1076" t="str">
            <v>Caelum: Límite del Peligro</v>
          </cell>
          <cell r="P1076">
            <v>2</v>
          </cell>
          <cell r="Q1076">
            <v>0</v>
          </cell>
          <cell r="S1076">
            <v>8</v>
          </cell>
          <cell r="T1076">
            <v>1</v>
          </cell>
          <cell r="U1076">
            <v>2</v>
          </cell>
          <cell r="W1076">
            <v>3</v>
          </cell>
          <cell r="X1076">
            <v>0</v>
          </cell>
          <cell r="Z1076" t="str">
            <v>El Carro</v>
          </cell>
        </row>
        <row r="1077">
          <cell r="D1077" t="str">
            <v>Cenobus: Límite del Sacrificio</v>
          </cell>
          <cell r="P1077">
            <v>3</v>
          </cell>
          <cell r="Q1077">
            <v>0</v>
          </cell>
          <cell r="S1077">
            <v>14</v>
          </cell>
          <cell r="T1077">
            <v>2</v>
          </cell>
          <cell r="U1077">
            <v>3</v>
          </cell>
          <cell r="W1077">
            <v>4</v>
          </cell>
          <cell r="X1077">
            <v>0</v>
          </cell>
          <cell r="Z1077" t="str">
            <v>El Carro invertido</v>
          </cell>
        </row>
        <row r="1078">
          <cell r="D1078" t="str">
            <v>Cruor: Límite de la Sangre</v>
          </cell>
          <cell r="P1078">
            <v>4</v>
          </cell>
          <cell r="Q1078">
            <v>0</v>
          </cell>
          <cell r="S1078">
            <v>18</v>
          </cell>
          <cell r="T1078">
            <v>2</v>
          </cell>
          <cell r="U1078">
            <v>4</v>
          </cell>
          <cell r="W1078">
            <v>5</v>
          </cell>
          <cell r="X1078">
            <v>10</v>
          </cell>
          <cell r="Z1078" t="str">
            <v>El Colgado</v>
          </cell>
        </row>
        <row r="1079">
          <cell r="D1079" t="str">
            <v>Custodium: Límite del Guardián</v>
          </cell>
          <cell r="P1079">
            <v>5</v>
          </cell>
          <cell r="Q1079">
            <v>0</v>
          </cell>
          <cell r="S1079">
            <v>24</v>
          </cell>
          <cell r="T1079">
            <v>3</v>
          </cell>
          <cell r="U1079">
            <v>5</v>
          </cell>
          <cell r="W1079">
            <v>6</v>
          </cell>
          <cell r="X1079">
            <v>20</v>
          </cell>
          <cell r="Z1079" t="str">
            <v>El Colgado invertido</v>
          </cell>
        </row>
        <row r="1080">
          <cell r="D1080" t="str">
            <v>Mors: Límite de la Muerte</v>
          </cell>
          <cell r="P1080">
            <v>6</v>
          </cell>
          <cell r="Q1080">
            <v>10</v>
          </cell>
          <cell r="S1080">
            <v>28</v>
          </cell>
          <cell r="T1080">
            <v>3</v>
          </cell>
          <cell r="U1080">
            <v>6</v>
          </cell>
          <cell r="W1080">
            <v>7</v>
          </cell>
          <cell r="X1080">
            <v>30</v>
          </cell>
          <cell r="Z1080" t="str">
            <v>El Diablo</v>
          </cell>
        </row>
        <row r="1081">
          <cell r="D1081" t="str">
            <v>Terminus: Límite de Fin</v>
          </cell>
          <cell r="P1081">
            <v>7</v>
          </cell>
          <cell r="Q1081">
            <v>20</v>
          </cell>
          <cell r="S1081">
            <v>34</v>
          </cell>
          <cell r="T1081">
            <v>4</v>
          </cell>
          <cell r="U1081">
            <v>7</v>
          </cell>
          <cell r="W1081">
            <v>8</v>
          </cell>
          <cell r="X1081">
            <v>40</v>
          </cell>
          <cell r="Z1081" t="str">
            <v>El Diablo invertido</v>
          </cell>
        </row>
        <row r="1082">
          <cell r="P1082">
            <v>8</v>
          </cell>
          <cell r="Q1082">
            <v>30</v>
          </cell>
          <cell r="S1082">
            <v>38</v>
          </cell>
          <cell r="T1082">
            <v>4</v>
          </cell>
          <cell r="U1082">
            <v>8</v>
          </cell>
          <cell r="W1082">
            <v>9</v>
          </cell>
          <cell r="X1082">
            <v>50</v>
          </cell>
          <cell r="Z1082" t="str">
            <v>El Emperador</v>
          </cell>
        </row>
        <row r="1083">
          <cell r="P1083">
            <v>9</v>
          </cell>
          <cell r="Q1083">
            <v>40</v>
          </cell>
          <cell r="S1083">
            <v>44</v>
          </cell>
          <cell r="T1083">
            <v>5</v>
          </cell>
          <cell r="U1083">
            <v>9</v>
          </cell>
          <cell r="W1083">
            <v>10</v>
          </cell>
          <cell r="X1083">
            <v>60</v>
          </cell>
          <cell r="Z1083" t="str">
            <v>El Emperador invertido</v>
          </cell>
        </row>
        <row r="1084">
          <cell r="P1084">
            <v>10</v>
          </cell>
          <cell r="Q1084">
            <v>50</v>
          </cell>
          <cell r="S1084">
            <v>48</v>
          </cell>
          <cell r="T1084">
            <v>5</v>
          </cell>
          <cell r="U1084">
            <v>10</v>
          </cell>
          <cell r="W1084">
            <v>11</v>
          </cell>
          <cell r="X1084">
            <v>70</v>
          </cell>
          <cell r="Z1084" t="str">
            <v>El Ermitaño</v>
          </cell>
        </row>
        <row r="1085">
          <cell r="C1085" t="str">
            <v>Luz</v>
          </cell>
          <cell r="E1085" t="str">
            <v>General</v>
          </cell>
          <cell r="P1085">
            <v>11</v>
          </cell>
          <cell r="Q1085">
            <v>75</v>
          </cell>
          <cell r="S1085">
            <v>54</v>
          </cell>
          <cell r="T1085">
            <v>6</v>
          </cell>
          <cell r="U1085">
            <v>11</v>
          </cell>
          <cell r="W1085">
            <v>12</v>
          </cell>
          <cell r="X1085">
            <v>80</v>
          </cell>
          <cell r="Z1085" t="str">
            <v>El Ermitaño invertido</v>
          </cell>
        </row>
        <row r="1086">
          <cell r="C1086" t="str">
            <v>Oscuridad</v>
          </cell>
          <cell r="E1086" t="str">
            <v>Onmyodo</v>
          </cell>
          <cell r="P1086">
            <v>12</v>
          </cell>
          <cell r="Q1086">
            <v>100</v>
          </cell>
          <cell r="S1086">
            <v>58</v>
          </cell>
          <cell r="T1086">
            <v>6</v>
          </cell>
          <cell r="U1086">
            <v>12</v>
          </cell>
          <cell r="W1086">
            <v>13</v>
          </cell>
          <cell r="X1086">
            <v>90</v>
          </cell>
          <cell r="Z1086" t="str">
            <v>El Hierofante</v>
          </cell>
        </row>
        <row r="1087">
          <cell r="C1087" t="str">
            <v>Aire</v>
          </cell>
          <cell r="E1087" t="str">
            <v>Vodoun</v>
          </cell>
          <cell r="P1087">
            <v>13</v>
          </cell>
          <cell r="Q1087">
            <v>150</v>
          </cell>
          <cell r="S1087">
            <v>64</v>
          </cell>
          <cell r="T1087">
            <v>7</v>
          </cell>
          <cell r="U1087">
            <v>13</v>
          </cell>
          <cell r="W1087">
            <v>14</v>
          </cell>
          <cell r="X1087">
            <v>100</v>
          </cell>
          <cell r="Z1087" t="str">
            <v>El Hierofante invertido</v>
          </cell>
        </row>
        <row r="1088">
          <cell r="C1088" t="str">
            <v>Agua</v>
          </cell>
          <cell r="E1088" t="str">
            <v>Shamanica</v>
          </cell>
          <cell r="G1088">
            <v>1</v>
          </cell>
          <cell r="H1088">
            <v>14</v>
          </cell>
          <cell r="P1088">
            <v>14</v>
          </cell>
          <cell r="Q1088">
            <v>200</v>
          </cell>
          <cell r="S1088">
            <v>68</v>
          </cell>
          <cell r="T1088">
            <v>7</v>
          </cell>
          <cell r="U1088">
            <v>14</v>
          </cell>
          <cell r="W1088">
            <v>15</v>
          </cell>
          <cell r="X1088">
            <v>120</v>
          </cell>
          <cell r="Z1088" t="str">
            <v>El Juicio</v>
          </cell>
        </row>
        <row r="1089">
          <cell r="C1089" t="str">
            <v>Fuego</v>
          </cell>
          <cell r="E1089" t="str">
            <v>Magia Natural</v>
          </cell>
          <cell r="G1089">
            <v>2</v>
          </cell>
          <cell r="H1089">
            <v>18</v>
          </cell>
          <cell r="P1089">
            <v>15</v>
          </cell>
          <cell r="Q1089">
            <v>300</v>
          </cell>
          <cell r="S1089">
            <v>74</v>
          </cell>
          <cell r="T1089">
            <v>8</v>
          </cell>
          <cell r="U1089">
            <v>15</v>
          </cell>
          <cell r="W1089">
            <v>16</v>
          </cell>
          <cell r="X1089">
            <v>140</v>
          </cell>
          <cell r="Z1089" t="str">
            <v>El Juicio invertido</v>
          </cell>
        </row>
        <row r="1090">
          <cell r="C1090" t="str">
            <v>Tierra</v>
          </cell>
          <cell r="G1090">
            <v>3</v>
          </cell>
          <cell r="H1090">
            <v>24</v>
          </cell>
          <cell r="P1090">
            <v>16</v>
          </cell>
          <cell r="Q1090">
            <v>400</v>
          </cell>
          <cell r="S1090">
            <v>78</v>
          </cell>
          <cell r="T1090">
            <v>8</v>
          </cell>
          <cell r="U1090">
            <v>16</v>
          </cell>
          <cell r="W1090">
            <v>17</v>
          </cell>
          <cell r="X1090">
            <v>160</v>
          </cell>
          <cell r="Z1090" t="str">
            <v>El Loco</v>
          </cell>
        </row>
        <row r="1091">
          <cell r="C1091" t="str">
            <v>Invocador</v>
          </cell>
          <cell r="G1091">
            <v>4</v>
          </cell>
          <cell r="H1091">
            <v>30</v>
          </cell>
          <cell r="P1091">
            <v>17</v>
          </cell>
          <cell r="Q1091">
            <v>500</v>
          </cell>
          <cell r="S1091">
            <v>84</v>
          </cell>
          <cell r="T1091">
            <v>9</v>
          </cell>
          <cell r="U1091">
            <v>17</v>
          </cell>
          <cell r="W1091">
            <v>18</v>
          </cell>
          <cell r="X1091">
            <v>180</v>
          </cell>
          <cell r="Z1091" t="str">
            <v>El Loco invertido</v>
          </cell>
        </row>
        <row r="1092">
          <cell r="G1092">
            <v>5</v>
          </cell>
          <cell r="H1092">
            <v>36</v>
          </cell>
          <cell r="P1092">
            <v>18</v>
          </cell>
          <cell r="Q1092">
            <v>600</v>
          </cell>
          <cell r="S1092">
            <v>88</v>
          </cell>
          <cell r="T1092">
            <v>9</v>
          </cell>
          <cell r="U1092">
            <v>18</v>
          </cell>
          <cell r="W1092">
            <v>19</v>
          </cell>
          <cell r="X1092">
            <v>200</v>
          </cell>
          <cell r="Z1092" t="str">
            <v>El Mundo</v>
          </cell>
        </row>
        <row r="1093">
          <cell r="P1093">
            <v>19</v>
          </cell>
          <cell r="Q1093">
            <v>700</v>
          </cell>
          <cell r="S1093">
            <v>94</v>
          </cell>
          <cell r="T1093">
            <v>10</v>
          </cell>
          <cell r="U1093">
            <v>19</v>
          </cell>
          <cell r="W1093">
            <v>20</v>
          </cell>
          <cell r="X1093">
            <v>220</v>
          </cell>
          <cell r="Z1093" t="str">
            <v>El Mundo invertido</v>
          </cell>
        </row>
        <row r="1094">
          <cell r="P1094">
            <v>20</v>
          </cell>
          <cell r="Q1094">
            <v>800</v>
          </cell>
          <cell r="S1094">
            <v>98</v>
          </cell>
          <cell r="T1094">
            <v>10</v>
          </cell>
          <cell r="U1094">
            <v>20</v>
          </cell>
          <cell r="Z1094" t="str">
            <v>El Sol</v>
          </cell>
        </row>
        <row r="1095">
          <cell r="C1095" t="str">
            <v>Luz</v>
          </cell>
          <cell r="Z1095" t="str">
            <v>El Sol invertido</v>
          </cell>
        </row>
        <row r="1096">
          <cell r="C1096" t="str">
            <v>Oscuridad</v>
          </cell>
          <cell r="Z1096" t="str">
            <v>El Sumo Sacerdote</v>
          </cell>
        </row>
        <row r="1097">
          <cell r="C1097" t="str">
            <v>Fuego</v>
          </cell>
          <cell r="Z1097" t="str">
            <v>El Sumo Sacerdote invertido</v>
          </cell>
        </row>
        <row r="1098">
          <cell r="C1098" t="str">
            <v>Agua</v>
          </cell>
          <cell r="Z1098" t="str">
            <v>La Emperatriz</v>
          </cell>
        </row>
        <row r="1099">
          <cell r="C1099" t="str">
            <v>Aire</v>
          </cell>
          <cell r="E1099" t="str">
            <v>Luz</v>
          </cell>
          <cell r="F1099" t="str">
            <v>Mayor</v>
          </cell>
          <cell r="G1099" t="str">
            <v>Oscuridad, Nigromancia</v>
          </cell>
          <cell r="I1099">
            <v>0</v>
          </cell>
          <cell r="J1099">
            <v>999</v>
          </cell>
          <cell r="K1099">
            <v>1</v>
          </cell>
          <cell r="Z1099" t="str">
            <v>La Emperatriz invertida</v>
          </cell>
        </row>
        <row r="1100">
          <cell r="C1100" t="str">
            <v>Tierra</v>
          </cell>
          <cell r="E1100" t="str">
            <v>Oscuridad</v>
          </cell>
          <cell r="F1100" t="str">
            <v>Mayor</v>
          </cell>
          <cell r="G1100" t="str">
            <v>Luz, Nigromancia</v>
          </cell>
          <cell r="I1100">
            <v>0</v>
          </cell>
          <cell r="J1100">
            <v>999</v>
          </cell>
          <cell r="K1100">
            <v>1</v>
          </cell>
          <cell r="U1100">
            <v>4</v>
          </cell>
          <cell r="V1100">
            <v>4</v>
          </cell>
          <cell r="W1100">
            <v>8</v>
          </cell>
          <cell r="Z1100" t="str">
            <v>La Estrella</v>
          </cell>
        </row>
        <row r="1101">
          <cell r="C1101" t="str">
            <v>Creación</v>
          </cell>
          <cell r="E1101" t="str">
            <v>Fuego</v>
          </cell>
          <cell r="F1101" t="str">
            <v>Menor</v>
          </cell>
          <cell r="G1101" t="str">
            <v>Agua, Nigromancia</v>
          </cell>
          <cell r="I1101">
            <v>0</v>
          </cell>
          <cell r="J1101">
            <v>999</v>
          </cell>
          <cell r="K1101">
            <v>1</v>
          </cell>
          <cell r="U1101">
            <v>14</v>
          </cell>
          <cell r="V1101">
            <v>8</v>
          </cell>
          <cell r="W1101">
            <v>18</v>
          </cell>
          <cell r="Z1101" t="str">
            <v>La Estrella invertida</v>
          </cell>
        </row>
        <row r="1102">
          <cell r="C1102" t="str">
            <v>Destrucción</v>
          </cell>
          <cell r="E1102" t="str">
            <v>Agua</v>
          </cell>
          <cell r="F1102" t="str">
            <v>Menor</v>
          </cell>
          <cell r="G1102" t="str">
            <v>Fuego, Nigromancia</v>
          </cell>
          <cell r="I1102">
            <v>0</v>
          </cell>
          <cell r="J1102">
            <v>999</v>
          </cell>
          <cell r="K1102">
            <v>1</v>
          </cell>
          <cell r="U1102">
            <v>24</v>
          </cell>
          <cell r="V1102">
            <v>14</v>
          </cell>
          <cell r="W1102">
            <v>28</v>
          </cell>
          <cell r="Z1102" t="str">
            <v>La Fuerza</v>
          </cell>
        </row>
        <row r="1103">
          <cell r="C1103" t="str">
            <v>Esencia</v>
          </cell>
          <cell r="E1103" t="str">
            <v>Aire</v>
          </cell>
          <cell r="F1103" t="str">
            <v>Menor</v>
          </cell>
          <cell r="G1103" t="str">
            <v>Tierra, Nigromancia</v>
          </cell>
          <cell r="I1103">
            <v>0</v>
          </cell>
          <cell r="J1103">
            <v>999</v>
          </cell>
          <cell r="K1103">
            <v>1</v>
          </cell>
          <cell r="U1103">
            <v>34</v>
          </cell>
          <cell r="V1103">
            <v>18</v>
          </cell>
          <cell r="W1103">
            <v>38</v>
          </cell>
          <cell r="Z1103" t="str">
            <v>La Fuerza invertida</v>
          </cell>
        </row>
        <row r="1104">
          <cell r="C1104" t="str">
            <v>Ilusión</v>
          </cell>
          <cell r="E1104" t="str">
            <v>Tierra</v>
          </cell>
          <cell r="F1104" t="str">
            <v>Menor</v>
          </cell>
          <cell r="G1104" t="str">
            <v>Aire, Nigromancia</v>
          </cell>
          <cell r="I1104">
            <v>0</v>
          </cell>
          <cell r="J1104">
            <v>999</v>
          </cell>
          <cell r="K1104">
            <v>1</v>
          </cell>
          <cell r="U1104">
            <v>44</v>
          </cell>
          <cell r="V1104">
            <v>24</v>
          </cell>
          <cell r="W1104">
            <v>48</v>
          </cell>
          <cell r="Z1104" t="str">
            <v>La Justicia</v>
          </cell>
        </row>
        <row r="1105">
          <cell r="C1105" t="str">
            <v>Nigromancia</v>
          </cell>
          <cell r="E1105" t="str">
            <v>Creación</v>
          </cell>
          <cell r="F1105" t="str">
            <v>Mayor</v>
          </cell>
          <cell r="G1105" t="str">
            <v>Destrucción, Nigromancia</v>
          </cell>
          <cell r="I1105">
            <v>0</v>
          </cell>
          <cell r="J1105">
            <v>999</v>
          </cell>
          <cell r="K1105">
            <v>1</v>
          </cell>
          <cell r="U1105">
            <v>54</v>
          </cell>
          <cell r="V1105">
            <v>28</v>
          </cell>
          <cell r="W1105">
            <v>58</v>
          </cell>
          <cell r="Z1105" t="str">
            <v>La Justicia invertida</v>
          </cell>
        </row>
        <row r="1106">
          <cell r="C1106" t="str">
            <v>Libre Acceso</v>
          </cell>
          <cell r="E1106" t="str">
            <v>Destrucción</v>
          </cell>
          <cell r="F1106" t="str">
            <v>Mayor</v>
          </cell>
          <cell r="G1106" t="str">
            <v>Creación, Nigromancia</v>
          </cell>
          <cell r="I1106">
            <v>0</v>
          </cell>
          <cell r="J1106">
            <v>999</v>
          </cell>
          <cell r="K1106">
            <v>1</v>
          </cell>
          <cell r="U1106">
            <v>64</v>
          </cell>
          <cell r="V1106">
            <v>34</v>
          </cell>
          <cell r="W1106">
            <v>68</v>
          </cell>
          <cell r="Z1106" t="str">
            <v>La Luna</v>
          </cell>
        </row>
        <row r="1107">
          <cell r="C1107" t="str">
            <v>Caos</v>
          </cell>
          <cell r="E1107" t="str">
            <v>Esencia</v>
          </cell>
          <cell r="F1107" t="str">
            <v>Menor</v>
          </cell>
          <cell r="G1107" t="str">
            <v>Ilusión, Nigromancia</v>
          </cell>
          <cell r="I1107">
            <v>0</v>
          </cell>
          <cell r="J1107">
            <v>999</v>
          </cell>
          <cell r="K1107">
            <v>1</v>
          </cell>
          <cell r="U1107">
            <v>74</v>
          </cell>
          <cell r="V1107">
            <v>38</v>
          </cell>
          <cell r="W1107">
            <v>78</v>
          </cell>
          <cell r="Z1107" t="str">
            <v>La Luna invertida</v>
          </cell>
        </row>
        <row r="1108">
          <cell r="C1108" t="str">
            <v>Guerra</v>
          </cell>
          <cell r="E1108" t="str">
            <v>Ilusión</v>
          </cell>
          <cell r="F1108" t="str">
            <v>Menor</v>
          </cell>
          <cell r="G1108" t="str">
            <v>Esencia, Nigromancia</v>
          </cell>
          <cell r="I1108">
            <v>0</v>
          </cell>
          <cell r="J1108">
            <v>999</v>
          </cell>
          <cell r="K1108">
            <v>1</v>
          </cell>
          <cell r="U1108">
            <v>84</v>
          </cell>
          <cell r="V1108">
            <v>44</v>
          </cell>
          <cell r="W1108">
            <v>88</v>
          </cell>
          <cell r="Z1108" t="str">
            <v>La Muerte</v>
          </cell>
        </row>
        <row r="1109">
          <cell r="C1109" t="str">
            <v>Literae</v>
          </cell>
          <cell r="E1109" t="str">
            <v>Nigromancia</v>
          </cell>
          <cell r="F1109" t="str">
            <v>Mayor</v>
          </cell>
          <cell r="G1109" t="str">
            <v>Luz, Oscuridad, Fuego, Agua, Aire, Tierra, Creación, Destrucción, Esencia, Ilusión</v>
          </cell>
          <cell r="I1109">
            <v>0</v>
          </cell>
          <cell r="J1109">
            <v>999</v>
          </cell>
          <cell r="K1109">
            <v>1</v>
          </cell>
          <cell r="U1109">
            <v>94</v>
          </cell>
          <cell r="V1109">
            <v>48</v>
          </cell>
          <cell r="W1109">
            <v>98</v>
          </cell>
          <cell r="Z1109" t="str">
            <v>La Muerte invertida</v>
          </cell>
        </row>
        <row r="1110">
          <cell r="C1110" t="str">
            <v>Muerte</v>
          </cell>
          <cell r="E1110" t="str">
            <v>Libre</v>
          </cell>
          <cell r="V1110">
            <v>54</v>
          </cell>
          <cell r="Z1110" t="str">
            <v>La Rueda</v>
          </cell>
        </row>
        <row r="1111">
          <cell r="C1111" t="str">
            <v>Musical</v>
          </cell>
          <cell r="V1111">
            <v>58</v>
          </cell>
          <cell r="Z1111" t="str">
            <v>La Rueda invertida</v>
          </cell>
        </row>
        <row r="1112">
          <cell r="C1112" t="str">
            <v>Nobleza</v>
          </cell>
          <cell r="V1112">
            <v>64</v>
          </cell>
          <cell r="Z1112" t="str">
            <v>La Suma Sacerdotisa</v>
          </cell>
        </row>
        <row r="1113">
          <cell r="C1113" t="str">
            <v>Paz</v>
          </cell>
          <cell r="V1113">
            <v>68</v>
          </cell>
          <cell r="Z1113" t="str">
            <v>La Suma Sacerdotisa invertida</v>
          </cell>
        </row>
        <row r="1114">
          <cell r="C1114" t="str">
            <v>Pecado</v>
          </cell>
          <cell r="E1114">
            <v>0</v>
          </cell>
          <cell r="F1114">
            <v>0</v>
          </cell>
          <cell r="L1114">
            <v>1</v>
          </cell>
          <cell r="M1114">
            <v>10</v>
          </cell>
          <cell r="V1114">
            <v>74</v>
          </cell>
          <cell r="Z1114" t="str">
            <v>La Templanza</v>
          </cell>
        </row>
        <row r="1115">
          <cell r="C1115" t="str">
            <v>Conocimiento</v>
          </cell>
          <cell r="E1115">
            <v>10</v>
          </cell>
          <cell r="F1115">
            <v>10</v>
          </cell>
          <cell r="L1115">
            <v>3</v>
          </cell>
          <cell r="M1115">
            <v>20</v>
          </cell>
          <cell r="V1115">
            <v>78</v>
          </cell>
          <cell r="Z1115" t="str">
            <v>La Templanza invertida</v>
          </cell>
        </row>
        <row r="1116">
          <cell r="C1116" t="str">
            <v>Sangre</v>
          </cell>
          <cell r="E1116">
            <v>55</v>
          </cell>
          <cell r="F1116">
            <v>20</v>
          </cell>
          <cell r="L1116">
            <v>6</v>
          </cell>
          <cell r="M1116">
            <v>30</v>
          </cell>
          <cell r="V1116">
            <v>84</v>
          </cell>
          <cell r="Z1116" t="str">
            <v>La Torre</v>
          </cell>
        </row>
        <row r="1117">
          <cell r="C1117" t="str">
            <v>Sueños</v>
          </cell>
          <cell r="E1117">
            <v>75</v>
          </cell>
          <cell r="F1117">
            <v>30</v>
          </cell>
          <cell r="L1117">
            <v>10</v>
          </cell>
          <cell r="M1117">
            <v>40</v>
          </cell>
          <cell r="V1117">
            <v>88</v>
          </cell>
          <cell r="Z1117" t="str">
            <v>La Torre invertida</v>
          </cell>
        </row>
        <row r="1118">
          <cell r="C1118" t="str">
            <v>Tiempo</v>
          </cell>
          <cell r="E1118">
            <v>95</v>
          </cell>
          <cell r="F1118">
            <v>40</v>
          </cell>
          <cell r="L1118">
            <v>15</v>
          </cell>
          <cell r="M1118">
            <v>50</v>
          </cell>
          <cell r="V1118">
            <v>94</v>
          </cell>
          <cell r="Z1118" t="str">
            <v>Los Enamorados</v>
          </cell>
        </row>
        <row r="1119">
          <cell r="C1119" t="str">
            <v>Umbral</v>
          </cell>
          <cell r="E1119">
            <v>115</v>
          </cell>
          <cell r="F1119">
            <v>50</v>
          </cell>
          <cell r="L1119">
            <v>21</v>
          </cell>
          <cell r="M1119">
            <v>60</v>
          </cell>
          <cell r="V1119">
            <v>98</v>
          </cell>
          <cell r="Z1119" t="str">
            <v>Los Enamorados invertidos</v>
          </cell>
        </row>
        <row r="1120">
          <cell r="C1120" t="str">
            <v>Vacío</v>
          </cell>
          <cell r="E1120">
            <v>135</v>
          </cell>
          <cell r="F1120">
            <v>60</v>
          </cell>
          <cell r="L1120">
            <v>28</v>
          </cell>
          <cell r="M1120">
            <v>70</v>
          </cell>
          <cell r="O1120" t="str">
            <v>Fuego</v>
          </cell>
          <cell r="Z1120" t="str">
            <v>&gt; GRANDES BESTIAS</v>
          </cell>
        </row>
        <row r="1121">
          <cell r="E1121">
            <v>155</v>
          </cell>
          <cell r="F1121">
            <v>70</v>
          </cell>
          <cell r="L1121">
            <v>36</v>
          </cell>
          <cell r="M1121">
            <v>80</v>
          </cell>
          <cell r="O1121" t="str">
            <v>Aire</v>
          </cell>
          <cell r="Z1121" t="str">
            <v>Behemoth, Señor de la Tierra</v>
          </cell>
        </row>
        <row r="1122">
          <cell r="E1122">
            <v>185</v>
          </cell>
          <cell r="F1122">
            <v>80</v>
          </cell>
          <cell r="L1122">
            <v>45</v>
          </cell>
          <cell r="M1122">
            <v>90</v>
          </cell>
          <cell r="O1122" t="str">
            <v>Agua</v>
          </cell>
          <cell r="Z1122" t="str">
            <v>Behemoth: Comunión con la tierra</v>
          </cell>
        </row>
        <row r="1123">
          <cell r="E1123">
            <v>200</v>
          </cell>
          <cell r="F1123">
            <v>90</v>
          </cell>
          <cell r="L1123">
            <v>55</v>
          </cell>
          <cell r="M1123">
            <v>100</v>
          </cell>
          <cell r="O1123" t="str">
            <v>Tierra</v>
          </cell>
          <cell r="Z1123" t="str">
            <v>Behemoth: Señor de la tierra</v>
          </cell>
        </row>
        <row r="1124">
          <cell r="O1124" t="str">
            <v>Luz</v>
          </cell>
          <cell r="Z1124" t="str">
            <v>Byakko, el Tigre Blanco</v>
          </cell>
        </row>
        <row r="1125">
          <cell r="O1125" t="str">
            <v>Oscuridad</v>
          </cell>
          <cell r="Z1125" t="str">
            <v>Byakko: La bestia definitiva</v>
          </cell>
        </row>
        <row r="1126">
          <cell r="Z1126" t="str">
            <v>Byakko: La garra del rey de las bestias</v>
          </cell>
        </row>
        <row r="1127">
          <cell r="Z1127" t="str">
            <v>Byakko: Protección</v>
          </cell>
        </row>
        <row r="1128">
          <cell r="Z1128" t="str">
            <v>Byakko: Señor del oeste</v>
          </cell>
        </row>
        <row r="1129">
          <cell r="C1129" t="str">
            <v>Caos</v>
          </cell>
          <cell r="Z1129" t="str">
            <v>Caronte, Titiritero de Almas</v>
          </cell>
        </row>
        <row r="1130">
          <cell r="C1130" t="str">
            <v>Conocimiento</v>
          </cell>
          <cell r="Z1130" t="str">
            <v>Druaga</v>
          </cell>
        </row>
        <row r="1131">
          <cell r="C1131" t="str">
            <v>Guerra</v>
          </cell>
          <cell r="Z1131" t="str">
            <v>Druaga: Destructora de demonios</v>
          </cell>
        </row>
        <row r="1132">
          <cell r="C1132" t="str">
            <v>Literae</v>
          </cell>
          <cell r="Z1132" t="str">
            <v>Druaga: Kali</v>
          </cell>
        </row>
        <row r="1133">
          <cell r="C1133" t="str">
            <v>Muerte</v>
          </cell>
          <cell r="Z1133" t="str">
            <v>Eir, la Primera Valkyria</v>
          </cell>
        </row>
        <row r="1134">
          <cell r="C1134" t="str">
            <v>Musical</v>
          </cell>
          <cell r="Z1134" t="str">
            <v>Eir: Einjear</v>
          </cell>
        </row>
        <row r="1135">
          <cell r="C1135" t="str">
            <v>Nobleza</v>
          </cell>
          <cell r="Z1135" t="str">
            <v>Eir: El ojo de la muerte</v>
          </cell>
        </row>
        <row r="1136">
          <cell r="C1136" t="str">
            <v>Paz</v>
          </cell>
          <cell r="Z1136" t="str">
            <v>El Vendedor</v>
          </cell>
        </row>
        <row r="1137">
          <cell r="C1137" t="str">
            <v>Pecado</v>
          </cell>
          <cell r="Z1137" t="str">
            <v>Enamon</v>
          </cell>
        </row>
        <row r="1138">
          <cell r="C1138" t="str">
            <v>Sangre</v>
          </cell>
          <cell r="Z1138" t="str">
            <v>Ethelthryth, Señora de los Nombres</v>
          </cell>
        </row>
        <row r="1139">
          <cell r="C1139" t="str">
            <v>Sueños</v>
          </cell>
          <cell r="Z1139" t="str">
            <v>Ethelthryth: In Nomine</v>
          </cell>
        </row>
        <row r="1140">
          <cell r="C1140" t="str">
            <v>Tiempo</v>
          </cell>
          <cell r="Z1140" t="str">
            <v>Ethelthryth: Ordinare</v>
          </cell>
        </row>
        <row r="1141">
          <cell r="C1141" t="str">
            <v>Umbral</v>
          </cell>
          <cell r="Z1141" t="str">
            <v>Forseti, Señor del Equilibrio</v>
          </cell>
        </row>
        <row r="1142">
          <cell r="C1142" t="str">
            <v>Vacío</v>
          </cell>
          <cell r="Z1142" t="str">
            <v>Forseti: Equilibirum</v>
          </cell>
        </row>
        <row r="1143">
          <cell r="Z1143" t="str">
            <v>Forseti: Equilibirum mundi</v>
          </cell>
        </row>
        <row r="1144">
          <cell r="Z1144" t="str">
            <v>Galgaliel, Ángel de los Dones</v>
          </cell>
        </row>
        <row r="1145">
          <cell r="Z1145" t="str">
            <v>Garuda, Alas de Fuego</v>
          </cell>
        </row>
        <row r="1146">
          <cell r="Z1146" t="str">
            <v>Genbu, la Tortuga Negra</v>
          </cell>
        </row>
        <row r="1147">
          <cell r="Z1147" t="str">
            <v>Genbu: Amo de las entrañas de la tierra</v>
          </cell>
        </row>
        <row r="1148">
          <cell r="Z1148" t="str">
            <v>Genbu: Clarividencia</v>
          </cell>
        </row>
        <row r="1149">
          <cell r="Z1149" t="str">
            <v>Genbu: El escudo definitivo</v>
          </cell>
        </row>
        <row r="1150">
          <cell r="Z1150" t="str">
            <v>Genbu: Señor del norte</v>
          </cell>
        </row>
        <row r="1151">
          <cell r="Z1151" t="str">
            <v>Hermod, el Mensajero de los Dioses</v>
          </cell>
        </row>
        <row r="1152">
          <cell r="Z1152" t="str">
            <v>Huginn y Muninn, Ojos de Cuervo</v>
          </cell>
        </row>
        <row r="1153">
          <cell r="Z1153" t="str">
            <v>Huginn y Muninn: Ojo del mundo</v>
          </cell>
        </row>
        <row r="1154">
          <cell r="Z1154" t="str">
            <v>Huginn y Muninn: Visión verdadera</v>
          </cell>
        </row>
        <row r="1155">
          <cell r="Z1155" t="str">
            <v>Idea, Musa de la Locura</v>
          </cell>
        </row>
        <row r="1156">
          <cell r="Z1156" t="str">
            <v>Idún, Señora de la Juventud Eterna</v>
          </cell>
        </row>
        <row r="1157">
          <cell r="Z1157" t="str">
            <v>Idún: Envejecer</v>
          </cell>
        </row>
        <row r="1158">
          <cell r="Z1158" t="str">
            <v>Idún: Rejuvenecer</v>
          </cell>
        </row>
        <row r="1159">
          <cell r="Z1159" t="str">
            <v>Kagutsuchi: Hi no kodomo</v>
          </cell>
        </row>
        <row r="1160">
          <cell r="Z1160" t="str">
            <v>Kagutsuchi: Hi no tsubasa</v>
          </cell>
        </row>
        <row r="1161">
          <cell r="Z1161" t="str">
            <v>Kirin, el Centro</v>
          </cell>
        </row>
        <row r="1162">
          <cell r="Z1162" t="str">
            <v>Kirin: Feng Shui</v>
          </cell>
        </row>
        <row r="1163">
          <cell r="Z1163" t="str">
            <v>Leviathan, Señor de los Océanos</v>
          </cell>
        </row>
        <row r="1164">
          <cell r="Z1164" t="str">
            <v>Leviathan: Comunión con el agua</v>
          </cell>
        </row>
        <row r="1165">
          <cell r="Z1165" t="str">
            <v>Leviathan: Señor de las aguas</v>
          </cell>
        </row>
        <row r="1166">
          <cell r="Z1166" t="str">
            <v>Lix Tetrax</v>
          </cell>
        </row>
        <row r="1167">
          <cell r="Z1167" t="str">
            <v>Naaga, Madre de los Venenos</v>
          </cell>
        </row>
        <row r="1168">
          <cell r="Z1168" t="str">
            <v>Pandora, el Castigo Divino</v>
          </cell>
        </row>
        <row r="1169">
          <cell r="Z1169" t="str">
            <v>Raksasha</v>
          </cell>
        </row>
        <row r="1170">
          <cell r="Z1170" t="str">
            <v>Rudraskha: Exodus void nova</v>
          </cell>
        </row>
        <row r="1171">
          <cell r="Z1171" t="str">
            <v>Rudraskha: Void nova</v>
          </cell>
        </row>
        <row r="1172">
          <cell r="Z1172" t="str">
            <v>Seiryu, el Dragón Celeste</v>
          </cell>
        </row>
        <row r="1173">
          <cell r="Z1173" t="str">
            <v>Seiryu: La furia de la última tormenta</v>
          </cell>
        </row>
        <row r="1174">
          <cell r="Z1174" t="str">
            <v>Seiryu: Rayo</v>
          </cell>
        </row>
        <row r="1175">
          <cell r="Z1175" t="str">
            <v>Seiryu: Señor del este</v>
          </cell>
        </row>
        <row r="1176">
          <cell r="Z1176" t="str">
            <v>Seiryu: Tormenta</v>
          </cell>
        </row>
        <row r="1177">
          <cell r="Z1177" t="str">
            <v>Suzaku, el Fénix</v>
          </cell>
        </row>
        <row r="1178">
          <cell r="D1178" t="str">
            <v>Causalidad</v>
          </cell>
          <cell r="E1178" t="str">
            <v>Sin modificador</v>
          </cell>
          <cell r="Z1178" t="str">
            <v>Suzaku: Buena fortuna</v>
          </cell>
        </row>
        <row r="1179">
          <cell r="D1179" t="str">
            <v>Crioquinesis</v>
          </cell>
          <cell r="E1179" t="str">
            <v>El entorno modifica el Potencial: Volcán -30, Incendio de gran tamaño -10, Terreno frío y lluvioso +10, Frío intenso +20, Zona helada +30</v>
          </cell>
          <cell r="Z1179" t="str">
            <v>Suzaku: Calamidad</v>
          </cell>
        </row>
        <row r="1180">
          <cell r="D1180" t="str">
            <v>Energía</v>
          </cell>
          <cell r="E1180" t="str">
            <v>Sin modificador</v>
          </cell>
          <cell r="Z1180" t="str">
            <v>Suzaku: El elegido del sol</v>
          </cell>
        </row>
        <row r="1181">
          <cell r="D1181" t="str">
            <v>Electromagnetismo</v>
          </cell>
          <cell r="E1181" t="str">
            <v>Añade +20 en ambientes ionizados. Aplica -20 en zonas sin magnetismo</v>
          </cell>
          <cell r="Z1181" t="str">
            <v>Suzaku: Señor del sur</v>
          </cell>
        </row>
        <row r="1182">
          <cell r="D1182" t="str">
            <v>Hipersensibilidad</v>
          </cell>
          <cell r="E1182" t="str">
            <v>Modificadores como las Habilidades Perceptivas</v>
          </cell>
          <cell r="Z1182" t="str">
            <v>Tawil At-U'mr, Señor de las Puertas</v>
          </cell>
        </row>
        <row r="1183">
          <cell r="D1183" t="str">
            <v>Incremento Físico</v>
          </cell>
          <cell r="E1183" t="str">
            <v>Sin modificador</v>
          </cell>
          <cell r="Z1183" t="str">
            <v>Tawil At-U'mr: Compresión del tiempo</v>
          </cell>
        </row>
        <row r="1184">
          <cell r="D1184" t="str">
            <v>Luz</v>
          </cell>
          <cell r="E1184" t="str">
            <v>Sin modificador</v>
          </cell>
          <cell r="Z1184" t="str">
            <v>Tawil At-U'mr: La puerta</v>
          </cell>
        </row>
        <row r="1185">
          <cell r="D1185" t="str">
            <v>Piroquinesis</v>
          </cell>
          <cell r="E1185" t="str">
            <v>El entorno modifica el Potencial: Zona helada -30, Frío intenso -10, Gran hoguera +10, Incendio de gran tamaño +20, Volcán +30</v>
          </cell>
          <cell r="Z1185" t="str">
            <v>Tawil At-U'mr: Más allá del tiempo y el espacio</v>
          </cell>
        </row>
        <row r="1186">
          <cell r="D1186" t="str">
            <v>Sentiente</v>
          </cell>
          <cell r="E1186" t="str">
            <v xml:space="preserve">No requiere Proyección Psíquica, pero si no alcanza ni el 10%, el objetivo tiene +60 a su RP. Añade 20 a su Potencial si está en contacto físico con el objetivo </v>
          </cell>
          <cell r="Z1186" t="str">
            <v>Thanathos</v>
          </cell>
        </row>
        <row r="1187">
          <cell r="D1187" t="str">
            <v>Telemetría</v>
          </cell>
          <cell r="E1187" t="str">
            <v xml:space="preserve">Añade 10 a su Potencial si está en contacto físico con el objetivo </v>
          </cell>
          <cell r="Z1187" t="str">
            <v>Veles, el Poder de la Magia</v>
          </cell>
        </row>
        <row r="1188">
          <cell r="D1188" t="str">
            <v>Telepatía</v>
          </cell>
          <cell r="E1188" t="str">
            <v xml:space="preserve">No requiere Proyección Psíquica, pero si no alcanza ni el 10%, el objetivo tiene +60 a su RP. Añade 20 a su Potencial si está en contacto físico con el objetivo </v>
          </cell>
          <cell r="Z1188" t="str">
            <v>Vilfain</v>
          </cell>
        </row>
        <row r="1189">
          <cell r="D1189" t="str">
            <v>Telequinesis</v>
          </cell>
          <cell r="E1189" t="str">
            <v>Sin modificador</v>
          </cell>
          <cell r="Z1189" t="str">
            <v>Vilfain: Norfiav</v>
          </cell>
        </row>
        <row r="1190">
          <cell r="D1190" t="str">
            <v>Teletransporte</v>
          </cell>
          <cell r="E1190" t="str">
            <v>Sin modificador</v>
          </cell>
          <cell r="Z1190" t="str">
            <v>Vilfain: Vaifron</v>
          </cell>
        </row>
        <row r="1191">
          <cell r="D1191" t="str">
            <v>&gt;FANMADE</v>
          </cell>
          <cell r="Z1191" t="str">
            <v>Ziz, Señor de los Cielos</v>
          </cell>
        </row>
        <row r="1192">
          <cell r="D1192" t="str">
            <v>Gravitatoria</v>
          </cell>
          <cell r="E1192" t="str">
            <v>Sin modificador</v>
          </cell>
          <cell r="Z1192" t="str">
            <v>Ziz: Comunión con el viento</v>
          </cell>
        </row>
        <row r="1193">
          <cell r="D1193" t="str">
            <v>Control del sonido</v>
          </cell>
          <cell r="E1193" t="str">
            <v>No funciona en el vacío.</v>
          </cell>
          <cell r="Z1193" t="str">
            <v>Ziz: Señor del viento</v>
          </cell>
        </row>
        <row r="1194">
          <cell r="D1194" t="str">
            <v>Hidroquinesis</v>
          </cell>
          <cell r="E1194" t="str">
            <v>Sin modificador</v>
          </cell>
          <cell r="Z1194" t="str">
            <v>Zvilpogghua</v>
          </cell>
        </row>
        <row r="1195">
          <cell r="D1195" t="str">
            <v>Chronoquinesis</v>
          </cell>
          <cell r="E1195" t="str">
            <v>Sin modificador</v>
          </cell>
          <cell r="Z1195" t="str">
            <v>Zvilpogghua: Ossadagowah</v>
          </cell>
        </row>
        <row r="1196">
          <cell r="D1196" t="str">
            <v>[AK] Sentiente</v>
          </cell>
          <cell r="E1196" t="str">
            <v xml:space="preserve">No requiere Proyección Psíquica, pero si no alcanza ni el 10%, el objetivo tiene +60 a su RP. Añade 20 a su Potencial si está en contacto físico con el objetivo </v>
          </cell>
          <cell r="Z1196" t="str">
            <v>&gt; ENCARNACIONES</v>
          </cell>
        </row>
        <row r="1197">
          <cell r="D1197" t="str">
            <v>Presión</v>
          </cell>
          <cell r="E1197" t="str">
            <v>Sin modificador</v>
          </cell>
          <cell r="Z1197" t="str">
            <v>Aeriel, el Caballero de Argenta (Nv 12)</v>
          </cell>
        </row>
        <row r="1198">
          <cell r="D1198" t="str">
            <v>Antimateria</v>
          </cell>
          <cell r="E1198" t="str">
            <v>Sin modificador. Si no se alcanza el potencial mínimo necesario, pérdida de puntos de vida equivalente al nivel de fracaso. En caso de tener Consumición psíquica, el daño se acumula.</v>
          </cell>
          <cell r="Z1198" t="str">
            <v>Aeriel, el Caballero de Argenta (Nv 6)</v>
          </cell>
        </row>
        <row r="1199">
          <cell r="D1199" t="str">
            <v>Filoquinesis</v>
          </cell>
          <cell r="E1199" t="str">
            <v>Sin modificador</v>
          </cell>
          <cell r="Z1199" t="str">
            <v>Aeriel, el Caballero de Argenta (Nv 9)</v>
          </cell>
        </row>
        <row r="1200">
          <cell r="D1200" t="str">
            <v>Dominio del espacio</v>
          </cell>
          <cell r="E1200" t="str">
            <v>Sin modificador</v>
          </cell>
          <cell r="Z1200" t="str">
            <v>Ambrose Magus, el Hechicero (Nv 4)</v>
          </cell>
        </row>
        <row r="1201">
          <cell r="D1201" t="str">
            <v>Poderes sinérgicos</v>
          </cell>
          <cell r="E1201" t="str">
            <v>Sin modificador</v>
          </cell>
          <cell r="Z1201" t="str">
            <v>Ambrose Magus, el Hechicero (Nv 6)</v>
          </cell>
        </row>
        <row r="1202">
          <cell r="D1202" t="str">
            <v>Poderes matriciales</v>
          </cell>
          <cell r="Z1202" t="str">
            <v>Ambrose Magus, el Hechicero (Nv 8)</v>
          </cell>
        </row>
        <row r="1203">
          <cell r="Z1203" t="str">
            <v>Anassilish, el Sin Rostro (Nv 2)</v>
          </cell>
        </row>
        <row r="1204">
          <cell r="Z1204" t="str">
            <v>Anassilish, el Sin Rostro (Nv 5)</v>
          </cell>
        </row>
        <row r="1205">
          <cell r="Z1205" t="str">
            <v>Anassilish, el Sin Rostro (Nv 8)</v>
          </cell>
        </row>
        <row r="1206">
          <cell r="Z1206" t="str">
            <v>Arturia, el León Blanco (Nv 1)</v>
          </cell>
        </row>
        <row r="1207">
          <cell r="Z1207" t="str">
            <v>Arturia, el León Blanco (Nv 3)</v>
          </cell>
        </row>
        <row r="1208">
          <cell r="Z1208" t="str">
            <v>Arturia, el León Blanco (Nv 6)</v>
          </cell>
        </row>
        <row r="1209">
          <cell r="Z1209" t="str">
            <v>Eiko, la princesa Oni (Nv 3)</v>
          </cell>
        </row>
        <row r="1210">
          <cell r="D1210" t="str">
            <v>Introversión</v>
          </cell>
          <cell r="E1210">
            <v>30</v>
          </cell>
          <cell r="F1210">
            <v>40</v>
          </cell>
          <cell r="G1210" t="str">
            <v>Uso de Patrón mental: Introversión</v>
          </cell>
          <cell r="H1210" t="str">
            <v>Extroversión</v>
          </cell>
          <cell r="J1210" t="str">
            <v>Proyección -20 y -40 a todas las acciones sociales en público y a en la primera ronda de combate</v>
          </cell>
          <cell r="R1210" t="str">
            <v>Potencial +40 a los Poderes que sólo le afecten a él. Se mantienen con un grado superior</v>
          </cell>
          <cell r="Z1210" t="str">
            <v>Eiko, la princesa Oni (Nv 6)</v>
          </cell>
        </row>
        <row r="1211">
          <cell r="D1211" t="str">
            <v>Extroversión</v>
          </cell>
          <cell r="E1211">
            <v>30</v>
          </cell>
          <cell r="F1211">
            <v>40</v>
          </cell>
          <cell r="G1211" t="str">
            <v>Uso de Patrón mental: Extroversión</v>
          </cell>
          <cell r="H1211" t="str">
            <v>Introversión</v>
          </cell>
          <cell r="J1211" t="str">
            <v>Dobla rango de Pifia en Poderes personales. Sus poderes on visibles y sufre un -40 solo</v>
          </cell>
          <cell r="R1211" t="str">
            <v xml:space="preserve">Añade +20 a Potencial y Proyección para afectar a otros </v>
          </cell>
          <cell r="Z1211" t="str">
            <v>Eiko, la princesa Oni (Nv 9)</v>
          </cell>
        </row>
        <row r="1212">
          <cell r="D1212" t="str">
            <v>Locura</v>
          </cell>
          <cell r="E1212">
            <v>20</v>
          </cell>
          <cell r="F1212">
            <v>30</v>
          </cell>
          <cell r="G1212" t="str">
            <v>Uso de Patrón mental: Locura</v>
          </cell>
          <cell r="J1212" t="str">
            <v>Loco. Tiene 0 puntos de SM</v>
          </cell>
          <cell r="R1212" t="str">
            <v>Bonificador al Potencial variable. Inmune a efectos de Locura</v>
          </cell>
          <cell r="Z1212" t="str">
            <v>Gygjur, Asesino de Dragones (Nv 13)</v>
          </cell>
        </row>
        <row r="1213">
          <cell r="D1213" t="str">
            <v>Psicopatía</v>
          </cell>
          <cell r="E1213">
            <v>30</v>
          </cell>
          <cell r="F1213">
            <v>40</v>
          </cell>
          <cell r="G1213" t="str">
            <v>Uso de Patrón mental: Psicopatía</v>
          </cell>
          <cell r="H1213" t="str">
            <v>Compasión</v>
          </cell>
          <cell r="J1213" t="str">
            <v>Potencial -80 en Sentiente y Telepatía. Potencial -20 si no daña o manipula. Acciones sociales -100</v>
          </cell>
          <cell r="R1213" t="str">
            <v>Potencial +30 y Proyección +20 para dañar. Añade +10 al Daño. Bono de +40 a Frialdad</v>
          </cell>
          <cell r="Z1213" t="str">
            <v>Gygjur, Asesino de Dragones (Nv 5)</v>
          </cell>
        </row>
        <row r="1214">
          <cell r="D1214" t="str">
            <v>Compasión</v>
          </cell>
          <cell r="E1214">
            <v>30</v>
          </cell>
          <cell r="F1214">
            <v>40</v>
          </cell>
          <cell r="G1214" t="str">
            <v>Uso de Patrón mental: Compasión</v>
          </cell>
          <cell r="H1214" t="str">
            <v>Psicopatía</v>
          </cell>
          <cell r="J1214" t="str">
            <v>Penalizador -20 para dañar. Requiere un chequeo de VOL 18 para tratar de matar</v>
          </cell>
          <cell r="R1214" t="str">
            <v>Sin penalizador por cubrir a otros. Aumenta un grado sus poderes para ayudar a los demás</v>
          </cell>
          <cell r="Z1214" t="str">
            <v>Gygjur, Asesino de Dragones (Nv 9)</v>
          </cell>
        </row>
        <row r="1215">
          <cell r="D1215" t="str">
            <v>Cobardía</v>
          </cell>
          <cell r="E1215">
            <v>30</v>
          </cell>
          <cell r="F1215">
            <v>40</v>
          </cell>
          <cell r="G1215" t="str">
            <v>Uso de Patrón mental: Cobardía</v>
          </cell>
          <cell r="H1215" t="str">
            <v>Valentía</v>
          </cell>
          <cell r="J1215" t="str">
            <v>Potencial -40 en los combates que no sepa si puede ganar. Aplica Miedo si está en peligro</v>
          </cell>
          <cell r="R1215" t="str">
            <v>Proyección +30 para defenderse y aumenta un grado escudos e incrementos de Resistencias</v>
          </cell>
          <cell r="Z1215" t="str">
            <v>Holst, Rey de Héroes (Nv 12)</v>
          </cell>
        </row>
        <row r="1216">
          <cell r="D1216" t="str">
            <v>Valentía</v>
          </cell>
          <cell r="E1216">
            <v>30</v>
          </cell>
          <cell r="F1216">
            <v>40</v>
          </cell>
          <cell r="G1216" t="str">
            <v>Uso de Patrón mental: Valentía</v>
          </cell>
          <cell r="H1216" t="str">
            <v>Cobardía</v>
          </cell>
          <cell r="J1216" t="str">
            <v>Aplica un -20 al defenderse y un -40 a toda acción enfocada a huir de un combate o reto</v>
          </cell>
          <cell r="R1216" t="str">
            <v>Añade +30 a la Proyección y aumenta un grado en los Poderes de ataque</v>
          </cell>
          <cell r="Z1216" t="str">
            <v>Holst, Rey de Héroes (Nv 15)</v>
          </cell>
        </row>
        <row r="1217">
          <cell r="D1217" t="str">
            <v>Cancelación: Locura</v>
          </cell>
          <cell r="E1217">
            <v>10</v>
          </cell>
          <cell r="F1217">
            <v>10</v>
          </cell>
          <cell r="G1217" t="str">
            <v>Cancela Patrón mental: Locura</v>
          </cell>
          <cell r="J1217" t="str">
            <v/>
          </cell>
          <cell r="R1217" t="str">
            <v>Modificadores de Patrón mental: Locura cancelados</v>
          </cell>
          <cell r="Z1217" t="str">
            <v>Holst, Rey de Héroes (Nv 8)</v>
          </cell>
        </row>
        <row r="1218">
          <cell r="D1218" t="str">
            <v>Cancelación: Psicopatía</v>
          </cell>
          <cell r="E1218">
            <v>10</v>
          </cell>
          <cell r="F1218">
            <v>10</v>
          </cell>
          <cell r="G1218" t="str">
            <v>Cancela Patrón mental: Psicopatía</v>
          </cell>
          <cell r="J1218" t="str">
            <v/>
          </cell>
          <cell r="R1218" t="str">
            <v>Modificadores de Patrón mental: Psicopatía cancelados</v>
          </cell>
          <cell r="Z1218" t="str">
            <v>Kha-nefer, el Sacerdote Impío (Nv 3)</v>
          </cell>
        </row>
        <row r="1219">
          <cell r="D1219" t="str">
            <v>Cancelación: Compasión</v>
          </cell>
          <cell r="E1219">
            <v>10</v>
          </cell>
          <cell r="F1219">
            <v>10</v>
          </cell>
          <cell r="G1219" t="str">
            <v>Cancela Patrón mental: Compasión</v>
          </cell>
          <cell r="J1219" t="str">
            <v/>
          </cell>
          <cell r="R1219" t="str">
            <v>Modificadores de Patrón mental: Compasión cancelados</v>
          </cell>
          <cell r="Z1219" t="str">
            <v>Kha-nefer, el Sacerdote Impío (Nv 6)</v>
          </cell>
        </row>
        <row r="1220">
          <cell r="D1220" t="str">
            <v>Cancelación: Cobardía</v>
          </cell>
          <cell r="E1220">
            <v>10</v>
          </cell>
          <cell r="F1220">
            <v>10</v>
          </cell>
          <cell r="G1220" t="str">
            <v>Cancela Patrón mental: Cobardía</v>
          </cell>
          <cell r="J1220" t="str">
            <v/>
          </cell>
          <cell r="R1220" t="str">
            <v>Modificadores de Patrón mental: Cobardía cancelados</v>
          </cell>
          <cell r="Z1220" t="str">
            <v>Kha-nefer, el Sacerdote Impío (Nv 9)</v>
          </cell>
        </row>
        <row r="1221">
          <cell r="D1221" t="str">
            <v>Cancelación: Valentía</v>
          </cell>
          <cell r="E1221">
            <v>10</v>
          </cell>
          <cell r="F1221">
            <v>10</v>
          </cell>
          <cell r="G1221" t="str">
            <v>Cancela Patrón mental: Valentía</v>
          </cell>
          <cell r="J1221" t="str">
            <v/>
          </cell>
          <cell r="R1221" t="str">
            <v>Modificadores de Patrón mental: Valentía cancelados</v>
          </cell>
          <cell r="Z1221" t="str">
            <v>Kristoff, el Rey Pirata (Nv 11)</v>
          </cell>
        </row>
        <row r="1222">
          <cell r="D1222" t="str">
            <v>Cancelación: Introversión</v>
          </cell>
          <cell r="E1222">
            <v>10</v>
          </cell>
          <cell r="F1222">
            <v>10</v>
          </cell>
          <cell r="G1222" t="str">
            <v>Cancela Patrón mental: Introversión</v>
          </cell>
          <cell r="R1222" t="str">
            <v>Modificadores de Patrón mental: Introversión cancelados</v>
          </cell>
          <cell r="Z1222" t="str">
            <v>Kristoff, el Rey Pirata (Nv 4)</v>
          </cell>
        </row>
        <row r="1223">
          <cell r="D1223" t="str">
            <v>Cancelación: Extroversión</v>
          </cell>
          <cell r="E1223">
            <v>10</v>
          </cell>
          <cell r="F1223">
            <v>10</v>
          </cell>
          <cell r="G1223" t="str">
            <v>Cancela Patrón mental: Extroversión</v>
          </cell>
          <cell r="R1223" t="str">
            <v>Modificadores de Patrón mental: Extroversión cancelados</v>
          </cell>
          <cell r="Z1223" t="str">
            <v>Kristoff, el Rey Pirata (Nv 8)</v>
          </cell>
        </row>
        <row r="1224">
          <cell r="D1224" t="str">
            <v>Patrón mental #1</v>
          </cell>
          <cell r="E1224">
            <v>0</v>
          </cell>
          <cell r="F1224">
            <v>0</v>
          </cell>
          <cell r="G1224">
            <v>0</v>
          </cell>
          <cell r="J1224">
            <v>0</v>
          </cell>
          <cell r="R1224">
            <v>0</v>
          </cell>
          <cell r="Z1224" t="str">
            <v>Linx Kazte Hex, la Sombra de la Muerte (Nv 12)</v>
          </cell>
        </row>
        <row r="1225">
          <cell r="D1225" t="str">
            <v>Patrón mental #2</v>
          </cell>
          <cell r="E1225">
            <v>0</v>
          </cell>
          <cell r="F1225">
            <v>0</v>
          </cell>
          <cell r="G1225">
            <v>0</v>
          </cell>
          <cell r="J1225">
            <v>0</v>
          </cell>
          <cell r="R1225">
            <v>0</v>
          </cell>
          <cell r="Z1225" t="str">
            <v>Linx Kazte Hex, la Sombra de la Muerte (Nv 4)</v>
          </cell>
        </row>
        <row r="1226">
          <cell r="D1226" t="str">
            <v>&gt;FANMADE</v>
          </cell>
          <cell r="X1226" t="str">
            <v>Np</v>
          </cell>
          <cell r="Z1226" t="str">
            <v>Linx Kazte Hex, la Sombra de la Muerte (Nv 8)</v>
          </cell>
        </row>
        <row r="1227">
          <cell r="D1227" t="str">
            <v>[Akuma.Exxet] Introversión</v>
          </cell>
          <cell r="E1227">
            <v>30</v>
          </cell>
          <cell r="F1227">
            <v>30</v>
          </cell>
          <cell r="G1227" t="str">
            <v>Uso de Patrón mental: Introversión</v>
          </cell>
          <cell r="J1227" t="str">
            <v xml:space="preserve">Si el bono al Potencial baja a 0, -5 toda acción por cada -10, hasta -30. No recupera cansancio. </v>
          </cell>
          <cell r="R1227" t="str">
            <v>Estar solo da +10 al Potencial defensivo cada día, hasta +30. Reduce 1 grado controles de Memorizar.</v>
          </cell>
          <cell r="X1227">
            <v>10</v>
          </cell>
          <cell r="Z1227" t="str">
            <v>Loly Ann (Nv 1)</v>
          </cell>
        </row>
        <row r="1228">
          <cell r="D1228" t="str">
            <v>[Akuma.Exxet] Extroversión</v>
          </cell>
          <cell r="E1228">
            <v>30</v>
          </cell>
          <cell r="F1228">
            <v>30</v>
          </cell>
          <cell r="G1228" t="str">
            <v>Uso de Patrón mental: Extroversión</v>
          </cell>
          <cell r="J1228" t="str">
            <v xml:space="preserve">Si el bono al Potencial baja a 0, -10 toda acción por cada -5, hasta -30. No recupera cansancio. </v>
          </cell>
          <cell r="R1228" t="str">
            <v>Socializar da +5 el Potencial ofensivo cada día, hasta +30. +20 a persuasión o intimidar.</v>
          </cell>
          <cell r="X1228">
            <v>10</v>
          </cell>
          <cell r="Z1228" t="str">
            <v>Loly Ann (Nv 3)</v>
          </cell>
        </row>
        <row r="1229">
          <cell r="D1229" t="str">
            <v>[Akuma.Exxet] Locura</v>
          </cell>
          <cell r="E1229">
            <v>20</v>
          </cell>
          <cell r="F1229">
            <v>20</v>
          </cell>
          <cell r="G1229" t="str">
            <v>Uso de Patrón mental: Locura</v>
          </cell>
          <cell r="J1229" t="str">
            <v>Su Salud Mental se considera 0</v>
          </cell>
          <cell r="R1229" t="str">
            <v>Bono al Potencial aleatorio. Gana CV efímeros igual mitad nivel redondeado arriba.</v>
          </cell>
          <cell r="X1229">
            <v>20</v>
          </cell>
          <cell r="Z1229" t="str">
            <v>Loly Ann (Nv 5)</v>
          </cell>
        </row>
        <row r="1230">
          <cell r="D1230" t="str">
            <v>[Akuma.Exxet] Psicopatía</v>
          </cell>
          <cell r="E1230">
            <v>40</v>
          </cell>
          <cell r="F1230">
            <v>40</v>
          </cell>
          <cell r="G1230" t="str">
            <v>Uso de Patrón mental: Psicopatía</v>
          </cell>
          <cell r="J1230" t="str">
            <v>1 grado menos en poderes de conectar con otros, -40 al Potencial en poderes sobre otros.</v>
          </cell>
          <cell r="R1230" t="str">
            <v>+10 al daño de sus poderes y +20 a Frialdad. Ventaja personalizada. Ver</v>
          </cell>
          <cell r="X1230">
            <v>15</v>
          </cell>
          <cell r="Z1230" t="str">
            <v>Nerval, Defensor de los Perdidos (Nv 11)</v>
          </cell>
        </row>
        <row r="1231">
          <cell r="D1231" t="str">
            <v>[Akuma.Exxet] Compasión</v>
          </cell>
          <cell r="E1231">
            <v>30</v>
          </cell>
          <cell r="F1231">
            <v>30</v>
          </cell>
          <cell r="G1231" t="str">
            <v>Uso de Patrón mental: Compasión</v>
          </cell>
          <cell r="J1231" t="str">
            <v>Si no puede ayudar a alguien, -15 al Potencial y Proyección. ese día. Se duplica si se repite.</v>
          </cell>
          <cell r="R1231" t="str">
            <v>+20 Proyección Psíquica defensiva al ayudar a otros.</v>
          </cell>
          <cell r="X1231">
            <v>10</v>
          </cell>
          <cell r="Z1231" t="str">
            <v>Nerval, Defensor de los Perdidos (Nv 4)</v>
          </cell>
        </row>
        <row r="1232">
          <cell r="D1232" t="str">
            <v>[Akuma.Exxet] Cobardía</v>
          </cell>
          <cell r="E1232">
            <v>20</v>
          </cell>
          <cell r="F1232">
            <v>20</v>
          </cell>
          <cell r="G1232" t="str">
            <v>Uso de Patrón mental: Cobardía</v>
          </cell>
          <cell r="J1232" t="str">
            <v>-20 Pot. al lanzar poderes ataque, -10 a toda acción excepto escapar, -5 por cada asalto sin huir.</v>
          </cell>
          <cell r="R1232" t="str">
            <v>+20 persuasión para escaquearse, +10 a la Proyección para defenderse.</v>
          </cell>
          <cell r="X1232">
            <v>10</v>
          </cell>
          <cell r="Z1232" t="str">
            <v>Nerval, Defensor de los Perdidos (Nv 7)</v>
          </cell>
        </row>
        <row r="1233">
          <cell r="D1233" t="str">
            <v>[Akuma.Exxet] Valentía</v>
          </cell>
          <cell r="E1233">
            <v>40</v>
          </cell>
          <cell r="F1233">
            <v>40</v>
          </cell>
          <cell r="G1233" t="str">
            <v>Uso de Patrón mental: Valentía</v>
          </cell>
          <cell r="J1233" t="str">
            <v>Abandonar un combate que puede ganar, Control VOL a 18. Si huye, -10 toda acción en su huida.</v>
          </cell>
          <cell r="R1233" t="str">
            <v>Cantidad de PVs restantes determinan ventajas. Ver</v>
          </cell>
          <cell r="X1233">
            <v>20</v>
          </cell>
          <cell r="Z1233" t="str">
            <v>Quezcatli, Hijo del Sol (Nv 2)</v>
          </cell>
        </row>
        <row r="1234">
          <cell r="D1234" t="str">
            <v>[Akuma.Exxet] Razón</v>
          </cell>
          <cell r="E1234">
            <v>30</v>
          </cell>
          <cell r="F1234">
            <v>30</v>
          </cell>
          <cell r="G1234" t="str">
            <v>Uso de Patrón mental: Razón</v>
          </cell>
          <cell r="J1234" t="str">
            <v>Aumenta en 20 la sorpresa.</v>
          </cell>
          <cell r="R1234" t="str">
            <v>Bono de +10 a la Proyección por no hacer nada hasta +30. -1 al índice de pifia.</v>
          </cell>
          <cell r="X1234">
            <v>15</v>
          </cell>
          <cell r="Z1234" t="str">
            <v>Quezcatli, Hijo del Sol (Nv 4)</v>
          </cell>
        </row>
        <row r="1235">
          <cell r="D1235" t="str">
            <v>Cancelación: Razón</v>
          </cell>
          <cell r="E1235">
            <v>10</v>
          </cell>
          <cell r="F1235">
            <v>10</v>
          </cell>
          <cell r="G1235" t="str">
            <v>Cancela Patrón mental: Razón</v>
          </cell>
          <cell r="R1235" t="str">
            <v>Modificadores de Patrón mental: Razón cancelados</v>
          </cell>
          <cell r="Z1235" t="str">
            <v>Quezcatli, Hijo del Sol (Nv 6)</v>
          </cell>
        </row>
        <row r="1236">
          <cell r="Z1236" t="str">
            <v>Ruatha Synn (Nv 12)</v>
          </cell>
        </row>
        <row r="1237">
          <cell r="Z1237" t="str">
            <v>Ruatha Synn (Nv 4)</v>
          </cell>
        </row>
        <row r="1238">
          <cell r="Z1238" t="str">
            <v>Ruatha Synn (Nv 8)</v>
          </cell>
        </row>
        <row r="1239">
          <cell r="Z1239" t="str">
            <v>Wang Shou Bo (Nv 13)</v>
          </cell>
        </row>
        <row r="1240">
          <cell r="Z1240" t="str">
            <v>Wang Shou Bo (Nv 5)</v>
          </cell>
        </row>
        <row r="1241">
          <cell r="Z1241" t="str">
            <v>Wang Shou Bo (Nv 9)</v>
          </cell>
        </row>
        <row r="1242">
          <cell r="Z1242" t="str">
            <v>&gt; INVOCACIONES PERSONALIZADAS</v>
          </cell>
        </row>
        <row r="1243">
          <cell r="Z1243" t="str">
            <v>Invocación personalizada #1</v>
          </cell>
        </row>
        <row r="1244">
          <cell r="Z1244" t="str">
            <v>Invocación personalizada #2</v>
          </cell>
        </row>
        <row r="1245">
          <cell r="Z1245" t="str">
            <v>Invocación personalizada #3</v>
          </cell>
        </row>
        <row r="1246">
          <cell r="Z1246" t="str">
            <v>Invocación personalizada #4</v>
          </cell>
        </row>
        <row r="1247">
          <cell r="Z1247" t="str">
            <v>Invocación personalizada #5</v>
          </cell>
        </row>
        <row r="1248">
          <cell r="Z1248" t="str">
            <v>Invocación personalizada #6</v>
          </cell>
        </row>
        <row r="1249">
          <cell r="Z1249" t="str">
            <v>Invocación personalizada #7</v>
          </cell>
        </row>
        <row r="1257">
          <cell r="W1257" t="str">
            <v>&gt; HABILIDADES OFENSIVAS</v>
          </cell>
        </row>
        <row r="1258">
          <cell r="W1258" t="str">
            <v>Armas naturales</v>
          </cell>
          <cell r="Y1258" t="str">
            <v/>
          </cell>
        </row>
        <row r="1259">
          <cell r="E1259" t="str">
            <v>&gt; VENTAJAS ESENCIALES</v>
          </cell>
          <cell r="F1259">
            <v>0</v>
          </cell>
          <cell r="G1259">
            <v>0</v>
          </cell>
          <cell r="O1259" t="str">
            <v>&gt; HABILIDADES OFENSIVAS</v>
          </cell>
          <cell r="W1259" t="str">
            <v>Ataque adicional</v>
          </cell>
          <cell r="Y1259" t="str">
            <v>PodHab_Ataqueadicional</v>
          </cell>
        </row>
        <row r="1260">
          <cell r="E1260" t="str">
            <v>Resistencia al cansancio</v>
          </cell>
          <cell r="F1260">
            <v>0</v>
          </cell>
          <cell r="G1260">
            <v>10</v>
          </cell>
          <cell r="H1260">
            <v>0</v>
          </cell>
          <cell r="I1260">
            <v>1</v>
          </cell>
          <cell r="O1260" t="str">
            <v>Armas naturales</v>
          </cell>
          <cell r="P1260">
            <v>0</v>
          </cell>
          <cell r="Q1260">
            <v>20</v>
          </cell>
          <cell r="R1260">
            <v>0</v>
          </cell>
          <cell r="W1260" t="str">
            <v>Ataque elemental</v>
          </cell>
          <cell r="Y1260" t="str">
            <v>PodHab_Ataqueelemental</v>
          </cell>
        </row>
        <row r="1261">
          <cell r="E1261" t="str">
            <v>Don</v>
          </cell>
          <cell r="F1261">
            <v>5</v>
          </cell>
          <cell r="G1261">
            <v>30</v>
          </cell>
          <cell r="H1261">
            <v>0</v>
          </cell>
          <cell r="I1261">
            <v>2</v>
          </cell>
          <cell r="O1261" t="str">
            <v>Ataque adicional -60 Ataque</v>
          </cell>
          <cell r="P1261">
            <v>0</v>
          </cell>
          <cell r="Q1261">
            <v>20</v>
          </cell>
          <cell r="R1261">
            <v>0</v>
          </cell>
          <cell r="W1261" t="str">
            <v>Ataque especial</v>
          </cell>
          <cell r="Y1261" t="str">
            <v>PodHab_Ataqueespecial</v>
          </cell>
        </row>
        <row r="1262">
          <cell r="E1262" t="str">
            <v>Acceso a 1 disciplina psíquica</v>
          </cell>
          <cell r="F1262">
            <v>5</v>
          </cell>
          <cell r="G1262">
            <v>15</v>
          </cell>
          <cell r="H1262">
            <v>0</v>
          </cell>
          <cell r="O1262" t="str">
            <v>Ataque adicional -50 Ataque</v>
          </cell>
          <cell r="P1262">
            <v>0</v>
          </cell>
          <cell r="Q1262">
            <v>30</v>
          </cell>
          <cell r="R1262">
            <v>0</v>
          </cell>
          <cell r="W1262" t="str">
            <v>Ataque sobrenatural</v>
          </cell>
          <cell r="Y1262" t="str">
            <v/>
          </cell>
        </row>
        <row r="1263">
          <cell r="E1263" t="str">
            <v>Acceso a disciplinas psíquicas</v>
          </cell>
          <cell r="F1263">
            <v>5</v>
          </cell>
          <cell r="G1263">
            <v>30</v>
          </cell>
          <cell r="H1263">
            <v>0</v>
          </cell>
          <cell r="O1263" t="str">
            <v>Ataque adicional -40 Ataque</v>
          </cell>
          <cell r="P1263">
            <v>0</v>
          </cell>
          <cell r="Q1263">
            <v>40</v>
          </cell>
          <cell r="R1263">
            <v>0</v>
          </cell>
          <cell r="W1263" t="str">
            <v>Ataque venenoso</v>
          </cell>
          <cell r="Y1263" t="str">
            <v>PodHab_Ataquevenenoso</v>
          </cell>
        </row>
        <row r="1264">
          <cell r="E1264" t="str">
            <v>Sentido agudizado Gusto</v>
          </cell>
          <cell r="F1264">
            <v>0</v>
          </cell>
          <cell r="G1264">
            <v>10</v>
          </cell>
          <cell r="H1264">
            <v>0</v>
          </cell>
          <cell r="I1264">
            <v>1</v>
          </cell>
          <cell r="J1264" t="b">
            <v>0</v>
          </cell>
          <cell r="O1264" t="str">
            <v>Ataque adicional -30 Ataque</v>
          </cell>
          <cell r="P1264">
            <v>5</v>
          </cell>
          <cell r="Q1264">
            <v>50</v>
          </cell>
          <cell r="R1264">
            <v>0</v>
          </cell>
          <cell r="W1264" t="str">
            <v>Crítico incrementado</v>
          </cell>
          <cell r="Y1264" t="str">
            <v>PodHab_Críticoincrementado</v>
          </cell>
        </row>
        <row r="1265">
          <cell r="E1265" t="str">
            <v>Sentido agudizado Oído</v>
          </cell>
          <cell r="F1265">
            <v>0</v>
          </cell>
          <cell r="G1265">
            <v>10</v>
          </cell>
          <cell r="H1265">
            <v>0</v>
          </cell>
          <cell r="I1265">
            <v>1</v>
          </cell>
          <cell r="O1265" t="str">
            <v>Ataque adicional -20 Ataque</v>
          </cell>
          <cell r="P1265">
            <v>5</v>
          </cell>
          <cell r="Q1265">
            <v>60</v>
          </cell>
          <cell r="R1265">
            <v>0</v>
          </cell>
          <cell r="W1265" t="str">
            <v>Daña Energía</v>
          </cell>
        </row>
        <row r="1266">
          <cell r="E1266" t="str">
            <v>Sentido agudizado Olfato</v>
          </cell>
          <cell r="F1266">
            <v>0</v>
          </cell>
          <cell r="G1266">
            <v>10</v>
          </cell>
          <cell r="H1266">
            <v>0</v>
          </cell>
          <cell r="I1266">
            <v>1</v>
          </cell>
          <cell r="O1266" t="str">
            <v>Ataque adicional -10 Ataque</v>
          </cell>
          <cell r="P1266">
            <v>10</v>
          </cell>
          <cell r="Q1266">
            <v>80</v>
          </cell>
          <cell r="R1266">
            <v>0</v>
          </cell>
          <cell r="W1266" t="str">
            <v>Daño incrementado</v>
          </cell>
          <cell r="Y1266" t="str">
            <v>PodHab_Dañoincrementado</v>
          </cell>
        </row>
        <row r="1267">
          <cell r="E1267" t="str">
            <v>Sentido agudizado Tacto</v>
          </cell>
          <cell r="F1267">
            <v>0</v>
          </cell>
          <cell r="G1267">
            <v>10</v>
          </cell>
          <cell r="H1267">
            <v>0</v>
          </cell>
          <cell r="I1267">
            <v>1</v>
          </cell>
          <cell r="O1267" t="str">
            <v>Ataque adicional Completo</v>
          </cell>
          <cell r="P1267">
            <v>15</v>
          </cell>
          <cell r="Q1267">
            <v>100</v>
          </cell>
          <cell r="R1267">
            <v>0</v>
          </cell>
          <cell r="W1267" t="str">
            <v>Efecto místico añadido</v>
          </cell>
          <cell r="Y1267" t="str">
            <v>PodHab_Efectomísticoañadido</v>
          </cell>
        </row>
        <row r="1268">
          <cell r="E1268" t="str">
            <v>Sentido agudizado Vista</v>
          </cell>
          <cell r="F1268">
            <v>0</v>
          </cell>
          <cell r="G1268">
            <v>10</v>
          </cell>
          <cell r="H1268">
            <v>0</v>
          </cell>
          <cell r="I1268">
            <v>1</v>
          </cell>
          <cell r="O1268" t="str">
            <v>Daño incrementado +10 al Daño</v>
          </cell>
          <cell r="P1268">
            <v>0</v>
          </cell>
          <cell r="Q1268">
            <v>10</v>
          </cell>
          <cell r="R1268">
            <v>0</v>
          </cell>
          <cell r="W1268" t="str">
            <v>Modificador de armadura</v>
          </cell>
          <cell r="Y1268" t="str">
            <v>PodHab_Modificadordearmadura</v>
          </cell>
        </row>
        <row r="1269">
          <cell r="E1269" t="str">
            <v>Afinidad</v>
          </cell>
          <cell r="F1269">
            <v>5</v>
          </cell>
          <cell r="G1269">
            <v>10</v>
          </cell>
          <cell r="H1269">
            <v>0</v>
          </cell>
          <cell r="O1269" t="str">
            <v>Daño incrementado +20 al Daño</v>
          </cell>
          <cell r="P1269">
            <v>0</v>
          </cell>
          <cell r="Q1269">
            <v>20</v>
          </cell>
          <cell r="R1269">
            <v>0</v>
          </cell>
          <cell r="W1269" t="str">
            <v>Presa especial</v>
          </cell>
          <cell r="Y1269" t="str">
            <v>PodHab_Presaespecial</v>
          </cell>
        </row>
        <row r="1270">
          <cell r="E1270" t="str">
            <v>Car. físicas sobrehumanas</v>
          </cell>
          <cell r="F1270">
            <v>0</v>
          </cell>
          <cell r="G1270">
            <v>20</v>
          </cell>
          <cell r="H1270">
            <v>0</v>
          </cell>
          <cell r="I1270">
            <v>1</v>
          </cell>
          <cell r="J1270">
            <v>10</v>
          </cell>
          <cell r="O1270" t="str">
            <v>Daño incrementado +30 al Daño</v>
          </cell>
          <cell r="P1270">
            <v>0</v>
          </cell>
          <cell r="Q1270">
            <v>30</v>
          </cell>
          <cell r="R1270">
            <v>0</v>
          </cell>
          <cell r="W1270" t="str">
            <v>Reacción incrementada</v>
          </cell>
          <cell r="Y1270" t="str">
            <v>PodHab_Reacciónincrementada</v>
          </cell>
        </row>
        <row r="1271">
          <cell r="E1271" t="str">
            <v>Car. anímicas sobrehumanas</v>
          </cell>
          <cell r="F1271">
            <v>5</v>
          </cell>
          <cell r="G1271">
            <v>20</v>
          </cell>
          <cell r="H1271">
            <v>0</v>
          </cell>
          <cell r="I1271">
            <v>1</v>
          </cell>
          <cell r="J1271">
            <v>10</v>
          </cell>
          <cell r="O1271" t="str">
            <v>Daño incrementado +40 al Daño</v>
          </cell>
          <cell r="P1271">
            <v>0</v>
          </cell>
          <cell r="Q1271">
            <v>40</v>
          </cell>
          <cell r="R1271">
            <v>0</v>
          </cell>
          <cell r="W1271" t="str">
            <v>&gt; DESPLAZAMIENTOS Y TRANSPORTES</v>
          </cell>
        </row>
        <row r="1272">
          <cell r="E1272" t="str">
            <v>Car. físicas sobrenaturales</v>
          </cell>
          <cell r="F1272">
            <v>20</v>
          </cell>
          <cell r="G1272">
            <v>40</v>
          </cell>
          <cell r="H1272">
            <v>0</v>
          </cell>
          <cell r="I1272">
            <v>1</v>
          </cell>
          <cell r="O1272" t="str">
            <v>Daño incrementado +50 al Daño</v>
          </cell>
          <cell r="P1272">
            <v>5</v>
          </cell>
          <cell r="Q1272">
            <v>50</v>
          </cell>
          <cell r="R1272">
            <v>0</v>
          </cell>
          <cell r="W1272" t="str">
            <v>Desplazamiento especial</v>
          </cell>
          <cell r="Y1272" t="str">
            <v>PodHab_Desplazamientoespecial</v>
          </cell>
        </row>
        <row r="1273">
          <cell r="E1273" t="str">
            <v>Car. anímicas sobrenaturales</v>
          </cell>
          <cell r="F1273">
            <v>20</v>
          </cell>
          <cell r="G1273">
            <v>40</v>
          </cell>
          <cell r="H1273">
            <v>0</v>
          </cell>
          <cell r="I1273">
            <v>1</v>
          </cell>
          <cell r="O1273" t="str">
            <v>Daño incrementado +60 al Daño</v>
          </cell>
          <cell r="P1273">
            <v>10</v>
          </cell>
          <cell r="Q1273">
            <v>60</v>
          </cell>
          <cell r="R1273">
            <v>0</v>
          </cell>
          <cell r="W1273" t="str">
            <v>Transporte automático</v>
          </cell>
          <cell r="Y1273" t="str">
            <v>PodHab_Transporteautomático</v>
          </cell>
        </row>
        <row r="1274">
          <cell r="E1274" t="str">
            <v>Car. físicas divinas</v>
          </cell>
          <cell r="F1274">
            <v>30</v>
          </cell>
          <cell r="G1274">
            <v>80</v>
          </cell>
          <cell r="H1274">
            <v>0</v>
          </cell>
          <cell r="I1274">
            <v>1</v>
          </cell>
          <cell r="O1274" t="str">
            <v>Daño incrementado +80 al Daño</v>
          </cell>
          <cell r="P1274">
            <v>20</v>
          </cell>
          <cell r="Q1274">
            <v>80</v>
          </cell>
          <cell r="R1274">
            <v>0</v>
          </cell>
          <cell r="W1274" t="str">
            <v>Tipo de movimiento</v>
          </cell>
          <cell r="Y1274" t="str">
            <v>PodHab_Tipodemovimiento</v>
          </cell>
        </row>
        <row r="1275">
          <cell r="E1275" t="str">
            <v>Car. anímicas divinas</v>
          </cell>
          <cell r="F1275">
            <v>35</v>
          </cell>
          <cell r="G1275">
            <v>80</v>
          </cell>
          <cell r="H1275">
            <v>0</v>
          </cell>
          <cell r="I1275">
            <v>1</v>
          </cell>
          <cell r="O1275" t="str">
            <v>Daño incrementado +100 al Daño</v>
          </cell>
          <cell r="P1275">
            <v>25</v>
          </cell>
          <cell r="Q1275">
            <v>100</v>
          </cell>
          <cell r="R1275">
            <v>0</v>
          </cell>
          <cell r="W1275" t="str">
            <v>Vuelo natural</v>
          </cell>
          <cell r="Y1275" t="str">
            <v>PodHab_Vuelonatural</v>
          </cell>
        </row>
        <row r="1276">
          <cell r="E1276" t="str">
            <v>Característica incrementada AGI +1</v>
          </cell>
          <cell r="F1276">
            <v>0</v>
          </cell>
          <cell r="G1276">
            <v>20</v>
          </cell>
          <cell r="H1276">
            <v>0</v>
          </cell>
          <cell r="I1276">
            <v>1</v>
          </cell>
          <cell r="J1276">
            <v>0</v>
          </cell>
          <cell r="O1276" t="str">
            <v>Daño incrementado +120 al Daño</v>
          </cell>
          <cell r="P1276">
            <v>30</v>
          </cell>
          <cell r="Q1276">
            <v>120</v>
          </cell>
          <cell r="R1276">
            <v>0</v>
          </cell>
          <cell r="W1276" t="str">
            <v>Vuelo místico</v>
          </cell>
          <cell r="Y1276" t="str">
            <v>PodHab_Vuelomístico</v>
          </cell>
        </row>
        <row r="1277">
          <cell r="E1277" t="str">
            <v>Característica incrementada AGI +2</v>
          </cell>
          <cell r="F1277">
            <v>5</v>
          </cell>
          <cell r="G1277">
            <v>40</v>
          </cell>
          <cell r="H1277">
            <v>0</v>
          </cell>
          <cell r="I1277">
            <v>1</v>
          </cell>
          <cell r="J1277">
            <v>0</v>
          </cell>
          <cell r="O1277" t="str">
            <v>Reacción incrementada +10 al Turno</v>
          </cell>
          <cell r="P1277">
            <v>0</v>
          </cell>
          <cell r="Q1277">
            <v>10</v>
          </cell>
          <cell r="R1277">
            <v>0</v>
          </cell>
          <cell r="W1277" t="str">
            <v>&gt; RESISTENCIAS Y REGENERACIONES</v>
          </cell>
        </row>
        <row r="1278">
          <cell r="E1278" t="str">
            <v>Característica incrementada AGI +3</v>
          </cell>
          <cell r="F1278">
            <v>15</v>
          </cell>
          <cell r="G1278">
            <v>60</v>
          </cell>
          <cell r="H1278">
            <v>0</v>
          </cell>
          <cell r="I1278">
            <v>1</v>
          </cell>
          <cell r="J1278">
            <v>0</v>
          </cell>
          <cell r="O1278" t="str">
            <v>Reacción incrementada +20 al Turno</v>
          </cell>
          <cell r="P1278">
            <v>10</v>
          </cell>
          <cell r="Q1278">
            <v>20</v>
          </cell>
          <cell r="R1278">
            <v>0</v>
          </cell>
          <cell r="S1278">
            <v>0</v>
          </cell>
          <cell r="W1278" t="str">
            <v>Resistencia física mejorada</v>
          </cell>
          <cell r="Y1278" t="str">
            <v>PodHab_Resistenciafísicamejorada</v>
          </cell>
        </row>
        <row r="1279">
          <cell r="E1279" t="str">
            <v>Característica incrementada AGI +4</v>
          </cell>
          <cell r="F1279">
            <v>20</v>
          </cell>
          <cell r="G1279">
            <v>120</v>
          </cell>
          <cell r="H1279">
            <v>0</v>
          </cell>
          <cell r="J1279">
            <v>0</v>
          </cell>
          <cell r="O1279" t="str">
            <v>Reacción incrementada +30 al Turno</v>
          </cell>
          <cell r="P1279">
            <v>20</v>
          </cell>
          <cell r="Q1279">
            <v>30</v>
          </cell>
          <cell r="R1279">
            <v>0</v>
          </cell>
          <cell r="W1279" t="str">
            <v>Resistencia mística mejorada</v>
          </cell>
          <cell r="Y1279" t="str">
            <v>PodHab_Resistenciamísticamejorada</v>
          </cell>
        </row>
        <row r="1280">
          <cell r="E1280" t="str">
            <v>Característica incrementada AGI +5</v>
          </cell>
          <cell r="F1280">
            <v>25</v>
          </cell>
          <cell r="G1280">
            <v>180</v>
          </cell>
          <cell r="H1280">
            <v>0</v>
          </cell>
          <cell r="J1280">
            <v>0</v>
          </cell>
          <cell r="O1280" t="str">
            <v>Daña energía</v>
          </cell>
          <cell r="P1280">
            <v>10</v>
          </cell>
          <cell r="Q1280">
            <v>10</v>
          </cell>
          <cell r="R1280">
            <v>0</v>
          </cell>
          <cell r="W1280" t="str">
            <v>Pen a la Resistencia mística</v>
          </cell>
          <cell r="Y1280" t="str">
            <v>PodHab_PenalaResistenciamística</v>
          </cell>
        </row>
        <row r="1281">
          <cell r="E1281" t="str">
            <v>Característica incrementada CON +1</v>
          </cell>
          <cell r="F1281">
            <v>0</v>
          </cell>
          <cell r="G1281">
            <v>20</v>
          </cell>
          <cell r="H1281">
            <v>0</v>
          </cell>
          <cell r="I1281">
            <v>1</v>
          </cell>
          <cell r="J1281">
            <v>0</v>
          </cell>
          <cell r="O1281" t="str">
            <v>Modificador de armadura -1 TA Defensora</v>
          </cell>
          <cell r="P1281">
            <v>0</v>
          </cell>
          <cell r="Q1281">
            <v>10</v>
          </cell>
          <cell r="R1281">
            <v>0</v>
          </cell>
          <cell r="W1281" t="str">
            <v>Regeneración</v>
          </cell>
          <cell r="Y1281" t="str">
            <v>PodHab_Regeneración</v>
          </cell>
        </row>
        <row r="1282">
          <cell r="E1282" t="str">
            <v>Característica incrementada CON +2</v>
          </cell>
          <cell r="F1282">
            <v>5</v>
          </cell>
          <cell r="G1282">
            <v>40</v>
          </cell>
          <cell r="H1282">
            <v>0</v>
          </cell>
          <cell r="I1282">
            <v>1</v>
          </cell>
          <cell r="J1282">
            <v>0</v>
          </cell>
          <cell r="O1282" t="str">
            <v>Modificador de armadura -2 TA Defensora</v>
          </cell>
          <cell r="P1282">
            <v>10</v>
          </cell>
          <cell r="Q1282">
            <v>15</v>
          </cell>
          <cell r="R1282">
            <v>0</v>
          </cell>
          <cell r="W1282" t="str">
            <v>Degeneración</v>
          </cell>
          <cell r="Y1282" t="str">
            <v>PodHab_Degeneración</v>
          </cell>
        </row>
        <row r="1283">
          <cell r="E1283" t="str">
            <v>Característica incrementada CON +3</v>
          </cell>
          <cell r="F1283">
            <v>15</v>
          </cell>
          <cell r="G1283">
            <v>60</v>
          </cell>
          <cell r="H1283">
            <v>0</v>
          </cell>
          <cell r="I1283">
            <v>1</v>
          </cell>
          <cell r="J1283">
            <v>0</v>
          </cell>
          <cell r="O1283" t="str">
            <v>Modificador de armadura -3 TA Defensora</v>
          </cell>
          <cell r="P1283">
            <v>15</v>
          </cell>
          <cell r="Q1283">
            <v>20</v>
          </cell>
          <cell r="R1283">
            <v>0</v>
          </cell>
          <cell r="W1283" t="str">
            <v>&gt; INMUNIDADES ESPECIALES</v>
          </cell>
        </row>
        <row r="1284">
          <cell r="E1284" t="str">
            <v>Característica incrementada CON +4</v>
          </cell>
          <cell r="F1284">
            <v>20</v>
          </cell>
          <cell r="G1284">
            <v>120</v>
          </cell>
          <cell r="H1284">
            <v>0</v>
          </cell>
          <cell r="O1284" t="str">
            <v>Modificador de armadura -4 TA Defensora</v>
          </cell>
          <cell r="P1284">
            <v>20</v>
          </cell>
          <cell r="Q1284">
            <v>25</v>
          </cell>
          <cell r="R1284">
            <v>0</v>
          </cell>
          <cell r="W1284" t="str">
            <v>Inmunidad</v>
          </cell>
          <cell r="Y1284" t="str">
            <v>PodHab_Inmunidad</v>
          </cell>
        </row>
        <row r="1285">
          <cell r="E1285" t="str">
            <v>Característica incrementada CON +5</v>
          </cell>
          <cell r="F1285">
            <v>25</v>
          </cell>
          <cell r="G1285">
            <v>180</v>
          </cell>
          <cell r="H1285">
            <v>0</v>
          </cell>
          <cell r="O1285" t="str">
            <v>Modificador de armadura -5 TA Defensora</v>
          </cell>
          <cell r="P1285">
            <v>25</v>
          </cell>
          <cell r="Q1285">
            <v>30</v>
          </cell>
          <cell r="R1285">
            <v>0</v>
          </cell>
          <cell r="W1285" t="str">
            <v>Vulnerabilidad extrema</v>
          </cell>
          <cell r="Y1285" t="str">
            <v>PodHab_Vulnerabilidadextrema</v>
          </cell>
        </row>
        <row r="1286">
          <cell r="E1286" t="str">
            <v>Característica incrementada DES +1</v>
          </cell>
          <cell r="F1286">
            <v>0</v>
          </cell>
          <cell r="G1286">
            <v>20</v>
          </cell>
          <cell r="H1286">
            <v>0</v>
          </cell>
          <cell r="I1286">
            <v>1</v>
          </cell>
          <cell r="O1286" t="str">
            <v>Ataque especial Distancia hasta 25m</v>
          </cell>
          <cell r="P1286">
            <v>5</v>
          </cell>
          <cell r="Q1286">
            <v>10</v>
          </cell>
          <cell r="R1286">
            <v>0</v>
          </cell>
          <cell r="W1286" t="str">
            <v>Barrera de daño</v>
          </cell>
          <cell r="Y1286" t="str">
            <v>PodHab_Barreradedaño</v>
          </cell>
        </row>
        <row r="1287">
          <cell r="E1287" t="str">
            <v>Característica incrementada DES +2</v>
          </cell>
          <cell r="F1287">
            <v>5</v>
          </cell>
          <cell r="G1287">
            <v>40</v>
          </cell>
          <cell r="H1287">
            <v>0</v>
          </cell>
          <cell r="I1287">
            <v>1</v>
          </cell>
          <cell r="O1287" t="str">
            <v>Ataque especial Distancia hasta 50m</v>
          </cell>
          <cell r="P1287">
            <v>10</v>
          </cell>
          <cell r="Q1287">
            <v>20</v>
          </cell>
          <cell r="R1287">
            <v>0</v>
          </cell>
          <cell r="W1287" t="str">
            <v>&gt; ARMADURAS</v>
          </cell>
          <cell r="Y1287" t="str">
            <v/>
          </cell>
        </row>
        <row r="1288">
          <cell r="E1288" t="str">
            <v>Característica incrementada DES +3</v>
          </cell>
          <cell r="F1288">
            <v>15</v>
          </cell>
          <cell r="G1288">
            <v>60</v>
          </cell>
          <cell r="H1288">
            <v>0</v>
          </cell>
          <cell r="I1288">
            <v>1</v>
          </cell>
          <cell r="O1288" t="str">
            <v>Ataque especial Distancia hasta 100m</v>
          </cell>
          <cell r="P1288">
            <v>15</v>
          </cell>
          <cell r="Q1288">
            <v>30</v>
          </cell>
          <cell r="R1288">
            <v>0</v>
          </cell>
          <cell r="W1288" t="str">
            <v>Armadura física</v>
          </cell>
          <cell r="Y1288" t="str">
            <v>PodHab_Armadurafísica</v>
          </cell>
        </row>
        <row r="1289">
          <cell r="E1289" t="str">
            <v>Característica incrementada DES +4</v>
          </cell>
          <cell r="F1289">
            <v>20</v>
          </cell>
          <cell r="G1289">
            <v>120</v>
          </cell>
          <cell r="H1289">
            <v>0</v>
          </cell>
          <cell r="O1289" t="str">
            <v>Ataque especial Distancia hasta 250m</v>
          </cell>
          <cell r="P1289">
            <v>20</v>
          </cell>
          <cell r="Q1289">
            <v>40</v>
          </cell>
          <cell r="R1289">
            <v>0</v>
          </cell>
          <cell r="W1289" t="str">
            <v>Armadura mística</v>
          </cell>
          <cell r="Y1289" t="str">
            <v>PodHab_Armaduramística</v>
          </cell>
        </row>
        <row r="1290">
          <cell r="E1290" t="str">
            <v>Característica incrementada DES +5</v>
          </cell>
          <cell r="F1290">
            <v>25</v>
          </cell>
          <cell r="G1290">
            <v>180</v>
          </cell>
          <cell r="H1290">
            <v>0</v>
          </cell>
          <cell r="O1290" t="str">
            <v>Ataque especial Distancia hasta 500m</v>
          </cell>
          <cell r="P1290">
            <v>25</v>
          </cell>
          <cell r="Q1290">
            <v>50</v>
          </cell>
          <cell r="R1290">
            <v>0</v>
          </cell>
          <cell r="W1290" t="str">
            <v>&gt; ÁNIMAS</v>
          </cell>
          <cell r="Y1290" t="str">
            <v/>
          </cell>
        </row>
        <row r="1291">
          <cell r="E1291" t="str">
            <v>Característica incrementada FUE +1</v>
          </cell>
          <cell r="F1291">
            <v>0</v>
          </cell>
          <cell r="G1291">
            <v>20</v>
          </cell>
          <cell r="H1291">
            <v>0</v>
          </cell>
          <cell r="I1291">
            <v>1</v>
          </cell>
          <cell r="O1291" t="str">
            <v>Ataque especial Distancia hasta 1km</v>
          </cell>
          <cell r="P1291">
            <v>30</v>
          </cell>
          <cell r="Q1291">
            <v>60</v>
          </cell>
          <cell r="R1291">
            <v>0</v>
          </cell>
          <cell r="W1291" t="str">
            <v>Habilidades Espirituales</v>
          </cell>
          <cell r="Y1291" t="str">
            <v>PodHab_HabilidadesEspirituales</v>
          </cell>
        </row>
        <row r="1292">
          <cell r="E1292" t="str">
            <v>Característica incrementada FUE +2</v>
          </cell>
          <cell r="F1292">
            <v>5</v>
          </cell>
          <cell r="G1292">
            <v>40</v>
          </cell>
          <cell r="H1292">
            <v>0</v>
          </cell>
          <cell r="I1292">
            <v>1</v>
          </cell>
          <cell r="O1292" t="str">
            <v>Ataque especial Distancia hasta 10 km</v>
          </cell>
          <cell r="P1292">
            <v>35</v>
          </cell>
          <cell r="Q1292">
            <v>70</v>
          </cell>
          <cell r="R1292">
            <v>0</v>
          </cell>
          <cell r="W1292" t="str">
            <v>&gt; HABILIDADES SOBRENATURALES INNATAS</v>
          </cell>
          <cell r="Y1292" t="str">
            <v/>
          </cell>
        </row>
        <row r="1293">
          <cell r="E1293" t="str">
            <v>Característica incrementada FUE +3</v>
          </cell>
          <cell r="F1293">
            <v>15</v>
          </cell>
          <cell r="G1293">
            <v>60</v>
          </cell>
          <cell r="H1293">
            <v>0</v>
          </cell>
          <cell r="I1293">
            <v>1</v>
          </cell>
          <cell r="O1293" t="str">
            <v>Ataque especial Cualquier distancia visible</v>
          </cell>
          <cell r="P1293">
            <v>40</v>
          </cell>
          <cell r="Q1293">
            <v>80</v>
          </cell>
          <cell r="R1293">
            <v>0</v>
          </cell>
          <cell r="W1293" t="str">
            <v>Aura</v>
          </cell>
          <cell r="Y1293" t="str">
            <v>PodHab_Aura</v>
          </cell>
        </row>
        <row r="1294">
          <cell r="E1294" t="str">
            <v>Característica incrementada FUE +4</v>
          </cell>
          <cell r="F1294">
            <v>20</v>
          </cell>
          <cell r="G1294">
            <v>120</v>
          </cell>
          <cell r="H1294">
            <v>0</v>
          </cell>
          <cell r="O1294" t="str">
            <v>Ataque especial Daño Base 40</v>
          </cell>
          <cell r="P1294">
            <v>5</v>
          </cell>
          <cell r="Q1294">
            <v>10</v>
          </cell>
          <cell r="R1294">
            <v>0</v>
          </cell>
          <cell r="W1294" t="str">
            <v>Forma</v>
          </cell>
          <cell r="Y1294" t="str">
            <v>PodHab_Forma</v>
          </cell>
        </row>
        <row r="1295">
          <cell r="E1295" t="str">
            <v>Característica incrementada FUE +5</v>
          </cell>
          <cell r="F1295">
            <v>25</v>
          </cell>
          <cell r="G1295">
            <v>180</v>
          </cell>
          <cell r="H1295">
            <v>0</v>
          </cell>
          <cell r="O1295" t="str">
            <v>Ataque especial Daño Base 50</v>
          </cell>
          <cell r="P1295">
            <v>10</v>
          </cell>
          <cell r="Q1295">
            <v>15</v>
          </cell>
          <cell r="R1295">
            <v>0</v>
          </cell>
          <cell r="W1295" t="str">
            <v>Indetecciones</v>
          </cell>
          <cell r="Y1295" t="str">
            <v>PodHab_Indetecciones</v>
          </cell>
        </row>
        <row r="1296">
          <cell r="E1296" t="str">
            <v>Característica incrementada INT +1</v>
          </cell>
          <cell r="F1296">
            <v>0</v>
          </cell>
          <cell r="G1296">
            <v>20</v>
          </cell>
          <cell r="H1296">
            <v>0</v>
          </cell>
          <cell r="I1296">
            <v>1</v>
          </cell>
          <cell r="O1296" t="str">
            <v>Ataque especial Daño Base 60</v>
          </cell>
          <cell r="P1296">
            <v>10</v>
          </cell>
          <cell r="Q1296">
            <v>20</v>
          </cell>
          <cell r="R1296">
            <v>0</v>
          </cell>
          <cell r="W1296" t="str">
            <v>Magia Innata</v>
          </cell>
          <cell r="Y1296" t="str">
            <v>PodHab_MagiaInnata</v>
          </cell>
        </row>
        <row r="1297">
          <cell r="E1297" t="str">
            <v>Característica incrementada INT +2</v>
          </cell>
          <cell r="F1297">
            <v>5</v>
          </cell>
          <cell r="G1297">
            <v>40</v>
          </cell>
          <cell r="H1297">
            <v>0</v>
          </cell>
          <cell r="I1297">
            <v>1</v>
          </cell>
          <cell r="O1297" t="str">
            <v>Ataque especial Daño Base 80</v>
          </cell>
          <cell r="P1297">
            <v>10</v>
          </cell>
          <cell r="Q1297">
            <v>25</v>
          </cell>
          <cell r="R1297">
            <v>0</v>
          </cell>
          <cell r="W1297" t="str">
            <v>Psíquica innata</v>
          </cell>
          <cell r="Y1297" t="str">
            <v>PodHab_Psíquicainnata</v>
          </cell>
        </row>
        <row r="1298">
          <cell r="E1298" t="str">
            <v>Característica incrementada INT +3</v>
          </cell>
          <cell r="F1298">
            <v>15</v>
          </cell>
          <cell r="G1298">
            <v>60</v>
          </cell>
          <cell r="H1298">
            <v>0</v>
          </cell>
          <cell r="I1298">
            <v>1</v>
          </cell>
          <cell r="O1298" t="str">
            <v>Ataque especial Daño Base 100</v>
          </cell>
          <cell r="P1298">
            <v>15</v>
          </cell>
          <cell r="Q1298">
            <v>30</v>
          </cell>
          <cell r="R1298">
            <v>0</v>
          </cell>
          <cell r="W1298" t="str">
            <v>Metamorfismo</v>
          </cell>
          <cell r="Y1298" t="str">
            <v>PodHab_Metamorfismo</v>
          </cell>
        </row>
        <row r="1299">
          <cell r="E1299" t="str">
            <v>Característica incrementada INT +4</v>
          </cell>
          <cell r="F1299">
            <v>20</v>
          </cell>
          <cell r="G1299">
            <v>120</v>
          </cell>
          <cell r="H1299">
            <v>0</v>
          </cell>
          <cell r="I1299">
            <v>1</v>
          </cell>
          <cell r="O1299" t="str">
            <v>Ataque especial Daño Base 120</v>
          </cell>
          <cell r="P1299">
            <v>20</v>
          </cell>
          <cell r="Q1299">
            <v>50</v>
          </cell>
          <cell r="R1299">
            <v>0</v>
          </cell>
          <cell r="W1299" t="str">
            <v>&gt;PERCEPCIONES ESPECIALES</v>
          </cell>
          <cell r="Y1299" t="str">
            <v/>
          </cell>
        </row>
        <row r="1300">
          <cell r="E1300" t="str">
            <v>Característica incrementada INT +5</v>
          </cell>
          <cell r="F1300">
            <v>25</v>
          </cell>
          <cell r="G1300">
            <v>180</v>
          </cell>
          <cell r="H1300">
            <v>0</v>
          </cell>
          <cell r="I1300">
            <v>1</v>
          </cell>
          <cell r="O1300" t="str">
            <v>Ataque especial Daño Base 150</v>
          </cell>
          <cell r="P1300">
            <v>20</v>
          </cell>
          <cell r="Q1300">
            <v>60</v>
          </cell>
          <cell r="R1300">
            <v>0</v>
          </cell>
          <cell r="W1300" t="str">
            <v>Detección sobrenatural</v>
          </cell>
          <cell r="Y1300" t="str">
            <v>PodHab_Detecciónsobrenatural</v>
          </cell>
        </row>
        <row r="1301">
          <cell r="E1301" t="str">
            <v>Característica incrementada PER +1</v>
          </cell>
          <cell r="F1301">
            <v>0</v>
          </cell>
          <cell r="G1301">
            <v>20</v>
          </cell>
          <cell r="H1301">
            <v>0</v>
          </cell>
          <cell r="I1301">
            <v>1</v>
          </cell>
          <cell r="O1301" t="str">
            <v>Ataque especial Daño Base 200</v>
          </cell>
          <cell r="P1301">
            <v>25</v>
          </cell>
          <cell r="Q1301">
            <v>80</v>
          </cell>
          <cell r="R1301">
            <v>0</v>
          </cell>
          <cell r="W1301" t="str">
            <v>Visión especial</v>
          </cell>
          <cell r="Y1301" t="str">
            <v>PodHab_Visiónespecial</v>
          </cell>
        </row>
        <row r="1302">
          <cell r="E1302" t="str">
            <v>Característica incrementada PER +2</v>
          </cell>
          <cell r="F1302">
            <v>5</v>
          </cell>
          <cell r="G1302">
            <v>40</v>
          </cell>
          <cell r="H1302">
            <v>0</v>
          </cell>
          <cell r="I1302">
            <v>1</v>
          </cell>
          <cell r="O1302" t="str">
            <v>Ataque especial Daño Base 250</v>
          </cell>
          <cell r="P1302">
            <v>30</v>
          </cell>
          <cell r="Q1302">
            <v>100</v>
          </cell>
          <cell r="R1302">
            <v>0</v>
          </cell>
          <cell r="W1302" t="str">
            <v>&gt; [CN] PODERES DE COMBATE</v>
          </cell>
          <cell r="Y1302" t="str">
            <v/>
          </cell>
        </row>
        <row r="1303">
          <cell r="E1303" t="str">
            <v>Característica incrementada PER +3</v>
          </cell>
          <cell r="F1303">
            <v>15</v>
          </cell>
          <cell r="G1303">
            <v>60</v>
          </cell>
          <cell r="H1303">
            <v>0</v>
          </cell>
          <cell r="I1303">
            <v>1</v>
          </cell>
          <cell r="O1303" t="str">
            <v>Ataque especial 1m de radio</v>
          </cell>
          <cell r="P1303">
            <v>10</v>
          </cell>
          <cell r="Q1303">
            <v>10</v>
          </cell>
          <cell r="R1303">
            <v>0</v>
          </cell>
          <cell r="W1303" t="str">
            <v>Acumular ataque</v>
          </cell>
          <cell r="Y1303" t="str">
            <v>PodHab_Acumularataque</v>
          </cell>
        </row>
        <row r="1304">
          <cell r="E1304" t="str">
            <v>Característica incrementada PER +4</v>
          </cell>
          <cell r="F1304">
            <v>20</v>
          </cell>
          <cell r="G1304">
            <v>120</v>
          </cell>
          <cell r="H1304">
            <v>0</v>
          </cell>
          <cell r="O1304" t="str">
            <v>Ataque especial 3m de radio</v>
          </cell>
          <cell r="P1304">
            <v>10</v>
          </cell>
          <cell r="Q1304">
            <v>20</v>
          </cell>
          <cell r="R1304">
            <v>0</v>
          </cell>
          <cell r="W1304" t="str">
            <v>Arma natural a distancia</v>
          </cell>
          <cell r="Y1304" t="str">
            <v>PodHab_Armanaturaladistancia</v>
          </cell>
        </row>
        <row r="1305">
          <cell r="E1305" t="str">
            <v>Característica incrementada PER +5</v>
          </cell>
          <cell r="F1305">
            <v>25</v>
          </cell>
          <cell r="G1305">
            <v>180</v>
          </cell>
          <cell r="H1305">
            <v>0</v>
          </cell>
          <cell r="O1305" t="str">
            <v>Ataque especial 5m de radio</v>
          </cell>
          <cell r="P1305">
            <v>15</v>
          </cell>
          <cell r="Q1305">
            <v>30</v>
          </cell>
          <cell r="R1305">
            <v>0</v>
          </cell>
          <cell r="W1305" t="str">
            <v>Ataque automático condicionado</v>
          </cell>
          <cell r="Y1305" t="str">
            <v>PodHab_Ataqueautomáticocondicionado</v>
          </cell>
        </row>
        <row r="1306">
          <cell r="E1306" t="str">
            <v>Característica incrementada POD +1</v>
          </cell>
          <cell r="F1306">
            <v>0</v>
          </cell>
          <cell r="G1306">
            <v>20</v>
          </cell>
          <cell r="H1306">
            <v>0</v>
          </cell>
          <cell r="I1306">
            <v>1</v>
          </cell>
          <cell r="O1306" t="str">
            <v>Ataque especial 10m de radio</v>
          </cell>
          <cell r="P1306">
            <v>20</v>
          </cell>
          <cell r="Q1306">
            <v>40</v>
          </cell>
          <cell r="R1306">
            <v>0</v>
          </cell>
          <cell r="W1306" t="str">
            <v>Ataque adicional independiente</v>
          </cell>
          <cell r="Y1306" t="str">
            <v/>
          </cell>
        </row>
        <row r="1307">
          <cell r="E1307" t="str">
            <v>Característica incrementada POD +2</v>
          </cell>
          <cell r="F1307">
            <v>5</v>
          </cell>
          <cell r="G1307">
            <v>40</v>
          </cell>
          <cell r="H1307">
            <v>0</v>
          </cell>
          <cell r="I1307">
            <v>1</v>
          </cell>
          <cell r="O1307" t="str">
            <v>Ataque especial 25m de radio</v>
          </cell>
          <cell r="P1307">
            <v>25</v>
          </cell>
          <cell r="Q1307">
            <v>50</v>
          </cell>
          <cell r="R1307">
            <v>0</v>
          </cell>
          <cell r="W1307" t="str">
            <v>Ataque camuflado</v>
          </cell>
          <cell r="Y1307" t="str">
            <v>PodHab_Ataquecamuflado</v>
          </cell>
        </row>
        <row r="1308">
          <cell r="E1308" t="str">
            <v>Característica incrementada POD +3</v>
          </cell>
          <cell r="F1308">
            <v>15</v>
          </cell>
          <cell r="G1308">
            <v>60</v>
          </cell>
          <cell r="H1308">
            <v>0</v>
          </cell>
          <cell r="I1308">
            <v>1</v>
          </cell>
          <cell r="O1308" t="str">
            <v>Ataque especial 50m de radio</v>
          </cell>
          <cell r="P1308">
            <v>30</v>
          </cell>
          <cell r="Q1308">
            <v>60</v>
          </cell>
          <cell r="R1308">
            <v>0</v>
          </cell>
          <cell r="W1308" t="str">
            <v>Ataque especial incrementado</v>
          </cell>
          <cell r="Y1308" t="str">
            <v>PodHab_Ataqueespecialincrementado</v>
          </cell>
        </row>
        <row r="1309">
          <cell r="E1309" t="str">
            <v>Característica incrementada POD +4</v>
          </cell>
          <cell r="F1309">
            <v>20</v>
          </cell>
          <cell r="G1309">
            <v>120</v>
          </cell>
          <cell r="H1309">
            <v>0</v>
          </cell>
          <cell r="O1309" t="str">
            <v>Ataque especial 100m de radio</v>
          </cell>
          <cell r="P1309">
            <v>35</v>
          </cell>
          <cell r="Q1309">
            <v>80</v>
          </cell>
          <cell r="R1309">
            <v>0</v>
          </cell>
          <cell r="W1309" t="str">
            <v>Ataque mantenido</v>
          </cell>
          <cell r="Y1309" t="str">
            <v>PodHab_Ataquemantenido</v>
          </cell>
        </row>
        <row r="1310">
          <cell r="E1310" t="str">
            <v>Característica incrementada POD +5</v>
          </cell>
          <cell r="F1310">
            <v>25</v>
          </cell>
          <cell r="G1310">
            <v>180</v>
          </cell>
          <cell r="H1310">
            <v>0</v>
          </cell>
          <cell r="O1310" t="str">
            <v>Ataque especial Uso adicional</v>
          </cell>
          <cell r="P1310">
            <v>10</v>
          </cell>
          <cell r="Q1310">
            <v>5</v>
          </cell>
          <cell r="R1310">
            <v>0</v>
          </cell>
          <cell r="W1310" t="str">
            <v>Ataque retardado</v>
          </cell>
          <cell r="Y1310" t="str">
            <v>PodHab_Ataqueretardado</v>
          </cell>
        </row>
        <row r="1311">
          <cell r="E1311" t="str">
            <v>Característica incrementada VOL +1</v>
          </cell>
          <cell r="F1311">
            <v>0</v>
          </cell>
          <cell r="G1311">
            <v>20</v>
          </cell>
          <cell r="H1311">
            <v>0</v>
          </cell>
          <cell r="I1311">
            <v>1</v>
          </cell>
          <cell r="O1311" t="str">
            <v>Ataque especial Sin límite</v>
          </cell>
          <cell r="P1311">
            <v>20</v>
          </cell>
          <cell r="Q1311">
            <v>60</v>
          </cell>
          <cell r="R1311">
            <v>0</v>
          </cell>
          <cell r="W1311" t="str">
            <v>Ataques múltiples aleatorios</v>
          </cell>
          <cell r="Y1311" t="str">
            <v>PodHab_Ataquesmúltiplesaleatorios</v>
          </cell>
        </row>
        <row r="1312">
          <cell r="E1312" t="str">
            <v>Característica incrementada VOL +2</v>
          </cell>
          <cell r="F1312">
            <v>5</v>
          </cell>
          <cell r="G1312">
            <v>40</v>
          </cell>
          <cell r="H1312">
            <v>0</v>
          </cell>
          <cell r="I1312">
            <v>1</v>
          </cell>
          <cell r="O1312" t="str">
            <v>Ataque especial Preparación 1 turno</v>
          </cell>
          <cell r="P1312">
            <v>5</v>
          </cell>
          <cell r="Q1312">
            <v>-10</v>
          </cell>
          <cell r="R1312">
            <v>0</v>
          </cell>
          <cell r="W1312" t="str">
            <v>Carga natural</v>
          </cell>
          <cell r="Y1312" t="str">
            <v/>
          </cell>
        </row>
        <row r="1313">
          <cell r="E1313" t="str">
            <v>Característica incrementada VOL +3</v>
          </cell>
          <cell r="F1313">
            <v>15</v>
          </cell>
          <cell r="G1313">
            <v>60</v>
          </cell>
          <cell r="H1313">
            <v>0</v>
          </cell>
          <cell r="I1313">
            <v>1</v>
          </cell>
          <cell r="O1313" t="str">
            <v>Ataque especial Preparación 2 turnos</v>
          </cell>
          <cell r="P1313">
            <v>5</v>
          </cell>
          <cell r="Q1313">
            <v>-20</v>
          </cell>
          <cell r="R1313">
            <v>0</v>
          </cell>
          <cell r="W1313" t="str">
            <v>Crítico automático</v>
          </cell>
          <cell r="Y1313" t="str">
            <v/>
          </cell>
        </row>
        <row r="1314">
          <cell r="E1314" t="str">
            <v>Característica incrementada VOL +4</v>
          </cell>
          <cell r="F1314">
            <v>20</v>
          </cell>
          <cell r="G1314">
            <v>120</v>
          </cell>
          <cell r="H1314">
            <v>0</v>
          </cell>
          <cell r="O1314" t="str">
            <v>Ataque especial Preparación 3 turnos</v>
          </cell>
          <cell r="P1314">
            <v>5</v>
          </cell>
          <cell r="Q1314">
            <v>-30</v>
          </cell>
          <cell r="R1314">
            <v>0</v>
          </cell>
          <cell r="W1314" t="str">
            <v>Escudo</v>
          </cell>
          <cell r="Y1314" t="str">
            <v>PodHab_Escudo</v>
          </cell>
        </row>
        <row r="1315">
          <cell r="E1315" t="str">
            <v>Característica incrementada VOL +5</v>
          </cell>
          <cell r="F1315">
            <v>25</v>
          </cell>
          <cell r="G1315">
            <v>180</v>
          </cell>
          <cell r="H1315">
            <v>0</v>
          </cell>
          <cell r="O1315" t="str">
            <v>Ataque especial Preparación 5 turnos</v>
          </cell>
          <cell r="P1315">
            <v>5</v>
          </cell>
          <cell r="Q1315">
            <v>-40</v>
          </cell>
          <cell r="R1315">
            <v>0</v>
          </cell>
          <cell r="W1315" t="str">
            <v>Estilo defensivo</v>
          </cell>
          <cell r="Y1315" t="str">
            <v/>
          </cell>
        </row>
        <row r="1316">
          <cell r="E1316" t="str">
            <v>Tamaño no natural +1</v>
          </cell>
          <cell r="F1316">
            <v>0</v>
          </cell>
          <cell r="G1316">
            <v>10</v>
          </cell>
          <cell r="H1316">
            <v>0</v>
          </cell>
          <cell r="I1316">
            <v>1</v>
          </cell>
          <cell r="O1316" t="str">
            <v>Ataque especial Preparación 10 turnos</v>
          </cell>
          <cell r="P1316">
            <v>5</v>
          </cell>
          <cell r="Q1316">
            <v>-50</v>
          </cell>
          <cell r="R1316">
            <v>0</v>
          </cell>
          <cell r="W1316" t="str">
            <v>Impactos de fuerza</v>
          </cell>
          <cell r="X1316" t="str">
            <v/>
          </cell>
          <cell r="Y1316" t="str">
            <v/>
          </cell>
        </row>
        <row r="1317">
          <cell r="E1317" t="str">
            <v>Tamaño no natural +2</v>
          </cell>
          <cell r="F1317">
            <v>0</v>
          </cell>
          <cell r="G1317">
            <v>10</v>
          </cell>
          <cell r="H1317">
            <v>0</v>
          </cell>
          <cell r="I1317">
            <v>1</v>
          </cell>
          <cell r="J1317">
            <v>0</v>
          </cell>
          <cell r="O1317" t="str">
            <v>Ataque especial FIL</v>
          </cell>
          <cell r="P1317">
            <v>0</v>
          </cell>
          <cell r="Q1317">
            <v>0</v>
          </cell>
          <cell r="R1317">
            <v>0</v>
          </cell>
          <cell r="W1317" t="str">
            <v>Imparable</v>
          </cell>
          <cell r="Y1317" t="str">
            <v>PodHab_Imparable</v>
          </cell>
        </row>
        <row r="1318">
          <cell r="E1318" t="str">
            <v>Tamaño no natural +3</v>
          </cell>
          <cell r="F1318">
            <v>0</v>
          </cell>
          <cell r="G1318">
            <v>10</v>
          </cell>
          <cell r="H1318">
            <v>0</v>
          </cell>
          <cell r="I1318">
            <v>1</v>
          </cell>
          <cell r="O1318" t="str">
            <v>Ataque especial PEN</v>
          </cell>
          <cell r="P1318">
            <v>0</v>
          </cell>
          <cell r="Q1318">
            <v>0</v>
          </cell>
          <cell r="R1318">
            <v>0</v>
          </cell>
          <cell r="W1318" t="str">
            <v>Reducción de daño</v>
          </cell>
          <cell r="Y1318" t="str">
            <v>PodHab_Reduccióndedaño</v>
          </cell>
        </row>
        <row r="1319">
          <cell r="E1319" t="str">
            <v>Tamaño no natural +4</v>
          </cell>
          <cell r="F1319">
            <v>0</v>
          </cell>
          <cell r="G1319">
            <v>10</v>
          </cell>
          <cell r="H1319">
            <v>0</v>
          </cell>
          <cell r="I1319">
            <v>1</v>
          </cell>
          <cell r="O1319" t="str">
            <v>Ataque especial CON</v>
          </cell>
          <cell r="P1319">
            <v>0</v>
          </cell>
          <cell r="Q1319">
            <v>0</v>
          </cell>
          <cell r="R1319">
            <v>0</v>
          </cell>
          <cell r="W1319" t="str">
            <v>Reflejar ataques</v>
          </cell>
          <cell r="Y1319" t="str">
            <v>PodHab_Reflejarataques</v>
          </cell>
        </row>
        <row r="1320">
          <cell r="E1320" t="str">
            <v>Tamaño no natural +5</v>
          </cell>
          <cell r="F1320">
            <v>0</v>
          </cell>
          <cell r="G1320">
            <v>10</v>
          </cell>
          <cell r="H1320">
            <v>0</v>
          </cell>
          <cell r="I1320">
            <v>1</v>
          </cell>
          <cell r="O1320" t="str">
            <v>Ataque especial CAL</v>
          </cell>
          <cell r="P1320">
            <v>0</v>
          </cell>
          <cell r="Q1320">
            <v>0</v>
          </cell>
          <cell r="R1320">
            <v>0</v>
          </cell>
          <cell r="W1320" t="str">
            <v>Rotura</v>
          </cell>
          <cell r="Y1320" t="str">
            <v>PodHab_Rotura</v>
          </cell>
        </row>
        <row r="1321">
          <cell r="E1321" t="str">
            <v>Tamaño no natural -1</v>
          </cell>
          <cell r="F1321">
            <v>0</v>
          </cell>
          <cell r="G1321">
            <v>10</v>
          </cell>
          <cell r="H1321">
            <v>0</v>
          </cell>
          <cell r="I1321">
            <v>1</v>
          </cell>
          <cell r="O1321" t="str">
            <v>Ataque especial FRI</v>
          </cell>
          <cell r="P1321">
            <v>0</v>
          </cell>
          <cell r="Q1321">
            <v>0</v>
          </cell>
          <cell r="R1321">
            <v>0</v>
          </cell>
          <cell r="W1321" t="str">
            <v>&gt; [CN] PODERES VARIOS</v>
          </cell>
          <cell r="Y1321" t="str">
            <v/>
          </cell>
        </row>
        <row r="1322">
          <cell r="E1322" t="str">
            <v>Tamaño no natural -2</v>
          </cell>
          <cell r="F1322">
            <v>0</v>
          </cell>
          <cell r="G1322">
            <v>10</v>
          </cell>
          <cell r="H1322">
            <v>0</v>
          </cell>
          <cell r="I1322">
            <v>1</v>
          </cell>
          <cell r="O1322" t="str">
            <v>Ataque especial ELE</v>
          </cell>
          <cell r="P1322">
            <v>0</v>
          </cell>
          <cell r="Q1322">
            <v>0</v>
          </cell>
          <cell r="R1322">
            <v>0</v>
          </cell>
          <cell r="W1322" t="str">
            <v>Efecto permanente</v>
          </cell>
          <cell r="Y1322" t="str">
            <v>PodHab_Efectopermanente</v>
          </cell>
        </row>
        <row r="1323">
          <cell r="E1323" t="str">
            <v>Tamaño no natural -3</v>
          </cell>
          <cell r="F1323">
            <v>0</v>
          </cell>
          <cell r="G1323">
            <v>10</v>
          </cell>
          <cell r="H1323">
            <v>0</v>
          </cell>
          <cell r="I1323">
            <v>1</v>
          </cell>
          <cell r="O1323" t="str">
            <v>Ataque especial ENE</v>
          </cell>
          <cell r="P1323">
            <v>0</v>
          </cell>
          <cell r="Q1323">
            <v>0</v>
          </cell>
          <cell r="R1323">
            <v>0</v>
          </cell>
          <cell r="W1323" t="str">
            <v>Planear</v>
          </cell>
          <cell r="Y1323" t="str">
            <v/>
          </cell>
        </row>
        <row r="1324">
          <cell r="E1324" t="str">
            <v>Tamaño no natural -4</v>
          </cell>
          <cell r="F1324">
            <v>0</v>
          </cell>
          <cell r="G1324">
            <v>10</v>
          </cell>
          <cell r="H1324">
            <v>0</v>
          </cell>
          <cell r="I1324">
            <v>1</v>
          </cell>
          <cell r="O1324" t="str">
            <v>Ataque venenoso Veneno de Nv 10</v>
          </cell>
          <cell r="P1324">
            <v>0</v>
          </cell>
          <cell r="Q1324">
            <v>10</v>
          </cell>
          <cell r="R1324">
            <v>0</v>
          </cell>
          <cell r="W1324" t="str">
            <v>Sentidos especiales</v>
          </cell>
          <cell r="Y1324" t="str">
            <v>PodHab_Sentidosespeciales</v>
          </cell>
        </row>
        <row r="1325">
          <cell r="E1325" t="str">
            <v>Tamaño no natural -5</v>
          </cell>
          <cell r="F1325">
            <v>0</v>
          </cell>
          <cell r="G1325">
            <v>10</v>
          </cell>
          <cell r="H1325">
            <v>0</v>
          </cell>
          <cell r="I1325">
            <v>1</v>
          </cell>
          <cell r="O1325" t="str">
            <v>Ataque venenoso Veneno de Nv 20</v>
          </cell>
          <cell r="P1325">
            <v>0</v>
          </cell>
          <cell r="Q1325">
            <v>20</v>
          </cell>
          <cell r="R1325">
            <v>0</v>
          </cell>
          <cell r="W1325" t="str">
            <v>Transformación</v>
          </cell>
          <cell r="Y1325" t="str">
            <v>PodHab_Transformación</v>
          </cell>
        </row>
        <row r="1326">
          <cell r="E1326" t="str">
            <v>Ambidiestro</v>
          </cell>
          <cell r="F1326">
            <v>0</v>
          </cell>
          <cell r="G1326">
            <v>30</v>
          </cell>
          <cell r="H1326">
            <v>0</v>
          </cell>
          <cell r="I1326">
            <v>1</v>
          </cell>
          <cell r="O1326" t="str">
            <v>Ataque venenoso Veneno de Nv 30</v>
          </cell>
          <cell r="P1326">
            <v>0</v>
          </cell>
          <cell r="Q1326">
            <v>30</v>
          </cell>
          <cell r="R1326">
            <v>0</v>
          </cell>
          <cell r="W1326" t="str">
            <v>&gt; [CN] PODERES MAGICOS Y PSIQUICOS</v>
          </cell>
          <cell r="Y1326" t="str">
            <v/>
          </cell>
        </row>
        <row r="1327">
          <cell r="E1327" t="str">
            <v>Inhumanidad</v>
          </cell>
          <cell r="F1327">
            <v>0</v>
          </cell>
          <cell r="G1327">
            <v>10</v>
          </cell>
          <cell r="H1327">
            <v>0</v>
          </cell>
          <cell r="I1327">
            <v>2</v>
          </cell>
          <cell r="O1327" t="str">
            <v>Ataque venenoso Veneno de Nv 40</v>
          </cell>
          <cell r="P1327">
            <v>0</v>
          </cell>
          <cell r="Q1327">
            <v>40</v>
          </cell>
          <cell r="R1327">
            <v>0</v>
          </cell>
          <cell r="W1327" t="str">
            <v>Maestría sobrenatural</v>
          </cell>
          <cell r="Y1327" t="str">
            <v>PodHab_Maestríasobrenatural</v>
          </cell>
        </row>
        <row r="1328">
          <cell r="E1328" t="str">
            <v>Zen</v>
          </cell>
          <cell r="F1328">
            <v>25</v>
          </cell>
          <cell r="G1328">
            <v>20</v>
          </cell>
          <cell r="H1328">
            <v>0</v>
          </cell>
          <cell r="I1328">
            <v>2</v>
          </cell>
          <cell r="O1328" t="str">
            <v>Ataque venenoso Veneno de Nv 50</v>
          </cell>
          <cell r="P1328">
            <v>0</v>
          </cell>
          <cell r="Q1328">
            <v>50</v>
          </cell>
          <cell r="R1328">
            <v>0</v>
          </cell>
          <cell r="W1328" t="str">
            <v>Magia natural</v>
          </cell>
          <cell r="Y1328" t="str">
            <v>PodHab_Magianatural</v>
          </cell>
        </row>
        <row r="1329">
          <cell r="E1329" t="str">
            <v>Respiración acuática</v>
          </cell>
          <cell r="F1329">
            <v>0</v>
          </cell>
          <cell r="G1329">
            <v>10</v>
          </cell>
          <cell r="H1329">
            <v>0</v>
          </cell>
          <cell r="O1329" t="str">
            <v>Ataque venenoso Veneno de Nv 60</v>
          </cell>
          <cell r="P1329">
            <v>0</v>
          </cell>
          <cell r="Q1329">
            <v>60</v>
          </cell>
          <cell r="R1329">
            <v>0</v>
          </cell>
          <cell r="W1329" t="str">
            <v>Mente Sistemática</v>
          </cell>
          <cell r="Y1329" t="str">
            <v/>
          </cell>
        </row>
        <row r="1330">
          <cell r="E1330" t="str">
            <v>Sin inconsciencia</v>
          </cell>
          <cell r="F1330">
            <v>5</v>
          </cell>
          <cell r="G1330">
            <v>10</v>
          </cell>
          <cell r="H1330">
            <v>0</v>
          </cell>
          <cell r="O1330" t="str">
            <v>Ataque venenoso Veneno de Nv 70</v>
          </cell>
          <cell r="P1330">
            <v>0</v>
          </cell>
          <cell r="Q1330">
            <v>80</v>
          </cell>
          <cell r="R1330">
            <v>0</v>
          </cell>
          <cell r="W1330" t="str">
            <v>&gt; [CN] PODERES DIVINOS</v>
          </cell>
          <cell r="Y1330" t="str">
            <v/>
          </cell>
        </row>
        <row r="1331">
          <cell r="E1331" t="str">
            <v>Incansable</v>
          </cell>
          <cell r="F1331">
            <v>15</v>
          </cell>
          <cell r="G1331">
            <v>20</v>
          </cell>
          <cell r="H1331">
            <v>0</v>
          </cell>
          <cell r="I1331">
            <v>1</v>
          </cell>
          <cell r="O1331" t="str">
            <v>Ataque venenoso Veneno de Nv 80</v>
          </cell>
          <cell r="P1331">
            <v>10</v>
          </cell>
          <cell r="Q1331">
            <v>100</v>
          </cell>
          <cell r="R1331">
            <v>0</v>
          </cell>
          <cell r="W1331" t="str">
            <v>Barrera existencial</v>
          </cell>
          <cell r="Y1331" t="str">
            <v/>
          </cell>
        </row>
        <row r="1332">
          <cell r="E1332" t="str">
            <v>No respira</v>
          </cell>
          <cell r="F1332">
            <v>15</v>
          </cell>
          <cell r="G1332">
            <v>10</v>
          </cell>
          <cell r="H1332">
            <v>0</v>
          </cell>
          <cell r="O1332" t="str">
            <v>Ataque venenoso Veneno de Nv 90</v>
          </cell>
          <cell r="P1332">
            <v>20</v>
          </cell>
          <cell r="Q1332">
            <v>140</v>
          </cell>
          <cell r="R1332">
            <v>0</v>
          </cell>
          <cell r="W1332" t="str">
            <v>Daño existencial</v>
          </cell>
          <cell r="Y1332" t="str">
            <v/>
          </cell>
        </row>
        <row r="1333">
          <cell r="E1333" t="str">
            <v>No se alimenta</v>
          </cell>
          <cell r="F1333">
            <v>15</v>
          </cell>
          <cell r="G1333">
            <v>10</v>
          </cell>
          <cell r="H1333">
            <v>0</v>
          </cell>
          <cell r="O1333" t="str">
            <v>Ataque venenoso Veneno de Nv 100</v>
          </cell>
          <cell r="P1333">
            <v>30</v>
          </cell>
          <cell r="Q1333">
            <v>180</v>
          </cell>
          <cell r="R1333">
            <v>0</v>
          </cell>
          <cell r="W1333" t="str">
            <v>Espacio cerrado</v>
          </cell>
          <cell r="Y1333" t="str">
            <v>PodHab_Espaciocerrado</v>
          </cell>
        </row>
        <row r="1334">
          <cell r="E1334" t="str">
            <v>No duerme</v>
          </cell>
          <cell r="F1334">
            <v>15</v>
          </cell>
          <cell r="G1334">
            <v>10</v>
          </cell>
          <cell r="H1334">
            <v>0</v>
          </cell>
          <cell r="O1334" t="str">
            <v>Efecto místico añadido RM o RF 40</v>
          </cell>
          <cell r="P1334">
            <v>5</v>
          </cell>
          <cell r="Q1334">
            <v>20</v>
          </cell>
          <cell r="R1334">
            <v>0</v>
          </cell>
          <cell r="W1334" t="str">
            <v>Existencia compacta</v>
          </cell>
          <cell r="Y1334" t="str">
            <v>PodHab_Existenciacompacta</v>
          </cell>
        </row>
        <row r="1335">
          <cell r="E1335" t="str">
            <v>Inmune a venenos naturales</v>
          </cell>
          <cell r="F1335">
            <v>20</v>
          </cell>
          <cell r="G1335">
            <v>20</v>
          </cell>
          <cell r="H1335">
            <v>0</v>
          </cell>
          <cell r="O1335" t="str">
            <v>Efecto místico añadido RM o RF 60</v>
          </cell>
          <cell r="P1335">
            <v>10</v>
          </cell>
          <cell r="Q1335">
            <v>30</v>
          </cell>
          <cell r="R1335">
            <v>0</v>
          </cell>
          <cell r="W1335" t="str">
            <v>Inmunidad Crítica</v>
          </cell>
          <cell r="Y1335" t="str">
            <v/>
          </cell>
        </row>
        <row r="1336">
          <cell r="E1336" t="str">
            <v>Inm. a enfermedades naturales</v>
          </cell>
          <cell r="F1336">
            <v>20</v>
          </cell>
          <cell r="G1336">
            <v>10</v>
          </cell>
          <cell r="H1336">
            <v>0</v>
          </cell>
          <cell r="O1336" t="str">
            <v>Efecto místico añadido RM o RF 80</v>
          </cell>
          <cell r="P1336">
            <v>15</v>
          </cell>
          <cell r="Q1336">
            <v>40</v>
          </cell>
          <cell r="R1336">
            <v>0</v>
          </cell>
          <cell r="W1336" t="str">
            <v>&gt; PODERES PERSONALIZADOS</v>
          </cell>
        </row>
        <row r="1337">
          <cell r="E1337" t="str">
            <v>Inm. a fenómenos climáticos</v>
          </cell>
          <cell r="F1337">
            <v>15</v>
          </cell>
          <cell r="G1337">
            <v>10</v>
          </cell>
          <cell r="H1337">
            <v>0</v>
          </cell>
          <cell r="O1337" t="str">
            <v>Efecto místico añadido RM o RF 100</v>
          </cell>
          <cell r="P1337">
            <v>15</v>
          </cell>
          <cell r="Q1337">
            <v>50</v>
          </cell>
          <cell r="R1337">
            <v>0</v>
          </cell>
          <cell r="W1337" t="str">
            <v>Poder #1</v>
          </cell>
        </row>
        <row r="1338">
          <cell r="E1338" t="str">
            <v>Exención física</v>
          </cell>
          <cell r="F1338">
            <v>20</v>
          </cell>
          <cell r="G1338">
            <v>50</v>
          </cell>
          <cell r="H1338">
            <v>0</v>
          </cell>
          <cell r="I1338">
            <v>2</v>
          </cell>
          <cell r="O1338" t="str">
            <v>Efecto místico añadido RM o RF 120</v>
          </cell>
          <cell r="P1338">
            <v>20</v>
          </cell>
          <cell r="Q1338">
            <v>60</v>
          </cell>
          <cell r="R1338">
            <v>0</v>
          </cell>
          <cell r="W1338" t="str">
            <v>Poder #2</v>
          </cell>
        </row>
        <row r="1339">
          <cell r="E1339" t="str">
            <v>Inm. a elemento: mitad daño</v>
          </cell>
          <cell r="F1339">
            <v>20</v>
          </cell>
          <cell r="G1339">
            <v>10</v>
          </cell>
          <cell r="H1339">
            <v>0</v>
          </cell>
          <cell r="O1339" t="str">
            <v>Efecto místico añadido RM o RF 140</v>
          </cell>
          <cell r="P1339">
            <v>25</v>
          </cell>
          <cell r="Q1339">
            <v>80</v>
          </cell>
          <cell r="R1339">
            <v>0</v>
          </cell>
          <cell r="W1339" t="str">
            <v>Poder #3</v>
          </cell>
        </row>
        <row r="1340">
          <cell r="E1340" t="str">
            <v>Inm. a elemento: completa</v>
          </cell>
          <cell r="F1340">
            <v>25</v>
          </cell>
          <cell r="G1340">
            <v>30</v>
          </cell>
          <cell r="H1340">
            <v>0</v>
          </cell>
          <cell r="O1340" t="str">
            <v>Efecto místico añadido RM o RF 160</v>
          </cell>
          <cell r="P1340">
            <v>30</v>
          </cell>
          <cell r="Q1340">
            <v>100</v>
          </cell>
          <cell r="R1340">
            <v>0</v>
          </cell>
          <cell r="W1340" t="str">
            <v>Poder #4</v>
          </cell>
        </row>
        <row r="1341">
          <cell r="E1341" t="str">
            <v>Inmunidad psicológica</v>
          </cell>
          <cell r="F1341">
            <v>10</v>
          </cell>
          <cell r="G1341">
            <v>20</v>
          </cell>
          <cell r="H1341">
            <v>0</v>
          </cell>
          <cell r="O1341" t="str">
            <v>Efecto místico añadido RM o RF 180</v>
          </cell>
          <cell r="P1341">
            <v>35</v>
          </cell>
          <cell r="Q1341">
            <v>120</v>
          </cell>
          <cell r="R1341">
            <v>0</v>
          </cell>
          <cell r="W1341" t="str">
            <v>Poder #5</v>
          </cell>
        </row>
        <row r="1342">
          <cell r="E1342" t="str">
            <v>&gt; VENTAJAS MÁGICAS ESENCIALES</v>
          </cell>
          <cell r="F1342">
            <v>0</v>
          </cell>
          <cell r="G1342">
            <v>0</v>
          </cell>
          <cell r="O1342" t="str">
            <v>Efecto místico añadido RM o RF 200</v>
          </cell>
          <cell r="P1342">
            <v>40</v>
          </cell>
          <cell r="Q1342">
            <v>140</v>
          </cell>
          <cell r="R1342">
            <v>0</v>
          </cell>
          <cell r="W1342" t="str">
            <v>Poder #6</v>
          </cell>
        </row>
        <row r="1343">
          <cell r="E1343" t="str">
            <v>Recuperación superior de magia</v>
          </cell>
          <cell r="F1343">
            <v>5</v>
          </cell>
          <cell r="G1343">
            <v>30</v>
          </cell>
          <cell r="H1343">
            <v>0</v>
          </cell>
          <cell r="I1343">
            <v>1</v>
          </cell>
          <cell r="O1343" t="str">
            <v>Efecto místico añadido Miedo</v>
          </cell>
          <cell r="P1343">
            <v>10</v>
          </cell>
          <cell r="Q1343">
            <v>20</v>
          </cell>
          <cell r="R1343">
            <v>0</v>
          </cell>
          <cell r="W1343" t="str">
            <v>Poder #7</v>
          </cell>
        </row>
        <row r="1344">
          <cell r="E1344" t="str">
            <v>Con. Natural de vía Luz 20</v>
          </cell>
          <cell r="F1344">
            <v>10</v>
          </cell>
          <cell r="G1344">
            <v>10</v>
          </cell>
          <cell r="H1344">
            <v>0</v>
          </cell>
          <cell r="I1344">
            <v>1</v>
          </cell>
          <cell r="J1344">
            <v>0</v>
          </cell>
          <cell r="O1344" t="str">
            <v>Efecto místico añadido Terror</v>
          </cell>
          <cell r="P1344">
            <v>20</v>
          </cell>
          <cell r="Q1344">
            <v>20</v>
          </cell>
          <cell r="R1344">
            <v>0</v>
          </cell>
          <cell r="W1344" t="str">
            <v>Poder #8</v>
          </cell>
        </row>
        <row r="1345">
          <cell r="E1345" t="str">
            <v>Con. Natural de vía Luz 40</v>
          </cell>
          <cell r="F1345">
            <v>15</v>
          </cell>
          <cell r="G1345">
            <v>20</v>
          </cell>
          <cell r="H1345">
            <v>0</v>
          </cell>
          <cell r="I1345">
            <v>1</v>
          </cell>
          <cell r="J1345">
            <v>0</v>
          </cell>
          <cell r="O1345" t="str">
            <v>Efecto místico añadido Dolor</v>
          </cell>
          <cell r="P1345">
            <v>10</v>
          </cell>
          <cell r="Q1345">
            <v>20</v>
          </cell>
          <cell r="R1345">
            <v>0</v>
          </cell>
          <cell r="W1345" t="str">
            <v>Poder #9</v>
          </cell>
        </row>
        <row r="1346">
          <cell r="E1346" t="str">
            <v>Con. Natural de vía Luz 60</v>
          </cell>
          <cell r="F1346">
            <v>20</v>
          </cell>
          <cell r="G1346">
            <v>30</v>
          </cell>
          <cell r="H1346">
            <v>0</v>
          </cell>
          <cell r="I1346">
            <v>1</v>
          </cell>
          <cell r="J1346">
            <v>0</v>
          </cell>
          <cell r="O1346" t="str">
            <v>Efecto místico añadido Dolor extremo</v>
          </cell>
          <cell r="P1346">
            <v>20</v>
          </cell>
          <cell r="Q1346">
            <v>40</v>
          </cell>
          <cell r="R1346">
            <v>0</v>
          </cell>
          <cell r="W1346" t="str">
            <v>Poder #10</v>
          </cell>
        </row>
        <row r="1347">
          <cell r="E1347" t="str">
            <v>Con. Natural de vía Luz 80</v>
          </cell>
          <cell r="F1347">
            <v>25</v>
          </cell>
          <cell r="G1347">
            <v>40</v>
          </cell>
          <cell r="H1347">
            <v>0</v>
          </cell>
          <cell r="I1347">
            <v>1</v>
          </cell>
          <cell r="J1347">
            <v>0</v>
          </cell>
          <cell r="O1347" t="str">
            <v>Efecto místico añadido Debilidad</v>
          </cell>
          <cell r="P1347">
            <v>10</v>
          </cell>
          <cell r="Q1347">
            <v>50</v>
          </cell>
          <cell r="R1347">
            <v>0</v>
          </cell>
          <cell r="W1347" t="str">
            <v>Habilidades esenciales</v>
          </cell>
        </row>
        <row r="1348">
          <cell r="E1348" t="str">
            <v>Con. Natural de vía Luz 90</v>
          </cell>
          <cell r="F1348">
            <v>30</v>
          </cell>
          <cell r="G1348">
            <v>50</v>
          </cell>
          <cell r="H1348">
            <v>0</v>
          </cell>
          <cell r="I1348">
            <v>1</v>
          </cell>
          <cell r="J1348">
            <v>0</v>
          </cell>
          <cell r="O1348" t="str">
            <v>Efecto místico añadido Paralización parcial</v>
          </cell>
          <cell r="P1348">
            <v>20</v>
          </cell>
          <cell r="Q1348">
            <v>40</v>
          </cell>
          <cell r="R1348">
            <v>0</v>
          </cell>
          <cell r="W1348" t="str">
            <v>&gt; VENTAJAS ESENCIALES</v>
          </cell>
        </row>
        <row r="1349">
          <cell r="E1349" t="str">
            <v>Con. Natural de vía Oscuridad 20</v>
          </cell>
          <cell r="F1349">
            <v>10</v>
          </cell>
          <cell r="G1349">
            <v>10</v>
          </cell>
          <cell r="H1349">
            <v>0</v>
          </cell>
          <cell r="I1349">
            <v>1</v>
          </cell>
          <cell r="J1349">
            <v>0</v>
          </cell>
          <cell r="O1349" t="str">
            <v>Efecto místico añadido Paralización completa</v>
          </cell>
          <cell r="P1349">
            <v>20</v>
          </cell>
          <cell r="Q1349">
            <v>80</v>
          </cell>
          <cell r="R1349">
            <v>0</v>
          </cell>
          <cell r="W1349" t="str">
            <v>Acceso a 1 disciplina psíquica</v>
          </cell>
          <cell r="Y1349" t="str">
            <v/>
          </cell>
        </row>
        <row r="1350">
          <cell r="E1350" t="str">
            <v>Con. Natural de vía Oscuridad 40</v>
          </cell>
          <cell r="F1350">
            <v>15</v>
          </cell>
          <cell r="G1350">
            <v>20</v>
          </cell>
          <cell r="H1350">
            <v>0</v>
          </cell>
          <cell r="I1350">
            <v>1</v>
          </cell>
          <cell r="J1350">
            <v>0</v>
          </cell>
          <cell r="O1350" t="str">
            <v>Efecto místico añadido Ira</v>
          </cell>
          <cell r="P1350">
            <v>20</v>
          </cell>
          <cell r="Q1350">
            <v>20</v>
          </cell>
          <cell r="R1350">
            <v>0</v>
          </cell>
          <cell r="W1350" t="str">
            <v>Acceso a disciplinas psíquicas</v>
          </cell>
          <cell r="Y1350" t="str">
            <v/>
          </cell>
        </row>
        <row r="1351">
          <cell r="E1351" t="str">
            <v>Con. Natural de vía Oscuridad 60</v>
          </cell>
          <cell r="F1351">
            <v>20</v>
          </cell>
          <cell r="G1351">
            <v>30</v>
          </cell>
          <cell r="H1351">
            <v>0</v>
          </cell>
          <cell r="I1351">
            <v>1</v>
          </cell>
          <cell r="J1351">
            <v>0</v>
          </cell>
          <cell r="O1351" t="str">
            <v>Efecto místico añadido Ceguera</v>
          </cell>
          <cell r="P1351">
            <v>10</v>
          </cell>
          <cell r="Q1351">
            <v>50</v>
          </cell>
          <cell r="R1351">
            <v>0</v>
          </cell>
          <cell r="W1351" t="str">
            <v>Afinidad</v>
          </cell>
          <cell r="Y1351" t="str">
            <v/>
          </cell>
        </row>
        <row r="1352">
          <cell r="E1352" t="str">
            <v>Con. Natural de vía Oscuridad 80</v>
          </cell>
          <cell r="F1352">
            <v>25</v>
          </cell>
          <cell r="G1352">
            <v>40</v>
          </cell>
          <cell r="H1352">
            <v>0</v>
          </cell>
          <cell r="I1352">
            <v>1</v>
          </cell>
          <cell r="J1352">
            <v>0</v>
          </cell>
          <cell r="O1352" t="str">
            <v>Efecto místico añadido Sordera</v>
          </cell>
          <cell r="P1352">
            <v>10</v>
          </cell>
          <cell r="Q1352">
            <v>10</v>
          </cell>
          <cell r="R1352">
            <v>0</v>
          </cell>
          <cell r="W1352" t="str">
            <v>Ambidiestro</v>
          </cell>
          <cell r="Y1352" t="str">
            <v/>
          </cell>
        </row>
        <row r="1353">
          <cell r="E1353" t="str">
            <v>Con. Natural de vía Oscuridad 90</v>
          </cell>
          <cell r="F1353">
            <v>30</v>
          </cell>
          <cell r="G1353">
            <v>50</v>
          </cell>
          <cell r="H1353">
            <v>0</v>
          </cell>
          <cell r="I1353">
            <v>1</v>
          </cell>
          <cell r="J1353">
            <v>0</v>
          </cell>
          <cell r="O1353" t="str">
            <v>Efecto místico añadido Mudez</v>
          </cell>
          <cell r="P1353">
            <v>10</v>
          </cell>
          <cell r="Q1353">
            <v>10</v>
          </cell>
          <cell r="R1353">
            <v>0</v>
          </cell>
          <cell r="W1353" t="str">
            <v>Car. anímicas divinas</v>
          </cell>
          <cell r="Y1353" t="str">
            <v/>
          </cell>
        </row>
        <row r="1354">
          <cell r="E1354" t="str">
            <v>Con. Natural de vía Fuego 20</v>
          </cell>
          <cell r="F1354">
            <v>10</v>
          </cell>
          <cell r="G1354">
            <v>10</v>
          </cell>
          <cell r="H1354">
            <v>0</v>
          </cell>
          <cell r="I1354">
            <v>1</v>
          </cell>
          <cell r="J1354">
            <v>0</v>
          </cell>
          <cell r="O1354" t="str">
            <v>Efecto místico añadido Fascinación</v>
          </cell>
          <cell r="P1354">
            <v>20</v>
          </cell>
          <cell r="Q1354">
            <v>20</v>
          </cell>
          <cell r="R1354">
            <v>0</v>
          </cell>
          <cell r="W1354" t="str">
            <v>Car. anímicas sobrehumanas</v>
          </cell>
          <cell r="Y1354" t="str">
            <v/>
          </cell>
        </row>
        <row r="1355">
          <cell r="E1355" t="str">
            <v>Con. Natural de vía Fuego 40</v>
          </cell>
          <cell r="F1355">
            <v>15</v>
          </cell>
          <cell r="G1355">
            <v>20</v>
          </cell>
          <cell r="H1355">
            <v>0</v>
          </cell>
          <cell r="I1355">
            <v>1</v>
          </cell>
          <cell r="O1355" t="str">
            <v>Efecto místico añadido Daño simple</v>
          </cell>
          <cell r="P1355">
            <v>10</v>
          </cell>
          <cell r="Q1355">
            <v>30</v>
          </cell>
          <cell r="R1355">
            <v>0</v>
          </cell>
          <cell r="W1355" t="str">
            <v>Car. anímicas sobrenaturales</v>
          </cell>
          <cell r="Y1355" t="str">
            <v/>
          </cell>
        </row>
        <row r="1356">
          <cell r="E1356" t="str">
            <v>Con. Natural de vía Fuego 60</v>
          </cell>
          <cell r="F1356">
            <v>20</v>
          </cell>
          <cell r="G1356">
            <v>30</v>
          </cell>
          <cell r="H1356">
            <v>0</v>
          </cell>
          <cell r="I1356">
            <v>1</v>
          </cell>
          <cell r="O1356" t="str">
            <v>Efecto místico añadido Daño doble</v>
          </cell>
          <cell r="P1356">
            <v>20</v>
          </cell>
          <cell r="Q1356">
            <v>60</v>
          </cell>
          <cell r="R1356">
            <v>0</v>
          </cell>
          <cell r="W1356" t="str">
            <v>Car. físicas divinas</v>
          </cell>
          <cell r="Y1356" t="str">
            <v/>
          </cell>
        </row>
        <row r="1357">
          <cell r="E1357" t="str">
            <v>Con. Natural de vía Fuego 80</v>
          </cell>
          <cell r="F1357">
            <v>25</v>
          </cell>
          <cell r="G1357">
            <v>40</v>
          </cell>
          <cell r="H1357">
            <v>0</v>
          </cell>
          <cell r="I1357">
            <v>1</v>
          </cell>
          <cell r="O1357" t="str">
            <v>Efecto místico añadido Inconsciencia</v>
          </cell>
          <cell r="P1357">
            <v>20</v>
          </cell>
          <cell r="Q1357">
            <v>100</v>
          </cell>
          <cell r="R1357">
            <v>0</v>
          </cell>
          <cell r="W1357" t="str">
            <v>Car. físicas sobrehumanas</v>
          </cell>
          <cell r="Y1357" t="str">
            <v/>
          </cell>
        </row>
        <row r="1358">
          <cell r="E1358" t="str">
            <v>Con. Natural de vía Fuego 90</v>
          </cell>
          <cell r="F1358">
            <v>30</v>
          </cell>
          <cell r="G1358">
            <v>50</v>
          </cell>
          <cell r="H1358">
            <v>0</v>
          </cell>
          <cell r="I1358">
            <v>1</v>
          </cell>
          <cell r="O1358" t="str">
            <v>Efecto místico añadido Dominio</v>
          </cell>
          <cell r="P1358">
            <v>25</v>
          </cell>
          <cell r="Q1358">
            <v>120</v>
          </cell>
          <cell r="R1358">
            <v>0</v>
          </cell>
          <cell r="W1358" t="str">
            <v>Car. físicas sobrenaturales</v>
          </cell>
          <cell r="Y1358" t="str">
            <v/>
          </cell>
        </row>
        <row r="1359">
          <cell r="E1359" t="str">
            <v>Con. Natural de vía Agua 20</v>
          </cell>
          <cell r="F1359">
            <v>10</v>
          </cell>
          <cell r="G1359">
            <v>10</v>
          </cell>
          <cell r="H1359">
            <v>0</v>
          </cell>
          <cell r="I1359">
            <v>1</v>
          </cell>
          <cell r="O1359" t="str">
            <v>Efecto místico añadido Muerte</v>
          </cell>
          <cell r="P1359">
            <v>25</v>
          </cell>
          <cell r="Q1359">
            <v>140</v>
          </cell>
          <cell r="R1359">
            <v>0</v>
          </cell>
          <cell r="W1359" t="str">
            <v>Característica Incrementada</v>
          </cell>
          <cell r="Y1359" t="str">
            <v>PodHab_CaracterísticaIncrementada</v>
          </cell>
        </row>
        <row r="1360">
          <cell r="E1360" t="str">
            <v>Con. Natural de vía Agua 40</v>
          </cell>
          <cell r="F1360">
            <v>15</v>
          </cell>
          <cell r="G1360">
            <v>20</v>
          </cell>
          <cell r="H1360">
            <v>0</v>
          </cell>
          <cell r="I1360">
            <v>1</v>
          </cell>
          <cell r="O1360" t="str">
            <v>Efecto místico añadido Locura</v>
          </cell>
          <cell r="P1360">
            <v>20</v>
          </cell>
          <cell r="Q1360">
            <v>20</v>
          </cell>
          <cell r="R1360">
            <v>0</v>
          </cell>
          <cell r="W1360" t="str">
            <v>Don</v>
          </cell>
        </row>
        <row r="1361">
          <cell r="E1361" t="str">
            <v>Con. Natural de vía Agua 60</v>
          </cell>
          <cell r="F1361">
            <v>20</v>
          </cell>
          <cell r="G1361">
            <v>30</v>
          </cell>
          <cell r="H1361">
            <v>0</v>
          </cell>
          <cell r="I1361">
            <v>1</v>
          </cell>
          <cell r="O1361" t="str">
            <v>Efecto místico añadido Vejez</v>
          </cell>
          <cell r="P1361">
            <v>20</v>
          </cell>
          <cell r="Q1361">
            <v>60</v>
          </cell>
          <cell r="R1361">
            <v>0</v>
          </cell>
          <cell r="W1361" t="str">
            <v>Exención física</v>
          </cell>
          <cell r="Y1361" t="str">
            <v/>
          </cell>
        </row>
        <row r="1362">
          <cell r="E1362" t="str">
            <v>Con. Natural de vía Agua 80</v>
          </cell>
          <cell r="F1362">
            <v>25</v>
          </cell>
          <cell r="G1362">
            <v>40</v>
          </cell>
          <cell r="H1362">
            <v>0</v>
          </cell>
          <cell r="I1362">
            <v>1</v>
          </cell>
          <cell r="O1362" t="str">
            <v>Efecto místico añadido Petrificación</v>
          </cell>
          <cell r="P1362">
            <v>20</v>
          </cell>
          <cell r="Q1362">
            <v>120</v>
          </cell>
          <cell r="R1362">
            <v>0</v>
          </cell>
          <cell r="W1362" t="str">
            <v>Incansable</v>
          </cell>
          <cell r="Y1362" t="str">
            <v/>
          </cell>
        </row>
        <row r="1363">
          <cell r="E1363" t="str">
            <v>Con. Natural de vía Agua 90</v>
          </cell>
          <cell r="F1363">
            <v>30</v>
          </cell>
          <cell r="G1363">
            <v>50</v>
          </cell>
          <cell r="H1363">
            <v>0</v>
          </cell>
          <cell r="I1363">
            <v>1</v>
          </cell>
          <cell r="O1363" t="str">
            <v>Efecto místico añadido Pen a toda acción</v>
          </cell>
          <cell r="P1363">
            <v>20</v>
          </cell>
          <cell r="Q1363">
            <v>60</v>
          </cell>
          <cell r="R1363">
            <v>0</v>
          </cell>
          <cell r="W1363" t="str">
            <v>Inhumanidad</v>
          </cell>
          <cell r="Y1363" t="str">
            <v/>
          </cell>
        </row>
        <row r="1364">
          <cell r="E1364" t="str">
            <v>Con. Natural de vía Aire 20</v>
          </cell>
          <cell r="F1364">
            <v>10</v>
          </cell>
          <cell r="G1364">
            <v>10</v>
          </cell>
          <cell r="H1364">
            <v>0</v>
          </cell>
          <cell r="I1364">
            <v>1</v>
          </cell>
          <cell r="O1364" t="str">
            <v>Efecto místico añadido Dest de características</v>
          </cell>
          <cell r="P1364">
            <v>20</v>
          </cell>
          <cell r="Q1364">
            <v>120</v>
          </cell>
          <cell r="R1364">
            <v>0</v>
          </cell>
          <cell r="W1364" t="str">
            <v>Inm. a elemento: completa</v>
          </cell>
          <cell r="Y1364" t="str">
            <v/>
          </cell>
        </row>
        <row r="1365">
          <cell r="E1365" t="str">
            <v>Con. Natural de vía Aire 40</v>
          </cell>
          <cell r="F1365">
            <v>15</v>
          </cell>
          <cell r="G1365">
            <v>20</v>
          </cell>
          <cell r="H1365">
            <v>0</v>
          </cell>
          <cell r="I1365">
            <v>1</v>
          </cell>
          <cell r="O1365" t="str">
            <v>Efecto místico añadido Posesión</v>
          </cell>
          <cell r="P1365">
            <v>25</v>
          </cell>
          <cell r="Q1365">
            <v>120</v>
          </cell>
          <cell r="R1365">
            <v>0</v>
          </cell>
          <cell r="W1365" t="str">
            <v>Inm. a elemento: mitad daño</v>
          </cell>
          <cell r="Y1365" t="str">
            <v/>
          </cell>
        </row>
        <row r="1366">
          <cell r="E1366" t="str">
            <v>Con. Natural de vía Aire 60</v>
          </cell>
          <cell r="F1366">
            <v>20</v>
          </cell>
          <cell r="G1366">
            <v>30</v>
          </cell>
          <cell r="H1366">
            <v>0</v>
          </cell>
          <cell r="I1366">
            <v>1</v>
          </cell>
          <cell r="O1366" t="str">
            <v>Efecto místico añadido Drenaje (Mitad)</v>
          </cell>
          <cell r="P1366">
            <v>10</v>
          </cell>
          <cell r="Q1366">
            <v>20</v>
          </cell>
          <cell r="R1366">
            <v>0</v>
          </cell>
          <cell r="W1366" t="str">
            <v>Inm. a enfermedades naturales</v>
          </cell>
          <cell r="Y1366" t="str">
            <v/>
          </cell>
        </row>
        <row r="1367">
          <cell r="E1367" t="str">
            <v>Con. Natural de vía Aire 80</v>
          </cell>
          <cell r="F1367">
            <v>25</v>
          </cell>
          <cell r="G1367">
            <v>40</v>
          </cell>
          <cell r="H1367">
            <v>0</v>
          </cell>
          <cell r="I1367">
            <v>1</v>
          </cell>
          <cell r="O1367" t="str">
            <v>Efecto místico añadido Drenaje (Completo)</v>
          </cell>
          <cell r="P1367">
            <v>15</v>
          </cell>
          <cell r="Q1367">
            <v>50</v>
          </cell>
          <cell r="R1367">
            <v>0</v>
          </cell>
          <cell r="W1367" t="str">
            <v>Inm. a fenómenos climáticos</v>
          </cell>
          <cell r="Y1367" t="str">
            <v/>
          </cell>
        </row>
        <row r="1368">
          <cell r="E1368" t="str">
            <v>Con. Natural de vía Aire 90</v>
          </cell>
          <cell r="F1368">
            <v>30</v>
          </cell>
          <cell r="G1368">
            <v>50</v>
          </cell>
          <cell r="H1368">
            <v>0</v>
          </cell>
          <cell r="I1368">
            <v>1</v>
          </cell>
          <cell r="O1368" t="str">
            <v>Efecto místico añadido Drenaje (Doble)</v>
          </cell>
          <cell r="P1368">
            <v>20</v>
          </cell>
          <cell r="Q1368">
            <v>100</v>
          </cell>
          <cell r="R1368">
            <v>0</v>
          </cell>
          <cell r="W1368" t="str">
            <v>Inmune a venenos naturales</v>
          </cell>
          <cell r="Y1368" t="str">
            <v/>
          </cell>
        </row>
        <row r="1369">
          <cell r="E1369" t="str">
            <v>Con. Natural de vía Tierra 20</v>
          </cell>
          <cell r="F1369">
            <v>10</v>
          </cell>
          <cell r="G1369">
            <v>10</v>
          </cell>
          <cell r="H1369">
            <v>0</v>
          </cell>
          <cell r="I1369">
            <v>1</v>
          </cell>
          <cell r="O1369" t="str">
            <v>Efecto místico añadido Efecto adicional</v>
          </cell>
          <cell r="P1369">
            <v>10</v>
          </cell>
          <cell r="Q1369">
            <v>10</v>
          </cell>
          <cell r="R1369">
            <v>0</v>
          </cell>
          <cell r="W1369" t="str">
            <v>Inmunidad psicológica</v>
          </cell>
          <cell r="Y1369" t="str">
            <v/>
          </cell>
        </row>
        <row r="1370">
          <cell r="E1370" t="str">
            <v>Con. Natural de vía Tierra 40</v>
          </cell>
          <cell r="F1370">
            <v>15</v>
          </cell>
          <cell r="G1370">
            <v>20</v>
          </cell>
          <cell r="H1370">
            <v>0</v>
          </cell>
          <cell r="I1370">
            <v>1</v>
          </cell>
          <cell r="O1370" t="str">
            <v>Efecto místico añadido Efecto condicionado</v>
          </cell>
          <cell r="P1370">
            <v>10</v>
          </cell>
          <cell r="Q1370">
            <v>-20</v>
          </cell>
          <cell r="R1370">
            <v>0</v>
          </cell>
          <cell r="W1370" t="str">
            <v>No duerme</v>
          </cell>
          <cell r="Y1370" t="str">
            <v/>
          </cell>
        </row>
        <row r="1371">
          <cell r="E1371" t="str">
            <v>Con. Natural de vía Tierra 60</v>
          </cell>
          <cell r="F1371">
            <v>20</v>
          </cell>
          <cell r="G1371">
            <v>30</v>
          </cell>
          <cell r="H1371">
            <v>0</v>
          </cell>
          <cell r="I1371">
            <v>1</v>
          </cell>
          <cell r="O1371" t="str">
            <v>Crítico incrementado +10 al Crítico</v>
          </cell>
          <cell r="P1371">
            <v>0</v>
          </cell>
          <cell r="Q1371">
            <v>10</v>
          </cell>
          <cell r="R1371">
            <v>0</v>
          </cell>
          <cell r="W1371" t="str">
            <v>No respira</v>
          </cell>
          <cell r="Y1371" t="str">
            <v/>
          </cell>
        </row>
        <row r="1372">
          <cell r="E1372" t="str">
            <v>Con. Natural de vía Tierra 80</v>
          </cell>
          <cell r="F1372">
            <v>25</v>
          </cell>
          <cell r="G1372">
            <v>40</v>
          </cell>
          <cell r="H1372">
            <v>0</v>
          </cell>
          <cell r="I1372">
            <v>1</v>
          </cell>
          <cell r="O1372" t="str">
            <v>Crítico incrementado +20 al Crítico</v>
          </cell>
          <cell r="P1372">
            <v>0</v>
          </cell>
          <cell r="Q1372">
            <v>20</v>
          </cell>
          <cell r="R1372">
            <v>0</v>
          </cell>
          <cell r="W1372" t="str">
            <v>No se alimenta</v>
          </cell>
          <cell r="Y1372" t="str">
            <v/>
          </cell>
        </row>
        <row r="1373">
          <cell r="E1373" t="str">
            <v>Con. Natural de vía Tierra 90</v>
          </cell>
          <cell r="F1373">
            <v>30</v>
          </cell>
          <cell r="G1373">
            <v>50</v>
          </cell>
          <cell r="H1373">
            <v>0</v>
          </cell>
          <cell r="I1373">
            <v>1</v>
          </cell>
          <cell r="O1373" t="str">
            <v>Crítico incrementado +30 al Crítico</v>
          </cell>
          <cell r="P1373">
            <v>0</v>
          </cell>
          <cell r="Q1373">
            <v>30</v>
          </cell>
          <cell r="R1373">
            <v>0</v>
          </cell>
          <cell r="W1373" t="str">
            <v>Resistencia al cansancio</v>
          </cell>
          <cell r="Y1373" t="str">
            <v/>
          </cell>
        </row>
        <row r="1374">
          <cell r="E1374" t="str">
            <v>Con. Natural de vía Creación 20</v>
          </cell>
          <cell r="F1374">
            <v>10</v>
          </cell>
          <cell r="G1374">
            <v>10</v>
          </cell>
          <cell r="H1374">
            <v>0</v>
          </cell>
          <cell r="I1374">
            <v>1</v>
          </cell>
          <cell r="O1374" t="str">
            <v>Crítico incrementado +40 al Crítico</v>
          </cell>
          <cell r="P1374">
            <v>5</v>
          </cell>
          <cell r="Q1374">
            <v>40</v>
          </cell>
          <cell r="R1374">
            <v>0</v>
          </cell>
          <cell r="W1374" t="str">
            <v>Respiración acuática</v>
          </cell>
          <cell r="Y1374" t="str">
            <v/>
          </cell>
        </row>
        <row r="1375">
          <cell r="E1375" t="str">
            <v>Con. Natural de vía Creación 40</v>
          </cell>
          <cell r="F1375">
            <v>15</v>
          </cell>
          <cell r="G1375">
            <v>20</v>
          </cell>
          <cell r="H1375">
            <v>0</v>
          </cell>
          <cell r="I1375">
            <v>1</v>
          </cell>
          <cell r="O1375" t="str">
            <v>Crítico incrementado +50 al Crítico</v>
          </cell>
          <cell r="P1375">
            <v>5</v>
          </cell>
          <cell r="Q1375">
            <v>50</v>
          </cell>
          <cell r="R1375">
            <v>0</v>
          </cell>
          <cell r="W1375" t="str">
            <v>Sentido agudizado</v>
          </cell>
          <cell r="Y1375" t="str">
            <v>PodHab_Sentidoagudizado</v>
          </cell>
        </row>
        <row r="1376">
          <cell r="E1376" t="str">
            <v>Con. Natural de vía Creación 60</v>
          </cell>
          <cell r="F1376">
            <v>20</v>
          </cell>
          <cell r="G1376">
            <v>30</v>
          </cell>
          <cell r="H1376">
            <v>0</v>
          </cell>
          <cell r="I1376">
            <v>1</v>
          </cell>
          <cell r="O1376" t="str">
            <v>Crítico incrementado +60 al Crítico</v>
          </cell>
          <cell r="P1376">
            <v>10</v>
          </cell>
          <cell r="Q1376">
            <v>60</v>
          </cell>
          <cell r="R1376">
            <v>0</v>
          </cell>
          <cell r="W1376" t="str">
            <v>Sin inconsciencia</v>
          </cell>
          <cell r="Y1376" t="str">
            <v/>
          </cell>
        </row>
        <row r="1377">
          <cell r="E1377" t="str">
            <v>Con. Natural de vía Creación 80</v>
          </cell>
          <cell r="F1377">
            <v>25</v>
          </cell>
          <cell r="G1377">
            <v>40</v>
          </cell>
          <cell r="H1377">
            <v>0</v>
          </cell>
          <cell r="I1377">
            <v>1</v>
          </cell>
          <cell r="O1377" t="str">
            <v>Crítico incrementado +70 al Crítico</v>
          </cell>
          <cell r="P1377">
            <v>20</v>
          </cell>
          <cell r="Q1377">
            <v>70</v>
          </cell>
          <cell r="R1377">
            <v>0</v>
          </cell>
          <cell r="W1377" t="str">
            <v>Tamaño no natural</v>
          </cell>
          <cell r="Y1377" t="str">
            <v>PodHab_Tamañononatural</v>
          </cell>
        </row>
        <row r="1378">
          <cell r="E1378" t="str">
            <v>Con. Natural de vía Creación 90</v>
          </cell>
          <cell r="F1378">
            <v>30</v>
          </cell>
          <cell r="G1378">
            <v>50</v>
          </cell>
          <cell r="H1378">
            <v>0</v>
          </cell>
          <cell r="I1378">
            <v>1</v>
          </cell>
          <cell r="O1378" t="str">
            <v>Crítico incrementado +80 al Crítico</v>
          </cell>
          <cell r="P1378">
            <v>30</v>
          </cell>
          <cell r="Q1378">
            <v>80</v>
          </cell>
          <cell r="R1378">
            <v>0</v>
          </cell>
          <cell r="W1378" t="str">
            <v>Zen</v>
          </cell>
        </row>
        <row r="1379">
          <cell r="E1379" t="str">
            <v>Con. Natural de vía Destrucción 20</v>
          </cell>
          <cell r="F1379">
            <v>10</v>
          </cell>
          <cell r="G1379">
            <v>10</v>
          </cell>
          <cell r="H1379">
            <v>0</v>
          </cell>
          <cell r="I1379">
            <v>1</v>
          </cell>
          <cell r="O1379" t="str">
            <v>Crítico incrementado +90 al Crítico</v>
          </cell>
          <cell r="P1379">
            <v>30</v>
          </cell>
          <cell r="Q1379">
            <v>90</v>
          </cell>
          <cell r="R1379">
            <v>0</v>
          </cell>
          <cell r="W1379" t="str">
            <v>&gt; VENTAJAS MÁGICAS ESENCIALES</v>
          </cell>
          <cell r="Y1379" t="str">
            <v/>
          </cell>
        </row>
        <row r="1380">
          <cell r="E1380" t="str">
            <v>Con. Natural de vía Destrucción 40</v>
          </cell>
          <cell r="F1380">
            <v>15</v>
          </cell>
          <cell r="G1380">
            <v>20</v>
          </cell>
          <cell r="H1380">
            <v>0</v>
          </cell>
          <cell r="I1380">
            <v>1</v>
          </cell>
          <cell r="O1380" t="str">
            <v>Crítico incrementado +100 al Crítico</v>
          </cell>
          <cell r="P1380">
            <v>40</v>
          </cell>
          <cell r="Q1380">
            <v>100</v>
          </cell>
          <cell r="R1380">
            <v>0</v>
          </cell>
          <cell r="W1380" t="str">
            <v>Con. Natural de vía</v>
          </cell>
          <cell r="Y1380" t="str">
            <v>PodHab_Con.Naturaldevía</v>
          </cell>
        </row>
        <row r="1381">
          <cell r="E1381" t="str">
            <v>Con. Natural de vía Destrucción 60</v>
          </cell>
          <cell r="F1381">
            <v>20</v>
          </cell>
          <cell r="G1381">
            <v>30</v>
          </cell>
          <cell r="H1381">
            <v>0</v>
          </cell>
          <cell r="I1381">
            <v>1</v>
          </cell>
          <cell r="O1381" t="str">
            <v>Presa especial Presa 6</v>
          </cell>
          <cell r="P1381">
            <v>0</v>
          </cell>
          <cell r="Q1381">
            <v>10</v>
          </cell>
          <cell r="R1381">
            <v>0</v>
          </cell>
          <cell r="W1381" t="str">
            <v>Inutilidad oral</v>
          </cell>
        </row>
        <row r="1382">
          <cell r="E1382" t="str">
            <v>Con. Natural de vía Destrucción 80</v>
          </cell>
          <cell r="F1382">
            <v>25</v>
          </cell>
          <cell r="G1382">
            <v>40</v>
          </cell>
          <cell r="H1382">
            <v>0</v>
          </cell>
          <cell r="I1382">
            <v>1</v>
          </cell>
          <cell r="O1382" t="str">
            <v>Presa especial Presa 8</v>
          </cell>
          <cell r="P1382">
            <v>0</v>
          </cell>
          <cell r="Q1382">
            <v>20</v>
          </cell>
          <cell r="R1382">
            <v>0</v>
          </cell>
          <cell r="W1382" t="str">
            <v>Inutilidad somática</v>
          </cell>
        </row>
        <row r="1383">
          <cell r="E1383" t="str">
            <v>Con. Natural de vía Destrucción 90</v>
          </cell>
          <cell r="F1383">
            <v>30</v>
          </cell>
          <cell r="G1383">
            <v>50</v>
          </cell>
          <cell r="H1383">
            <v>0</v>
          </cell>
          <cell r="I1383">
            <v>1</v>
          </cell>
          <cell r="O1383" t="str">
            <v>Presa especial Presa 10</v>
          </cell>
          <cell r="P1383">
            <v>0</v>
          </cell>
          <cell r="Q1383">
            <v>30</v>
          </cell>
          <cell r="R1383">
            <v>0</v>
          </cell>
          <cell r="W1383" t="str">
            <v>Magia innata mejorada</v>
          </cell>
          <cell r="Y1383" t="str">
            <v/>
          </cell>
        </row>
        <row r="1384">
          <cell r="E1384" t="str">
            <v>Con. Natural de vía Esencia 20</v>
          </cell>
          <cell r="F1384">
            <v>10</v>
          </cell>
          <cell r="G1384">
            <v>10</v>
          </cell>
          <cell r="H1384">
            <v>0</v>
          </cell>
          <cell r="I1384">
            <v>1</v>
          </cell>
          <cell r="O1384" t="str">
            <v>Presa especial Presa 12</v>
          </cell>
          <cell r="P1384">
            <v>10</v>
          </cell>
          <cell r="Q1384">
            <v>40</v>
          </cell>
          <cell r="R1384">
            <v>0</v>
          </cell>
          <cell r="W1384" t="str">
            <v>Recuperación superior de magia</v>
          </cell>
          <cell r="Y1384" t="str">
            <v/>
          </cell>
        </row>
        <row r="1385">
          <cell r="E1385" t="str">
            <v>Con. Natural de vía Esencia 40</v>
          </cell>
          <cell r="F1385">
            <v>15</v>
          </cell>
          <cell r="G1385">
            <v>20</v>
          </cell>
          <cell r="H1385">
            <v>0</v>
          </cell>
          <cell r="I1385">
            <v>1</v>
          </cell>
          <cell r="O1385" t="str">
            <v>Presa especial Presa 14</v>
          </cell>
          <cell r="P1385">
            <v>20</v>
          </cell>
          <cell r="Q1385">
            <v>60</v>
          </cell>
          <cell r="R1385">
            <v>0</v>
          </cell>
          <cell r="W1385" t="str">
            <v>&gt; VENTAJAS PSÍQUICAS ESENCIALES</v>
          </cell>
          <cell r="Y1385" t="str">
            <v/>
          </cell>
        </row>
        <row r="1386">
          <cell r="E1386" t="str">
            <v>Con. Natural de vía Esencia 60</v>
          </cell>
          <cell r="F1386">
            <v>20</v>
          </cell>
          <cell r="G1386">
            <v>30</v>
          </cell>
          <cell r="H1386">
            <v>0</v>
          </cell>
          <cell r="I1386">
            <v>1</v>
          </cell>
          <cell r="O1386" t="str">
            <v>Presa especial Presa 16</v>
          </cell>
          <cell r="P1386">
            <v>25</v>
          </cell>
          <cell r="Q1386">
            <v>80</v>
          </cell>
          <cell r="R1386">
            <v>0</v>
          </cell>
          <cell r="W1386" t="str">
            <v>Calibre</v>
          </cell>
          <cell r="Y1386" t="str">
            <v/>
          </cell>
        </row>
        <row r="1387">
          <cell r="E1387" t="str">
            <v>Con. Natural de vía Esencia 80</v>
          </cell>
          <cell r="F1387">
            <v>25</v>
          </cell>
          <cell r="G1387">
            <v>40</v>
          </cell>
          <cell r="H1387">
            <v>0</v>
          </cell>
          <cell r="I1387">
            <v>1</v>
          </cell>
          <cell r="O1387" t="str">
            <v>Ataque sobrenatural</v>
          </cell>
          <cell r="P1387">
            <v>20</v>
          </cell>
          <cell r="Q1387">
            <v>60</v>
          </cell>
          <cell r="R1387">
            <v>0</v>
          </cell>
          <cell r="W1387" t="str">
            <v>Concentración extrema</v>
          </cell>
          <cell r="Y1387" t="str">
            <v/>
          </cell>
        </row>
        <row r="1388">
          <cell r="E1388" t="str">
            <v>Con. Natural de vía Esencia 90</v>
          </cell>
          <cell r="F1388">
            <v>30</v>
          </cell>
          <cell r="G1388">
            <v>50</v>
          </cell>
          <cell r="H1388">
            <v>0</v>
          </cell>
          <cell r="I1388">
            <v>1</v>
          </cell>
          <cell r="O1388" t="str">
            <v>Ataque elemental Fuego</v>
          </cell>
          <cell r="P1388">
            <v>10</v>
          </cell>
          <cell r="Q1388">
            <v>10</v>
          </cell>
          <cell r="R1388">
            <v>0</v>
          </cell>
          <cell r="W1388" t="str">
            <v>Concentración pasiva</v>
          </cell>
          <cell r="Y1388" t="str">
            <v/>
          </cell>
        </row>
        <row r="1389">
          <cell r="E1389" t="str">
            <v>Con. Natural de vía Ilusión 20</v>
          </cell>
          <cell r="F1389">
            <v>10</v>
          </cell>
          <cell r="G1389">
            <v>10</v>
          </cell>
          <cell r="H1389">
            <v>0</v>
          </cell>
          <cell r="I1389">
            <v>1</v>
          </cell>
          <cell r="O1389" t="str">
            <v>Ataque elemental Aire</v>
          </cell>
          <cell r="P1389">
            <v>10</v>
          </cell>
          <cell r="Q1389">
            <v>10</v>
          </cell>
          <cell r="R1389">
            <v>0</v>
          </cell>
          <cell r="W1389" t="str">
            <v>Des. Psíquico</v>
          </cell>
          <cell r="Y1389" t="str">
            <v>Disciplinas_Psi</v>
          </cell>
        </row>
        <row r="1390">
          <cell r="E1390" t="str">
            <v>Con. Natural de vía Ilusión 40</v>
          </cell>
          <cell r="F1390">
            <v>15</v>
          </cell>
          <cell r="G1390">
            <v>20</v>
          </cell>
          <cell r="H1390">
            <v>0</v>
          </cell>
          <cell r="I1390">
            <v>1</v>
          </cell>
          <cell r="O1390" t="str">
            <v>Ataque elemental Agua</v>
          </cell>
          <cell r="P1390">
            <v>10</v>
          </cell>
          <cell r="Q1390">
            <v>10</v>
          </cell>
          <cell r="R1390">
            <v>0</v>
          </cell>
          <cell r="W1390" t="str">
            <v>Mantenimiento añadido</v>
          </cell>
        </row>
        <row r="1391">
          <cell r="E1391" t="str">
            <v>Con. Natural de vía Ilusión 60</v>
          </cell>
          <cell r="F1391">
            <v>20</v>
          </cell>
          <cell r="G1391">
            <v>30</v>
          </cell>
          <cell r="H1391">
            <v>0</v>
          </cell>
          <cell r="I1391">
            <v>1</v>
          </cell>
          <cell r="O1391" t="str">
            <v>Ataque elemental Tierra</v>
          </cell>
          <cell r="P1391">
            <v>10</v>
          </cell>
          <cell r="Q1391">
            <v>10</v>
          </cell>
          <cell r="R1391">
            <v>0</v>
          </cell>
          <cell r="W1391" t="str">
            <v>Recuperación rápida de CVs</v>
          </cell>
          <cell r="X1391" t="str">
            <v>Disciplinas_Psi</v>
          </cell>
        </row>
        <row r="1392">
          <cell r="E1392" t="str">
            <v>Con. Natural de vía Ilusión 80</v>
          </cell>
          <cell r="F1392">
            <v>25</v>
          </cell>
          <cell r="G1392">
            <v>40</v>
          </cell>
          <cell r="H1392">
            <v>0</v>
          </cell>
          <cell r="I1392">
            <v>1</v>
          </cell>
          <cell r="O1392" t="str">
            <v>Ataque elemental Luz</v>
          </cell>
          <cell r="P1392">
            <v>10</v>
          </cell>
          <cell r="Q1392">
            <v>10</v>
          </cell>
          <cell r="R1392">
            <v>0</v>
          </cell>
          <cell r="W1392" t="str">
            <v>Resistencia a la fatiga psíquica</v>
          </cell>
          <cell r="Y1392" t="str">
            <v/>
          </cell>
        </row>
        <row r="1393">
          <cell r="E1393" t="str">
            <v>Con. Natural de vía Ilusión 90</v>
          </cell>
          <cell r="F1393">
            <v>30</v>
          </cell>
          <cell r="G1393">
            <v>50</v>
          </cell>
          <cell r="H1393">
            <v>0</v>
          </cell>
          <cell r="I1393">
            <v>1</v>
          </cell>
          <cell r="O1393" t="str">
            <v>Ataque elemental Oscuridad</v>
          </cell>
          <cell r="P1393">
            <v>10</v>
          </cell>
          <cell r="Q1393">
            <v>10</v>
          </cell>
          <cell r="R1393">
            <v>0</v>
          </cell>
          <cell r="W1393" t="str">
            <v>&gt; DESVENTAJAS ESENCIALES</v>
          </cell>
          <cell r="Y1393" t="str">
            <v/>
          </cell>
        </row>
        <row r="1394">
          <cell r="E1394" t="str">
            <v>Con. Natural de vía Nigromancia 20</v>
          </cell>
          <cell r="F1394">
            <v>10</v>
          </cell>
          <cell r="G1394">
            <v>10</v>
          </cell>
          <cell r="H1394">
            <v>0</v>
          </cell>
          <cell r="I1394">
            <v>1</v>
          </cell>
          <cell r="O1394" t="str">
            <v>&gt; DESPLAZAMIENTOS Y TRANSPORTES</v>
          </cell>
          <cell r="W1394" t="str">
            <v>Carencia de un sentido</v>
          </cell>
          <cell r="Y1394" t="str">
            <v/>
          </cell>
        </row>
        <row r="1395">
          <cell r="E1395" t="str">
            <v>Con. Natural de vía Nigromancia 40</v>
          </cell>
          <cell r="F1395">
            <v>15</v>
          </cell>
          <cell r="G1395">
            <v>20</v>
          </cell>
          <cell r="H1395">
            <v>0</v>
          </cell>
          <cell r="I1395">
            <v>1</v>
          </cell>
          <cell r="O1395" t="str">
            <v>Desplazamiento especial Movimiento acuático</v>
          </cell>
          <cell r="P1395">
            <v>0</v>
          </cell>
          <cell r="Q1395">
            <v>20</v>
          </cell>
          <cell r="R1395">
            <v>0</v>
          </cell>
          <cell r="W1395" t="str">
            <v>Ciego</v>
          </cell>
          <cell r="Y1395" t="str">
            <v/>
          </cell>
        </row>
        <row r="1396">
          <cell r="E1396" t="str">
            <v>Con. Natural de vía Nigromancia 60</v>
          </cell>
          <cell r="F1396">
            <v>20</v>
          </cell>
          <cell r="G1396">
            <v>30</v>
          </cell>
          <cell r="H1396">
            <v>0</v>
          </cell>
          <cell r="I1396">
            <v>1</v>
          </cell>
          <cell r="O1396" t="str">
            <v>Desplazamiento especial Movimiento libre</v>
          </cell>
          <cell r="P1396">
            <v>5</v>
          </cell>
          <cell r="Q1396">
            <v>20</v>
          </cell>
          <cell r="R1396">
            <v>0</v>
          </cell>
          <cell r="W1396" t="str">
            <v>Miedo racial</v>
          </cell>
          <cell r="Y1396" t="str">
            <v/>
          </cell>
        </row>
        <row r="1397">
          <cell r="E1397" t="str">
            <v>Con. Natural de vía Nigromancia 80</v>
          </cell>
          <cell r="F1397">
            <v>25</v>
          </cell>
          <cell r="G1397">
            <v>40</v>
          </cell>
          <cell r="H1397">
            <v>0</v>
          </cell>
          <cell r="I1397">
            <v>1</v>
          </cell>
          <cell r="O1397" t="str">
            <v>Desplazamiento especial Movimiento sin peso</v>
          </cell>
          <cell r="P1397">
            <v>15</v>
          </cell>
          <cell r="Q1397">
            <v>10</v>
          </cell>
          <cell r="R1397">
            <v>0</v>
          </cell>
          <cell r="W1397" t="str">
            <v>Miembros atrofiados</v>
          </cell>
          <cell r="Y1397" t="str">
            <v/>
          </cell>
        </row>
        <row r="1398">
          <cell r="E1398" t="str">
            <v>Con. Natural de vía Nigromancia 90</v>
          </cell>
          <cell r="F1398">
            <v>30</v>
          </cell>
          <cell r="G1398">
            <v>50</v>
          </cell>
          <cell r="H1398">
            <v>0</v>
          </cell>
          <cell r="I1398">
            <v>1</v>
          </cell>
          <cell r="O1398" t="str">
            <v>Desplazamiento especial Movimiento subterráneo</v>
          </cell>
          <cell r="P1398">
            <v>0</v>
          </cell>
          <cell r="Q1398">
            <v>10</v>
          </cell>
          <cell r="R1398">
            <v>0</v>
          </cell>
          <cell r="W1398" t="str">
            <v>Necesidad extrema</v>
          </cell>
          <cell r="Y1398" t="str">
            <v/>
          </cell>
        </row>
        <row r="1399">
          <cell r="E1399" t="str">
            <v>Inutilidad somática</v>
          </cell>
          <cell r="F1399">
            <v>5</v>
          </cell>
          <cell r="G1399">
            <v>20</v>
          </cell>
          <cell r="H1399">
            <v>0</v>
          </cell>
          <cell r="O1399" t="str">
            <v>Desplazamiento especial Movimiento subterráneo superior</v>
          </cell>
          <cell r="P1399">
            <v>20</v>
          </cell>
          <cell r="Q1399">
            <v>30</v>
          </cell>
          <cell r="R1399">
            <v>0</v>
          </cell>
          <cell r="W1399" t="str">
            <v>Necesidad física</v>
          </cell>
          <cell r="Y1399" t="str">
            <v/>
          </cell>
        </row>
        <row r="1400">
          <cell r="E1400" t="str">
            <v>Inutilidad oral</v>
          </cell>
          <cell r="F1400">
            <v>5</v>
          </cell>
          <cell r="G1400">
            <v>20</v>
          </cell>
          <cell r="H1400">
            <v>0</v>
          </cell>
          <cell r="O1400" t="str">
            <v>Desplazamiento especial Movimiento libre por la naturaleza</v>
          </cell>
          <cell r="P1400">
            <v>10</v>
          </cell>
          <cell r="Q1400">
            <v>10</v>
          </cell>
          <cell r="R1400">
            <v>0</v>
          </cell>
          <cell r="W1400" t="str">
            <v>Terror racial</v>
          </cell>
          <cell r="Y1400" t="str">
            <v/>
          </cell>
        </row>
        <row r="1401">
          <cell r="E1401" t="str">
            <v>Magia innata mejorada</v>
          </cell>
          <cell r="F1401">
            <v>5</v>
          </cell>
          <cell r="G1401">
            <v>20</v>
          </cell>
          <cell r="H1401">
            <v>0</v>
          </cell>
          <cell r="I1401">
            <v>1</v>
          </cell>
          <cell r="O1401" t="str">
            <v>Transporte automático 20 m</v>
          </cell>
          <cell r="P1401">
            <v>10</v>
          </cell>
          <cell r="Q1401">
            <v>10</v>
          </cell>
          <cell r="R1401">
            <v>0</v>
          </cell>
          <cell r="W1401" t="str">
            <v>Vicio racial</v>
          </cell>
          <cell r="Y1401" t="str">
            <v/>
          </cell>
        </row>
        <row r="1402">
          <cell r="E1402" t="str">
            <v>&gt; VENTAJAS PSÍQUICAS ESENCIALES</v>
          </cell>
          <cell r="F1402">
            <v>0</v>
          </cell>
          <cell r="G1402">
            <v>0</v>
          </cell>
          <cell r="O1402" t="str">
            <v>Transporte automático 50 m</v>
          </cell>
          <cell r="P1402">
            <v>10</v>
          </cell>
          <cell r="Q1402">
            <v>20</v>
          </cell>
          <cell r="R1402">
            <v>0</v>
          </cell>
          <cell r="W1402" t="str">
            <v>Vul. a elemento</v>
          </cell>
          <cell r="Y1402" t="str">
            <v>PodHab_Vulaelemento</v>
          </cell>
        </row>
        <row r="1403">
          <cell r="E1403" t="str">
            <v>Mantenimiento añadido</v>
          </cell>
          <cell r="F1403">
            <v>5</v>
          </cell>
          <cell r="G1403">
            <v>30</v>
          </cell>
          <cell r="H1403">
            <v>0</v>
          </cell>
          <cell r="O1403" t="str">
            <v>Transporte automático 100 m</v>
          </cell>
          <cell r="P1403">
            <v>15</v>
          </cell>
          <cell r="Q1403">
            <v>40</v>
          </cell>
          <cell r="R1403">
            <v>0</v>
          </cell>
          <cell r="W1403" t="str">
            <v>Vulnerable a tipo de ataque</v>
          </cell>
          <cell r="Y1403" t="str">
            <v/>
          </cell>
        </row>
        <row r="1404">
          <cell r="E1404" t="str">
            <v>Resistencia a la fatiga psíquica</v>
          </cell>
          <cell r="F1404">
            <v>5</v>
          </cell>
          <cell r="G1404">
            <v>30</v>
          </cell>
          <cell r="H1404">
            <v>0</v>
          </cell>
          <cell r="O1404" t="str">
            <v>Transporte automático 250 m</v>
          </cell>
          <cell r="P1404">
            <v>15</v>
          </cell>
          <cell r="Q1404">
            <v>60</v>
          </cell>
          <cell r="R1404">
            <v>0</v>
          </cell>
          <cell r="W1404" t="str">
            <v>&gt; DESV. MÁGICAS ESENCIALES</v>
          </cell>
          <cell r="Y1404" t="str">
            <v/>
          </cell>
        </row>
        <row r="1405">
          <cell r="E1405" t="str">
            <v>Recuperación rápida de CVs</v>
          </cell>
          <cell r="F1405">
            <v>5</v>
          </cell>
          <cell r="G1405">
            <v>20</v>
          </cell>
          <cell r="H1405">
            <v>0</v>
          </cell>
          <cell r="O1405" t="str">
            <v>Transporte automático 500 m</v>
          </cell>
          <cell r="P1405">
            <v>20</v>
          </cell>
          <cell r="Q1405">
            <v>80</v>
          </cell>
          <cell r="R1405">
            <v>0</v>
          </cell>
          <cell r="W1405" t="str">
            <v>Brujería / Magia atada a acción</v>
          </cell>
          <cell r="Y1405" t="str">
            <v/>
          </cell>
        </row>
        <row r="1406">
          <cell r="E1406" t="str">
            <v>Concentración extrema</v>
          </cell>
          <cell r="F1406">
            <v>5</v>
          </cell>
          <cell r="G1406">
            <v>30</v>
          </cell>
          <cell r="H1406">
            <v>0</v>
          </cell>
          <cell r="I1406">
            <v>1</v>
          </cell>
          <cell r="O1406" t="str">
            <v>Transporte automático 1 km</v>
          </cell>
          <cell r="P1406">
            <v>20</v>
          </cell>
          <cell r="Q1406">
            <v>100</v>
          </cell>
          <cell r="R1406">
            <v>0</v>
          </cell>
          <cell r="W1406" t="str">
            <v>Extenuación mágica</v>
          </cell>
          <cell r="Y1406" t="str">
            <v/>
          </cell>
        </row>
        <row r="1407">
          <cell r="E1407" t="str">
            <v>Calibre</v>
          </cell>
          <cell r="F1407">
            <v>5</v>
          </cell>
          <cell r="G1407">
            <v>20</v>
          </cell>
          <cell r="H1407">
            <v>0</v>
          </cell>
          <cell r="I1407">
            <v>1</v>
          </cell>
          <cell r="O1407" t="str">
            <v>Transporte automático 5 km</v>
          </cell>
          <cell r="P1407">
            <v>25</v>
          </cell>
          <cell r="Q1407">
            <v>120</v>
          </cell>
          <cell r="R1407">
            <v>0</v>
          </cell>
          <cell r="W1407" t="str">
            <v>Lenta recuperación magia</v>
          </cell>
          <cell r="Y1407" t="str">
            <v/>
          </cell>
        </row>
        <row r="1408">
          <cell r="E1408" t="str">
            <v>Des. psíquico Piroquinesis</v>
          </cell>
          <cell r="F1408">
            <v>5</v>
          </cell>
          <cell r="G1408">
            <v>20</v>
          </cell>
          <cell r="H1408">
            <v>0</v>
          </cell>
          <cell r="I1408">
            <v>1</v>
          </cell>
          <cell r="O1408" t="str">
            <v>Transporte automático 25 km</v>
          </cell>
          <cell r="P1408">
            <v>30</v>
          </cell>
          <cell r="Q1408">
            <v>140</v>
          </cell>
          <cell r="R1408">
            <v>0</v>
          </cell>
          <cell r="W1408" t="str">
            <v>Magia estanca</v>
          </cell>
          <cell r="Y1408" t="str">
            <v/>
          </cell>
        </row>
        <row r="1409">
          <cell r="E1409" t="str">
            <v>Des. psíquico Crioquinesis</v>
          </cell>
          <cell r="F1409">
            <v>5</v>
          </cell>
          <cell r="G1409">
            <v>20</v>
          </cell>
          <cell r="H1409">
            <v>0</v>
          </cell>
          <cell r="I1409">
            <v>1</v>
          </cell>
          <cell r="O1409" t="str">
            <v>Transporte automático 100 km</v>
          </cell>
          <cell r="P1409">
            <v>35</v>
          </cell>
          <cell r="Q1409">
            <v>160</v>
          </cell>
          <cell r="R1409">
            <v>0</v>
          </cell>
          <cell r="W1409" t="str">
            <v>Obligación oral</v>
          </cell>
          <cell r="Y1409" t="str">
            <v/>
          </cell>
        </row>
        <row r="1410">
          <cell r="E1410" t="str">
            <v>Des. psíquico Telequinesis</v>
          </cell>
          <cell r="F1410">
            <v>5</v>
          </cell>
          <cell r="G1410">
            <v>20</v>
          </cell>
          <cell r="H1410">
            <v>0</v>
          </cell>
          <cell r="I1410">
            <v>1</v>
          </cell>
          <cell r="O1410" t="str">
            <v>Transporte automático Puerta</v>
          </cell>
          <cell r="P1410">
            <v>35</v>
          </cell>
          <cell r="Q1410">
            <v>200</v>
          </cell>
          <cell r="R1410">
            <v>0</v>
          </cell>
          <cell r="W1410" t="str">
            <v>Obligación somática</v>
          </cell>
          <cell r="Y1410" t="str">
            <v/>
          </cell>
        </row>
        <row r="1411">
          <cell r="E1411" t="str">
            <v>Des. psíquico Telepatía</v>
          </cell>
          <cell r="F1411">
            <v>5</v>
          </cell>
          <cell r="G1411">
            <v>20</v>
          </cell>
          <cell r="H1411">
            <v>0</v>
          </cell>
          <cell r="I1411">
            <v>1</v>
          </cell>
          <cell r="O1411" t="str">
            <v>Transporte automático Uso adicional</v>
          </cell>
          <cell r="P1411">
            <v>10</v>
          </cell>
          <cell r="Q1411">
            <v>10</v>
          </cell>
          <cell r="R1411">
            <v>0</v>
          </cell>
          <cell r="W1411" t="str">
            <v>&gt; DESV. PSÍQUICAS ESENCIALES</v>
          </cell>
          <cell r="Y1411" t="str">
            <v/>
          </cell>
        </row>
        <row r="1412">
          <cell r="E1412" t="str">
            <v>Des. psíquico Energía</v>
          </cell>
          <cell r="F1412">
            <v>5</v>
          </cell>
          <cell r="G1412">
            <v>20</v>
          </cell>
          <cell r="H1412">
            <v>0</v>
          </cell>
          <cell r="I1412">
            <v>1</v>
          </cell>
          <cell r="O1412" t="str">
            <v>Transporte automático Sin límite</v>
          </cell>
          <cell r="P1412">
            <v>35</v>
          </cell>
          <cell r="Q1412">
            <v>100</v>
          </cell>
          <cell r="R1412">
            <v>0</v>
          </cell>
          <cell r="W1412" t="str">
            <v>Consumición física</v>
          </cell>
          <cell r="Y1412" t="str">
            <v/>
          </cell>
        </row>
        <row r="1413">
          <cell r="E1413" t="str">
            <v>Des. psíquico Incremento Físico</v>
          </cell>
          <cell r="F1413">
            <v>5</v>
          </cell>
          <cell r="G1413">
            <v>20</v>
          </cell>
          <cell r="H1413">
            <v>0</v>
          </cell>
          <cell r="I1413">
            <v>1</v>
          </cell>
          <cell r="O1413" t="str">
            <v>Transporte automático Preparación 1 turno</v>
          </cell>
          <cell r="P1413">
            <v>10</v>
          </cell>
          <cell r="Q1413">
            <v>-10</v>
          </cell>
          <cell r="R1413">
            <v>0</v>
          </cell>
          <cell r="W1413" t="str">
            <v>Extenuación psíquica</v>
          </cell>
          <cell r="Y1413" t="str">
            <v/>
          </cell>
        </row>
        <row r="1414">
          <cell r="E1414" t="str">
            <v>Des. psíquico Sentiente</v>
          </cell>
          <cell r="F1414">
            <v>5</v>
          </cell>
          <cell r="G1414">
            <v>20</v>
          </cell>
          <cell r="H1414">
            <v>0</v>
          </cell>
          <cell r="I1414">
            <v>1</v>
          </cell>
          <cell r="O1414" t="str">
            <v>Transporte automático Preparación 5 turnos</v>
          </cell>
          <cell r="P1414">
            <v>10</v>
          </cell>
          <cell r="Q1414">
            <v>-30</v>
          </cell>
          <cell r="R1414">
            <v>0</v>
          </cell>
          <cell r="W1414" t="str">
            <v>Sin concentración</v>
          </cell>
          <cell r="Y1414" t="str">
            <v/>
          </cell>
        </row>
        <row r="1415">
          <cell r="E1415" t="str">
            <v>Des. psíquico Telemetría</v>
          </cell>
          <cell r="F1415">
            <v>5</v>
          </cell>
          <cell r="G1415">
            <v>20</v>
          </cell>
          <cell r="H1415">
            <v>0</v>
          </cell>
          <cell r="I1415">
            <v>1</v>
          </cell>
          <cell r="O1415" t="str">
            <v>Transporte automático Preparación 10 turnos</v>
          </cell>
          <cell r="P1415">
            <v>10</v>
          </cell>
          <cell r="Q1415">
            <v>-50</v>
          </cell>
          <cell r="R1415">
            <v>0</v>
          </cell>
          <cell r="W1415" t="str">
            <v>&gt; [CN] VENTAJAS ESENCIALES</v>
          </cell>
          <cell r="Y1415" t="str">
            <v/>
          </cell>
        </row>
        <row r="1416">
          <cell r="E1416" t="str">
            <v>Des. psíquico Causalidad</v>
          </cell>
          <cell r="F1416">
            <v>5</v>
          </cell>
          <cell r="G1416">
            <v>20</v>
          </cell>
          <cell r="H1416">
            <v>0</v>
          </cell>
          <cell r="I1416">
            <v>1</v>
          </cell>
          <cell r="O1416" t="str">
            <v>Transporte automático Medio o elemento concreto</v>
          </cell>
          <cell r="P1416">
            <v>10</v>
          </cell>
          <cell r="Q1416">
            <v>-30</v>
          </cell>
          <cell r="R1416">
            <v>0</v>
          </cell>
          <cell r="W1416" t="str">
            <v>Al límite</v>
          </cell>
          <cell r="Y1416" t="str">
            <v/>
          </cell>
        </row>
        <row r="1417">
          <cell r="E1417" t="str">
            <v>Des. psíquico Electromagnetismo</v>
          </cell>
          <cell r="F1417">
            <v>5</v>
          </cell>
          <cell r="G1417">
            <v>20</v>
          </cell>
          <cell r="H1417">
            <v>0</v>
          </cell>
          <cell r="I1417">
            <v>1</v>
          </cell>
          <cell r="O1417" t="str">
            <v>Tipo de Movimiento +1</v>
          </cell>
          <cell r="P1417">
            <v>0</v>
          </cell>
          <cell r="Q1417">
            <v>10</v>
          </cell>
          <cell r="R1417">
            <v>0</v>
          </cell>
          <cell r="W1417" t="str">
            <v>Ambivalencia psíquica</v>
          </cell>
          <cell r="Y1417" t="str">
            <v/>
          </cell>
        </row>
        <row r="1418">
          <cell r="E1418" t="str">
            <v>Des. psíquico Teletransporte</v>
          </cell>
          <cell r="F1418">
            <v>5</v>
          </cell>
          <cell r="G1418">
            <v>20</v>
          </cell>
          <cell r="H1418">
            <v>0</v>
          </cell>
          <cell r="I1418">
            <v>1</v>
          </cell>
          <cell r="O1418" t="str">
            <v>Tipo de Movimiento +2</v>
          </cell>
          <cell r="P1418">
            <v>5</v>
          </cell>
          <cell r="Q1418">
            <v>20</v>
          </cell>
          <cell r="R1418">
            <v>0</v>
          </cell>
          <cell r="S1418">
            <v>0</v>
          </cell>
          <cell r="W1418" t="str">
            <v>Inmune al dolor</v>
          </cell>
          <cell r="Y1418" t="str">
            <v/>
          </cell>
        </row>
        <row r="1419">
          <cell r="E1419" t="str">
            <v>Des. psíquico Luz</v>
          </cell>
          <cell r="F1419">
            <v>5</v>
          </cell>
          <cell r="G1419">
            <v>20</v>
          </cell>
          <cell r="H1419">
            <v>0</v>
          </cell>
          <cell r="I1419">
            <v>1</v>
          </cell>
          <cell r="O1419" t="str">
            <v>Tipo de Movimiento +3</v>
          </cell>
          <cell r="P1419">
            <v>10</v>
          </cell>
          <cell r="Q1419">
            <v>30</v>
          </cell>
          <cell r="R1419">
            <v>0</v>
          </cell>
          <cell r="W1419" t="str">
            <v>Magia opuesta</v>
          </cell>
          <cell r="Y1419" t="str">
            <v/>
          </cell>
        </row>
        <row r="1420">
          <cell r="E1420" t="str">
            <v>Des. psíquico Hipersensibilidad</v>
          </cell>
          <cell r="F1420">
            <v>5</v>
          </cell>
          <cell r="G1420">
            <v>20</v>
          </cell>
          <cell r="H1420">
            <v>0</v>
          </cell>
          <cell r="I1420">
            <v>1</v>
          </cell>
          <cell r="O1420" t="str">
            <v>Tipo de Movimiento +4</v>
          </cell>
          <cell r="P1420">
            <v>20</v>
          </cell>
          <cell r="Q1420">
            <v>40</v>
          </cell>
          <cell r="R1420">
            <v>0</v>
          </cell>
          <cell r="W1420" t="str">
            <v>Modificador psíquico incrementado</v>
          </cell>
          <cell r="Y1420" t="str">
            <v/>
          </cell>
        </row>
        <row r="1421">
          <cell r="E1421" t="str">
            <v>Des. psí: Gravitatoria</v>
          </cell>
          <cell r="F1421">
            <v>5</v>
          </cell>
          <cell r="G1421">
            <v>20</v>
          </cell>
          <cell r="H1421">
            <v>0</v>
          </cell>
          <cell r="I1421">
            <v>1</v>
          </cell>
          <cell r="O1421" t="str">
            <v>Vuelo natural Tipo 6</v>
          </cell>
          <cell r="P1421">
            <v>0</v>
          </cell>
          <cell r="Q1421">
            <v>40</v>
          </cell>
          <cell r="R1421">
            <v>0</v>
          </cell>
          <cell r="S1421">
            <v>0</v>
          </cell>
          <cell r="W1421" t="str">
            <v>Poder innato</v>
          </cell>
          <cell r="Y1421" t="str">
            <v/>
          </cell>
        </row>
        <row r="1422">
          <cell r="E1422" t="str">
            <v>Des. psí: Control del sonido</v>
          </cell>
          <cell r="F1422">
            <v>5</v>
          </cell>
          <cell r="G1422">
            <v>20</v>
          </cell>
          <cell r="H1422">
            <v>0</v>
          </cell>
          <cell r="I1422">
            <v>1</v>
          </cell>
          <cell r="O1422" t="str">
            <v>Vuelo natural Tipo 8</v>
          </cell>
          <cell r="P1422">
            <v>0</v>
          </cell>
          <cell r="Q1422">
            <v>60</v>
          </cell>
          <cell r="R1422">
            <v>0</v>
          </cell>
          <cell r="W1422" t="str">
            <v>Poder natural</v>
          </cell>
          <cell r="Y1422" t="str">
            <v/>
          </cell>
        </row>
        <row r="1423">
          <cell r="E1423" t="str">
            <v>Des. psí: Presión</v>
          </cell>
          <cell r="F1423">
            <v>5</v>
          </cell>
          <cell r="G1423">
            <v>20</v>
          </cell>
          <cell r="H1423">
            <v>0</v>
          </cell>
          <cell r="I1423">
            <v>1</v>
          </cell>
          <cell r="O1423" t="str">
            <v>Vuelo natural Tipo 10</v>
          </cell>
          <cell r="P1423">
            <v>0</v>
          </cell>
          <cell r="Q1423">
            <v>80</v>
          </cell>
          <cell r="R1423">
            <v>0</v>
          </cell>
          <cell r="W1423" t="str">
            <v>Potencial enfrentado</v>
          </cell>
          <cell r="Y1423" t="str">
            <v/>
          </cell>
        </row>
        <row r="1424">
          <cell r="E1424" t="str">
            <v>Des. psí: Antimateria</v>
          </cell>
          <cell r="F1424">
            <v>5</v>
          </cell>
          <cell r="G1424">
            <v>20</v>
          </cell>
          <cell r="H1424">
            <v>0</v>
          </cell>
          <cell r="I1424">
            <v>1</v>
          </cell>
          <cell r="O1424" t="str">
            <v>Vuelo natural Tipo 12</v>
          </cell>
          <cell r="P1424">
            <v>0</v>
          </cell>
          <cell r="Q1424">
            <v>100</v>
          </cell>
          <cell r="R1424">
            <v>0</v>
          </cell>
          <cell r="W1424" t="str">
            <v>Recuperación de Ki</v>
          </cell>
          <cell r="Y1424" t="str">
            <v/>
          </cell>
        </row>
        <row r="1425">
          <cell r="E1425" t="str">
            <v>Des. psí: Filoquinesis</v>
          </cell>
          <cell r="F1425">
            <v>5</v>
          </cell>
          <cell r="G1425">
            <v>20</v>
          </cell>
          <cell r="H1425">
            <v>0</v>
          </cell>
          <cell r="I1425">
            <v>1</v>
          </cell>
          <cell r="O1425" t="str">
            <v>Vuelo natural Tipo 14</v>
          </cell>
          <cell r="P1425">
            <v>10</v>
          </cell>
          <cell r="Q1425">
            <v>120</v>
          </cell>
          <cell r="R1425">
            <v>0</v>
          </cell>
          <cell r="W1425" t="str">
            <v>Sentido del peligro</v>
          </cell>
          <cell r="Y1425" t="str">
            <v/>
          </cell>
        </row>
        <row r="1426">
          <cell r="E1426" t="str">
            <v>Des. psí: Dominio del espacio</v>
          </cell>
          <cell r="F1426">
            <v>5</v>
          </cell>
          <cell r="G1426">
            <v>20</v>
          </cell>
          <cell r="H1426">
            <v>0</v>
          </cell>
          <cell r="I1426">
            <v>1</v>
          </cell>
          <cell r="O1426" t="str">
            <v>Vuelo místico Tipo 4</v>
          </cell>
          <cell r="P1426">
            <v>10</v>
          </cell>
          <cell r="Q1426">
            <v>20</v>
          </cell>
          <cell r="R1426">
            <v>0</v>
          </cell>
          <cell r="S1426">
            <v>0</v>
          </cell>
          <cell r="W1426" t="str">
            <v>Superviviente</v>
          </cell>
          <cell r="Y1426" t="str">
            <v/>
          </cell>
        </row>
        <row r="1427">
          <cell r="E1427" t="str">
            <v>Des. psí: Hidroquinesis</v>
          </cell>
          <cell r="F1427">
            <v>5</v>
          </cell>
          <cell r="G1427">
            <v>20</v>
          </cell>
          <cell r="H1427">
            <v>0</v>
          </cell>
          <cell r="I1427">
            <v>1</v>
          </cell>
          <cell r="O1427" t="str">
            <v>Vuelo místico Tipo 6</v>
          </cell>
          <cell r="P1427">
            <v>15</v>
          </cell>
          <cell r="Q1427">
            <v>40</v>
          </cell>
          <cell r="R1427">
            <v>0</v>
          </cell>
          <cell r="W1427" t="str">
            <v>&gt; [CN] DESVENTAJAS ESENCIALES</v>
          </cell>
          <cell r="Y1427" t="str">
            <v/>
          </cell>
        </row>
        <row r="1428">
          <cell r="E1428" t="str">
            <v>Des. psí: Chronoquinesis</v>
          </cell>
          <cell r="F1428">
            <v>5</v>
          </cell>
          <cell r="G1428">
            <v>20</v>
          </cell>
          <cell r="H1428">
            <v>0</v>
          </cell>
          <cell r="I1428">
            <v>1</v>
          </cell>
          <cell r="O1428" t="str">
            <v>Vuelo místico Tipo 8</v>
          </cell>
          <cell r="P1428">
            <v>20</v>
          </cell>
          <cell r="Q1428">
            <v>60</v>
          </cell>
          <cell r="R1428">
            <v>0</v>
          </cell>
          <cell r="W1428" t="str">
            <v>Vulnerable al daño</v>
          </cell>
          <cell r="Y1428" t="str">
            <v/>
          </cell>
        </row>
        <row r="1429">
          <cell r="E1429" t="str">
            <v>Des. psí: Sentiente [AK]</v>
          </cell>
          <cell r="F1429">
            <v>5</v>
          </cell>
          <cell r="G1429">
            <v>20</v>
          </cell>
          <cell r="H1429">
            <v>0</v>
          </cell>
          <cell r="I1429">
            <v>1</v>
          </cell>
          <cell r="O1429" t="str">
            <v>Vuelo místico Tipo 10</v>
          </cell>
          <cell r="P1429">
            <v>20</v>
          </cell>
          <cell r="Q1429">
            <v>80</v>
          </cell>
          <cell r="R1429">
            <v>0</v>
          </cell>
          <cell r="W1429" t="str">
            <v>Punto vulnerable adicional</v>
          </cell>
          <cell r="Y1429" t="str">
            <v/>
          </cell>
        </row>
        <row r="1430">
          <cell r="E1430" t="str">
            <v>Concentración pasiva</v>
          </cell>
          <cell r="F1430">
            <v>5</v>
          </cell>
          <cell r="G1430">
            <v>30</v>
          </cell>
          <cell r="H1430">
            <v>0</v>
          </cell>
          <cell r="O1430" t="str">
            <v>Vuelo místico Tipo 12</v>
          </cell>
          <cell r="P1430">
            <v>25</v>
          </cell>
          <cell r="Q1430">
            <v>100</v>
          </cell>
          <cell r="R1430">
            <v>0</v>
          </cell>
          <cell r="W1430" t="str">
            <v>&gt; H. ESENCIALES PERSONALIZADAS</v>
          </cell>
        </row>
        <row r="1431">
          <cell r="E1431" t="str">
            <v>&gt; DESVENTAJAS ESENCIALES</v>
          </cell>
          <cell r="F1431">
            <v>0</v>
          </cell>
          <cell r="G1431">
            <v>0</v>
          </cell>
          <cell r="O1431" t="str">
            <v>Vuelo místico Tipo 14</v>
          </cell>
          <cell r="P1431">
            <v>30</v>
          </cell>
          <cell r="Q1431">
            <v>120</v>
          </cell>
          <cell r="R1431">
            <v>0</v>
          </cell>
          <cell r="W1431" t="str">
            <v>Habilidad #1</v>
          </cell>
        </row>
        <row r="1432">
          <cell r="E1432" t="str">
            <v>Vicio racial</v>
          </cell>
          <cell r="F1432">
            <v>0</v>
          </cell>
          <cell r="G1432">
            <v>-10</v>
          </cell>
          <cell r="H1432">
            <v>0</v>
          </cell>
          <cell r="O1432" t="str">
            <v>Vuelo místico Tipo 16</v>
          </cell>
          <cell r="P1432">
            <v>35</v>
          </cell>
          <cell r="Q1432">
            <v>140</v>
          </cell>
          <cell r="R1432">
            <v>0</v>
          </cell>
          <cell r="W1432" t="str">
            <v>Habilidad #2</v>
          </cell>
        </row>
        <row r="1433">
          <cell r="E1433" t="str">
            <v>Miembros atrofiados</v>
          </cell>
          <cell r="F1433">
            <v>0</v>
          </cell>
          <cell r="G1433">
            <v>-20</v>
          </cell>
          <cell r="H1433">
            <v>0</v>
          </cell>
          <cell r="O1433" t="str">
            <v>Vuelo místico Vuelo condicionado</v>
          </cell>
          <cell r="P1433">
            <v>10</v>
          </cell>
          <cell r="Q1433">
            <v>-20</v>
          </cell>
          <cell r="R1433">
            <v>0</v>
          </cell>
          <cell r="W1433" t="str">
            <v>Habilidad #3</v>
          </cell>
        </row>
        <row r="1434">
          <cell r="E1434" t="str">
            <v>Miedo racial</v>
          </cell>
          <cell r="F1434">
            <v>10</v>
          </cell>
          <cell r="G1434">
            <v>-10</v>
          </cell>
          <cell r="H1434">
            <v>0</v>
          </cell>
          <cell r="O1434" t="str">
            <v>&gt; RESISTENCIAS Y REGENERACIONES</v>
          </cell>
          <cell r="W1434" t="str">
            <v>Habilidad #4</v>
          </cell>
        </row>
        <row r="1435">
          <cell r="E1435" t="str">
            <v>Terror racial</v>
          </cell>
          <cell r="F1435">
            <v>10</v>
          </cell>
          <cell r="G1435">
            <v>-20</v>
          </cell>
          <cell r="H1435">
            <v>0</v>
          </cell>
          <cell r="O1435" t="str">
            <v>Resistencia física mejorada +10</v>
          </cell>
          <cell r="P1435">
            <v>0</v>
          </cell>
          <cell r="Q1435">
            <v>10</v>
          </cell>
          <cell r="R1435">
            <v>0</v>
          </cell>
          <cell r="S1435">
            <v>0</v>
          </cell>
          <cell r="W1435" t="str">
            <v>Habilidad #5</v>
          </cell>
        </row>
        <row r="1436">
          <cell r="E1436" t="str">
            <v>Carencia de un sentido</v>
          </cell>
          <cell r="F1436">
            <v>0</v>
          </cell>
          <cell r="G1436">
            <v>-10</v>
          </cell>
          <cell r="H1436">
            <v>0</v>
          </cell>
          <cell r="O1436" t="str">
            <v>Resistencia física mejorada +20</v>
          </cell>
          <cell r="P1436">
            <v>0</v>
          </cell>
          <cell r="Q1436">
            <v>20</v>
          </cell>
          <cell r="R1436">
            <v>0</v>
          </cell>
          <cell r="S1436">
            <v>0</v>
          </cell>
        </row>
        <row r="1437">
          <cell r="E1437" t="str">
            <v>Ciego</v>
          </cell>
          <cell r="F1437">
            <v>0</v>
          </cell>
          <cell r="G1437">
            <v>-20</v>
          </cell>
          <cell r="H1437">
            <v>0</v>
          </cell>
          <cell r="O1437" t="str">
            <v>Resistencia física mejorada +30</v>
          </cell>
          <cell r="P1437">
            <v>10</v>
          </cell>
          <cell r="Q1437">
            <v>30</v>
          </cell>
          <cell r="R1437">
            <v>0</v>
          </cell>
          <cell r="S1437">
            <v>0</v>
          </cell>
        </row>
        <row r="1438">
          <cell r="E1438" t="str">
            <v>Necesidad física</v>
          </cell>
          <cell r="F1438">
            <v>0</v>
          </cell>
          <cell r="G1438">
            <v>-10</v>
          </cell>
          <cell r="H1438">
            <v>0</v>
          </cell>
          <cell r="O1438" t="str">
            <v>Resistencia física mejorada +40</v>
          </cell>
          <cell r="P1438">
            <v>20</v>
          </cell>
          <cell r="Q1438">
            <v>40</v>
          </cell>
          <cell r="R1438">
            <v>0</v>
          </cell>
        </row>
        <row r="1439">
          <cell r="E1439" t="str">
            <v>Necesidad extrema</v>
          </cell>
          <cell r="F1439">
            <v>10</v>
          </cell>
          <cell r="G1439">
            <v>-20</v>
          </cell>
          <cell r="H1439">
            <v>0</v>
          </cell>
          <cell r="O1439" t="str">
            <v>Resistencia física mejorada +50</v>
          </cell>
          <cell r="P1439">
            <v>30</v>
          </cell>
          <cell r="Q1439">
            <v>50</v>
          </cell>
          <cell r="R1439">
            <v>0</v>
          </cell>
        </row>
        <row r="1440">
          <cell r="E1440" t="str">
            <v>Vul. a elemento +50% daño</v>
          </cell>
          <cell r="F1440">
            <v>20</v>
          </cell>
          <cell r="G1440">
            <v>-10</v>
          </cell>
          <cell r="H1440">
            <v>0</v>
          </cell>
          <cell r="O1440" t="str">
            <v>Resistencia física mejorada Única (RF)</v>
          </cell>
          <cell r="P1440">
            <v>10</v>
          </cell>
          <cell r="Q1440">
            <v>-20</v>
          </cell>
          <cell r="R1440">
            <v>0</v>
          </cell>
        </row>
        <row r="1441">
          <cell r="E1441" t="str">
            <v>Vul. a elemento doble daño</v>
          </cell>
          <cell r="F1441">
            <v>20</v>
          </cell>
          <cell r="G1441">
            <v>-20</v>
          </cell>
          <cell r="H1441">
            <v>0</v>
          </cell>
          <cell r="O1441" t="str">
            <v>Resistencia física mejorada Única (RE)</v>
          </cell>
          <cell r="P1441">
            <v>10</v>
          </cell>
          <cell r="Q1441">
            <v>-20</v>
          </cell>
          <cell r="R1441">
            <v>0</v>
          </cell>
        </row>
        <row r="1442">
          <cell r="E1442" t="str">
            <v>Vulnerable a tipo de ataque</v>
          </cell>
          <cell r="F1442">
            <v>10</v>
          </cell>
          <cell r="G1442">
            <v>-20</v>
          </cell>
          <cell r="H1442">
            <v>0</v>
          </cell>
          <cell r="O1442" t="str">
            <v>Resistencia física mejorada Única (RV)</v>
          </cell>
          <cell r="P1442">
            <v>10</v>
          </cell>
          <cell r="Q1442">
            <v>-20</v>
          </cell>
          <cell r="R1442">
            <v>0</v>
          </cell>
        </row>
        <row r="1443">
          <cell r="E1443" t="str">
            <v>&gt; DESV. MÁGICAS ESENCIALES</v>
          </cell>
          <cell r="F1443">
            <v>0</v>
          </cell>
          <cell r="G1443">
            <v>0</v>
          </cell>
          <cell r="O1443" t="str">
            <v>Resistencia mística mejorada +10 RP</v>
          </cell>
          <cell r="P1443">
            <v>10</v>
          </cell>
          <cell r="Q1443">
            <v>10</v>
          </cell>
          <cell r="R1443">
            <v>0</v>
          </cell>
          <cell r="S1443">
            <v>0</v>
          </cell>
        </row>
        <row r="1444">
          <cell r="E1444" t="str">
            <v>Obligación oral</v>
          </cell>
          <cell r="F1444">
            <v>5</v>
          </cell>
          <cell r="G1444">
            <v>-10</v>
          </cell>
          <cell r="H1444">
            <v>0</v>
          </cell>
          <cell r="O1444" t="str">
            <v>Resistencia mística mejorada +20 RP</v>
          </cell>
          <cell r="P1444">
            <v>15</v>
          </cell>
          <cell r="Q1444">
            <v>20</v>
          </cell>
          <cell r="R1444">
            <v>0</v>
          </cell>
        </row>
        <row r="1445">
          <cell r="E1445" t="str">
            <v>Obligación somática</v>
          </cell>
          <cell r="F1445">
            <v>5</v>
          </cell>
          <cell r="G1445">
            <v>-10</v>
          </cell>
          <cell r="H1445">
            <v>0</v>
          </cell>
          <cell r="O1445" t="str">
            <v>Resistencia mística mejorada +30 RP</v>
          </cell>
          <cell r="P1445">
            <v>20</v>
          </cell>
          <cell r="Q1445">
            <v>30</v>
          </cell>
          <cell r="R1445">
            <v>0</v>
          </cell>
        </row>
        <row r="1446">
          <cell r="E1446" t="str">
            <v>Lenta recuperación magia</v>
          </cell>
          <cell r="F1446">
            <v>5</v>
          </cell>
          <cell r="G1446">
            <v>-10</v>
          </cell>
          <cell r="H1446">
            <v>0</v>
          </cell>
          <cell r="I1446">
            <v>1</v>
          </cell>
          <cell r="O1446" t="str">
            <v>Resistencia mística mejorada +40 RP</v>
          </cell>
          <cell r="P1446">
            <v>25</v>
          </cell>
          <cell r="Q1446">
            <v>40</v>
          </cell>
          <cell r="R1446">
            <v>0</v>
          </cell>
        </row>
        <row r="1447">
          <cell r="E1447" t="str">
            <v>Magia estanca</v>
          </cell>
          <cell r="F1447">
            <v>5</v>
          </cell>
          <cell r="G1447">
            <v>-30</v>
          </cell>
          <cell r="H1447">
            <v>0</v>
          </cell>
          <cell r="I1447">
            <v>1</v>
          </cell>
          <cell r="O1447" t="str">
            <v>Resistencia mística mejorada +50 RP</v>
          </cell>
          <cell r="P1447">
            <v>35</v>
          </cell>
          <cell r="Q1447">
            <v>50</v>
          </cell>
          <cell r="R1447">
            <v>0</v>
          </cell>
        </row>
        <row r="1448">
          <cell r="E1448" t="str">
            <v>Extenuación mágica</v>
          </cell>
          <cell r="F1448">
            <v>5</v>
          </cell>
          <cell r="G1448">
            <v>-10</v>
          </cell>
          <cell r="H1448">
            <v>0</v>
          </cell>
          <cell r="O1448" t="str">
            <v>Pen a la Resistencia mística -10 RP</v>
          </cell>
          <cell r="P1448">
            <v>10</v>
          </cell>
          <cell r="Q1448">
            <v>-10</v>
          </cell>
          <cell r="R1448">
            <v>0</v>
          </cell>
        </row>
        <row r="1449">
          <cell r="E1449" t="str">
            <v>Brujería / Magia atada a acción</v>
          </cell>
          <cell r="F1449">
            <v>5</v>
          </cell>
          <cell r="G1449">
            <v>-20</v>
          </cell>
          <cell r="H1449">
            <v>0</v>
          </cell>
          <cell r="O1449" t="str">
            <v>Pen a la Resistencia mística -20 RP</v>
          </cell>
          <cell r="P1449">
            <v>10</v>
          </cell>
          <cell r="Q1449">
            <v>-15</v>
          </cell>
          <cell r="R1449">
            <v>0</v>
          </cell>
        </row>
        <row r="1450">
          <cell r="E1450" t="str">
            <v>&gt; DESV. PSÍQUICAS ESENCIALES</v>
          </cell>
          <cell r="F1450">
            <v>0</v>
          </cell>
          <cell r="G1450">
            <v>0</v>
          </cell>
          <cell r="O1450" t="str">
            <v>Pen a la Resistencia mística -30 RP</v>
          </cell>
          <cell r="P1450">
            <v>10</v>
          </cell>
          <cell r="Q1450">
            <v>-20</v>
          </cell>
          <cell r="R1450">
            <v>0</v>
          </cell>
        </row>
        <row r="1451">
          <cell r="E1451" t="str">
            <v>Sin concentración</v>
          </cell>
          <cell r="F1451">
            <v>5</v>
          </cell>
          <cell r="G1451">
            <v>-10</v>
          </cell>
          <cell r="H1451">
            <v>0</v>
          </cell>
          <cell r="I1451">
            <v>1</v>
          </cell>
          <cell r="O1451" t="str">
            <v>Pen a la Resistencia mística -40 RP</v>
          </cell>
          <cell r="P1451">
            <v>20</v>
          </cell>
          <cell r="Q1451">
            <v>-25</v>
          </cell>
          <cell r="R1451">
            <v>0</v>
          </cell>
        </row>
        <row r="1452">
          <cell r="E1452" t="str">
            <v>Extenuación psíquica</v>
          </cell>
          <cell r="F1452">
            <v>5</v>
          </cell>
          <cell r="G1452">
            <v>-10</v>
          </cell>
          <cell r="H1452">
            <v>0</v>
          </cell>
          <cell r="O1452" t="str">
            <v>Pen a la Resistencia mística -50 RP</v>
          </cell>
          <cell r="P1452">
            <v>20</v>
          </cell>
          <cell r="Q1452">
            <v>-30</v>
          </cell>
          <cell r="R1452">
            <v>0</v>
          </cell>
        </row>
        <row r="1453">
          <cell r="E1453" t="str">
            <v>Consumición física</v>
          </cell>
          <cell r="F1453">
            <v>5</v>
          </cell>
          <cell r="G1453">
            <v>-20</v>
          </cell>
          <cell r="H1453">
            <v>0</v>
          </cell>
          <cell r="O1453" t="str">
            <v>Resistencia mística mejorada +10 RM</v>
          </cell>
          <cell r="P1453">
            <v>10</v>
          </cell>
          <cell r="Q1453">
            <v>10</v>
          </cell>
          <cell r="R1453">
            <v>0</v>
          </cell>
          <cell r="S1453">
            <v>0</v>
          </cell>
        </row>
        <row r="1454">
          <cell r="E1454" t="str">
            <v>&gt; [CN] VENTAJAS ESENCIALES</v>
          </cell>
          <cell r="F1454">
            <v>0</v>
          </cell>
          <cell r="G1454">
            <v>0</v>
          </cell>
          <cell r="O1454" t="str">
            <v>Resistencia mística mejorada +20 RM</v>
          </cell>
          <cell r="P1454">
            <v>15</v>
          </cell>
          <cell r="Q1454">
            <v>20</v>
          </cell>
          <cell r="R1454">
            <v>0</v>
          </cell>
        </row>
        <row r="1455">
          <cell r="E1455" t="str">
            <v>Sentido del peligro</v>
          </cell>
          <cell r="F1455">
            <v>20</v>
          </cell>
          <cell r="G1455">
            <v>40</v>
          </cell>
          <cell r="H1455">
            <v>0</v>
          </cell>
          <cell r="O1455" t="str">
            <v>Resistencia mística mejorada +30 RM</v>
          </cell>
          <cell r="P1455">
            <v>20</v>
          </cell>
          <cell r="Q1455">
            <v>30</v>
          </cell>
          <cell r="R1455">
            <v>0</v>
          </cell>
        </row>
        <row r="1456">
          <cell r="E1456" t="str">
            <v>Recuperación de Ki</v>
          </cell>
          <cell r="F1456">
            <v>20</v>
          </cell>
          <cell r="G1456">
            <v>20</v>
          </cell>
          <cell r="H1456">
            <v>0</v>
          </cell>
          <cell r="O1456" t="str">
            <v>Resistencia mística mejorada +40 RM</v>
          </cell>
          <cell r="P1456">
            <v>25</v>
          </cell>
          <cell r="Q1456">
            <v>40</v>
          </cell>
          <cell r="R1456">
            <v>0</v>
          </cell>
        </row>
        <row r="1457">
          <cell r="E1457" t="str">
            <v>Potencial enfrentado</v>
          </cell>
          <cell r="F1457">
            <v>10</v>
          </cell>
          <cell r="G1457">
            <v>10</v>
          </cell>
          <cell r="H1457">
            <v>0</v>
          </cell>
          <cell r="O1457" t="str">
            <v>Resistencia mística mejorada +50 RM</v>
          </cell>
          <cell r="P1457">
            <v>35</v>
          </cell>
          <cell r="Q1457">
            <v>50</v>
          </cell>
          <cell r="R1457">
            <v>0</v>
          </cell>
        </row>
        <row r="1458">
          <cell r="E1458" t="str">
            <v>Al límite</v>
          </cell>
          <cell r="F1458">
            <v>5</v>
          </cell>
          <cell r="G1458">
            <v>20</v>
          </cell>
          <cell r="H1458">
            <v>0</v>
          </cell>
          <cell r="O1458" t="str">
            <v>Pen a la Resistencia mística -10 RM</v>
          </cell>
          <cell r="P1458">
            <v>10</v>
          </cell>
          <cell r="Q1458">
            <v>-10</v>
          </cell>
          <cell r="R1458">
            <v>0</v>
          </cell>
        </row>
        <row r="1459">
          <cell r="E1459" t="str">
            <v>Superviviente</v>
          </cell>
          <cell r="F1459">
            <v>0</v>
          </cell>
          <cell r="G1459">
            <v>10</v>
          </cell>
          <cell r="H1459">
            <v>0</v>
          </cell>
          <cell r="O1459" t="str">
            <v>Pen a la Resistencia mística -20 RM</v>
          </cell>
          <cell r="P1459">
            <v>10</v>
          </cell>
          <cell r="Q1459">
            <v>-15</v>
          </cell>
          <cell r="R1459">
            <v>0</v>
          </cell>
        </row>
        <row r="1460">
          <cell r="E1460" t="str">
            <v>Magia opuesta</v>
          </cell>
          <cell r="F1460">
            <v>10</v>
          </cell>
          <cell r="G1460">
            <v>20</v>
          </cell>
          <cell r="H1460">
            <v>0</v>
          </cell>
          <cell r="I1460">
            <v>1</v>
          </cell>
          <cell r="O1460" t="str">
            <v>Pen a la Resistencia mística -30 RM</v>
          </cell>
          <cell r="P1460">
            <v>10</v>
          </cell>
          <cell r="Q1460">
            <v>-20</v>
          </cell>
          <cell r="R1460">
            <v>0</v>
          </cell>
        </row>
        <row r="1461">
          <cell r="E1461" t="str">
            <v>Poder natural</v>
          </cell>
          <cell r="F1461">
            <v>10</v>
          </cell>
          <cell r="G1461">
            <v>20</v>
          </cell>
          <cell r="H1461">
            <v>0</v>
          </cell>
          <cell r="O1461" t="str">
            <v>Pen a la Resistencia mística -40 RM</v>
          </cell>
          <cell r="P1461">
            <v>20</v>
          </cell>
          <cell r="Q1461">
            <v>-25</v>
          </cell>
          <cell r="R1461">
            <v>0</v>
          </cell>
        </row>
        <row r="1462">
          <cell r="E1462" t="str">
            <v>Ambivalencia psíquica</v>
          </cell>
          <cell r="F1462">
            <v>15</v>
          </cell>
          <cell r="G1462">
            <v>30</v>
          </cell>
          <cell r="H1462">
            <v>0</v>
          </cell>
          <cell r="O1462" t="str">
            <v>Pen a la Resistencia mística -50 RM</v>
          </cell>
          <cell r="P1462">
            <v>20</v>
          </cell>
          <cell r="Q1462">
            <v>-30</v>
          </cell>
          <cell r="R1462">
            <v>0</v>
          </cell>
        </row>
        <row r="1463">
          <cell r="E1463" t="str">
            <v>Modificador psíquico incrementado</v>
          </cell>
          <cell r="F1463">
            <v>10</v>
          </cell>
          <cell r="G1463">
            <v>20</v>
          </cell>
          <cell r="H1463">
            <v>0</v>
          </cell>
          <cell r="O1463" t="str">
            <v>Regeneración Tipo 2</v>
          </cell>
          <cell r="P1463">
            <v>0</v>
          </cell>
          <cell r="Q1463">
            <v>10</v>
          </cell>
          <cell r="R1463">
            <v>0</v>
          </cell>
          <cell r="S1463">
            <v>0</v>
          </cell>
        </row>
        <row r="1464">
          <cell r="E1464" t="str">
            <v>Poder innato</v>
          </cell>
          <cell r="F1464">
            <v>5</v>
          </cell>
          <cell r="G1464">
            <v>20</v>
          </cell>
          <cell r="H1464">
            <v>0</v>
          </cell>
          <cell r="I1464">
            <v>1</v>
          </cell>
          <cell r="O1464" t="str">
            <v>Regeneración Tipo 4</v>
          </cell>
          <cell r="P1464">
            <v>0</v>
          </cell>
          <cell r="Q1464">
            <v>20</v>
          </cell>
          <cell r="R1464">
            <v>0</v>
          </cell>
        </row>
        <row r="1465">
          <cell r="E1465" t="str">
            <v>Inmune al dolor</v>
          </cell>
          <cell r="F1465">
            <v>0</v>
          </cell>
          <cell r="G1465">
            <v>20</v>
          </cell>
          <cell r="H1465">
            <v>0</v>
          </cell>
          <cell r="I1465">
            <v>1</v>
          </cell>
          <cell r="O1465" t="str">
            <v>Regeneración Tipo 6</v>
          </cell>
          <cell r="P1465">
            <v>0</v>
          </cell>
          <cell r="Q1465">
            <v>30</v>
          </cell>
          <cell r="R1465">
            <v>0</v>
          </cell>
        </row>
        <row r="1466">
          <cell r="E1466" t="str">
            <v>&gt; [CN] DESVENTAJAS ESENCIALES</v>
          </cell>
          <cell r="F1466">
            <v>0</v>
          </cell>
          <cell r="G1466">
            <v>0</v>
          </cell>
          <cell r="O1466" t="str">
            <v>Regeneración Tipo 8</v>
          </cell>
          <cell r="P1466">
            <v>5</v>
          </cell>
          <cell r="Q1466">
            <v>40</v>
          </cell>
          <cell r="R1466">
            <v>0</v>
          </cell>
        </row>
        <row r="1467">
          <cell r="E1467" t="str">
            <v>Vulnerable al daño</v>
          </cell>
          <cell r="F1467">
            <v>0</v>
          </cell>
          <cell r="G1467">
            <v>-30</v>
          </cell>
          <cell r="H1467">
            <v>0</v>
          </cell>
          <cell r="O1467" t="str">
            <v>Regeneración Tipo 10</v>
          </cell>
          <cell r="P1467">
            <v>10</v>
          </cell>
          <cell r="Q1467">
            <v>60</v>
          </cell>
          <cell r="R1467">
            <v>0</v>
          </cell>
        </row>
        <row r="1468">
          <cell r="E1468" t="str">
            <v>Punto vulnerable adicional</v>
          </cell>
          <cell r="F1468">
            <v>0</v>
          </cell>
          <cell r="G1468">
            <v>-20</v>
          </cell>
          <cell r="H1468">
            <v>0</v>
          </cell>
          <cell r="O1468" t="str">
            <v>Regeneración Tipo 12</v>
          </cell>
          <cell r="P1468">
            <v>15</v>
          </cell>
          <cell r="Q1468">
            <v>100</v>
          </cell>
          <cell r="R1468">
            <v>0</v>
          </cell>
        </row>
        <row r="1469">
          <cell r="E1469" t="str">
            <v>&gt;H.ESENCIALESPERSONALIZADAS</v>
          </cell>
          <cell r="O1469" t="str">
            <v>Regeneración Tipo 14</v>
          </cell>
          <cell r="P1469">
            <v>20</v>
          </cell>
          <cell r="Q1469">
            <v>140</v>
          </cell>
          <cell r="R1469">
            <v>0</v>
          </cell>
        </row>
        <row r="1470">
          <cell r="E1470" t="str">
            <v>Habilidad #1</v>
          </cell>
          <cell r="F1470">
            <v>0</v>
          </cell>
          <cell r="G1470">
            <v>0</v>
          </cell>
          <cell r="H1470">
            <v>0</v>
          </cell>
          <cell r="O1470" t="str">
            <v>Regeneración Tipo 16</v>
          </cell>
          <cell r="P1470">
            <v>25</v>
          </cell>
          <cell r="Q1470">
            <v>160</v>
          </cell>
          <cell r="R1470">
            <v>0</v>
          </cell>
        </row>
        <row r="1471">
          <cell r="E1471" t="str">
            <v>Habilidad #2</v>
          </cell>
          <cell r="F1471">
            <v>0</v>
          </cell>
          <cell r="G1471">
            <v>0</v>
          </cell>
          <cell r="H1471">
            <v>0</v>
          </cell>
          <cell r="O1471" t="str">
            <v>Regeneración Tipo 18</v>
          </cell>
          <cell r="P1471">
            <v>35</v>
          </cell>
          <cell r="Q1471">
            <v>180</v>
          </cell>
          <cell r="R1471">
            <v>0</v>
          </cell>
        </row>
        <row r="1472">
          <cell r="E1472" t="str">
            <v>Habilidad #3</v>
          </cell>
          <cell r="F1472">
            <v>0</v>
          </cell>
          <cell r="G1472">
            <v>0</v>
          </cell>
          <cell r="H1472">
            <v>0</v>
          </cell>
          <cell r="O1472" t="str">
            <v>Regeneración Tipo 19</v>
          </cell>
          <cell r="P1472">
            <v>45</v>
          </cell>
          <cell r="Q1472">
            <v>200</v>
          </cell>
          <cell r="R1472">
            <v>0</v>
          </cell>
        </row>
        <row r="1473">
          <cell r="E1473" t="str">
            <v>Habilidad #4</v>
          </cell>
          <cell r="F1473">
            <v>0</v>
          </cell>
          <cell r="G1473">
            <v>0</v>
          </cell>
          <cell r="H1473">
            <v>0</v>
          </cell>
          <cell r="O1473" t="str">
            <v>Regeneración Tipo 20</v>
          </cell>
          <cell r="P1473">
            <v>50</v>
          </cell>
          <cell r="Q1473">
            <v>220</v>
          </cell>
          <cell r="R1473">
            <v>0</v>
          </cell>
        </row>
        <row r="1474">
          <cell r="E1474" t="str">
            <v>Habilidad #5</v>
          </cell>
          <cell r="F1474">
            <v>0</v>
          </cell>
          <cell r="G1474">
            <v>0</v>
          </cell>
          <cell r="H1474">
            <v>0</v>
          </cell>
          <cell r="O1474" t="str">
            <v>Regeneración Excepto ataque o condición</v>
          </cell>
          <cell r="P1474">
            <v>0</v>
          </cell>
          <cell r="Q1474">
            <v>-10</v>
          </cell>
          <cell r="R1474">
            <v>0</v>
          </cell>
        </row>
        <row r="1475">
          <cell r="O1475" t="str">
            <v>Regeneración Sólo contra ataque o condición</v>
          </cell>
          <cell r="P1475">
            <v>10</v>
          </cell>
          <cell r="Q1475">
            <v>-40</v>
          </cell>
          <cell r="R1475">
            <v>0</v>
          </cell>
        </row>
        <row r="1476">
          <cell r="O1476" t="str">
            <v>Degeneración Regeneración 0</v>
          </cell>
          <cell r="P1476">
            <v>10</v>
          </cell>
          <cell r="Q1476">
            <v>-30</v>
          </cell>
          <cell r="R1476">
            <v>0</v>
          </cell>
        </row>
        <row r="1477">
          <cell r="O1477" t="str">
            <v>Degeneración -10 PVs/día</v>
          </cell>
          <cell r="P1477">
            <v>10</v>
          </cell>
          <cell r="Q1477">
            <v>-40</v>
          </cell>
          <cell r="R1477">
            <v>0</v>
          </cell>
          <cell r="S1477">
            <v>0</v>
          </cell>
        </row>
        <row r="1478">
          <cell r="O1478" t="str">
            <v>Degeneración -25 PVs/día</v>
          </cell>
          <cell r="P1478">
            <v>10</v>
          </cell>
          <cell r="Q1478">
            <v>-45</v>
          </cell>
          <cell r="R1478">
            <v>0</v>
          </cell>
        </row>
        <row r="1479">
          <cell r="O1479" t="str">
            <v>Degeneración -50 PVs/día</v>
          </cell>
          <cell r="P1479">
            <v>10</v>
          </cell>
          <cell r="Q1479">
            <v>-50</v>
          </cell>
          <cell r="R1479">
            <v>0</v>
          </cell>
        </row>
        <row r="1480">
          <cell r="O1480" t="str">
            <v>Degeneración -100 PVs/día</v>
          </cell>
          <cell r="P1480">
            <v>10</v>
          </cell>
          <cell r="Q1480">
            <v>-60</v>
          </cell>
          <cell r="R1480">
            <v>0</v>
          </cell>
        </row>
        <row r="1481">
          <cell r="O1481" t="str">
            <v>&gt; INMUNIDADES ESPECIALES</v>
          </cell>
        </row>
        <row r="1482">
          <cell r="O1482" t="str">
            <v>Inmunidad física: Con cualquier Presencia</v>
          </cell>
          <cell r="P1482">
            <v>15</v>
          </cell>
          <cell r="Q1482">
            <v>40</v>
          </cell>
          <cell r="R1482">
            <v>0</v>
          </cell>
        </row>
        <row r="1483">
          <cell r="O1483" t="str">
            <v>Inmunidad física: Presencia inferior a 80</v>
          </cell>
          <cell r="P1483">
            <v>20</v>
          </cell>
          <cell r="Q1483">
            <v>60</v>
          </cell>
          <cell r="R1483">
            <v>0</v>
          </cell>
        </row>
        <row r="1484">
          <cell r="O1484" t="str">
            <v>Inmunidad física: Presencia inferior a 100</v>
          </cell>
          <cell r="P1484">
            <v>20</v>
          </cell>
          <cell r="Q1484">
            <v>80</v>
          </cell>
          <cell r="R1484">
            <v>0</v>
          </cell>
        </row>
        <row r="1485">
          <cell r="O1485" t="str">
            <v>Inmunidad física: Presencia inferior a 120</v>
          </cell>
          <cell r="P1485">
            <v>25</v>
          </cell>
          <cell r="Q1485">
            <v>100</v>
          </cell>
          <cell r="R1485">
            <v>0</v>
          </cell>
        </row>
        <row r="1486">
          <cell r="O1486" t="str">
            <v>Inmunidad física: Presencia inferior a 140</v>
          </cell>
          <cell r="P1486">
            <v>30</v>
          </cell>
          <cell r="Q1486">
            <v>140</v>
          </cell>
          <cell r="R1486">
            <v>0</v>
          </cell>
        </row>
        <row r="1487">
          <cell r="O1487" t="str">
            <v>Inmunidad física: Presencia inferior a 160</v>
          </cell>
          <cell r="P1487">
            <v>35</v>
          </cell>
          <cell r="Q1487">
            <v>180</v>
          </cell>
          <cell r="R1487">
            <v>0</v>
          </cell>
        </row>
        <row r="1488">
          <cell r="O1488" t="str">
            <v>Inmunidad mágica: Valor zeónico inferior a 60</v>
          </cell>
          <cell r="P1488">
            <v>15</v>
          </cell>
          <cell r="Q1488">
            <v>30</v>
          </cell>
          <cell r="R1488">
            <v>0</v>
          </cell>
        </row>
        <row r="1489">
          <cell r="O1489" t="str">
            <v>Inmunidad mágica: Valor zeónico inferior a 80</v>
          </cell>
          <cell r="P1489">
            <v>15</v>
          </cell>
          <cell r="Q1489">
            <v>40</v>
          </cell>
          <cell r="R1489">
            <v>0</v>
          </cell>
        </row>
        <row r="1490">
          <cell r="O1490" t="str">
            <v>Inmunidad mágica: Valor zeónico inferior a 100</v>
          </cell>
          <cell r="P1490">
            <v>20</v>
          </cell>
          <cell r="Q1490">
            <v>50</v>
          </cell>
          <cell r="R1490">
            <v>0</v>
          </cell>
        </row>
        <row r="1491">
          <cell r="O1491" t="str">
            <v>Inmunidad mágica: Valor zeónico inferior a 150</v>
          </cell>
          <cell r="P1491">
            <v>20</v>
          </cell>
          <cell r="Q1491">
            <v>75</v>
          </cell>
          <cell r="R1491">
            <v>0</v>
          </cell>
        </row>
        <row r="1492">
          <cell r="O1492" t="str">
            <v>Inmunidad mágica: Valor zeónico inferior a 200</v>
          </cell>
          <cell r="P1492">
            <v>25</v>
          </cell>
          <cell r="Q1492">
            <v>100</v>
          </cell>
          <cell r="R1492">
            <v>0</v>
          </cell>
        </row>
        <row r="1493">
          <cell r="O1493" t="str">
            <v>Inmunidad mágica: Valor zeónico inferior a 250</v>
          </cell>
          <cell r="P1493">
            <v>30</v>
          </cell>
          <cell r="Q1493">
            <v>125</v>
          </cell>
          <cell r="R1493">
            <v>0</v>
          </cell>
        </row>
        <row r="1494">
          <cell r="O1494" t="str">
            <v>Inmunidad mágica: Valor zeónico inferior a 300</v>
          </cell>
          <cell r="P1494">
            <v>35</v>
          </cell>
          <cell r="Q1494">
            <v>150</v>
          </cell>
          <cell r="R1494">
            <v>0</v>
          </cell>
        </row>
        <row r="1495">
          <cell r="O1495" t="str">
            <v>Inmunidad psíquica: Potencial Muy Difícil</v>
          </cell>
          <cell r="P1495">
            <v>15</v>
          </cell>
          <cell r="Q1495">
            <v>60</v>
          </cell>
          <cell r="R1495">
            <v>0</v>
          </cell>
        </row>
        <row r="1496">
          <cell r="O1496" t="str">
            <v>Inmunidad psíquica: Potencial Absurdo</v>
          </cell>
          <cell r="P1496">
            <v>20</v>
          </cell>
          <cell r="Q1496">
            <v>80</v>
          </cell>
          <cell r="R1496">
            <v>0</v>
          </cell>
        </row>
        <row r="1497">
          <cell r="O1497" t="str">
            <v>Inmunidad psíquica: Potencial Casi Imposible</v>
          </cell>
          <cell r="P1497">
            <v>25</v>
          </cell>
          <cell r="Q1497">
            <v>120</v>
          </cell>
          <cell r="R1497">
            <v>0</v>
          </cell>
        </row>
        <row r="1498">
          <cell r="O1498" t="str">
            <v>Inmunidad psíquica: Potencial Imposible</v>
          </cell>
          <cell r="P1498">
            <v>30</v>
          </cell>
          <cell r="Q1498">
            <v>140</v>
          </cell>
          <cell r="R1498">
            <v>0</v>
          </cell>
        </row>
        <row r="1499">
          <cell r="O1499" t="str">
            <v>Inmunidad Condición</v>
          </cell>
          <cell r="P1499">
            <v>15</v>
          </cell>
          <cell r="Q1499">
            <v>-30</v>
          </cell>
          <cell r="R1499">
            <v>0</v>
          </cell>
        </row>
        <row r="1500">
          <cell r="O1500" t="str">
            <v>Vulnerabilidad extrema Un elemento concreto</v>
          </cell>
          <cell r="P1500">
            <v>15</v>
          </cell>
          <cell r="Q1500">
            <v>-20</v>
          </cell>
          <cell r="R1500">
            <v>0</v>
          </cell>
        </row>
        <row r="1501">
          <cell r="O1501" t="str">
            <v>Vulnerabilidad extrema Un objeto determinado</v>
          </cell>
          <cell r="P1501">
            <v>15</v>
          </cell>
          <cell r="Q1501">
            <v>-10</v>
          </cell>
          <cell r="R1501">
            <v>0</v>
          </cell>
        </row>
        <row r="1502">
          <cell r="O1502" t="str">
            <v>Vulnerabilidad extrema Una palabra o sonido</v>
          </cell>
          <cell r="P1502">
            <v>15</v>
          </cell>
          <cell r="Q1502">
            <v>-10</v>
          </cell>
          <cell r="R1502">
            <v>0</v>
          </cell>
        </row>
        <row r="1503">
          <cell r="O1503" t="str">
            <v>Vulnerabilidad extrema Un material genérico</v>
          </cell>
          <cell r="P1503">
            <v>15</v>
          </cell>
          <cell r="Q1503">
            <v>-20</v>
          </cell>
          <cell r="R1503">
            <v>0</v>
          </cell>
        </row>
        <row r="1504">
          <cell r="O1504" t="str">
            <v>Vulnerabilidad extrema Un material raro</v>
          </cell>
          <cell r="P1504">
            <v>15</v>
          </cell>
          <cell r="Q1504">
            <v>-10</v>
          </cell>
          <cell r="R1504">
            <v>0</v>
          </cell>
        </row>
        <row r="1505">
          <cell r="O1505" t="str">
            <v>Vulnerabilidad extrema Un lugar determinado</v>
          </cell>
          <cell r="P1505">
            <v>20</v>
          </cell>
          <cell r="Q1505">
            <v>-10</v>
          </cell>
          <cell r="R1505">
            <v>0</v>
          </cell>
        </row>
        <row r="1506">
          <cell r="O1506" t="str">
            <v>Vulnerabilidad extrema Condición determinada</v>
          </cell>
          <cell r="P1506">
            <v>25</v>
          </cell>
          <cell r="Q1506">
            <v>-10</v>
          </cell>
          <cell r="R1506">
            <v>0</v>
          </cell>
        </row>
        <row r="1507">
          <cell r="O1507" t="str">
            <v>Vulnerabilidad extrema Daño equivalente al Nv fracaso</v>
          </cell>
          <cell r="P1507">
            <v>20</v>
          </cell>
          <cell r="Q1507">
            <v>-10</v>
          </cell>
          <cell r="R1507">
            <v>0</v>
          </cell>
        </row>
        <row r="1508">
          <cell r="O1508" t="str">
            <v>Vulnerabilidad extrema Pen equivalente al Nv fracaso</v>
          </cell>
          <cell r="P1508">
            <v>20</v>
          </cell>
          <cell r="Q1508">
            <v>-10</v>
          </cell>
          <cell r="R1508">
            <v>0</v>
          </cell>
        </row>
        <row r="1509">
          <cell r="O1509" t="str">
            <v>Vulnerabilidad extrema Inconsciencia</v>
          </cell>
          <cell r="P1509">
            <v>20</v>
          </cell>
          <cell r="Q1509">
            <v>-20</v>
          </cell>
          <cell r="R1509">
            <v>0</v>
          </cell>
        </row>
        <row r="1510">
          <cell r="O1510" t="str">
            <v>Vulnerabilidad extrema Paralización completa</v>
          </cell>
          <cell r="P1510">
            <v>20</v>
          </cell>
          <cell r="Q1510">
            <v>-15</v>
          </cell>
          <cell r="R1510">
            <v>0</v>
          </cell>
        </row>
        <row r="1511">
          <cell r="O1511" t="str">
            <v>Vulnerabilidad extrema Debilidad</v>
          </cell>
          <cell r="P1511">
            <v>20</v>
          </cell>
          <cell r="Q1511">
            <v>-10</v>
          </cell>
          <cell r="R1511">
            <v>0</v>
          </cell>
        </row>
        <row r="1512">
          <cell r="O1512" t="str">
            <v>Vulnerabilidad extrema Muerte</v>
          </cell>
          <cell r="P1512">
            <v>20</v>
          </cell>
          <cell r="Q1512">
            <v>-30</v>
          </cell>
          <cell r="R1512">
            <v>0</v>
          </cell>
        </row>
        <row r="1513">
          <cell r="O1513" t="str">
            <v>Vulnerabilidad extrema RM o RF 140</v>
          </cell>
          <cell r="P1513">
            <v>20</v>
          </cell>
          <cell r="Q1513">
            <v>-10</v>
          </cell>
          <cell r="R1513">
            <v>0</v>
          </cell>
        </row>
        <row r="1514">
          <cell r="O1514" t="str">
            <v>Vulnerabilidad extrema RM o RF 160</v>
          </cell>
          <cell r="P1514">
            <v>20</v>
          </cell>
          <cell r="Q1514">
            <v>-15</v>
          </cell>
          <cell r="R1514">
            <v>0</v>
          </cell>
        </row>
        <row r="1515">
          <cell r="O1515" t="str">
            <v>Vulnerabilidad extrema RM o RF 180</v>
          </cell>
          <cell r="P1515">
            <v>20</v>
          </cell>
          <cell r="Q1515">
            <v>-20</v>
          </cell>
          <cell r="R1515">
            <v>0</v>
          </cell>
        </row>
        <row r="1516">
          <cell r="O1516" t="str">
            <v>Vulnerabilidad extrema RM o RF 200</v>
          </cell>
          <cell r="P1516">
            <v>20</v>
          </cell>
          <cell r="Q1516">
            <v>-25</v>
          </cell>
          <cell r="R1516">
            <v>0</v>
          </cell>
        </row>
        <row r="1517">
          <cell r="O1517" t="str">
            <v>Barrera de daño 40</v>
          </cell>
          <cell r="P1517">
            <v>0</v>
          </cell>
          <cell r="Q1517">
            <v>5</v>
          </cell>
          <cell r="R1517">
            <v>0</v>
          </cell>
        </row>
        <row r="1518">
          <cell r="O1518" t="str">
            <v>Barrera de daño 60</v>
          </cell>
          <cell r="P1518">
            <v>0</v>
          </cell>
          <cell r="Q1518">
            <v>10</v>
          </cell>
          <cell r="R1518">
            <v>0</v>
          </cell>
        </row>
        <row r="1519">
          <cell r="O1519" t="str">
            <v>Barrera de daño 80</v>
          </cell>
          <cell r="P1519">
            <v>5</v>
          </cell>
          <cell r="Q1519">
            <v>15</v>
          </cell>
          <cell r="R1519">
            <v>0</v>
          </cell>
        </row>
        <row r="1520">
          <cell r="O1520" t="str">
            <v>Barrera de daño 100</v>
          </cell>
          <cell r="P1520">
            <v>5</v>
          </cell>
          <cell r="Q1520">
            <v>20</v>
          </cell>
          <cell r="R1520">
            <v>0</v>
          </cell>
        </row>
        <row r="1521">
          <cell r="O1521" t="str">
            <v>Barrera de daño 120</v>
          </cell>
          <cell r="P1521">
            <v>10</v>
          </cell>
          <cell r="Q1521">
            <v>25</v>
          </cell>
          <cell r="R1521">
            <v>0</v>
          </cell>
        </row>
        <row r="1522">
          <cell r="O1522" t="str">
            <v>Barrera de daño 140</v>
          </cell>
          <cell r="P1522">
            <v>10</v>
          </cell>
          <cell r="Q1522">
            <v>30</v>
          </cell>
          <cell r="R1522">
            <v>0</v>
          </cell>
        </row>
        <row r="1523">
          <cell r="O1523" t="str">
            <v>Barrera de daño 160</v>
          </cell>
          <cell r="P1523">
            <v>10</v>
          </cell>
          <cell r="Q1523">
            <v>40</v>
          </cell>
          <cell r="R1523">
            <v>0</v>
          </cell>
        </row>
        <row r="1524">
          <cell r="O1524" t="str">
            <v>&gt; ARMADURAS</v>
          </cell>
        </row>
        <row r="1525">
          <cell r="O1525" t="str">
            <v>Armadura física TA 1</v>
          </cell>
          <cell r="P1525">
            <v>0</v>
          </cell>
          <cell r="Q1525">
            <v>10</v>
          </cell>
          <cell r="R1525">
            <v>0</v>
          </cell>
          <cell r="S1525">
            <v>0</v>
          </cell>
        </row>
        <row r="1526">
          <cell r="O1526" t="str">
            <v>Armadura física TA 2</v>
          </cell>
          <cell r="P1526">
            <v>0</v>
          </cell>
          <cell r="Q1526">
            <v>20</v>
          </cell>
          <cell r="R1526">
            <v>0</v>
          </cell>
          <cell r="S1526">
            <v>0</v>
          </cell>
        </row>
        <row r="1527">
          <cell r="O1527" t="str">
            <v>Armadura física TA 3</v>
          </cell>
          <cell r="P1527">
            <v>0</v>
          </cell>
          <cell r="Q1527">
            <v>30</v>
          </cell>
          <cell r="R1527">
            <v>0</v>
          </cell>
          <cell r="S1527">
            <v>0</v>
          </cell>
        </row>
        <row r="1528">
          <cell r="O1528" t="str">
            <v>Armadura física TA 4</v>
          </cell>
          <cell r="P1528">
            <v>5</v>
          </cell>
          <cell r="Q1528">
            <v>40</v>
          </cell>
          <cell r="R1528">
            <v>0</v>
          </cell>
          <cell r="S1528">
            <v>0</v>
          </cell>
        </row>
        <row r="1529">
          <cell r="O1529" t="str">
            <v>Armadura física TA 5</v>
          </cell>
          <cell r="P1529">
            <v>10</v>
          </cell>
          <cell r="Q1529">
            <v>50</v>
          </cell>
          <cell r="R1529">
            <v>0</v>
          </cell>
          <cell r="S1529">
            <v>0</v>
          </cell>
        </row>
        <row r="1530">
          <cell r="O1530" t="str">
            <v>Armadura física TA 6</v>
          </cell>
          <cell r="P1530">
            <v>15</v>
          </cell>
          <cell r="Q1530">
            <v>60</v>
          </cell>
          <cell r="R1530">
            <v>0</v>
          </cell>
          <cell r="S1530">
            <v>0</v>
          </cell>
        </row>
        <row r="1531">
          <cell r="O1531" t="str">
            <v>Armadura física TA 7</v>
          </cell>
          <cell r="P1531">
            <v>20</v>
          </cell>
          <cell r="Q1531">
            <v>80</v>
          </cell>
          <cell r="R1531">
            <v>0</v>
          </cell>
          <cell r="S1531">
            <v>0</v>
          </cell>
        </row>
        <row r="1532">
          <cell r="O1532" t="str">
            <v>Armadura física TA 8</v>
          </cell>
          <cell r="P1532">
            <v>25</v>
          </cell>
          <cell r="Q1532">
            <v>100</v>
          </cell>
          <cell r="R1532">
            <v>0</v>
          </cell>
        </row>
        <row r="1533">
          <cell r="O1533" t="str">
            <v>Armadura física TA 9</v>
          </cell>
          <cell r="P1533">
            <v>30</v>
          </cell>
          <cell r="Q1533">
            <v>120</v>
          </cell>
          <cell r="R1533">
            <v>0</v>
          </cell>
        </row>
        <row r="1534">
          <cell r="O1534" t="str">
            <v>Armadura física TA 10</v>
          </cell>
          <cell r="P1534">
            <v>35</v>
          </cell>
          <cell r="Q1534">
            <v>140</v>
          </cell>
          <cell r="R1534">
            <v>0</v>
          </cell>
        </row>
        <row r="1535">
          <cell r="O1535" t="str">
            <v>Armadura física TA 12</v>
          </cell>
          <cell r="P1535">
            <v>40</v>
          </cell>
          <cell r="Q1535">
            <v>180</v>
          </cell>
          <cell r="R1535">
            <v>0</v>
          </cell>
        </row>
        <row r="1536">
          <cell r="O1536" t="str">
            <v>Armadura física Limitada FIL</v>
          </cell>
          <cell r="P1536">
            <v>0</v>
          </cell>
          <cell r="Q1536">
            <v>-10</v>
          </cell>
          <cell r="R1536">
            <v>0</v>
          </cell>
        </row>
        <row r="1537">
          <cell r="O1537" t="str">
            <v>Armadura física Limitada CON</v>
          </cell>
          <cell r="P1537">
            <v>0</v>
          </cell>
          <cell r="Q1537">
            <v>-10</v>
          </cell>
          <cell r="R1537">
            <v>0</v>
          </cell>
        </row>
        <row r="1538">
          <cell r="O1538" t="str">
            <v>Armadura física Limitada PEN</v>
          </cell>
          <cell r="P1538">
            <v>0</v>
          </cell>
          <cell r="Q1538">
            <v>-10</v>
          </cell>
          <cell r="R1538">
            <v>0</v>
          </cell>
        </row>
        <row r="1539">
          <cell r="O1539" t="str">
            <v>Armadura física Limitada CAL</v>
          </cell>
          <cell r="P1539">
            <v>0</v>
          </cell>
          <cell r="Q1539">
            <v>-10</v>
          </cell>
          <cell r="R1539">
            <v>0</v>
          </cell>
        </row>
        <row r="1540">
          <cell r="O1540" t="str">
            <v>Armadura física Limitada ELE</v>
          </cell>
          <cell r="P1540">
            <v>0</v>
          </cell>
          <cell r="Q1540">
            <v>-10</v>
          </cell>
          <cell r="R1540">
            <v>0</v>
          </cell>
        </row>
        <row r="1541">
          <cell r="O1541" t="str">
            <v>Armadura física Limitada FRI</v>
          </cell>
          <cell r="P1541">
            <v>0</v>
          </cell>
          <cell r="Q1541">
            <v>-10</v>
          </cell>
          <cell r="R1541">
            <v>0</v>
          </cell>
        </row>
        <row r="1542">
          <cell r="O1542" t="str">
            <v>Armadura física Abierta</v>
          </cell>
          <cell r="P1542">
            <v>0</v>
          </cell>
          <cell r="Q1542">
            <v>-10</v>
          </cell>
          <cell r="R1542">
            <v>0</v>
          </cell>
        </row>
        <row r="1543">
          <cell r="O1543" t="str">
            <v>Armadura mística TA 1</v>
          </cell>
          <cell r="P1543">
            <v>5</v>
          </cell>
          <cell r="Q1543">
            <v>10</v>
          </cell>
          <cell r="R1543">
            <v>0</v>
          </cell>
        </row>
        <row r="1544">
          <cell r="O1544" t="str">
            <v>Armadura mística TA 2</v>
          </cell>
          <cell r="P1544">
            <v>10</v>
          </cell>
          <cell r="Q1544">
            <v>20</v>
          </cell>
          <cell r="R1544">
            <v>0</v>
          </cell>
        </row>
        <row r="1545">
          <cell r="O1545" t="str">
            <v>Armadura mística TA 3</v>
          </cell>
          <cell r="P1545">
            <v>15</v>
          </cell>
          <cell r="Q1545">
            <v>30</v>
          </cell>
          <cell r="R1545">
            <v>0</v>
          </cell>
        </row>
        <row r="1546">
          <cell r="O1546" t="str">
            <v>Armadura mística TA 4</v>
          </cell>
          <cell r="P1546">
            <v>20</v>
          </cell>
          <cell r="Q1546">
            <v>40</v>
          </cell>
          <cell r="R1546">
            <v>0</v>
          </cell>
        </row>
        <row r="1547">
          <cell r="O1547" t="str">
            <v>Armadura mística TA 5</v>
          </cell>
          <cell r="P1547">
            <v>25</v>
          </cell>
          <cell r="Q1547">
            <v>50</v>
          </cell>
          <cell r="R1547">
            <v>0</v>
          </cell>
        </row>
        <row r="1548">
          <cell r="O1548" t="str">
            <v>Armadura mística TA 6</v>
          </cell>
          <cell r="P1548">
            <v>30</v>
          </cell>
          <cell r="Q1548">
            <v>60</v>
          </cell>
          <cell r="R1548">
            <v>0</v>
          </cell>
        </row>
        <row r="1549">
          <cell r="O1549" t="str">
            <v>Armadura mística TA 7</v>
          </cell>
          <cell r="P1549">
            <v>35</v>
          </cell>
          <cell r="Q1549">
            <v>70</v>
          </cell>
          <cell r="R1549">
            <v>0</v>
          </cell>
        </row>
        <row r="1550">
          <cell r="O1550" t="str">
            <v>Armadura mística TA 8</v>
          </cell>
          <cell r="P1550">
            <v>40</v>
          </cell>
          <cell r="Q1550">
            <v>80</v>
          </cell>
          <cell r="R1550">
            <v>0</v>
          </cell>
        </row>
        <row r="1551">
          <cell r="O1551" t="str">
            <v>&gt; ÁNIMAS</v>
          </cell>
        </row>
        <row r="1552">
          <cell r="O1552" t="str">
            <v>Habilidades espirituales Interacción con el mundo</v>
          </cell>
          <cell r="P1552">
            <v>30</v>
          </cell>
          <cell r="Q1552">
            <v>30</v>
          </cell>
          <cell r="R1552">
            <v>0</v>
          </cell>
        </row>
        <row r="1553">
          <cell r="O1553" t="str">
            <v>Habilidades espirituales Manifestación</v>
          </cell>
          <cell r="P1553">
            <v>20</v>
          </cell>
          <cell r="Q1553">
            <v>20</v>
          </cell>
          <cell r="R1553">
            <v>0</v>
          </cell>
        </row>
        <row r="1554">
          <cell r="O1554" t="str">
            <v>Habilidades espirituales Encarnación</v>
          </cell>
          <cell r="P1554">
            <v>30</v>
          </cell>
          <cell r="Q1554">
            <v>60</v>
          </cell>
          <cell r="R1554">
            <v>0</v>
          </cell>
        </row>
        <row r="1555">
          <cell r="O1555" t="str">
            <v>&gt; HABILIDADES SOBRENATURALES INNATAS</v>
          </cell>
        </row>
        <row r="1556">
          <cell r="O1556" t="str">
            <v>Forma Forma inmaterial</v>
          </cell>
          <cell r="P1556">
            <v>20</v>
          </cell>
          <cell r="Q1556">
            <v>80</v>
          </cell>
          <cell r="R1556">
            <v>0</v>
          </cell>
        </row>
        <row r="1557">
          <cell r="O1557" t="str">
            <v>Forma Forma elemental</v>
          </cell>
          <cell r="P1557">
            <v>20</v>
          </cell>
          <cell r="Q1557">
            <v>100</v>
          </cell>
          <cell r="R1557">
            <v>0</v>
          </cell>
        </row>
        <row r="1558">
          <cell r="O1558" t="str">
            <v>Forma Forma espectral</v>
          </cell>
          <cell r="P1558">
            <v>20</v>
          </cell>
          <cell r="Q1558">
            <v>100</v>
          </cell>
          <cell r="R1558">
            <v>0</v>
          </cell>
        </row>
        <row r="1559">
          <cell r="O1559" t="str">
            <v>Forma Forma física a voluntad</v>
          </cell>
          <cell r="P1559">
            <v>20</v>
          </cell>
          <cell r="Q1559">
            <v>10</v>
          </cell>
          <cell r="R1559">
            <v>0</v>
          </cell>
        </row>
        <row r="1560">
          <cell r="O1560" t="str">
            <v>Forma Forma mayor</v>
          </cell>
          <cell r="P1560">
            <v>30</v>
          </cell>
          <cell r="Q1560">
            <v>20</v>
          </cell>
          <cell r="R1560">
            <v>0</v>
          </cell>
        </row>
        <row r="1561">
          <cell r="O1561" t="str">
            <v>Forma Condición</v>
          </cell>
          <cell r="P1561">
            <v>20</v>
          </cell>
          <cell r="Q1561">
            <v>-20</v>
          </cell>
          <cell r="R1561">
            <v>0</v>
          </cell>
        </row>
        <row r="1562">
          <cell r="O1562" t="str">
            <v>Magia Innata Conjuro innato (Variable)</v>
          </cell>
          <cell r="P1562">
            <v>0</v>
          </cell>
          <cell r="Q1562">
            <v>0</v>
          </cell>
          <cell r="R1562">
            <v>0</v>
          </cell>
        </row>
        <row r="1563">
          <cell r="O1563" t="str">
            <v>Magia Innata Un uso adicional</v>
          </cell>
          <cell r="P1563">
            <v>10</v>
          </cell>
          <cell r="Q1563">
            <v>5</v>
          </cell>
          <cell r="R1563">
            <v>0</v>
          </cell>
        </row>
        <row r="1564">
          <cell r="O1564" t="str">
            <v>Magia Innata Sin límite</v>
          </cell>
          <cell r="P1564">
            <v>30</v>
          </cell>
          <cell r="Q1564">
            <v>100</v>
          </cell>
          <cell r="R1564">
            <v>0</v>
          </cell>
        </row>
        <row r="1565">
          <cell r="O1565" t="str">
            <v>Magia Innata Condicionado</v>
          </cell>
          <cell r="P1565">
            <v>10</v>
          </cell>
          <cell r="Q1565">
            <v>-30</v>
          </cell>
          <cell r="R1565">
            <v>0</v>
          </cell>
        </row>
        <row r="1566">
          <cell r="O1566" t="str">
            <v>Magia Innata Preparación 1 turno</v>
          </cell>
          <cell r="P1566">
            <v>10</v>
          </cell>
          <cell r="Q1566">
            <v>-10</v>
          </cell>
          <cell r="R1566">
            <v>0</v>
          </cell>
        </row>
        <row r="1567">
          <cell r="O1567" t="str">
            <v>Magia Innata Preparación 2 turnos</v>
          </cell>
          <cell r="P1567">
            <v>10</v>
          </cell>
          <cell r="Q1567">
            <v>-20</v>
          </cell>
          <cell r="R1567">
            <v>0</v>
          </cell>
        </row>
        <row r="1568">
          <cell r="O1568" t="str">
            <v>Magia Innata Preparación 3 turnos</v>
          </cell>
          <cell r="P1568">
            <v>10</v>
          </cell>
          <cell r="Q1568">
            <v>-30</v>
          </cell>
          <cell r="R1568">
            <v>0</v>
          </cell>
        </row>
        <row r="1569">
          <cell r="O1569" t="str">
            <v>Magia Innata Preparación 5 turnos</v>
          </cell>
          <cell r="P1569">
            <v>10</v>
          </cell>
          <cell r="Q1569">
            <v>-40</v>
          </cell>
          <cell r="R1569">
            <v>0</v>
          </cell>
        </row>
        <row r="1570">
          <cell r="O1570" t="str">
            <v>Magia Innata Preparación 10 turnos</v>
          </cell>
          <cell r="P1570">
            <v>10</v>
          </cell>
          <cell r="Q1570">
            <v>-50</v>
          </cell>
          <cell r="R1570">
            <v>0</v>
          </cell>
        </row>
        <row r="1571">
          <cell r="O1571" t="str">
            <v>Psíquica innata Poder innato (Variable)</v>
          </cell>
          <cell r="P1571">
            <v>0</v>
          </cell>
          <cell r="Q1571">
            <v>0</v>
          </cell>
          <cell r="R1571">
            <v>0</v>
          </cell>
        </row>
        <row r="1572">
          <cell r="O1572" t="str">
            <v>Psíquica innata Un uso adicional</v>
          </cell>
          <cell r="P1572">
            <v>10</v>
          </cell>
          <cell r="Q1572">
            <v>5</v>
          </cell>
          <cell r="R1572">
            <v>0</v>
          </cell>
        </row>
        <row r="1573">
          <cell r="O1573" t="str">
            <v>Psíquica innata Sin límite</v>
          </cell>
          <cell r="P1573">
            <v>25</v>
          </cell>
          <cell r="Q1573">
            <v>80</v>
          </cell>
          <cell r="R1573">
            <v>0</v>
          </cell>
        </row>
        <row r="1574">
          <cell r="O1574" t="str">
            <v>Psíquica Innata Condicionado</v>
          </cell>
          <cell r="P1574">
            <v>10</v>
          </cell>
          <cell r="Q1574">
            <v>-30</v>
          </cell>
          <cell r="R1574">
            <v>0</v>
          </cell>
        </row>
        <row r="1575">
          <cell r="O1575" t="str">
            <v>Psíquica Innata Preparación 1 turno</v>
          </cell>
          <cell r="P1575">
            <v>10</v>
          </cell>
          <cell r="Q1575">
            <v>-10</v>
          </cell>
          <cell r="R1575">
            <v>0</v>
          </cell>
        </row>
        <row r="1576">
          <cell r="O1576" t="str">
            <v>Psíquica Innata Preparación 2 turnos</v>
          </cell>
          <cell r="P1576">
            <v>10</v>
          </cell>
          <cell r="Q1576">
            <v>-20</v>
          </cell>
          <cell r="R1576">
            <v>0</v>
          </cell>
        </row>
        <row r="1577">
          <cell r="O1577" t="str">
            <v>Psíquica Innata Preparación 3 turnos</v>
          </cell>
          <cell r="P1577">
            <v>10</v>
          </cell>
          <cell r="Q1577">
            <v>-30</v>
          </cell>
          <cell r="R1577">
            <v>0</v>
          </cell>
        </row>
        <row r="1578">
          <cell r="O1578" t="str">
            <v>Psíquica Innata Preparación 5 turnos</v>
          </cell>
          <cell r="P1578">
            <v>10</v>
          </cell>
          <cell r="Q1578">
            <v>-40</v>
          </cell>
          <cell r="R1578">
            <v>0</v>
          </cell>
        </row>
        <row r="1579">
          <cell r="O1579" t="str">
            <v>Psíquica Innata Preparación 10 turnos</v>
          </cell>
          <cell r="P1579">
            <v>10</v>
          </cell>
          <cell r="Q1579">
            <v>-50</v>
          </cell>
          <cell r="R1579">
            <v>0</v>
          </cell>
        </row>
        <row r="1580">
          <cell r="O1580" t="str">
            <v>Metamorfismo Básico</v>
          </cell>
          <cell r="P1580">
            <v>15</v>
          </cell>
          <cell r="Q1580">
            <v>40</v>
          </cell>
          <cell r="R1580">
            <v>0</v>
          </cell>
        </row>
        <row r="1581">
          <cell r="O1581" t="str">
            <v>Metamorfismo Medio</v>
          </cell>
          <cell r="P1581">
            <v>20</v>
          </cell>
          <cell r="Q1581">
            <v>60</v>
          </cell>
          <cell r="R1581">
            <v>0</v>
          </cell>
        </row>
        <row r="1582">
          <cell r="O1582" t="str">
            <v>Metamorfismo Avanzado</v>
          </cell>
          <cell r="P1582">
            <v>25</v>
          </cell>
          <cell r="Q1582">
            <v>100</v>
          </cell>
          <cell r="R1582">
            <v>0</v>
          </cell>
        </row>
        <row r="1583">
          <cell r="O1583" t="str">
            <v>Metamorfismo Condicionado</v>
          </cell>
          <cell r="P1583">
            <v>20</v>
          </cell>
          <cell r="Q1583">
            <v>-20</v>
          </cell>
          <cell r="R1583">
            <v>0</v>
          </cell>
        </row>
        <row r="1584">
          <cell r="O1584" t="str">
            <v>Indetecciones +50 a la Resistencia</v>
          </cell>
          <cell r="P1584">
            <v>10</v>
          </cell>
          <cell r="Q1584">
            <v>10</v>
          </cell>
          <cell r="R1584">
            <v>0</v>
          </cell>
        </row>
        <row r="1585">
          <cell r="O1585" t="str">
            <v>Indetecciones +100 a la Resistencia</v>
          </cell>
          <cell r="P1585">
            <v>20</v>
          </cell>
          <cell r="Q1585">
            <v>20</v>
          </cell>
          <cell r="R1585">
            <v>0</v>
          </cell>
        </row>
        <row r="1586">
          <cell r="O1586" t="str">
            <v>Indetecciones +150 a la Resistencia</v>
          </cell>
          <cell r="P1586">
            <v>20</v>
          </cell>
          <cell r="Q1586">
            <v>40</v>
          </cell>
          <cell r="R1586">
            <v>0</v>
          </cell>
        </row>
        <row r="1587">
          <cell r="O1587" t="str">
            <v>Indetecciones +200 a la Resistencia</v>
          </cell>
          <cell r="P1587">
            <v>25</v>
          </cell>
          <cell r="Q1587">
            <v>80</v>
          </cell>
          <cell r="R1587">
            <v>0</v>
          </cell>
        </row>
        <row r="1588">
          <cell r="O1588" t="str">
            <v>Indetecciones Camuflaje camaleónico</v>
          </cell>
          <cell r="P1588">
            <v>10</v>
          </cell>
          <cell r="Q1588">
            <v>50</v>
          </cell>
          <cell r="R1588">
            <v>0</v>
          </cell>
        </row>
        <row r="1589">
          <cell r="O1589" t="str">
            <v>Indetecciones Invisibilidad Espiritual</v>
          </cell>
          <cell r="P1589">
            <v>20</v>
          </cell>
          <cell r="Q1589">
            <v>80</v>
          </cell>
          <cell r="R1589">
            <v>0</v>
          </cell>
        </row>
        <row r="1590">
          <cell r="O1590" t="str">
            <v>Indetecciones Invisibilidad</v>
          </cell>
          <cell r="P1590">
            <v>25</v>
          </cell>
          <cell r="Q1590">
            <v>100</v>
          </cell>
          <cell r="R1590">
            <v>0</v>
          </cell>
        </row>
        <row r="1591">
          <cell r="O1591" t="str">
            <v>Indetecciones Invisibilidad Completa</v>
          </cell>
          <cell r="P1591">
            <v>30</v>
          </cell>
          <cell r="Q1591">
            <v>150</v>
          </cell>
          <cell r="R1591">
            <v>0</v>
          </cell>
        </row>
        <row r="1592">
          <cell r="O1592" t="str">
            <v>Indetecciones Indetección ante un sentido</v>
          </cell>
          <cell r="P1592">
            <v>10</v>
          </cell>
          <cell r="Q1592">
            <v>50</v>
          </cell>
          <cell r="R1592">
            <v>0</v>
          </cell>
        </row>
        <row r="1593">
          <cell r="O1593" t="str">
            <v>Indetecciones Sólo en determinadas situaciones</v>
          </cell>
          <cell r="P1593">
            <v>20</v>
          </cell>
          <cell r="Q1593">
            <v>-30</v>
          </cell>
          <cell r="R1593">
            <v>0</v>
          </cell>
        </row>
        <row r="1594">
          <cell r="O1594" t="str">
            <v>Aura 1m de radio</v>
          </cell>
          <cell r="P1594">
            <v>20</v>
          </cell>
          <cell r="Q1594">
            <v>40</v>
          </cell>
          <cell r="R1594">
            <v>0</v>
          </cell>
        </row>
        <row r="1595">
          <cell r="O1595" t="str">
            <v>Aura 5m de radio</v>
          </cell>
          <cell r="P1595">
            <v>20</v>
          </cell>
          <cell r="Q1595">
            <v>60</v>
          </cell>
          <cell r="R1595">
            <v>0</v>
          </cell>
        </row>
        <row r="1596">
          <cell r="O1596" t="str">
            <v>Aura 10m de radio</v>
          </cell>
          <cell r="P1596">
            <v>25</v>
          </cell>
          <cell r="Q1596">
            <v>80</v>
          </cell>
          <cell r="R1596">
            <v>0</v>
          </cell>
        </row>
        <row r="1597">
          <cell r="O1597" t="str">
            <v>Aura 25m de radio</v>
          </cell>
          <cell r="P1597">
            <v>25</v>
          </cell>
          <cell r="Q1597">
            <v>100</v>
          </cell>
          <cell r="R1597">
            <v>0</v>
          </cell>
        </row>
        <row r="1598">
          <cell r="O1598" t="str">
            <v>Aura 50m de radio</v>
          </cell>
          <cell r="P1598">
            <v>30</v>
          </cell>
          <cell r="Q1598">
            <v>120</v>
          </cell>
          <cell r="R1598">
            <v>0</v>
          </cell>
        </row>
        <row r="1599">
          <cell r="O1599" t="str">
            <v>Aura 100m de radio</v>
          </cell>
          <cell r="P1599">
            <v>35</v>
          </cell>
          <cell r="Q1599">
            <v>140</v>
          </cell>
          <cell r="R1599">
            <v>0</v>
          </cell>
        </row>
        <row r="1600">
          <cell r="O1600" t="str">
            <v>Aura RM o RF 40</v>
          </cell>
          <cell r="P1600">
            <v>20</v>
          </cell>
          <cell r="Q1600">
            <v>20</v>
          </cell>
          <cell r="R1600">
            <v>0</v>
          </cell>
        </row>
        <row r="1601">
          <cell r="O1601" t="str">
            <v>Aura RM o RF 60</v>
          </cell>
          <cell r="P1601">
            <v>20</v>
          </cell>
          <cell r="Q1601">
            <v>30</v>
          </cell>
          <cell r="R1601">
            <v>0</v>
          </cell>
        </row>
        <row r="1602">
          <cell r="O1602" t="str">
            <v>Aura RM o RF 80</v>
          </cell>
          <cell r="P1602">
            <v>25</v>
          </cell>
          <cell r="Q1602">
            <v>40</v>
          </cell>
          <cell r="R1602">
            <v>0</v>
          </cell>
        </row>
        <row r="1603">
          <cell r="O1603" t="str">
            <v>Aura RM o RF 100</v>
          </cell>
          <cell r="P1603">
            <v>25</v>
          </cell>
          <cell r="Q1603">
            <v>50</v>
          </cell>
          <cell r="R1603">
            <v>0</v>
          </cell>
        </row>
        <row r="1604">
          <cell r="O1604" t="str">
            <v>Aura RM o RF 120</v>
          </cell>
          <cell r="P1604">
            <v>30</v>
          </cell>
          <cell r="Q1604">
            <v>60</v>
          </cell>
          <cell r="R1604">
            <v>0</v>
          </cell>
        </row>
        <row r="1605">
          <cell r="O1605" t="str">
            <v>Aura RM o RF 140</v>
          </cell>
          <cell r="P1605">
            <v>35</v>
          </cell>
          <cell r="Q1605">
            <v>80</v>
          </cell>
          <cell r="R1605">
            <v>0</v>
          </cell>
        </row>
        <row r="1606">
          <cell r="O1606" t="str">
            <v>Aura Miedo</v>
          </cell>
          <cell r="P1606">
            <v>20</v>
          </cell>
          <cell r="Q1606">
            <v>60</v>
          </cell>
          <cell r="R1606">
            <v>0</v>
          </cell>
        </row>
        <row r="1607">
          <cell r="O1607" t="str">
            <v>Aura Terror</v>
          </cell>
          <cell r="P1607">
            <v>30</v>
          </cell>
          <cell r="Q1607">
            <v>80</v>
          </cell>
          <cell r="R1607">
            <v>0</v>
          </cell>
        </row>
        <row r="1608">
          <cell r="O1608" t="str">
            <v>Aura Dolor</v>
          </cell>
          <cell r="P1608">
            <v>20</v>
          </cell>
          <cell r="Q1608">
            <v>60</v>
          </cell>
          <cell r="R1608">
            <v>0</v>
          </cell>
        </row>
        <row r="1609">
          <cell r="O1609" t="str">
            <v>Aura Dolor extremo</v>
          </cell>
          <cell r="P1609">
            <v>25</v>
          </cell>
          <cell r="Q1609">
            <v>80</v>
          </cell>
          <cell r="R1609">
            <v>0</v>
          </cell>
        </row>
        <row r="1610">
          <cell r="O1610" t="str">
            <v>Aura Debilidad</v>
          </cell>
          <cell r="P1610">
            <v>20</v>
          </cell>
          <cell r="Q1610">
            <v>100</v>
          </cell>
          <cell r="R1610">
            <v>0</v>
          </cell>
        </row>
        <row r="1611">
          <cell r="O1611" t="str">
            <v>Aura Paralización parcial</v>
          </cell>
          <cell r="P1611">
            <v>20</v>
          </cell>
          <cell r="Q1611">
            <v>80</v>
          </cell>
          <cell r="R1611">
            <v>0</v>
          </cell>
        </row>
        <row r="1612">
          <cell r="O1612" t="str">
            <v>Aura Paralización completa</v>
          </cell>
          <cell r="P1612">
            <v>30</v>
          </cell>
          <cell r="Q1612">
            <v>120</v>
          </cell>
          <cell r="R1612">
            <v>0</v>
          </cell>
        </row>
        <row r="1613">
          <cell r="O1613" t="str">
            <v>Aura Ira</v>
          </cell>
          <cell r="P1613">
            <v>20</v>
          </cell>
          <cell r="Q1613">
            <v>60</v>
          </cell>
          <cell r="R1613">
            <v>0</v>
          </cell>
        </row>
        <row r="1614">
          <cell r="O1614" t="str">
            <v>Aura Ceguera</v>
          </cell>
          <cell r="P1614">
            <v>20</v>
          </cell>
          <cell r="Q1614">
            <v>80</v>
          </cell>
          <cell r="R1614">
            <v>0</v>
          </cell>
        </row>
        <row r="1615">
          <cell r="O1615" t="str">
            <v>Aura Sordera</v>
          </cell>
          <cell r="P1615">
            <v>20</v>
          </cell>
          <cell r="Q1615">
            <v>40</v>
          </cell>
          <cell r="R1615">
            <v>0</v>
          </cell>
        </row>
        <row r="1616">
          <cell r="O1616" t="str">
            <v>Aura Mudez</v>
          </cell>
          <cell r="P1616">
            <v>20</v>
          </cell>
          <cell r="Q1616">
            <v>40</v>
          </cell>
          <cell r="R1616">
            <v>0</v>
          </cell>
        </row>
        <row r="1617">
          <cell r="O1617" t="str">
            <v>Aura Fascinación</v>
          </cell>
          <cell r="P1617">
            <v>20</v>
          </cell>
          <cell r="Q1617">
            <v>40</v>
          </cell>
          <cell r="R1617">
            <v>0</v>
          </cell>
        </row>
        <row r="1618">
          <cell r="O1618" t="str">
            <v>Aura Daño simple</v>
          </cell>
          <cell r="P1618">
            <v>20</v>
          </cell>
          <cell r="Q1618">
            <v>60</v>
          </cell>
          <cell r="R1618">
            <v>0</v>
          </cell>
        </row>
        <row r="1619">
          <cell r="O1619" t="str">
            <v>Aura Daño doble</v>
          </cell>
          <cell r="P1619">
            <v>30</v>
          </cell>
          <cell r="Q1619">
            <v>100</v>
          </cell>
          <cell r="R1619">
            <v>0</v>
          </cell>
        </row>
        <row r="1620">
          <cell r="O1620" t="str">
            <v>Aura Inconsciencia</v>
          </cell>
          <cell r="P1620">
            <v>20</v>
          </cell>
          <cell r="Q1620">
            <v>120</v>
          </cell>
          <cell r="R1620">
            <v>0</v>
          </cell>
        </row>
        <row r="1621">
          <cell r="O1621" t="str">
            <v>Aura Dominio</v>
          </cell>
          <cell r="P1621">
            <v>30</v>
          </cell>
          <cell r="Q1621">
            <v>140</v>
          </cell>
          <cell r="R1621">
            <v>0</v>
          </cell>
        </row>
        <row r="1622">
          <cell r="O1622" t="str">
            <v>Aura Muerte</v>
          </cell>
          <cell r="P1622">
            <v>35</v>
          </cell>
          <cell r="Q1622">
            <v>160</v>
          </cell>
          <cell r="R1622">
            <v>0</v>
          </cell>
        </row>
        <row r="1623">
          <cell r="O1623" t="str">
            <v>Aura Locura</v>
          </cell>
          <cell r="P1623">
            <v>20</v>
          </cell>
          <cell r="Q1623">
            <v>40</v>
          </cell>
          <cell r="R1623">
            <v>0</v>
          </cell>
        </row>
        <row r="1624">
          <cell r="O1624" t="str">
            <v>Aura Vejez</v>
          </cell>
          <cell r="P1624">
            <v>25</v>
          </cell>
          <cell r="Q1624">
            <v>80</v>
          </cell>
          <cell r="R1624">
            <v>0</v>
          </cell>
        </row>
        <row r="1625">
          <cell r="O1625" t="str">
            <v>Aura Petrificación</v>
          </cell>
          <cell r="P1625">
            <v>30</v>
          </cell>
          <cell r="Q1625">
            <v>140</v>
          </cell>
          <cell r="R1625">
            <v>0</v>
          </cell>
        </row>
        <row r="1626">
          <cell r="O1626" t="str">
            <v>Aura Penalización a toda acción</v>
          </cell>
          <cell r="P1626">
            <v>20</v>
          </cell>
          <cell r="Q1626">
            <v>100</v>
          </cell>
          <cell r="R1626">
            <v>0</v>
          </cell>
        </row>
        <row r="1627">
          <cell r="O1627" t="str">
            <v>Aura Efecto adicional</v>
          </cell>
          <cell r="P1627">
            <v>20</v>
          </cell>
          <cell r="Q1627">
            <v>10</v>
          </cell>
          <cell r="R1627">
            <v>0</v>
          </cell>
        </row>
        <row r="1628">
          <cell r="O1628" t="str">
            <v>Aura Condición adicional</v>
          </cell>
          <cell r="P1628">
            <v>20</v>
          </cell>
          <cell r="Q1628">
            <v>-30</v>
          </cell>
          <cell r="R1628">
            <v>0</v>
          </cell>
        </row>
        <row r="1629">
          <cell r="O1629" t="str">
            <v>&gt;PERCEPCIONES ESPECIALES</v>
          </cell>
          <cell r="R1629">
            <v>0</v>
          </cell>
        </row>
        <row r="1630">
          <cell r="O1630" t="str">
            <v>Visión especial Visión nocturna</v>
          </cell>
          <cell r="P1630">
            <v>0</v>
          </cell>
          <cell r="Q1630">
            <v>10</v>
          </cell>
          <cell r="R1630">
            <v>0</v>
          </cell>
        </row>
        <row r="1631">
          <cell r="O1631" t="str">
            <v>Visión especial Visión nocturna completa</v>
          </cell>
          <cell r="P1631">
            <v>10</v>
          </cell>
          <cell r="Q1631">
            <v>20</v>
          </cell>
          <cell r="R1631">
            <v>0</v>
          </cell>
        </row>
        <row r="1632">
          <cell r="O1632" t="str">
            <v>Visión especial Visión extrasensorial</v>
          </cell>
          <cell r="P1632">
            <v>10</v>
          </cell>
          <cell r="Q1632">
            <v>30</v>
          </cell>
          <cell r="R1632">
            <v>0</v>
          </cell>
        </row>
        <row r="1633">
          <cell r="O1633" t="str">
            <v>Visión especial Ver magia</v>
          </cell>
          <cell r="P1633">
            <v>10</v>
          </cell>
          <cell r="Q1633">
            <v>10</v>
          </cell>
          <cell r="R1633">
            <v>0</v>
          </cell>
        </row>
        <row r="1634">
          <cell r="O1634" t="str">
            <v>Visión especial Ver matrices</v>
          </cell>
          <cell r="P1634">
            <v>10</v>
          </cell>
          <cell r="Q1634">
            <v>10</v>
          </cell>
          <cell r="R1634">
            <v>0</v>
          </cell>
        </row>
        <row r="1635">
          <cell r="O1635" t="str">
            <v>Visión especial Ver espíritus</v>
          </cell>
          <cell r="P1635">
            <v>10</v>
          </cell>
          <cell r="Q1635">
            <v>10</v>
          </cell>
          <cell r="R1635">
            <v>0</v>
          </cell>
        </row>
        <row r="1636">
          <cell r="O1636" t="str">
            <v>Visión especial Ver lo sobrenatural</v>
          </cell>
          <cell r="P1636">
            <v>20</v>
          </cell>
          <cell r="Q1636">
            <v>30</v>
          </cell>
          <cell r="R1636">
            <v>0</v>
          </cell>
        </row>
        <row r="1637">
          <cell r="O1637" t="str">
            <v>Detección sobrenatural 5m</v>
          </cell>
          <cell r="P1637">
            <v>10</v>
          </cell>
          <cell r="Q1637">
            <v>10</v>
          </cell>
          <cell r="R1637">
            <v>0</v>
          </cell>
        </row>
        <row r="1638">
          <cell r="O1638" t="str">
            <v>Detección sobrenatural 10m</v>
          </cell>
          <cell r="P1638">
            <v>10</v>
          </cell>
          <cell r="Q1638">
            <v>20</v>
          </cell>
          <cell r="R1638">
            <v>0</v>
          </cell>
        </row>
        <row r="1639">
          <cell r="O1639" t="str">
            <v>Detección sobrenatural 25m</v>
          </cell>
          <cell r="P1639">
            <v>15</v>
          </cell>
          <cell r="Q1639">
            <v>30</v>
          </cell>
          <cell r="R1639">
            <v>0</v>
          </cell>
        </row>
        <row r="1640">
          <cell r="O1640" t="str">
            <v>Detección sobrenatural 50m</v>
          </cell>
          <cell r="P1640">
            <v>15</v>
          </cell>
          <cell r="Q1640">
            <v>40</v>
          </cell>
          <cell r="R1640">
            <v>0</v>
          </cell>
        </row>
        <row r="1641">
          <cell r="O1641" t="str">
            <v>Detección sobrenatural 100m</v>
          </cell>
          <cell r="P1641">
            <v>20</v>
          </cell>
          <cell r="Q1641">
            <v>50</v>
          </cell>
          <cell r="R1641">
            <v>0</v>
          </cell>
        </row>
        <row r="1642">
          <cell r="O1642" t="str">
            <v>Detección sobrenatural 500m</v>
          </cell>
          <cell r="P1642">
            <v>20</v>
          </cell>
          <cell r="Q1642">
            <v>60</v>
          </cell>
          <cell r="R1642">
            <v>0</v>
          </cell>
        </row>
        <row r="1643">
          <cell r="O1643" t="str">
            <v>Detección sobrenatural 1km</v>
          </cell>
          <cell r="P1643">
            <v>25</v>
          </cell>
          <cell r="Q1643">
            <v>80</v>
          </cell>
          <cell r="R1643">
            <v>0</v>
          </cell>
        </row>
        <row r="1644">
          <cell r="O1644" t="str">
            <v>Detección sobrenatural RM 100</v>
          </cell>
          <cell r="P1644">
            <v>10</v>
          </cell>
          <cell r="Q1644">
            <v>10</v>
          </cell>
          <cell r="R1644">
            <v>0</v>
          </cell>
        </row>
        <row r="1645">
          <cell r="O1645" t="str">
            <v>Detección sobrenatural RM 140</v>
          </cell>
          <cell r="P1645">
            <v>10</v>
          </cell>
          <cell r="Q1645">
            <v>20</v>
          </cell>
          <cell r="R1645">
            <v>0</v>
          </cell>
        </row>
        <row r="1646">
          <cell r="O1646" t="str">
            <v>Detección sobrenatural RM 180</v>
          </cell>
          <cell r="P1646">
            <v>15</v>
          </cell>
          <cell r="Q1646">
            <v>40</v>
          </cell>
          <cell r="R1646">
            <v>0</v>
          </cell>
        </row>
        <row r="1647">
          <cell r="O1647" t="str">
            <v>Detección sobrenatural RM 220</v>
          </cell>
          <cell r="P1647">
            <v>20</v>
          </cell>
          <cell r="Q1647">
            <v>80</v>
          </cell>
          <cell r="R1647">
            <v>0</v>
          </cell>
        </row>
        <row r="1648">
          <cell r="O1648" t="str">
            <v>Detección sobrenatural RM 260</v>
          </cell>
          <cell r="P1648">
            <v>25</v>
          </cell>
          <cell r="Q1648">
            <v>120</v>
          </cell>
          <cell r="R1648">
            <v>0</v>
          </cell>
        </row>
        <row r="1649">
          <cell r="O1649" t="str">
            <v>Detección sobrenatural Detección de vida</v>
          </cell>
          <cell r="P1649">
            <v>10</v>
          </cell>
          <cell r="Q1649">
            <v>20</v>
          </cell>
          <cell r="R1649">
            <v>0</v>
          </cell>
        </row>
        <row r="1650">
          <cell r="O1650" t="str">
            <v>Detección sobrenatural Algo determinado</v>
          </cell>
          <cell r="P1650">
            <v>20</v>
          </cell>
          <cell r="Q1650">
            <v>30</v>
          </cell>
          <cell r="R1650">
            <v>0</v>
          </cell>
        </row>
        <row r="1651">
          <cell r="O1651" t="str">
            <v>&gt; [CN] PODERES DE COMBATE</v>
          </cell>
        </row>
        <row r="1652">
          <cell r="O1652" t="str">
            <v>Ataque adicional independiente</v>
          </cell>
          <cell r="P1652">
            <v>5</v>
          </cell>
          <cell r="Q1652">
            <v>20</v>
          </cell>
          <cell r="R1652">
            <v>0</v>
          </cell>
        </row>
        <row r="1653">
          <cell r="O1653" t="str">
            <v>Ataque retardado 1 turno</v>
          </cell>
          <cell r="P1653">
            <v>10</v>
          </cell>
          <cell r="Q1653">
            <v>10</v>
          </cell>
          <cell r="R1653">
            <v>0</v>
          </cell>
        </row>
        <row r="1654">
          <cell r="O1654" t="str">
            <v>Ataque retardado 3 turnos</v>
          </cell>
          <cell r="P1654">
            <v>20</v>
          </cell>
          <cell r="Q1654">
            <v>20</v>
          </cell>
          <cell r="R1654">
            <v>0</v>
          </cell>
        </row>
        <row r="1655">
          <cell r="O1655" t="str">
            <v>Ataque retardado 5 turnos</v>
          </cell>
          <cell r="P1655">
            <v>25</v>
          </cell>
          <cell r="Q1655">
            <v>30</v>
          </cell>
          <cell r="R1655">
            <v>0</v>
          </cell>
        </row>
        <row r="1656">
          <cell r="O1656" t="str">
            <v>Ataque retardado 20 turnos (1 min)</v>
          </cell>
          <cell r="P1656">
            <v>30</v>
          </cell>
          <cell r="Q1656">
            <v>40</v>
          </cell>
          <cell r="R1656">
            <v>0</v>
          </cell>
        </row>
        <row r="1657">
          <cell r="O1657" t="str">
            <v>Ataque camuflado Advertir 120 / Buscar 40</v>
          </cell>
          <cell r="P1657">
            <v>5</v>
          </cell>
          <cell r="Q1657">
            <v>20</v>
          </cell>
          <cell r="R1657">
            <v>0</v>
          </cell>
        </row>
        <row r="1658">
          <cell r="O1658" t="str">
            <v>Ataque camuflado Advertir 140 / Buscar 80</v>
          </cell>
          <cell r="P1658">
            <v>10</v>
          </cell>
          <cell r="Q1658">
            <v>30</v>
          </cell>
          <cell r="R1658">
            <v>0</v>
          </cell>
        </row>
        <row r="1659">
          <cell r="O1659" t="str">
            <v>Ataque camuflado Advertir 180 / Buscar 120</v>
          </cell>
          <cell r="P1659">
            <v>15</v>
          </cell>
          <cell r="Q1659">
            <v>40</v>
          </cell>
          <cell r="R1659">
            <v>0</v>
          </cell>
        </row>
        <row r="1660">
          <cell r="O1660" t="str">
            <v>Ataque camuflado Advertir 240 / Buscar 140</v>
          </cell>
          <cell r="P1660">
            <v>25</v>
          </cell>
          <cell r="Q1660">
            <v>60</v>
          </cell>
          <cell r="R1660">
            <v>0</v>
          </cell>
        </row>
        <row r="1661">
          <cell r="O1661" t="str">
            <v>Ataque camuflado Advertir 280 / Buscar 180</v>
          </cell>
          <cell r="P1661">
            <v>30</v>
          </cell>
          <cell r="Q1661">
            <v>80</v>
          </cell>
          <cell r="R1661">
            <v>0</v>
          </cell>
        </row>
        <row r="1662">
          <cell r="O1662" t="str">
            <v>Ataque mantenido 1 turno adicional</v>
          </cell>
          <cell r="P1662">
            <v>10</v>
          </cell>
          <cell r="Q1662">
            <v>50</v>
          </cell>
          <cell r="R1662">
            <v>0</v>
          </cell>
        </row>
        <row r="1663">
          <cell r="O1663" t="str">
            <v>Ataque mantenido 2 turnos adicionales</v>
          </cell>
          <cell r="P1663">
            <v>15</v>
          </cell>
          <cell r="Q1663">
            <v>60</v>
          </cell>
          <cell r="R1663">
            <v>0</v>
          </cell>
        </row>
        <row r="1664">
          <cell r="O1664" t="str">
            <v>Ataque mantenido 3 turnos adicionales</v>
          </cell>
          <cell r="P1664">
            <v>20</v>
          </cell>
          <cell r="Q1664">
            <v>80</v>
          </cell>
          <cell r="R1664">
            <v>0</v>
          </cell>
        </row>
        <row r="1665">
          <cell r="O1665" t="str">
            <v>Ataque mantenido 4 turnos adicionales</v>
          </cell>
          <cell r="P1665">
            <v>25</v>
          </cell>
          <cell r="Q1665">
            <v>100</v>
          </cell>
          <cell r="R1665">
            <v>0</v>
          </cell>
        </row>
        <row r="1666">
          <cell r="O1666" t="str">
            <v>Ataque mantenido 5 turnos adicionales</v>
          </cell>
          <cell r="P1666">
            <v>30</v>
          </cell>
          <cell r="Q1666">
            <v>120</v>
          </cell>
          <cell r="R1666">
            <v>0</v>
          </cell>
        </row>
        <row r="1667">
          <cell r="O1667" t="str">
            <v>Imparable -80 Defensa / -20 Ataque</v>
          </cell>
          <cell r="P1667">
            <v>0</v>
          </cell>
          <cell r="Q1667">
            <v>20</v>
          </cell>
          <cell r="R1667">
            <v>0</v>
          </cell>
        </row>
        <row r="1668">
          <cell r="O1668" t="str">
            <v>Imparable -60 Defensa / -10 Ataque</v>
          </cell>
          <cell r="P1668">
            <v>10</v>
          </cell>
          <cell r="Q1668">
            <v>40</v>
          </cell>
          <cell r="R1668">
            <v>0</v>
          </cell>
        </row>
        <row r="1669">
          <cell r="O1669" t="str">
            <v>Imparable -40 Defensa</v>
          </cell>
          <cell r="P1669">
            <v>30</v>
          </cell>
          <cell r="Q1669">
            <v>60</v>
          </cell>
          <cell r="R1669">
            <v>0</v>
          </cell>
        </row>
        <row r="1670">
          <cell r="O1670" t="str">
            <v>Reflejar ataques Ataque a distancia</v>
          </cell>
          <cell r="P1670">
            <v>10</v>
          </cell>
          <cell r="Q1670">
            <v>30</v>
          </cell>
          <cell r="R1670">
            <v>0</v>
          </cell>
        </row>
        <row r="1671">
          <cell r="O1671" t="str">
            <v>Reflejar ataques Ataque cuerpo a cuerpo</v>
          </cell>
          <cell r="P1671">
            <v>15</v>
          </cell>
          <cell r="Q1671">
            <v>40</v>
          </cell>
          <cell r="R1671">
            <v>0</v>
          </cell>
        </row>
        <row r="1672">
          <cell r="O1672" t="str">
            <v>Reflejar ataques Elección de blanco</v>
          </cell>
          <cell r="P1672">
            <v>15</v>
          </cell>
          <cell r="Q1672">
            <v>20</v>
          </cell>
          <cell r="R1672">
            <v>0</v>
          </cell>
        </row>
        <row r="1673">
          <cell r="O1673" t="str">
            <v>Reflejar ataques Contrataque limitado</v>
          </cell>
          <cell r="P1673">
            <v>30</v>
          </cell>
          <cell r="Q1673">
            <v>40</v>
          </cell>
          <cell r="R1673">
            <v>0</v>
          </cell>
        </row>
        <row r="1674">
          <cell r="O1674" t="str">
            <v>Arma natural a distancia</v>
          </cell>
          <cell r="P1674">
            <v>5</v>
          </cell>
          <cell r="Q1674">
            <v>20</v>
          </cell>
          <cell r="R1674">
            <v>0</v>
          </cell>
        </row>
        <row r="1675">
          <cell r="O1675" t="str">
            <v>Arma natural a distancia Munición avanzada</v>
          </cell>
          <cell r="P1675">
            <v>10</v>
          </cell>
          <cell r="Q1675">
            <v>20</v>
          </cell>
          <cell r="R1675">
            <v>0</v>
          </cell>
        </row>
        <row r="1676">
          <cell r="O1676" t="str">
            <v>Arma natural a distancia Munición ilimitada</v>
          </cell>
          <cell r="P1676">
            <v>20</v>
          </cell>
          <cell r="Q1676">
            <v>40</v>
          </cell>
          <cell r="R1676">
            <v>0</v>
          </cell>
        </row>
        <row r="1677">
          <cell r="O1677" t="str">
            <v>Arma natural a distancia Larga distancia</v>
          </cell>
          <cell r="P1677">
            <v>10</v>
          </cell>
          <cell r="Q1677">
            <v>30</v>
          </cell>
          <cell r="R1677">
            <v>0</v>
          </cell>
        </row>
        <row r="1678">
          <cell r="O1678" t="str">
            <v>Arma natural a distancia Disparo</v>
          </cell>
          <cell r="P1678">
            <v>10</v>
          </cell>
          <cell r="Q1678">
            <v>20</v>
          </cell>
          <cell r="R1678">
            <v>0</v>
          </cell>
        </row>
        <row r="1679">
          <cell r="O1679" t="str">
            <v>Impactos de Fuerza</v>
          </cell>
          <cell r="P1679">
            <v>15</v>
          </cell>
          <cell r="Q1679">
            <v>50</v>
          </cell>
          <cell r="R1679">
            <v>0</v>
          </cell>
        </row>
        <row r="1680">
          <cell r="O1680" t="str">
            <v>Ataque automático condicionado Ataque -60</v>
          </cell>
          <cell r="P1680">
            <v>5</v>
          </cell>
          <cell r="Q1680">
            <v>10</v>
          </cell>
          <cell r="R1680">
            <v>0</v>
          </cell>
        </row>
        <row r="1681">
          <cell r="O1681" t="str">
            <v>Ataque automático condicionado Ataque -40</v>
          </cell>
          <cell r="P1681">
            <v>10</v>
          </cell>
          <cell r="Q1681">
            <v>20</v>
          </cell>
          <cell r="R1681">
            <v>0</v>
          </cell>
        </row>
        <row r="1682">
          <cell r="O1682" t="str">
            <v>Ataque automático condicionado Ataque -20</v>
          </cell>
          <cell r="P1682">
            <v>20</v>
          </cell>
          <cell r="Q1682">
            <v>30</v>
          </cell>
          <cell r="R1682">
            <v>0</v>
          </cell>
        </row>
        <row r="1683">
          <cell r="O1683" t="str">
            <v>Ataque automático condicionado Ataque Pleno</v>
          </cell>
          <cell r="P1683">
            <v>30</v>
          </cell>
          <cell r="Q1683">
            <v>40</v>
          </cell>
          <cell r="R1683">
            <v>0</v>
          </cell>
        </row>
        <row r="1684">
          <cell r="O1684" t="str">
            <v>Ataque automático condicionado Daño menor</v>
          </cell>
          <cell r="P1684">
            <v>20</v>
          </cell>
          <cell r="Q1684">
            <v>40</v>
          </cell>
          <cell r="R1684">
            <v>0</v>
          </cell>
        </row>
        <row r="1685">
          <cell r="O1685" t="str">
            <v>Ataque automático condicionado Daño mayor</v>
          </cell>
          <cell r="P1685">
            <v>10</v>
          </cell>
          <cell r="Q1685">
            <v>20</v>
          </cell>
          <cell r="R1685">
            <v>0</v>
          </cell>
        </row>
        <row r="1686">
          <cell r="O1686" t="str">
            <v>Ataque automático condicionado Crítico</v>
          </cell>
          <cell r="P1686">
            <v>15</v>
          </cell>
          <cell r="Q1686">
            <v>30</v>
          </cell>
          <cell r="R1686">
            <v>0</v>
          </cell>
        </row>
        <row r="1687">
          <cell r="O1687" t="str">
            <v>Ataque automático condicionado Muerte</v>
          </cell>
          <cell r="P1687">
            <v>5</v>
          </cell>
          <cell r="Q1687">
            <v>10</v>
          </cell>
          <cell r="R1687">
            <v>0</v>
          </cell>
        </row>
        <row r="1688">
          <cell r="O1688" t="str">
            <v>Ataque automático condicionado Compleja</v>
          </cell>
          <cell r="P1688">
            <v>10</v>
          </cell>
          <cell r="Q1688">
            <v>10</v>
          </cell>
          <cell r="R1688">
            <v>0</v>
          </cell>
        </row>
        <row r="1689">
          <cell r="O1689" t="str">
            <v>Ataque automático condicionado Simple</v>
          </cell>
          <cell r="P1689">
            <v>20</v>
          </cell>
          <cell r="Q1689">
            <v>40</v>
          </cell>
          <cell r="R1689">
            <v>0</v>
          </cell>
        </row>
        <row r="1690">
          <cell r="O1690" t="str">
            <v>Rotura +5</v>
          </cell>
          <cell r="P1690">
            <v>5</v>
          </cell>
          <cell r="Q1690">
            <v>10</v>
          </cell>
          <cell r="R1690">
            <v>0</v>
          </cell>
          <cell r="S1690">
            <v>0</v>
          </cell>
        </row>
        <row r="1691">
          <cell r="O1691" t="str">
            <v>Rotura +10</v>
          </cell>
          <cell r="P1691">
            <v>10</v>
          </cell>
          <cell r="Q1691">
            <v>20</v>
          </cell>
          <cell r="R1691">
            <v>0</v>
          </cell>
        </row>
        <row r="1692">
          <cell r="O1692" t="str">
            <v>Rotura +15</v>
          </cell>
          <cell r="P1692">
            <v>15</v>
          </cell>
          <cell r="Q1692">
            <v>40</v>
          </cell>
          <cell r="R1692">
            <v>0</v>
          </cell>
        </row>
        <row r="1693">
          <cell r="O1693" t="str">
            <v>Rotura +20</v>
          </cell>
          <cell r="P1693">
            <v>30</v>
          </cell>
          <cell r="Q1693">
            <v>60</v>
          </cell>
          <cell r="R1693">
            <v>0</v>
          </cell>
        </row>
        <row r="1694">
          <cell r="O1694" t="str">
            <v>Rotura +25</v>
          </cell>
          <cell r="P1694">
            <v>35</v>
          </cell>
          <cell r="Q1694">
            <v>80</v>
          </cell>
          <cell r="R1694">
            <v>0</v>
          </cell>
        </row>
        <row r="1695">
          <cell r="O1695" t="str">
            <v>Crítico Automático</v>
          </cell>
          <cell r="P1695">
            <v>30</v>
          </cell>
          <cell r="Q1695">
            <v>100</v>
          </cell>
          <cell r="R1695">
            <v>0</v>
          </cell>
        </row>
        <row r="1696">
          <cell r="O1696" t="str">
            <v>Acumular ataque Daño hasta 50</v>
          </cell>
          <cell r="P1696">
            <v>10</v>
          </cell>
          <cell r="Q1696">
            <v>10</v>
          </cell>
          <cell r="R1696">
            <v>0</v>
          </cell>
        </row>
        <row r="1697">
          <cell r="O1697" t="str">
            <v>Acumular ataque Daño hasta 100</v>
          </cell>
          <cell r="P1697">
            <v>20</v>
          </cell>
          <cell r="Q1697">
            <v>20</v>
          </cell>
          <cell r="R1697">
            <v>0</v>
          </cell>
        </row>
        <row r="1698">
          <cell r="O1698" t="str">
            <v>Acumular ataque Habilidad hasta 50</v>
          </cell>
          <cell r="P1698">
            <v>15</v>
          </cell>
          <cell r="Q1698">
            <v>20</v>
          </cell>
          <cell r="R1698">
            <v>0</v>
          </cell>
        </row>
        <row r="1699">
          <cell r="O1699" t="str">
            <v>Acumular ataque Habilidad hasta 100</v>
          </cell>
          <cell r="P1699">
            <v>25</v>
          </cell>
          <cell r="Q1699">
            <v>40</v>
          </cell>
          <cell r="R1699">
            <v>0</v>
          </cell>
        </row>
        <row r="1700">
          <cell r="O1700" t="str">
            <v>Acumular ataque Acumulación rápida</v>
          </cell>
          <cell r="P1700">
            <v>15</v>
          </cell>
          <cell r="Q1700">
            <v>10</v>
          </cell>
          <cell r="R1700">
            <v>0</v>
          </cell>
        </row>
        <row r="1701">
          <cell r="O1701" t="str">
            <v>Acumular ataque Acumulación dual</v>
          </cell>
          <cell r="P1701">
            <v>20</v>
          </cell>
          <cell r="Q1701">
            <v>10</v>
          </cell>
          <cell r="R1701">
            <v>0</v>
          </cell>
        </row>
        <row r="1702">
          <cell r="O1702" t="str">
            <v>Acumular ataque Acumulación múltiple</v>
          </cell>
          <cell r="P1702">
            <v>30</v>
          </cell>
          <cell r="Q1702">
            <v>20</v>
          </cell>
          <cell r="R1702">
            <v>0</v>
          </cell>
        </row>
        <row r="1703">
          <cell r="O1703" t="str">
            <v>Ataques múltiples aleatorios D5</v>
          </cell>
          <cell r="P1703">
            <v>20</v>
          </cell>
          <cell r="Q1703">
            <v>120</v>
          </cell>
          <cell r="R1703">
            <v>0</v>
          </cell>
        </row>
        <row r="1704">
          <cell r="O1704" t="str">
            <v>Ataques múltiples aleatorios D10</v>
          </cell>
          <cell r="P1704">
            <v>30</v>
          </cell>
          <cell r="Q1704">
            <v>220</v>
          </cell>
          <cell r="R1704">
            <v>0</v>
          </cell>
        </row>
        <row r="1705">
          <cell r="O1705" t="str">
            <v>Ataques múltiples aleatorios Ataque -80</v>
          </cell>
          <cell r="P1705">
            <v>20</v>
          </cell>
          <cell r="Q1705">
            <v>30</v>
          </cell>
          <cell r="R1705">
            <v>0</v>
          </cell>
        </row>
        <row r="1706">
          <cell r="O1706" t="str">
            <v>Ataques múltiples aleatorios Ataque -60</v>
          </cell>
          <cell r="P1706">
            <v>20</v>
          </cell>
          <cell r="Q1706">
            <v>40</v>
          </cell>
          <cell r="R1706">
            <v>0</v>
          </cell>
        </row>
        <row r="1707">
          <cell r="O1707" t="str">
            <v>Ataques múltiples aleatorios Ataque -40</v>
          </cell>
          <cell r="P1707">
            <v>20</v>
          </cell>
          <cell r="Q1707">
            <v>50</v>
          </cell>
          <cell r="R1707">
            <v>0</v>
          </cell>
        </row>
        <row r="1708">
          <cell r="O1708" t="str">
            <v>Ataques múltiples aleatorios Ataque -20</v>
          </cell>
          <cell r="P1708">
            <v>20</v>
          </cell>
          <cell r="Q1708">
            <v>60</v>
          </cell>
          <cell r="R1708">
            <v>0</v>
          </cell>
        </row>
        <row r="1709">
          <cell r="O1709" t="str">
            <v>Ataques múltiples aleatorios Ataque pleno</v>
          </cell>
          <cell r="P1709">
            <v>20</v>
          </cell>
          <cell r="Q1709">
            <v>80</v>
          </cell>
          <cell r="R1709">
            <v>0</v>
          </cell>
        </row>
        <row r="1710">
          <cell r="O1710" t="str">
            <v>Carga Natural</v>
          </cell>
          <cell r="P1710">
            <v>0</v>
          </cell>
          <cell r="Q1710">
            <v>20</v>
          </cell>
          <cell r="R1710">
            <v>0</v>
          </cell>
        </row>
        <row r="1711">
          <cell r="O1711" t="str">
            <v>Reducción de daño Daño -10</v>
          </cell>
          <cell r="P1711">
            <v>10</v>
          </cell>
          <cell r="Q1711">
            <v>30</v>
          </cell>
          <cell r="R1711">
            <v>0</v>
          </cell>
        </row>
        <row r="1712">
          <cell r="O1712" t="str">
            <v>Reducción de daño Daño -20</v>
          </cell>
          <cell r="P1712">
            <v>20</v>
          </cell>
          <cell r="Q1712">
            <v>50</v>
          </cell>
          <cell r="R1712">
            <v>0</v>
          </cell>
        </row>
        <row r="1713">
          <cell r="O1713" t="str">
            <v>Reducción de daño Daño -30</v>
          </cell>
          <cell r="P1713">
            <v>25</v>
          </cell>
          <cell r="Q1713">
            <v>80</v>
          </cell>
          <cell r="R1713">
            <v>0</v>
          </cell>
        </row>
        <row r="1714">
          <cell r="O1714" t="str">
            <v>Reducción de daño Daño -40</v>
          </cell>
          <cell r="P1714">
            <v>30</v>
          </cell>
          <cell r="Q1714">
            <v>110</v>
          </cell>
          <cell r="R1714">
            <v>0</v>
          </cell>
        </row>
        <row r="1715">
          <cell r="O1715" t="str">
            <v>Reducción de daño Daño -50</v>
          </cell>
          <cell r="P1715">
            <v>35</v>
          </cell>
          <cell r="Q1715">
            <v>140</v>
          </cell>
          <cell r="R1715">
            <v>0</v>
          </cell>
        </row>
        <row r="1716">
          <cell r="O1716" t="str">
            <v>Reducción de daño Limitado</v>
          </cell>
          <cell r="P1716">
            <v>10</v>
          </cell>
          <cell r="Q1716">
            <v>-15</v>
          </cell>
          <cell r="R1716">
            <v>0</v>
          </cell>
        </row>
        <row r="1717">
          <cell r="O1717" t="str">
            <v>Estilo Defensivo</v>
          </cell>
          <cell r="P1717">
            <v>5</v>
          </cell>
          <cell r="Q1717">
            <v>20</v>
          </cell>
          <cell r="R1717">
            <v>0</v>
          </cell>
        </row>
        <row r="1718">
          <cell r="O1718" t="str">
            <v>Escudo Rodela</v>
          </cell>
          <cell r="P1718">
            <v>0</v>
          </cell>
          <cell r="Q1718">
            <v>10</v>
          </cell>
          <cell r="R1718">
            <v>0</v>
          </cell>
        </row>
        <row r="1719">
          <cell r="O1719" t="str">
            <v>Escudo Escudo medio</v>
          </cell>
          <cell r="P1719">
            <v>0</v>
          </cell>
          <cell r="Q1719">
            <v>20</v>
          </cell>
          <cell r="R1719">
            <v>0</v>
          </cell>
        </row>
        <row r="1720">
          <cell r="O1720" t="str">
            <v>Escudo Escudo corporal</v>
          </cell>
          <cell r="P1720">
            <v>0</v>
          </cell>
          <cell r="Q1720">
            <v>30</v>
          </cell>
          <cell r="R1720">
            <v>0</v>
          </cell>
        </row>
        <row r="1721">
          <cell r="O1721" t="str">
            <v>Escudo Escudo místico 500</v>
          </cell>
          <cell r="P1721">
            <v>10</v>
          </cell>
          <cell r="Q1721">
            <v>20</v>
          </cell>
          <cell r="R1721">
            <v>0</v>
          </cell>
        </row>
        <row r="1722">
          <cell r="O1722" t="str">
            <v>Escudo Escudo místico 1000</v>
          </cell>
          <cell r="P1722">
            <v>15</v>
          </cell>
          <cell r="Q1722">
            <v>40</v>
          </cell>
          <cell r="R1722">
            <v>0</v>
          </cell>
        </row>
        <row r="1723">
          <cell r="O1723" t="str">
            <v>Escudo Escudo místico 1500</v>
          </cell>
          <cell r="P1723">
            <v>20</v>
          </cell>
          <cell r="Q1723">
            <v>60</v>
          </cell>
          <cell r="R1723">
            <v>0</v>
          </cell>
        </row>
        <row r="1724">
          <cell r="O1724" t="str">
            <v>Escudo Escudo místico 2000</v>
          </cell>
          <cell r="P1724">
            <v>25</v>
          </cell>
          <cell r="Q1724">
            <v>80</v>
          </cell>
          <cell r="R1724">
            <v>0</v>
          </cell>
        </row>
        <row r="1725">
          <cell r="O1725" t="str">
            <v>Escudo Escudo místico irrompible</v>
          </cell>
          <cell r="P1725">
            <v>35</v>
          </cell>
          <cell r="Q1725">
            <v>120</v>
          </cell>
          <cell r="R1725">
            <v>0</v>
          </cell>
        </row>
        <row r="1726">
          <cell r="O1726" t="str">
            <v>Ataque especial incrementado Ataque +10</v>
          </cell>
          <cell r="P1726">
            <v>5</v>
          </cell>
          <cell r="Q1726">
            <v>10</v>
          </cell>
          <cell r="R1726">
            <v>0</v>
          </cell>
        </row>
        <row r="1727">
          <cell r="O1727" t="str">
            <v>Ataque especial incrementado Ataque +20</v>
          </cell>
          <cell r="P1727">
            <v>5</v>
          </cell>
          <cell r="Q1727">
            <v>20</v>
          </cell>
          <cell r="R1727">
            <v>0</v>
          </cell>
        </row>
        <row r="1728">
          <cell r="O1728" t="str">
            <v>Ataque especial incrementado Ataque +30</v>
          </cell>
          <cell r="P1728">
            <v>10</v>
          </cell>
          <cell r="Q1728">
            <v>30</v>
          </cell>
          <cell r="R1728">
            <v>0</v>
          </cell>
        </row>
        <row r="1729">
          <cell r="O1729" t="str">
            <v>Ataque especial incrementado Ataque +40</v>
          </cell>
          <cell r="P1729">
            <v>15</v>
          </cell>
          <cell r="Q1729">
            <v>40</v>
          </cell>
          <cell r="R1729">
            <v>0</v>
          </cell>
        </row>
        <row r="1730">
          <cell r="O1730" t="str">
            <v>Ataque especial incrementado Ataque +50</v>
          </cell>
          <cell r="P1730">
            <v>25</v>
          </cell>
          <cell r="Q1730">
            <v>50</v>
          </cell>
          <cell r="R1730">
            <v>0</v>
          </cell>
        </row>
        <row r="1731">
          <cell r="O1731" t="str">
            <v>&gt; [CN] PODERES VARIOS</v>
          </cell>
        </row>
        <row r="1732">
          <cell r="O1732" t="str">
            <v>Sentidos especiales Visión radial</v>
          </cell>
          <cell r="P1732">
            <v>5</v>
          </cell>
          <cell r="Q1732">
            <v>20</v>
          </cell>
          <cell r="R1732">
            <v>0</v>
          </cell>
        </row>
        <row r="1733">
          <cell r="O1733" t="str">
            <v>Sentidos especiales Visión gnóstica</v>
          </cell>
          <cell r="P1733">
            <v>20</v>
          </cell>
          <cell r="Q1733">
            <v>30</v>
          </cell>
          <cell r="R1733">
            <v>0</v>
          </cell>
        </row>
        <row r="1734">
          <cell r="O1734" t="str">
            <v>Sentidos especiales Ojos de la realidad</v>
          </cell>
          <cell r="P1734">
            <v>15</v>
          </cell>
          <cell r="Q1734">
            <v>10</v>
          </cell>
          <cell r="R1734">
            <v>0</v>
          </cell>
        </row>
        <row r="1735">
          <cell r="O1735" t="str">
            <v>Planear</v>
          </cell>
          <cell r="P1735">
            <v>0</v>
          </cell>
          <cell r="Q1735">
            <v>20</v>
          </cell>
          <cell r="R1735">
            <v>0</v>
          </cell>
        </row>
        <row r="1736">
          <cell r="O1736" t="str">
            <v>Efecto permanente Un blanco</v>
          </cell>
          <cell r="P1736">
            <v>15</v>
          </cell>
          <cell r="Q1736">
            <v>30</v>
          </cell>
          <cell r="R1736">
            <v>0</v>
          </cell>
        </row>
        <row r="1737">
          <cell r="O1737" t="str">
            <v>Efecto permanente Cualquier blanco</v>
          </cell>
          <cell r="P1737">
            <v>30</v>
          </cell>
          <cell r="Q1737">
            <v>60</v>
          </cell>
          <cell r="R1737">
            <v>0</v>
          </cell>
        </row>
        <row r="1738">
          <cell r="O1738" t="str">
            <v>Transformación Por Daño</v>
          </cell>
          <cell r="P1738">
            <v>20</v>
          </cell>
          <cell r="Q1738">
            <v>40</v>
          </cell>
          <cell r="R1738">
            <v>0</v>
          </cell>
        </row>
        <row r="1739">
          <cell r="O1739" t="str">
            <v>Transformación Voluntaria</v>
          </cell>
          <cell r="P1739">
            <v>25</v>
          </cell>
          <cell r="Q1739">
            <v>60</v>
          </cell>
          <cell r="R1739">
            <v>0</v>
          </cell>
        </row>
        <row r="1740">
          <cell r="O1740" t="str">
            <v>Transformación Invulnerable</v>
          </cell>
          <cell r="P1740">
            <v>30</v>
          </cell>
          <cell r="Q1740">
            <v>50</v>
          </cell>
          <cell r="R1740">
            <v>0</v>
          </cell>
        </row>
        <row r="1741">
          <cell r="O1741" t="str">
            <v>Transformación Crisálida</v>
          </cell>
          <cell r="P1741">
            <v>20</v>
          </cell>
          <cell r="Q1741">
            <v>-20</v>
          </cell>
          <cell r="R1741">
            <v>0</v>
          </cell>
        </row>
        <row r="1742">
          <cell r="O1742" t="str">
            <v>Transformación Daño transferido</v>
          </cell>
          <cell r="P1742">
            <v>20</v>
          </cell>
          <cell r="Q1742">
            <v>-20</v>
          </cell>
          <cell r="R1742">
            <v>0</v>
          </cell>
        </row>
        <row r="1743">
          <cell r="O1743" t="str">
            <v>&gt; [CN] PODERES MAGICOS Y PSIQUICOS</v>
          </cell>
        </row>
        <row r="1744">
          <cell r="O1744" t="str">
            <v>Maestría sobrenatural Añadido +1</v>
          </cell>
          <cell r="P1744">
            <v>10</v>
          </cell>
          <cell r="Q1744">
            <v>20</v>
          </cell>
          <cell r="R1744">
            <v>0</v>
          </cell>
        </row>
        <row r="1745">
          <cell r="O1745" t="str">
            <v>Maestría sobrenatural Añadido +2</v>
          </cell>
          <cell r="P1745">
            <v>20</v>
          </cell>
          <cell r="Q1745">
            <v>30</v>
          </cell>
          <cell r="R1745">
            <v>0</v>
          </cell>
        </row>
        <row r="1746">
          <cell r="O1746" t="str">
            <v>Maestría sobrenatural Añadido +3</v>
          </cell>
          <cell r="P1746">
            <v>25</v>
          </cell>
          <cell r="Q1746">
            <v>40</v>
          </cell>
          <cell r="R1746">
            <v>0</v>
          </cell>
        </row>
        <row r="1747">
          <cell r="O1747" t="str">
            <v>Maestría sobrenatural Añadido +4</v>
          </cell>
          <cell r="P1747">
            <v>30</v>
          </cell>
          <cell r="Q1747">
            <v>60</v>
          </cell>
          <cell r="R1747">
            <v>0</v>
          </cell>
        </row>
        <row r="1748">
          <cell r="O1748" t="str">
            <v>Maestría sobrenatural Añadido +5</v>
          </cell>
          <cell r="P1748">
            <v>35</v>
          </cell>
          <cell r="Q1748">
            <v>80</v>
          </cell>
          <cell r="R1748">
            <v>0</v>
          </cell>
        </row>
        <row r="1749">
          <cell r="O1749" t="str">
            <v>Maestría sobrenatural Magia menor</v>
          </cell>
          <cell r="P1749">
            <v>10</v>
          </cell>
          <cell r="Q1749">
            <v>-20</v>
          </cell>
          <cell r="R1749">
            <v>0</v>
          </cell>
        </row>
        <row r="1750">
          <cell r="O1750" t="str">
            <v>Magia natural Conjuro de efecto</v>
          </cell>
          <cell r="P1750">
            <v>30</v>
          </cell>
          <cell r="Q1750">
            <v>100</v>
          </cell>
          <cell r="R1750">
            <v>0</v>
          </cell>
        </row>
        <row r="1751">
          <cell r="O1751" t="str">
            <v>Magia natural Todos</v>
          </cell>
          <cell r="P1751">
            <v>35</v>
          </cell>
          <cell r="Q1751">
            <v>150</v>
          </cell>
          <cell r="R1751">
            <v>0</v>
          </cell>
        </row>
        <row r="1752">
          <cell r="O1752" t="str">
            <v>Mente Sistemática</v>
          </cell>
          <cell r="P1752">
            <v>30</v>
          </cell>
          <cell r="Q1752">
            <v>150</v>
          </cell>
          <cell r="R1752">
            <v>0</v>
          </cell>
        </row>
        <row r="1753">
          <cell r="O1753" t="str">
            <v>&gt; [CN] PODERES DIVINOS</v>
          </cell>
        </row>
        <row r="1754">
          <cell r="O1754" t="str">
            <v>Inmunidad Crítica</v>
          </cell>
          <cell r="P1754">
            <v>35</v>
          </cell>
          <cell r="Q1754">
            <v>40</v>
          </cell>
          <cell r="R1754">
            <v>0</v>
          </cell>
        </row>
        <row r="1755">
          <cell r="O1755" t="str">
            <v>Existencia compacta Gigantesco</v>
          </cell>
          <cell r="P1755">
            <v>35</v>
          </cell>
          <cell r="Q1755">
            <v>40</v>
          </cell>
          <cell r="R1755">
            <v>0</v>
          </cell>
        </row>
        <row r="1756">
          <cell r="O1756" t="str">
            <v>Existencia compacta Colosal</v>
          </cell>
          <cell r="P1756">
            <v>40</v>
          </cell>
          <cell r="Q1756">
            <v>60</v>
          </cell>
          <cell r="R1756">
            <v>0</v>
          </cell>
          <cell r="S1756">
            <v>0</v>
          </cell>
        </row>
        <row r="1757">
          <cell r="O1757" t="str">
            <v>Espacio cerrado Espacio temporal</v>
          </cell>
          <cell r="P1757">
            <v>35</v>
          </cell>
          <cell r="Q1757">
            <v>40</v>
          </cell>
          <cell r="R1757">
            <v>0</v>
          </cell>
        </row>
        <row r="1758">
          <cell r="O1758" t="str">
            <v>Espacio cerrado Espacio contínuo</v>
          </cell>
          <cell r="P1758">
            <v>35</v>
          </cell>
          <cell r="Q1758">
            <v>40</v>
          </cell>
          <cell r="R1758">
            <v>0</v>
          </cell>
        </row>
        <row r="1759">
          <cell r="O1759" t="str">
            <v>Espacio cerrado Zona mayor</v>
          </cell>
          <cell r="P1759">
            <v>40</v>
          </cell>
          <cell r="Q1759">
            <v>20</v>
          </cell>
          <cell r="R1759">
            <v>0</v>
          </cell>
        </row>
        <row r="1760">
          <cell r="O1760" t="str">
            <v>Barrera existencial</v>
          </cell>
          <cell r="P1760">
            <v>35</v>
          </cell>
          <cell r="Q1760">
            <v>50</v>
          </cell>
          <cell r="R1760">
            <v>0</v>
          </cell>
        </row>
        <row r="1761">
          <cell r="O1761" t="str">
            <v>Daño existencial</v>
          </cell>
          <cell r="P1761">
            <v>30</v>
          </cell>
          <cell r="Q1761">
            <v>40</v>
          </cell>
          <cell r="R1761">
            <v>0</v>
          </cell>
        </row>
        <row r="1762">
          <cell r="O1762" t="str">
            <v>&gt; PODERES PERSONALIZADOS</v>
          </cell>
        </row>
        <row r="1763">
          <cell r="O1763" t="str">
            <v>Poder #1</v>
          </cell>
          <cell r="P1763">
            <v>0</v>
          </cell>
          <cell r="Q1763">
            <v>0</v>
          </cell>
          <cell r="R1763">
            <v>0</v>
          </cell>
        </row>
        <row r="1764">
          <cell r="O1764" t="str">
            <v>Poder #2</v>
          </cell>
          <cell r="P1764">
            <v>0</v>
          </cell>
          <cell r="Q1764">
            <v>0</v>
          </cell>
          <cell r="R1764">
            <v>0</v>
          </cell>
        </row>
        <row r="1765">
          <cell r="O1765" t="str">
            <v>Poder #3</v>
          </cell>
          <cell r="P1765">
            <v>0</v>
          </cell>
          <cell r="Q1765">
            <v>0</v>
          </cell>
          <cell r="R1765">
            <v>0</v>
          </cell>
        </row>
        <row r="1766">
          <cell r="O1766" t="str">
            <v>Poder #4</v>
          </cell>
          <cell r="P1766">
            <v>0</v>
          </cell>
          <cell r="Q1766">
            <v>0</v>
          </cell>
          <cell r="R1766">
            <v>0</v>
          </cell>
        </row>
        <row r="1767">
          <cell r="O1767" t="str">
            <v>Poder #5</v>
          </cell>
          <cell r="P1767">
            <v>0</v>
          </cell>
          <cell r="Q1767">
            <v>0</v>
          </cell>
          <cell r="R1767">
            <v>0</v>
          </cell>
        </row>
        <row r="1768">
          <cell r="O1768" t="str">
            <v>Poder #6</v>
          </cell>
          <cell r="P1768">
            <v>0</v>
          </cell>
          <cell r="Q1768">
            <v>0</v>
          </cell>
          <cell r="R1768">
            <v>0</v>
          </cell>
        </row>
        <row r="1769">
          <cell r="O1769" t="str">
            <v>Poder #7</v>
          </cell>
          <cell r="P1769">
            <v>0</v>
          </cell>
          <cell r="Q1769">
            <v>0</v>
          </cell>
          <cell r="R1769">
            <v>0</v>
          </cell>
        </row>
        <row r="1770">
          <cell r="O1770" t="str">
            <v>Poder #8</v>
          </cell>
          <cell r="P1770">
            <v>0</v>
          </cell>
          <cell r="Q1770">
            <v>0</v>
          </cell>
          <cell r="R1770">
            <v>0</v>
          </cell>
        </row>
        <row r="1771">
          <cell r="O1771" t="str">
            <v>Poder #9</v>
          </cell>
          <cell r="P1771">
            <v>0</v>
          </cell>
          <cell r="Q1771">
            <v>0</v>
          </cell>
          <cell r="R1771">
            <v>0</v>
          </cell>
        </row>
        <row r="1772">
          <cell r="O1772" t="str">
            <v>Poder #10</v>
          </cell>
          <cell r="P1772">
            <v>0</v>
          </cell>
          <cell r="Q1772">
            <v>0</v>
          </cell>
          <cell r="R1772">
            <v>0</v>
          </cell>
        </row>
        <row r="1780">
          <cell r="C1780" t="str">
            <v>Mikael</v>
          </cell>
        </row>
        <row r="1781">
          <cell r="C1781" t="str">
            <v>Zemial</v>
          </cell>
          <cell r="E1781" t="str">
            <v>Mikael</v>
          </cell>
          <cell r="F1781">
            <v>0</v>
          </cell>
          <cell r="G1781" t="str">
            <v>Elan</v>
          </cell>
          <cell r="H1781" t="str">
            <v>Requisito</v>
          </cell>
          <cell r="I1781" t="str">
            <v>Coste</v>
          </cell>
          <cell r="J1781" t="str">
            <v>Aprendida</v>
          </cell>
          <cell r="K1781" t="str">
            <v>Bono final</v>
          </cell>
          <cell r="L1781" t="str">
            <v>Descripción</v>
          </cell>
          <cell r="R1781" t="str">
            <v>Contador</v>
          </cell>
          <cell r="T1781" t="str">
            <v>Mikael</v>
          </cell>
          <cell r="U1781">
            <v>2</v>
          </cell>
          <cell r="V1781">
            <v>3</v>
          </cell>
          <cell r="W1781">
            <v>4</v>
          </cell>
          <cell r="X1781">
            <v>5</v>
          </cell>
          <cell r="Y1781">
            <v>6</v>
          </cell>
        </row>
        <row r="1782">
          <cell r="C1782" t="str">
            <v>Uriel</v>
          </cell>
          <cell r="E1782" t="str">
            <v>Luz de esperanza</v>
          </cell>
          <cell r="G1782">
            <v>10</v>
          </cell>
          <cell r="H1782">
            <v>1</v>
          </cell>
          <cell r="I1782">
            <v>5</v>
          </cell>
          <cell r="J1782">
            <v>0</v>
          </cell>
          <cell r="L1782" t="str">
            <v>El PJ se convierte en un foco de esperanza para los demás.</v>
          </cell>
          <cell r="R1782">
            <v>0</v>
          </cell>
          <cell r="T1782" t="str">
            <v>Devolver la esperanza a un individuo</v>
          </cell>
          <cell r="U1782">
            <v>1</v>
          </cell>
          <cell r="V1782" t="str">
            <v>Ayudar a alguien a costa de perjudicarse uno mismo</v>
          </cell>
          <cell r="W1782">
            <v>1</v>
          </cell>
          <cell r="X1782" t="str">
            <v>Perder la esperanza</v>
          </cell>
          <cell r="Y1782">
            <v>-5</v>
          </cell>
        </row>
        <row r="1783">
          <cell r="C1783" t="str">
            <v>Jedah</v>
          </cell>
          <cell r="E1783" t="str">
            <v>Extirpar enfermedades</v>
          </cell>
          <cell r="G1783">
            <v>20</v>
          </cell>
          <cell r="H1783">
            <v>1</v>
          </cell>
          <cell r="I1783">
            <v>10</v>
          </cell>
          <cell r="J1783">
            <v>0</v>
          </cell>
          <cell r="L1783" t="str">
            <v>Permite extripar cualquier enfermedad de nivel igual o inferior a 0.</v>
          </cell>
          <cell r="R1783">
            <v>0</v>
          </cell>
          <cell r="T1783" t="str">
            <v>Devolver la esperanza a un gran número de personas</v>
          </cell>
          <cell r="U1783">
            <v>5</v>
          </cell>
          <cell r="V1783" t="str">
            <v>Deshacer un mal mayor</v>
          </cell>
          <cell r="W1783">
            <v>3</v>
          </cell>
          <cell r="X1783" t="str">
            <v>Ignorar a alguien realmente necesitado</v>
          </cell>
          <cell r="Y1783">
            <v>-3</v>
          </cell>
        </row>
        <row r="1784">
          <cell r="C1784" t="str">
            <v>Gabriel</v>
          </cell>
          <cell r="E1784" t="str">
            <v>Mantener en el mundo</v>
          </cell>
          <cell r="G1784">
            <v>30</v>
          </cell>
          <cell r="H1784">
            <v>1</v>
          </cell>
          <cell r="I1784">
            <v>5</v>
          </cell>
          <cell r="J1784">
            <v>0</v>
          </cell>
          <cell r="L1784" t="str">
            <v>Permite sacar a cualquiera de el estado "Entre la vida y la muerte".</v>
          </cell>
          <cell r="R1784">
            <v>0</v>
          </cell>
          <cell r="T1784" t="str">
            <v>Salvar la vida a alguien</v>
          </cell>
          <cell r="U1784">
            <v>3</v>
          </cell>
          <cell r="V1784" t="str">
            <v>Arriesgar la vida por salvar a alguien</v>
          </cell>
          <cell r="W1784">
            <v>1</v>
          </cell>
          <cell r="X1784" t="str">
            <v>Realizar un acto realmente maligno</v>
          </cell>
          <cell r="Y1784">
            <v>-10</v>
          </cell>
        </row>
        <row r="1785">
          <cell r="C1785" t="str">
            <v>Noah</v>
          </cell>
          <cell r="E1785" t="str">
            <v>Resistencia celestial</v>
          </cell>
          <cell r="G1785">
            <v>40</v>
          </cell>
          <cell r="H1785">
            <v>1</v>
          </cell>
          <cell r="I1785">
            <v>20</v>
          </cell>
          <cell r="J1785">
            <v>0</v>
          </cell>
          <cell r="K1785">
            <v>0</v>
          </cell>
          <cell r="L1785" t="str">
            <v>Otorga un bonificador especial a todas las resistencias de 0.</v>
          </cell>
          <cell r="R1785">
            <v>0</v>
          </cell>
          <cell r="T1785" t="str">
            <v>Ayudar realmente a alguien necesitado</v>
          </cell>
          <cell r="U1785">
            <v>3</v>
          </cell>
          <cell r="V1785" t="str">
            <v>Devolver las ganas de vivir a alguien que las ha perdido</v>
          </cell>
          <cell r="W1785">
            <v>1</v>
          </cell>
        </row>
        <row r="1786">
          <cell r="C1786" t="str">
            <v>Rafael</v>
          </cell>
          <cell r="E1786" t="str">
            <v>Exorcizar el mal</v>
          </cell>
          <cell r="G1786">
            <v>50</v>
          </cell>
          <cell r="H1786">
            <v>1</v>
          </cell>
          <cell r="I1786">
            <v>15</v>
          </cell>
          <cell r="J1786">
            <v>0</v>
          </cell>
          <cell r="L1786" t="str">
            <v>Permite desconvocar a un ser sobrenatural maligno si no supera un control de RM de 0.</v>
          </cell>
          <cell r="R1786">
            <v>0</v>
          </cell>
          <cell r="T1786" t="str">
            <v>Deshacer un mal menor</v>
          </cell>
          <cell r="U1786">
            <v>1</v>
          </cell>
        </row>
        <row r="1787">
          <cell r="C1787" t="str">
            <v>Erebus</v>
          </cell>
          <cell r="E1787" t="str">
            <v>Aura</v>
          </cell>
          <cell r="G1787">
            <v>50</v>
          </cell>
          <cell r="H1787">
            <v>0</v>
          </cell>
          <cell r="I1787">
            <v>10</v>
          </cell>
          <cell r="J1787">
            <v>0</v>
          </cell>
          <cell r="L1787" t="str">
            <v>Extiende el bono a las resistencias de Resistencia Celestial en un radio de 0 metros.</v>
          </cell>
          <cell r="R1787">
            <v>0</v>
          </cell>
          <cell r="T1787" t="str">
            <v>Deshacer un mal mayor</v>
          </cell>
          <cell r="U1787">
            <v>5</v>
          </cell>
        </row>
        <row r="1788">
          <cell r="C1788" t="str">
            <v>Azrael</v>
          </cell>
          <cell r="E1788" t="str">
            <v>Milagro</v>
          </cell>
          <cell r="G1788">
            <v>60</v>
          </cell>
          <cell r="H1788">
            <v>1</v>
          </cell>
          <cell r="I1788">
            <v>10</v>
          </cell>
          <cell r="J1788">
            <v>0</v>
          </cell>
          <cell r="L1788" t="str">
            <v>Permite recrear cualquier milagro menor producido por Cristo o sus Santos.</v>
          </cell>
          <cell r="R1788">
            <v>0</v>
          </cell>
        </row>
        <row r="1789">
          <cell r="C1789" t="str">
            <v>Abbadon</v>
          </cell>
          <cell r="E1789" t="str">
            <v>Deshacer estados negativos</v>
          </cell>
          <cell r="G1789">
            <v>70</v>
          </cell>
          <cell r="H1789">
            <v>1</v>
          </cell>
          <cell r="I1789">
            <v>10</v>
          </cell>
          <cell r="J1789">
            <v>0</v>
          </cell>
          <cell r="L1789" t="str">
            <v>Permite anular cualquier estado perjudicial.</v>
          </cell>
          <cell r="R1789">
            <v>0</v>
          </cell>
          <cell r="T1789" t="str">
            <v>Zemial</v>
          </cell>
        </row>
        <row r="1790">
          <cell r="C1790" t="str">
            <v>Barakiel</v>
          </cell>
          <cell r="E1790" t="str">
            <v>Salvador</v>
          </cell>
          <cell r="G1790">
            <v>70</v>
          </cell>
          <cell r="H1790">
            <v>1</v>
          </cell>
          <cell r="I1790">
            <v>10</v>
          </cell>
          <cell r="J1790">
            <v>0</v>
          </cell>
          <cell r="L1790" t="str">
            <v>Reduce un nivel de dificultad cualquier acción que tenga como fin salvar una vida, u otorga un +40 a controles enfrentados.</v>
          </cell>
          <cell r="R1790">
            <v>0</v>
          </cell>
          <cell r="T1790" t="str">
            <v>Matar a una persona sin razón alguna</v>
          </cell>
          <cell r="U1790">
            <v>1</v>
          </cell>
          <cell r="V1790" t="str">
            <v>Exterminar una raza</v>
          </cell>
          <cell r="W1790">
            <v>5</v>
          </cell>
          <cell r="X1790" t="str">
            <v>Salvar una vida conscientemente</v>
          </cell>
          <cell r="Y1790">
            <v>-3</v>
          </cell>
        </row>
        <row r="1791">
          <cell r="C1791" t="str">
            <v>Eriol</v>
          </cell>
          <cell r="E1791" t="str">
            <v>Ayuda celestial</v>
          </cell>
          <cell r="G1791">
            <v>80</v>
          </cell>
          <cell r="H1791">
            <v>1</v>
          </cell>
          <cell r="I1791">
            <v>15</v>
          </cell>
          <cell r="J1791">
            <v>0</v>
          </cell>
          <cell r="L1791" t="str">
            <v>Puede invocar una vez al mes un ángel de Mikael, habitualmente una Doncella de Luz. Puede invocar antes de un mes si sacrifica un punto de Elan.</v>
          </cell>
          <cell r="R1791">
            <v>0</v>
          </cell>
          <cell r="T1791" t="str">
            <v xml:space="preserve">Matar a una gran multitud sin razón </v>
          </cell>
          <cell r="U1791">
            <v>5</v>
          </cell>
          <cell r="V1791" t="str">
            <v>Provocar una gran masacre sin motivo</v>
          </cell>
          <cell r="W1791">
            <v>2</v>
          </cell>
          <cell r="X1791" t="str">
            <v>Detener una masacre</v>
          </cell>
          <cell r="Y1791">
            <v>-5</v>
          </cell>
        </row>
        <row r="1792">
          <cell r="C1792" t="str">
            <v>Edamiel</v>
          </cell>
          <cell r="E1792" t="str">
            <v>Levántate y anda</v>
          </cell>
          <cell r="G1792">
            <v>90</v>
          </cell>
          <cell r="H1792">
            <v>1</v>
          </cell>
          <cell r="I1792">
            <v>20</v>
          </cell>
          <cell r="J1792">
            <v>0</v>
          </cell>
          <cell r="L1792" t="str">
            <v>Permite devolver la vida a coste de 1 punto de Elan por cada mes que haya pasado desde haber recibido El Llamamiento.</v>
          </cell>
          <cell r="R1792">
            <v>0</v>
          </cell>
          <cell r="T1792" t="str">
            <v>Incitar a la gente a matar sin motivo</v>
          </cell>
          <cell r="U1792">
            <v>2</v>
          </cell>
          <cell r="V1792" t="str">
            <v>Destruir una nación o principado</v>
          </cell>
          <cell r="W1792">
            <v>3</v>
          </cell>
          <cell r="X1792" t="str">
            <v>Mostrar preocupación por el bienestar propio</v>
          </cell>
          <cell r="Y1792">
            <v>-2</v>
          </cell>
        </row>
        <row r="1793">
          <cell r="C1793" t="str">
            <v>Meseguis</v>
          </cell>
          <cell r="E1793" t="str">
            <v>Y al tercer día resucitó</v>
          </cell>
          <cell r="G1793">
            <v>100</v>
          </cell>
          <cell r="H1793">
            <v>1</v>
          </cell>
          <cell r="I1793">
            <v>10</v>
          </cell>
          <cell r="J1793">
            <v>0</v>
          </cell>
          <cell r="L1793" t="str">
            <v>El PJ puede regresar de entre los muertos, recreandose con todas sus facultades intactas, mientras tenga algo que hacer en el mundo.</v>
          </cell>
          <cell r="R1793">
            <v>0</v>
          </cell>
          <cell r="T1793" t="str">
            <v>Perder la cordura (si Elan &gt; 10)</v>
          </cell>
          <cell r="U1793">
            <v>5</v>
          </cell>
          <cell r="V1793" t="str">
            <v>Buscar la muerte</v>
          </cell>
          <cell r="W1793">
            <v>1</v>
          </cell>
        </row>
        <row r="1794">
          <cell r="C1794" t="str">
            <v>Elan Personalizado</v>
          </cell>
          <cell r="E1794" t="str">
            <v>Zemial</v>
          </cell>
          <cell r="F1794">
            <v>0</v>
          </cell>
          <cell r="G1794" t="str">
            <v>Elan</v>
          </cell>
          <cell r="H1794" t="str">
            <v>Requisito</v>
          </cell>
          <cell r="I1794" t="str">
            <v>Coste</v>
          </cell>
          <cell r="J1794" t="str">
            <v>Aprendida</v>
          </cell>
          <cell r="K1794" t="str">
            <v>Bono final</v>
          </cell>
          <cell r="L1794" t="str">
            <v>Descripción</v>
          </cell>
          <cell r="R1794">
            <v>0</v>
          </cell>
          <cell r="T1794" t="str">
            <v>Volver a alguien loco</v>
          </cell>
          <cell r="U1794">
            <v>1</v>
          </cell>
        </row>
        <row r="1795">
          <cell r="E1795" t="str">
            <v>Asalto espiritual</v>
          </cell>
          <cell r="G1795">
            <v>10</v>
          </cell>
          <cell r="H1795">
            <v>1</v>
          </cell>
          <cell r="I1795">
            <v>5</v>
          </cell>
          <cell r="J1795">
            <v>0</v>
          </cell>
          <cell r="L1795" t="str">
            <v>Permite dañar energía como si tuviese la habilidad del Ki Extensión del aura al arma.</v>
          </cell>
          <cell r="R1795">
            <v>0</v>
          </cell>
          <cell r="T1795" t="str">
            <v>Actuar de un modo autodestructivo</v>
          </cell>
          <cell r="U1795">
            <v>2</v>
          </cell>
        </row>
        <row r="1796">
          <cell r="E1796" t="str">
            <v>Ansia demencial</v>
          </cell>
          <cell r="G1796">
            <v>20</v>
          </cell>
          <cell r="H1796">
            <v>1</v>
          </cell>
          <cell r="I1796">
            <v>5</v>
          </cell>
          <cell r="J1796">
            <v>0</v>
          </cell>
          <cell r="L1796" t="str">
            <v>El PJ puede entrar en un estado de ira obteniendo un bono de +10 a cualquier acción ofensiva encaminada a matar a alguien.</v>
          </cell>
          <cell r="R1796">
            <v>0</v>
          </cell>
        </row>
        <row r="1797">
          <cell r="E1797" t="str">
            <v>Daño incrementado</v>
          </cell>
          <cell r="G1797">
            <v>30</v>
          </cell>
          <cell r="H1797">
            <v>1</v>
          </cell>
          <cell r="I1797">
            <v>10</v>
          </cell>
          <cell r="J1797">
            <v>0</v>
          </cell>
          <cell r="K1797">
            <v>0</v>
          </cell>
          <cell r="L1797" t="str">
            <v>Incrementa el daño base de sus ataques en 0.</v>
          </cell>
          <cell r="R1797">
            <v>0</v>
          </cell>
          <cell r="T1797" t="str">
            <v>Uriel</v>
          </cell>
        </row>
        <row r="1798">
          <cell r="E1798" t="str">
            <v>Daño anímico</v>
          </cell>
          <cell r="G1798">
            <v>40</v>
          </cell>
          <cell r="H1798">
            <v>0</v>
          </cell>
          <cell r="I1798">
            <v>10</v>
          </cell>
          <cell r="J1798">
            <v>0</v>
          </cell>
          <cell r="L1798" t="str">
            <v>Las heridas que cause sólo pueden ser sanadas mediante conjuros o habilidades místicas.</v>
          </cell>
          <cell r="R1798">
            <v>0</v>
          </cell>
          <cell r="T1798" t="str">
            <v>Liberar a una persona subyugada</v>
          </cell>
          <cell r="U1798">
            <v>2</v>
          </cell>
          <cell r="V1798" t="str">
            <v>Liberar a un pueblo de un tirano</v>
          </cell>
          <cell r="W1798">
            <v>3</v>
          </cell>
          <cell r="X1798" t="str">
            <v>Obedecer órdenes injustas</v>
          </cell>
          <cell r="Y1798">
            <v>-1</v>
          </cell>
        </row>
        <row r="1799">
          <cell r="E1799" t="str">
            <v>Destructor</v>
          </cell>
          <cell r="G1799">
            <v>50</v>
          </cell>
          <cell r="H1799">
            <v>1</v>
          </cell>
          <cell r="I1799">
            <v>15</v>
          </cell>
          <cell r="J1799">
            <v>0</v>
          </cell>
          <cell r="L1799" t="str">
            <v>Desintegra cualquier objeto que toque cuya presencia sea inferior a 10.</v>
          </cell>
          <cell r="R1799">
            <v>0</v>
          </cell>
          <cell r="T1799" t="str">
            <v>Liberar a un grupo de personas subyugadas</v>
          </cell>
          <cell r="U1799">
            <v>5</v>
          </cell>
          <cell r="V1799" t="str">
            <v>Incitar a la rebelión contra la opresión</v>
          </cell>
          <cell r="W1799">
            <v>2</v>
          </cell>
          <cell r="X1799" t="str">
            <v xml:space="preserve">Obedecer leyes tiranas </v>
          </cell>
          <cell r="Y1799">
            <v>-2</v>
          </cell>
        </row>
        <row r="1800">
          <cell r="E1800" t="str">
            <v>Señor de la destrucción (Tacto)</v>
          </cell>
          <cell r="G1800">
            <v>50</v>
          </cell>
          <cell r="H1800">
            <v>1</v>
          </cell>
          <cell r="I1800">
            <v>10</v>
          </cell>
          <cell r="J1800">
            <v>0</v>
          </cell>
          <cell r="L1800" t="str">
            <v>A quien toque debe superar un control de RM o RF contra 80, o sufrir una pérdida de puntos de vida equivalente a su nivel de fracaso.</v>
          </cell>
          <cell r="R1800">
            <v>0</v>
          </cell>
          <cell r="T1800" t="str">
            <v>Actuar libremente y sin ataduras</v>
          </cell>
          <cell r="U1800">
            <v>2</v>
          </cell>
          <cell r="V1800" t="str">
            <v>Vivir en completa y absoluta libertad</v>
          </cell>
          <cell r="W1800">
            <v>1</v>
          </cell>
          <cell r="X1800" t="str">
            <v xml:space="preserve">Atarse a algo eternamente </v>
          </cell>
          <cell r="Y1800">
            <v>-1</v>
          </cell>
        </row>
        <row r="1801">
          <cell r="E1801" t="str">
            <v>Presencia exterminadora</v>
          </cell>
          <cell r="G1801">
            <v>60</v>
          </cell>
          <cell r="H1801">
            <v>1</v>
          </cell>
          <cell r="I1801">
            <v>10</v>
          </cell>
          <cell r="J1801">
            <v>0</v>
          </cell>
          <cell r="L1801" t="str">
            <v>Cualquier cosa que se halle a pocos metros de él muere o se debilita lentamente; las plantas se marchitan a su paso, las personas enferman, etc.</v>
          </cell>
          <cell r="R1801">
            <v>0</v>
          </cell>
          <cell r="T1801" t="str">
            <v>Acabar con leyes tiranas</v>
          </cell>
          <cell r="U1801">
            <v>2</v>
          </cell>
          <cell r="X1801" t="str">
            <v>Ser esclavizado por alguien</v>
          </cell>
          <cell r="Y1801">
            <v>-2</v>
          </cell>
        </row>
        <row r="1802">
          <cell r="E1802" t="str">
            <v>Señor de la destrucción (Vista)</v>
          </cell>
          <cell r="G1802">
            <v>60</v>
          </cell>
          <cell r="H1802">
            <v>0</v>
          </cell>
          <cell r="I1802">
            <v>10</v>
          </cell>
          <cell r="J1802">
            <v>0</v>
          </cell>
          <cell r="L1802" t="str">
            <v>A quien mire debe superar un control de RM o RF contra 60, o sufrir una pérdida de puntos de vida equivalente a su nivel de fracaso.</v>
          </cell>
          <cell r="R1802">
            <v>0</v>
          </cell>
          <cell r="T1802" t="str">
            <v>Rebelarse contra la opresión</v>
          </cell>
          <cell r="U1802">
            <v>1</v>
          </cell>
          <cell r="X1802" t="str">
            <v>Esclavizar o subyugar a alguien</v>
          </cell>
          <cell r="Y1802">
            <v>-10</v>
          </cell>
        </row>
        <row r="1803">
          <cell r="E1803" t="str">
            <v>Señor de la destrucción (Aura)</v>
          </cell>
          <cell r="G1803">
            <v>70</v>
          </cell>
          <cell r="H1803">
            <v>0</v>
          </cell>
          <cell r="I1803">
            <v>10</v>
          </cell>
          <cell r="J1803">
            <v>0</v>
          </cell>
          <cell r="L1803" t="str">
            <v>Quien se encuentre a menos de 10 metros debe superar un control de RM o RF contra 40, o sufrir una pérdida de puntos de vida equivalente a su nivel de fracaso.</v>
          </cell>
          <cell r="R1803">
            <v>0</v>
          </cell>
          <cell r="T1803" t="str">
            <v>Mostrar a la gente el valor de la libertad</v>
          </cell>
          <cell r="U1803">
            <v>2</v>
          </cell>
        </row>
        <row r="1804">
          <cell r="E1804" t="str">
            <v>Asalto destructor</v>
          </cell>
          <cell r="G1804">
            <v>80</v>
          </cell>
          <cell r="H1804">
            <v>1</v>
          </cell>
          <cell r="I1804">
            <v>15</v>
          </cell>
          <cell r="J1804">
            <v>0</v>
          </cell>
          <cell r="L1804" t="str">
            <v>El PJ obtiene la capacidad de dañar a cualquier clase de criatura, sin importar su poder, presencia sobrenatural o inmunidades especiales.</v>
          </cell>
          <cell r="R1804">
            <v>0</v>
          </cell>
        </row>
        <row r="1805">
          <cell r="E1805" t="str">
            <v>La sangre de la locura</v>
          </cell>
          <cell r="G1805">
            <v>90</v>
          </cell>
          <cell r="H1805">
            <v>1</v>
          </cell>
          <cell r="I1805">
            <v>20</v>
          </cell>
          <cell r="J1805">
            <v>0</v>
          </cell>
          <cell r="L1805" t="str">
            <v>Su sangre actúa como un  veneno sobrenatural de nivel 80, con efecto instantáneo y una RV de 140. Quien falle la resistencia obtiene 50 de Elan de Zemial pero pierde la cordura.</v>
          </cell>
          <cell r="R1805">
            <v>0</v>
          </cell>
          <cell r="T1805" t="str">
            <v>Jedah</v>
          </cell>
        </row>
        <row r="1806">
          <cell r="E1806" t="str">
            <v>Portador de catástrofes</v>
          </cell>
          <cell r="G1806">
            <v>100</v>
          </cell>
          <cell r="H1806">
            <v>1</v>
          </cell>
          <cell r="I1806">
            <v>10</v>
          </cell>
          <cell r="J1806">
            <v>0</v>
          </cell>
          <cell r="L1806" t="str">
            <v>El PJ trae consigo todo tipo de cataclismos naturales y catástrofes que acarrearán siempre terribles consecuencias.</v>
          </cell>
          <cell r="R1806">
            <v>0</v>
          </cell>
          <cell r="T1806" t="str">
            <v>Manipular a los demás para lograr algo</v>
          </cell>
          <cell r="U1806">
            <v>1</v>
          </cell>
          <cell r="V1806" t="str">
            <v>Controlar a un elevado número de personas</v>
          </cell>
          <cell r="W1806">
            <v>1</v>
          </cell>
          <cell r="X1806" t="str">
            <v>Obedecer a alguien débil o necio</v>
          </cell>
          <cell r="Y1806">
            <v>-2</v>
          </cell>
        </row>
        <row r="1807">
          <cell r="E1807" t="str">
            <v>Uriel</v>
          </cell>
          <cell r="F1807">
            <v>0</v>
          </cell>
          <cell r="G1807" t="str">
            <v>Elan</v>
          </cell>
          <cell r="H1807" t="str">
            <v>Requisito</v>
          </cell>
          <cell r="I1807" t="str">
            <v>Coste</v>
          </cell>
          <cell r="J1807" t="str">
            <v>Aprendida</v>
          </cell>
          <cell r="K1807" t="str">
            <v>Bono final</v>
          </cell>
          <cell r="L1807" t="str">
            <v>Descripción</v>
          </cell>
          <cell r="R1807">
            <v>0</v>
          </cell>
          <cell r="T1807" t="str">
            <v>Obtener un importante puesto político</v>
          </cell>
          <cell r="U1807">
            <v>3</v>
          </cell>
          <cell r="V1807" t="str">
            <v>Obtener un elevado poder personal</v>
          </cell>
          <cell r="W1807">
            <v>3</v>
          </cell>
          <cell r="X1807" t="str">
            <v>Ser controlado como un títere sin saberlo</v>
          </cell>
          <cell r="Y1807">
            <v>-3</v>
          </cell>
        </row>
        <row r="1808">
          <cell r="E1808" t="str">
            <v>Instinto de libertad</v>
          </cell>
          <cell r="G1808">
            <v>10</v>
          </cell>
          <cell r="H1808">
            <v>1</v>
          </cell>
          <cell r="I1808">
            <v>5</v>
          </cell>
          <cell r="J1808">
            <v>0</v>
          </cell>
          <cell r="L1808" t="str">
            <v>El PJ tiene una enorme facilidad para encontrar la salida de cualquier lugar donde se encuentre.</v>
          </cell>
          <cell r="R1808">
            <v>0</v>
          </cell>
          <cell r="T1808" t="str">
            <v>Acatar equilibradamente las órdenes de su señor</v>
          </cell>
          <cell r="U1808">
            <v>2</v>
          </cell>
          <cell r="V1808" t="str">
            <v>Manipular a la sociedad desde las sombras</v>
          </cell>
          <cell r="W1808">
            <v>3</v>
          </cell>
          <cell r="X1808" t="str">
            <v xml:space="preserve">Comportarse de un modo estúpido o irracional </v>
          </cell>
          <cell r="Y1808">
            <v>-2</v>
          </cell>
        </row>
        <row r="1809">
          <cell r="E1809" t="str">
            <v>Inadvertido</v>
          </cell>
          <cell r="G1809">
            <v>20</v>
          </cell>
          <cell r="H1809">
            <v>1</v>
          </cell>
          <cell r="I1809">
            <v>5</v>
          </cell>
          <cell r="J1809">
            <v>0</v>
          </cell>
          <cell r="L1809" t="str">
            <v>El PJ puede pasar desapercibido entre la gente normal si lo desea, llamando muy poco la atención.</v>
          </cell>
          <cell r="R1809">
            <v>0</v>
          </cell>
          <cell r="T1809" t="str">
            <v>Imponer orden y estabilidad en la sociedad</v>
          </cell>
          <cell r="U1809">
            <v>3</v>
          </cell>
          <cell r="X1809" t="str">
            <v>Ser humillado o perder el orgullo</v>
          </cell>
          <cell r="Y1809">
            <v>-4</v>
          </cell>
        </row>
        <row r="1810">
          <cell r="E1810" t="str">
            <v>Espíritu indomable</v>
          </cell>
          <cell r="G1810">
            <v>20</v>
          </cell>
          <cell r="H1810">
            <v>1</v>
          </cell>
          <cell r="I1810">
            <v>10</v>
          </cell>
          <cell r="J1810">
            <v>0</v>
          </cell>
          <cell r="L1810" t="str">
            <v>El PJ añade un bono especial a sus controles de Resistencias contra cualquier clase de dominación de +0.</v>
          </cell>
          <cell r="R1810">
            <v>0</v>
          </cell>
          <cell r="T1810" t="str">
            <v>Superar una situación imposible</v>
          </cell>
          <cell r="U1810">
            <v>3</v>
          </cell>
        </row>
        <row r="1811">
          <cell r="E1811" t="str">
            <v>Alma libre</v>
          </cell>
          <cell r="G1811">
            <v>30</v>
          </cell>
          <cell r="H1811">
            <v>1</v>
          </cell>
          <cell r="I1811">
            <v>5</v>
          </cell>
          <cell r="J1811">
            <v>0</v>
          </cell>
          <cell r="L1811" t="str">
            <v>Las personas con las que se relacione el PJ descubrirán un renovado deseo de ser libres y actuar conforme les dicten sus impulsos.</v>
          </cell>
          <cell r="R1811">
            <v>0</v>
          </cell>
          <cell r="T1811" t="str">
            <v>Promover el estudio y el conocimiento</v>
          </cell>
          <cell r="U1811">
            <v>2</v>
          </cell>
        </row>
        <row r="1812">
          <cell r="E1812" t="str">
            <v>Visionario</v>
          </cell>
          <cell r="G1812">
            <v>40</v>
          </cell>
          <cell r="H1812">
            <v>1</v>
          </cell>
          <cell r="I1812">
            <v>10</v>
          </cell>
          <cell r="J1812">
            <v>0</v>
          </cell>
          <cell r="L1812" t="str">
            <v>El PJ empieza a tener visiones sobre posibles acontecimientos del futuro. Cuanto mayor sea su nivel de Elan, las visiones se tornarán más claras y acertadas.</v>
          </cell>
          <cell r="R1812">
            <v>0</v>
          </cell>
        </row>
        <row r="1813">
          <cell r="E1813" t="str">
            <v>Medio de transporte</v>
          </cell>
          <cell r="G1813">
            <v>40</v>
          </cell>
          <cell r="H1813">
            <v>1</v>
          </cell>
          <cell r="I1813">
            <v>5</v>
          </cell>
          <cell r="J1813">
            <v>0</v>
          </cell>
          <cell r="L1813" t="str">
            <v>Siempre que lo necesite, el PJ puede recurrir a un transporte para viajar de un lugar a otro, que aparecerá como por arte de magia.</v>
          </cell>
          <cell r="R1813">
            <v>0</v>
          </cell>
        </row>
        <row r="1814">
          <cell r="E1814" t="str">
            <v>Romper las cadenas</v>
          </cell>
          <cell r="G1814">
            <v>50</v>
          </cell>
          <cell r="H1814">
            <v>1</v>
          </cell>
          <cell r="I1814">
            <v>10</v>
          </cell>
          <cell r="J1814">
            <v>0</v>
          </cell>
          <cell r="L1814" t="str">
            <v>Permite obligar una vez por individuo a liberar los esclavos que tenga bajo su control si no supera una RM de 0.</v>
          </cell>
          <cell r="R1814">
            <v>0</v>
          </cell>
          <cell r="T1814" t="str">
            <v>Gabriel</v>
          </cell>
        </row>
        <row r="1815">
          <cell r="E1815" t="str">
            <v>Ojos del futuro</v>
          </cell>
          <cell r="G1815">
            <v>60</v>
          </cell>
          <cell r="H1815">
            <v>0</v>
          </cell>
          <cell r="I1815">
            <v>20</v>
          </cell>
          <cell r="J1815">
            <v>0</v>
          </cell>
          <cell r="L1815" t="str">
            <v>Obtiene un bono de +30 en un control enfrentado que puede usarse 1 vez al día. Se puede utilizar para eliminar una sorpresa pero cuenta como dos usos.</v>
          </cell>
          <cell r="R1815">
            <v>0</v>
          </cell>
          <cell r="T1815" t="str">
            <v>Amar a los demás y preocuparse por ellos</v>
          </cell>
          <cell r="U1815">
            <v>3</v>
          </cell>
          <cell r="V1815" t="str">
            <v>Detener una guerra</v>
          </cell>
          <cell r="W1815">
            <v>3</v>
          </cell>
          <cell r="X1815" t="str">
            <v>Iniciar un conflicto</v>
          </cell>
          <cell r="Y1815">
            <v>-2</v>
          </cell>
        </row>
        <row r="1816">
          <cell r="E1816" t="str">
            <v>Paso libre</v>
          </cell>
          <cell r="G1816">
            <v>60</v>
          </cell>
          <cell r="H1816">
            <v>1</v>
          </cell>
          <cell r="I1816">
            <v>15</v>
          </cell>
          <cell r="J1816">
            <v>0</v>
          </cell>
          <cell r="L1816" t="str">
            <v>El PJ puede atravesar cualquier barrera física como si no existiera, aunque no permite ignorar muros o barreras sobrenaturales.</v>
          </cell>
          <cell r="R1816">
            <v>0</v>
          </cell>
          <cell r="T1816" t="str">
            <v>Detener un conflicto</v>
          </cell>
          <cell r="U1816">
            <v>1</v>
          </cell>
          <cell r="V1816" t="str">
            <v xml:space="preserve">Crear una obra maestra del arte </v>
          </cell>
          <cell r="W1816">
            <v>2</v>
          </cell>
          <cell r="X1816" t="str">
            <v>Odiar a alguien</v>
          </cell>
          <cell r="Y1816">
            <v>-3</v>
          </cell>
        </row>
        <row r="1817">
          <cell r="E1817" t="str">
            <v>Comunión con Uriel</v>
          </cell>
          <cell r="G1817">
            <v>70</v>
          </cell>
          <cell r="H1817">
            <v>1</v>
          </cell>
          <cell r="I1817">
            <v>10</v>
          </cell>
          <cell r="J1817">
            <v>0</v>
          </cell>
          <cell r="K1817">
            <v>0</v>
          </cell>
          <cell r="L1817" t="str">
            <v>El PJ obtiene un punto adicional en las características de Poder, Voluntad y Destreza.</v>
          </cell>
          <cell r="R1817">
            <v>0</v>
          </cell>
          <cell r="T1817" t="str">
            <v>Salvar la vida a alguien</v>
          </cell>
          <cell r="U1817">
            <v>2</v>
          </cell>
          <cell r="V1817" t="str">
            <v>Encontrar alguien especial a quien amar</v>
          </cell>
          <cell r="W1817">
            <v>1</v>
          </cell>
          <cell r="X1817" t="str">
            <v>Dejarse dominar por sentimientos oscuros</v>
          </cell>
          <cell r="Y1817">
            <v>-2</v>
          </cell>
        </row>
        <row r="1818">
          <cell r="E1818" t="str">
            <v>Esencia sobrenatural (Uriel)</v>
          </cell>
          <cell r="G1818">
            <v>80</v>
          </cell>
          <cell r="H1818">
            <v>1</v>
          </cell>
          <cell r="I1818">
            <v>10</v>
          </cell>
          <cell r="J1818">
            <v>0</v>
          </cell>
          <cell r="L1818" t="str">
            <v>El PJ obtiene Gnosis 30 y todas las ventajas que ello supone.</v>
          </cell>
          <cell r="R1818">
            <v>0</v>
          </cell>
          <cell r="T1818" t="str">
            <v>Promover los sentimientos positivos de las personas</v>
          </cell>
          <cell r="U1818">
            <v>3</v>
          </cell>
          <cell r="V1818" t="str">
            <v>Proteger toda vida</v>
          </cell>
          <cell r="W1818">
            <v>2</v>
          </cell>
          <cell r="X1818" t="str">
            <v>Destruir las cosas hermosas</v>
          </cell>
          <cell r="Y1818">
            <v>-1</v>
          </cell>
        </row>
        <row r="1819">
          <cell r="E1819" t="str">
            <v>Una segunda oportunidad</v>
          </cell>
          <cell r="G1819">
            <v>90</v>
          </cell>
          <cell r="H1819">
            <v>1</v>
          </cell>
          <cell r="I1819">
            <v>20</v>
          </cell>
          <cell r="J1819">
            <v>0</v>
          </cell>
          <cell r="L1819" t="str">
            <v>Siempre que fracase un control de Resistencia que lo someta a un estado negativo, el PJ es capaz de repetir la tirada una segunda vez.</v>
          </cell>
          <cell r="R1819">
            <v>0</v>
          </cell>
          <cell r="T1819" t="str">
            <v>Crear arte</v>
          </cell>
          <cell r="U1819">
            <v>1</v>
          </cell>
          <cell r="X1819" t="str">
            <v>Tomar una vida innecesariamente</v>
          </cell>
          <cell r="Y1819">
            <v>-5</v>
          </cell>
        </row>
        <row r="1820">
          <cell r="E1820" t="str">
            <v>El viajero</v>
          </cell>
          <cell r="G1820">
            <v>100</v>
          </cell>
          <cell r="H1820">
            <v>1</v>
          </cell>
          <cell r="I1820">
            <v>10</v>
          </cell>
          <cell r="J1820">
            <v>0</v>
          </cell>
          <cell r="L1820" t="str">
            <v>Una vez por asalto, como acción activa el PJ puede transportarse de inmediato hasta el sitio que quiera, ignorando cualquier protección o barrera que haya en medio.</v>
          </cell>
          <cell r="R1820">
            <v>0</v>
          </cell>
        </row>
        <row r="1821">
          <cell r="E1821" t="str">
            <v>Jedah</v>
          </cell>
          <cell r="F1821">
            <v>0</v>
          </cell>
          <cell r="G1821" t="str">
            <v>Elan</v>
          </cell>
          <cell r="H1821" t="str">
            <v>Requisito</v>
          </cell>
          <cell r="I1821" t="str">
            <v>Coste</v>
          </cell>
          <cell r="J1821" t="str">
            <v>Aprendida</v>
          </cell>
          <cell r="K1821" t="str">
            <v>Bono final</v>
          </cell>
          <cell r="L1821" t="str">
            <v>Descripción</v>
          </cell>
          <cell r="R1821">
            <v>0</v>
          </cell>
        </row>
        <row r="1822">
          <cell r="E1822" t="str">
            <v>Don de la política</v>
          </cell>
          <cell r="G1822">
            <v>10</v>
          </cell>
          <cell r="H1822">
            <v>1</v>
          </cell>
          <cell r="I1822">
            <v>5</v>
          </cell>
          <cell r="J1822">
            <v>0</v>
          </cell>
          <cell r="K1822">
            <v>0</v>
          </cell>
          <cell r="L1822" t="str">
            <v>Otorga un bono especial a Persuasión y Liderazgo de +0.</v>
          </cell>
          <cell r="R1822">
            <v>0</v>
          </cell>
          <cell r="T1822" t="str">
            <v>Noah</v>
          </cell>
        </row>
        <row r="1823">
          <cell r="E1823" t="str">
            <v>Dominación incrementada</v>
          </cell>
          <cell r="G1823">
            <v>20</v>
          </cell>
          <cell r="H1823">
            <v>1</v>
          </cell>
          <cell r="I1823">
            <v>10</v>
          </cell>
          <cell r="J1823">
            <v>0</v>
          </cell>
          <cell r="K1823">
            <v>0</v>
          </cell>
          <cell r="L1823" t="str">
            <v>Aplica un bono especial a su habilidad de convocatoria Dominación de +0. Este don no funciona contra seres basados en luz.</v>
          </cell>
          <cell r="R1823">
            <v>0</v>
          </cell>
          <cell r="T1823" t="str">
            <v>Actuar de un modo muy competitivo</v>
          </cell>
          <cell r="U1823">
            <v>2</v>
          </cell>
          <cell r="V1823" t="str">
            <v>Vencer un combate realmente complejo</v>
          </cell>
          <cell r="W1823">
            <v>1</v>
          </cell>
          <cell r="X1823" t="str">
            <v>Ignorar un reto por temor al fracaso</v>
          </cell>
          <cell r="Y1823">
            <v>-2</v>
          </cell>
        </row>
        <row r="1824">
          <cell r="E1824" t="str">
            <v>Sombra</v>
          </cell>
          <cell r="G1824">
            <v>30</v>
          </cell>
          <cell r="H1824">
            <v>1</v>
          </cell>
          <cell r="I1824">
            <v>5</v>
          </cell>
          <cell r="J1824">
            <v>0</v>
          </cell>
          <cell r="L1824" t="str">
            <v>De un modo sobrenatural, el PJ obtiene la capacidad de alterar la apariencia de su sombra, dándole el aspecto o forma que desee.</v>
          </cell>
          <cell r="R1824">
            <v>0</v>
          </cell>
          <cell r="T1824" t="str">
            <v>Superar un reto muy complejo</v>
          </cell>
          <cell r="U1824">
            <v>3</v>
          </cell>
          <cell r="V1824" t="str">
            <v>Incitar una guerra</v>
          </cell>
          <cell r="W1824">
            <v>2</v>
          </cell>
          <cell r="X1824" t="str">
            <v>Ser derrotado por un enemigo igual o inferior</v>
          </cell>
          <cell r="Y1824">
            <v>-5</v>
          </cell>
        </row>
        <row r="1825">
          <cell r="E1825" t="str">
            <v>Afinidad oscura</v>
          </cell>
          <cell r="G1825">
            <v>40</v>
          </cell>
          <cell r="H1825">
            <v>1</v>
          </cell>
          <cell r="I1825">
            <v>5</v>
          </cell>
          <cell r="J1825">
            <v>0</v>
          </cell>
          <cell r="L1825" t="str">
            <v>El PJ obtiene afinidad hacia todos los seres sobrenaturales oscuros, quienes lo reconocerán como uno de los suyos.</v>
          </cell>
          <cell r="R1825">
            <v>0</v>
          </cell>
          <cell r="T1825" t="str">
            <v>Dedicar la vida al combate</v>
          </cell>
          <cell r="U1825">
            <v>3</v>
          </cell>
          <cell r="V1825" t="str">
            <v>Crear una obra maestra o fijar un récord insuperable</v>
          </cell>
          <cell r="W1825">
            <v>4</v>
          </cell>
          <cell r="X1825" t="str">
            <v>Perder la voluntad de superación</v>
          </cell>
          <cell r="Y1825">
            <v>-10</v>
          </cell>
        </row>
        <row r="1826">
          <cell r="E1826" t="str">
            <v>El poder del conocimiento</v>
          </cell>
          <cell r="G1826">
            <v>50</v>
          </cell>
          <cell r="H1826">
            <v>1</v>
          </cell>
          <cell r="I1826">
            <v>10</v>
          </cell>
          <cell r="J1826">
            <v>0</v>
          </cell>
          <cell r="K1826">
            <v>0</v>
          </cell>
          <cell r="L1826" t="str">
            <v>Obtiene un bono especial en todas las habilidades secundarias intelecuales de +0.</v>
          </cell>
          <cell r="R1826">
            <v>0</v>
          </cell>
          <cell r="T1826" t="str">
            <v>Imbuir a otros el instinto de superación</v>
          </cell>
          <cell r="U1826">
            <v>3</v>
          </cell>
          <cell r="X1826" t="str">
            <v>Abusar del poder neciamente</v>
          </cell>
          <cell r="Y1826">
            <v>-2</v>
          </cell>
        </row>
        <row r="1827">
          <cell r="E1827" t="str">
            <v>El dominador (Habla)</v>
          </cell>
          <cell r="G1827">
            <v>50</v>
          </cell>
          <cell r="H1827">
            <v>1</v>
          </cell>
          <cell r="I1827">
            <v>10</v>
          </cell>
          <cell r="J1827">
            <v>0</v>
          </cell>
          <cell r="L1827" t="str">
            <v>Todo aquel que le escuche hablar durante más de cinco asaltos debe de realizar un control de RM o RP contra 60, o será controlado.</v>
          </cell>
          <cell r="R1827">
            <v>0</v>
          </cell>
          <cell r="T1827" t="str">
            <v>Lograr superarse a uno mismo</v>
          </cell>
          <cell r="U1827">
            <v>2</v>
          </cell>
        </row>
        <row r="1828">
          <cell r="E1828" t="str">
            <v>Cadena de mando</v>
          </cell>
          <cell r="G1828">
            <v>60</v>
          </cell>
          <cell r="H1828">
            <v>1</v>
          </cell>
          <cell r="I1828">
            <v>10</v>
          </cell>
          <cell r="J1828">
            <v>0</v>
          </cell>
          <cell r="L1828" t="str">
            <v>Permite conferir parte de su poder a un solo subordinado, quien actúa como si tuviese -20 puntos de Elan.</v>
          </cell>
          <cell r="R1828">
            <v>0</v>
          </cell>
        </row>
        <row r="1829">
          <cell r="E1829" t="str">
            <v>Señor de las sombras</v>
          </cell>
          <cell r="G1829">
            <v>65</v>
          </cell>
          <cell r="H1829">
            <v>0</v>
          </cell>
          <cell r="I1829">
            <v>15</v>
          </cell>
          <cell r="J1829">
            <v>0</v>
          </cell>
          <cell r="L1829" t="str">
            <v>Permite invocar y mantener el control sobre hasta 0 criaturas oscuras. Si alguna de ellas es destruida debe esperar un día para que aparezca otra.</v>
          </cell>
          <cell r="R1829">
            <v>0</v>
          </cell>
        </row>
        <row r="1830">
          <cell r="E1830" t="str">
            <v>Poder oscuro</v>
          </cell>
          <cell r="G1830">
            <v>70</v>
          </cell>
          <cell r="H1830">
            <v>1</v>
          </cell>
          <cell r="I1830">
            <v>15</v>
          </cell>
          <cell r="J1830">
            <v>0</v>
          </cell>
          <cell r="K1830">
            <v>0</v>
          </cell>
          <cell r="L1830" t="str">
            <v>El PJ obtiene un punto adicional en las características de Poder, Voluntad e Inteligencia.</v>
          </cell>
          <cell r="R1830">
            <v>0</v>
          </cell>
          <cell r="T1830" t="str">
            <v>Rafael</v>
          </cell>
        </row>
        <row r="1831">
          <cell r="E1831" t="str">
            <v>El dominador (Vista)</v>
          </cell>
          <cell r="G1831">
            <v>70</v>
          </cell>
          <cell r="H1831">
            <v>0</v>
          </cell>
          <cell r="I1831">
            <v>10</v>
          </cell>
          <cell r="J1831">
            <v>0</v>
          </cell>
          <cell r="L1831" t="str">
            <v>Todo aquel a quien mire a los ojos durante más de dos asaltos debe de realizar un control de RM o RP contra 40, o será controlado.</v>
          </cell>
          <cell r="R1831">
            <v>0</v>
          </cell>
          <cell r="T1831" t="str">
            <v>Salvar la vida a una persona o animal</v>
          </cell>
          <cell r="U1831">
            <v>1</v>
          </cell>
          <cell r="V1831" t="str">
            <v>Velar por los intereses de plantas y animales</v>
          </cell>
          <cell r="W1831">
            <v>2</v>
          </cell>
          <cell r="X1831" t="str">
            <v>Quitar una vida injustificadamente o sin razón</v>
          </cell>
          <cell r="Y1831">
            <v>-5</v>
          </cell>
        </row>
        <row r="1832">
          <cell r="E1832" t="str">
            <v>Esencia sobrenatural (Jedah)</v>
          </cell>
          <cell r="G1832">
            <v>80</v>
          </cell>
          <cell r="H1832">
            <v>1</v>
          </cell>
          <cell r="I1832">
            <v>15</v>
          </cell>
          <cell r="J1832">
            <v>0</v>
          </cell>
          <cell r="L1832" t="str">
            <v>El PJ obtiene Gnosis 30 y todas las ventajas que ello supone.</v>
          </cell>
          <cell r="R1832">
            <v>0</v>
          </cell>
          <cell r="T1832" t="str">
            <v>Salvar la vida a un gran número de personas o animales</v>
          </cell>
          <cell r="U1832">
            <v>5</v>
          </cell>
          <cell r="V1832" t="str">
            <v>Salvar la vida a un gran número de personas o animales</v>
          </cell>
          <cell r="W1832">
            <v>1</v>
          </cell>
          <cell r="X1832" t="str">
            <v>Dañar innecesariamente la naturaleza</v>
          </cell>
          <cell r="Y1832">
            <v>-3</v>
          </cell>
        </row>
        <row r="1833">
          <cell r="E1833" t="str">
            <v>El dominador (Aura)</v>
          </cell>
          <cell r="G1833">
            <v>90</v>
          </cell>
          <cell r="H1833">
            <v>0</v>
          </cell>
          <cell r="I1833">
            <v>10</v>
          </cell>
          <cell r="J1833">
            <v>0</v>
          </cell>
          <cell r="L1833" t="str">
            <v>Todo aquel que se encuentre a menos de 10 metros del PJ debe de realizar un control de RM o RP contra 20, o será controlado.</v>
          </cell>
          <cell r="R1833">
            <v>0</v>
          </cell>
          <cell r="T1833" t="str">
            <v>Proteger la naturaleza</v>
          </cell>
          <cell r="U1833">
            <v>3</v>
          </cell>
          <cell r="V1833" t="str">
            <v>Extender o plantar grandes bosques, selvas o forestas</v>
          </cell>
          <cell r="W1833">
            <v>2</v>
          </cell>
          <cell r="X1833" t="str">
            <v>Alterar sobrenaturalmente la naturaleza o la vida</v>
          </cell>
          <cell r="Y1833">
            <v>-10</v>
          </cell>
        </row>
        <row r="1834">
          <cell r="E1834" t="str">
            <v>Maestro de marionetas</v>
          </cell>
          <cell r="G1834">
            <v>100</v>
          </cell>
          <cell r="H1834">
            <v>1</v>
          </cell>
          <cell r="I1834">
            <v>10</v>
          </cell>
          <cell r="J1834">
            <v>0</v>
          </cell>
          <cell r="L1834" t="str">
            <v>El PJ proyecta su consciencia sobre sus subordinados, siendo consciente de lo que piensan o sienten en todo momento y pudiendo tomar decisiones por ellos cuando lo desee.</v>
          </cell>
          <cell r="R1834">
            <v>0</v>
          </cell>
          <cell r="T1834" t="str">
            <v>Destruir a una criatura no muerta</v>
          </cell>
          <cell r="U1834">
            <v>1</v>
          </cell>
        </row>
        <row r="1835">
          <cell r="E1835" t="str">
            <v>Gabriel</v>
          </cell>
          <cell r="F1835">
            <v>0</v>
          </cell>
          <cell r="G1835" t="str">
            <v>Elan</v>
          </cell>
          <cell r="H1835" t="str">
            <v>Requisito</v>
          </cell>
          <cell r="I1835" t="str">
            <v>Coste</v>
          </cell>
          <cell r="J1835" t="str">
            <v>Aprendida</v>
          </cell>
          <cell r="K1835" t="str">
            <v>Bono final</v>
          </cell>
          <cell r="L1835" t="str">
            <v>Descripción</v>
          </cell>
          <cell r="R1835">
            <v>0</v>
          </cell>
          <cell r="T1835" t="str">
            <v>Extender o plantar bosques, selvas o forestas</v>
          </cell>
          <cell r="U1835">
            <v>5</v>
          </cell>
        </row>
        <row r="1836">
          <cell r="E1836" t="str">
            <v>Aptitud artística</v>
          </cell>
          <cell r="G1836">
            <v>10</v>
          </cell>
          <cell r="H1836">
            <v>1</v>
          </cell>
          <cell r="I1836">
            <v>5</v>
          </cell>
          <cell r="J1836">
            <v>0</v>
          </cell>
          <cell r="K1836">
            <v>0</v>
          </cell>
          <cell r="L1836" t="str">
            <v>Otorga un bono especial a sus habilidades secundarias Arte y Música de +0.</v>
          </cell>
          <cell r="R1836">
            <v>0</v>
          </cell>
        </row>
        <row r="1837">
          <cell r="E1837" t="str">
            <v>Gracia</v>
          </cell>
          <cell r="G1837">
            <v>20</v>
          </cell>
          <cell r="H1837">
            <v>1</v>
          </cell>
          <cell r="I1837">
            <v>5</v>
          </cell>
          <cell r="J1837">
            <v>0</v>
          </cell>
          <cell r="L1837" t="str">
            <v>El PJ tiene la capacidad de resultar hermoso a los ojos de los demás, sin que por ello altere su apariencia.</v>
          </cell>
          <cell r="R1837">
            <v>0</v>
          </cell>
        </row>
        <row r="1838">
          <cell r="E1838" t="str">
            <v>Empatía positiva</v>
          </cell>
          <cell r="G1838">
            <v>30</v>
          </cell>
          <cell r="H1838">
            <v>1</v>
          </cell>
          <cell r="I1838">
            <v>10</v>
          </cell>
          <cell r="J1838">
            <v>0</v>
          </cell>
          <cell r="L1838" t="str">
            <v>Intensifica todos los sentimientos positivos de aquellos individuos con quienes se relacione abiertamente.</v>
          </cell>
          <cell r="R1838">
            <v>0</v>
          </cell>
          <cell r="T1838" t="str">
            <v>Erebus</v>
          </cell>
        </row>
        <row r="1839">
          <cell r="E1839" t="str">
            <v>Pacificador</v>
          </cell>
          <cell r="G1839">
            <v>40</v>
          </cell>
          <cell r="H1839">
            <v>1</v>
          </cell>
          <cell r="I1839">
            <v>10</v>
          </cell>
          <cell r="J1839">
            <v>0</v>
          </cell>
          <cell r="L1839" t="str">
            <v>El PJ crea un estado de armonía que apacigua pequeñas disputas y rencillas.</v>
          </cell>
          <cell r="R1839">
            <v>0</v>
          </cell>
          <cell r="T1839" t="str">
            <v>Adentrarse en el mundo de lo oculto y lo sobrenatural</v>
          </cell>
          <cell r="U1839">
            <v>2</v>
          </cell>
          <cell r="V1839" t="str">
            <v>Vivir entre la realidad y la fantasía</v>
          </cell>
          <cell r="W1839">
            <v>2</v>
          </cell>
          <cell r="X1839" t="str">
            <v>No tener sueños ni deseos</v>
          </cell>
          <cell r="Y1839">
            <v>-3</v>
          </cell>
        </row>
        <row r="1840">
          <cell r="E1840" t="str">
            <v>Inmunidad psicológica</v>
          </cell>
          <cell r="G1840">
            <v>40</v>
          </cell>
          <cell r="H1840">
            <v>1</v>
          </cell>
          <cell r="I1840">
            <v>10</v>
          </cell>
          <cell r="J1840">
            <v>0</v>
          </cell>
          <cell r="L1840" t="str">
            <v>El PJ se vuelve inmune a cualquier estado psicológico negativo, como miedo, rabia o tristeza. Si se le inducen sobrenaturalmente suma +0 a su RM.</v>
          </cell>
          <cell r="R1840">
            <v>0</v>
          </cell>
          <cell r="T1840" t="str">
            <v>Alcanzar la maestría en un campo sobrenatural</v>
          </cell>
          <cell r="U1840">
            <v>3</v>
          </cell>
          <cell r="V1840" t="str">
            <v>Dedicar la vida al dominio de las artes ocultas</v>
          </cell>
          <cell r="W1840">
            <v>2</v>
          </cell>
          <cell r="X1840" t="str">
            <v>Despreciar la oportunidad de avanzar en lo oculto</v>
          </cell>
          <cell r="Y1840">
            <v>-2</v>
          </cell>
        </row>
        <row r="1841">
          <cell r="E1841" t="str">
            <v>Percepción de sentimientos</v>
          </cell>
          <cell r="G1841">
            <v>50</v>
          </cell>
          <cell r="H1841">
            <v>1</v>
          </cell>
          <cell r="I1841">
            <v>10</v>
          </cell>
          <cell r="J1841">
            <v>0</v>
          </cell>
          <cell r="L1841" t="str">
            <v>Permite sentir cualquier clase de emoción positiva que se encuentre en los alrededores. Cuanto mayor sea su nivel de Elan, la percepción será más exacta y su radio mayor.</v>
          </cell>
          <cell r="R1841">
            <v>0</v>
          </cell>
          <cell r="T1841" t="str">
            <v>Enfrentarse al terror y poder superarlo</v>
          </cell>
          <cell r="U1841">
            <v>2</v>
          </cell>
          <cell r="V1841" t="str">
            <v>Aprender a dominar los propios miedos</v>
          </cell>
          <cell r="W1841">
            <v>2</v>
          </cell>
        </row>
        <row r="1842">
          <cell r="E1842" t="str">
            <v>Imbuir sentimientos</v>
          </cell>
          <cell r="G1842">
            <v>50</v>
          </cell>
          <cell r="H1842">
            <v>1</v>
          </cell>
          <cell r="I1842">
            <v>15</v>
          </cell>
          <cell r="J1842">
            <v>0</v>
          </cell>
          <cell r="L1842" t="str">
            <v>Permite inducir un sentimiento positivo si el objetivo no supera una RM contra 0.</v>
          </cell>
          <cell r="R1842">
            <v>0</v>
          </cell>
          <cell r="T1842" t="str">
            <v>Sentir fascinación por el miedo y todo lo que representa</v>
          </cell>
          <cell r="U1842">
            <v>3</v>
          </cell>
        </row>
        <row r="1843">
          <cell r="E1843" t="str">
            <v>Lazo</v>
          </cell>
          <cell r="G1843">
            <v>60</v>
          </cell>
          <cell r="H1843">
            <v>1</v>
          </cell>
          <cell r="I1843">
            <v>15</v>
          </cell>
          <cell r="J1843">
            <v>0</v>
          </cell>
          <cell r="L1843" t="str">
            <v>El PJ enlaza su vida con otro individuo, con quien puede compartir Resistencias, superar los controles de "Entre la vida y la muerte" y comunicarse solamente cruzando la mirada.</v>
          </cell>
          <cell r="R1843">
            <v>0</v>
          </cell>
          <cell r="T1843" t="str">
            <v>Ser un soñador que viva en la fantasía</v>
          </cell>
          <cell r="U1843">
            <v>2</v>
          </cell>
        </row>
        <row r="1844">
          <cell r="E1844" t="str">
            <v>Auxilio</v>
          </cell>
          <cell r="G1844">
            <v>70</v>
          </cell>
          <cell r="H1844">
            <v>1</v>
          </cell>
          <cell r="I1844">
            <v>10</v>
          </cell>
          <cell r="J1844">
            <v>0</v>
          </cell>
          <cell r="L1844" t="str">
            <v>Por muy mal que se tornen los acontecimientos para el PJ, siempre que lo necesite encontrará a otra persona dispuesta a ayudarle en todo lo que pueda.</v>
          </cell>
          <cell r="R1844">
            <v>0</v>
          </cell>
          <cell r="T1844" t="str">
            <v>Dominar el significado de los sueños</v>
          </cell>
          <cell r="U1844">
            <v>2</v>
          </cell>
        </row>
        <row r="1845">
          <cell r="E1845" t="str">
            <v>Canto de la paz</v>
          </cell>
          <cell r="G1845">
            <v>80</v>
          </cell>
          <cell r="H1845">
            <v>1</v>
          </cell>
          <cell r="I1845">
            <v>15</v>
          </cell>
          <cell r="J1845">
            <v>0</v>
          </cell>
          <cell r="L1845" t="str">
            <v>La canción se oye en un radio de 0 metros. Quien la escuche por más de medio minuto deberá superar una RM contra 0 o dejará de luchar. Cada nivel de dificultad por encima de Dificil en Música incrementa en 10 la RM.</v>
          </cell>
          <cell r="R1845">
            <v>0</v>
          </cell>
        </row>
        <row r="1846">
          <cell r="E1846" t="str">
            <v>Protección</v>
          </cell>
          <cell r="G1846">
            <v>90</v>
          </cell>
          <cell r="H1846">
            <v>1</v>
          </cell>
          <cell r="I1846">
            <v>20</v>
          </cell>
          <cell r="J1846">
            <v>0</v>
          </cell>
          <cell r="L1846" t="str">
            <v>Todo ser capaz de albergar sentimientos se ve obligado a realizar una RM contra 0 o, de lo contrario, se sentirá incapaz de perjudicarle.</v>
          </cell>
          <cell r="R1846">
            <v>0</v>
          </cell>
          <cell r="T1846" t="str">
            <v>Azrael</v>
          </cell>
        </row>
        <row r="1847">
          <cell r="E1847" t="str">
            <v>Paraíso</v>
          </cell>
          <cell r="G1847">
            <v>100</v>
          </cell>
          <cell r="H1847">
            <v>1</v>
          </cell>
          <cell r="I1847">
            <v>10</v>
          </cell>
          <cell r="J1847">
            <v>0</v>
          </cell>
          <cell r="L1847" t="str">
            <v>Aquellos en presencia del PJ con presencia inferior a la suya no podrán causar daños a otros, ni tampoco verse afectados por pasiones o emociones oscuras. Los seres negativos deberán marcharse o ser purificados en seres benignos.</v>
          </cell>
          <cell r="R1847">
            <v>0</v>
          </cell>
          <cell r="T1847" t="str">
            <v>Proteger a los inocentes</v>
          </cell>
          <cell r="U1847">
            <v>3</v>
          </cell>
          <cell r="V1847" t="str">
            <v>Realizar un acto heroico de gran importancia</v>
          </cell>
          <cell r="W1847">
            <v>1</v>
          </cell>
          <cell r="X1847" t="str">
            <v>Cometer un acto maligno</v>
          </cell>
          <cell r="Y1847">
            <v>-2</v>
          </cell>
        </row>
        <row r="1848">
          <cell r="E1848" t="str">
            <v>Noah</v>
          </cell>
          <cell r="F1848">
            <v>0</v>
          </cell>
          <cell r="G1848" t="str">
            <v>Elan</v>
          </cell>
          <cell r="H1848" t="str">
            <v>Requisito</v>
          </cell>
          <cell r="I1848" t="str">
            <v>Coste</v>
          </cell>
          <cell r="J1848" t="str">
            <v>Aprendida</v>
          </cell>
          <cell r="K1848" t="str">
            <v>Bono final</v>
          </cell>
          <cell r="L1848" t="str">
            <v>Descripción</v>
          </cell>
          <cell r="R1848">
            <v>0</v>
          </cell>
          <cell r="T1848" t="str">
            <v>Acabar con una entidad maligna / oscura</v>
          </cell>
          <cell r="U1848">
            <v>2</v>
          </cell>
          <cell r="V1848" t="str">
            <v>Acabar con una criatura maligna de gran poder</v>
          </cell>
          <cell r="W1848">
            <v>2</v>
          </cell>
          <cell r="X1848" t="str">
            <v>Acabar con la vida de un inocente</v>
          </cell>
          <cell r="Y1848">
            <v>-8</v>
          </cell>
        </row>
        <row r="1849">
          <cell r="E1849" t="str">
            <v>En las manos apropiadas</v>
          </cell>
          <cell r="G1849">
            <v>10</v>
          </cell>
          <cell r="H1849">
            <v>1</v>
          </cell>
          <cell r="I1849">
            <v>5</v>
          </cell>
          <cell r="J1849">
            <v>0</v>
          </cell>
          <cell r="L1849" t="str">
            <v>El PJ posee una suerte excepcional para encontrar siempre el equipamiento que necesita en cada circunstancia.</v>
          </cell>
          <cell r="R1849">
            <v>0</v>
          </cell>
          <cell r="T1849" t="str">
            <v>Acabar con un gran número de seres malignos / oscuros</v>
          </cell>
          <cell r="U1849">
            <v>5</v>
          </cell>
          <cell r="V1849" t="str">
            <v>Salvar a un gran número de inocentes</v>
          </cell>
          <cell r="W1849">
            <v>2</v>
          </cell>
          <cell r="X1849" t="str">
            <v>Colaborar con las fuerzas de la oscuridad</v>
          </cell>
          <cell r="Y1849">
            <v>-2</v>
          </cell>
        </row>
        <row r="1850">
          <cell r="E1850" t="str">
            <v>Espíritu de superación</v>
          </cell>
          <cell r="G1850">
            <v>20</v>
          </cell>
          <cell r="H1850">
            <v>1</v>
          </cell>
          <cell r="I1850">
            <v>10</v>
          </cell>
          <cell r="J1850">
            <v>0</v>
          </cell>
          <cell r="L1850" t="str">
            <v>Todo aquel que se relaciona habitualmente con el PJ empezará a sentir ganas de mejorar y de superarse a sí mismo.</v>
          </cell>
          <cell r="R1850">
            <v>0</v>
          </cell>
          <cell r="T1850" t="str">
            <v>Detener un acto malvado</v>
          </cell>
          <cell r="U1850">
            <v>2</v>
          </cell>
          <cell r="V1850" t="str">
            <v>Detener un plan de los Shajads</v>
          </cell>
          <cell r="W1850">
            <v>3</v>
          </cell>
        </row>
        <row r="1851">
          <cell r="E1851" t="str">
            <v>Resistente</v>
          </cell>
          <cell r="G1851">
            <v>20</v>
          </cell>
          <cell r="H1851">
            <v>1</v>
          </cell>
          <cell r="I1851">
            <v>5</v>
          </cell>
          <cell r="J1851">
            <v>0</v>
          </cell>
          <cell r="K1851">
            <v>0</v>
          </cell>
          <cell r="L1851" t="str">
            <v>El PJ obtiene un bono a su RF de +0.</v>
          </cell>
          <cell r="R1851">
            <v>0</v>
          </cell>
          <cell r="T1851" t="str">
            <v>Defender la justicia</v>
          </cell>
          <cell r="U1851">
            <v>2</v>
          </cell>
        </row>
        <row r="1852">
          <cell r="E1852" t="str">
            <v>Inhumano</v>
          </cell>
          <cell r="G1852">
            <v>30</v>
          </cell>
          <cell r="H1852">
            <v>1</v>
          </cell>
          <cell r="I1852">
            <v>5</v>
          </cell>
          <cell r="J1852">
            <v>0</v>
          </cell>
          <cell r="L1852" t="str">
            <v>Permite alcanzar la dificultad de Inhumano en aquellos campos en los que el PJ exceda o sean su especialidad.</v>
          </cell>
          <cell r="R1852">
            <v>0</v>
          </cell>
          <cell r="T1852" t="str">
            <v>Detener / destruir a un agente de los Shajads</v>
          </cell>
          <cell r="U1852">
            <v>3</v>
          </cell>
        </row>
        <row r="1853">
          <cell r="E1853" t="str">
            <v>Ignorar penalizadores</v>
          </cell>
          <cell r="G1853">
            <v>40</v>
          </cell>
          <cell r="H1853">
            <v>1</v>
          </cell>
          <cell r="I1853">
            <v>10</v>
          </cell>
          <cell r="J1853">
            <v>0</v>
          </cell>
          <cell r="L1853" t="str">
            <v>El PJ puede anular, automáticamente, una cantidad de negativos a la acción de -0.</v>
          </cell>
          <cell r="R1853">
            <v>0</v>
          </cell>
          <cell r="T1853" t="str">
            <v>Convertirse en un héroe</v>
          </cell>
          <cell r="U1853">
            <v>5</v>
          </cell>
        </row>
        <row r="1854">
          <cell r="E1854" t="str">
            <v>Potencia oscura</v>
          </cell>
          <cell r="G1854">
            <v>50</v>
          </cell>
          <cell r="H1854">
            <v>1</v>
          </cell>
          <cell r="I1854">
            <v>15</v>
          </cell>
          <cell r="J1854">
            <v>0</v>
          </cell>
          <cell r="L1854" t="str">
            <v>El PJ obtiene 0 puntos que puede gastar como bonos a las tiradas siempre y cuando no sean más de 30 en una sola acción. Se recuperan a un índice de 5 por día.</v>
          </cell>
          <cell r="R1854">
            <v>0</v>
          </cell>
          <cell r="T1854" t="str">
            <v>Abbadon</v>
          </cell>
        </row>
        <row r="1855">
          <cell r="E1855" t="str">
            <v>Dote</v>
          </cell>
          <cell r="G1855">
            <v>60</v>
          </cell>
          <cell r="H1855">
            <v>1</v>
          </cell>
          <cell r="I1855">
            <v>10</v>
          </cell>
          <cell r="J1855">
            <v>0</v>
          </cell>
          <cell r="L1855" t="str">
            <v>Cualquier objeto que emplee el PJ se considera automáticamente de calidad +10.</v>
          </cell>
          <cell r="R1855">
            <v>0</v>
          </cell>
          <cell r="T1855" t="str">
            <v>Dejarse dominar por sentimientos oscuros</v>
          </cell>
          <cell r="U1855">
            <v>1</v>
          </cell>
          <cell r="V1855" t="str">
            <v>Corromper el corazón de una persona pura</v>
          </cell>
          <cell r="W1855">
            <v>2</v>
          </cell>
          <cell r="X1855" t="str">
            <v>Ayudar a otros sin beneficio propio</v>
          </cell>
          <cell r="Y1855">
            <v>-1</v>
          </cell>
        </row>
        <row r="1856">
          <cell r="E1856" t="str">
            <v>Mejorar ante los retos</v>
          </cell>
          <cell r="G1856">
            <v>70</v>
          </cell>
          <cell r="H1856">
            <v>1</v>
          </cell>
          <cell r="I1856">
            <v>15</v>
          </cell>
          <cell r="J1856">
            <v>0</v>
          </cell>
          <cell r="L1856" t="str">
            <v>Cada vez que el PJ se encuentre ante un reto de dificultad excesiva para él, obtiene un bono de +10 a su ataque y defensa si se trata de un combate, mientras que si lo que emplea es una habilidad secundaria, consigue un +20.</v>
          </cell>
          <cell r="R1856">
            <v>0</v>
          </cell>
          <cell r="T1856" t="str">
            <v>Cometer un acto realmente maligno</v>
          </cell>
          <cell r="U1856">
            <v>4</v>
          </cell>
          <cell r="V1856" t="str">
            <v>Producir un mal mayor para el mundo</v>
          </cell>
          <cell r="W1856">
            <v>3</v>
          </cell>
          <cell r="X1856" t="str">
            <v>Realizar un acto realmente benigno</v>
          </cell>
          <cell r="Y1856">
            <v>-6</v>
          </cell>
        </row>
        <row r="1857">
          <cell r="E1857" t="str">
            <v>Aura de guerra</v>
          </cell>
          <cell r="G1857">
            <v>70</v>
          </cell>
          <cell r="H1857">
            <v>1</v>
          </cell>
          <cell r="I1857">
            <v>10</v>
          </cell>
          <cell r="J1857">
            <v>0</v>
          </cell>
          <cell r="L1857" t="str">
            <v>En un radio de 0 metros todos los subordinados al PJ reciben un bono de +10 a su ataque y defensa, siempre que no superen al PJ.</v>
          </cell>
          <cell r="R1857">
            <v>0</v>
          </cell>
          <cell r="T1857" t="str">
            <v>Extender el mal entre un gran número de personas</v>
          </cell>
          <cell r="U1857">
            <v>3</v>
          </cell>
        </row>
        <row r="1858">
          <cell r="E1858" t="str">
            <v>Avatar oscuro</v>
          </cell>
          <cell r="G1858">
            <v>80</v>
          </cell>
          <cell r="H1858">
            <v>0</v>
          </cell>
          <cell r="I1858">
            <v>20</v>
          </cell>
          <cell r="J1858">
            <v>0</v>
          </cell>
          <cell r="L1858" t="str">
            <v>El PJ obtiene armas naturales, un bono de +30 a toda acción así como un +3 a sus características y Zen durante 0 asaltos. Una vez se acabe el tiempo recibe un penalizador de -30 durante tantos días como asaltos lo haya usado.</v>
          </cell>
          <cell r="R1858">
            <v>0</v>
          </cell>
          <cell r="T1858" t="str">
            <v>Crear cultos de adoración al diablo o a un dios del mal</v>
          </cell>
          <cell r="U1858">
            <v>2</v>
          </cell>
        </row>
        <row r="1859">
          <cell r="E1859" t="str">
            <v>La sombra de la guerra</v>
          </cell>
          <cell r="G1859">
            <v>90</v>
          </cell>
          <cell r="H1859">
            <v>1</v>
          </cell>
          <cell r="I1859">
            <v>15</v>
          </cell>
          <cell r="J1859">
            <v>0</v>
          </cell>
          <cell r="L1859" t="str">
            <v>El PJ enaltece el instinto bélico de todas las personas cercanas por lo que, a su paso, estallan pequeñas rencillas o comienzan batallas a gran escala.</v>
          </cell>
          <cell r="R1859">
            <v>0</v>
          </cell>
          <cell r="T1859" t="str">
            <v>Inducir a otros a pecar</v>
          </cell>
          <cell r="U1859">
            <v>2</v>
          </cell>
        </row>
        <row r="1860">
          <cell r="E1860" t="str">
            <v>El vencedor</v>
          </cell>
          <cell r="G1860">
            <v>100</v>
          </cell>
          <cell r="H1860">
            <v>1</v>
          </cell>
          <cell r="I1860">
            <v>10</v>
          </cell>
          <cell r="J1860">
            <v>0</v>
          </cell>
          <cell r="L1860" t="str">
            <v>El PJ obtiene automáticamente cualquier habilidad, primaria o secundaria, que posean los individuos a los que venza si es superior a la suya.</v>
          </cell>
          <cell r="R1860">
            <v>0</v>
          </cell>
        </row>
        <row r="1861">
          <cell r="E1861" t="str">
            <v>Rafael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Conocimiento de la naturaleza</v>
          </cell>
          <cell r="G1862">
            <v>10</v>
          </cell>
          <cell r="H1862">
            <v>1</v>
          </cell>
          <cell r="I1862">
            <v>5</v>
          </cell>
          <cell r="J1862">
            <v>0</v>
          </cell>
          <cell r="K1862">
            <v>0</v>
          </cell>
          <cell r="L1862" t="str">
            <v>Obtiene un bonificador especial a la habilidad secundaria Herbolaria de +0.</v>
          </cell>
          <cell r="R1862">
            <v>0</v>
          </cell>
          <cell r="T1862" t="str">
            <v>Barakiel</v>
          </cell>
        </row>
        <row r="1863">
          <cell r="E1863" t="str">
            <v>Conocimiento Animal</v>
          </cell>
          <cell r="G1863">
            <v>20</v>
          </cell>
          <cell r="H1863">
            <v>1</v>
          </cell>
          <cell r="I1863">
            <v>5</v>
          </cell>
          <cell r="J1863">
            <v>0</v>
          </cell>
          <cell r="K1863">
            <v>0</v>
          </cell>
          <cell r="L1863" t="str">
            <v>Obtiene un bonificador especial a la habilidad secundaria Animales de +0.</v>
          </cell>
          <cell r="R1863">
            <v>0</v>
          </cell>
          <cell r="T1863" t="str">
            <v>Recibir alabanzas y admiración por sus actos</v>
          </cell>
          <cell r="U1863">
            <v>1</v>
          </cell>
          <cell r="V1863" t="str">
            <v>Ser considerado un dios por otras personas</v>
          </cell>
          <cell r="W1863">
            <v>2</v>
          </cell>
          <cell r="X1863" t="str">
            <v>Mostrar debilidad externamente</v>
          </cell>
          <cell r="Y1863">
            <v>-2</v>
          </cell>
        </row>
        <row r="1864">
          <cell r="E1864" t="str">
            <v>Curación</v>
          </cell>
          <cell r="G1864">
            <v>20</v>
          </cell>
          <cell r="H1864">
            <v>1</v>
          </cell>
          <cell r="I1864">
            <v>10</v>
          </cell>
          <cell r="J1864">
            <v>0</v>
          </cell>
          <cell r="L1864" t="str">
            <v>Puede curar una cantidad de 0 PVs, a ritmo de 5 PV por asalto. Contra seres no muertos, estos deben superar una RM contra 0 o recibir un daño equivalente al nivel de fracaso.</v>
          </cell>
          <cell r="R1864">
            <v>0</v>
          </cell>
          <cell r="T1864" t="str">
            <v>Rendir culto a una encarnación divina de Barakiel</v>
          </cell>
          <cell r="U1864">
            <v>2</v>
          </cell>
          <cell r="V1864" t="str">
            <v>Inducir a una sociedad al orden y la ley</v>
          </cell>
          <cell r="W1864">
            <v>3</v>
          </cell>
          <cell r="X1864" t="str">
            <v>Actuar de manera aleatoria o caótica</v>
          </cell>
          <cell r="Y1864">
            <v>-2</v>
          </cell>
        </row>
        <row r="1865">
          <cell r="E1865" t="str">
            <v>Manto de fertilidad</v>
          </cell>
          <cell r="G1865">
            <v>30</v>
          </cell>
          <cell r="H1865">
            <v>1</v>
          </cell>
          <cell r="I1865">
            <v>5</v>
          </cell>
          <cell r="J1865">
            <v>0</v>
          </cell>
          <cell r="L1865" t="str">
            <v>La mera presencia del PJ intensifica el crecimiento de los animales y la vegetación del área, con efectos menores sobre seres humanos y razas similares.</v>
          </cell>
          <cell r="R1865">
            <v>0</v>
          </cell>
          <cell r="T1865" t="str">
            <v>Promover la ley y el orden</v>
          </cell>
          <cell r="U1865">
            <v>2</v>
          </cell>
          <cell r="V1865" t="str">
            <v>Mostrar a otros el verdadero significado de la perfeccion</v>
          </cell>
          <cell r="W1865">
            <v>1</v>
          </cell>
          <cell r="X1865" t="str">
            <v>Romper las leyes establecidas</v>
          </cell>
          <cell r="Y1865">
            <v>-5</v>
          </cell>
        </row>
        <row r="1866">
          <cell r="E1866" t="str">
            <v>Eliminar venenos naturales</v>
          </cell>
          <cell r="G1866">
            <v>40</v>
          </cell>
          <cell r="H1866">
            <v>1</v>
          </cell>
          <cell r="I1866">
            <v>10</v>
          </cell>
          <cell r="J1866">
            <v>0</v>
          </cell>
          <cell r="L1866" t="str">
            <v>Permite extripar cualquier veneno de nivel igual o inferior a 0.</v>
          </cell>
          <cell r="R1866">
            <v>0</v>
          </cell>
          <cell r="T1866" t="str">
            <v>Deshacer una situación caótica</v>
          </cell>
          <cell r="U1866">
            <v>3</v>
          </cell>
          <cell r="X1866" t="str">
            <v>Fracasar objetivamente en algo importante</v>
          </cell>
          <cell r="Y1866">
            <v>-10</v>
          </cell>
        </row>
        <row r="1867">
          <cell r="E1867" t="str">
            <v>Tótem</v>
          </cell>
          <cell r="G1867">
            <v>50</v>
          </cell>
          <cell r="H1867">
            <v>1</v>
          </cell>
          <cell r="I1867">
            <v>20</v>
          </cell>
          <cell r="J1867">
            <v>0</v>
          </cell>
          <cell r="L1867" t="str">
            <v>Recibe un "Totem", un ser natural con +3 a INT que puede compartir sentidos y comunicarse mentalmente. Sube de nivel junto al PJ usando sus PDs como un Ser Espiritual de Gnosis 25. Puede resucitar sacrificando 10 puntos de Elan.</v>
          </cell>
          <cell r="R1867">
            <v>0</v>
          </cell>
          <cell r="T1867" t="str">
            <v>Realizar un importante avance para la ciencia</v>
          </cell>
          <cell r="U1867">
            <v>5</v>
          </cell>
        </row>
        <row r="1868">
          <cell r="E1868" t="str">
            <v>Curación expandida</v>
          </cell>
          <cell r="G1868">
            <v>50</v>
          </cell>
          <cell r="H1868">
            <v>0</v>
          </cell>
          <cell r="I1868">
            <v>15</v>
          </cell>
          <cell r="J1868">
            <v>0</v>
          </cell>
          <cell r="L1868" t="str">
            <v>Puede curar una cantidad de 0 PV al día, a ritmo de 5 PV por asalto. Contra seres no muertos, estos deben superar una RM contra 0 o recibir un daño equivalente al nivel de fracaso.</v>
          </cell>
          <cell r="R1868">
            <v>0</v>
          </cell>
          <cell r="T1868" t="str">
            <v>Mostar públicamente habilidades extraordinarias</v>
          </cell>
          <cell r="U1868">
            <v>2</v>
          </cell>
        </row>
        <row r="1869">
          <cell r="E1869" t="str">
            <v>Los ojos de la naturaleza</v>
          </cell>
          <cell r="G1869">
            <v>60</v>
          </cell>
          <cell r="H1869">
            <v>1</v>
          </cell>
          <cell r="I1869">
            <v>10</v>
          </cell>
          <cell r="J1869">
            <v>0</v>
          </cell>
          <cell r="L1869" t="str">
            <v>El PJ puede unir sus sentidos con un animal, obteniendo la capacidad de ver y oír a través de él. Este poder puede usarse 0 veces al día.</v>
          </cell>
          <cell r="R1869">
            <v>0</v>
          </cell>
        </row>
        <row r="1870">
          <cell r="E1870" t="str">
            <v>Invocar animales</v>
          </cell>
          <cell r="G1870">
            <v>60</v>
          </cell>
          <cell r="H1870">
            <v>1</v>
          </cell>
          <cell r="I1870">
            <v>10</v>
          </cell>
          <cell r="J1870">
            <v>0</v>
          </cell>
          <cell r="L1870" t="str">
            <v>El PJ puede invocar una vez al día hasta 0 seres si son pequeños, o 0 si son grandes. Sólo es posible invocar animales de una determinada especie.</v>
          </cell>
          <cell r="R1870">
            <v>0</v>
          </cell>
          <cell r="T1870" t="str">
            <v>Eriol</v>
          </cell>
        </row>
        <row r="1871">
          <cell r="E1871" t="str">
            <v>Transformación animal</v>
          </cell>
          <cell r="G1871">
            <v>70</v>
          </cell>
          <cell r="H1871">
            <v>1</v>
          </cell>
          <cell r="I1871">
            <v>10</v>
          </cell>
          <cell r="J1871">
            <v>0</v>
          </cell>
          <cell r="L1871" t="str">
            <v>El PJ puede transformarse en un animal natural, obteniendo todas las características y habilidades físicas de este, si son mayores a las suyas. Puede elegir hasta 0 especies distintas.</v>
          </cell>
          <cell r="R1871">
            <v>0</v>
          </cell>
          <cell r="T1871" t="str">
            <v>Ignorar la ley y el orden</v>
          </cell>
          <cell r="U1871">
            <v>2</v>
          </cell>
          <cell r="V1871" t="str">
            <v>Controlar parcialmente la Ley de la Casualidad</v>
          </cell>
          <cell r="W1871">
            <v>2</v>
          </cell>
          <cell r="X1871" t="str">
            <v>Actuar de manera ordenada</v>
          </cell>
          <cell r="Y1871">
            <v>-2</v>
          </cell>
        </row>
        <row r="1872">
          <cell r="E1872" t="str">
            <v>Invocación incrementada</v>
          </cell>
          <cell r="G1872">
            <v>80</v>
          </cell>
          <cell r="H1872">
            <v>0</v>
          </cell>
          <cell r="I1872">
            <v>10</v>
          </cell>
          <cell r="J1872">
            <v>0</v>
          </cell>
          <cell r="L1872" t="str">
            <v>El PJ puede elegir invocar 0 razas adicionales o, en su defecto, multiplicar por diez el número de la especie por la que optó originariamente.</v>
          </cell>
          <cell r="R1872">
            <v>0</v>
          </cell>
          <cell r="T1872" t="str">
            <v>Promover las situaciones caóticas</v>
          </cell>
          <cell r="U1872">
            <v>2</v>
          </cell>
          <cell r="V1872" t="str">
            <v>Desatar caos en el mundo</v>
          </cell>
          <cell r="W1872">
            <v>2</v>
          </cell>
          <cell r="X1872" t="str">
            <v xml:space="preserve">Seguir órdenes o leyes establecidas </v>
          </cell>
          <cell r="Y1872">
            <v>-3</v>
          </cell>
        </row>
        <row r="1873">
          <cell r="E1873" t="str">
            <v>Curación ilimitada</v>
          </cell>
          <cell r="G1873">
            <v>90</v>
          </cell>
          <cell r="H1873">
            <v>0</v>
          </cell>
          <cell r="I1873">
            <v>20</v>
          </cell>
          <cell r="J1873">
            <v>0</v>
          </cell>
          <cell r="L1873" t="str">
            <v>Puede curar una cantidad de PV ilimitada al día, a ritmo de 5 PV por asalto. Contra seres no muertos, estos deben superar una RM contra 0 o recibir un daño equivalente al nivel de fracaso.</v>
          </cell>
          <cell r="R1873">
            <v>0</v>
          </cell>
          <cell r="T1873" t="str">
            <v>Dejar un acontecimiento importante al arbitrio del azar</v>
          </cell>
          <cell r="U1873">
            <v>5</v>
          </cell>
          <cell r="V1873" t="str">
            <v>Guiarse completamente en la vida por el azar</v>
          </cell>
          <cell r="W1873">
            <v>1</v>
          </cell>
          <cell r="X1873" t="str">
            <v>Despreciar la suerte</v>
          </cell>
          <cell r="Y1873">
            <v>-2</v>
          </cell>
        </row>
        <row r="1874">
          <cell r="E1874" t="str">
            <v>Conciencia de la naturaleza</v>
          </cell>
          <cell r="G1874">
            <v>100</v>
          </cell>
          <cell r="H1874">
            <v>1</v>
          </cell>
          <cell r="I1874">
            <v>10</v>
          </cell>
          <cell r="J1874">
            <v>0</v>
          </cell>
          <cell r="L1874" t="str">
            <v>El PJ es consciente de todo lo que ocurre en el interior de bosques, selvas y forestas, además de percibir los sentimientos de todos los animales y plantas del mundo, comunicándose con ellos sin importar la distancia.</v>
          </cell>
          <cell r="R1874">
            <v>0</v>
          </cell>
          <cell r="T1874" t="str">
            <v>Mostrar a otros la importancia de la suerte</v>
          </cell>
          <cell r="U1874">
            <v>1</v>
          </cell>
        </row>
        <row r="1875">
          <cell r="E1875" t="str">
            <v>Erebus</v>
          </cell>
          <cell r="F1875">
            <v>0</v>
          </cell>
          <cell r="G1875" t="str">
            <v>Elan</v>
          </cell>
          <cell r="H1875" t="str">
            <v>Requisito</v>
          </cell>
          <cell r="I1875" t="str">
            <v>Coste</v>
          </cell>
          <cell r="J1875" t="str">
            <v>Aprendida</v>
          </cell>
          <cell r="K1875" t="str">
            <v>Bono final</v>
          </cell>
          <cell r="L1875" t="str">
            <v>Descripción</v>
          </cell>
          <cell r="R1875">
            <v>0</v>
          </cell>
          <cell r="T1875" t="str">
            <v>Comportarse de un modo anárquico</v>
          </cell>
          <cell r="U1875">
            <v>2</v>
          </cell>
        </row>
        <row r="1876">
          <cell r="E1876" t="str">
            <v>Conocimiento sobrenatural</v>
          </cell>
          <cell r="G1876">
            <v>10</v>
          </cell>
          <cell r="H1876">
            <v>1</v>
          </cell>
          <cell r="I1876">
            <v>5</v>
          </cell>
          <cell r="J1876">
            <v>0</v>
          </cell>
          <cell r="K1876">
            <v>0</v>
          </cell>
          <cell r="L1876" t="str">
            <v>Obtiene un bonificador especial a la habilidad secundaria Ocultismo de +0.</v>
          </cell>
          <cell r="R1876">
            <v>0</v>
          </cell>
        </row>
        <row r="1877">
          <cell r="E1877" t="str">
            <v>Presencia tenebrosa</v>
          </cell>
          <cell r="G1877">
            <v>20</v>
          </cell>
          <cell r="H1877">
            <v>1</v>
          </cell>
          <cell r="I1877">
            <v>5</v>
          </cell>
          <cell r="J1877">
            <v>0</v>
          </cell>
          <cell r="K1877">
            <v>0</v>
          </cell>
          <cell r="L1877" t="str">
            <v>Obtiene un bonificador especial a la habilidad secundaria Intimidar de +0.</v>
          </cell>
          <cell r="R1877">
            <v>0</v>
          </cell>
        </row>
        <row r="1878">
          <cell r="E1878" t="str">
            <v>El camino de las pesadillas</v>
          </cell>
          <cell r="G1878">
            <v>30</v>
          </cell>
          <cell r="H1878">
            <v>1</v>
          </cell>
          <cell r="I1878">
            <v>5</v>
          </cell>
          <cell r="J1878">
            <v>0</v>
          </cell>
          <cell r="L1878" t="str">
            <v>Permite controlar si los durmientes que se encuentren en las cercanías tendrán sueños oscuros y terribles o a la inversa, permite evitar que tengan malos sueños.</v>
          </cell>
          <cell r="R1878">
            <v>0</v>
          </cell>
          <cell r="T1878" t="str">
            <v>Edamiel</v>
          </cell>
        </row>
        <row r="1879">
          <cell r="E1879" t="str">
            <v>Susurros oníricos</v>
          </cell>
          <cell r="G1879">
            <v>40</v>
          </cell>
          <cell r="H1879">
            <v>1</v>
          </cell>
          <cell r="I1879">
            <v>10</v>
          </cell>
          <cell r="J1879">
            <v>0</v>
          </cell>
          <cell r="L1879" t="str">
            <v>Permite al PJ comunicarse con otras personas conocidas mientras duermen, transmitiendo mensajes oníricos directamente al subconsciente de los soñadores.</v>
          </cell>
          <cell r="R1879">
            <v>0</v>
          </cell>
          <cell r="T1879" t="str">
            <v>Actuar de un modo apático</v>
          </cell>
          <cell r="U1879">
            <v>3</v>
          </cell>
          <cell r="V1879" t="str">
            <v>Destruir una gran cantidad de materia o almas</v>
          </cell>
          <cell r="W1879">
            <v>2</v>
          </cell>
          <cell r="X1879" t="str">
            <v>Tomar decisiones que fomenten la actividad de la gente</v>
          </cell>
          <cell r="Y1879">
            <v>-2</v>
          </cell>
        </row>
        <row r="1880">
          <cell r="E1880" t="str">
            <v>Místico nato</v>
          </cell>
          <cell r="G1880">
            <v>50</v>
          </cell>
          <cell r="H1880">
            <v>1</v>
          </cell>
          <cell r="I1880">
            <v>15</v>
          </cell>
          <cell r="J1880">
            <v>0</v>
          </cell>
          <cell r="L1880" t="str">
            <v>Cada día el PJ dispondrá de 0 puntos de Zeon para lanzar cualquier hechizo de libre acceso que desee. El nivel máximo de los sortilegios es 0 aunque el grado que puedan alcanzar seguirá dependiendo de su Inteligencia.</v>
          </cell>
          <cell r="R1880">
            <v>0</v>
          </cell>
          <cell r="T1880" t="str">
            <v>Dejarse llevar por los placeres de la carne</v>
          </cell>
          <cell r="U1880">
            <v>3</v>
          </cell>
          <cell r="V1880" t="str">
            <v>Arrastrar al deseo a una población o cultura</v>
          </cell>
          <cell r="W1880">
            <v>3</v>
          </cell>
          <cell r="X1880" t="str">
            <v>Reprimir los deseos carnales propios o de los demás</v>
          </cell>
          <cell r="Y1880">
            <v>-2</v>
          </cell>
        </row>
        <row r="1881">
          <cell r="E1881" t="str">
            <v>Influjo sobrenatural</v>
          </cell>
          <cell r="G1881">
            <v>60</v>
          </cell>
          <cell r="H1881">
            <v>1</v>
          </cell>
          <cell r="I1881">
            <v>10</v>
          </cell>
          <cell r="J1881">
            <v>0</v>
          </cell>
          <cell r="L1881" t="str">
            <v>El PJ obtiene dos puntos adicionales en las características de Poder o Voluntad (Seleccionar en Personalización).</v>
          </cell>
          <cell r="R1881">
            <v>0</v>
          </cell>
          <cell r="T1881" t="str">
            <v>Arrastrar a alguien al mundo del deseo y el placer</v>
          </cell>
          <cell r="U1881">
            <v>2</v>
          </cell>
          <cell r="V1881" t="str">
            <v>Anular las emociones de alguien haciéndole abrazar la nada</v>
          </cell>
          <cell r="W1881">
            <v>1</v>
          </cell>
        </row>
        <row r="1882">
          <cell r="E1882" t="str">
            <v>Caminante de los sueños</v>
          </cell>
          <cell r="G1882">
            <v>60</v>
          </cell>
          <cell r="H1882">
            <v>1</v>
          </cell>
          <cell r="I1882">
            <v>10</v>
          </cell>
          <cell r="J1882">
            <v>0</v>
          </cell>
          <cell r="L1882" t="str">
            <v>El PJ puede introducirse en los sueños de los demás si se pone en contacto con el soñador. En algunas ocasiones podrá introducirse en la Vigilia, dependiendo de lo frágil que sea la membrana.</v>
          </cell>
          <cell r="R1882">
            <v>0</v>
          </cell>
          <cell r="T1882" t="str">
            <v>Borrar algo completamente de la existencia</v>
          </cell>
          <cell r="U1882">
            <v>5</v>
          </cell>
          <cell r="V1882" t="str">
            <v>Arrastrar a la apatía a una población o cultura</v>
          </cell>
          <cell r="W1882">
            <v>4</v>
          </cell>
        </row>
        <row r="1883">
          <cell r="E1883" t="str">
            <v>Los miedos cardinales</v>
          </cell>
          <cell r="G1883">
            <v>70</v>
          </cell>
          <cell r="H1883">
            <v>1</v>
          </cell>
          <cell r="I1883">
            <v>20</v>
          </cell>
          <cell r="J1883">
            <v>0</v>
          </cell>
          <cell r="L1883" t="str">
            <v xml:space="preserve">El objetivo realiza 3 controles de RM o RP contra 140. 1: Cegado, Terror y fobia a la oscuridad. 2: Terror, Dolor Intenso y fobia al daño. 3: Muerte. Superados tres veces el 1 y el 2, y dos veces el 3, el objetivo se vuelve inmune. </v>
          </cell>
          <cell r="R1883">
            <v>0</v>
          </cell>
          <cell r="T1883" t="str">
            <v>Anular las emociones de un individuo mediante el placer</v>
          </cell>
          <cell r="U1883">
            <v>4</v>
          </cell>
        </row>
        <row r="1884">
          <cell r="E1884" t="str">
            <v>Potenciación sobrenatural</v>
          </cell>
          <cell r="G1884">
            <v>80</v>
          </cell>
          <cell r="H1884">
            <v>1</v>
          </cell>
          <cell r="I1884">
            <v>15</v>
          </cell>
          <cell r="J1884">
            <v>0</v>
          </cell>
          <cell r="L1884" t="str">
            <v>Todo conjuro, disciplina psíquica o poder equivalente que obligue a un antagonista a superar un control de Resistencia, incrementa en 20 puntos la dificultad de la tirada.</v>
          </cell>
          <cell r="R1884">
            <v>0</v>
          </cell>
        </row>
        <row r="1885">
          <cell r="E1885" t="str">
            <v>Nux, el miedo absoluto</v>
          </cell>
          <cell r="G1885">
            <v>90</v>
          </cell>
          <cell r="H1885">
            <v>0</v>
          </cell>
          <cell r="I1885">
            <v>10</v>
          </cell>
          <cell r="J1885">
            <v>0</v>
          </cell>
          <cell r="L1885" t="str">
            <v>Una vez por persona, el PJ puede obligar a superar una RM o RP contra 140 o ser destruido completamente en cuerpo y alma. Aunque supere la tirada sufrirá el estado de Miedo durante horas.</v>
          </cell>
          <cell r="R1885">
            <v>0</v>
          </cell>
        </row>
        <row r="1886">
          <cell r="E1886" t="str">
            <v>Demiurgo</v>
          </cell>
          <cell r="G1886">
            <v>100</v>
          </cell>
          <cell r="H1886">
            <v>1</v>
          </cell>
          <cell r="I1886">
            <v>10</v>
          </cell>
          <cell r="J1886">
            <v>0</v>
          </cell>
          <cell r="L1886" t="str">
            <v>El PJ puede observar y controlar los sueños de cualquier durmiente, obtiene Gnosis 45 cuando se encuentre en la Vigilia y obtiene cinco puntos de características a repartir entre su INT, POD y VOL (Seleccionar en Personalización).</v>
          </cell>
          <cell r="R1886">
            <v>0</v>
          </cell>
          <cell r="T1886" t="str">
            <v>Meseguis</v>
          </cell>
        </row>
        <row r="1887">
          <cell r="E1887" t="str">
            <v>Azrael</v>
          </cell>
          <cell r="F1887">
            <v>0</v>
          </cell>
          <cell r="G1887" t="str">
            <v>Elan</v>
          </cell>
          <cell r="H1887" t="str">
            <v>Requisito</v>
          </cell>
          <cell r="I1887" t="str">
            <v>Coste</v>
          </cell>
          <cell r="J1887" t="str">
            <v>Aprendida</v>
          </cell>
          <cell r="K1887" t="str">
            <v>Bono final</v>
          </cell>
          <cell r="L1887" t="str">
            <v>Descripción</v>
          </cell>
          <cell r="R1887">
            <v>0</v>
          </cell>
          <cell r="T1887" t="str">
            <v>Estar consumido por el dolor o la pena</v>
          </cell>
          <cell r="U1887">
            <v>8</v>
          </cell>
          <cell r="V1887" t="str">
            <v>Ayudar a alguien débil a llevar a cabo una venganza</v>
          </cell>
          <cell r="W1887">
            <v>2</v>
          </cell>
          <cell r="X1887" t="str">
            <v>Perdonar a alguien</v>
          </cell>
          <cell r="Y1887">
            <v>-3</v>
          </cell>
        </row>
        <row r="1888">
          <cell r="E1888" t="str">
            <v>Líder</v>
          </cell>
          <cell r="G1888">
            <v>10</v>
          </cell>
          <cell r="H1888">
            <v>1</v>
          </cell>
          <cell r="I1888">
            <v>5</v>
          </cell>
          <cell r="J1888">
            <v>0</v>
          </cell>
          <cell r="K1888">
            <v>0</v>
          </cell>
          <cell r="L1888" t="str">
            <v>Obtiene un bonificador especial a la habilidad secundaria Liderazgo de +0.</v>
          </cell>
          <cell r="R1888">
            <v>0</v>
          </cell>
          <cell r="T1888" t="str">
            <v>Dedicar su vida por completo a la venganza</v>
          </cell>
          <cell r="U1888">
            <v>8</v>
          </cell>
          <cell r="V1888" t="str">
            <v>Fomentar el sentimiento de venganza de los demás</v>
          </cell>
          <cell r="W1888">
            <v>1</v>
          </cell>
          <cell r="X1888" t="str">
            <v>Producir dolor o sufrimiento sin razón</v>
          </cell>
          <cell r="Y1888">
            <v>-4</v>
          </cell>
        </row>
        <row r="1889">
          <cell r="E1889" t="str">
            <v>El valor de los héroes</v>
          </cell>
          <cell r="G1889">
            <v>20</v>
          </cell>
          <cell r="H1889">
            <v>1</v>
          </cell>
          <cell r="I1889">
            <v>5</v>
          </cell>
          <cell r="J1889">
            <v>0</v>
          </cell>
          <cell r="K1889">
            <v>0</v>
          </cell>
          <cell r="L1889" t="str">
            <v>Obtiene un bonificador especial a la habilidad secundaria Frialdad de +0.</v>
          </cell>
          <cell r="R1889">
            <v>0</v>
          </cell>
          <cell r="V1889" t="str">
            <v>Consumar la venganza a la que ha dedicado su vida</v>
          </cell>
          <cell r="W1889">
            <v>4</v>
          </cell>
        </row>
        <row r="1890">
          <cell r="E1890" t="str">
            <v>Exaltación del espíritu</v>
          </cell>
          <cell r="G1890">
            <v>30</v>
          </cell>
          <cell r="H1890">
            <v>1</v>
          </cell>
          <cell r="I1890">
            <v>10</v>
          </cell>
          <cell r="J1890">
            <v>0</v>
          </cell>
          <cell r="L1890" t="str">
            <v>El PJ enaltece el sentido de la justicia de quienes se relacionen habitualmente con él.</v>
          </cell>
          <cell r="R1890">
            <v>0</v>
          </cell>
        </row>
        <row r="1891">
          <cell r="E1891" t="str">
            <v>Sentido de la justicia</v>
          </cell>
          <cell r="G1891">
            <v>40</v>
          </cell>
          <cell r="H1891">
            <v>1</v>
          </cell>
          <cell r="I1891">
            <v>10</v>
          </cell>
          <cell r="J1891">
            <v>0</v>
          </cell>
          <cell r="L1891" t="str">
            <v>Permite sentir si a su alrededor se está cometiendo algún acto injusto o malvado, aunque no da una información exacta de qué es o quién lo está perpetrando. Cuanto mayor sea su nivel de Elan, tendrá mayor alcance y precisión.</v>
          </cell>
          <cell r="R1891">
            <v>0</v>
          </cell>
        </row>
        <row r="1892">
          <cell r="E1892" t="str">
            <v>Espíritu sagrado</v>
          </cell>
          <cell r="G1892">
            <v>50</v>
          </cell>
          <cell r="H1892">
            <v>1</v>
          </cell>
          <cell r="I1892">
            <v>5</v>
          </cell>
          <cell r="J1892">
            <v>0</v>
          </cell>
          <cell r="L1892" t="str">
            <v>El PJ obtiene un estatus equivalente a un elemental de luz pura. Si se realiza sobre el PJ algún tipo de detección sobrenatural, de él emanará una potente aura benigna.</v>
          </cell>
          <cell r="R1892">
            <v>0</v>
          </cell>
        </row>
        <row r="1893">
          <cell r="E1893" t="str">
            <v>Aura de poder</v>
          </cell>
          <cell r="G1893">
            <v>60</v>
          </cell>
          <cell r="H1893">
            <v>0</v>
          </cell>
          <cell r="I1893">
            <v>10</v>
          </cell>
          <cell r="J1893">
            <v>0</v>
          </cell>
          <cell r="L1893" t="str">
            <v>En un radio de 0 metros todo ser de naturaleza negativa está obligado a superar automáticamente, cada cinco asaltos, un control de RM o RF contra 0 o sufrirá un daño equivalente a la mitad de su nivel de fracaso por turno.</v>
          </cell>
          <cell r="R1893">
            <v>0</v>
          </cell>
        </row>
        <row r="1894">
          <cell r="E1894" t="str">
            <v>Inmunidad</v>
          </cell>
          <cell r="G1894">
            <v>60</v>
          </cell>
          <cell r="H1894">
            <v>1</v>
          </cell>
          <cell r="I1894">
            <v>15</v>
          </cell>
          <cell r="J1894">
            <v>0</v>
          </cell>
          <cell r="L1894" t="str">
            <v>El PJ ignora cualquier habilidad mística o psíquica que le obligue a realizar un control de Resistencia inferior a 40.</v>
          </cell>
          <cell r="R1894">
            <v>0</v>
          </cell>
          <cell r="T1894" t="str">
            <v>Elan Personalizado</v>
          </cell>
        </row>
        <row r="1895">
          <cell r="E1895" t="str">
            <v>Destructor del mal</v>
          </cell>
          <cell r="G1895">
            <v>70</v>
          </cell>
          <cell r="H1895">
            <v>1</v>
          </cell>
          <cell r="I1895">
            <v>15</v>
          </cell>
          <cell r="J1895">
            <v>0</v>
          </cell>
          <cell r="L1895" t="str">
            <v>Dobla cualquier daño que produzca el PJ, personalmente, a una criatura oscura o naturalmente maligna.</v>
          </cell>
          <cell r="R1895">
            <v>0</v>
          </cell>
          <cell r="T1895">
            <v>0</v>
          </cell>
          <cell r="U1895">
            <v>0</v>
          </cell>
          <cell r="V1895">
            <v>0</v>
          </cell>
          <cell r="W1895">
            <v>0</v>
          </cell>
          <cell r="X1895">
            <v>0</v>
          </cell>
          <cell r="Y1895">
            <v>0</v>
          </cell>
        </row>
        <row r="1896">
          <cell r="E1896" t="str">
            <v>Bendecido</v>
          </cell>
          <cell r="G1896">
            <v>70</v>
          </cell>
          <cell r="H1896">
            <v>1</v>
          </cell>
          <cell r="I1896">
            <v>20</v>
          </cell>
          <cell r="J1896">
            <v>0</v>
          </cell>
          <cell r="L1896" t="str">
            <v>El PJ recibe un bono de +10 siempre que realice una accion realmente justa o al intentar acabar con una criatura maligna. Si gasta un punto de Elan de modo permanente, aumenta hasta +30.</v>
          </cell>
          <cell r="R1896">
            <v>0</v>
          </cell>
          <cell r="T1896">
            <v>0</v>
          </cell>
          <cell r="U1896">
            <v>0</v>
          </cell>
          <cell r="V1896">
            <v>0</v>
          </cell>
          <cell r="W1896">
            <v>0</v>
          </cell>
          <cell r="X1896">
            <v>0</v>
          </cell>
          <cell r="Y1896">
            <v>0</v>
          </cell>
        </row>
        <row r="1897">
          <cell r="E1897" t="str">
            <v>Guerrero de Azrael</v>
          </cell>
          <cell r="G1897">
            <v>80</v>
          </cell>
          <cell r="H1897">
            <v>1</v>
          </cell>
          <cell r="I1897">
            <v>10</v>
          </cell>
          <cell r="J1897">
            <v>0</v>
          </cell>
          <cell r="K1897">
            <v>0</v>
          </cell>
          <cell r="L1897" t="str">
            <v>El PJ obtiene un punto adicional en las características de Fuerza y Destreza.</v>
          </cell>
          <cell r="R1897">
            <v>0</v>
          </cell>
          <cell r="T1897">
            <v>0</v>
          </cell>
          <cell r="U1897">
            <v>0</v>
          </cell>
          <cell r="V1897">
            <v>0</v>
          </cell>
          <cell r="W1897">
            <v>0</v>
          </cell>
          <cell r="X1897">
            <v>0</v>
          </cell>
          <cell r="Y1897">
            <v>0</v>
          </cell>
        </row>
        <row r="1898">
          <cell r="E1898" t="str">
            <v>Consagrar</v>
          </cell>
          <cell r="G1898">
            <v>90</v>
          </cell>
          <cell r="H1898">
            <v>0</v>
          </cell>
          <cell r="I1898">
            <v>15</v>
          </cell>
          <cell r="J1898">
            <v>0</v>
          </cell>
          <cell r="L1898" t="str">
            <v>El PJ bendice contra criaturas oscuras o malignas, durante 0 horas o permanente sacrificando 1 punto de Elan, un arma (+50% al daño base, no se apila a Destructor del Mal) o un lugar (impide el paso si se fracasa un control de RM 140).</v>
          </cell>
          <cell r="R1898">
            <v>0</v>
          </cell>
          <cell r="T1898">
            <v>0</v>
          </cell>
          <cell r="U1898">
            <v>0</v>
          </cell>
          <cell r="V1898">
            <v>0</v>
          </cell>
          <cell r="W1898">
            <v>0</v>
          </cell>
          <cell r="X1898">
            <v>0</v>
          </cell>
          <cell r="Y1898">
            <v>0</v>
          </cell>
        </row>
        <row r="1899">
          <cell r="E1899" t="str">
            <v>Yihad</v>
          </cell>
          <cell r="G1899">
            <v>100</v>
          </cell>
          <cell r="H1899">
            <v>1</v>
          </cell>
          <cell r="I1899">
            <v>10</v>
          </cell>
          <cell r="J1899">
            <v>0</v>
          </cell>
          <cell r="L1899" t="str">
            <v>El PJ puede declarar la Yihad para destruir o proteger algo. Todo ser que ostente un elevado sentido de la justicia seguirá al PJ y se volverá inmune a Miedo y Terror, pudiendo luchar sin penalizadores incluso entre la vida y la muerte.</v>
          </cell>
          <cell r="R1899">
            <v>0</v>
          </cell>
          <cell r="T1899">
            <v>0</v>
          </cell>
          <cell r="U1899">
            <v>0</v>
          </cell>
          <cell r="V1899">
            <v>0</v>
          </cell>
          <cell r="W1899">
            <v>0</v>
          </cell>
          <cell r="X1899">
            <v>0</v>
          </cell>
          <cell r="Y1899">
            <v>0</v>
          </cell>
        </row>
        <row r="1900">
          <cell r="E1900" t="str">
            <v>Abbadon</v>
          </cell>
          <cell r="F1900">
            <v>0</v>
          </cell>
          <cell r="G1900" t="str">
            <v>Elan</v>
          </cell>
          <cell r="H1900" t="str">
            <v>Requisito</v>
          </cell>
          <cell r="I1900" t="str">
            <v>Coste</v>
          </cell>
          <cell r="J1900" t="str">
            <v>Aprendida</v>
          </cell>
          <cell r="K1900" t="str">
            <v>Bono final</v>
          </cell>
          <cell r="L1900" t="str">
            <v>Descripción</v>
          </cell>
          <cell r="R1900">
            <v>0</v>
          </cell>
          <cell r="T1900">
            <v>0</v>
          </cell>
          <cell r="U1900">
            <v>0</v>
          </cell>
          <cell r="V1900">
            <v>0</v>
          </cell>
          <cell r="W1900">
            <v>0</v>
          </cell>
        </row>
        <row r="1901">
          <cell r="E1901" t="str">
            <v>Empatía oscura</v>
          </cell>
          <cell r="G1901">
            <v>10</v>
          </cell>
          <cell r="H1901">
            <v>1</v>
          </cell>
          <cell r="I1901">
            <v>10</v>
          </cell>
          <cell r="J1901">
            <v>0</v>
          </cell>
          <cell r="L1901" t="str">
            <v>Intensifica los sentimientos oscuros de todos los individuos con quienes se relacione el PJ.</v>
          </cell>
          <cell r="R1901">
            <v>0</v>
          </cell>
          <cell r="T1901">
            <v>0</v>
          </cell>
          <cell r="U1901">
            <v>0</v>
          </cell>
          <cell r="V1901">
            <v>0</v>
          </cell>
          <cell r="W1901">
            <v>0</v>
          </cell>
        </row>
        <row r="1902">
          <cell r="E1902" t="str">
            <v>Los ojos de la maldad</v>
          </cell>
          <cell r="G1902">
            <v>20</v>
          </cell>
          <cell r="H1902">
            <v>1</v>
          </cell>
          <cell r="I1902">
            <v>5</v>
          </cell>
          <cell r="J1902">
            <v>0</v>
          </cell>
          <cell r="L1902" t="str">
            <v>Otorga la capacidad sobrenatural de percibir la maldad que se oculta en el interior de las personas. Cuanto mayor sea el nivel de Elan, esta habilidad será más precisa.</v>
          </cell>
          <cell r="R1902">
            <v>0</v>
          </cell>
        </row>
        <row r="1903">
          <cell r="E1903" t="str">
            <v>Señor de los pecados</v>
          </cell>
          <cell r="G1903">
            <v>30</v>
          </cell>
          <cell r="H1903">
            <v>1</v>
          </cell>
          <cell r="I1903">
            <v>10</v>
          </cell>
          <cell r="J1903">
            <v>0</v>
          </cell>
          <cell r="L1903" t="str">
            <v>El PJ aviva el pecado capital que más profundamente se halle arraigado en el interior de un individuo, si este no supera un control de RM o RP contra 0.</v>
          </cell>
          <cell r="R1903">
            <v>0</v>
          </cell>
        </row>
        <row r="1904">
          <cell r="E1904" t="str">
            <v>Ser oscuro</v>
          </cell>
          <cell r="G1904">
            <v>40</v>
          </cell>
          <cell r="H1904">
            <v>1</v>
          </cell>
          <cell r="I1904">
            <v>5</v>
          </cell>
          <cell r="J1904">
            <v>0</v>
          </cell>
          <cell r="L1904" t="str">
            <v>El PJ obtiene un estatus equivalente a un elemental oscuro, rebosante de pura maldad. Si es objeto de algún tipo de detección sobrenatural, de él emanará una potente aura maléfica.</v>
          </cell>
          <cell r="R1904">
            <v>0</v>
          </cell>
        </row>
        <row r="1905">
          <cell r="E1905" t="str">
            <v>Corruptor de almas</v>
          </cell>
          <cell r="G1905">
            <v>50</v>
          </cell>
          <cell r="H1905">
            <v>1</v>
          </cell>
          <cell r="I1905">
            <v>15</v>
          </cell>
          <cell r="J1905">
            <v>0</v>
          </cell>
          <cell r="L1905" t="str">
            <v>El PJ puede obligar a alguien a superar un control de RM contra 60 o se converitrá en una criatura maligna y retorcida. Los efectos son pasajeros salvo si fracasa por más de 40 puntos.</v>
          </cell>
          <cell r="R1905">
            <v>0</v>
          </cell>
        </row>
        <row r="1906">
          <cell r="E1906" t="str">
            <v>Encarnación demoníaca</v>
          </cell>
          <cell r="G1906">
            <v>60</v>
          </cell>
          <cell r="H1906">
            <v>0</v>
          </cell>
          <cell r="I1906">
            <v>10</v>
          </cell>
          <cell r="J1906">
            <v>0</v>
          </cell>
          <cell r="K1906">
            <v>0</v>
          </cell>
          <cell r="L1906" t="str">
            <v>El PJ recibe 0 PDs para gastar en cualquier poder sobrenatural como si tuviera Gnosis 25.</v>
          </cell>
          <cell r="R1906">
            <v>0</v>
          </cell>
        </row>
        <row r="1907">
          <cell r="E1907" t="str">
            <v>Destructor de lo sagrado</v>
          </cell>
          <cell r="G1907">
            <v>70</v>
          </cell>
          <cell r="H1907">
            <v>1</v>
          </cell>
          <cell r="I1907">
            <v>15</v>
          </cell>
          <cell r="J1907">
            <v>0</v>
          </cell>
          <cell r="L1907" t="str">
            <v>Dobla cualquier daño que produzca el PJ, personalmente, a una criatura luminosa o naturalmente benigna.</v>
          </cell>
          <cell r="R1907">
            <v>0</v>
          </cell>
        </row>
        <row r="1908">
          <cell r="E1908" t="str">
            <v>Don de la malignidad</v>
          </cell>
          <cell r="G1908">
            <v>80</v>
          </cell>
          <cell r="H1908">
            <v>0</v>
          </cell>
          <cell r="I1908">
            <v>10</v>
          </cell>
          <cell r="J1908">
            <v>0</v>
          </cell>
          <cell r="L1908" t="str">
            <v>El PJ empieza a atraer a su alrededor a decenas de personas o criaturas de naturaleza negativa, que se sentirán seducidas por su presencia.</v>
          </cell>
          <cell r="R1908">
            <v>0</v>
          </cell>
        </row>
        <row r="1909">
          <cell r="E1909" t="str">
            <v>Invocación demoníaca</v>
          </cell>
          <cell r="G1909">
            <v>80</v>
          </cell>
          <cell r="H1909">
            <v>1</v>
          </cell>
          <cell r="I1909">
            <v>15</v>
          </cell>
          <cell r="J1909">
            <v>0</v>
          </cell>
          <cell r="L1909" t="str">
            <v>Una vez al mes, más una adicional por cada punto de Elan sacrificado, el PJ puede invocar a un demonio de Abbadon que no tiene porqué obedecerle.</v>
          </cell>
          <cell r="R1909">
            <v>0</v>
          </cell>
        </row>
        <row r="1910">
          <cell r="E1910" t="str">
            <v>Devorador de almas</v>
          </cell>
          <cell r="G1910">
            <v>90</v>
          </cell>
          <cell r="H1910">
            <v>1</v>
          </cell>
          <cell r="I1910">
            <v>15</v>
          </cell>
          <cell r="J1910">
            <v>0</v>
          </cell>
          <cell r="L1910" t="str">
            <v>El PJ puede devorar almas malignas con las que tuviese un pacto, al morir. Por cada punto de POD del alma, recupera 20 PVs o de Zeon. Si están al máximo, obtiene un +1 durante un día a una característica por cada 5 de POD, (max 15).</v>
          </cell>
          <cell r="R1910">
            <v>0</v>
          </cell>
        </row>
        <row r="1911">
          <cell r="E1911" t="str">
            <v>La semilla del diablo</v>
          </cell>
          <cell r="G1911">
            <v>100</v>
          </cell>
          <cell r="H1911">
            <v>1</v>
          </cell>
          <cell r="I1911">
            <v>10</v>
          </cell>
          <cell r="J1911">
            <v>0</v>
          </cell>
          <cell r="L1911" t="str">
            <v xml:space="preserve">El PJ otorga parte de su poder a otros seres malignos, convirtiéndolos en un Ser Entre Mundos o Espiritual con un Gnosis entre 20 y 30, además de proporcionar hasta 200 PDs adicionales para adquirir poderes y habilidades esenciales. </v>
          </cell>
          <cell r="R1911">
            <v>0</v>
          </cell>
        </row>
        <row r="1912">
          <cell r="E1912" t="str">
            <v>Barakiel</v>
          </cell>
          <cell r="F1912">
            <v>0</v>
          </cell>
          <cell r="G1912" t="str">
            <v>Elan</v>
          </cell>
          <cell r="H1912" t="str">
            <v>Requisito</v>
          </cell>
          <cell r="I1912" t="str">
            <v>Coste</v>
          </cell>
          <cell r="J1912" t="str">
            <v>Aprendida</v>
          </cell>
          <cell r="K1912" t="str">
            <v>Bono final</v>
          </cell>
          <cell r="L1912" t="str">
            <v>Descripción</v>
          </cell>
          <cell r="R1912">
            <v>0</v>
          </cell>
        </row>
        <row r="1913">
          <cell r="E1913" t="str">
            <v>Estética</v>
          </cell>
          <cell r="G1913">
            <v>10</v>
          </cell>
          <cell r="H1913">
            <v>1</v>
          </cell>
          <cell r="I1913">
            <v>5</v>
          </cell>
          <cell r="J1913">
            <v>0</v>
          </cell>
          <cell r="K1913">
            <v>0</v>
          </cell>
          <cell r="L1913" t="str">
            <v>Obtiene un bonificador especial a la habilidad secundaria Estilo de +0.</v>
          </cell>
          <cell r="R1913">
            <v>0</v>
          </cell>
        </row>
        <row r="1914">
          <cell r="E1914" t="str">
            <v>Atrayente</v>
          </cell>
          <cell r="G1914">
            <v>20</v>
          </cell>
          <cell r="H1914">
            <v>1</v>
          </cell>
          <cell r="I1914">
            <v>10</v>
          </cell>
          <cell r="J1914">
            <v>0</v>
          </cell>
          <cell r="L1914" t="str">
            <v>El PJ obtiene la capacidad excepcional de llamar la atención allí donde vaya, atrayendo el interés de todas las personas con las que se relacione.</v>
          </cell>
          <cell r="R1914">
            <v>0</v>
          </cell>
        </row>
        <row r="1915">
          <cell r="E1915" t="str">
            <v>Saber de la ciencia</v>
          </cell>
          <cell r="G1915">
            <v>30</v>
          </cell>
          <cell r="H1915">
            <v>1</v>
          </cell>
          <cell r="I1915">
            <v>10</v>
          </cell>
          <cell r="J1915">
            <v>0</v>
          </cell>
          <cell r="K1915">
            <v>0</v>
          </cell>
          <cell r="L1915" t="str">
            <v>Obtiene un bonificador especial a la habilidad secundaria Ciencia de +0.</v>
          </cell>
          <cell r="R1915">
            <v>0</v>
          </cell>
        </row>
        <row r="1916">
          <cell r="E1916" t="str">
            <v>Percibir imperfecciones</v>
          </cell>
          <cell r="G1916">
            <v>40</v>
          </cell>
          <cell r="H1916">
            <v>1</v>
          </cell>
          <cell r="I1916">
            <v>10</v>
          </cell>
          <cell r="J1916">
            <v>0</v>
          </cell>
          <cell r="L1916" t="str">
            <v>Concede la capacidad de percibir de manera acentuada las imperfecciones en la conducta y en el físico de los demás.</v>
          </cell>
          <cell r="R1916">
            <v>0</v>
          </cell>
        </row>
        <row r="1917">
          <cell r="E1917" t="str">
            <v>Sentir el orden</v>
          </cell>
          <cell r="G1917">
            <v>40</v>
          </cell>
          <cell r="H1917">
            <v>1</v>
          </cell>
          <cell r="I1917">
            <v>5</v>
          </cell>
          <cell r="J1917">
            <v>0</v>
          </cell>
          <cell r="L1917" t="str">
            <v>El PJ siente cualquier alteración caótica o sobrenatural que suceda a su alrededor o en las personas que se encuentren cerca. Cuanto mayor sea su nivel de Elan, mayor será el alcance de esta habilidad.</v>
          </cell>
          <cell r="R1917">
            <v>0</v>
          </cell>
        </row>
        <row r="1918">
          <cell r="E1918" t="str">
            <v>Cuerpo perfecto</v>
          </cell>
          <cell r="G1918">
            <v>50</v>
          </cell>
          <cell r="H1918">
            <v>0</v>
          </cell>
          <cell r="I1918">
            <v>15</v>
          </cell>
          <cell r="J1918">
            <v>0</v>
          </cell>
          <cell r="L1918" t="str">
            <v>El PJ puede alcanzar la dificultad de Inhumano en sus controles y deja de sufrir los efectos del cansancio (equivalente a la Habilidad esencial Incansable). Además, no recibe ningún penalizador provocado por el envejecimiento.</v>
          </cell>
          <cell r="R1918">
            <v>0</v>
          </cell>
        </row>
        <row r="1919">
          <cell r="E1919" t="str">
            <v>Belleza perfecta</v>
          </cell>
          <cell r="G1919">
            <v>50</v>
          </cell>
          <cell r="H1919">
            <v>1</v>
          </cell>
          <cell r="I1919">
            <v>5</v>
          </cell>
          <cell r="J1919">
            <v>0</v>
          </cell>
          <cell r="L1919" t="str">
            <v>El PJ suma un punto a su Apariencia cada semana hasta llegar a 10.</v>
          </cell>
          <cell r="R1919">
            <v>0</v>
          </cell>
        </row>
        <row r="1920">
          <cell r="E1920" t="str">
            <v>Aura de orden</v>
          </cell>
          <cell r="G1920">
            <v>60</v>
          </cell>
          <cell r="H1920">
            <v>1</v>
          </cell>
          <cell r="I1920">
            <v>10</v>
          </cell>
          <cell r="J1920">
            <v>0</v>
          </cell>
          <cell r="L1920" t="str">
            <v>Todo comienza a volverse ordenado alrededor del PJ  y los sucesos inusuales son cada vez menos frecuentes. Los individuos con Gnosis inferior a 10 con los que se relacione empiezan a volverse más organizados respetuosos con la ley.</v>
          </cell>
          <cell r="R1920">
            <v>0</v>
          </cell>
        </row>
        <row r="1921">
          <cell r="E1921" t="str">
            <v>La esencia de Barakiel</v>
          </cell>
          <cell r="G1921">
            <v>70</v>
          </cell>
          <cell r="H1921">
            <v>1</v>
          </cell>
          <cell r="I1921">
            <v>20</v>
          </cell>
          <cell r="J1921">
            <v>0</v>
          </cell>
          <cell r="L1921" t="str">
            <v>Todas las debilidades o desventajas del PJ empezarán a desaparecer a un ritmo de una por mes, hasta ignorarlas completamente.</v>
          </cell>
          <cell r="R1921">
            <v>0</v>
          </cell>
        </row>
        <row r="1922">
          <cell r="E1922" t="str">
            <v>Incapaz de errar</v>
          </cell>
          <cell r="G1922">
            <v>70</v>
          </cell>
          <cell r="H1922">
            <v>1</v>
          </cell>
          <cell r="I1922">
            <v>10</v>
          </cell>
          <cell r="J1922">
            <v>0</v>
          </cell>
          <cell r="L1922" t="str">
            <v>El PJ deja de pifiar incluso si obtiene un resultado de 1, 2 o 3 con los dados.</v>
          </cell>
          <cell r="R1922">
            <v>0</v>
          </cell>
        </row>
        <row r="1923">
          <cell r="E1923" t="str">
            <v>Divinidad en cuerpo y alma</v>
          </cell>
          <cell r="G1923">
            <v>80</v>
          </cell>
          <cell r="H1923">
            <v>0</v>
          </cell>
          <cell r="I1923">
            <v>20</v>
          </cell>
          <cell r="J1923">
            <v>0</v>
          </cell>
          <cell r="L1923" t="str">
            <v>Las características del PJ aumentan a un ritmo de un punto al mes hasta alcanzar una base natural de diez, a la que se suman los modificadores o penalizadores naturales de cada raza.</v>
          </cell>
          <cell r="R1923">
            <v>0</v>
          </cell>
        </row>
        <row r="1924">
          <cell r="E1924" t="str">
            <v>Inmortalidad</v>
          </cell>
          <cell r="G1924">
            <v>90</v>
          </cell>
          <cell r="H1924">
            <v>0</v>
          </cell>
          <cell r="I1924">
            <v>10</v>
          </cell>
          <cell r="J1924">
            <v>0</v>
          </cell>
          <cell r="L1924" t="str">
            <v>El PJ deja de envejecer inmediatamente y se vuelve inmune a cualquier enfermedad o veneno natural.</v>
          </cell>
          <cell r="R1924">
            <v>0</v>
          </cell>
        </row>
        <row r="1925">
          <cell r="E1925" t="str">
            <v>Perfección absoluta</v>
          </cell>
          <cell r="G1925">
            <v>100</v>
          </cell>
          <cell r="H1925">
            <v>1</v>
          </cell>
          <cell r="I1925">
            <v>10</v>
          </cell>
          <cell r="J1925">
            <v>0</v>
          </cell>
          <cell r="L1925" t="str">
            <v>El PJ deja de lanzar los dados para realizar sus controles, suma automáticamente 100 a todas sus tiradas de habilidad o Resistencia, y obtiene un 10 en los de características.</v>
          </cell>
          <cell r="R1925">
            <v>0</v>
          </cell>
        </row>
        <row r="1926">
          <cell r="E1926" t="str">
            <v>Eriol</v>
          </cell>
          <cell r="F1926">
            <v>0</v>
          </cell>
          <cell r="G1926" t="str">
            <v>Elan</v>
          </cell>
          <cell r="H1926" t="str">
            <v>Requisito</v>
          </cell>
          <cell r="I1926" t="str">
            <v>Coste</v>
          </cell>
          <cell r="J1926" t="str">
            <v>Aprendida</v>
          </cell>
          <cell r="K1926" t="str">
            <v>Bono final</v>
          </cell>
          <cell r="L1926" t="str">
            <v>Descripción</v>
          </cell>
          <cell r="R1926">
            <v>0</v>
          </cell>
        </row>
        <row r="1927">
          <cell r="E1927" t="str">
            <v>Otorgar fortuna y desgracia</v>
          </cell>
          <cell r="G1927">
            <v>10</v>
          </cell>
          <cell r="H1927">
            <v>1</v>
          </cell>
          <cell r="I1927">
            <v>10</v>
          </cell>
          <cell r="J1927">
            <v>0</v>
          </cell>
          <cell r="L1927" t="str">
            <v>El PJ tiene la capacidad de infliur en la suerte de otras personas y dependiendo del nivel de Elan que posea, su duración e intensidad pueden modularse.</v>
          </cell>
          <cell r="R1927">
            <v>0</v>
          </cell>
        </row>
        <row r="1928">
          <cell r="E1928" t="str">
            <v>Alterar la ley de la casualidad</v>
          </cell>
          <cell r="G1928">
            <v>20</v>
          </cell>
          <cell r="H1928">
            <v>1</v>
          </cell>
          <cell r="I1928">
            <v>5</v>
          </cell>
          <cell r="J1928">
            <v>0</v>
          </cell>
          <cell r="L1928" t="str">
            <v>Baja 0 grados el resultado necesario para obtener una Tirada Abierta, a la vez que amplía en 0 el de la Pifia. El PJ decide, antes de tirar los dados, si quiere hacer uso de esta capacidad o no.</v>
          </cell>
          <cell r="R1928">
            <v>0</v>
          </cell>
        </row>
        <row r="1929">
          <cell r="E1929" t="str">
            <v>Sentir el caos</v>
          </cell>
          <cell r="G1929">
            <v>30</v>
          </cell>
          <cell r="H1929">
            <v>1</v>
          </cell>
          <cell r="I1929">
            <v>5</v>
          </cell>
          <cell r="J1929">
            <v>0</v>
          </cell>
          <cell r="L1929" t="str">
            <v>El PJ siente sobrenaturalmente las alteraciones de la realidad que ocurran a su alrededor. Cuanto mayor sea el Elan del PJ, más amplio será el alcance de esta habilidad.</v>
          </cell>
          <cell r="R1929">
            <v>0</v>
          </cell>
        </row>
        <row r="1930">
          <cell r="E1930" t="str">
            <v>Robar la suerte</v>
          </cell>
          <cell r="G1930">
            <v>40</v>
          </cell>
          <cell r="H1930">
            <v>1</v>
          </cell>
          <cell r="I1930">
            <v>10</v>
          </cell>
          <cell r="J1930">
            <v>0</v>
          </cell>
          <cell r="L1930" t="str">
            <v>El PJ tiene el poder de robar la fortuna de otros individuos, obteniendo temporalmente la buena suerte de los demás si estos no superan un control de RM contra 0.</v>
          </cell>
          <cell r="R1930">
            <v>0</v>
          </cell>
        </row>
        <row r="1931">
          <cell r="E1931" t="str">
            <v>Conjurar la providencia</v>
          </cell>
          <cell r="G1931">
            <v>50</v>
          </cell>
          <cell r="H1931">
            <v>1</v>
          </cell>
          <cell r="I1931">
            <v>10</v>
          </cell>
          <cell r="J1931">
            <v>0</v>
          </cell>
          <cell r="L1931" t="str">
            <v>El PJ obtiene la capacidad de repetir una de sus tiradas de dados y quedarse con este nuevo resultado, aunque este sea inferior al primero. Puede usarse 0 veces por sesión de juego.</v>
          </cell>
          <cell r="R1931">
            <v>0</v>
          </cell>
        </row>
        <row r="1932">
          <cell r="E1932" t="str">
            <v>Estigma del caos</v>
          </cell>
          <cell r="G1932">
            <v>50</v>
          </cell>
          <cell r="H1932">
            <v>1</v>
          </cell>
          <cell r="I1932">
            <v>15</v>
          </cell>
          <cell r="J1932">
            <v>0</v>
          </cell>
          <cell r="L1932" t="str">
            <v>El PJ obtiene 0 PDs con los que podrá elegir cualquier poder sobrenatural como si tuviera Gnosis 25.</v>
          </cell>
          <cell r="R1932">
            <v>0</v>
          </cell>
        </row>
        <row r="1933">
          <cell r="E1933" t="str">
            <v>Aura de caos</v>
          </cell>
          <cell r="G1933">
            <v>60</v>
          </cell>
          <cell r="H1933">
            <v>1</v>
          </cell>
          <cell r="I1933">
            <v>10</v>
          </cell>
          <cell r="J1933">
            <v>0</v>
          </cell>
          <cell r="L1933" t="str">
            <v>Cuando el PJ permanece en un lugar prolongadamente, comienzan a acontecer todo tipo de hechos inusuales y estrambóticos. Esto también se aplica sobre seres que tengan Gnosis inferior a 10.</v>
          </cell>
          <cell r="R1933">
            <v>0</v>
          </cell>
        </row>
        <row r="1934">
          <cell r="E1934" t="str">
            <v>Alterar el destino</v>
          </cell>
          <cell r="G1934">
            <v>70</v>
          </cell>
          <cell r="H1934">
            <v>0</v>
          </cell>
          <cell r="I1934">
            <v>15</v>
          </cell>
          <cell r="J1934">
            <v>0</v>
          </cell>
          <cell r="L1934" t="str">
            <v>Como en "Conjurar la providencia" pero además el PJ también puede repetir las tiradas realizadas por otros individuos. Obligar a un tercero a lanzar de nuevo los dados consume dos usos en lugar de uno.</v>
          </cell>
          <cell r="R1934">
            <v>0</v>
          </cell>
        </row>
        <row r="1935">
          <cell r="E1935" t="str">
            <v>Forzar la suerte</v>
          </cell>
          <cell r="G1935">
            <v>80</v>
          </cell>
          <cell r="H1935">
            <v>1</v>
          </cell>
          <cell r="I1935">
            <v>15</v>
          </cell>
          <cell r="J1935">
            <v>0</v>
          </cell>
          <cell r="L1935" t="str">
            <v>El PJ puede provocar que una de sus tiradas sea automáticamente abierta sin importar el resultado obtenido. Puede usarse 0 veces por sesión de juego.</v>
          </cell>
          <cell r="R1935">
            <v>0</v>
          </cell>
        </row>
        <row r="1936">
          <cell r="E1936" t="str">
            <v>Truncar el sino</v>
          </cell>
          <cell r="G1936">
            <v>90</v>
          </cell>
          <cell r="H1936">
            <v>1</v>
          </cell>
          <cell r="I1936">
            <v>15</v>
          </cell>
          <cell r="J1936">
            <v>0</v>
          </cell>
          <cell r="L1936" t="str">
            <v>Una vez al día el PJ puede obligar a un ser a superar un control de RM contra 0 o pifiar en la siguiente tirada de dados sin importar cual sea su valor. El valor de la tirada será su nivel de pifia.</v>
          </cell>
          <cell r="R1936">
            <v>0</v>
          </cell>
        </row>
        <row r="1937">
          <cell r="E1937" t="str">
            <v>Señor del caos</v>
          </cell>
          <cell r="G1937">
            <v>100</v>
          </cell>
          <cell r="H1937">
            <v>0</v>
          </cell>
          <cell r="I1937">
            <v>10</v>
          </cell>
          <cell r="J1937">
            <v>0</v>
          </cell>
          <cell r="L1937" t="str">
            <v>El PJ controla todo lo que sucede a su alrededor por causa de la suerte y la casualidad, por raro o inusual que parezca.</v>
          </cell>
          <cell r="R1937">
            <v>0</v>
          </cell>
        </row>
        <row r="1938">
          <cell r="E1938" t="str">
            <v>Edamiel</v>
          </cell>
          <cell r="F1938">
            <v>0</v>
          </cell>
          <cell r="G1938" t="str">
            <v>Elan</v>
          </cell>
          <cell r="H1938" t="str">
            <v>Requisito</v>
          </cell>
          <cell r="I1938" t="str">
            <v>Coste</v>
          </cell>
          <cell r="J1938" t="str">
            <v>Aprendida</v>
          </cell>
          <cell r="K1938" t="str">
            <v>Bono final</v>
          </cell>
          <cell r="L1938" t="str">
            <v>Descripción</v>
          </cell>
          <cell r="R1938">
            <v>0</v>
          </cell>
        </row>
        <row r="1939">
          <cell r="E1939" t="str">
            <v>Deseable</v>
          </cell>
          <cell r="G1939">
            <v>10</v>
          </cell>
          <cell r="H1939">
            <v>1</v>
          </cell>
          <cell r="I1939">
            <v>5</v>
          </cell>
          <cell r="J1939">
            <v>0</v>
          </cell>
          <cell r="L1939" t="str">
            <v>El PJ incita la libido de todas aquellas personas que se encuentren en su presencia, despertando en ellas el deseo.</v>
          </cell>
          <cell r="R1939">
            <v>0</v>
          </cell>
        </row>
        <row r="1940">
          <cell r="E1940" t="str">
            <v>Amplificador del placer</v>
          </cell>
          <cell r="G1940">
            <v>20</v>
          </cell>
          <cell r="H1940">
            <v>1</v>
          </cell>
          <cell r="I1940">
            <v>5</v>
          </cell>
          <cell r="J1940">
            <v>0</v>
          </cell>
          <cell r="L1940" t="str">
            <v>Otorga la capacidad de incrementar el placer de las personas con las que mantenga algún tipo de relación, acrecentando enormemente su sensibilidad.</v>
          </cell>
          <cell r="R1940">
            <v>0</v>
          </cell>
        </row>
        <row r="1941">
          <cell r="E1941" t="str">
            <v>La voz del placer</v>
          </cell>
          <cell r="G1941">
            <v>30</v>
          </cell>
          <cell r="H1941">
            <v>1</v>
          </cell>
          <cell r="I1941">
            <v>5</v>
          </cell>
          <cell r="J1941">
            <v>0</v>
          </cell>
          <cell r="K1941">
            <v>0</v>
          </cell>
          <cell r="L1941" t="str">
            <v>Obtiene un bonificador especial a la habilidad secundaria Persuasión (Seducción) de +0.</v>
          </cell>
          <cell r="R1941">
            <v>0</v>
          </cell>
        </row>
        <row r="1942">
          <cell r="E1942" t="str">
            <v>Sentir el deseo</v>
          </cell>
          <cell r="G1942">
            <v>40</v>
          </cell>
          <cell r="H1942">
            <v>1</v>
          </cell>
          <cell r="I1942">
            <v>10</v>
          </cell>
          <cell r="J1942">
            <v>0</v>
          </cell>
          <cell r="L1942" t="str">
            <v>Permite al PJ ser extremadamente perceptivo a las pasiones y deseos de las personas.</v>
          </cell>
          <cell r="R1942">
            <v>0</v>
          </cell>
        </row>
        <row r="1943">
          <cell r="E1943" t="str">
            <v xml:space="preserve">Inmunidad psicológica </v>
          </cell>
          <cell r="G1943">
            <v>50</v>
          </cell>
          <cell r="H1943">
            <v>1</v>
          </cell>
          <cell r="I1943">
            <v>10</v>
          </cell>
          <cell r="J1943">
            <v>0</v>
          </cell>
          <cell r="L1943" t="str">
            <v>El PJ se vuelve inmune a los efectos de cualquier estado psicológico. Si se le inducen sobrenaturalmente aplica un bono de +0 a su RM.</v>
          </cell>
          <cell r="R1943">
            <v>0</v>
          </cell>
        </row>
        <row r="1944">
          <cell r="E1944" t="str">
            <v>Arrancar los sentimientos</v>
          </cell>
          <cell r="G1944">
            <v>60</v>
          </cell>
          <cell r="H1944">
            <v>1</v>
          </cell>
          <cell r="I1944">
            <v>10</v>
          </cell>
          <cell r="J1944">
            <v>0</v>
          </cell>
          <cell r="L1944" t="str">
            <v>El PJ puede despojar de una emoción a un indivíduo que lo desee, quien no volverá a percibir ese sentimiento.</v>
          </cell>
          <cell r="R1944">
            <v>0</v>
          </cell>
        </row>
        <row r="1945">
          <cell r="E1945" t="str">
            <v>Pasividad</v>
          </cell>
          <cell r="G1945">
            <v>60</v>
          </cell>
          <cell r="H1945">
            <v>1</v>
          </cell>
          <cell r="I1945">
            <v>15</v>
          </cell>
          <cell r="J1945">
            <v>0</v>
          </cell>
          <cell r="L1945" t="str">
            <v>Si algún ser mira o habla con el PJ y no supera un control de RM contra 0, será incapaz de ejecutar ninguna acción activa o desplazarse mientras el se encuentre en su presencia. Puede repetir el control si recibe un ataque o sufre daño.</v>
          </cell>
          <cell r="R1945">
            <v>0</v>
          </cell>
        </row>
        <row r="1946">
          <cell r="E1946" t="str">
            <v>Anulación</v>
          </cell>
          <cell r="G1946">
            <v>70</v>
          </cell>
          <cell r="H1946">
            <v>0</v>
          </cell>
          <cell r="I1946">
            <v>15</v>
          </cell>
          <cell r="J1946">
            <v>0</v>
          </cell>
          <cell r="L1946" t="str">
            <v>El PJ puede revocar una acción activa realizada por otro individuo durante ese mismo asalto si este no supera una RM contra 140. Puede usarse 0 veces por semana.</v>
          </cell>
          <cell r="R1946">
            <v>0</v>
          </cell>
        </row>
        <row r="1947">
          <cell r="E1947" t="str">
            <v>Transición hacia el vacío</v>
          </cell>
          <cell r="G1947">
            <v>80</v>
          </cell>
          <cell r="H1947">
            <v>1</v>
          </cell>
          <cell r="I1947">
            <v>15</v>
          </cell>
          <cell r="J1947">
            <v>0</v>
          </cell>
          <cell r="L1947" t="str">
            <v>El PJ se vuelve incapaz de morir excepto contra armas o ataques sobrenaturales con presencia superior a 160.</v>
          </cell>
          <cell r="R1947">
            <v>0</v>
          </cell>
        </row>
        <row r="1948">
          <cell r="E1948" t="str">
            <v>Vórtice</v>
          </cell>
          <cell r="G1948">
            <v>90</v>
          </cell>
          <cell r="H1948">
            <v>1</v>
          </cell>
          <cell r="I1948">
            <v>25</v>
          </cell>
          <cell r="J1948">
            <v>0</v>
          </cell>
          <cell r="L1948" t="str">
            <v>Durante 5 asaltos el PJ lanza innatamente el conjuro "Vacío" de nivel 90 de la vía de Destrucción en grado base pero, al contrario de lo que indica el sortilegio, el PJ no será tragado por la apertura. Puede usarse 0 veces al día.</v>
          </cell>
          <cell r="R1948">
            <v>0</v>
          </cell>
        </row>
        <row r="1949">
          <cell r="E1949" t="str">
            <v>El paso de la nada</v>
          </cell>
          <cell r="G1949">
            <v>100</v>
          </cell>
          <cell r="H1949">
            <v>1</v>
          </cell>
          <cell r="I1949">
            <v>10</v>
          </cell>
          <cell r="J1949">
            <v>0</v>
          </cell>
          <cell r="L1949" t="str">
            <v>Allí donde se diriga el PJ, el lugar irá perdiendo poco a poco su creatividad e imaginación, degradándose todo hasta que, en último lugar, todos se convierten solo en carcasas vacías, carentes incluso de alma.</v>
          </cell>
          <cell r="R1949">
            <v>0</v>
          </cell>
        </row>
        <row r="1950">
          <cell r="E1950" t="str">
            <v>Meseguis</v>
          </cell>
          <cell r="F1950">
            <v>0</v>
          </cell>
          <cell r="G1950" t="str">
            <v>Elan</v>
          </cell>
          <cell r="H1950" t="str">
            <v>Requisito</v>
          </cell>
          <cell r="I1950" t="str">
            <v>Coste</v>
          </cell>
          <cell r="J1950" t="str">
            <v>Aprendida</v>
          </cell>
          <cell r="K1950" t="str">
            <v>Bono final</v>
          </cell>
          <cell r="L1950" t="str">
            <v>Descripción</v>
          </cell>
          <cell r="R1950">
            <v>0</v>
          </cell>
        </row>
        <row r="1951">
          <cell r="E1951" t="str">
            <v>La serenidad de la melancolía</v>
          </cell>
          <cell r="G1951">
            <v>10</v>
          </cell>
          <cell r="H1951">
            <v>1</v>
          </cell>
          <cell r="I1951">
            <v>5</v>
          </cell>
          <cell r="J1951">
            <v>0</v>
          </cell>
          <cell r="K1951">
            <v>0</v>
          </cell>
          <cell r="L1951" t="str">
            <v>Obtiene un bonificador especial a las habilidades secundarias Frialdad y Resistir el dolor de +0.</v>
          </cell>
          <cell r="R1951">
            <v>0</v>
          </cell>
        </row>
        <row r="1952">
          <cell r="E1952" t="str">
            <v>Camino de la venganza</v>
          </cell>
          <cell r="G1952">
            <v>20</v>
          </cell>
          <cell r="H1952">
            <v>1</v>
          </cell>
          <cell r="I1952">
            <v>5</v>
          </cell>
          <cell r="J1952">
            <v>0</v>
          </cell>
          <cell r="L1952" t="str">
            <v>El PJ tiene un don innato que le permite presentir la mejor dirección a tomar para llevar a cabo su venganza.</v>
          </cell>
          <cell r="R1952">
            <v>0</v>
          </cell>
        </row>
        <row r="1953">
          <cell r="E1953" t="str">
            <v>Ojos de la pesadumbre</v>
          </cell>
          <cell r="G1953">
            <v>30</v>
          </cell>
          <cell r="H1953">
            <v>1</v>
          </cell>
          <cell r="I1953">
            <v>10</v>
          </cell>
          <cell r="J1953">
            <v>0</v>
          </cell>
          <cell r="L1953" t="str">
            <v>Permite sentir la tristeza y el odio que reside en las personas. Cuanto mayor sea el nivel de Elan, más precisa será esta habilidad.</v>
          </cell>
          <cell r="R1953">
            <v>0</v>
          </cell>
        </row>
        <row r="1954">
          <cell r="E1954" t="str">
            <v>Lágrimas por los demás</v>
          </cell>
          <cell r="G1954">
            <v>30</v>
          </cell>
          <cell r="H1954">
            <v>1</v>
          </cell>
          <cell r="I1954">
            <v>5</v>
          </cell>
          <cell r="J1954">
            <v>0</v>
          </cell>
          <cell r="L1954" t="str">
            <v>Otorga la capacidad de influir en los demás, permitiendo hacerles más llevadera su pena y su tristeza, aunque sin extirparlas completamente. Cuanto más sufrimiento elimine, mayor pesadumbre sentirá el propio PJ.</v>
          </cell>
          <cell r="R1954">
            <v>0</v>
          </cell>
        </row>
        <row r="1955">
          <cell r="E1955" t="str">
            <v>Transmitir el dolor</v>
          </cell>
          <cell r="G1955">
            <v>40</v>
          </cell>
          <cell r="H1955">
            <v>1</v>
          </cell>
          <cell r="I1955">
            <v>10</v>
          </cell>
          <cell r="J1955">
            <v>0</v>
          </cell>
          <cell r="L1955" t="str">
            <v>Permite al PJ transmitir sus propios sentimientos de dolor y pesadumbre a un tercero si este no supera una RM o RP contra 0.</v>
          </cell>
          <cell r="R1955">
            <v>0</v>
          </cell>
        </row>
        <row r="1956">
          <cell r="E1956" t="str">
            <v>Espíritu de la venganza</v>
          </cell>
          <cell r="G1956">
            <v>40</v>
          </cell>
          <cell r="H1956">
            <v>1</v>
          </cell>
          <cell r="I1956">
            <v>10</v>
          </cell>
          <cell r="J1956">
            <v>0</v>
          </cell>
          <cell r="L1956" t="str">
            <v>La naturaleza del PJ se extiende como un aura, influyendo en las personas con las que conviva durante un tiempo prolongado.</v>
          </cell>
          <cell r="R1956">
            <v>0</v>
          </cell>
        </row>
        <row r="1957">
          <cell r="E1957" t="str">
            <v>La voz de los muertos</v>
          </cell>
          <cell r="G1957">
            <v>50</v>
          </cell>
          <cell r="H1957">
            <v>1</v>
          </cell>
          <cell r="I1957">
            <v>10</v>
          </cell>
          <cell r="J1957">
            <v>0</v>
          </cell>
          <cell r="L1957" t="str">
            <v>Permite comunicarse con almas que hayan fallecido llenas de dolor y sufrimiento si no han recibido el llamamiento o no son espectros de la Vigilia. En función del nivel de Elan, el PJ puede solo escuchar sus súplicas o incluso conversar.</v>
          </cell>
          <cell r="R1957">
            <v>0</v>
          </cell>
        </row>
        <row r="1958">
          <cell r="E1958" t="str">
            <v>Vengador oscuro</v>
          </cell>
          <cell r="G1958">
            <v>60</v>
          </cell>
          <cell r="H1958">
            <v>1</v>
          </cell>
          <cell r="I1958">
            <v>10</v>
          </cell>
          <cell r="J1958">
            <v>0</v>
          </cell>
          <cell r="L1958" t="str">
            <v>El PJ obtiene un bono especial de +10 a toda acción que esté encaminada a realizar su venganza.</v>
          </cell>
          <cell r="R1958">
            <v>0</v>
          </cell>
        </row>
        <row r="1959">
          <cell r="E1959" t="str">
            <v>La voz del dolor</v>
          </cell>
          <cell r="G1959">
            <v>60</v>
          </cell>
          <cell r="H1959">
            <v>0</v>
          </cell>
          <cell r="I1959">
            <v>15</v>
          </cell>
          <cell r="J1959">
            <v>0</v>
          </cell>
          <cell r="L1959" t="str">
            <v>El PJ es capaz de obligar a cualquier oyente a superar un control automático de RM contra 60 o se verá sometido a Dolor. Si fracasa el control por más de 40 puntos, el penalizador aplicable será el de Dolor extremo.</v>
          </cell>
          <cell r="R1959">
            <v>0</v>
          </cell>
        </row>
        <row r="1960">
          <cell r="E1960" t="str">
            <v>Más allá de la muerte</v>
          </cell>
          <cell r="G1960">
            <v>70</v>
          </cell>
          <cell r="H1960">
            <v>1</v>
          </cell>
          <cell r="I1960">
            <v>10</v>
          </cell>
          <cell r="J1960">
            <v>0</v>
          </cell>
          <cell r="L1960" t="str">
            <v>Si el PJ muere, volverá a la vida con 300 PDs extra para adquirir poderes y habilidades esenciales como si tuviera Gnosis 30, aunque perderá un punto de Elan por día. Cuando llegue a 0 o cumpla su venganza, morirá finalmente.</v>
          </cell>
          <cell r="R1960">
            <v>0</v>
          </cell>
        </row>
        <row r="1961">
          <cell r="E1961" t="str">
            <v>Ejecutor oscuro</v>
          </cell>
          <cell r="G1961">
            <v>80</v>
          </cell>
          <cell r="H1961">
            <v>0</v>
          </cell>
          <cell r="I1961">
            <v>10</v>
          </cell>
          <cell r="J1961">
            <v>0</v>
          </cell>
          <cell r="L1961" t="str">
            <v>Aumenta el bono de "Vengador oscuro" hasta +20.</v>
          </cell>
          <cell r="R1961">
            <v>0</v>
          </cell>
        </row>
        <row r="1962">
          <cell r="E1962" t="str">
            <v>Espejo oscuro</v>
          </cell>
          <cell r="G1962">
            <v>90</v>
          </cell>
          <cell r="H1962">
            <v>1</v>
          </cell>
          <cell r="I1962">
            <v>15</v>
          </cell>
          <cell r="J1962">
            <v>0</v>
          </cell>
          <cell r="L1962" t="str">
            <v xml:space="preserve">Una vez por individuo (mientras no pase un largo tiempo) el PJ puede obligar a superar un control de RM o RP contra 140. Si falla por menos de 40 quedará paralizado. Si el fracaso es mayor perderá su alma. </v>
          </cell>
          <cell r="R1962">
            <v>0</v>
          </cell>
        </row>
        <row r="1963">
          <cell r="E1963" t="str">
            <v>Comunión con los caídos</v>
          </cell>
          <cell r="G1963">
            <v>100</v>
          </cell>
          <cell r="H1963">
            <v>0</v>
          </cell>
          <cell r="I1963">
            <v>10</v>
          </cell>
          <cell r="J1963">
            <v>0</v>
          </cell>
          <cell r="L1963" t="str">
            <v>El PJ puede obtener cualquier poder o habilidad que tuviesen los espíritus que odiasen intesamente a su enemigo en vida, o manifestarlos como alma en pena. Este efecto solo se aplica contra ese enemigo y mientras dure el combate.</v>
          </cell>
          <cell r="R1963">
            <v>0</v>
          </cell>
        </row>
        <row r="1964">
          <cell r="E1964" t="str">
            <v>Elan Personalizado</v>
          </cell>
          <cell r="F1964">
            <v>0</v>
          </cell>
          <cell r="G1964" t="str">
            <v>Elan</v>
          </cell>
          <cell r="H1964" t="str">
            <v>Requisito</v>
          </cell>
          <cell r="I1964" t="str">
            <v>Coste</v>
          </cell>
          <cell r="J1964" t="str">
            <v>Aprendida</v>
          </cell>
          <cell r="K1964" t="str">
            <v>Bono final</v>
          </cell>
          <cell r="L1964" t="str">
            <v>Descripción</v>
          </cell>
          <cell r="R1964">
            <v>0</v>
          </cell>
        </row>
        <row r="1965">
          <cell r="E1965" t="str">
            <v>Poder no definido</v>
          </cell>
          <cell r="G1965">
            <v>0</v>
          </cell>
          <cell r="H1965" t="str">
            <v>-</v>
          </cell>
          <cell r="I1965">
            <v>0</v>
          </cell>
          <cell r="J1965">
            <v>0</v>
          </cell>
          <cell r="L1965">
            <v>0</v>
          </cell>
          <cell r="R1965">
            <v>0</v>
          </cell>
        </row>
        <row r="1966">
          <cell r="E1966" t="str">
            <v>Poder no definido</v>
          </cell>
          <cell r="G1966">
            <v>0</v>
          </cell>
          <cell r="H1966" t="str">
            <v>-</v>
          </cell>
          <cell r="I1966">
            <v>0</v>
          </cell>
          <cell r="J1966">
            <v>0</v>
          </cell>
          <cell r="L1966">
            <v>0</v>
          </cell>
          <cell r="R1966">
            <v>0</v>
          </cell>
        </row>
        <row r="1967">
          <cell r="E1967" t="str">
            <v>Poder no definido</v>
          </cell>
          <cell r="G1967">
            <v>0</v>
          </cell>
          <cell r="H1967" t="str">
            <v>-</v>
          </cell>
          <cell r="I1967">
            <v>0</v>
          </cell>
          <cell r="J1967">
            <v>0</v>
          </cell>
          <cell r="L1967">
            <v>0</v>
          </cell>
          <cell r="R1967">
            <v>0</v>
          </cell>
        </row>
        <row r="1968">
          <cell r="E1968" t="str">
            <v>Poder no definido</v>
          </cell>
          <cell r="G1968">
            <v>0</v>
          </cell>
          <cell r="H1968" t="str">
            <v>-</v>
          </cell>
          <cell r="I1968">
            <v>0</v>
          </cell>
          <cell r="J1968">
            <v>0</v>
          </cell>
          <cell r="L1968">
            <v>0</v>
          </cell>
          <cell r="R1968">
            <v>0</v>
          </cell>
        </row>
        <row r="1969">
          <cell r="E1969" t="str">
            <v>Poder no definido</v>
          </cell>
          <cell r="G1969">
            <v>0</v>
          </cell>
          <cell r="H1969" t="str">
            <v>-</v>
          </cell>
          <cell r="I1969">
            <v>0</v>
          </cell>
          <cell r="J1969">
            <v>0</v>
          </cell>
          <cell r="L1969">
            <v>0</v>
          </cell>
          <cell r="R1969">
            <v>0</v>
          </cell>
        </row>
        <row r="1970">
          <cell r="E1970" t="str">
            <v>Poder no definido</v>
          </cell>
          <cell r="G1970">
            <v>0</v>
          </cell>
          <cell r="H1970" t="str">
            <v>-</v>
          </cell>
          <cell r="I1970">
            <v>0</v>
          </cell>
          <cell r="J1970">
            <v>0</v>
          </cell>
          <cell r="L1970">
            <v>0</v>
          </cell>
          <cell r="R1970">
            <v>0</v>
          </cell>
        </row>
        <row r="1971">
          <cell r="E1971" t="str">
            <v>Poder no definido</v>
          </cell>
          <cell r="G1971">
            <v>0</v>
          </cell>
          <cell r="H1971" t="str">
            <v>-</v>
          </cell>
          <cell r="I1971">
            <v>0</v>
          </cell>
          <cell r="J1971">
            <v>0</v>
          </cell>
          <cell r="L1971">
            <v>0</v>
          </cell>
          <cell r="R1971">
            <v>0</v>
          </cell>
        </row>
        <row r="1972">
          <cell r="E1972" t="str">
            <v>Poder no definido</v>
          </cell>
          <cell r="G1972">
            <v>0</v>
          </cell>
          <cell r="H1972" t="str">
            <v>-</v>
          </cell>
          <cell r="I1972">
            <v>0</v>
          </cell>
          <cell r="J1972">
            <v>0</v>
          </cell>
          <cell r="L1972">
            <v>0</v>
          </cell>
          <cell r="R1972">
            <v>0</v>
          </cell>
        </row>
        <row r="1973">
          <cell r="E1973" t="str">
            <v>Poder no definido</v>
          </cell>
          <cell r="G1973">
            <v>0</v>
          </cell>
          <cell r="H1973" t="str">
            <v>-</v>
          </cell>
          <cell r="I1973">
            <v>0</v>
          </cell>
          <cell r="J1973">
            <v>0</v>
          </cell>
          <cell r="L1973">
            <v>0</v>
          </cell>
          <cell r="R1973">
            <v>0</v>
          </cell>
        </row>
        <row r="1974">
          <cell r="E1974" t="str">
            <v>Poder no definido</v>
          </cell>
          <cell r="G1974">
            <v>0</v>
          </cell>
          <cell r="H1974" t="str">
            <v>-</v>
          </cell>
          <cell r="I1974">
            <v>0</v>
          </cell>
          <cell r="J1974">
            <v>0</v>
          </cell>
          <cell r="L1974">
            <v>0</v>
          </cell>
          <cell r="R1974">
            <v>0</v>
          </cell>
        </row>
        <row r="1975">
          <cell r="E1975" t="str">
            <v>Poder no definido</v>
          </cell>
          <cell r="G1975">
            <v>0</v>
          </cell>
          <cell r="H1975" t="str">
            <v>-</v>
          </cell>
          <cell r="I1975">
            <v>0</v>
          </cell>
          <cell r="J1975">
            <v>0</v>
          </cell>
          <cell r="L1975">
            <v>0</v>
          </cell>
          <cell r="R1975">
            <v>0</v>
          </cell>
        </row>
        <row r="1976">
          <cell r="E1976" t="str">
            <v>Poder no definido</v>
          </cell>
          <cell r="G1976">
            <v>0</v>
          </cell>
          <cell r="H1976" t="str">
            <v>-</v>
          </cell>
          <cell r="I1976">
            <v>0</v>
          </cell>
          <cell r="J1976">
            <v>0</v>
          </cell>
          <cell r="L1976">
            <v>0</v>
          </cell>
          <cell r="R1976">
            <v>0</v>
          </cell>
        </row>
        <row r="1977">
          <cell r="E1977" t="str">
            <v>Poder no definido</v>
          </cell>
          <cell r="G1977">
            <v>0</v>
          </cell>
          <cell r="H1977" t="str">
            <v>-</v>
          </cell>
          <cell r="I1977">
            <v>0</v>
          </cell>
          <cell r="J1977">
            <v>0</v>
          </cell>
          <cell r="L1977">
            <v>0</v>
          </cell>
          <cell r="R1977">
            <v>0</v>
          </cell>
        </row>
        <row r="1978">
          <cell r="E1978" t="str">
            <v>Poder no definido</v>
          </cell>
          <cell r="G1978">
            <v>0</v>
          </cell>
          <cell r="H1978" t="str">
            <v>-</v>
          </cell>
          <cell r="I1978">
            <v>0</v>
          </cell>
          <cell r="J1978">
            <v>0</v>
          </cell>
          <cell r="L1978">
            <v>0</v>
          </cell>
          <cell r="R1978">
            <v>0</v>
          </cell>
        </row>
        <row r="1979">
          <cell r="E1979" t="str">
            <v>Poder no definido</v>
          </cell>
          <cell r="G1979">
            <v>0</v>
          </cell>
          <cell r="H1979" t="str">
            <v>-</v>
          </cell>
          <cell r="I1979">
            <v>0</v>
          </cell>
          <cell r="J1979">
            <v>0</v>
          </cell>
          <cell r="L1979">
            <v>0</v>
          </cell>
          <cell r="R1979">
            <v>0</v>
          </cell>
        </row>
        <row r="1980">
          <cell r="E1980" t="str">
            <v>Poder no definido</v>
          </cell>
          <cell r="G1980">
            <v>0</v>
          </cell>
          <cell r="H1980" t="str">
            <v>-</v>
          </cell>
          <cell r="I1980">
            <v>0</v>
          </cell>
          <cell r="J1980">
            <v>0</v>
          </cell>
          <cell r="L1980">
            <v>0</v>
          </cell>
          <cell r="R1980">
            <v>0</v>
          </cell>
        </row>
      </sheetData>
      <sheetData sheetId="14">
        <row r="6">
          <cell r="AP6" t="str">
            <v>'Tablas Psiquica'!$AP$7:$AP$12</v>
          </cell>
          <cell r="AQ6" t="str">
            <v>'Tablas Psiquica'!$AQ$7:$AQ$12</v>
          </cell>
        </row>
        <row r="7">
          <cell r="D7" t="str">
            <v>&gt; TELEPATIA</v>
          </cell>
          <cell r="S7">
            <v>0</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row>
        <row r="22">
          <cell r="D22" t="str">
            <v>Área (Telepatía)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row>
        <row r="23">
          <cell r="D23" t="str">
            <v>&gt; TELEQUINESIS</v>
          </cell>
          <cell r="S23">
            <v>0</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RF y 10 m de radio</v>
          </cell>
          <cell r="M30" t="str">
            <v>160 RF y 50 m de radio</v>
          </cell>
          <cell r="N30" t="str">
            <v>200 RF y 100 m de radio</v>
          </cell>
          <cell r="O30" t="str">
            <v>240 RF y 500 m de radio</v>
          </cell>
          <cell r="P30" t="str">
            <v>280 RF y 1000 m de radio</v>
          </cell>
          <cell r="Q30" t="str">
            <v>320 RF y 10 km de radio</v>
          </cell>
          <cell r="R30" t="str">
            <v>400 RF y 100 km de radio</v>
          </cell>
          <cell r="S30">
            <v>0</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row>
        <row r="38">
          <cell r="D38" t="str">
            <v>&gt; PIROQUINESIS</v>
          </cell>
          <cell r="S38">
            <v>0</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0</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0</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0</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0</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0</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0</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0</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0</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0</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0</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0</v>
          </cell>
        </row>
        <row r="50">
          <cell r="D50" t="str">
            <v>&gt; CRIOQUINESIS</v>
          </cell>
          <cell r="S50">
            <v>0</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row>
        <row r="55">
          <cell r="D55" t="str">
            <v>Congelar</v>
          </cell>
          <cell r="E55" t="str">
            <v>Crioquinesis</v>
          </cell>
          <cell r="F55">
            <v>1</v>
          </cell>
          <cell r="G55" t="str">
            <v>Sí</v>
          </cell>
          <cell r="H55" t="str">
            <v>Activa</v>
          </cell>
          <cell r="I55" t="str">
            <v>Fatiga 8</v>
          </cell>
          <cell r="J55" t="str">
            <v>Fatiga 6</v>
          </cell>
          <cell r="K55" t="str">
            <v>Fatiga 4</v>
          </cell>
          <cell r="L55" t="str">
            <v>80 RF</v>
          </cell>
          <cell r="M55" t="str">
            <v>100 RF</v>
          </cell>
          <cell r="N55" t="str">
            <v>120 RF</v>
          </cell>
          <cell r="O55" t="str">
            <v>140 RF</v>
          </cell>
          <cell r="P55" t="str">
            <v>160 RF</v>
          </cell>
          <cell r="Q55" t="str">
            <v>180 RF</v>
          </cell>
          <cell r="R55" t="str">
            <v>220 RF</v>
          </cell>
          <cell r="S55">
            <v>0</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Daño 60</v>
          </cell>
          <cell r="N56" t="str">
            <v>Daño 80</v>
          </cell>
          <cell r="O56" t="str">
            <v>Daño 100</v>
          </cell>
          <cell r="P56" t="str">
            <v>Daño 120</v>
          </cell>
          <cell r="Q56" t="str">
            <v>Daño 160 / área 5 m</v>
          </cell>
          <cell r="R56" t="str">
            <v>Daño 200 / área 25 m</v>
          </cell>
          <cell r="S56">
            <v>0</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radio</v>
          </cell>
          <cell r="O61" t="str">
            <v>10 m de radio</v>
          </cell>
          <cell r="P61" t="str">
            <v>20 m de radio</v>
          </cell>
          <cell r="Q61" t="str">
            <v>50 m de radio</v>
          </cell>
          <cell r="R61" t="str">
            <v>100 m de radio</v>
          </cell>
          <cell r="S61">
            <v>0</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radio</v>
          </cell>
          <cell r="O62" t="str">
            <v>140 RF / 10 m de radio</v>
          </cell>
          <cell r="P62" t="str">
            <v>160 RF / 20 m de radio</v>
          </cell>
          <cell r="Q62" t="str">
            <v>180 RF / 50 m de radio</v>
          </cell>
          <cell r="R62" t="str">
            <v>200 RF / 100 m de radio</v>
          </cell>
          <cell r="S62">
            <v>0</v>
          </cell>
          <cell r="AM62">
            <v>0</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row>
        <row r="64">
          <cell r="D64" t="str">
            <v>&gt; INCREMENTO FISICO</v>
          </cell>
          <cell r="S64">
            <v>0</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row>
        <row r="69">
          <cell r="D69" t="str">
            <v>Incrementar desplazamiento</v>
          </cell>
          <cell r="E69" t="str">
            <v>Incremento Físico</v>
          </cell>
          <cell r="F69">
            <v>1</v>
          </cell>
          <cell r="G69" t="str">
            <v>Sí</v>
          </cell>
          <cell r="H69" t="str">
            <v>Activa</v>
          </cell>
          <cell r="I69" t="str">
            <v>Fatiga 6</v>
          </cell>
          <cell r="J69" t="str">
            <v>Fatiga 4</v>
          </cell>
          <cell r="K69" t="str">
            <v>Fatiga 2</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row>
        <row r="78">
          <cell r="D78" t="str">
            <v>&gt; ENERGIA</v>
          </cell>
          <cell r="S78">
            <v>0</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row>
        <row r="90">
          <cell r="D90" t="str">
            <v>&gt; SENTIENTE</v>
          </cell>
          <cell r="S90">
            <v>0</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row>
        <row r="93">
          <cell r="D93" t="str">
            <v>Detectar sentimientos</v>
          </cell>
          <cell r="E93" t="str">
            <v>Sentiente</v>
          </cell>
          <cell r="F93">
            <v>1</v>
          </cell>
          <cell r="G93" t="str">
            <v>Sí</v>
          </cell>
          <cell r="H93" t="str">
            <v>Activa</v>
          </cell>
          <cell r="I93" t="str">
            <v>Fatiga 2</v>
          </cell>
          <cell r="J93" t="str">
            <v>Fatiga 1</v>
          </cell>
          <cell r="K93" t="str">
            <v>80 RP / 10 m de radio</v>
          </cell>
          <cell r="L93" t="str">
            <v>100 RP / 50 m de radio</v>
          </cell>
          <cell r="M93" t="str">
            <v>120 RP / 100 m de radio</v>
          </cell>
          <cell r="N93" t="str">
            <v>140 RP / 250 m de radio</v>
          </cell>
          <cell r="O93" t="str">
            <v>160 RP / 500 m de radio</v>
          </cell>
          <cell r="P93" t="str">
            <v>180 RP / 1 km de radio</v>
          </cell>
          <cell r="Q93" t="str">
            <v>200 RP / 10 km de radio</v>
          </cell>
          <cell r="R93" t="str">
            <v>220 RP / 100 km de radio</v>
          </cell>
          <cell r="S93">
            <v>0</v>
          </cell>
        </row>
        <row r="94">
          <cell r="D94" t="str">
            <v>Conectar sentidos</v>
          </cell>
          <cell r="E94" t="str">
            <v>Sentiente</v>
          </cell>
          <cell r="F94">
            <v>1</v>
          </cell>
          <cell r="G94" t="str">
            <v>Sí</v>
          </cell>
          <cell r="H94" t="str">
            <v>Activa</v>
          </cell>
          <cell r="I94" t="str">
            <v>Fatiga 2</v>
          </cell>
          <cell r="J94" t="str">
            <v>Fatiga 1</v>
          </cell>
          <cell r="K94" t="str">
            <v>60 RP / 10 m de radio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row>
        <row r="95">
          <cell r="D95" t="str">
            <v>Crear sentimientos</v>
          </cell>
          <cell r="E95" t="str">
            <v>Sentiente</v>
          </cell>
          <cell r="F95">
            <v>2</v>
          </cell>
          <cell r="G95" t="str">
            <v>Sí</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radio</v>
          </cell>
          <cell r="N96" t="str">
            <v>120 RP / 10 m de radio</v>
          </cell>
          <cell r="O96" t="str">
            <v>140 RP / 25 m de radio</v>
          </cell>
          <cell r="P96" t="str">
            <v>160 RP / 50 m de radio</v>
          </cell>
          <cell r="Q96" t="str">
            <v>180 RP / 100 m de radio</v>
          </cell>
          <cell r="R96" t="str">
            <v>220 RP / 500 m de radio</v>
          </cell>
          <cell r="S96">
            <v>0</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row>
        <row r="100">
          <cell r="D100" t="str">
            <v>Área (Sentiente)</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row>
        <row r="101">
          <cell r="D101" t="str">
            <v>&gt; TELEMETRIA</v>
          </cell>
          <cell r="S101">
            <v>0</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Fatiga 2</v>
          </cell>
          <cell r="M103" t="str">
            <v>Una hora</v>
          </cell>
          <cell r="N103" t="str">
            <v>Seis horas</v>
          </cell>
          <cell r="O103" t="str">
            <v>Un día</v>
          </cell>
          <cell r="P103" t="str">
            <v>Una semana</v>
          </cell>
          <cell r="Q103" t="str">
            <v>Un mes</v>
          </cell>
          <cell r="R103" t="str">
            <v>Un año</v>
          </cell>
          <cell r="S103">
            <v>0</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row>
        <row r="106">
          <cell r="D106" t="str">
            <v>&gt; CAUSALIDAD</v>
          </cell>
          <cell r="S106">
            <v>0</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row>
        <row r="112">
          <cell r="D112" t="str">
            <v>&gt; ELECTROMAGNETISMO</v>
          </cell>
          <cell r="S112">
            <v>0</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row>
        <row r="121">
          <cell r="D121" t="str">
            <v>Controlar impulsos eléctricos</v>
          </cell>
          <cell r="E121" t="str">
            <v>Electromagnetismo</v>
          </cell>
          <cell r="F121">
            <v>3</v>
          </cell>
          <cell r="G121" t="str">
            <v>Sí</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row>
        <row r="122">
          <cell r="D122" t="str">
            <v>&gt; TELETRANSPORTE</v>
          </cell>
          <cell r="S122">
            <v>0</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row>
        <row r="130">
          <cell r="D130" t="str">
            <v>&gt; LUZ</v>
          </cell>
          <cell r="S130">
            <v>0</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row>
        <row r="137">
          <cell r="D137" t="str">
            <v>&gt; HIPERSENSIBILIDAD</v>
          </cell>
          <cell r="S137">
            <v>0</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row>
        <row r="141">
          <cell r="D141" t="str">
            <v>&gt; GRAVITATORIA</v>
          </cell>
          <cell r="S141">
            <v>0</v>
          </cell>
        </row>
        <row r="142">
          <cell r="D142" t="str">
            <v>Modificar relación gravitatoria</v>
          </cell>
          <cell r="E142" t="str">
            <v>Gravitatoria</v>
          </cell>
          <cell r="F142">
            <v>1</v>
          </cell>
          <cell r="G142" t="str">
            <v>Sí</v>
          </cell>
          <cell r="H142" t="str">
            <v>Activa</v>
          </cell>
          <cell r="I142" t="str">
            <v>Fatiga 12</v>
          </cell>
          <cell r="J142" t="str">
            <v>Fatiga 8</v>
          </cell>
          <cell r="K142" t="str">
            <v>Fatiga 6</v>
          </cell>
          <cell r="L142" t="str">
            <v>Fatiga 4</v>
          </cell>
          <cell r="M142" t="str">
            <v>Multiplica o divide en 2 gravedad</v>
          </cell>
          <cell r="N142" t="str">
            <v>Multiplica o divide en 3 gravedad</v>
          </cell>
          <cell r="O142" t="str">
            <v>Multiplica o divide en 4 gravedad</v>
          </cell>
          <cell r="P142" t="str">
            <v>Multiplica o divide en 5 gravedad</v>
          </cell>
          <cell r="Q142" t="str">
            <v>Multiplica o divide en 6 gravedad</v>
          </cell>
          <cell r="R142" t="str">
            <v>Multiplica o divide en 7  gravedad</v>
          </cell>
          <cell r="S142">
            <v>0</v>
          </cell>
        </row>
        <row r="143">
          <cell r="D143" t="str">
            <v>Orbitar</v>
          </cell>
          <cell r="E143" t="str">
            <v>Gravitatoria</v>
          </cell>
          <cell r="F143">
            <v>1</v>
          </cell>
          <cell r="G143" t="str">
            <v>Sí</v>
          </cell>
          <cell r="H143" t="str">
            <v>Pasiva</v>
          </cell>
          <cell r="I143" t="str">
            <v>Fatiga 12</v>
          </cell>
          <cell r="J143" t="str">
            <v>Fatiga 8</v>
          </cell>
          <cell r="K143" t="str">
            <v>Fatiga 6</v>
          </cell>
          <cell r="L143" t="str">
            <v>Fatiga 4</v>
          </cell>
          <cell r="M143" t="str">
            <v>1 objeto</v>
          </cell>
          <cell r="N143" t="str">
            <v>2 objetos</v>
          </cell>
          <cell r="O143" t="str">
            <v>3 objetos / +10 Proy. Psíquica</v>
          </cell>
          <cell r="P143" t="str">
            <v>4 objetos / +20 Proy. Psíquica</v>
          </cell>
          <cell r="Q143" t="str">
            <v>5 objetos / +30 Proy. Psíquica</v>
          </cell>
          <cell r="R143" t="str">
            <v>6 objetos / +40 Proy. Psíquica</v>
          </cell>
          <cell r="S143">
            <v>0</v>
          </cell>
        </row>
        <row r="144">
          <cell r="D144" t="str">
            <v>Revertir gravedad</v>
          </cell>
          <cell r="E144" t="str">
            <v>Gravitatoria</v>
          </cell>
          <cell r="F144">
            <v>2</v>
          </cell>
          <cell r="G144" t="str">
            <v>Sí</v>
          </cell>
          <cell r="H144" t="str">
            <v>Activa</v>
          </cell>
          <cell r="I144" t="str">
            <v>Fatiga 16</v>
          </cell>
          <cell r="J144" t="str">
            <v>Fatiga 12</v>
          </cell>
          <cell r="K144" t="str">
            <v>Fatiga 8</v>
          </cell>
          <cell r="L144" t="str">
            <v>Fatiga 6</v>
          </cell>
          <cell r="M144" t="str">
            <v>Fatiga 4</v>
          </cell>
          <cell r="N144" t="str">
            <v>Tamaño x1 / 10kg / 10m radio</v>
          </cell>
          <cell r="O144" t="str">
            <v>Tamaño x2 / 100kg / 50m radio</v>
          </cell>
          <cell r="P144" t="str">
            <v>Tamaño x3 / 250kg / 100m radio</v>
          </cell>
          <cell r="Q144" t="str">
            <v>Tamaño x4 / 500 kg / 1km radio</v>
          </cell>
          <cell r="R144" t="str">
            <v>Tamaño x5 / 1tn / 10 km radio</v>
          </cell>
          <cell r="S144">
            <v>0</v>
          </cell>
        </row>
        <row r="145">
          <cell r="D145" t="str">
            <v>Cambiar dirección</v>
          </cell>
          <cell r="E145" t="str">
            <v>Gravitatoria</v>
          </cell>
          <cell r="F145">
            <v>2</v>
          </cell>
          <cell r="G145" t="str">
            <v>Sí</v>
          </cell>
          <cell r="H145" t="str">
            <v>Activa</v>
          </cell>
          <cell r="I145" t="str">
            <v>Fatiga 24</v>
          </cell>
          <cell r="J145" t="str">
            <v>Fatiga 16</v>
          </cell>
          <cell r="K145" t="str">
            <v>Fatiga 12</v>
          </cell>
          <cell r="L145" t="str">
            <v>Fatiga 8</v>
          </cell>
          <cell r="M145" t="str">
            <v>Fatiga 6</v>
          </cell>
          <cell r="N145" t="str">
            <v>Hacia objetos inorganicos</v>
          </cell>
          <cell r="O145" t="str">
            <v>Hacia el cielo</v>
          </cell>
          <cell r="P145" t="str">
            <v>Hacia seres orgánicos</v>
          </cell>
          <cell r="Q145" t="str">
            <v>Hacia estrusturas sobren.</v>
          </cell>
          <cell r="R145" t="str">
            <v>Hacia la Luna</v>
          </cell>
          <cell r="S145">
            <v>0</v>
          </cell>
        </row>
        <row r="146">
          <cell r="D146" t="str">
            <v>Campo de gravitones</v>
          </cell>
          <cell r="E146" t="str">
            <v>Gravitatoria</v>
          </cell>
          <cell r="F146">
            <v>3</v>
          </cell>
          <cell r="G146" t="str">
            <v>Sí</v>
          </cell>
          <cell r="H146" t="str">
            <v>Activa</v>
          </cell>
          <cell r="I146" t="str">
            <v>Fatiga 24</v>
          </cell>
          <cell r="J146" t="str">
            <v>Fatiga 16</v>
          </cell>
          <cell r="K146" t="str">
            <v>Fatiga 12</v>
          </cell>
          <cell r="L146" t="str">
            <v>Fatiga 8</v>
          </cell>
          <cell r="M146" t="str">
            <v>Fatiga 6</v>
          </cell>
          <cell r="N146" t="str">
            <v>Fatiga 4</v>
          </cell>
          <cell r="O146" t="str">
            <v>10 m radio / +- 1 grado, 120 RF</v>
          </cell>
          <cell r="P146" t="str">
            <v>25 m radio / +- 1 grado, 140 RF</v>
          </cell>
          <cell r="Q146" t="str">
            <v>50 m radio / +- 2 grado, 180 RF</v>
          </cell>
          <cell r="R146" t="str">
            <v>100 m radio / +- 2 grado, 240 RF</v>
          </cell>
          <cell r="S146">
            <v>0</v>
          </cell>
        </row>
        <row r="147">
          <cell r="D147" t="str">
            <v>Modificar relación gravit. Mayor</v>
          </cell>
          <cell r="E147" t="str">
            <v>Gravitatoria</v>
          </cell>
          <cell r="F147">
            <v>3</v>
          </cell>
          <cell r="G147" t="str">
            <v>Sí</v>
          </cell>
          <cell r="H147" t="str">
            <v>Activa</v>
          </cell>
          <cell r="I147" t="str">
            <v>Fatiga 32</v>
          </cell>
          <cell r="J147" t="str">
            <v>Fatiga 24</v>
          </cell>
          <cell r="K147" t="str">
            <v>Fatiga 16</v>
          </cell>
          <cell r="L147" t="str">
            <v>Fatiga 12</v>
          </cell>
          <cell r="M147" t="str">
            <v>Fatiga 8</v>
          </cell>
          <cell r="N147" t="str">
            <v>Fatiga 6</v>
          </cell>
          <cell r="O147" t="str">
            <v>Fatiga 4</v>
          </cell>
          <cell r="P147" t="str">
            <v>Fuerza de gravedad x10, ó /10</v>
          </cell>
          <cell r="Q147" t="str">
            <v>Fuerza de gravedad x20, ó /20</v>
          </cell>
          <cell r="R147" t="str">
            <v>Fuerza de gravedad x30, ó /30</v>
          </cell>
          <cell r="S147">
            <v>0</v>
          </cell>
        </row>
        <row r="148">
          <cell r="D148" t="str">
            <v>&gt; CONTROL DEL SONIDO</v>
          </cell>
          <cell r="S148">
            <v>0</v>
          </cell>
        </row>
        <row r="149">
          <cell r="D149" t="str">
            <v>Aislar sonidos</v>
          </cell>
          <cell r="E149" t="str">
            <v>Control del sonido</v>
          </cell>
          <cell r="F149">
            <v>1</v>
          </cell>
          <cell r="G149" t="str">
            <v>Sí</v>
          </cell>
          <cell r="H149" t="str">
            <v>Activa</v>
          </cell>
          <cell r="I149" t="str">
            <v>Fatiga 4</v>
          </cell>
          <cell r="J149" t="str">
            <v>Fatiga 2</v>
          </cell>
          <cell r="K149" t="str">
            <v>+10 Advertir y Buscar o Sigilo</v>
          </cell>
          <cell r="L149" t="str">
            <v>+20 Advertir y Buscar o Sigilo</v>
          </cell>
          <cell r="M149" t="str">
            <v>+30 Advertir y Buscar o Sigilo</v>
          </cell>
          <cell r="N149" t="str">
            <v>+40 Advertir y Buscar o Sigilo</v>
          </cell>
          <cell r="O149" t="str">
            <v>+50 Advertir y Buscar o Sigilo</v>
          </cell>
          <cell r="P149" t="str">
            <v>+80 Advertir y Buscar o Sigilo</v>
          </cell>
          <cell r="Q149" t="str">
            <v>+100 Advertir y Buscar o Sigilo</v>
          </cell>
          <cell r="R149" t="str">
            <v>+120 Advertir y Buscar o Sigilo</v>
          </cell>
          <cell r="S149">
            <v>0</v>
          </cell>
        </row>
        <row r="150">
          <cell r="D150" t="str">
            <v>Grito estridente</v>
          </cell>
          <cell r="E150" t="str">
            <v>Control del sonido</v>
          </cell>
          <cell r="F150">
            <v>1</v>
          </cell>
          <cell r="G150" t="str">
            <v>No</v>
          </cell>
          <cell r="H150" t="str">
            <v>Activa</v>
          </cell>
          <cell r="I150" t="str">
            <v>Fatiga 4</v>
          </cell>
          <cell r="J150" t="str">
            <v>Fatiga 2</v>
          </cell>
          <cell r="K150" t="str">
            <v>Daño 20 / Advertir 80 / RF 80</v>
          </cell>
          <cell r="L150" t="str">
            <v>Daño 30 / Advertir 100 / RF 100</v>
          </cell>
          <cell r="M150" t="str">
            <v>Daño 40 / Advertir 120 / 120 RF</v>
          </cell>
          <cell r="N150" t="str">
            <v>Daño 50 / Advertir 140 / 140 RF</v>
          </cell>
          <cell r="O150" t="str">
            <v>Daño 60 / Advertir 180 / 160 RF</v>
          </cell>
          <cell r="P150" t="str">
            <v>Daño 70 / Advertir 200 / 180 RF</v>
          </cell>
          <cell r="Q150" t="str">
            <v>Daño 80 / Advertir 220 / 200 RF</v>
          </cell>
          <cell r="R150" t="str">
            <v>Daño 100 / Advertir 240 / 240 RF</v>
          </cell>
          <cell r="S150">
            <v>0</v>
          </cell>
        </row>
        <row r="151">
          <cell r="D151" t="str">
            <v>Discordancia sonora</v>
          </cell>
          <cell r="E151" t="str">
            <v>Control del sonido</v>
          </cell>
          <cell r="F151">
            <v>1</v>
          </cell>
          <cell r="G151" t="str">
            <v>No</v>
          </cell>
          <cell r="H151" t="str">
            <v>Activa</v>
          </cell>
          <cell r="I151" t="str">
            <v>Fatiga 6</v>
          </cell>
          <cell r="J151" t="str">
            <v>Fatiga 4</v>
          </cell>
          <cell r="K151" t="str">
            <v>Fatiga 2</v>
          </cell>
          <cell r="L151" t="str">
            <v>Daño 100</v>
          </cell>
          <cell r="M151" t="str">
            <v>Daño 150</v>
          </cell>
          <cell r="N151" t="str">
            <v>Daño 200</v>
          </cell>
          <cell r="O151" t="str">
            <v>Daño 250</v>
          </cell>
          <cell r="P151" t="str">
            <v>Daño 300</v>
          </cell>
          <cell r="Q151" t="str">
            <v>Daño 500 o 1/2 PV</v>
          </cell>
          <cell r="R151" t="str">
            <v>Destrucción automática</v>
          </cell>
          <cell r="S151">
            <v>0</v>
          </cell>
        </row>
        <row r="152">
          <cell r="D152" t="str">
            <v>Ecolocalizar</v>
          </cell>
          <cell r="E152" t="str">
            <v>Control del sonido</v>
          </cell>
          <cell r="F152">
            <v>1</v>
          </cell>
          <cell r="G152" t="str">
            <v>Sí</v>
          </cell>
          <cell r="H152" t="str">
            <v>Pasiva</v>
          </cell>
          <cell r="I152" t="str">
            <v>Fatiga 16</v>
          </cell>
          <cell r="J152" t="str">
            <v>Fatiga 12</v>
          </cell>
          <cell r="K152" t="str">
            <v>Fatiga 8</v>
          </cell>
          <cell r="L152" t="str">
            <v>Fatiga 6</v>
          </cell>
          <cell r="M152" t="str">
            <v>Fatiga 4</v>
          </cell>
          <cell r="N152" t="str">
            <v>10m radio / Sigilo 120</v>
          </cell>
          <cell r="O152" t="str">
            <v>25m radio / Sigilo 140</v>
          </cell>
          <cell r="P152" t="str">
            <v>50m radio / Sigilo 180</v>
          </cell>
          <cell r="Q152" t="str">
            <v>100m radio / Sigilo 240</v>
          </cell>
          <cell r="R152" t="str">
            <v>500m radio / Sigilo 280</v>
          </cell>
          <cell r="S152">
            <v>0</v>
          </cell>
        </row>
        <row r="153">
          <cell r="D153" t="str">
            <v>Efectos vocales</v>
          </cell>
          <cell r="E153" t="str">
            <v>Control del sonido</v>
          </cell>
          <cell r="F153">
            <v>2</v>
          </cell>
          <cell r="G153" t="str">
            <v>Sí</v>
          </cell>
          <cell r="H153" t="str">
            <v>Activa</v>
          </cell>
          <cell r="I153" t="str">
            <v>Fatiga 8</v>
          </cell>
          <cell r="J153" t="str">
            <v>Fatiga 6</v>
          </cell>
          <cell r="K153" t="str">
            <v>Fatiga 4</v>
          </cell>
          <cell r="L153" t="str">
            <v>Fatiga 2</v>
          </cell>
          <cell r="M153" t="str">
            <v>+20 Habilidades / PER 10</v>
          </cell>
          <cell r="N153" t="str">
            <v>+40 Habilidades / PER 12</v>
          </cell>
          <cell r="O153" t="str">
            <v>+60 Habilidades / PER 14</v>
          </cell>
          <cell r="P153" t="str">
            <v>+80 Habilidades / PER 16</v>
          </cell>
          <cell r="Q153" t="str">
            <v>+120 Habilidades / PER 18</v>
          </cell>
          <cell r="R153" t="str">
            <v>+140 Habilidades / PER 20</v>
          </cell>
          <cell r="S153">
            <v>0</v>
          </cell>
        </row>
        <row r="154">
          <cell r="D154" t="str">
            <v>Transmutar sonidos</v>
          </cell>
          <cell r="E154" t="str">
            <v>Control del sonido</v>
          </cell>
          <cell r="F154">
            <v>2</v>
          </cell>
          <cell r="G154" t="str">
            <v>Sí</v>
          </cell>
          <cell r="H154" t="str">
            <v>Activa</v>
          </cell>
          <cell r="I154" t="str">
            <v>Fatiga 12</v>
          </cell>
          <cell r="J154" t="str">
            <v>Fatiga 8</v>
          </cell>
          <cell r="K154" t="str">
            <v>Fatiga 6</v>
          </cell>
          <cell r="L154" t="str">
            <v>Fatiga 4</v>
          </cell>
          <cell r="M154" t="str">
            <v>2 intensidades</v>
          </cell>
          <cell r="N154" t="str">
            <v>3 intensidades</v>
          </cell>
          <cell r="O154" t="str">
            <v>5 intensidades</v>
          </cell>
          <cell r="P154" t="str">
            <v>7 intensidades</v>
          </cell>
          <cell r="Q154" t="str">
            <v>10 intensidades</v>
          </cell>
          <cell r="R154" t="str">
            <v>15 intensidades</v>
          </cell>
          <cell r="S154">
            <v>0</v>
          </cell>
        </row>
        <row r="155">
          <cell r="D155" t="str">
            <v>Ordenar</v>
          </cell>
          <cell r="E155" t="str">
            <v>Control del sonido</v>
          </cell>
          <cell r="F155">
            <v>3</v>
          </cell>
          <cell r="G155" t="str">
            <v>No</v>
          </cell>
          <cell r="H155" t="str">
            <v>Activa</v>
          </cell>
          <cell r="I155" t="str">
            <v>Fatiga 24</v>
          </cell>
          <cell r="J155" t="str">
            <v>Fatiga 16</v>
          </cell>
          <cell r="K155" t="str">
            <v>Fatiga 8</v>
          </cell>
          <cell r="L155" t="str">
            <v>Fatiga 6</v>
          </cell>
          <cell r="M155" t="str">
            <v>Fatiga 4</v>
          </cell>
          <cell r="N155" t="str">
            <v>10m radio / 120 RP</v>
          </cell>
          <cell r="O155" t="str">
            <v>15m radio / 140 RP</v>
          </cell>
          <cell r="P155" t="str">
            <v>20m radio / 180 RP</v>
          </cell>
          <cell r="Q155" t="str">
            <v>20m radio / 180 RP</v>
          </cell>
          <cell r="R155" t="str">
            <v>25m radio / 200 RP</v>
          </cell>
          <cell r="S155">
            <v>0</v>
          </cell>
        </row>
        <row r="156">
          <cell r="D156" t="str">
            <v>Aislar sonidos mayor</v>
          </cell>
          <cell r="E156" t="str">
            <v>Control del sonido</v>
          </cell>
          <cell r="F156">
            <v>3</v>
          </cell>
          <cell r="G156" t="str">
            <v>Sí</v>
          </cell>
          <cell r="H156" t="str">
            <v>Activa</v>
          </cell>
          <cell r="I156" t="str">
            <v>Fatiga 24</v>
          </cell>
          <cell r="J156" t="str">
            <v>Fatiga 16</v>
          </cell>
          <cell r="K156" t="str">
            <v>Fatiga 12</v>
          </cell>
          <cell r="L156" t="str">
            <v>Fatiga 8</v>
          </cell>
          <cell r="M156" t="str">
            <v>Fatiga 6</v>
          </cell>
          <cell r="N156" t="str">
            <v>Fatiga 4</v>
          </cell>
          <cell r="O156" t="str">
            <v>+180 Advertir, Buscar, Sigilo</v>
          </cell>
          <cell r="P156" t="str">
            <v>+200 Advertir, Buscar, Sigilo</v>
          </cell>
          <cell r="Q156" t="str">
            <v>+240 Advertir, Buscar, Sigilo</v>
          </cell>
          <cell r="R156" t="str">
            <v>+280 Advertir, Buscar, Sigilo</v>
          </cell>
          <cell r="S156">
            <v>0</v>
          </cell>
        </row>
        <row r="157">
          <cell r="D157" t="str">
            <v>&gt; HIDROQUINESIS</v>
          </cell>
          <cell r="S157">
            <v>0</v>
          </cell>
        </row>
        <row r="158">
          <cell r="D158" t="str">
            <v>Moldear</v>
          </cell>
          <cell r="E158" t="str">
            <v>Hidroquinesis</v>
          </cell>
          <cell r="F158">
            <v>1</v>
          </cell>
          <cell r="G158" t="str">
            <v>No</v>
          </cell>
          <cell r="H158" t="str">
            <v>Activa</v>
          </cell>
          <cell r="I158" t="str">
            <v>Fatiga 4</v>
          </cell>
          <cell r="J158" t="str">
            <v>Fatiga 2</v>
          </cell>
          <cell r="K158" t="str">
            <v>5m radio / 60 RF / 75 PE</v>
          </cell>
          <cell r="L158" t="str">
            <v>10m radio / 80 RF / 100 PE</v>
          </cell>
          <cell r="M158" t="str">
            <v>25m radio / 120 RF / 200 PE</v>
          </cell>
          <cell r="N158" t="str">
            <v>50m radio / 140 RF / 300 PE</v>
          </cell>
          <cell r="O158" t="str">
            <v>75m radio / 180 RF / 400 PE</v>
          </cell>
          <cell r="P158" t="str">
            <v>100m radio / 240 RF / 500 PE</v>
          </cell>
          <cell r="Q158" t="str">
            <v>250m radio / 280 RF / 750 PE</v>
          </cell>
          <cell r="R158" t="str">
            <v>500m radio / 320 RF / 1000 PE</v>
          </cell>
          <cell r="S158">
            <v>0</v>
          </cell>
        </row>
        <row r="159">
          <cell r="D159" t="str">
            <v>Formación no-newtoniana</v>
          </cell>
          <cell r="E159" t="str">
            <v>Hidroquinesis</v>
          </cell>
          <cell r="F159">
            <v>1</v>
          </cell>
          <cell r="G159" t="str">
            <v>Sí</v>
          </cell>
          <cell r="H159" t="str">
            <v>Pasiva</v>
          </cell>
          <cell r="I159" t="str">
            <v>Fatiga 8</v>
          </cell>
          <cell r="J159" t="str">
            <v>Fatiga 6</v>
          </cell>
          <cell r="K159" t="str">
            <v>Fatiga 4</v>
          </cell>
          <cell r="L159" t="str">
            <v>Hasta 300 PV / Daño 20</v>
          </cell>
          <cell r="M159" t="str">
            <v>Hasta 500 PV / Daño 30</v>
          </cell>
          <cell r="N159" t="str">
            <v>Hasta 750 PV / Daño 40</v>
          </cell>
          <cell r="O159" t="str">
            <v>Hasta 1.000 PV / Daño 50</v>
          </cell>
          <cell r="P159" t="str">
            <v>2.000 PV / Daño 60 / +10 Proy.</v>
          </cell>
          <cell r="Q159" t="str">
            <v>3.000 PV / Daño 80 / +20 Proy.</v>
          </cell>
          <cell r="R159" t="str">
            <v>5.000 PV / Daño 100 / +30 Proy.</v>
          </cell>
          <cell r="S159">
            <v>0</v>
          </cell>
        </row>
        <row r="160">
          <cell r="D160" t="str">
            <v>Editar fuerza de tracción</v>
          </cell>
          <cell r="E160" t="str">
            <v>Hidroquinesis</v>
          </cell>
          <cell r="F160">
            <v>2</v>
          </cell>
          <cell r="G160" t="str">
            <v>No</v>
          </cell>
          <cell r="H160" t="str">
            <v>Activa</v>
          </cell>
          <cell r="I160" t="str">
            <v>Fatiga 16</v>
          </cell>
          <cell r="J160" t="str">
            <v>Fatiga 12</v>
          </cell>
          <cell r="K160" t="str">
            <v>Fatiga 8</v>
          </cell>
          <cell r="L160" t="str">
            <v>Fatiga 6</v>
          </cell>
          <cell r="M160" t="str">
            <v>Fatiga 4</v>
          </cell>
          <cell r="N160" t="str">
            <v>+-5 entereza / 120 RF</v>
          </cell>
          <cell r="O160" t="str">
            <v xml:space="preserve">+-10 entereza / 140 RF </v>
          </cell>
          <cell r="P160" t="str">
            <v xml:space="preserve">+-25 entereza / 180 RF </v>
          </cell>
          <cell r="Q160" t="str">
            <v xml:space="preserve">+-30 entereza / 240 RF </v>
          </cell>
          <cell r="R160" t="str">
            <v xml:space="preserve">+-50 entereza / 280 RF </v>
          </cell>
          <cell r="S160">
            <v>0</v>
          </cell>
        </row>
        <row r="161">
          <cell r="D161" t="str">
            <v>Abrasión</v>
          </cell>
          <cell r="E161" t="str">
            <v>Hidroquinesis</v>
          </cell>
          <cell r="F161">
            <v>2</v>
          </cell>
          <cell r="G161" t="str">
            <v>Sí</v>
          </cell>
          <cell r="H161" t="str">
            <v>Activa</v>
          </cell>
          <cell r="I161" t="str">
            <v>Fatiga 12</v>
          </cell>
          <cell r="J161" t="str">
            <v>Fatiga 8</v>
          </cell>
          <cell r="K161" t="str">
            <v>Fatiga 6</v>
          </cell>
          <cell r="L161" t="str">
            <v>Fatiga 4</v>
          </cell>
          <cell r="M161" t="str">
            <v>+5m / Acrobacias 80</v>
          </cell>
          <cell r="N161" t="str">
            <v>+10m / Acrobacias 120</v>
          </cell>
          <cell r="O161" t="str">
            <v>+15m / Acrobacias 140</v>
          </cell>
          <cell r="P161" t="str">
            <v>1/3 mov. pasivo / Acrobacias 180</v>
          </cell>
          <cell r="Q161" t="str">
            <v>1/2 mov. pasivo / Acrobacias 240</v>
          </cell>
          <cell r="R161" t="str">
            <v>Todo el mov. pasivo / Acr. 280</v>
          </cell>
          <cell r="S161">
            <v>0</v>
          </cell>
        </row>
        <row r="162">
          <cell r="D162" t="str">
            <v>Fundirse con el entorno</v>
          </cell>
          <cell r="E162" t="str">
            <v>Hidroquinesis</v>
          </cell>
          <cell r="F162">
            <v>2</v>
          </cell>
          <cell r="G162" t="str">
            <v>Sí</v>
          </cell>
          <cell r="H162" t="str">
            <v>Activa</v>
          </cell>
          <cell r="I162" t="str">
            <v>Fatiga 24</v>
          </cell>
          <cell r="J162" t="str">
            <v>Fatiga 16</v>
          </cell>
          <cell r="K162" t="str">
            <v>Fatiga 12</v>
          </cell>
          <cell r="L162" t="str">
            <v>Fatiga 8</v>
          </cell>
          <cell r="M162" t="str">
            <v>Fatiga 6</v>
          </cell>
          <cell r="N162" t="str">
            <v>10m</v>
          </cell>
          <cell r="O162" t="str">
            <v>25m</v>
          </cell>
          <cell r="P162" t="str">
            <v>50m / Advertir -100</v>
          </cell>
          <cell r="Q162" t="str">
            <v>100m / Advertir -120</v>
          </cell>
          <cell r="R162" t="str">
            <v>500m / Advertir -140, Ver</v>
          </cell>
          <cell r="S162">
            <v>0</v>
          </cell>
        </row>
        <row r="163">
          <cell r="D163" t="str">
            <v>Fisión nuclear</v>
          </cell>
          <cell r="E163" t="str">
            <v>Hidroquinesis</v>
          </cell>
          <cell r="F163">
            <v>3</v>
          </cell>
          <cell r="G163" t="str">
            <v>No</v>
          </cell>
          <cell r="H163" t="str">
            <v>Activa</v>
          </cell>
          <cell r="I163" t="str">
            <v>Fatiga 24</v>
          </cell>
          <cell r="J163" t="str">
            <v>Fatiga 18</v>
          </cell>
          <cell r="K163" t="str">
            <v>Fatiga 16</v>
          </cell>
          <cell r="L163" t="str">
            <v>Fatiga 12</v>
          </cell>
          <cell r="M163" t="str">
            <v>Fatiga 8</v>
          </cell>
          <cell r="N163" t="str">
            <v>Fatiga 6</v>
          </cell>
          <cell r="O163" t="str">
            <v>50m radio / Daño 75 / 120 RE</v>
          </cell>
          <cell r="P163" t="str">
            <v>100m radio / Daño 100 / 140 RE</v>
          </cell>
          <cell r="Q163" t="str">
            <v>250m radio / Daño 150 / 180 RE</v>
          </cell>
          <cell r="R163" t="str">
            <v>500m radio / Daño 200 / 200 RE</v>
          </cell>
          <cell r="S163">
            <v>0</v>
          </cell>
        </row>
        <row r="164">
          <cell r="D164" t="str">
            <v>Moldear mayor</v>
          </cell>
          <cell r="E164" t="str">
            <v>Hidroquinesis</v>
          </cell>
          <cell r="F164">
            <v>3</v>
          </cell>
          <cell r="G164" t="str">
            <v>No</v>
          </cell>
          <cell r="H164" t="str">
            <v>Activa</v>
          </cell>
          <cell r="I164" t="str">
            <v>Fatiga 24</v>
          </cell>
          <cell r="J164" t="str">
            <v>Fatiga 20</v>
          </cell>
          <cell r="K164" t="str">
            <v>Faitiga 18</v>
          </cell>
          <cell r="L164" t="str">
            <v>Fatiga 16</v>
          </cell>
          <cell r="M164" t="str">
            <v>Fatiga 12</v>
          </cell>
          <cell r="N164" t="str">
            <v>Fatiga 8</v>
          </cell>
          <cell r="O164" t="str">
            <v>Fatiga 6</v>
          </cell>
          <cell r="P164" t="str">
            <v>500m radio / RF 280 / Barrera 100 / Ver</v>
          </cell>
          <cell r="Q164" t="str">
            <v>5km radio / RF 320 / barrera 150 / Ver</v>
          </cell>
          <cell r="R164" t="str">
            <v>10km radio / RF 380 / Barrera 200 / Ver</v>
          </cell>
          <cell r="S164">
            <v>0</v>
          </cell>
        </row>
        <row r="165">
          <cell r="D165" t="str">
            <v>&gt; CHRONOQUINESIS</v>
          </cell>
          <cell r="S165">
            <v>0</v>
          </cell>
        </row>
        <row r="166">
          <cell r="D166" t="str">
            <v>Alterar el orden de los acon.</v>
          </cell>
          <cell r="E166" t="str">
            <v>Chronoquinesis</v>
          </cell>
          <cell r="F166">
            <v>1</v>
          </cell>
          <cell r="G166" t="str">
            <v>No</v>
          </cell>
          <cell r="H166" t="str">
            <v>Activa</v>
          </cell>
          <cell r="I166" t="str">
            <v>Fatiga 8</v>
          </cell>
          <cell r="J166" t="str">
            <v>Fatiga 6</v>
          </cell>
          <cell r="K166" t="str">
            <v>Fatiga 4</v>
          </cell>
          <cell r="L166" t="str">
            <v>5 m de radio / 10 puntos</v>
          </cell>
          <cell r="M166" t="str">
            <v>10 m de radio / 20 puntos</v>
          </cell>
          <cell r="N166" t="str">
            <v>25 m de radio / 40 puntos</v>
          </cell>
          <cell r="O166" t="str">
            <v>50 m de radio / 60 puntos</v>
          </cell>
          <cell r="P166" t="str">
            <v>100 m de radio / 80 puntos</v>
          </cell>
          <cell r="Q166" t="str">
            <v>250 m de radio / 140 puntos</v>
          </cell>
          <cell r="R166" t="str">
            <v>500 m de radio / 180 puntos</v>
          </cell>
          <cell r="S166">
            <v>0</v>
          </cell>
        </row>
        <row r="167">
          <cell r="D167" t="str">
            <v>Instante estacionario</v>
          </cell>
          <cell r="E167" t="str">
            <v>Chronoquinesis</v>
          </cell>
          <cell r="F167">
            <v>1</v>
          </cell>
          <cell r="G167" t="str">
            <v>Sí</v>
          </cell>
          <cell r="H167" t="str">
            <v>Activa</v>
          </cell>
          <cell r="I167" t="str">
            <v>Fatiga 8</v>
          </cell>
          <cell r="J167" t="str">
            <v>Fatiga 4</v>
          </cell>
          <cell r="K167" t="str">
            <v>Fatiga 2</v>
          </cell>
          <cell r="L167" t="str">
            <v>10 m de radio</v>
          </cell>
          <cell r="M167" t="str">
            <v xml:space="preserve">25 m de radio </v>
          </cell>
          <cell r="N167" t="str">
            <v xml:space="preserve">50 m de radio </v>
          </cell>
          <cell r="O167" t="str">
            <v xml:space="preserve">100 m de radio </v>
          </cell>
          <cell r="P167" t="str">
            <v xml:space="preserve">250 m de radio </v>
          </cell>
          <cell r="Q167" t="str">
            <v xml:space="preserve">500 m de radio </v>
          </cell>
          <cell r="R167" t="str">
            <v>1 km de radio</v>
          </cell>
          <cell r="S167">
            <v>0</v>
          </cell>
        </row>
        <row r="168">
          <cell r="D168" t="str">
            <v>Escudo de alteración temporal</v>
          </cell>
          <cell r="E168" t="str">
            <v>Chronoquinesis</v>
          </cell>
          <cell r="F168">
            <v>1</v>
          </cell>
          <cell r="G168" t="str">
            <v>Sí</v>
          </cell>
          <cell r="H168" t="str">
            <v>Pasiva</v>
          </cell>
          <cell r="I168" t="str">
            <v>Fatiga 3</v>
          </cell>
          <cell r="J168" t="str">
            <v>Fatiga 2</v>
          </cell>
          <cell r="K168" t="str">
            <v>200 PV / -10 proyectiles</v>
          </cell>
          <cell r="L168" t="str">
            <v>300 PV / -20 proyectiles</v>
          </cell>
          <cell r="M168" t="str">
            <v>400 PV / -30 proyectiles</v>
          </cell>
          <cell r="N168" t="str">
            <v>500 PV / -40 proyectiles</v>
          </cell>
          <cell r="O168" t="str">
            <v>800 PV / -50 proyectiles</v>
          </cell>
          <cell r="P168" t="str">
            <v>1.000 PV / -60 proyectiles</v>
          </cell>
          <cell r="Q168" t="str">
            <v>1.500 PV / -80 proyectiles</v>
          </cell>
          <cell r="R168" t="str">
            <v>3.000 PV / -100 proyectiles</v>
          </cell>
          <cell r="S168">
            <v>0</v>
          </cell>
        </row>
        <row r="169">
          <cell r="D169" t="str">
            <v>Desgastar</v>
          </cell>
          <cell r="E169" t="str">
            <v>Chronoquinesis</v>
          </cell>
          <cell r="F169">
            <v>2</v>
          </cell>
          <cell r="G169" t="str">
            <v>No</v>
          </cell>
          <cell r="H169" t="str">
            <v>Activa</v>
          </cell>
          <cell r="I169" t="str">
            <v>Fatiga 12</v>
          </cell>
          <cell r="J169" t="str">
            <v>Fatiga 6</v>
          </cell>
          <cell r="K169" t="str">
            <v>Fatiga 4</v>
          </cell>
          <cell r="L169" t="str">
            <v>Fatiga 2</v>
          </cell>
          <cell r="M169" t="str">
            <v>1 m cúbico / 100 RF</v>
          </cell>
          <cell r="N169" t="str">
            <v>2 m cúbicos / 120 RF</v>
          </cell>
          <cell r="O169" t="str">
            <v>3 m cúbicos / 140 RF</v>
          </cell>
          <cell r="P169" t="str">
            <v>4 m cúbicos / 160 RF</v>
          </cell>
          <cell r="Q169" t="str">
            <v>5 m cúbicos / 200 RF</v>
          </cell>
          <cell r="R169" t="str">
            <v>10 m cúbicos / 220 RF</v>
          </cell>
          <cell r="S169">
            <v>0</v>
          </cell>
        </row>
        <row r="170">
          <cell r="D170" t="str">
            <v>Multiplicar segundos</v>
          </cell>
          <cell r="E170" t="str">
            <v>Chronoquinesis</v>
          </cell>
          <cell r="F170">
            <v>2</v>
          </cell>
          <cell r="G170" t="str">
            <v>Sí</v>
          </cell>
          <cell r="H170" t="str">
            <v>Activa</v>
          </cell>
          <cell r="I170" t="str">
            <v>Fatiga 16</v>
          </cell>
          <cell r="J170" t="str">
            <v>Fatiga 12</v>
          </cell>
          <cell r="K170" t="str">
            <v>Fatiga 8</v>
          </cell>
          <cell r="L170" t="str">
            <v>Fatiga 6</v>
          </cell>
          <cell r="M170" t="str">
            <v>+1 acción</v>
          </cell>
          <cell r="N170" t="str">
            <v>+2 acciones</v>
          </cell>
          <cell r="O170" t="str">
            <v>+2 acciones, +1 Ataq. Adicional</v>
          </cell>
          <cell r="P170" t="str">
            <v>+3 acciones, +1 Ataq. Adicional</v>
          </cell>
          <cell r="Q170" t="str">
            <v>+4 acciones, +2 Ataq. Adicional</v>
          </cell>
          <cell r="R170" t="str">
            <v>+4 acciones, +3 Ataq. Adicional</v>
          </cell>
          <cell r="S170">
            <v>0</v>
          </cell>
        </row>
        <row r="171">
          <cell r="D171" t="str">
            <v>Elipsis</v>
          </cell>
          <cell r="E171" t="str">
            <v>Chronoquinesis</v>
          </cell>
          <cell r="F171">
            <v>2</v>
          </cell>
          <cell r="G171" t="str">
            <v>No</v>
          </cell>
          <cell r="H171" t="str">
            <v>Activa</v>
          </cell>
          <cell r="I171" t="str">
            <v>Fatiga 16</v>
          </cell>
          <cell r="J171" t="str">
            <v>Fatiga 12</v>
          </cell>
          <cell r="K171" t="str">
            <v>Fatiga 8</v>
          </cell>
          <cell r="L171" t="str">
            <v>Fatiga 6</v>
          </cell>
          <cell r="M171" t="str">
            <v>10 m / 1 asalto después</v>
          </cell>
          <cell r="N171" t="str">
            <v>25 m / 3 asalto después</v>
          </cell>
          <cell r="O171" t="str">
            <v>50 m / 5 asalto después</v>
          </cell>
          <cell r="P171" t="str">
            <v>100 m / 7 asalto después</v>
          </cell>
          <cell r="Q171" t="str">
            <v>250 m / 7 asalto después</v>
          </cell>
          <cell r="R171" t="str">
            <v>500 m / 15 asalto después</v>
          </cell>
          <cell r="S171">
            <v>0</v>
          </cell>
        </row>
        <row r="172">
          <cell r="D172" t="str">
            <v>Tiempo muerto</v>
          </cell>
          <cell r="E172" t="str">
            <v>Chronoquinesis</v>
          </cell>
          <cell r="F172">
            <v>2</v>
          </cell>
          <cell r="G172" t="str">
            <v>No</v>
          </cell>
          <cell r="H172" t="str">
            <v>Activa</v>
          </cell>
          <cell r="I172" t="str">
            <v>Fatiga 12</v>
          </cell>
          <cell r="J172" t="str">
            <v>Fatiga 6</v>
          </cell>
          <cell r="K172" t="str">
            <v>Fatiga 4</v>
          </cell>
          <cell r="L172" t="str">
            <v>Fatiga 2</v>
          </cell>
          <cell r="M172" t="str">
            <v>-20 turno, -10 acción, 80 RP</v>
          </cell>
          <cell r="N172" t="str">
            <v>-40 turno, -15 acción, 100 RP</v>
          </cell>
          <cell r="O172" t="str">
            <v>-60 turno, -20 acción, 120 RP</v>
          </cell>
          <cell r="P172" t="str">
            <v>-80 turno, -30 acción, 140 RP</v>
          </cell>
          <cell r="Q172" t="str">
            <v>-100 turno, -40 acción, 180 RP</v>
          </cell>
          <cell r="R172" t="str">
            <v>-120 turno, -45 acción, 240 RP</v>
          </cell>
          <cell r="S172">
            <v>0</v>
          </cell>
        </row>
        <row r="173">
          <cell r="D173" t="str">
            <v>Interrupción temporal</v>
          </cell>
          <cell r="E173" t="str">
            <v>Chronoquinesis</v>
          </cell>
          <cell r="F173">
            <v>3</v>
          </cell>
          <cell r="G173" t="str">
            <v>No</v>
          </cell>
          <cell r="H173" t="str">
            <v>Activa</v>
          </cell>
          <cell r="I173" t="str">
            <v>Fatiga 20</v>
          </cell>
          <cell r="J173" t="str">
            <v>Fatiga 16</v>
          </cell>
          <cell r="K173" t="str">
            <v>Fatiga 12</v>
          </cell>
          <cell r="L173" t="str">
            <v>Fatiga 8</v>
          </cell>
          <cell r="M173" t="str">
            <v>Fatiga 6</v>
          </cell>
          <cell r="N173" t="str">
            <v>10 m radio / 1 asalto / 120 RF</v>
          </cell>
          <cell r="O173" t="str">
            <v>25 m radio / 1 asalto / 140 RF</v>
          </cell>
          <cell r="P173" t="str">
            <v>50 m radio / 2 asaltos / 180 RF</v>
          </cell>
          <cell r="Q173" t="str">
            <v>100 m radio / 3 asaltos / 240 RF</v>
          </cell>
          <cell r="R173" t="str">
            <v>500 m radio / 5 asaltos / 280 RF</v>
          </cell>
          <cell r="S173">
            <v>0</v>
          </cell>
        </row>
        <row r="174">
          <cell r="D174" t="str">
            <v>Rebobinar la realidad</v>
          </cell>
          <cell r="E174" t="str">
            <v>Chronoquinesis</v>
          </cell>
          <cell r="F174">
            <v>3</v>
          </cell>
          <cell r="G174" t="str">
            <v>No</v>
          </cell>
          <cell r="H174" t="str">
            <v>Activa</v>
          </cell>
          <cell r="I174" t="str">
            <v>Fatiga 24</v>
          </cell>
          <cell r="J174" t="str">
            <v>Fatiga 20</v>
          </cell>
          <cell r="K174" t="str">
            <v>Fatiga 16</v>
          </cell>
          <cell r="L174" t="str">
            <v>Fatiga 12</v>
          </cell>
          <cell r="M174" t="str">
            <v>Fatiga 8</v>
          </cell>
          <cell r="N174" t="str">
            <v>Fatiga 6</v>
          </cell>
          <cell r="O174" t="str">
            <v>Fatiga 4</v>
          </cell>
          <cell r="P174" t="str">
            <v>10 m de radio / 1 asaltos</v>
          </cell>
          <cell r="Q174" t="str">
            <v>25 m de radio / 2 asaltos</v>
          </cell>
          <cell r="R174" t="str">
            <v>50 m de radio / 3 asaltos</v>
          </cell>
          <cell r="S174">
            <v>0</v>
          </cell>
        </row>
        <row r="175">
          <cell r="D175" t="str">
            <v>Futuro paralelo</v>
          </cell>
          <cell r="E175" t="str">
            <v>Chronoquinesis</v>
          </cell>
          <cell r="F175">
            <v>3</v>
          </cell>
          <cell r="G175" t="str">
            <v>No</v>
          </cell>
          <cell r="H175" t="str">
            <v>Activa</v>
          </cell>
          <cell r="I175" t="str">
            <v>Fatiga 24</v>
          </cell>
          <cell r="J175" t="str">
            <v>Fatiga 20</v>
          </cell>
          <cell r="K175" t="str">
            <v>Fatiga 16</v>
          </cell>
          <cell r="L175" t="str">
            <v>Fatiga 12</v>
          </cell>
          <cell r="M175" t="str">
            <v>Fatiga 8</v>
          </cell>
          <cell r="N175" t="str">
            <v>Fatiga 6</v>
          </cell>
          <cell r="O175" t="str">
            <v>Fatiga 4</v>
          </cell>
          <cell r="P175" t="str">
            <v>+25 controles / +2 / 5 m de radio</v>
          </cell>
          <cell r="Q175" t="str">
            <v>+35 controles / +3 / 10 m radio</v>
          </cell>
          <cell r="R175" t="str">
            <v>+45 controles / +4 / 25 m radio</v>
          </cell>
          <cell r="S175">
            <v>0</v>
          </cell>
        </row>
        <row r="176">
          <cell r="D176" t="str">
            <v>&gt; [AK] SENTIENTE</v>
          </cell>
          <cell r="S176">
            <v>0</v>
          </cell>
        </row>
        <row r="177">
          <cell r="D177" t="str">
            <v>Percibir sentimientos</v>
          </cell>
          <cell r="E177" t="str">
            <v>[AK] Sentiente</v>
          </cell>
          <cell r="F177">
            <v>1</v>
          </cell>
          <cell r="G177" t="str">
            <v>Sí</v>
          </cell>
          <cell r="H177" t="str">
            <v>Activa</v>
          </cell>
          <cell r="I177" t="str">
            <v>Fatiga 2</v>
          </cell>
          <cell r="J177" t="str">
            <v>Fatiga 1</v>
          </cell>
          <cell r="K177" t="str">
            <v>100 RP</v>
          </cell>
          <cell r="L177" t="str">
            <v>120 RP</v>
          </cell>
          <cell r="M177" t="str">
            <v>140 RP</v>
          </cell>
          <cell r="N177" t="str">
            <v>160 RP</v>
          </cell>
          <cell r="O177" t="str">
            <v>180 RP</v>
          </cell>
          <cell r="P177" t="str">
            <v>200 RP</v>
          </cell>
          <cell r="Q177" t="str">
            <v>220 RP</v>
          </cell>
          <cell r="R177" t="str">
            <v>240 RP</v>
          </cell>
          <cell r="S177">
            <v>0</v>
          </cell>
        </row>
        <row r="178">
          <cell r="D178" t="str">
            <v>Filtrar sentidos</v>
          </cell>
          <cell r="E178" t="str">
            <v>[AK] Sentiente</v>
          </cell>
          <cell r="F178">
            <v>1</v>
          </cell>
          <cell r="G178" t="str">
            <v>Sí</v>
          </cell>
          <cell r="H178" t="str">
            <v>Pasiva</v>
          </cell>
          <cell r="I178" t="str">
            <v>Fatiga 1</v>
          </cell>
          <cell r="J178" t="str">
            <v>Hasta -10 / 1 sentido</v>
          </cell>
          <cell r="K178" t="str">
            <v>Hasta -20 / 1 sentido</v>
          </cell>
          <cell r="L178" t="str">
            <v>Hasta -30 / 1 sentido</v>
          </cell>
          <cell r="M178" t="str">
            <v>Hasta -40 / 2 sentidos</v>
          </cell>
          <cell r="N178" t="str">
            <v>Hasta -50 / 2 sentidos</v>
          </cell>
          <cell r="O178" t="str">
            <v>Hasta -60 / 3 sentidos</v>
          </cell>
          <cell r="P178" t="str">
            <v>Hasta -70 / 3 sentidos</v>
          </cell>
          <cell r="Q178" t="str">
            <v>Hasta -80 / 4 sentidos</v>
          </cell>
          <cell r="R178" t="str">
            <v>Hasta -100 / Todos los sentidos</v>
          </cell>
          <cell r="S178">
            <v>0</v>
          </cell>
        </row>
        <row r="179">
          <cell r="D179" t="str">
            <v>Intensificar sentimientos</v>
          </cell>
          <cell r="E179" t="str">
            <v>[AK] Sentiente</v>
          </cell>
          <cell r="F179">
            <v>1</v>
          </cell>
          <cell r="G179" t="str">
            <v>Sí</v>
          </cell>
          <cell r="H179" t="str">
            <v>Activa</v>
          </cell>
          <cell r="I179" t="str">
            <v>Fatiga 2</v>
          </cell>
          <cell r="J179" t="str">
            <v>Fatiga 1</v>
          </cell>
          <cell r="K179" t="str">
            <v>100 RP</v>
          </cell>
          <cell r="L179" t="str">
            <v>120 RP</v>
          </cell>
          <cell r="M179" t="str">
            <v>140 RP</v>
          </cell>
          <cell r="N179" t="str">
            <v>160 RP</v>
          </cell>
          <cell r="O179" t="str">
            <v>180 RP</v>
          </cell>
          <cell r="P179" t="str">
            <v>200 RP</v>
          </cell>
          <cell r="Q179" t="str">
            <v>220 RP</v>
          </cell>
          <cell r="R179" t="str">
            <v>240 RP</v>
          </cell>
          <cell r="S179">
            <v>0</v>
          </cell>
        </row>
        <row r="180">
          <cell r="D180" t="str">
            <v>Detectar sentimientos</v>
          </cell>
          <cell r="E180" t="str">
            <v>[AK] Sentiente</v>
          </cell>
          <cell r="F180">
            <v>1</v>
          </cell>
          <cell r="G180" t="str">
            <v>Sí</v>
          </cell>
          <cell r="H180" t="str">
            <v>Activa</v>
          </cell>
          <cell r="I180" t="str">
            <v>Fatiga 2</v>
          </cell>
          <cell r="J180" t="str">
            <v>Fatiga 1</v>
          </cell>
          <cell r="K180" t="str">
            <v>80 RP / 10 m de radio</v>
          </cell>
          <cell r="L180" t="str">
            <v>100 RP / 50 m de radio</v>
          </cell>
          <cell r="M180" t="str">
            <v>120 RP / 100 m de radio</v>
          </cell>
          <cell r="N180" t="str">
            <v>140 RP / 250 m de radio</v>
          </cell>
          <cell r="O180" t="str">
            <v>160 RP / 500 m de radio</v>
          </cell>
          <cell r="P180" t="str">
            <v>180 RP / 1 km de radio</v>
          </cell>
          <cell r="Q180" t="str">
            <v>200 RP / 10 km de radio</v>
          </cell>
          <cell r="R180" t="str">
            <v>220 RP / 100 km de radio</v>
          </cell>
          <cell r="S180">
            <v>0</v>
          </cell>
        </row>
        <row r="181">
          <cell r="D181" t="str">
            <v>Conectar sentidos</v>
          </cell>
          <cell r="E181" t="str">
            <v>[AK] Sentiente</v>
          </cell>
          <cell r="F181">
            <v>1</v>
          </cell>
          <cell r="G181" t="str">
            <v>Sí</v>
          </cell>
          <cell r="H181" t="str">
            <v>Activa</v>
          </cell>
          <cell r="I181" t="str">
            <v>Fatiga 2</v>
          </cell>
          <cell r="J181" t="str">
            <v>Fatiga 1</v>
          </cell>
          <cell r="K181" t="str">
            <v>60 RP / 10 m de radio</v>
          </cell>
          <cell r="L181" t="str">
            <v>80 RP / 100 m</v>
          </cell>
          <cell r="M181" t="str">
            <v>100 RP / 500 m</v>
          </cell>
          <cell r="N181" t="str">
            <v>120 RP / 1000 m</v>
          </cell>
          <cell r="O181" t="str">
            <v>140 RP / 10 km</v>
          </cell>
          <cell r="P181" t="str">
            <v>160 RP / 100 km</v>
          </cell>
          <cell r="Q181" t="str">
            <v>180 RP / 1000 km</v>
          </cell>
          <cell r="R181" t="str">
            <v>200 RP / Cualquier distancia</v>
          </cell>
          <cell r="S181">
            <v>0</v>
          </cell>
        </row>
        <row r="182">
          <cell r="D182" t="str">
            <v>Aplacar sentimientos</v>
          </cell>
          <cell r="E182" t="str">
            <v>[AK] Sentiente</v>
          </cell>
          <cell r="F182">
            <v>1</v>
          </cell>
          <cell r="G182" t="str">
            <v>Sí</v>
          </cell>
          <cell r="H182" t="str">
            <v>Activa</v>
          </cell>
          <cell r="I182" t="str">
            <v>Fatiga 2</v>
          </cell>
          <cell r="J182" t="str">
            <v>Fatiga 1</v>
          </cell>
          <cell r="K182" t="str">
            <v>100 RP</v>
          </cell>
          <cell r="L182" t="str">
            <v>120 RP</v>
          </cell>
          <cell r="M182" t="str">
            <v>140 RP</v>
          </cell>
          <cell r="N182" t="str">
            <v>160 RP</v>
          </cell>
          <cell r="O182" t="str">
            <v>180 RP</v>
          </cell>
          <cell r="P182" t="str">
            <v>200 RP</v>
          </cell>
          <cell r="Q182" t="str">
            <v>220 RP</v>
          </cell>
          <cell r="R182" t="str">
            <v>240 RP</v>
          </cell>
          <cell r="S182">
            <v>0</v>
          </cell>
        </row>
        <row r="183">
          <cell r="D183" t="str">
            <v>Desplazar sentidos</v>
          </cell>
          <cell r="E183" t="str">
            <v>[AK] Sentiente</v>
          </cell>
          <cell r="F183">
            <v>2</v>
          </cell>
          <cell r="G183" t="str">
            <v>Sí</v>
          </cell>
          <cell r="H183" t="str">
            <v>Activa</v>
          </cell>
          <cell r="I183" t="str">
            <v>Fatiga 4</v>
          </cell>
          <cell r="J183" t="str">
            <v>Fatiga 2</v>
          </cell>
          <cell r="K183" t="str">
            <v>1 m</v>
          </cell>
          <cell r="L183" t="str">
            <v>5 m</v>
          </cell>
          <cell r="M183" t="str">
            <v>10 m</v>
          </cell>
          <cell r="N183" t="str">
            <v>25 m</v>
          </cell>
          <cell r="O183" t="str">
            <v>50 m</v>
          </cell>
          <cell r="P183" t="str">
            <v>100 m</v>
          </cell>
          <cell r="Q183" t="str">
            <v>250 m</v>
          </cell>
          <cell r="R183" t="str">
            <v>500 m</v>
          </cell>
          <cell r="S183">
            <v>0</v>
          </cell>
        </row>
        <row r="184">
          <cell r="D184" t="str">
            <v>Crear sentimientos</v>
          </cell>
          <cell r="E184" t="str">
            <v>[AK] Sentiente</v>
          </cell>
          <cell r="F184">
            <v>2</v>
          </cell>
          <cell r="G184" t="str">
            <v>Sí</v>
          </cell>
          <cell r="H184" t="str">
            <v>Activa</v>
          </cell>
          <cell r="I184" t="str">
            <v>Fatiga 8</v>
          </cell>
          <cell r="J184" t="str">
            <v>Fatiga 4</v>
          </cell>
          <cell r="K184" t="str">
            <v>Fatiga 2</v>
          </cell>
          <cell r="L184" t="str">
            <v>80 RP</v>
          </cell>
          <cell r="M184" t="str">
            <v>100 RP</v>
          </cell>
          <cell r="N184" t="str">
            <v>120 RP</v>
          </cell>
          <cell r="O184" t="str">
            <v>140 RP</v>
          </cell>
          <cell r="P184" t="str">
            <v>160 RP</v>
          </cell>
          <cell r="Q184" t="str">
            <v>180 RP</v>
          </cell>
          <cell r="R184" t="str">
            <v>200 RP</v>
          </cell>
          <cell r="S184">
            <v>0</v>
          </cell>
        </row>
        <row r="185">
          <cell r="D185" t="str">
            <v>Cargar con sentimientos</v>
          </cell>
          <cell r="E185" t="str">
            <v>[AK] Sentiente</v>
          </cell>
          <cell r="F185">
            <v>2</v>
          </cell>
          <cell r="G185" t="str">
            <v>Sí</v>
          </cell>
          <cell r="H185" t="str">
            <v>Activa</v>
          </cell>
          <cell r="I185" t="str">
            <v>Fatiga 8</v>
          </cell>
          <cell r="J185" t="str">
            <v>Fatiga 6</v>
          </cell>
          <cell r="K185" t="str">
            <v>Fatiga 4</v>
          </cell>
          <cell r="L185" t="str">
            <v>Fatiga 2</v>
          </cell>
          <cell r="M185" t="str">
            <v>100 RP / 5 m de radio</v>
          </cell>
          <cell r="N185" t="str">
            <v>120 RP / 10 m de radio</v>
          </cell>
          <cell r="O185" t="str">
            <v>140 RP / 25 m de radio</v>
          </cell>
          <cell r="P185" t="str">
            <v>160 RP / 50 m de radio</v>
          </cell>
          <cell r="Q185" t="str">
            <v>180 RP / 100 m de radio</v>
          </cell>
          <cell r="R185" t="str">
            <v>220 RP / 500 m de radio</v>
          </cell>
          <cell r="S185">
            <v>0</v>
          </cell>
        </row>
        <row r="186">
          <cell r="D186" t="str">
            <v>Eliminar sentidos</v>
          </cell>
          <cell r="E186" t="str">
            <v>[AK] Sentiente</v>
          </cell>
          <cell r="F186">
            <v>2</v>
          </cell>
          <cell r="G186" t="str">
            <v>Sí</v>
          </cell>
          <cell r="H186" t="str">
            <v>Activa</v>
          </cell>
          <cell r="I186" t="str">
            <v>Fatiga 8</v>
          </cell>
          <cell r="J186" t="str">
            <v>Fatiga 6</v>
          </cell>
          <cell r="K186" t="str">
            <v>Fatiga 4</v>
          </cell>
          <cell r="L186" t="str">
            <v>Fatiga 2</v>
          </cell>
          <cell r="M186" t="str">
            <v>100 RP</v>
          </cell>
          <cell r="N186" t="str">
            <v>120 RP</v>
          </cell>
          <cell r="O186" t="str">
            <v>140 RP</v>
          </cell>
          <cell r="P186" t="str">
            <v>160 RP</v>
          </cell>
          <cell r="Q186" t="str">
            <v>180 RP</v>
          </cell>
          <cell r="R186" t="str">
            <v>220 RP</v>
          </cell>
          <cell r="S186">
            <v>0</v>
          </cell>
        </row>
        <row r="187">
          <cell r="D187" t="str">
            <v>Trasladar los sentidos</v>
          </cell>
          <cell r="E187" t="str">
            <v>[AK] Sentiente</v>
          </cell>
          <cell r="F187">
            <v>2</v>
          </cell>
          <cell r="G187" t="str">
            <v>Sí</v>
          </cell>
          <cell r="H187" t="str">
            <v>Activa</v>
          </cell>
          <cell r="I187" t="str">
            <v>Fatiga 8</v>
          </cell>
          <cell r="J187" t="str">
            <v>Fatiga 6</v>
          </cell>
          <cell r="K187" t="str">
            <v>Fatiga 4</v>
          </cell>
          <cell r="L187" t="str">
            <v>Fatiga 2</v>
          </cell>
          <cell r="M187" t="str">
            <v>1 km</v>
          </cell>
          <cell r="N187" t="str">
            <v>10 km</v>
          </cell>
          <cell r="O187" t="str">
            <v>50 km</v>
          </cell>
          <cell r="P187" t="str">
            <v>100 km</v>
          </cell>
          <cell r="Q187" t="str">
            <v>1000 km</v>
          </cell>
          <cell r="R187" t="str">
            <v>Cualquier distancia</v>
          </cell>
          <cell r="S187">
            <v>0</v>
          </cell>
        </row>
        <row r="188">
          <cell r="D188" t="str">
            <v>Sentidos superiores</v>
          </cell>
          <cell r="E188" t="str">
            <v>[AK] Sentiente</v>
          </cell>
          <cell r="F188">
            <v>3</v>
          </cell>
          <cell r="G188" t="str">
            <v>Sí</v>
          </cell>
          <cell r="H188" t="str">
            <v>Activa</v>
          </cell>
          <cell r="I188" t="str">
            <v>Fatiga 12</v>
          </cell>
          <cell r="J188" t="str">
            <v>Fatiga 10</v>
          </cell>
          <cell r="K188" t="str">
            <v>Fatiga 8</v>
          </cell>
          <cell r="L188" t="str">
            <v>Fatiga 6</v>
          </cell>
          <cell r="M188" t="str">
            <v>Fatiga 4</v>
          </cell>
          <cell r="N188" t="str">
            <v>Sentir electromagnetismo</v>
          </cell>
          <cell r="O188" t="str">
            <v>Sentir matrices</v>
          </cell>
          <cell r="P188" t="str">
            <v>Sentir magia</v>
          </cell>
          <cell r="Q188" t="str">
            <v>Sentir ki</v>
          </cell>
          <cell r="R188" t="str">
            <v>Sentir todo</v>
          </cell>
          <cell r="S188">
            <v>0</v>
          </cell>
        </row>
        <row r="189">
          <cell r="D189" t="str">
            <v>Destruir sentimientos</v>
          </cell>
          <cell r="E189" t="str">
            <v>[AK] Sentiente</v>
          </cell>
          <cell r="F189">
            <v>3</v>
          </cell>
          <cell r="G189" t="str">
            <v>No</v>
          </cell>
          <cell r="H189" t="str">
            <v>Activa</v>
          </cell>
          <cell r="I189" t="str">
            <v>Fatiga 16</v>
          </cell>
          <cell r="J189" t="str">
            <v>Fatiga 12</v>
          </cell>
          <cell r="K189" t="str">
            <v>Fatiga 8</v>
          </cell>
          <cell r="L189" t="str">
            <v>Fatiga 6</v>
          </cell>
          <cell r="M189" t="str">
            <v>Fatiga 4</v>
          </cell>
          <cell r="N189" t="str">
            <v>120 RP</v>
          </cell>
          <cell r="O189" t="str">
            <v>140 RP</v>
          </cell>
          <cell r="P189" t="str">
            <v>160 RP</v>
          </cell>
          <cell r="Q189" t="str">
            <v>180 RP</v>
          </cell>
          <cell r="R189" t="str">
            <v>200 RP</v>
          </cell>
          <cell r="S189">
            <v>0</v>
          </cell>
        </row>
        <row r="190">
          <cell r="D190" t="str">
            <v>Área (Sentiente)</v>
          </cell>
          <cell r="E190" t="str">
            <v>[AK] Sentiente</v>
          </cell>
          <cell r="F190">
            <v>3</v>
          </cell>
          <cell r="G190" t="str">
            <v>Sí</v>
          </cell>
          <cell r="H190" t="str">
            <v>Activa</v>
          </cell>
          <cell r="I190" t="str">
            <v>Fatiga 16</v>
          </cell>
          <cell r="J190" t="str">
            <v>Fatiga 12</v>
          </cell>
          <cell r="K190" t="str">
            <v>Fatiga 8</v>
          </cell>
          <cell r="L190" t="str">
            <v>Fatiga 4</v>
          </cell>
          <cell r="M190" t="str">
            <v>10 m</v>
          </cell>
          <cell r="N190" t="str">
            <v>100 m</v>
          </cell>
          <cell r="O190" t="str">
            <v>1000 m</v>
          </cell>
          <cell r="P190" t="str">
            <v>10 km</v>
          </cell>
          <cell r="Q190" t="str">
            <v>100 km</v>
          </cell>
          <cell r="R190" t="str">
            <v>500 km</v>
          </cell>
          <cell r="S190">
            <v>0</v>
          </cell>
        </row>
        <row r="191">
          <cell r="D191" t="str">
            <v>&gt; PRESION</v>
          </cell>
          <cell r="S191">
            <v>0</v>
          </cell>
        </row>
        <row r="192">
          <cell r="D192" t="str">
            <v>Modificar presión absoluta</v>
          </cell>
          <cell r="E192" t="str">
            <v>Presión</v>
          </cell>
          <cell r="F192">
            <v>1</v>
          </cell>
          <cell r="G192" t="str">
            <v>Sí</v>
          </cell>
          <cell r="H192" t="str">
            <v>Activa</v>
          </cell>
          <cell r="I192" t="str">
            <v>Fatiga 8</v>
          </cell>
          <cell r="J192" t="str">
            <v>Fatiga 6</v>
          </cell>
          <cell r="K192" t="str">
            <v>1 atmósfera / 3 m de radio</v>
          </cell>
          <cell r="L192" t="str">
            <v>2 atmósferas / 5 m de radio</v>
          </cell>
          <cell r="M192" t="str">
            <v>2 atmósferas / 10 m de radio</v>
          </cell>
          <cell r="N192" t="str">
            <v>3 atmósferas / 25 m de radio</v>
          </cell>
          <cell r="O192" t="str">
            <v>3 atmósferas / 50 m de radio</v>
          </cell>
          <cell r="P192" t="str">
            <v>4 atmósferas / 100 m de radio</v>
          </cell>
          <cell r="Q192" t="str">
            <v>4 atmósferas / 200 m de radio</v>
          </cell>
          <cell r="R192" t="str">
            <v>5 atmósferas / 300 m de radio</v>
          </cell>
          <cell r="S192">
            <v>0</v>
          </cell>
        </row>
        <row r="193">
          <cell r="D193" t="str">
            <v>Alterar presión hidrostática</v>
          </cell>
          <cell r="E193" t="str">
            <v>Presión</v>
          </cell>
          <cell r="F193">
            <v>1</v>
          </cell>
          <cell r="G193" t="str">
            <v>Sí</v>
          </cell>
          <cell r="H193" t="str">
            <v>Activa</v>
          </cell>
          <cell r="I193" t="str">
            <v>Fatiga 8</v>
          </cell>
          <cell r="J193" t="str">
            <v>Fatiga 6</v>
          </cell>
          <cell r="K193" t="str">
            <v>Fatiga 4</v>
          </cell>
          <cell r="L193" t="str">
            <v>60 RF</v>
          </cell>
          <cell r="M193" t="str">
            <v>80 RF</v>
          </cell>
          <cell r="N193" t="str">
            <v>100 RF</v>
          </cell>
          <cell r="O193" t="str">
            <v>120 RF</v>
          </cell>
          <cell r="P193" t="str">
            <v>140 RF</v>
          </cell>
          <cell r="Q193" t="str">
            <v>160 RF</v>
          </cell>
          <cell r="R193" t="str">
            <v>180 RF</v>
          </cell>
          <cell r="S193">
            <v>0</v>
          </cell>
        </row>
        <row r="194">
          <cell r="D194" t="str">
            <v>Modular presión espacial</v>
          </cell>
          <cell r="E194" t="str">
            <v>Presión</v>
          </cell>
          <cell r="F194">
            <v>2</v>
          </cell>
          <cell r="G194" t="str">
            <v>Sí</v>
          </cell>
          <cell r="H194" t="str">
            <v>Pasiva</v>
          </cell>
          <cell r="I194" t="str">
            <v>Fatiga 8</v>
          </cell>
          <cell r="J194" t="str">
            <v>Fatiga 6</v>
          </cell>
          <cell r="K194" t="str">
            <v>Fatiga 4</v>
          </cell>
          <cell r="L194" t="str">
            <v>Fatiga 2</v>
          </cell>
          <cell r="M194" t="str">
            <v>1 metro / 40 RF</v>
          </cell>
          <cell r="N194" t="str">
            <v>5 metros / 60 RF</v>
          </cell>
          <cell r="O194" t="str">
            <v>10 metros / 80 RF</v>
          </cell>
          <cell r="P194" t="str">
            <v>25 metros / 100 RF</v>
          </cell>
          <cell r="Q194" t="str">
            <v>50 metros / 120 RF</v>
          </cell>
          <cell r="R194" t="str">
            <v>100 metros / 140 RF</v>
          </cell>
          <cell r="S194">
            <v>0</v>
          </cell>
        </row>
        <row r="195">
          <cell r="D195" t="str">
            <v>Punto de presión</v>
          </cell>
          <cell r="E195" t="str">
            <v>Presión</v>
          </cell>
          <cell r="F195">
            <v>2</v>
          </cell>
          <cell r="G195" t="str">
            <v>Sí</v>
          </cell>
          <cell r="H195" t="str">
            <v>Activa</v>
          </cell>
          <cell r="I195" t="str">
            <v>Fatiga 8</v>
          </cell>
          <cell r="J195" t="str">
            <v>Fatiga 6</v>
          </cell>
          <cell r="K195" t="str">
            <v>Fatiga 4</v>
          </cell>
          <cell r="L195" t="str">
            <v>20 gr, 20 m / 10 gr, -1 TA, 50m</v>
          </cell>
          <cell r="M195" t="str">
            <v>50 gr, 25 m / 25 gr, -1 TA, 100 m</v>
          </cell>
          <cell r="N195" t="str">
            <v>100 gr, 100 m / 50 gr, -2 TA, 200 m</v>
          </cell>
          <cell r="O195" t="str">
            <v>1 kg, -1 TA, 200 m / 500 gr, -3 TA, 500 m</v>
          </cell>
          <cell r="P195" t="str">
            <v>5 kg, -1 TA, 500 m / 1 kg, -3 TA, 1 Km</v>
          </cell>
          <cell r="Q195" t="str">
            <v>10 kg, -2 TA, 1 Km / 5 kg, -4 TA, 5 km</v>
          </cell>
          <cell r="R195" t="str">
            <v>25 kg, -2 TA, 500 m / 10 kg, -4 TA, 10 km</v>
          </cell>
          <cell r="S195">
            <v>0</v>
          </cell>
        </row>
        <row r="196">
          <cell r="D196" t="str">
            <v>Implosión</v>
          </cell>
          <cell r="E196" t="str">
            <v>Presión</v>
          </cell>
          <cell r="F196">
            <v>3</v>
          </cell>
          <cell r="G196" t="str">
            <v>No</v>
          </cell>
          <cell r="H196" t="str">
            <v>Activa</v>
          </cell>
          <cell r="I196" t="str">
            <v>Fatiga 12</v>
          </cell>
          <cell r="J196" t="str">
            <v>Fatiga 8</v>
          </cell>
          <cell r="K196" t="str">
            <v>Fatiga 6</v>
          </cell>
          <cell r="L196" t="str">
            <v>Fatiga 4</v>
          </cell>
          <cell r="M196" t="str">
            <v>Fatiga 2</v>
          </cell>
          <cell r="N196" t="str">
            <v>Daño 80 / 120 RF</v>
          </cell>
          <cell r="O196" t="str">
            <v>Daño 100 / 140 RF</v>
          </cell>
          <cell r="P196" t="str">
            <v>Daño 120 / 180 RF</v>
          </cell>
          <cell r="Q196" t="str">
            <v>Daño 140 / 240 RF</v>
          </cell>
          <cell r="R196" t="str">
            <v>Daño 160 / 280 RF</v>
          </cell>
          <cell r="S196">
            <v>0</v>
          </cell>
        </row>
        <row r="197">
          <cell r="D197" t="str">
            <v>Modificar presión absoluta mayor</v>
          </cell>
          <cell r="E197" t="str">
            <v>Presión</v>
          </cell>
          <cell r="F197">
            <v>3</v>
          </cell>
          <cell r="G197" t="str">
            <v>Sí</v>
          </cell>
          <cell r="H197" t="str">
            <v>Activa</v>
          </cell>
          <cell r="I197" t="str">
            <v>Fatiga 32</v>
          </cell>
          <cell r="J197" t="str">
            <v>Fatiga 24</v>
          </cell>
          <cell r="K197" t="str">
            <v>Fatiga 16</v>
          </cell>
          <cell r="L197" t="str">
            <v>Fatiga 12</v>
          </cell>
          <cell r="M197" t="str">
            <v>Fatiga 8</v>
          </cell>
          <cell r="N197" t="str">
            <v>Fatiga 6</v>
          </cell>
          <cell r="O197" t="str">
            <v>Fatiga 4</v>
          </cell>
          <cell r="P197" t="str">
            <v>10 atm / 500 m radio / 100 RF</v>
          </cell>
          <cell r="Q197" t="str">
            <v>20 atm / 1 km radio / 120 RF</v>
          </cell>
          <cell r="R197" t="str">
            <v>50 atm / 5 Km radio / 140 RF</v>
          </cell>
          <cell r="S197">
            <v>0</v>
          </cell>
        </row>
        <row r="198">
          <cell r="D198" t="str">
            <v>&gt; ANTIMATERIA</v>
          </cell>
          <cell r="S198">
            <v>0</v>
          </cell>
        </row>
        <row r="199">
          <cell r="D199" t="str">
            <v>Destruir energía</v>
          </cell>
          <cell r="E199" t="str">
            <v>Antimateria</v>
          </cell>
          <cell r="F199">
            <v>1</v>
          </cell>
          <cell r="G199" t="str">
            <v>No</v>
          </cell>
          <cell r="H199" t="str">
            <v>Activa</v>
          </cell>
          <cell r="I199" t="str">
            <v>Fatiga 8</v>
          </cell>
          <cell r="J199" t="str">
            <v>Fatiga 6</v>
          </cell>
          <cell r="K199" t="str">
            <v>1 intensidad</v>
          </cell>
          <cell r="L199" t="str">
            <v>2 intensidadades</v>
          </cell>
          <cell r="M199" t="str">
            <v>3 intensidadades</v>
          </cell>
          <cell r="N199" t="str">
            <v>5 intensidadades</v>
          </cell>
          <cell r="O199" t="str">
            <v>10 intensidadades</v>
          </cell>
          <cell r="P199" t="str">
            <v>15 intensidadades</v>
          </cell>
          <cell r="Q199" t="str">
            <v>20 intensidadades</v>
          </cell>
          <cell r="R199" t="str">
            <v>25 intensidadades</v>
          </cell>
          <cell r="S199">
            <v>0</v>
          </cell>
        </row>
        <row r="200">
          <cell r="D200" t="str">
            <v>Escudo de antimateria</v>
          </cell>
          <cell r="E200" t="str">
            <v>Antimateria</v>
          </cell>
          <cell r="F200">
            <v>1</v>
          </cell>
          <cell r="G200" t="str">
            <v>Sí</v>
          </cell>
          <cell r="H200" t="str">
            <v>Pasiva</v>
          </cell>
          <cell r="I200" t="str">
            <v>Fatiga 8</v>
          </cell>
          <cell r="J200" t="str">
            <v>Fatiga 6</v>
          </cell>
          <cell r="K200" t="str">
            <v>Fatiga 4</v>
          </cell>
          <cell r="L200" t="str">
            <v>Fatiga 2</v>
          </cell>
          <cell r="M200" t="str">
            <v>2 defensas / 400 PV / 80 RF</v>
          </cell>
          <cell r="N200" t="str">
            <v>3 defensas / 500 PV / 100 RF</v>
          </cell>
          <cell r="O200" t="str">
            <v>4 defensas / 700 PV / 120 RF</v>
          </cell>
          <cell r="P200" t="str">
            <v>5 defensas / 800 PV / 140 RF</v>
          </cell>
          <cell r="Q200" t="str">
            <v>6 defensas / 1000 PV / 160 RF</v>
          </cell>
          <cell r="R200" t="str">
            <v>7 defensas / 1500 PV / 180 RF</v>
          </cell>
          <cell r="S200">
            <v>0</v>
          </cell>
        </row>
        <row r="201">
          <cell r="D201" t="str">
            <v>Destruir materia</v>
          </cell>
          <cell r="E201" t="str">
            <v>Antimateria</v>
          </cell>
          <cell r="F201">
            <v>1</v>
          </cell>
          <cell r="G201" t="str">
            <v>No</v>
          </cell>
          <cell r="H201" t="str">
            <v>Pasiva</v>
          </cell>
          <cell r="I201" t="str">
            <v>Fatiga 8</v>
          </cell>
          <cell r="J201" t="str">
            <v>Fatiga 6</v>
          </cell>
          <cell r="K201" t="str">
            <v>Fatiga 4</v>
          </cell>
          <cell r="L201" t="str">
            <v>Fatiga 2</v>
          </cell>
          <cell r="M201" t="str">
            <v>5 metros radio</v>
          </cell>
          <cell r="N201" t="str">
            <v>10 metros radio</v>
          </cell>
          <cell r="O201" t="str">
            <v>25 metros radio</v>
          </cell>
          <cell r="P201" t="str">
            <v>50 metros radio</v>
          </cell>
          <cell r="Q201" t="str">
            <v>100 metros radio</v>
          </cell>
          <cell r="R201" t="str">
            <v>250 metros radio</v>
          </cell>
          <cell r="S201">
            <v>0</v>
          </cell>
        </row>
        <row r="202">
          <cell r="D202" t="str">
            <v>Antiexplosión</v>
          </cell>
          <cell r="E202" t="str">
            <v>Antimateria</v>
          </cell>
          <cell r="F202">
            <v>2</v>
          </cell>
          <cell r="G202" t="str">
            <v>No</v>
          </cell>
          <cell r="H202" t="str">
            <v>Activa</v>
          </cell>
          <cell r="I202" t="str">
            <v>Fatiga 16</v>
          </cell>
          <cell r="J202" t="str">
            <v>Fatiga 12</v>
          </cell>
          <cell r="K202" t="str">
            <v>Fatiga 8</v>
          </cell>
          <cell r="L202" t="str">
            <v>Fatiga 6</v>
          </cell>
          <cell r="M202" t="str">
            <v>Fatiga 4</v>
          </cell>
          <cell r="N202" t="str">
            <v>Daño 50 / 10 m / 120 RF o 5%</v>
          </cell>
          <cell r="O202" t="str">
            <v>Daño 60 / 25 m  / 140 RF o 7%</v>
          </cell>
          <cell r="P202" t="str">
            <v>Daño 70 / 50 m / 160 RF o 10%</v>
          </cell>
          <cell r="Q202" t="str">
            <v>Daño 80 / 100 m / 180 RF o 15%</v>
          </cell>
          <cell r="R202" t="str">
            <v>Daño 100 / 250m / 200 RF o 20%</v>
          </cell>
          <cell r="S202">
            <v>0</v>
          </cell>
        </row>
        <row r="203">
          <cell r="D203" t="str">
            <v>Recargar</v>
          </cell>
          <cell r="E203" t="str">
            <v>Antimateria</v>
          </cell>
          <cell r="F203">
            <v>2</v>
          </cell>
          <cell r="G203" t="str">
            <v>Sí</v>
          </cell>
          <cell r="H203" t="str">
            <v>Activa</v>
          </cell>
          <cell r="I203" t="str">
            <v>Fatiga 8</v>
          </cell>
          <cell r="J203" t="str">
            <v>Fatiga 6</v>
          </cell>
          <cell r="K203" t="str">
            <v>Fatiga 4</v>
          </cell>
          <cell r="L203" t="str">
            <v>Fatiga 2</v>
          </cell>
          <cell r="M203" t="str">
            <v>60 RF</v>
          </cell>
          <cell r="N203" t="str">
            <v>80 RF</v>
          </cell>
          <cell r="O203" t="str">
            <v>100 RF</v>
          </cell>
          <cell r="P203" t="str">
            <v>120 RF</v>
          </cell>
          <cell r="Q203" t="str">
            <v>140 RF</v>
          </cell>
          <cell r="R203" t="str">
            <v>180 RF</v>
          </cell>
          <cell r="S203">
            <v>0</v>
          </cell>
        </row>
        <row r="204">
          <cell r="D204" t="str">
            <v>Creación de antimateria</v>
          </cell>
          <cell r="E204" t="str">
            <v>Antimateria</v>
          </cell>
          <cell r="F204">
            <v>2</v>
          </cell>
          <cell r="G204" t="str">
            <v>No</v>
          </cell>
          <cell r="H204" t="str">
            <v>Activa</v>
          </cell>
          <cell r="I204" t="str">
            <v>Fatiga 8</v>
          </cell>
          <cell r="J204" t="str">
            <v>Fatiga 6</v>
          </cell>
          <cell r="K204" t="str">
            <v>Fatiga 4</v>
          </cell>
          <cell r="L204" t="str">
            <v>1 metro cúbico</v>
          </cell>
          <cell r="M204" t="str">
            <v>2 metros cúbicos</v>
          </cell>
          <cell r="N204" t="str">
            <v>3 metros cúbicos</v>
          </cell>
          <cell r="O204" t="str">
            <v>4 metros cúbicos</v>
          </cell>
          <cell r="P204" t="str">
            <v>5 metros cúbicos</v>
          </cell>
          <cell r="Q204" t="str">
            <v>10 metros cúbicos</v>
          </cell>
          <cell r="R204" t="str">
            <v>20 metros cúbicos</v>
          </cell>
          <cell r="S204">
            <v>0</v>
          </cell>
        </row>
        <row r="205">
          <cell r="D205" t="str">
            <v>Cataclismo</v>
          </cell>
          <cell r="E205" t="str">
            <v>Antimateria</v>
          </cell>
          <cell r="F205">
            <v>3</v>
          </cell>
          <cell r="G205" t="str">
            <v>No</v>
          </cell>
          <cell r="H205" t="str">
            <v>Activa</v>
          </cell>
          <cell r="I205" t="str">
            <v>Fatiga 24</v>
          </cell>
          <cell r="J205" t="str">
            <v>Fatiga 20</v>
          </cell>
          <cell r="K205" t="str">
            <v>Fatiga 18</v>
          </cell>
          <cell r="L205" t="str">
            <v>Fatiga 16</v>
          </cell>
          <cell r="M205" t="str">
            <v>Fatiga 12</v>
          </cell>
          <cell r="N205" t="str">
            <v>Fatiga 8</v>
          </cell>
          <cell r="O205" t="str">
            <v>120 RF o daño 80 / 1 turno</v>
          </cell>
          <cell r="P205" t="str">
            <v>140 RF o daño 120 / 3 turnos</v>
          </cell>
          <cell r="Q205" t="str">
            <v>160 RF o daño 150 / 5 turnos</v>
          </cell>
          <cell r="R205" t="str">
            <v>180 RF o daño 200 / 7 turnos</v>
          </cell>
          <cell r="S205">
            <v>0</v>
          </cell>
        </row>
        <row r="206">
          <cell r="D206" t="str">
            <v>Anti-Yo</v>
          </cell>
          <cell r="E206" t="str">
            <v>Antimateria</v>
          </cell>
          <cell r="F206">
            <v>3</v>
          </cell>
          <cell r="G206" t="str">
            <v>No</v>
          </cell>
          <cell r="H206" t="str">
            <v>Activa</v>
          </cell>
          <cell r="I206" t="str">
            <v>Fatiga 24</v>
          </cell>
          <cell r="J206" t="str">
            <v>Fatiga 16</v>
          </cell>
          <cell r="K206" t="str">
            <v>Fatiga 12</v>
          </cell>
          <cell r="L206" t="str">
            <v>Fatiga 8</v>
          </cell>
          <cell r="M206" t="str">
            <v>Fatiga 6</v>
          </cell>
          <cell r="N206" t="str">
            <v>120 RF / 3 turnos</v>
          </cell>
          <cell r="O206" t="str">
            <v>140 RF / 5 turnos</v>
          </cell>
          <cell r="P206" t="str">
            <v>160 RF / 7 turnos</v>
          </cell>
          <cell r="Q206" t="str">
            <v>180 RF / 10 turnos</v>
          </cell>
          <cell r="R206" t="str">
            <v>200 RF / 15 turnos</v>
          </cell>
          <cell r="S206">
            <v>0</v>
          </cell>
        </row>
        <row r="207">
          <cell r="D207" t="str">
            <v>&gt; FILOQUINESIS</v>
          </cell>
          <cell r="S207">
            <v>0</v>
          </cell>
        </row>
        <row r="208">
          <cell r="D208" t="str">
            <v>Laceración psíquica</v>
          </cell>
          <cell r="E208" t="str">
            <v>Filoquinesis</v>
          </cell>
          <cell r="F208">
            <v>1</v>
          </cell>
          <cell r="G208" t="str">
            <v>No</v>
          </cell>
          <cell r="H208" t="str">
            <v>Activa</v>
          </cell>
          <cell r="I208" t="str">
            <v>Fatiga 4</v>
          </cell>
          <cell r="J208" t="str">
            <v>Fatiga 2</v>
          </cell>
          <cell r="K208" t="str">
            <v>Fatiga 1</v>
          </cell>
          <cell r="L208" t="str">
            <v>Daño 60 / -1 TAs</v>
          </cell>
          <cell r="M208" t="str">
            <v>Daño 80 / -2 TAs</v>
          </cell>
          <cell r="N208" t="str">
            <v>Daño 100 / -3 TAs</v>
          </cell>
          <cell r="O208" t="str">
            <v>Daño 120 / -4 TAs</v>
          </cell>
          <cell r="P208" t="str">
            <v>Daño 140 / -5 TAs</v>
          </cell>
          <cell r="Q208" t="str">
            <v>Daño 160 / -6 TAs</v>
          </cell>
          <cell r="R208" t="str">
            <v>Daño 180 / -8 TAs</v>
          </cell>
          <cell r="S208">
            <v>0</v>
          </cell>
        </row>
        <row r="209">
          <cell r="D209" t="str">
            <v>Extrusión matricial</v>
          </cell>
          <cell r="E209" t="str">
            <v>Filoquinesis</v>
          </cell>
          <cell r="F209">
            <v>1</v>
          </cell>
          <cell r="G209" t="str">
            <v>Sí</v>
          </cell>
          <cell r="H209" t="str">
            <v>Activa</v>
          </cell>
          <cell r="I209" t="str">
            <v>Fatiga 4</v>
          </cell>
          <cell r="J209" t="str">
            <v>Fatiga 2</v>
          </cell>
          <cell r="K209" t="str">
            <v>Fatiga 1</v>
          </cell>
          <cell r="L209" t="str">
            <v>-1 TA / +2 Rotura</v>
          </cell>
          <cell r="M209" t="str">
            <v>-2 TAs / +4 Rotura</v>
          </cell>
          <cell r="N209" t="str">
            <v>-3 TAs / +6 Rotura</v>
          </cell>
          <cell r="O209" t="str">
            <v>-4 TAs / +8 Rotura</v>
          </cell>
          <cell r="P209" t="str">
            <v>-5 TAs / +10 Rotura</v>
          </cell>
          <cell r="Q209" t="str">
            <v>-6 TAs / +12 Rotura</v>
          </cell>
          <cell r="R209" t="str">
            <v>-8 TAs / +16 Rotura / Daño irr.</v>
          </cell>
          <cell r="S209">
            <v>0</v>
          </cell>
        </row>
        <row r="210">
          <cell r="D210" t="str">
            <v>Corte reflejo</v>
          </cell>
          <cell r="E210" t="str">
            <v>Filoquinesis</v>
          </cell>
          <cell r="F210">
            <v>2</v>
          </cell>
          <cell r="G210" t="str">
            <v>Sí</v>
          </cell>
          <cell r="H210" t="str">
            <v>Pasiva</v>
          </cell>
          <cell r="I210" t="str">
            <v>Fatiga 8</v>
          </cell>
          <cell r="J210" t="str">
            <v>Fatiga 6</v>
          </cell>
          <cell r="K210" t="str">
            <v>Fatiga 4</v>
          </cell>
          <cell r="L210" t="str">
            <v>Fatiga 2</v>
          </cell>
          <cell r="M210" t="str">
            <v>1 Defensa / 8 Rotura</v>
          </cell>
          <cell r="N210" t="str">
            <v>2 Defensas / 12 Rotura</v>
          </cell>
          <cell r="O210" t="str">
            <v>4 Defensas / 16 Rotura</v>
          </cell>
          <cell r="P210" t="str">
            <v>6 Defensas / 20 Rotura</v>
          </cell>
          <cell r="Q210" t="str">
            <v>8 Defensas / 25 Rotura</v>
          </cell>
          <cell r="R210" t="str">
            <v>Defensas ilimitadas / 30 Rotura</v>
          </cell>
          <cell r="S210">
            <v>0</v>
          </cell>
        </row>
        <row r="211">
          <cell r="D211" t="str">
            <v>Manipulación del filo</v>
          </cell>
          <cell r="E211" t="str">
            <v>Filoquinesis</v>
          </cell>
          <cell r="F211">
            <v>2</v>
          </cell>
          <cell r="G211" t="str">
            <v>Sí</v>
          </cell>
          <cell r="H211" t="str">
            <v>Pasiva</v>
          </cell>
          <cell r="I211" t="str">
            <v>Fatiga 12</v>
          </cell>
          <cell r="J211" t="str">
            <v>Fatiga 8</v>
          </cell>
          <cell r="K211" t="str">
            <v>Fatiga 6</v>
          </cell>
          <cell r="L211" t="str">
            <v>Fatiga 4</v>
          </cell>
          <cell r="M211" t="str">
            <v>Fatiga 2</v>
          </cell>
          <cell r="N211" t="str">
            <v>10 m de área</v>
          </cell>
          <cell r="O211" t="str">
            <v>25 m de área</v>
          </cell>
          <cell r="P211" t="str">
            <v>50 m de área</v>
          </cell>
          <cell r="Q211" t="str">
            <v>100 m de área</v>
          </cell>
          <cell r="R211" t="str">
            <v>250 m de área</v>
          </cell>
          <cell r="S211">
            <v>0</v>
          </cell>
        </row>
        <row r="212">
          <cell r="D212" t="str">
            <v>Escisión material</v>
          </cell>
          <cell r="E212" t="str">
            <v>Filoquinesis</v>
          </cell>
          <cell r="F212">
            <v>2</v>
          </cell>
          <cell r="G212" t="str">
            <v>No</v>
          </cell>
          <cell r="H212" t="str">
            <v>Activa</v>
          </cell>
          <cell r="I212" t="str">
            <v>Fatiga 12</v>
          </cell>
          <cell r="J212" t="str">
            <v>Fatiga 8</v>
          </cell>
          <cell r="K212" t="str">
            <v>Fatiga 6</v>
          </cell>
          <cell r="L212" t="str">
            <v>Fatiga 4</v>
          </cell>
          <cell r="M212" t="str">
            <v>Fatiga 2</v>
          </cell>
          <cell r="N212" t="str">
            <v>50 m de radio / Barrera daño 80</v>
          </cell>
          <cell r="O212" t="str">
            <v>100 m de radio / Barrera daño 100</v>
          </cell>
          <cell r="P212" t="str">
            <v>250 m de radio / Barrera daño 140</v>
          </cell>
          <cell r="Q212" t="str">
            <v>500 m de radio / Barrera daño 180</v>
          </cell>
          <cell r="R212" t="str">
            <v>1 km de radio / Barrera daño 200</v>
          </cell>
          <cell r="S212">
            <v>0</v>
          </cell>
        </row>
        <row r="213">
          <cell r="D213" t="str">
            <v>Escisión mental</v>
          </cell>
          <cell r="E213" t="str">
            <v>Filoquinesis</v>
          </cell>
          <cell r="F213">
            <v>2</v>
          </cell>
          <cell r="G213" t="str">
            <v>No</v>
          </cell>
          <cell r="H213" t="str">
            <v>Activa</v>
          </cell>
          <cell r="I213" t="str">
            <v>Fatiga 8</v>
          </cell>
          <cell r="J213" t="str">
            <v>Fatiga 6</v>
          </cell>
          <cell r="K213" t="str">
            <v>Fatiga 4</v>
          </cell>
          <cell r="L213" t="str">
            <v>Fatiga 2</v>
          </cell>
          <cell r="M213" t="str">
            <v>100 RF</v>
          </cell>
          <cell r="N213" t="str">
            <v>120 RF</v>
          </cell>
          <cell r="O213" t="str">
            <v>140 RF</v>
          </cell>
          <cell r="P213" t="str">
            <v>160 RF</v>
          </cell>
          <cell r="Q213" t="str">
            <v>180 RF</v>
          </cell>
          <cell r="R213" t="str">
            <v>220 RF</v>
          </cell>
          <cell r="S213">
            <v>0</v>
          </cell>
        </row>
        <row r="214">
          <cell r="D214" t="str">
            <v>Triturar</v>
          </cell>
          <cell r="E214" t="str">
            <v>Filoquinesis</v>
          </cell>
          <cell r="F214">
            <v>3</v>
          </cell>
          <cell r="G214" t="str">
            <v>No</v>
          </cell>
          <cell r="H214" t="str">
            <v>Activa</v>
          </cell>
          <cell r="I214" t="str">
            <v>Fatiga 20</v>
          </cell>
          <cell r="J214" t="str">
            <v>Fatiga 16</v>
          </cell>
          <cell r="K214" t="str">
            <v>Fatiga 8</v>
          </cell>
          <cell r="L214" t="str">
            <v>Fatiga 6</v>
          </cell>
          <cell r="M214" t="str">
            <v>Fatiga 4</v>
          </cell>
          <cell r="N214" t="str">
            <v>Fatiga 2</v>
          </cell>
          <cell r="O214" t="str">
            <v>3 Ataques / -4 TAs</v>
          </cell>
          <cell r="P214" t="str">
            <v>4 Ataques / -6 TAs</v>
          </cell>
          <cell r="Q214" t="str">
            <v>5 Ataques / -8 TAs</v>
          </cell>
          <cell r="R214" t="str">
            <v>6 Ataques / Sin TAs</v>
          </cell>
          <cell r="S214">
            <v>0</v>
          </cell>
        </row>
        <row r="215">
          <cell r="D215" t="str">
            <v>Despedazar existencia</v>
          </cell>
          <cell r="E215" t="str">
            <v>Filoquinesis</v>
          </cell>
          <cell r="F215">
            <v>3</v>
          </cell>
          <cell r="G215" t="str">
            <v>Sí</v>
          </cell>
          <cell r="H215" t="str">
            <v>Activa</v>
          </cell>
          <cell r="I215" t="str">
            <v>Fatiga 20</v>
          </cell>
          <cell r="J215" t="str">
            <v>Fatiga 16</v>
          </cell>
          <cell r="K215" t="str">
            <v>Fatiga 12</v>
          </cell>
          <cell r="L215" t="str">
            <v>Fatiga 8</v>
          </cell>
          <cell r="M215" t="str">
            <v>Fatiga 6</v>
          </cell>
          <cell r="N215" t="str">
            <v>Fatiga 4</v>
          </cell>
          <cell r="O215" t="str">
            <v>10 m de radio / Daño 100 / -3 TAs</v>
          </cell>
          <cell r="P215" t="str">
            <v>25 m de radio / Daño 120 / -5 TAs</v>
          </cell>
          <cell r="Q215" t="str">
            <v>50 m de radio / Daño 140 / -6 TAs</v>
          </cell>
          <cell r="R215" t="str">
            <v>100 m de radio / Daño 180 / -8 TAs</v>
          </cell>
          <cell r="S215">
            <v>0</v>
          </cell>
        </row>
        <row r="216">
          <cell r="D216" t="str">
            <v>&gt; DOMINIO DEL ESPACIO</v>
          </cell>
          <cell r="S216">
            <v>0</v>
          </cell>
        </row>
        <row r="217">
          <cell r="D217" t="str">
            <v>Dominio vectorial</v>
          </cell>
          <cell r="E217" t="str">
            <v>Dominio del espacio</v>
          </cell>
          <cell r="F217">
            <v>1</v>
          </cell>
          <cell r="G217" t="str">
            <v>Sí</v>
          </cell>
          <cell r="H217" t="str">
            <v>Activa</v>
          </cell>
          <cell r="I217" t="str">
            <v>Fatiga 2</v>
          </cell>
          <cell r="J217" t="str">
            <v>Fatiga 1</v>
          </cell>
          <cell r="K217" t="str">
            <v>1 kg / Obj. físicos / 20 RF</v>
          </cell>
          <cell r="L217" t="str">
            <v>10 kg / Obj. físicos / 40 RF</v>
          </cell>
          <cell r="M217" t="str">
            <v>50 kg / Obj. físicos / 60 RF</v>
          </cell>
          <cell r="N217" t="str">
            <v>100 kg / Afecta energía / 80 RF</v>
          </cell>
          <cell r="O217" t="str">
            <v>250 kg / Afecta energía / 100 RF</v>
          </cell>
          <cell r="P217" t="str">
            <v>500 kg / Afecta energía / 120 RF</v>
          </cell>
          <cell r="Q217" t="str">
            <v>1 t / Afecta f. de la nat. / 140 RF</v>
          </cell>
          <cell r="R217" t="str">
            <v>10 t / Afecta f. de la nat. / 160 RF</v>
          </cell>
          <cell r="S217">
            <v>0</v>
          </cell>
        </row>
        <row r="218">
          <cell r="D218" t="str">
            <v>Desvio defensivo</v>
          </cell>
          <cell r="E218" t="str">
            <v>Dominio del espacio</v>
          </cell>
          <cell r="F218">
            <v>1</v>
          </cell>
          <cell r="G218" t="str">
            <v>Sí</v>
          </cell>
          <cell r="H218" t="str">
            <v>Pasiva</v>
          </cell>
          <cell r="I218" t="str">
            <v>Fatiga 6</v>
          </cell>
          <cell r="J218" t="str">
            <v>Fatiga 4</v>
          </cell>
          <cell r="K218" t="str">
            <v>Fatiga 2</v>
          </cell>
          <cell r="L218" t="str">
            <v>3 Desvíos</v>
          </cell>
          <cell r="M218" t="str">
            <v>4 Desvíos</v>
          </cell>
          <cell r="N218" t="str">
            <v>5 Desvíos</v>
          </cell>
          <cell r="O218" t="str">
            <v>6 Desvíos</v>
          </cell>
          <cell r="P218" t="str">
            <v>7 Desvíos / afecta energía</v>
          </cell>
          <cell r="Q218" t="str">
            <v>8 Desvíos / afecta energía</v>
          </cell>
          <cell r="R218" t="str">
            <v>Desvíos ilimitados / afecta energía</v>
          </cell>
          <cell r="S218">
            <v>0</v>
          </cell>
        </row>
        <row r="219">
          <cell r="D219" t="str">
            <v>Estancar espacio</v>
          </cell>
          <cell r="E219" t="str">
            <v>Dominio del espacio</v>
          </cell>
          <cell r="F219">
            <v>1</v>
          </cell>
          <cell r="G219" t="str">
            <v>Sí</v>
          </cell>
          <cell r="H219" t="str">
            <v>Activa</v>
          </cell>
          <cell r="I219" t="str">
            <v>Fatiga 2</v>
          </cell>
          <cell r="J219" t="str">
            <v>Fatiga 1</v>
          </cell>
          <cell r="K219" t="str">
            <v>120 kg / Fue 4</v>
          </cell>
          <cell r="L219" t="str">
            <v>180 kg / Fue 6</v>
          </cell>
          <cell r="M219" t="str">
            <v>260 kg / Fue 8</v>
          </cell>
          <cell r="N219" t="str">
            <v>350 kg / Fue 10</v>
          </cell>
          <cell r="O219" t="str">
            <v>420 kg / Fue 12</v>
          </cell>
          <cell r="P219" t="str">
            <v>600 kg / Fue 14</v>
          </cell>
          <cell r="Q219" t="str">
            <v>1 t / Fue 15</v>
          </cell>
          <cell r="R219" t="str">
            <v>2 t / Fue 16</v>
          </cell>
          <cell r="S219">
            <v>0</v>
          </cell>
        </row>
        <row r="220">
          <cell r="D220" t="str">
            <v>Moldear espacio</v>
          </cell>
          <cell r="E220" t="str">
            <v>Dominio del espacio</v>
          </cell>
          <cell r="F220">
            <v>2</v>
          </cell>
          <cell r="G220" t="str">
            <v>Sí</v>
          </cell>
          <cell r="H220" t="str">
            <v>Pasiva</v>
          </cell>
          <cell r="I220" t="str">
            <v>Fatiga 8</v>
          </cell>
          <cell r="J220" t="str">
            <v>Fatiga 4</v>
          </cell>
          <cell r="K220" t="str">
            <v>Fatiga 2</v>
          </cell>
          <cell r="L220" t="str">
            <v>10 metros</v>
          </cell>
          <cell r="M220" t="str">
            <v>15 metros</v>
          </cell>
          <cell r="N220" t="str">
            <v>20 metros</v>
          </cell>
          <cell r="O220" t="str">
            <v>30 metros</v>
          </cell>
          <cell r="P220" t="str">
            <v>50 metros</v>
          </cell>
          <cell r="Q220" t="str">
            <v>100 metros</v>
          </cell>
          <cell r="R220" t="str">
            <v>1 kllómetro</v>
          </cell>
          <cell r="S220">
            <v>0</v>
          </cell>
        </row>
        <row r="221">
          <cell r="D221" t="str">
            <v>Vector ofensivo</v>
          </cell>
          <cell r="E221" t="str">
            <v>Dominio del espacio</v>
          </cell>
          <cell r="F221">
            <v>2</v>
          </cell>
          <cell r="G221" t="str">
            <v>No</v>
          </cell>
          <cell r="H221" t="str">
            <v>Activa</v>
          </cell>
          <cell r="I221" t="str">
            <v>Fatiga 8</v>
          </cell>
          <cell r="J221" t="str">
            <v>Fatiga 6</v>
          </cell>
          <cell r="K221" t="str">
            <v>Fatiga 4</v>
          </cell>
          <cell r="L221" t="str">
            <v>Hasta daño 40</v>
          </cell>
          <cell r="M221" t="str">
            <v>Hasta daño 50</v>
          </cell>
          <cell r="N221" t="str">
            <v>Hasta daño 60</v>
          </cell>
          <cell r="O221" t="str">
            <v>Hasta daño 70</v>
          </cell>
          <cell r="P221" t="str">
            <v>Hasta daño 80</v>
          </cell>
          <cell r="Q221" t="str">
            <v>Hasta daño 90</v>
          </cell>
          <cell r="R221" t="str">
            <v>Hasta daño 100</v>
          </cell>
          <cell r="S221">
            <v>0</v>
          </cell>
        </row>
        <row r="222">
          <cell r="D222" t="str">
            <v>Espacio ficticio</v>
          </cell>
          <cell r="E222" t="str">
            <v>Dominio del espacio</v>
          </cell>
          <cell r="F222">
            <v>2</v>
          </cell>
          <cell r="G222" t="str">
            <v>Sí</v>
          </cell>
          <cell r="H222" t="str">
            <v>Pasiva</v>
          </cell>
          <cell r="I222" t="str">
            <v>Fatiga 8</v>
          </cell>
          <cell r="J222" t="str">
            <v>Fatiga 4</v>
          </cell>
          <cell r="K222" t="str">
            <v>Fatiga 2</v>
          </cell>
          <cell r="L222" t="str">
            <v>10 m2</v>
          </cell>
          <cell r="M222" t="str">
            <v>100 m2</v>
          </cell>
          <cell r="N222" t="str">
            <v>1 Km2</v>
          </cell>
          <cell r="O222" t="str">
            <v>10 Km2</v>
          </cell>
          <cell r="P222" t="str">
            <v>100 Km2</v>
          </cell>
          <cell r="Q222" t="str">
            <v>1.000 Km²</v>
          </cell>
          <cell r="R222" t="str">
            <v>10.000 km²</v>
          </cell>
          <cell r="S222">
            <v>0</v>
          </cell>
        </row>
        <row r="223">
          <cell r="D223" t="str">
            <v>Modificación de curvatura</v>
          </cell>
          <cell r="E223" t="str">
            <v>Dominio del espacio</v>
          </cell>
          <cell r="F223">
            <v>2</v>
          </cell>
          <cell r="G223" t="str">
            <v>Sí</v>
          </cell>
          <cell r="H223" t="str">
            <v>Activa</v>
          </cell>
          <cell r="I223" t="str">
            <v>Fatiga 8</v>
          </cell>
          <cell r="J223" t="str">
            <v>Fatiag 6</v>
          </cell>
          <cell r="K223" t="str">
            <v>Fatiga 4</v>
          </cell>
          <cell r="L223" t="str">
            <v>Fatiga 2</v>
          </cell>
          <cell r="M223" t="str">
            <v>-1 TM / 5 m / 120 RF</v>
          </cell>
          <cell r="N223" t="str">
            <v>-2 TM / 10 m / 140 RF</v>
          </cell>
          <cell r="O223" t="str">
            <v>-3 TM / 100 m / 140 RF</v>
          </cell>
          <cell r="P223" t="str">
            <v>-4 TM / 500 m / 160 RF</v>
          </cell>
          <cell r="Q223" t="str">
            <v>-5 TM / 1 km / 180 RF</v>
          </cell>
          <cell r="R223" t="str">
            <v>-6 TM / 10 km / 200 RF</v>
          </cell>
          <cell r="S223">
            <v>0</v>
          </cell>
        </row>
        <row r="224">
          <cell r="D224" t="str">
            <v>Desvinculación espacial</v>
          </cell>
          <cell r="E224" t="str">
            <v>Dominio del espacio</v>
          </cell>
          <cell r="F224">
            <v>3</v>
          </cell>
          <cell r="G224" t="str">
            <v>Sí</v>
          </cell>
          <cell r="H224" t="str">
            <v>Activa</v>
          </cell>
          <cell r="I224" t="str">
            <v>Fatiga 16</v>
          </cell>
          <cell r="J224" t="str">
            <v>Fatiga 12</v>
          </cell>
          <cell r="K224" t="str">
            <v>Fatiga 8</v>
          </cell>
          <cell r="L224" t="str">
            <v>Fatiga 6</v>
          </cell>
          <cell r="M224" t="str">
            <v>Fatiga 4</v>
          </cell>
          <cell r="N224" t="str">
            <v>Fatiga 2</v>
          </cell>
          <cell r="O224" t="str">
            <v>5 personas / 25 m2 / 80 RF</v>
          </cell>
          <cell r="P224" t="str">
            <v>10 personas / 50 m2 / 100 RF</v>
          </cell>
          <cell r="Q224" t="str">
            <v>50 personas / 100 m2 / 120 RF</v>
          </cell>
          <cell r="R224" t="str">
            <v>100 personas / 1 km2 / 160 RF</v>
          </cell>
          <cell r="S224">
            <v>0</v>
          </cell>
        </row>
        <row r="225">
          <cell r="D225" t="str">
            <v>Creación de singularidad</v>
          </cell>
          <cell r="E225" t="str">
            <v>Dominio del espacio</v>
          </cell>
          <cell r="F225">
            <v>3</v>
          </cell>
          <cell r="G225" t="str">
            <v>Sí</v>
          </cell>
          <cell r="H225" t="str">
            <v>Activa</v>
          </cell>
          <cell r="I225" t="str">
            <v>Fatiga 24</v>
          </cell>
          <cell r="J225" t="str">
            <v>Fatiga 20</v>
          </cell>
          <cell r="K225" t="str">
            <v>Fatiga 16</v>
          </cell>
          <cell r="L225" t="str">
            <v>Fatiga 12</v>
          </cell>
          <cell r="M225" t="str">
            <v>Fatiga 8</v>
          </cell>
          <cell r="N225" t="str">
            <v>Fatiga 6</v>
          </cell>
          <cell r="O225" t="str">
            <v>Fatiga 4</v>
          </cell>
          <cell r="P225" t="str">
            <v>5 m radio / CON 16 / 140 RF / Barrera 100</v>
          </cell>
          <cell r="Q225" t="str">
            <v>10 m radio / CON 18 / 180 RF / Barrera 120</v>
          </cell>
          <cell r="R225" t="str">
            <v>50 m radio / CON 20 / 240 RF / Barrera 140</v>
          </cell>
          <cell r="S225">
            <v>0</v>
          </cell>
        </row>
        <row r="226">
          <cell r="D226" t="str">
            <v>&gt; PODERES SINERGICOS</v>
          </cell>
          <cell r="S226">
            <v>1</v>
          </cell>
        </row>
        <row r="227">
          <cell r="D227" t="str">
            <v>Convergencia futura</v>
          </cell>
          <cell r="E227" t="str">
            <v>Poder sinérgico</v>
          </cell>
          <cell r="F227" t="str">
            <v>-</v>
          </cell>
          <cell r="G227" t="str">
            <v>Sí</v>
          </cell>
          <cell r="H227" t="str">
            <v>Activa</v>
          </cell>
          <cell r="I227" t="str">
            <v>Fatiga 24</v>
          </cell>
          <cell r="J227" t="str">
            <v>Fatiga 16</v>
          </cell>
          <cell r="K227" t="str">
            <v>Fatiga 12</v>
          </cell>
          <cell r="L227" t="str">
            <v>Fatiga 8</v>
          </cell>
          <cell r="M227" t="str">
            <v>Fatiga 4</v>
          </cell>
          <cell r="N227" t="str">
            <v>Fatiga 2</v>
          </cell>
          <cell r="O227" t="str">
            <v>Hasta 1 día / +10 toda acción</v>
          </cell>
          <cell r="P227" t="str">
            <v>Hasta 1 sem / +20 toda acción</v>
          </cell>
          <cell r="Q227" t="str">
            <v>Hasta 1 mes / +25 toda acción</v>
          </cell>
          <cell r="R227" t="str">
            <v>Hasta 1 año / +30 toda acción</v>
          </cell>
          <cell r="S227">
            <v>0</v>
          </cell>
        </row>
        <row r="228">
          <cell r="D228" t="str">
            <v>Agujero de gusano</v>
          </cell>
          <cell r="E228" t="str">
            <v>Poder sinérgico</v>
          </cell>
          <cell r="F228" t="str">
            <v>-</v>
          </cell>
          <cell r="G228" t="str">
            <v>Sí</v>
          </cell>
          <cell r="H228" t="str">
            <v>Activa</v>
          </cell>
          <cell r="I228" t="str">
            <v>Fatiga 8</v>
          </cell>
          <cell r="J228" t="str">
            <v>Fatiga 6</v>
          </cell>
          <cell r="K228" t="str">
            <v>Fatiga 4</v>
          </cell>
          <cell r="L228" t="str">
            <v>250 m de distancia</v>
          </cell>
          <cell r="M228" t="str">
            <v>500 m de distancia</v>
          </cell>
          <cell r="N228" t="str">
            <v>1 km de distancia</v>
          </cell>
          <cell r="O228" t="str">
            <v>10 km de distancia</v>
          </cell>
          <cell r="P228" t="str">
            <v>100 km de distancia</v>
          </cell>
          <cell r="Q228" t="str">
            <v>500 km de distancia</v>
          </cell>
          <cell r="R228" t="str">
            <v>1.000 km de distancia</v>
          </cell>
          <cell r="S228">
            <v>0</v>
          </cell>
        </row>
        <row r="229">
          <cell r="D229" t="str">
            <v>Observar ensueño</v>
          </cell>
          <cell r="E229" t="str">
            <v>Poder sinérgico</v>
          </cell>
          <cell r="F229" t="str">
            <v>-</v>
          </cell>
          <cell r="G229" t="str">
            <v>Sí</v>
          </cell>
          <cell r="H229" t="str">
            <v>Activa</v>
          </cell>
          <cell r="I229" t="str">
            <v>Fatiga 12</v>
          </cell>
          <cell r="J229" t="str">
            <v>Fatiga 8</v>
          </cell>
          <cell r="K229" t="str">
            <v>Fatiga 6</v>
          </cell>
          <cell r="L229" t="str">
            <v>Fatiga 4</v>
          </cell>
          <cell r="M229" t="str">
            <v>100 RP</v>
          </cell>
          <cell r="N229" t="str">
            <v>120 RP</v>
          </cell>
          <cell r="O229" t="str">
            <v>140 RP</v>
          </cell>
          <cell r="P229" t="str">
            <v>10 metros / 160 RP</v>
          </cell>
          <cell r="Q229" t="str">
            <v>50 metros / 180 RP</v>
          </cell>
          <cell r="R229" t="str">
            <v>100 metros / 200 RP</v>
          </cell>
          <cell r="S229">
            <v>0</v>
          </cell>
        </row>
        <row r="230">
          <cell r="D230" t="str">
            <v>Percibir</v>
          </cell>
          <cell r="E230" t="str">
            <v>Poder sinérgico</v>
          </cell>
          <cell r="F230" t="str">
            <v>-</v>
          </cell>
          <cell r="G230" t="str">
            <v>Sí</v>
          </cell>
          <cell r="H230" t="str">
            <v>Activa</v>
          </cell>
          <cell r="I230" t="str">
            <v>Fatiga 12</v>
          </cell>
          <cell r="J230" t="str">
            <v>Fatiga 8</v>
          </cell>
          <cell r="K230" t="str">
            <v>Fatiga 6</v>
          </cell>
          <cell r="L230" t="str">
            <v>Fatiga 4</v>
          </cell>
          <cell r="M230" t="str">
            <v>RF 100, Daño 40, -2TAs, no barrera daño 60</v>
          </cell>
          <cell r="N230" t="str">
            <v>RF 120, Daño 50, -4TAs, no barrera daño 80</v>
          </cell>
          <cell r="O230" t="str">
            <v>RF 140, Daño 60, -6TAs, no barrera daño 120</v>
          </cell>
          <cell r="P230" t="str">
            <v>RF 160, Daño 70, -8TAs, no barrera daño 140</v>
          </cell>
          <cell r="Q230" t="str">
            <v>RF 180, Daño 80, ignora TA, no barrera daño 160</v>
          </cell>
          <cell r="R230" t="str">
            <v>200 RF, Daño 100, ignora TA, Barrera daño 200</v>
          </cell>
          <cell r="S230">
            <v>0</v>
          </cell>
        </row>
        <row r="231">
          <cell r="D231" t="str">
            <v>Cuerpo a elecricidad</v>
          </cell>
          <cell r="E231" t="str">
            <v>Poder sinérgico</v>
          </cell>
          <cell r="F231" t="str">
            <v>-</v>
          </cell>
          <cell r="G231" t="str">
            <v>Sí</v>
          </cell>
          <cell r="H231" t="str">
            <v>Activa</v>
          </cell>
          <cell r="I231" t="str">
            <v>Fatiga 12</v>
          </cell>
          <cell r="J231" t="str">
            <v>Fatiga 8</v>
          </cell>
          <cell r="K231" t="str">
            <v>Fatiga 6</v>
          </cell>
          <cell r="L231" t="str">
            <v>Fatiga 4</v>
          </cell>
          <cell r="M231" t="str">
            <v>+20 turno / Vuelo 6</v>
          </cell>
          <cell r="N231" t="str">
            <v xml:space="preserve">+40 turno / Vuelo </v>
          </cell>
          <cell r="O231" t="str">
            <v>+60 turno / Vuelo 10</v>
          </cell>
          <cell r="P231" t="str">
            <v>+70 turno / Vuelo 12</v>
          </cell>
          <cell r="Q231" t="str">
            <v>+80 turno / Vuelo 14</v>
          </cell>
          <cell r="R231" t="str">
            <v>+100 turno / Vuelo 16</v>
          </cell>
          <cell r="S231">
            <v>0</v>
          </cell>
        </row>
        <row r="232">
          <cell r="D232" t="str">
            <v>Borrar tiempo</v>
          </cell>
          <cell r="E232" t="str">
            <v>Poder sinérgico</v>
          </cell>
          <cell r="F232" t="str">
            <v>-</v>
          </cell>
          <cell r="G232" t="str">
            <v>No</v>
          </cell>
          <cell r="H232" t="str">
            <v>Activa</v>
          </cell>
          <cell r="I232" t="str">
            <v>Fatiga 24</v>
          </cell>
          <cell r="J232" t="str">
            <v>Fatiga 16</v>
          </cell>
          <cell r="K232" t="str">
            <v>Fatiga 12</v>
          </cell>
          <cell r="L232" t="str">
            <v>Fatiga 8</v>
          </cell>
          <cell r="M232" t="str">
            <v>Fatiga 6</v>
          </cell>
          <cell r="N232" t="str">
            <v>Fatiga 4</v>
          </cell>
          <cell r="O232" t="str">
            <v>1 acción / 10 m / 120 RF</v>
          </cell>
          <cell r="P232" t="str">
            <v>1 acción / 20 m / 140 RF</v>
          </cell>
          <cell r="Q232" t="str">
            <v>2 acciones / 50 m / 160 RF</v>
          </cell>
          <cell r="R232" t="str">
            <v>2 acciones / 100 m /180 RF</v>
          </cell>
          <cell r="S232">
            <v>0</v>
          </cell>
        </row>
        <row r="233">
          <cell r="D233" t="str">
            <v>Empuje por curvatura</v>
          </cell>
          <cell r="E233" t="str">
            <v>Poder sinérgico</v>
          </cell>
          <cell r="F233" t="str">
            <v>-</v>
          </cell>
          <cell r="G233" t="str">
            <v>No</v>
          </cell>
          <cell r="H233" t="str">
            <v>Activa</v>
          </cell>
          <cell r="I233" t="str">
            <v>Fatiga 16</v>
          </cell>
          <cell r="J233" t="str">
            <v>Fatiga 12</v>
          </cell>
          <cell r="K233" t="str">
            <v>Fatiga 8</v>
          </cell>
          <cell r="L233" t="str">
            <v>Fatiga 6</v>
          </cell>
          <cell r="M233" t="str">
            <v>Fatiga 4</v>
          </cell>
          <cell r="N233" t="str">
            <v>10 metros / Advertir 120 o Flanco</v>
          </cell>
          <cell r="O233" t="str">
            <v>20 metros / Advertir 140 o Flanco</v>
          </cell>
          <cell r="P233" t="str">
            <v>25 metros / Advertir 180 o Espalda</v>
          </cell>
          <cell r="Q233" t="str">
            <v>50 metros / Advertir 240 o Espalda</v>
          </cell>
          <cell r="R233" t="str">
            <v>100 metros / Advertir 280 o Espalda</v>
          </cell>
          <cell r="S233">
            <v>0</v>
          </cell>
        </row>
        <row r="234">
          <cell r="D234" t="str">
            <v>Desplazar sonidos</v>
          </cell>
          <cell r="E234" t="str">
            <v>Poder sinérgico</v>
          </cell>
          <cell r="F234" t="str">
            <v>-</v>
          </cell>
          <cell r="G234" t="str">
            <v>Sí</v>
          </cell>
          <cell r="H234" t="str">
            <v>Activa</v>
          </cell>
          <cell r="I234" t="str">
            <v>Fatiga 4</v>
          </cell>
          <cell r="J234" t="str">
            <v>Fatiga 2</v>
          </cell>
          <cell r="K234" t="str">
            <v>Fatiga 1</v>
          </cell>
          <cell r="L234" t="str">
            <v>10 metros</v>
          </cell>
          <cell r="M234" t="str">
            <v>25 metros</v>
          </cell>
          <cell r="N234" t="str">
            <v>50 metros</v>
          </cell>
          <cell r="O234" t="str">
            <v>100 metros</v>
          </cell>
          <cell r="P234" t="str">
            <v>500 metros</v>
          </cell>
          <cell r="Q234" t="str">
            <v>1 kilómetro</v>
          </cell>
          <cell r="R234" t="str">
            <v>10 kilómetros</v>
          </cell>
          <cell r="S234">
            <v>0</v>
          </cell>
        </row>
        <row r="235">
          <cell r="D235" t="str">
            <v>Invertir</v>
          </cell>
          <cell r="E235" t="str">
            <v>Poder sinérgico</v>
          </cell>
          <cell r="F235" t="str">
            <v>-</v>
          </cell>
          <cell r="G235" t="str">
            <v>Sí</v>
          </cell>
          <cell r="H235" t="str">
            <v>Activa</v>
          </cell>
          <cell r="I235" t="str">
            <v>Fatiga 6</v>
          </cell>
          <cell r="J235" t="str">
            <v>Fatiga 4</v>
          </cell>
          <cell r="K235" t="str">
            <v>Fatiga 2Fatiga 2</v>
          </cell>
          <cell r="L235" t="str">
            <v>Fatiga 1</v>
          </cell>
          <cell r="M235" t="str">
            <v>100 RF</v>
          </cell>
          <cell r="N235" t="str">
            <v>120 RF</v>
          </cell>
          <cell r="O235" t="str">
            <v>140 RF</v>
          </cell>
          <cell r="P235" t="str">
            <v>160 RF</v>
          </cell>
          <cell r="Q235" t="str">
            <v>180 RF</v>
          </cell>
          <cell r="R235" t="str">
            <v>200 RF</v>
          </cell>
          <cell r="S235">
            <v>0</v>
          </cell>
        </row>
        <row r="236">
          <cell r="D236" t="str">
            <v>Alterar temperatura corporal</v>
          </cell>
          <cell r="E236" t="str">
            <v>Poder sinérgico</v>
          </cell>
          <cell r="F236" t="str">
            <v>-</v>
          </cell>
          <cell r="G236" t="str">
            <v>No</v>
          </cell>
          <cell r="H236" t="str">
            <v>Activa</v>
          </cell>
          <cell r="I236" t="str">
            <v>Fatiga 16</v>
          </cell>
          <cell r="J236" t="str">
            <v>Fatiga 12</v>
          </cell>
          <cell r="K236" t="str">
            <v>Fatiga 8</v>
          </cell>
          <cell r="L236" t="str">
            <v>Fatiga 6</v>
          </cell>
          <cell r="M236" t="str">
            <v>Fatiga 4</v>
          </cell>
          <cell r="N236" t="str">
            <v>1°C</v>
          </cell>
          <cell r="O236" t="str">
            <v>3°C / 1°C en área</v>
          </cell>
          <cell r="P236" t="str">
            <v>5°C / 3°C en área</v>
          </cell>
          <cell r="Q236" t="str">
            <v>10°C / 5°C en área</v>
          </cell>
          <cell r="R236" t="str">
            <v>20°C / 10°C en área</v>
          </cell>
          <cell r="S236">
            <v>0</v>
          </cell>
        </row>
        <row r="237">
          <cell r="D237" t="str">
            <v>Mutación</v>
          </cell>
          <cell r="E237" t="str">
            <v>Poder sinérgico</v>
          </cell>
          <cell r="F237" t="str">
            <v>-</v>
          </cell>
          <cell r="G237" t="str">
            <v>Sí</v>
          </cell>
          <cell r="H237" t="str">
            <v>Activa</v>
          </cell>
          <cell r="I237" t="str">
            <v>Fatiga 16</v>
          </cell>
          <cell r="J237" t="str">
            <v>Fatiga 12</v>
          </cell>
          <cell r="K237" t="str">
            <v>Fatiga 8</v>
          </cell>
          <cell r="L237" t="str">
            <v>Fatiga 6</v>
          </cell>
          <cell r="M237" t="str">
            <v>Fatiga 4</v>
          </cell>
          <cell r="N237" t="str">
            <v>10 PDs</v>
          </cell>
          <cell r="O237" t="str">
            <v>20 PDs</v>
          </cell>
          <cell r="P237" t="str">
            <v>30 PDs</v>
          </cell>
          <cell r="Q237" t="str">
            <v>40 PDs</v>
          </cell>
          <cell r="R237" t="str">
            <v>50 PDs</v>
          </cell>
          <cell r="S237">
            <v>0</v>
          </cell>
        </row>
        <row r="238">
          <cell r="D238" t="str">
            <v>Anular dolor</v>
          </cell>
          <cell r="E238" t="str">
            <v>Poder sinérgico</v>
          </cell>
          <cell r="F238" t="str">
            <v>-</v>
          </cell>
          <cell r="G238" t="str">
            <v>Sí</v>
          </cell>
          <cell r="H238" t="str">
            <v>Activa</v>
          </cell>
          <cell r="I238" t="str">
            <v>Fatiga 16</v>
          </cell>
          <cell r="J238" t="str">
            <v>Fatiga 12</v>
          </cell>
          <cell r="K238" t="str">
            <v>Fatiga 8</v>
          </cell>
          <cell r="L238" t="str">
            <v>Fatiga 6</v>
          </cell>
          <cell r="M238" t="str">
            <v>Fatiga 4</v>
          </cell>
          <cell r="N238" t="str">
            <v>+40 a Resistir el Dolor</v>
          </cell>
          <cell r="O238" t="str">
            <v>+60 a Resistir el Dolor</v>
          </cell>
          <cell r="P238" t="str">
            <v>+80 a Resistir el Dolor</v>
          </cell>
          <cell r="Q238" t="str">
            <v>+100 a RD / Incansable</v>
          </cell>
          <cell r="R238" t="str">
            <v>+120 a RD / Incansable</v>
          </cell>
          <cell r="S238">
            <v>0</v>
          </cell>
        </row>
        <row r="239">
          <cell r="D239" t="str">
            <v>Desestructurar cognición</v>
          </cell>
          <cell r="E239" t="str">
            <v>Poder sinérgico</v>
          </cell>
          <cell r="F239" t="str">
            <v>-</v>
          </cell>
          <cell r="G239" t="str">
            <v>No</v>
          </cell>
          <cell r="H239" t="str">
            <v>Activa</v>
          </cell>
          <cell r="I239" t="str">
            <v>Fatiga 24</v>
          </cell>
          <cell r="J239" t="str">
            <v>Fatiga 16</v>
          </cell>
          <cell r="K239" t="str">
            <v>Fatiga 8</v>
          </cell>
          <cell r="L239" t="str">
            <v>Fatiga 6</v>
          </cell>
          <cell r="M239" t="str">
            <v>Fatiga 4</v>
          </cell>
          <cell r="N239" t="str">
            <v>100 RP / -5 mentales, -10 SM</v>
          </cell>
          <cell r="O239" t="str">
            <v>120 RP / -10 mentales, -20 SM</v>
          </cell>
          <cell r="P239" t="str">
            <v>140 RP / -20 mentales, -30 SM</v>
          </cell>
          <cell r="Q239" t="str">
            <v>160 RP / -30 mentales, -50 SM / No CV</v>
          </cell>
          <cell r="R239" t="str">
            <v>180 RP / -50 mentales, -70 SM / No CV</v>
          </cell>
          <cell r="S239">
            <v>0</v>
          </cell>
        </row>
        <row r="240">
          <cell r="D240" t="str">
            <v>Geolocalización</v>
          </cell>
          <cell r="E240" t="str">
            <v>Poder sinérgico</v>
          </cell>
          <cell r="F240" t="str">
            <v>-</v>
          </cell>
          <cell r="G240" t="str">
            <v>Sí</v>
          </cell>
          <cell r="H240" t="str">
            <v>Activa</v>
          </cell>
          <cell r="I240" t="str">
            <v>Fatiga 12</v>
          </cell>
          <cell r="J240" t="str">
            <v>Fatiga 8</v>
          </cell>
          <cell r="K240" t="str">
            <v>Fatiga 6</v>
          </cell>
          <cell r="L240" t="str">
            <v>Fatiga 4</v>
          </cell>
          <cell r="M240" t="str">
            <v>Fatiga 2</v>
          </cell>
          <cell r="N240" t="str">
            <v>1 km / +20 a Rastrear</v>
          </cell>
          <cell r="O240" t="str">
            <v>5 km / +40 a Rastrear / Ub. exacta</v>
          </cell>
          <cell r="P240" t="str">
            <v>10 km / +80 a Rastrear / Ub. exacta</v>
          </cell>
          <cell r="Q240" t="str">
            <v>50 km / +120 a Rastrear / Ub. y dist.</v>
          </cell>
          <cell r="R240" t="str">
            <v>100 km / +140 a Rastrear / Ub. y dist.</v>
          </cell>
          <cell r="S240">
            <v>0</v>
          </cell>
        </row>
        <row r="241">
          <cell r="D241" t="str">
            <v>Memoria superior</v>
          </cell>
          <cell r="E241" t="str">
            <v>Poder sinérgico</v>
          </cell>
          <cell r="F241" t="str">
            <v>-</v>
          </cell>
          <cell r="G241" t="str">
            <v>No</v>
          </cell>
          <cell r="H241" t="str">
            <v>Activa</v>
          </cell>
          <cell r="I241" t="str">
            <v>Fatiga 8</v>
          </cell>
          <cell r="J241" t="str">
            <v>Fatiga 4</v>
          </cell>
          <cell r="K241" t="str">
            <v>Fatiga 2</v>
          </cell>
          <cell r="L241" t="str">
            <v>+10 a Memorizar</v>
          </cell>
          <cell r="M241" t="str">
            <v>+20 a Memorizar</v>
          </cell>
          <cell r="N241" t="str">
            <v>+30 a Memorizar</v>
          </cell>
          <cell r="O241" t="str">
            <v>+40 a Memorizar</v>
          </cell>
          <cell r="P241" t="str">
            <v>+80 a Memorizar / Reduce un grado</v>
          </cell>
          <cell r="Q241" t="str">
            <v>+100 a Memorizar / Reduce dos grados</v>
          </cell>
          <cell r="R241" t="str">
            <v>+120 a Memorizar / Reduce tres grados</v>
          </cell>
          <cell r="S241">
            <v>0</v>
          </cell>
        </row>
        <row r="242">
          <cell r="D242" t="str">
            <v>Reordenar</v>
          </cell>
          <cell r="E242" t="str">
            <v>Poder sinérgico</v>
          </cell>
          <cell r="F242" t="str">
            <v>-</v>
          </cell>
          <cell r="G242" t="str">
            <v>Sí</v>
          </cell>
          <cell r="H242" t="str">
            <v>Activa</v>
          </cell>
          <cell r="I242" t="str">
            <v>Fatiga 32</v>
          </cell>
          <cell r="J242" t="str">
            <v>Fatiga 24</v>
          </cell>
          <cell r="K242" t="str">
            <v>Fatiga 16</v>
          </cell>
          <cell r="L242" t="str">
            <v>Fatiga 12</v>
          </cell>
          <cell r="M242" t="str">
            <v>Fatiga 8</v>
          </cell>
          <cell r="N242" t="str">
            <v>Fatiga 6</v>
          </cell>
          <cell r="O242" t="str">
            <v>Fatiga 4</v>
          </cell>
          <cell r="P242" t="str">
            <v>10 m / Natura 0 / Sucesos comunes</v>
          </cell>
          <cell r="Q242" t="str">
            <v>25 m / Natura 5 / Sucesos raros</v>
          </cell>
          <cell r="R242" t="str">
            <v>50 m / Natura 10 / Sucesos casi imposibles</v>
          </cell>
          <cell r="S242">
            <v>0</v>
          </cell>
        </row>
        <row r="243">
          <cell r="D243" t="str">
            <v>Carbonizar memorias</v>
          </cell>
          <cell r="E243" t="str">
            <v>Poder sinérgico</v>
          </cell>
          <cell r="F243" t="str">
            <v>-</v>
          </cell>
          <cell r="G243" t="str">
            <v>No</v>
          </cell>
          <cell r="H243" t="str">
            <v>Activa</v>
          </cell>
          <cell r="I243" t="str">
            <v>Fatiga 8</v>
          </cell>
          <cell r="J243" t="str">
            <v>Fatiga 6</v>
          </cell>
          <cell r="K243" t="str">
            <v>Fatiga 4</v>
          </cell>
          <cell r="L243" t="str">
            <v>Fatiga 2</v>
          </cell>
          <cell r="M243" t="str">
            <v>Hasta un día / 80 RP</v>
          </cell>
          <cell r="N243" t="str">
            <v>Hasta tres días / 100 RP</v>
          </cell>
          <cell r="O243" t="str">
            <v>Hasta una semana / 120 RP</v>
          </cell>
          <cell r="P243" t="str">
            <v>Hasta un mes / 140 RP</v>
          </cell>
          <cell r="Q243" t="str">
            <v>Hasta seis meses / 160 RP</v>
          </cell>
          <cell r="R243" t="str">
            <v>Hasta un año / 180 RP</v>
          </cell>
          <cell r="S243">
            <v>0</v>
          </cell>
        </row>
        <row r="244">
          <cell r="D244" t="str">
            <v>Almacenar el pasado</v>
          </cell>
          <cell r="E244" t="str">
            <v>Poder sinérgico</v>
          </cell>
          <cell r="F244" t="str">
            <v>-</v>
          </cell>
          <cell r="G244" t="str">
            <v>No</v>
          </cell>
          <cell r="H244" t="str">
            <v>Pasiva</v>
          </cell>
          <cell r="I244" t="str">
            <v>Fatiga 6</v>
          </cell>
          <cell r="J244" t="str">
            <v>Fatiga 4</v>
          </cell>
          <cell r="K244" t="str">
            <v>Fatiga 2</v>
          </cell>
          <cell r="L244" t="str">
            <v>Hasta un día / 100 RP</v>
          </cell>
          <cell r="M244" t="str">
            <v>Hasta una semana / 120 RP</v>
          </cell>
          <cell r="N244" t="str">
            <v>Hasta un mes / 140 RP</v>
          </cell>
          <cell r="O244" t="str">
            <v>Hasta un año / 160 RP</v>
          </cell>
          <cell r="P244" t="str">
            <v>Hasta diez años / 180 RP</v>
          </cell>
          <cell r="Q244" t="str">
            <v>Hasta cincuenta años / 200 RP</v>
          </cell>
          <cell r="R244" t="str">
            <v>Hasta un siglo / 240 RP</v>
          </cell>
          <cell r="S244">
            <v>0</v>
          </cell>
        </row>
        <row r="245">
          <cell r="D245" t="str">
            <v>Matar</v>
          </cell>
          <cell r="E245" t="str">
            <v>Poder sinérgico</v>
          </cell>
          <cell r="F245" t="str">
            <v>-</v>
          </cell>
          <cell r="G245" t="str">
            <v>No</v>
          </cell>
          <cell r="H245" t="str">
            <v>Pasiva</v>
          </cell>
          <cell r="I245" t="str">
            <v>Fatiga 6</v>
          </cell>
          <cell r="J245" t="str">
            <v>Fatiga 4</v>
          </cell>
          <cell r="K245" t="str">
            <v>Fatiga 2</v>
          </cell>
          <cell r="L245" t="str">
            <v>Fatiga 1</v>
          </cell>
          <cell r="M245" t="str">
            <v>Daño 20 / -1 Regen. / 100 RF</v>
          </cell>
          <cell r="N245" t="str">
            <v>Daño 30 / -2 Regen. / 120 RF</v>
          </cell>
          <cell r="O245" t="str">
            <v>Daño 40 / -3 Regen. / 140 RF</v>
          </cell>
          <cell r="P245" t="str">
            <v>Daño 50 / -4 Regen. / 160 RF</v>
          </cell>
          <cell r="Q245" t="str">
            <v>Daño 60 / -5 Regen. / 180 RF</v>
          </cell>
          <cell r="R245" t="str">
            <v>Daño 80 / -5 Regen. / 200 RF</v>
          </cell>
          <cell r="S245">
            <v>0</v>
          </cell>
        </row>
        <row r="246">
          <cell r="D246" t="str">
            <v>Ojos de fuego</v>
          </cell>
          <cell r="E246" t="str">
            <v>Poder sinérgico</v>
          </cell>
          <cell r="F246" t="str">
            <v>-</v>
          </cell>
          <cell r="G246" t="str">
            <v>Sí</v>
          </cell>
          <cell r="H246" t="str">
            <v>Activa</v>
          </cell>
          <cell r="I246" t="str">
            <v>Fatiga 4</v>
          </cell>
          <cell r="J246" t="str">
            <v>Fatiga 2</v>
          </cell>
          <cell r="K246" t="str">
            <v>10 m de radio</v>
          </cell>
          <cell r="L246" t="str">
            <v>50 m de radio</v>
          </cell>
          <cell r="M246" t="str">
            <v>100 m de radio</v>
          </cell>
          <cell r="N246" t="str">
            <v>250 m de radio</v>
          </cell>
          <cell r="O246" t="str">
            <v>500 m de radio</v>
          </cell>
          <cell r="P246" t="str">
            <v>1 km de radio</v>
          </cell>
          <cell r="Q246" t="str">
            <v>10 km de radio</v>
          </cell>
          <cell r="R246" t="str">
            <v>50 km de radio</v>
          </cell>
          <cell r="S246">
            <v>0</v>
          </cell>
        </row>
        <row r="247">
          <cell r="D247" t="str">
            <v>Robar la suerte</v>
          </cell>
          <cell r="E247" t="str">
            <v>Poder sinérgico</v>
          </cell>
          <cell r="F247" t="str">
            <v>-</v>
          </cell>
          <cell r="G247" t="str">
            <v>No</v>
          </cell>
          <cell r="H247" t="str">
            <v>Activa</v>
          </cell>
          <cell r="I247" t="str">
            <v>Fatiga 24</v>
          </cell>
          <cell r="J247" t="str">
            <v>Fatiga 16</v>
          </cell>
          <cell r="K247" t="str">
            <v>Fatiga 8</v>
          </cell>
          <cell r="L247" t="str">
            <v>Fatiga 6</v>
          </cell>
          <cell r="M247" t="str">
            <v>Fatiga 4</v>
          </cell>
          <cell r="N247" t="str">
            <v>+10 toda acc. / -5 toda acc. / 3 asaltos</v>
          </cell>
          <cell r="O247" t="str">
            <v>+15 toda acc. / -5 toda acc. / 5 asaltos</v>
          </cell>
          <cell r="P247" t="str">
            <v>+20 toda acc. / -10 toda acc. / 10 asaltos</v>
          </cell>
          <cell r="Q247" t="str">
            <v>+25 toda acc. / -10 toda acc. / 15 asaltos</v>
          </cell>
          <cell r="R247" t="str">
            <v>+30 toda acc. / -15 toda acc. / 20 asaltos</v>
          </cell>
          <cell r="S247">
            <v>0</v>
          </cell>
        </row>
        <row r="248">
          <cell r="D248" t="str">
            <v>Caos orquestado</v>
          </cell>
          <cell r="E248" t="str">
            <v>Poder sinérgico</v>
          </cell>
          <cell r="F248" t="str">
            <v>-</v>
          </cell>
          <cell r="G248" t="str">
            <v>No</v>
          </cell>
          <cell r="H248" t="str">
            <v>Activa</v>
          </cell>
          <cell r="I248" t="str">
            <v>Fatiga 32</v>
          </cell>
          <cell r="J248" t="str">
            <v>Fatiga 28</v>
          </cell>
          <cell r="K248" t="str">
            <v>Fatiga 24</v>
          </cell>
          <cell r="L248" t="str">
            <v>Fatiga 16</v>
          </cell>
          <cell r="M248" t="str">
            <v>Fatiga 8</v>
          </cell>
          <cell r="N248" t="str">
            <v>Fatiga 6</v>
          </cell>
          <cell r="O248" t="str">
            <v>100 m de radio / 1 suceso / Natura 0</v>
          </cell>
          <cell r="P248" t="str">
            <v>250 m de radio / 2 sucesos / Natura 5</v>
          </cell>
          <cell r="Q248" t="str">
            <v>500 m de radio / 3 sucesos / Natura 10</v>
          </cell>
          <cell r="R248" t="str">
            <v>1 km de radio / 4 sucesos / Natura 15</v>
          </cell>
          <cell r="S248">
            <v>0</v>
          </cell>
        </row>
        <row r="249">
          <cell r="D249" t="str">
            <v>Avatar</v>
          </cell>
          <cell r="E249" t="str">
            <v>Poder sinérgico</v>
          </cell>
          <cell r="F249" t="str">
            <v>-</v>
          </cell>
          <cell r="G249" t="str">
            <v>Sí</v>
          </cell>
          <cell r="H249" t="str">
            <v>Activa</v>
          </cell>
          <cell r="I249" t="str">
            <v>Fatiga 12</v>
          </cell>
          <cell r="J249" t="str">
            <v>Fatiga 8</v>
          </cell>
          <cell r="K249" t="str">
            <v>Fatiga 6</v>
          </cell>
          <cell r="L249" t="str">
            <v>Fatiga 4</v>
          </cell>
          <cell r="M249" t="str">
            <v>250 m de distancia</v>
          </cell>
          <cell r="N249" t="str">
            <v>500 m de distancia</v>
          </cell>
          <cell r="O249" t="str">
            <v>1 km de distancia</v>
          </cell>
          <cell r="P249" t="str">
            <v>100 km de distancia</v>
          </cell>
          <cell r="Q249" t="str">
            <v>500 km de distancia</v>
          </cell>
          <cell r="R249" t="str">
            <v>1000 km de distancia</v>
          </cell>
          <cell r="S249">
            <v>0</v>
          </cell>
        </row>
        <row r="250">
          <cell r="D250" t="str">
            <v>Estancar estados</v>
          </cell>
          <cell r="E250" t="str">
            <v>Poder sinérgico</v>
          </cell>
          <cell r="F250" t="str">
            <v>-</v>
          </cell>
          <cell r="G250" t="str">
            <v>No</v>
          </cell>
          <cell r="H250" t="str">
            <v>Activa</v>
          </cell>
          <cell r="I250" t="str">
            <v>Fatiga 12</v>
          </cell>
          <cell r="J250" t="str">
            <v>Fatiga 8</v>
          </cell>
          <cell r="K250" t="str">
            <v>Faitiga 6</v>
          </cell>
          <cell r="L250" t="str">
            <v>Fatiga 4</v>
          </cell>
          <cell r="M250" t="str">
            <v>1 asalto</v>
          </cell>
          <cell r="N250" t="str">
            <v>2 asaltos</v>
          </cell>
          <cell r="O250" t="str">
            <v>3 asaltos</v>
          </cell>
          <cell r="P250" t="str">
            <v>5 asaltos</v>
          </cell>
          <cell r="Q250" t="str">
            <v>7 asaltos</v>
          </cell>
          <cell r="R250" t="str">
            <v>10 asaltos</v>
          </cell>
          <cell r="S250">
            <v>0</v>
          </cell>
        </row>
        <row r="251">
          <cell r="D251" t="str">
            <v>Burbuja de velocidad</v>
          </cell>
          <cell r="E251" t="str">
            <v>Poder sinérgico</v>
          </cell>
          <cell r="F251" t="str">
            <v>-</v>
          </cell>
          <cell r="G251" t="str">
            <v>No</v>
          </cell>
          <cell r="H251" t="str">
            <v>Activa</v>
          </cell>
          <cell r="I251" t="str">
            <v>Fatiga 16</v>
          </cell>
          <cell r="J251" t="str">
            <v>Fatiga 12</v>
          </cell>
          <cell r="K251" t="str">
            <v>Fatiga 6</v>
          </cell>
          <cell r="L251" t="str">
            <v>Fatiga 6</v>
          </cell>
          <cell r="M251" t="str">
            <v>Fatiga 4</v>
          </cell>
          <cell r="N251" t="str">
            <v>2 asaltos / 5 m de radio</v>
          </cell>
          <cell r="O251" t="str">
            <v>2 asaltos / 10 m de radio</v>
          </cell>
          <cell r="P251" t="str">
            <v>3 asaltos / 15 m de radio</v>
          </cell>
          <cell r="Q251" t="str">
            <v>3 asaltos / 20 m de radio</v>
          </cell>
          <cell r="R251" t="str">
            <v>4 asaltos / 25 m de radio</v>
          </cell>
          <cell r="S251">
            <v>0</v>
          </cell>
        </row>
        <row r="252">
          <cell r="D252" t="str">
            <v>Otorgar magnetismo</v>
          </cell>
          <cell r="E252" t="str">
            <v>Poder sinérgico</v>
          </cell>
          <cell r="F252" t="str">
            <v>-</v>
          </cell>
          <cell r="G252" t="str">
            <v>Sí</v>
          </cell>
          <cell r="H252" t="str">
            <v>Activa</v>
          </cell>
          <cell r="I252" t="str">
            <v>Fatiga 4</v>
          </cell>
          <cell r="J252" t="str">
            <v>Fatiga 2</v>
          </cell>
          <cell r="K252" t="str">
            <v>1 metro de radio / 40 RF</v>
          </cell>
          <cell r="L252" t="str">
            <v>2 metros de radio / 60 RF</v>
          </cell>
          <cell r="M252" t="str">
            <v>3 metros de radio / 80 RF</v>
          </cell>
          <cell r="N252" t="str">
            <v>5 metros de radio / 120 RF</v>
          </cell>
          <cell r="O252" t="str">
            <v>10 metros de radio / 140 RF</v>
          </cell>
          <cell r="P252" t="str">
            <v>20 metros de radio / 160 RF</v>
          </cell>
          <cell r="Q252" t="str">
            <v>50 metros de radio / 180 RF</v>
          </cell>
          <cell r="R252" t="str">
            <v>100 metros de radio / 200 RF</v>
          </cell>
          <cell r="S252">
            <v>0</v>
          </cell>
        </row>
        <row r="253">
          <cell r="D253" t="str">
            <v>Afectar densidad</v>
          </cell>
          <cell r="E253" t="str">
            <v>Poder sinérgico</v>
          </cell>
          <cell r="F253" t="str">
            <v>-</v>
          </cell>
          <cell r="G253" t="str">
            <v>Sí</v>
          </cell>
          <cell r="H253" t="str">
            <v>Activa</v>
          </cell>
          <cell r="I253" t="str">
            <v>Fatiga 4</v>
          </cell>
          <cell r="J253" t="str">
            <v>Fatiga 2</v>
          </cell>
          <cell r="K253" t="str">
            <v>1 kg / 80 RF / ±1 al Tamaño</v>
          </cell>
          <cell r="L253" t="str">
            <v>10 kg / 100 RF / ±2 al Tamaño</v>
          </cell>
          <cell r="M253" t="str">
            <v>25 kg / 120 RF / ±3 al Tamaño</v>
          </cell>
          <cell r="N253" t="str">
            <v>50 kg / 140 RF / ±4 al Tamaño</v>
          </cell>
          <cell r="O253" t="str">
            <v>100 kg / 160 RF / ±5 al Tamaño</v>
          </cell>
          <cell r="P253" t="str">
            <v>250 kg / 180 RF / ±6 al Tamaño</v>
          </cell>
          <cell r="Q253" t="str">
            <v>500 kg / 200 RF / ±7 al Tamaño</v>
          </cell>
          <cell r="R253" t="str">
            <v>1 t / 220 RF / ±8 al Tamaño</v>
          </cell>
          <cell r="S253">
            <v>0</v>
          </cell>
        </row>
        <row r="254">
          <cell r="D254" t="str">
            <v>Silencio absoluto</v>
          </cell>
          <cell r="E254" t="str">
            <v>Poder sinérgico</v>
          </cell>
          <cell r="F254" t="str">
            <v>-</v>
          </cell>
          <cell r="G254" t="str">
            <v>Sí</v>
          </cell>
          <cell r="H254" t="str">
            <v>Activa</v>
          </cell>
          <cell r="I254" t="str">
            <v>Fatiga 8</v>
          </cell>
          <cell r="J254" t="str">
            <v>Fatiga 6</v>
          </cell>
          <cell r="K254" t="str">
            <v xml:space="preserve">Fatiga 4 </v>
          </cell>
          <cell r="L254" t="str">
            <v>Fatiga 2</v>
          </cell>
          <cell r="M254" t="str">
            <v>3 asaltos / 10 m de radio</v>
          </cell>
          <cell r="N254" t="str">
            <v>3 asaltos / 15 m de radio</v>
          </cell>
          <cell r="O254" t="str">
            <v>5 asaltos / 20 m de radio</v>
          </cell>
          <cell r="P254" t="str">
            <v>5 asaltos / 25 m de radio</v>
          </cell>
          <cell r="Q254" t="str">
            <v>7 asaltos / 40 m de radio</v>
          </cell>
          <cell r="R254" t="str">
            <v>7 asaltos / 50 m de radio</v>
          </cell>
          <cell r="S254">
            <v>0</v>
          </cell>
        </row>
        <row r="255">
          <cell r="D255" t="str">
            <v>Suelo helado</v>
          </cell>
          <cell r="E255" t="str">
            <v>Poder sinérgico</v>
          </cell>
          <cell r="F255" t="str">
            <v>-</v>
          </cell>
          <cell r="G255" t="str">
            <v>Sí</v>
          </cell>
          <cell r="H255" t="str">
            <v>Activa</v>
          </cell>
          <cell r="I255" t="str">
            <v>Fatiga 8</v>
          </cell>
          <cell r="J255" t="str">
            <v>Fatiga 6</v>
          </cell>
          <cell r="K255" t="str">
            <v>Fatiga 4</v>
          </cell>
          <cell r="L255" t="str">
            <v>Fatiga 2</v>
          </cell>
          <cell r="M255" t="str">
            <v>Acrobacias 80 o AGI 12 / 5 m</v>
          </cell>
          <cell r="N255" t="str">
            <v>Acrobacias 120 o AGI 14 / 7 m</v>
          </cell>
          <cell r="O255" t="str">
            <v>Acrobacias 140 o AGI 18 / 10 m</v>
          </cell>
          <cell r="P255" t="str">
            <v>Acr. 180 o AGI 20 / 25 m / Impacto G1</v>
          </cell>
          <cell r="Q255" t="str">
            <v>Acr. 240 o AGI 24 / 50 m / Impacto G2</v>
          </cell>
          <cell r="R255" t="str">
            <v>Acr. 280 o AGI 28 / 100 m / Impacto G3</v>
          </cell>
          <cell r="S255">
            <v>0</v>
          </cell>
        </row>
        <row r="256">
          <cell r="D256" t="str">
            <v>Lava</v>
          </cell>
          <cell r="E256" t="str">
            <v>Poder sinérgico</v>
          </cell>
          <cell r="F256" t="str">
            <v>-</v>
          </cell>
          <cell r="G256" t="str">
            <v>Sí</v>
          </cell>
          <cell r="H256" t="str">
            <v>Activa</v>
          </cell>
          <cell r="I256" t="str">
            <v>Fatiga 12</v>
          </cell>
          <cell r="J256" t="str">
            <v>Fatiga 8</v>
          </cell>
          <cell r="K256" t="str">
            <v>Fatiga 6</v>
          </cell>
          <cell r="L256" t="str">
            <v>Fatiga 4</v>
          </cell>
          <cell r="M256" t="str">
            <v>10 m / 60 RF</v>
          </cell>
          <cell r="N256" t="str">
            <v>15 m / 80 RF</v>
          </cell>
          <cell r="O256" t="str">
            <v>20 m / 100 RF</v>
          </cell>
          <cell r="P256" t="str">
            <v>25 m / 120 RF</v>
          </cell>
          <cell r="Q256" t="str">
            <v>50 m / 140 RF</v>
          </cell>
          <cell r="R256" t="str">
            <v>100 m / 160 RF</v>
          </cell>
          <cell r="S256">
            <v>0</v>
          </cell>
        </row>
        <row r="257">
          <cell r="D257" t="str">
            <v>Embestida electromagnética</v>
          </cell>
          <cell r="E257" t="str">
            <v>Poder sinérgico</v>
          </cell>
          <cell r="F257" t="str">
            <v>-</v>
          </cell>
          <cell r="G257" t="str">
            <v>No</v>
          </cell>
          <cell r="H257" t="str">
            <v>Activa</v>
          </cell>
          <cell r="I257" t="str">
            <v>Fatiga 16</v>
          </cell>
          <cell r="J257" t="str">
            <v>Fatiga 12</v>
          </cell>
          <cell r="K257" t="str">
            <v>Fatiga 8</v>
          </cell>
          <cell r="L257" t="str">
            <v>Fatiga 6</v>
          </cell>
          <cell r="M257" t="str">
            <v>1 h / Daño 10 / Rango max 1 km</v>
          </cell>
          <cell r="N257" t="str">
            <v>2 h / Daño 20 / Rango max 5 km</v>
          </cell>
          <cell r="O257" t="str">
            <v>3 h / Daño 30 / -1 TA / Rango max 10 km</v>
          </cell>
          <cell r="P257" t="str">
            <v>5 h / Daño 40 / -2 TA / Rango max 100 km / Zen</v>
          </cell>
          <cell r="Q257" t="str">
            <v>12 h / Daño 50 / -3 TA / Rango max 500 km / Zen</v>
          </cell>
          <cell r="R257" t="str">
            <v>1 día / Daño 100 / -4 TA / Rango max 1.000 km / Zen</v>
          </cell>
          <cell r="S257">
            <v>0</v>
          </cell>
        </row>
        <row r="258">
          <cell r="D258" t="str">
            <v>Anclar</v>
          </cell>
          <cell r="E258" t="str">
            <v>Poder sinérgico</v>
          </cell>
          <cell r="F258" t="str">
            <v>-</v>
          </cell>
          <cell r="G258" t="str">
            <v>Sí</v>
          </cell>
          <cell r="H258" t="str">
            <v>Pasiva</v>
          </cell>
          <cell r="I258" t="str">
            <v>Fatiga 16</v>
          </cell>
          <cell r="J258" t="str">
            <v>Fatiga 12</v>
          </cell>
          <cell r="K258" t="str">
            <v>Fatiga 8</v>
          </cell>
          <cell r="L258" t="str">
            <v>Fatiga 6</v>
          </cell>
          <cell r="M258" t="str">
            <v>80 RP</v>
          </cell>
          <cell r="N258" t="str">
            <v>100 RP</v>
          </cell>
          <cell r="O258" t="str">
            <v>120 RP</v>
          </cell>
          <cell r="P258" t="str">
            <v>140 RP / Permite aprender el idioma</v>
          </cell>
          <cell r="Q258" t="str">
            <v>160 RP / +20 a Sociales en esa comunidad</v>
          </cell>
          <cell r="R258" t="str">
            <v>180 RP / +40 a Sociales en esa comunidad</v>
          </cell>
          <cell r="S258">
            <v>0</v>
          </cell>
        </row>
        <row r="259">
          <cell r="D259" t="str">
            <v>Lupa</v>
          </cell>
          <cell r="E259" t="str">
            <v>Poder sinérgico</v>
          </cell>
          <cell r="F259" t="str">
            <v>-</v>
          </cell>
          <cell r="G259" t="str">
            <v>Sí</v>
          </cell>
          <cell r="H259" t="str">
            <v>Pasiva</v>
          </cell>
          <cell r="I259" t="str">
            <v>Fatiga 12</v>
          </cell>
          <cell r="J259" t="str">
            <v>Fatiga 8</v>
          </cell>
          <cell r="K259" t="str">
            <v>Fatiga 6</v>
          </cell>
          <cell r="L259" t="str">
            <v>100 m</v>
          </cell>
          <cell r="M259" t="str">
            <v>250 m</v>
          </cell>
          <cell r="N259" t="str">
            <v>500 m</v>
          </cell>
          <cell r="O259" t="str">
            <v>1 km</v>
          </cell>
          <cell r="P259" t="str">
            <v>10 km</v>
          </cell>
          <cell r="Q259" t="str">
            <v xml:space="preserve">100 km / Mitad pen. a distancia </v>
          </cell>
          <cell r="R259" t="str">
            <v>1.000 km / Mitad pen. A distancia, dobla bono PER</v>
          </cell>
          <cell r="S259">
            <v>0</v>
          </cell>
        </row>
        <row r="260">
          <cell r="D260" t="str">
            <v>Esterilizar</v>
          </cell>
          <cell r="E260" t="str">
            <v>Poder sinérgico</v>
          </cell>
          <cell r="F260" t="str">
            <v>-</v>
          </cell>
          <cell r="G260" t="str">
            <v>Sí</v>
          </cell>
          <cell r="H260" t="str">
            <v>Pasiva</v>
          </cell>
          <cell r="I260" t="str">
            <v>Fatiga 4</v>
          </cell>
          <cell r="J260" t="str">
            <v>Fatiga 2</v>
          </cell>
          <cell r="K260" t="str">
            <v>5 m / +10 RE</v>
          </cell>
          <cell r="L260" t="str">
            <v>10 m / +20 RE</v>
          </cell>
          <cell r="M260" t="str">
            <v>25 m / +30 RE</v>
          </cell>
          <cell r="N260" t="str">
            <v>50m / +40 RE</v>
          </cell>
          <cell r="O260" t="str">
            <v>100 m / +50 RE</v>
          </cell>
          <cell r="P260" t="str">
            <v>250 m / +60 RE</v>
          </cell>
          <cell r="Q260" t="str">
            <v>500 m / +80 RE</v>
          </cell>
          <cell r="R260" t="str">
            <v>1 km / +100 RE</v>
          </cell>
          <cell r="S260">
            <v>0</v>
          </cell>
        </row>
        <row r="261">
          <cell r="D261" t="str">
            <v>Mente de cinc</v>
          </cell>
          <cell r="E261" t="str">
            <v>Poder sinérgico</v>
          </cell>
          <cell r="F261" t="str">
            <v>-</v>
          </cell>
          <cell r="G261" t="str">
            <v>No</v>
          </cell>
          <cell r="H261" t="str">
            <v>Activa</v>
          </cell>
          <cell r="I261" t="str">
            <v>Fatiga 6</v>
          </cell>
          <cell r="J261" t="str">
            <v>Fatiga 4</v>
          </cell>
          <cell r="K261" t="str">
            <v>Fatiga 2</v>
          </cell>
          <cell r="L261" t="str">
            <v>+10 / 1 asalto</v>
          </cell>
          <cell r="M261" t="str">
            <v>+20 / 2 asaltos</v>
          </cell>
          <cell r="N261" t="str">
            <v>+30 / 3 asaltos</v>
          </cell>
          <cell r="O261" t="str">
            <v>+40 / 4 asaltos</v>
          </cell>
          <cell r="P261" t="str">
            <v>+60 / 5 asaltos</v>
          </cell>
          <cell r="Q261" t="str">
            <v>+70 / 6 asaltos</v>
          </cell>
          <cell r="R261" t="str">
            <v>+80 / 7 asalto</v>
          </cell>
          <cell r="S261">
            <v>0</v>
          </cell>
        </row>
        <row r="262">
          <cell r="D262" t="str">
            <v>Aire espeso</v>
          </cell>
          <cell r="E262" t="str">
            <v>Poder sinérgico</v>
          </cell>
          <cell r="F262" t="str">
            <v>-</v>
          </cell>
          <cell r="G262" t="str">
            <v>Sí</v>
          </cell>
          <cell r="H262" t="str">
            <v>Pasiva</v>
          </cell>
          <cell r="I262" t="str">
            <v>Fatiga 6</v>
          </cell>
          <cell r="J262" t="str">
            <v>Fatiga 4</v>
          </cell>
          <cell r="K262" t="str">
            <v>Fatiga 2</v>
          </cell>
          <cell r="L262" t="str">
            <v>5 metros de radio / 60 RF</v>
          </cell>
          <cell r="M262" t="str">
            <v>10 metros de radio / 80 RF</v>
          </cell>
          <cell r="N262" t="str">
            <v>15 metros de radio / 100 RF</v>
          </cell>
          <cell r="O262" t="str">
            <v>20 metros de radio / 120 RF</v>
          </cell>
          <cell r="P262" t="str">
            <v>25 m de radio / 140 RF / Detiene energía</v>
          </cell>
          <cell r="Q262" t="str">
            <v>30 m de radio / 160 RF / Detiene energía</v>
          </cell>
          <cell r="R262" t="str">
            <v>50 m de radio / 180 RF / Detiene energía</v>
          </cell>
          <cell r="S262">
            <v>0</v>
          </cell>
        </row>
        <row r="263">
          <cell r="D263" t="str">
            <v>Electrificar</v>
          </cell>
          <cell r="E263" t="str">
            <v>Poder sinérgico</v>
          </cell>
          <cell r="F263" t="str">
            <v>-</v>
          </cell>
          <cell r="G263" t="str">
            <v>Sí</v>
          </cell>
          <cell r="H263" t="str">
            <v>Activa</v>
          </cell>
          <cell r="I263" t="str">
            <v>Fatiga 6</v>
          </cell>
          <cell r="J263" t="str">
            <v>Fatiga 4</v>
          </cell>
          <cell r="K263" t="str">
            <v>Fatiga 2</v>
          </cell>
          <cell r="L263" t="str">
            <v>1 intensidad / 3 metros</v>
          </cell>
          <cell r="M263" t="str">
            <v>3 intensidades / 5 metros</v>
          </cell>
          <cell r="N263" t="str">
            <v>5 intensidades / 7 metros</v>
          </cell>
          <cell r="O263" t="str">
            <v>7 intensidades / 10 metros</v>
          </cell>
          <cell r="P263" t="str">
            <v>15 intensidades / 15 metros / +20 RF</v>
          </cell>
          <cell r="Q263" t="str">
            <v>20 intensidades / 20 metros / +30 RF</v>
          </cell>
          <cell r="R263" t="str">
            <v>40 intensidades / 25 metros / +40 RF</v>
          </cell>
          <cell r="S263">
            <v>0</v>
          </cell>
        </row>
        <row r="264">
          <cell r="D264" t="str">
            <v>Serenidad</v>
          </cell>
          <cell r="E264" t="str">
            <v>Poder sinérgico</v>
          </cell>
          <cell r="F264" t="str">
            <v>-</v>
          </cell>
          <cell r="G264" t="str">
            <v>Sí</v>
          </cell>
          <cell r="H264" t="str">
            <v>Activa</v>
          </cell>
          <cell r="I264" t="str">
            <v>Fatiga 6</v>
          </cell>
          <cell r="J264" t="str">
            <v>Fatiga 4</v>
          </cell>
          <cell r="K264" t="str">
            <v>Fatiga 2</v>
          </cell>
          <cell r="L264" t="str">
            <v>Elimina la Ira</v>
          </cell>
          <cell r="M264" t="str">
            <v>Elimina el Miedo</v>
          </cell>
          <cell r="N264" t="str">
            <v>Elimina el Terror</v>
          </cell>
          <cell r="O264" t="str">
            <v>Elimina el Dolor</v>
          </cell>
          <cell r="P264" t="str">
            <v>Elimina la Fascinación</v>
          </cell>
          <cell r="Q264" t="str">
            <v>Elimina las Alucinaciones</v>
          </cell>
          <cell r="R264" t="str">
            <v>El afectado no puede usar hab. activas</v>
          </cell>
          <cell r="S264">
            <v>0</v>
          </cell>
        </row>
        <row r="265">
          <cell r="D265" t="str">
            <v>Cantar</v>
          </cell>
          <cell r="E265" t="str">
            <v>Poder sinérgico</v>
          </cell>
          <cell r="F265" t="str">
            <v>-</v>
          </cell>
          <cell r="G265" t="str">
            <v>Sí</v>
          </cell>
          <cell r="H265" t="str">
            <v>Pasiva</v>
          </cell>
          <cell r="I265" t="str">
            <v>Fatiga 6</v>
          </cell>
          <cell r="J265" t="str">
            <v>Fatiga 4</v>
          </cell>
          <cell r="K265" t="str">
            <v>+20 a Música (cantar)</v>
          </cell>
          <cell r="L265" t="str">
            <v>+40 a Música (cantar)</v>
          </cell>
          <cell r="M265" t="str">
            <v>+60 a Música (cantar)</v>
          </cell>
          <cell r="N265" t="str">
            <v>+80 a Música (cantar) / 100 RP</v>
          </cell>
          <cell r="O265" t="str">
            <v>+100 a Música (cantar) / 100 RP</v>
          </cell>
          <cell r="P265" t="str">
            <v>+120 a Música (cantar) / 120 RP</v>
          </cell>
          <cell r="Q265" t="str">
            <v>+140 a Música (cantar) / 140 RP</v>
          </cell>
          <cell r="R265" t="str">
            <v>+160 a Música (cantar) / 160 RP</v>
          </cell>
          <cell r="S265">
            <v>0</v>
          </cell>
        </row>
        <row r="266">
          <cell r="D266" t="str">
            <v>Escudo de fuego</v>
          </cell>
          <cell r="E266" t="str">
            <v>Poder sinérgico</v>
          </cell>
          <cell r="F266" t="str">
            <v>-</v>
          </cell>
          <cell r="G266" t="str">
            <v>Sí</v>
          </cell>
          <cell r="H266" t="str">
            <v>Pasiva</v>
          </cell>
          <cell r="I266" t="str">
            <v>Fatiga 6</v>
          </cell>
          <cell r="J266" t="str">
            <v>Fatiga 4</v>
          </cell>
          <cell r="K266" t="str">
            <v>Fatiga 2</v>
          </cell>
          <cell r="L266" t="str">
            <v>300 PV / 60 RF</v>
          </cell>
          <cell r="M266" t="str">
            <v>600 PV / 80 RF</v>
          </cell>
          <cell r="N266" t="str">
            <v>800 PV / 100 RF</v>
          </cell>
          <cell r="O266" t="str">
            <v>1.200 PV / 120 RF</v>
          </cell>
          <cell r="P266" t="str">
            <v>1.800 PV / 140 RF</v>
          </cell>
          <cell r="Q266" t="str">
            <v>2.500 PV / 160 RF</v>
          </cell>
          <cell r="R266" t="str">
            <v>4.000 PV / 180 RF</v>
          </cell>
          <cell r="S266">
            <v>0</v>
          </cell>
        </row>
        <row r="267">
          <cell r="D267" t="str">
            <v>Seguir el rastro</v>
          </cell>
          <cell r="E267" t="str">
            <v>Poder sinérgico</v>
          </cell>
          <cell r="F267" t="str">
            <v>-</v>
          </cell>
          <cell r="G267" t="str">
            <v>No</v>
          </cell>
          <cell r="H267" t="str">
            <v>Pasiva</v>
          </cell>
          <cell r="I267" t="str">
            <v>Fatiga 8</v>
          </cell>
          <cell r="J267" t="str">
            <v>Fatiga 6</v>
          </cell>
          <cell r="K267" t="str">
            <v>Fatiga 4</v>
          </cell>
          <cell r="L267" t="str">
            <v>Fatiga 2</v>
          </cell>
          <cell r="M267" t="str">
            <v>100 RP</v>
          </cell>
          <cell r="N267" t="str">
            <v>120 RP</v>
          </cell>
          <cell r="O267" t="str">
            <v>140 RP</v>
          </cell>
          <cell r="P267" t="str">
            <v>160 RP</v>
          </cell>
          <cell r="Q267" t="str">
            <v>180 RP</v>
          </cell>
          <cell r="R267" t="str">
            <v>200 RP</v>
          </cell>
          <cell r="S267">
            <v>0</v>
          </cell>
        </row>
        <row r="268">
          <cell r="D268" t="str">
            <v>Alterar la apariencia</v>
          </cell>
          <cell r="E268" t="str">
            <v>Poder sinérgico</v>
          </cell>
          <cell r="F268" t="str">
            <v>-</v>
          </cell>
          <cell r="G268" t="str">
            <v>Sí</v>
          </cell>
          <cell r="H268" t="str">
            <v>Activa</v>
          </cell>
          <cell r="I268" t="str">
            <v>Fatiga 4</v>
          </cell>
          <cell r="J268" t="str">
            <v>Fatiga 2</v>
          </cell>
          <cell r="K268" t="str">
            <v>80 RP / +20</v>
          </cell>
          <cell r="L268" t="str">
            <v>100 RP / +40</v>
          </cell>
          <cell r="M268" t="str">
            <v>120 RP / +80</v>
          </cell>
          <cell r="N268" t="str">
            <v>140 RP / +120</v>
          </cell>
          <cell r="O268" t="str">
            <v>160 RP / +140</v>
          </cell>
          <cell r="P268" t="str">
            <v>180 RP / +180</v>
          </cell>
          <cell r="Q268" t="str">
            <v>200 RP / +240</v>
          </cell>
          <cell r="R268" t="str">
            <v>220 RP / +280</v>
          </cell>
          <cell r="S268">
            <v>0</v>
          </cell>
        </row>
        <row r="269">
          <cell r="D269" t="str">
            <v>Materializar elemento</v>
          </cell>
          <cell r="E269" t="str">
            <v>Poder sinérgico</v>
          </cell>
          <cell r="F269" t="str">
            <v>-</v>
          </cell>
          <cell r="G269" t="str">
            <v>Sí</v>
          </cell>
          <cell r="H269" t="str">
            <v>Activa</v>
          </cell>
          <cell r="I269" t="str">
            <v>Fatiga 6</v>
          </cell>
          <cell r="J269" t="str">
            <v>Fatiga 4</v>
          </cell>
          <cell r="K269" t="str">
            <v>Fatiga 2</v>
          </cell>
          <cell r="L269" t="str">
            <v>1 metro cúbico</v>
          </cell>
          <cell r="M269" t="str">
            <v>2 metros cúbicos</v>
          </cell>
          <cell r="N269" t="str">
            <v>3 metros cúbicos</v>
          </cell>
          <cell r="O269" t="str">
            <v>4 metros cúbicos</v>
          </cell>
          <cell r="P269" t="str">
            <v>5 metros cúbicos</v>
          </cell>
          <cell r="Q269" t="str">
            <v>10 metros cúbicos</v>
          </cell>
          <cell r="R269" t="str">
            <v>20 metros cúbicos</v>
          </cell>
          <cell r="S269">
            <v>0</v>
          </cell>
        </row>
        <row r="270">
          <cell r="D270" t="str">
            <v>Veneno mental</v>
          </cell>
          <cell r="E270" t="str">
            <v>Poder sinérgico</v>
          </cell>
          <cell r="F270" t="str">
            <v>-</v>
          </cell>
          <cell r="G270" t="str">
            <v>No</v>
          </cell>
          <cell r="H270" t="str">
            <v>Activa</v>
          </cell>
          <cell r="I270" t="str">
            <v>Fatiga 8</v>
          </cell>
          <cell r="J270" t="str">
            <v>Fatiga 6</v>
          </cell>
          <cell r="K270" t="str">
            <v>Fatiga 4</v>
          </cell>
          <cell r="L270" t="str">
            <v>Fatiga 2</v>
          </cell>
          <cell r="M270" t="str">
            <v>100 RP</v>
          </cell>
          <cell r="N270" t="str">
            <v>120 RP</v>
          </cell>
          <cell r="O270" t="str">
            <v>140 RP</v>
          </cell>
          <cell r="P270" t="str">
            <v>160 RP</v>
          </cell>
          <cell r="Q270" t="str">
            <v>180 RP</v>
          </cell>
          <cell r="R270" t="str">
            <v>220 RP</v>
          </cell>
          <cell r="S270">
            <v>0</v>
          </cell>
        </row>
        <row r="271">
          <cell r="D271" t="str">
            <v>Visión incrementada</v>
          </cell>
          <cell r="E271" t="str">
            <v>Poder sinérgico</v>
          </cell>
          <cell r="F271" t="str">
            <v>-</v>
          </cell>
          <cell r="G271" t="str">
            <v>Sí</v>
          </cell>
          <cell r="H271" t="str">
            <v>Activa</v>
          </cell>
          <cell r="I271" t="str">
            <v>Fatiga 6</v>
          </cell>
          <cell r="J271" t="str">
            <v>Fatiga 4</v>
          </cell>
          <cell r="K271" t="str">
            <v>Fatiga 2</v>
          </cell>
          <cell r="L271" t="str">
            <v>Visión ultravioleta</v>
          </cell>
          <cell r="M271" t="str">
            <v>Infrarrojo, mitad por oscuridad</v>
          </cell>
          <cell r="N271" t="str">
            <v>Microondas, rayos X</v>
          </cell>
          <cell r="O271" t="str">
            <v>Líneas elementales</v>
          </cell>
          <cell r="P271" t="str">
            <v>Radio, gamma, oscuridad completa</v>
          </cell>
          <cell r="Q271" t="str">
            <v>Ver espíritus</v>
          </cell>
          <cell r="R271" t="str">
            <v>Ver magia y matrices</v>
          </cell>
          <cell r="S271">
            <v>0</v>
          </cell>
        </row>
        <row r="272">
          <cell r="D272" t="str">
            <v>Cadena de rayos</v>
          </cell>
          <cell r="E272" t="str">
            <v>Poder sinérgico</v>
          </cell>
          <cell r="F272" t="str">
            <v>-</v>
          </cell>
          <cell r="G272" t="str">
            <v>No</v>
          </cell>
          <cell r="H272" t="str">
            <v>Activa</v>
          </cell>
          <cell r="I272" t="str">
            <v>Fatiga 20</v>
          </cell>
          <cell r="J272" t="str">
            <v>Fatiga 16</v>
          </cell>
          <cell r="K272" t="str">
            <v>Fatiga 12</v>
          </cell>
          <cell r="L272" t="str">
            <v>Fatiga 8</v>
          </cell>
          <cell r="M272" t="str">
            <v>Fatiga 6</v>
          </cell>
          <cell r="N272" t="str">
            <v>1 rebote / Daño 60</v>
          </cell>
          <cell r="O272" t="str">
            <v>5 rebotes / Daño 80</v>
          </cell>
          <cell r="P272" t="str">
            <v>10 rebotes / Daño 100 / Daña inmaterial</v>
          </cell>
          <cell r="Q272" t="str">
            <v>15 rebotes / Daño 120 / Daña inmateriales</v>
          </cell>
          <cell r="R272" t="str">
            <v>20 rebotes / Daño 150 / Daña inmateriales</v>
          </cell>
          <cell r="S272">
            <v>0</v>
          </cell>
        </row>
        <row r="273">
          <cell r="D273" t="str">
            <v>Reflejar ataque</v>
          </cell>
          <cell r="E273" t="str">
            <v>Poder sinérgico</v>
          </cell>
          <cell r="F273" t="str">
            <v>-</v>
          </cell>
          <cell r="G273" t="str">
            <v>No</v>
          </cell>
          <cell r="H273" t="str">
            <v>Pasiva</v>
          </cell>
          <cell r="I273" t="str">
            <v>Fatiga 8</v>
          </cell>
          <cell r="J273" t="str">
            <v>Fatiga 6</v>
          </cell>
          <cell r="K273" t="str">
            <v>Fatiga 4</v>
          </cell>
          <cell r="L273" t="str">
            <v>Proyectiles físicos</v>
          </cell>
          <cell r="M273" t="str">
            <v>Ataques físicos</v>
          </cell>
          <cell r="N273" t="str">
            <v>Descargas materiales</v>
          </cell>
          <cell r="O273" t="str">
            <v>Cualquier ataque</v>
          </cell>
          <cell r="P273" t="str">
            <v>Efectos esotéricos de ataque</v>
          </cell>
          <cell r="Q273" t="str">
            <v>Ataques anímicos</v>
          </cell>
          <cell r="R273" t="str">
            <v>Refleja todo</v>
          </cell>
          <cell r="S273">
            <v>0</v>
          </cell>
        </row>
        <row r="274">
          <cell r="D274" t="str">
            <v>Mente fría</v>
          </cell>
          <cell r="E274" t="str">
            <v>Poder sinérgico</v>
          </cell>
          <cell r="F274" t="str">
            <v>-</v>
          </cell>
          <cell r="G274" t="str">
            <v>Sí</v>
          </cell>
          <cell r="H274" t="str">
            <v>Activa</v>
          </cell>
          <cell r="I274" t="str">
            <v>Fatiga 4</v>
          </cell>
          <cell r="J274" t="str">
            <v>Fatiga 2</v>
          </cell>
          <cell r="K274" t="str">
            <v>Fatiga 1</v>
          </cell>
          <cell r="L274" t="str">
            <v>+10 a Frialdad</v>
          </cell>
          <cell r="M274" t="str">
            <v>+20 a Frialdad</v>
          </cell>
          <cell r="N274" t="str">
            <v>+30 a Frialdad</v>
          </cell>
          <cell r="O274" t="str">
            <v>+40 a Frialdad</v>
          </cell>
          <cell r="P274" t="str">
            <v>+50 a Frialdad / +10 a RM</v>
          </cell>
          <cell r="Q274" t="str">
            <v>+60 a Frialdad / +10 a RM</v>
          </cell>
          <cell r="R274" t="str">
            <v>+80 a Frialdad / +20 a RM</v>
          </cell>
          <cell r="S274">
            <v>0</v>
          </cell>
        </row>
        <row r="275">
          <cell r="D275" t="str">
            <v>Trasladar</v>
          </cell>
          <cell r="E275" t="str">
            <v>Poder sinérgico</v>
          </cell>
          <cell r="F275" t="str">
            <v>-</v>
          </cell>
          <cell r="G275" t="str">
            <v>No</v>
          </cell>
          <cell r="H275" t="str">
            <v>Activa</v>
          </cell>
          <cell r="I275" t="str">
            <v>Fatiga 8</v>
          </cell>
          <cell r="J275" t="str">
            <v>Fatiga 6</v>
          </cell>
          <cell r="K275" t="str">
            <v>Fatiga 4</v>
          </cell>
          <cell r="L275" t="str">
            <v>Fatiga 2</v>
          </cell>
          <cell r="M275" t="str">
            <v>1 asalto / 100 RF</v>
          </cell>
          <cell r="N275" t="str">
            <v>2 asaltos / 120 RF</v>
          </cell>
          <cell r="O275" t="str">
            <v>3 asaltos / 140 RF</v>
          </cell>
          <cell r="P275" t="str">
            <v>5 asaltos / 160 RF</v>
          </cell>
          <cell r="Q275" t="str">
            <v>10 asaltos / 180 RF</v>
          </cell>
          <cell r="R275" t="str">
            <v>15 asaltos / 200 RF</v>
          </cell>
          <cell r="S275">
            <v>0</v>
          </cell>
        </row>
        <row r="276">
          <cell r="D276" t="str">
            <v>Destruir vectores</v>
          </cell>
          <cell r="E276" t="str">
            <v>Poder sinérgico</v>
          </cell>
          <cell r="F276" t="str">
            <v>-</v>
          </cell>
          <cell r="G276" t="str">
            <v>Sí</v>
          </cell>
          <cell r="H276" t="str">
            <v>Pasiva</v>
          </cell>
          <cell r="I276" t="str">
            <v>Fatiga 6</v>
          </cell>
          <cell r="J276" t="str">
            <v>Fatiga 4</v>
          </cell>
          <cell r="K276" t="str">
            <v>Fatiga 2</v>
          </cell>
          <cell r="L276" t="str">
            <v>40 RF</v>
          </cell>
          <cell r="M276" t="str">
            <v>60 RF</v>
          </cell>
          <cell r="N276" t="str">
            <v>80 RF</v>
          </cell>
          <cell r="O276" t="str">
            <v>100 RF</v>
          </cell>
          <cell r="P276" t="str">
            <v>120 RF</v>
          </cell>
          <cell r="Q276" t="str">
            <v>140 RF</v>
          </cell>
          <cell r="R276" t="str">
            <v>180 RF</v>
          </cell>
          <cell r="S276">
            <v>0</v>
          </cell>
        </row>
        <row r="277">
          <cell r="D277" t="str">
            <v>Estallido</v>
          </cell>
          <cell r="E277" t="str">
            <v>Poder sinérgico</v>
          </cell>
          <cell r="F277" t="str">
            <v>-</v>
          </cell>
          <cell r="G277" t="str">
            <v>No</v>
          </cell>
          <cell r="H277" t="str">
            <v>Activa</v>
          </cell>
          <cell r="I277" t="str">
            <v>Fatiga 12</v>
          </cell>
          <cell r="J277" t="str">
            <v>Fatiga 8</v>
          </cell>
          <cell r="K277" t="str">
            <v>Fatiga 6</v>
          </cell>
          <cell r="L277" t="str">
            <v>Fatiga 4</v>
          </cell>
          <cell r="M277" t="str">
            <v>Fatiga 2</v>
          </cell>
          <cell r="N277" t="str">
            <v>+5 al bono</v>
          </cell>
          <cell r="O277" t="str">
            <v>+10 al bono</v>
          </cell>
          <cell r="P277" t="str">
            <v>+15 al bono</v>
          </cell>
          <cell r="Q277" t="str">
            <v>+15 al bono / +1 cansancios usables</v>
          </cell>
          <cell r="R277" t="str">
            <v>+15 al bono / +2 cansancios usables</v>
          </cell>
          <cell r="S277">
            <v>0</v>
          </cell>
        </row>
        <row r="278">
          <cell r="D278" t="str">
            <v>Invisibilidad</v>
          </cell>
          <cell r="E278" t="str">
            <v>Poder sinérgico</v>
          </cell>
          <cell r="F278" t="str">
            <v>-</v>
          </cell>
          <cell r="G278" t="str">
            <v>Sí</v>
          </cell>
          <cell r="H278" t="str">
            <v>Activa</v>
          </cell>
          <cell r="I278" t="str">
            <v>Fatiga 4</v>
          </cell>
          <cell r="J278" t="str">
            <v>Fatiga 2</v>
          </cell>
          <cell r="K278" t="str">
            <v>Advertir 120 o Buscar 40</v>
          </cell>
          <cell r="L278" t="str">
            <v>Advertir 140 o Buscar 80</v>
          </cell>
          <cell r="M278" t="str">
            <v>Advertir 180 o Buscar 120</v>
          </cell>
          <cell r="N278" t="str">
            <v>Advertir 240 o Buscar 140</v>
          </cell>
          <cell r="O278" t="str">
            <v>Advertir 280 o Buscar 180</v>
          </cell>
          <cell r="P278" t="str">
            <v>Advertir 320 o Buscar 240</v>
          </cell>
          <cell r="Q278" t="str">
            <v>Advertir 440 o Buscar 280</v>
          </cell>
          <cell r="R278" t="str">
            <v>Invisible a la vista / Buscar 320</v>
          </cell>
          <cell r="S278">
            <v>0</v>
          </cell>
        </row>
        <row r="279">
          <cell r="D279" t="str">
            <v>Cancelar energía</v>
          </cell>
          <cell r="E279" t="str">
            <v>Poder sinérgico</v>
          </cell>
          <cell r="F279" t="str">
            <v>-</v>
          </cell>
          <cell r="G279" t="str">
            <v>Sí</v>
          </cell>
          <cell r="H279" t="str">
            <v>Activa</v>
          </cell>
          <cell r="I279" t="str">
            <v>Fatiga 8</v>
          </cell>
          <cell r="J279" t="str">
            <v>Fatiga 6</v>
          </cell>
          <cell r="K279" t="str">
            <v>Fatiga 4</v>
          </cell>
          <cell r="L279" t="str">
            <v>Fatiga 2</v>
          </cell>
          <cell r="M279" t="str">
            <v>10 m / 5 intensidades / natural</v>
          </cell>
          <cell r="N279" t="str">
            <v>20 m / 10 intensidades / natural</v>
          </cell>
          <cell r="O279" t="str">
            <v>50 m / 15 intensidades / psíquico</v>
          </cell>
          <cell r="P279" t="str">
            <v>100 m / 20 intensidades / psíquico</v>
          </cell>
          <cell r="Q279" t="str">
            <v>500 m / 30 intensidades / ki</v>
          </cell>
          <cell r="R279" t="str">
            <v>1 km / 50 intensidades / todos</v>
          </cell>
          <cell r="S279">
            <v>0</v>
          </cell>
        </row>
        <row r="280">
          <cell r="D280" t="str">
            <v>Congelar capacidades</v>
          </cell>
          <cell r="E280" t="str">
            <v>Poder sinérgico</v>
          </cell>
          <cell r="F280" t="str">
            <v>-</v>
          </cell>
          <cell r="G280" t="str">
            <v>No</v>
          </cell>
          <cell r="H280" t="str">
            <v>Activa</v>
          </cell>
          <cell r="I280" t="str">
            <v>Fatiga 12</v>
          </cell>
          <cell r="J280" t="str">
            <v>Fatiga 8</v>
          </cell>
          <cell r="K280" t="str">
            <v>Fatiga 6</v>
          </cell>
          <cell r="L280" t="str">
            <v>Fatiga 4</v>
          </cell>
          <cell r="M280" t="str">
            <v>Fatiga 2</v>
          </cell>
          <cell r="N280" t="str">
            <v>3 asaltos</v>
          </cell>
          <cell r="O280" t="str">
            <v>5 asaltos</v>
          </cell>
          <cell r="P280" t="str">
            <v>10 asaltos</v>
          </cell>
          <cell r="Q280" t="str">
            <v>15 asaltos</v>
          </cell>
          <cell r="R280" t="str">
            <v>20 asaltos</v>
          </cell>
          <cell r="S280">
            <v>0</v>
          </cell>
        </row>
        <row r="281">
          <cell r="D281" t="str">
            <v>Superconductividad</v>
          </cell>
          <cell r="E281" t="str">
            <v>Poder sinérgico</v>
          </cell>
          <cell r="F281" t="str">
            <v>-</v>
          </cell>
          <cell r="G281" t="str">
            <v>No</v>
          </cell>
          <cell r="H281" t="str">
            <v>Activa</v>
          </cell>
          <cell r="I281" t="str">
            <v>Fatiga 8</v>
          </cell>
          <cell r="J281" t="str">
            <v>Fatiga 6</v>
          </cell>
          <cell r="K281" t="str">
            <v>Fatiga 4</v>
          </cell>
          <cell r="L281" t="str">
            <v>Fatiga 2</v>
          </cell>
          <cell r="M281" t="str">
            <v>1 asalto / -5 RF</v>
          </cell>
          <cell r="N281" t="str">
            <v>2 asaltos / -10 RF</v>
          </cell>
          <cell r="O281" t="str">
            <v>3 asaltos / -15 RF</v>
          </cell>
          <cell r="P281" t="str">
            <v>5 asaltos / -20 RF</v>
          </cell>
          <cell r="Q281" t="str">
            <v>7 asaltos / -25 RF / Mov. Libre</v>
          </cell>
          <cell r="R281" t="str">
            <v>10 asaltos / -30 RF / Mov. Libre</v>
          </cell>
          <cell r="S281">
            <v>0</v>
          </cell>
        </row>
        <row r="282">
          <cell r="D282" t="str">
            <v>Fragilidad</v>
          </cell>
          <cell r="E282" t="str">
            <v>Poder sinérgico</v>
          </cell>
          <cell r="F282" t="str">
            <v>-</v>
          </cell>
          <cell r="G282" t="str">
            <v>No</v>
          </cell>
          <cell r="H282" t="str">
            <v>Activa</v>
          </cell>
          <cell r="I282" t="str">
            <v>Fatiga 4</v>
          </cell>
          <cell r="J282" t="str">
            <v>Fatiga 2</v>
          </cell>
          <cell r="K282" t="str">
            <v>Fatiga 1</v>
          </cell>
          <cell r="L282" t="str">
            <v>-1 a la entereza / 80 RF</v>
          </cell>
          <cell r="M282" t="str">
            <v>-3 a la entereza / 100 RF</v>
          </cell>
          <cell r="N282" t="str">
            <v>-5 a la entereza / 120 RF</v>
          </cell>
          <cell r="O282" t="str">
            <v>-7 a la entereza / 140 RF</v>
          </cell>
          <cell r="P282" t="str">
            <v>-10 a la entereza / 160 RF</v>
          </cell>
          <cell r="Q282" t="str">
            <v>-15 a la entereza / 180 RF</v>
          </cell>
          <cell r="R282" t="str">
            <v>-20 a la entereza / 200 RF</v>
          </cell>
          <cell r="S282">
            <v>0</v>
          </cell>
        </row>
        <row r="283">
          <cell r="D283" t="str">
            <v>Despedazar lazos</v>
          </cell>
          <cell r="E283" t="str">
            <v>Poder sinérgico</v>
          </cell>
          <cell r="F283" t="str">
            <v>-</v>
          </cell>
          <cell r="G283" t="str">
            <v>No</v>
          </cell>
          <cell r="H283" t="str">
            <v>Activa</v>
          </cell>
          <cell r="I283" t="str">
            <v>Fatiga 4</v>
          </cell>
          <cell r="J283" t="str">
            <v>Fatiga 2</v>
          </cell>
          <cell r="K283" t="str">
            <v>Fatiga 1</v>
          </cell>
          <cell r="L283" t="str">
            <v>100 RF</v>
          </cell>
          <cell r="M283" t="str">
            <v>120 RF</v>
          </cell>
          <cell r="N283" t="str">
            <v>140 RF</v>
          </cell>
          <cell r="O283" t="str">
            <v>160 RF</v>
          </cell>
          <cell r="P283" t="str">
            <v>180 RF / -10 a Atar</v>
          </cell>
          <cell r="Q283" t="str">
            <v>200 RF / -20 a Atar</v>
          </cell>
          <cell r="R283" t="str">
            <v>220 RF / -40 a Atar</v>
          </cell>
          <cell r="S283">
            <v>0</v>
          </cell>
        </row>
        <row r="284">
          <cell r="D284" t="str">
            <v>Divergencia pasada</v>
          </cell>
          <cell r="E284" t="str">
            <v>Poder sinérgico</v>
          </cell>
          <cell r="F284" t="str">
            <v>-</v>
          </cell>
          <cell r="G284" t="str">
            <v>No</v>
          </cell>
          <cell r="H284" t="str">
            <v>Activa</v>
          </cell>
          <cell r="I284" t="str">
            <v>Fatiga 16</v>
          </cell>
          <cell r="J284" t="str">
            <v>Fatiga 12</v>
          </cell>
          <cell r="K284" t="str">
            <v>Fatiga 8</v>
          </cell>
          <cell r="L284" t="str">
            <v>Fatiga 4</v>
          </cell>
          <cell r="M284" t="str">
            <v>Un mes / 1 línea alterna</v>
          </cell>
          <cell r="N284" t="str">
            <v>Un año / 2 líneas alternas</v>
          </cell>
          <cell r="O284" t="str">
            <v>Cinco años / 3 líneas alternas</v>
          </cell>
          <cell r="P284" t="str">
            <v>Diez años / 4 líneas alternas</v>
          </cell>
          <cell r="Q284" t="str">
            <v>Toda la vida / 5 líneas alternas</v>
          </cell>
          <cell r="S284">
            <v>0</v>
          </cell>
        </row>
        <row r="285">
          <cell r="D285" t="str">
            <v>Superposición</v>
          </cell>
          <cell r="E285" t="str">
            <v>Poder sinérgico</v>
          </cell>
          <cell r="F285" t="str">
            <v>-</v>
          </cell>
          <cell r="G285" t="str">
            <v>Sí</v>
          </cell>
          <cell r="H285" t="str">
            <v>Activa</v>
          </cell>
          <cell r="I285" t="str">
            <v>Fatiga 4</v>
          </cell>
          <cell r="J285" t="str">
            <v>Fatiga 2</v>
          </cell>
          <cell r="K285" t="str">
            <v>Fatiga 1</v>
          </cell>
          <cell r="L285" t="str">
            <v>Presencia 20</v>
          </cell>
          <cell r="M285" t="str">
            <v>Presencia 40</v>
          </cell>
          <cell r="N285" t="str">
            <v>Presencia 80</v>
          </cell>
          <cell r="O285" t="str">
            <v>Presencia 100</v>
          </cell>
          <cell r="P285" t="str">
            <v>Presencia 150</v>
          </cell>
          <cell r="Q285" t="str">
            <v>Presencia 200</v>
          </cell>
          <cell r="R285" t="str">
            <v>Presencia 250</v>
          </cell>
          <cell r="S285">
            <v>0</v>
          </cell>
        </row>
        <row r="286">
          <cell r="D286" t="str">
            <v>Compactar</v>
          </cell>
          <cell r="E286" t="str">
            <v>Poder sinérgico</v>
          </cell>
          <cell r="F286" t="str">
            <v>-</v>
          </cell>
          <cell r="G286" t="str">
            <v>No</v>
          </cell>
          <cell r="H286" t="str">
            <v>Activa</v>
          </cell>
          <cell r="I286" t="str">
            <v>Fatiga 12</v>
          </cell>
          <cell r="J286" t="str">
            <v>Fatiga 8</v>
          </cell>
          <cell r="K286" t="str">
            <v>Fatiga 6</v>
          </cell>
          <cell r="L286" t="str">
            <v>Fatiga 4</v>
          </cell>
          <cell r="M286" t="str">
            <v>Hasta 50 kg</v>
          </cell>
          <cell r="N286" t="str">
            <v>Hasta 500 kg</v>
          </cell>
          <cell r="O286" t="str">
            <v>Hasta 1 t / 1 estado</v>
          </cell>
          <cell r="P286" t="str">
            <v>Hasta 5 t / 1 estado</v>
          </cell>
          <cell r="Q286" t="str">
            <v>Hasta 10 t / 2 estados</v>
          </cell>
          <cell r="R286" t="str">
            <v>Hasta 100 t / 2 estados</v>
          </cell>
          <cell r="S286">
            <v>0</v>
          </cell>
        </row>
        <row r="287">
          <cell r="D287" t="str">
            <v>Eco</v>
          </cell>
          <cell r="E287" t="str">
            <v>Poder sinérgico</v>
          </cell>
          <cell r="F287" t="str">
            <v>-</v>
          </cell>
          <cell r="G287" t="str">
            <v>No</v>
          </cell>
          <cell r="H287" t="str">
            <v>Activa</v>
          </cell>
          <cell r="I287" t="str">
            <v>Fatiga 8</v>
          </cell>
          <cell r="J287" t="str">
            <v>Fatiga 6</v>
          </cell>
          <cell r="K287" t="str">
            <v>Fatiga 4</v>
          </cell>
          <cell r="L287" t="str">
            <v>Fatiga 2</v>
          </cell>
          <cell r="M287" t="str">
            <v>Daño 20 / Adv 60 / 1 rebote, 1 m de radio</v>
          </cell>
          <cell r="N287" t="str">
            <v>Daño 30 / Adv 80 / 1 rebote, 3 m de radio</v>
          </cell>
          <cell r="O287" t="str">
            <v>Daño 40 / Adv 100 / 2 rebotes, 5 m de radio</v>
          </cell>
          <cell r="P287" t="str">
            <v>Daño 40 / Adv 100 / 2 rebotes, 5 m de radio</v>
          </cell>
          <cell r="Q287" t="str">
            <v>Daño 60 / Adv 140 / 3 rebotes, 15 m de radio</v>
          </cell>
          <cell r="R287" t="str">
            <v>Daño 80 / Adv 160 / 3 rebotes, 30 m de radio</v>
          </cell>
          <cell r="S287">
            <v>0</v>
          </cell>
        </row>
        <row r="288">
          <cell r="D288" t="str">
            <v>Cortar espacio</v>
          </cell>
          <cell r="E288" t="str">
            <v>Poder sinérgico</v>
          </cell>
          <cell r="F288" t="str">
            <v>-</v>
          </cell>
          <cell r="G288" t="str">
            <v>Sí</v>
          </cell>
          <cell r="H288" t="str">
            <v>Activa</v>
          </cell>
          <cell r="I288" t="str">
            <v>Fatiga 8</v>
          </cell>
          <cell r="J288" t="str">
            <v>Fatiga 4</v>
          </cell>
          <cell r="K288" t="str">
            <v>Fatiga 2</v>
          </cell>
          <cell r="L288" t="str">
            <v>100 RF</v>
          </cell>
          <cell r="M288" t="str">
            <v>120 RF</v>
          </cell>
          <cell r="N288" t="str">
            <v>140 RF</v>
          </cell>
          <cell r="O288" t="str">
            <v>160 RF</v>
          </cell>
          <cell r="P288" t="str">
            <v>180 RF</v>
          </cell>
          <cell r="Q288" t="str">
            <v>200 RF</v>
          </cell>
          <cell r="R288" t="str">
            <v>220 RF</v>
          </cell>
          <cell r="S288">
            <v>0</v>
          </cell>
        </row>
        <row r="289">
          <cell r="D289" t="str">
            <v>Atraer</v>
          </cell>
          <cell r="E289" t="str">
            <v>Poder sinérgico</v>
          </cell>
          <cell r="F289" t="str">
            <v>-</v>
          </cell>
          <cell r="G289" t="str">
            <v>No</v>
          </cell>
          <cell r="H289" t="str">
            <v>Activa</v>
          </cell>
          <cell r="I289" t="str">
            <v>Fatiga 2</v>
          </cell>
          <cell r="J289" t="str">
            <v>Fatiga 1</v>
          </cell>
          <cell r="K289" t="str">
            <v>Fuerza 8</v>
          </cell>
          <cell r="L289" t="str">
            <v>Fuerza 10</v>
          </cell>
          <cell r="M289" t="str">
            <v>Fuerza 12</v>
          </cell>
          <cell r="N289" t="str">
            <v>Fuerza 14</v>
          </cell>
          <cell r="O289" t="str">
            <v>Fuerza 15</v>
          </cell>
          <cell r="P289" t="str">
            <v>Fuerza 16</v>
          </cell>
          <cell r="Q289" t="str">
            <v>Fuerza 18</v>
          </cell>
          <cell r="R289" t="str">
            <v>Fuerza 20</v>
          </cell>
          <cell r="S289">
            <v>0</v>
          </cell>
        </row>
        <row r="290">
          <cell r="D290" t="str">
            <v>Crear radiación</v>
          </cell>
          <cell r="E290" t="str">
            <v>Poder sinérgico</v>
          </cell>
          <cell r="F290" t="str">
            <v>-</v>
          </cell>
          <cell r="G290" t="str">
            <v>Sí</v>
          </cell>
          <cell r="H290" t="str">
            <v>Activa</v>
          </cell>
          <cell r="I290" t="str">
            <v>Fatiga 4</v>
          </cell>
          <cell r="J290" t="str">
            <v>Fatiga 2</v>
          </cell>
          <cell r="K290" t="str">
            <v>Fatiga 1</v>
          </cell>
          <cell r="L290" t="str">
            <v>5 m de radio / 80 RE</v>
          </cell>
          <cell r="M290" t="str">
            <v>10 m de radio / 100 RE</v>
          </cell>
          <cell r="N290" t="str">
            <v>15 m de radio / 120 RE</v>
          </cell>
          <cell r="O290" t="str">
            <v>20 m de radio / 140 RE</v>
          </cell>
          <cell r="P290" t="str">
            <v>25 m de radio / 160 RE</v>
          </cell>
          <cell r="Q290" t="str">
            <v>50 m de radio / 180 RE</v>
          </cell>
          <cell r="R290" t="str">
            <v>100 m de radio / 200 RE</v>
          </cell>
          <cell r="S290">
            <v>0</v>
          </cell>
        </row>
        <row r="291">
          <cell r="D291" t="str">
            <v>Apagón</v>
          </cell>
          <cell r="E291" t="str">
            <v>Poder sinérgico</v>
          </cell>
          <cell r="F291" t="str">
            <v>-</v>
          </cell>
          <cell r="G291" t="str">
            <v>Sí</v>
          </cell>
          <cell r="H291" t="str">
            <v>Activa</v>
          </cell>
          <cell r="I291" t="str">
            <v>Fatiga 8</v>
          </cell>
          <cell r="J291" t="str">
            <v>Fatiga 6</v>
          </cell>
          <cell r="K291" t="str">
            <v>Fatga 4</v>
          </cell>
          <cell r="L291" t="str">
            <v>Fatiga 2</v>
          </cell>
          <cell r="M291" t="str">
            <v>1 m de radio / 80 RF</v>
          </cell>
          <cell r="N291" t="str">
            <v>10 m de radio / 100 RF</v>
          </cell>
          <cell r="O291" t="str">
            <v>25 m de radio / 120 RF</v>
          </cell>
          <cell r="P291" t="str">
            <v>50 m de radio / 140 RF</v>
          </cell>
          <cell r="Q291" t="str">
            <v>100 m de radio / 160 RF</v>
          </cell>
          <cell r="R291" t="str">
            <v>500 m de radio / 180 RF</v>
          </cell>
          <cell r="S291">
            <v>0</v>
          </cell>
        </row>
        <row r="292">
          <cell r="D292" t="str">
            <v>Marcar</v>
          </cell>
          <cell r="E292" t="str">
            <v>Poder sinérgico</v>
          </cell>
          <cell r="F292" t="str">
            <v>-</v>
          </cell>
          <cell r="G292" t="str">
            <v>Sí</v>
          </cell>
          <cell r="H292" t="str">
            <v>Activa</v>
          </cell>
          <cell r="I292" t="str">
            <v>Fatiga 8</v>
          </cell>
          <cell r="J292" t="str">
            <v>Fatiga 6</v>
          </cell>
          <cell r="K292" t="str">
            <v>Fatiga 4</v>
          </cell>
          <cell r="L292" t="str">
            <v>Fatiga 2</v>
          </cell>
          <cell r="M292" t="str">
            <v>50 m de radio / 100 RP</v>
          </cell>
          <cell r="N292" t="str">
            <v>100 m de radio / 120 RP</v>
          </cell>
          <cell r="O292" t="str">
            <v>250 m de radio / 140 RP</v>
          </cell>
          <cell r="P292" t="str">
            <v>500 m de radio / 160 RP</v>
          </cell>
          <cell r="Q292" t="str">
            <v>1 km de radio / 180 RP</v>
          </cell>
          <cell r="R292" t="str">
            <v>10 km de radio / 200 RP / Pot. Completo</v>
          </cell>
          <cell r="S292">
            <v>0</v>
          </cell>
        </row>
        <row r="293">
          <cell r="D293" t="str">
            <v>&gt; PODERES MATRICIALES</v>
          </cell>
          <cell r="S293">
            <v>1</v>
          </cell>
        </row>
        <row r="294">
          <cell r="D294" t="str">
            <v>Destruir matrices</v>
          </cell>
          <cell r="E294" t="str">
            <v>Poderes Matriciales</v>
          </cell>
          <cell r="F294" t="str">
            <v>-</v>
          </cell>
          <cell r="G294" t="str">
            <v>Sí</v>
          </cell>
          <cell r="H294" t="str">
            <v>Activa</v>
          </cell>
          <cell r="I294" t="str">
            <v>Fatiga 6</v>
          </cell>
          <cell r="J294" t="str">
            <v>Fatiga 4</v>
          </cell>
          <cell r="K294" t="str">
            <v>Fatiga 2</v>
          </cell>
          <cell r="L294" t="str">
            <v>Poderes de nivel Medio</v>
          </cell>
          <cell r="M294" t="str">
            <v>Poderes de nivel Dificil</v>
          </cell>
          <cell r="N294" t="str">
            <v>Poderes de nivel Muy Dificil</v>
          </cell>
          <cell r="O294" t="str">
            <v>Poderes de nivel Absurdo</v>
          </cell>
          <cell r="P294" t="str">
            <v>Poderes de nivel Casi Imposible</v>
          </cell>
          <cell r="Q294" t="str">
            <v>Poderes de nivel Imposible</v>
          </cell>
          <cell r="R294" t="str">
            <v>Poderes de nivel Inhumano</v>
          </cell>
          <cell r="S294">
            <v>1</v>
          </cell>
        </row>
        <row r="295">
          <cell r="D295" t="str">
            <v>Sentir matrices</v>
          </cell>
          <cell r="E295" t="str">
            <v>Poderes Matriciales</v>
          </cell>
          <cell r="F295" t="str">
            <v>-</v>
          </cell>
          <cell r="G295" t="str">
            <v>Sí</v>
          </cell>
          <cell r="H295" t="str">
            <v>Activa</v>
          </cell>
          <cell r="I295" t="str">
            <v>Fatiga 1</v>
          </cell>
          <cell r="J295" t="str">
            <v>10m / Ver matrices activas</v>
          </cell>
          <cell r="K295" t="str">
            <v>25m / Detecta poder latente</v>
          </cell>
          <cell r="L295" t="str">
            <v>50m / Reconocer poder</v>
          </cell>
          <cell r="M295" t="str">
            <v>100 m</v>
          </cell>
          <cell r="N295" t="str">
            <v>250m Detecta disciplinas</v>
          </cell>
          <cell r="O295" t="str">
            <v>500m Mide potencial</v>
          </cell>
          <cell r="P295" t="str">
            <v xml:space="preserve">1km Detecta los CV libres </v>
          </cell>
          <cell r="Q295" t="str">
            <v>5km Poderes de otro psíquico</v>
          </cell>
          <cell r="R295" t="str">
            <v xml:space="preserve">100km </v>
          </cell>
          <cell r="S295">
            <v>1</v>
          </cell>
        </row>
        <row r="296">
          <cell r="D296" t="str">
            <v>Ocultar matrices</v>
          </cell>
          <cell r="E296" t="str">
            <v>Poderes Matriciales</v>
          </cell>
          <cell r="F296" t="str">
            <v>-</v>
          </cell>
          <cell r="G296" t="str">
            <v>Sí</v>
          </cell>
          <cell r="H296" t="str">
            <v>Pasiva</v>
          </cell>
          <cell r="I296" t="str">
            <v>Fatiga 2</v>
          </cell>
          <cell r="J296" t="str">
            <v>Fatiga 1</v>
          </cell>
          <cell r="K296" t="str">
            <v xml:space="preserve"> -2 grados de dificultad</v>
          </cell>
          <cell r="L296" t="str">
            <v xml:space="preserve"> -3 grados de dificultad</v>
          </cell>
          <cell r="M296" t="str">
            <v xml:space="preserve"> -4 grados de dificultad</v>
          </cell>
          <cell r="N296" t="str">
            <v xml:space="preserve"> -5 grados de dificultad</v>
          </cell>
          <cell r="O296" t="str">
            <v xml:space="preserve"> -6 grados de dificultad</v>
          </cell>
          <cell r="P296" t="str">
            <v xml:space="preserve"> -7 grados de dificultad</v>
          </cell>
          <cell r="Q296" t="str">
            <v xml:space="preserve"> -8 grados de dificultad</v>
          </cell>
          <cell r="R296" t="str">
            <v xml:space="preserve"> -9 grados de dificultad</v>
          </cell>
          <cell r="S296">
            <v>1</v>
          </cell>
        </row>
        <row r="297">
          <cell r="D297" t="str">
            <v>Conectar matrices</v>
          </cell>
          <cell r="E297" t="str">
            <v>Poderes Matriciales</v>
          </cell>
          <cell r="F297" t="str">
            <v>-</v>
          </cell>
          <cell r="G297" t="str">
            <v>Sí</v>
          </cell>
          <cell r="H297" t="str">
            <v>Activa</v>
          </cell>
          <cell r="I297" t="str">
            <v>Fatiga 6</v>
          </cell>
          <cell r="J297" t="str">
            <v>Fatiga 4</v>
          </cell>
          <cell r="K297" t="str">
            <v>Fatiga 2</v>
          </cell>
          <cell r="L297" t="str">
            <v>2 indivíduos</v>
          </cell>
          <cell r="M297" t="str">
            <v>3 indivíduos</v>
          </cell>
          <cell r="N297" t="str">
            <v>4 indivíduos</v>
          </cell>
          <cell r="O297" t="str">
            <v>6 indivíduos</v>
          </cell>
          <cell r="P297" t="str">
            <v>8 indivíduos</v>
          </cell>
          <cell r="Q297" t="str">
            <v>10 indivíduos</v>
          </cell>
          <cell r="R297" t="str">
            <v>20 indivíduos</v>
          </cell>
          <cell r="S297">
            <v>1</v>
          </cell>
        </row>
      </sheetData>
      <sheetData sheetId="15" refreshError="1"/>
      <sheetData sheetId="16" refreshError="1"/>
      <sheetData sheetId="17" refreshError="1"/>
      <sheetData sheetId="18">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No</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No</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Imbuir miedo</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Ver en la oscuridad</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Escudo oscuro</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Sombra</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Armadura oscura</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Destrucción de luz</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Ocultación de magia</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Descarga oscura</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Oscuridad ambiental</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Lazos oscuros</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v>
          </cell>
        </row>
        <row r="59">
          <cell r="D59" t="str">
            <v>Dominio oscuro</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Ocultación</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Rabia</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Destruir sentimientos positivos</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Noche</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Esfera oscura</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Zona de ocultación</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Introducirse en las pesadillas</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Cuerpo a oscuridad</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Ocultarse y Sigilo / +20 a sus Resistencias</v>
          </cell>
          <cell r="W68" t="str">
            <v>+60 en Ocultarse y Sigilo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Perdición</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Crear sentimientos negativos</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Eliminar residuos</v>
          </cell>
          <cell r="E71" t="str">
            <v>Oscuridad</v>
          </cell>
          <cell r="F71">
            <v>60</v>
          </cell>
          <cell r="G71" t="str">
            <v>No</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Escudar contra lo positivo</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Oscuridad devoradora</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Destrozar</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Marca del miedo</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Oscuridad catastrófica</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Objetos oscuros</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Transmisión por sombras</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Rey de pesadillas</v>
          </cell>
          <cell r="E79" t="str">
            <v>Oscuridad</v>
          </cell>
          <cell r="F79">
            <v>80</v>
          </cell>
          <cell r="G79" t="str">
            <v>No</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Creación oscura</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Ocultarse ante la magia</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15</v>
          </cell>
          <cell r="T81">
            <v>15</v>
          </cell>
          <cell r="U81">
            <v>20</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Reino de tinieblas</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Indetección</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Prisión de oscuridad</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Esencia oscura</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Ascensión oscura</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Holocausto de oscuridad</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Creación menor</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30</v>
          </cell>
          <cell r="Z89" t="str">
            <v>Crea un objeto de naturaleza simple, cuya presencia no podrá ser mayor a 25</v>
          </cell>
        </row>
        <row r="90">
          <cell r="D90" t="str">
            <v>Reconstruir</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R90" t="str">
            <v>No</v>
          </cell>
          <cell r="S90" t="str">
            <v>No</v>
          </cell>
          <cell r="T90" t="str">
            <v>No</v>
          </cell>
          <cell r="U90" t="str">
            <v>No</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Crear energía</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Regeneración</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Modificación inorgánica</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Aumentar resistencias</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Escudo real</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Curación</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R96" t="str">
            <v>No</v>
          </cell>
          <cell r="S96" t="str">
            <v>No</v>
          </cell>
          <cell r="T96" t="str">
            <v>No</v>
          </cell>
          <cell r="U96" t="str">
            <v>No</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Barrera de daño</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Crear homúnculo</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Cambio menor</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Imitar</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Inmunidad</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Reducción de daño</v>
          </cell>
          <cell r="E102" t="str">
            <v>Creación</v>
          </cell>
          <cell r="F102">
            <v>36</v>
          </cell>
          <cell r="G102" t="str">
            <v>No</v>
          </cell>
          <cell r="H102" t="str">
            <v>Auto</v>
          </cell>
          <cell r="I102" t="str">
            <v>Pasiva</v>
          </cell>
          <cell r="J102">
            <v>8</v>
          </cell>
          <cell r="K102">
            <v>10</v>
          </cell>
          <cell r="L102">
            <v>12</v>
          </cell>
          <cell r="M102">
            <v>14</v>
          </cell>
          <cell r="N102">
            <v>80</v>
          </cell>
          <cell r="O102">
            <v>120</v>
          </cell>
          <cell r="P102">
            <v>160</v>
          </cell>
          <cell r="Q102">
            <v>240</v>
          </cell>
          <cell r="R102" t="str">
            <v>No</v>
          </cell>
          <cell r="S102" t="str">
            <v>No</v>
          </cell>
          <cell r="T102" t="str">
            <v>No</v>
          </cell>
          <cell r="U102" t="str">
            <v>No</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G104" t="str">
            <v>No</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G105" t="str">
            <v>No</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Crear recuerdos</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R106" t="str">
            <v>No</v>
          </cell>
          <cell r="S106" t="str">
            <v>No</v>
          </cell>
          <cell r="T106" t="str">
            <v>No</v>
          </cell>
          <cell r="U106" t="str">
            <v>No</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Recuperar</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R107" t="str">
            <v>No</v>
          </cell>
          <cell r="S107" t="str">
            <v>No</v>
          </cell>
          <cell r="T107" t="str">
            <v>No</v>
          </cell>
          <cell r="U107" t="str">
            <v>No</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Adquirir poderes</v>
          </cell>
          <cell r="E108" t="str">
            <v>Creación</v>
          </cell>
          <cell r="F108">
            <v>50</v>
          </cell>
          <cell r="G108" t="str">
            <v>No</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Crear engendro</v>
          </cell>
          <cell r="E109" t="str">
            <v>Creación</v>
          </cell>
          <cell r="F109">
            <v>52</v>
          </cell>
          <cell r="G109" t="str">
            <v>No</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Aura de protección</v>
          </cell>
          <cell r="E110" t="str">
            <v>Creación</v>
          </cell>
          <cell r="F110">
            <v>56</v>
          </cell>
          <cell r="G110" t="str">
            <v>No</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Estancar esencia</v>
          </cell>
          <cell r="E111" t="str">
            <v>Creación</v>
          </cell>
          <cell r="F111">
            <v>58</v>
          </cell>
          <cell r="G111" t="str">
            <v>No</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Escudo perfecto</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Vitalidad</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Creación completa</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Potenciar magia</v>
          </cell>
          <cell r="E115" t="str">
            <v>Creación</v>
          </cell>
          <cell r="F115">
            <v>68</v>
          </cell>
          <cell r="G115" t="str">
            <v>No</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Transmutar</v>
          </cell>
          <cell r="E116" t="str">
            <v>Creación</v>
          </cell>
          <cell r="F116">
            <v>70</v>
          </cell>
          <cell r="G116" t="str">
            <v>No</v>
          </cell>
          <cell r="H116" t="str">
            <v>Anímico</v>
          </cell>
          <cell r="I116" t="str">
            <v>Activa</v>
          </cell>
          <cell r="J116">
            <v>9</v>
          </cell>
          <cell r="K116">
            <v>12</v>
          </cell>
          <cell r="L116">
            <v>15</v>
          </cell>
          <cell r="M116">
            <v>18</v>
          </cell>
          <cell r="N116">
            <v>250</v>
          </cell>
          <cell r="O116">
            <v>350</v>
          </cell>
          <cell r="P116">
            <v>500</v>
          </cell>
          <cell r="Q116">
            <v>800</v>
          </cell>
          <cell r="R116" t="str">
            <v>No</v>
          </cell>
          <cell r="S116" t="str">
            <v>No</v>
          </cell>
          <cell r="T116" t="str">
            <v>No</v>
          </cell>
          <cell r="U116" t="str">
            <v>No</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Metamorfismo</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Recrear</v>
          </cell>
          <cell r="E118" t="str">
            <v>Creación</v>
          </cell>
          <cell r="F118">
            <v>76</v>
          </cell>
          <cell r="G118" t="str">
            <v>No</v>
          </cell>
          <cell r="H118" t="str">
            <v>Efecto</v>
          </cell>
          <cell r="I118" t="str">
            <v>Activa</v>
          </cell>
          <cell r="J118">
            <v>8</v>
          </cell>
          <cell r="K118">
            <v>12</v>
          </cell>
          <cell r="L118">
            <v>15</v>
          </cell>
          <cell r="M118">
            <v>18</v>
          </cell>
          <cell r="N118">
            <v>300</v>
          </cell>
          <cell r="O118">
            <v>500</v>
          </cell>
          <cell r="P118">
            <v>750</v>
          </cell>
          <cell r="Q118">
            <v>1500</v>
          </cell>
          <cell r="R118" t="str">
            <v>No</v>
          </cell>
          <cell r="S118" t="str">
            <v>No</v>
          </cell>
          <cell r="T118" t="str">
            <v>No</v>
          </cell>
          <cell r="U118" t="str">
            <v>No</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Quimera</v>
          </cell>
          <cell r="E120" t="str">
            <v>Creación</v>
          </cell>
          <cell r="F120">
            <v>80</v>
          </cell>
          <cell r="G120" t="str">
            <v>No</v>
          </cell>
          <cell r="H120" t="str">
            <v>Efecto</v>
          </cell>
          <cell r="I120" t="str">
            <v>Activa</v>
          </cell>
          <cell r="J120">
            <v>10</v>
          </cell>
          <cell r="K120">
            <v>13</v>
          </cell>
          <cell r="L120">
            <v>15</v>
          </cell>
          <cell r="M120">
            <v>17</v>
          </cell>
          <cell r="N120">
            <v>250</v>
          </cell>
          <cell r="O120">
            <v>500</v>
          </cell>
          <cell r="P120">
            <v>1000</v>
          </cell>
          <cell r="Q120">
            <v>2500</v>
          </cell>
          <cell r="R120" t="str">
            <v>No</v>
          </cell>
          <cell r="S120" t="str">
            <v>No</v>
          </cell>
          <cell r="T120" t="str">
            <v>No</v>
          </cell>
          <cell r="U120" t="str">
            <v>No</v>
          </cell>
          <cell r="V120" t="str">
            <v>Más 100 PD / hasta 100 PD opcionales en desventajas</v>
          </cell>
          <cell r="W120" t="str">
            <v>Más 200 PD / hasta 100 PD opcionales en desventajas</v>
          </cell>
          <cell r="X120" t="str">
            <v>Más 300 PD / hasta 200 PD opcionales en desventajas</v>
          </cell>
          <cell r="Y120" t="str">
            <v>Más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Zona de salvaguardia</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180 / radio de 500 metros</v>
          </cell>
          <cell r="X121" t="str">
            <v>RM 220 / radio de 1 kilómetro</v>
          </cell>
          <cell r="Y121" t="str">
            <v>RM 250 / radio de 5 kilómetros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Mantenimiento</v>
          </cell>
          <cell r="E122" t="str">
            <v>Creación</v>
          </cell>
          <cell r="F122">
            <v>86</v>
          </cell>
          <cell r="G122" t="str">
            <v>No</v>
          </cell>
          <cell r="H122" t="str">
            <v>Efecto</v>
          </cell>
          <cell r="I122" t="str">
            <v>Activa</v>
          </cell>
          <cell r="J122">
            <v>10</v>
          </cell>
          <cell r="K122">
            <v>12</v>
          </cell>
          <cell r="L122">
            <v>14</v>
          </cell>
          <cell r="M122">
            <v>16</v>
          </cell>
          <cell r="N122">
            <v>250</v>
          </cell>
          <cell r="O122">
            <v>500</v>
          </cell>
          <cell r="P122">
            <v>900</v>
          </cell>
          <cell r="Q122">
            <v>1600</v>
          </cell>
          <cell r="R122" t="str">
            <v>No</v>
          </cell>
          <cell r="S122" t="str">
            <v>No</v>
          </cell>
          <cell r="T122" t="str">
            <v>No</v>
          </cell>
          <cell r="U122" t="str">
            <v>No</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Otorgar alma</v>
          </cell>
          <cell r="E123" t="str">
            <v>Creación</v>
          </cell>
          <cell r="F123">
            <v>88</v>
          </cell>
          <cell r="G123" t="str">
            <v>No</v>
          </cell>
          <cell r="H123" t="str">
            <v>Efecto</v>
          </cell>
          <cell r="I123" t="str">
            <v>Activa</v>
          </cell>
          <cell r="J123">
            <v>13</v>
          </cell>
          <cell r="K123">
            <v>14</v>
          </cell>
          <cell r="L123">
            <v>15</v>
          </cell>
          <cell r="M123">
            <v>16</v>
          </cell>
          <cell r="N123">
            <v>500</v>
          </cell>
          <cell r="O123">
            <v>800</v>
          </cell>
          <cell r="P123">
            <v>1200</v>
          </cell>
          <cell r="Q123">
            <v>2000</v>
          </cell>
          <cell r="R123" t="str">
            <v>No</v>
          </cell>
          <cell r="S123" t="str">
            <v>No</v>
          </cell>
          <cell r="T123" t="str">
            <v>No</v>
          </cell>
          <cell r="U123" t="str">
            <v>No</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Creación mayor</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Magia eterna</v>
          </cell>
          <cell r="E125" t="str">
            <v>Creación</v>
          </cell>
          <cell r="F125">
            <v>92</v>
          </cell>
          <cell r="G125" t="str">
            <v>No</v>
          </cell>
          <cell r="H125" t="str">
            <v>Efecto</v>
          </cell>
          <cell r="I125" t="str">
            <v>Activa</v>
          </cell>
          <cell r="J125">
            <v>12</v>
          </cell>
          <cell r="K125">
            <v>14</v>
          </cell>
          <cell r="L125">
            <v>16</v>
          </cell>
          <cell r="M125">
            <v>18</v>
          </cell>
          <cell r="N125">
            <v>600</v>
          </cell>
          <cell r="O125">
            <v>1000</v>
          </cell>
          <cell r="P125">
            <v>2500</v>
          </cell>
          <cell r="Q125">
            <v>5000</v>
          </cell>
          <cell r="R125" t="str">
            <v>No</v>
          </cell>
          <cell r="S125" t="str">
            <v>No</v>
          </cell>
          <cell r="T125" t="str">
            <v>No</v>
          </cell>
          <cell r="U125" t="str">
            <v>No</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La barrera</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Crear la vida</v>
          </cell>
          <cell r="E127" t="str">
            <v>Creación</v>
          </cell>
          <cell r="F127">
            <v>98</v>
          </cell>
          <cell r="G127" t="str">
            <v>No</v>
          </cell>
          <cell r="H127" t="str">
            <v>Efecto</v>
          </cell>
          <cell r="I127" t="str">
            <v>Activa</v>
          </cell>
          <cell r="J127">
            <v>16</v>
          </cell>
          <cell r="K127">
            <v>17</v>
          </cell>
          <cell r="L127">
            <v>18</v>
          </cell>
          <cell r="M127">
            <v>19</v>
          </cell>
          <cell r="N127">
            <v>800</v>
          </cell>
          <cell r="O127">
            <v>2000</v>
          </cell>
          <cell r="P127">
            <v>4000</v>
          </cell>
          <cell r="Q127">
            <v>8000</v>
          </cell>
          <cell r="R127" t="str">
            <v>No</v>
          </cell>
          <cell r="S127" t="str">
            <v>No</v>
          </cell>
          <cell r="T127" t="str">
            <v>No</v>
          </cell>
          <cell r="U127" t="str">
            <v>No</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Crear</v>
          </cell>
          <cell r="E128" t="str">
            <v>Creación</v>
          </cell>
          <cell r="F128">
            <v>100</v>
          </cell>
          <cell r="G128" t="str">
            <v>No</v>
          </cell>
          <cell r="H128" t="str">
            <v>Efecto</v>
          </cell>
          <cell r="I128" t="str">
            <v>Activa</v>
          </cell>
          <cell r="J128">
            <v>17</v>
          </cell>
          <cell r="K128">
            <v>18</v>
          </cell>
          <cell r="L128">
            <v>19</v>
          </cell>
          <cell r="M128">
            <v>20</v>
          </cell>
          <cell r="N128">
            <v>1000</v>
          </cell>
          <cell r="O128">
            <v>3000</v>
          </cell>
          <cell r="P128">
            <v>6000</v>
          </cell>
          <cell r="Q128">
            <v>12000</v>
          </cell>
          <cell r="R128" t="str">
            <v>No</v>
          </cell>
          <cell r="S128" t="str">
            <v>No</v>
          </cell>
          <cell r="T128" t="str">
            <v>No</v>
          </cell>
          <cell r="U128" t="str">
            <v>No</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Fragilidad</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Desmantelar</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Destruir intensidades</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Destrucción menor</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Esfera de destrucción</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Incrementar debilidad</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Destrucción de magia</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Agravar daño</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Destrucción de matrices</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Herir</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Destrucción de ki</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Producir daño</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Destrucción de sentidos</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Descarga</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Desatar vínculos</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Destruir resistencias</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Deshacer estados</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Cúpula de destrucción</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Área de decaimiento</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Aura de destrucción</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Destruir recuerdos</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Bloquear aprendizaje</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Negar</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Destruir poderes</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Descarga mayor</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Destruir la voluntad</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Zona de debilidad</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Esencia de destrucción</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Muerte</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Zona devoradora</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Destruir capacidades</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Sesgar la existencia</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Lluvia de destrucción</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Destrucción de zeon</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Arrojar de los cielos</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Vacío</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Destrucción mayor</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Destruir almas</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Caos</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Descrear</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Crear viento</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Mover</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Reducir peso</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5</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No respirar</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Movimiento libre</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Golpe de aire</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Pantalla de aire</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Transporte automático</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Vuelo (Aire)</v>
          </cell>
          <cell r="E179" t="str">
            <v>Aire</v>
          </cell>
          <cell r="F179">
            <v>30</v>
          </cell>
          <cell r="G179" t="str">
            <v>No</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Incremento de reacción</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Electrificar</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Tajo de aire</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lingitud</v>
          </cell>
          <cell r="X182" t="str">
            <v>linea de 25 metros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Velocidad</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Rayo</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Remolino</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Forma etérea</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Control del aire</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Control de la electricidad</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Movimiento defensivo</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Teletransportación</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Inmaterialidad</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Huracán</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Aire sólido</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Control del clima</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Crear silfo</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Telequinesis superior</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Ubicar magia</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Magia pasiva</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Señor del aire</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Un lugar en el mundo</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Manantial</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Crear frío</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Capacidad acuática</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Inmunidad al frío</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Burbuja protectora</v>
          </cell>
          <cell r="E206" t="str">
            <v>Agua</v>
          </cell>
          <cell r="F206">
            <v>16</v>
          </cell>
          <cell r="G206" t="str">
            <v>No</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Impacto de agua</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Control sobre los líquidos</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Congelar las emociones</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Como en Intermedio, pero también afecta a todos los estados sobrenaturales.</v>
          </cell>
          <cell r="Y209" t="str">
            <v>Como en Avanzado, pero el mago puede elegir qué sentimientos congelar.</v>
          </cell>
          <cell r="Z209" t="str">
            <v>Este hechizo hiela los sentimientos de una persona, otorgándole inmunidad psicológica contra todos los estados emocionales.</v>
          </cell>
        </row>
        <row r="210">
          <cell r="D210" t="str">
            <v>Controlar el frío</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Congelar</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Pantalla de hielo</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 ataque. En el caso de que el escudo detenga con éxito una descarga de energía basada en luz u oscuridad, puede devolver el ataque hacia su lanzador con la misma habilidad con la que este lo proyectó.</v>
          </cell>
        </row>
        <row r="213">
          <cell r="D213" t="str">
            <v>Crear líquidos</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Ataque de hielo</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Cristalización</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Control reflejo</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Cuerpo líquido</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Reflejar estados</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Tormenta de hielo</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Control de las mareas</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Prisión de agua</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Glacial</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Tsunami</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Reflejo del alma</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Enlentecer el tiempo</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Crear ondina</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Congelar la magia</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En el interior del espejo</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Señor de los hielos</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Señor de las aguas</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Un mundo perfecto</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Crear fuego</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Mitigar fuego</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Inmunidad contra el fuego</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calor</v>
          </cell>
          <cell r="Y235" t="str">
            <v>30 Intensidades de calor</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Sentir el calor</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Bola de fuego</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Control sobre el fuego</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Barrera de fuego</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Arma ígnea</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Descarga de calor</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Ver en las cenizas</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Aumentar temp. ambiental</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Mina de fuego</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Aumentar el crítico</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Secar</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Fundir</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Cuerpo a fuego</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Sacrificio vital</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Incinerar</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Consumir esencia</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Sacrificio de poder</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Crítico directo</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Magia por capacidades</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Tormenta de fuego</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Consumir vida por magia</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Crear ifreet</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Pira</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Devastación</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Sacrificar a otros</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Señor del fuego</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Armagedón</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140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Detectar minerales</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Control mineral</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Aumentar peso</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Transformar mineral</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v>5</v>
          </cell>
          <cell r="S267">
            <v>5</v>
          </cell>
          <cell r="T267">
            <v>5</v>
          </cell>
          <cell r="U267">
            <v>10</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Firmeza</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Barrera de piedra</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Lentitud</v>
          </cell>
          <cell r="E270" t="str">
            <v>Tierra</v>
          </cell>
          <cell r="F270">
            <v>22</v>
          </cell>
          <cell r="G270" t="str">
            <v>No</v>
          </cell>
          <cell r="H270" t="str">
            <v>Anímico</v>
          </cell>
          <cell r="I270" t="str">
            <v>Activa</v>
          </cell>
          <cell r="J270">
            <v>6</v>
          </cell>
          <cell r="K270">
            <v>9</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ell>
        </row>
        <row r="271">
          <cell r="D271" t="str">
            <v>Coraza</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Escudo magnético</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Atravesar lo sólido</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Espina de la tierra</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Rotura</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Telemetría</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Control magnético</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Forja</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Cuerpo sólido</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Resistencia</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Petrificar</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Grieta</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Invertir la gravedad</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Creación mineral</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Erudición del terreno</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Terremoto</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Destrucción gravitacional</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Crear golem</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Aumento de gravedad</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Meteoro</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Control de la gravedad</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Uno con la tierra</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Control atómico</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Afinidad natural</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Comunicación por esencia</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Conocimiento natural</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Sanación</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Barrera de almas</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Compartir sentidos</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Modificar la esencia</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Veneno de almas</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Analizar el alma</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Adq. capacidades naturales</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Revitalizar</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Mente de vida</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Alterar el crecimiento</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Imitación natural</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Forma espiritual</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Control natural</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Inducción de estados</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Devolver al flujo</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Escudar</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Control sobrenatural</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Compartir esencia</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Transmigrar almas</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Existencia espiritual</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Creación de espíritus</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Atar esencia vital</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Verdor</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Dominio de la vida</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Resurrección</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Señor de las almas</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concreto.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Activa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llamas</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50 metros de caída / Presencia máxima 60</v>
          </cell>
          <cell r="W406" t="str">
            <v>150 metros de caída / Presencia máxima 160</v>
          </cell>
          <cell r="X406" t="str">
            <v>500 metros de caída / Presencia máxima 240</v>
          </cell>
          <cell r="Y406" t="str">
            <v>Cualquier distancia de caída / Presencia máxima 320</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Si</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V451" t="str">
            <v>Sueños vagos,poco claros,imágenes fragmentadas,frases inconexas y sonidos</v>
          </cell>
          <cell r="W451" t="str">
            <v>Los Sueños son vagos, pero permiten mostrar secuencias y lugares al soñador</v>
          </cell>
          <cell r="X451" t="str">
            <v>Sueños claros con mensaje comprensible, imágenes ideadas por el mago</v>
          </cell>
          <cell r="Y451" t="str">
            <v>Sueños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160</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mentales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No</v>
          </cell>
          <cell r="H492" t="str">
            <v>Efec. Defen.</v>
          </cell>
          <cell r="I492" t="str">
            <v>Pasiva</v>
          </cell>
          <cell r="J492">
            <v>9</v>
          </cell>
          <cell r="K492">
            <v>11</v>
          </cell>
          <cell r="L492">
            <v>13</v>
          </cell>
          <cell r="M492">
            <v>16</v>
          </cell>
          <cell r="N492">
            <v>100</v>
          </cell>
          <cell r="O492">
            <v>160</v>
          </cell>
          <cell r="P492">
            <v>220</v>
          </cell>
          <cell r="Q492">
            <v>300</v>
          </cell>
          <cell r="V492" t="str">
            <v>RM 140</v>
          </cell>
          <cell r="W492" t="str">
            <v>RM 160</v>
          </cell>
          <cell r="X492" t="str">
            <v>RM 200</v>
          </cell>
          <cell r="Y492" t="str">
            <v>RM 240</v>
          </cell>
          <cell r="Z492"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Si</v>
          </cell>
          <cell r="H495" t="str">
            <v>Efec. Anim.</v>
          </cell>
          <cell r="I495" t="str">
            <v>Activa</v>
          </cell>
          <cell r="J495">
            <v>9</v>
          </cell>
          <cell r="K495">
            <v>11</v>
          </cell>
          <cell r="L495">
            <v>14</v>
          </cell>
          <cell r="M495">
            <v>16</v>
          </cell>
          <cell r="N495">
            <v>100</v>
          </cell>
          <cell r="O495">
            <v>120</v>
          </cell>
          <cell r="P495">
            <v>140</v>
          </cell>
          <cell r="Q495">
            <v>160</v>
          </cell>
          <cell r="R495">
            <v>10</v>
          </cell>
          <cell r="S495">
            <v>15</v>
          </cell>
          <cell r="T495">
            <v>15</v>
          </cell>
          <cell r="U495">
            <v>20</v>
          </cell>
          <cell r="V495" t="str">
            <v>10 kilómetros / RM 120</v>
          </cell>
          <cell r="W495" t="str">
            <v>100 kilómetros / RM 140</v>
          </cell>
          <cell r="X495" t="str">
            <v>1.000 kilómetros / RM 160</v>
          </cell>
          <cell r="Y495" t="str">
            <v>Cualquier distancia / RM 180</v>
          </cell>
          <cell r="Z495"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6">
          <cell r="D496" t="str">
            <v>Vuelo (Libre Acceso)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10</v>
          </cell>
          <cell r="S497">
            <v>10</v>
          </cell>
          <cell r="T497">
            <v>15</v>
          </cell>
          <cell r="U497">
            <v>15</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Alteración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+2 al rango de pifia / -5 al rango de tirada abierta</v>
          </cell>
          <cell r="W530" t="str">
            <v>+4 al rango de pifia / -10 al rango de tirada abierta</v>
          </cell>
          <cell r="X530" t="str">
            <v>+6 al rango de pifia / -15 al rango de tirada abierta</v>
          </cell>
          <cell r="Y530" t="str">
            <v>+8 al rango de pifia /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10m radio</v>
          </cell>
          <cell r="W542" t="str">
            <v>Da +20 Daño / 50m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radio</v>
          </cell>
          <cell r="W563" t="str">
            <v>RM 80 / 25 metros de radio</v>
          </cell>
          <cell r="X563" t="str">
            <v>RM 100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1 hora,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t="str">
            <v>No</v>
          </cell>
          <cell r="S575" t="str">
            <v>No</v>
          </cell>
          <cell r="T575" t="str">
            <v>No</v>
          </cell>
          <cell r="U575" t="str">
            <v>No</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capacidad de permanecer limpias y planchadas en todo momento. Las manchas y salpicaduras resbalarán por la tela y los desgarros se zurcirán mágicamente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t="str">
            <v>No</v>
          </cell>
          <cell r="S602" t="str">
            <v>No</v>
          </cell>
          <cell r="T602" t="str">
            <v>No</v>
          </cell>
          <cell r="U602" t="str">
            <v>No</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 / RM 120</v>
          </cell>
          <cell r="W603" t="str">
            <v>5 Km radio / RM 140</v>
          </cell>
          <cell r="X603" t="str">
            <v>15 Km radio / RM 160</v>
          </cell>
          <cell r="Y603" t="str">
            <v>50 Km radio / RM 180</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150 metros / RM 160</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v>
          </cell>
          <cell r="Z640" t="str">
            <v>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 de cualquiera, con RM de 150</v>
          </cell>
          <cell r="Z642" t="str">
            <v>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9">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29">
          <cell r="M29" t="str">
            <v>&gt; ESOTÉRICAS</v>
          </cell>
        </row>
        <row r="30">
          <cell r="M30" t="str">
            <v>Naturaleza espiritual</v>
          </cell>
        </row>
        <row r="31">
          <cell r="M31" t="str">
            <v>Sentidos Vinculados</v>
          </cell>
        </row>
        <row r="32">
          <cell r="M32" t="str">
            <v>Desvinculado Esp.</v>
          </cell>
        </row>
        <row r="33">
          <cell r="M33" t="str">
            <v>Vinculación de Vida</v>
          </cell>
        </row>
        <row r="34">
          <cell r="M34" t="str">
            <v>Elementalismo</v>
          </cell>
        </row>
        <row r="35">
          <cell r="M35" t="str">
            <v>&gt; FORMA DE ALMA</v>
          </cell>
        </row>
        <row r="36">
          <cell r="M36" t="str">
            <v>Forma de Alma</v>
          </cell>
        </row>
        <row r="37">
          <cell r="M37" t="str">
            <v>Transformación mejorada</v>
          </cell>
        </row>
        <row r="38">
          <cell r="M38" t="str">
            <v>Poderes Mejorados</v>
          </cell>
        </row>
        <row r="39">
          <cell r="M39" t="str">
            <v>Forma Mayor</v>
          </cell>
        </row>
        <row r="40">
          <cell r="M40" t="str">
            <v>&gt; MAGIA</v>
          </cell>
        </row>
        <row r="41">
          <cell r="M41" t="str">
            <v>Proyección Mejorada</v>
          </cell>
        </row>
        <row r="42">
          <cell r="M42" t="str">
            <v>Conjuros Mejorados</v>
          </cell>
        </row>
        <row r="43">
          <cell r="M43" t="str">
            <v>Acumulación Mejorada</v>
          </cell>
        </row>
        <row r="44">
          <cell r="M44" t="str">
            <v>&gt; POTENCIACIÓN</v>
          </cell>
        </row>
        <row r="45">
          <cell r="M45" t="str">
            <v>Aguante Mejorado</v>
          </cell>
        </row>
        <row r="46">
          <cell r="M46" t="str">
            <v>Potenciación Mejorada</v>
          </cell>
        </row>
        <row r="47">
          <cell r="M47" t="str">
            <v>&gt; AIRE</v>
          </cell>
        </row>
        <row r="48">
          <cell r="M48" t="str">
            <v>Trueno del Alma</v>
          </cell>
        </row>
        <row r="49">
          <cell r="M49" t="str">
            <v>Vendaval Afilado</v>
          </cell>
        </row>
        <row r="50">
          <cell r="M50" t="str">
            <v>Velocidad Absoluta</v>
          </cell>
        </row>
        <row r="51">
          <cell r="M51" t="str">
            <v>Mano de Aire</v>
          </cell>
        </row>
        <row r="52">
          <cell r="M52" t="str">
            <v>Teletransporte</v>
          </cell>
        </row>
        <row r="53">
          <cell r="M53" t="str">
            <v>Vuelo Mejorado</v>
          </cell>
        </row>
        <row r="54">
          <cell r="M54" t="str">
            <v>Proyectiles Potenciados</v>
          </cell>
        </row>
        <row r="55">
          <cell r="M55" t="str">
            <v>Hab. Mejoradas (Aire)</v>
          </cell>
        </row>
        <row r="56">
          <cell r="M56" t="str">
            <v>Forma eléctrica</v>
          </cell>
        </row>
        <row r="57">
          <cell r="M57" t="str">
            <v>Reacción Veloz</v>
          </cell>
        </row>
      </sheetData>
      <sheetData sheetId="20" refreshError="1"/>
      <sheetData sheetId="21">
        <row r="6">
          <cell r="F6" t="str">
            <v>No aplicar</v>
          </cell>
        </row>
        <row r="50">
          <cell r="E50" t="str">
            <v>No Cumplido</v>
          </cell>
        </row>
        <row r="59">
          <cell r="AN59" t="str">
            <v>Alma Demoníaca</v>
          </cell>
        </row>
        <row r="60">
          <cell r="AN60" t="str">
            <v>Inhumano</v>
          </cell>
        </row>
        <row r="61">
          <cell r="AN61" t="str">
            <v>Lazo de Poder Demoníaco</v>
          </cell>
        </row>
        <row r="62">
          <cell r="AN62" t="str">
            <v>Ojos de Demonio</v>
          </cell>
        </row>
        <row r="63">
          <cell r="AN63" t="str">
            <v>Monstruo Sin Corazón</v>
          </cell>
        </row>
        <row r="133">
          <cell r="C133" t="str">
            <v>Notas Personalización</v>
          </cell>
        </row>
      </sheetData>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row r="105">
          <cell r="AK105" t="str">
            <v>Ficha Excel. Versión 8.6.2</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sheetData sheetId="8">
        <row r="63">
          <cell r="C63" t="str">
            <v>Notas Místicos</v>
          </cell>
        </row>
      </sheetData>
      <sheetData sheetId="9"/>
      <sheetData sheetId="10">
        <row r="91">
          <cell r="C91" t="str">
            <v>Notas Sheele</v>
          </cell>
        </row>
      </sheetData>
      <sheetData sheetId="11"/>
      <sheetData sheetId="12">
        <row r="75">
          <cell r="V75" t="str">
            <v>Notas Psíquicos</v>
          </cell>
        </row>
      </sheetData>
      <sheetData sheetId="13"/>
      <sheetData sheetId="14"/>
      <sheetData sheetId="15">
        <row r="8">
          <cell r="C8" t="str">
            <v>Sí</v>
          </cell>
        </row>
      </sheetData>
      <sheetData sheetId="16">
        <row r="6">
          <cell r="AP6" t="str">
            <v>'Tablas Psiquica'!$AP$7:$AP$11</v>
          </cell>
          <cell r="AQ6" t="str">
            <v>'Tablas Psiquica'!$AQ$7:$AQ$11</v>
          </cell>
        </row>
      </sheetData>
      <sheetData sheetId="17"/>
      <sheetData sheetId="18">
        <row r="6">
          <cell r="D6" t="str">
            <v>&gt; LUZ</v>
          </cell>
        </row>
      </sheetData>
      <sheetData sheetId="19">
        <row r="4">
          <cell r="L4" t="str">
            <v>No</v>
          </cell>
        </row>
      </sheetData>
      <sheetData sheetId="20"/>
      <sheetData sheetId="21">
        <row r="6">
          <cell r="F6" t="str">
            <v>No aplicar</v>
          </cell>
        </row>
      </sheetData>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Tablas Invocaciones"/>
      <sheetName val="Grimorio Invocaciones"/>
      <sheetName val="Grimorio Magia"/>
      <sheetName val="Grimorio de Vía"/>
      <sheetName val="Tablas psiquica"/>
      <sheetName val="Grimorio Psíquica"/>
    </sheetNames>
    <sheetDataSet>
      <sheetData sheetId="0" refreshError="1"/>
      <sheetData sheetId="1">
        <row r="108">
          <cell r="AK108" t="str">
            <v>Ficha Excel. Versión 8.6.3</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refreshError="1"/>
      <sheetData sheetId="8">
        <row r="63">
          <cell r="C63" t="str">
            <v>Notas Místicos</v>
          </cell>
        </row>
      </sheetData>
      <sheetData sheetId="9" refreshError="1"/>
      <sheetData sheetId="10">
        <row r="91">
          <cell r="C91" t="str">
            <v>Notas Sheele</v>
          </cell>
        </row>
      </sheetData>
      <sheetData sheetId="11">
        <row r="80">
          <cell r="V80" t="str">
            <v>Notas Psíquicos</v>
          </cell>
        </row>
      </sheetData>
      <sheetData sheetId="12" refreshError="1"/>
      <sheetData sheetId="13">
        <row r="112">
          <cell r="Q112" t="str">
            <v>Notas Constructos Psi</v>
          </cell>
        </row>
      </sheetData>
      <sheetData sheetId="14" refreshError="1"/>
      <sheetData sheetId="15">
        <row r="6">
          <cell r="F6" t="str">
            <v>No aplicar</v>
          </cell>
        </row>
      </sheetData>
      <sheetData sheetId="16">
        <row r="8">
          <cell r="C8" t="str">
            <v>Sí</v>
          </cell>
        </row>
      </sheetData>
      <sheetData sheetId="17" refreshError="1"/>
      <sheetData sheetId="18">
        <row r="6">
          <cell r="D6" t="str">
            <v>&gt; LUZ</v>
          </cell>
        </row>
      </sheetData>
      <sheetData sheetId="19">
        <row r="4">
          <cell r="L4" t="str">
            <v>No</v>
          </cell>
        </row>
      </sheetData>
      <sheetData sheetId="20">
        <row r="4">
          <cell r="D4" t="str">
            <v>Madera común</v>
          </cell>
        </row>
      </sheetData>
      <sheetData sheetId="21"/>
      <sheetData sheetId="22" refreshError="1"/>
      <sheetData sheetId="23" refreshError="1"/>
      <sheetData sheetId="24" refreshError="1"/>
      <sheetData sheetId="25">
        <row r="6">
          <cell r="AR6" t="str">
            <v>'Tablas Psiquica'!$AR$7:$AR$11</v>
          </cell>
          <cell r="AS6" t="str">
            <v>'Tablas Psiquica'!$AS$7:$AS$11</v>
          </cell>
        </row>
      </sheetData>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Grimorio Magia"/>
      <sheetName val="Grimorio de Vía"/>
      <sheetName val="Tablas psiquica"/>
      <sheetName val="Grimorio Psíquica"/>
      <sheetName val="Andrei, la Tercera Neurona - He"/>
    </sheetNames>
    <definedNames>
      <definedName name="ExportPDFGrimorio.ExportPDFGrimorio"/>
    </defined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ow r="17">
          <cell r="AS17" t="str">
            <v>Alterar el orden de los acon.</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5">
          <cell r="AU5">
            <v>0</v>
          </cell>
        </row>
      </sheetData>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9.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image" Target="../media/image10.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zoomScaleNormal="100" workbookViewId="0"/>
  </sheetViews>
  <sheetFormatPr baseColWidth="10" defaultColWidth="2.42578125" defaultRowHeight="12.75" customHeight="1"/>
  <cols>
    <col min="1" max="16384" width="2.42578125" style="304"/>
  </cols>
  <sheetData>
    <row r="1" spans="1:38" ht="12.75" customHeight="1" thickBot="1">
      <c r="A1" s="2100"/>
      <c r="B1" s="1297"/>
      <c r="C1" s="1297"/>
      <c r="D1" s="1297"/>
      <c r="E1" s="1297"/>
      <c r="F1" s="1297"/>
      <c r="G1" s="1297"/>
      <c r="H1" s="1297"/>
      <c r="I1" s="1297"/>
      <c r="J1" s="1297"/>
      <c r="K1" s="1297"/>
      <c r="L1" s="1297"/>
      <c r="M1" s="1297"/>
      <c r="N1" s="1297"/>
      <c r="O1" s="1297"/>
      <c r="P1" s="1297"/>
      <c r="Q1" s="1297"/>
      <c r="R1" s="1297"/>
      <c r="S1" s="1297"/>
      <c r="T1" s="1297"/>
      <c r="U1" s="1297"/>
      <c r="V1" s="1297"/>
      <c r="W1" s="1297"/>
      <c r="X1" s="1297"/>
      <c r="Y1" s="1297"/>
      <c r="Z1" s="1297"/>
      <c r="AA1" s="1297"/>
      <c r="AB1" s="1297"/>
      <c r="AC1" s="1297"/>
      <c r="AD1" s="1297"/>
      <c r="AE1" s="1297"/>
      <c r="AF1" s="1297"/>
      <c r="AG1" s="1297"/>
      <c r="AH1" s="1297"/>
      <c r="AI1" s="1297"/>
      <c r="AJ1" s="1297"/>
      <c r="AK1" s="1297"/>
      <c r="AL1" s="1297"/>
    </row>
    <row r="2" spans="1:38" ht="12.75" customHeight="1">
      <c r="A2" s="1297"/>
      <c r="B2" s="2101"/>
      <c r="C2" s="4650" t="s">
        <v>9522</v>
      </c>
      <c r="D2" s="4650"/>
      <c r="E2" s="4650"/>
      <c r="F2" s="4650"/>
      <c r="G2" s="4650"/>
      <c r="H2" s="4650"/>
      <c r="I2" s="4650"/>
      <c r="J2" s="4650"/>
      <c r="K2" s="4650"/>
      <c r="L2" s="4650"/>
      <c r="M2" s="4650"/>
      <c r="N2" s="4650"/>
      <c r="O2" s="4650"/>
      <c r="P2" s="4650"/>
      <c r="Q2" s="4650"/>
      <c r="R2" s="4650"/>
      <c r="S2" s="4650"/>
      <c r="T2" s="4650"/>
      <c r="U2" s="4650"/>
      <c r="V2" s="4650"/>
      <c r="W2" s="4650"/>
      <c r="X2" s="4650"/>
      <c r="Y2" s="4650"/>
      <c r="Z2" s="4650"/>
      <c r="AA2" s="4650"/>
      <c r="AB2" s="4650"/>
      <c r="AC2" s="4650"/>
      <c r="AD2" s="4650"/>
      <c r="AE2" s="4650"/>
      <c r="AF2" s="4650"/>
      <c r="AG2" s="4650"/>
      <c r="AH2" s="4650"/>
      <c r="AI2" s="4650"/>
      <c r="AJ2" s="4650"/>
      <c r="AK2" s="2102"/>
      <c r="AL2" s="1297"/>
    </row>
    <row r="3" spans="1:38" ht="12.75" customHeight="1">
      <c r="A3" s="1297"/>
      <c r="B3" s="2103"/>
      <c r="C3" s="4651"/>
      <c r="D3" s="4651"/>
      <c r="E3" s="4651"/>
      <c r="F3" s="4651"/>
      <c r="G3" s="4651"/>
      <c r="H3" s="4651"/>
      <c r="I3" s="4651"/>
      <c r="J3" s="4651"/>
      <c r="K3" s="4651"/>
      <c r="L3" s="4651"/>
      <c r="M3" s="4651"/>
      <c r="N3" s="4651"/>
      <c r="O3" s="4651"/>
      <c r="P3" s="4651"/>
      <c r="Q3" s="4651"/>
      <c r="R3" s="4651"/>
      <c r="S3" s="4651"/>
      <c r="T3" s="4651"/>
      <c r="U3" s="4651"/>
      <c r="V3" s="4651"/>
      <c r="W3" s="4651"/>
      <c r="X3" s="4651"/>
      <c r="Y3" s="4651"/>
      <c r="Z3" s="4651"/>
      <c r="AA3" s="4651"/>
      <c r="AB3" s="4651"/>
      <c r="AC3" s="4651"/>
      <c r="AD3" s="4651"/>
      <c r="AE3" s="4651"/>
      <c r="AF3" s="4651"/>
      <c r="AG3" s="4651"/>
      <c r="AH3" s="4651"/>
      <c r="AI3" s="4651"/>
      <c r="AJ3" s="4651"/>
      <c r="AK3" s="2104"/>
      <c r="AL3" s="1297"/>
    </row>
    <row r="4" spans="1:38" ht="12.75" customHeight="1">
      <c r="A4" s="1297"/>
      <c r="B4" s="2103"/>
      <c r="C4" s="4651"/>
      <c r="D4" s="4651"/>
      <c r="E4" s="4651"/>
      <c r="F4" s="4651"/>
      <c r="G4" s="4651"/>
      <c r="H4" s="4651"/>
      <c r="I4" s="4651"/>
      <c r="J4" s="4651"/>
      <c r="K4" s="4651"/>
      <c r="L4" s="4651"/>
      <c r="M4" s="4651"/>
      <c r="N4" s="4651"/>
      <c r="O4" s="4651"/>
      <c r="P4" s="4651"/>
      <c r="Q4" s="4651"/>
      <c r="R4" s="4651"/>
      <c r="S4" s="4651"/>
      <c r="T4" s="4651"/>
      <c r="U4" s="4651"/>
      <c r="V4" s="4651"/>
      <c r="W4" s="4651"/>
      <c r="X4" s="4651"/>
      <c r="Y4" s="4651"/>
      <c r="Z4" s="4651"/>
      <c r="AA4" s="4651"/>
      <c r="AB4" s="4651"/>
      <c r="AC4" s="4651"/>
      <c r="AD4" s="4651"/>
      <c r="AE4" s="4651"/>
      <c r="AF4" s="4651"/>
      <c r="AG4" s="4651"/>
      <c r="AH4" s="4651"/>
      <c r="AI4" s="4651"/>
      <c r="AJ4" s="4651"/>
      <c r="AK4" s="2104"/>
      <c r="AL4" s="1297"/>
    </row>
    <row r="5" spans="1:38" ht="12.75" customHeight="1">
      <c r="A5" s="1297"/>
      <c r="B5" s="2103"/>
      <c r="C5" s="4651"/>
      <c r="D5" s="4651"/>
      <c r="E5" s="4651"/>
      <c r="F5" s="4651"/>
      <c r="G5" s="4651"/>
      <c r="H5" s="4651"/>
      <c r="I5" s="4651"/>
      <c r="J5" s="4651"/>
      <c r="K5" s="4651"/>
      <c r="L5" s="4651"/>
      <c r="M5" s="4651"/>
      <c r="N5" s="4651"/>
      <c r="O5" s="4651"/>
      <c r="P5" s="4651"/>
      <c r="Q5" s="4651"/>
      <c r="R5" s="4651"/>
      <c r="S5" s="4651"/>
      <c r="T5" s="4651"/>
      <c r="U5" s="4651"/>
      <c r="V5" s="4651"/>
      <c r="W5" s="4651"/>
      <c r="X5" s="4651"/>
      <c r="Y5" s="4651"/>
      <c r="Z5" s="4651"/>
      <c r="AA5" s="4651"/>
      <c r="AB5" s="4651"/>
      <c r="AC5" s="4651"/>
      <c r="AD5" s="4651"/>
      <c r="AE5" s="4651"/>
      <c r="AF5" s="4651"/>
      <c r="AG5" s="4651"/>
      <c r="AH5" s="4651"/>
      <c r="AI5" s="4651"/>
      <c r="AJ5" s="4651"/>
      <c r="AK5" s="2104"/>
      <c r="AL5" s="1297"/>
    </row>
    <row r="6" spans="1:38" ht="12.75" customHeight="1">
      <c r="A6" s="1297"/>
      <c r="B6" s="2103"/>
      <c r="C6" s="4649" t="s">
        <v>9691</v>
      </c>
      <c r="D6" s="4649"/>
      <c r="E6" s="4649"/>
      <c r="F6" s="4649"/>
      <c r="G6" s="4649"/>
      <c r="H6" s="4649"/>
      <c r="I6" s="4649"/>
      <c r="J6" s="4649"/>
      <c r="K6" s="4649"/>
      <c r="L6" s="4649"/>
      <c r="M6" s="4649"/>
      <c r="N6" s="4649"/>
      <c r="O6" s="4649"/>
      <c r="P6" s="4649"/>
      <c r="Q6" s="4649"/>
      <c r="R6" s="4649"/>
      <c r="S6" s="4649"/>
      <c r="T6" s="4649"/>
      <c r="U6" s="4649"/>
      <c r="V6" s="4649"/>
      <c r="W6" s="4649"/>
      <c r="X6" s="4649"/>
      <c r="Y6" s="4649"/>
      <c r="Z6" s="4649"/>
      <c r="AA6" s="4649"/>
      <c r="AB6" s="4649"/>
      <c r="AC6" s="4649"/>
      <c r="AD6" s="4649"/>
      <c r="AE6" s="4649"/>
      <c r="AF6" s="4649"/>
      <c r="AG6" s="4649"/>
      <c r="AH6" s="4649"/>
      <c r="AI6" s="4649"/>
      <c r="AJ6" s="4649"/>
      <c r="AK6" s="2104"/>
      <c r="AL6" s="1297"/>
    </row>
    <row r="7" spans="1:38" ht="12.75" customHeight="1">
      <c r="A7" s="1297"/>
      <c r="B7" s="2103"/>
      <c r="C7" s="4649"/>
      <c r="D7" s="4649"/>
      <c r="E7" s="4649"/>
      <c r="F7" s="4649"/>
      <c r="G7" s="4649"/>
      <c r="H7" s="4649"/>
      <c r="I7" s="4649"/>
      <c r="J7" s="4649"/>
      <c r="K7" s="4649"/>
      <c r="L7" s="4649"/>
      <c r="M7" s="4649"/>
      <c r="N7" s="4649"/>
      <c r="O7" s="4649"/>
      <c r="P7" s="4649"/>
      <c r="Q7" s="4649"/>
      <c r="R7" s="4649"/>
      <c r="S7" s="4649"/>
      <c r="T7" s="4649"/>
      <c r="U7" s="4649"/>
      <c r="V7" s="4649"/>
      <c r="W7" s="4649"/>
      <c r="X7" s="4649"/>
      <c r="Y7" s="4649"/>
      <c r="Z7" s="4649"/>
      <c r="AA7" s="4649"/>
      <c r="AB7" s="4649"/>
      <c r="AC7" s="4649"/>
      <c r="AD7" s="4649"/>
      <c r="AE7" s="4649"/>
      <c r="AF7" s="4649"/>
      <c r="AG7" s="4649"/>
      <c r="AH7" s="4649"/>
      <c r="AI7" s="4649"/>
      <c r="AJ7" s="4649"/>
      <c r="AK7" s="2104"/>
      <c r="AL7" s="1297"/>
    </row>
    <row r="8" spans="1:38" ht="12.75" customHeight="1">
      <c r="A8" s="1297"/>
      <c r="B8" s="2103"/>
      <c r="C8" s="4649"/>
      <c r="D8" s="4649"/>
      <c r="E8" s="4649"/>
      <c r="F8" s="4649"/>
      <c r="G8" s="4649"/>
      <c r="H8" s="4649"/>
      <c r="I8" s="4649"/>
      <c r="J8" s="4649"/>
      <c r="K8" s="4649"/>
      <c r="L8" s="4649"/>
      <c r="M8" s="4649"/>
      <c r="N8" s="4649"/>
      <c r="O8" s="4649"/>
      <c r="P8" s="4649"/>
      <c r="Q8" s="4649"/>
      <c r="R8" s="4649"/>
      <c r="S8" s="4649"/>
      <c r="T8" s="4649"/>
      <c r="U8" s="4649"/>
      <c r="V8" s="4649"/>
      <c r="W8" s="4649"/>
      <c r="X8" s="4649"/>
      <c r="Y8" s="4649"/>
      <c r="Z8" s="4649"/>
      <c r="AA8" s="4649"/>
      <c r="AB8" s="4649"/>
      <c r="AC8" s="4649"/>
      <c r="AD8" s="4649"/>
      <c r="AE8" s="4649"/>
      <c r="AF8" s="4649"/>
      <c r="AG8" s="4649"/>
      <c r="AH8" s="4649"/>
      <c r="AI8" s="4649"/>
      <c r="AJ8" s="4649"/>
      <c r="AK8" s="2104"/>
      <c r="AL8" s="1297"/>
    </row>
    <row r="9" spans="1:38" ht="12.75" customHeight="1">
      <c r="A9" s="1297"/>
      <c r="B9" s="2103"/>
      <c r="C9" s="4649"/>
      <c r="D9" s="4649"/>
      <c r="E9" s="4649"/>
      <c r="F9" s="4649"/>
      <c r="G9" s="4649"/>
      <c r="H9" s="4649"/>
      <c r="I9" s="4649"/>
      <c r="J9" s="4649"/>
      <c r="K9" s="4649"/>
      <c r="L9" s="4649"/>
      <c r="M9" s="4649"/>
      <c r="N9" s="4649"/>
      <c r="O9" s="4649"/>
      <c r="P9" s="4649"/>
      <c r="Q9" s="4649"/>
      <c r="R9" s="4649"/>
      <c r="S9" s="4649"/>
      <c r="T9" s="4649"/>
      <c r="U9" s="4649"/>
      <c r="V9" s="4649"/>
      <c r="W9" s="4649"/>
      <c r="X9" s="4649"/>
      <c r="Y9" s="4649"/>
      <c r="Z9" s="4649"/>
      <c r="AA9" s="4649"/>
      <c r="AB9" s="4649"/>
      <c r="AC9" s="4649"/>
      <c r="AD9" s="4649"/>
      <c r="AE9" s="4649"/>
      <c r="AF9" s="4649"/>
      <c r="AG9" s="4649"/>
      <c r="AH9" s="4649"/>
      <c r="AI9" s="4649"/>
      <c r="AJ9" s="4649"/>
      <c r="AK9" s="2104"/>
      <c r="AL9" s="1297"/>
    </row>
    <row r="10" spans="1:38" ht="12.75" customHeight="1">
      <c r="A10" s="1297"/>
      <c r="B10" s="2103"/>
      <c r="C10" s="4649"/>
      <c r="D10" s="4649"/>
      <c r="E10" s="4649"/>
      <c r="F10" s="4649"/>
      <c r="G10" s="4649"/>
      <c r="H10" s="4649"/>
      <c r="I10" s="4649"/>
      <c r="J10" s="4649"/>
      <c r="K10" s="4649"/>
      <c r="L10" s="4649"/>
      <c r="M10" s="4649"/>
      <c r="N10" s="4649"/>
      <c r="O10" s="4649"/>
      <c r="P10" s="4649"/>
      <c r="Q10" s="4649"/>
      <c r="R10" s="4649"/>
      <c r="S10" s="4649"/>
      <c r="T10" s="4649"/>
      <c r="U10" s="4649"/>
      <c r="V10" s="4649"/>
      <c r="W10" s="4649"/>
      <c r="X10" s="4649"/>
      <c r="Y10" s="4649"/>
      <c r="Z10" s="4649"/>
      <c r="AA10" s="4649"/>
      <c r="AB10" s="4649"/>
      <c r="AC10" s="4649"/>
      <c r="AD10" s="4649"/>
      <c r="AE10" s="4649"/>
      <c r="AF10" s="4649"/>
      <c r="AG10" s="4649"/>
      <c r="AH10" s="4649"/>
      <c r="AI10" s="4649"/>
      <c r="AJ10" s="4649"/>
      <c r="AK10" s="2104"/>
      <c r="AL10" s="1297"/>
    </row>
    <row r="11" spans="1:38" ht="12.75" customHeight="1">
      <c r="A11" s="1297"/>
      <c r="B11" s="2103"/>
      <c r="C11" s="4649"/>
      <c r="D11" s="4649"/>
      <c r="E11" s="4649"/>
      <c r="F11" s="4649"/>
      <c r="G11" s="4649"/>
      <c r="H11" s="4649"/>
      <c r="I11" s="4649"/>
      <c r="J11" s="4649"/>
      <c r="K11" s="4649"/>
      <c r="L11" s="4649"/>
      <c r="M11" s="4649"/>
      <c r="N11" s="4649"/>
      <c r="O11" s="4649"/>
      <c r="P11" s="4649"/>
      <c r="Q11" s="4649"/>
      <c r="R11" s="4649"/>
      <c r="S11" s="4649"/>
      <c r="T11" s="4649"/>
      <c r="U11" s="4649"/>
      <c r="V11" s="4649"/>
      <c r="W11" s="4649"/>
      <c r="X11" s="4649"/>
      <c r="Y11" s="4649"/>
      <c r="Z11" s="4649"/>
      <c r="AA11" s="4649"/>
      <c r="AB11" s="4649"/>
      <c r="AC11" s="4649"/>
      <c r="AD11" s="4649"/>
      <c r="AE11" s="4649"/>
      <c r="AF11" s="4649"/>
      <c r="AG11" s="4649"/>
      <c r="AH11" s="4649"/>
      <c r="AI11" s="4649"/>
      <c r="AJ11" s="4649"/>
      <c r="AK11" s="2104"/>
      <c r="AL11" s="1297"/>
    </row>
    <row r="12" spans="1:38" ht="12.75" customHeight="1">
      <c r="A12" s="1297"/>
      <c r="B12" s="2103"/>
      <c r="C12" s="4649"/>
      <c r="D12" s="4649"/>
      <c r="E12" s="4649"/>
      <c r="F12" s="4649"/>
      <c r="G12" s="4649"/>
      <c r="H12" s="4649"/>
      <c r="I12" s="4649"/>
      <c r="J12" s="4649"/>
      <c r="K12" s="4649"/>
      <c r="L12" s="4649"/>
      <c r="M12" s="4649"/>
      <c r="N12" s="4649"/>
      <c r="O12" s="4649"/>
      <c r="P12" s="4649"/>
      <c r="Q12" s="4649"/>
      <c r="R12" s="4649"/>
      <c r="S12" s="4649"/>
      <c r="T12" s="4649"/>
      <c r="U12" s="4649"/>
      <c r="V12" s="4649"/>
      <c r="W12" s="4649"/>
      <c r="X12" s="4649"/>
      <c r="Y12" s="4649"/>
      <c r="Z12" s="4649"/>
      <c r="AA12" s="4649"/>
      <c r="AB12" s="4649"/>
      <c r="AC12" s="4649"/>
      <c r="AD12" s="4649"/>
      <c r="AE12" s="4649"/>
      <c r="AF12" s="4649"/>
      <c r="AG12" s="4649"/>
      <c r="AH12" s="4649"/>
      <c r="AI12" s="4649"/>
      <c r="AJ12" s="4649"/>
      <c r="AK12" s="2104"/>
      <c r="AL12" s="1297"/>
    </row>
    <row r="13" spans="1:38" ht="12.75" customHeight="1">
      <c r="A13" s="1297"/>
      <c r="B13" s="2103"/>
      <c r="C13" s="4649"/>
      <c r="D13" s="4649"/>
      <c r="E13" s="4649"/>
      <c r="F13" s="4649"/>
      <c r="G13" s="4649"/>
      <c r="H13" s="4649"/>
      <c r="I13" s="4649"/>
      <c r="J13" s="4649"/>
      <c r="K13" s="4649"/>
      <c r="L13" s="4649"/>
      <c r="M13" s="4649"/>
      <c r="N13" s="4649"/>
      <c r="O13" s="4649"/>
      <c r="P13" s="4649"/>
      <c r="Q13" s="4649"/>
      <c r="R13" s="4649"/>
      <c r="S13" s="4649"/>
      <c r="T13" s="4649"/>
      <c r="U13" s="4649"/>
      <c r="V13" s="4649"/>
      <c r="W13" s="4649"/>
      <c r="X13" s="4649"/>
      <c r="Y13" s="4649"/>
      <c r="Z13" s="4649"/>
      <c r="AA13" s="4649"/>
      <c r="AB13" s="4649"/>
      <c r="AC13" s="4649"/>
      <c r="AD13" s="4649"/>
      <c r="AE13" s="4649"/>
      <c r="AF13" s="4649"/>
      <c r="AG13" s="4649"/>
      <c r="AH13" s="4649"/>
      <c r="AI13" s="4649"/>
      <c r="AJ13" s="4649"/>
      <c r="AK13" s="2104"/>
      <c r="AL13" s="1297"/>
    </row>
    <row r="14" spans="1:38" ht="12.75" customHeight="1">
      <c r="A14" s="1297"/>
      <c r="B14" s="2103"/>
      <c r="C14" s="2106"/>
      <c r="D14" s="2106"/>
      <c r="E14" s="2106"/>
      <c r="F14" s="2106"/>
      <c r="G14" s="2106"/>
      <c r="H14" s="2106"/>
      <c r="I14" s="2106"/>
      <c r="J14" s="2106"/>
      <c r="K14" s="2106"/>
      <c r="L14" s="2106"/>
      <c r="M14" s="2106"/>
      <c r="N14" s="2106"/>
      <c r="O14" s="2106"/>
      <c r="P14" s="2106"/>
      <c r="Q14" s="2106"/>
      <c r="R14" s="2106"/>
      <c r="S14" s="2106"/>
      <c r="T14" s="2106"/>
      <c r="U14" s="2106"/>
      <c r="V14" s="2106"/>
      <c r="W14" s="2106"/>
      <c r="X14" s="2106"/>
      <c r="Y14" s="2106"/>
      <c r="Z14" s="2106"/>
      <c r="AA14" s="2106"/>
      <c r="AB14" s="2106"/>
      <c r="AC14" s="2106"/>
      <c r="AD14" s="2106"/>
      <c r="AE14" s="2106"/>
      <c r="AF14" s="2106"/>
      <c r="AG14" s="2106"/>
      <c r="AH14" s="2106"/>
      <c r="AI14" s="2106"/>
      <c r="AJ14" s="2106"/>
      <c r="AK14" s="2104"/>
      <c r="AL14" s="1297"/>
    </row>
    <row r="15" spans="1:38" ht="12.75" customHeight="1">
      <c r="A15" s="1297"/>
      <c r="B15" s="2103"/>
      <c r="C15" s="4649" t="s">
        <v>9690</v>
      </c>
      <c r="D15" s="4649"/>
      <c r="E15" s="4649"/>
      <c r="F15" s="4649"/>
      <c r="G15" s="4649"/>
      <c r="H15" s="4649"/>
      <c r="I15" s="4649"/>
      <c r="J15" s="4649"/>
      <c r="K15" s="4649"/>
      <c r="L15" s="4649"/>
      <c r="M15" s="4649"/>
      <c r="N15" s="4649"/>
      <c r="O15" s="4649"/>
      <c r="P15" s="4649"/>
      <c r="Q15" s="4649"/>
      <c r="R15" s="4649"/>
      <c r="S15" s="4649"/>
      <c r="T15" s="4649"/>
      <c r="U15" s="4649"/>
      <c r="V15" s="4649"/>
      <c r="W15" s="4649"/>
      <c r="X15" s="4649"/>
      <c r="Y15" s="4649"/>
      <c r="Z15" s="4649"/>
      <c r="AA15" s="4649"/>
      <c r="AB15" s="4649"/>
      <c r="AC15" s="4649"/>
      <c r="AD15" s="4649"/>
      <c r="AE15" s="4649"/>
      <c r="AF15" s="4649"/>
      <c r="AG15" s="4649"/>
      <c r="AH15" s="4649"/>
      <c r="AI15" s="4649"/>
      <c r="AJ15" s="4649"/>
      <c r="AK15" s="2104"/>
      <c r="AL15" s="1297"/>
    </row>
    <row r="16" spans="1:38" ht="12.75" customHeight="1">
      <c r="A16" s="1297"/>
      <c r="B16" s="2103"/>
      <c r="C16" s="4649"/>
      <c r="D16" s="4649"/>
      <c r="E16" s="4649"/>
      <c r="F16" s="4649"/>
      <c r="G16" s="4649"/>
      <c r="H16" s="4649"/>
      <c r="I16" s="4649"/>
      <c r="J16" s="4649"/>
      <c r="K16" s="4649"/>
      <c r="L16" s="4649"/>
      <c r="M16" s="4649"/>
      <c r="N16" s="4649"/>
      <c r="O16" s="4649"/>
      <c r="P16" s="4649"/>
      <c r="Q16" s="4649"/>
      <c r="R16" s="4649"/>
      <c r="S16" s="4649"/>
      <c r="T16" s="4649"/>
      <c r="U16" s="4649"/>
      <c r="V16" s="4649"/>
      <c r="W16" s="4649"/>
      <c r="X16" s="4649"/>
      <c r="Y16" s="4649"/>
      <c r="Z16" s="4649"/>
      <c r="AA16" s="4649"/>
      <c r="AB16" s="4649"/>
      <c r="AC16" s="4649"/>
      <c r="AD16" s="4649"/>
      <c r="AE16" s="4649"/>
      <c r="AF16" s="4649"/>
      <c r="AG16" s="4649"/>
      <c r="AH16" s="4649"/>
      <c r="AI16" s="4649"/>
      <c r="AJ16" s="4649"/>
      <c r="AK16" s="2104"/>
      <c r="AL16" s="1297"/>
    </row>
    <row r="17" spans="1:38" ht="12.75" customHeight="1">
      <c r="A17" s="1297"/>
      <c r="B17" s="2103"/>
      <c r="C17" s="4652" t="str">
        <f>HYPERLINK("https://discord.gg/GK58q7a","Anima a Través de la Red")</f>
        <v>Anima a Través de la Red</v>
      </c>
      <c r="D17" s="4652"/>
      <c r="E17" s="4652"/>
      <c r="F17" s="4652"/>
      <c r="G17" s="4652"/>
      <c r="H17" s="4652"/>
      <c r="I17" s="4652"/>
      <c r="J17" s="4652"/>
      <c r="K17" s="4652"/>
      <c r="L17" s="2105"/>
      <c r="M17" s="2342"/>
      <c r="N17" s="2342"/>
      <c r="O17" s="2342"/>
      <c r="P17" s="2342"/>
      <c r="Q17" s="2342"/>
      <c r="R17" s="2342"/>
      <c r="S17" s="2342"/>
      <c r="T17" s="2342"/>
      <c r="U17" s="2342"/>
      <c r="V17" s="2106"/>
      <c r="W17" s="2106"/>
      <c r="X17" s="2106"/>
      <c r="Y17" s="2106"/>
      <c r="Z17" s="2106"/>
      <c r="AA17" s="2106"/>
      <c r="AB17" s="2106"/>
      <c r="AC17" s="2106"/>
      <c r="AD17" s="2106"/>
      <c r="AE17" s="2106"/>
      <c r="AF17" s="2106"/>
      <c r="AG17" s="2106"/>
      <c r="AH17" s="2106"/>
      <c r="AI17" s="2106"/>
      <c r="AJ17" s="2106"/>
      <c r="AK17" s="2104"/>
      <c r="AL17" s="1297"/>
    </row>
    <row r="18" spans="1:38" ht="12.75" customHeight="1">
      <c r="A18" s="1297"/>
      <c r="B18" s="2103"/>
      <c r="C18" s="2106"/>
      <c r="D18" s="2106"/>
      <c r="E18" s="2106"/>
      <c r="F18" s="2106"/>
      <c r="G18" s="2106"/>
      <c r="H18" s="2106"/>
      <c r="I18" s="2106"/>
      <c r="J18" s="2106"/>
      <c r="K18" s="2106"/>
      <c r="L18" s="2106"/>
      <c r="M18" s="2106"/>
      <c r="N18" s="2106"/>
      <c r="O18" s="2106"/>
      <c r="P18" s="2106"/>
      <c r="Q18" s="2106"/>
      <c r="R18" s="2106"/>
      <c r="S18" s="2106"/>
      <c r="T18" s="2106"/>
      <c r="U18" s="2106"/>
      <c r="V18" s="2106"/>
      <c r="W18" s="2106"/>
      <c r="X18" s="2106"/>
      <c r="Y18" s="2106"/>
      <c r="Z18" s="2106"/>
      <c r="AA18" s="2106"/>
      <c r="AB18" s="2106"/>
      <c r="AC18" s="2106"/>
      <c r="AD18" s="2106"/>
      <c r="AE18" s="2106"/>
      <c r="AF18" s="2106"/>
      <c r="AG18" s="2106"/>
      <c r="AH18" s="2106"/>
      <c r="AI18" s="2106"/>
      <c r="AJ18" s="2106"/>
      <c r="AK18" s="2104"/>
      <c r="AL18" s="1297"/>
    </row>
    <row r="19" spans="1:38" ht="12.75" customHeight="1">
      <c r="A19" s="1297"/>
      <c r="B19" s="2103"/>
      <c r="C19" s="4649" t="s">
        <v>9521</v>
      </c>
      <c r="D19" s="4649"/>
      <c r="E19" s="4649"/>
      <c r="F19" s="4649"/>
      <c r="G19" s="4649"/>
      <c r="H19" s="4649"/>
      <c r="I19" s="4649"/>
      <c r="J19" s="4649"/>
      <c r="K19" s="4649"/>
      <c r="L19" s="4649"/>
      <c r="M19" s="4649"/>
      <c r="N19" s="4649"/>
      <c r="O19" s="4649"/>
      <c r="P19" s="4649"/>
      <c r="Q19" s="4649"/>
      <c r="R19" s="4649"/>
      <c r="S19" s="4649"/>
      <c r="T19" s="4649"/>
      <c r="U19" s="4649"/>
      <c r="V19" s="4649"/>
      <c r="W19" s="4649"/>
      <c r="X19" s="4649"/>
      <c r="Y19" s="4649"/>
      <c r="Z19" s="4649"/>
      <c r="AA19" s="4649"/>
      <c r="AB19" s="4649"/>
      <c r="AC19" s="4649"/>
      <c r="AD19" s="4649"/>
      <c r="AE19" s="4649"/>
      <c r="AF19" s="4649"/>
      <c r="AG19" s="4649"/>
      <c r="AH19" s="4649"/>
      <c r="AI19" s="4649"/>
      <c r="AJ19" s="4649"/>
      <c r="AK19" s="2104"/>
      <c r="AL19" s="1297"/>
    </row>
    <row r="20" spans="1:38" ht="12.75" customHeight="1">
      <c r="A20" s="1297"/>
      <c r="B20" s="2103"/>
      <c r="C20" s="4649"/>
      <c r="D20" s="4649"/>
      <c r="E20" s="4649"/>
      <c r="F20" s="4649"/>
      <c r="G20" s="4649"/>
      <c r="H20" s="4649"/>
      <c r="I20" s="4649"/>
      <c r="J20" s="4649"/>
      <c r="K20" s="4649"/>
      <c r="L20" s="4649"/>
      <c r="M20" s="4649"/>
      <c r="N20" s="4649"/>
      <c r="O20" s="4649"/>
      <c r="P20" s="4649"/>
      <c r="Q20" s="4649"/>
      <c r="R20" s="4649"/>
      <c r="S20" s="4649"/>
      <c r="T20" s="4649"/>
      <c r="U20" s="4649"/>
      <c r="V20" s="4649"/>
      <c r="W20" s="4649"/>
      <c r="X20" s="4649"/>
      <c r="Y20" s="4649"/>
      <c r="Z20" s="4649"/>
      <c r="AA20" s="4649"/>
      <c r="AB20" s="4649"/>
      <c r="AC20" s="4649"/>
      <c r="AD20" s="4649"/>
      <c r="AE20" s="4649"/>
      <c r="AF20" s="4649"/>
      <c r="AG20" s="4649"/>
      <c r="AH20" s="4649"/>
      <c r="AI20" s="4649"/>
      <c r="AJ20" s="4649"/>
      <c r="AK20" s="2104"/>
      <c r="AL20" s="1297"/>
    </row>
    <row r="21" spans="1:38" ht="12.75" customHeight="1" thickBot="1">
      <c r="A21" s="1297"/>
      <c r="B21" s="2107"/>
      <c r="C21" s="1474"/>
      <c r="D21" s="1474"/>
      <c r="E21" s="1474"/>
      <c r="F21" s="1474"/>
      <c r="G21" s="1474"/>
      <c r="H21" s="1474"/>
      <c r="I21" s="1474"/>
      <c r="J21" s="1474"/>
      <c r="K21" s="1474"/>
      <c r="L21" s="1474"/>
      <c r="M21" s="1474"/>
      <c r="N21" s="1474"/>
      <c r="O21" s="1474"/>
      <c r="P21" s="1474"/>
      <c r="Q21" s="1474"/>
      <c r="R21" s="1474"/>
      <c r="S21" s="1474"/>
      <c r="T21" s="1474"/>
      <c r="U21" s="1474"/>
      <c r="V21" s="1474"/>
      <c r="W21" s="1474"/>
      <c r="X21" s="1474"/>
      <c r="Y21" s="1474"/>
      <c r="Z21" s="1474"/>
      <c r="AA21" s="1474"/>
      <c r="AB21" s="1474"/>
      <c r="AC21" s="1474"/>
      <c r="AD21" s="1474"/>
      <c r="AE21" s="1474"/>
      <c r="AF21" s="1474"/>
      <c r="AG21" s="1474"/>
      <c r="AH21" s="1474"/>
      <c r="AI21" s="1474"/>
      <c r="AJ21" s="1474"/>
      <c r="AK21" s="2108"/>
      <c r="AL21" s="1297"/>
    </row>
    <row r="22" spans="1:38" ht="12.75" customHeight="1" thickBot="1">
      <c r="A22" s="1297"/>
      <c r="B22" s="1297"/>
      <c r="C22" s="1297"/>
      <c r="D22" s="1297"/>
      <c r="E22" s="1297"/>
      <c r="F22" s="1297"/>
      <c r="G22" s="1297"/>
      <c r="H22" s="1297"/>
      <c r="I22" s="1297"/>
      <c r="J22" s="1297"/>
      <c r="K22" s="1297"/>
      <c r="L22" s="1297"/>
      <c r="M22" s="1297"/>
      <c r="N22" s="1297"/>
      <c r="O22" s="1297"/>
      <c r="P22" s="1297"/>
      <c r="Q22" s="1297"/>
      <c r="R22" s="1297"/>
      <c r="S22" s="1297"/>
      <c r="T22" s="1297"/>
      <c r="U22" s="1297"/>
      <c r="V22" s="1297"/>
      <c r="W22" s="1297"/>
      <c r="X22" s="1297"/>
      <c r="Y22" s="1297"/>
      <c r="Z22" s="1297"/>
      <c r="AA22" s="1297"/>
      <c r="AB22" s="1297"/>
      <c r="AC22" s="1297"/>
      <c r="AD22" s="1297"/>
      <c r="AE22" s="1297"/>
      <c r="AF22" s="1297"/>
      <c r="AG22" s="1297"/>
      <c r="AH22" s="1297"/>
      <c r="AI22" s="1297"/>
      <c r="AJ22" s="1297"/>
      <c r="AK22" s="1297"/>
      <c r="AL22" s="1297"/>
    </row>
    <row r="23" spans="1:38" ht="12.75" customHeight="1">
      <c r="A23" s="1297"/>
      <c r="B23" s="3629"/>
      <c r="C23" s="3630"/>
      <c r="D23" s="3630"/>
      <c r="E23" s="3630"/>
      <c r="F23" s="3630"/>
      <c r="G23" s="3630"/>
      <c r="H23" s="3630"/>
      <c r="I23" s="3630"/>
      <c r="J23" s="3630"/>
      <c r="K23" s="3630"/>
      <c r="L23" s="3630"/>
      <c r="M23" s="3630"/>
      <c r="N23" s="3630"/>
      <c r="O23" s="3630"/>
      <c r="P23" s="3630"/>
      <c r="Q23" s="3630"/>
      <c r="R23" s="3630"/>
      <c r="S23" s="3630"/>
      <c r="T23" s="3630"/>
      <c r="U23" s="3630"/>
      <c r="V23" s="3630"/>
      <c r="W23" s="3630"/>
      <c r="X23" s="3630"/>
      <c r="Y23" s="3630"/>
      <c r="Z23" s="3630"/>
      <c r="AA23" s="3630"/>
      <c r="AB23" s="3630"/>
      <c r="AC23" s="3630"/>
      <c r="AD23" s="3630"/>
      <c r="AE23" s="3630"/>
      <c r="AF23" s="3630"/>
      <c r="AG23" s="3630"/>
      <c r="AH23" s="3630"/>
      <c r="AI23" s="3630"/>
      <c r="AJ23" s="3630"/>
      <c r="AK23" s="3631"/>
      <c r="AL23" s="1297"/>
    </row>
    <row r="24" spans="1:38" ht="12.75" customHeight="1">
      <c r="A24" s="1297"/>
      <c r="B24" s="3101"/>
      <c r="C24" s="4647" t="s">
        <v>11750</v>
      </c>
      <c r="D24" s="4647"/>
      <c r="E24" s="4647"/>
      <c r="F24" s="4647"/>
      <c r="G24" s="4647"/>
      <c r="H24" s="4647"/>
      <c r="I24" s="4647"/>
      <c r="J24" s="4647"/>
      <c r="K24" s="4647"/>
      <c r="L24" s="4647"/>
      <c r="M24" s="4647"/>
      <c r="N24" s="4647"/>
      <c r="O24" s="4647"/>
      <c r="P24" s="4647"/>
      <c r="Q24" s="4647"/>
      <c r="R24" s="4647"/>
      <c r="S24" s="4647"/>
      <c r="T24" s="4647"/>
      <c r="U24" s="4647"/>
      <c r="V24" s="4647"/>
      <c r="W24" s="4647"/>
      <c r="X24" s="4647"/>
      <c r="Y24" s="4647"/>
      <c r="Z24" s="4647"/>
      <c r="AA24" s="4647"/>
      <c r="AB24" s="4647"/>
      <c r="AC24" s="4647"/>
      <c r="AD24" s="4647"/>
      <c r="AE24" s="4647"/>
      <c r="AF24" s="4647"/>
      <c r="AG24" s="4647"/>
      <c r="AH24" s="4647"/>
      <c r="AI24" s="4647"/>
      <c r="AJ24" s="4647"/>
      <c r="AK24" s="3628"/>
      <c r="AL24" s="1297"/>
    </row>
    <row r="25" spans="1:38" ht="20.25" customHeight="1">
      <c r="A25" s="1297"/>
      <c r="B25" s="3101"/>
      <c r="C25" s="4648" t="s">
        <v>11753</v>
      </c>
      <c r="D25" s="4648"/>
      <c r="E25" s="4648"/>
      <c r="F25" s="4648"/>
      <c r="G25" s="4648"/>
      <c r="H25" s="4648"/>
      <c r="I25" s="4648"/>
      <c r="J25" s="4648"/>
      <c r="K25" s="4648"/>
      <c r="L25" s="4648"/>
      <c r="M25" s="4648"/>
      <c r="N25" s="4648"/>
      <c r="O25" s="4648"/>
      <c r="P25" s="4648"/>
      <c r="Q25" s="4648"/>
      <c r="R25" s="4648"/>
      <c r="S25" s="4648"/>
      <c r="T25" s="4648"/>
      <c r="U25" s="4648"/>
      <c r="V25" s="4648"/>
      <c r="W25" s="4648"/>
      <c r="X25" s="4648"/>
      <c r="Y25" s="4648"/>
      <c r="Z25" s="4648"/>
      <c r="AA25" s="4648"/>
      <c r="AB25" s="4648"/>
      <c r="AC25" s="4648"/>
      <c r="AD25" s="4648"/>
      <c r="AE25" s="4648"/>
      <c r="AF25" s="4648"/>
      <c r="AG25" s="4648"/>
      <c r="AH25" s="4648"/>
      <c r="AI25" s="4648"/>
      <c r="AJ25" s="4648"/>
      <c r="AK25" s="3628"/>
      <c r="AL25" s="1297"/>
    </row>
    <row r="26" spans="1:38" ht="12.75" customHeight="1">
      <c r="A26" s="1297"/>
      <c r="B26" s="3101"/>
      <c r="C26" s="4648"/>
      <c r="D26" s="4648"/>
      <c r="E26" s="4648"/>
      <c r="F26" s="4648"/>
      <c r="G26" s="4648"/>
      <c r="H26" s="4648"/>
      <c r="I26" s="4648"/>
      <c r="J26" s="4648"/>
      <c r="K26" s="4648"/>
      <c r="L26" s="4648"/>
      <c r="M26" s="4648"/>
      <c r="N26" s="4648"/>
      <c r="O26" s="4648"/>
      <c r="P26" s="4648"/>
      <c r="Q26" s="4648"/>
      <c r="R26" s="4648"/>
      <c r="S26" s="4648"/>
      <c r="T26" s="4648"/>
      <c r="U26" s="4648"/>
      <c r="V26" s="4648"/>
      <c r="W26" s="4648"/>
      <c r="X26" s="4648"/>
      <c r="Y26" s="4648"/>
      <c r="Z26" s="4648"/>
      <c r="AA26" s="4648"/>
      <c r="AB26" s="4648"/>
      <c r="AC26" s="4648"/>
      <c r="AD26" s="4648"/>
      <c r="AE26" s="4648"/>
      <c r="AF26" s="4648"/>
      <c r="AG26" s="4648"/>
      <c r="AH26" s="4648"/>
      <c r="AI26" s="4648"/>
      <c r="AJ26" s="4648"/>
      <c r="AK26" s="3628"/>
      <c r="AL26" s="1297"/>
    </row>
    <row r="27" spans="1:38" ht="12.75" customHeight="1">
      <c r="A27" s="1297"/>
      <c r="B27" s="3101"/>
      <c r="C27" s="4648"/>
      <c r="D27" s="4648"/>
      <c r="E27" s="4648"/>
      <c r="F27" s="4648"/>
      <c r="G27" s="4648"/>
      <c r="H27" s="4648"/>
      <c r="I27" s="4648"/>
      <c r="J27" s="4648"/>
      <c r="K27" s="4648"/>
      <c r="L27" s="4648"/>
      <c r="M27" s="4648"/>
      <c r="N27" s="4648"/>
      <c r="O27" s="4648"/>
      <c r="P27" s="4648"/>
      <c r="Q27" s="4648"/>
      <c r="R27" s="4648"/>
      <c r="S27" s="4648"/>
      <c r="T27" s="4648"/>
      <c r="U27" s="4648"/>
      <c r="V27" s="4648"/>
      <c r="W27" s="4648"/>
      <c r="X27" s="4648"/>
      <c r="Y27" s="4648"/>
      <c r="Z27" s="4648"/>
      <c r="AA27" s="4648"/>
      <c r="AB27" s="4648"/>
      <c r="AC27" s="4648"/>
      <c r="AD27" s="4648"/>
      <c r="AE27" s="4648"/>
      <c r="AF27" s="4648"/>
      <c r="AG27" s="4648"/>
      <c r="AH27" s="4648"/>
      <c r="AI27" s="4648"/>
      <c r="AJ27" s="4648"/>
      <c r="AK27" s="3628"/>
      <c r="AL27" s="1297"/>
    </row>
    <row r="28" spans="1:38" ht="12.75" customHeight="1">
      <c r="A28" s="1297"/>
      <c r="B28" s="3101"/>
      <c r="C28" s="4648"/>
      <c r="D28" s="4648"/>
      <c r="E28" s="4648"/>
      <c r="F28" s="4648"/>
      <c r="G28" s="4648"/>
      <c r="H28" s="4648"/>
      <c r="I28" s="4648"/>
      <c r="J28" s="4648"/>
      <c r="K28" s="4648"/>
      <c r="L28" s="4648"/>
      <c r="M28" s="4648"/>
      <c r="N28" s="4648"/>
      <c r="O28" s="4648"/>
      <c r="P28" s="4648"/>
      <c r="Q28" s="4648"/>
      <c r="R28" s="4648"/>
      <c r="S28" s="4648"/>
      <c r="T28" s="4648"/>
      <c r="U28" s="4648"/>
      <c r="V28" s="4648"/>
      <c r="W28" s="4648"/>
      <c r="X28" s="4648"/>
      <c r="Y28" s="4648"/>
      <c r="Z28" s="4648"/>
      <c r="AA28" s="4648"/>
      <c r="AB28" s="4648"/>
      <c r="AC28" s="4648"/>
      <c r="AD28" s="4648"/>
      <c r="AE28" s="4648"/>
      <c r="AF28" s="4648"/>
      <c r="AG28" s="4648"/>
      <c r="AH28" s="4648"/>
      <c r="AI28" s="4648"/>
      <c r="AJ28" s="4648"/>
      <c r="AK28" s="3628"/>
      <c r="AL28" s="1297"/>
    </row>
    <row r="29" spans="1:38" ht="12.75" customHeight="1">
      <c r="A29" s="1297"/>
      <c r="B29" s="3101"/>
      <c r="C29" s="4649" t="s">
        <v>11776</v>
      </c>
      <c r="D29" s="4649"/>
      <c r="E29" s="4649"/>
      <c r="F29" s="4649"/>
      <c r="G29" s="4649"/>
      <c r="H29" s="4649"/>
      <c r="I29" s="4649"/>
      <c r="J29" s="4649"/>
      <c r="K29" s="4649"/>
      <c r="L29" s="4649"/>
      <c r="M29" s="4649"/>
      <c r="N29" s="4649"/>
      <c r="O29" s="4649"/>
      <c r="P29" s="4649"/>
      <c r="Q29" s="4649"/>
      <c r="R29" s="4649"/>
      <c r="S29" s="4649"/>
      <c r="T29" s="4649"/>
      <c r="U29" s="4649"/>
      <c r="V29" s="4649"/>
      <c r="W29" s="4649"/>
      <c r="X29" s="4649"/>
      <c r="Y29" s="4649"/>
      <c r="Z29" s="4649"/>
      <c r="AA29" s="4649"/>
      <c r="AB29" s="4649"/>
      <c r="AC29" s="4649"/>
      <c r="AD29" s="4649"/>
      <c r="AE29" s="4649"/>
      <c r="AF29" s="4649"/>
      <c r="AG29" s="4649"/>
      <c r="AH29" s="4649"/>
      <c r="AI29" s="4649"/>
      <c r="AJ29" s="3707"/>
      <c r="AK29" s="3628"/>
      <c r="AL29" s="1297"/>
    </row>
    <row r="30" spans="1:38" ht="12.75" customHeight="1">
      <c r="A30" s="1297"/>
      <c r="B30" s="3101"/>
      <c r="C30" s="4649"/>
      <c r="D30" s="4649"/>
      <c r="E30" s="4649"/>
      <c r="F30" s="4649"/>
      <c r="G30" s="4649"/>
      <c r="H30" s="4649"/>
      <c r="I30" s="4649"/>
      <c r="J30" s="4649"/>
      <c r="K30" s="4649"/>
      <c r="L30" s="4649"/>
      <c r="M30" s="4649"/>
      <c r="N30" s="4649"/>
      <c r="O30" s="4649"/>
      <c r="P30" s="4649"/>
      <c r="Q30" s="4649"/>
      <c r="R30" s="4649"/>
      <c r="S30" s="4649"/>
      <c r="T30" s="4649"/>
      <c r="U30" s="4649"/>
      <c r="V30" s="4649"/>
      <c r="W30" s="4649"/>
      <c r="X30" s="4649"/>
      <c r="Y30" s="4649"/>
      <c r="Z30" s="4649"/>
      <c r="AA30" s="4649"/>
      <c r="AB30" s="4649"/>
      <c r="AC30" s="4649"/>
      <c r="AD30" s="4649"/>
      <c r="AE30" s="4649"/>
      <c r="AF30" s="4649"/>
      <c r="AG30" s="4649"/>
      <c r="AH30" s="4649"/>
      <c r="AI30" s="4649"/>
      <c r="AJ30" s="3707"/>
      <c r="AK30" s="3628"/>
      <c r="AL30" s="1297"/>
    </row>
    <row r="31" spans="1:38" ht="12.75" customHeight="1" thickBot="1">
      <c r="A31" s="1297"/>
      <c r="B31" s="2107"/>
      <c r="C31" s="1474"/>
      <c r="D31" s="1474"/>
      <c r="E31" s="1474"/>
      <c r="F31" s="1474"/>
      <c r="G31" s="1474"/>
      <c r="H31" s="1474"/>
      <c r="I31" s="1474"/>
      <c r="J31" s="1474"/>
      <c r="K31" s="1474"/>
      <c r="L31" s="1474"/>
      <c r="M31" s="1474"/>
      <c r="N31" s="1474"/>
      <c r="O31" s="1474"/>
      <c r="P31" s="1474"/>
      <c r="Q31" s="1474"/>
      <c r="R31" s="1474"/>
      <c r="S31" s="1474"/>
      <c r="T31" s="1474"/>
      <c r="U31" s="1474"/>
      <c r="V31" s="1474"/>
      <c r="W31" s="1474"/>
      <c r="X31" s="1474"/>
      <c r="Y31" s="1474"/>
      <c r="Z31" s="1474"/>
      <c r="AA31" s="1474"/>
      <c r="AB31" s="1474"/>
      <c r="AC31" s="1474"/>
      <c r="AD31" s="1474"/>
      <c r="AE31" s="1474"/>
      <c r="AF31" s="1474"/>
      <c r="AG31" s="1474"/>
      <c r="AH31" s="1474"/>
      <c r="AI31" s="1474"/>
      <c r="AJ31" s="1474"/>
      <c r="AK31" s="2108"/>
      <c r="AL31" s="1297"/>
    </row>
    <row r="32" spans="1:38" ht="12.75" customHeight="1">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zoomScaleNormal="100" zoomScaleSheetLayoutView="100" workbookViewId="0">
      <selection activeCell="AS15" sqref="AS15:AS16"/>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6.140625" style="21" bestFit="1" customWidth="1"/>
    <col min="47" max="47" width="12.7109375" style="21" bestFit="1" customWidth="1"/>
    <col min="48" max="48" width="8.42578125" style="21" bestFit="1" customWidth="1"/>
    <col min="49" max="16384" width="5.7109375" style="21"/>
  </cols>
  <sheetData>
    <row r="1" spans="1:51" ht="12" customHeight="1" thickBot="1">
      <c r="A1" s="848"/>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600" t="s">
        <v>8292</v>
      </c>
      <c r="AU1" s="2601"/>
    </row>
    <row r="2" spans="1:51" ht="11.25" customHeight="1">
      <c r="A2" s="9"/>
      <c r="B2" s="745"/>
      <c r="C2" s="576"/>
      <c r="D2" s="576"/>
      <c r="E2" s="576"/>
      <c r="F2" s="576"/>
      <c r="G2" s="576"/>
      <c r="H2" s="576"/>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8"/>
      <c r="AL2" s="23"/>
      <c r="AN2" s="4352" t="s">
        <v>6636</v>
      </c>
      <c r="AO2" s="4317"/>
      <c r="AP2" s="4317"/>
      <c r="AQ2" s="2481"/>
      <c r="AR2" s="2481"/>
      <c r="AS2" s="2482"/>
      <c r="AT2" s="530"/>
      <c r="AU2" s="826"/>
      <c r="AV2" s="530"/>
      <c r="AW2" s="530"/>
      <c r="AX2" s="530"/>
      <c r="AY2" s="530"/>
    </row>
    <row r="3" spans="1:51" ht="12" customHeight="1">
      <c r="A3" s="9"/>
      <c r="B3" s="746"/>
      <c r="C3" s="4707" t="s">
        <v>9687</v>
      </c>
      <c r="D3" s="4708"/>
      <c r="E3" s="4708"/>
      <c r="F3" s="4708"/>
      <c r="G3" s="4708"/>
      <c r="H3" s="4708"/>
      <c r="I3" s="4708"/>
      <c r="J3" s="4708"/>
      <c r="K3" s="4708"/>
      <c r="L3" s="4708"/>
      <c r="M3" s="4700" t="str">
        <f>IF(General!$F$22=0,"",General!$F$22)</f>
        <v/>
      </c>
      <c r="N3" s="4700"/>
      <c r="O3" s="4700"/>
      <c r="P3" s="4700"/>
      <c r="Q3" s="4700"/>
      <c r="R3" s="4700"/>
      <c r="S3" s="4700"/>
      <c r="T3" s="4700"/>
      <c r="U3" s="4700"/>
      <c r="V3" s="4700"/>
      <c r="W3" s="4701"/>
      <c r="X3" s="2285"/>
      <c r="Y3" s="4682" t="str">
        <f>IF(General!P24&lt;&gt;"","Retrato - Apariencia "&amp;General!P24,"Retrato")</f>
        <v>Retrato</v>
      </c>
      <c r="Z3" s="4683"/>
      <c r="AA3" s="4683"/>
      <c r="AB3" s="4683"/>
      <c r="AC3" s="4683"/>
      <c r="AD3" s="4683"/>
      <c r="AE3" s="4683"/>
      <c r="AF3" s="4683"/>
      <c r="AG3" s="4683"/>
      <c r="AH3" s="4683"/>
      <c r="AI3" s="4683"/>
      <c r="AJ3" s="4684"/>
      <c r="AK3" s="1645"/>
      <c r="AL3" s="1644"/>
      <c r="AN3" s="4653"/>
      <c r="AO3" s="4654"/>
      <c r="AP3" s="4654"/>
      <c r="AQ3" s="2483"/>
      <c r="AR3" s="2483"/>
      <c r="AS3" s="2484"/>
      <c r="AT3" s="530" t="s">
        <v>1261</v>
      </c>
      <c r="AU3" s="530" t="b">
        <f>OR(AP13="Sí",COUNTIF(AU4:AU14,TRUE)&gt;0)</f>
        <v>1</v>
      </c>
      <c r="AV3" s="530"/>
      <c r="AW3" s="530"/>
      <c r="AX3" s="530"/>
      <c r="AY3" s="530"/>
    </row>
    <row r="4" spans="1:51" ht="12" customHeight="1">
      <c r="A4" s="9"/>
      <c r="B4" s="746"/>
      <c r="C4" s="4709"/>
      <c r="D4" s="4710"/>
      <c r="E4" s="4710"/>
      <c r="F4" s="4710"/>
      <c r="G4" s="4710"/>
      <c r="H4" s="4710"/>
      <c r="I4" s="4710"/>
      <c r="J4" s="4710"/>
      <c r="K4" s="4710"/>
      <c r="L4" s="4710"/>
      <c r="M4" s="4702"/>
      <c r="N4" s="4702"/>
      <c r="O4" s="4702"/>
      <c r="P4" s="4702"/>
      <c r="Q4" s="4702"/>
      <c r="R4" s="4702"/>
      <c r="S4" s="4702"/>
      <c r="T4" s="4702"/>
      <c r="U4" s="4702"/>
      <c r="V4" s="4702"/>
      <c r="W4" s="4703"/>
      <c r="X4" s="2285"/>
      <c r="Y4" s="4689" t="s">
        <v>9169</v>
      </c>
      <c r="Z4" s="4690"/>
      <c r="AA4" s="4690"/>
      <c r="AB4" s="4690"/>
      <c r="AC4" s="4690"/>
      <c r="AD4" s="4690"/>
      <c r="AE4" s="4690"/>
      <c r="AF4" s="4690"/>
      <c r="AG4" s="4690"/>
      <c r="AH4" s="4690"/>
      <c r="AI4" s="4690"/>
      <c r="AJ4" s="4691"/>
      <c r="AK4" s="1645"/>
      <c r="AL4" s="1644"/>
      <c r="AN4" s="2047"/>
      <c r="AO4" s="1644"/>
      <c r="AP4" s="1644"/>
      <c r="AQ4" s="1644"/>
      <c r="AR4" s="1644"/>
      <c r="AS4" s="2048"/>
      <c r="AT4" s="530"/>
      <c r="AU4" s="530" t="b">
        <f>AND(AP13="Sí",NotasPrincipal&lt;&gt;"")</f>
        <v>0</v>
      </c>
      <c r="AV4" s="530" t="b" cm="1">
        <f t="array" ref="AV4">AND(AP13="Sí",NotasConstructos&lt;&gt;"")</f>
        <v>0</v>
      </c>
      <c r="AW4" s="530"/>
      <c r="AX4" s="530"/>
      <c r="AY4" s="530"/>
    </row>
    <row r="5" spans="1:51" ht="12" customHeight="1">
      <c r="A5" s="9"/>
      <c r="B5" s="746"/>
      <c r="C5" s="4709"/>
      <c r="D5" s="4710"/>
      <c r="E5" s="4710"/>
      <c r="F5" s="4710"/>
      <c r="G5" s="4710"/>
      <c r="H5" s="4710"/>
      <c r="I5" s="4710"/>
      <c r="J5" s="4710"/>
      <c r="K5" s="4710"/>
      <c r="L5" s="4710"/>
      <c r="M5" s="4702"/>
      <c r="N5" s="4702"/>
      <c r="O5" s="4702"/>
      <c r="P5" s="4702"/>
      <c r="Q5" s="4702"/>
      <c r="R5" s="4702"/>
      <c r="S5" s="4702"/>
      <c r="T5" s="4702"/>
      <c r="U5" s="4702"/>
      <c r="V5" s="4702"/>
      <c r="W5" s="4703"/>
      <c r="X5" s="2285"/>
      <c r="Y5" s="4692"/>
      <c r="Z5" s="4693"/>
      <c r="AA5" s="4693"/>
      <c r="AB5" s="4693"/>
      <c r="AC5" s="4693"/>
      <c r="AD5" s="4693"/>
      <c r="AE5" s="4693"/>
      <c r="AF5" s="4693"/>
      <c r="AG5" s="4693"/>
      <c r="AH5" s="4693"/>
      <c r="AI5" s="4693"/>
      <c r="AJ5" s="4694"/>
      <c r="AK5" s="1645"/>
      <c r="AL5" s="1644"/>
      <c r="AN5" s="2047"/>
      <c r="AO5" s="1644"/>
      <c r="AP5" s="1644"/>
      <c r="AQ5" s="1644"/>
      <c r="AR5" s="1644"/>
      <c r="AS5" s="2048"/>
      <c r="AT5" s="530"/>
      <c r="AU5" s="530" t="b">
        <f>AND(AP13="Sí",NotasPoderes&lt;&gt;"")</f>
        <v>0</v>
      </c>
      <c r="AV5" s="530"/>
      <c r="AW5" s="530"/>
      <c r="AX5" s="530"/>
      <c r="AY5" s="530"/>
    </row>
    <row r="6" spans="1:51" ht="12" customHeight="1">
      <c r="A6" s="9"/>
      <c r="B6" s="746"/>
      <c r="C6" s="4709"/>
      <c r="D6" s="4710"/>
      <c r="E6" s="4710"/>
      <c r="F6" s="4710"/>
      <c r="G6" s="4710"/>
      <c r="H6" s="4710"/>
      <c r="I6" s="4710"/>
      <c r="J6" s="4710"/>
      <c r="K6" s="4710"/>
      <c r="L6" s="4710"/>
      <c r="M6" s="4702"/>
      <c r="N6" s="4702"/>
      <c r="O6" s="4702"/>
      <c r="P6" s="4702"/>
      <c r="Q6" s="4702"/>
      <c r="R6" s="4702"/>
      <c r="S6" s="4702"/>
      <c r="T6" s="4702"/>
      <c r="U6" s="4702"/>
      <c r="V6" s="4702"/>
      <c r="W6" s="4703"/>
      <c r="X6" s="2285"/>
      <c r="Y6" s="4692"/>
      <c r="Z6" s="4693"/>
      <c r="AA6" s="4693"/>
      <c r="AB6" s="4693"/>
      <c r="AC6" s="4693"/>
      <c r="AD6" s="4693"/>
      <c r="AE6" s="4693"/>
      <c r="AF6" s="4693"/>
      <c r="AG6" s="4693"/>
      <c r="AH6" s="4693"/>
      <c r="AI6" s="4693"/>
      <c r="AJ6" s="4694"/>
      <c r="AK6" s="1645"/>
      <c r="AL6" s="1644"/>
      <c r="AN6" s="2047"/>
      <c r="AO6" s="1644"/>
      <c r="AP6" s="1644"/>
      <c r="AQ6" s="1644"/>
      <c r="AR6" s="1644"/>
      <c r="AS6" s="2048"/>
      <c r="AT6" s="530"/>
      <c r="AU6" s="530" t="b">
        <f>AND(AP13="Sí",NotasPDs&lt;&gt;"")</f>
        <v>0</v>
      </c>
      <c r="AV6" s="530"/>
      <c r="AW6" s="530"/>
      <c r="AX6" s="530"/>
      <c r="AY6" s="530"/>
    </row>
    <row r="7" spans="1:51" ht="12" customHeight="1">
      <c r="A7" s="9"/>
      <c r="B7" s="746"/>
      <c r="C7" s="4709"/>
      <c r="D7" s="4710"/>
      <c r="E7" s="4710"/>
      <c r="F7" s="4710"/>
      <c r="G7" s="4710"/>
      <c r="H7" s="4710"/>
      <c r="I7" s="4710"/>
      <c r="J7" s="4710"/>
      <c r="K7" s="4710"/>
      <c r="L7" s="4710"/>
      <c r="M7" s="4702"/>
      <c r="N7" s="4702"/>
      <c r="O7" s="4702"/>
      <c r="P7" s="4702"/>
      <c r="Q7" s="4702"/>
      <c r="R7" s="4702"/>
      <c r="S7" s="4702"/>
      <c r="T7" s="4702"/>
      <c r="U7" s="4702"/>
      <c r="V7" s="4702"/>
      <c r="W7" s="4703"/>
      <c r="X7" s="2285"/>
      <c r="Y7" s="4692"/>
      <c r="Z7" s="4693"/>
      <c r="AA7" s="4693"/>
      <c r="AB7" s="4693"/>
      <c r="AC7" s="4693"/>
      <c r="AD7" s="4693"/>
      <c r="AE7" s="4693"/>
      <c r="AF7" s="4693"/>
      <c r="AG7" s="4693"/>
      <c r="AH7" s="4693"/>
      <c r="AI7" s="4693"/>
      <c r="AJ7" s="4694"/>
      <c r="AK7" s="1645"/>
      <c r="AL7" s="1644"/>
      <c r="AN7" s="2047"/>
      <c r="AO7" s="1644"/>
      <c r="AP7" s="1644"/>
      <c r="AQ7" s="4663"/>
      <c r="AR7" s="4663"/>
      <c r="AS7" s="4664"/>
      <c r="AT7" s="530"/>
      <c r="AU7" s="530" t="b">
        <f>AND(AP13="Sí",NotasEquipoCombate&lt;&gt;"")</f>
        <v>0</v>
      </c>
      <c r="AV7" s="530"/>
      <c r="AW7" s="530"/>
      <c r="AX7" s="530"/>
      <c r="AY7" s="530"/>
    </row>
    <row r="8" spans="1:51" ht="15.75" customHeight="1">
      <c r="A8" s="9"/>
      <c r="B8" s="746"/>
      <c r="C8" s="4711"/>
      <c r="D8" s="4712"/>
      <c r="E8" s="4712"/>
      <c r="F8" s="4712"/>
      <c r="G8" s="4712"/>
      <c r="H8" s="4712"/>
      <c r="I8" s="4712"/>
      <c r="J8" s="4712"/>
      <c r="K8" s="4712"/>
      <c r="L8" s="4712"/>
      <c r="M8" s="4704"/>
      <c r="N8" s="4704"/>
      <c r="O8" s="4704"/>
      <c r="P8" s="4704"/>
      <c r="Q8" s="4704"/>
      <c r="R8" s="4704"/>
      <c r="S8" s="4704"/>
      <c r="T8" s="4704"/>
      <c r="U8" s="4704"/>
      <c r="V8" s="4704"/>
      <c r="W8" s="4705"/>
      <c r="X8" s="2285"/>
      <c r="Y8" s="4692"/>
      <c r="Z8" s="4693"/>
      <c r="AA8" s="4693"/>
      <c r="AB8" s="4693"/>
      <c r="AC8" s="4693"/>
      <c r="AD8" s="4693"/>
      <c r="AE8" s="4693"/>
      <c r="AF8" s="4693"/>
      <c r="AG8" s="4693"/>
      <c r="AH8" s="4693"/>
      <c r="AI8" s="4693"/>
      <c r="AJ8" s="4694"/>
      <c r="AK8" s="1645"/>
      <c r="AL8" s="1644"/>
      <c r="AN8" s="2047"/>
      <c r="AO8" s="1644"/>
      <c r="AP8" s="1644"/>
      <c r="AQ8" s="4663"/>
      <c r="AR8" s="4663"/>
      <c r="AS8" s="4664"/>
      <c r="AT8" s="530"/>
      <c r="AU8" s="530" t="b">
        <f>AND(AP13="Sí",NotasCapacidadesCombate&lt;&gt;"")</f>
        <v>0</v>
      </c>
      <c r="AV8" s="530"/>
      <c r="AW8" s="530"/>
      <c r="AX8" s="530"/>
      <c r="AY8" s="530"/>
    </row>
    <row r="9" spans="1:51" ht="10.5" customHeight="1">
      <c r="A9" s="9"/>
      <c r="B9" s="746"/>
      <c r="C9" s="2286"/>
      <c r="X9" s="2284"/>
      <c r="Y9" s="4692"/>
      <c r="Z9" s="4693"/>
      <c r="AA9" s="4693"/>
      <c r="AB9" s="4693"/>
      <c r="AC9" s="4693"/>
      <c r="AD9" s="4693"/>
      <c r="AE9" s="4693"/>
      <c r="AF9" s="4693"/>
      <c r="AG9" s="4693"/>
      <c r="AH9" s="4693"/>
      <c r="AI9" s="4693"/>
      <c r="AJ9" s="4694"/>
      <c r="AK9" s="1646"/>
      <c r="AL9" s="22"/>
      <c r="AN9" s="2047"/>
      <c r="AO9" s="1644"/>
      <c r="AP9" s="1644"/>
      <c r="AQ9" s="4663"/>
      <c r="AR9" s="4663"/>
      <c r="AS9" s="4664"/>
      <c r="AT9" s="530"/>
      <c r="AU9" s="530" t="b">
        <f>AND(AP13="Sí",NotasKi&lt;&gt;"")</f>
        <v>0</v>
      </c>
      <c r="AV9" s="530"/>
      <c r="AW9" s="530"/>
      <c r="AX9" s="530"/>
      <c r="AY9" s="530"/>
    </row>
    <row r="10" spans="1:51" ht="4.5" customHeight="1" thickBot="1">
      <c r="A10" s="9"/>
      <c r="B10" s="746"/>
      <c r="C10" s="1650"/>
      <c r="D10" s="1414"/>
      <c r="E10" s="1414"/>
      <c r="F10" s="1652"/>
      <c r="G10" s="1652"/>
      <c r="H10" s="1653"/>
      <c r="I10" s="1653"/>
      <c r="J10" s="1653"/>
      <c r="K10" s="1653"/>
      <c r="L10" s="1653"/>
      <c r="M10" s="1653"/>
      <c r="N10" s="1653"/>
      <c r="O10" s="1653"/>
      <c r="P10" s="1653"/>
      <c r="Q10" s="1653"/>
      <c r="R10" s="1652"/>
      <c r="S10" s="1652"/>
      <c r="T10" s="1414"/>
      <c r="U10" s="1414"/>
      <c r="V10" s="1414"/>
      <c r="W10" s="1414"/>
      <c r="X10" s="1661"/>
      <c r="Y10" s="4692"/>
      <c r="Z10" s="4693"/>
      <c r="AA10" s="4693"/>
      <c r="AB10" s="4693"/>
      <c r="AC10" s="4693"/>
      <c r="AD10" s="4693"/>
      <c r="AE10" s="4693"/>
      <c r="AF10" s="4693"/>
      <c r="AG10" s="4693"/>
      <c r="AH10" s="4693"/>
      <c r="AI10" s="4693"/>
      <c r="AJ10" s="4694"/>
      <c r="AK10" s="579"/>
      <c r="AL10" s="22"/>
      <c r="AN10" s="2047"/>
      <c r="AO10" s="1644"/>
      <c r="AP10" s="1644"/>
      <c r="AQ10" s="1644"/>
      <c r="AR10" s="1644"/>
      <c r="AS10" s="2048"/>
      <c r="AT10" s="530"/>
      <c r="AU10" s="530" t="b">
        <f>AND(AP13="Sí",NotasMisticos&lt;&gt;"")</f>
        <v>0</v>
      </c>
      <c r="AV10" s="530"/>
      <c r="AW10" s="530"/>
      <c r="AX10" s="530"/>
      <c r="AY10" s="530"/>
    </row>
    <row r="11" spans="1:51" ht="13.5" customHeight="1">
      <c r="A11" s="9"/>
      <c r="B11" s="747"/>
      <c r="C11" s="1821"/>
      <c r="D11" s="2287" t="s">
        <v>1186</v>
      </c>
      <c r="E11" s="2287"/>
      <c r="F11" s="4687" t="str">
        <f>(PDs!S7+PDs!S9+PDs!S11+PDs!S13+PDs!S15)&amp;IF(Principal!AA27=0,""," + "&amp;Principal!AA27)</f>
        <v>1</v>
      </c>
      <c r="G11" s="4687"/>
      <c r="H11" s="4687"/>
      <c r="I11" s="4687"/>
      <c r="J11" s="2288"/>
      <c r="K11" s="2289" t="s">
        <v>1223</v>
      </c>
      <c r="L11" s="4698" t="str">
        <f>Principal!K7</f>
        <v>Natural 10</v>
      </c>
      <c r="M11" s="4698"/>
      <c r="N11" s="4698"/>
      <c r="O11" s="4698"/>
      <c r="P11" s="4698"/>
      <c r="Q11" s="4698"/>
      <c r="R11" s="4698"/>
      <c r="S11" s="4698"/>
      <c r="T11" s="4698"/>
      <c r="U11" s="4698"/>
      <c r="V11" s="4698"/>
      <c r="W11" s="4699"/>
      <c r="X11" s="2290"/>
      <c r="Y11" s="4692"/>
      <c r="Z11" s="4693"/>
      <c r="AA11" s="4693"/>
      <c r="AB11" s="4693"/>
      <c r="AC11" s="4693"/>
      <c r="AD11" s="4693"/>
      <c r="AE11" s="4693"/>
      <c r="AF11" s="4693"/>
      <c r="AG11" s="4693"/>
      <c r="AH11" s="4693"/>
      <c r="AI11" s="4693"/>
      <c r="AJ11" s="4694"/>
      <c r="AK11" s="579"/>
      <c r="AL11" s="22"/>
      <c r="AN11" s="4352" t="s">
        <v>9684</v>
      </c>
      <c r="AO11" s="4317"/>
      <c r="AP11" s="4317"/>
      <c r="AQ11" s="4713" t="s">
        <v>9685</v>
      </c>
      <c r="AR11" s="4714"/>
      <c r="AS11" s="4717" t="s">
        <v>1241</v>
      </c>
      <c r="AT11" s="530"/>
      <c r="AU11" s="530" t="b">
        <f>AND(AP13="Sí",NotasSheele&lt;&gt;"")</f>
        <v>0</v>
      </c>
      <c r="AV11" s="530"/>
      <c r="AW11" s="530"/>
      <c r="AX11" s="530"/>
      <c r="AY11" s="530"/>
    </row>
    <row r="12" spans="1:51" ht="13.5" customHeight="1" thickBot="1">
      <c r="A12" s="9"/>
      <c r="B12" s="747"/>
      <c r="C12" s="1821"/>
      <c r="D12" s="2291" t="s">
        <v>9100</v>
      </c>
      <c r="E12" s="4688" t="str">
        <f>"   "&amp;Principal!N11</f>
        <v xml:space="preserve">   20</v>
      </c>
      <c r="F12" s="4688"/>
      <c r="G12" s="4688"/>
      <c r="H12" s="2292"/>
      <c r="I12" s="2293"/>
      <c r="J12" s="2293"/>
      <c r="K12" s="2289" t="s">
        <v>1185</v>
      </c>
      <c r="L12" s="4665" t="str">
        <f>IF(LEN(PDs!E11)&lt;=AT20,PDs!E11,"… /"&amp;RIGHT(PDs!E11,AT20-FIND("/",RIGHT(PDs!E11,AT20))))</f>
        <v/>
      </c>
      <c r="M12" s="4665"/>
      <c r="N12" s="4665"/>
      <c r="O12" s="4665"/>
      <c r="P12" s="4665"/>
      <c r="Q12" s="4665"/>
      <c r="R12" s="4665"/>
      <c r="S12" s="4665"/>
      <c r="T12" s="4665"/>
      <c r="U12" s="4665"/>
      <c r="V12" s="4665"/>
      <c r="W12" s="4666"/>
      <c r="X12" s="2294"/>
      <c r="Y12" s="4692"/>
      <c r="Z12" s="4693"/>
      <c r="AA12" s="4693"/>
      <c r="AB12" s="4693"/>
      <c r="AC12" s="4693"/>
      <c r="AD12" s="4693"/>
      <c r="AE12" s="4693"/>
      <c r="AF12" s="4693"/>
      <c r="AG12" s="4693"/>
      <c r="AH12" s="4693"/>
      <c r="AI12" s="4693"/>
      <c r="AJ12" s="4694"/>
      <c r="AK12" s="579"/>
      <c r="AL12" s="22"/>
      <c r="AN12" s="4353"/>
      <c r="AO12" s="4672"/>
      <c r="AP12" s="4672"/>
      <c r="AQ12" s="4715"/>
      <c r="AR12" s="4716"/>
      <c r="AS12" s="4671"/>
      <c r="AT12" s="530"/>
      <c r="AU12" s="530" t="b">
        <f>AND(AP13="Sí",NotasPsiquicos&lt;&gt;"")</f>
        <v>0</v>
      </c>
      <c r="AV12" s="530"/>
      <c r="AW12" s="530"/>
      <c r="AX12" s="530"/>
      <c r="AY12" s="530"/>
    </row>
    <row r="13" spans="1:51" ht="12" customHeight="1">
      <c r="A13" s="9"/>
      <c r="B13" s="747"/>
      <c r="C13" s="1821"/>
      <c r="D13" s="2295" t="s">
        <v>1706</v>
      </c>
      <c r="E13" s="2295"/>
      <c r="F13" s="4681">
        <f>FUE</f>
        <v>0</v>
      </c>
      <c r="G13" s="4681"/>
      <c r="H13" s="2295" t="s">
        <v>1707</v>
      </c>
      <c r="I13" s="2295"/>
      <c r="J13" s="4681">
        <f>DES</f>
        <v>0</v>
      </c>
      <c r="K13" s="4681"/>
      <c r="L13" s="2295" t="s">
        <v>1708</v>
      </c>
      <c r="M13" s="2295"/>
      <c r="N13" s="4681">
        <f>AGI</f>
        <v>0</v>
      </c>
      <c r="O13" s="4681"/>
      <c r="P13" s="2295" t="s">
        <v>1709</v>
      </c>
      <c r="Q13" s="2295"/>
      <c r="R13" s="4681">
        <f>CON</f>
        <v>0</v>
      </c>
      <c r="S13" s="4681"/>
      <c r="T13" s="2296"/>
      <c r="U13" s="2296"/>
      <c r="V13" s="2296"/>
      <c r="W13" s="1655"/>
      <c r="X13" s="2297"/>
      <c r="Y13" s="4692"/>
      <c r="Z13" s="4693"/>
      <c r="AA13" s="4693"/>
      <c r="AB13" s="4693"/>
      <c r="AC13" s="4693"/>
      <c r="AD13" s="4693"/>
      <c r="AE13" s="4693"/>
      <c r="AF13" s="4693"/>
      <c r="AG13" s="4693"/>
      <c r="AH13" s="4693"/>
      <c r="AI13" s="4693"/>
      <c r="AJ13" s="4694"/>
      <c r="AK13" s="579"/>
      <c r="AL13" s="22"/>
      <c r="AN13" s="4667" t="s">
        <v>1261</v>
      </c>
      <c r="AO13" s="4668"/>
      <c r="AP13" s="4673" t="s">
        <v>2422</v>
      </c>
      <c r="AQ13" s="4667" t="s">
        <v>1187</v>
      </c>
      <c r="AR13" s="4668"/>
      <c r="AS13" s="4669" t="s">
        <v>2422</v>
      </c>
      <c r="AT13" s="530"/>
      <c r="AU13" s="530" t="b">
        <f>AND(AP13="Sí",NotasPersonalizacion&lt;&gt;"")</f>
        <v>0</v>
      </c>
      <c r="AV13" s="530"/>
      <c r="AW13" s="530"/>
      <c r="AX13" s="530"/>
      <c r="AY13" s="530"/>
    </row>
    <row r="14" spans="1:51" ht="13.5" customHeight="1">
      <c r="A14" s="9"/>
      <c r="B14" s="747"/>
      <c r="C14" s="1821"/>
      <c r="D14" s="2298" t="s">
        <v>1710</v>
      </c>
      <c r="E14" s="2298"/>
      <c r="F14" s="4681">
        <f>POD</f>
        <v>0</v>
      </c>
      <c r="G14" s="4681"/>
      <c r="H14" s="2298" t="s">
        <v>1711</v>
      </c>
      <c r="I14" s="2298"/>
      <c r="J14" s="4681">
        <f>INT</f>
        <v>0</v>
      </c>
      <c r="K14" s="4681"/>
      <c r="L14" s="2298" t="s">
        <v>1712</v>
      </c>
      <c r="M14" s="2298"/>
      <c r="N14" s="4681">
        <f>VOL</f>
        <v>0</v>
      </c>
      <c r="O14" s="4681"/>
      <c r="P14" s="2298" t="s">
        <v>1713</v>
      </c>
      <c r="Q14" s="2298"/>
      <c r="R14" s="4681">
        <f>PER</f>
        <v>0</v>
      </c>
      <c r="S14" s="4681"/>
      <c r="T14" s="2296"/>
      <c r="U14" s="2296"/>
      <c r="V14" s="2296"/>
      <c r="W14" s="1655"/>
      <c r="X14" s="2297"/>
      <c r="Y14" s="4692"/>
      <c r="Z14" s="4693"/>
      <c r="AA14" s="4693"/>
      <c r="AB14" s="4693"/>
      <c r="AC14" s="4693"/>
      <c r="AD14" s="4693"/>
      <c r="AE14" s="4693"/>
      <c r="AF14" s="4693"/>
      <c r="AG14" s="4693"/>
      <c r="AH14" s="4693"/>
      <c r="AI14" s="4693"/>
      <c r="AJ14" s="4694"/>
      <c r="AK14" s="579"/>
      <c r="AL14" s="22"/>
      <c r="AN14" s="4667"/>
      <c r="AO14" s="4668"/>
      <c r="AP14" s="4673"/>
      <c r="AQ14" s="4667"/>
      <c r="AR14" s="4668"/>
      <c r="AS14" s="4669"/>
      <c r="AT14" s="530" t="s">
        <v>1334</v>
      </c>
      <c r="AU14" s="530" t="b">
        <f>AND(AP15="Sí",COUNTIF(Principal!$D$69:$E$78,"*")&gt;0)</f>
        <v>0</v>
      </c>
      <c r="AV14" s="530"/>
      <c r="AW14" s="530"/>
      <c r="AX14" s="530"/>
      <c r="AY14" s="530"/>
    </row>
    <row r="15" spans="1:51" ht="13.5" customHeight="1">
      <c r="A15" s="9"/>
      <c r="B15" s="747"/>
      <c r="C15" s="1821"/>
      <c r="D15" s="2299" t="s">
        <v>1693</v>
      </c>
      <c r="E15" s="2299"/>
      <c r="F15" s="2299"/>
      <c r="G15" s="2299"/>
      <c r="H15" s="4706">
        <f>Presencia_final</f>
        <v>30</v>
      </c>
      <c r="I15" s="4706"/>
      <c r="J15" s="4706"/>
      <c r="K15" s="4706"/>
      <c r="L15" s="2300"/>
      <c r="M15" s="2300"/>
      <c r="N15" s="2301"/>
      <c r="O15" s="2301"/>
      <c r="P15" s="2302"/>
      <c r="Q15" s="2302"/>
      <c r="R15" s="2303"/>
      <c r="S15" s="2303"/>
      <c r="T15" s="2296"/>
      <c r="U15" s="2296"/>
      <c r="V15" s="2296"/>
      <c r="W15" s="1655"/>
      <c r="X15" s="2297"/>
      <c r="Y15" s="4695"/>
      <c r="Z15" s="4696"/>
      <c r="AA15" s="4696"/>
      <c r="AB15" s="4696"/>
      <c r="AC15" s="4696"/>
      <c r="AD15" s="4696"/>
      <c r="AE15" s="4696"/>
      <c r="AF15" s="4696"/>
      <c r="AG15" s="4696"/>
      <c r="AH15" s="4696"/>
      <c r="AI15" s="4696"/>
      <c r="AJ15" s="4697"/>
      <c r="AK15" s="579"/>
      <c r="AL15" s="22"/>
      <c r="AN15" s="4674" t="s">
        <v>1334</v>
      </c>
      <c r="AO15" s="4675"/>
      <c r="AP15" s="4678" t="s">
        <v>2422</v>
      </c>
      <c r="AQ15" s="4674" t="s">
        <v>9099</v>
      </c>
      <c r="AR15" s="4675"/>
      <c r="AS15" s="4670" t="s">
        <v>2422</v>
      </c>
      <c r="AT15" s="530" t="s">
        <v>1187</v>
      </c>
      <c r="AU15" s="530" t="b">
        <f>AS13="Sí"</f>
        <v>1</v>
      </c>
      <c r="AV15" s="530"/>
      <c r="AW15" s="530"/>
      <c r="AX15" s="530"/>
      <c r="AY15" s="530"/>
    </row>
    <row r="16" spans="1:51" ht="12" customHeight="1" thickBot="1">
      <c r="A16" s="9"/>
      <c r="B16" s="747"/>
      <c r="C16" s="1821"/>
      <c r="D16" s="2304" t="s">
        <v>1714</v>
      </c>
      <c r="E16" s="2305"/>
      <c r="F16" s="4681">
        <f>Principal!J58</f>
        <v>30</v>
      </c>
      <c r="G16" s="4681"/>
      <c r="H16" s="2304" t="s">
        <v>1715</v>
      </c>
      <c r="I16" s="2304"/>
      <c r="J16" s="4681">
        <f>Principal!J61</f>
        <v>30</v>
      </c>
      <c r="K16" s="4681"/>
      <c r="L16" s="2304" t="s">
        <v>1716</v>
      </c>
      <c r="M16" s="2304"/>
      <c r="N16" s="4681">
        <f>Principal!J62</f>
        <v>30</v>
      </c>
      <c r="O16" s="4681"/>
      <c r="P16" s="2304" t="s">
        <v>1717</v>
      </c>
      <c r="Q16" s="2304"/>
      <c r="R16" s="4681">
        <f>Principal!J60</f>
        <v>30</v>
      </c>
      <c r="S16" s="4681"/>
      <c r="T16" s="2304" t="s">
        <v>1718</v>
      </c>
      <c r="U16" s="2304"/>
      <c r="V16" s="4685">
        <f>Principal!J59</f>
        <v>30</v>
      </c>
      <c r="W16" s="4686"/>
      <c r="X16" s="2306"/>
      <c r="Y16" s="2307"/>
      <c r="Z16" s="2307"/>
      <c r="AA16" s="2284"/>
      <c r="AB16" s="2284"/>
      <c r="AC16" s="2284"/>
      <c r="AD16" s="2284"/>
      <c r="AE16" s="2284"/>
      <c r="AF16" s="2307"/>
      <c r="AG16" s="2307"/>
      <c r="AH16" s="2307"/>
      <c r="AI16" s="2307"/>
      <c r="AJ16" s="2307"/>
      <c r="AK16" s="579"/>
      <c r="AL16" s="22"/>
      <c r="AN16" s="4676"/>
      <c r="AO16" s="4677"/>
      <c r="AP16" s="4679"/>
      <c r="AQ16" s="4676"/>
      <c r="AR16" s="4677"/>
      <c r="AS16" s="4671"/>
      <c r="AT16" s="530" t="s">
        <v>9686</v>
      </c>
      <c r="AU16" s="530" t="b">
        <f>AS11="Sí"</f>
        <v>0</v>
      </c>
      <c r="AV16" s="530"/>
      <c r="AW16" s="530"/>
      <c r="AX16" s="530"/>
      <c r="AY16" s="530"/>
    </row>
    <row r="17" spans="1:51" ht="2.25" customHeight="1">
      <c r="A17" s="9"/>
      <c r="B17" s="747"/>
      <c r="C17" s="1820"/>
      <c r="D17" s="1649"/>
      <c r="E17" s="1649"/>
      <c r="F17" s="2052"/>
      <c r="G17" s="2052"/>
      <c r="H17" s="1920"/>
      <c r="I17" s="1920"/>
      <c r="J17" s="1648"/>
      <c r="K17" s="1648"/>
      <c r="L17" s="1920"/>
      <c r="M17" s="1920"/>
      <c r="N17" s="1648"/>
      <c r="O17" s="1648"/>
      <c r="P17" s="1920"/>
      <c r="Q17" s="1920"/>
      <c r="R17" s="1648"/>
      <c r="S17" s="1648"/>
      <c r="T17" s="1920"/>
      <c r="U17" s="1920"/>
      <c r="V17" s="1648"/>
      <c r="W17" s="1648"/>
      <c r="X17" s="2050"/>
      <c r="Y17" s="2050"/>
      <c r="Z17" s="2051"/>
      <c r="AA17" s="2051"/>
      <c r="AB17" s="2050"/>
      <c r="AC17" s="2050"/>
      <c r="AD17" s="2051"/>
      <c r="AE17" s="2051"/>
      <c r="AF17" s="2050"/>
      <c r="AG17" s="2050"/>
      <c r="AH17" s="2051"/>
      <c r="AI17" s="2051"/>
      <c r="AJ17" s="1654"/>
      <c r="AK17" s="579"/>
      <c r="AL17" s="22"/>
      <c r="AN17" s="2284"/>
      <c r="AO17" s="2284"/>
      <c r="AP17" s="2284"/>
      <c r="AQ17" s="2284"/>
      <c r="AR17" s="2284"/>
      <c r="AS17" s="2284"/>
      <c r="AT17" s="530" t="s">
        <v>9099</v>
      </c>
      <c r="AU17" s="530" t="b">
        <f>AS15="Sí"</f>
        <v>1</v>
      </c>
      <c r="AV17" s="530"/>
      <c r="AW17" s="530"/>
      <c r="AX17" s="530"/>
      <c r="AY17" s="530"/>
    </row>
    <row r="18" spans="1:51" ht="1.5" customHeight="1">
      <c r="A18" s="9"/>
      <c r="B18" s="747"/>
      <c r="C18" s="1821"/>
      <c r="D18" s="4656" t="s">
        <v>1719</v>
      </c>
      <c r="E18" s="4656"/>
      <c r="F18" s="4656"/>
      <c r="G18" s="4656"/>
      <c r="H18" s="859"/>
      <c r="I18" s="859"/>
      <c r="J18" s="859"/>
      <c r="K18" s="859"/>
      <c r="L18" s="859"/>
      <c r="M18" s="859"/>
      <c r="N18" s="859"/>
      <c r="O18" s="859"/>
      <c r="P18" s="859"/>
      <c r="Q18" s="859"/>
      <c r="R18" s="859"/>
      <c r="S18" s="859"/>
      <c r="T18" s="859"/>
      <c r="U18" s="859"/>
      <c r="V18" s="859"/>
      <c r="W18" s="859"/>
      <c r="X18" s="859"/>
      <c r="Y18" s="859"/>
      <c r="Z18" s="859"/>
      <c r="AA18" s="859"/>
      <c r="AB18" s="859"/>
      <c r="AC18" s="859"/>
      <c r="AD18" s="859"/>
      <c r="AE18" s="859"/>
      <c r="AF18" s="859"/>
      <c r="AG18" s="859"/>
      <c r="AH18" s="859"/>
      <c r="AI18" s="859"/>
      <c r="AJ18" s="1656"/>
      <c r="AK18" s="579"/>
      <c r="AL18" s="22"/>
      <c r="AN18" s="2284"/>
      <c r="AO18" s="2284"/>
      <c r="AP18" s="2284"/>
      <c r="AQ18" s="2284"/>
      <c r="AR18" s="2284"/>
      <c r="AS18" s="2284"/>
      <c r="AT18" s="530" t="s">
        <v>9999</v>
      </c>
      <c r="AU18" s="530" t="b">
        <f>AP13="Sí"</f>
        <v>1</v>
      </c>
      <c r="AV18" s="530"/>
      <c r="AW18" s="530"/>
      <c r="AX18" s="530"/>
      <c r="AY18" s="530"/>
    </row>
    <row r="19" spans="1:51" ht="12" customHeight="1">
      <c r="A19" s="9"/>
      <c r="B19" s="747"/>
      <c r="C19" s="1821"/>
      <c r="D19" s="4656"/>
      <c r="E19" s="4656"/>
      <c r="F19" s="4656"/>
      <c r="G19" s="4656"/>
      <c r="H19" s="4363" t="str">
        <f ca="1">Combate!$AV48&amp;Combate!$AW48&amp;Combate!$AX48&amp;Combate!$AY48&amp;Combate!$AZ48&amp;Combate!$BA48&amp;Combate!$BB48&amp;Combate!$BC48&amp;Combate!$BD48&amp;Combate!$BE48&amp;Combate!$BF48&amp;Combate!$BG48</f>
        <v>40 Desarmado</v>
      </c>
      <c r="I19" s="4363"/>
      <c r="J19" s="4363"/>
      <c r="K19" s="4363"/>
      <c r="L19" s="4363"/>
      <c r="M19" s="4363"/>
      <c r="N19" s="4363"/>
      <c r="O19" s="4363"/>
      <c r="P19" s="4363"/>
      <c r="Q19" s="4363"/>
      <c r="R19" s="4363"/>
      <c r="S19" s="4363"/>
      <c r="T19" s="4363"/>
      <c r="U19" s="4363"/>
      <c r="V19" s="4363"/>
      <c r="W19" s="4363"/>
      <c r="X19" s="4363"/>
      <c r="Y19" s="4363"/>
      <c r="Z19" s="4363"/>
      <c r="AA19" s="4363"/>
      <c r="AB19" s="4363"/>
      <c r="AC19" s="4363"/>
      <c r="AD19" s="4363"/>
      <c r="AE19" s="4363"/>
      <c r="AF19" s="4363"/>
      <c r="AG19" s="4363"/>
      <c r="AH19" s="4363"/>
      <c r="AI19" s="4363"/>
      <c r="AJ19" s="1656"/>
      <c r="AK19" s="579"/>
      <c r="AL19" s="22"/>
      <c r="AQ19" s="2285"/>
      <c r="AR19" s="2285"/>
      <c r="AS19" s="2285"/>
      <c r="AT19" s="530"/>
      <c r="AU19" s="530"/>
      <c r="AV19" s="530"/>
      <c r="AW19" s="530"/>
      <c r="AX19" s="530"/>
      <c r="AY19" s="530"/>
    </row>
    <row r="20" spans="1:51" ht="12" customHeight="1">
      <c r="A20" s="9"/>
      <c r="B20" s="747"/>
      <c r="C20" s="1821"/>
      <c r="D20" s="4656"/>
      <c r="E20" s="4656"/>
      <c r="F20" s="4656"/>
      <c r="G20" s="4656"/>
      <c r="H20" s="4363"/>
      <c r="I20" s="4363"/>
      <c r="J20" s="4363"/>
      <c r="K20" s="4363"/>
      <c r="L20" s="4363"/>
      <c r="M20" s="4363"/>
      <c r="N20" s="4363"/>
      <c r="O20" s="4363"/>
      <c r="P20" s="4363"/>
      <c r="Q20" s="4363"/>
      <c r="R20" s="4363"/>
      <c r="S20" s="4363"/>
      <c r="T20" s="4363"/>
      <c r="U20" s="4363"/>
      <c r="V20" s="4363"/>
      <c r="W20" s="4363"/>
      <c r="X20" s="4363"/>
      <c r="Y20" s="4363"/>
      <c r="Z20" s="4363"/>
      <c r="AA20" s="4363"/>
      <c r="AB20" s="4363"/>
      <c r="AC20" s="4363"/>
      <c r="AD20" s="4363"/>
      <c r="AE20" s="4363"/>
      <c r="AF20" s="4363"/>
      <c r="AG20" s="4363"/>
      <c r="AH20" s="4363"/>
      <c r="AI20" s="4363"/>
      <c r="AJ20" s="1656"/>
      <c r="AK20" s="579"/>
      <c r="AL20" s="22"/>
      <c r="AQ20" s="2332"/>
      <c r="AR20" s="2332"/>
      <c r="AS20" s="2332"/>
      <c r="AT20" s="530">
        <v>45</v>
      </c>
      <c r="AU20" s="530"/>
      <c r="AV20" s="530"/>
      <c r="AW20" s="530"/>
      <c r="AX20" s="530"/>
      <c r="AY20" s="530"/>
    </row>
    <row r="21" spans="1:51" ht="1.5" customHeight="1">
      <c r="A21" s="9"/>
      <c r="B21" s="747"/>
      <c r="C21" s="1821"/>
      <c r="D21" s="4656" t="s">
        <v>1256</v>
      </c>
      <c r="E21" s="4656"/>
      <c r="F21" s="4656"/>
      <c r="G21" s="4656"/>
      <c r="H21" s="4363"/>
      <c r="I21" s="4363"/>
      <c r="J21" s="4363"/>
      <c r="K21" s="4363"/>
      <c r="L21" s="4363"/>
      <c r="M21" s="4363"/>
      <c r="N21" s="4363"/>
      <c r="O21" s="4363"/>
      <c r="P21" s="4363"/>
      <c r="Q21" s="4363"/>
      <c r="R21" s="4363"/>
      <c r="S21" s="4363"/>
      <c r="T21" s="4363"/>
      <c r="U21" s="4363"/>
      <c r="V21" s="4363"/>
      <c r="W21" s="4363"/>
      <c r="X21" s="4363"/>
      <c r="Y21" s="4363"/>
      <c r="Z21" s="4363"/>
      <c r="AA21" s="4363"/>
      <c r="AB21" s="4363"/>
      <c r="AC21" s="4363"/>
      <c r="AD21" s="4363"/>
      <c r="AE21" s="4363"/>
      <c r="AF21" s="4363"/>
      <c r="AG21" s="4363"/>
      <c r="AH21" s="4363"/>
      <c r="AI21" s="4363"/>
      <c r="AJ21" s="1656"/>
      <c r="AK21" s="579"/>
      <c r="AL21" s="22"/>
      <c r="AQ21" s="2333"/>
      <c r="AR21" s="2333"/>
      <c r="AS21" s="2333"/>
      <c r="AT21" s="2335"/>
      <c r="AU21" s="530"/>
      <c r="AV21" s="530"/>
      <c r="AW21" s="530"/>
      <c r="AX21" s="530"/>
      <c r="AY21" s="530"/>
    </row>
    <row r="22" spans="1:51" ht="12" customHeight="1">
      <c r="A22" s="9"/>
      <c r="B22" s="747"/>
      <c r="C22" s="1821"/>
      <c r="D22" s="4656"/>
      <c r="E22" s="4656"/>
      <c r="F22" s="4656"/>
      <c r="G22" s="4656"/>
      <c r="H22" s="4363" t="str">
        <f ca="1">Combate!$AV49&amp;Combate!$AW49&amp;Combate!$AX49&amp;Combate!$AY49&amp;Combate!$AZ49&amp;Combate!$BA49&amp;Combate!$BB49&amp;Combate!$BC49&amp;Combate!$BD49&amp;Combate!$BE49&amp;Combate!$BF49&amp;Combate!$BG49</f>
        <v>-60 Desarmado</v>
      </c>
      <c r="I22" s="4363"/>
      <c r="J22" s="4363"/>
      <c r="K22" s="4363"/>
      <c r="L22" s="4363"/>
      <c r="M22" s="4363"/>
      <c r="N22" s="4363"/>
      <c r="O22" s="4363"/>
      <c r="P22" s="4363"/>
      <c r="Q22" s="4363"/>
      <c r="R22" s="4363"/>
      <c r="S22" s="4363"/>
      <c r="T22" s="4363"/>
      <c r="U22" s="4363"/>
      <c r="V22" s="4363"/>
      <c r="W22" s="4363"/>
      <c r="X22" s="4363"/>
      <c r="Y22" s="4363"/>
      <c r="Z22" s="4363"/>
      <c r="AA22" s="4363"/>
      <c r="AB22" s="4363"/>
      <c r="AC22" s="4363"/>
      <c r="AD22" s="4363"/>
      <c r="AE22" s="4363"/>
      <c r="AF22" s="4363"/>
      <c r="AG22" s="4363"/>
      <c r="AH22" s="4363"/>
      <c r="AI22" s="4363"/>
      <c r="AJ22" s="1657"/>
      <c r="AK22" s="579"/>
      <c r="AL22" s="22"/>
      <c r="AQ22" s="2334"/>
      <c r="AR22" s="2334"/>
      <c r="AS22" s="2334"/>
      <c r="AT22" s="2335"/>
      <c r="AU22" s="530"/>
      <c r="AV22" s="530"/>
      <c r="AW22" s="530"/>
      <c r="AX22" s="530"/>
      <c r="AY22" s="530"/>
    </row>
    <row r="23" spans="1:51" ht="12" customHeight="1">
      <c r="A23" s="9"/>
      <c r="B23" s="747"/>
      <c r="C23" s="1821"/>
      <c r="D23" s="4656"/>
      <c r="E23" s="4656"/>
      <c r="F23" s="4656"/>
      <c r="G23" s="4656"/>
      <c r="H23" s="4363"/>
      <c r="I23" s="4363"/>
      <c r="J23" s="4363"/>
      <c r="K23" s="4363"/>
      <c r="L23" s="4363"/>
      <c r="M23" s="4363"/>
      <c r="N23" s="4363"/>
      <c r="O23" s="4363"/>
      <c r="P23" s="4363"/>
      <c r="Q23" s="4363"/>
      <c r="R23" s="4363"/>
      <c r="S23" s="4363"/>
      <c r="T23" s="4363"/>
      <c r="U23" s="4363"/>
      <c r="V23" s="4363"/>
      <c r="W23" s="4363"/>
      <c r="X23" s="4363"/>
      <c r="Y23" s="4363"/>
      <c r="Z23" s="4363"/>
      <c r="AA23" s="4363"/>
      <c r="AB23" s="4363"/>
      <c r="AC23" s="4363"/>
      <c r="AD23" s="4363"/>
      <c r="AE23" s="4363"/>
      <c r="AF23" s="4363"/>
      <c r="AG23" s="4363"/>
      <c r="AH23" s="4363"/>
      <c r="AI23" s="4363"/>
      <c r="AJ23" s="1657"/>
      <c r="AK23" s="579"/>
      <c r="AL23" s="22"/>
      <c r="AQ23" s="2334"/>
      <c r="AR23" s="2334"/>
      <c r="AS23" s="2334"/>
      <c r="AT23" s="2335"/>
      <c r="AU23" s="530"/>
      <c r="AV23" s="530"/>
      <c r="AW23" s="530"/>
      <c r="AX23" s="530"/>
      <c r="AY23" s="530"/>
    </row>
    <row r="24" spans="1:51" ht="1.5" customHeight="1">
      <c r="A24" s="9"/>
      <c r="B24" s="747"/>
      <c r="C24" s="1821"/>
      <c r="D24" s="4656" t="s">
        <v>8285</v>
      </c>
      <c r="E24" s="4656"/>
      <c r="F24" s="4656"/>
      <c r="G24" s="4656"/>
      <c r="H24" s="4363"/>
      <c r="I24" s="4363"/>
      <c r="J24" s="4363"/>
      <c r="K24" s="4363"/>
      <c r="L24" s="4363"/>
      <c r="M24" s="4363"/>
      <c r="N24" s="4363"/>
      <c r="O24" s="4363"/>
      <c r="P24" s="4363"/>
      <c r="Q24" s="4363"/>
      <c r="R24" s="4363"/>
      <c r="S24" s="4363"/>
      <c r="T24" s="4363"/>
      <c r="U24" s="4363"/>
      <c r="V24" s="4363"/>
      <c r="W24" s="4363"/>
      <c r="X24" s="4363"/>
      <c r="Y24" s="4363"/>
      <c r="Z24" s="4363"/>
      <c r="AA24" s="4363"/>
      <c r="AB24" s="4363"/>
      <c r="AC24" s="4363"/>
      <c r="AD24" s="4363"/>
      <c r="AE24" s="4363"/>
      <c r="AF24" s="4363"/>
      <c r="AG24" s="4363"/>
      <c r="AH24" s="4363"/>
      <c r="AI24" s="4363"/>
      <c r="AJ24" s="1656"/>
      <c r="AK24" s="579"/>
      <c r="AL24" s="22"/>
      <c r="AQ24" s="2334"/>
      <c r="AR24" s="2334"/>
      <c r="AS24" s="2334"/>
      <c r="AT24" s="2335"/>
      <c r="AU24" s="530"/>
      <c r="AV24" s="530"/>
      <c r="AW24" s="530"/>
      <c r="AX24" s="530"/>
      <c r="AY24" s="530"/>
    </row>
    <row r="25" spans="1:51" ht="12" customHeight="1" thickBot="1">
      <c r="A25" s="9"/>
      <c r="B25" s="746"/>
      <c r="C25" s="1820"/>
      <c r="D25" s="4656"/>
      <c r="E25" s="4656"/>
      <c r="F25" s="4656"/>
      <c r="G25" s="4656"/>
      <c r="H25" s="4363" t="str">
        <f ca="1">Combate!$AV50&amp;Combate!$AW50&amp;Combate!$AX50&amp;Combate!$AY50&amp;Combate!$AZ50&amp;Combate!$BA50&amp;Combate!$BB50&amp;Combate!$BC50&amp;Combate!$BD50&amp;Combate!$BE50&amp;Combate!$BF50&amp;Combate!$BG50</f>
        <v>0 Esquiva</v>
      </c>
      <c r="I25" s="4363"/>
      <c r="J25" s="4363"/>
      <c r="K25" s="4363"/>
      <c r="L25" s="4363"/>
      <c r="M25" s="4363"/>
      <c r="N25" s="4363"/>
      <c r="O25" s="4363"/>
      <c r="P25" s="4363"/>
      <c r="Q25" s="4363"/>
      <c r="R25" s="4363"/>
      <c r="S25" s="4363"/>
      <c r="T25" s="4363"/>
      <c r="U25" s="4363"/>
      <c r="V25" s="4363"/>
      <c r="W25" s="4363"/>
      <c r="X25" s="4363"/>
      <c r="Y25" s="4363"/>
      <c r="Z25" s="4363"/>
      <c r="AA25" s="4363"/>
      <c r="AB25" s="4363"/>
      <c r="AC25" s="4363"/>
      <c r="AD25" s="4363"/>
      <c r="AE25" s="4363"/>
      <c r="AF25" s="4363"/>
      <c r="AG25" s="4363"/>
      <c r="AH25" s="4363"/>
      <c r="AI25" s="4363"/>
      <c r="AJ25" s="1657"/>
      <c r="AK25" s="579"/>
      <c r="AL25" s="22"/>
      <c r="AQ25" s="2284"/>
      <c r="AR25" s="2284"/>
      <c r="AS25" s="2284"/>
      <c r="AT25" s="2335"/>
      <c r="AU25" s="530"/>
      <c r="AV25" s="530"/>
      <c r="AW25" s="530"/>
      <c r="AX25" s="530"/>
      <c r="AY25" s="530"/>
    </row>
    <row r="26" spans="1:51" ht="12" customHeight="1">
      <c r="A26" s="9"/>
      <c r="B26" s="746"/>
      <c r="C26" s="1820"/>
      <c r="D26" s="4656"/>
      <c r="E26" s="4656"/>
      <c r="F26" s="4656"/>
      <c r="G26" s="4656"/>
      <c r="H26" s="4363"/>
      <c r="I26" s="4363"/>
      <c r="J26" s="4363"/>
      <c r="K26" s="4363"/>
      <c r="L26" s="4363"/>
      <c r="M26" s="4363"/>
      <c r="N26" s="4363"/>
      <c r="O26" s="4363"/>
      <c r="P26" s="4363"/>
      <c r="Q26" s="4363"/>
      <c r="R26" s="4363"/>
      <c r="S26" s="4363"/>
      <c r="T26" s="4363"/>
      <c r="U26" s="4363"/>
      <c r="V26" s="4363"/>
      <c r="W26" s="4363"/>
      <c r="X26" s="4363"/>
      <c r="Y26" s="4363"/>
      <c r="Z26" s="4363"/>
      <c r="AA26" s="4363"/>
      <c r="AB26" s="4363"/>
      <c r="AC26" s="4363"/>
      <c r="AD26" s="4363"/>
      <c r="AE26" s="4363"/>
      <c r="AF26" s="4363"/>
      <c r="AG26" s="4363"/>
      <c r="AH26" s="4363"/>
      <c r="AI26" s="4363"/>
      <c r="AJ26" s="1657"/>
      <c r="AK26" s="579"/>
      <c r="AL26" s="22"/>
      <c r="AN26" s="4352" t="s">
        <v>9147</v>
      </c>
      <c r="AO26" s="4317"/>
      <c r="AP26" s="4318"/>
      <c r="AQ26" s="2332"/>
      <c r="AR26" s="2332"/>
      <c r="AS26" s="2332"/>
      <c r="AT26" s="2335"/>
      <c r="AU26" s="530"/>
      <c r="AV26" s="530"/>
      <c r="AW26" s="530"/>
      <c r="AX26" s="530"/>
      <c r="AY26" s="530"/>
    </row>
    <row r="27" spans="1:51" ht="1.5" customHeight="1">
      <c r="A27" s="9"/>
      <c r="B27" s="747"/>
      <c r="C27" s="1821"/>
      <c r="D27" s="4656" t="s">
        <v>1720</v>
      </c>
      <c r="E27" s="4656"/>
      <c r="F27" s="4656"/>
      <c r="G27" s="4656"/>
      <c r="H27" s="4363"/>
      <c r="I27" s="4363"/>
      <c r="J27" s="4363"/>
      <c r="K27" s="4363"/>
      <c r="L27" s="4363"/>
      <c r="M27" s="4363"/>
      <c r="N27" s="4363"/>
      <c r="O27" s="4363"/>
      <c r="P27" s="4363"/>
      <c r="Q27" s="4363"/>
      <c r="R27" s="4363"/>
      <c r="S27" s="4363"/>
      <c r="T27" s="4363"/>
      <c r="U27" s="4363"/>
      <c r="V27" s="4363"/>
      <c r="W27" s="4363"/>
      <c r="X27" s="4363"/>
      <c r="Y27" s="4363"/>
      <c r="Z27" s="4363"/>
      <c r="AA27" s="4363"/>
      <c r="AB27" s="4363"/>
      <c r="AC27" s="4363"/>
      <c r="AD27" s="4363"/>
      <c r="AE27" s="4363"/>
      <c r="AF27" s="4363"/>
      <c r="AG27" s="4363"/>
      <c r="AH27" s="4363"/>
      <c r="AI27" s="4363"/>
      <c r="AJ27" s="1656"/>
      <c r="AK27" s="579"/>
      <c r="AL27" s="22"/>
      <c r="AN27" s="4653"/>
      <c r="AO27" s="4654"/>
      <c r="AP27" s="4655"/>
      <c r="AQ27" s="2332"/>
      <c r="AR27" s="2332"/>
      <c r="AS27" s="2332"/>
      <c r="AT27" s="2335"/>
      <c r="AU27" s="530"/>
      <c r="AV27" s="530"/>
      <c r="AW27" s="530"/>
      <c r="AX27" s="530"/>
      <c r="AY27" s="530"/>
    </row>
    <row r="28" spans="1:51" ht="12" customHeight="1">
      <c r="A28" s="9"/>
      <c r="B28" s="746"/>
      <c r="C28" s="1820"/>
      <c r="D28" s="4656"/>
      <c r="E28" s="4656"/>
      <c r="F28" s="4656"/>
      <c r="G28" s="4656"/>
      <c r="H28" s="4363" t="str">
        <f ca="1">Combate!$AV51&amp;Combate!$AW51&amp;Combate!$AX51&amp;Combate!$AY51&amp;Combate!$AZ51&amp;Combate!$BA51&amp;Combate!$BB51&amp;Combate!$BC51&amp;Combate!$BD51&amp;Combate!$BE51&amp;Combate!$BF51&amp;Combate!$BG51</f>
        <v>5 Desarmado (CON)</v>
      </c>
      <c r="I28" s="4363"/>
      <c r="J28" s="4363"/>
      <c r="K28" s="4363"/>
      <c r="L28" s="4363"/>
      <c r="M28" s="4363"/>
      <c r="N28" s="4363"/>
      <c r="O28" s="4363"/>
      <c r="P28" s="4363"/>
      <c r="Q28" s="4363"/>
      <c r="R28" s="4363"/>
      <c r="S28" s="4363"/>
      <c r="T28" s="4363"/>
      <c r="U28" s="4363"/>
      <c r="V28" s="4363"/>
      <c r="W28" s="4363"/>
      <c r="X28" s="4363"/>
      <c r="Y28" s="4363"/>
      <c r="Z28" s="4363"/>
      <c r="AA28" s="4363"/>
      <c r="AB28" s="4363"/>
      <c r="AC28" s="4363"/>
      <c r="AD28" s="4363"/>
      <c r="AE28" s="4363"/>
      <c r="AF28" s="4363"/>
      <c r="AG28" s="4363"/>
      <c r="AH28" s="4363"/>
      <c r="AI28" s="4363"/>
      <c r="AJ28" s="1656"/>
      <c r="AK28" s="579"/>
      <c r="AL28" s="22"/>
      <c r="AN28" s="4653"/>
      <c r="AO28" s="4654"/>
      <c r="AP28" s="4655"/>
      <c r="AQ28" s="2332"/>
      <c r="AR28" s="2332"/>
      <c r="AS28" s="2332"/>
      <c r="AT28" s="2335"/>
      <c r="AU28" s="530"/>
      <c r="AV28" s="530"/>
      <c r="AW28" s="530"/>
      <c r="AX28" s="530"/>
      <c r="AY28" s="530"/>
    </row>
    <row r="29" spans="1:51" ht="12" customHeight="1">
      <c r="A29" s="9"/>
      <c r="B29" s="746"/>
      <c r="C29" s="1820"/>
      <c r="D29" s="4656"/>
      <c r="E29" s="4656"/>
      <c r="F29" s="4656"/>
      <c r="G29" s="4656"/>
      <c r="H29" s="4363"/>
      <c r="I29" s="4363"/>
      <c r="J29" s="4363"/>
      <c r="K29" s="4363"/>
      <c r="L29" s="4363"/>
      <c r="M29" s="4363"/>
      <c r="N29" s="4363"/>
      <c r="O29" s="4363"/>
      <c r="P29" s="4363"/>
      <c r="Q29" s="4363"/>
      <c r="R29" s="4363"/>
      <c r="S29" s="4363"/>
      <c r="T29" s="4363"/>
      <c r="U29" s="4363"/>
      <c r="V29" s="4363"/>
      <c r="W29" s="4363"/>
      <c r="X29" s="4363"/>
      <c r="Y29" s="4363"/>
      <c r="Z29" s="4363"/>
      <c r="AA29" s="4363"/>
      <c r="AB29" s="4363"/>
      <c r="AC29" s="4363"/>
      <c r="AD29" s="4363"/>
      <c r="AE29" s="4363"/>
      <c r="AF29" s="4363"/>
      <c r="AG29" s="4363"/>
      <c r="AH29" s="4363"/>
      <c r="AI29" s="4363"/>
      <c r="AJ29" s="1656"/>
      <c r="AK29" s="579"/>
      <c r="AL29" s="22"/>
      <c r="AN29" s="4657" t="s">
        <v>2422</v>
      </c>
      <c r="AO29" s="4658"/>
      <c r="AP29" s="4659"/>
      <c r="AQ29" s="2334"/>
      <c r="AR29" s="2334"/>
      <c r="AS29" s="2334"/>
      <c r="AT29" s="2284"/>
    </row>
    <row r="30" spans="1:51" ht="1.5" customHeight="1">
      <c r="A30" s="9"/>
      <c r="B30" s="747"/>
      <c r="C30" s="1821"/>
      <c r="D30" s="2288"/>
      <c r="E30" s="2288"/>
      <c r="F30" s="2288"/>
      <c r="G30" s="859"/>
      <c r="H30" s="4363"/>
      <c r="I30" s="4363"/>
      <c r="J30" s="4363"/>
      <c r="K30" s="4363"/>
      <c r="L30" s="4363"/>
      <c r="M30" s="4363"/>
      <c r="N30" s="4363"/>
      <c r="O30" s="4363"/>
      <c r="P30" s="4363"/>
      <c r="Q30" s="4363"/>
      <c r="R30" s="4363"/>
      <c r="S30" s="4363"/>
      <c r="T30" s="4363"/>
      <c r="U30" s="4363"/>
      <c r="V30" s="4363"/>
      <c r="W30" s="4363"/>
      <c r="X30" s="4363"/>
      <c r="Y30" s="4363"/>
      <c r="Z30" s="4363"/>
      <c r="AA30" s="4363"/>
      <c r="AB30" s="4363"/>
      <c r="AC30" s="4363"/>
      <c r="AD30" s="4363"/>
      <c r="AE30" s="4363"/>
      <c r="AF30" s="4363"/>
      <c r="AG30" s="4363"/>
      <c r="AH30" s="4363"/>
      <c r="AI30" s="4363"/>
      <c r="AJ30" s="1656"/>
      <c r="AK30" s="579"/>
      <c r="AL30" s="22"/>
      <c r="AN30" s="4657"/>
      <c r="AO30" s="4658"/>
      <c r="AP30" s="4659"/>
      <c r="AQ30" s="2334"/>
      <c r="AR30" s="2334"/>
      <c r="AS30" s="2334"/>
      <c r="AT30" s="2284"/>
    </row>
    <row r="31" spans="1:51" ht="12" customHeight="1" thickBot="1">
      <c r="A31" s="9"/>
      <c r="B31" s="746"/>
      <c r="C31" s="1820"/>
      <c r="D31" s="2288"/>
      <c r="E31" s="2288"/>
      <c r="F31" s="2288"/>
      <c r="G31" s="2308" t="s">
        <v>1721</v>
      </c>
      <c r="H31" s="675"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309"/>
      <c r="J31" s="2309"/>
      <c r="K31" s="2309"/>
      <c r="L31" s="2309"/>
      <c r="M31" s="2309"/>
      <c r="N31" s="2309"/>
      <c r="O31" s="2309"/>
      <c r="P31" s="2309"/>
      <c r="Q31" s="2309"/>
      <c r="R31" s="2309"/>
      <c r="S31" s="2309"/>
      <c r="T31" s="2309"/>
      <c r="U31" s="2309"/>
      <c r="V31" s="2309"/>
      <c r="W31" s="2309"/>
      <c r="X31" s="2309"/>
      <c r="Y31" s="2309"/>
      <c r="Z31" s="2309"/>
      <c r="AA31" s="2309"/>
      <c r="AB31" s="2309"/>
      <c r="AC31" s="2309"/>
      <c r="AD31" s="2309"/>
      <c r="AE31" s="2309"/>
      <c r="AF31" s="2309"/>
      <c r="AG31" s="2309"/>
      <c r="AH31" s="2309"/>
      <c r="AI31" s="2309"/>
      <c r="AJ31" s="1656"/>
      <c r="AK31" s="579"/>
      <c r="AL31" s="22"/>
      <c r="AN31" s="4660"/>
      <c r="AO31" s="4661"/>
      <c r="AP31" s="4662"/>
      <c r="AQ31" s="2334"/>
      <c r="AR31" s="2334"/>
      <c r="AS31" s="2334"/>
      <c r="AT31" s="2284"/>
    </row>
    <row r="32" spans="1:51" ht="12" customHeight="1">
      <c r="A32" s="9"/>
      <c r="B32" s="746"/>
      <c r="C32" s="1820"/>
      <c r="D32" s="859"/>
      <c r="E32" s="859"/>
      <c r="F32" s="859"/>
      <c r="G32" s="2310" t="s">
        <v>1722</v>
      </c>
      <c r="H32" s="4743" t="str">
        <f>Combate!I16&amp;IF(Combate!$C$15="",""," ("&amp;Combate!I15&amp;")")</f>
        <v>0</v>
      </c>
      <c r="I32" s="4743"/>
      <c r="J32" s="2311"/>
      <c r="K32" s="2310" t="s">
        <v>1723</v>
      </c>
      <c r="L32" s="4743" t="str">
        <f>Combate!J16&amp;IF(Combate!$C$15="",""," ("&amp;Combate!J15&amp;")")</f>
        <v>0</v>
      </c>
      <c r="M32" s="4743"/>
      <c r="N32" s="2311"/>
      <c r="O32" s="2310" t="s">
        <v>1724</v>
      </c>
      <c r="P32" s="4743" t="str">
        <f>Combate!K16&amp;IF(Combate!$C$15="",""," ("&amp;Combate!K15&amp;")")</f>
        <v>0</v>
      </c>
      <c r="Q32" s="4743"/>
      <c r="R32" s="2311"/>
      <c r="S32" s="2310" t="s">
        <v>1725</v>
      </c>
      <c r="T32" s="4743" t="str">
        <f>Combate!L16&amp;IF(Combate!$C$15="",""," ("&amp;Combate!L15&amp;")")</f>
        <v>0</v>
      </c>
      <c r="U32" s="4743"/>
      <c r="V32" s="2311"/>
      <c r="W32" s="2310" t="s">
        <v>1727</v>
      </c>
      <c r="X32" s="4743" t="str">
        <f>Combate!M16&amp;IF(Combate!$C$15="",""," ("&amp;Combate!M15&amp;")")</f>
        <v>0</v>
      </c>
      <c r="Y32" s="4743"/>
      <c r="Z32" s="2311"/>
      <c r="AA32" s="2310" t="s">
        <v>1726</v>
      </c>
      <c r="AB32" s="4743" t="str">
        <f>Combate!N16&amp;IF(Combate!$C$15="",""," ("&amp;Combate!N15&amp;")")</f>
        <v>0</v>
      </c>
      <c r="AC32" s="4743"/>
      <c r="AD32" s="2311"/>
      <c r="AE32" s="2310" t="s">
        <v>1728</v>
      </c>
      <c r="AF32" s="4743" t="str">
        <f>Combate!O16&amp;IF(Combate!$C$15="",""," ("&amp;Combate!O15&amp;")")</f>
        <v>0</v>
      </c>
      <c r="AG32" s="4743"/>
      <c r="AH32" s="2296"/>
      <c r="AI32" s="2311"/>
      <c r="AJ32" s="1656"/>
      <c r="AK32" s="579"/>
      <c r="AL32" s="22"/>
      <c r="AQ32" s="2284"/>
      <c r="AR32" s="2284"/>
      <c r="AS32" s="2284"/>
      <c r="AT32" s="2602"/>
      <c r="AU32" s="2601"/>
    </row>
    <row r="33" spans="1:48" ht="2.25" customHeight="1">
      <c r="A33" s="9"/>
      <c r="B33" s="747"/>
      <c r="C33" s="1820"/>
      <c r="D33" s="1649"/>
      <c r="E33" s="1649"/>
      <c r="F33" s="2052"/>
      <c r="G33" s="2052"/>
      <c r="H33" s="1920"/>
      <c r="I33" s="1920"/>
      <c r="J33" s="1648"/>
      <c r="K33" s="1648"/>
      <c r="L33" s="1920"/>
      <c r="M33" s="1920"/>
      <c r="N33" s="1648"/>
      <c r="O33" s="1648"/>
      <c r="P33" s="1920"/>
      <c r="Q33" s="1920"/>
      <c r="R33" s="1648"/>
      <c r="S33" s="1648"/>
      <c r="T33" s="1920"/>
      <c r="U33" s="1920"/>
      <c r="V33" s="1648"/>
      <c r="W33" s="1648"/>
      <c r="X33" s="1648"/>
      <c r="Y33" s="1648"/>
      <c r="Z33" s="1648"/>
      <c r="AA33" s="1648"/>
      <c r="AB33" s="1648"/>
      <c r="AC33" s="1648"/>
      <c r="AD33" s="1648"/>
      <c r="AE33" s="1648"/>
      <c r="AF33" s="1648"/>
      <c r="AG33" s="1648"/>
      <c r="AH33" s="1648"/>
      <c r="AI33" s="1648"/>
      <c r="AJ33" s="1656"/>
      <c r="AK33" s="579"/>
      <c r="AL33" s="22"/>
      <c r="AT33" s="2601"/>
      <c r="AU33" s="2601"/>
    </row>
    <row r="34" spans="1:48" ht="1.5" customHeight="1">
      <c r="A34" s="9"/>
      <c r="B34" s="747"/>
      <c r="C34" s="1821"/>
      <c r="D34" s="2288"/>
      <c r="E34" s="2288"/>
      <c r="F34" s="2288"/>
      <c r="G34" s="2288"/>
      <c r="H34" s="859"/>
      <c r="I34" s="859"/>
      <c r="J34" s="859"/>
      <c r="K34" s="859"/>
      <c r="L34" s="859"/>
      <c r="M34" s="859"/>
      <c r="N34" s="859"/>
      <c r="O34" s="859"/>
      <c r="P34" s="859"/>
      <c r="Q34" s="859"/>
      <c r="R34" s="859"/>
      <c r="S34" s="859"/>
      <c r="T34" s="859"/>
      <c r="U34" s="859"/>
      <c r="V34" s="859"/>
      <c r="W34" s="859"/>
      <c r="X34" s="859"/>
      <c r="Y34" s="859"/>
      <c r="Z34" s="859"/>
      <c r="AA34" s="859"/>
      <c r="AB34" s="859"/>
      <c r="AC34" s="859"/>
      <c r="AD34" s="859"/>
      <c r="AE34" s="859"/>
      <c r="AF34" s="859"/>
      <c r="AG34" s="859"/>
      <c r="AH34" s="859"/>
      <c r="AI34" s="859"/>
      <c r="AJ34" s="1656"/>
      <c r="AK34" s="579"/>
      <c r="AL34" s="22"/>
      <c r="AT34" s="2601"/>
      <c r="AU34" s="2601"/>
    </row>
    <row r="35" spans="1:48" ht="12" customHeight="1">
      <c r="A35" s="9"/>
      <c r="B35" s="443"/>
      <c r="C35" s="2312"/>
      <c r="D35" s="4727" t="s">
        <v>1729</v>
      </c>
      <c r="E35" s="4727"/>
      <c r="F35" s="4727"/>
      <c r="G35" s="4727"/>
      <c r="H35" s="2288"/>
      <c r="I35" s="4681" t="str">
        <f>"("&amp;Ki!F24&amp;")"</f>
        <v>(0)</v>
      </c>
      <c r="J35" s="4681"/>
      <c r="K35" s="2311" t="s">
        <v>1706</v>
      </c>
      <c r="L35" s="2311"/>
      <c r="M35" s="4681" t="str">
        <f>Ki!F18</f>
        <v>-</v>
      </c>
      <c r="N35" s="4681"/>
      <c r="O35" s="2311" t="s">
        <v>1707</v>
      </c>
      <c r="P35" s="2311"/>
      <c r="Q35" s="4681" t="str">
        <f>Ki!F16</f>
        <v>-</v>
      </c>
      <c r="R35" s="4681"/>
      <c r="S35" s="2311" t="s">
        <v>1708</v>
      </c>
      <c r="T35" s="2311"/>
      <c r="U35" s="4681" t="str">
        <f>Ki!F12</f>
        <v>-</v>
      </c>
      <c r="V35" s="4681"/>
      <c r="W35" s="2311" t="s">
        <v>1709</v>
      </c>
      <c r="X35" s="2311"/>
      <c r="Y35" s="4681" t="str">
        <f>Ki!F14</f>
        <v>-</v>
      </c>
      <c r="Z35" s="4681"/>
      <c r="AA35" s="2311" t="s">
        <v>1710</v>
      </c>
      <c r="AB35" s="2311"/>
      <c r="AC35" s="4681" t="str">
        <f>Ki!F20</f>
        <v>-</v>
      </c>
      <c r="AD35" s="4681"/>
      <c r="AE35" s="2311" t="s">
        <v>1712</v>
      </c>
      <c r="AF35" s="2311"/>
      <c r="AG35" s="4681" t="str">
        <f>Ki!F22</f>
        <v>-</v>
      </c>
      <c r="AH35" s="4681"/>
      <c r="AI35" s="2296"/>
      <c r="AJ35" s="1658"/>
      <c r="AK35" s="579"/>
      <c r="AL35" s="22"/>
      <c r="AR35" s="530"/>
      <c r="AS35" s="530"/>
      <c r="AT35" s="530"/>
      <c r="AU35" s="530"/>
      <c r="AV35" s="530"/>
    </row>
    <row r="36" spans="1:48" ht="1.5" customHeight="1">
      <c r="A36" s="9"/>
      <c r="B36" s="747"/>
      <c r="C36" s="1821"/>
      <c r="D36" s="859"/>
      <c r="E36" s="859"/>
      <c r="F36" s="859"/>
      <c r="G36" s="859"/>
      <c r="H36" s="859"/>
      <c r="I36" s="859"/>
      <c r="J36" s="859"/>
      <c r="K36" s="859"/>
      <c r="L36" s="859"/>
      <c r="M36" s="859"/>
      <c r="N36" s="859"/>
      <c r="O36" s="859"/>
      <c r="P36" s="859"/>
      <c r="Q36" s="859"/>
      <c r="R36" s="859"/>
      <c r="S36" s="859"/>
      <c r="T36" s="859"/>
      <c r="U36" s="859"/>
      <c r="V36" s="859"/>
      <c r="W36" s="859"/>
      <c r="X36" s="859"/>
      <c r="Y36" s="859"/>
      <c r="Z36" s="859"/>
      <c r="AA36" s="859"/>
      <c r="AB36" s="859"/>
      <c r="AC36" s="859"/>
      <c r="AD36" s="859"/>
      <c r="AE36" s="859"/>
      <c r="AF36" s="859"/>
      <c r="AG36" s="859"/>
      <c r="AH36" s="859"/>
      <c r="AI36" s="859"/>
      <c r="AJ36" s="1656"/>
      <c r="AK36" s="579"/>
      <c r="AL36" s="22"/>
      <c r="AR36" s="530"/>
      <c r="AS36" s="530"/>
      <c r="AT36" s="530"/>
      <c r="AU36" s="530"/>
      <c r="AV36" s="530"/>
    </row>
    <row r="37" spans="1:48" ht="12" customHeight="1">
      <c r="A37" s="9"/>
      <c r="B37" s="2049"/>
      <c r="C37" s="2313"/>
      <c r="D37" s="4727" t="s">
        <v>9498</v>
      </c>
      <c r="E37" s="4727"/>
      <c r="F37" s="4727"/>
      <c r="G37" s="4727"/>
      <c r="H37" s="4727"/>
      <c r="I37" s="4665" t="str">
        <f>"("&amp;Ki!D24&amp;")"</f>
        <v>(0)</v>
      </c>
      <c r="J37" s="4665"/>
      <c r="K37" s="2311" t="s">
        <v>1706</v>
      </c>
      <c r="L37" s="2311"/>
      <c r="M37" s="4681">
        <f>Ki!D18</f>
        <v>0</v>
      </c>
      <c r="N37" s="4681"/>
      <c r="O37" s="2311" t="s">
        <v>1707</v>
      </c>
      <c r="P37" s="2311"/>
      <c r="Q37" s="4681">
        <f>Ki!D16</f>
        <v>0</v>
      </c>
      <c r="R37" s="4681"/>
      <c r="S37" s="2311" t="s">
        <v>1708</v>
      </c>
      <c r="T37" s="2311"/>
      <c r="U37" s="4681">
        <f>Ki!D12</f>
        <v>0</v>
      </c>
      <c r="V37" s="4681"/>
      <c r="W37" s="2311" t="s">
        <v>1709</v>
      </c>
      <c r="X37" s="2311"/>
      <c r="Y37" s="4681">
        <f>Ki!D14</f>
        <v>0</v>
      </c>
      <c r="Z37" s="4681"/>
      <c r="AA37" s="2311" t="s">
        <v>1710</v>
      </c>
      <c r="AB37" s="2311"/>
      <c r="AC37" s="4681">
        <f>Ki!D20</f>
        <v>0</v>
      </c>
      <c r="AD37" s="4681"/>
      <c r="AE37" s="2311" t="s">
        <v>1712</v>
      </c>
      <c r="AF37" s="2311"/>
      <c r="AG37" s="4681">
        <f>Ki!D22</f>
        <v>0</v>
      </c>
      <c r="AH37" s="4681"/>
      <c r="AI37" s="2296"/>
      <c r="AJ37" s="1658"/>
      <c r="AK37" s="579"/>
      <c r="AL37" s="22"/>
      <c r="AR37" s="530"/>
      <c r="AS37" s="530"/>
      <c r="AT37" s="530"/>
      <c r="AU37" s="530"/>
      <c r="AV37" s="530"/>
    </row>
    <row r="38" spans="1:48" ht="1.5" customHeight="1">
      <c r="A38" s="9"/>
      <c r="B38" s="747"/>
      <c r="C38" s="1821"/>
      <c r="D38" s="4754" t="s">
        <v>1730</v>
      </c>
      <c r="E38" s="4754"/>
      <c r="F38" s="4754"/>
      <c r="G38" s="4754"/>
      <c r="H38" s="2288"/>
      <c r="I38" s="2288"/>
      <c r="J38" s="859"/>
      <c r="K38" s="859"/>
      <c r="L38" s="859"/>
      <c r="M38" s="859"/>
      <c r="N38" s="859"/>
      <c r="O38" s="859"/>
      <c r="P38" s="859"/>
      <c r="Q38" s="859"/>
      <c r="R38" s="859"/>
      <c r="S38" s="859"/>
      <c r="T38" s="859"/>
      <c r="U38" s="859"/>
      <c r="V38" s="859"/>
      <c r="W38" s="859"/>
      <c r="X38" s="859"/>
      <c r="Y38" s="859"/>
      <c r="Z38" s="859"/>
      <c r="AA38" s="859"/>
      <c r="AB38" s="859"/>
      <c r="AC38" s="859"/>
      <c r="AD38" s="859"/>
      <c r="AE38" s="859"/>
      <c r="AF38" s="859"/>
      <c r="AG38" s="859"/>
      <c r="AH38" s="859"/>
      <c r="AI38" s="859"/>
      <c r="AJ38" s="1656"/>
      <c r="AK38" s="579"/>
      <c r="AL38" s="22"/>
      <c r="AR38" s="530"/>
      <c r="AS38" s="530"/>
      <c r="AT38" s="530"/>
      <c r="AU38" s="530"/>
      <c r="AV38" s="530"/>
    </row>
    <row r="39" spans="1:48" ht="12" customHeight="1">
      <c r="A39" s="9"/>
      <c r="B39" s="2049"/>
      <c r="C39" s="2313"/>
      <c r="D39" s="4754"/>
      <c r="E39" s="4754"/>
      <c r="F39" s="4754"/>
      <c r="G39" s="4754"/>
      <c r="H39" s="4363" t="str">
        <f>IFERROR(RIGHT(AT39,LEN(AT39)-2),"")</f>
        <v/>
      </c>
      <c r="I39" s="4363"/>
      <c r="J39" s="4363"/>
      <c r="K39" s="4363"/>
      <c r="L39" s="4363"/>
      <c r="M39" s="4363"/>
      <c r="N39" s="4363"/>
      <c r="O39" s="4363"/>
      <c r="P39" s="4363"/>
      <c r="Q39" s="4363"/>
      <c r="R39" s="4363"/>
      <c r="S39" s="4363"/>
      <c r="T39" s="4363"/>
      <c r="U39" s="4363"/>
      <c r="V39" s="4363"/>
      <c r="W39" s="4363"/>
      <c r="X39" s="4363"/>
      <c r="Y39" s="4363"/>
      <c r="Z39" s="4363"/>
      <c r="AA39" s="4363"/>
      <c r="AB39" s="4363"/>
      <c r="AC39" s="4363"/>
      <c r="AD39" s="4363"/>
      <c r="AE39" s="4363"/>
      <c r="AF39" s="4363"/>
      <c r="AG39" s="4363"/>
      <c r="AH39" s="4363"/>
      <c r="AI39" s="4363"/>
      <c r="AJ39" s="1660"/>
      <c r="AK39" s="579"/>
      <c r="AL39" s="22"/>
      <c r="AR39" s="530"/>
      <c r="AS39" s="530"/>
      <c r="AT39" s="826" t="str">
        <f>Tablas!C2140&amp;Tablas!C2141&amp;Tablas!C2142&amp;Tablas!C2143&amp;Tablas!C2144&amp;Tablas!C2145&amp;Tablas!C2146&amp;Tablas!C2147&amp;Tablas!C2148&amp;Tablas!C2149&amp;Tablas!C2150&amp;Tablas!C2151&amp;Tablas!C2152&amp;Tablas!C2153&amp;Tablas!C2154&amp;Tablas!C2155&amp;Tablas!C2156&amp;Tablas!C2157&amp;Tablas!C2158&amp;Tablas!C2159&amp;Tablas!C2160&amp;Tablas!C2161&amp;Tablas!C2162&amp;Tablas!C2163&amp;Tablas!C2164&amp;Tablas!C2165&amp;Tablas!C2166&amp;Tablas!C2167&amp;Tablas!C2168&amp;Tablas!C2169&amp;Tablas!C2170&amp;Tablas!C2171&amp;Tablas!C2172&amp;Tablas!C2173&amp;Tablas!C2174&amp;Tablas!C2175&amp;Tablas!C2176&amp;Tablas!C2177&amp;Tablas!C2178&amp;Tablas!C2179&amp;Tablas!C2180&amp;Tablas!C2181&amp;Tablas!C2182&amp;Tablas!C2183&amp;Tablas!C2184&amp;Tablas!C2185&amp;Tablas!C2186&amp;Tablas!C2187&amp;Tablas!C2188&amp;Tablas!C2189&amp;Tablas!C2190&amp;Tablas!C2191&amp;Tablas!C2192&amp;Tablas!C2193&amp;Tablas!C2194&amp;Tablas!C2195&amp;Tablas!C2196&amp;Tablas!C2197&amp;Tablas!C2198&amp;Tablas!C2199&amp;Tablas!C2200&amp;Tablas!C2201&amp;Tablas!C2202&amp;Tablas!C2203&amp;Tablas!C2204&amp;Tablas!C2205&amp;Tablas!C2206&amp;Tablas!C2207&amp;Tablas!C2208&amp;Tablas!C2209&amp;Tablas!C2210&amp;Tablas!C2211&amp;Tablas!C2212&amp;Tablas!C2213&amp;Tablas!C2214&amp;Tablas!C2224&amp;Tablas!C2215&amp;Tablas!C2216&amp;Tablas!C2217&amp;Tablas!C2218&amp;Tablas!C2219&amp;Tablas!C2220&amp;Tablas!C2221&amp;Tablas!C2222&amp;Tablas!C2223&amp;Tablas!C2224</f>
        <v/>
      </c>
      <c r="AU39" s="530"/>
      <c r="AV39" s="530"/>
    </row>
    <row r="40" spans="1:48" ht="12" customHeight="1">
      <c r="A40" s="9"/>
      <c r="B40" s="2049"/>
      <c r="C40" s="2313"/>
      <c r="D40" s="4754"/>
      <c r="E40" s="4754"/>
      <c r="F40" s="4754"/>
      <c r="G40" s="4754"/>
      <c r="H40" s="4363"/>
      <c r="I40" s="4363"/>
      <c r="J40" s="4363"/>
      <c r="K40" s="4363"/>
      <c r="L40" s="4363"/>
      <c r="M40" s="4363"/>
      <c r="N40" s="4363"/>
      <c r="O40" s="4363"/>
      <c r="P40" s="4363"/>
      <c r="Q40" s="4363"/>
      <c r="R40" s="4363"/>
      <c r="S40" s="4363"/>
      <c r="T40" s="4363"/>
      <c r="U40" s="4363"/>
      <c r="V40" s="4363"/>
      <c r="W40" s="4363"/>
      <c r="X40" s="4363"/>
      <c r="Y40" s="4363"/>
      <c r="Z40" s="4363"/>
      <c r="AA40" s="4363"/>
      <c r="AB40" s="4363"/>
      <c r="AC40" s="4363"/>
      <c r="AD40" s="4363"/>
      <c r="AE40" s="4363"/>
      <c r="AF40" s="4363"/>
      <c r="AG40" s="4363"/>
      <c r="AH40" s="4363"/>
      <c r="AI40" s="4363"/>
      <c r="AJ40" s="1660"/>
      <c r="AK40" s="579"/>
      <c r="AL40" s="23"/>
      <c r="AR40" s="530"/>
      <c r="AS40" s="530"/>
      <c r="AT40" s="530"/>
      <c r="AU40" s="530"/>
      <c r="AV40" s="530"/>
    </row>
    <row r="41" spans="1:48" ht="12" customHeight="1">
      <c r="A41" s="9"/>
      <c r="B41" s="2049"/>
      <c r="C41" s="2313"/>
      <c r="D41" s="2311"/>
      <c r="E41" s="2311"/>
      <c r="F41" s="2311"/>
      <c r="G41" s="2311"/>
      <c r="H41" s="4363"/>
      <c r="I41" s="4363"/>
      <c r="J41" s="4363"/>
      <c r="K41" s="4363"/>
      <c r="L41" s="4363"/>
      <c r="M41" s="4363"/>
      <c r="N41" s="4363"/>
      <c r="O41" s="4363"/>
      <c r="P41" s="4363"/>
      <c r="Q41" s="4363"/>
      <c r="R41" s="4363"/>
      <c r="S41" s="4363"/>
      <c r="T41" s="4363"/>
      <c r="U41" s="4363"/>
      <c r="V41" s="4363"/>
      <c r="W41" s="4363"/>
      <c r="X41" s="4363"/>
      <c r="Y41" s="4363"/>
      <c r="Z41" s="4363"/>
      <c r="AA41" s="4363"/>
      <c r="AB41" s="4363"/>
      <c r="AC41" s="4363"/>
      <c r="AD41" s="4363"/>
      <c r="AE41" s="4363"/>
      <c r="AF41" s="4363"/>
      <c r="AG41" s="4363"/>
      <c r="AH41" s="4363"/>
      <c r="AI41" s="4363"/>
      <c r="AJ41" s="1660"/>
      <c r="AK41" s="579"/>
      <c r="AL41" s="23"/>
      <c r="AR41" s="530"/>
      <c r="AS41" s="530"/>
      <c r="AT41" s="530"/>
      <c r="AU41" s="530"/>
      <c r="AV41" s="530"/>
    </row>
    <row r="42" spans="1:48" ht="1.5" customHeight="1">
      <c r="A42" s="9"/>
      <c r="B42" s="747"/>
      <c r="C42" s="1821"/>
      <c r="D42" s="4727" t="s">
        <v>1731</v>
      </c>
      <c r="E42" s="4727"/>
      <c r="F42" s="4727"/>
      <c r="G42" s="859"/>
      <c r="H42" s="859"/>
      <c r="I42" s="859"/>
      <c r="J42" s="859"/>
      <c r="K42" s="859"/>
      <c r="L42" s="859"/>
      <c r="M42" s="859"/>
      <c r="N42" s="859"/>
      <c r="O42" s="859"/>
      <c r="P42" s="859"/>
      <c r="Q42" s="859"/>
      <c r="R42" s="859"/>
      <c r="S42" s="859"/>
      <c r="T42" s="859"/>
      <c r="U42" s="859"/>
      <c r="V42" s="859"/>
      <c r="W42" s="859"/>
      <c r="X42" s="859"/>
      <c r="Y42" s="859"/>
      <c r="Z42" s="859"/>
      <c r="AA42" s="859"/>
      <c r="AB42" s="859"/>
      <c r="AC42" s="859"/>
      <c r="AD42" s="859"/>
      <c r="AE42" s="859"/>
      <c r="AF42" s="859"/>
      <c r="AG42" s="859"/>
      <c r="AH42" s="859"/>
      <c r="AI42" s="859"/>
      <c r="AJ42" s="1656"/>
      <c r="AK42" s="579"/>
      <c r="AL42" s="22"/>
      <c r="AR42" s="530"/>
      <c r="AS42" s="530"/>
      <c r="AT42" s="530"/>
      <c r="AU42" s="530"/>
      <c r="AV42" s="530"/>
    </row>
    <row r="43" spans="1:48" ht="12" customHeight="1">
      <c r="A43" s="9"/>
      <c r="B43" s="2049"/>
      <c r="C43" s="2313"/>
      <c r="D43" s="4727"/>
      <c r="E43" s="4727"/>
      <c r="F43" s="4727"/>
      <c r="G43" s="4363" t="str">
        <f>Ki!AN26</f>
        <v/>
      </c>
      <c r="H43" s="4363"/>
      <c r="I43" s="4363"/>
      <c r="J43" s="4363"/>
      <c r="K43" s="4363"/>
      <c r="L43" s="4363"/>
      <c r="M43" s="4363"/>
      <c r="N43" s="4363"/>
      <c r="O43" s="4363"/>
      <c r="P43" s="4363"/>
      <c r="Q43" s="4363"/>
      <c r="R43" s="4363"/>
      <c r="S43" s="4363"/>
      <c r="T43" s="4363"/>
      <c r="U43" s="4363"/>
      <c r="V43" s="4363"/>
      <c r="W43" s="4363"/>
      <c r="X43" s="4363"/>
      <c r="Y43" s="4363"/>
      <c r="Z43" s="4363"/>
      <c r="AA43" s="4363"/>
      <c r="AB43" s="4363"/>
      <c r="AC43" s="4363"/>
      <c r="AD43" s="4363"/>
      <c r="AE43" s="4363"/>
      <c r="AF43" s="4363"/>
      <c r="AG43" s="4363"/>
      <c r="AH43" s="4363"/>
      <c r="AI43" s="4363"/>
      <c r="AJ43" s="1660"/>
      <c r="AK43" s="579"/>
      <c r="AL43" s="23"/>
      <c r="AR43" s="530"/>
      <c r="AS43" s="530"/>
      <c r="AT43" s="530"/>
      <c r="AU43" s="530"/>
      <c r="AV43" s="530"/>
    </row>
    <row r="44" spans="1:48" ht="12" customHeight="1">
      <c r="A44" s="9"/>
      <c r="B44" s="2049"/>
      <c r="C44" s="2313"/>
      <c r="D44" s="2311"/>
      <c r="E44" s="2311"/>
      <c r="F44" s="2311"/>
      <c r="G44" s="4363"/>
      <c r="H44" s="4363"/>
      <c r="I44" s="4363"/>
      <c r="J44" s="4363"/>
      <c r="K44" s="4363"/>
      <c r="L44" s="4363"/>
      <c r="M44" s="4363"/>
      <c r="N44" s="4363"/>
      <c r="O44" s="4363"/>
      <c r="P44" s="4363"/>
      <c r="Q44" s="4363"/>
      <c r="R44" s="4363"/>
      <c r="S44" s="4363"/>
      <c r="T44" s="4363"/>
      <c r="U44" s="4363"/>
      <c r="V44" s="4363"/>
      <c r="W44" s="4363"/>
      <c r="X44" s="4363"/>
      <c r="Y44" s="4363"/>
      <c r="Z44" s="4363"/>
      <c r="AA44" s="4363"/>
      <c r="AB44" s="4363"/>
      <c r="AC44" s="4363"/>
      <c r="AD44" s="4363"/>
      <c r="AE44" s="4363"/>
      <c r="AF44" s="4363"/>
      <c r="AG44" s="4363"/>
      <c r="AH44" s="4363"/>
      <c r="AI44" s="4363"/>
      <c r="AJ44" s="1660"/>
      <c r="AK44" s="579"/>
      <c r="AL44" s="23"/>
      <c r="AR44" s="530"/>
      <c r="AS44" s="530"/>
      <c r="AT44" s="530"/>
      <c r="AU44" s="530"/>
      <c r="AV44" s="530"/>
    </row>
    <row r="45" spans="1:48" ht="12" customHeight="1">
      <c r="A45" s="9"/>
      <c r="B45" s="2049"/>
      <c r="C45" s="2313"/>
      <c r="D45" s="1648"/>
      <c r="E45" s="1648"/>
      <c r="F45" s="1648"/>
      <c r="G45" s="4680"/>
      <c r="H45" s="4680"/>
      <c r="I45" s="4680"/>
      <c r="J45" s="4680"/>
      <c r="K45" s="4680"/>
      <c r="L45" s="4680"/>
      <c r="M45" s="4680"/>
      <c r="N45" s="4680"/>
      <c r="O45" s="4680"/>
      <c r="P45" s="4680"/>
      <c r="Q45" s="4680"/>
      <c r="R45" s="4680"/>
      <c r="S45" s="4680"/>
      <c r="T45" s="4680"/>
      <c r="U45" s="4680"/>
      <c r="V45" s="4680"/>
      <c r="W45" s="4680"/>
      <c r="X45" s="4680"/>
      <c r="Y45" s="4680"/>
      <c r="Z45" s="4680"/>
      <c r="AA45" s="4680"/>
      <c r="AB45" s="4680"/>
      <c r="AC45" s="4680"/>
      <c r="AD45" s="4680"/>
      <c r="AE45" s="4680"/>
      <c r="AF45" s="4680"/>
      <c r="AG45" s="4680"/>
      <c r="AH45" s="4680"/>
      <c r="AI45" s="4680"/>
      <c r="AJ45" s="1660"/>
      <c r="AK45" s="579"/>
      <c r="AL45" s="23"/>
    </row>
    <row r="46" spans="1:48" ht="2.25" customHeight="1">
      <c r="A46" s="9"/>
      <c r="B46" s="2049"/>
      <c r="C46" s="2313"/>
      <c r="D46" s="2311"/>
      <c r="E46" s="2311"/>
      <c r="F46" s="2311"/>
      <c r="G46" s="2281"/>
      <c r="H46" s="2281"/>
      <c r="I46" s="2281"/>
      <c r="J46" s="2281"/>
      <c r="K46" s="2281"/>
      <c r="L46" s="2281"/>
      <c r="M46" s="2281"/>
      <c r="N46" s="2281"/>
      <c r="O46" s="2281"/>
      <c r="P46" s="2281"/>
      <c r="Q46" s="2281"/>
      <c r="R46" s="2281"/>
      <c r="S46" s="2281"/>
      <c r="T46" s="2281"/>
      <c r="U46" s="2281"/>
      <c r="V46" s="2281"/>
      <c r="W46" s="2281"/>
      <c r="X46" s="2281"/>
      <c r="Y46" s="2281"/>
      <c r="Z46" s="2281"/>
      <c r="AA46" s="2281"/>
      <c r="AB46" s="2281"/>
      <c r="AC46" s="2281"/>
      <c r="AD46" s="2281"/>
      <c r="AE46" s="2281"/>
      <c r="AF46" s="2281"/>
      <c r="AG46" s="2281"/>
      <c r="AH46" s="2281"/>
      <c r="AI46" s="2281"/>
      <c r="AJ46" s="1660"/>
      <c r="AK46" s="579"/>
      <c r="AL46" s="23"/>
      <c r="AT46" s="2601"/>
      <c r="AU46" s="2601"/>
    </row>
    <row r="47" spans="1:48" ht="1.5" customHeight="1" thickBot="1">
      <c r="A47" s="9"/>
      <c r="B47" s="747"/>
      <c r="C47" s="1821"/>
      <c r="D47" s="859"/>
      <c r="E47" s="859"/>
      <c r="F47" s="859"/>
      <c r="G47" s="859"/>
      <c r="H47" s="859"/>
      <c r="I47" s="859"/>
      <c r="J47" s="859"/>
      <c r="K47" s="859"/>
      <c r="L47" s="859"/>
      <c r="M47" s="859"/>
      <c r="N47" s="859"/>
      <c r="O47" s="859"/>
      <c r="P47" s="859"/>
      <c r="Q47" s="859"/>
      <c r="R47" s="859"/>
      <c r="S47" s="859"/>
      <c r="T47" s="859"/>
      <c r="U47" s="859"/>
      <c r="V47" s="859"/>
      <c r="W47" s="859"/>
      <c r="X47" s="859"/>
      <c r="Y47" s="859"/>
      <c r="Z47" s="859"/>
      <c r="AA47" s="859"/>
      <c r="AB47" s="859"/>
      <c r="AC47" s="859"/>
      <c r="AD47" s="859"/>
      <c r="AE47" s="859"/>
      <c r="AF47" s="859"/>
      <c r="AG47" s="859"/>
      <c r="AH47" s="859"/>
      <c r="AI47" s="859"/>
      <c r="AJ47" s="1656"/>
      <c r="AK47" s="579"/>
      <c r="AL47" s="22"/>
      <c r="AT47" s="2601"/>
      <c r="AU47" s="2601"/>
    </row>
    <row r="48" spans="1:48" ht="12" customHeight="1">
      <c r="A48" s="9"/>
      <c r="B48" s="2049"/>
      <c r="C48" s="2313"/>
      <c r="D48" s="2315" t="s">
        <v>9951</v>
      </c>
      <c r="E48" s="859"/>
      <c r="F48" s="859"/>
      <c r="G48" s="2508"/>
      <c r="H48" s="859"/>
      <c r="I48" s="2508"/>
      <c r="J48" s="4750" t="str">
        <f>IF(Místicos!P12=Místicos!Q12,Místicos!P12,Místicos!P12&amp;" Ofensiva"&amp;", "&amp;Místicos!Q12&amp;" Defensiva")&amp;IF(OR(Místicos!BA11,Místicos!BB11,Místicos!BC11),". "&amp;Místicos!AT10,"")</f>
        <v>0</v>
      </c>
      <c r="K48" s="4750"/>
      <c r="L48" s="4750"/>
      <c r="M48" s="4750"/>
      <c r="N48" s="4750"/>
      <c r="O48" s="4750"/>
      <c r="P48" s="4750"/>
      <c r="Q48" s="4750"/>
      <c r="R48" s="4750"/>
      <c r="S48" s="4750"/>
      <c r="T48" s="2505"/>
      <c r="U48" s="2504" t="s">
        <v>1735</v>
      </c>
      <c r="V48" s="4681">
        <f>IF(AND(Místicos!AT10="Onmyodo",SUM(Místicos!$AW$64:$AW$74)&gt;0),Místicos!K18-SUM(Místicos!$AW$64:$AW$74)&amp;" ("&amp;Místicos!K18&amp;")",Místicos!K18)</f>
        <v>0</v>
      </c>
      <c r="W48" s="4681"/>
      <c r="X48" s="4681"/>
      <c r="Y48" s="4681"/>
      <c r="Z48" s="2509"/>
      <c r="AA48" s="859"/>
      <c r="AB48" s="859"/>
      <c r="AC48" s="2504" t="s">
        <v>9950</v>
      </c>
      <c r="AD48" s="4681">
        <f>IF(Místicos!J12&lt;&gt;Místicos!I12,Místicos!J12&amp;" ("&amp;Místicos!I12&amp;")",Místicos!J12)</f>
        <v>0</v>
      </c>
      <c r="AE48" s="4681"/>
      <c r="AF48" s="4681"/>
      <c r="AG48" s="4681"/>
      <c r="AH48" s="4681"/>
      <c r="AI48" s="4681"/>
      <c r="AJ48" s="1659"/>
      <c r="AK48" s="579"/>
      <c r="AL48" s="23"/>
      <c r="AN48" s="4352" t="s">
        <v>1372</v>
      </c>
      <c r="AO48" s="4317"/>
      <c r="AP48" s="4318"/>
      <c r="AT48" s="2601"/>
      <c r="AU48" s="2601"/>
    </row>
    <row r="49" spans="1:47" ht="1.5" customHeight="1">
      <c r="A49" s="9"/>
      <c r="B49" s="747"/>
      <c r="C49" s="1821"/>
      <c r="D49" s="859"/>
      <c r="E49" s="2315"/>
      <c r="F49" s="2315"/>
      <c r="G49" s="2315"/>
      <c r="H49" s="2315"/>
      <c r="I49" s="2315"/>
      <c r="J49" s="859"/>
      <c r="K49" s="859"/>
      <c r="L49" s="859"/>
      <c r="M49" s="859"/>
      <c r="N49" s="859"/>
      <c r="O49" s="859"/>
      <c r="P49" s="859"/>
      <c r="Q49" s="859"/>
      <c r="R49" s="859"/>
      <c r="S49" s="859"/>
      <c r="T49" s="859"/>
      <c r="U49" s="859"/>
      <c r="V49" s="859"/>
      <c r="W49" s="859"/>
      <c r="X49" s="859"/>
      <c r="Y49" s="859"/>
      <c r="Z49" s="859"/>
      <c r="AA49" s="859"/>
      <c r="AB49" s="859"/>
      <c r="AC49" s="859"/>
      <c r="AD49" s="859"/>
      <c r="AE49" s="859"/>
      <c r="AF49" s="859"/>
      <c r="AG49" s="859"/>
      <c r="AH49" s="859"/>
      <c r="AI49" s="859"/>
      <c r="AJ49" s="1656"/>
      <c r="AK49" s="579"/>
      <c r="AL49" s="22"/>
      <c r="AN49" s="2519"/>
      <c r="AO49" s="2483"/>
      <c r="AP49" s="2484"/>
      <c r="AT49" s="2601"/>
      <c r="AU49" s="2601"/>
    </row>
    <row r="50" spans="1:47" ht="12" customHeight="1">
      <c r="A50" s="9"/>
      <c r="B50" s="748"/>
      <c r="C50" s="2314"/>
      <c r="D50" s="2295" t="s">
        <v>1732</v>
      </c>
      <c r="E50" s="859"/>
      <c r="F50" s="4749">
        <f>Tablas!H1200</f>
        <v>0</v>
      </c>
      <c r="G50" s="4749"/>
      <c r="H50" s="4749"/>
      <c r="I50" s="4749"/>
      <c r="J50" s="4749"/>
      <c r="K50" s="4749"/>
      <c r="L50" s="4749"/>
      <c r="M50" s="4749"/>
      <c r="N50" s="4749"/>
      <c r="O50" s="2507"/>
      <c r="P50" s="859"/>
      <c r="Q50" s="2503"/>
      <c r="R50" s="2504" t="s">
        <v>1733</v>
      </c>
      <c r="S50" s="4681">
        <f>Místicos!M26</f>
        <v>0</v>
      </c>
      <c r="T50" s="4681"/>
      <c r="U50" s="859"/>
      <c r="V50" s="2503"/>
      <c r="W50" s="2504" t="s">
        <v>1736</v>
      </c>
      <c r="X50" s="4681">
        <f>Místicos!M27</f>
        <v>0</v>
      </c>
      <c r="Y50" s="4681"/>
      <c r="Z50" s="859"/>
      <c r="AA50" s="2504" t="s">
        <v>1734</v>
      </c>
      <c r="AB50" s="4681">
        <f>Místicos!M28</f>
        <v>0</v>
      </c>
      <c r="AC50" s="4681"/>
      <c r="AD50" s="859"/>
      <c r="AE50" s="859"/>
      <c r="AF50" s="859"/>
      <c r="AG50" s="2504" t="s">
        <v>1737</v>
      </c>
      <c r="AH50" s="4681">
        <f>Místicos!M29</f>
        <v>0</v>
      </c>
      <c r="AI50" s="4681"/>
      <c r="AJ50" s="1659"/>
      <c r="AK50" s="579"/>
      <c r="AL50" s="23"/>
      <c r="AN50" s="4667" t="s">
        <v>8085</v>
      </c>
      <c r="AO50" s="4668"/>
      <c r="AP50" s="4669" t="s">
        <v>2422</v>
      </c>
      <c r="AT50" s="2601"/>
      <c r="AU50" s="2601"/>
    </row>
    <row r="51" spans="1:47" ht="1.5" customHeight="1">
      <c r="A51" s="9"/>
      <c r="B51" s="747"/>
      <c r="C51" s="1821"/>
      <c r="D51" s="4753" t="s">
        <v>9952</v>
      </c>
      <c r="E51" s="4753"/>
      <c r="F51" s="4753"/>
      <c r="G51" s="2298"/>
      <c r="H51" s="2298"/>
      <c r="I51" s="859"/>
      <c r="J51" s="859"/>
      <c r="K51" s="859"/>
      <c r="L51" s="859"/>
      <c r="M51" s="859"/>
      <c r="N51" s="859"/>
      <c r="O51" s="859"/>
      <c r="P51" s="859"/>
      <c r="Q51" s="859"/>
      <c r="R51" s="859"/>
      <c r="S51" s="859"/>
      <c r="T51" s="859"/>
      <c r="U51" s="859"/>
      <c r="V51" s="859"/>
      <c r="W51" s="859"/>
      <c r="X51" s="859"/>
      <c r="Y51" s="859"/>
      <c r="Z51" s="859"/>
      <c r="AA51" s="859"/>
      <c r="AB51" s="859"/>
      <c r="AC51" s="859"/>
      <c r="AD51" s="859"/>
      <c r="AE51" s="859"/>
      <c r="AF51" s="859"/>
      <c r="AG51" s="859"/>
      <c r="AH51" s="859"/>
      <c r="AI51" s="859"/>
      <c r="AJ51" s="1656"/>
      <c r="AK51" s="579"/>
      <c r="AL51" s="22"/>
      <c r="AN51" s="4667"/>
      <c r="AO51" s="4668"/>
      <c r="AP51" s="4669"/>
      <c r="AT51" s="2601"/>
      <c r="AU51" s="2601"/>
    </row>
    <row r="52" spans="1:47" ht="12" customHeight="1">
      <c r="A52" s="9"/>
      <c r="B52" s="748"/>
      <c r="C52" s="2314"/>
      <c r="D52" s="4753"/>
      <c r="E52" s="4753"/>
      <c r="F52" s="4753"/>
      <c r="G52" s="4751" t="str">
        <f>IFERROR(MID(Tablas!G2182,3,LEN(Tablas!G2182)),"")</f>
        <v/>
      </c>
      <c r="H52" s="4751"/>
      <c r="I52" s="4751"/>
      <c r="J52" s="4751"/>
      <c r="K52" s="4751"/>
      <c r="L52" s="4751"/>
      <c r="M52" s="4751"/>
      <c r="N52" s="4751"/>
      <c r="O52" s="4751"/>
      <c r="P52" s="4751"/>
      <c r="Q52" s="4751"/>
      <c r="R52" s="4751"/>
      <c r="S52" s="4751"/>
      <c r="T52" s="4751"/>
      <c r="U52" s="4751"/>
      <c r="V52" s="4751"/>
      <c r="W52" s="4751"/>
      <c r="X52" s="4751"/>
      <c r="Y52" s="4751"/>
      <c r="Z52" s="4751"/>
      <c r="AA52" s="4751"/>
      <c r="AB52" s="4751"/>
      <c r="AC52" s="4751"/>
      <c r="AD52" s="4751"/>
      <c r="AE52" s="4751"/>
      <c r="AF52" s="4751"/>
      <c r="AG52" s="4751"/>
      <c r="AH52" s="4751"/>
      <c r="AI52" s="4751"/>
      <c r="AJ52" s="1658"/>
      <c r="AK52" s="579"/>
      <c r="AL52" s="23"/>
      <c r="AN52" s="4667"/>
      <c r="AO52" s="4668"/>
      <c r="AP52" s="4669"/>
      <c r="AT52" s="2601"/>
      <c r="AU52" s="2601"/>
    </row>
    <row r="53" spans="1:47" ht="1.5" customHeight="1">
      <c r="A53" s="9"/>
      <c r="B53" s="747"/>
      <c r="C53" s="1821"/>
      <c r="D53" s="4753"/>
      <c r="E53" s="4753"/>
      <c r="F53" s="4753"/>
      <c r="G53" s="4751"/>
      <c r="H53" s="4751"/>
      <c r="I53" s="4751"/>
      <c r="J53" s="4751"/>
      <c r="K53" s="4751"/>
      <c r="L53" s="4751"/>
      <c r="M53" s="4751"/>
      <c r="N53" s="4751"/>
      <c r="O53" s="4751"/>
      <c r="P53" s="4751"/>
      <c r="Q53" s="4751"/>
      <c r="R53" s="4751"/>
      <c r="S53" s="4751"/>
      <c r="T53" s="4751"/>
      <c r="U53" s="4751"/>
      <c r="V53" s="4751"/>
      <c r="W53" s="4751"/>
      <c r="X53" s="4751"/>
      <c r="Y53" s="4751"/>
      <c r="Z53" s="4751"/>
      <c r="AA53" s="4751"/>
      <c r="AB53" s="4751"/>
      <c r="AC53" s="4751"/>
      <c r="AD53" s="4751"/>
      <c r="AE53" s="4751"/>
      <c r="AF53" s="4751"/>
      <c r="AG53" s="4751"/>
      <c r="AH53" s="4751"/>
      <c r="AI53" s="4751"/>
      <c r="AJ53" s="1656"/>
      <c r="AK53" s="579"/>
      <c r="AL53" s="22"/>
      <c r="AN53" s="4667"/>
      <c r="AO53" s="4668"/>
      <c r="AP53" s="2520"/>
      <c r="AT53" s="2601"/>
      <c r="AU53" s="2601"/>
    </row>
    <row r="54" spans="1:47" ht="12" customHeight="1">
      <c r="A54" s="9"/>
      <c r="B54" s="748"/>
      <c r="C54" s="2314"/>
      <c r="D54" s="4753"/>
      <c r="E54" s="4753"/>
      <c r="F54" s="4753"/>
      <c r="G54" s="4751"/>
      <c r="H54" s="4751"/>
      <c r="I54" s="4751"/>
      <c r="J54" s="4751"/>
      <c r="K54" s="4751"/>
      <c r="L54" s="4751"/>
      <c r="M54" s="4751"/>
      <c r="N54" s="4751"/>
      <c r="O54" s="4751"/>
      <c r="P54" s="4751"/>
      <c r="Q54" s="4751"/>
      <c r="R54" s="4751"/>
      <c r="S54" s="4751"/>
      <c r="T54" s="4751"/>
      <c r="U54" s="4751"/>
      <c r="V54" s="4751"/>
      <c r="W54" s="4751"/>
      <c r="X54" s="4751"/>
      <c r="Y54" s="4751"/>
      <c r="Z54" s="4751"/>
      <c r="AA54" s="4751"/>
      <c r="AB54" s="4751"/>
      <c r="AC54" s="4751"/>
      <c r="AD54" s="4751"/>
      <c r="AE54" s="4751"/>
      <c r="AF54" s="4751"/>
      <c r="AG54" s="4751"/>
      <c r="AH54" s="4751"/>
      <c r="AI54" s="4751"/>
      <c r="AJ54" s="1660"/>
      <c r="AK54" s="579"/>
      <c r="AL54" s="23"/>
      <c r="AN54" s="4744" t="s">
        <v>8288</v>
      </c>
      <c r="AO54" s="4745"/>
      <c r="AP54" s="4670" t="s">
        <v>2422</v>
      </c>
      <c r="AT54" s="2601"/>
      <c r="AU54" s="2601"/>
    </row>
    <row r="55" spans="1:47" ht="12" customHeight="1">
      <c r="A55" s="9"/>
      <c r="B55" s="748"/>
      <c r="C55" s="2314"/>
      <c r="D55" s="2510"/>
      <c r="E55" s="2510"/>
      <c r="F55" s="2510"/>
      <c r="G55" s="4751"/>
      <c r="H55" s="4751"/>
      <c r="I55" s="4751"/>
      <c r="J55" s="4751"/>
      <c r="K55" s="4751"/>
      <c r="L55" s="4751"/>
      <c r="M55" s="4751"/>
      <c r="N55" s="4751"/>
      <c r="O55" s="4751"/>
      <c r="P55" s="4751"/>
      <c r="Q55" s="4751"/>
      <c r="R55" s="4751"/>
      <c r="S55" s="4751"/>
      <c r="T55" s="4751"/>
      <c r="U55" s="4751"/>
      <c r="V55" s="4751"/>
      <c r="W55" s="4751"/>
      <c r="X55" s="4751"/>
      <c r="Y55" s="4751"/>
      <c r="Z55" s="4751"/>
      <c r="AA55" s="4751"/>
      <c r="AB55" s="4751"/>
      <c r="AC55" s="4751"/>
      <c r="AD55" s="4751"/>
      <c r="AE55" s="4751"/>
      <c r="AF55" s="4751"/>
      <c r="AG55" s="4751"/>
      <c r="AH55" s="4751"/>
      <c r="AI55" s="4751"/>
      <c r="AJ55" s="1660"/>
      <c r="AK55" s="579"/>
      <c r="AL55" s="23"/>
      <c r="AN55" s="4744"/>
      <c r="AO55" s="4745"/>
      <c r="AP55" s="4670"/>
      <c r="AT55" s="2601"/>
      <c r="AU55" s="2601"/>
    </row>
    <row r="56" spans="1:47" ht="12" customHeight="1">
      <c r="A56" s="9"/>
      <c r="B56" s="443"/>
      <c r="C56" s="2312"/>
      <c r="D56" s="2505"/>
      <c r="E56" s="2505"/>
      <c r="F56" s="2505"/>
      <c r="G56" s="4751"/>
      <c r="H56" s="4751"/>
      <c r="I56" s="4751"/>
      <c r="J56" s="4751"/>
      <c r="K56" s="4751"/>
      <c r="L56" s="4751"/>
      <c r="M56" s="4751"/>
      <c r="N56" s="4751"/>
      <c r="O56" s="4751"/>
      <c r="P56" s="4751"/>
      <c r="Q56" s="4751"/>
      <c r="R56" s="4751"/>
      <c r="S56" s="4751"/>
      <c r="T56" s="4751"/>
      <c r="U56" s="4751"/>
      <c r="V56" s="4751"/>
      <c r="W56" s="4751"/>
      <c r="X56" s="4751"/>
      <c r="Y56" s="4751"/>
      <c r="Z56" s="4751"/>
      <c r="AA56" s="4751"/>
      <c r="AB56" s="4751"/>
      <c r="AC56" s="4751"/>
      <c r="AD56" s="4751"/>
      <c r="AE56" s="4751"/>
      <c r="AF56" s="4751"/>
      <c r="AG56" s="4751"/>
      <c r="AH56" s="4751"/>
      <c r="AI56" s="4751"/>
      <c r="AJ56" s="1660"/>
      <c r="AK56" s="579"/>
      <c r="AL56" s="23"/>
      <c r="AN56" s="4667" t="s">
        <v>1545</v>
      </c>
      <c r="AO56" s="4668"/>
      <c r="AP56" s="4669" t="s">
        <v>2422</v>
      </c>
      <c r="AT56" s="2601"/>
      <c r="AU56" s="2601"/>
    </row>
    <row r="57" spans="1:47" ht="12" customHeight="1" thickBot="1">
      <c r="A57" s="9"/>
      <c r="B57" s="443"/>
      <c r="C57" s="2312"/>
      <c r="D57" s="2506"/>
      <c r="E57" s="2506"/>
      <c r="F57" s="2506"/>
      <c r="G57" s="4752"/>
      <c r="H57" s="4752"/>
      <c r="I57" s="4752"/>
      <c r="J57" s="4752"/>
      <c r="K57" s="4752"/>
      <c r="L57" s="4752"/>
      <c r="M57" s="4752"/>
      <c r="N57" s="4752"/>
      <c r="O57" s="4752"/>
      <c r="P57" s="4752"/>
      <c r="Q57" s="4752"/>
      <c r="R57" s="4752"/>
      <c r="S57" s="4752"/>
      <c r="T57" s="4752"/>
      <c r="U57" s="4752"/>
      <c r="V57" s="4752"/>
      <c r="W57" s="4752"/>
      <c r="X57" s="4752"/>
      <c r="Y57" s="4752"/>
      <c r="Z57" s="4752"/>
      <c r="AA57" s="4752"/>
      <c r="AB57" s="4752"/>
      <c r="AC57" s="4752"/>
      <c r="AD57" s="4752"/>
      <c r="AE57" s="4752"/>
      <c r="AF57" s="4752"/>
      <c r="AG57" s="4752"/>
      <c r="AH57" s="4752"/>
      <c r="AI57" s="4752"/>
      <c r="AJ57" s="1660"/>
      <c r="AK57" s="579"/>
      <c r="AL57" s="23"/>
      <c r="AN57" s="4746"/>
      <c r="AO57" s="4747"/>
      <c r="AP57" s="4748"/>
      <c r="AT57" s="2601"/>
      <c r="AU57" s="2601"/>
    </row>
    <row r="58" spans="1:47" ht="2.25" customHeight="1">
      <c r="A58" s="9"/>
      <c r="B58" s="443"/>
      <c r="C58" s="2312"/>
      <c r="D58" s="2311"/>
      <c r="E58" s="2311"/>
      <c r="F58" s="2311"/>
      <c r="G58" s="2311"/>
      <c r="H58" s="2311"/>
      <c r="I58" s="2281"/>
      <c r="J58" s="2281"/>
      <c r="K58" s="2281"/>
      <c r="L58" s="2281"/>
      <c r="M58" s="2281"/>
      <c r="N58" s="2281"/>
      <c r="O58" s="2281"/>
      <c r="P58" s="2281"/>
      <c r="Q58" s="2281"/>
      <c r="R58" s="2281"/>
      <c r="S58" s="2281"/>
      <c r="T58" s="2281"/>
      <c r="U58" s="2281"/>
      <c r="V58" s="2281"/>
      <c r="W58" s="2281"/>
      <c r="X58" s="2281"/>
      <c r="Y58" s="2281"/>
      <c r="Z58" s="2281"/>
      <c r="AA58" s="2281"/>
      <c r="AB58" s="2281"/>
      <c r="AC58" s="2281"/>
      <c r="AD58" s="2281"/>
      <c r="AE58" s="2281"/>
      <c r="AF58" s="2281"/>
      <c r="AG58" s="2281"/>
      <c r="AH58" s="2281"/>
      <c r="AI58" s="2281"/>
      <c r="AJ58" s="1660"/>
      <c r="AK58" s="579"/>
      <c r="AL58" s="23"/>
      <c r="AT58" s="2601"/>
      <c r="AU58" s="2601"/>
    </row>
    <row r="59" spans="1:47" ht="1.5" customHeight="1">
      <c r="A59" s="9"/>
      <c r="B59" s="747"/>
      <c r="C59" s="1821"/>
      <c r="D59" s="859"/>
      <c r="E59" s="859"/>
      <c r="F59" s="859"/>
      <c r="G59" s="859"/>
      <c r="H59" s="859"/>
      <c r="I59" s="859"/>
      <c r="J59" s="859"/>
      <c r="K59" s="859"/>
      <c r="L59" s="859"/>
      <c r="M59" s="859"/>
      <c r="N59" s="859"/>
      <c r="O59" s="859"/>
      <c r="P59" s="859"/>
      <c r="Q59" s="859"/>
      <c r="R59" s="4725" t="s">
        <v>1740</v>
      </c>
      <c r="S59" s="4725"/>
      <c r="T59" s="4725"/>
      <c r="U59" s="4725"/>
      <c r="V59" s="4725"/>
      <c r="W59" s="4725"/>
      <c r="X59" s="859"/>
      <c r="Y59" s="859"/>
      <c r="Z59" s="859"/>
      <c r="AA59" s="859"/>
      <c r="AB59" s="859"/>
      <c r="AC59" s="859"/>
      <c r="AD59" s="859"/>
      <c r="AE59" s="859"/>
      <c r="AF59" s="859"/>
      <c r="AG59" s="859"/>
      <c r="AH59" s="859"/>
      <c r="AI59" s="859"/>
      <c r="AJ59" s="1656"/>
      <c r="AK59" s="579"/>
      <c r="AL59" s="22"/>
      <c r="AT59" s="2601"/>
      <c r="AU59" s="2601"/>
    </row>
    <row r="60" spans="1:47" ht="12" customHeight="1">
      <c r="A60" s="9"/>
      <c r="B60" s="748"/>
      <c r="C60" s="2314"/>
      <c r="D60" s="2299" t="s">
        <v>1738</v>
      </c>
      <c r="E60" s="2299"/>
      <c r="F60" s="2299"/>
      <c r="G60" s="2299"/>
      <c r="H60" s="4706">
        <f>Psíquicos!I17</f>
        <v>0</v>
      </c>
      <c r="I60" s="4706"/>
      <c r="J60" s="4706"/>
      <c r="K60" s="4706"/>
      <c r="L60" s="2315" t="s">
        <v>1739</v>
      </c>
      <c r="M60" s="2315"/>
      <c r="N60" s="2315"/>
      <c r="O60" s="4706">
        <f>Psíquicos!M13</f>
        <v>0</v>
      </c>
      <c r="P60" s="4706"/>
      <c r="Q60" s="4706"/>
      <c r="R60" s="4725"/>
      <c r="S60" s="4725"/>
      <c r="T60" s="4725"/>
      <c r="U60" s="4725"/>
      <c r="V60" s="4725"/>
      <c r="W60" s="4725"/>
      <c r="X60" s="4726" t="str">
        <f>IFERROR(RIGHT(AT60,LEN(AT60)-2),"")</f>
        <v/>
      </c>
      <c r="Y60" s="4726"/>
      <c r="Z60" s="4726"/>
      <c r="AA60" s="4726"/>
      <c r="AB60" s="4726"/>
      <c r="AC60" s="4726"/>
      <c r="AD60" s="4726"/>
      <c r="AE60" s="4726"/>
      <c r="AF60" s="4726"/>
      <c r="AG60" s="4726"/>
      <c r="AH60" s="4726"/>
      <c r="AI60" s="4726"/>
      <c r="AJ60" s="1659"/>
      <c r="AK60" s="579"/>
      <c r="AL60" s="23"/>
      <c r="AT60" s="2601" t="str">
        <f>IF(Psíquicos!C42="","",", "&amp;Psíquicos!C42)&amp;IF(Psíquicos!C44="","",", "&amp;Psíquicos!C44)&amp;IF(Psíquicos!C46="","",", "&amp;Psíquicos!C46)&amp;IF(Psíquicos!C48="","",", "&amp;Psíquicos!C48)&amp;IF(Psíquicos!C50="","",", "&amp;Psíquicos!C50)</f>
        <v/>
      </c>
      <c r="AU60" s="2601"/>
    </row>
    <row r="61" spans="1:47" ht="1.5" customHeight="1">
      <c r="A61" s="9"/>
      <c r="B61" s="747"/>
      <c r="C61" s="1821"/>
      <c r="D61" s="859"/>
      <c r="E61" s="859"/>
      <c r="F61" s="859"/>
      <c r="G61" s="859"/>
      <c r="H61" s="859"/>
      <c r="I61" s="859"/>
      <c r="J61" s="859"/>
      <c r="K61" s="859"/>
      <c r="L61" s="859"/>
      <c r="M61" s="859"/>
      <c r="N61" s="859"/>
      <c r="O61" s="859"/>
      <c r="P61" s="859"/>
      <c r="Q61" s="859"/>
      <c r="R61" s="859"/>
      <c r="S61" s="859"/>
      <c r="T61" s="859"/>
      <c r="U61" s="859"/>
      <c r="V61" s="859"/>
      <c r="W61" s="859"/>
      <c r="X61" s="4726"/>
      <c r="Y61" s="4726"/>
      <c r="Z61" s="4726"/>
      <c r="AA61" s="4726"/>
      <c r="AB61" s="4726"/>
      <c r="AC61" s="4726"/>
      <c r="AD61" s="4726"/>
      <c r="AE61" s="4726"/>
      <c r="AF61" s="4726"/>
      <c r="AG61" s="4726"/>
      <c r="AH61" s="4726"/>
      <c r="AI61" s="4726"/>
      <c r="AJ61" s="1656"/>
      <c r="AK61" s="579"/>
      <c r="AL61" s="22"/>
      <c r="AT61" s="2601"/>
      <c r="AU61" s="2601"/>
    </row>
    <row r="62" spans="1:47" ht="12" customHeight="1">
      <c r="A62" s="9"/>
      <c r="B62" s="748"/>
      <c r="C62" s="2314"/>
      <c r="D62" s="2299" t="s">
        <v>1741</v>
      </c>
      <c r="E62" s="2299"/>
      <c r="F62" s="2299"/>
      <c r="G62" s="2299"/>
      <c r="H62" s="2299"/>
      <c r="I62" s="2299"/>
      <c r="J62" s="4363">
        <f>Psíquicos!H11</f>
        <v>0</v>
      </c>
      <c r="K62" s="4363"/>
      <c r="L62" s="4363"/>
      <c r="M62" s="4363"/>
      <c r="N62" s="4363"/>
      <c r="O62" s="4363"/>
      <c r="P62" s="4363"/>
      <c r="Q62" s="4363"/>
      <c r="R62" s="4363"/>
      <c r="S62" s="4363"/>
      <c r="T62" s="4363"/>
      <c r="U62" s="4363"/>
      <c r="V62" s="4363"/>
      <c r="W62" s="4363"/>
      <c r="X62" s="4726"/>
      <c r="Y62" s="4726"/>
      <c r="Z62" s="4726"/>
      <c r="AA62" s="4726"/>
      <c r="AB62" s="4726"/>
      <c r="AC62" s="4726"/>
      <c r="AD62" s="4726"/>
      <c r="AE62" s="4726"/>
      <c r="AF62" s="4726"/>
      <c r="AG62" s="4726"/>
      <c r="AH62" s="4726"/>
      <c r="AI62" s="4726"/>
      <c r="AJ62" s="1659"/>
      <c r="AK62" s="579"/>
      <c r="AL62" s="23"/>
      <c r="AT62" s="2601"/>
      <c r="AU62" s="2601"/>
    </row>
    <row r="63" spans="1:47" ht="1.5" customHeight="1">
      <c r="A63" s="9"/>
      <c r="B63" s="747"/>
      <c r="C63" s="1821"/>
      <c r="D63" s="859"/>
      <c r="E63" s="859"/>
      <c r="F63" s="859"/>
      <c r="G63" s="859"/>
      <c r="H63" s="859"/>
      <c r="I63" s="859"/>
      <c r="J63" s="859"/>
      <c r="K63" s="859"/>
      <c r="L63" s="859"/>
      <c r="M63" s="859"/>
      <c r="N63" s="859"/>
      <c r="O63" s="859"/>
      <c r="P63" s="859"/>
      <c r="Q63" s="859"/>
      <c r="R63" s="859"/>
      <c r="S63" s="859"/>
      <c r="T63" s="859"/>
      <c r="U63" s="859"/>
      <c r="V63" s="859"/>
      <c r="W63" s="859"/>
      <c r="X63" s="4726"/>
      <c r="Y63" s="4726"/>
      <c r="Z63" s="4726"/>
      <c r="AA63" s="4726"/>
      <c r="AB63" s="4726"/>
      <c r="AC63" s="4726"/>
      <c r="AD63" s="4726"/>
      <c r="AE63" s="4726"/>
      <c r="AF63" s="4726"/>
      <c r="AG63" s="4726"/>
      <c r="AH63" s="4726"/>
      <c r="AI63" s="4726"/>
      <c r="AJ63" s="1656"/>
      <c r="AK63" s="579"/>
      <c r="AL63" s="22"/>
      <c r="AT63" s="2601"/>
      <c r="AU63" s="2601"/>
    </row>
    <row r="64" spans="1:47" ht="12" customHeight="1">
      <c r="A64" s="9"/>
      <c r="B64" s="748"/>
      <c r="C64" s="2314"/>
      <c r="D64" s="2299" t="s">
        <v>1742</v>
      </c>
      <c r="E64" s="2299"/>
      <c r="F64" s="2299"/>
      <c r="G64" s="2299"/>
      <c r="H64" s="2299"/>
      <c r="I64" s="2299"/>
      <c r="J64" s="2299"/>
      <c r="K64" s="4363">
        <f>IF(Psíquicos!P12=Psíquicos!Q12,Psíquicos!P12,Psíquicos!P12&amp;" Ofensiva"&amp;", "&amp;Psíquicos!Q12&amp;" Defensiva")</f>
        <v>0</v>
      </c>
      <c r="L64" s="4363"/>
      <c r="M64" s="4363"/>
      <c r="N64" s="4363"/>
      <c r="O64" s="4363"/>
      <c r="P64" s="4363"/>
      <c r="Q64" s="4363"/>
      <c r="R64" s="4363"/>
      <c r="S64" s="4363"/>
      <c r="T64" s="4363"/>
      <c r="U64" s="4363"/>
      <c r="V64" s="4363"/>
      <c r="W64" s="4363"/>
      <c r="X64" s="4726"/>
      <c r="Y64" s="4726"/>
      <c r="Z64" s="4726"/>
      <c r="AA64" s="4726"/>
      <c r="AB64" s="4726"/>
      <c r="AC64" s="4726"/>
      <c r="AD64" s="4726"/>
      <c r="AE64" s="4726"/>
      <c r="AF64" s="4726"/>
      <c r="AG64" s="4726"/>
      <c r="AH64" s="4726"/>
      <c r="AI64" s="4726"/>
      <c r="AJ64" s="1660"/>
      <c r="AK64" s="579"/>
      <c r="AL64" s="23"/>
      <c r="AT64" s="2601"/>
      <c r="AU64" s="2601"/>
    </row>
    <row r="65" spans="1:47" ht="1.5" customHeight="1">
      <c r="A65" s="9"/>
      <c r="B65" s="747"/>
      <c r="C65" s="1821"/>
      <c r="D65" s="4727" t="s">
        <v>1743</v>
      </c>
      <c r="E65" s="4727"/>
      <c r="F65" s="4727"/>
      <c r="G65" s="4727"/>
      <c r="H65" s="4727"/>
      <c r="I65" s="4727"/>
      <c r="J65" s="4727"/>
      <c r="K65" s="859"/>
      <c r="L65" s="859"/>
      <c r="M65" s="859"/>
      <c r="N65" s="859"/>
      <c r="O65" s="859"/>
      <c r="P65" s="859"/>
      <c r="Q65" s="859"/>
      <c r="R65" s="859"/>
      <c r="S65" s="859"/>
      <c r="T65" s="859"/>
      <c r="U65" s="859"/>
      <c r="V65" s="859"/>
      <c r="W65" s="859"/>
      <c r="X65" s="859"/>
      <c r="Y65" s="859"/>
      <c r="Z65" s="859"/>
      <c r="AA65" s="859"/>
      <c r="AB65" s="859"/>
      <c r="AC65" s="859"/>
      <c r="AD65" s="859"/>
      <c r="AE65" s="859"/>
      <c r="AF65" s="859"/>
      <c r="AG65" s="859"/>
      <c r="AH65" s="859"/>
      <c r="AI65" s="859"/>
      <c r="AJ65" s="1656"/>
      <c r="AK65" s="579"/>
      <c r="AL65" s="22"/>
      <c r="AT65" s="2601"/>
      <c r="AU65" s="2601"/>
    </row>
    <row r="66" spans="1:47" ht="12" customHeight="1">
      <c r="A66" s="9"/>
      <c r="B66" s="748"/>
      <c r="C66" s="2314"/>
      <c r="D66" s="4727"/>
      <c r="E66" s="4727"/>
      <c r="F66" s="4727"/>
      <c r="G66" s="4727"/>
      <c r="H66" s="4727"/>
      <c r="I66" s="4727"/>
      <c r="J66" s="4727"/>
      <c r="K66" s="4363" t="str">
        <f>IF(Psíquicos!C26=0,"",Psíquicos!C26)&amp;IF(Psíquicos!C28=0,"",", "&amp;Psíquicos!C28)&amp;IF(Psíquicos!C30=0,"",", "&amp;Psíquicos!C30)&amp;IF(Psíquicos!C32=0,"",", "&amp;Psíquicos!C32)&amp;IF(Psíquicos!C34=0,"",", "&amp;Psíquicos!C34)&amp;IF(Psíquicos!C36=0,"",", "&amp;Psíquicos!C36)</f>
        <v/>
      </c>
      <c r="L66" s="4363"/>
      <c r="M66" s="4363"/>
      <c r="N66" s="4363"/>
      <c r="O66" s="4363"/>
      <c r="P66" s="4363"/>
      <c r="Q66" s="4363"/>
      <c r="R66" s="4363"/>
      <c r="S66" s="4363"/>
      <c r="T66" s="4363"/>
      <c r="U66" s="4363"/>
      <c r="V66" s="4363"/>
      <c r="W66" s="4363"/>
      <c r="X66" s="4363"/>
      <c r="Y66" s="4363"/>
      <c r="Z66" s="4363"/>
      <c r="AA66" s="4363"/>
      <c r="AB66" s="4363"/>
      <c r="AC66" s="4363"/>
      <c r="AD66" s="4363"/>
      <c r="AE66" s="4363"/>
      <c r="AF66" s="4363"/>
      <c r="AG66" s="4363"/>
      <c r="AH66" s="4363"/>
      <c r="AI66" s="4363"/>
      <c r="AJ66" s="1660"/>
      <c r="AK66" s="579"/>
      <c r="AL66" s="23"/>
      <c r="AT66" s="2601"/>
      <c r="AU66" s="2601"/>
    </row>
    <row r="67" spans="1:47" ht="1.5" customHeight="1">
      <c r="A67" s="9"/>
      <c r="B67" s="747"/>
      <c r="C67" s="1821"/>
      <c r="D67" s="859"/>
      <c r="E67" s="859"/>
      <c r="F67" s="859"/>
      <c r="G67" s="859"/>
      <c r="H67" s="859"/>
      <c r="I67" s="859"/>
      <c r="J67" s="859"/>
      <c r="K67" s="859"/>
      <c r="L67" s="859"/>
      <c r="M67" s="859"/>
      <c r="N67" s="859"/>
      <c r="O67" s="859"/>
      <c r="P67" s="859"/>
      <c r="Q67" s="859"/>
      <c r="R67" s="859"/>
      <c r="S67" s="859"/>
      <c r="T67" s="859"/>
      <c r="U67" s="859"/>
      <c r="V67" s="859"/>
      <c r="W67" s="859"/>
      <c r="X67" s="859"/>
      <c r="Y67" s="859"/>
      <c r="Z67" s="859"/>
      <c r="AA67" s="859"/>
      <c r="AB67" s="859"/>
      <c r="AC67" s="859"/>
      <c r="AD67" s="859"/>
      <c r="AE67" s="859"/>
      <c r="AF67" s="859"/>
      <c r="AG67" s="859"/>
      <c r="AH67" s="859"/>
      <c r="AI67" s="859"/>
      <c r="AJ67" s="1656"/>
      <c r="AK67" s="579"/>
      <c r="AL67" s="22"/>
      <c r="AT67" s="2601"/>
      <c r="AU67" s="2601"/>
    </row>
    <row r="68" spans="1:47" ht="12" customHeight="1">
      <c r="A68" s="9"/>
      <c r="B68" s="746"/>
      <c r="C68" s="1820"/>
      <c r="D68" s="2288" t="s">
        <v>1744</v>
      </c>
      <c r="E68" s="2288"/>
      <c r="F68" s="2288"/>
      <c r="G68" s="2288"/>
      <c r="H68" s="2288"/>
      <c r="I68" s="2288"/>
      <c r="J68" s="4363" t="str">
        <f>IFERROR(MID(Psíquicos!AR15,3,LEN(Psíquicos!AR15)),"")</f>
        <v/>
      </c>
      <c r="K68" s="4363"/>
      <c r="L68" s="4363"/>
      <c r="M68" s="4363"/>
      <c r="N68" s="4363"/>
      <c r="O68" s="4363"/>
      <c r="P68" s="4363"/>
      <c r="Q68" s="4363"/>
      <c r="R68" s="4363"/>
      <c r="S68" s="4363"/>
      <c r="T68" s="4363"/>
      <c r="U68" s="4363"/>
      <c r="V68" s="4363"/>
      <c r="W68" s="4363"/>
      <c r="X68" s="4363"/>
      <c r="Y68" s="4363"/>
      <c r="Z68" s="4363"/>
      <c r="AA68" s="4363"/>
      <c r="AB68" s="4363"/>
      <c r="AC68" s="4363"/>
      <c r="AD68" s="4363"/>
      <c r="AE68" s="4363"/>
      <c r="AF68" s="4363"/>
      <c r="AG68" s="4363"/>
      <c r="AH68" s="4363"/>
      <c r="AI68" s="4363"/>
      <c r="AJ68" s="1656"/>
      <c r="AK68" s="579"/>
      <c r="AL68" s="23"/>
      <c r="AT68" s="2601"/>
      <c r="AU68" s="2601"/>
    </row>
    <row r="69" spans="1:47" ht="12" customHeight="1">
      <c r="A69" s="9"/>
      <c r="B69" s="746"/>
      <c r="C69" s="1820"/>
      <c r="D69" s="859"/>
      <c r="E69" s="859"/>
      <c r="F69" s="859"/>
      <c r="G69" s="859"/>
      <c r="H69" s="859"/>
      <c r="I69" s="859"/>
      <c r="J69" s="4363"/>
      <c r="K69" s="4363"/>
      <c r="L69" s="4363"/>
      <c r="M69" s="4363"/>
      <c r="N69" s="4363"/>
      <c r="O69" s="4363"/>
      <c r="P69" s="4363"/>
      <c r="Q69" s="4363"/>
      <c r="R69" s="4363"/>
      <c r="S69" s="4363"/>
      <c r="T69" s="4363"/>
      <c r="U69" s="4363"/>
      <c r="V69" s="4363"/>
      <c r="W69" s="4363"/>
      <c r="X69" s="4363"/>
      <c r="Y69" s="4363"/>
      <c r="Z69" s="4363"/>
      <c r="AA69" s="4363"/>
      <c r="AB69" s="4363"/>
      <c r="AC69" s="4363"/>
      <c r="AD69" s="4363"/>
      <c r="AE69" s="4363"/>
      <c r="AF69" s="4363"/>
      <c r="AG69" s="4363"/>
      <c r="AH69" s="4363"/>
      <c r="AI69" s="4363"/>
      <c r="AJ69" s="1660"/>
      <c r="AK69" s="579"/>
      <c r="AL69" s="23"/>
      <c r="AT69" s="2601"/>
      <c r="AU69" s="2601"/>
    </row>
    <row r="70" spans="1:47" ht="12" customHeight="1">
      <c r="A70" s="9"/>
      <c r="B70" s="746"/>
      <c r="C70" s="1651"/>
      <c r="D70" s="859"/>
      <c r="E70" s="859"/>
      <c r="F70" s="859"/>
      <c r="G70" s="859"/>
      <c r="H70" s="859"/>
      <c r="I70" s="859"/>
      <c r="J70" s="4363"/>
      <c r="K70" s="4363"/>
      <c r="L70" s="4363"/>
      <c r="M70" s="4363"/>
      <c r="N70" s="4363"/>
      <c r="O70" s="4363"/>
      <c r="P70" s="4363"/>
      <c r="Q70" s="4363"/>
      <c r="R70" s="4363"/>
      <c r="S70" s="4363"/>
      <c r="T70" s="4363"/>
      <c r="U70" s="4363"/>
      <c r="V70" s="4363"/>
      <c r="W70" s="4363"/>
      <c r="X70" s="4363"/>
      <c r="Y70" s="4363"/>
      <c r="Z70" s="4363"/>
      <c r="AA70" s="4363"/>
      <c r="AB70" s="4363"/>
      <c r="AC70" s="4363"/>
      <c r="AD70" s="4363"/>
      <c r="AE70" s="4363"/>
      <c r="AF70" s="4363"/>
      <c r="AG70" s="4363"/>
      <c r="AH70" s="4363"/>
      <c r="AI70" s="4363"/>
      <c r="AJ70" s="1660"/>
      <c r="AK70" s="3415"/>
      <c r="AL70" s="23"/>
      <c r="AT70" s="2601"/>
      <c r="AU70" s="2601"/>
    </row>
    <row r="71" spans="1:47" ht="12" customHeight="1">
      <c r="A71" s="9"/>
      <c r="B71" s="746"/>
      <c r="C71" s="1651"/>
      <c r="D71" s="4740" t="s">
        <v>10815</v>
      </c>
      <c r="E71" s="4740"/>
      <c r="F71" s="4740"/>
      <c r="G71" s="4740"/>
      <c r="H71" s="4740"/>
      <c r="I71" s="4741">
        <f>PDs!AA123</f>
        <v>0</v>
      </c>
      <c r="J71" s="4741"/>
      <c r="K71" s="1993"/>
      <c r="L71" s="1993"/>
      <c r="M71" s="1993"/>
      <c r="N71" s="1993"/>
      <c r="O71" s="1993"/>
      <c r="P71" s="1993"/>
      <c r="Q71" s="1993"/>
      <c r="R71" s="1993"/>
      <c r="S71" s="1993"/>
      <c r="T71" s="1993"/>
      <c r="U71" s="1993"/>
      <c r="V71" s="1993"/>
      <c r="W71" s="1993"/>
      <c r="X71" s="1993"/>
      <c r="Y71" s="1993"/>
      <c r="Z71" s="1993"/>
      <c r="AA71" s="1993"/>
      <c r="AB71" s="1993"/>
      <c r="AC71" s="1993"/>
      <c r="AD71" s="1993"/>
      <c r="AE71" s="1993"/>
      <c r="AF71" s="1993"/>
      <c r="AG71" s="1993"/>
      <c r="AH71" s="1993"/>
      <c r="AI71" s="1993"/>
      <c r="AJ71" s="1660"/>
      <c r="AK71" s="3415"/>
      <c r="AL71" s="23"/>
      <c r="AT71" s="2601"/>
      <c r="AU71" s="2601"/>
    </row>
    <row r="72" spans="1:47" ht="14.25" customHeight="1">
      <c r="A72" s="9"/>
      <c r="B72" s="3603"/>
      <c r="C72" s="1651"/>
      <c r="D72" s="4740" t="s">
        <v>10816</v>
      </c>
      <c r="E72" s="4740"/>
      <c r="F72" s="4740"/>
      <c r="G72" s="4740"/>
      <c r="H72" s="4740"/>
      <c r="I72" s="4740"/>
      <c r="J72" s="4742" t="str">
        <f>IFERROR(MID(Psíquicos!AO16,3,LEN(Psíquicos!AO16)),"")</f>
        <v/>
      </c>
      <c r="K72" s="4742"/>
      <c r="L72" s="4742"/>
      <c r="M72" s="4742"/>
      <c r="N72" s="4742"/>
      <c r="O72" s="4742"/>
      <c r="P72" s="4742"/>
      <c r="Q72" s="4742"/>
      <c r="R72" s="4742"/>
      <c r="S72" s="4742"/>
      <c r="T72" s="4742"/>
      <c r="U72" s="4742"/>
      <c r="V72" s="4742"/>
      <c r="W72" s="4742"/>
      <c r="X72" s="4742"/>
      <c r="Y72" s="4742"/>
      <c r="Z72" s="4742"/>
      <c r="AA72" s="4742"/>
      <c r="AB72" s="4742"/>
      <c r="AC72" s="4742"/>
      <c r="AD72" s="4742"/>
      <c r="AE72" s="4742"/>
      <c r="AF72" s="4742"/>
      <c r="AG72" s="4742"/>
      <c r="AH72" s="4742"/>
      <c r="AI72" s="4742"/>
      <c r="AJ72" s="1660"/>
      <c r="AK72" s="3604"/>
      <c r="AL72" s="23"/>
      <c r="AT72" s="2601"/>
      <c r="AU72" s="2601"/>
    </row>
    <row r="73" spans="1:47" ht="32.25" customHeight="1">
      <c r="A73" s="9"/>
      <c r="B73" s="746"/>
      <c r="C73" s="1651"/>
      <c r="D73" s="3605"/>
      <c r="E73" s="3605"/>
      <c r="F73" s="3605"/>
      <c r="G73" s="3605"/>
      <c r="H73" s="3605"/>
      <c r="I73" s="3605"/>
      <c r="J73" s="4742"/>
      <c r="K73" s="4742"/>
      <c r="L73" s="4742"/>
      <c r="M73" s="4742"/>
      <c r="N73" s="4742"/>
      <c r="O73" s="4742"/>
      <c r="P73" s="4742"/>
      <c r="Q73" s="4742"/>
      <c r="R73" s="4742"/>
      <c r="S73" s="4742"/>
      <c r="T73" s="4742"/>
      <c r="U73" s="4742"/>
      <c r="V73" s="4742"/>
      <c r="W73" s="4742"/>
      <c r="X73" s="4742"/>
      <c r="Y73" s="4742"/>
      <c r="Z73" s="4742"/>
      <c r="AA73" s="4742"/>
      <c r="AB73" s="4742"/>
      <c r="AC73" s="4742"/>
      <c r="AD73" s="4742"/>
      <c r="AE73" s="4742"/>
      <c r="AF73" s="4742"/>
      <c r="AG73" s="4742"/>
      <c r="AH73" s="4742"/>
      <c r="AI73" s="4742"/>
      <c r="AJ73" s="1660"/>
      <c r="AK73" s="3415"/>
      <c r="AL73" s="23"/>
      <c r="AT73" s="2601"/>
      <c r="AU73" s="2601"/>
    </row>
    <row r="74" spans="1:47" ht="2.25" customHeight="1">
      <c r="A74" s="9"/>
      <c r="B74" s="746"/>
      <c r="C74" s="1820"/>
      <c r="D74" s="2311"/>
      <c r="E74" s="2311"/>
      <c r="F74" s="2311"/>
      <c r="G74" s="2311"/>
      <c r="H74" s="2311"/>
      <c r="I74" s="2311"/>
      <c r="J74" s="2311"/>
      <c r="K74" s="2311"/>
      <c r="L74" s="2311"/>
      <c r="M74" s="2311"/>
      <c r="N74" s="2311"/>
      <c r="O74" s="2311"/>
      <c r="P74" s="2311"/>
      <c r="Q74" s="2311"/>
      <c r="R74" s="2311"/>
      <c r="S74" s="2311"/>
      <c r="T74" s="2311"/>
      <c r="U74" s="2311"/>
      <c r="V74" s="2311"/>
      <c r="W74" s="2311"/>
      <c r="X74" s="2311"/>
      <c r="Y74" s="2311"/>
      <c r="Z74" s="2311"/>
      <c r="AA74" s="2311"/>
      <c r="AB74" s="2311"/>
      <c r="AC74" s="2311"/>
      <c r="AD74" s="2311"/>
      <c r="AE74" s="2311"/>
      <c r="AF74" s="2311"/>
      <c r="AG74" s="2311"/>
      <c r="AH74" s="2311"/>
      <c r="AI74" s="2311"/>
      <c r="AJ74" s="1659"/>
      <c r="AK74" s="579"/>
      <c r="AL74" s="23"/>
      <c r="AT74" s="2601"/>
      <c r="AU74" s="2601"/>
    </row>
    <row r="75" spans="1:47" ht="1.5" customHeight="1">
      <c r="A75" s="9"/>
      <c r="B75" s="3745"/>
      <c r="C75" s="3751"/>
      <c r="D75" s="4727" t="s">
        <v>1745</v>
      </c>
      <c r="E75" s="4727"/>
      <c r="F75" s="4727"/>
      <c r="G75" s="4727"/>
      <c r="H75" s="4727"/>
      <c r="I75" s="4727"/>
      <c r="J75" s="4727"/>
      <c r="K75" s="859"/>
      <c r="L75" s="859"/>
      <c r="M75" s="859"/>
      <c r="N75" s="859"/>
      <c r="O75" s="859"/>
      <c r="P75" s="859"/>
      <c r="Q75" s="859"/>
      <c r="R75" s="859"/>
      <c r="S75" s="859"/>
      <c r="T75" s="859"/>
      <c r="U75" s="859"/>
      <c r="V75" s="859"/>
      <c r="W75" s="859"/>
      <c r="X75" s="859"/>
      <c r="Y75" s="859"/>
      <c r="Z75" s="859"/>
      <c r="AA75" s="859"/>
      <c r="AB75" s="859"/>
      <c r="AC75" s="859"/>
      <c r="AD75" s="859"/>
      <c r="AE75" s="859"/>
      <c r="AF75" s="859"/>
      <c r="AG75" s="859"/>
      <c r="AH75" s="859"/>
      <c r="AI75" s="859"/>
      <c r="AJ75" s="1656"/>
      <c r="AK75" s="579"/>
      <c r="AL75" s="22"/>
      <c r="AT75" s="2601"/>
      <c r="AU75" s="2601"/>
    </row>
    <row r="76" spans="1:47" ht="12" customHeight="1">
      <c r="A76" s="9"/>
      <c r="B76" s="746"/>
      <c r="C76" s="1820"/>
      <c r="D76" s="4727"/>
      <c r="E76" s="4727"/>
      <c r="F76" s="4727"/>
      <c r="G76" s="4727"/>
      <c r="H76" s="4727"/>
      <c r="I76" s="4727"/>
      <c r="J76" s="4727"/>
      <c r="K76" s="4363" t="str">
        <f>IFERROR(RIGHT(Tablas!G2173,LEN(Tablas!G2173)-2),"")</f>
        <v/>
      </c>
      <c r="L76" s="4363"/>
      <c r="M76" s="4363"/>
      <c r="N76" s="4363"/>
      <c r="O76" s="4363"/>
      <c r="P76" s="4363"/>
      <c r="Q76" s="4363"/>
      <c r="R76" s="4363"/>
      <c r="S76" s="4363"/>
      <c r="T76" s="4363"/>
      <c r="U76" s="4363"/>
      <c r="V76" s="4363"/>
      <c r="W76" s="4363"/>
      <c r="X76" s="4363"/>
      <c r="Y76" s="4363"/>
      <c r="Z76" s="4363"/>
      <c r="AA76" s="4363"/>
      <c r="AB76" s="4363"/>
      <c r="AC76" s="4363"/>
      <c r="AD76" s="4363"/>
      <c r="AE76" s="4363"/>
      <c r="AF76" s="4363"/>
      <c r="AG76" s="4363"/>
      <c r="AH76" s="4363"/>
      <c r="AI76" s="4363"/>
      <c r="AJ76" s="1660"/>
      <c r="AK76" s="579"/>
      <c r="AL76" s="23"/>
      <c r="AQ76" s="2284"/>
      <c r="AT76" s="2601"/>
      <c r="AU76" s="2604"/>
    </row>
    <row r="77" spans="1:47" ht="12" customHeight="1">
      <c r="A77" s="9"/>
      <c r="B77" s="746"/>
      <c r="C77" s="1820"/>
      <c r="D77" s="2311"/>
      <c r="E77" s="2311"/>
      <c r="F77" s="2311"/>
      <c r="G77" s="2311"/>
      <c r="H77" s="2311"/>
      <c r="I77" s="2311"/>
      <c r="J77" s="2311"/>
      <c r="K77" s="4363"/>
      <c r="L77" s="4363"/>
      <c r="M77" s="4363"/>
      <c r="N77" s="4363"/>
      <c r="O77" s="4363"/>
      <c r="P77" s="4363"/>
      <c r="Q77" s="4363"/>
      <c r="R77" s="4363"/>
      <c r="S77" s="4363"/>
      <c r="T77" s="4363"/>
      <c r="U77" s="4363"/>
      <c r="V77" s="4363"/>
      <c r="W77" s="4363"/>
      <c r="X77" s="4363"/>
      <c r="Y77" s="4363"/>
      <c r="Z77" s="4363"/>
      <c r="AA77" s="4363"/>
      <c r="AB77" s="4363"/>
      <c r="AC77" s="4363"/>
      <c r="AD77" s="4363"/>
      <c r="AE77" s="4363"/>
      <c r="AF77" s="4363"/>
      <c r="AG77" s="4363"/>
      <c r="AH77" s="4363"/>
      <c r="AI77" s="4363"/>
      <c r="AJ77" s="1660"/>
      <c r="AK77" s="579"/>
      <c r="AL77" s="23"/>
      <c r="AT77" s="2601"/>
      <c r="AU77" s="2601"/>
    </row>
    <row r="78" spans="1:47" ht="1.5" customHeight="1">
      <c r="A78" s="9"/>
      <c r="B78" s="3745"/>
      <c r="C78" s="3751"/>
      <c r="D78" s="4727" t="s">
        <v>1746</v>
      </c>
      <c r="E78" s="4727"/>
      <c r="F78" s="4727"/>
      <c r="G78" s="4727"/>
      <c r="H78" s="4727"/>
      <c r="I78" s="4727"/>
      <c r="J78" s="4727"/>
      <c r="K78" s="859"/>
      <c r="L78" s="859"/>
      <c r="M78" s="859"/>
      <c r="N78" s="859"/>
      <c r="O78" s="859"/>
      <c r="P78" s="859"/>
      <c r="Q78" s="859"/>
      <c r="R78" s="859"/>
      <c r="S78" s="859"/>
      <c r="T78" s="859"/>
      <c r="U78" s="859"/>
      <c r="V78" s="859"/>
      <c r="W78" s="859"/>
      <c r="X78" s="859"/>
      <c r="Y78" s="859"/>
      <c r="Z78" s="859"/>
      <c r="AA78" s="859"/>
      <c r="AB78" s="859"/>
      <c r="AC78" s="859"/>
      <c r="AD78" s="859"/>
      <c r="AE78" s="859"/>
      <c r="AF78" s="859"/>
      <c r="AG78" s="859"/>
      <c r="AH78" s="859"/>
      <c r="AI78" s="859"/>
      <c r="AJ78" s="1656"/>
      <c r="AK78" s="579"/>
      <c r="AL78" s="22"/>
      <c r="AQ78" s="708"/>
      <c r="AT78" s="2601"/>
      <c r="AU78" s="2601"/>
    </row>
    <row r="79" spans="1:47" ht="12" customHeight="1">
      <c r="A79" s="9"/>
      <c r="B79" s="746"/>
      <c r="C79" s="1820"/>
      <c r="D79" s="4727"/>
      <c r="E79" s="4727"/>
      <c r="F79" s="4727"/>
      <c r="G79" s="4727"/>
      <c r="H79" s="4727"/>
      <c r="I79" s="4727"/>
      <c r="J79" s="4727"/>
      <c r="K79" s="4363" t="str">
        <f>Tablas!$G$2289</f>
        <v/>
      </c>
      <c r="L79" s="4363"/>
      <c r="M79" s="4363"/>
      <c r="N79" s="4363"/>
      <c r="O79" s="4363"/>
      <c r="P79" s="4363"/>
      <c r="Q79" s="4363"/>
      <c r="R79" s="4363"/>
      <c r="S79" s="4363"/>
      <c r="T79" s="4363"/>
      <c r="U79" s="4363"/>
      <c r="V79" s="4363"/>
      <c r="W79" s="4363"/>
      <c r="X79" s="4363"/>
      <c r="Y79" s="4363"/>
      <c r="Z79" s="4363"/>
      <c r="AA79" s="4363"/>
      <c r="AB79" s="4363"/>
      <c r="AC79" s="4363"/>
      <c r="AD79" s="4363"/>
      <c r="AE79" s="4363"/>
      <c r="AF79" s="4363"/>
      <c r="AG79" s="4363"/>
      <c r="AH79" s="4363"/>
      <c r="AI79" s="4363"/>
      <c r="AJ79" s="1660"/>
      <c r="AK79" s="579"/>
      <c r="AL79" s="23"/>
      <c r="AQ79" s="708"/>
      <c r="AT79" s="2601"/>
      <c r="AU79" s="2601"/>
    </row>
    <row r="80" spans="1:47" ht="12" customHeight="1">
      <c r="A80" s="9"/>
      <c r="B80" s="746"/>
      <c r="C80" s="1820"/>
      <c r="D80" s="2311"/>
      <c r="E80" s="2311"/>
      <c r="F80" s="2311"/>
      <c r="G80" s="2311"/>
      <c r="H80" s="2311"/>
      <c r="I80" s="2311"/>
      <c r="J80" s="2311"/>
      <c r="K80" s="4363"/>
      <c r="L80" s="4363"/>
      <c r="M80" s="4363"/>
      <c r="N80" s="4363"/>
      <c r="O80" s="4363"/>
      <c r="P80" s="4363"/>
      <c r="Q80" s="4363"/>
      <c r="R80" s="4363"/>
      <c r="S80" s="4363"/>
      <c r="T80" s="4363"/>
      <c r="U80" s="4363"/>
      <c r="V80" s="4363"/>
      <c r="W80" s="4363"/>
      <c r="X80" s="4363"/>
      <c r="Y80" s="4363"/>
      <c r="Z80" s="4363"/>
      <c r="AA80" s="4363"/>
      <c r="AB80" s="4363"/>
      <c r="AC80" s="4363"/>
      <c r="AD80" s="4363"/>
      <c r="AE80" s="4363"/>
      <c r="AF80" s="4363"/>
      <c r="AG80" s="4363"/>
      <c r="AH80" s="4363"/>
      <c r="AI80" s="4363"/>
      <c r="AJ80" s="1660"/>
      <c r="AK80" s="579"/>
      <c r="AL80" s="23"/>
      <c r="AQ80" s="708"/>
      <c r="AT80" s="2601"/>
      <c r="AU80" s="2601"/>
    </row>
    <row r="81" spans="1:47" ht="1.5" customHeight="1">
      <c r="A81" s="9"/>
      <c r="B81" s="3745"/>
      <c r="C81" s="3751"/>
      <c r="D81" s="859"/>
      <c r="E81" s="859"/>
      <c r="F81" s="859"/>
      <c r="G81" s="859"/>
      <c r="H81" s="859"/>
      <c r="I81" s="859"/>
      <c r="J81" s="859"/>
      <c r="K81" s="859"/>
      <c r="L81" s="859"/>
      <c r="M81" s="859"/>
      <c r="N81" s="859"/>
      <c r="O81" s="859"/>
      <c r="P81" s="859"/>
      <c r="Q81" s="859"/>
      <c r="R81" s="859"/>
      <c r="S81" s="859"/>
      <c r="T81" s="859"/>
      <c r="U81" s="859"/>
      <c r="V81" s="859"/>
      <c r="W81" s="859"/>
      <c r="X81" s="859"/>
      <c r="Y81" s="859"/>
      <c r="Z81" s="859"/>
      <c r="AA81" s="859"/>
      <c r="AB81" s="859"/>
      <c r="AC81" s="859"/>
      <c r="AD81" s="859"/>
      <c r="AE81" s="859"/>
      <c r="AF81" s="859"/>
      <c r="AG81" s="859"/>
      <c r="AH81" s="859"/>
      <c r="AI81" s="859"/>
      <c r="AJ81" s="1656"/>
      <c r="AK81" s="579"/>
      <c r="AL81" s="22"/>
      <c r="AQ81" s="708"/>
      <c r="AT81" s="2601"/>
      <c r="AU81" s="2601"/>
    </row>
    <row r="82" spans="1:47" ht="12" customHeight="1">
      <c r="A82" s="9"/>
      <c r="B82" s="746"/>
      <c r="C82" s="1820"/>
      <c r="D82" s="4722" t="s">
        <v>6859</v>
      </c>
      <c r="E82" s="4722"/>
      <c r="F82" s="4722"/>
      <c r="G82" s="4363" t="str">
        <f>IFERROR(RIGHT(AT82,LEN(AT82)-2),"")</f>
        <v/>
      </c>
      <c r="H82" s="4363"/>
      <c r="I82" s="4363"/>
      <c r="J82" s="4363"/>
      <c r="K82" s="4363"/>
      <c r="L82" s="4363"/>
      <c r="M82" s="4363"/>
      <c r="N82" s="4363"/>
      <c r="O82" s="4363"/>
      <c r="P82" s="4363"/>
      <c r="Q82" s="4363"/>
      <c r="R82" s="4363"/>
      <c r="S82" s="4363"/>
      <c r="T82" s="4363"/>
      <c r="U82" s="4363"/>
      <c r="V82" s="4363"/>
      <c r="W82" s="4363"/>
      <c r="X82" s="4363"/>
      <c r="Y82" s="4363"/>
      <c r="Z82" s="4363"/>
      <c r="AA82" s="4363"/>
      <c r="AB82" s="4363"/>
      <c r="AC82" s="4363"/>
      <c r="AD82" s="4363"/>
      <c r="AE82" s="4363"/>
      <c r="AF82" s="4363"/>
      <c r="AG82" s="4363"/>
      <c r="AH82" s="4363"/>
      <c r="AI82" s="4363"/>
      <c r="AJ82" s="1660"/>
      <c r="AK82" s="579"/>
      <c r="AL82" s="23"/>
      <c r="AQ82" s="708"/>
      <c r="AT82" s="2603"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2601"/>
    </row>
    <row r="83" spans="1:47" ht="0.75" customHeight="1">
      <c r="A83" s="9"/>
      <c r="B83" s="3745"/>
      <c r="C83" s="3751"/>
      <c r="D83" s="2316"/>
      <c r="E83" s="859"/>
      <c r="F83" s="859"/>
      <c r="G83" s="4363"/>
      <c r="H83" s="4363"/>
      <c r="I83" s="4363"/>
      <c r="J83" s="4363"/>
      <c r="K83" s="4363"/>
      <c r="L83" s="4363"/>
      <c r="M83" s="4363"/>
      <c r="N83" s="4363"/>
      <c r="O83" s="4363"/>
      <c r="P83" s="4363"/>
      <c r="Q83" s="4363"/>
      <c r="R83" s="4363"/>
      <c r="S83" s="4363"/>
      <c r="T83" s="4363"/>
      <c r="U83" s="4363"/>
      <c r="V83" s="4363"/>
      <c r="W83" s="4363"/>
      <c r="X83" s="4363"/>
      <c r="Y83" s="4363"/>
      <c r="Z83" s="4363"/>
      <c r="AA83" s="4363"/>
      <c r="AB83" s="4363"/>
      <c r="AC83" s="4363"/>
      <c r="AD83" s="4363"/>
      <c r="AE83" s="4363"/>
      <c r="AF83" s="4363"/>
      <c r="AG83" s="4363"/>
      <c r="AH83" s="4363"/>
      <c r="AI83" s="4363"/>
      <c r="AJ83" s="1656"/>
      <c r="AK83" s="579"/>
      <c r="AL83" s="22"/>
      <c r="AQ83" s="708"/>
      <c r="AT83" s="2601"/>
      <c r="AU83" s="2601"/>
    </row>
    <row r="84" spans="1:47" ht="12" customHeight="1">
      <c r="A84" s="9"/>
      <c r="B84" s="746"/>
      <c r="C84" s="1820"/>
      <c r="D84" s="2276"/>
      <c r="E84" s="2276"/>
      <c r="F84" s="2276"/>
      <c r="G84" s="4680"/>
      <c r="H84" s="4680"/>
      <c r="I84" s="4680"/>
      <c r="J84" s="4680"/>
      <c r="K84" s="4680"/>
      <c r="L84" s="4680"/>
      <c r="M84" s="4680"/>
      <c r="N84" s="4680"/>
      <c r="O84" s="4680"/>
      <c r="P84" s="4680"/>
      <c r="Q84" s="4680"/>
      <c r="R84" s="4680"/>
      <c r="S84" s="4680"/>
      <c r="T84" s="4680"/>
      <c r="U84" s="4680"/>
      <c r="V84" s="4680"/>
      <c r="W84" s="4680"/>
      <c r="X84" s="4680"/>
      <c r="Y84" s="4680"/>
      <c r="Z84" s="4680"/>
      <c r="AA84" s="4680"/>
      <c r="AB84" s="4680"/>
      <c r="AC84" s="4680"/>
      <c r="AD84" s="4680"/>
      <c r="AE84" s="4680"/>
      <c r="AF84" s="4680"/>
      <c r="AG84" s="4680"/>
      <c r="AH84" s="4680"/>
      <c r="AI84" s="4680"/>
      <c r="AJ84" s="1660"/>
      <c r="AK84" s="579"/>
      <c r="AL84" s="23"/>
      <c r="AQ84" s="708"/>
      <c r="AT84" s="2601"/>
      <c r="AU84" s="2601"/>
    </row>
    <row r="85" spans="1:47" ht="2.25" customHeight="1">
      <c r="A85" s="9"/>
      <c r="B85" s="746"/>
      <c r="C85" s="1820"/>
      <c r="D85" s="2302"/>
      <c r="E85" s="2302"/>
      <c r="F85" s="2302"/>
      <c r="G85" s="2317"/>
      <c r="H85" s="2317"/>
      <c r="I85" s="2317"/>
      <c r="J85" s="2317"/>
      <c r="K85" s="2317"/>
      <c r="L85" s="2317"/>
      <c r="M85" s="2317"/>
      <c r="N85" s="2317"/>
      <c r="O85" s="2317"/>
      <c r="P85" s="2317"/>
      <c r="Q85" s="2317"/>
      <c r="R85" s="2317"/>
      <c r="S85" s="2317"/>
      <c r="T85" s="2317"/>
      <c r="U85" s="2317"/>
      <c r="V85" s="2317"/>
      <c r="W85" s="2317"/>
      <c r="X85" s="2317"/>
      <c r="Y85" s="2317"/>
      <c r="Z85" s="2317"/>
      <c r="AA85" s="2317"/>
      <c r="AB85" s="2317"/>
      <c r="AC85" s="2317"/>
      <c r="AD85" s="2317"/>
      <c r="AE85" s="2317"/>
      <c r="AF85" s="2317"/>
      <c r="AG85" s="2317"/>
      <c r="AH85" s="2317"/>
      <c r="AI85" s="2317"/>
      <c r="AJ85" s="1660"/>
      <c r="AK85" s="579"/>
      <c r="AL85" s="23"/>
      <c r="AQ85" s="708"/>
      <c r="AT85" s="2601"/>
      <c r="AU85" s="2601"/>
    </row>
    <row r="86" spans="1:47" ht="1.5" customHeight="1">
      <c r="A86" s="9"/>
      <c r="B86" s="3745"/>
      <c r="C86" s="3751"/>
      <c r="D86" s="4727" t="s">
        <v>1747</v>
      </c>
      <c r="E86" s="4727"/>
      <c r="F86" s="4727"/>
      <c r="G86" s="4727"/>
      <c r="H86" s="4727"/>
      <c r="I86" s="4727"/>
      <c r="J86" s="4727"/>
      <c r="K86" s="859"/>
      <c r="L86" s="859"/>
      <c r="M86" s="859"/>
      <c r="N86" s="859"/>
      <c r="O86" s="859"/>
      <c r="P86" s="859"/>
      <c r="Q86" s="859"/>
      <c r="R86" s="859"/>
      <c r="S86" s="859"/>
      <c r="T86" s="859"/>
      <c r="U86" s="859"/>
      <c r="V86" s="859"/>
      <c r="W86" s="859"/>
      <c r="X86" s="859"/>
      <c r="Y86" s="859"/>
      <c r="Z86" s="859"/>
      <c r="AA86" s="859"/>
      <c r="AB86" s="859"/>
      <c r="AC86" s="859"/>
      <c r="AD86" s="859"/>
      <c r="AE86" s="859"/>
      <c r="AF86" s="859"/>
      <c r="AG86" s="859"/>
      <c r="AH86" s="859"/>
      <c r="AI86" s="859"/>
      <c r="AJ86" s="1656"/>
      <c r="AK86" s="579"/>
      <c r="AL86" s="22"/>
      <c r="AQ86" s="708"/>
      <c r="AT86" s="2601"/>
      <c r="AU86" s="2601"/>
    </row>
    <row r="87" spans="1:47" ht="12" customHeight="1">
      <c r="A87" s="9"/>
      <c r="B87" s="746"/>
      <c r="C87" s="1820"/>
      <c r="D87" s="4727"/>
      <c r="E87" s="4727"/>
      <c r="F87" s="4727"/>
      <c r="G87" s="4727"/>
      <c r="H87" s="4727"/>
      <c r="I87" s="4727"/>
      <c r="J87" s="4727"/>
      <c r="K87" s="4363" t="str">
        <f>IFERROR(RIGHT(AT90,LEN(AT90)-2),"")</f>
        <v/>
      </c>
      <c r="L87" s="4363"/>
      <c r="M87" s="4363"/>
      <c r="N87" s="4363"/>
      <c r="O87" s="4363"/>
      <c r="P87" s="4363"/>
      <c r="Q87" s="4363"/>
      <c r="R87" s="4363"/>
      <c r="S87" s="4363"/>
      <c r="T87" s="4363"/>
      <c r="U87" s="4363"/>
      <c r="V87" s="4363"/>
      <c r="W87" s="4363"/>
      <c r="X87" s="4363"/>
      <c r="Y87" s="4363"/>
      <c r="Z87" s="4363"/>
      <c r="AA87" s="4363"/>
      <c r="AB87" s="4363"/>
      <c r="AC87" s="4363"/>
      <c r="AD87" s="4363"/>
      <c r="AE87" s="4363"/>
      <c r="AF87" s="4363"/>
      <c r="AG87" s="4363"/>
      <c r="AH87" s="4363"/>
      <c r="AI87" s="4363"/>
      <c r="AJ87" s="1660"/>
      <c r="AK87" s="579"/>
      <c r="AL87" s="23"/>
      <c r="AQ87" s="708"/>
      <c r="AT87" s="2601"/>
      <c r="AU87" s="2601"/>
    </row>
    <row r="88" spans="1:47" ht="12" customHeight="1">
      <c r="A88" s="9"/>
      <c r="B88" s="746"/>
      <c r="C88" s="1820"/>
      <c r="D88" s="2288"/>
      <c r="E88" s="2311"/>
      <c r="F88" s="2311"/>
      <c r="G88" s="2311"/>
      <c r="H88" s="3752"/>
      <c r="I88" s="3752"/>
      <c r="J88" s="2311"/>
      <c r="K88" s="4363"/>
      <c r="L88" s="4363"/>
      <c r="M88" s="4363"/>
      <c r="N88" s="4363"/>
      <c r="O88" s="4363"/>
      <c r="P88" s="4363"/>
      <c r="Q88" s="4363"/>
      <c r="R88" s="4363"/>
      <c r="S88" s="4363"/>
      <c r="T88" s="4363"/>
      <c r="U88" s="4363"/>
      <c r="V88" s="4363"/>
      <c r="W88" s="4363"/>
      <c r="X88" s="4363"/>
      <c r="Y88" s="4363"/>
      <c r="Z88" s="4363"/>
      <c r="AA88" s="4363"/>
      <c r="AB88" s="4363"/>
      <c r="AC88" s="4363"/>
      <c r="AD88" s="4363"/>
      <c r="AE88" s="4363"/>
      <c r="AF88" s="4363"/>
      <c r="AG88" s="4363"/>
      <c r="AH88" s="4363"/>
      <c r="AI88" s="4363"/>
      <c r="AJ88" s="1660"/>
      <c r="AK88" s="579"/>
      <c r="AL88" s="23"/>
      <c r="AQ88" s="708"/>
      <c r="AT88" s="2601"/>
      <c r="AU88" s="2601"/>
    </row>
    <row r="89" spans="1:47" ht="1.5" customHeight="1">
      <c r="A89" s="9"/>
      <c r="B89" s="3745"/>
      <c r="C89" s="3751"/>
      <c r="D89" s="4727" t="s">
        <v>1748</v>
      </c>
      <c r="E89" s="4727"/>
      <c r="F89" s="4727"/>
      <c r="G89" s="859"/>
      <c r="H89" s="859"/>
      <c r="I89" s="859"/>
      <c r="J89" s="859"/>
      <c r="K89" s="859"/>
      <c r="L89" s="859"/>
      <c r="M89" s="859"/>
      <c r="N89" s="859"/>
      <c r="O89" s="859"/>
      <c r="P89" s="859"/>
      <c r="Q89" s="859"/>
      <c r="R89" s="859"/>
      <c r="S89" s="859"/>
      <c r="T89" s="859"/>
      <c r="U89" s="859"/>
      <c r="V89" s="859"/>
      <c r="W89" s="859"/>
      <c r="X89" s="859"/>
      <c r="Y89" s="859"/>
      <c r="Z89" s="859"/>
      <c r="AA89" s="859"/>
      <c r="AB89" s="859"/>
      <c r="AC89" s="859"/>
      <c r="AD89" s="859"/>
      <c r="AE89" s="859"/>
      <c r="AF89" s="859"/>
      <c r="AG89" s="859"/>
      <c r="AH89" s="859"/>
      <c r="AI89" s="859"/>
      <c r="AJ89" s="1656"/>
      <c r="AK89" s="579"/>
      <c r="AL89" s="22"/>
      <c r="AQ89" s="708"/>
      <c r="AT89" s="2601"/>
      <c r="AU89" s="2601"/>
    </row>
    <row r="90" spans="1:47" ht="12" customHeight="1">
      <c r="A90" s="9"/>
      <c r="B90" s="746"/>
      <c r="C90" s="1820"/>
      <c r="D90" s="4727"/>
      <c r="E90" s="4727"/>
      <c r="F90" s="4727"/>
      <c r="G90" s="4363" t="str">
        <f>Tablas!J2269</f>
        <v/>
      </c>
      <c r="H90" s="4363"/>
      <c r="I90" s="4363"/>
      <c r="J90" s="4363"/>
      <c r="K90" s="4363"/>
      <c r="L90" s="4363"/>
      <c r="M90" s="4363"/>
      <c r="N90" s="4363"/>
      <c r="O90" s="4363"/>
      <c r="P90" s="4363"/>
      <c r="Q90" s="4363"/>
      <c r="R90" s="4363"/>
      <c r="S90" s="4363"/>
      <c r="T90" s="4363"/>
      <c r="U90" s="4363"/>
      <c r="V90" s="4363"/>
      <c r="W90" s="4363"/>
      <c r="X90" s="4363"/>
      <c r="Y90" s="4363"/>
      <c r="Z90" s="4363"/>
      <c r="AA90" s="4363"/>
      <c r="AB90" s="4363"/>
      <c r="AC90" s="4363"/>
      <c r="AD90" s="4363"/>
      <c r="AE90" s="4363"/>
      <c r="AF90" s="4363"/>
      <c r="AG90" s="4363"/>
      <c r="AH90" s="4363"/>
      <c r="AI90" s="4363"/>
      <c r="AJ90" s="1660"/>
      <c r="AK90" s="579"/>
      <c r="AL90" s="23"/>
      <c r="AQ90" s="708"/>
      <c r="AT90" s="2601"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2601"/>
    </row>
    <row r="91" spans="1:47" ht="12" hidden="1" customHeight="1">
      <c r="A91" s="9"/>
      <c r="B91" s="746"/>
      <c r="C91" s="1820"/>
      <c r="D91" s="2311"/>
      <c r="E91" s="2311"/>
      <c r="F91" s="2311"/>
      <c r="G91" s="4363"/>
      <c r="H91" s="4363"/>
      <c r="I91" s="4363"/>
      <c r="J91" s="4363"/>
      <c r="K91" s="4363"/>
      <c r="L91" s="4363"/>
      <c r="M91" s="4363"/>
      <c r="N91" s="4363"/>
      <c r="O91" s="4363"/>
      <c r="P91" s="4363"/>
      <c r="Q91" s="4363"/>
      <c r="R91" s="4363"/>
      <c r="S91" s="4363"/>
      <c r="T91" s="4363"/>
      <c r="U91" s="4363"/>
      <c r="V91" s="4363"/>
      <c r="W91" s="4363"/>
      <c r="X91" s="4363"/>
      <c r="Y91" s="4363"/>
      <c r="Z91" s="4363"/>
      <c r="AA91" s="4363"/>
      <c r="AB91" s="4363"/>
      <c r="AC91" s="4363"/>
      <c r="AD91" s="4363"/>
      <c r="AE91" s="4363"/>
      <c r="AF91" s="4363"/>
      <c r="AG91" s="4363"/>
      <c r="AH91" s="4363"/>
      <c r="AI91" s="4363"/>
      <c r="AJ91" s="1660"/>
      <c r="AK91" s="579"/>
      <c r="AL91" s="23"/>
      <c r="AQ91" s="708"/>
      <c r="AT91" s="2601"/>
      <c r="AU91" s="2601"/>
    </row>
    <row r="92" spans="1:47" ht="12" hidden="1" customHeight="1">
      <c r="A92" s="9"/>
      <c r="B92" s="746"/>
      <c r="C92" s="1820"/>
      <c r="D92" s="2311"/>
      <c r="E92" s="2311"/>
      <c r="F92" s="2311"/>
      <c r="G92" s="4363"/>
      <c r="H92" s="4363"/>
      <c r="I92" s="4363"/>
      <c r="J92" s="4363"/>
      <c r="K92" s="4363"/>
      <c r="L92" s="4363"/>
      <c r="M92" s="4363"/>
      <c r="N92" s="4363"/>
      <c r="O92" s="4363"/>
      <c r="P92" s="4363"/>
      <c r="Q92" s="4363"/>
      <c r="R92" s="4363"/>
      <c r="S92" s="4363"/>
      <c r="T92" s="4363"/>
      <c r="U92" s="4363"/>
      <c r="V92" s="4363"/>
      <c r="W92" s="4363"/>
      <c r="X92" s="4363"/>
      <c r="Y92" s="4363"/>
      <c r="Z92" s="4363"/>
      <c r="AA92" s="4363"/>
      <c r="AB92" s="4363"/>
      <c r="AC92" s="4363"/>
      <c r="AD92" s="4363"/>
      <c r="AE92" s="4363"/>
      <c r="AF92" s="4363"/>
      <c r="AG92" s="4363"/>
      <c r="AH92" s="4363"/>
      <c r="AI92" s="4363"/>
      <c r="AJ92" s="1660"/>
      <c r="AK92" s="579"/>
      <c r="AL92" s="23"/>
      <c r="AQ92" s="708"/>
      <c r="AT92" s="2601"/>
      <c r="AU92" s="2601"/>
    </row>
    <row r="93" spans="1:47" ht="12" customHeight="1">
      <c r="A93" s="9"/>
      <c r="B93" s="746"/>
      <c r="C93" s="1820"/>
      <c r="D93" s="1648"/>
      <c r="E93" s="1648"/>
      <c r="F93" s="1648"/>
      <c r="G93" s="4680"/>
      <c r="H93" s="4680"/>
      <c r="I93" s="4680"/>
      <c r="J93" s="4680"/>
      <c r="K93" s="4680"/>
      <c r="L93" s="4680"/>
      <c r="M93" s="4680"/>
      <c r="N93" s="4680"/>
      <c r="O93" s="4680"/>
      <c r="P93" s="4680"/>
      <c r="Q93" s="4680"/>
      <c r="R93" s="4680"/>
      <c r="S93" s="4680"/>
      <c r="T93" s="4680"/>
      <c r="U93" s="4680"/>
      <c r="V93" s="4680"/>
      <c r="W93" s="4680"/>
      <c r="X93" s="4680"/>
      <c r="Y93" s="4680"/>
      <c r="Z93" s="4680"/>
      <c r="AA93" s="4680"/>
      <c r="AB93" s="4680"/>
      <c r="AC93" s="4680"/>
      <c r="AD93" s="4680"/>
      <c r="AE93" s="4680"/>
      <c r="AF93" s="4680"/>
      <c r="AG93" s="4680"/>
      <c r="AH93" s="4680"/>
      <c r="AI93" s="4680"/>
      <c r="AJ93" s="1660"/>
      <c r="AK93" s="579"/>
      <c r="AL93" s="23"/>
      <c r="AQ93" s="3746"/>
      <c r="AR93" s="2284"/>
      <c r="AS93" s="2284"/>
      <c r="AT93" s="2601"/>
      <c r="AU93" s="2601"/>
    </row>
    <row r="94" spans="1:47" ht="2.25" customHeight="1">
      <c r="A94" s="9"/>
      <c r="B94" s="746"/>
      <c r="C94" s="1820"/>
      <c r="D94" s="2311"/>
      <c r="E94" s="2311"/>
      <c r="F94" s="2311"/>
      <c r="G94" s="2281"/>
      <c r="H94" s="2281"/>
      <c r="I94" s="2281"/>
      <c r="J94" s="2281"/>
      <c r="K94" s="2281"/>
      <c r="L94" s="2281"/>
      <c r="M94" s="2281"/>
      <c r="N94" s="2281"/>
      <c r="O94" s="2281"/>
      <c r="P94" s="2281"/>
      <c r="Q94" s="2281"/>
      <c r="R94" s="2281"/>
      <c r="S94" s="2281"/>
      <c r="T94" s="2281"/>
      <c r="U94" s="2281"/>
      <c r="V94" s="2281"/>
      <c r="W94" s="2281"/>
      <c r="X94" s="2281"/>
      <c r="Y94" s="2281"/>
      <c r="Z94" s="2281"/>
      <c r="AA94" s="2281"/>
      <c r="AB94" s="2281"/>
      <c r="AC94" s="2281"/>
      <c r="AD94" s="2281"/>
      <c r="AE94" s="2281"/>
      <c r="AF94" s="2281"/>
      <c r="AG94" s="2281"/>
      <c r="AH94" s="2281"/>
      <c r="AI94" s="2281"/>
      <c r="AJ94" s="1660"/>
      <c r="AK94" s="579"/>
      <c r="AL94" s="23"/>
      <c r="AQ94" s="3746"/>
      <c r="AR94" s="2284"/>
      <c r="AS94" s="2284"/>
      <c r="AT94" s="2601"/>
      <c r="AU94" s="2601"/>
    </row>
    <row r="95" spans="1:47" ht="1.5" customHeight="1">
      <c r="A95" s="9"/>
      <c r="B95" s="3745"/>
      <c r="C95" s="3751"/>
      <c r="D95" s="4728" t="s">
        <v>1221</v>
      </c>
      <c r="E95" s="4728"/>
      <c r="F95" s="4728"/>
      <c r="G95" s="859"/>
      <c r="H95" s="859"/>
      <c r="I95" s="859"/>
      <c r="J95" s="859"/>
      <c r="K95" s="859"/>
      <c r="L95" s="4722" t="s">
        <v>1750</v>
      </c>
      <c r="M95" s="4722"/>
      <c r="N95" s="4722"/>
      <c r="O95" s="4722"/>
      <c r="P95" s="4722"/>
      <c r="Q95" s="4722"/>
      <c r="R95" s="4722"/>
      <c r="S95" s="859"/>
      <c r="T95" s="859"/>
      <c r="U95" s="859"/>
      <c r="V95" s="859"/>
      <c r="W95" s="859"/>
      <c r="X95" s="859"/>
      <c r="Y95" s="859"/>
      <c r="Z95" s="859"/>
      <c r="AA95" s="859"/>
      <c r="AB95" s="859"/>
      <c r="AC95" s="859"/>
      <c r="AD95" s="859"/>
      <c r="AE95" s="859"/>
      <c r="AF95" s="859"/>
      <c r="AG95" s="859"/>
      <c r="AH95" s="859"/>
      <c r="AI95" s="859"/>
      <c r="AJ95" s="1656"/>
      <c r="AK95" s="579"/>
      <c r="AL95" s="22"/>
      <c r="AQ95" s="3746"/>
      <c r="AR95" s="2284"/>
      <c r="AS95" s="2284"/>
      <c r="AT95" s="2601"/>
      <c r="AU95" s="2601"/>
    </row>
    <row r="96" spans="1:47" ht="12" customHeight="1">
      <c r="A96" s="9"/>
      <c r="B96" s="746"/>
      <c r="C96" s="1820"/>
      <c r="D96" s="4728"/>
      <c r="E96" s="4728"/>
      <c r="F96" s="4728"/>
      <c r="G96" s="4376" t="str">
        <f>Tamaño&amp;", "&amp;Principal!L6</f>
        <v>1, Medio</v>
      </c>
      <c r="H96" s="4376"/>
      <c r="I96" s="4376"/>
      <c r="J96" s="4376"/>
      <c r="K96" s="4376"/>
      <c r="L96" s="4722"/>
      <c r="M96" s="4722"/>
      <c r="N96" s="4722"/>
      <c r="O96" s="4722"/>
      <c r="P96" s="4722"/>
      <c r="Q96" s="4722"/>
      <c r="R96" s="4722"/>
      <c r="S96" s="4738" t="str">
        <f>Tablas!AN58</f>
        <v>1 (&lt; 1 m / asalto)</v>
      </c>
      <c r="T96" s="4738"/>
      <c r="U96" s="4738"/>
      <c r="V96" s="4738"/>
      <c r="W96" s="4738"/>
      <c r="X96" s="4738"/>
      <c r="Y96" s="4738"/>
      <c r="Z96" s="4738"/>
      <c r="AA96" s="4738"/>
      <c r="AB96" s="4738"/>
      <c r="AC96" s="4738"/>
      <c r="AD96" s="4738"/>
      <c r="AE96" s="4738"/>
      <c r="AF96" s="4738"/>
      <c r="AG96" s="4738"/>
      <c r="AH96" s="4738"/>
      <c r="AI96" s="4738"/>
      <c r="AJ96" s="1659"/>
      <c r="AK96" s="579"/>
      <c r="AL96" s="23"/>
      <c r="AQ96" s="3746"/>
      <c r="AR96" s="2284"/>
      <c r="AS96" s="2284"/>
      <c r="AT96" s="2601"/>
      <c r="AU96" s="2601"/>
    </row>
    <row r="97" spans="1:47" ht="1.5" customHeight="1">
      <c r="A97" s="9"/>
      <c r="B97" s="3745"/>
      <c r="C97" s="3751"/>
      <c r="D97" s="859"/>
      <c r="E97" s="859"/>
      <c r="F97" s="859"/>
      <c r="G97" s="859"/>
      <c r="H97" s="859"/>
      <c r="I97" s="859"/>
      <c r="J97" s="859"/>
      <c r="K97" s="859"/>
      <c r="L97" s="4722" t="s">
        <v>1749</v>
      </c>
      <c r="M97" s="4722"/>
      <c r="N97" s="4722"/>
      <c r="O97" s="4722"/>
      <c r="P97" s="4722"/>
      <c r="Q97" s="859"/>
      <c r="R97" s="859"/>
      <c r="S97" s="859"/>
      <c r="T97" s="859"/>
      <c r="U97" s="859"/>
      <c r="V97" s="859"/>
      <c r="W97" s="859"/>
      <c r="X97" s="859"/>
      <c r="Y97" s="859"/>
      <c r="Z97" s="859"/>
      <c r="AA97" s="859"/>
      <c r="AB97" s="859"/>
      <c r="AC97" s="859"/>
      <c r="AD97" s="859"/>
      <c r="AE97" s="859"/>
      <c r="AF97" s="859"/>
      <c r="AG97" s="859"/>
      <c r="AH97" s="859"/>
      <c r="AI97" s="859"/>
      <c r="AJ97" s="1656"/>
      <c r="AK97" s="579"/>
      <c r="AL97" s="22"/>
      <c r="AQ97" s="3746"/>
      <c r="AR97" s="2284"/>
      <c r="AS97" s="2284"/>
      <c r="AT97" s="2601"/>
      <c r="AU97" s="2601"/>
    </row>
    <row r="98" spans="1:47" ht="13.5" customHeight="1">
      <c r="A98" s="9"/>
      <c r="B98" s="746"/>
      <c r="C98" s="1820"/>
      <c r="D98" s="1925" t="s">
        <v>1751</v>
      </c>
      <c r="E98" s="1648"/>
      <c r="F98" s="1648"/>
      <c r="G98" s="1648"/>
      <c r="H98" s="4720" t="str">
        <f>IF(Cansancio=0,"Incansable",Cansancio)</f>
        <v>Incansable</v>
      </c>
      <c r="I98" s="4720"/>
      <c r="J98" s="4720"/>
      <c r="K98" s="4720"/>
      <c r="L98" s="4723"/>
      <c r="M98" s="4723"/>
      <c r="N98" s="4723"/>
      <c r="O98" s="4723"/>
      <c r="P98" s="4723"/>
      <c r="Q98" s="4724" t="str">
        <f>Regeneración&amp;IF(Regeneración=0," Ninguna"," ("&amp;Principal!K11&amp;" y pen: "&amp;Principal!K12&amp;")")</f>
        <v>0 Ninguna</v>
      </c>
      <c r="R98" s="4724"/>
      <c r="S98" s="4724"/>
      <c r="T98" s="4724"/>
      <c r="U98" s="4724"/>
      <c r="V98" s="4724"/>
      <c r="W98" s="4724"/>
      <c r="X98" s="4724"/>
      <c r="Y98" s="4724"/>
      <c r="Z98" s="4724"/>
      <c r="AA98" s="1925"/>
      <c r="AB98" s="1925"/>
      <c r="AC98" s="1925"/>
      <c r="AD98" s="1925"/>
      <c r="AE98" s="1925"/>
      <c r="AF98" s="2053" t="s">
        <v>1283</v>
      </c>
      <c r="AG98" s="2279" t="str">
        <f>"  "&amp;Principal!J32</f>
        <v xml:space="preserve">  1</v>
      </c>
      <c r="AH98" s="2279"/>
      <c r="AI98" s="2279"/>
      <c r="AJ98" s="1659"/>
      <c r="AK98" s="579"/>
      <c r="AL98" s="23"/>
      <c r="AQ98" s="3746"/>
      <c r="AR98" s="2284"/>
      <c r="AS98" s="2284"/>
      <c r="AT98" s="2601"/>
      <c r="AU98" s="2601"/>
    </row>
    <row r="99" spans="1:47" ht="2.25" customHeight="1" thickBot="1">
      <c r="A99" s="9"/>
      <c r="B99" s="443"/>
      <c r="C99" s="2312"/>
      <c r="D99" s="2311"/>
      <c r="E99" s="2311"/>
      <c r="F99" s="2311"/>
      <c r="G99" s="2311"/>
      <c r="H99" s="2311"/>
      <c r="I99" s="2281"/>
      <c r="J99" s="2281"/>
      <c r="K99" s="2281"/>
      <c r="L99" s="2281"/>
      <c r="M99" s="2281"/>
      <c r="N99" s="2281"/>
      <c r="O99" s="2281"/>
      <c r="P99" s="2281"/>
      <c r="Q99" s="2281"/>
      <c r="R99" s="2281"/>
      <c r="S99" s="2281"/>
      <c r="T99" s="2281"/>
      <c r="U99" s="2281"/>
      <c r="V99" s="2281"/>
      <c r="W99" s="2281"/>
      <c r="X99" s="2281"/>
      <c r="Y99" s="2281"/>
      <c r="Z99" s="2281"/>
      <c r="AA99" s="2281"/>
      <c r="AB99" s="2281"/>
      <c r="AC99" s="2281"/>
      <c r="AD99" s="2281"/>
      <c r="AE99" s="2281"/>
      <c r="AF99" s="2281"/>
      <c r="AG99" s="2281"/>
      <c r="AH99" s="2281"/>
      <c r="AI99" s="2281"/>
      <c r="AJ99" s="1660"/>
      <c r="AK99" s="579"/>
      <c r="AL99" s="23"/>
      <c r="AQ99" s="3746"/>
      <c r="AR99" s="2335"/>
      <c r="AS99" s="2335"/>
      <c r="AT99" s="2601"/>
      <c r="AU99" s="2601"/>
    </row>
    <row r="100" spans="1:47" ht="12" customHeight="1">
      <c r="A100" s="9"/>
      <c r="B100" s="746"/>
      <c r="C100" s="1820"/>
      <c r="D100" s="2288" t="s">
        <v>1752</v>
      </c>
      <c r="E100" s="2288"/>
      <c r="F100" s="2288"/>
      <c r="G100" s="2288"/>
      <c r="H100" s="2288"/>
      <c r="I100" s="2288"/>
      <c r="J100" s="2288"/>
      <c r="K100" s="2288"/>
      <c r="L100" s="2288"/>
      <c r="M100" s="2302"/>
      <c r="N100" s="2311"/>
      <c r="O100" s="2311"/>
      <c r="P100" s="2311"/>
      <c r="Q100" s="2311"/>
      <c r="R100" s="2311"/>
      <c r="S100" s="2311"/>
      <c r="T100" s="2311"/>
      <c r="U100" s="2311"/>
      <c r="V100" s="2311"/>
      <c r="W100" s="2311"/>
      <c r="X100" s="2311"/>
      <c r="Y100" s="2311"/>
      <c r="Z100" s="2311"/>
      <c r="AA100" s="2311"/>
      <c r="AB100" s="2311"/>
      <c r="AC100" s="2311"/>
      <c r="AD100" s="2311"/>
      <c r="AE100" s="2311"/>
      <c r="AF100" s="2311"/>
      <c r="AG100" s="2311"/>
      <c r="AH100" s="2311"/>
      <c r="AI100" s="2311"/>
      <c r="AJ100" s="1659"/>
      <c r="AK100" s="579"/>
      <c r="AL100" s="23"/>
      <c r="AN100" s="4732" t="s">
        <v>9135</v>
      </c>
      <c r="AO100" s="4733"/>
      <c r="AP100" s="4734"/>
      <c r="AQ100" s="3747"/>
      <c r="AR100" s="2332"/>
      <c r="AS100" s="2332"/>
      <c r="AT100" s="2601"/>
      <c r="AU100" s="2601"/>
    </row>
    <row r="101" spans="1:47" ht="12" customHeight="1">
      <c r="A101" s="9"/>
      <c r="B101" s="746"/>
      <c r="C101" s="1820"/>
      <c r="D101" s="4363" t="str">
        <f>IF(AN102=AT103,Tablas!N2200,Tablas!K2200)</f>
        <v/>
      </c>
      <c r="E101" s="4363"/>
      <c r="F101" s="4363"/>
      <c r="G101" s="4363"/>
      <c r="H101" s="4363"/>
      <c r="I101" s="4363"/>
      <c r="J101" s="4363"/>
      <c r="K101" s="4363"/>
      <c r="L101" s="4363"/>
      <c r="M101" s="4363"/>
      <c r="N101" s="4363"/>
      <c r="O101" s="4363"/>
      <c r="P101" s="4363"/>
      <c r="Q101" s="4363"/>
      <c r="R101" s="4363"/>
      <c r="S101" s="4363"/>
      <c r="T101" s="4363"/>
      <c r="U101" s="4363"/>
      <c r="V101" s="4363"/>
      <c r="W101" s="4363"/>
      <c r="X101" s="4363"/>
      <c r="Y101" s="4363"/>
      <c r="Z101" s="4363"/>
      <c r="AA101" s="4363"/>
      <c r="AB101" s="4363"/>
      <c r="AC101" s="4363"/>
      <c r="AD101" s="4363"/>
      <c r="AE101" s="4363"/>
      <c r="AF101" s="4363"/>
      <c r="AG101" s="4363"/>
      <c r="AH101" s="4363"/>
      <c r="AI101" s="4363"/>
      <c r="AJ101" s="1660"/>
      <c r="AK101" s="579"/>
      <c r="AL101" s="23"/>
      <c r="AN101" s="4735"/>
      <c r="AO101" s="4736"/>
      <c r="AP101" s="4737"/>
      <c r="AQ101" s="3747"/>
      <c r="AR101" s="2332"/>
      <c r="AS101" s="2332"/>
      <c r="AT101" s="2601"/>
      <c r="AU101" s="2601"/>
    </row>
    <row r="102" spans="1:47" ht="12" customHeight="1">
      <c r="A102" s="9"/>
      <c r="B102" s="746"/>
      <c r="C102" s="1820"/>
      <c r="D102" s="4363"/>
      <c r="E102" s="4363"/>
      <c r="F102" s="4363"/>
      <c r="G102" s="4363"/>
      <c r="H102" s="4363"/>
      <c r="I102" s="4363"/>
      <c r="J102" s="4363"/>
      <c r="K102" s="4363"/>
      <c r="L102" s="4363"/>
      <c r="M102" s="4363"/>
      <c r="N102" s="4363"/>
      <c r="O102" s="4363"/>
      <c r="P102" s="4363"/>
      <c r="Q102" s="4363"/>
      <c r="R102" s="4363"/>
      <c r="S102" s="4363"/>
      <c r="T102" s="4363"/>
      <c r="U102" s="4363"/>
      <c r="V102" s="4363"/>
      <c r="W102" s="4363"/>
      <c r="X102" s="4363"/>
      <c r="Y102" s="4363"/>
      <c r="Z102" s="4363"/>
      <c r="AA102" s="4363"/>
      <c r="AB102" s="4363"/>
      <c r="AC102" s="4363"/>
      <c r="AD102" s="4363"/>
      <c r="AE102" s="4363"/>
      <c r="AF102" s="4363"/>
      <c r="AG102" s="4363"/>
      <c r="AH102" s="4363"/>
      <c r="AI102" s="4363"/>
      <c r="AJ102" s="1660"/>
      <c r="AK102" s="579"/>
      <c r="AL102" s="23"/>
      <c r="AN102" s="4657" t="s">
        <v>9134</v>
      </c>
      <c r="AO102" s="4658"/>
      <c r="AP102" s="4659"/>
      <c r="AQ102" s="3748"/>
      <c r="AR102" s="2334"/>
      <c r="AS102" s="2334"/>
      <c r="AT102" s="2605" t="s">
        <v>9133</v>
      </c>
      <c r="AU102" s="2601"/>
    </row>
    <row r="103" spans="1:47" ht="12" customHeight="1" thickBot="1">
      <c r="A103" s="9"/>
      <c r="B103" s="746"/>
      <c r="C103" s="1820"/>
      <c r="D103" s="4363"/>
      <c r="E103" s="4363"/>
      <c r="F103" s="4363"/>
      <c r="G103" s="4363"/>
      <c r="H103" s="4363"/>
      <c r="I103" s="4363"/>
      <c r="J103" s="4363"/>
      <c r="K103" s="4363"/>
      <c r="L103" s="4363"/>
      <c r="M103" s="4363"/>
      <c r="N103" s="4363"/>
      <c r="O103" s="4363"/>
      <c r="P103" s="4363"/>
      <c r="Q103" s="4363"/>
      <c r="R103" s="4363"/>
      <c r="S103" s="4363"/>
      <c r="T103" s="4363"/>
      <c r="U103" s="4363"/>
      <c r="V103" s="4363"/>
      <c r="W103" s="4363"/>
      <c r="X103" s="4363"/>
      <c r="Y103" s="4363"/>
      <c r="Z103" s="4363"/>
      <c r="AA103" s="4363"/>
      <c r="AB103" s="4363"/>
      <c r="AC103" s="4363"/>
      <c r="AD103" s="4363"/>
      <c r="AE103" s="4363"/>
      <c r="AF103" s="4363"/>
      <c r="AG103" s="4363"/>
      <c r="AH103" s="4363"/>
      <c r="AI103" s="4363"/>
      <c r="AJ103" s="1660"/>
      <c r="AK103" s="579"/>
      <c r="AL103" s="23"/>
      <c r="AN103" s="4660"/>
      <c r="AO103" s="4661"/>
      <c r="AP103" s="4662"/>
      <c r="AQ103" s="3748"/>
      <c r="AR103" s="2334"/>
      <c r="AS103" s="2334"/>
      <c r="AT103" s="2603" t="s">
        <v>9134</v>
      </c>
      <c r="AU103" s="2601"/>
    </row>
    <row r="104" spans="1:47" ht="12" customHeight="1">
      <c r="A104" s="9"/>
      <c r="B104" s="746"/>
      <c r="C104" s="1820"/>
      <c r="D104" s="4363"/>
      <c r="E104" s="4363"/>
      <c r="F104" s="4363"/>
      <c r="G104" s="4363"/>
      <c r="H104" s="4363"/>
      <c r="I104" s="4363"/>
      <c r="J104" s="4363"/>
      <c r="K104" s="4363"/>
      <c r="L104" s="4363"/>
      <c r="M104" s="4363"/>
      <c r="N104" s="4363"/>
      <c r="O104" s="4363"/>
      <c r="P104" s="4363"/>
      <c r="Q104" s="4363"/>
      <c r="R104" s="4363"/>
      <c r="S104" s="4363"/>
      <c r="T104" s="4363"/>
      <c r="U104" s="4363"/>
      <c r="V104" s="4363"/>
      <c r="W104" s="4363"/>
      <c r="X104" s="4363"/>
      <c r="Y104" s="4363"/>
      <c r="Z104" s="4363"/>
      <c r="AA104" s="4363"/>
      <c r="AB104" s="4363"/>
      <c r="AC104" s="4363"/>
      <c r="AD104" s="4363"/>
      <c r="AE104" s="4363"/>
      <c r="AF104" s="4363"/>
      <c r="AG104" s="4363"/>
      <c r="AH104" s="4363"/>
      <c r="AI104" s="4363"/>
      <c r="AJ104" s="1660"/>
      <c r="AK104" s="579"/>
      <c r="AL104" s="23"/>
      <c r="AN104" s="4732" t="s">
        <v>9593</v>
      </c>
      <c r="AO104" s="4733"/>
      <c r="AP104" s="4734"/>
      <c r="AQ104" s="3747"/>
      <c r="AR104" s="2332"/>
      <c r="AS104" s="2332"/>
      <c r="AT104" s="2601"/>
      <c r="AU104" s="2601"/>
    </row>
    <row r="105" spans="1:47" ht="12" customHeight="1">
      <c r="A105" s="9"/>
      <c r="B105" s="746"/>
      <c r="C105" s="1820"/>
      <c r="D105" s="4363"/>
      <c r="E105" s="4363"/>
      <c r="F105" s="4363"/>
      <c r="G105" s="4363"/>
      <c r="H105" s="4363"/>
      <c r="I105" s="4363"/>
      <c r="J105" s="4363"/>
      <c r="K105" s="4363"/>
      <c r="L105" s="4363"/>
      <c r="M105" s="4363"/>
      <c r="N105" s="4363"/>
      <c r="O105" s="4363"/>
      <c r="P105" s="4363"/>
      <c r="Q105" s="4363"/>
      <c r="R105" s="4363"/>
      <c r="S105" s="4363"/>
      <c r="T105" s="4363"/>
      <c r="U105" s="4363"/>
      <c r="V105" s="4363"/>
      <c r="W105" s="4363"/>
      <c r="X105" s="4363"/>
      <c r="Y105" s="4363"/>
      <c r="Z105" s="4363"/>
      <c r="AA105" s="4363"/>
      <c r="AB105" s="4363"/>
      <c r="AC105" s="4363"/>
      <c r="AD105" s="4363"/>
      <c r="AE105" s="4363"/>
      <c r="AF105" s="4363"/>
      <c r="AG105" s="4363"/>
      <c r="AH105" s="4363"/>
      <c r="AI105" s="4363"/>
      <c r="AJ105" s="1660"/>
      <c r="AK105" s="579"/>
      <c r="AL105" s="23"/>
      <c r="AN105" s="4729" t="s">
        <v>1241</v>
      </c>
      <c r="AO105" s="4730"/>
      <c r="AP105" s="4731"/>
      <c r="AQ105" s="3749"/>
      <c r="AR105" s="304"/>
      <c r="AS105" s="304"/>
      <c r="AT105" s="2601"/>
      <c r="AU105" s="2601"/>
    </row>
    <row r="106" spans="1:47" ht="12" customHeight="1" thickBot="1">
      <c r="A106" s="9"/>
      <c r="B106" s="746"/>
      <c r="C106" s="3753"/>
      <c r="D106" s="4739"/>
      <c r="E106" s="4739"/>
      <c r="F106" s="4739"/>
      <c r="G106" s="4739"/>
      <c r="H106" s="4739"/>
      <c r="I106" s="4739"/>
      <c r="J106" s="4739"/>
      <c r="K106" s="4739"/>
      <c r="L106" s="4739"/>
      <c r="M106" s="4739"/>
      <c r="N106" s="4739"/>
      <c r="O106" s="4739"/>
      <c r="P106" s="4739"/>
      <c r="Q106" s="4739"/>
      <c r="R106" s="4739"/>
      <c r="S106" s="4739"/>
      <c r="T106" s="4739"/>
      <c r="U106" s="4739"/>
      <c r="V106" s="4739"/>
      <c r="W106" s="4739"/>
      <c r="X106" s="4739"/>
      <c r="Y106" s="4739"/>
      <c r="Z106" s="4739"/>
      <c r="AA106" s="4739"/>
      <c r="AB106" s="4739"/>
      <c r="AC106" s="4739"/>
      <c r="AD106" s="4739"/>
      <c r="AE106" s="4739"/>
      <c r="AF106" s="4739"/>
      <c r="AG106" s="4739"/>
      <c r="AH106" s="4739"/>
      <c r="AI106" s="4739"/>
      <c r="AJ106" s="2318"/>
      <c r="AK106" s="579"/>
      <c r="AL106" s="23"/>
      <c r="AN106" s="4660"/>
      <c r="AO106" s="4661"/>
      <c r="AP106" s="4662"/>
      <c r="AQ106" s="3749"/>
      <c r="AR106" s="304"/>
      <c r="AS106" s="304"/>
      <c r="AT106" s="2601"/>
      <c r="AU106" s="2601"/>
    </row>
    <row r="107" spans="1:47" ht="12.75" customHeight="1" thickBot="1">
      <c r="A107" s="9"/>
      <c r="B107" s="749"/>
      <c r="C107" s="580"/>
      <c r="D107" s="580"/>
      <c r="E107" s="580"/>
      <c r="F107" s="580"/>
      <c r="G107" s="580"/>
      <c r="H107" s="580"/>
      <c r="I107" s="580"/>
      <c r="J107" s="580"/>
      <c r="K107" s="580"/>
      <c r="L107" s="580"/>
      <c r="M107" s="580"/>
      <c r="N107" s="580"/>
      <c r="O107" s="580"/>
      <c r="P107" s="580"/>
      <c r="Q107" s="580"/>
      <c r="R107" s="580"/>
      <c r="S107" s="580"/>
      <c r="T107" s="580"/>
      <c r="U107" s="580"/>
      <c r="V107" s="580"/>
      <c r="W107" s="580"/>
      <c r="X107" s="580"/>
      <c r="Y107" s="580"/>
      <c r="Z107" s="580"/>
      <c r="AA107" s="580"/>
      <c r="AB107" s="580"/>
      <c r="AC107" s="580"/>
      <c r="AD107" s="580"/>
      <c r="AE107" s="580"/>
      <c r="AF107" s="580"/>
      <c r="AG107" s="580"/>
      <c r="AH107" s="580"/>
      <c r="AI107" s="580"/>
      <c r="AJ107" s="580"/>
      <c r="AK107" s="582"/>
      <c r="AL107" s="23"/>
      <c r="AQ107" s="3746"/>
      <c r="AR107" s="2284"/>
      <c r="AS107" s="2284"/>
      <c r="AT107" s="2601"/>
      <c r="AU107" s="2601"/>
    </row>
    <row r="108" spans="1:47" ht="11.25" customHeight="1">
      <c r="A108" s="9"/>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3754"/>
      <c r="AJ108" s="859"/>
      <c r="AK108" s="3755" t="s">
        <v>9962</v>
      </c>
      <c r="AL108" s="23"/>
      <c r="AQ108" s="3746"/>
      <c r="AR108" s="2284"/>
      <c r="AS108" s="2284"/>
      <c r="AT108" s="2601"/>
      <c r="AU108" s="2601"/>
    </row>
    <row r="109" spans="1:47" ht="11.25" customHeight="1">
      <c r="A109" s="9"/>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3754"/>
      <c r="AJ109" s="859"/>
      <c r="AK109" s="3755"/>
      <c r="AL109" s="1873"/>
      <c r="AQ109" s="708"/>
      <c r="AT109" s="2601"/>
      <c r="AU109" s="2601"/>
    </row>
    <row r="110" spans="1:47" ht="12" customHeight="1" thickBot="1">
      <c r="A110" s="848"/>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3"/>
      <c r="AL110" s="1873"/>
      <c r="AQ110" s="708"/>
      <c r="AT110" s="2601"/>
      <c r="AU110" s="2601"/>
    </row>
    <row r="111" spans="1:47" ht="11.25" customHeight="1">
      <c r="A111" s="848"/>
      <c r="B111" s="3756"/>
      <c r="C111" s="3757"/>
      <c r="D111" s="3757"/>
      <c r="E111" s="3757"/>
      <c r="F111" s="3757"/>
      <c r="G111" s="3757"/>
      <c r="H111" s="3757"/>
      <c r="I111" s="3757"/>
      <c r="J111" s="3757"/>
      <c r="K111" s="3757"/>
      <c r="L111" s="3757"/>
      <c r="M111" s="3757"/>
      <c r="N111" s="3757"/>
      <c r="O111" s="3757"/>
      <c r="P111" s="3757"/>
      <c r="Q111" s="3757"/>
      <c r="R111" s="3757"/>
      <c r="S111" s="3757"/>
      <c r="T111" s="3757"/>
      <c r="U111" s="3757"/>
      <c r="V111" s="3757"/>
      <c r="W111" s="3757"/>
      <c r="X111" s="3757"/>
      <c r="Y111" s="3757"/>
      <c r="Z111" s="3757"/>
      <c r="AA111" s="3757"/>
      <c r="AB111" s="3757"/>
      <c r="AC111" s="3757"/>
      <c r="AD111" s="3757"/>
      <c r="AE111" s="3757"/>
      <c r="AF111" s="3757"/>
      <c r="AG111" s="3757"/>
      <c r="AH111" s="3757"/>
      <c r="AI111" s="3757"/>
      <c r="AJ111" s="3757"/>
      <c r="AK111" s="1934"/>
      <c r="AL111" s="1873"/>
      <c r="AQ111" s="708"/>
      <c r="AT111" s="2601"/>
      <c r="AU111" s="2601"/>
    </row>
    <row r="112" spans="1:47" ht="4.5" customHeight="1">
      <c r="A112" s="848"/>
      <c r="B112" s="3758"/>
      <c r="C112" s="1650"/>
      <c r="D112" s="3759"/>
      <c r="E112" s="3759"/>
      <c r="F112" s="3759"/>
      <c r="G112" s="3759"/>
      <c r="H112" s="3759"/>
      <c r="I112" s="3759"/>
      <c r="J112" s="3759"/>
      <c r="K112" s="3759"/>
      <c r="L112" s="3759"/>
      <c r="M112" s="3759"/>
      <c r="N112" s="3759"/>
      <c r="O112" s="3759"/>
      <c r="P112" s="3759"/>
      <c r="Q112" s="3759"/>
      <c r="R112" s="3759"/>
      <c r="S112" s="3759"/>
      <c r="T112" s="3759"/>
      <c r="U112" s="3759"/>
      <c r="V112" s="3759"/>
      <c r="W112" s="3759"/>
      <c r="X112" s="3759"/>
      <c r="Y112" s="3759"/>
      <c r="Z112" s="3759"/>
      <c r="AA112" s="3759"/>
      <c r="AB112" s="3759"/>
      <c r="AC112" s="3759"/>
      <c r="AD112" s="3759"/>
      <c r="AE112" s="3759"/>
      <c r="AF112" s="3759"/>
      <c r="AG112" s="3759"/>
      <c r="AH112" s="3759"/>
      <c r="AI112" s="3759"/>
      <c r="AJ112" s="3760"/>
      <c r="AK112" s="1645"/>
      <c r="AL112" s="1644"/>
      <c r="AQ112" s="708"/>
      <c r="AT112" s="2601"/>
      <c r="AU112" s="2601"/>
    </row>
    <row r="113" spans="1:47" ht="12.75" customHeight="1">
      <c r="A113" s="848"/>
      <c r="B113" s="3758"/>
      <c r="C113" s="1651"/>
      <c r="D113" s="2065"/>
      <c r="E113" s="4721" t="s">
        <v>9140</v>
      </c>
      <c r="F113" s="4721"/>
      <c r="G113" s="4721"/>
      <c r="H113" s="4721"/>
      <c r="I113" s="4721"/>
      <c r="J113" s="4721"/>
      <c r="K113" s="4721"/>
      <c r="L113" s="4721"/>
      <c r="M113" s="4721"/>
      <c r="N113" s="4721"/>
      <c r="O113" s="4721"/>
      <c r="P113" s="4721"/>
      <c r="Q113" s="4721"/>
      <c r="R113" s="4721"/>
      <c r="S113" s="4721"/>
      <c r="T113" s="4721"/>
      <c r="U113" s="4721"/>
      <c r="V113" s="4721"/>
      <c r="W113" s="4721"/>
      <c r="X113" s="4721"/>
      <c r="Y113" s="4721"/>
      <c r="Z113" s="4721"/>
      <c r="AA113" s="4721"/>
      <c r="AB113" s="4721"/>
      <c r="AC113" s="4721"/>
      <c r="AD113" s="4721"/>
      <c r="AE113" s="4721"/>
      <c r="AF113" s="4721"/>
      <c r="AG113" s="4721"/>
      <c r="AH113" s="4721"/>
      <c r="AI113" s="2065"/>
      <c r="AJ113" s="3761"/>
      <c r="AK113" s="1645"/>
      <c r="AL113" s="1644"/>
      <c r="AQ113" s="708"/>
      <c r="AT113" s="2601"/>
      <c r="AU113" s="2601"/>
    </row>
    <row r="114" spans="1:47" ht="12.75" customHeight="1">
      <c r="A114" s="848"/>
      <c r="B114" s="3758"/>
      <c r="C114" s="1651"/>
      <c r="D114" s="3754"/>
      <c r="E114" s="4721"/>
      <c r="F114" s="4721"/>
      <c r="G114" s="4721"/>
      <c r="H114" s="4721"/>
      <c r="I114" s="4721"/>
      <c r="J114" s="4721"/>
      <c r="K114" s="4721"/>
      <c r="L114" s="4721"/>
      <c r="M114" s="4721"/>
      <c r="N114" s="4721"/>
      <c r="O114" s="4721"/>
      <c r="P114" s="4721"/>
      <c r="Q114" s="4721"/>
      <c r="R114" s="4721"/>
      <c r="S114" s="4721"/>
      <c r="T114" s="4721"/>
      <c r="U114" s="4721"/>
      <c r="V114" s="4721"/>
      <c r="W114" s="4721"/>
      <c r="X114" s="4721"/>
      <c r="Y114" s="4721"/>
      <c r="Z114" s="4721"/>
      <c r="AA114" s="4721"/>
      <c r="AB114" s="4721"/>
      <c r="AC114" s="4721"/>
      <c r="AD114" s="4721"/>
      <c r="AE114" s="4721"/>
      <c r="AF114" s="4721"/>
      <c r="AG114" s="4721"/>
      <c r="AH114" s="4721"/>
      <c r="AI114" s="3762"/>
      <c r="AJ114" s="3761"/>
      <c r="AK114" s="1645"/>
      <c r="AL114" s="1644"/>
      <c r="AQ114" s="708"/>
      <c r="AT114" s="2601"/>
      <c r="AU114" s="2601"/>
    </row>
    <row r="115" spans="1:47" ht="13.5" customHeight="1">
      <c r="A115" s="848"/>
      <c r="B115" s="3758"/>
      <c r="C115" s="1651"/>
      <c r="D115" s="4718" t="str"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
      </c>
      <c r="E115" s="4718"/>
      <c r="F115" s="4718"/>
      <c r="G115" s="4718"/>
      <c r="H115" s="4718"/>
      <c r="I115" s="4718"/>
      <c r="J115" s="4718"/>
      <c r="K115" s="4718"/>
      <c r="L115" s="4718"/>
      <c r="M115" s="4718"/>
      <c r="N115" s="4718"/>
      <c r="O115" s="4718"/>
      <c r="P115" s="4718"/>
      <c r="Q115" s="4718"/>
      <c r="R115" s="4718"/>
      <c r="S115" s="4718"/>
      <c r="T115" s="4718"/>
      <c r="U115" s="4718"/>
      <c r="V115" s="4718"/>
      <c r="W115" s="4718"/>
      <c r="X115" s="4718"/>
      <c r="Y115" s="4718"/>
      <c r="Z115" s="4718"/>
      <c r="AA115" s="4718"/>
      <c r="AB115" s="4718"/>
      <c r="AC115" s="4718"/>
      <c r="AD115" s="4718"/>
      <c r="AE115" s="4718"/>
      <c r="AF115" s="4718"/>
      <c r="AG115" s="4718"/>
      <c r="AH115" s="4718"/>
      <c r="AI115" s="4718"/>
      <c r="AJ115" s="3761"/>
      <c r="AK115" s="1645"/>
      <c r="AL115" s="1644"/>
      <c r="AN115" s="4719"/>
      <c r="AO115" s="4719"/>
      <c r="AP115" s="4719"/>
      <c r="AQ115" s="3750"/>
      <c r="AR115" s="2336"/>
      <c r="AS115" s="2336"/>
      <c r="AT115" s="2601"/>
      <c r="AU115" s="2601"/>
    </row>
    <row r="116" spans="1:47" ht="11.45" customHeight="1">
      <c r="A116" s="848"/>
      <c r="B116" s="3758"/>
      <c r="C116" s="1651"/>
      <c r="D116" s="4718"/>
      <c r="E116" s="4718"/>
      <c r="F116" s="4718"/>
      <c r="G116" s="4718"/>
      <c r="H116" s="4718"/>
      <c r="I116" s="4718"/>
      <c r="J116" s="4718"/>
      <c r="K116" s="4718"/>
      <c r="L116" s="4718"/>
      <c r="M116" s="4718"/>
      <c r="N116" s="4718"/>
      <c r="O116" s="4718"/>
      <c r="P116" s="4718"/>
      <c r="Q116" s="4718"/>
      <c r="R116" s="4718"/>
      <c r="S116" s="4718"/>
      <c r="T116" s="4718"/>
      <c r="U116" s="4718"/>
      <c r="V116" s="4718"/>
      <c r="W116" s="4718"/>
      <c r="X116" s="4718"/>
      <c r="Y116" s="4718"/>
      <c r="Z116" s="4718"/>
      <c r="AA116" s="4718"/>
      <c r="AB116" s="4718"/>
      <c r="AC116" s="4718"/>
      <c r="AD116" s="4718"/>
      <c r="AE116" s="4718"/>
      <c r="AF116" s="4718"/>
      <c r="AG116" s="4718"/>
      <c r="AH116" s="4718"/>
      <c r="AI116" s="4718"/>
      <c r="AJ116" s="3761"/>
      <c r="AK116" s="1645"/>
      <c r="AL116" s="1644"/>
      <c r="AQ116" s="708"/>
      <c r="AT116" s="2601"/>
      <c r="AU116" s="2601"/>
    </row>
    <row r="117" spans="1:47" ht="11.45" customHeight="1">
      <c r="A117" s="848"/>
      <c r="B117" s="3758"/>
      <c r="C117" s="1651"/>
      <c r="D117" s="4718"/>
      <c r="E117" s="4718"/>
      <c r="F117" s="4718"/>
      <c r="G117" s="4718"/>
      <c r="H117" s="4718"/>
      <c r="I117" s="4718"/>
      <c r="J117" s="4718"/>
      <c r="K117" s="4718"/>
      <c r="L117" s="4718"/>
      <c r="M117" s="4718"/>
      <c r="N117" s="4718"/>
      <c r="O117" s="4718"/>
      <c r="P117" s="4718"/>
      <c r="Q117" s="4718"/>
      <c r="R117" s="4718"/>
      <c r="S117" s="4718"/>
      <c r="T117" s="4718"/>
      <c r="U117" s="4718"/>
      <c r="V117" s="4718"/>
      <c r="W117" s="4718"/>
      <c r="X117" s="4718"/>
      <c r="Y117" s="4718"/>
      <c r="Z117" s="4718"/>
      <c r="AA117" s="4718"/>
      <c r="AB117" s="4718"/>
      <c r="AC117" s="4718"/>
      <c r="AD117" s="4718"/>
      <c r="AE117" s="4718"/>
      <c r="AF117" s="4718"/>
      <c r="AG117" s="4718"/>
      <c r="AH117" s="4718"/>
      <c r="AI117" s="4718"/>
      <c r="AJ117" s="3761"/>
      <c r="AK117" s="1645"/>
      <c r="AL117" s="1644"/>
      <c r="AQ117" s="708"/>
      <c r="AT117" s="2601"/>
      <c r="AU117" s="2601"/>
    </row>
    <row r="118" spans="1:47" ht="11.45" customHeight="1">
      <c r="A118" s="848"/>
      <c r="B118" s="3758"/>
      <c r="C118" s="1651"/>
      <c r="D118" s="4718"/>
      <c r="E118" s="4718"/>
      <c r="F118" s="4718"/>
      <c r="G118" s="4718"/>
      <c r="H118" s="4718"/>
      <c r="I118" s="4718"/>
      <c r="J118" s="4718"/>
      <c r="K118" s="4718"/>
      <c r="L118" s="4718"/>
      <c r="M118" s="4718"/>
      <c r="N118" s="4718"/>
      <c r="O118" s="4718"/>
      <c r="P118" s="4718"/>
      <c r="Q118" s="4718"/>
      <c r="R118" s="4718"/>
      <c r="S118" s="4718"/>
      <c r="T118" s="4718"/>
      <c r="U118" s="4718"/>
      <c r="V118" s="4718"/>
      <c r="W118" s="4718"/>
      <c r="X118" s="4718"/>
      <c r="Y118" s="4718"/>
      <c r="Z118" s="4718"/>
      <c r="AA118" s="4718"/>
      <c r="AB118" s="4718"/>
      <c r="AC118" s="4718"/>
      <c r="AD118" s="4718"/>
      <c r="AE118" s="4718"/>
      <c r="AF118" s="4718"/>
      <c r="AG118" s="4718"/>
      <c r="AH118" s="4718"/>
      <c r="AI118" s="4718"/>
      <c r="AJ118" s="3761"/>
      <c r="AK118" s="1646"/>
      <c r="AL118" s="3754"/>
      <c r="AQ118" s="708"/>
      <c r="AT118" s="2601"/>
      <c r="AU118" s="2601"/>
    </row>
    <row r="119" spans="1:47" ht="11.45" customHeight="1">
      <c r="A119" s="848"/>
      <c r="B119" s="3758"/>
      <c r="C119" s="1651"/>
      <c r="D119" s="4718"/>
      <c r="E119" s="4718"/>
      <c r="F119" s="4718"/>
      <c r="G119" s="4718"/>
      <c r="H119" s="4718"/>
      <c r="I119" s="4718"/>
      <c r="J119" s="4718"/>
      <c r="K119" s="4718"/>
      <c r="L119" s="4718"/>
      <c r="M119" s="4718"/>
      <c r="N119" s="4718"/>
      <c r="O119" s="4718"/>
      <c r="P119" s="4718"/>
      <c r="Q119" s="4718"/>
      <c r="R119" s="4718"/>
      <c r="S119" s="4718"/>
      <c r="T119" s="4718"/>
      <c r="U119" s="4718"/>
      <c r="V119" s="4718"/>
      <c r="W119" s="4718"/>
      <c r="X119" s="4718"/>
      <c r="Y119" s="4718"/>
      <c r="Z119" s="4718"/>
      <c r="AA119" s="4718"/>
      <c r="AB119" s="4718"/>
      <c r="AC119" s="4718"/>
      <c r="AD119" s="4718"/>
      <c r="AE119" s="4718"/>
      <c r="AF119" s="4718"/>
      <c r="AG119" s="4718"/>
      <c r="AH119" s="4718"/>
      <c r="AI119" s="4718"/>
      <c r="AJ119" s="3761"/>
      <c r="AK119" s="1646"/>
      <c r="AL119" s="3754"/>
      <c r="AQ119" s="708"/>
      <c r="AT119" s="2601"/>
      <c r="AU119" s="2601"/>
    </row>
    <row r="120" spans="1:47" ht="11.45" customHeight="1">
      <c r="A120" s="848"/>
      <c r="B120" s="3758"/>
      <c r="C120" s="2792"/>
      <c r="D120" s="4718"/>
      <c r="E120" s="4718"/>
      <c r="F120" s="4718"/>
      <c r="G120" s="4718"/>
      <c r="H120" s="4718"/>
      <c r="I120" s="4718"/>
      <c r="J120" s="4718"/>
      <c r="K120" s="4718"/>
      <c r="L120" s="4718"/>
      <c r="M120" s="4718"/>
      <c r="N120" s="4718"/>
      <c r="O120" s="4718"/>
      <c r="P120" s="4718"/>
      <c r="Q120" s="4718"/>
      <c r="R120" s="4718"/>
      <c r="S120" s="4718"/>
      <c r="T120" s="4718"/>
      <c r="U120" s="4718"/>
      <c r="V120" s="4718"/>
      <c r="W120" s="4718"/>
      <c r="X120" s="4718"/>
      <c r="Y120" s="4718"/>
      <c r="Z120" s="4718"/>
      <c r="AA120" s="4718"/>
      <c r="AB120" s="4718"/>
      <c r="AC120" s="4718"/>
      <c r="AD120" s="4718"/>
      <c r="AE120" s="4718"/>
      <c r="AF120" s="4718"/>
      <c r="AG120" s="4718"/>
      <c r="AH120" s="4718"/>
      <c r="AI120" s="4718"/>
      <c r="AJ120" s="3761"/>
      <c r="AK120" s="1646"/>
      <c r="AL120" s="3754"/>
      <c r="AQ120" s="708"/>
      <c r="AT120" s="2601"/>
      <c r="AU120" s="2601"/>
    </row>
    <row r="121" spans="1:47" ht="11.45" customHeight="1">
      <c r="A121" s="848"/>
      <c r="B121" s="3758"/>
      <c r="C121" s="2792"/>
      <c r="D121" s="4718"/>
      <c r="E121" s="4718"/>
      <c r="F121" s="4718"/>
      <c r="G121" s="4718"/>
      <c r="H121" s="4718"/>
      <c r="I121" s="4718"/>
      <c r="J121" s="4718"/>
      <c r="K121" s="4718"/>
      <c r="L121" s="4718"/>
      <c r="M121" s="4718"/>
      <c r="N121" s="4718"/>
      <c r="O121" s="4718"/>
      <c r="P121" s="4718"/>
      <c r="Q121" s="4718"/>
      <c r="R121" s="4718"/>
      <c r="S121" s="4718"/>
      <c r="T121" s="4718"/>
      <c r="U121" s="4718"/>
      <c r="V121" s="4718"/>
      <c r="W121" s="4718"/>
      <c r="X121" s="4718"/>
      <c r="Y121" s="4718"/>
      <c r="Z121" s="4718"/>
      <c r="AA121" s="4718"/>
      <c r="AB121" s="4718"/>
      <c r="AC121" s="4718"/>
      <c r="AD121" s="4718"/>
      <c r="AE121" s="4718"/>
      <c r="AF121" s="4718"/>
      <c r="AG121" s="4718"/>
      <c r="AH121" s="4718"/>
      <c r="AI121" s="4718"/>
      <c r="AJ121" s="3761"/>
      <c r="AK121" s="1646"/>
      <c r="AL121" s="3754"/>
      <c r="AQ121" s="708"/>
      <c r="AT121" s="2601"/>
      <c r="AU121" s="2601"/>
    </row>
    <row r="122" spans="1:47" ht="11.45" customHeight="1">
      <c r="A122" s="848"/>
      <c r="B122" s="3758"/>
      <c r="C122" s="2792"/>
      <c r="D122" s="4718"/>
      <c r="E122" s="4718"/>
      <c r="F122" s="4718"/>
      <c r="G122" s="4718"/>
      <c r="H122" s="4718"/>
      <c r="I122" s="4718"/>
      <c r="J122" s="4718"/>
      <c r="K122" s="4718"/>
      <c r="L122" s="4718"/>
      <c r="M122" s="4718"/>
      <c r="N122" s="4718"/>
      <c r="O122" s="4718"/>
      <c r="P122" s="4718"/>
      <c r="Q122" s="4718"/>
      <c r="R122" s="4718"/>
      <c r="S122" s="4718"/>
      <c r="T122" s="4718"/>
      <c r="U122" s="4718"/>
      <c r="V122" s="4718"/>
      <c r="W122" s="4718"/>
      <c r="X122" s="4718"/>
      <c r="Y122" s="4718"/>
      <c r="Z122" s="4718"/>
      <c r="AA122" s="4718"/>
      <c r="AB122" s="4718"/>
      <c r="AC122" s="4718"/>
      <c r="AD122" s="4718"/>
      <c r="AE122" s="4718"/>
      <c r="AF122" s="4718"/>
      <c r="AG122" s="4718"/>
      <c r="AH122" s="4718"/>
      <c r="AI122" s="4718"/>
      <c r="AJ122" s="3761"/>
      <c r="AK122" s="1646"/>
      <c r="AL122" s="3754"/>
      <c r="AQ122" s="708"/>
      <c r="AT122" s="2601"/>
      <c r="AU122" s="2601"/>
    </row>
    <row r="123" spans="1:47" ht="11.45" customHeight="1">
      <c r="A123" s="848"/>
      <c r="B123" s="3758"/>
      <c r="C123" s="2792"/>
      <c r="D123" s="4718"/>
      <c r="E123" s="4718"/>
      <c r="F123" s="4718"/>
      <c r="G123" s="4718"/>
      <c r="H123" s="4718"/>
      <c r="I123" s="4718"/>
      <c r="J123" s="4718"/>
      <c r="K123" s="4718"/>
      <c r="L123" s="4718"/>
      <c r="M123" s="4718"/>
      <c r="N123" s="4718"/>
      <c r="O123" s="4718"/>
      <c r="P123" s="4718"/>
      <c r="Q123" s="4718"/>
      <c r="R123" s="4718"/>
      <c r="S123" s="4718"/>
      <c r="T123" s="4718"/>
      <c r="U123" s="4718"/>
      <c r="V123" s="4718"/>
      <c r="W123" s="4718"/>
      <c r="X123" s="4718"/>
      <c r="Y123" s="4718"/>
      <c r="Z123" s="4718"/>
      <c r="AA123" s="4718"/>
      <c r="AB123" s="4718"/>
      <c r="AC123" s="4718"/>
      <c r="AD123" s="4718"/>
      <c r="AE123" s="4718"/>
      <c r="AF123" s="4718"/>
      <c r="AG123" s="4718"/>
      <c r="AH123" s="4718"/>
      <c r="AI123" s="4718"/>
      <c r="AJ123" s="3761"/>
      <c r="AK123" s="1646"/>
      <c r="AL123" s="3754"/>
      <c r="AQ123" s="708"/>
      <c r="AT123" s="2601"/>
      <c r="AU123" s="2601"/>
    </row>
    <row r="124" spans="1:47" ht="11.45" customHeight="1">
      <c r="A124" s="848"/>
      <c r="B124" s="3758"/>
      <c r="C124" s="2792"/>
      <c r="D124" s="4718"/>
      <c r="E124" s="4718"/>
      <c r="F124" s="4718"/>
      <c r="G124" s="4718"/>
      <c r="H124" s="4718"/>
      <c r="I124" s="4718"/>
      <c r="J124" s="4718"/>
      <c r="K124" s="4718"/>
      <c r="L124" s="4718"/>
      <c r="M124" s="4718"/>
      <c r="N124" s="4718"/>
      <c r="O124" s="4718"/>
      <c r="P124" s="4718"/>
      <c r="Q124" s="4718"/>
      <c r="R124" s="4718"/>
      <c r="S124" s="4718"/>
      <c r="T124" s="4718"/>
      <c r="U124" s="4718"/>
      <c r="V124" s="4718"/>
      <c r="W124" s="4718"/>
      <c r="X124" s="4718"/>
      <c r="Y124" s="4718"/>
      <c r="Z124" s="4718"/>
      <c r="AA124" s="4718"/>
      <c r="AB124" s="4718"/>
      <c r="AC124" s="4718"/>
      <c r="AD124" s="4718"/>
      <c r="AE124" s="4718"/>
      <c r="AF124" s="4718"/>
      <c r="AG124" s="4718"/>
      <c r="AH124" s="4718"/>
      <c r="AI124" s="4718"/>
      <c r="AJ124" s="3761"/>
      <c r="AK124" s="1646"/>
      <c r="AL124" s="3754"/>
      <c r="AQ124" s="708"/>
      <c r="AT124" s="2601"/>
      <c r="AU124" s="2601"/>
    </row>
    <row r="125" spans="1:47" ht="11.45" customHeight="1">
      <c r="A125" s="848"/>
      <c r="B125" s="3758"/>
      <c r="C125" s="2792"/>
      <c r="D125" s="4718"/>
      <c r="E125" s="4718"/>
      <c r="F125" s="4718"/>
      <c r="G125" s="4718"/>
      <c r="H125" s="4718"/>
      <c r="I125" s="4718"/>
      <c r="J125" s="4718"/>
      <c r="K125" s="4718"/>
      <c r="L125" s="4718"/>
      <c r="M125" s="4718"/>
      <c r="N125" s="4718"/>
      <c r="O125" s="4718"/>
      <c r="P125" s="4718"/>
      <c r="Q125" s="4718"/>
      <c r="R125" s="4718"/>
      <c r="S125" s="4718"/>
      <c r="T125" s="4718"/>
      <c r="U125" s="4718"/>
      <c r="V125" s="4718"/>
      <c r="W125" s="4718"/>
      <c r="X125" s="4718"/>
      <c r="Y125" s="4718"/>
      <c r="Z125" s="4718"/>
      <c r="AA125" s="4718"/>
      <c r="AB125" s="4718"/>
      <c r="AC125" s="4718"/>
      <c r="AD125" s="4718"/>
      <c r="AE125" s="4718"/>
      <c r="AF125" s="4718"/>
      <c r="AG125" s="4718"/>
      <c r="AH125" s="4718"/>
      <c r="AI125" s="4718"/>
      <c r="AJ125" s="3763"/>
      <c r="AK125" s="1646"/>
      <c r="AL125" s="3754"/>
      <c r="AQ125" s="708"/>
      <c r="AT125" s="2601"/>
      <c r="AU125" s="2601"/>
    </row>
    <row r="126" spans="1:47" ht="11.45" customHeight="1">
      <c r="A126" s="848"/>
      <c r="B126" s="3758"/>
      <c r="C126" s="1651"/>
      <c r="D126" s="4718"/>
      <c r="E126" s="4718"/>
      <c r="F126" s="4718"/>
      <c r="G126" s="4718"/>
      <c r="H126" s="4718"/>
      <c r="I126" s="4718"/>
      <c r="J126" s="4718"/>
      <c r="K126" s="4718"/>
      <c r="L126" s="4718"/>
      <c r="M126" s="4718"/>
      <c r="N126" s="4718"/>
      <c r="O126" s="4718"/>
      <c r="P126" s="4718"/>
      <c r="Q126" s="4718"/>
      <c r="R126" s="4718"/>
      <c r="S126" s="4718"/>
      <c r="T126" s="4718"/>
      <c r="U126" s="4718"/>
      <c r="V126" s="4718"/>
      <c r="W126" s="4718"/>
      <c r="X126" s="4718"/>
      <c r="Y126" s="4718"/>
      <c r="Z126" s="4718"/>
      <c r="AA126" s="4718"/>
      <c r="AB126" s="4718"/>
      <c r="AC126" s="4718"/>
      <c r="AD126" s="4718"/>
      <c r="AE126" s="4718"/>
      <c r="AF126" s="4718"/>
      <c r="AG126" s="4718"/>
      <c r="AH126" s="4718"/>
      <c r="AI126" s="4718"/>
      <c r="AJ126" s="3763"/>
      <c r="AK126" s="1646"/>
      <c r="AL126" s="3754"/>
      <c r="AQ126" s="708"/>
      <c r="AT126" s="2601"/>
      <c r="AU126" s="2601"/>
    </row>
    <row r="127" spans="1:47" ht="11.45" customHeight="1">
      <c r="A127" s="859"/>
      <c r="B127" s="522"/>
      <c r="C127" s="3764"/>
      <c r="D127" s="4718"/>
      <c r="E127" s="4718"/>
      <c r="F127" s="4718"/>
      <c r="G127" s="4718"/>
      <c r="H127" s="4718"/>
      <c r="I127" s="4718"/>
      <c r="J127" s="4718"/>
      <c r="K127" s="4718"/>
      <c r="L127" s="4718"/>
      <c r="M127" s="4718"/>
      <c r="N127" s="4718"/>
      <c r="O127" s="4718"/>
      <c r="P127" s="4718"/>
      <c r="Q127" s="4718"/>
      <c r="R127" s="4718"/>
      <c r="S127" s="4718"/>
      <c r="T127" s="4718"/>
      <c r="U127" s="4718"/>
      <c r="V127" s="4718"/>
      <c r="W127" s="4718"/>
      <c r="X127" s="4718"/>
      <c r="Y127" s="4718"/>
      <c r="Z127" s="4718"/>
      <c r="AA127" s="4718"/>
      <c r="AB127" s="4718"/>
      <c r="AC127" s="4718"/>
      <c r="AD127" s="4718"/>
      <c r="AE127" s="4718"/>
      <c r="AF127" s="4718"/>
      <c r="AG127" s="4718"/>
      <c r="AH127" s="4718"/>
      <c r="AI127" s="4718"/>
      <c r="AJ127" s="3765"/>
      <c r="AK127" s="1269"/>
      <c r="AL127" s="859"/>
      <c r="AQ127" s="708"/>
      <c r="AT127" s="2601"/>
      <c r="AU127" s="2601"/>
    </row>
    <row r="128" spans="1:47" ht="11.45" customHeight="1">
      <c r="A128" s="848"/>
      <c r="B128" s="3758"/>
      <c r="C128" s="2792"/>
      <c r="D128" s="4718"/>
      <c r="E128" s="4718"/>
      <c r="F128" s="4718"/>
      <c r="G128" s="4718"/>
      <c r="H128" s="4718"/>
      <c r="I128" s="4718"/>
      <c r="J128" s="4718"/>
      <c r="K128" s="4718"/>
      <c r="L128" s="4718"/>
      <c r="M128" s="4718"/>
      <c r="N128" s="4718"/>
      <c r="O128" s="4718"/>
      <c r="P128" s="4718"/>
      <c r="Q128" s="4718"/>
      <c r="R128" s="4718"/>
      <c r="S128" s="4718"/>
      <c r="T128" s="4718"/>
      <c r="U128" s="4718"/>
      <c r="V128" s="4718"/>
      <c r="W128" s="4718"/>
      <c r="X128" s="4718"/>
      <c r="Y128" s="4718"/>
      <c r="Z128" s="4718"/>
      <c r="AA128" s="4718"/>
      <c r="AB128" s="4718"/>
      <c r="AC128" s="4718"/>
      <c r="AD128" s="4718"/>
      <c r="AE128" s="4718"/>
      <c r="AF128" s="4718"/>
      <c r="AG128" s="4718"/>
      <c r="AH128" s="4718"/>
      <c r="AI128" s="4718"/>
      <c r="AJ128" s="2093"/>
      <c r="AK128" s="1646"/>
      <c r="AL128" s="3754"/>
      <c r="AQ128" s="708"/>
      <c r="AT128" s="2601"/>
      <c r="AU128" s="2601"/>
    </row>
    <row r="129" spans="1:47" ht="11.45" customHeight="1">
      <c r="A129" s="848"/>
      <c r="B129" s="3758"/>
      <c r="C129" s="2792"/>
      <c r="D129" s="4718"/>
      <c r="E129" s="4718"/>
      <c r="F129" s="4718"/>
      <c r="G129" s="4718"/>
      <c r="H129" s="4718"/>
      <c r="I129" s="4718"/>
      <c r="J129" s="4718"/>
      <c r="K129" s="4718"/>
      <c r="L129" s="4718"/>
      <c r="M129" s="4718"/>
      <c r="N129" s="4718"/>
      <c r="O129" s="4718"/>
      <c r="P129" s="4718"/>
      <c r="Q129" s="4718"/>
      <c r="R129" s="4718"/>
      <c r="S129" s="4718"/>
      <c r="T129" s="4718"/>
      <c r="U129" s="4718"/>
      <c r="V129" s="4718"/>
      <c r="W129" s="4718"/>
      <c r="X129" s="4718"/>
      <c r="Y129" s="4718"/>
      <c r="Z129" s="4718"/>
      <c r="AA129" s="4718"/>
      <c r="AB129" s="4718"/>
      <c r="AC129" s="4718"/>
      <c r="AD129" s="4718"/>
      <c r="AE129" s="4718"/>
      <c r="AF129" s="4718"/>
      <c r="AG129" s="4718"/>
      <c r="AH129" s="4718"/>
      <c r="AI129" s="4718"/>
      <c r="AJ129" s="2093"/>
      <c r="AK129" s="1646"/>
      <c r="AL129" s="3754"/>
      <c r="AQ129" s="708"/>
      <c r="AT129" s="2601"/>
      <c r="AU129" s="2601"/>
    </row>
    <row r="130" spans="1:47" ht="11.45" customHeight="1">
      <c r="A130" s="859"/>
      <c r="B130" s="522"/>
      <c r="C130" s="3764"/>
      <c r="D130" s="4718"/>
      <c r="E130" s="4718"/>
      <c r="F130" s="4718"/>
      <c r="G130" s="4718"/>
      <c r="H130" s="4718"/>
      <c r="I130" s="4718"/>
      <c r="J130" s="4718"/>
      <c r="K130" s="4718"/>
      <c r="L130" s="4718"/>
      <c r="M130" s="4718"/>
      <c r="N130" s="4718"/>
      <c r="O130" s="4718"/>
      <c r="P130" s="4718"/>
      <c r="Q130" s="4718"/>
      <c r="R130" s="4718"/>
      <c r="S130" s="4718"/>
      <c r="T130" s="4718"/>
      <c r="U130" s="4718"/>
      <c r="V130" s="4718"/>
      <c r="W130" s="4718"/>
      <c r="X130" s="4718"/>
      <c r="Y130" s="4718"/>
      <c r="Z130" s="4718"/>
      <c r="AA130" s="4718"/>
      <c r="AB130" s="4718"/>
      <c r="AC130" s="4718"/>
      <c r="AD130" s="4718"/>
      <c r="AE130" s="4718"/>
      <c r="AF130" s="4718"/>
      <c r="AG130" s="4718"/>
      <c r="AH130" s="4718"/>
      <c r="AI130" s="4718"/>
      <c r="AJ130" s="3765"/>
      <c r="AK130" s="1269"/>
      <c r="AL130" s="859"/>
      <c r="AQ130" s="708"/>
      <c r="AT130" s="2601"/>
      <c r="AU130" s="2601"/>
    </row>
    <row r="131" spans="1:47" ht="11.45" customHeight="1">
      <c r="A131" s="848"/>
      <c r="B131" s="3758"/>
      <c r="C131" s="2792"/>
      <c r="D131" s="4718"/>
      <c r="E131" s="4718"/>
      <c r="F131" s="4718"/>
      <c r="G131" s="4718"/>
      <c r="H131" s="4718"/>
      <c r="I131" s="4718"/>
      <c r="J131" s="4718"/>
      <c r="K131" s="4718"/>
      <c r="L131" s="4718"/>
      <c r="M131" s="4718"/>
      <c r="N131" s="4718"/>
      <c r="O131" s="4718"/>
      <c r="P131" s="4718"/>
      <c r="Q131" s="4718"/>
      <c r="R131" s="4718"/>
      <c r="S131" s="4718"/>
      <c r="T131" s="4718"/>
      <c r="U131" s="4718"/>
      <c r="V131" s="4718"/>
      <c r="W131" s="4718"/>
      <c r="X131" s="4718"/>
      <c r="Y131" s="4718"/>
      <c r="Z131" s="4718"/>
      <c r="AA131" s="4718"/>
      <c r="AB131" s="4718"/>
      <c r="AC131" s="4718"/>
      <c r="AD131" s="4718"/>
      <c r="AE131" s="4718"/>
      <c r="AF131" s="4718"/>
      <c r="AG131" s="4718"/>
      <c r="AH131" s="4718"/>
      <c r="AI131" s="4718"/>
      <c r="AJ131" s="2094"/>
      <c r="AK131" s="1646"/>
      <c r="AL131" s="3754"/>
      <c r="AQ131" s="708"/>
      <c r="AT131" s="2601"/>
      <c r="AU131" s="2601"/>
    </row>
    <row r="132" spans="1:47" ht="11.45" customHeight="1">
      <c r="A132" s="848"/>
      <c r="B132" s="3758"/>
      <c r="C132" s="2792"/>
      <c r="D132" s="4718"/>
      <c r="E132" s="4718"/>
      <c r="F132" s="4718"/>
      <c r="G132" s="4718"/>
      <c r="H132" s="4718"/>
      <c r="I132" s="4718"/>
      <c r="J132" s="4718"/>
      <c r="K132" s="4718"/>
      <c r="L132" s="4718"/>
      <c r="M132" s="4718"/>
      <c r="N132" s="4718"/>
      <c r="O132" s="4718"/>
      <c r="P132" s="4718"/>
      <c r="Q132" s="4718"/>
      <c r="R132" s="4718"/>
      <c r="S132" s="4718"/>
      <c r="T132" s="4718"/>
      <c r="U132" s="4718"/>
      <c r="V132" s="4718"/>
      <c r="W132" s="4718"/>
      <c r="X132" s="4718"/>
      <c r="Y132" s="4718"/>
      <c r="Z132" s="4718"/>
      <c r="AA132" s="4718"/>
      <c r="AB132" s="4718"/>
      <c r="AC132" s="4718"/>
      <c r="AD132" s="4718"/>
      <c r="AE132" s="4718"/>
      <c r="AF132" s="4718"/>
      <c r="AG132" s="4718"/>
      <c r="AH132" s="4718"/>
      <c r="AI132" s="4718"/>
      <c r="AJ132" s="2094"/>
      <c r="AK132" s="1646"/>
      <c r="AL132" s="3754"/>
      <c r="AQ132" s="708"/>
      <c r="AT132" s="2601"/>
      <c r="AU132" s="2601"/>
    </row>
    <row r="133" spans="1:47" ht="11.45" customHeight="1">
      <c r="A133" s="859"/>
      <c r="B133" s="522"/>
      <c r="C133" s="3764"/>
      <c r="D133" s="4718"/>
      <c r="E133" s="4718"/>
      <c r="F133" s="4718"/>
      <c r="G133" s="4718"/>
      <c r="H133" s="4718"/>
      <c r="I133" s="4718"/>
      <c r="J133" s="4718"/>
      <c r="K133" s="4718"/>
      <c r="L133" s="4718"/>
      <c r="M133" s="4718"/>
      <c r="N133" s="4718"/>
      <c r="O133" s="4718"/>
      <c r="P133" s="4718"/>
      <c r="Q133" s="4718"/>
      <c r="R133" s="4718"/>
      <c r="S133" s="4718"/>
      <c r="T133" s="4718"/>
      <c r="U133" s="4718"/>
      <c r="V133" s="4718"/>
      <c r="W133" s="4718"/>
      <c r="X133" s="4718"/>
      <c r="Y133" s="4718"/>
      <c r="Z133" s="4718"/>
      <c r="AA133" s="4718"/>
      <c r="AB133" s="4718"/>
      <c r="AC133" s="4718"/>
      <c r="AD133" s="4718"/>
      <c r="AE133" s="4718"/>
      <c r="AF133" s="4718"/>
      <c r="AG133" s="4718"/>
      <c r="AH133" s="4718"/>
      <c r="AI133" s="4718"/>
      <c r="AJ133" s="3765"/>
      <c r="AK133" s="1269"/>
      <c r="AL133" s="859"/>
      <c r="AQ133" s="708"/>
      <c r="AT133" s="2601"/>
      <c r="AU133" s="2601"/>
    </row>
    <row r="134" spans="1:47" ht="11.45" customHeight="1">
      <c r="A134" s="848"/>
      <c r="B134" s="3758"/>
      <c r="C134" s="1651"/>
      <c r="D134" s="4718"/>
      <c r="E134" s="4718"/>
      <c r="F134" s="4718"/>
      <c r="G134" s="4718"/>
      <c r="H134" s="4718"/>
      <c r="I134" s="4718"/>
      <c r="J134" s="4718"/>
      <c r="K134" s="4718"/>
      <c r="L134" s="4718"/>
      <c r="M134" s="4718"/>
      <c r="N134" s="4718"/>
      <c r="O134" s="4718"/>
      <c r="P134" s="4718"/>
      <c r="Q134" s="4718"/>
      <c r="R134" s="4718"/>
      <c r="S134" s="4718"/>
      <c r="T134" s="4718"/>
      <c r="U134" s="4718"/>
      <c r="V134" s="4718"/>
      <c r="W134" s="4718"/>
      <c r="X134" s="4718"/>
      <c r="Y134" s="4718"/>
      <c r="Z134" s="4718"/>
      <c r="AA134" s="4718"/>
      <c r="AB134" s="4718"/>
      <c r="AC134" s="4718"/>
      <c r="AD134" s="4718"/>
      <c r="AE134" s="4718"/>
      <c r="AF134" s="4718"/>
      <c r="AG134" s="4718"/>
      <c r="AH134" s="4718"/>
      <c r="AI134" s="4718"/>
      <c r="AJ134" s="2094"/>
      <c r="AK134" s="1646"/>
      <c r="AL134" s="3754"/>
      <c r="AQ134" s="708"/>
      <c r="AT134" s="2601"/>
      <c r="AU134" s="2601"/>
    </row>
    <row r="135" spans="1:47" ht="11.45" customHeight="1">
      <c r="A135" s="848"/>
      <c r="B135" s="3758"/>
      <c r="C135" s="1651"/>
      <c r="D135" s="4718"/>
      <c r="E135" s="4718"/>
      <c r="F135" s="4718"/>
      <c r="G135" s="4718"/>
      <c r="H135" s="4718"/>
      <c r="I135" s="4718"/>
      <c r="J135" s="4718"/>
      <c r="K135" s="4718"/>
      <c r="L135" s="4718"/>
      <c r="M135" s="4718"/>
      <c r="N135" s="4718"/>
      <c r="O135" s="4718"/>
      <c r="P135" s="4718"/>
      <c r="Q135" s="4718"/>
      <c r="R135" s="4718"/>
      <c r="S135" s="4718"/>
      <c r="T135" s="4718"/>
      <c r="U135" s="4718"/>
      <c r="V135" s="4718"/>
      <c r="W135" s="4718"/>
      <c r="X135" s="4718"/>
      <c r="Y135" s="4718"/>
      <c r="Z135" s="4718"/>
      <c r="AA135" s="4718"/>
      <c r="AB135" s="4718"/>
      <c r="AC135" s="4718"/>
      <c r="AD135" s="4718"/>
      <c r="AE135" s="4718"/>
      <c r="AF135" s="4718"/>
      <c r="AG135" s="4718"/>
      <c r="AH135" s="4718"/>
      <c r="AI135" s="4718"/>
      <c r="AJ135" s="2094"/>
      <c r="AK135" s="1646"/>
      <c r="AL135" s="3754"/>
      <c r="AQ135" s="708"/>
      <c r="AT135" s="2601"/>
      <c r="AU135" s="2601"/>
    </row>
    <row r="136" spans="1:47" ht="11.45" customHeight="1">
      <c r="A136" s="859"/>
      <c r="B136" s="522"/>
      <c r="C136" s="3764"/>
      <c r="D136" s="4718"/>
      <c r="E136" s="4718"/>
      <c r="F136" s="4718"/>
      <c r="G136" s="4718"/>
      <c r="H136" s="4718"/>
      <c r="I136" s="4718"/>
      <c r="J136" s="4718"/>
      <c r="K136" s="4718"/>
      <c r="L136" s="4718"/>
      <c r="M136" s="4718"/>
      <c r="N136" s="4718"/>
      <c r="O136" s="4718"/>
      <c r="P136" s="4718"/>
      <c r="Q136" s="4718"/>
      <c r="R136" s="4718"/>
      <c r="S136" s="4718"/>
      <c r="T136" s="4718"/>
      <c r="U136" s="4718"/>
      <c r="V136" s="4718"/>
      <c r="W136" s="4718"/>
      <c r="X136" s="4718"/>
      <c r="Y136" s="4718"/>
      <c r="Z136" s="4718"/>
      <c r="AA136" s="4718"/>
      <c r="AB136" s="4718"/>
      <c r="AC136" s="4718"/>
      <c r="AD136" s="4718"/>
      <c r="AE136" s="4718"/>
      <c r="AF136" s="4718"/>
      <c r="AG136" s="4718"/>
      <c r="AH136" s="4718"/>
      <c r="AI136" s="4718"/>
      <c r="AJ136" s="3765"/>
      <c r="AK136" s="1269"/>
      <c r="AL136" s="859"/>
      <c r="AQ136" s="708"/>
      <c r="AT136" s="2601"/>
      <c r="AU136" s="2601"/>
    </row>
    <row r="137" spans="1:47" ht="11.45" customHeight="1">
      <c r="A137" s="848"/>
      <c r="B137" s="3758"/>
      <c r="C137" s="1651"/>
      <c r="D137" s="4718"/>
      <c r="E137" s="4718"/>
      <c r="F137" s="4718"/>
      <c r="G137" s="4718"/>
      <c r="H137" s="4718"/>
      <c r="I137" s="4718"/>
      <c r="J137" s="4718"/>
      <c r="K137" s="4718"/>
      <c r="L137" s="4718"/>
      <c r="M137" s="4718"/>
      <c r="N137" s="4718"/>
      <c r="O137" s="4718"/>
      <c r="P137" s="4718"/>
      <c r="Q137" s="4718"/>
      <c r="R137" s="4718"/>
      <c r="S137" s="4718"/>
      <c r="T137" s="4718"/>
      <c r="U137" s="4718"/>
      <c r="V137" s="4718"/>
      <c r="W137" s="4718"/>
      <c r="X137" s="4718"/>
      <c r="Y137" s="4718"/>
      <c r="Z137" s="4718"/>
      <c r="AA137" s="4718"/>
      <c r="AB137" s="4718"/>
      <c r="AC137" s="4718"/>
      <c r="AD137" s="4718"/>
      <c r="AE137" s="4718"/>
      <c r="AF137" s="4718"/>
      <c r="AG137" s="4718"/>
      <c r="AH137" s="4718"/>
      <c r="AI137" s="4718"/>
      <c r="AJ137" s="2093"/>
      <c r="AK137" s="1646"/>
      <c r="AL137" s="3754"/>
      <c r="AQ137" s="708"/>
      <c r="AT137" s="2601"/>
      <c r="AU137" s="2601"/>
    </row>
    <row r="138" spans="1:47" ht="11.45" customHeight="1">
      <c r="A138" s="848"/>
      <c r="B138" s="3758"/>
      <c r="C138" s="1651"/>
      <c r="D138" s="4718"/>
      <c r="E138" s="4718"/>
      <c r="F138" s="4718"/>
      <c r="G138" s="4718"/>
      <c r="H138" s="4718"/>
      <c r="I138" s="4718"/>
      <c r="J138" s="4718"/>
      <c r="K138" s="4718"/>
      <c r="L138" s="4718"/>
      <c r="M138" s="4718"/>
      <c r="N138" s="4718"/>
      <c r="O138" s="4718"/>
      <c r="P138" s="4718"/>
      <c r="Q138" s="4718"/>
      <c r="R138" s="4718"/>
      <c r="S138" s="4718"/>
      <c r="T138" s="4718"/>
      <c r="U138" s="4718"/>
      <c r="V138" s="4718"/>
      <c r="W138" s="4718"/>
      <c r="X138" s="4718"/>
      <c r="Y138" s="4718"/>
      <c r="Z138" s="4718"/>
      <c r="AA138" s="4718"/>
      <c r="AB138" s="4718"/>
      <c r="AC138" s="4718"/>
      <c r="AD138" s="4718"/>
      <c r="AE138" s="4718"/>
      <c r="AF138" s="4718"/>
      <c r="AG138" s="4718"/>
      <c r="AH138" s="4718"/>
      <c r="AI138" s="4718"/>
      <c r="AJ138" s="2093"/>
      <c r="AK138" s="1646"/>
      <c r="AL138" s="3754"/>
      <c r="AQ138" s="708"/>
      <c r="AT138" s="2601"/>
      <c r="AU138" s="2601"/>
    </row>
    <row r="139" spans="1:47" ht="11.45" customHeight="1">
      <c r="A139" s="859"/>
      <c r="B139" s="522"/>
      <c r="C139" s="3764"/>
      <c r="D139" s="4718"/>
      <c r="E139" s="4718"/>
      <c r="F139" s="4718"/>
      <c r="G139" s="4718"/>
      <c r="H139" s="4718"/>
      <c r="I139" s="4718"/>
      <c r="J139" s="4718"/>
      <c r="K139" s="4718"/>
      <c r="L139" s="4718"/>
      <c r="M139" s="4718"/>
      <c r="N139" s="4718"/>
      <c r="O139" s="4718"/>
      <c r="P139" s="4718"/>
      <c r="Q139" s="4718"/>
      <c r="R139" s="4718"/>
      <c r="S139" s="4718"/>
      <c r="T139" s="4718"/>
      <c r="U139" s="4718"/>
      <c r="V139" s="4718"/>
      <c r="W139" s="4718"/>
      <c r="X139" s="4718"/>
      <c r="Y139" s="4718"/>
      <c r="Z139" s="4718"/>
      <c r="AA139" s="4718"/>
      <c r="AB139" s="4718"/>
      <c r="AC139" s="4718"/>
      <c r="AD139" s="4718"/>
      <c r="AE139" s="4718"/>
      <c r="AF139" s="4718"/>
      <c r="AG139" s="4718"/>
      <c r="AH139" s="4718"/>
      <c r="AI139" s="4718"/>
      <c r="AJ139" s="3765"/>
      <c r="AK139" s="1269"/>
      <c r="AL139" s="859"/>
      <c r="AQ139" s="708"/>
      <c r="AT139" s="2601"/>
      <c r="AU139" s="2601"/>
    </row>
    <row r="140" spans="1:47" ht="11.45" customHeight="1">
      <c r="A140" s="848"/>
      <c r="B140" s="3758"/>
      <c r="C140" s="1651"/>
      <c r="D140" s="4718"/>
      <c r="E140" s="4718"/>
      <c r="F140" s="4718"/>
      <c r="G140" s="4718"/>
      <c r="H140" s="4718"/>
      <c r="I140" s="4718"/>
      <c r="J140" s="4718"/>
      <c r="K140" s="4718"/>
      <c r="L140" s="4718"/>
      <c r="M140" s="4718"/>
      <c r="N140" s="4718"/>
      <c r="O140" s="4718"/>
      <c r="P140" s="4718"/>
      <c r="Q140" s="4718"/>
      <c r="R140" s="4718"/>
      <c r="S140" s="4718"/>
      <c r="T140" s="4718"/>
      <c r="U140" s="4718"/>
      <c r="V140" s="4718"/>
      <c r="W140" s="4718"/>
      <c r="X140" s="4718"/>
      <c r="Y140" s="4718"/>
      <c r="Z140" s="4718"/>
      <c r="AA140" s="4718"/>
      <c r="AB140" s="4718"/>
      <c r="AC140" s="4718"/>
      <c r="AD140" s="4718"/>
      <c r="AE140" s="4718"/>
      <c r="AF140" s="4718"/>
      <c r="AG140" s="4718"/>
      <c r="AH140" s="4718"/>
      <c r="AI140" s="4718"/>
      <c r="AJ140" s="2095"/>
      <c r="AK140" s="1646"/>
      <c r="AL140" s="3754"/>
      <c r="AQ140" s="708"/>
      <c r="AT140" s="2601"/>
      <c r="AU140" s="2601"/>
    </row>
    <row r="141" spans="1:47" ht="11.45" customHeight="1">
      <c r="A141" s="848"/>
      <c r="B141" s="3758"/>
      <c r="C141" s="1651"/>
      <c r="D141" s="4718"/>
      <c r="E141" s="4718"/>
      <c r="F141" s="4718"/>
      <c r="G141" s="4718"/>
      <c r="H141" s="4718"/>
      <c r="I141" s="4718"/>
      <c r="J141" s="4718"/>
      <c r="K141" s="4718"/>
      <c r="L141" s="4718"/>
      <c r="M141" s="4718"/>
      <c r="N141" s="4718"/>
      <c r="O141" s="4718"/>
      <c r="P141" s="4718"/>
      <c r="Q141" s="4718"/>
      <c r="R141" s="4718"/>
      <c r="S141" s="4718"/>
      <c r="T141" s="4718"/>
      <c r="U141" s="4718"/>
      <c r="V141" s="4718"/>
      <c r="W141" s="4718"/>
      <c r="X141" s="4718"/>
      <c r="Y141" s="4718"/>
      <c r="Z141" s="4718"/>
      <c r="AA141" s="4718"/>
      <c r="AB141" s="4718"/>
      <c r="AC141" s="4718"/>
      <c r="AD141" s="4718"/>
      <c r="AE141" s="4718"/>
      <c r="AF141" s="4718"/>
      <c r="AG141" s="4718"/>
      <c r="AH141" s="4718"/>
      <c r="AI141" s="4718"/>
      <c r="AJ141" s="3763"/>
      <c r="AK141" s="1646"/>
      <c r="AL141" s="3754"/>
      <c r="AQ141" s="708"/>
      <c r="AT141" s="2601"/>
      <c r="AU141" s="2601"/>
    </row>
    <row r="142" spans="1:47" ht="11.45" customHeight="1">
      <c r="A142" s="848"/>
      <c r="B142" s="3758"/>
      <c r="C142" s="1651"/>
      <c r="D142" s="4718"/>
      <c r="E142" s="4718"/>
      <c r="F142" s="4718"/>
      <c r="G142" s="4718"/>
      <c r="H142" s="4718"/>
      <c r="I142" s="4718"/>
      <c r="J142" s="4718"/>
      <c r="K142" s="4718"/>
      <c r="L142" s="4718"/>
      <c r="M142" s="4718"/>
      <c r="N142" s="4718"/>
      <c r="O142" s="4718"/>
      <c r="P142" s="4718"/>
      <c r="Q142" s="4718"/>
      <c r="R142" s="4718"/>
      <c r="S142" s="4718"/>
      <c r="T142" s="4718"/>
      <c r="U142" s="4718"/>
      <c r="V142" s="4718"/>
      <c r="W142" s="4718"/>
      <c r="X142" s="4718"/>
      <c r="Y142" s="4718"/>
      <c r="Z142" s="4718"/>
      <c r="AA142" s="4718"/>
      <c r="AB142" s="4718"/>
      <c r="AC142" s="4718"/>
      <c r="AD142" s="4718"/>
      <c r="AE142" s="4718"/>
      <c r="AF142" s="4718"/>
      <c r="AG142" s="4718"/>
      <c r="AH142" s="4718"/>
      <c r="AI142" s="4718"/>
      <c r="AJ142" s="3763"/>
      <c r="AK142" s="1646"/>
      <c r="AL142" s="3754"/>
      <c r="AQ142" s="708"/>
      <c r="AT142" s="2601"/>
      <c r="AU142" s="2601"/>
    </row>
    <row r="143" spans="1:47" ht="11.45" customHeight="1">
      <c r="A143" s="859"/>
      <c r="B143" s="522"/>
      <c r="C143" s="3764"/>
      <c r="D143" s="4718"/>
      <c r="E143" s="4718"/>
      <c r="F143" s="4718"/>
      <c r="G143" s="4718"/>
      <c r="H143" s="4718"/>
      <c r="I143" s="4718"/>
      <c r="J143" s="4718"/>
      <c r="K143" s="4718"/>
      <c r="L143" s="4718"/>
      <c r="M143" s="4718"/>
      <c r="N143" s="4718"/>
      <c r="O143" s="4718"/>
      <c r="P143" s="4718"/>
      <c r="Q143" s="4718"/>
      <c r="R143" s="4718"/>
      <c r="S143" s="4718"/>
      <c r="T143" s="4718"/>
      <c r="U143" s="4718"/>
      <c r="V143" s="4718"/>
      <c r="W143" s="4718"/>
      <c r="X143" s="4718"/>
      <c r="Y143" s="4718"/>
      <c r="Z143" s="4718"/>
      <c r="AA143" s="4718"/>
      <c r="AB143" s="4718"/>
      <c r="AC143" s="4718"/>
      <c r="AD143" s="4718"/>
      <c r="AE143" s="4718"/>
      <c r="AF143" s="4718"/>
      <c r="AG143" s="4718"/>
      <c r="AH143" s="4718"/>
      <c r="AI143" s="4718"/>
      <c r="AJ143" s="3765"/>
      <c r="AK143" s="1269"/>
      <c r="AL143" s="859"/>
      <c r="AQ143" s="708"/>
      <c r="AT143" s="2601"/>
      <c r="AU143" s="2601"/>
    </row>
    <row r="144" spans="1:47" ht="11.45" customHeight="1">
      <c r="A144" s="848"/>
      <c r="B144" s="3758"/>
      <c r="C144" s="3764"/>
      <c r="D144" s="4718"/>
      <c r="E144" s="4718"/>
      <c r="F144" s="4718"/>
      <c r="G144" s="4718"/>
      <c r="H144" s="4718"/>
      <c r="I144" s="4718"/>
      <c r="J144" s="4718"/>
      <c r="K144" s="4718"/>
      <c r="L144" s="4718"/>
      <c r="M144" s="4718"/>
      <c r="N144" s="4718"/>
      <c r="O144" s="4718"/>
      <c r="P144" s="4718"/>
      <c r="Q144" s="4718"/>
      <c r="R144" s="4718"/>
      <c r="S144" s="4718"/>
      <c r="T144" s="4718"/>
      <c r="U144" s="4718"/>
      <c r="V144" s="4718"/>
      <c r="W144" s="4718"/>
      <c r="X144" s="4718"/>
      <c r="Y144" s="4718"/>
      <c r="Z144" s="4718"/>
      <c r="AA144" s="4718"/>
      <c r="AB144" s="4718"/>
      <c r="AC144" s="4718"/>
      <c r="AD144" s="4718"/>
      <c r="AE144" s="4718"/>
      <c r="AF144" s="4718"/>
      <c r="AG144" s="4718"/>
      <c r="AH144" s="4718"/>
      <c r="AI144" s="4718"/>
      <c r="AJ144" s="2095"/>
      <c r="AK144" s="1646"/>
      <c r="AL144" s="3754"/>
      <c r="AQ144" s="708"/>
      <c r="AT144" s="2601"/>
      <c r="AU144" s="2601"/>
    </row>
    <row r="145" spans="1:47" ht="11.45" customHeight="1">
      <c r="A145" s="859"/>
      <c r="B145" s="522"/>
      <c r="C145" s="3764"/>
      <c r="D145" s="4718"/>
      <c r="E145" s="4718"/>
      <c r="F145" s="4718"/>
      <c r="G145" s="4718"/>
      <c r="H145" s="4718"/>
      <c r="I145" s="4718"/>
      <c r="J145" s="4718"/>
      <c r="K145" s="4718"/>
      <c r="L145" s="4718"/>
      <c r="M145" s="4718"/>
      <c r="N145" s="4718"/>
      <c r="O145" s="4718"/>
      <c r="P145" s="4718"/>
      <c r="Q145" s="4718"/>
      <c r="R145" s="4718"/>
      <c r="S145" s="4718"/>
      <c r="T145" s="4718"/>
      <c r="U145" s="4718"/>
      <c r="V145" s="4718"/>
      <c r="W145" s="4718"/>
      <c r="X145" s="4718"/>
      <c r="Y145" s="4718"/>
      <c r="Z145" s="4718"/>
      <c r="AA145" s="4718"/>
      <c r="AB145" s="4718"/>
      <c r="AC145" s="4718"/>
      <c r="AD145" s="4718"/>
      <c r="AE145" s="4718"/>
      <c r="AF145" s="4718"/>
      <c r="AG145" s="4718"/>
      <c r="AH145" s="4718"/>
      <c r="AI145" s="4718"/>
      <c r="AJ145" s="3765"/>
      <c r="AK145" s="1269"/>
      <c r="AL145" s="859"/>
      <c r="AQ145" s="708"/>
      <c r="AT145" s="2601"/>
      <c r="AU145" s="2601"/>
    </row>
    <row r="146" spans="1:47" ht="11.45" customHeight="1">
      <c r="A146" s="848"/>
      <c r="B146" s="3758"/>
      <c r="C146" s="3766"/>
      <c r="D146" s="4718"/>
      <c r="E146" s="4718"/>
      <c r="F146" s="4718"/>
      <c r="G146" s="4718"/>
      <c r="H146" s="4718"/>
      <c r="I146" s="4718"/>
      <c r="J146" s="4718"/>
      <c r="K146" s="4718"/>
      <c r="L146" s="4718"/>
      <c r="M146" s="4718"/>
      <c r="N146" s="4718"/>
      <c r="O146" s="4718"/>
      <c r="P146" s="4718"/>
      <c r="Q146" s="4718"/>
      <c r="R146" s="4718"/>
      <c r="S146" s="4718"/>
      <c r="T146" s="4718"/>
      <c r="U146" s="4718"/>
      <c r="V146" s="4718"/>
      <c r="W146" s="4718"/>
      <c r="X146" s="4718"/>
      <c r="Y146" s="4718"/>
      <c r="Z146" s="4718"/>
      <c r="AA146" s="4718"/>
      <c r="AB146" s="4718"/>
      <c r="AC146" s="4718"/>
      <c r="AD146" s="4718"/>
      <c r="AE146" s="4718"/>
      <c r="AF146" s="4718"/>
      <c r="AG146" s="4718"/>
      <c r="AH146" s="4718"/>
      <c r="AI146" s="4718"/>
      <c r="AJ146" s="2095"/>
      <c r="AK146" s="1646"/>
      <c r="AL146" s="3754"/>
      <c r="AQ146" s="708"/>
      <c r="AT146" s="2601"/>
      <c r="AU146" s="2601"/>
    </row>
    <row r="147" spans="1:47" ht="11.45" customHeight="1">
      <c r="A147" s="859"/>
      <c r="B147" s="522"/>
      <c r="C147" s="3764"/>
      <c r="D147" s="4718"/>
      <c r="E147" s="4718"/>
      <c r="F147" s="4718"/>
      <c r="G147" s="4718"/>
      <c r="H147" s="4718"/>
      <c r="I147" s="4718"/>
      <c r="J147" s="4718"/>
      <c r="K147" s="4718"/>
      <c r="L147" s="4718"/>
      <c r="M147" s="4718"/>
      <c r="N147" s="4718"/>
      <c r="O147" s="4718"/>
      <c r="P147" s="4718"/>
      <c r="Q147" s="4718"/>
      <c r="R147" s="4718"/>
      <c r="S147" s="4718"/>
      <c r="T147" s="4718"/>
      <c r="U147" s="4718"/>
      <c r="V147" s="4718"/>
      <c r="W147" s="4718"/>
      <c r="X147" s="4718"/>
      <c r="Y147" s="4718"/>
      <c r="Z147" s="4718"/>
      <c r="AA147" s="4718"/>
      <c r="AB147" s="4718"/>
      <c r="AC147" s="4718"/>
      <c r="AD147" s="4718"/>
      <c r="AE147" s="4718"/>
      <c r="AF147" s="4718"/>
      <c r="AG147" s="4718"/>
      <c r="AH147" s="4718"/>
      <c r="AI147" s="4718"/>
      <c r="AJ147" s="3765"/>
      <c r="AK147" s="1269"/>
      <c r="AL147" s="859"/>
      <c r="AQ147" s="708"/>
      <c r="AT147" s="2601"/>
      <c r="AU147" s="2601"/>
    </row>
    <row r="148" spans="1:47" ht="11.45" customHeight="1">
      <c r="A148" s="848"/>
      <c r="B148" s="3758"/>
      <c r="C148" s="3766"/>
      <c r="D148" s="4718"/>
      <c r="E148" s="4718"/>
      <c r="F148" s="4718"/>
      <c r="G148" s="4718"/>
      <c r="H148" s="4718"/>
      <c r="I148" s="4718"/>
      <c r="J148" s="4718"/>
      <c r="K148" s="4718"/>
      <c r="L148" s="4718"/>
      <c r="M148" s="4718"/>
      <c r="N148" s="4718"/>
      <c r="O148" s="4718"/>
      <c r="P148" s="4718"/>
      <c r="Q148" s="4718"/>
      <c r="R148" s="4718"/>
      <c r="S148" s="4718"/>
      <c r="T148" s="4718"/>
      <c r="U148" s="4718"/>
      <c r="V148" s="4718"/>
      <c r="W148" s="4718"/>
      <c r="X148" s="4718"/>
      <c r="Y148" s="4718"/>
      <c r="Z148" s="4718"/>
      <c r="AA148" s="4718"/>
      <c r="AB148" s="4718"/>
      <c r="AC148" s="4718"/>
      <c r="AD148" s="4718"/>
      <c r="AE148" s="4718"/>
      <c r="AF148" s="4718"/>
      <c r="AG148" s="4718"/>
      <c r="AH148" s="4718"/>
      <c r="AI148" s="4718"/>
      <c r="AJ148" s="2096"/>
      <c r="AK148" s="1646"/>
      <c r="AL148" s="3754"/>
      <c r="AQ148" s="708"/>
      <c r="AT148" s="2601"/>
      <c r="AU148" s="2601"/>
    </row>
    <row r="149" spans="1:47" ht="11.45" customHeight="1">
      <c r="A149" s="848"/>
      <c r="B149" s="3758"/>
      <c r="C149" s="3766"/>
      <c r="D149" s="4718"/>
      <c r="E149" s="4718"/>
      <c r="F149" s="4718"/>
      <c r="G149" s="4718"/>
      <c r="H149" s="4718"/>
      <c r="I149" s="4718"/>
      <c r="J149" s="4718"/>
      <c r="K149" s="4718"/>
      <c r="L149" s="4718"/>
      <c r="M149" s="4718"/>
      <c r="N149" s="4718"/>
      <c r="O149" s="4718"/>
      <c r="P149" s="4718"/>
      <c r="Q149" s="4718"/>
      <c r="R149" s="4718"/>
      <c r="S149" s="4718"/>
      <c r="T149" s="4718"/>
      <c r="U149" s="4718"/>
      <c r="V149" s="4718"/>
      <c r="W149" s="4718"/>
      <c r="X149" s="4718"/>
      <c r="Y149" s="4718"/>
      <c r="Z149" s="4718"/>
      <c r="AA149" s="4718"/>
      <c r="AB149" s="4718"/>
      <c r="AC149" s="4718"/>
      <c r="AD149" s="4718"/>
      <c r="AE149" s="4718"/>
      <c r="AF149" s="4718"/>
      <c r="AG149" s="4718"/>
      <c r="AH149" s="4718"/>
      <c r="AI149" s="4718"/>
      <c r="AJ149" s="2096"/>
      <c r="AK149" s="1646"/>
      <c r="AL149" s="1873"/>
      <c r="AQ149" s="708"/>
      <c r="AT149" s="2601"/>
      <c r="AU149" s="2601"/>
    </row>
    <row r="150" spans="1:47" ht="11.45" customHeight="1">
      <c r="A150" s="848"/>
      <c r="B150" s="3758"/>
      <c r="C150" s="3766"/>
      <c r="D150" s="4718"/>
      <c r="E150" s="4718"/>
      <c r="F150" s="4718"/>
      <c r="G150" s="4718"/>
      <c r="H150" s="4718"/>
      <c r="I150" s="4718"/>
      <c r="J150" s="4718"/>
      <c r="K150" s="4718"/>
      <c r="L150" s="4718"/>
      <c r="M150" s="4718"/>
      <c r="N150" s="4718"/>
      <c r="O150" s="4718"/>
      <c r="P150" s="4718"/>
      <c r="Q150" s="4718"/>
      <c r="R150" s="4718"/>
      <c r="S150" s="4718"/>
      <c r="T150" s="4718"/>
      <c r="U150" s="4718"/>
      <c r="V150" s="4718"/>
      <c r="W150" s="4718"/>
      <c r="X150" s="4718"/>
      <c r="Y150" s="4718"/>
      <c r="Z150" s="4718"/>
      <c r="AA150" s="4718"/>
      <c r="AB150" s="4718"/>
      <c r="AC150" s="4718"/>
      <c r="AD150" s="4718"/>
      <c r="AE150" s="4718"/>
      <c r="AF150" s="4718"/>
      <c r="AG150" s="4718"/>
      <c r="AH150" s="4718"/>
      <c r="AI150" s="4718"/>
      <c r="AJ150" s="2096"/>
      <c r="AK150" s="1646"/>
      <c r="AL150" s="1873"/>
      <c r="AQ150" s="708"/>
      <c r="AT150" s="2601"/>
      <c r="AU150" s="2601"/>
    </row>
    <row r="151" spans="1:47" ht="11.45" customHeight="1">
      <c r="A151" s="859"/>
      <c r="B151" s="522"/>
      <c r="C151" s="3764"/>
      <c r="D151" s="4718"/>
      <c r="E151" s="4718"/>
      <c r="F151" s="4718"/>
      <c r="G151" s="4718"/>
      <c r="H151" s="4718"/>
      <c r="I151" s="4718"/>
      <c r="J151" s="4718"/>
      <c r="K151" s="4718"/>
      <c r="L151" s="4718"/>
      <c r="M151" s="4718"/>
      <c r="N151" s="4718"/>
      <c r="O151" s="4718"/>
      <c r="P151" s="4718"/>
      <c r="Q151" s="4718"/>
      <c r="R151" s="4718"/>
      <c r="S151" s="4718"/>
      <c r="T151" s="4718"/>
      <c r="U151" s="4718"/>
      <c r="V151" s="4718"/>
      <c r="W151" s="4718"/>
      <c r="X151" s="4718"/>
      <c r="Y151" s="4718"/>
      <c r="Z151" s="4718"/>
      <c r="AA151" s="4718"/>
      <c r="AB151" s="4718"/>
      <c r="AC151" s="4718"/>
      <c r="AD151" s="4718"/>
      <c r="AE151" s="4718"/>
      <c r="AF151" s="4718"/>
      <c r="AG151" s="4718"/>
      <c r="AH151" s="4718"/>
      <c r="AI151" s="4718"/>
      <c r="AJ151" s="3765"/>
      <c r="AK151" s="1269"/>
      <c r="AL151" s="859"/>
      <c r="AQ151" s="708"/>
      <c r="AT151" s="2601"/>
      <c r="AU151" s="2601"/>
    </row>
    <row r="152" spans="1:47" ht="11.45" customHeight="1">
      <c r="A152" s="848"/>
      <c r="B152" s="3758"/>
      <c r="C152" s="3766"/>
      <c r="D152" s="4718"/>
      <c r="E152" s="4718"/>
      <c r="F152" s="4718"/>
      <c r="G152" s="4718"/>
      <c r="H152" s="4718"/>
      <c r="I152" s="4718"/>
      <c r="J152" s="4718"/>
      <c r="K152" s="4718"/>
      <c r="L152" s="4718"/>
      <c r="M152" s="4718"/>
      <c r="N152" s="4718"/>
      <c r="O152" s="4718"/>
      <c r="P152" s="4718"/>
      <c r="Q152" s="4718"/>
      <c r="R152" s="4718"/>
      <c r="S152" s="4718"/>
      <c r="T152" s="4718"/>
      <c r="U152" s="4718"/>
      <c r="V152" s="4718"/>
      <c r="W152" s="4718"/>
      <c r="X152" s="4718"/>
      <c r="Y152" s="4718"/>
      <c r="Z152" s="4718"/>
      <c r="AA152" s="4718"/>
      <c r="AB152" s="4718"/>
      <c r="AC152" s="4718"/>
      <c r="AD152" s="4718"/>
      <c r="AE152" s="4718"/>
      <c r="AF152" s="4718"/>
      <c r="AG152" s="4718"/>
      <c r="AH152" s="4718"/>
      <c r="AI152" s="4718"/>
      <c r="AJ152" s="2096"/>
      <c r="AK152" s="1646"/>
      <c r="AL152" s="1873"/>
      <c r="AQ152" s="708"/>
      <c r="AT152" s="2601"/>
      <c r="AU152" s="2601"/>
    </row>
    <row r="153" spans="1:47" ht="11.45" customHeight="1">
      <c r="A153" s="848"/>
      <c r="B153" s="3758"/>
      <c r="C153" s="3766"/>
      <c r="D153" s="4718"/>
      <c r="E153" s="4718"/>
      <c r="F153" s="4718"/>
      <c r="G153" s="4718"/>
      <c r="H153" s="4718"/>
      <c r="I153" s="4718"/>
      <c r="J153" s="4718"/>
      <c r="K153" s="4718"/>
      <c r="L153" s="4718"/>
      <c r="M153" s="4718"/>
      <c r="N153" s="4718"/>
      <c r="O153" s="4718"/>
      <c r="P153" s="4718"/>
      <c r="Q153" s="4718"/>
      <c r="R153" s="4718"/>
      <c r="S153" s="4718"/>
      <c r="T153" s="4718"/>
      <c r="U153" s="4718"/>
      <c r="V153" s="4718"/>
      <c r="W153" s="4718"/>
      <c r="X153" s="4718"/>
      <c r="Y153" s="4718"/>
      <c r="Z153" s="4718"/>
      <c r="AA153" s="4718"/>
      <c r="AB153" s="4718"/>
      <c r="AC153" s="4718"/>
      <c r="AD153" s="4718"/>
      <c r="AE153" s="4718"/>
      <c r="AF153" s="4718"/>
      <c r="AG153" s="4718"/>
      <c r="AH153" s="4718"/>
      <c r="AI153" s="4718"/>
      <c r="AJ153" s="2096"/>
      <c r="AK153" s="1646"/>
      <c r="AL153" s="1873"/>
      <c r="AQ153" s="708"/>
      <c r="AT153" s="2601"/>
      <c r="AU153" s="2601"/>
    </row>
    <row r="154" spans="1:47" ht="11.45" customHeight="1">
      <c r="A154" s="848"/>
      <c r="B154" s="3758"/>
      <c r="C154" s="3766"/>
      <c r="D154" s="4718"/>
      <c r="E154" s="4718"/>
      <c r="F154" s="4718"/>
      <c r="G154" s="4718"/>
      <c r="H154" s="4718"/>
      <c r="I154" s="4718"/>
      <c r="J154" s="4718"/>
      <c r="K154" s="4718"/>
      <c r="L154" s="4718"/>
      <c r="M154" s="4718"/>
      <c r="N154" s="4718"/>
      <c r="O154" s="4718"/>
      <c r="P154" s="4718"/>
      <c r="Q154" s="4718"/>
      <c r="R154" s="4718"/>
      <c r="S154" s="4718"/>
      <c r="T154" s="4718"/>
      <c r="U154" s="4718"/>
      <c r="V154" s="4718"/>
      <c r="W154" s="4718"/>
      <c r="X154" s="4718"/>
      <c r="Y154" s="4718"/>
      <c r="Z154" s="4718"/>
      <c r="AA154" s="4718"/>
      <c r="AB154" s="4718"/>
      <c r="AC154" s="4718"/>
      <c r="AD154" s="4718"/>
      <c r="AE154" s="4718"/>
      <c r="AF154" s="4718"/>
      <c r="AG154" s="4718"/>
      <c r="AH154" s="4718"/>
      <c r="AI154" s="4718"/>
      <c r="AJ154" s="2096"/>
      <c r="AK154" s="1646"/>
      <c r="AL154" s="1873"/>
      <c r="AQ154" s="708"/>
      <c r="AT154" s="2601"/>
      <c r="AU154" s="2601"/>
    </row>
    <row r="155" spans="1:47" ht="11.45" customHeight="1">
      <c r="A155" s="848"/>
      <c r="B155" s="3758"/>
      <c r="C155" s="3766"/>
      <c r="D155" s="4718"/>
      <c r="E155" s="4718"/>
      <c r="F155" s="4718"/>
      <c r="G155" s="4718"/>
      <c r="H155" s="4718"/>
      <c r="I155" s="4718"/>
      <c r="J155" s="4718"/>
      <c r="K155" s="4718"/>
      <c r="L155" s="4718"/>
      <c r="M155" s="4718"/>
      <c r="N155" s="4718"/>
      <c r="O155" s="4718"/>
      <c r="P155" s="4718"/>
      <c r="Q155" s="4718"/>
      <c r="R155" s="4718"/>
      <c r="S155" s="4718"/>
      <c r="T155" s="4718"/>
      <c r="U155" s="4718"/>
      <c r="V155" s="4718"/>
      <c r="W155" s="4718"/>
      <c r="X155" s="4718"/>
      <c r="Y155" s="4718"/>
      <c r="Z155" s="4718"/>
      <c r="AA155" s="4718"/>
      <c r="AB155" s="4718"/>
      <c r="AC155" s="4718"/>
      <c r="AD155" s="4718"/>
      <c r="AE155" s="4718"/>
      <c r="AF155" s="4718"/>
      <c r="AG155" s="4718"/>
      <c r="AH155" s="4718"/>
      <c r="AI155" s="4718"/>
      <c r="AJ155" s="2096"/>
      <c r="AK155" s="1646"/>
      <c r="AL155" s="1873"/>
      <c r="AQ155" s="708"/>
      <c r="AT155" s="2601"/>
      <c r="AU155" s="2601"/>
    </row>
    <row r="156" spans="1:47" ht="11.45" customHeight="1">
      <c r="A156" s="859"/>
      <c r="B156" s="522"/>
      <c r="C156" s="3764"/>
      <c r="D156" s="4718"/>
      <c r="E156" s="4718"/>
      <c r="F156" s="4718"/>
      <c r="G156" s="4718"/>
      <c r="H156" s="4718"/>
      <c r="I156" s="4718"/>
      <c r="J156" s="4718"/>
      <c r="K156" s="4718"/>
      <c r="L156" s="4718"/>
      <c r="M156" s="4718"/>
      <c r="N156" s="4718"/>
      <c r="O156" s="4718"/>
      <c r="P156" s="4718"/>
      <c r="Q156" s="4718"/>
      <c r="R156" s="4718"/>
      <c r="S156" s="4718"/>
      <c r="T156" s="4718"/>
      <c r="U156" s="4718"/>
      <c r="V156" s="4718"/>
      <c r="W156" s="4718"/>
      <c r="X156" s="4718"/>
      <c r="Y156" s="4718"/>
      <c r="Z156" s="4718"/>
      <c r="AA156" s="4718"/>
      <c r="AB156" s="4718"/>
      <c r="AC156" s="4718"/>
      <c r="AD156" s="4718"/>
      <c r="AE156" s="4718"/>
      <c r="AF156" s="4718"/>
      <c r="AG156" s="4718"/>
      <c r="AH156" s="4718"/>
      <c r="AI156" s="4718"/>
      <c r="AJ156" s="3765"/>
      <c r="AK156" s="1269"/>
      <c r="AL156" s="859"/>
      <c r="AQ156" s="708"/>
      <c r="AT156" s="2601"/>
      <c r="AU156" s="2601"/>
    </row>
    <row r="157" spans="1:47" ht="11.45" customHeight="1">
      <c r="A157" s="848"/>
      <c r="B157" s="3758"/>
      <c r="C157" s="3766"/>
      <c r="D157" s="4718"/>
      <c r="E157" s="4718"/>
      <c r="F157" s="4718"/>
      <c r="G157" s="4718"/>
      <c r="H157" s="4718"/>
      <c r="I157" s="4718"/>
      <c r="J157" s="4718"/>
      <c r="K157" s="4718"/>
      <c r="L157" s="4718"/>
      <c r="M157" s="4718"/>
      <c r="N157" s="4718"/>
      <c r="O157" s="4718"/>
      <c r="P157" s="4718"/>
      <c r="Q157" s="4718"/>
      <c r="R157" s="4718"/>
      <c r="S157" s="4718"/>
      <c r="T157" s="4718"/>
      <c r="U157" s="4718"/>
      <c r="V157" s="4718"/>
      <c r="W157" s="4718"/>
      <c r="X157" s="4718"/>
      <c r="Y157" s="4718"/>
      <c r="Z157" s="4718"/>
      <c r="AA157" s="4718"/>
      <c r="AB157" s="4718"/>
      <c r="AC157" s="4718"/>
      <c r="AD157" s="4718"/>
      <c r="AE157" s="4718"/>
      <c r="AF157" s="4718"/>
      <c r="AG157" s="4718"/>
      <c r="AH157" s="4718"/>
      <c r="AI157" s="4718"/>
      <c r="AJ157" s="3763"/>
      <c r="AK157" s="1646"/>
      <c r="AL157" s="1873"/>
      <c r="AQ157" s="708"/>
      <c r="AT157" s="2601"/>
      <c r="AU157" s="2601"/>
    </row>
    <row r="158" spans="1:47" ht="11.45" customHeight="1">
      <c r="A158" s="859"/>
      <c r="B158" s="522"/>
      <c r="C158" s="3764"/>
      <c r="D158" s="4718"/>
      <c r="E158" s="4718"/>
      <c r="F158" s="4718"/>
      <c r="G158" s="4718"/>
      <c r="H158" s="4718"/>
      <c r="I158" s="4718"/>
      <c r="J158" s="4718"/>
      <c r="K158" s="4718"/>
      <c r="L158" s="4718"/>
      <c r="M158" s="4718"/>
      <c r="N158" s="4718"/>
      <c r="O158" s="4718"/>
      <c r="P158" s="4718"/>
      <c r="Q158" s="4718"/>
      <c r="R158" s="4718"/>
      <c r="S158" s="4718"/>
      <c r="T158" s="4718"/>
      <c r="U158" s="4718"/>
      <c r="V158" s="4718"/>
      <c r="W158" s="4718"/>
      <c r="X158" s="4718"/>
      <c r="Y158" s="4718"/>
      <c r="Z158" s="4718"/>
      <c r="AA158" s="4718"/>
      <c r="AB158" s="4718"/>
      <c r="AC158" s="4718"/>
      <c r="AD158" s="4718"/>
      <c r="AE158" s="4718"/>
      <c r="AF158" s="4718"/>
      <c r="AG158" s="4718"/>
      <c r="AH158" s="4718"/>
      <c r="AI158" s="4718"/>
      <c r="AJ158" s="3765"/>
      <c r="AK158" s="1269"/>
      <c r="AL158" s="859"/>
      <c r="AQ158" s="708"/>
      <c r="AT158" s="2601"/>
      <c r="AU158" s="2601"/>
    </row>
    <row r="159" spans="1:47" ht="11.45" customHeight="1">
      <c r="A159" s="848"/>
      <c r="B159" s="3758"/>
      <c r="C159" s="3767"/>
      <c r="D159" s="4718"/>
      <c r="E159" s="4718"/>
      <c r="F159" s="4718"/>
      <c r="G159" s="4718"/>
      <c r="H159" s="4718"/>
      <c r="I159" s="4718"/>
      <c r="J159" s="4718"/>
      <c r="K159" s="4718"/>
      <c r="L159" s="4718"/>
      <c r="M159" s="4718"/>
      <c r="N159" s="4718"/>
      <c r="O159" s="4718"/>
      <c r="P159" s="4718"/>
      <c r="Q159" s="4718"/>
      <c r="R159" s="4718"/>
      <c r="S159" s="4718"/>
      <c r="T159" s="4718"/>
      <c r="U159" s="4718"/>
      <c r="V159" s="4718"/>
      <c r="W159" s="4718"/>
      <c r="X159" s="4718"/>
      <c r="Y159" s="4718"/>
      <c r="Z159" s="4718"/>
      <c r="AA159" s="4718"/>
      <c r="AB159" s="4718"/>
      <c r="AC159" s="4718"/>
      <c r="AD159" s="4718"/>
      <c r="AE159" s="4718"/>
      <c r="AF159" s="4718"/>
      <c r="AG159" s="4718"/>
      <c r="AH159" s="4718"/>
      <c r="AI159" s="4718"/>
      <c r="AJ159" s="3763"/>
      <c r="AK159" s="1646"/>
      <c r="AL159" s="1873"/>
      <c r="AQ159" s="708"/>
      <c r="AT159" s="2601"/>
      <c r="AU159" s="2601"/>
    </row>
    <row r="160" spans="1:47" ht="11.45" customHeight="1">
      <c r="A160" s="859"/>
      <c r="B160" s="522"/>
      <c r="C160" s="3764"/>
      <c r="D160" s="4718"/>
      <c r="E160" s="4718"/>
      <c r="F160" s="4718"/>
      <c r="G160" s="4718"/>
      <c r="H160" s="4718"/>
      <c r="I160" s="4718"/>
      <c r="J160" s="4718"/>
      <c r="K160" s="4718"/>
      <c r="L160" s="4718"/>
      <c r="M160" s="4718"/>
      <c r="N160" s="4718"/>
      <c r="O160" s="4718"/>
      <c r="P160" s="4718"/>
      <c r="Q160" s="4718"/>
      <c r="R160" s="4718"/>
      <c r="S160" s="4718"/>
      <c r="T160" s="4718"/>
      <c r="U160" s="4718"/>
      <c r="V160" s="4718"/>
      <c r="W160" s="4718"/>
      <c r="X160" s="4718"/>
      <c r="Y160" s="4718"/>
      <c r="Z160" s="4718"/>
      <c r="AA160" s="4718"/>
      <c r="AB160" s="4718"/>
      <c r="AC160" s="4718"/>
      <c r="AD160" s="4718"/>
      <c r="AE160" s="4718"/>
      <c r="AF160" s="4718"/>
      <c r="AG160" s="4718"/>
      <c r="AH160" s="4718"/>
      <c r="AI160" s="4718"/>
      <c r="AJ160" s="3765"/>
      <c r="AK160" s="1269"/>
      <c r="AL160" s="859"/>
      <c r="AQ160" s="708"/>
      <c r="AT160" s="2601"/>
      <c r="AU160" s="2601"/>
    </row>
    <row r="161" spans="1:47" ht="11.45" customHeight="1">
      <c r="A161" s="848"/>
      <c r="B161" s="3758"/>
      <c r="C161" s="3767"/>
      <c r="D161" s="4718"/>
      <c r="E161" s="4718"/>
      <c r="F161" s="4718"/>
      <c r="G161" s="4718"/>
      <c r="H161" s="4718"/>
      <c r="I161" s="4718"/>
      <c r="J161" s="4718"/>
      <c r="K161" s="4718"/>
      <c r="L161" s="4718"/>
      <c r="M161" s="4718"/>
      <c r="N161" s="4718"/>
      <c r="O161" s="4718"/>
      <c r="P161" s="4718"/>
      <c r="Q161" s="4718"/>
      <c r="R161" s="4718"/>
      <c r="S161" s="4718"/>
      <c r="T161" s="4718"/>
      <c r="U161" s="4718"/>
      <c r="V161" s="4718"/>
      <c r="W161" s="4718"/>
      <c r="X161" s="4718"/>
      <c r="Y161" s="4718"/>
      <c r="Z161" s="4718"/>
      <c r="AA161" s="4718"/>
      <c r="AB161" s="4718"/>
      <c r="AC161" s="4718"/>
      <c r="AD161" s="4718"/>
      <c r="AE161" s="4718"/>
      <c r="AF161" s="4718"/>
      <c r="AG161" s="4718"/>
      <c r="AH161" s="4718"/>
      <c r="AI161" s="4718"/>
      <c r="AJ161" s="2095"/>
      <c r="AK161" s="1646"/>
      <c r="AL161" s="1873"/>
      <c r="AQ161" s="708"/>
      <c r="AT161" s="2601"/>
      <c r="AU161" s="2601"/>
    </row>
    <row r="162" spans="1:47" ht="11.45" customHeight="1">
      <c r="A162" s="859"/>
      <c r="B162" s="522"/>
      <c r="C162" s="3764"/>
      <c r="D162" s="4718"/>
      <c r="E162" s="4718"/>
      <c r="F162" s="4718"/>
      <c r="G162" s="4718"/>
      <c r="H162" s="4718"/>
      <c r="I162" s="4718"/>
      <c r="J162" s="4718"/>
      <c r="K162" s="4718"/>
      <c r="L162" s="4718"/>
      <c r="M162" s="4718"/>
      <c r="N162" s="4718"/>
      <c r="O162" s="4718"/>
      <c r="P162" s="4718"/>
      <c r="Q162" s="4718"/>
      <c r="R162" s="4718"/>
      <c r="S162" s="4718"/>
      <c r="T162" s="4718"/>
      <c r="U162" s="4718"/>
      <c r="V162" s="4718"/>
      <c r="W162" s="4718"/>
      <c r="X162" s="4718"/>
      <c r="Y162" s="4718"/>
      <c r="Z162" s="4718"/>
      <c r="AA162" s="4718"/>
      <c r="AB162" s="4718"/>
      <c r="AC162" s="4718"/>
      <c r="AD162" s="4718"/>
      <c r="AE162" s="4718"/>
      <c r="AF162" s="4718"/>
      <c r="AG162" s="4718"/>
      <c r="AH162" s="4718"/>
      <c r="AI162" s="4718"/>
      <c r="AJ162" s="3765"/>
      <c r="AK162" s="1269"/>
      <c r="AL162" s="859"/>
      <c r="AQ162" s="708"/>
      <c r="AT162" s="2601"/>
      <c r="AU162" s="2601"/>
    </row>
    <row r="163" spans="1:47" ht="11.45" customHeight="1">
      <c r="A163" s="848"/>
      <c r="B163" s="3758"/>
      <c r="C163" s="3767"/>
      <c r="D163" s="4718"/>
      <c r="E163" s="4718"/>
      <c r="F163" s="4718"/>
      <c r="G163" s="4718"/>
      <c r="H163" s="4718"/>
      <c r="I163" s="4718"/>
      <c r="J163" s="4718"/>
      <c r="K163" s="4718"/>
      <c r="L163" s="4718"/>
      <c r="M163" s="4718"/>
      <c r="N163" s="4718"/>
      <c r="O163" s="4718"/>
      <c r="P163" s="4718"/>
      <c r="Q163" s="4718"/>
      <c r="R163" s="4718"/>
      <c r="S163" s="4718"/>
      <c r="T163" s="4718"/>
      <c r="U163" s="4718"/>
      <c r="V163" s="4718"/>
      <c r="W163" s="4718"/>
      <c r="X163" s="4718"/>
      <c r="Y163" s="4718"/>
      <c r="Z163" s="4718"/>
      <c r="AA163" s="4718"/>
      <c r="AB163" s="4718"/>
      <c r="AC163" s="4718"/>
      <c r="AD163" s="4718"/>
      <c r="AE163" s="4718"/>
      <c r="AF163" s="4718"/>
      <c r="AG163" s="4718"/>
      <c r="AH163" s="4718"/>
      <c r="AI163" s="4718"/>
      <c r="AJ163" s="2096"/>
      <c r="AK163" s="1646"/>
      <c r="AL163" s="1873"/>
      <c r="AQ163" s="708"/>
      <c r="AT163" s="2601"/>
      <c r="AU163" s="2601"/>
    </row>
    <row r="164" spans="1:47" ht="11.45" customHeight="1">
      <c r="A164" s="848"/>
      <c r="B164" s="3758"/>
      <c r="C164" s="3767"/>
      <c r="D164" s="4718"/>
      <c r="E164" s="4718"/>
      <c r="F164" s="4718"/>
      <c r="G164" s="4718"/>
      <c r="H164" s="4718"/>
      <c r="I164" s="4718"/>
      <c r="J164" s="4718"/>
      <c r="K164" s="4718"/>
      <c r="L164" s="4718"/>
      <c r="M164" s="4718"/>
      <c r="N164" s="4718"/>
      <c r="O164" s="4718"/>
      <c r="P164" s="4718"/>
      <c r="Q164" s="4718"/>
      <c r="R164" s="4718"/>
      <c r="S164" s="4718"/>
      <c r="T164" s="4718"/>
      <c r="U164" s="4718"/>
      <c r="V164" s="4718"/>
      <c r="W164" s="4718"/>
      <c r="X164" s="4718"/>
      <c r="Y164" s="4718"/>
      <c r="Z164" s="4718"/>
      <c r="AA164" s="4718"/>
      <c r="AB164" s="4718"/>
      <c r="AC164" s="4718"/>
      <c r="AD164" s="4718"/>
      <c r="AE164" s="4718"/>
      <c r="AF164" s="4718"/>
      <c r="AG164" s="4718"/>
      <c r="AH164" s="4718"/>
      <c r="AI164" s="4718"/>
      <c r="AJ164" s="2096"/>
      <c r="AK164" s="1646"/>
      <c r="AL164" s="1873"/>
      <c r="AQ164" s="708"/>
      <c r="AT164" s="2601"/>
      <c r="AU164" s="2601"/>
    </row>
    <row r="165" spans="1:47" ht="11.45" customHeight="1">
      <c r="A165" s="848"/>
      <c r="B165" s="3758"/>
      <c r="C165" s="3764"/>
      <c r="D165" s="4718"/>
      <c r="E165" s="4718"/>
      <c r="F165" s="4718"/>
      <c r="G165" s="4718"/>
      <c r="H165" s="4718"/>
      <c r="I165" s="4718"/>
      <c r="J165" s="4718"/>
      <c r="K165" s="4718"/>
      <c r="L165" s="4718"/>
      <c r="M165" s="4718"/>
      <c r="N165" s="4718"/>
      <c r="O165" s="4718"/>
      <c r="P165" s="4718"/>
      <c r="Q165" s="4718"/>
      <c r="R165" s="4718"/>
      <c r="S165" s="4718"/>
      <c r="T165" s="4718"/>
      <c r="U165" s="4718"/>
      <c r="V165" s="4718"/>
      <c r="W165" s="4718"/>
      <c r="X165" s="4718"/>
      <c r="Y165" s="4718"/>
      <c r="Z165" s="4718"/>
      <c r="AA165" s="4718"/>
      <c r="AB165" s="4718"/>
      <c r="AC165" s="4718"/>
      <c r="AD165" s="4718"/>
      <c r="AE165" s="4718"/>
      <c r="AF165" s="4718"/>
      <c r="AG165" s="4718"/>
      <c r="AH165" s="4718"/>
      <c r="AI165" s="4718"/>
      <c r="AJ165" s="2096"/>
      <c r="AK165" s="1646"/>
      <c r="AL165" s="1873"/>
      <c r="AQ165" s="708"/>
      <c r="AT165" s="2601"/>
      <c r="AU165" s="2601"/>
    </row>
    <row r="166" spans="1:47" ht="11.45" customHeight="1">
      <c r="A166" s="848"/>
      <c r="B166" s="3758"/>
      <c r="C166" s="3764"/>
      <c r="D166" s="4718"/>
      <c r="E166" s="4718"/>
      <c r="F166" s="4718"/>
      <c r="G166" s="4718"/>
      <c r="H166" s="4718"/>
      <c r="I166" s="4718"/>
      <c r="J166" s="4718"/>
      <c r="K166" s="4718"/>
      <c r="L166" s="4718"/>
      <c r="M166" s="4718"/>
      <c r="N166" s="4718"/>
      <c r="O166" s="4718"/>
      <c r="P166" s="4718"/>
      <c r="Q166" s="4718"/>
      <c r="R166" s="4718"/>
      <c r="S166" s="4718"/>
      <c r="T166" s="4718"/>
      <c r="U166" s="4718"/>
      <c r="V166" s="4718"/>
      <c r="W166" s="4718"/>
      <c r="X166" s="4718"/>
      <c r="Y166" s="4718"/>
      <c r="Z166" s="4718"/>
      <c r="AA166" s="4718"/>
      <c r="AB166" s="4718"/>
      <c r="AC166" s="4718"/>
      <c r="AD166" s="4718"/>
      <c r="AE166" s="4718"/>
      <c r="AF166" s="4718"/>
      <c r="AG166" s="4718"/>
      <c r="AH166" s="4718"/>
      <c r="AI166" s="4718"/>
      <c r="AJ166" s="2096"/>
      <c r="AK166" s="1646"/>
      <c r="AL166" s="1873"/>
      <c r="AQ166" s="708"/>
      <c r="AT166" s="2601"/>
      <c r="AU166" s="2601"/>
    </row>
    <row r="167" spans="1:47" ht="11.45" customHeight="1">
      <c r="A167" s="848"/>
      <c r="B167" s="3758"/>
      <c r="C167" s="3764"/>
      <c r="D167" s="4718"/>
      <c r="E167" s="4718"/>
      <c r="F167" s="4718"/>
      <c r="G167" s="4718"/>
      <c r="H167" s="4718"/>
      <c r="I167" s="4718"/>
      <c r="J167" s="4718"/>
      <c r="K167" s="4718"/>
      <c r="L167" s="4718"/>
      <c r="M167" s="4718"/>
      <c r="N167" s="4718"/>
      <c r="O167" s="4718"/>
      <c r="P167" s="4718"/>
      <c r="Q167" s="4718"/>
      <c r="R167" s="4718"/>
      <c r="S167" s="4718"/>
      <c r="T167" s="4718"/>
      <c r="U167" s="4718"/>
      <c r="V167" s="4718"/>
      <c r="W167" s="4718"/>
      <c r="X167" s="4718"/>
      <c r="Y167" s="4718"/>
      <c r="Z167" s="4718"/>
      <c r="AA167" s="4718"/>
      <c r="AB167" s="4718"/>
      <c r="AC167" s="4718"/>
      <c r="AD167" s="4718"/>
      <c r="AE167" s="4718"/>
      <c r="AF167" s="4718"/>
      <c r="AG167" s="4718"/>
      <c r="AH167" s="4718"/>
      <c r="AI167" s="4718"/>
      <c r="AJ167" s="2096"/>
      <c r="AK167" s="1646"/>
      <c r="AL167" s="1873"/>
      <c r="AQ167" s="708"/>
      <c r="AT167" s="2601"/>
      <c r="AU167" s="2601"/>
    </row>
    <row r="168" spans="1:47" ht="11.45" customHeight="1">
      <c r="A168" s="859"/>
      <c r="B168" s="522"/>
      <c r="C168" s="3764"/>
      <c r="D168" s="4718"/>
      <c r="E168" s="4718"/>
      <c r="F168" s="4718"/>
      <c r="G168" s="4718"/>
      <c r="H168" s="4718"/>
      <c r="I168" s="4718"/>
      <c r="J168" s="4718"/>
      <c r="K168" s="4718"/>
      <c r="L168" s="4718"/>
      <c r="M168" s="4718"/>
      <c r="N168" s="4718"/>
      <c r="O168" s="4718"/>
      <c r="P168" s="4718"/>
      <c r="Q168" s="4718"/>
      <c r="R168" s="4718"/>
      <c r="S168" s="4718"/>
      <c r="T168" s="4718"/>
      <c r="U168" s="4718"/>
      <c r="V168" s="4718"/>
      <c r="W168" s="4718"/>
      <c r="X168" s="4718"/>
      <c r="Y168" s="4718"/>
      <c r="Z168" s="4718"/>
      <c r="AA168" s="4718"/>
      <c r="AB168" s="4718"/>
      <c r="AC168" s="4718"/>
      <c r="AD168" s="4718"/>
      <c r="AE168" s="4718"/>
      <c r="AF168" s="4718"/>
      <c r="AG168" s="4718"/>
      <c r="AH168" s="4718"/>
      <c r="AI168" s="4718"/>
      <c r="AJ168" s="3765"/>
      <c r="AK168" s="1269"/>
      <c r="AL168" s="859"/>
      <c r="AQ168" s="708"/>
      <c r="AT168" s="2601"/>
      <c r="AU168" s="2601"/>
    </row>
    <row r="169" spans="1:47" ht="11.45" customHeight="1">
      <c r="A169" s="848"/>
      <c r="B169" s="3758"/>
      <c r="C169" s="3767"/>
      <c r="D169" s="4718"/>
      <c r="E169" s="4718"/>
      <c r="F169" s="4718"/>
      <c r="G169" s="4718"/>
      <c r="H169" s="4718"/>
      <c r="I169" s="4718"/>
      <c r="J169" s="4718"/>
      <c r="K169" s="4718"/>
      <c r="L169" s="4718"/>
      <c r="M169" s="4718"/>
      <c r="N169" s="4718"/>
      <c r="O169" s="4718"/>
      <c r="P169" s="4718"/>
      <c r="Q169" s="4718"/>
      <c r="R169" s="4718"/>
      <c r="S169" s="4718"/>
      <c r="T169" s="4718"/>
      <c r="U169" s="4718"/>
      <c r="V169" s="4718"/>
      <c r="W169" s="4718"/>
      <c r="X169" s="4718"/>
      <c r="Y169" s="4718"/>
      <c r="Z169" s="4718"/>
      <c r="AA169" s="4718"/>
      <c r="AB169" s="4718"/>
      <c r="AC169" s="4718"/>
      <c r="AD169" s="4718"/>
      <c r="AE169" s="4718"/>
      <c r="AF169" s="4718"/>
      <c r="AG169" s="4718"/>
      <c r="AH169" s="4718"/>
      <c r="AI169" s="4718"/>
      <c r="AJ169" s="3763"/>
      <c r="AK169" s="1646"/>
      <c r="AL169" s="1873"/>
      <c r="AQ169" s="708"/>
      <c r="AT169" s="2601"/>
      <c r="AU169" s="2601"/>
    </row>
    <row r="170" spans="1:47" ht="11.45" customHeight="1">
      <c r="A170" s="859"/>
      <c r="B170" s="522"/>
      <c r="C170" s="3764"/>
      <c r="D170" s="4718"/>
      <c r="E170" s="4718"/>
      <c r="F170" s="4718"/>
      <c r="G170" s="4718"/>
      <c r="H170" s="4718"/>
      <c r="I170" s="4718"/>
      <c r="J170" s="4718"/>
      <c r="K170" s="4718"/>
      <c r="L170" s="4718"/>
      <c r="M170" s="4718"/>
      <c r="N170" s="4718"/>
      <c r="O170" s="4718"/>
      <c r="P170" s="4718"/>
      <c r="Q170" s="4718"/>
      <c r="R170" s="4718"/>
      <c r="S170" s="4718"/>
      <c r="T170" s="4718"/>
      <c r="U170" s="4718"/>
      <c r="V170" s="4718"/>
      <c r="W170" s="4718"/>
      <c r="X170" s="4718"/>
      <c r="Y170" s="4718"/>
      <c r="Z170" s="4718"/>
      <c r="AA170" s="4718"/>
      <c r="AB170" s="4718"/>
      <c r="AC170" s="4718"/>
      <c r="AD170" s="4718"/>
      <c r="AE170" s="4718"/>
      <c r="AF170" s="4718"/>
      <c r="AG170" s="4718"/>
      <c r="AH170" s="4718"/>
      <c r="AI170" s="4718"/>
      <c r="AJ170" s="3765"/>
      <c r="AK170" s="1269"/>
      <c r="AL170" s="859"/>
      <c r="AQ170" s="708"/>
      <c r="AT170" s="2601"/>
      <c r="AU170" s="2601"/>
    </row>
    <row r="171" spans="1:47" ht="11.45" customHeight="1">
      <c r="A171" s="848"/>
      <c r="B171" s="3758"/>
      <c r="C171" s="3767"/>
      <c r="D171" s="4718"/>
      <c r="E171" s="4718"/>
      <c r="F171" s="4718"/>
      <c r="G171" s="4718"/>
      <c r="H171" s="4718"/>
      <c r="I171" s="4718"/>
      <c r="J171" s="4718"/>
      <c r="K171" s="4718"/>
      <c r="L171" s="4718"/>
      <c r="M171" s="4718"/>
      <c r="N171" s="4718"/>
      <c r="O171" s="4718"/>
      <c r="P171" s="4718"/>
      <c r="Q171" s="4718"/>
      <c r="R171" s="4718"/>
      <c r="S171" s="4718"/>
      <c r="T171" s="4718"/>
      <c r="U171" s="4718"/>
      <c r="V171" s="4718"/>
      <c r="W171" s="4718"/>
      <c r="X171" s="4718"/>
      <c r="Y171" s="4718"/>
      <c r="Z171" s="4718"/>
      <c r="AA171" s="4718"/>
      <c r="AB171" s="4718"/>
      <c r="AC171" s="4718"/>
      <c r="AD171" s="4718"/>
      <c r="AE171" s="4718"/>
      <c r="AF171" s="4718"/>
      <c r="AG171" s="4718"/>
      <c r="AH171" s="4718"/>
      <c r="AI171" s="4718"/>
      <c r="AJ171" s="3763"/>
      <c r="AK171" s="1646"/>
      <c r="AL171" s="1873"/>
      <c r="AQ171" s="708"/>
      <c r="AT171" s="2601"/>
      <c r="AU171" s="2601"/>
    </row>
    <row r="172" spans="1:47" ht="11.45" customHeight="1">
      <c r="A172" s="859"/>
      <c r="B172" s="522"/>
      <c r="C172" s="3764"/>
      <c r="D172" s="4718"/>
      <c r="E172" s="4718"/>
      <c r="F172" s="4718"/>
      <c r="G172" s="4718"/>
      <c r="H172" s="4718"/>
      <c r="I172" s="4718"/>
      <c r="J172" s="4718"/>
      <c r="K172" s="4718"/>
      <c r="L172" s="4718"/>
      <c r="M172" s="4718"/>
      <c r="N172" s="4718"/>
      <c r="O172" s="4718"/>
      <c r="P172" s="4718"/>
      <c r="Q172" s="4718"/>
      <c r="R172" s="4718"/>
      <c r="S172" s="4718"/>
      <c r="T172" s="4718"/>
      <c r="U172" s="4718"/>
      <c r="V172" s="4718"/>
      <c r="W172" s="4718"/>
      <c r="X172" s="4718"/>
      <c r="Y172" s="4718"/>
      <c r="Z172" s="4718"/>
      <c r="AA172" s="4718"/>
      <c r="AB172" s="4718"/>
      <c r="AC172" s="4718"/>
      <c r="AD172" s="4718"/>
      <c r="AE172" s="4718"/>
      <c r="AF172" s="4718"/>
      <c r="AG172" s="4718"/>
      <c r="AH172" s="4718"/>
      <c r="AI172" s="4718"/>
      <c r="AJ172" s="3765"/>
      <c r="AK172" s="1269"/>
      <c r="AL172" s="859"/>
      <c r="AQ172" s="708"/>
      <c r="AT172" s="2601"/>
      <c r="AU172" s="2601"/>
    </row>
    <row r="173" spans="1:47" ht="11.45" customHeight="1">
      <c r="A173" s="848"/>
      <c r="B173" s="3758"/>
      <c r="C173" s="3767"/>
      <c r="D173" s="4718"/>
      <c r="E173" s="4718"/>
      <c r="F173" s="4718"/>
      <c r="G173" s="4718"/>
      <c r="H173" s="4718"/>
      <c r="I173" s="4718"/>
      <c r="J173" s="4718"/>
      <c r="K173" s="4718"/>
      <c r="L173" s="4718"/>
      <c r="M173" s="4718"/>
      <c r="N173" s="4718"/>
      <c r="O173" s="4718"/>
      <c r="P173" s="4718"/>
      <c r="Q173" s="4718"/>
      <c r="R173" s="4718"/>
      <c r="S173" s="4718"/>
      <c r="T173" s="4718"/>
      <c r="U173" s="4718"/>
      <c r="V173" s="4718"/>
      <c r="W173" s="4718"/>
      <c r="X173" s="4718"/>
      <c r="Y173" s="4718"/>
      <c r="Z173" s="4718"/>
      <c r="AA173" s="4718"/>
      <c r="AB173" s="4718"/>
      <c r="AC173" s="4718"/>
      <c r="AD173" s="4718"/>
      <c r="AE173" s="4718"/>
      <c r="AF173" s="4718"/>
      <c r="AG173" s="4718"/>
      <c r="AH173" s="4718"/>
      <c r="AI173" s="4718"/>
      <c r="AJ173" s="2096"/>
      <c r="AK173" s="1646"/>
      <c r="AL173" s="1873"/>
      <c r="AQ173" s="708"/>
      <c r="AT173" s="2601"/>
      <c r="AU173" s="2601"/>
    </row>
    <row r="174" spans="1:47" ht="11.45" customHeight="1">
      <c r="A174" s="859"/>
      <c r="B174" s="522"/>
      <c r="C174" s="3764"/>
      <c r="D174" s="4718"/>
      <c r="E174" s="4718"/>
      <c r="F174" s="4718"/>
      <c r="G174" s="4718"/>
      <c r="H174" s="4718"/>
      <c r="I174" s="4718"/>
      <c r="J174" s="4718"/>
      <c r="K174" s="4718"/>
      <c r="L174" s="4718"/>
      <c r="M174" s="4718"/>
      <c r="N174" s="4718"/>
      <c r="O174" s="4718"/>
      <c r="P174" s="4718"/>
      <c r="Q174" s="4718"/>
      <c r="R174" s="4718"/>
      <c r="S174" s="4718"/>
      <c r="T174" s="4718"/>
      <c r="U174" s="4718"/>
      <c r="V174" s="4718"/>
      <c r="W174" s="4718"/>
      <c r="X174" s="4718"/>
      <c r="Y174" s="4718"/>
      <c r="Z174" s="4718"/>
      <c r="AA174" s="4718"/>
      <c r="AB174" s="4718"/>
      <c r="AC174" s="4718"/>
      <c r="AD174" s="4718"/>
      <c r="AE174" s="4718"/>
      <c r="AF174" s="4718"/>
      <c r="AG174" s="4718"/>
      <c r="AH174" s="4718"/>
      <c r="AI174" s="4718"/>
      <c r="AJ174" s="3765"/>
      <c r="AK174" s="1269"/>
      <c r="AL174" s="859"/>
      <c r="AQ174" s="708"/>
      <c r="AT174" s="2601"/>
      <c r="AU174" s="2601"/>
    </row>
    <row r="175" spans="1:47" ht="11.45" customHeight="1">
      <c r="A175" s="848"/>
      <c r="B175" s="3758"/>
      <c r="C175" s="3767"/>
      <c r="D175" s="4718"/>
      <c r="E175" s="4718"/>
      <c r="F175" s="4718"/>
      <c r="G175" s="4718"/>
      <c r="H175" s="4718"/>
      <c r="I175" s="4718"/>
      <c r="J175" s="4718"/>
      <c r="K175" s="4718"/>
      <c r="L175" s="4718"/>
      <c r="M175" s="4718"/>
      <c r="N175" s="4718"/>
      <c r="O175" s="4718"/>
      <c r="P175" s="4718"/>
      <c r="Q175" s="4718"/>
      <c r="R175" s="4718"/>
      <c r="S175" s="4718"/>
      <c r="T175" s="4718"/>
      <c r="U175" s="4718"/>
      <c r="V175" s="4718"/>
      <c r="W175" s="4718"/>
      <c r="X175" s="4718"/>
      <c r="Y175" s="4718"/>
      <c r="Z175" s="4718"/>
      <c r="AA175" s="4718"/>
      <c r="AB175" s="4718"/>
      <c r="AC175" s="4718"/>
      <c r="AD175" s="4718"/>
      <c r="AE175" s="4718"/>
      <c r="AF175" s="4718"/>
      <c r="AG175" s="4718"/>
      <c r="AH175" s="4718"/>
      <c r="AI175" s="4718"/>
      <c r="AJ175" s="2096"/>
      <c r="AK175" s="1646"/>
      <c r="AL175" s="1873"/>
      <c r="AQ175" s="708"/>
      <c r="AT175" s="2601"/>
      <c r="AU175" s="2601"/>
    </row>
    <row r="176" spans="1:47" ht="11.45" customHeight="1">
      <c r="A176" s="859"/>
      <c r="B176" s="522"/>
      <c r="C176" s="3764"/>
      <c r="D176" s="4718"/>
      <c r="E176" s="4718"/>
      <c r="F176" s="4718"/>
      <c r="G176" s="4718"/>
      <c r="H176" s="4718"/>
      <c r="I176" s="4718"/>
      <c r="J176" s="4718"/>
      <c r="K176" s="4718"/>
      <c r="L176" s="4718"/>
      <c r="M176" s="4718"/>
      <c r="N176" s="4718"/>
      <c r="O176" s="4718"/>
      <c r="P176" s="4718"/>
      <c r="Q176" s="4718"/>
      <c r="R176" s="4718"/>
      <c r="S176" s="4718"/>
      <c r="T176" s="4718"/>
      <c r="U176" s="4718"/>
      <c r="V176" s="4718"/>
      <c r="W176" s="4718"/>
      <c r="X176" s="4718"/>
      <c r="Y176" s="4718"/>
      <c r="Z176" s="4718"/>
      <c r="AA176" s="4718"/>
      <c r="AB176" s="4718"/>
      <c r="AC176" s="4718"/>
      <c r="AD176" s="4718"/>
      <c r="AE176" s="4718"/>
      <c r="AF176" s="4718"/>
      <c r="AG176" s="4718"/>
      <c r="AH176" s="4718"/>
      <c r="AI176" s="4718"/>
      <c r="AJ176" s="3765"/>
      <c r="AK176" s="1269"/>
      <c r="AL176" s="859"/>
      <c r="AQ176" s="708"/>
      <c r="AT176" s="2601"/>
      <c r="AU176" s="2601"/>
    </row>
    <row r="177" spans="1:47" ht="11.45" customHeight="1">
      <c r="A177" s="848"/>
      <c r="B177" s="3758"/>
      <c r="C177" s="1651"/>
      <c r="D177" s="4718"/>
      <c r="E177" s="4718"/>
      <c r="F177" s="4718"/>
      <c r="G177" s="4718"/>
      <c r="H177" s="4718"/>
      <c r="I177" s="4718"/>
      <c r="J177" s="4718"/>
      <c r="K177" s="4718"/>
      <c r="L177" s="4718"/>
      <c r="M177" s="4718"/>
      <c r="N177" s="4718"/>
      <c r="O177" s="4718"/>
      <c r="P177" s="4718"/>
      <c r="Q177" s="4718"/>
      <c r="R177" s="4718"/>
      <c r="S177" s="4718"/>
      <c r="T177" s="4718"/>
      <c r="U177" s="4718"/>
      <c r="V177" s="4718"/>
      <c r="W177" s="4718"/>
      <c r="X177" s="4718"/>
      <c r="Y177" s="4718"/>
      <c r="Z177" s="4718"/>
      <c r="AA177" s="4718"/>
      <c r="AB177" s="4718"/>
      <c r="AC177" s="4718"/>
      <c r="AD177" s="4718"/>
      <c r="AE177" s="4718"/>
      <c r="AF177" s="4718"/>
      <c r="AG177" s="4718"/>
      <c r="AH177" s="4718"/>
      <c r="AI177" s="4718"/>
      <c r="AJ177" s="2093"/>
      <c r="AK177" s="1646"/>
      <c r="AL177" s="1873"/>
      <c r="AQ177" s="708"/>
      <c r="AT177" s="2601"/>
      <c r="AU177" s="2601"/>
    </row>
    <row r="178" spans="1:47" ht="11.45" customHeight="1">
      <c r="A178" s="848"/>
      <c r="B178" s="3758"/>
      <c r="C178" s="1651"/>
      <c r="D178" s="4718"/>
      <c r="E178" s="4718"/>
      <c r="F178" s="4718"/>
      <c r="G178" s="4718"/>
      <c r="H178" s="4718"/>
      <c r="I178" s="4718"/>
      <c r="J178" s="4718"/>
      <c r="K178" s="4718"/>
      <c r="L178" s="4718"/>
      <c r="M178" s="4718"/>
      <c r="N178" s="4718"/>
      <c r="O178" s="4718"/>
      <c r="P178" s="4718"/>
      <c r="Q178" s="4718"/>
      <c r="R178" s="4718"/>
      <c r="S178" s="4718"/>
      <c r="T178" s="4718"/>
      <c r="U178" s="4718"/>
      <c r="V178" s="4718"/>
      <c r="W178" s="4718"/>
      <c r="X178" s="4718"/>
      <c r="Y178" s="4718"/>
      <c r="Z178" s="4718"/>
      <c r="AA178" s="4718"/>
      <c r="AB178" s="4718"/>
      <c r="AC178" s="4718"/>
      <c r="AD178" s="4718"/>
      <c r="AE178" s="4718"/>
      <c r="AF178" s="4718"/>
      <c r="AG178" s="4718"/>
      <c r="AH178" s="4718"/>
      <c r="AI178" s="4718"/>
      <c r="AJ178" s="2096"/>
      <c r="AK178" s="1646"/>
      <c r="AL178" s="1873"/>
      <c r="AQ178" s="708"/>
      <c r="AT178" s="2601"/>
      <c r="AU178" s="2601"/>
    </row>
    <row r="179" spans="1:47" ht="11.45" customHeight="1">
      <c r="A179" s="848"/>
      <c r="B179" s="3758"/>
      <c r="C179" s="1651"/>
      <c r="D179" s="4718"/>
      <c r="E179" s="4718"/>
      <c r="F179" s="4718"/>
      <c r="G179" s="4718"/>
      <c r="H179" s="4718"/>
      <c r="I179" s="4718"/>
      <c r="J179" s="4718"/>
      <c r="K179" s="4718"/>
      <c r="L179" s="4718"/>
      <c r="M179" s="4718"/>
      <c r="N179" s="4718"/>
      <c r="O179" s="4718"/>
      <c r="P179" s="4718"/>
      <c r="Q179" s="4718"/>
      <c r="R179" s="4718"/>
      <c r="S179" s="4718"/>
      <c r="T179" s="4718"/>
      <c r="U179" s="4718"/>
      <c r="V179" s="4718"/>
      <c r="W179" s="4718"/>
      <c r="X179" s="4718"/>
      <c r="Y179" s="4718"/>
      <c r="Z179" s="4718"/>
      <c r="AA179" s="4718"/>
      <c r="AB179" s="4718"/>
      <c r="AC179" s="4718"/>
      <c r="AD179" s="4718"/>
      <c r="AE179" s="4718"/>
      <c r="AF179" s="4718"/>
      <c r="AG179" s="4718"/>
      <c r="AH179" s="4718"/>
      <c r="AI179" s="4718"/>
      <c r="AJ179" s="3763"/>
      <c r="AK179" s="1646"/>
      <c r="AL179" s="1873"/>
      <c r="AQ179" s="708"/>
      <c r="AT179" s="2601"/>
      <c r="AU179" s="2601"/>
    </row>
    <row r="180" spans="1:47" ht="11.45" customHeight="1">
      <c r="A180" s="848"/>
      <c r="B180" s="3758"/>
      <c r="C180" s="1651"/>
      <c r="D180" s="4718"/>
      <c r="E180" s="4718"/>
      <c r="F180" s="4718"/>
      <c r="G180" s="4718"/>
      <c r="H180" s="4718"/>
      <c r="I180" s="4718"/>
      <c r="J180" s="4718"/>
      <c r="K180" s="4718"/>
      <c r="L180" s="4718"/>
      <c r="M180" s="4718"/>
      <c r="N180" s="4718"/>
      <c r="O180" s="4718"/>
      <c r="P180" s="4718"/>
      <c r="Q180" s="4718"/>
      <c r="R180" s="4718"/>
      <c r="S180" s="4718"/>
      <c r="T180" s="4718"/>
      <c r="U180" s="4718"/>
      <c r="V180" s="4718"/>
      <c r="W180" s="4718"/>
      <c r="X180" s="4718"/>
      <c r="Y180" s="4718"/>
      <c r="Z180" s="4718"/>
      <c r="AA180" s="4718"/>
      <c r="AB180" s="4718"/>
      <c r="AC180" s="4718"/>
      <c r="AD180" s="4718"/>
      <c r="AE180" s="4718"/>
      <c r="AF180" s="4718"/>
      <c r="AG180" s="4718"/>
      <c r="AH180" s="4718"/>
      <c r="AI180" s="4718"/>
      <c r="AJ180" s="3763"/>
      <c r="AK180" s="1646"/>
      <c r="AL180" s="1873"/>
      <c r="AQ180" s="708"/>
      <c r="AT180" s="2601"/>
      <c r="AU180" s="2601"/>
    </row>
    <row r="181" spans="1:47" ht="11.45" customHeight="1">
      <c r="A181" s="859"/>
      <c r="B181" s="522"/>
      <c r="C181" s="3764"/>
      <c r="D181" s="4718"/>
      <c r="E181" s="4718"/>
      <c r="F181" s="4718"/>
      <c r="G181" s="4718"/>
      <c r="H181" s="4718"/>
      <c r="I181" s="4718"/>
      <c r="J181" s="4718"/>
      <c r="K181" s="4718"/>
      <c r="L181" s="4718"/>
      <c r="M181" s="4718"/>
      <c r="N181" s="4718"/>
      <c r="O181" s="4718"/>
      <c r="P181" s="4718"/>
      <c r="Q181" s="4718"/>
      <c r="R181" s="4718"/>
      <c r="S181" s="4718"/>
      <c r="T181" s="4718"/>
      <c r="U181" s="4718"/>
      <c r="V181" s="4718"/>
      <c r="W181" s="4718"/>
      <c r="X181" s="4718"/>
      <c r="Y181" s="4718"/>
      <c r="Z181" s="4718"/>
      <c r="AA181" s="4718"/>
      <c r="AB181" s="4718"/>
      <c r="AC181" s="4718"/>
      <c r="AD181" s="4718"/>
      <c r="AE181" s="4718"/>
      <c r="AF181" s="4718"/>
      <c r="AG181" s="4718"/>
      <c r="AH181" s="4718"/>
      <c r="AI181" s="4718"/>
      <c r="AJ181" s="3765"/>
      <c r="AK181" s="1269"/>
      <c r="AL181" s="859"/>
      <c r="AQ181" s="708"/>
      <c r="AT181" s="2601"/>
      <c r="AU181" s="2601"/>
    </row>
    <row r="182" spans="1:47" ht="11.45" customHeight="1">
      <c r="A182" s="848"/>
      <c r="B182" s="3758"/>
      <c r="C182" s="1651"/>
      <c r="D182" s="4718"/>
      <c r="E182" s="4718"/>
      <c r="F182" s="4718"/>
      <c r="G182" s="4718"/>
      <c r="H182" s="4718"/>
      <c r="I182" s="4718"/>
      <c r="J182" s="4718"/>
      <c r="K182" s="4718"/>
      <c r="L182" s="4718"/>
      <c r="M182" s="4718"/>
      <c r="N182" s="4718"/>
      <c r="O182" s="4718"/>
      <c r="P182" s="4718"/>
      <c r="Q182" s="4718"/>
      <c r="R182" s="4718"/>
      <c r="S182" s="4718"/>
      <c r="T182" s="4718"/>
      <c r="U182" s="4718"/>
      <c r="V182" s="4718"/>
      <c r="W182" s="4718"/>
      <c r="X182" s="4718"/>
      <c r="Y182" s="4718"/>
      <c r="Z182" s="4718"/>
      <c r="AA182" s="4718"/>
      <c r="AB182" s="4718"/>
      <c r="AC182" s="4718"/>
      <c r="AD182" s="4718"/>
      <c r="AE182" s="4718"/>
      <c r="AF182" s="4718"/>
      <c r="AG182" s="4718"/>
      <c r="AH182" s="4718"/>
      <c r="AI182" s="4718"/>
      <c r="AJ182" s="2096"/>
      <c r="AK182" s="1646"/>
      <c r="AL182" s="1873"/>
      <c r="AQ182" s="708"/>
      <c r="AT182" s="2601"/>
      <c r="AU182" s="2601"/>
    </row>
    <row r="183" spans="1:47" ht="11.45" customHeight="1">
      <c r="A183" s="848"/>
      <c r="B183" s="3758"/>
      <c r="C183" s="1651"/>
      <c r="D183" s="4718"/>
      <c r="E183" s="4718"/>
      <c r="F183" s="4718"/>
      <c r="G183" s="4718"/>
      <c r="H183" s="4718"/>
      <c r="I183" s="4718"/>
      <c r="J183" s="4718"/>
      <c r="K183" s="4718"/>
      <c r="L183" s="4718"/>
      <c r="M183" s="4718"/>
      <c r="N183" s="4718"/>
      <c r="O183" s="4718"/>
      <c r="P183" s="4718"/>
      <c r="Q183" s="4718"/>
      <c r="R183" s="4718"/>
      <c r="S183" s="4718"/>
      <c r="T183" s="4718"/>
      <c r="U183" s="4718"/>
      <c r="V183" s="4718"/>
      <c r="W183" s="4718"/>
      <c r="X183" s="4718"/>
      <c r="Y183" s="4718"/>
      <c r="Z183" s="4718"/>
      <c r="AA183" s="4718"/>
      <c r="AB183" s="4718"/>
      <c r="AC183" s="4718"/>
      <c r="AD183" s="4718"/>
      <c r="AE183" s="4718"/>
      <c r="AF183" s="4718"/>
      <c r="AG183" s="4718"/>
      <c r="AH183" s="4718"/>
      <c r="AI183" s="4718"/>
      <c r="AJ183" s="2096"/>
      <c r="AK183" s="1646"/>
      <c r="AL183" s="1873"/>
      <c r="AQ183" s="708"/>
      <c r="AT183" s="2601"/>
      <c r="AU183" s="2601"/>
    </row>
    <row r="184" spans="1:47" ht="11.45" customHeight="1">
      <c r="A184" s="859"/>
      <c r="B184" s="522"/>
      <c r="C184" s="3764"/>
      <c r="D184" s="4718"/>
      <c r="E184" s="4718"/>
      <c r="F184" s="4718"/>
      <c r="G184" s="4718"/>
      <c r="H184" s="4718"/>
      <c r="I184" s="4718"/>
      <c r="J184" s="4718"/>
      <c r="K184" s="4718"/>
      <c r="L184" s="4718"/>
      <c r="M184" s="4718"/>
      <c r="N184" s="4718"/>
      <c r="O184" s="4718"/>
      <c r="P184" s="4718"/>
      <c r="Q184" s="4718"/>
      <c r="R184" s="4718"/>
      <c r="S184" s="4718"/>
      <c r="T184" s="4718"/>
      <c r="U184" s="4718"/>
      <c r="V184" s="4718"/>
      <c r="W184" s="4718"/>
      <c r="X184" s="4718"/>
      <c r="Y184" s="4718"/>
      <c r="Z184" s="4718"/>
      <c r="AA184" s="4718"/>
      <c r="AB184" s="4718"/>
      <c r="AC184" s="4718"/>
      <c r="AD184" s="4718"/>
      <c r="AE184" s="4718"/>
      <c r="AF184" s="4718"/>
      <c r="AG184" s="4718"/>
      <c r="AH184" s="4718"/>
      <c r="AI184" s="4718"/>
      <c r="AJ184" s="3765"/>
      <c r="AK184" s="1269"/>
      <c r="AL184" s="859"/>
      <c r="AQ184" s="708"/>
      <c r="AT184" s="2601"/>
      <c r="AU184" s="2601"/>
    </row>
    <row r="185" spans="1:47" ht="11.45" customHeight="1">
      <c r="A185" s="848"/>
      <c r="B185" s="3758"/>
      <c r="C185" s="1651"/>
      <c r="D185" s="4718"/>
      <c r="E185" s="4718"/>
      <c r="F185" s="4718"/>
      <c r="G185" s="4718"/>
      <c r="H185" s="4718"/>
      <c r="I185" s="4718"/>
      <c r="J185" s="4718"/>
      <c r="K185" s="4718"/>
      <c r="L185" s="4718"/>
      <c r="M185" s="4718"/>
      <c r="N185" s="4718"/>
      <c r="O185" s="4718"/>
      <c r="P185" s="4718"/>
      <c r="Q185" s="4718"/>
      <c r="R185" s="4718"/>
      <c r="S185" s="4718"/>
      <c r="T185" s="4718"/>
      <c r="U185" s="4718"/>
      <c r="V185" s="4718"/>
      <c r="W185" s="4718"/>
      <c r="X185" s="4718"/>
      <c r="Y185" s="4718"/>
      <c r="Z185" s="4718"/>
      <c r="AA185" s="4718"/>
      <c r="AB185" s="4718"/>
      <c r="AC185" s="4718"/>
      <c r="AD185" s="4718"/>
      <c r="AE185" s="4718"/>
      <c r="AF185" s="4718"/>
      <c r="AG185" s="4718"/>
      <c r="AH185" s="4718"/>
      <c r="AI185" s="4718"/>
      <c r="AJ185" s="2096"/>
      <c r="AK185" s="1646"/>
      <c r="AL185" s="1873"/>
      <c r="AQ185" s="708"/>
      <c r="AT185" s="2601"/>
      <c r="AU185" s="2601"/>
    </row>
    <row r="186" spans="1:47" ht="11.45" customHeight="1">
      <c r="A186" s="859"/>
      <c r="B186" s="522"/>
      <c r="C186" s="3764"/>
      <c r="D186" s="4718"/>
      <c r="E186" s="4718"/>
      <c r="F186" s="4718"/>
      <c r="G186" s="4718"/>
      <c r="H186" s="4718"/>
      <c r="I186" s="4718"/>
      <c r="J186" s="4718"/>
      <c r="K186" s="4718"/>
      <c r="L186" s="4718"/>
      <c r="M186" s="4718"/>
      <c r="N186" s="4718"/>
      <c r="O186" s="4718"/>
      <c r="P186" s="4718"/>
      <c r="Q186" s="4718"/>
      <c r="R186" s="4718"/>
      <c r="S186" s="4718"/>
      <c r="T186" s="4718"/>
      <c r="U186" s="4718"/>
      <c r="V186" s="4718"/>
      <c r="W186" s="4718"/>
      <c r="X186" s="4718"/>
      <c r="Y186" s="4718"/>
      <c r="Z186" s="4718"/>
      <c r="AA186" s="4718"/>
      <c r="AB186" s="4718"/>
      <c r="AC186" s="4718"/>
      <c r="AD186" s="4718"/>
      <c r="AE186" s="4718"/>
      <c r="AF186" s="4718"/>
      <c r="AG186" s="4718"/>
      <c r="AH186" s="4718"/>
      <c r="AI186" s="4718"/>
      <c r="AJ186" s="3765"/>
      <c r="AK186" s="1269"/>
      <c r="AL186" s="859"/>
      <c r="AQ186" s="708"/>
      <c r="AT186" s="2601"/>
      <c r="AU186" s="2601"/>
    </row>
    <row r="187" spans="1:47" ht="4.5" customHeight="1">
      <c r="A187" s="848"/>
      <c r="B187" s="3758"/>
      <c r="C187" s="3768"/>
      <c r="D187" s="2097"/>
      <c r="E187" s="2097"/>
      <c r="F187" s="2097"/>
      <c r="G187" s="2097"/>
      <c r="H187" s="2097"/>
      <c r="I187" s="2097"/>
      <c r="J187" s="2097"/>
      <c r="K187" s="2097"/>
      <c r="L187" s="2097"/>
      <c r="M187" s="2097"/>
      <c r="N187" s="2097"/>
      <c r="O187" s="2097"/>
      <c r="P187" s="2097"/>
      <c r="Q187" s="2097"/>
      <c r="R187" s="2097"/>
      <c r="S187" s="2097"/>
      <c r="T187" s="2097"/>
      <c r="U187" s="2097"/>
      <c r="V187" s="2097"/>
      <c r="W187" s="2097"/>
      <c r="X187" s="2097"/>
      <c r="Y187" s="2097"/>
      <c r="Z187" s="2097"/>
      <c r="AA187" s="2097"/>
      <c r="AB187" s="2097"/>
      <c r="AC187" s="2097"/>
      <c r="AD187" s="2097"/>
      <c r="AE187" s="2097"/>
      <c r="AF187" s="2097"/>
      <c r="AG187" s="2097"/>
      <c r="AH187" s="2097"/>
      <c r="AI187" s="2097"/>
      <c r="AJ187" s="2098"/>
      <c r="AK187" s="1646"/>
      <c r="AL187" s="1873"/>
      <c r="AT187" s="2601"/>
      <c r="AU187" s="2601"/>
    </row>
    <row r="188" spans="1:47" ht="12.75" customHeight="1" thickBot="1">
      <c r="A188" s="848"/>
      <c r="B188" s="3769"/>
      <c r="C188" s="3770"/>
      <c r="D188" s="3770"/>
      <c r="E188" s="3770"/>
      <c r="F188" s="3770"/>
      <c r="G188" s="3770"/>
      <c r="H188" s="3770"/>
      <c r="I188" s="3770"/>
      <c r="J188" s="3770"/>
      <c r="K188" s="3770"/>
      <c r="L188" s="3770"/>
      <c r="M188" s="3770"/>
      <c r="N188" s="3770"/>
      <c r="O188" s="3770"/>
      <c r="P188" s="3770"/>
      <c r="Q188" s="3770"/>
      <c r="R188" s="3770"/>
      <c r="S188" s="3770"/>
      <c r="T188" s="3770"/>
      <c r="U188" s="3770"/>
      <c r="V188" s="3770"/>
      <c r="W188" s="3770"/>
      <c r="X188" s="3770"/>
      <c r="Y188" s="3770"/>
      <c r="Z188" s="3770"/>
      <c r="AA188" s="3770"/>
      <c r="AB188" s="3770"/>
      <c r="AC188" s="3770"/>
      <c r="AD188" s="3770"/>
      <c r="AE188" s="3770"/>
      <c r="AF188" s="3770"/>
      <c r="AG188" s="3770"/>
      <c r="AH188" s="3770"/>
      <c r="AI188" s="3771"/>
      <c r="AJ188" s="3771"/>
      <c r="AK188" s="3772"/>
      <c r="AL188" s="1873"/>
      <c r="AT188" s="2601"/>
      <c r="AU188" s="2601"/>
    </row>
    <row r="189" spans="1:47" ht="11.25" customHeight="1">
      <c r="A189" s="848"/>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3755"/>
      <c r="AJ189" s="3755"/>
      <c r="AK189" s="3755" t="str">
        <f>Version</f>
        <v>Ficha Excel. Versión 8.6.3</v>
      </c>
      <c r="AL189" s="1873"/>
      <c r="AT189" s="2601"/>
      <c r="AU189" s="2601"/>
    </row>
    <row r="190" spans="1:47" ht="11.25" customHeight="1">
      <c r="A190" s="848"/>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3755"/>
      <c r="AJ190" s="3755"/>
      <c r="AK190" s="3755"/>
      <c r="AL190" s="1873"/>
      <c r="AT190" s="2601"/>
      <c r="AU190" s="2601"/>
    </row>
  </sheetData>
  <sheetProtection sheet="1" formatRows="0" selectLockedCells="1"/>
  <mergeCells count="128">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C35:AD35"/>
    <mergeCell ref="Y35:Z35"/>
    <mergeCell ref="M37:N37"/>
    <mergeCell ref="AC37:AD37"/>
    <mergeCell ref="Y37:Z37"/>
    <mergeCell ref="D35:G35"/>
    <mergeCell ref="AG37:AH37"/>
    <mergeCell ref="Q37:R37"/>
    <mergeCell ref="AH50:AI50"/>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0"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abSelected="1" zoomScaleNormal="100" workbookViewId="0">
      <selection activeCell="F24" sqref="F24:G24"/>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00"/>
    <col min="40" max="40" width="1.7109375" style="800" customWidth="1"/>
    <col min="41" max="41" width="12.7109375" style="131" bestFit="1" customWidth="1"/>
    <col min="42" max="16384" width="5.7109375" style="1"/>
  </cols>
  <sheetData>
    <row r="1" spans="1:41" ht="12" customHeight="1" thickBot="1">
      <c r="A1" s="478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600" t="s">
        <v>8292</v>
      </c>
    </row>
    <row r="2" spans="1:41" s="591" customFormat="1" ht="12" customHeight="1" thickBot="1">
      <c r="A2" s="4783"/>
      <c r="B2" s="588" t="s">
        <v>6154</v>
      </c>
      <c r="C2" s="589"/>
      <c r="D2" s="589"/>
      <c r="E2" s="589"/>
      <c r="F2" s="589"/>
      <c r="G2" s="589"/>
      <c r="H2" s="589"/>
      <c r="I2" s="589"/>
      <c r="J2" s="589"/>
      <c r="K2" s="589"/>
      <c r="L2" s="589"/>
      <c r="M2" s="589"/>
      <c r="N2" s="589"/>
      <c r="O2" s="589"/>
      <c r="P2" s="589"/>
      <c r="Q2" s="589"/>
      <c r="R2" s="589"/>
      <c r="S2" s="589"/>
      <c r="T2" s="590"/>
      <c r="U2" s="587"/>
      <c r="V2" s="531"/>
      <c r="W2" s="2324"/>
      <c r="X2" s="2325"/>
      <c r="Y2" s="2325"/>
      <c r="Z2" s="2325"/>
      <c r="AA2" s="2325"/>
      <c r="AB2" s="2325"/>
      <c r="AC2" s="2325"/>
      <c r="AD2" s="2325"/>
      <c r="AE2" s="2325"/>
      <c r="AF2" s="2325"/>
      <c r="AG2" s="2325"/>
      <c r="AH2" s="2325"/>
      <c r="AI2" s="2325"/>
      <c r="AJ2" s="2325"/>
      <c r="AK2" s="2325"/>
      <c r="AL2" s="2325"/>
      <c r="AM2" s="2326"/>
      <c r="AN2" s="4"/>
      <c r="AO2" s="2603"/>
    </row>
    <row r="3" spans="1:41" ht="12" customHeight="1" thickBot="1">
      <c r="A3" s="4783"/>
      <c r="B3" s="583"/>
      <c r="C3" s="5"/>
      <c r="D3" s="5"/>
      <c r="E3" s="5"/>
      <c r="F3" s="1647"/>
      <c r="G3" s="5"/>
      <c r="H3" s="5"/>
      <c r="I3" s="5"/>
      <c r="J3" s="5"/>
      <c r="K3" s="5"/>
      <c r="L3" s="5"/>
      <c r="T3" s="584"/>
      <c r="U3" s="3"/>
      <c r="V3" s="4"/>
      <c r="W3" s="775"/>
      <c r="X3" s="4361" t="s">
        <v>9687</v>
      </c>
      <c r="Y3" s="4361"/>
      <c r="Z3" s="4361"/>
      <c r="AA3" s="4361"/>
      <c r="AB3" s="4361"/>
      <c r="AC3" s="4361"/>
      <c r="AD3" s="6"/>
      <c r="AE3" s="1999"/>
      <c r="AF3" s="1999"/>
      <c r="AG3" s="1999"/>
      <c r="AH3" s="1999"/>
      <c r="AI3" s="1999"/>
      <c r="AJ3" s="1999"/>
      <c r="AK3" s="1999"/>
      <c r="AL3" s="7"/>
      <c r="AM3" s="1047"/>
      <c r="AN3" s="4"/>
      <c r="AO3" s="2604"/>
    </row>
    <row r="4" spans="1:41" ht="12" customHeight="1" thickBot="1">
      <c r="A4" s="4783"/>
      <c r="B4" s="583"/>
      <c r="L4" s="1465"/>
      <c r="M4" s="4368" t="s">
        <v>8271</v>
      </c>
      <c r="N4" s="4369"/>
      <c r="O4" s="4369"/>
      <c r="P4" s="4369"/>
      <c r="Q4" s="4369"/>
      <c r="R4" s="4369"/>
      <c r="S4" s="4370"/>
      <c r="T4" s="584"/>
      <c r="U4" s="3"/>
      <c r="V4" s="4"/>
      <c r="W4" s="775"/>
      <c r="X4" s="4361"/>
      <c r="Y4" s="4361"/>
      <c r="Z4" s="4361"/>
      <c r="AA4" s="4361"/>
      <c r="AB4" s="4361"/>
      <c r="AC4" s="4361"/>
      <c r="AD4" s="9"/>
      <c r="AE4" s="4754" t="s">
        <v>1184</v>
      </c>
      <c r="AF4" s="4754"/>
      <c r="AG4" s="4373" t="str">
        <f>IF(OR(General!$F$22="",General!$F$22=0),"",General!$F$22)</f>
        <v/>
      </c>
      <c r="AH4" s="4373"/>
      <c r="AI4" s="4373"/>
      <c r="AJ4" s="4373"/>
      <c r="AK4" s="4373"/>
      <c r="AL4" s="10"/>
      <c r="AM4" s="1047"/>
      <c r="AN4" s="4"/>
      <c r="AO4" s="2603" t="s">
        <v>9759</v>
      </c>
    </row>
    <row r="5" spans="1:41" ht="12" customHeight="1" thickBot="1">
      <c r="A5" s="4783"/>
      <c r="B5" s="583"/>
      <c r="L5" s="1465"/>
      <c r="M5" s="4810"/>
      <c r="N5" s="4811"/>
      <c r="O5" s="4811"/>
      <c r="P5" s="4811"/>
      <c r="Q5" s="4811"/>
      <c r="R5" s="4811"/>
      <c r="S5" s="4812"/>
      <c r="T5" s="584"/>
      <c r="U5" s="3"/>
      <c r="V5" s="4"/>
      <c r="W5" s="775"/>
      <c r="X5" s="4361"/>
      <c r="Y5" s="4361"/>
      <c r="Z5" s="4361"/>
      <c r="AA5" s="4361"/>
      <c r="AB5" s="4361"/>
      <c r="AC5" s="4361"/>
      <c r="AD5" s="9"/>
      <c r="AE5" s="4885" t="s">
        <v>1185</v>
      </c>
      <c r="AF5" s="4885"/>
      <c r="AG5" s="4738" t="str">
        <f>IF(LEN(PDs!$E$11)&lt;=General!$AO$5,PDs!$E$11,"… /"&amp;RIGHT(PDs!$E$11,General!$AO$5-FIND("/",RIGHT(PDs!$E$11,General!$AO$5))))</f>
        <v/>
      </c>
      <c r="AH5" s="4738"/>
      <c r="AI5" s="4738"/>
      <c r="AJ5" s="1998" t="s">
        <v>1186</v>
      </c>
      <c r="AK5" s="1993" t="str">
        <f>Principal!$O$6</f>
        <v>1</v>
      </c>
      <c r="AL5" s="11"/>
      <c r="AM5" s="1047"/>
      <c r="AN5" s="4"/>
      <c r="AO5" s="2604">
        <v>25</v>
      </c>
    </row>
    <row r="6" spans="1:41" ht="12" customHeight="1" thickBot="1">
      <c r="A6" s="4783"/>
      <c r="B6" s="583"/>
      <c r="C6" s="4755" t="s">
        <v>9687</v>
      </c>
      <c r="D6" s="4756"/>
      <c r="E6" s="4756"/>
      <c r="F6" s="4756"/>
      <c r="G6" s="4756"/>
      <c r="H6" s="4756"/>
      <c r="I6" s="4756"/>
      <c r="J6" s="4756"/>
      <c r="K6" s="4757"/>
      <c r="L6" s="1465"/>
      <c r="M6" s="4810"/>
      <c r="N6" s="4811"/>
      <c r="O6" s="4811"/>
      <c r="P6" s="4811"/>
      <c r="Q6" s="4811"/>
      <c r="R6" s="4811"/>
      <c r="S6" s="4812"/>
      <c r="T6" s="584"/>
      <c r="U6" s="3"/>
      <c r="V6" s="4"/>
      <c r="W6" s="775"/>
      <c r="X6" s="4361"/>
      <c r="Y6" s="4361"/>
      <c r="Z6" s="4361"/>
      <c r="AA6" s="4361"/>
      <c r="AB6" s="4361"/>
      <c r="AC6" s="4361"/>
      <c r="AD6" s="9"/>
      <c r="AE6" s="4362" t="s">
        <v>1187</v>
      </c>
      <c r="AF6" s="4362"/>
      <c r="AG6" s="4362"/>
      <c r="AH6" s="4362"/>
      <c r="AI6" s="4362"/>
      <c r="AJ6" s="4362"/>
      <c r="AK6" s="4362"/>
      <c r="AL6" s="11"/>
      <c r="AM6" s="1047"/>
      <c r="AN6" s="4"/>
      <c r="AO6" s="2604"/>
    </row>
    <row r="7" spans="1:41" ht="12" customHeight="1" thickBot="1">
      <c r="A7" s="4783"/>
      <c r="B7" s="583"/>
      <c r="C7" s="4758"/>
      <c r="D7" s="4759"/>
      <c r="E7" s="4759"/>
      <c r="F7" s="4759"/>
      <c r="G7" s="4759"/>
      <c r="H7" s="4759"/>
      <c r="I7" s="4759"/>
      <c r="J7" s="4759"/>
      <c r="K7" s="4760"/>
      <c r="L7" s="1465"/>
      <c r="M7" s="4810"/>
      <c r="N7" s="4811"/>
      <c r="O7" s="4811"/>
      <c r="P7" s="4811"/>
      <c r="Q7" s="4811"/>
      <c r="R7" s="4811"/>
      <c r="S7" s="4812"/>
      <c r="T7" s="584"/>
      <c r="U7" s="3"/>
      <c r="V7" s="4"/>
      <c r="W7" s="775"/>
      <c r="X7" s="4361"/>
      <c r="Y7" s="4361"/>
      <c r="Z7" s="4361"/>
      <c r="AA7" s="4361"/>
      <c r="AB7" s="4361"/>
      <c r="AC7" s="4361"/>
      <c r="AD7" s="9"/>
      <c r="AE7" s="4362"/>
      <c r="AF7" s="4362"/>
      <c r="AG7" s="4362"/>
      <c r="AH7" s="4362"/>
      <c r="AI7" s="4362"/>
      <c r="AJ7" s="4362"/>
      <c r="AK7" s="4362"/>
      <c r="AL7" s="11"/>
      <c r="AM7" s="1047"/>
      <c r="AN7" s="4"/>
      <c r="AO7" s="2604"/>
    </row>
    <row r="8" spans="1:41" ht="12" customHeight="1" thickBot="1">
      <c r="A8" s="4783"/>
      <c r="B8" s="583"/>
      <c r="C8" s="4758"/>
      <c r="D8" s="4759"/>
      <c r="E8" s="4759"/>
      <c r="F8" s="4759"/>
      <c r="G8" s="4759"/>
      <c r="H8" s="4759"/>
      <c r="I8" s="4759"/>
      <c r="J8" s="4759"/>
      <c r="K8" s="4760"/>
      <c r="L8" s="1465"/>
      <c r="M8" s="4810"/>
      <c r="N8" s="4811"/>
      <c r="O8" s="4811"/>
      <c r="P8" s="4811"/>
      <c r="Q8" s="4811"/>
      <c r="R8" s="4811"/>
      <c r="S8" s="4812"/>
      <c r="T8" s="584"/>
      <c r="U8" s="3"/>
      <c r="V8" s="4"/>
      <c r="W8" s="775"/>
      <c r="X8" s="4361"/>
      <c r="Y8" s="4361"/>
      <c r="Z8" s="4361"/>
      <c r="AA8" s="4361"/>
      <c r="AB8" s="4361"/>
      <c r="AC8" s="4361"/>
      <c r="AD8" s="12"/>
      <c r="AE8" s="12"/>
      <c r="AF8" s="12"/>
      <c r="AG8" s="12"/>
      <c r="AH8" s="12"/>
      <c r="AI8" s="12"/>
      <c r="AJ8" s="12"/>
      <c r="AK8" s="12"/>
      <c r="AL8" s="13"/>
      <c r="AM8" s="1047"/>
      <c r="AN8" s="4"/>
      <c r="AO8" s="2604"/>
    </row>
    <row r="9" spans="1:41" ht="12" customHeight="1" thickBot="1">
      <c r="A9" s="4783"/>
      <c r="B9" s="583"/>
      <c r="C9" s="4758"/>
      <c r="D9" s="4759"/>
      <c r="E9" s="4759"/>
      <c r="F9" s="4759"/>
      <c r="G9" s="4759"/>
      <c r="H9" s="4759"/>
      <c r="I9" s="4759"/>
      <c r="J9" s="4759"/>
      <c r="K9" s="4760"/>
      <c r="L9" s="1465"/>
      <c r="M9" s="4810"/>
      <c r="N9" s="4811"/>
      <c r="O9" s="4811"/>
      <c r="P9" s="4811"/>
      <c r="Q9" s="4811"/>
      <c r="R9" s="4811"/>
      <c r="S9" s="4812"/>
      <c r="T9" s="584"/>
      <c r="U9" s="3"/>
      <c r="V9" s="4"/>
      <c r="W9" s="775"/>
      <c r="X9" s="754"/>
      <c r="Y9" s="14"/>
      <c r="Z9" s="14"/>
      <c r="AA9" s="14"/>
      <c r="AB9" s="14"/>
      <c r="AC9" s="14"/>
      <c r="AD9" s="754"/>
      <c r="AE9" s="14"/>
      <c r="AF9" s="14"/>
      <c r="AG9" s="14"/>
      <c r="AH9" s="14"/>
      <c r="AI9" s="14"/>
      <c r="AJ9" s="14"/>
      <c r="AK9" s="14"/>
      <c r="AL9" s="14"/>
      <c r="AM9" s="1047"/>
      <c r="AN9" s="4"/>
      <c r="AO9" s="2604"/>
    </row>
    <row r="10" spans="1:41" ht="12" customHeight="1" thickBot="1">
      <c r="A10" s="4783"/>
      <c r="B10" s="585"/>
      <c r="C10" s="4758"/>
      <c r="D10" s="4759"/>
      <c r="E10" s="4759"/>
      <c r="F10" s="4759"/>
      <c r="G10" s="4759"/>
      <c r="H10" s="4759"/>
      <c r="I10" s="4759"/>
      <c r="J10" s="4759"/>
      <c r="K10" s="4760"/>
      <c r="L10" s="1465"/>
      <c r="M10" s="4810"/>
      <c r="N10" s="4811"/>
      <c r="O10" s="4811"/>
      <c r="P10" s="4811"/>
      <c r="Q10" s="4811"/>
      <c r="R10" s="4811"/>
      <c r="S10" s="4812"/>
      <c r="T10" s="584"/>
      <c r="U10" s="3"/>
      <c r="V10" s="4"/>
      <c r="W10" s="775"/>
      <c r="X10" s="4422" t="s">
        <v>6640</v>
      </c>
      <c r="Y10" s="4423"/>
      <c r="Z10" s="4423"/>
      <c r="AA10" s="4424"/>
      <c r="AB10" s="4896" t="s">
        <v>9537</v>
      </c>
      <c r="AC10" s="4897"/>
      <c r="AD10" s="2115" t="s">
        <v>2422</v>
      </c>
      <c r="AE10" s="755"/>
      <c r="AF10" s="4858" t="s">
        <v>1191</v>
      </c>
      <c r="AG10" s="4858"/>
      <c r="AH10" s="4858"/>
      <c r="AI10" s="4858"/>
      <c r="AJ10" s="4886" t="s">
        <v>1189</v>
      </c>
      <c r="AK10" s="4886"/>
      <c r="AL10" s="2323" t="s">
        <v>1190</v>
      </c>
      <c r="AM10" s="1047"/>
      <c r="AN10" s="4"/>
      <c r="AO10" s="2604"/>
    </row>
    <row r="11" spans="1:41" ht="12" customHeight="1">
      <c r="A11" s="4783"/>
      <c r="B11" s="585"/>
      <c r="C11" s="4758"/>
      <c r="D11" s="4759"/>
      <c r="E11" s="4759"/>
      <c r="F11" s="4759"/>
      <c r="G11" s="4759"/>
      <c r="H11" s="4759"/>
      <c r="I11" s="4759"/>
      <c r="J11" s="4759"/>
      <c r="K11" s="4760"/>
      <c r="L11" s="1465"/>
      <c r="M11" s="4810"/>
      <c r="N11" s="4811"/>
      <c r="O11" s="4811"/>
      <c r="P11" s="4811"/>
      <c r="Q11" s="4811"/>
      <c r="R11" s="4811"/>
      <c r="S11" s="4812"/>
      <c r="T11" s="584"/>
      <c r="U11" s="3"/>
      <c r="V11" s="4"/>
      <c r="W11" s="775"/>
      <c r="X11" s="4894" t="s">
        <v>9538</v>
      </c>
      <c r="Y11" s="4895"/>
      <c r="Z11" s="4895"/>
      <c r="AA11" s="4893" t="s">
        <v>9539</v>
      </c>
      <c r="AB11" s="4893"/>
      <c r="AC11" s="4534" t="s">
        <v>1209</v>
      </c>
      <c r="AD11" s="4892"/>
      <c r="AF11" s="4887"/>
      <c r="AG11" s="4888"/>
      <c r="AH11" s="4888"/>
      <c r="AI11" s="4889"/>
      <c r="AJ11" s="4890"/>
      <c r="AK11" s="4891"/>
      <c r="AL11" s="1402"/>
      <c r="AM11" s="1047"/>
      <c r="AN11" s="4"/>
      <c r="AO11" s="2604"/>
    </row>
    <row r="12" spans="1:41" ht="12" customHeight="1">
      <c r="A12" s="4783"/>
      <c r="B12" s="583"/>
      <c r="C12" s="4758"/>
      <c r="D12" s="4759"/>
      <c r="E12" s="4759"/>
      <c r="F12" s="4759"/>
      <c r="G12" s="4759"/>
      <c r="H12" s="4759"/>
      <c r="I12" s="4759"/>
      <c r="J12" s="4759"/>
      <c r="K12" s="4760"/>
      <c r="L12" s="1465"/>
      <c r="M12" s="4810"/>
      <c r="N12" s="4811"/>
      <c r="O12" s="4811"/>
      <c r="P12" s="4811"/>
      <c r="Q12" s="4811"/>
      <c r="R12" s="4811"/>
      <c r="S12" s="4812"/>
      <c r="T12" s="584"/>
      <c r="U12" s="3"/>
      <c r="V12" s="4"/>
      <c r="W12" s="775"/>
      <c r="X12" s="4872"/>
      <c r="Y12" s="4873"/>
      <c r="Z12" s="4874"/>
      <c r="AA12" s="4878">
        <f>IFERROR(IF(AD10="Sí",VLOOKUP(Nivel_Total,Tabla_ExpNecesaria,AjusteNivel+2,FALSE),VLOOKUP(Nivel_Total,Tabla_ExpTotal,AjusteNivel+2,FALSE)+VLOOKUP(Nivel_Total,Tabla_ExpNecesaria,AjusteNivel+2,FALSE)),"??")</f>
        <v>100</v>
      </c>
      <c r="AB12" s="4882"/>
      <c r="AC12" s="4878">
        <f>IFERROR(IF(AD10="Sí",0,VLOOKUP(Nivel_Total,Tabla_ExpTotal,AjusteNivel+2,FALSE))+X12,"??")</f>
        <v>0</v>
      </c>
      <c r="AD12" s="4879"/>
      <c r="AF12" s="4840"/>
      <c r="AG12" s="4841"/>
      <c r="AH12" s="4841"/>
      <c r="AI12" s="4842"/>
      <c r="AJ12" s="4838"/>
      <c r="AK12" s="4839"/>
      <c r="AL12" s="1397"/>
      <c r="AM12" s="1047"/>
      <c r="AN12" s="4"/>
      <c r="AO12" s="2604"/>
    </row>
    <row r="13" spans="1:41" ht="12" customHeight="1" thickBot="1">
      <c r="A13" s="4783"/>
      <c r="B13" s="583"/>
      <c r="C13" s="4758"/>
      <c r="D13" s="4759"/>
      <c r="E13" s="4759"/>
      <c r="F13" s="4759"/>
      <c r="G13" s="4759"/>
      <c r="H13" s="4759"/>
      <c r="I13" s="4759"/>
      <c r="J13" s="4759"/>
      <c r="K13" s="4760"/>
      <c r="L13" s="1465"/>
      <c r="M13" s="4810"/>
      <c r="N13" s="4811"/>
      <c r="O13" s="4811"/>
      <c r="P13" s="4811"/>
      <c r="Q13" s="4811"/>
      <c r="R13" s="4811"/>
      <c r="S13" s="4812"/>
      <c r="T13" s="584"/>
      <c r="U13" s="3"/>
      <c r="V13" s="4"/>
      <c r="W13" s="775"/>
      <c r="X13" s="4875"/>
      <c r="Y13" s="4876"/>
      <c r="Z13" s="4877"/>
      <c r="AA13" s="4880"/>
      <c r="AB13" s="4883"/>
      <c r="AC13" s="4880"/>
      <c r="AD13" s="4881"/>
      <c r="AE13" s="800"/>
      <c r="AF13" s="4840"/>
      <c r="AG13" s="4841"/>
      <c r="AH13" s="4841"/>
      <c r="AI13" s="4842"/>
      <c r="AJ13" s="4838"/>
      <c r="AK13" s="4839"/>
      <c r="AL13" s="1397"/>
      <c r="AM13" s="1047"/>
      <c r="AN13" s="4"/>
      <c r="AO13" s="2604"/>
    </row>
    <row r="14" spans="1:41" ht="12" customHeight="1" thickBot="1">
      <c r="A14" s="4783"/>
      <c r="B14" s="583"/>
      <c r="C14" s="4758"/>
      <c r="D14" s="4759"/>
      <c r="E14" s="4759"/>
      <c r="F14" s="4759"/>
      <c r="G14" s="4759"/>
      <c r="H14" s="4759"/>
      <c r="I14" s="4759"/>
      <c r="J14" s="4759"/>
      <c r="K14" s="4760"/>
      <c r="L14" s="1465"/>
      <c r="M14" s="4810"/>
      <c r="N14" s="4811"/>
      <c r="O14" s="4811"/>
      <c r="P14" s="4811"/>
      <c r="Q14" s="4811"/>
      <c r="R14" s="4811"/>
      <c r="S14" s="4812"/>
      <c r="T14" s="584"/>
      <c r="U14" s="3"/>
      <c r="V14" s="4"/>
      <c r="W14" s="775"/>
      <c r="X14" s="4884" t="str">
        <f>IF(AND(AC12&gt;=AA12,AA12&gt;0),"¡Subida de Nivel!",IF(AND(General!X12="",OR(Tablas!G484&gt;0,Tablas!G485&gt;0,Tablas!G486&gt;0)),"Suma experiencia de Curtido (50 por PC)",""))</f>
        <v/>
      </c>
      <c r="Y14" s="4884"/>
      <c r="Z14" s="4884"/>
      <c r="AA14" s="4884"/>
      <c r="AB14" s="4884"/>
      <c r="AC14" s="4884"/>
      <c r="AD14" s="4884"/>
      <c r="AF14" s="4840"/>
      <c r="AG14" s="4841"/>
      <c r="AH14" s="4841"/>
      <c r="AI14" s="4842"/>
      <c r="AJ14" s="4838"/>
      <c r="AK14" s="4839"/>
      <c r="AL14" s="1397"/>
      <c r="AM14" s="1047"/>
      <c r="AN14" s="4"/>
      <c r="AO14" s="2604"/>
    </row>
    <row r="15" spans="1:41" ht="12" customHeight="1" thickBot="1">
      <c r="A15" s="4783"/>
      <c r="B15" s="583"/>
      <c r="C15" s="4761"/>
      <c r="D15" s="4762"/>
      <c r="E15" s="4762"/>
      <c r="F15" s="4762"/>
      <c r="G15" s="4762"/>
      <c r="H15" s="4762"/>
      <c r="I15" s="4762"/>
      <c r="J15" s="4762"/>
      <c r="K15" s="4763"/>
      <c r="L15" s="1466"/>
      <c r="M15" s="4810"/>
      <c r="N15" s="4811"/>
      <c r="O15" s="4811"/>
      <c r="P15" s="4811"/>
      <c r="Q15" s="4811"/>
      <c r="R15" s="4811"/>
      <c r="S15" s="4812"/>
      <c r="T15" s="584"/>
      <c r="U15" s="3"/>
      <c r="V15" s="4"/>
      <c r="W15" s="775"/>
      <c r="X15" s="4857" t="s">
        <v>1188</v>
      </c>
      <c r="Y15" s="4858"/>
      <c r="Z15" s="4858"/>
      <c r="AA15" s="4858"/>
      <c r="AB15" s="4870" t="s">
        <v>1189</v>
      </c>
      <c r="AC15" s="4871"/>
      <c r="AD15" s="2322" t="s">
        <v>1190</v>
      </c>
      <c r="AF15" s="4840"/>
      <c r="AG15" s="4841"/>
      <c r="AH15" s="4841"/>
      <c r="AI15" s="4842"/>
      <c r="AJ15" s="4838"/>
      <c r="AK15" s="4839"/>
      <c r="AL15" s="1397"/>
      <c r="AM15" s="1047"/>
      <c r="AN15" s="4"/>
      <c r="AO15" s="2604"/>
    </row>
    <row r="16" spans="1:41" ht="12" customHeight="1" thickBot="1">
      <c r="A16" s="4783"/>
      <c r="B16" s="583"/>
      <c r="C16" s="1466"/>
      <c r="D16" s="1466"/>
      <c r="E16" s="1466"/>
      <c r="F16" s="1467"/>
      <c r="G16" s="1467"/>
      <c r="H16" s="1467"/>
      <c r="I16" s="1467"/>
      <c r="J16" s="1467"/>
      <c r="K16" s="1467"/>
      <c r="L16" s="1467"/>
      <c r="M16" s="4813"/>
      <c r="N16" s="4814"/>
      <c r="O16" s="4814"/>
      <c r="P16" s="4814"/>
      <c r="Q16" s="4814"/>
      <c r="R16" s="4814"/>
      <c r="S16" s="4815"/>
      <c r="T16" s="584"/>
      <c r="U16" s="3"/>
      <c r="V16" s="4"/>
      <c r="W16" s="775"/>
      <c r="X16" s="4866"/>
      <c r="Y16" s="4864"/>
      <c r="Z16" s="4864"/>
      <c r="AA16" s="4867"/>
      <c r="AB16" s="4868"/>
      <c r="AC16" s="4869"/>
      <c r="AD16" s="1396"/>
      <c r="AF16" s="4840"/>
      <c r="AG16" s="4841"/>
      <c r="AH16" s="4841"/>
      <c r="AI16" s="4842"/>
      <c r="AJ16" s="4838"/>
      <c r="AK16" s="4839"/>
      <c r="AL16" s="1397"/>
      <c r="AM16" s="1047"/>
      <c r="AN16" s="4"/>
      <c r="AO16" s="2604"/>
    </row>
    <row r="17" spans="1:41" ht="12" customHeight="1">
      <c r="A17" s="4783"/>
      <c r="B17" s="583"/>
      <c r="C17" s="1466"/>
      <c r="D17" s="1466"/>
      <c r="E17" s="1466"/>
      <c r="F17" s="1466"/>
      <c r="G17" s="1466"/>
      <c r="H17" s="1466"/>
      <c r="I17" s="1466"/>
      <c r="J17" s="1467"/>
      <c r="K17" s="1467"/>
      <c r="T17" s="584"/>
      <c r="U17" s="3"/>
      <c r="V17" s="4"/>
      <c r="W17" s="775"/>
      <c r="X17" s="4840"/>
      <c r="Y17" s="4841"/>
      <c r="Z17" s="4841"/>
      <c r="AA17" s="4842"/>
      <c r="AB17" s="4838"/>
      <c r="AC17" s="4839"/>
      <c r="AD17" s="1397"/>
      <c r="AF17" s="4840"/>
      <c r="AG17" s="4841"/>
      <c r="AH17" s="4841"/>
      <c r="AI17" s="4842"/>
      <c r="AJ17" s="4838"/>
      <c r="AK17" s="4839"/>
      <c r="AL17" s="1397"/>
      <c r="AM17" s="1047"/>
      <c r="AN17" s="4"/>
      <c r="AO17" s="2604"/>
    </row>
    <row r="18" spans="1:41" ht="12" customHeight="1" thickBot="1">
      <c r="A18" s="4783"/>
      <c r="B18" s="583"/>
      <c r="C18" s="5"/>
      <c r="S18" s="5"/>
      <c r="T18" s="584"/>
      <c r="U18" s="3"/>
      <c r="V18" s="4"/>
      <c r="W18" s="775"/>
      <c r="X18" s="4840"/>
      <c r="Y18" s="4841"/>
      <c r="Z18" s="4841"/>
      <c r="AA18" s="4842"/>
      <c r="AB18" s="4838"/>
      <c r="AC18" s="4839"/>
      <c r="AD18" s="1397"/>
      <c r="AE18" s="14"/>
      <c r="AF18" s="4840"/>
      <c r="AG18" s="4841"/>
      <c r="AH18" s="4841"/>
      <c r="AI18" s="4842"/>
      <c r="AJ18" s="4838"/>
      <c r="AK18" s="4839"/>
      <c r="AL18" s="1397"/>
      <c r="AM18" s="1047"/>
      <c r="AN18" s="4"/>
      <c r="AO18" s="2604"/>
    </row>
    <row r="19" spans="1:41" ht="12" customHeight="1">
      <c r="A19" s="4783"/>
      <c r="B19" s="583"/>
      <c r="C19" s="4801" t="s">
        <v>1192</v>
      </c>
      <c r="D19" s="4802"/>
      <c r="E19" s="4802"/>
      <c r="F19" s="4802"/>
      <c r="G19" s="4802"/>
      <c r="H19" s="4802"/>
      <c r="I19" s="4802"/>
      <c r="J19" s="4802"/>
      <c r="K19" s="4802"/>
      <c r="L19" s="4802"/>
      <c r="M19" s="4802"/>
      <c r="N19" s="4802"/>
      <c r="O19" s="4802"/>
      <c r="P19" s="4802"/>
      <c r="Q19" s="4802"/>
      <c r="R19" s="4802"/>
      <c r="S19" s="4803"/>
      <c r="T19" s="584"/>
      <c r="U19" s="3"/>
      <c r="V19" s="4"/>
      <c r="W19" s="775"/>
      <c r="X19" s="4840"/>
      <c r="Y19" s="4841"/>
      <c r="Z19" s="4841"/>
      <c r="AA19" s="4842"/>
      <c r="AB19" s="4838"/>
      <c r="AC19" s="4839"/>
      <c r="AD19" s="1397"/>
      <c r="AE19" s="14"/>
      <c r="AF19" s="4840"/>
      <c r="AG19" s="4841"/>
      <c r="AH19" s="4841"/>
      <c r="AI19" s="4842"/>
      <c r="AJ19" s="4838"/>
      <c r="AK19" s="4839"/>
      <c r="AL19" s="1397"/>
      <c r="AM19" s="1047"/>
      <c r="AN19" s="4"/>
      <c r="AO19" s="2604"/>
    </row>
    <row r="20" spans="1:41" ht="12" customHeight="1" thickBot="1">
      <c r="A20" s="4783"/>
      <c r="B20" s="583"/>
      <c r="C20" s="4804"/>
      <c r="D20" s="4805"/>
      <c r="E20" s="4805"/>
      <c r="F20" s="4805"/>
      <c r="G20" s="4805"/>
      <c r="H20" s="4805"/>
      <c r="I20" s="4805"/>
      <c r="J20" s="4805"/>
      <c r="K20" s="4805"/>
      <c r="L20" s="4805"/>
      <c r="M20" s="4805"/>
      <c r="N20" s="4805"/>
      <c r="O20" s="4805"/>
      <c r="P20" s="4805"/>
      <c r="Q20" s="4805"/>
      <c r="R20" s="4805"/>
      <c r="S20" s="4806"/>
      <c r="T20" s="584"/>
      <c r="U20" s="3"/>
      <c r="V20" s="4"/>
      <c r="W20" s="775"/>
      <c r="X20" s="4840"/>
      <c r="Y20" s="4841"/>
      <c r="Z20" s="4841"/>
      <c r="AA20" s="4842"/>
      <c r="AB20" s="4838"/>
      <c r="AC20" s="4839"/>
      <c r="AD20" s="1397"/>
      <c r="AE20" s="14"/>
      <c r="AF20" s="4840"/>
      <c r="AG20" s="4841"/>
      <c r="AH20" s="4841"/>
      <c r="AI20" s="4842"/>
      <c r="AJ20" s="4838"/>
      <c r="AK20" s="4839"/>
      <c r="AL20" s="1397"/>
      <c r="AM20" s="1047"/>
      <c r="AN20" s="4"/>
      <c r="AO20" s="2604"/>
    </row>
    <row r="21" spans="1:41" ht="12" customHeight="1">
      <c r="A21" s="4783"/>
      <c r="B21" s="583"/>
      <c r="C21" s="1390"/>
      <c r="D21" s="1380"/>
      <c r="E21" s="1380"/>
      <c r="F21" s="1380"/>
      <c r="G21" s="1380"/>
      <c r="H21" s="1380"/>
      <c r="I21" s="1380"/>
      <c r="J21" s="1380"/>
      <c r="K21" s="1380"/>
      <c r="L21" s="1380"/>
      <c r="M21" s="1380"/>
      <c r="N21" s="1380"/>
      <c r="O21" s="1380"/>
      <c r="P21" s="1380"/>
      <c r="Q21" s="1380"/>
      <c r="R21" s="1380"/>
      <c r="S21" s="1391"/>
      <c r="T21" s="584"/>
      <c r="U21" s="3"/>
      <c r="V21" s="4"/>
      <c r="W21" s="775"/>
      <c r="X21" s="4840"/>
      <c r="Y21" s="4841"/>
      <c r="Z21" s="4841"/>
      <c r="AA21" s="4842"/>
      <c r="AB21" s="4838"/>
      <c r="AC21" s="4839"/>
      <c r="AD21" s="1397"/>
      <c r="AE21" s="14"/>
      <c r="AF21" s="4840"/>
      <c r="AG21" s="4841"/>
      <c r="AH21" s="4841"/>
      <c r="AI21" s="4842"/>
      <c r="AJ21" s="4838"/>
      <c r="AK21" s="4839"/>
      <c r="AL21" s="1397"/>
      <c r="AM21" s="1047"/>
      <c r="AN21" s="4"/>
      <c r="AO21" s="2604"/>
    </row>
    <row r="22" spans="1:41" ht="12" customHeight="1">
      <c r="A22" s="4783"/>
      <c r="B22" s="583"/>
      <c r="C22" s="1390"/>
      <c r="D22" s="4807" t="s">
        <v>1184</v>
      </c>
      <c r="E22" s="4808"/>
      <c r="F22" s="4777"/>
      <c r="G22" s="4778"/>
      <c r="H22" s="4779"/>
      <c r="I22" s="4779"/>
      <c r="J22" s="4779"/>
      <c r="K22" s="4779"/>
      <c r="L22" s="4779"/>
      <c r="M22" s="4779"/>
      <c r="N22" s="4779"/>
      <c r="O22" s="4779"/>
      <c r="P22" s="4779"/>
      <c r="Q22" s="4779"/>
      <c r="R22" s="4780"/>
      <c r="S22" s="1391"/>
      <c r="T22" s="584"/>
      <c r="U22" s="3"/>
      <c r="V22" s="4"/>
      <c r="W22" s="775"/>
      <c r="X22" s="4840"/>
      <c r="Y22" s="4841"/>
      <c r="Z22" s="4841"/>
      <c r="AA22" s="4842"/>
      <c r="AB22" s="4838"/>
      <c r="AC22" s="4839"/>
      <c r="AD22" s="1397"/>
      <c r="AE22" s="14"/>
      <c r="AF22" s="4840"/>
      <c r="AG22" s="4841"/>
      <c r="AH22" s="4841"/>
      <c r="AI22" s="4842"/>
      <c r="AJ22" s="4838"/>
      <c r="AK22" s="4839"/>
      <c r="AL22" s="1397"/>
      <c r="AM22" s="1047"/>
      <c r="AN22" s="4"/>
      <c r="AO22" s="2604"/>
    </row>
    <row r="23" spans="1:41" ht="12" customHeight="1" thickBot="1">
      <c r="A23" s="4783"/>
      <c r="B23" s="583"/>
      <c r="C23" s="1390"/>
      <c r="D23" s="4809" t="s">
        <v>1193</v>
      </c>
      <c r="E23" s="4809"/>
      <c r="F23" s="4785"/>
      <c r="G23" s="4786"/>
      <c r="H23" s="1456"/>
      <c r="I23" s="1459" t="s">
        <v>6641</v>
      </c>
      <c r="J23" s="4817"/>
      <c r="K23" s="4818"/>
      <c r="L23" s="4818"/>
      <c r="M23" s="4819"/>
      <c r="N23" s="4764" t="s">
        <v>8268</v>
      </c>
      <c r="O23" s="4765"/>
      <c r="P23" s="4765"/>
      <c r="Q23" s="4816"/>
      <c r="R23" s="4816"/>
      <c r="S23" s="1391"/>
      <c r="T23" s="584"/>
      <c r="U23" s="3"/>
      <c r="V23" s="4"/>
      <c r="W23" s="775"/>
      <c r="X23" s="4898"/>
      <c r="Y23" s="4855"/>
      <c r="Z23" s="4855"/>
      <c r="AA23" s="4899"/>
      <c r="AB23" s="4900"/>
      <c r="AC23" s="4901"/>
      <c r="AD23" s="1398"/>
      <c r="AE23" s="14"/>
      <c r="AF23" s="4840"/>
      <c r="AG23" s="4841"/>
      <c r="AH23" s="4841"/>
      <c r="AI23" s="4842"/>
      <c r="AJ23" s="4838"/>
      <c r="AK23" s="4839"/>
      <c r="AL23" s="1397"/>
      <c r="AM23" s="1047"/>
      <c r="AN23" s="4"/>
      <c r="AO23" s="2604"/>
    </row>
    <row r="24" spans="1:41" ht="12" customHeight="1" thickBot="1">
      <c r="A24" s="4783"/>
      <c r="B24" s="583"/>
      <c r="C24" s="1390"/>
      <c r="D24" s="4809" t="s">
        <v>1194</v>
      </c>
      <c r="E24" s="4809"/>
      <c r="F24" s="4781"/>
      <c r="G24" s="4782"/>
      <c r="H24" s="1459" t="s">
        <v>1196</v>
      </c>
      <c r="I24" s="1461"/>
      <c r="J24" s="1460" t="s">
        <v>8008</v>
      </c>
      <c r="K24" s="1462" t="s">
        <v>1200</v>
      </c>
      <c r="L24" s="1463"/>
      <c r="M24" s="1460" t="s">
        <v>8009</v>
      </c>
      <c r="N24" s="4784" t="s">
        <v>1199</v>
      </c>
      <c r="O24" s="4784"/>
      <c r="P24" s="4773"/>
      <c r="Q24" s="4774"/>
      <c r="R24" s="4775"/>
      <c r="S24" s="1391"/>
      <c r="T24" s="584"/>
      <c r="U24" s="3"/>
      <c r="V24" s="4"/>
      <c r="W24" s="775"/>
      <c r="AE24" s="14"/>
      <c r="AF24" s="4840"/>
      <c r="AG24" s="4841"/>
      <c r="AH24" s="4841"/>
      <c r="AI24" s="4842"/>
      <c r="AJ24" s="4838"/>
      <c r="AK24" s="4839"/>
      <c r="AL24" s="1397"/>
      <c r="AM24" s="1047"/>
      <c r="AN24" s="4"/>
      <c r="AO24" s="2604"/>
    </row>
    <row r="25" spans="1:41" ht="12" customHeight="1">
      <c r="A25" s="4783"/>
      <c r="B25" s="583"/>
      <c r="C25" s="1390"/>
      <c r="D25" s="4809" t="s">
        <v>8264</v>
      </c>
      <c r="E25" s="4809"/>
      <c r="F25" s="4769"/>
      <c r="G25" s="4769"/>
      <c r="H25" s="1462" t="s">
        <v>1197</v>
      </c>
      <c r="I25" s="4773"/>
      <c r="J25" s="4774"/>
      <c r="K25" s="4774"/>
      <c r="L25" s="1457"/>
      <c r="M25" s="1459" t="s">
        <v>1201</v>
      </c>
      <c r="N25" s="4769"/>
      <c r="O25" s="4769"/>
      <c r="P25" s="4776"/>
      <c r="Q25" s="4776"/>
      <c r="R25" s="4776"/>
      <c r="S25" s="1391"/>
      <c r="T25" s="584"/>
      <c r="U25" s="3"/>
      <c r="V25" s="4"/>
      <c r="W25" s="775"/>
      <c r="X25" s="4857" t="s">
        <v>1198</v>
      </c>
      <c r="Y25" s="4858"/>
      <c r="Z25" s="4858"/>
      <c r="AA25" s="4858"/>
      <c r="AB25" s="4858"/>
      <c r="AC25" s="4858"/>
      <c r="AD25" s="2321" t="s">
        <v>1190</v>
      </c>
      <c r="AE25" s="14"/>
      <c r="AF25" s="4840"/>
      <c r="AG25" s="4841"/>
      <c r="AH25" s="4841"/>
      <c r="AI25" s="4842"/>
      <c r="AJ25" s="4838"/>
      <c r="AK25" s="4839"/>
      <c r="AL25" s="1397"/>
      <c r="AM25" s="1047"/>
      <c r="AN25" s="4"/>
      <c r="AO25" s="2604"/>
    </row>
    <row r="26" spans="1:41" ht="12" customHeight="1">
      <c r="A26" s="4783"/>
      <c r="B26" s="583"/>
      <c r="C26" s="1390"/>
      <c r="D26" s="4809" t="s">
        <v>1195</v>
      </c>
      <c r="E26" s="4809"/>
      <c r="F26" s="4773"/>
      <c r="G26" s="4775"/>
      <c r="H26" s="1459" t="s">
        <v>5942</v>
      </c>
      <c r="I26" s="4770"/>
      <c r="J26" s="4771"/>
      <c r="K26" s="4772"/>
      <c r="L26" s="1458"/>
      <c r="M26" s="1459" t="str">
        <f>IF(I26="","","Clase social:")</f>
        <v/>
      </c>
      <c r="N26" s="4773"/>
      <c r="O26" s="4774"/>
      <c r="P26" s="4774"/>
      <c r="Q26" s="4774"/>
      <c r="R26" s="4775"/>
      <c r="S26" s="1391"/>
      <c r="T26" s="584"/>
      <c r="U26" s="3"/>
      <c r="V26" s="4"/>
      <c r="W26" s="775"/>
      <c r="X26" s="4866"/>
      <c r="Y26" s="4864"/>
      <c r="Z26" s="4864"/>
      <c r="AA26" s="4864"/>
      <c r="AB26" s="4864"/>
      <c r="AC26" s="4864"/>
      <c r="AD26" s="1399"/>
      <c r="AE26" s="14"/>
      <c r="AF26" s="4840"/>
      <c r="AG26" s="4841"/>
      <c r="AH26" s="4841"/>
      <c r="AI26" s="4842"/>
      <c r="AJ26" s="4838"/>
      <c r="AK26" s="4839"/>
      <c r="AL26" s="1397"/>
      <c r="AM26" s="1047"/>
      <c r="AN26" s="4"/>
      <c r="AO26" s="2604"/>
    </row>
    <row r="27" spans="1:41" ht="12" customHeight="1" thickBot="1">
      <c r="A27" s="4783"/>
      <c r="B27" s="583"/>
      <c r="C27" s="1392"/>
      <c r="D27" s="1393"/>
      <c r="E27" s="1393"/>
      <c r="F27" s="1393"/>
      <c r="G27" s="1393"/>
      <c r="H27" s="1393"/>
      <c r="I27" s="1393"/>
      <c r="J27" s="1393"/>
      <c r="K27" s="1393"/>
      <c r="L27" s="1393"/>
      <c r="M27" s="1393"/>
      <c r="N27" s="1393"/>
      <c r="O27" s="1393"/>
      <c r="P27" s="1393"/>
      <c r="Q27" s="1393"/>
      <c r="R27" s="1393"/>
      <c r="S27" s="1394"/>
      <c r="T27" s="584"/>
      <c r="U27" s="3"/>
      <c r="V27" s="4"/>
      <c r="W27" s="775"/>
      <c r="X27" s="4840"/>
      <c r="Y27" s="4841"/>
      <c r="Z27" s="4841"/>
      <c r="AA27" s="4841"/>
      <c r="AB27" s="4841"/>
      <c r="AC27" s="4841"/>
      <c r="AD27" s="1400"/>
      <c r="AE27" s="14"/>
      <c r="AF27" s="4840"/>
      <c r="AG27" s="4841"/>
      <c r="AH27" s="4841"/>
      <c r="AI27" s="4842"/>
      <c r="AJ27" s="4838"/>
      <c r="AK27" s="4839"/>
      <c r="AL27" s="1397"/>
      <c r="AM27" s="1047"/>
      <c r="AN27" s="4"/>
      <c r="AO27" s="2604"/>
    </row>
    <row r="28" spans="1:41" ht="12" customHeight="1">
      <c r="A28" s="4783"/>
      <c r="B28" s="583"/>
      <c r="C28" s="5"/>
      <c r="D28" s="5"/>
      <c r="S28" s="5"/>
      <c r="T28" s="584"/>
      <c r="U28" s="3"/>
      <c r="V28" s="4"/>
      <c r="W28" s="775"/>
      <c r="X28" s="4840"/>
      <c r="Y28" s="4841"/>
      <c r="Z28" s="4841"/>
      <c r="AA28" s="4841"/>
      <c r="AB28" s="4841"/>
      <c r="AC28" s="4841"/>
      <c r="AD28" s="1400"/>
      <c r="AE28" s="14"/>
      <c r="AF28" s="4840"/>
      <c r="AG28" s="4841"/>
      <c r="AH28" s="4841"/>
      <c r="AI28" s="4842"/>
      <c r="AJ28" s="4838"/>
      <c r="AK28" s="4839"/>
      <c r="AL28" s="1397"/>
      <c r="AM28" s="1047"/>
      <c r="AN28" s="4"/>
      <c r="AO28" s="2604"/>
    </row>
    <row r="29" spans="1:41" ht="12" customHeight="1" thickBot="1">
      <c r="A29" s="4783"/>
      <c r="B29" s="583"/>
      <c r="C29" s="5"/>
      <c r="D29" s="5"/>
      <c r="E29" s="5"/>
      <c r="F29" s="5"/>
      <c r="G29" s="5"/>
      <c r="H29" s="5"/>
      <c r="I29" s="5"/>
      <c r="J29" s="5"/>
      <c r="K29" s="5"/>
      <c r="L29" s="5"/>
      <c r="M29" s="5"/>
      <c r="N29" s="5"/>
      <c r="O29" s="5"/>
      <c r="P29" s="5"/>
      <c r="Q29" s="5"/>
      <c r="R29" s="5"/>
      <c r="S29" s="5"/>
      <c r="T29" s="584"/>
      <c r="U29" s="3"/>
      <c r="V29" s="4"/>
      <c r="W29" s="775"/>
      <c r="X29" s="4840"/>
      <c r="Y29" s="4841"/>
      <c r="Z29" s="4841"/>
      <c r="AA29" s="4841"/>
      <c r="AB29" s="4841"/>
      <c r="AC29" s="4841"/>
      <c r="AD29" s="1400"/>
      <c r="AE29" s="14"/>
      <c r="AF29" s="4840"/>
      <c r="AG29" s="4841"/>
      <c r="AH29" s="4841"/>
      <c r="AI29" s="4842"/>
      <c r="AJ29" s="4838"/>
      <c r="AK29" s="4839"/>
      <c r="AL29" s="1397"/>
      <c r="AM29" s="1047"/>
      <c r="AN29" s="4"/>
      <c r="AO29" s="2604"/>
    </row>
    <row r="30" spans="1:41" ht="12" customHeight="1" thickBot="1">
      <c r="A30" s="4783"/>
      <c r="B30" s="583"/>
      <c r="C30" s="4766" t="s">
        <v>8082</v>
      </c>
      <c r="D30" s="4767"/>
      <c r="E30" s="4767"/>
      <c r="F30" s="4767"/>
      <c r="G30" s="4767"/>
      <c r="H30" s="4767"/>
      <c r="I30" s="4767"/>
      <c r="J30" s="4767"/>
      <c r="K30" s="4768"/>
      <c r="M30" s="4766" t="s">
        <v>8270</v>
      </c>
      <c r="N30" s="4767"/>
      <c r="O30" s="4767"/>
      <c r="P30" s="4767"/>
      <c r="Q30" s="4767"/>
      <c r="R30" s="4767"/>
      <c r="S30" s="4768"/>
      <c r="T30" s="584"/>
      <c r="U30" s="3"/>
      <c r="V30" s="4"/>
      <c r="W30" s="775"/>
      <c r="X30" s="4840"/>
      <c r="Y30" s="4841"/>
      <c r="Z30" s="4841"/>
      <c r="AA30" s="4841"/>
      <c r="AB30" s="4841"/>
      <c r="AC30" s="4841"/>
      <c r="AD30" s="1400"/>
      <c r="AE30" s="14"/>
      <c r="AF30" s="4908"/>
      <c r="AG30" s="4909"/>
      <c r="AH30" s="4909"/>
      <c r="AI30" s="4910"/>
      <c r="AJ30" s="4902"/>
      <c r="AK30" s="4903"/>
      <c r="AL30" s="2086"/>
      <c r="AM30" s="1047"/>
      <c r="AN30" s="4"/>
      <c r="AO30" s="2604"/>
    </row>
    <row r="31" spans="1:41" ht="12" customHeight="1">
      <c r="A31" s="4783"/>
      <c r="B31" s="583"/>
      <c r="C31" s="4829"/>
      <c r="D31" s="4830"/>
      <c r="E31" s="4830"/>
      <c r="F31" s="4830"/>
      <c r="G31" s="4830"/>
      <c r="H31" s="4830"/>
      <c r="I31" s="4830"/>
      <c r="J31" s="4830"/>
      <c r="K31" s="4831"/>
      <c r="L31" s="1464"/>
      <c r="M31" s="4820"/>
      <c r="N31" s="4821"/>
      <c r="O31" s="4821"/>
      <c r="P31" s="4821"/>
      <c r="Q31" s="4821"/>
      <c r="R31" s="4821"/>
      <c r="S31" s="4822"/>
      <c r="T31" s="584"/>
      <c r="U31" s="3"/>
      <c r="V31" s="4"/>
      <c r="W31" s="775"/>
      <c r="X31" s="4840"/>
      <c r="Y31" s="4841"/>
      <c r="Z31" s="4841"/>
      <c r="AA31" s="4841"/>
      <c r="AB31" s="4841"/>
      <c r="AC31" s="4841"/>
      <c r="AD31" s="1400"/>
      <c r="AE31" s="14"/>
      <c r="AF31" s="4911" t="s">
        <v>9468</v>
      </c>
      <c r="AG31" s="4871"/>
      <c r="AH31" s="4871"/>
      <c r="AI31" s="2327">
        <f>FUE+AO31</f>
        <v>0</v>
      </c>
      <c r="AJ31" s="4906" t="s">
        <v>1202</v>
      </c>
      <c r="AK31" s="4907"/>
      <c r="AL31" s="2091">
        <f>SUM(AD16:AD23,AD26:AD32,AL11:AL30)</f>
        <v>0</v>
      </c>
      <c r="AM31" s="2328"/>
      <c r="AN31" s="4"/>
      <c r="AO31" s="2606">
        <f>TRUNC((IF(Combate!AD14&lt;0,Combate!AD14,0)+IF(Combate!AF14&lt;0,Combate!AF14,0))/20)</f>
        <v>0</v>
      </c>
    </row>
    <row r="32" spans="1:41" ht="12" customHeight="1" thickBot="1">
      <c r="A32" s="4783"/>
      <c r="B32" s="583"/>
      <c r="C32" s="4829"/>
      <c r="D32" s="4830"/>
      <c r="E32" s="4830"/>
      <c r="F32" s="4830"/>
      <c r="G32" s="4830"/>
      <c r="H32" s="4830"/>
      <c r="I32" s="4830"/>
      <c r="J32" s="4830"/>
      <c r="K32" s="4831"/>
      <c r="L32" s="1464"/>
      <c r="M32" s="4823"/>
      <c r="N32" s="4824"/>
      <c r="O32" s="4824"/>
      <c r="P32" s="4824"/>
      <c r="Q32" s="4824"/>
      <c r="R32" s="4824"/>
      <c r="S32" s="4825"/>
      <c r="T32" s="584"/>
      <c r="U32" s="3"/>
      <c r="V32" s="4"/>
      <c r="W32" s="775"/>
      <c r="X32" s="4898"/>
      <c r="Y32" s="4855"/>
      <c r="Z32" s="4855"/>
      <c r="AA32" s="4855"/>
      <c r="AB32" s="4855"/>
      <c r="AC32" s="4855"/>
      <c r="AD32" s="1401"/>
      <c r="AE32" s="14"/>
      <c r="AF32" s="2085" t="s">
        <v>1200</v>
      </c>
      <c r="AG32" s="2283" t="s">
        <v>1826</v>
      </c>
      <c r="AH32" s="4904" t="str">
        <f>IF(Principal!E14=0,0&amp;" kg",IF(Zen_IP,VLOOKUP(MIN(20,AI31),Tabla_Fuerza,3)&amp;" kg",IF(Inhumanidad_IP,VLOOKUP(MIN(13,AI31),Tabla_Fuerza,3)&amp;" kg",VLOOKUP(MIN(10,AI31),Tabla_Fuerza,3)&amp;" kg")))</f>
        <v>0 kg</v>
      </c>
      <c r="AI32" s="4905"/>
      <c r="AJ32" s="2282" t="s">
        <v>9478</v>
      </c>
      <c r="AK32" s="4905" t="str">
        <f>IF(Principal!E14=0,0&amp;" kg",IF(Zen_IP,VLOOKUP(MIN(20,AI31),Tabla_Fuerza,4)&amp;" kg",IF(Inhumanidad_IP,VLOOKUP(MIN(13,AI31),Tabla_Fuerza,4)&amp;" kg",VLOOKUP(MIN(10,AI31),Tabla_Fuerza,4)&amp;" kg")))</f>
        <v>0 kg</v>
      </c>
      <c r="AL32" s="4912"/>
      <c r="AM32" s="2329"/>
      <c r="AN32" s="4"/>
      <c r="AO32" s="2604"/>
    </row>
    <row r="33" spans="1:41" ht="12" customHeight="1" thickBot="1">
      <c r="A33" s="4783"/>
      <c r="B33" s="583"/>
      <c r="C33" s="4832"/>
      <c r="D33" s="4833"/>
      <c r="E33" s="4833"/>
      <c r="F33" s="4833"/>
      <c r="G33" s="4833"/>
      <c r="H33" s="4833"/>
      <c r="I33" s="4833"/>
      <c r="J33" s="4833"/>
      <c r="K33" s="4834"/>
      <c r="L33" s="1464"/>
      <c r="M33" s="4823"/>
      <c r="N33" s="4824"/>
      <c r="O33" s="4824"/>
      <c r="P33" s="4824"/>
      <c r="Q33" s="4824"/>
      <c r="R33" s="4824"/>
      <c r="S33" s="4825"/>
      <c r="T33" s="584"/>
      <c r="U33" s="3"/>
      <c r="V33" s="4"/>
      <c r="W33" s="775"/>
      <c r="AM33" s="1047"/>
      <c r="AN33" s="4"/>
      <c r="AO33" s="2604"/>
    </row>
    <row r="34" spans="1:41" ht="12" customHeight="1" thickBot="1">
      <c r="A34" s="4783"/>
      <c r="B34" s="583"/>
      <c r="C34" s="5"/>
      <c r="D34" s="5"/>
      <c r="E34" s="5"/>
      <c r="F34" s="5"/>
      <c r="G34" s="5"/>
      <c r="H34" s="5"/>
      <c r="I34" s="5"/>
      <c r="J34" s="5"/>
      <c r="K34" s="18"/>
      <c r="L34" s="1464"/>
      <c r="M34" s="4823"/>
      <c r="N34" s="4824"/>
      <c r="O34" s="4824"/>
      <c r="P34" s="4824"/>
      <c r="Q34" s="4824"/>
      <c r="R34" s="4824"/>
      <c r="S34" s="4825"/>
      <c r="T34" s="584"/>
      <c r="U34" s="3"/>
      <c r="V34" s="4"/>
      <c r="W34" s="775"/>
      <c r="X34" s="4857" t="s">
        <v>10001</v>
      </c>
      <c r="Y34" s="4858"/>
      <c r="Z34" s="4858"/>
      <c r="AA34" s="4858"/>
      <c r="AB34" s="4858"/>
      <c r="AC34" s="4858"/>
      <c r="AD34" s="4858"/>
      <c r="AE34" s="4858"/>
      <c r="AF34" s="4858"/>
      <c r="AG34" s="4858"/>
      <c r="AH34" s="4858"/>
      <c r="AI34" s="4858"/>
      <c r="AJ34" s="4858"/>
      <c r="AK34" s="4858"/>
      <c r="AL34" s="4859"/>
      <c r="AM34" s="1047"/>
      <c r="AN34" s="4"/>
      <c r="AO34" s="2604"/>
    </row>
    <row r="35" spans="1:41" ht="12" customHeight="1" thickBot="1">
      <c r="A35" s="4783"/>
      <c r="B35" s="583"/>
      <c r="C35" s="4766" t="s">
        <v>8083</v>
      </c>
      <c r="D35" s="4767"/>
      <c r="E35" s="4767"/>
      <c r="F35" s="4767"/>
      <c r="G35" s="4767"/>
      <c r="H35" s="4767"/>
      <c r="I35" s="4767"/>
      <c r="J35" s="4767"/>
      <c r="K35" s="4768"/>
      <c r="L35" s="1464"/>
      <c r="M35" s="4823"/>
      <c r="N35" s="4824"/>
      <c r="O35" s="4824"/>
      <c r="P35" s="4824"/>
      <c r="Q35" s="4824"/>
      <c r="R35" s="4824"/>
      <c r="S35" s="4825"/>
      <c r="T35" s="584"/>
      <c r="U35" s="3"/>
      <c r="V35" s="4"/>
      <c r="W35" s="775"/>
      <c r="X35" s="4860"/>
      <c r="Y35" s="4861"/>
      <c r="Z35" s="4862"/>
      <c r="AA35" s="4863"/>
      <c r="AB35" s="4864"/>
      <c r="AC35" s="4864"/>
      <c r="AD35" s="4864"/>
      <c r="AE35" s="4864"/>
      <c r="AF35" s="4864"/>
      <c r="AG35" s="4864"/>
      <c r="AH35" s="4864"/>
      <c r="AI35" s="4864"/>
      <c r="AJ35" s="4864"/>
      <c r="AK35" s="4864"/>
      <c r="AL35" s="4865"/>
      <c r="AM35" s="1047"/>
      <c r="AN35" s="4"/>
      <c r="AO35" s="2604"/>
    </row>
    <row r="36" spans="1:41" ht="12" customHeight="1">
      <c r="A36" s="4783"/>
      <c r="B36" s="583"/>
      <c r="C36" s="4829"/>
      <c r="D36" s="4830"/>
      <c r="E36" s="4830"/>
      <c r="F36" s="4830"/>
      <c r="G36" s="4830"/>
      <c r="H36" s="4830"/>
      <c r="I36" s="4830"/>
      <c r="J36" s="4830"/>
      <c r="K36" s="4831"/>
      <c r="L36" s="1464"/>
      <c r="M36" s="4823"/>
      <c r="N36" s="4824"/>
      <c r="O36" s="4824"/>
      <c r="P36" s="4824"/>
      <c r="Q36" s="4824"/>
      <c r="R36" s="4824"/>
      <c r="S36" s="4825"/>
      <c r="T36" s="584"/>
      <c r="U36" s="3"/>
      <c r="V36" s="4"/>
      <c r="W36" s="775"/>
      <c r="X36" s="4846"/>
      <c r="Y36" s="4847"/>
      <c r="Z36" s="4848"/>
      <c r="AA36" s="4852"/>
      <c r="AB36" s="4841"/>
      <c r="AC36" s="4841"/>
      <c r="AD36" s="4841"/>
      <c r="AE36" s="4841"/>
      <c r="AF36" s="4841"/>
      <c r="AG36" s="4841"/>
      <c r="AH36" s="4841"/>
      <c r="AI36" s="4841"/>
      <c r="AJ36" s="4841"/>
      <c r="AK36" s="4841"/>
      <c r="AL36" s="4853"/>
      <c r="AM36" s="1047"/>
      <c r="AN36" s="4"/>
      <c r="AO36" s="2604"/>
    </row>
    <row r="37" spans="1:41" ht="12" customHeight="1">
      <c r="A37" s="4783"/>
      <c r="B37" s="583"/>
      <c r="C37" s="4829"/>
      <c r="D37" s="4830"/>
      <c r="E37" s="4830"/>
      <c r="F37" s="4830"/>
      <c r="G37" s="4830"/>
      <c r="H37" s="4830"/>
      <c r="I37" s="4830"/>
      <c r="J37" s="4830"/>
      <c r="K37" s="4831"/>
      <c r="L37" s="1464"/>
      <c r="M37" s="4823"/>
      <c r="N37" s="4824"/>
      <c r="O37" s="4824"/>
      <c r="P37" s="4824"/>
      <c r="Q37" s="4824"/>
      <c r="R37" s="4824"/>
      <c r="S37" s="4825"/>
      <c r="T37" s="584"/>
      <c r="U37" s="3"/>
      <c r="V37" s="4"/>
      <c r="W37" s="775"/>
      <c r="X37" s="4846"/>
      <c r="Y37" s="4847"/>
      <c r="Z37" s="4848"/>
      <c r="AA37" s="4852"/>
      <c r="AB37" s="4841"/>
      <c r="AC37" s="4841"/>
      <c r="AD37" s="4841"/>
      <c r="AE37" s="4841"/>
      <c r="AF37" s="4841"/>
      <c r="AG37" s="4841"/>
      <c r="AH37" s="4841"/>
      <c r="AI37" s="4841"/>
      <c r="AJ37" s="4841"/>
      <c r="AK37" s="4841"/>
      <c r="AL37" s="4853"/>
      <c r="AM37" s="1047"/>
      <c r="AN37" s="4"/>
      <c r="AO37" s="2604"/>
    </row>
    <row r="38" spans="1:41" ht="12" customHeight="1">
      <c r="A38" s="4783"/>
      <c r="B38" s="583"/>
      <c r="C38" s="4829"/>
      <c r="D38" s="4830"/>
      <c r="E38" s="4830"/>
      <c r="F38" s="4830"/>
      <c r="G38" s="4830"/>
      <c r="H38" s="4830"/>
      <c r="I38" s="4830"/>
      <c r="J38" s="4830"/>
      <c r="K38" s="4831"/>
      <c r="L38" s="1464"/>
      <c r="M38" s="4823"/>
      <c r="N38" s="4824"/>
      <c r="O38" s="4824"/>
      <c r="P38" s="4824"/>
      <c r="Q38" s="4824"/>
      <c r="R38" s="4824"/>
      <c r="S38" s="4825"/>
      <c r="T38" s="584"/>
      <c r="U38" s="3"/>
      <c r="V38" s="4"/>
      <c r="W38" s="775"/>
      <c r="X38" s="4846"/>
      <c r="Y38" s="4847"/>
      <c r="Z38" s="4848"/>
      <c r="AA38" s="4852"/>
      <c r="AB38" s="4841"/>
      <c r="AC38" s="4841"/>
      <c r="AD38" s="4841"/>
      <c r="AE38" s="4841"/>
      <c r="AF38" s="4841"/>
      <c r="AG38" s="4841"/>
      <c r="AH38" s="4841"/>
      <c r="AI38" s="4841"/>
      <c r="AJ38" s="4841"/>
      <c r="AK38" s="4841"/>
      <c r="AL38" s="4853"/>
      <c r="AM38" s="1047"/>
      <c r="AN38" s="4"/>
      <c r="AO38" s="2604"/>
    </row>
    <row r="39" spans="1:41" ht="12" customHeight="1">
      <c r="A39" s="4783"/>
      <c r="B39" s="583"/>
      <c r="C39" s="4829"/>
      <c r="D39" s="4830"/>
      <c r="E39" s="4830"/>
      <c r="F39" s="4830"/>
      <c r="G39" s="4830"/>
      <c r="H39" s="4830"/>
      <c r="I39" s="4830"/>
      <c r="J39" s="4830"/>
      <c r="K39" s="4831"/>
      <c r="L39" s="1464"/>
      <c r="M39" s="4823"/>
      <c r="N39" s="4824"/>
      <c r="O39" s="4824"/>
      <c r="P39" s="4824"/>
      <c r="Q39" s="4824"/>
      <c r="R39" s="4824"/>
      <c r="S39" s="4825"/>
      <c r="T39" s="584"/>
      <c r="U39" s="3"/>
      <c r="V39" s="4"/>
      <c r="W39" s="775"/>
      <c r="X39" s="4846"/>
      <c r="Y39" s="4847"/>
      <c r="Z39" s="4848"/>
      <c r="AA39" s="4852"/>
      <c r="AB39" s="4841"/>
      <c r="AC39" s="4841"/>
      <c r="AD39" s="4841"/>
      <c r="AE39" s="4841"/>
      <c r="AF39" s="4841"/>
      <c r="AG39" s="4841"/>
      <c r="AH39" s="4841"/>
      <c r="AI39" s="4841"/>
      <c r="AJ39" s="4841"/>
      <c r="AK39" s="4841"/>
      <c r="AL39" s="4853"/>
      <c r="AM39" s="1047"/>
      <c r="AN39" s="4"/>
      <c r="AO39" s="2604"/>
    </row>
    <row r="40" spans="1:41" ht="12" customHeight="1">
      <c r="A40" s="4783"/>
      <c r="B40" s="583"/>
      <c r="C40" s="4829"/>
      <c r="D40" s="4830"/>
      <c r="E40" s="4830"/>
      <c r="F40" s="4830"/>
      <c r="G40" s="4830"/>
      <c r="H40" s="4830"/>
      <c r="I40" s="4830"/>
      <c r="J40" s="4830"/>
      <c r="K40" s="4831"/>
      <c r="L40" s="1464"/>
      <c r="M40" s="4823"/>
      <c r="N40" s="4824"/>
      <c r="O40" s="4824"/>
      <c r="P40" s="4824"/>
      <c r="Q40" s="4824"/>
      <c r="R40" s="4824"/>
      <c r="S40" s="4825"/>
      <c r="T40" s="584"/>
      <c r="U40" s="3"/>
      <c r="V40" s="4"/>
      <c r="W40" s="775"/>
      <c r="X40" s="4846"/>
      <c r="Y40" s="4847"/>
      <c r="Z40" s="4848"/>
      <c r="AA40" s="4852"/>
      <c r="AB40" s="4841"/>
      <c r="AC40" s="4841"/>
      <c r="AD40" s="4841"/>
      <c r="AE40" s="4841"/>
      <c r="AF40" s="4841"/>
      <c r="AG40" s="4841"/>
      <c r="AH40" s="4841"/>
      <c r="AI40" s="4841"/>
      <c r="AJ40" s="4841"/>
      <c r="AK40" s="4841"/>
      <c r="AL40" s="4853"/>
      <c r="AM40" s="1047"/>
      <c r="AN40" s="4"/>
      <c r="AO40" s="2604"/>
    </row>
    <row r="41" spans="1:41" ht="12" customHeight="1">
      <c r="A41" s="4783"/>
      <c r="B41" s="583"/>
      <c r="C41" s="4829"/>
      <c r="D41" s="4830"/>
      <c r="E41" s="4830"/>
      <c r="F41" s="4830"/>
      <c r="G41" s="4830"/>
      <c r="H41" s="4830"/>
      <c r="I41" s="4830"/>
      <c r="J41" s="4830"/>
      <c r="K41" s="4831"/>
      <c r="L41" s="1464"/>
      <c r="M41" s="4823"/>
      <c r="N41" s="4824"/>
      <c r="O41" s="4824"/>
      <c r="P41" s="4824"/>
      <c r="Q41" s="4824"/>
      <c r="R41" s="4824"/>
      <c r="S41" s="4825"/>
      <c r="T41" s="584"/>
      <c r="U41" s="3"/>
      <c r="V41" s="4"/>
      <c r="W41" s="775"/>
      <c r="X41" s="4846"/>
      <c r="Y41" s="4847"/>
      <c r="Z41" s="4848"/>
      <c r="AA41" s="4843"/>
      <c r="AB41" s="4844"/>
      <c r="AC41" s="4844"/>
      <c r="AD41" s="4844"/>
      <c r="AE41" s="4844"/>
      <c r="AF41" s="4844"/>
      <c r="AG41" s="4844"/>
      <c r="AH41" s="4844"/>
      <c r="AI41" s="4844"/>
      <c r="AJ41" s="4844"/>
      <c r="AK41" s="4844"/>
      <c r="AL41" s="4845"/>
      <c r="AM41" s="1047"/>
      <c r="AN41" s="4"/>
      <c r="AO41" s="2604"/>
    </row>
    <row r="42" spans="1:41" ht="12" customHeight="1">
      <c r="A42" s="4783"/>
      <c r="B42" s="583"/>
      <c r="C42" s="4829"/>
      <c r="D42" s="4830"/>
      <c r="E42" s="4830"/>
      <c r="F42" s="4830"/>
      <c r="G42" s="4830"/>
      <c r="H42" s="4830"/>
      <c r="I42" s="4830"/>
      <c r="J42" s="4830"/>
      <c r="K42" s="4831"/>
      <c r="L42" s="1464"/>
      <c r="M42" s="4823"/>
      <c r="N42" s="4824"/>
      <c r="O42" s="4824"/>
      <c r="P42" s="4824"/>
      <c r="Q42" s="4824"/>
      <c r="R42" s="4824"/>
      <c r="S42" s="4825"/>
      <c r="T42" s="584"/>
      <c r="U42" s="3"/>
      <c r="V42" s="4"/>
      <c r="W42" s="775"/>
      <c r="X42" s="4846"/>
      <c r="Y42" s="4847"/>
      <c r="Z42" s="4848"/>
      <c r="AA42" s="4843"/>
      <c r="AB42" s="4844"/>
      <c r="AC42" s="4844"/>
      <c r="AD42" s="4844"/>
      <c r="AE42" s="4844"/>
      <c r="AF42" s="4844"/>
      <c r="AG42" s="4844"/>
      <c r="AH42" s="4844"/>
      <c r="AI42" s="4844"/>
      <c r="AJ42" s="4844"/>
      <c r="AK42" s="4844"/>
      <c r="AL42" s="4845"/>
      <c r="AM42" s="1047"/>
      <c r="AN42" s="4"/>
      <c r="AO42" s="2604"/>
    </row>
    <row r="43" spans="1:41" ht="12" customHeight="1" thickBot="1">
      <c r="A43" s="4783"/>
      <c r="B43" s="583"/>
      <c r="C43" s="4832"/>
      <c r="D43" s="4833"/>
      <c r="E43" s="4833"/>
      <c r="F43" s="4833"/>
      <c r="G43" s="4833"/>
      <c r="H43" s="4833"/>
      <c r="I43" s="4833"/>
      <c r="J43" s="4833"/>
      <c r="K43" s="4834"/>
      <c r="L43" s="1464"/>
      <c r="M43" s="4823"/>
      <c r="N43" s="4824"/>
      <c r="O43" s="4824"/>
      <c r="P43" s="4824"/>
      <c r="Q43" s="4824"/>
      <c r="R43" s="4824"/>
      <c r="S43" s="4825"/>
      <c r="T43" s="584"/>
      <c r="U43" s="3"/>
      <c r="V43" s="4"/>
      <c r="W43" s="775"/>
      <c r="X43" s="4846"/>
      <c r="Y43" s="4847"/>
      <c r="Z43" s="4848"/>
      <c r="AA43" s="4852"/>
      <c r="AB43" s="4841"/>
      <c r="AC43" s="4841"/>
      <c r="AD43" s="4841"/>
      <c r="AE43" s="4841"/>
      <c r="AF43" s="4841"/>
      <c r="AG43" s="4841"/>
      <c r="AH43" s="4841"/>
      <c r="AI43" s="4841"/>
      <c r="AJ43" s="4841"/>
      <c r="AK43" s="4841"/>
      <c r="AL43" s="4853"/>
      <c r="AM43" s="1047"/>
      <c r="AN43" s="4"/>
      <c r="AO43" s="2604"/>
    </row>
    <row r="44" spans="1:41" ht="12" customHeight="1" thickBot="1">
      <c r="A44" s="4783"/>
      <c r="B44" s="583"/>
      <c r="C44" s="5"/>
      <c r="D44" s="5"/>
      <c r="E44" s="5"/>
      <c r="F44" s="5"/>
      <c r="G44" s="5"/>
      <c r="H44" s="5"/>
      <c r="I44" s="5"/>
      <c r="J44" s="5"/>
      <c r="K44" s="5"/>
      <c r="L44" s="1464"/>
      <c r="M44" s="4823"/>
      <c r="N44" s="4824"/>
      <c r="O44" s="4824"/>
      <c r="P44" s="4824"/>
      <c r="Q44" s="4824"/>
      <c r="R44" s="4824"/>
      <c r="S44" s="4825"/>
      <c r="T44" s="584"/>
      <c r="U44" s="3"/>
      <c r="V44" s="4"/>
      <c r="W44" s="775"/>
      <c r="X44" s="4849"/>
      <c r="Y44" s="4850"/>
      <c r="Z44" s="4851"/>
      <c r="AA44" s="4854"/>
      <c r="AB44" s="4855"/>
      <c r="AC44" s="4855"/>
      <c r="AD44" s="4855"/>
      <c r="AE44" s="4855"/>
      <c r="AF44" s="4855"/>
      <c r="AG44" s="4855"/>
      <c r="AH44" s="4855"/>
      <c r="AI44" s="4855"/>
      <c r="AJ44" s="4855"/>
      <c r="AK44" s="4855"/>
      <c r="AL44" s="4856"/>
      <c r="AM44" s="1047"/>
      <c r="AN44" s="4"/>
      <c r="AO44" s="2604"/>
    </row>
    <row r="45" spans="1:41" ht="12" customHeight="1" thickBot="1">
      <c r="A45" s="4783"/>
      <c r="B45" s="583"/>
      <c r="C45" s="4766" t="s">
        <v>8084</v>
      </c>
      <c r="D45" s="4767"/>
      <c r="E45" s="4767"/>
      <c r="F45" s="4767"/>
      <c r="G45" s="4767"/>
      <c r="H45" s="4767"/>
      <c r="I45" s="4767"/>
      <c r="J45" s="4767"/>
      <c r="K45" s="4768"/>
      <c r="L45" s="1464"/>
      <c r="M45" s="4823"/>
      <c r="N45" s="4824"/>
      <c r="O45" s="4824"/>
      <c r="P45" s="4824"/>
      <c r="Q45" s="4824"/>
      <c r="R45" s="4824"/>
      <c r="S45" s="4825"/>
      <c r="T45" s="584"/>
      <c r="U45" s="3"/>
      <c r="V45" s="4"/>
      <c r="W45" s="775"/>
      <c r="AM45" s="1047"/>
      <c r="AN45" s="4"/>
      <c r="AO45" s="2604"/>
    </row>
    <row r="46" spans="1:41" ht="12" customHeight="1">
      <c r="A46" s="4783"/>
      <c r="B46" s="583"/>
      <c r="C46" s="4835"/>
      <c r="D46" s="4836"/>
      <c r="E46" s="4836"/>
      <c r="F46" s="4836"/>
      <c r="G46" s="4836"/>
      <c r="H46" s="4836"/>
      <c r="I46" s="4836"/>
      <c r="J46" s="4836"/>
      <c r="K46" s="4837"/>
      <c r="L46" s="1464"/>
      <c r="M46" s="4823"/>
      <c r="N46" s="4824"/>
      <c r="O46" s="4824"/>
      <c r="P46" s="4824"/>
      <c r="Q46" s="4824"/>
      <c r="R46" s="4824"/>
      <c r="S46" s="4825"/>
      <c r="T46" s="584"/>
      <c r="U46" s="3"/>
      <c r="V46" s="4"/>
      <c r="W46" s="775"/>
      <c r="X46" s="4857" t="s">
        <v>1203</v>
      </c>
      <c r="Y46" s="4858"/>
      <c r="Z46" s="4858"/>
      <c r="AA46" s="4858"/>
      <c r="AB46" s="4858"/>
      <c r="AC46" s="4858"/>
      <c r="AD46" s="4859"/>
      <c r="AF46" s="4857" t="s">
        <v>1204</v>
      </c>
      <c r="AG46" s="4858"/>
      <c r="AH46" s="4858"/>
      <c r="AI46" s="4858"/>
      <c r="AJ46" s="4858"/>
      <c r="AK46" s="4858"/>
      <c r="AL46" s="4859"/>
      <c r="AM46" s="1047"/>
      <c r="AN46" s="4"/>
      <c r="AO46" s="2604"/>
    </row>
    <row r="47" spans="1:41" ht="12" customHeight="1">
      <c r="A47" s="4783"/>
      <c r="B47" s="583"/>
      <c r="C47" s="4829"/>
      <c r="D47" s="4830"/>
      <c r="E47" s="4830"/>
      <c r="F47" s="4830"/>
      <c r="G47" s="4830"/>
      <c r="H47" s="4830"/>
      <c r="I47" s="4830"/>
      <c r="J47" s="4830"/>
      <c r="K47" s="4831"/>
      <c r="L47" s="1464"/>
      <c r="M47" s="4823"/>
      <c r="N47" s="4824"/>
      <c r="O47" s="4824"/>
      <c r="P47" s="4824"/>
      <c r="Q47" s="4824"/>
      <c r="R47" s="4824"/>
      <c r="S47" s="4825"/>
      <c r="T47" s="584"/>
      <c r="U47" s="3"/>
      <c r="V47" s="4"/>
      <c r="W47" s="775"/>
      <c r="X47" s="4866"/>
      <c r="Y47" s="4864"/>
      <c r="Z47" s="4864"/>
      <c r="AA47" s="4864"/>
      <c r="AB47" s="4864"/>
      <c r="AC47" s="4864"/>
      <c r="AD47" s="4865"/>
      <c r="AF47" s="4866"/>
      <c r="AG47" s="4864"/>
      <c r="AH47" s="4864"/>
      <c r="AI47" s="4864"/>
      <c r="AJ47" s="4864"/>
      <c r="AK47" s="4864"/>
      <c r="AL47" s="4865"/>
      <c r="AM47" s="1047"/>
      <c r="AN47" s="4"/>
      <c r="AO47" s="2604"/>
    </row>
    <row r="48" spans="1:41" ht="12" customHeight="1">
      <c r="A48" s="4783"/>
      <c r="B48" s="583"/>
      <c r="C48" s="4829"/>
      <c r="D48" s="4830"/>
      <c r="E48" s="4830"/>
      <c r="F48" s="4830"/>
      <c r="G48" s="4830"/>
      <c r="H48" s="4830"/>
      <c r="I48" s="4830"/>
      <c r="J48" s="4830"/>
      <c r="K48" s="4831"/>
      <c r="L48" s="1464"/>
      <c r="M48" s="4823"/>
      <c r="N48" s="4824"/>
      <c r="O48" s="4824"/>
      <c r="P48" s="4824"/>
      <c r="Q48" s="4824"/>
      <c r="R48" s="4824"/>
      <c r="S48" s="4825"/>
      <c r="T48" s="584"/>
      <c r="U48" s="3"/>
      <c r="V48" s="4"/>
      <c r="W48" s="775"/>
      <c r="X48" s="4840"/>
      <c r="Y48" s="4841"/>
      <c r="Z48" s="4841"/>
      <c r="AA48" s="4841"/>
      <c r="AB48" s="4841"/>
      <c r="AC48" s="4841"/>
      <c r="AD48" s="4853"/>
      <c r="AF48" s="4840"/>
      <c r="AG48" s="4841"/>
      <c r="AH48" s="4841"/>
      <c r="AI48" s="4841"/>
      <c r="AJ48" s="4841"/>
      <c r="AK48" s="4841"/>
      <c r="AL48" s="4853"/>
      <c r="AM48" s="1047"/>
      <c r="AN48" s="4"/>
      <c r="AO48" s="2604"/>
    </row>
    <row r="49" spans="1:41" ht="12" customHeight="1">
      <c r="A49" s="4783"/>
      <c r="B49" s="583"/>
      <c r="C49" s="4829"/>
      <c r="D49" s="4830"/>
      <c r="E49" s="4830"/>
      <c r="F49" s="4830"/>
      <c r="G49" s="4830"/>
      <c r="H49" s="4830"/>
      <c r="I49" s="4830"/>
      <c r="J49" s="4830"/>
      <c r="K49" s="4831"/>
      <c r="L49" s="1464"/>
      <c r="M49" s="4823"/>
      <c r="N49" s="4824"/>
      <c r="O49" s="4824"/>
      <c r="P49" s="4824"/>
      <c r="Q49" s="4824"/>
      <c r="R49" s="4824"/>
      <c r="S49" s="4825"/>
      <c r="T49" s="584"/>
      <c r="U49" s="3"/>
      <c r="V49" s="4"/>
      <c r="W49" s="775"/>
      <c r="X49" s="4840"/>
      <c r="Y49" s="4841"/>
      <c r="Z49" s="4841"/>
      <c r="AA49" s="4841"/>
      <c r="AB49" s="4841"/>
      <c r="AC49" s="4841"/>
      <c r="AD49" s="4853"/>
      <c r="AF49" s="4840"/>
      <c r="AG49" s="4841"/>
      <c r="AH49" s="4841"/>
      <c r="AI49" s="4841"/>
      <c r="AJ49" s="4841"/>
      <c r="AK49" s="4841"/>
      <c r="AL49" s="4853"/>
      <c r="AM49" s="1047"/>
      <c r="AN49" s="4"/>
      <c r="AO49" s="2604"/>
    </row>
    <row r="50" spans="1:41" ht="12" customHeight="1">
      <c r="A50" s="4783"/>
      <c r="B50" s="583"/>
      <c r="C50" s="4829"/>
      <c r="D50" s="4830"/>
      <c r="E50" s="4830"/>
      <c r="F50" s="4830"/>
      <c r="G50" s="4830"/>
      <c r="H50" s="4830"/>
      <c r="I50" s="4830"/>
      <c r="J50" s="4830"/>
      <c r="K50" s="4831"/>
      <c r="L50" s="1464"/>
      <c r="M50" s="4823"/>
      <c r="N50" s="4824"/>
      <c r="O50" s="4824"/>
      <c r="P50" s="4824"/>
      <c r="Q50" s="4824"/>
      <c r="R50" s="4824"/>
      <c r="S50" s="4825"/>
      <c r="T50" s="584"/>
      <c r="U50" s="3"/>
      <c r="V50" s="4"/>
      <c r="W50" s="775"/>
      <c r="X50" s="4840"/>
      <c r="Y50" s="4841"/>
      <c r="Z50" s="4841"/>
      <c r="AA50" s="4841"/>
      <c r="AB50" s="4841"/>
      <c r="AC50" s="4841"/>
      <c r="AD50" s="4853"/>
      <c r="AF50" s="4840"/>
      <c r="AG50" s="4841"/>
      <c r="AH50" s="4841"/>
      <c r="AI50" s="4841"/>
      <c r="AJ50" s="4841"/>
      <c r="AK50" s="4841"/>
      <c r="AL50" s="4853"/>
      <c r="AM50" s="1047"/>
      <c r="AN50" s="4"/>
      <c r="AO50" s="2604"/>
    </row>
    <row r="51" spans="1:41" ht="12" customHeight="1">
      <c r="A51" s="4783"/>
      <c r="B51" s="583"/>
      <c r="C51" s="4829"/>
      <c r="D51" s="4830"/>
      <c r="E51" s="4830"/>
      <c r="F51" s="4830"/>
      <c r="G51" s="4830"/>
      <c r="H51" s="4830"/>
      <c r="I51" s="4830"/>
      <c r="J51" s="4830"/>
      <c r="K51" s="4831"/>
      <c r="L51" s="1464"/>
      <c r="M51" s="4823"/>
      <c r="N51" s="4824"/>
      <c r="O51" s="4824"/>
      <c r="P51" s="4824"/>
      <c r="Q51" s="4824"/>
      <c r="R51" s="4824"/>
      <c r="S51" s="4825"/>
      <c r="T51" s="584"/>
      <c r="U51" s="3"/>
      <c r="V51" s="4"/>
      <c r="W51" s="775"/>
      <c r="X51" s="4840"/>
      <c r="Y51" s="4841"/>
      <c r="Z51" s="4841"/>
      <c r="AA51" s="4841"/>
      <c r="AB51" s="4841"/>
      <c r="AC51" s="4841"/>
      <c r="AD51" s="4853"/>
      <c r="AF51" s="4840"/>
      <c r="AG51" s="4841"/>
      <c r="AH51" s="4841"/>
      <c r="AI51" s="4841"/>
      <c r="AJ51" s="4841"/>
      <c r="AK51" s="4841"/>
      <c r="AL51" s="4853"/>
      <c r="AM51" s="1047"/>
      <c r="AN51" s="4"/>
      <c r="AO51" s="2604"/>
    </row>
    <row r="52" spans="1:41" ht="12" customHeight="1">
      <c r="A52" s="4783"/>
      <c r="B52" s="583"/>
      <c r="C52" s="4829"/>
      <c r="D52" s="4830"/>
      <c r="E52" s="4830"/>
      <c r="F52" s="4830"/>
      <c r="G52" s="4830"/>
      <c r="H52" s="4830"/>
      <c r="I52" s="4830"/>
      <c r="J52" s="4830"/>
      <c r="K52" s="4831"/>
      <c r="L52" s="1464"/>
      <c r="M52" s="4823"/>
      <c r="N52" s="4824"/>
      <c r="O52" s="4824"/>
      <c r="P52" s="4824"/>
      <c r="Q52" s="4824"/>
      <c r="R52" s="4824"/>
      <c r="S52" s="4825"/>
      <c r="T52" s="584"/>
      <c r="U52" s="3"/>
      <c r="V52" s="4"/>
      <c r="W52" s="775"/>
      <c r="X52" s="4840"/>
      <c r="Y52" s="4841"/>
      <c r="Z52" s="4841"/>
      <c r="AA52" s="4841"/>
      <c r="AB52" s="4841"/>
      <c r="AC52" s="4841"/>
      <c r="AD52" s="4853"/>
      <c r="AF52" s="4840"/>
      <c r="AG52" s="4841"/>
      <c r="AH52" s="4841"/>
      <c r="AI52" s="4841"/>
      <c r="AJ52" s="4841"/>
      <c r="AK52" s="4841"/>
      <c r="AL52" s="4853"/>
      <c r="AM52" s="1047"/>
      <c r="AN52" s="4"/>
      <c r="AO52" s="2604"/>
    </row>
    <row r="53" spans="1:41" ht="12" customHeight="1" thickBot="1">
      <c r="A53" s="4783"/>
      <c r="B53" s="583"/>
      <c r="C53" s="4832"/>
      <c r="D53" s="4833"/>
      <c r="E53" s="4833"/>
      <c r="F53" s="4833"/>
      <c r="G53" s="4833"/>
      <c r="H53" s="4833"/>
      <c r="I53" s="4833"/>
      <c r="J53" s="4833"/>
      <c r="K53" s="4834"/>
      <c r="L53" s="1464"/>
      <c r="M53" s="4826"/>
      <c r="N53" s="4827"/>
      <c r="O53" s="4827"/>
      <c r="P53" s="4827"/>
      <c r="Q53" s="4827"/>
      <c r="R53" s="4827"/>
      <c r="S53" s="4828"/>
      <c r="T53" s="584"/>
      <c r="U53" s="3"/>
      <c r="V53" s="4"/>
      <c r="W53" s="775"/>
      <c r="X53" s="4840"/>
      <c r="Y53" s="4841"/>
      <c r="Z53" s="4841"/>
      <c r="AA53" s="4841"/>
      <c r="AB53" s="4841"/>
      <c r="AC53" s="4841"/>
      <c r="AD53" s="4853"/>
      <c r="AF53" s="4840"/>
      <c r="AG53" s="4841"/>
      <c r="AH53" s="4841"/>
      <c r="AI53" s="4841"/>
      <c r="AJ53" s="4841"/>
      <c r="AK53" s="4841"/>
      <c r="AL53" s="4853"/>
      <c r="AM53" s="1047"/>
      <c r="AN53" s="4"/>
      <c r="AO53" s="2604"/>
    </row>
    <row r="54" spans="1:41" ht="12" customHeight="1" thickBot="1">
      <c r="A54" s="4783"/>
      <c r="B54" s="583"/>
      <c r="C54" s="5"/>
      <c r="D54" s="5"/>
      <c r="E54" s="5"/>
      <c r="F54" s="5"/>
      <c r="G54" s="5"/>
      <c r="H54" s="5"/>
      <c r="I54" s="5"/>
      <c r="J54" s="5"/>
      <c r="K54" s="5"/>
      <c r="L54" s="5"/>
      <c r="M54" s="5"/>
      <c r="N54" s="5"/>
      <c r="O54" s="5"/>
      <c r="P54" s="5"/>
      <c r="Q54" s="5"/>
      <c r="R54" s="5"/>
      <c r="S54" s="5"/>
      <c r="T54" s="584"/>
      <c r="U54" s="3"/>
      <c r="V54" s="4"/>
      <c r="W54" s="775"/>
      <c r="X54" s="4840"/>
      <c r="Y54" s="4841"/>
      <c r="Z54" s="4841"/>
      <c r="AA54" s="4841"/>
      <c r="AB54" s="4841"/>
      <c r="AC54" s="4841"/>
      <c r="AD54" s="4853"/>
      <c r="AF54" s="4840"/>
      <c r="AG54" s="4841"/>
      <c r="AH54" s="4841"/>
      <c r="AI54" s="4841"/>
      <c r="AJ54" s="4841"/>
      <c r="AK54" s="4841"/>
      <c r="AL54" s="4853"/>
      <c r="AM54" s="1047"/>
      <c r="AN54" s="4"/>
      <c r="AO54" s="2604"/>
    </row>
    <row r="55" spans="1:41" ht="12" customHeight="1" thickBot="1">
      <c r="A55" s="4783"/>
      <c r="B55" s="583"/>
      <c r="C55" s="4766" t="s">
        <v>8269</v>
      </c>
      <c r="D55" s="4767"/>
      <c r="E55" s="4767"/>
      <c r="F55" s="4767"/>
      <c r="G55" s="4767"/>
      <c r="H55" s="4767"/>
      <c r="I55" s="4767"/>
      <c r="J55" s="4767"/>
      <c r="K55" s="4767"/>
      <c r="L55" s="4767"/>
      <c r="M55" s="4767"/>
      <c r="N55" s="4767"/>
      <c r="O55" s="4767"/>
      <c r="P55" s="4767"/>
      <c r="Q55" s="4767"/>
      <c r="R55" s="4767"/>
      <c r="S55" s="4768"/>
      <c r="T55" s="584"/>
      <c r="U55" s="3"/>
      <c r="V55" s="4"/>
      <c r="W55" s="775"/>
      <c r="X55" s="4898"/>
      <c r="Y55" s="4855"/>
      <c r="Z55" s="4855"/>
      <c r="AA55" s="4855"/>
      <c r="AB55" s="4855"/>
      <c r="AC55" s="4855"/>
      <c r="AD55" s="4856"/>
      <c r="AF55" s="4898"/>
      <c r="AG55" s="4855"/>
      <c r="AH55" s="4855"/>
      <c r="AI55" s="4855"/>
      <c r="AJ55" s="4855"/>
      <c r="AK55" s="4855"/>
      <c r="AL55" s="4856"/>
      <c r="AM55" s="1047"/>
      <c r="AN55" s="4"/>
      <c r="AO55" s="2604"/>
    </row>
    <row r="56" spans="1:41" ht="12" customHeight="1" thickBot="1">
      <c r="A56" s="4783"/>
      <c r="B56" s="583"/>
      <c r="C56" s="4789"/>
      <c r="D56" s="4790"/>
      <c r="E56" s="4791"/>
      <c r="F56" s="4791"/>
      <c r="G56" s="4791"/>
      <c r="H56" s="4791"/>
      <c r="I56" s="4791"/>
      <c r="J56" s="4791"/>
      <c r="K56" s="4791"/>
      <c r="L56" s="4791"/>
      <c r="M56" s="4791"/>
      <c r="N56" s="4791"/>
      <c r="O56" s="4791"/>
      <c r="P56" s="4791"/>
      <c r="Q56" s="4791"/>
      <c r="R56" s="4791"/>
      <c r="S56" s="4792"/>
      <c r="T56" s="584"/>
      <c r="U56" s="3"/>
      <c r="V56" s="4"/>
      <c r="W56" s="775"/>
      <c r="AM56" s="1047"/>
      <c r="AN56" s="4"/>
      <c r="AO56" s="2604"/>
    </row>
    <row r="57" spans="1:41" ht="12" customHeight="1">
      <c r="A57" s="4783"/>
      <c r="B57" s="583"/>
      <c r="C57" s="4793"/>
      <c r="D57" s="4794"/>
      <c r="E57" s="4795"/>
      <c r="F57" s="4795"/>
      <c r="G57" s="4795"/>
      <c r="H57" s="4795"/>
      <c r="I57" s="4795"/>
      <c r="J57" s="4795"/>
      <c r="K57" s="4795"/>
      <c r="L57" s="4795"/>
      <c r="M57" s="4795"/>
      <c r="N57" s="4795"/>
      <c r="O57" s="4795"/>
      <c r="P57" s="4795"/>
      <c r="Q57" s="4795"/>
      <c r="R57" s="4795"/>
      <c r="S57" s="4796"/>
      <c r="T57" s="584"/>
      <c r="U57" s="3"/>
      <c r="V57" s="4"/>
      <c r="W57" s="775"/>
      <c r="X57" s="4857" t="s">
        <v>1205</v>
      </c>
      <c r="Y57" s="4858"/>
      <c r="Z57" s="4858"/>
      <c r="AA57" s="4858"/>
      <c r="AB57" s="4858"/>
      <c r="AC57" s="4858"/>
      <c r="AD57" s="4859"/>
      <c r="AF57" s="4915" t="s">
        <v>1206</v>
      </c>
      <c r="AG57" s="4916"/>
      <c r="AH57" s="4916"/>
      <c r="AI57" s="4916"/>
      <c r="AJ57" s="4916"/>
      <c r="AK57" s="4917" t="str">
        <f>VLOOKUP(AF59,Tabla_Fama,2)</f>
        <v>Desconocido</v>
      </c>
      <c r="AL57" s="4918"/>
      <c r="AM57" s="1047"/>
      <c r="AN57" s="4"/>
      <c r="AO57" s="2604"/>
    </row>
    <row r="58" spans="1:41" ht="12" customHeight="1">
      <c r="A58" s="4783"/>
      <c r="B58" s="583"/>
      <c r="C58" s="4793"/>
      <c r="D58" s="4794"/>
      <c r="E58" s="4795"/>
      <c r="F58" s="4795"/>
      <c r="G58" s="4795"/>
      <c r="H58" s="4795"/>
      <c r="I58" s="4795"/>
      <c r="J58" s="4795"/>
      <c r="K58" s="4795"/>
      <c r="L58" s="4795"/>
      <c r="M58" s="4795"/>
      <c r="N58" s="4795"/>
      <c r="O58" s="4795"/>
      <c r="P58" s="4795"/>
      <c r="Q58" s="4795"/>
      <c r="R58" s="4795"/>
      <c r="S58" s="4796"/>
      <c r="T58" s="584"/>
      <c r="U58" s="3"/>
      <c r="V58" s="4"/>
      <c r="W58" s="775"/>
      <c r="X58" s="4949" t="s">
        <v>1207</v>
      </c>
      <c r="Y58" s="4645"/>
      <c r="Z58" s="4645"/>
      <c r="AA58" s="4646"/>
      <c r="AB58" s="4950" t="s">
        <v>1208</v>
      </c>
      <c r="AC58" s="4951"/>
      <c r="AD58" s="4952"/>
      <c r="AF58" s="2330" t="s">
        <v>1209</v>
      </c>
      <c r="AG58" s="4913" t="s">
        <v>1210</v>
      </c>
      <c r="AH58" s="4913"/>
      <c r="AI58" s="1395"/>
      <c r="AJ58" s="4913" t="s">
        <v>1211</v>
      </c>
      <c r="AK58" s="4913"/>
      <c r="AL58" s="1403"/>
      <c r="AM58" s="1047"/>
      <c r="AN58" s="4"/>
      <c r="AO58" s="2604"/>
    </row>
    <row r="59" spans="1:41" ht="12" customHeight="1" thickBot="1">
      <c r="A59" s="4783"/>
      <c r="B59" s="583"/>
      <c r="C59" s="4793"/>
      <c r="D59" s="4794"/>
      <c r="E59" s="4795"/>
      <c r="F59" s="4795"/>
      <c r="G59" s="4795"/>
      <c r="H59" s="4795"/>
      <c r="I59" s="4795"/>
      <c r="J59" s="4795"/>
      <c r="K59" s="4795"/>
      <c r="L59" s="4795"/>
      <c r="M59" s="4795"/>
      <c r="N59" s="4795"/>
      <c r="O59" s="4795"/>
      <c r="P59" s="4795"/>
      <c r="Q59" s="4795"/>
      <c r="R59" s="4795"/>
      <c r="S59" s="4796"/>
      <c r="T59" s="584"/>
      <c r="U59" s="3"/>
      <c r="V59" s="4"/>
      <c r="W59" s="775"/>
      <c r="X59" s="4914" t="s">
        <v>1212</v>
      </c>
      <c r="Y59" s="4890"/>
      <c r="Z59" s="4948"/>
      <c r="AA59" s="4891"/>
      <c r="AB59" s="4933"/>
      <c r="AC59" s="4934"/>
      <c r="AD59" s="4935"/>
      <c r="AF59" s="4942">
        <f>MAX(AI58+AI60+AL59+AL58+AI59,IF(Tablas!$G$490&gt;0,40,IF(Tablas!$G$491&gt;0,65)))</f>
        <v>0</v>
      </c>
      <c r="AG59" s="4913" t="s">
        <v>1213</v>
      </c>
      <c r="AH59" s="4913"/>
      <c r="AI59" s="2280"/>
      <c r="AJ59" s="4913" t="s">
        <v>1214</v>
      </c>
      <c r="AK59" s="4944"/>
      <c r="AL59" s="1404"/>
      <c r="AM59" s="1047"/>
      <c r="AN59" s="4"/>
      <c r="AO59" s="2604"/>
    </row>
    <row r="60" spans="1:41" ht="12" customHeight="1" thickBot="1">
      <c r="A60" s="4783"/>
      <c r="B60" s="583"/>
      <c r="C60" s="4793"/>
      <c r="D60" s="4794"/>
      <c r="E60" s="4795"/>
      <c r="F60" s="4795"/>
      <c r="G60" s="4795"/>
      <c r="H60" s="4795"/>
      <c r="I60" s="4795"/>
      <c r="J60" s="4795"/>
      <c r="K60" s="4795"/>
      <c r="L60" s="4795"/>
      <c r="M60" s="4795"/>
      <c r="N60" s="4795"/>
      <c r="O60" s="4795"/>
      <c r="P60" s="4795"/>
      <c r="Q60" s="4795"/>
      <c r="R60" s="4795"/>
      <c r="S60" s="4796"/>
      <c r="T60" s="584"/>
      <c r="U60" s="3"/>
      <c r="V60" s="4"/>
      <c r="W60" s="775"/>
      <c r="X60" s="4914"/>
      <c r="Y60" s="4838"/>
      <c r="Z60" s="4921"/>
      <c r="AA60" s="4839"/>
      <c r="AB60" s="4936"/>
      <c r="AC60" s="4937"/>
      <c r="AD60" s="4938"/>
      <c r="AF60" s="4943"/>
      <c r="AG60" s="4945" t="s">
        <v>1215</v>
      </c>
      <c r="AH60" s="4945"/>
      <c r="AI60" s="1405"/>
      <c r="AJ60" s="4946" t="s">
        <v>1216</v>
      </c>
      <c r="AK60" s="4947"/>
      <c r="AL60" s="1406">
        <f>VLOOKUP(AF59,Tabla_Fama,3)</f>
        <v>0</v>
      </c>
      <c r="AM60" s="1047"/>
      <c r="AN60" s="4"/>
      <c r="AO60" s="2604"/>
    </row>
    <row r="61" spans="1:41" ht="12" customHeight="1" thickBot="1">
      <c r="A61" s="4783"/>
      <c r="B61" s="583"/>
      <c r="C61" s="4793"/>
      <c r="D61" s="4794"/>
      <c r="E61" s="4795"/>
      <c r="F61" s="4795"/>
      <c r="G61" s="4795"/>
      <c r="H61" s="4795"/>
      <c r="I61" s="4795"/>
      <c r="J61" s="4795"/>
      <c r="K61" s="4795"/>
      <c r="L61" s="4795"/>
      <c r="M61" s="4795"/>
      <c r="N61" s="4795"/>
      <c r="O61" s="4795"/>
      <c r="P61" s="4795"/>
      <c r="Q61" s="4795"/>
      <c r="R61" s="4795"/>
      <c r="S61" s="4796"/>
      <c r="T61" s="584"/>
      <c r="U61" s="3"/>
      <c r="V61" s="4"/>
      <c r="W61" s="775"/>
      <c r="X61" s="4914" t="s">
        <v>1217</v>
      </c>
      <c r="Y61" s="4838"/>
      <c r="Z61" s="4921"/>
      <c r="AA61" s="4839"/>
      <c r="AB61" s="4936"/>
      <c r="AC61" s="4937"/>
      <c r="AD61" s="4938"/>
      <c r="AM61" s="1047"/>
      <c r="AN61" s="4"/>
      <c r="AO61" s="2604"/>
    </row>
    <row r="62" spans="1:41" ht="12" customHeight="1">
      <c r="A62" s="4783"/>
      <c r="B62" s="583"/>
      <c r="C62" s="4793"/>
      <c r="D62" s="4794"/>
      <c r="E62" s="4795"/>
      <c r="F62" s="4795"/>
      <c r="G62" s="4795"/>
      <c r="H62" s="4795"/>
      <c r="I62" s="4795"/>
      <c r="J62" s="4795"/>
      <c r="K62" s="4795"/>
      <c r="L62" s="4795"/>
      <c r="M62" s="4795"/>
      <c r="N62" s="4795"/>
      <c r="O62" s="4795"/>
      <c r="P62" s="4795"/>
      <c r="Q62" s="4795"/>
      <c r="R62" s="4795"/>
      <c r="S62" s="4796"/>
      <c r="T62" s="584"/>
      <c r="U62" s="3"/>
      <c r="V62" s="4"/>
      <c r="W62" s="775"/>
      <c r="X62" s="4914"/>
      <c r="Y62" s="4838"/>
      <c r="Z62" s="4921"/>
      <c r="AA62" s="4839"/>
      <c r="AB62" s="4936"/>
      <c r="AC62" s="4937"/>
      <c r="AD62" s="4938"/>
      <c r="AF62" s="4857" t="s">
        <v>1218</v>
      </c>
      <c r="AG62" s="4858"/>
      <c r="AH62" s="4858"/>
      <c r="AI62" s="4858"/>
      <c r="AJ62" s="4858"/>
      <c r="AK62" s="4858"/>
      <c r="AL62" s="4859"/>
      <c r="AM62" s="1047"/>
      <c r="AN62" s="4"/>
      <c r="AO62" s="2604"/>
    </row>
    <row r="63" spans="1:41" ht="12" customHeight="1" thickBot="1">
      <c r="A63" s="4783"/>
      <c r="B63" s="583"/>
      <c r="C63" s="4793"/>
      <c r="D63" s="4794"/>
      <c r="E63" s="4795"/>
      <c r="F63" s="4795"/>
      <c r="G63" s="4795"/>
      <c r="H63" s="4795"/>
      <c r="I63" s="4795"/>
      <c r="J63" s="4795"/>
      <c r="K63" s="4795"/>
      <c r="L63" s="4795"/>
      <c r="M63" s="4795"/>
      <c r="N63" s="4795"/>
      <c r="O63" s="4795"/>
      <c r="P63" s="4795"/>
      <c r="Q63" s="4795"/>
      <c r="R63" s="4795"/>
      <c r="S63" s="4796"/>
      <c r="T63" s="584"/>
      <c r="U63" s="3"/>
      <c r="V63" s="4"/>
      <c r="W63" s="775"/>
      <c r="X63" s="4919" t="s">
        <v>1219</v>
      </c>
      <c r="Y63" s="4838"/>
      <c r="Z63" s="4921"/>
      <c r="AA63" s="4839"/>
      <c r="AB63" s="4936"/>
      <c r="AC63" s="4937"/>
      <c r="AD63" s="4938"/>
      <c r="AF63" s="4923" t="s">
        <v>1220</v>
      </c>
      <c r="AG63" s="4924"/>
      <c r="AH63" s="4924"/>
      <c r="AI63" s="1327">
        <f>IF(INT+POD+VOL=0,0,VLOOKUP(INT+POD+VOL,Tabla_Cordura,3))</f>
        <v>0</v>
      </c>
      <c r="AJ63" s="4925">
        <f>IF(INT+POD+VOL=0,0,VLOOKUP(INT+POD+VOL,Tabla_Cordura,2))</f>
        <v>0</v>
      </c>
      <c r="AK63" s="4927"/>
      <c r="AL63" s="4928"/>
      <c r="AM63" s="1047"/>
      <c r="AN63" s="4"/>
      <c r="AO63" s="2604"/>
    </row>
    <row r="64" spans="1:41" ht="12" customHeight="1" thickBot="1">
      <c r="A64" s="4783"/>
      <c r="B64" s="583"/>
      <c r="C64" s="4797"/>
      <c r="D64" s="4798"/>
      <c r="E64" s="4799"/>
      <c r="F64" s="4799"/>
      <c r="G64" s="4799"/>
      <c r="H64" s="4799"/>
      <c r="I64" s="4799"/>
      <c r="J64" s="4799"/>
      <c r="K64" s="4799"/>
      <c r="L64" s="4799"/>
      <c r="M64" s="4799"/>
      <c r="N64" s="4799"/>
      <c r="O64" s="4799"/>
      <c r="P64" s="4799"/>
      <c r="Q64" s="4799"/>
      <c r="R64" s="4799"/>
      <c r="S64" s="4800"/>
      <c r="T64" s="584"/>
      <c r="U64" s="3"/>
      <c r="V64" s="4"/>
      <c r="W64" s="775"/>
      <c r="X64" s="4920"/>
      <c r="Y64" s="4900"/>
      <c r="Z64" s="4922"/>
      <c r="AA64" s="4901"/>
      <c r="AB64" s="4939"/>
      <c r="AC64" s="4940"/>
      <c r="AD64" s="4941"/>
      <c r="AF64" s="4931"/>
      <c r="AG64" s="4932"/>
      <c r="AH64" s="4932"/>
      <c r="AI64" s="4932"/>
      <c r="AJ64" s="4926"/>
      <c r="AK64" s="4929"/>
      <c r="AL64" s="4930"/>
      <c r="AM64" s="1047"/>
      <c r="AN64" s="4"/>
      <c r="AO64" s="2604"/>
    </row>
    <row r="65" spans="1:41" ht="12" customHeight="1" thickBot="1">
      <c r="A65" s="4783"/>
      <c r="B65" s="4787"/>
      <c r="C65" s="4788"/>
      <c r="D65" s="4788"/>
      <c r="E65" s="4788"/>
      <c r="F65" s="4788"/>
      <c r="G65" s="4788"/>
      <c r="H65" s="4788"/>
      <c r="I65" s="4788"/>
      <c r="J65" s="4788"/>
      <c r="K65" s="4788"/>
      <c r="L65" s="4788"/>
      <c r="M65" s="4788"/>
      <c r="N65" s="586"/>
      <c r="O65" s="586"/>
      <c r="P65" s="586"/>
      <c r="Q65" s="586"/>
      <c r="R65" s="586"/>
      <c r="S65" s="586"/>
      <c r="T65" s="20"/>
      <c r="U65" s="3"/>
      <c r="V65" s="4"/>
      <c r="W65" s="2331"/>
      <c r="X65" s="1233"/>
      <c r="Y65" s="1233"/>
      <c r="Z65" s="1233"/>
      <c r="AA65" s="1233"/>
      <c r="AB65" s="1233"/>
      <c r="AC65" s="1233"/>
      <c r="AD65" s="1233"/>
      <c r="AE65" s="1233"/>
      <c r="AF65" s="1233"/>
      <c r="AG65" s="1233"/>
      <c r="AH65" s="1233"/>
      <c r="AI65" s="1233"/>
      <c r="AJ65" s="1233"/>
      <c r="AK65" s="1233"/>
      <c r="AL65" s="1233"/>
      <c r="AM65" s="1917"/>
      <c r="AN65" s="4"/>
      <c r="AO65" s="2604"/>
    </row>
    <row r="66" spans="1:41" ht="12" customHeight="1">
      <c r="A66" s="478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07"/>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772" priority="27" stopIfTrue="1" operator="equal">
      <formula>0</formula>
    </cfRule>
  </conditionalFormatting>
  <conditionalFormatting sqref="J23">
    <cfRule type="expression" dxfId="2771" priority="19" stopIfTrue="1">
      <formula>ISNUMBER(SEARCH(Raza,Nephilim))</formula>
    </cfRule>
  </conditionalFormatting>
  <conditionalFormatting sqref="X12">
    <cfRule type="expression" dxfId="2770" priority="2289">
      <formula>$AC$12&gt;=$AA$12</formula>
    </cfRule>
  </conditionalFormatting>
  <conditionalFormatting sqref="X14:AD14">
    <cfRule type="expression" dxfId="2769" priority="3" stopIfTrue="1">
      <formula>AND($AC$12&gt;=$AA$12,$AA$12&gt;0)</formula>
    </cfRule>
    <cfRule type="expression" dxfId="2768" priority="14">
      <formula>$X$14&lt;&gt;""</formula>
    </cfRule>
  </conditionalFormatting>
  <conditionalFormatting sqref="N23:P23">
    <cfRule type="expression" dxfId="2767" priority="7">
      <formula>$F$23&lt;&gt;"Humano"</formula>
    </cfRule>
  </conditionalFormatting>
  <conditionalFormatting sqref="AL31">
    <cfRule type="expression" dxfId="2766" priority="5" stopIfTrue="1">
      <formula>$AL$31&gt;VALUE(LEFT($AK$32,LEN($AK$32)-3))</formula>
    </cfRule>
    <cfRule type="expression" dxfId="2765" priority="6">
      <formula>$AL$31&gt;VALUE(LEFT($AH$32,LEN($AH$32)-3))</formula>
    </cfRule>
  </conditionalFormatting>
  <conditionalFormatting sqref="N26:R26">
    <cfRule type="expression" dxfId="2764" priority="2">
      <formula>$I$26=""</formula>
    </cfRule>
  </conditionalFormatting>
  <conditionalFormatting sqref="Q23:R23">
    <cfRule type="expression" dxfId="2763"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6"/>
  <sheetViews>
    <sheetView showGridLines="0" topLeftCell="A7" zoomScaleNormal="100" zoomScaleSheetLayoutView="55" workbookViewId="0">
      <selection activeCell="Y11" sqref="Y11:AB12"/>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30"/>
    <col min="12" max="16" width="5.7109375" style="21"/>
    <col min="17" max="17" width="9" style="21" bestFit="1" customWidth="1"/>
    <col min="18" max="18" width="3.7109375" style="21" customWidth="1"/>
    <col min="19" max="19" width="1.7109375" style="949" customWidth="1"/>
    <col min="20" max="20" width="1.7109375" style="950" customWidth="1"/>
    <col min="21" max="21" width="3.7109375" style="969"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2.7109375" style="1290" customWidth="1"/>
    <col min="38" max="38" width="1.7109375" style="530" customWidth="1"/>
    <col min="39" max="39" width="5.85546875" style="2265" customWidth="1"/>
    <col min="40" max="40" width="4.5703125" style="628" customWidth="1"/>
    <col min="41" max="43" width="11.140625" style="628" customWidth="1"/>
    <col min="44" max="46" width="11.140625" style="530" customWidth="1"/>
    <col min="47" max="47" width="7.140625" style="530" bestFit="1" customWidth="1"/>
    <col min="48" max="16384" width="5.7109375" style="21"/>
  </cols>
  <sheetData>
    <row r="1" spans="1:85" ht="12" customHeight="1" thickBot="1">
      <c r="A1" s="9"/>
      <c r="B1" s="22"/>
      <c r="C1" s="22"/>
      <c r="D1" s="22"/>
      <c r="E1" s="22"/>
      <c r="F1" s="22"/>
      <c r="G1" s="22"/>
      <c r="H1" s="22"/>
      <c r="I1" s="22"/>
      <c r="J1" s="22"/>
      <c r="K1" s="573"/>
      <c r="L1" s="22"/>
      <c r="M1" s="22"/>
      <c r="N1" s="22"/>
      <c r="O1" s="22"/>
      <c r="P1" s="22"/>
      <c r="Q1" s="22"/>
      <c r="R1" s="23"/>
      <c r="S1" s="951"/>
      <c r="T1" s="963"/>
      <c r="U1" s="3"/>
      <c r="V1" s="3"/>
      <c r="W1" s="3"/>
      <c r="X1" s="3"/>
      <c r="Y1" s="3"/>
      <c r="Z1" s="3"/>
      <c r="AA1" s="3"/>
      <c r="AB1" s="3"/>
      <c r="AC1" s="3"/>
      <c r="AD1" s="3"/>
      <c r="AE1" s="3"/>
      <c r="AF1" s="3"/>
      <c r="AG1" s="3"/>
      <c r="AH1" s="3"/>
      <c r="AI1" s="3"/>
      <c r="AJ1" s="3"/>
      <c r="AK1" s="1291"/>
      <c r="AL1" s="587"/>
      <c r="AM1" s="2265" t="s">
        <v>8292</v>
      </c>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c r="BY1" s="530"/>
      <c r="BZ1" s="530"/>
      <c r="CA1" s="530"/>
      <c r="CB1" s="530"/>
      <c r="CC1" s="530"/>
      <c r="CD1" s="530"/>
      <c r="CE1" s="530"/>
      <c r="CF1" s="530"/>
      <c r="CG1" s="530"/>
    </row>
    <row r="2" spans="1:85" ht="12" customHeight="1" thickBot="1">
      <c r="A2" s="9"/>
      <c r="B2" s="618"/>
      <c r="C2" s="619"/>
      <c r="D2" s="576"/>
      <c r="E2" s="576"/>
      <c r="F2" s="576"/>
      <c r="G2" s="576"/>
      <c r="H2" s="576"/>
      <c r="I2" s="576"/>
      <c r="J2" s="576"/>
      <c r="K2" s="577"/>
      <c r="L2" s="576"/>
      <c r="M2" s="576"/>
      <c r="N2" s="576"/>
      <c r="O2" s="576"/>
      <c r="P2" s="576"/>
      <c r="Q2" s="576"/>
      <c r="R2" s="578"/>
      <c r="S2" s="953" t="s">
        <v>7858</v>
      </c>
      <c r="T2" s="952">
        <f>Tablas!J1387</f>
        <v>10</v>
      </c>
      <c r="U2" s="965"/>
      <c r="V2" s="954"/>
      <c r="W2" s="954"/>
      <c r="X2" s="954"/>
      <c r="Y2" s="954"/>
      <c r="Z2" s="954"/>
      <c r="AA2" s="954"/>
      <c r="AB2" s="954"/>
      <c r="AC2" s="954"/>
      <c r="AD2" s="954"/>
      <c r="AE2" s="954"/>
      <c r="AF2" s="954"/>
      <c r="AG2" s="954"/>
      <c r="AH2" s="954"/>
      <c r="AI2" s="954"/>
      <c r="AJ2" s="954"/>
      <c r="AK2" s="1292"/>
      <c r="AL2" s="587"/>
      <c r="AV2" s="530"/>
      <c r="AW2" s="530"/>
      <c r="AX2" s="530"/>
      <c r="AY2" s="530"/>
      <c r="AZ2" s="530"/>
      <c r="BA2" s="530"/>
      <c r="BB2" s="530"/>
      <c r="BC2" s="530"/>
      <c r="BD2" s="530"/>
      <c r="BE2" s="530"/>
      <c r="BF2" s="530"/>
      <c r="BG2" s="530"/>
      <c r="BH2" s="530"/>
      <c r="BI2" s="530"/>
      <c r="BJ2" s="530"/>
      <c r="BK2" s="530"/>
      <c r="BL2" s="530"/>
      <c r="BM2" s="530"/>
      <c r="BN2" s="530"/>
      <c r="BO2" s="530"/>
      <c r="BP2" s="530"/>
      <c r="BQ2" s="530"/>
      <c r="BR2" s="530"/>
      <c r="BS2" s="530"/>
      <c r="BT2" s="530"/>
      <c r="BU2" s="530"/>
      <c r="BV2" s="530"/>
      <c r="BW2" s="530"/>
      <c r="BX2" s="530"/>
      <c r="BY2" s="530"/>
      <c r="BZ2" s="530"/>
      <c r="CA2" s="530"/>
      <c r="CB2" s="530"/>
      <c r="CC2" s="530"/>
      <c r="CD2" s="530"/>
      <c r="CE2" s="530"/>
      <c r="CF2" s="530"/>
      <c r="CG2" s="530"/>
    </row>
    <row r="3" spans="1:85" ht="12" customHeight="1" thickBot="1">
      <c r="A3" s="9"/>
      <c r="B3" s="443"/>
      <c r="C3" s="4327" t="s">
        <v>9687</v>
      </c>
      <c r="D3" s="4327"/>
      <c r="E3" s="4327"/>
      <c r="F3" s="4327"/>
      <c r="G3" s="4327"/>
      <c r="H3" s="4327"/>
      <c r="I3" s="24"/>
      <c r="J3" s="24"/>
      <c r="K3" s="574"/>
      <c r="L3" s="24"/>
      <c r="M3" s="24"/>
      <c r="N3" s="24"/>
      <c r="O3" s="24"/>
      <c r="P3" s="24"/>
      <c r="Q3" s="25"/>
      <c r="R3" s="579"/>
      <c r="S3" s="953" t="s">
        <v>7859</v>
      </c>
      <c r="T3" s="952">
        <f>Tablas!J1388</f>
        <v>10</v>
      </c>
      <c r="U3" s="966"/>
      <c r="V3" s="4361" t="s">
        <v>9687</v>
      </c>
      <c r="W3" s="4361"/>
      <c r="X3" s="4361"/>
      <c r="Y3" s="4361"/>
      <c r="Z3" s="4361"/>
      <c r="AA3" s="4361"/>
      <c r="AB3" s="6"/>
      <c r="AC3" s="6"/>
      <c r="AD3" s="6"/>
      <c r="AE3" s="6"/>
      <c r="AF3" s="6"/>
      <c r="AG3" s="6"/>
      <c r="AH3" s="6"/>
      <c r="AI3" s="6"/>
      <c r="AJ3" s="7"/>
      <c r="AK3" s="1293"/>
      <c r="AL3" s="587"/>
      <c r="AM3" s="2265" t="s">
        <v>9760</v>
      </c>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c r="BY3" s="530"/>
      <c r="BZ3" s="530"/>
      <c r="CA3" s="530"/>
      <c r="CB3" s="530"/>
      <c r="CC3" s="530"/>
      <c r="CD3" s="530"/>
      <c r="CE3" s="530"/>
      <c r="CF3" s="530"/>
      <c r="CG3" s="530"/>
    </row>
    <row r="4" spans="1:85" ht="12" customHeight="1" thickBot="1">
      <c r="A4" s="9"/>
      <c r="B4" s="746"/>
      <c r="C4" s="4327"/>
      <c r="D4" s="4327"/>
      <c r="E4" s="4327"/>
      <c r="F4" s="4327"/>
      <c r="G4" s="4327"/>
      <c r="H4" s="4327"/>
      <c r="I4" s="22"/>
      <c r="J4" s="2293" t="s">
        <v>1184</v>
      </c>
      <c r="K4" s="4373" t="str">
        <f>IF(OR(General!$F$22="",General!$F$22=0),"",General!$F$22)</f>
        <v/>
      </c>
      <c r="L4" s="4373"/>
      <c r="M4" s="4373"/>
      <c r="N4" s="4373"/>
      <c r="O4" s="4373"/>
      <c r="P4" s="4373"/>
      <c r="Q4" s="1997"/>
      <c r="R4" s="818"/>
      <c r="S4" s="947"/>
      <c r="T4" s="948"/>
      <c r="U4" s="966"/>
      <c r="V4" s="4361"/>
      <c r="W4" s="4361"/>
      <c r="X4" s="4361"/>
      <c r="Y4" s="4361"/>
      <c r="Z4" s="4361"/>
      <c r="AA4" s="4361"/>
      <c r="AB4" s="4374" t="s">
        <v>1184</v>
      </c>
      <c r="AC4" s="4374"/>
      <c r="AD4" s="4373" t="str">
        <f>IF(OR(General!$F$22="",General!$F$22=0),"",General!$F$22)</f>
        <v/>
      </c>
      <c r="AE4" s="4373"/>
      <c r="AF4" s="4373"/>
      <c r="AG4" s="4373"/>
      <c r="AH4" s="4373"/>
      <c r="AI4" s="4373"/>
      <c r="AJ4" s="10"/>
      <c r="AK4" s="1293"/>
      <c r="AL4" s="587"/>
      <c r="AM4" s="3686">
        <v>60</v>
      </c>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c r="BY4" s="530"/>
      <c r="BZ4" s="530"/>
      <c r="CA4" s="530"/>
      <c r="CB4" s="530"/>
      <c r="CC4" s="530"/>
      <c r="CD4" s="530"/>
      <c r="CE4" s="530"/>
      <c r="CF4" s="530"/>
      <c r="CG4" s="530"/>
    </row>
    <row r="5" spans="1:85" ht="12" customHeight="1" thickBot="1">
      <c r="A5" s="9"/>
      <c r="B5" s="746"/>
      <c r="C5" s="4327"/>
      <c r="D5" s="4327"/>
      <c r="E5" s="4327"/>
      <c r="F5" s="4327"/>
      <c r="G5" s="4327"/>
      <c r="H5" s="4327"/>
      <c r="I5" s="2393"/>
      <c r="J5" s="2394" t="s">
        <v>1185</v>
      </c>
      <c r="K5" s="4376" t="str">
        <f>IF(LEN(PDs!E11)&lt;=AM4,PDs!E11,"… /"&amp;RIGHT(PDs!E11,AM4-FIND("/",RIGHT(PDs!E11,AM4))))</f>
        <v/>
      </c>
      <c r="L5" s="4376"/>
      <c r="M5" s="4376"/>
      <c r="N5" s="4376"/>
      <c r="O5" s="4376"/>
      <c r="P5" s="4376"/>
      <c r="Q5" s="4377"/>
      <c r="R5" s="532"/>
      <c r="S5" s="947"/>
      <c r="T5" s="948"/>
      <c r="U5" s="967"/>
      <c r="V5" s="4361"/>
      <c r="W5" s="4361"/>
      <c r="X5" s="4361"/>
      <c r="Y5" s="4361"/>
      <c r="Z5" s="4361"/>
      <c r="AA5" s="4361"/>
      <c r="AB5" s="4375" t="s">
        <v>1185</v>
      </c>
      <c r="AC5" s="4375"/>
      <c r="AD5" s="4363" t="str">
        <f>IF(LEN(PDs!E11)&lt;=AM6,PDs!E11,"… /"&amp;RIGHT(PDs!E11,AM6-FIND("/",RIGHT(PDs!E11,AM6))))</f>
        <v/>
      </c>
      <c r="AE5" s="4363"/>
      <c r="AF5" s="4363"/>
      <c r="AG5" s="4363"/>
      <c r="AH5" s="1998" t="s">
        <v>1186</v>
      </c>
      <c r="AI5" s="1993" t="str">
        <f>$O$6</f>
        <v>1</v>
      </c>
      <c r="AJ5" s="11"/>
      <c r="AK5" s="1293"/>
      <c r="AL5" s="587"/>
      <c r="AM5" s="3637" t="s">
        <v>9761</v>
      </c>
      <c r="AV5" s="530"/>
      <c r="AW5" s="530"/>
      <c r="AX5" s="530"/>
      <c r="AY5" s="530"/>
      <c r="AZ5" s="530"/>
      <c r="BA5" s="530"/>
      <c r="BB5" s="530"/>
      <c r="BC5" s="530"/>
      <c r="BD5" s="530"/>
      <c r="BE5" s="530"/>
      <c r="BF5" s="530"/>
      <c r="BG5" s="530"/>
      <c r="BH5" s="530"/>
      <c r="BI5" s="530"/>
      <c r="BJ5" s="530"/>
      <c r="BK5" s="530"/>
      <c r="BL5" s="530"/>
      <c r="BM5" s="530"/>
      <c r="BN5" s="530"/>
      <c r="BO5" s="530"/>
      <c r="BP5" s="530"/>
      <c r="BQ5" s="530"/>
      <c r="BR5" s="530"/>
      <c r="BS5" s="530"/>
      <c r="BT5" s="530"/>
      <c r="BU5" s="530"/>
      <c r="BV5" s="530"/>
      <c r="BW5" s="530"/>
      <c r="BX5" s="530"/>
      <c r="BY5" s="530"/>
      <c r="BZ5" s="530"/>
      <c r="CA5" s="530"/>
      <c r="CB5" s="530"/>
      <c r="CC5" s="530"/>
      <c r="CD5" s="530"/>
      <c r="CE5" s="530"/>
      <c r="CF5" s="530"/>
      <c r="CG5" s="530"/>
    </row>
    <row r="6" spans="1:85" ht="12" customHeight="1" thickBot="1">
      <c r="A6" s="9"/>
      <c r="B6" s="746"/>
      <c r="C6" s="4327"/>
      <c r="D6" s="4327"/>
      <c r="E6" s="4327"/>
      <c r="F6" s="4327"/>
      <c r="G6" s="4327"/>
      <c r="H6" s="4327"/>
      <c r="I6" s="22"/>
      <c r="J6" s="2394" t="s">
        <v>1221</v>
      </c>
      <c r="K6" s="2281">
        <f>MIN(IF(Raza="Criatura",45,IF(OR(Raza="Jayán",AND(Raza="Turak",COUNTIF(Cercanía_Dragón,"Descomunales"))),24,22)),AS21)</f>
        <v>1</v>
      </c>
      <c r="L6" s="4363" t="str">
        <f>IF(Raza="Criatura",VLOOKUP(Tamaño,Tabla_CreaciónSeres,2),IF(AND(OR(Raza="Jayán",AND(Raza="Turak",COUNTIF(Cercanía_Dragón,"Descomunales"))),Tamaño&gt;22),"Grande","Medio"))</f>
        <v>Medio</v>
      </c>
      <c r="M6" s="4363"/>
      <c r="N6" s="2395" t="s">
        <v>1186</v>
      </c>
      <c r="O6" s="1993" t="str">
        <f>PDs!R17&amp;IF(Principal!AA27=0,""," + "&amp;Principal!AA27)</f>
        <v>1</v>
      </c>
      <c r="P6" s="859"/>
      <c r="Q6" s="28"/>
      <c r="R6" s="579"/>
      <c r="S6" s="947"/>
      <c r="T6" s="948"/>
      <c r="U6" s="966"/>
      <c r="V6" s="4361"/>
      <c r="W6" s="4361"/>
      <c r="X6" s="4361"/>
      <c r="Y6" s="4361"/>
      <c r="Z6" s="4361"/>
      <c r="AA6" s="4361"/>
      <c r="AB6" s="9"/>
      <c r="AC6" s="4362" t="s">
        <v>1222</v>
      </c>
      <c r="AD6" s="4362"/>
      <c r="AE6" s="4362"/>
      <c r="AF6" s="4362"/>
      <c r="AG6" s="4362"/>
      <c r="AH6" s="4362"/>
      <c r="AI6" s="4362"/>
      <c r="AJ6" s="11"/>
      <c r="AK6" s="1293"/>
      <c r="AL6" s="587"/>
      <c r="AM6" s="3686">
        <v>48</v>
      </c>
      <c r="AP6" s="2701"/>
      <c r="AQ6" s="2701"/>
      <c r="AV6" s="530"/>
      <c r="AW6" s="530"/>
      <c r="AX6" s="530"/>
      <c r="AY6" s="530"/>
      <c r="AZ6" s="530"/>
      <c r="BA6" s="530"/>
      <c r="BB6" s="530"/>
      <c r="BC6" s="530"/>
      <c r="BD6" s="530"/>
      <c r="BE6" s="530"/>
      <c r="BF6" s="530"/>
      <c r="BG6" s="530"/>
      <c r="BH6" s="530"/>
      <c r="BI6" s="530"/>
      <c r="BJ6" s="530"/>
      <c r="BK6" s="530"/>
      <c r="BL6" s="530"/>
      <c r="BM6" s="530"/>
      <c r="BN6" s="530"/>
      <c r="BO6" s="530"/>
      <c r="BP6" s="530"/>
      <c r="BQ6" s="530"/>
      <c r="BR6" s="530"/>
      <c r="BS6" s="530"/>
      <c r="BT6" s="530"/>
      <c r="BU6" s="530"/>
      <c r="BV6" s="530"/>
      <c r="BW6" s="530"/>
      <c r="BX6" s="530"/>
      <c r="BY6" s="530"/>
      <c r="BZ6" s="530"/>
      <c r="CA6" s="530"/>
      <c r="CB6" s="530"/>
      <c r="CC6" s="530"/>
      <c r="CD6" s="530"/>
      <c r="CE6" s="530"/>
      <c r="CF6" s="530"/>
      <c r="CG6" s="530"/>
    </row>
    <row r="7" spans="1:85" ht="12" customHeight="1" thickBot="1">
      <c r="A7" s="9"/>
      <c r="B7" s="746"/>
      <c r="C7" s="4327"/>
      <c r="D7" s="4327"/>
      <c r="E7" s="4327"/>
      <c r="F7" s="4327"/>
      <c r="G7" s="4327"/>
      <c r="H7" s="4327"/>
      <c r="I7" s="22"/>
      <c r="J7" s="2396" t="s">
        <v>1223</v>
      </c>
      <c r="K7" s="4363" t="str">
        <f>TipoDeCriatura&amp;IF(AND(TipoDeCriatura="Natural",NOT(Raza=0)),", "&amp;Raza&amp;" ","")&amp;IF(Nephilim="",""," ("&amp;Nephilim&amp;")")&amp;" "&amp;Principal!AB13</f>
        <v>Natural 10</v>
      </c>
      <c r="L7" s="4363"/>
      <c r="M7" s="4363"/>
      <c r="N7" s="4363"/>
      <c r="O7" s="4363"/>
      <c r="P7" s="4363"/>
      <c r="Q7" s="28"/>
      <c r="R7" s="579"/>
      <c r="S7" s="947"/>
      <c r="T7" s="948"/>
      <c r="U7" s="966"/>
      <c r="V7" s="4361"/>
      <c r="W7" s="4361"/>
      <c r="X7" s="4361"/>
      <c r="Y7" s="4361"/>
      <c r="Z7" s="4361"/>
      <c r="AA7" s="4361"/>
      <c r="AB7" s="9"/>
      <c r="AC7" s="4362"/>
      <c r="AD7" s="4362"/>
      <c r="AE7" s="4362"/>
      <c r="AF7" s="4362"/>
      <c r="AG7" s="4362"/>
      <c r="AH7" s="4362"/>
      <c r="AI7" s="4362"/>
      <c r="AJ7" s="11"/>
      <c r="AK7" s="1293"/>
      <c r="AL7" s="587"/>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c r="BY7" s="530"/>
      <c r="BZ7" s="530"/>
      <c r="CA7" s="530"/>
      <c r="CB7" s="530"/>
      <c r="CC7" s="530"/>
      <c r="CD7" s="530"/>
      <c r="CE7" s="530"/>
      <c r="CF7" s="530"/>
      <c r="CG7" s="530"/>
    </row>
    <row r="8" spans="1:85" ht="12" customHeight="1" thickBot="1">
      <c r="A8" s="9"/>
      <c r="B8" s="746"/>
      <c r="C8" s="4327"/>
      <c r="D8" s="4327"/>
      <c r="E8" s="4327"/>
      <c r="F8" s="4327"/>
      <c r="G8" s="4327"/>
      <c r="H8" s="4327"/>
      <c r="I8" s="30"/>
      <c r="J8" s="30"/>
      <c r="K8" s="575"/>
      <c r="L8" s="30"/>
      <c r="M8" s="30"/>
      <c r="N8" s="30"/>
      <c r="O8" s="30"/>
      <c r="P8" s="30"/>
      <c r="Q8" s="31"/>
      <c r="R8" s="579"/>
      <c r="S8" s="947"/>
      <c r="T8" s="948"/>
      <c r="U8" s="966"/>
      <c r="V8" s="4361"/>
      <c r="W8" s="4361"/>
      <c r="X8" s="4361"/>
      <c r="Y8" s="4361"/>
      <c r="Z8" s="4361"/>
      <c r="AA8" s="4361"/>
      <c r="AB8" s="12"/>
      <c r="AC8" s="32"/>
      <c r="AD8" s="32"/>
      <c r="AE8" s="32"/>
      <c r="AF8" s="32"/>
      <c r="AG8" s="32"/>
      <c r="AH8" s="32"/>
      <c r="AI8" s="32"/>
      <c r="AJ8" s="33"/>
      <c r="AK8" s="1293"/>
      <c r="AL8" s="587"/>
      <c r="AO8" s="3637"/>
      <c r="AQ8" s="964" t="s">
        <v>8010</v>
      </c>
      <c r="AR8" s="628"/>
      <c r="AS8" s="628"/>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W8" s="530"/>
      <c r="BX8" s="530"/>
      <c r="BY8" s="530"/>
      <c r="BZ8" s="530"/>
      <c r="CA8" s="530"/>
      <c r="CB8" s="530"/>
      <c r="CC8" s="530"/>
      <c r="CD8" s="530"/>
      <c r="CE8" s="530"/>
      <c r="CF8" s="530"/>
      <c r="CG8" s="530"/>
    </row>
    <row r="9" spans="1:85" ht="12" customHeight="1" thickBot="1">
      <c r="A9" s="9"/>
      <c r="B9" s="816"/>
      <c r="C9" s="2397"/>
      <c r="D9" s="2397"/>
      <c r="E9" s="2397"/>
      <c r="F9" s="2397"/>
      <c r="G9" s="2397"/>
      <c r="H9" s="2397"/>
      <c r="I9" s="2397"/>
      <c r="J9" s="2397"/>
      <c r="K9" s="2398"/>
      <c r="L9" s="2397"/>
      <c r="M9" s="2398">
        <f>AS19+L13</f>
        <v>0</v>
      </c>
      <c r="N9" s="2398">
        <f>M10-M10</f>
        <v>0</v>
      </c>
      <c r="O9" s="2398">
        <f>IF(M9&lt;M10,0,1)</f>
        <v>0</v>
      </c>
      <c r="P9" s="2397"/>
      <c r="Q9" s="2397"/>
      <c r="R9" s="579"/>
      <c r="S9" s="947"/>
      <c r="T9" s="948"/>
      <c r="U9" s="966"/>
      <c r="V9" s="5"/>
      <c r="W9" s="5"/>
      <c r="X9" s="5"/>
      <c r="Y9" s="34"/>
      <c r="Z9" s="34"/>
      <c r="AA9" s="34"/>
      <c r="AB9" s="34"/>
      <c r="AC9" s="34"/>
      <c r="AD9" s="34"/>
      <c r="AE9" s="34"/>
      <c r="AF9" s="34"/>
      <c r="AG9" s="34"/>
      <c r="AH9" s="5"/>
      <c r="AI9" s="5"/>
      <c r="AJ9" s="5"/>
      <c r="AK9" s="1293"/>
      <c r="AL9" s="587"/>
      <c r="AN9" s="3687"/>
      <c r="AO9" s="628" t="s">
        <v>1225</v>
      </c>
      <c r="AQ9" s="964" t="s">
        <v>6766</v>
      </c>
      <c r="AR9" s="628" t="s">
        <v>6771</v>
      </c>
      <c r="AS9" s="628" t="s">
        <v>6772</v>
      </c>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W9" s="530"/>
      <c r="BX9" s="530"/>
      <c r="BY9" s="530"/>
      <c r="BZ9" s="530"/>
      <c r="CA9" s="530"/>
      <c r="CB9" s="530"/>
      <c r="CC9" s="530"/>
      <c r="CD9" s="530"/>
      <c r="CE9" s="530"/>
      <c r="CF9" s="530"/>
      <c r="CG9" s="530"/>
    </row>
    <row r="10" spans="1:85" ht="12" customHeight="1" thickBot="1">
      <c r="A10" s="9"/>
      <c r="B10" s="817"/>
      <c r="C10" s="4341" t="s">
        <v>1224</v>
      </c>
      <c r="D10" s="2399" t="str">
        <f>SUM(E11:E18)+COUNTIF(E11:E18,10)&amp;" pts"</f>
        <v>0 pts</v>
      </c>
      <c r="E10" s="2400" t="s">
        <v>1225</v>
      </c>
      <c r="F10" s="1420" t="s">
        <v>1226</v>
      </c>
      <c r="G10" s="2401" t="s">
        <v>1209</v>
      </c>
      <c r="H10" s="2402" t="s">
        <v>1227</v>
      </c>
      <c r="J10" s="4338" t="s">
        <v>1228</v>
      </c>
      <c r="K10" s="4365"/>
      <c r="L10" s="4371"/>
      <c r="M10" s="530">
        <f>IF(AND(Personalización!V108="Rinkaku",Personalización!AD108="Sí"),14,20)</f>
        <v>20</v>
      </c>
      <c r="N10" s="4372" t="s">
        <v>1229</v>
      </c>
      <c r="O10" s="4372"/>
      <c r="P10" s="4372"/>
      <c r="Q10" s="4372"/>
      <c r="R10" s="819"/>
      <c r="S10" s="947"/>
      <c r="T10" s="948"/>
      <c r="U10" s="967"/>
      <c r="V10" s="4368" t="s">
        <v>1230</v>
      </c>
      <c r="W10" s="4369"/>
      <c r="X10" s="4369"/>
      <c r="Y10" s="4369"/>
      <c r="Z10" s="4369"/>
      <c r="AA10" s="4369"/>
      <c r="AB10" s="4370"/>
      <c r="AD10" s="4364" t="s">
        <v>1231</v>
      </c>
      <c r="AE10" s="4365"/>
      <c r="AF10" s="4365"/>
      <c r="AG10" s="4365"/>
      <c r="AH10" s="4366" t="s">
        <v>1232</v>
      </c>
      <c r="AI10" s="4367"/>
      <c r="AJ10" s="2091">
        <f>SUM(AJ12:AJ23)+IF(OR(TipoDeCriatura="Ánima",TipoDeCriatura="Ánima, Elemental",TipoDeCriatura="No muerto, Espectro"),100,0)+AJ27</f>
        <v>0</v>
      </c>
      <c r="AK10" s="1294"/>
      <c r="AL10" s="587"/>
      <c r="AO10" s="964" t="s">
        <v>6767</v>
      </c>
      <c r="AP10" s="628" t="s">
        <v>9572</v>
      </c>
      <c r="AQ10" s="964" t="s">
        <v>6769</v>
      </c>
      <c r="AR10" s="964" t="s">
        <v>9769</v>
      </c>
      <c r="AS10" s="964" t="s">
        <v>9768</v>
      </c>
      <c r="AT10" s="628" t="s">
        <v>6782</v>
      </c>
      <c r="AU10" s="628" t="s">
        <v>9573</v>
      </c>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c r="BW10" s="530"/>
      <c r="BX10" s="530"/>
      <c r="BY10" s="530"/>
      <c r="BZ10" s="530"/>
      <c r="CA10" s="530"/>
      <c r="CB10" s="530"/>
      <c r="CC10" s="530"/>
      <c r="CD10" s="530"/>
      <c r="CE10" s="530"/>
      <c r="CF10" s="530"/>
      <c r="CG10" s="530"/>
    </row>
    <row r="11" spans="1:85" ht="12" customHeight="1" thickBot="1">
      <c r="A11" s="9"/>
      <c r="B11" s="817"/>
      <c r="C11" s="4342"/>
      <c r="D11" s="1407" t="s">
        <v>1233</v>
      </c>
      <c r="E11" s="2358"/>
      <c r="F11" s="1531"/>
      <c r="G11" s="2403">
        <f>MIN(20,MAX(0,AS11+F11))+IF(AND(Personalización!V108="Ukaku",Personalización!AD108="Sí"),2)</f>
        <v>0</v>
      </c>
      <c r="H11" s="498">
        <f>IF(G11&lt;1,0,VLOOKUP(G11,Tablas!$C$14:$D$33,2))</f>
        <v>0</v>
      </c>
      <c r="J11" s="4328">
        <f>MIN(20,IF(COUNTIF(AB42:AE69,"Degeneración")&gt;0,0,AS19+L13))+IF(O9&lt;=1,N9,3)</f>
        <v>0</v>
      </c>
      <c r="K11" s="4380" t="str">
        <f>INDEX(Tabla_Regen,M11,3)&amp;INDEX(Tabla_Regen,M11,4)</f>
        <v>Ninguna</v>
      </c>
      <c r="L11" s="4381"/>
      <c r="M11" s="530">
        <f>MATCH(J11,INDEX(Tabla_Regen,,2),0)</f>
        <v>1</v>
      </c>
      <c r="N11" s="4382">
        <f>PDs!Z204</f>
        <v>20</v>
      </c>
      <c r="O11" s="4382"/>
      <c r="P11" s="4383"/>
      <c r="Q11" s="4383"/>
      <c r="R11" s="819"/>
      <c r="S11" s="947"/>
      <c r="T11" s="948"/>
      <c r="U11" s="967"/>
      <c r="V11" s="4393" t="s">
        <v>1234</v>
      </c>
      <c r="W11" s="4394"/>
      <c r="X11" s="4395"/>
      <c r="Y11" s="4399" t="s">
        <v>1826</v>
      </c>
      <c r="Z11" s="4399"/>
      <c r="AA11" s="4399"/>
      <c r="AB11" s="4400"/>
      <c r="AD11" s="4596" t="s">
        <v>8834</v>
      </c>
      <c r="AE11" s="4597"/>
      <c r="AF11" s="4597"/>
      <c r="AG11" s="4597" t="s">
        <v>6898</v>
      </c>
      <c r="AH11" s="4598"/>
      <c r="AI11" s="1417" t="s">
        <v>1236</v>
      </c>
      <c r="AJ11" s="2384" t="s">
        <v>1237</v>
      </c>
      <c r="AK11" s="1294"/>
      <c r="AL11" s="587"/>
      <c r="AM11" s="2265" t="s">
        <v>7855</v>
      </c>
      <c r="AN11" s="628" t="s">
        <v>1233</v>
      </c>
      <c r="AO11" s="3632">
        <f t="shared" ref="AO11:AO18" si="0">E11+HLOOKUP(D11,Bonos_Raza_Base,2,FALSE)</f>
        <v>0</v>
      </c>
      <c r="AP11" s="628">
        <f>Tablas!G247</f>
        <v>0</v>
      </c>
      <c r="AQ11" s="3632">
        <f>AO11+Tablas!F247+AP11+Tablas!J1393</f>
        <v>0</v>
      </c>
      <c r="AR11" s="3632">
        <f>Bono_IncremTotal+IF(ISNUMBER(FIND(D11,PodPsi_IncremHab)),'Tablas psiquica'!$AO$58,FALSE)</f>
        <v>0</v>
      </c>
      <c r="AS11" s="3632">
        <f>IF(AQ11&lt;10,MIN(10,AR11+AQ11)+TRUNC(MAX(0,(AR11+AQ11-10)/2,0)),AQ11+TRUNC(AR11/2,0))</f>
        <v>0</v>
      </c>
      <c r="AT11" s="3632">
        <f>IF(AQ11&lt;10,MIN(10,(AR11-IF(ISNUMBER(FIND(D11,PodPsi_IncremHab)),'Tablas psiquica'!$AO$58,FALSE))+AQ11)+TRUNC(MAX(0,((AR11-IF(ISNUMBER(FIND(D11,PodPsi_IncremHab)),'Tablas psiquica'!$AO$58,FALSE))+AQ11-10)/2,0)),AQ11+TRUNC((AR11-IF(ISNUMBER(FIND(D11,PodPsi_IncremHab)),'Tablas psiquica'!$AO$58,FALSE))/2,0))</f>
        <v>0</v>
      </c>
      <c r="AU11" s="530" t="b">
        <f>E11+AP11&gt;IF(Raza="Criatura",Tablas!$J$1387,11)</f>
        <v>0</v>
      </c>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c r="BW11" s="530"/>
      <c r="BX11" s="530"/>
      <c r="BY11" s="530"/>
      <c r="BZ11" s="530"/>
      <c r="CA11" s="530"/>
      <c r="CB11" s="530"/>
      <c r="CC11" s="530"/>
      <c r="CD11" s="530"/>
      <c r="CE11" s="530"/>
      <c r="CF11" s="530"/>
      <c r="CG11" s="530"/>
    </row>
    <row r="12" spans="1:85" ht="12" customHeight="1" thickBot="1">
      <c r="A12" s="9"/>
      <c r="B12" s="817"/>
      <c r="C12" s="4342"/>
      <c r="D12" s="1408" t="str">
        <f>IF(OR($Y$11="Ánima",$Y$11="Ánima, Elemental",$Y$11="No muerto, Espectro"),"-","CON")</f>
        <v>CON</v>
      </c>
      <c r="E12" s="2355"/>
      <c r="F12" s="1532"/>
      <c r="G12" s="2403">
        <f>MIN(20,MAX(0,IF(OR(TipoDeCriatura="Ánima",TipoDeCriatura="Ánima, Elemental",TipoDeCriatura="No muerto, Espectro"),POD,AS12+F12)))</f>
        <v>0</v>
      </c>
      <c r="H12" s="498">
        <f>IF(G12&lt;1,0,VLOOKUP(G12,Tablas!$C$14:$D$33,2))</f>
        <v>0</v>
      </c>
      <c r="I12" s="252"/>
      <c r="J12" s="4328"/>
      <c r="K12" s="4378" t="str">
        <f>IF(Tablas!$S$1587=0,INDEX(Tabla_Regen,MATCH(J11,INDEX(Tabla_Regen,,2),0),5),Tablas!$S$1587&amp;" PV al día")</f>
        <v>Ninguna</v>
      </c>
      <c r="L12" s="4379"/>
      <c r="N12" s="4382"/>
      <c r="O12" s="4382"/>
      <c r="P12" s="4383"/>
      <c r="Q12" s="4383"/>
      <c r="R12" s="819"/>
      <c r="S12" s="947"/>
      <c r="T12" s="948"/>
      <c r="U12" s="967"/>
      <c r="V12" s="4393"/>
      <c r="W12" s="4394"/>
      <c r="X12" s="4395"/>
      <c r="Y12" s="4399"/>
      <c r="Z12" s="4399"/>
      <c r="AA12" s="4399"/>
      <c r="AB12" s="4400"/>
      <c r="AD12" s="4599"/>
      <c r="AE12" s="4600"/>
      <c r="AF12" s="4600"/>
      <c r="AG12" s="4498"/>
      <c r="AH12" s="4601"/>
      <c r="AI12" s="864" t="str">
        <f t="shared" ref="AI12:AI23" si="1">IF(AD12="","",VLOOKUP(AD12&amp;IF(AG12="",""," "&amp;AG12),Tabla_HabEsenciales,2,FALSE))</f>
        <v/>
      </c>
      <c r="AJ12" s="470" t="str">
        <f t="shared" ref="AJ12:AJ23" si="2">IF(AD12="","",VLOOKUP(AD12&amp;IF(AG12="",""," "&amp;AG12),Tabla_HabEsenciales,3,FALSE))</f>
        <v/>
      </c>
      <c r="AK12" s="1293" t="str">
        <f t="shared" ref="AK12:AK23" si="3">SUBSTITUTE(IF(AD12="","",VLOOKUP(AD12,Tabla_Listas_PodHabMonstruo,3,FALSE)),".","")</f>
        <v/>
      </c>
      <c r="AL12" s="587"/>
      <c r="AM12" s="2265" t="str">
        <f t="shared" ref="AM12:AM23" si="4">AD12&amp;IF(AG12="",""," "&amp;AG12)</f>
        <v/>
      </c>
      <c r="AN12" s="628" t="str">
        <f>IF(OR($Y$11="Ánima",$Y$11="Ánima, Elemental",$Y$11="No muerto, Espectro"),"-","CON")</f>
        <v>CON</v>
      </c>
      <c r="AO12" s="3632">
        <f>IF(OR(TipoDeCriatura="Ánima",TipoDeCriatura="Ánima, Elemental",TipoDeCriatura="No muerto, Espectro"),E17+HLOOKUP(D17,Bonos_Raza_Base,2,FALSE),E12+HLOOKUP(D12,Bonos_Raza_Base,2,FALSE))</f>
        <v>0</v>
      </c>
      <c r="AP12" s="628">
        <f>Tablas!G248</f>
        <v>0</v>
      </c>
      <c r="AQ12" s="3632">
        <f>AO12+Tablas!F248+AP12+Tablas!J1394</f>
        <v>0</v>
      </c>
      <c r="AR12" s="3632">
        <f>Bono_IncremTotal</f>
        <v>0</v>
      </c>
      <c r="AS12" s="3632">
        <f>IF(AQ12&lt;10,MIN(10,AR12+AQ12)+TRUNC(MAX(0,(AR12+AQ12-10)/2,0)),AQ12+TRUNC(AR12/2,0))</f>
        <v>0</v>
      </c>
      <c r="AT12" s="3632"/>
      <c r="AU12" s="530" t="b">
        <f>E12+AP12&gt;IF(Raza="Criatura",Tablas!$J$1387,11)</f>
        <v>0</v>
      </c>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c r="BW12" s="530"/>
      <c r="BX12" s="530"/>
      <c r="BY12" s="530"/>
      <c r="BZ12" s="530"/>
      <c r="CA12" s="530"/>
      <c r="CB12" s="530"/>
      <c r="CC12" s="530"/>
      <c r="CD12" s="530"/>
      <c r="CE12" s="530"/>
      <c r="CF12" s="530"/>
      <c r="CG12" s="530"/>
    </row>
    <row r="13" spans="1:85" ht="12" customHeight="1" thickBot="1">
      <c r="A13" s="9"/>
      <c r="B13" s="817"/>
      <c r="C13" s="4342"/>
      <c r="D13" s="1408" t="s">
        <v>1238</v>
      </c>
      <c r="E13" s="2355"/>
      <c r="F13" s="1532"/>
      <c r="G13" s="2403">
        <f t="shared" ref="G13:G18" si="5">MIN(20,MAX(0,AS13+F13))</f>
        <v>0</v>
      </c>
      <c r="H13" s="498">
        <f>IF(G13&lt;1,0,VLOOKUP(G13,Tablas!$C$14:$D$33,2))</f>
        <v>0</v>
      </c>
      <c r="I13" s="252"/>
      <c r="J13" s="4384" t="s">
        <v>1239</v>
      </c>
      <c r="K13" s="4385"/>
      <c r="L13" s="2019"/>
      <c r="N13" s="4382"/>
      <c r="O13" s="4382"/>
      <c r="P13" s="4383"/>
      <c r="Q13" s="4383"/>
      <c r="R13" s="819"/>
      <c r="S13" s="947"/>
      <c r="T13" s="948"/>
      <c r="U13" s="967"/>
      <c r="V13" s="4386" t="s">
        <v>1240</v>
      </c>
      <c r="W13" s="4387"/>
      <c r="X13" s="4387"/>
      <c r="Y13" s="1413" t="s">
        <v>1241</v>
      </c>
      <c r="Z13" s="1414"/>
      <c r="AA13" s="1415" t="s">
        <v>1242</v>
      </c>
      <c r="AB13" s="1434">
        <v>10</v>
      </c>
      <c r="AD13" s="4425"/>
      <c r="AE13" s="4426"/>
      <c r="AF13" s="4426"/>
      <c r="AG13" s="4416"/>
      <c r="AH13" s="4417"/>
      <c r="AI13" s="927" t="str">
        <f t="shared" si="1"/>
        <v/>
      </c>
      <c r="AJ13" s="470" t="str">
        <f t="shared" si="2"/>
        <v/>
      </c>
      <c r="AK13" s="1293" t="str">
        <f t="shared" si="3"/>
        <v/>
      </c>
      <c r="AL13" s="587"/>
      <c r="AM13" s="2265" t="str">
        <f t="shared" si="4"/>
        <v/>
      </c>
      <c r="AN13" s="628" t="s">
        <v>1238</v>
      </c>
      <c r="AO13" s="3632">
        <f t="shared" si="0"/>
        <v>0</v>
      </c>
      <c r="AP13" s="628">
        <f>Tablas!G249</f>
        <v>0</v>
      </c>
      <c r="AQ13" s="3632">
        <f>AO13+Tablas!F249+AP13+Tablas!J1395+Tablas!K1969+Tablas!$K$2049</f>
        <v>0</v>
      </c>
      <c r="AR13" s="3632">
        <f>Bono_IncremTotal+IF(ISNUMBER(FIND(D13,PodPsi_IncremHab)),'Tablas psiquica'!$AO$58,FALSE)</f>
        <v>0</v>
      </c>
      <c r="AS13" s="3632">
        <f>IF(AQ13&lt;10,MIN(10,AR13+AQ13)+TRUNC(MAX(0,(AR13+AQ13-10)/2,0)),AQ13+TRUNC(AR13/2,0))</f>
        <v>0</v>
      </c>
      <c r="AT13" s="3632"/>
      <c r="AU13" s="530" t="b">
        <f>E13+AP13&gt;IF(Raza="Criatura",Tablas!$J$1387,11)</f>
        <v>0</v>
      </c>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c r="BY13" s="530"/>
      <c r="BZ13" s="530"/>
      <c r="CA13" s="530"/>
      <c r="CB13" s="530"/>
      <c r="CC13" s="530"/>
      <c r="CD13" s="530"/>
      <c r="CE13" s="530"/>
      <c r="CF13" s="530"/>
      <c r="CG13" s="530"/>
    </row>
    <row r="14" spans="1:85" ht="12" customHeight="1" thickBot="1">
      <c r="A14" s="9"/>
      <c r="B14" s="817"/>
      <c r="C14" s="4342"/>
      <c r="D14" s="1408" t="s">
        <v>1243</v>
      </c>
      <c r="E14" s="2355"/>
      <c r="F14" s="1532"/>
      <c r="G14" s="2403">
        <f t="shared" si="5"/>
        <v>0</v>
      </c>
      <c r="H14" s="498">
        <f>IF(G14&lt;1,0,VLOOKUP(G14,Tablas!$C$14:$D$33,2))</f>
        <v>0</v>
      </c>
      <c r="I14" s="252"/>
      <c r="J14" s="252"/>
      <c r="N14" s="4401" t="str">
        <f>IF(Tablas!$G$540&gt;0," Endeble con: "&amp;TRUNC(N11/3)&amp;" PVs ","")&amp;IF(Tablas!$G$364&gt;0," Al límite con: "&amp;TRUNC(N11/4)&amp;" PVs ","")</f>
        <v/>
      </c>
      <c r="O14" s="4401"/>
      <c r="P14" s="4401"/>
      <c r="Q14" s="4401"/>
      <c r="R14" s="820"/>
      <c r="S14" s="947"/>
      <c r="T14" s="948"/>
      <c r="U14" s="967"/>
      <c r="V14" s="4388" t="s">
        <v>1244</v>
      </c>
      <c r="W14" s="4389"/>
      <c r="X14" s="4389"/>
      <c r="Y14" s="1416" t="s">
        <v>1241</v>
      </c>
      <c r="Z14" s="2385"/>
      <c r="AA14" s="2386" t="s">
        <v>9998</v>
      </c>
      <c r="AB14" s="2387">
        <f>IF(TipoDeCriatura="Natural",MAX(Principal!AB13-HLOOKUP("Natura",Bonos_Raza_Base,2,FALSE),0),"-")</f>
        <v>10</v>
      </c>
      <c r="AD14" s="4425"/>
      <c r="AE14" s="4426"/>
      <c r="AF14" s="4426"/>
      <c r="AG14" s="4416"/>
      <c r="AH14" s="4417"/>
      <c r="AI14" s="927" t="str">
        <f t="shared" si="1"/>
        <v/>
      </c>
      <c r="AJ14" s="470" t="str">
        <f t="shared" si="2"/>
        <v/>
      </c>
      <c r="AK14" s="1293" t="str">
        <f t="shared" si="3"/>
        <v/>
      </c>
      <c r="AL14" s="587"/>
      <c r="AM14" s="2265" t="str">
        <f t="shared" si="4"/>
        <v/>
      </c>
      <c r="AN14" s="628" t="s">
        <v>1243</v>
      </c>
      <c r="AO14" s="3632">
        <f>E14+HLOOKUP(D14,Bonos_Raza_Base,2,FALSE)</f>
        <v>0</v>
      </c>
      <c r="AP14" s="628">
        <f>Tablas!G250</f>
        <v>0</v>
      </c>
      <c r="AQ14" s="3632">
        <f>AO14+Tablas!F250+AP14+Tablas!J1396+Tablas!$K$2049</f>
        <v>0</v>
      </c>
      <c r="AR14" s="3688">
        <f>Bono_IncremTotal+'Tablas psiquica'!$AO$55</f>
        <v>0</v>
      </c>
      <c r="AS14" s="3632">
        <f>IF(AQ14&lt;10,MIN(10,AR14+AQ14)+TRUNC(MAX(0,(AR14+AQ14-10)/2,0)),AQ14+TRUNC(AR14/2,0))</f>
        <v>0</v>
      </c>
      <c r="AT14" s="3632"/>
      <c r="AU14" s="530" t="b">
        <f>E14+AP14&gt;IF(Raza="Criatura",Tablas!$J$1387,11)</f>
        <v>0</v>
      </c>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c r="BW14" s="530"/>
      <c r="BX14" s="530"/>
      <c r="BY14" s="530"/>
      <c r="BZ14" s="530"/>
      <c r="CA14" s="530"/>
      <c r="CB14" s="530"/>
      <c r="CC14" s="530"/>
      <c r="CD14" s="530"/>
      <c r="CE14" s="530"/>
      <c r="CF14" s="530"/>
      <c r="CG14" s="530"/>
    </row>
    <row r="15" spans="1:85" ht="12" customHeight="1" thickBot="1">
      <c r="A15" s="9"/>
      <c r="B15" s="817"/>
      <c r="C15" s="4342"/>
      <c r="D15" s="1408" t="s">
        <v>1245</v>
      </c>
      <c r="E15" s="2355"/>
      <c r="F15" s="1532"/>
      <c r="G15" s="2403">
        <f t="shared" si="5"/>
        <v>0</v>
      </c>
      <c r="H15" s="498">
        <f>IF(G15&lt;1,0,VLOOKUP(G15,Tablas!$C$14:$D$33,2))</f>
        <v>0</v>
      </c>
      <c r="I15" s="70"/>
      <c r="J15" s="4390" t="s">
        <v>1246</v>
      </c>
      <c r="K15" s="4391"/>
      <c r="L15" s="4392"/>
      <c r="N15" s="4372" t="s">
        <v>1247</v>
      </c>
      <c r="O15" s="4372"/>
      <c r="P15" s="4372"/>
      <c r="Q15" s="4372"/>
      <c r="R15" s="819"/>
      <c r="S15" s="947"/>
      <c r="T15" s="948"/>
      <c r="U15" s="967"/>
      <c r="V15" s="4396" t="str">
        <f>IF(TipoDeCriatura="Natural",IF(AB14=0,"Sin tirada abierta",IF(AB14&gt;14,"Tirada abierta adicional","")),"")&amp;IF(TipoDeCriatura="Natural",IF(AB14&gt;19,", Núcleo trascendental",""),"")</f>
        <v/>
      </c>
      <c r="W15" s="4397"/>
      <c r="X15" s="4397"/>
      <c r="Y15" s="4397"/>
      <c r="Z15" s="4397"/>
      <c r="AA15" s="4397"/>
      <c r="AB15" s="4398"/>
      <c r="AC15" s="14"/>
      <c r="AD15" s="4425"/>
      <c r="AE15" s="4426"/>
      <c r="AF15" s="4426"/>
      <c r="AG15" s="4416"/>
      <c r="AH15" s="4417"/>
      <c r="AI15" s="927" t="str">
        <f t="shared" si="1"/>
        <v/>
      </c>
      <c r="AJ15" s="470" t="str">
        <f t="shared" si="2"/>
        <v/>
      </c>
      <c r="AK15" s="1293" t="str">
        <f t="shared" si="3"/>
        <v/>
      </c>
      <c r="AL15" s="587"/>
      <c r="AM15" s="2265" t="str">
        <f t="shared" si="4"/>
        <v/>
      </c>
      <c r="AN15" s="628" t="s">
        <v>1245</v>
      </c>
      <c r="AO15" s="3632">
        <f t="shared" si="0"/>
        <v>0</v>
      </c>
      <c r="AP15" s="628">
        <f>Tablas!G251</f>
        <v>0</v>
      </c>
      <c r="AQ15" s="3632">
        <f>AO15+Tablas!F251+AP15+Tablas!J1397</f>
        <v>0</v>
      </c>
      <c r="AR15" s="3632"/>
      <c r="AS15" s="3632">
        <f>AQ15+Tablas!$K$1982+Personalización!$N$91</f>
        <v>0</v>
      </c>
      <c r="AT15" s="3632"/>
      <c r="AU15" s="530" t="b">
        <f>E15+AP15&gt;IF(Raza="Criatura",Tablas!$J$1388,12)</f>
        <v>0</v>
      </c>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c r="BW15" s="530"/>
      <c r="BX15" s="530"/>
      <c r="BY15" s="530"/>
      <c r="BZ15" s="530"/>
      <c r="CA15" s="530"/>
      <c r="CB15" s="530"/>
      <c r="CC15" s="530"/>
      <c r="CD15" s="530"/>
      <c r="CE15" s="530"/>
      <c r="CF15" s="530"/>
      <c r="CG15" s="530"/>
    </row>
    <row r="16" spans="1:85" ht="12" customHeight="1" thickBot="1">
      <c r="A16" s="9"/>
      <c r="B16" s="817"/>
      <c r="C16" s="4342"/>
      <c r="D16" s="1408" t="s">
        <v>1248</v>
      </c>
      <c r="E16" s="2355"/>
      <c r="F16" s="1532"/>
      <c r="G16" s="2403">
        <f>MIN(20,MAX(0,AS16+F16))+IF(COUNTIF(G41:J47,"Ojos del Shinigami")=1,2)</f>
        <v>0</v>
      </c>
      <c r="H16" s="498">
        <f>IF(G16&lt;1,0,VLOOKUP(G16,Tablas!$C$14:$D$33,2))</f>
        <v>0</v>
      </c>
      <c r="I16" s="70"/>
      <c r="J16" s="4328">
        <f>MIN(20,IF(J18="",VLOOKUP("Suelo",Tablas!$AM$50:$AO$57,3,FALSE),VLOOKUP(J18,Tablas!$AM$50:$AO$57,3,FALSE)))</f>
        <v>1</v>
      </c>
      <c r="K16" s="1418" t="s">
        <v>1249</v>
      </c>
      <c r="L16" s="1422">
        <f>Combate!E16+IF(General!AL31&gt;VALUE(LEFT(General!AH32,LEN(General!AH32)-3)),2,0)+IF(General!AL31&gt;VALUE(LEFT(General!AK32,LEN(General!AK32)-3)),3,0)-TRUNC((IF(Combate!AD14&lt;0,Combate!AD14,0)+IF(Combate!AF14&lt;0,Combate!AF14,0))/20)</f>
        <v>0</v>
      </c>
      <c r="N16" s="4300">
        <f>IF(Incansable,0,AS22)+O18</f>
        <v>0</v>
      </c>
      <c r="O16" s="4300"/>
      <c r="P16" s="4383"/>
      <c r="Q16" s="4383"/>
      <c r="R16" s="819"/>
      <c r="S16" s="947"/>
      <c r="T16" s="948"/>
      <c r="U16" s="967"/>
      <c r="V16" s="443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4432"/>
      <c r="X16" s="4432"/>
      <c r="Y16" s="4432"/>
      <c r="Z16" s="4432"/>
      <c r="AA16" s="4432"/>
      <c r="AB16" s="4433"/>
      <c r="AD16" s="4425"/>
      <c r="AE16" s="4426"/>
      <c r="AF16" s="4426"/>
      <c r="AG16" s="4416"/>
      <c r="AH16" s="4417"/>
      <c r="AI16" s="927" t="str">
        <f t="shared" si="1"/>
        <v/>
      </c>
      <c r="AJ16" s="470" t="str">
        <f t="shared" si="2"/>
        <v/>
      </c>
      <c r="AK16" s="1293" t="str">
        <f t="shared" si="3"/>
        <v/>
      </c>
      <c r="AL16" s="587"/>
      <c r="AM16" s="2265" t="str">
        <f t="shared" si="4"/>
        <v/>
      </c>
      <c r="AN16" s="628" t="s">
        <v>1248</v>
      </c>
      <c r="AO16" s="3632">
        <f t="shared" si="0"/>
        <v>0</v>
      </c>
      <c r="AP16" s="628">
        <f>Tablas!G252</f>
        <v>0</v>
      </c>
      <c r="AQ16" s="3632">
        <f>AO16+Tablas!F252+AP16+Tablas!J1398</f>
        <v>0</v>
      </c>
      <c r="AR16" s="3688">
        <f>Bono_IncremTotal+'Tablas psiquica'!$AO$60</f>
        <v>0</v>
      </c>
      <c r="AS16" s="3632">
        <f>IF(AQ16&lt;10,MIN(10,AR16+AQ16)+TRUNC(MAX(0,(AR16+AQ16-10)/2,0)),AQ16+TRUNC(AR16/2,0))</f>
        <v>0</v>
      </c>
      <c r="AT16" s="3632"/>
      <c r="AU16" s="530" t="b">
        <f>E16+AP16&gt;IF(Raza="Criatura",Tablas!$J$1388,12)</f>
        <v>0</v>
      </c>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c r="BY16" s="530"/>
      <c r="BZ16" s="530"/>
      <c r="CA16" s="530"/>
      <c r="CB16" s="530"/>
      <c r="CC16" s="530"/>
      <c r="CD16" s="530"/>
      <c r="CE16" s="530"/>
      <c r="CF16" s="530"/>
      <c r="CG16" s="530"/>
    </row>
    <row r="17" spans="1:85" ht="12" customHeight="1" thickBot="1">
      <c r="A17" s="9"/>
      <c r="B17" s="775"/>
      <c r="C17" s="4342"/>
      <c r="D17" s="1408" t="s">
        <v>1250</v>
      </c>
      <c r="E17" s="2355"/>
      <c r="F17" s="1532"/>
      <c r="G17" s="2403">
        <f>MIN(20,MAX(0,AS17+F17))</f>
        <v>0</v>
      </c>
      <c r="H17" s="498">
        <f>IF(G17&lt;1,0,VLOOKUP(G17,Tablas!$C$14:$D$33,2))</f>
        <v>0</v>
      </c>
      <c r="I17" s="70"/>
      <c r="J17" s="4328"/>
      <c r="K17" s="4346" t="str">
        <f>IF(J16&lt;1,"",VLOOKUP(J16,Tabla_TipoMovimiento,2))</f>
        <v>&lt; 1 m / asalto</v>
      </c>
      <c r="L17" s="4347"/>
      <c r="M17" s="2404"/>
      <c r="N17" s="4300"/>
      <c r="O17" s="4300"/>
      <c r="P17" s="4383"/>
      <c r="Q17" s="4383"/>
      <c r="R17" s="819"/>
      <c r="S17" s="947"/>
      <c r="T17" s="948"/>
      <c r="U17" s="967"/>
      <c r="V17" s="4431"/>
      <c r="W17" s="4432"/>
      <c r="X17" s="4432"/>
      <c r="Y17" s="4432"/>
      <c r="Z17" s="4432"/>
      <c r="AA17" s="4432"/>
      <c r="AB17" s="4433"/>
      <c r="AD17" s="4425"/>
      <c r="AE17" s="4426"/>
      <c r="AF17" s="4426"/>
      <c r="AG17" s="4416"/>
      <c r="AH17" s="4417"/>
      <c r="AI17" s="927" t="str">
        <f t="shared" si="1"/>
        <v/>
      </c>
      <c r="AJ17" s="470" t="str">
        <f t="shared" si="2"/>
        <v/>
      </c>
      <c r="AK17" s="1293" t="str">
        <f t="shared" si="3"/>
        <v/>
      </c>
      <c r="AL17" s="587"/>
      <c r="AM17" s="2265" t="str">
        <f t="shared" si="4"/>
        <v/>
      </c>
      <c r="AN17" s="628" t="s">
        <v>1250</v>
      </c>
      <c r="AO17" s="3632">
        <f t="shared" si="0"/>
        <v>0</v>
      </c>
      <c r="AP17" s="628">
        <f>Tablas!G253</f>
        <v>0</v>
      </c>
      <c r="AQ17" s="3632">
        <f>AO17+Tablas!$F$253+AP17+IF(OR(Sheele!O5="",Sheele!O5="No"),0,-1)+Tablas!$J$1399+Tablas!$K$1969+Tablas!$K$1982+Personalización!$O$91+Personalización!$AO$59</f>
        <v>0</v>
      </c>
      <c r="AR17" s="3632"/>
      <c r="AS17" s="3632">
        <f>IF(AQ17&lt;10,MIN(10,AR17+AQ17)+TRUNC(MAX(0,(AR17+AQ17-10)/2,0)),AQ17+TRUNC(AR17/2,0))</f>
        <v>0</v>
      </c>
      <c r="AU17" s="530" t="b">
        <f>E17+AP17&gt;IF(Raza="Criatura",Tablas!$J$1388,12)</f>
        <v>0</v>
      </c>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c r="BW17" s="530"/>
      <c r="BX17" s="530"/>
      <c r="BY17" s="530"/>
      <c r="BZ17" s="530"/>
      <c r="CA17" s="530"/>
      <c r="CB17" s="530"/>
      <c r="CC17" s="530"/>
      <c r="CD17" s="530"/>
      <c r="CE17" s="530"/>
      <c r="CF17" s="530"/>
      <c r="CG17" s="530"/>
    </row>
    <row r="18" spans="1:85" ht="12" customHeight="1" thickBot="1">
      <c r="A18" s="9"/>
      <c r="B18" s="443"/>
      <c r="C18" s="4343"/>
      <c r="D18" s="2405" t="s">
        <v>1251</v>
      </c>
      <c r="E18" s="2356"/>
      <c r="F18" s="1533"/>
      <c r="G18" s="1421">
        <f t="shared" si="5"/>
        <v>0</v>
      </c>
      <c r="H18" s="627">
        <f>IF(G18&lt;1,0,VLOOKUP(G18,Tablas!$C$14:$D$33,2))</f>
        <v>0</v>
      </c>
      <c r="J18" s="2099"/>
      <c r="K18" s="996" t="s">
        <v>1239</v>
      </c>
      <c r="L18" s="2019"/>
      <c r="M18" s="70"/>
      <c r="N18" s="1337" t="s">
        <v>1239</v>
      </c>
      <c r="O18" s="2020"/>
      <c r="P18" s="4383"/>
      <c r="Q18" s="4383"/>
      <c r="R18" s="819"/>
      <c r="S18" s="947"/>
      <c r="T18" s="948"/>
      <c r="U18" s="967"/>
      <c r="V18" s="4434"/>
      <c r="W18" s="4435"/>
      <c r="X18" s="4435"/>
      <c r="Y18" s="4435"/>
      <c r="Z18" s="4435"/>
      <c r="AA18" s="4435"/>
      <c r="AB18" s="4436"/>
      <c r="AD18" s="4425"/>
      <c r="AE18" s="4426"/>
      <c r="AF18" s="4426"/>
      <c r="AG18" s="4416"/>
      <c r="AH18" s="4417"/>
      <c r="AI18" s="927" t="str">
        <f t="shared" si="1"/>
        <v/>
      </c>
      <c r="AJ18" s="470" t="str">
        <f t="shared" si="2"/>
        <v/>
      </c>
      <c r="AK18" s="1293" t="str">
        <f t="shared" si="3"/>
        <v/>
      </c>
      <c r="AL18" s="587"/>
      <c r="AM18" s="2265" t="str">
        <f t="shared" si="4"/>
        <v/>
      </c>
      <c r="AN18" s="628" t="s">
        <v>1251</v>
      </c>
      <c r="AO18" s="3632">
        <f t="shared" si="0"/>
        <v>0</v>
      </c>
      <c r="AP18" s="628">
        <f>Tablas!G254</f>
        <v>0</v>
      </c>
      <c r="AQ18" s="3632">
        <f>AO18+Tablas!F254+AP18+Tablas!J1400+Tablas!$K$1969+Tablas!$K$1982+Personalización!$P$91</f>
        <v>0</v>
      </c>
      <c r="AR18" s="3632"/>
      <c r="AS18" s="3632">
        <f>IF(AQ18&lt;10,MIN(10,AR18+AQ18)+TRUNC(MAX(0,(AR18+AQ18-10)/2,0)),AQ18+TRUNC(AR18/2,0))</f>
        <v>0</v>
      </c>
      <c r="AT18" s="2265"/>
      <c r="AU18" s="530" t="b">
        <f>E18+AP18&gt;IF(Raza="Criatura",Tablas!$J$1388,12)</f>
        <v>0</v>
      </c>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c r="BW18" s="530"/>
      <c r="BX18" s="530"/>
      <c r="BY18" s="530"/>
      <c r="BZ18" s="530"/>
      <c r="CA18" s="530"/>
      <c r="CB18" s="530"/>
      <c r="CC18" s="530"/>
      <c r="CD18" s="530"/>
      <c r="CE18" s="530"/>
      <c r="CF18" s="530"/>
      <c r="CG18" s="530"/>
    </row>
    <row r="19" spans="1:85" ht="12" customHeight="1" thickBot="1">
      <c r="A19" s="9"/>
      <c r="B19" s="746"/>
      <c r="C19" s="4625" t="str">
        <f>IF(COUNTIF($AU$11:$AU$18,TRUE),"Exceso de "&amp;INDEX($AN$11:$AN$18,MATCH(TRUE,$AU$11:$AU$18,0))&amp;" inicial","")</f>
        <v/>
      </c>
      <c r="D19" s="4625"/>
      <c r="E19" s="4625"/>
      <c r="F19" s="4625"/>
      <c r="G19" s="4625"/>
      <c r="H19" s="4625"/>
      <c r="I19" s="2406" t="str">
        <f>IF(Combate!AD15=0,"",TRUNC(Combate!AD15/20,0))</f>
        <v/>
      </c>
      <c r="K19" s="2398"/>
      <c r="M19" s="60"/>
      <c r="N19" s="468"/>
      <c r="O19" s="468"/>
      <c r="P19" s="468"/>
      <c r="Q19" s="468"/>
      <c r="R19" s="579"/>
      <c r="S19" s="947"/>
      <c r="T19" s="948"/>
      <c r="U19" s="967"/>
      <c r="AD19" s="4425"/>
      <c r="AE19" s="4426"/>
      <c r="AF19" s="4426"/>
      <c r="AG19" s="4416"/>
      <c r="AH19" s="4417"/>
      <c r="AI19" s="927" t="str">
        <f t="shared" si="1"/>
        <v/>
      </c>
      <c r="AJ19" s="470" t="str">
        <f t="shared" si="2"/>
        <v/>
      </c>
      <c r="AK19" s="1293" t="str">
        <f t="shared" si="3"/>
        <v/>
      </c>
      <c r="AL19" s="587"/>
      <c r="AM19" s="2265" t="str">
        <f t="shared" si="4"/>
        <v/>
      </c>
      <c r="AN19" s="628" t="s">
        <v>6773</v>
      </c>
      <c r="AO19" s="3632">
        <f>IF(OR(TipoDeCriatura="Entre mundos, Creación",TipoDeCriatura="No muerto",TipoDeCriatura="No muerto, Creación"),0,IF(G12=0,0,VLOOKUP(G12,Tabla_Regen,2))+HLOOKUP("Regeneración",Bonos_Raza_Base,2,FALSE))</f>
        <v>0</v>
      </c>
      <c r="AQ19" s="3632">
        <f>AO19+Tablas!G281*2+Tablas!G282*4+Tablas!G283*6+Tablas!P253</f>
        <v>0</v>
      </c>
      <c r="AR19" s="3688">
        <f>'Tablas psiquica'!AO62</f>
        <v>0</v>
      </c>
      <c r="AS19" s="3632">
        <f>MAX(IF(AQ19+AR19&gt;18,MAX(18,AQ19),AQ19+AR19),Tablas!S1573)</f>
        <v>0</v>
      </c>
      <c r="AT19" s="2265" t="s">
        <v>7872</v>
      </c>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c r="BW19" s="530"/>
      <c r="BX19" s="530"/>
      <c r="BY19" s="530"/>
      <c r="BZ19" s="530"/>
      <c r="CA19" s="530"/>
      <c r="CB19" s="530"/>
      <c r="CC19" s="530"/>
      <c r="CD19" s="530"/>
      <c r="CE19" s="530"/>
      <c r="CF19" s="530"/>
      <c r="CG19" s="530"/>
    </row>
    <row r="20" spans="1:85" ht="12" customHeight="1" thickBot="1">
      <c r="A20" s="9"/>
      <c r="B20" s="746"/>
      <c r="C20" s="4352" t="s">
        <v>7956</v>
      </c>
      <c r="D20" s="4318"/>
      <c r="E20" s="4355" t="str">
        <f>INDEX(Tabla_Regen,MATCH(Regeneración_final,INDEX(Tabla_Regen,,2),0),6)</f>
        <v/>
      </c>
      <c r="F20" s="4356"/>
      <c r="G20" s="4356"/>
      <c r="H20" s="4356"/>
      <c r="I20" s="4356"/>
      <c r="J20" s="4357"/>
      <c r="K20" s="2398"/>
      <c r="L20" s="4338" t="s">
        <v>1254</v>
      </c>
      <c r="M20" s="4340"/>
      <c r="N20" s="4340"/>
      <c r="O20" s="4340"/>
      <c r="P20" s="4340"/>
      <c r="Q20" s="4339"/>
      <c r="R20" s="579"/>
      <c r="S20" s="947"/>
      <c r="T20" s="948"/>
      <c r="U20" s="967"/>
      <c r="V20" s="4338" t="s">
        <v>1255</v>
      </c>
      <c r="W20" s="4340"/>
      <c r="X20" s="4340"/>
      <c r="Y20" s="4340"/>
      <c r="Z20" s="4340"/>
      <c r="AA20" s="4340"/>
      <c r="AB20" s="4339"/>
      <c r="AD20" s="4425"/>
      <c r="AE20" s="4426"/>
      <c r="AF20" s="4426"/>
      <c r="AG20" s="4416"/>
      <c r="AH20" s="4417"/>
      <c r="AI20" s="927" t="str">
        <f t="shared" si="1"/>
        <v/>
      </c>
      <c r="AJ20" s="470" t="str">
        <f t="shared" si="2"/>
        <v/>
      </c>
      <c r="AK20" s="1293" t="str">
        <f t="shared" si="3"/>
        <v/>
      </c>
      <c r="AL20" s="587"/>
      <c r="AM20" s="2265" t="str">
        <f t="shared" si="4"/>
        <v/>
      </c>
      <c r="AN20" s="2265" t="s">
        <v>6774</v>
      </c>
      <c r="AO20" s="3632">
        <f>IF(MovimientodeVacío,MAX(AT11+IF(Raza="Criatura",VLOOKUP(Tamaño,Tabla_CreaciónSeres,4),0)),AT11+IF(Raza="Criatura",VLOOKUP(Tamaño,Tabla_CreaciónSeres,4),0))</f>
        <v>0</v>
      </c>
      <c r="AQ20" s="3632">
        <f>AO20+Tablas!$S$1528+Tablas!$G$347*2-L16</f>
        <v>0</v>
      </c>
      <c r="AR20" s="3689">
        <f>'Tablas psiquica'!AO57</f>
        <v>0</v>
      </c>
      <c r="AS20" s="3632">
        <f>IF(AQ20&lt;10,MIN(10,AR20+AQ20)+TRUNC(MAX(0,(AR20+AQ20-10)/2,0)),AQ20+TRUNC(AR20/2,0))</f>
        <v>0</v>
      </c>
      <c r="AT20" s="625"/>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c r="BW20" s="530"/>
      <c r="BX20" s="530"/>
      <c r="BY20" s="530"/>
      <c r="BZ20" s="530"/>
      <c r="CA20" s="530"/>
      <c r="CB20" s="530"/>
      <c r="CC20" s="530"/>
      <c r="CD20" s="530"/>
      <c r="CE20" s="530"/>
      <c r="CF20" s="530"/>
      <c r="CG20" s="530"/>
    </row>
    <row r="21" spans="1:85" ht="12" customHeight="1" thickBot="1">
      <c r="A21" s="9"/>
      <c r="B21" s="746"/>
      <c r="C21" s="4353"/>
      <c r="D21" s="4354"/>
      <c r="E21" s="4358"/>
      <c r="F21" s="4359"/>
      <c r="G21" s="4359"/>
      <c r="H21" s="4359"/>
      <c r="I21" s="4359"/>
      <c r="J21" s="4360"/>
      <c r="K21" s="2398"/>
      <c r="L21" s="2360" t="s">
        <v>1258</v>
      </c>
      <c r="M21" s="4336" t="s">
        <v>1235</v>
      </c>
      <c r="N21" s="4336"/>
      <c r="O21" s="4427" t="s">
        <v>1259</v>
      </c>
      <c r="P21" s="4427"/>
      <c r="Q21" s="469" t="s">
        <v>1209</v>
      </c>
      <c r="R21" s="579"/>
      <c r="S21" s="947"/>
      <c r="T21" s="948"/>
      <c r="U21" s="967"/>
      <c r="V21" s="4428" t="s">
        <v>1260</v>
      </c>
      <c r="W21" s="4429"/>
      <c r="X21" s="4429"/>
      <c r="Y21" s="4430" t="s">
        <v>1261</v>
      </c>
      <c r="Z21" s="4430"/>
      <c r="AA21" s="40" t="s">
        <v>1262</v>
      </c>
      <c r="AB21" s="611" t="s">
        <v>1237</v>
      </c>
      <c r="AD21" s="4425"/>
      <c r="AE21" s="4426"/>
      <c r="AF21" s="4426"/>
      <c r="AG21" s="4416"/>
      <c r="AH21" s="4417"/>
      <c r="AI21" s="927" t="str">
        <f t="shared" si="1"/>
        <v/>
      </c>
      <c r="AJ21" s="470" t="str">
        <f t="shared" si="2"/>
        <v/>
      </c>
      <c r="AK21" s="1293" t="str">
        <f t="shared" si="3"/>
        <v/>
      </c>
      <c r="AL21" s="587"/>
      <c r="AM21" s="2265" t="str">
        <f t="shared" si="4"/>
        <v/>
      </c>
      <c r="AN21" s="628" t="s">
        <v>1755</v>
      </c>
      <c r="AO21" s="3632">
        <f>MAX(1,IF(OR(TipoDeCriatura="Ánima", TipoDeCriatura="Ánima, Elemental", TipoDeCriatura="No muerto, Espectro"),E17+AP17,E12+AP12)+E14+AP14-IF(Sexo="Mujer",1,0))+HLOOKUP(AN21,Bonos_Raza_Base,2,FALSE)</f>
        <v>1</v>
      </c>
      <c r="AQ21" s="3632">
        <f>IF(Bono_Tamaño_Criatura+Bono_Tamaño_PCs&gt;0,MIN(Bono_Tamaño_Criatura+Bono_Tamaño_PCs,5),MAX(Bono_Tamaño_Criatura+Bono_Tamaño_PCs,-5))</f>
        <v>0</v>
      </c>
      <c r="AS21" s="3632">
        <f>AO21+AQ21</f>
        <v>1</v>
      </c>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c r="BW21" s="530"/>
      <c r="BX21" s="530"/>
      <c r="BY21" s="530"/>
      <c r="BZ21" s="530"/>
      <c r="CA21" s="530"/>
      <c r="CB21" s="530"/>
      <c r="CC21" s="530"/>
      <c r="CD21" s="530"/>
      <c r="CE21" s="530"/>
      <c r="CF21" s="530"/>
      <c r="CG21" s="530"/>
    </row>
    <row r="22" spans="1:85" ht="12" customHeight="1" thickBot="1">
      <c r="A22" s="9"/>
      <c r="B22" s="746"/>
      <c r="K22" s="2398"/>
      <c r="L22" s="4321" t="s">
        <v>1263</v>
      </c>
      <c r="M22" s="4337" t="s">
        <v>1264</v>
      </c>
      <c r="N22" s="4337"/>
      <c r="O22" s="4335">
        <f>PenNatural</f>
        <v>0</v>
      </c>
      <c r="P22" s="4335"/>
      <c r="Q22" s="2407">
        <f>IF(Acrobacias_final="-","-",Acrobacias_final+O22)</f>
        <v>-30</v>
      </c>
      <c r="R22" s="579"/>
      <c r="S22" s="947"/>
      <c r="T22" s="948"/>
      <c r="U22" s="967"/>
      <c r="V22" s="4402" t="s">
        <v>8220</v>
      </c>
      <c r="W22" s="4403"/>
      <c r="X22" s="4404"/>
      <c r="Y22" s="4614" t="str">
        <f>IF(AA22=0,"",Raza)</f>
        <v/>
      </c>
      <c r="Z22" s="4615"/>
      <c r="AA22" s="592">
        <f>IF(Personalización!$L$6="Sin ajuste por Raza",0,IF(Raza=0,0,VLOOKUP(Raza,Tabla_Razas,7,FALSE)))</f>
        <v>0</v>
      </c>
      <c r="AB22" s="612">
        <v>0</v>
      </c>
      <c r="AD22" s="4425"/>
      <c r="AE22" s="4426"/>
      <c r="AF22" s="4426"/>
      <c r="AG22" s="4416"/>
      <c r="AH22" s="4417"/>
      <c r="AI22" s="927" t="str">
        <f t="shared" si="1"/>
        <v/>
      </c>
      <c r="AJ22" s="470" t="str">
        <f t="shared" si="2"/>
        <v/>
      </c>
      <c r="AK22" s="1293" t="str">
        <f t="shared" si="3"/>
        <v/>
      </c>
      <c r="AL22" s="587"/>
      <c r="AM22" s="2265" t="str">
        <f t="shared" si="4"/>
        <v/>
      </c>
      <c r="AN22" s="628" t="s">
        <v>1247</v>
      </c>
      <c r="AO22" s="3632">
        <f>CON+HLOOKUP(AN22,Bonos_Raza_Base,2,FALSE)</f>
        <v>0</v>
      </c>
      <c r="AQ22" s="3632">
        <f>AO22+3*Tablas!G344+6*Tablas!G345+9*Tablas!G346-Tablas!G538</f>
        <v>0</v>
      </c>
      <c r="AR22" s="3632"/>
      <c r="AS22" s="3632">
        <f>AQ22+2*Tablas!H1377</f>
        <v>0</v>
      </c>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c r="BY22" s="530"/>
      <c r="BZ22" s="530"/>
      <c r="CA22" s="530"/>
      <c r="CB22" s="530"/>
      <c r="CC22" s="530"/>
      <c r="CD22" s="530"/>
      <c r="CE22" s="530"/>
      <c r="CF22" s="530"/>
      <c r="CG22" s="530"/>
    </row>
    <row r="23" spans="1:85" ht="12" customHeight="1" thickBot="1">
      <c r="A23" s="9"/>
      <c r="B23" s="746"/>
      <c r="C23" s="4338" t="s">
        <v>1252</v>
      </c>
      <c r="D23" s="4339"/>
      <c r="F23" s="4338" t="s">
        <v>1253</v>
      </c>
      <c r="G23" s="4340"/>
      <c r="H23" s="4340"/>
      <c r="I23" s="4340"/>
      <c r="J23" s="4339"/>
      <c r="K23" s="2398"/>
      <c r="L23" s="4322"/>
      <c r="M23" s="4306" t="s">
        <v>1265</v>
      </c>
      <c r="N23" s="4306"/>
      <c r="O23" s="4311">
        <f>PenNatural</f>
        <v>0</v>
      </c>
      <c r="P23" s="4311"/>
      <c r="Q23" s="470">
        <f>IF(Atletismo_final="-","-",Atletismo_final+O23)</f>
        <v>-30</v>
      </c>
      <c r="R23" s="579"/>
      <c r="S23" s="947"/>
      <c r="T23" s="948"/>
      <c r="U23" s="967"/>
      <c r="V23" s="4402" t="s">
        <v>1266</v>
      </c>
      <c r="W23" s="4403"/>
      <c r="X23" s="4404"/>
      <c r="Y23" s="4405"/>
      <c r="Z23" s="4406"/>
      <c r="AA23" s="592">
        <v>0</v>
      </c>
      <c r="AB23" s="612">
        <f>IF(Y23="PDs",VLOOKUP(Principal!$AB$13,Tablas!W27:X37,2),0)</f>
        <v>0</v>
      </c>
      <c r="AD23" s="4418"/>
      <c r="AE23" s="4419"/>
      <c r="AF23" s="4419"/>
      <c r="AG23" s="4420"/>
      <c r="AH23" s="4421"/>
      <c r="AI23" s="1435" t="str">
        <f t="shared" si="1"/>
        <v/>
      </c>
      <c r="AJ23" s="1436" t="str">
        <f t="shared" si="2"/>
        <v/>
      </c>
      <c r="AK23" s="1293" t="str">
        <f t="shared" si="3"/>
        <v/>
      </c>
      <c r="AL23" s="587"/>
      <c r="AM23" s="2265" t="str">
        <f t="shared" si="4"/>
        <v/>
      </c>
      <c r="AO23" s="3632"/>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c r="BW23" s="530"/>
      <c r="BX23" s="530"/>
      <c r="BY23" s="530"/>
      <c r="BZ23" s="530"/>
      <c r="CA23" s="530"/>
      <c r="CB23" s="530"/>
      <c r="CC23" s="530"/>
      <c r="CD23" s="530"/>
      <c r="CE23" s="530"/>
      <c r="CF23" s="530"/>
      <c r="CG23" s="530"/>
    </row>
    <row r="24" spans="1:85" ht="12" customHeight="1" thickBot="1">
      <c r="A24" s="9"/>
      <c r="B24" s="746"/>
      <c r="C24" s="1423" t="s">
        <v>1225</v>
      </c>
      <c r="D24" s="1424">
        <f>IF(Raza="Criatura",VLOOKUP(Tamaño,Tabla_CreaciónSeres,3),20)+IF(Raza="Nephilim Turak",-10)+IF(Raza="Turak",-20)+IF(AND(L6="Grande",OR(Raza="Turak",Raza="Jayán")),-10,0)+25*Tablas!G320+45*Tablas!G321+60*Tablas!G322-30*Tablas!G532-60*Tablas!G533</f>
        <v>20</v>
      </c>
      <c r="F24" s="4329" t="s">
        <v>1256</v>
      </c>
      <c r="G24" s="4330"/>
      <c r="H24" s="4331">
        <f>MAX(HA_final,HA_SinArmas_final)</f>
        <v>0</v>
      </c>
      <c r="I24" s="4344" t="s">
        <v>1257</v>
      </c>
      <c r="J24" s="4345"/>
      <c r="K24" s="2398"/>
      <c r="L24" s="4322"/>
      <c r="M24" s="4306" t="s">
        <v>1268</v>
      </c>
      <c r="N24" s="4306"/>
      <c r="O24" s="4311"/>
      <c r="P24" s="4311"/>
      <c r="Q24" s="470">
        <f>IF(Montar_final="-","-",Montar_final+O24)</f>
        <v>-30</v>
      </c>
      <c r="R24" s="579"/>
      <c r="S24" s="947"/>
      <c r="T24" s="948"/>
      <c r="U24" s="966"/>
      <c r="V24" s="4402" t="s">
        <v>1269</v>
      </c>
      <c r="W24" s="4403"/>
      <c r="X24" s="4404"/>
      <c r="Y24" s="4612"/>
      <c r="Z24" s="4613"/>
      <c r="AA24" s="592">
        <f>IF(Personalización!$L$7="Sin ajuste por Legados",0,IF(Principal!Y24="No",0,IF(SUM(Tablas!$P$241:$P$292)&gt;0,1,0)))</f>
        <v>0</v>
      </c>
      <c r="AB24" s="1304">
        <f>40*Tablas!P261+80*Tablas!P262+120*Tablas!P263</f>
        <v>0</v>
      </c>
      <c r="AD24" s="440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4408"/>
      <c r="AF24" s="4408"/>
      <c r="AG24" s="4408"/>
      <c r="AH24" s="4408"/>
      <c r="AI24" s="4408"/>
      <c r="AJ24" s="4409"/>
      <c r="AK24" s="1293"/>
      <c r="AL24" s="587"/>
      <c r="AM24" s="2265" t="s">
        <v>8029</v>
      </c>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c r="BW24" s="530"/>
      <c r="BX24" s="530"/>
      <c r="BY24" s="530"/>
      <c r="BZ24" s="530"/>
      <c r="CA24" s="530"/>
      <c r="CB24" s="530"/>
      <c r="CC24" s="530"/>
      <c r="CD24" s="530"/>
      <c r="CE24" s="530"/>
      <c r="CF24" s="530"/>
      <c r="CG24" s="530"/>
    </row>
    <row r="25" spans="1:85" ht="12" customHeight="1">
      <c r="A25" s="9"/>
      <c r="B25" s="746"/>
      <c r="C25" s="2262" t="s">
        <v>9629</v>
      </c>
      <c r="D25" s="498">
        <f>Bono_Agi+Bono_Des</f>
        <v>0</v>
      </c>
      <c r="E25" s="530">
        <f>SUM(D24:D28)</f>
        <v>40</v>
      </c>
      <c r="F25" s="4329"/>
      <c r="G25" s="4330"/>
      <c r="H25" s="4331"/>
      <c r="I25" s="4348">
        <f>Combate!AD15+Combate!AF15</f>
        <v>0</v>
      </c>
      <c r="J25" s="4349"/>
      <c r="K25" s="2398"/>
      <c r="L25" s="4322"/>
      <c r="M25" s="4306" t="s">
        <v>1272</v>
      </c>
      <c r="N25" s="4306"/>
      <c r="O25" s="4311">
        <f>PenNatural-MIN(MAX(LlevarArmadura_final-Combate!H16,0)+Combate!H17,0)+Combate!H17</f>
        <v>0</v>
      </c>
      <c r="P25" s="4311"/>
      <c r="Q25" s="470">
        <f>IF(Nadar_final="-","-",Nadar_final+O25)</f>
        <v>-30</v>
      </c>
      <c r="R25" s="579"/>
      <c r="S25" s="947"/>
      <c r="T25" s="948"/>
      <c r="U25" s="966"/>
      <c r="V25" s="4413" t="s">
        <v>1273</v>
      </c>
      <c r="W25" s="4414"/>
      <c r="X25" s="4415"/>
      <c r="Y25" s="4612"/>
      <c r="Z25" s="4613"/>
      <c r="AA25" s="592">
        <f>IF(Personalización!$O$6="Sin ajuste por Artefactos",0,IF(Y25="Sí",1,0))</f>
        <v>0</v>
      </c>
      <c r="AB25" s="705">
        <v>0</v>
      </c>
      <c r="AD25" s="4410"/>
      <c r="AE25" s="4411"/>
      <c r="AF25" s="4411"/>
      <c r="AG25" s="4411"/>
      <c r="AH25" s="4411"/>
      <c r="AI25" s="4411"/>
      <c r="AJ25" s="4412"/>
      <c r="AK25" s="1293"/>
      <c r="AL25" s="587"/>
      <c r="AM25" s="2265" t="s">
        <v>1690</v>
      </c>
      <c r="AN25" s="1055" t="b">
        <f>AND(Personalización!AN15,TipoDeCriatura="Natural")</f>
        <v>0</v>
      </c>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c r="BW25" s="530"/>
      <c r="BX25" s="530"/>
      <c r="BY25" s="530"/>
      <c r="BZ25" s="530"/>
      <c r="CA25" s="530"/>
      <c r="CB25" s="530"/>
      <c r="CC25" s="530"/>
      <c r="CD25" s="530"/>
      <c r="CE25" s="530"/>
      <c r="CF25" s="530"/>
      <c r="CG25" s="530"/>
    </row>
    <row r="26" spans="1:85" ht="12" customHeight="1">
      <c r="A26" s="9"/>
      <c r="B26" s="746"/>
      <c r="C26" s="1425" t="s">
        <v>1267</v>
      </c>
      <c r="D26" s="498">
        <f>HLOOKUP("Turno",Bonos_Cat_Base,2,FALSE)</f>
        <v>0</v>
      </c>
      <c r="E26" s="2408">
        <f>$D$29+$D$30</f>
        <v>0</v>
      </c>
      <c r="F26" s="4332" t="str">
        <f>IF(HP_final&gt;HE_final,"H. Parada:","H. Esquiva:")</f>
        <v>H. Esquiva:</v>
      </c>
      <c r="G26" s="4333"/>
      <c r="H26" s="4334">
        <f>MAX(HP_final,HE_final,HD_SinArmas_final)</f>
        <v>0</v>
      </c>
      <c r="I26" s="4348"/>
      <c r="J26" s="4349"/>
      <c r="K26" s="2398"/>
      <c r="L26" s="4322"/>
      <c r="M26" s="4306" t="s">
        <v>1275</v>
      </c>
      <c r="N26" s="4306"/>
      <c r="O26" s="4311">
        <f>PenNatural</f>
        <v>0</v>
      </c>
      <c r="P26" s="4311"/>
      <c r="Q26" s="470">
        <f>IF(Trepar_final="-","-",Trepar_final+O26)</f>
        <v>-30</v>
      </c>
      <c r="R26" s="579"/>
      <c r="S26" s="947"/>
      <c r="T26" s="948"/>
      <c r="U26" s="966"/>
      <c r="V26" s="4607" t="s">
        <v>1276</v>
      </c>
      <c r="W26" s="4608"/>
      <c r="X26" s="4609"/>
      <c r="Y26" s="4610"/>
      <c r="Z26" s="4611"/>
      <c r="AA26" s="41">
        <f>IF(Personalización!$O$7="Sin ajuste por PDs",0,ROUNDUP((AB27-AB22-AB23-AB24-AB25)/100,0))</f>
        <v>0</v>
      </c>
      <c r="AB26" s="1437"/>
      <c r="AD26" s="4410"/>
      <c r="AE26" s="4411"/>
      <c r="AF26" s="4411"/>
      <c r="AG26" s="4411"/>
      <c r="AH26" s="4411"/>
      <c r="AI26" s="4411"/>
      <c r="AJ26" s="4412"/>
      <c r="AK26" s="1293"/>
      <c r="AL26" s="587"/>
      <c r="AM26" s="2265" t="s">
        <v>1242</v>
      </c>
      <c r="AN26" s="1055" t="b">
        <f>AB13&lt;AP26</f>
        <v>0</v>
      </c>
      <c r="AO26" s="628" t="s">
        <v>8030</v>
      </c>
      <c r="AP26" s="628">
        <f>IF(OR(Tablas!J1970&gt;0,Tablas!J1984&gt;0,(AND(Raza="Ebudan",SueAman="Cumplido",Personalización!E52="Sí"))),30,0)</f>
        <v>0</v>
      </c>
      <c r="AQ26" s="628" t="s">
        <v>8031</v>
      </c>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c r="BY26" s="530"/>
      <c r="BZ26" s="530"/>
      <c r="CA26" s="530"/>
      <c r="CB26" s="530"/>
      <c r="CC26" s="530"/>
      <c r="CD26" s="530"/>
      <c r="CE26" s="530"/>
      <c r="CF26" s="530"/>
      <c r="CG26" s="530"/>
    </row>
    <row r="27" spans="1:85" ht="12" customHeight="1" thickBot="1">
      <c r="A27" s="9"/>
      <c r="B27" s="746"/>
      <c r="C27" s="1425" t="s">
        <v>1270</v>
      </c>
      <c r="D27" s="498">
        <f>PenNatural</f>
        <v>0</v>
      </c>
      <c r="E27" s="530"/>
      <c r="F27" s="4332"/>
      <c r="G27" s="4333"/>
      <c r="H27" s="4334"/>
      <c r="I27" s="4348"/>
      <c r="J27" s="4349"/>
      <c r="K27" s="2398"/>
      <c r="L27" s="4322"/>
      <c r="M27" s="4306" t="s">
        <v>1278</v>
      </c>
      <c r="N27" s="4306"/>
      <c r="O27" s="4311">
        <f>PenNatural</f>
        <v>0</v>
      </c>
      <c r="P27" s="4311"/>
      <c r="Q27" s="470">
        <f>IF(Saltar_final="-","-",Saltar_final+O27)</f>
        <v>-30</v>
      </c>
      <c r="R27" s="579"/>
      <c r="S27" s="947"/>
      <c r="T27" s="948"/>
      <c r="U27" s="966"/>
      <c r="V27" s="4604" t="str">
        <f>IF(COUNTA(Personalización!$L$6:$Q$7)&gt;0,"Sin ajuste(s)","")</f>
        <v/>
      </c>
      <c r="W27" s="4605"/>
      <c r="X27" s="4605"/>
      <c r="Y27" s="4602" t="s">
        <v>1279</v>
      </c>
      <c r="Z27" s="4603"/>
      <c r="AA27" s="2388">
        <f>SUM(AA22:AA26)</f>
        <v>0</v>
      </c>
      <c r="AB27" s="1438">
        <f>SUM(AB22:AB26)+50*Tablas!G357+100*Tablas!G358+150*Tablas!G359+Tablas!K2058</f>
        <v>0</v>
      </c>
      <c r="AD27" s="918"/>
      <c r="AE27" s="4606" t="s">
        <v>1280</v>
      </c>
      <c r="AF27" s="4606"/>
      <c r="AG27" s="4606"/>
      <c r="AH27" s="4606"/>
      <c r="AI27" s="4606"/>
      <c r="AJ27" s="91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93"/>
      <c r="AL27" s="587"/>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c r="BW27" s="530"/>
      <c r="BX27" s="530"/>
      <c r="BY27" s="530"/>
      <c r="BZ27" s="530"/>
      <c r="CA27" s="530"/>
      <c r="CB27" s="530"/>
      <c r="CC27" s="530"/>
      <c r="CD27" s="530"/>
      <c r="CE27" s="530"/>
      <c r="CF27" s="530"/>
      <c r="CG27" s="530"/>
    </row>
    <row r="28" spans="1:85" ht="12" customHeight="1" thickBot="1">
      <c r="A28" s="9"/>
      <c r="B28" s="746"/>
      <c r="C28" s="1425" t="s">
        <v>6794</v>
      </c>
      <c r="D28" s="498">
        <f>20+Tablas!$S$1395</f>
        <v>20</v>
      </c>
      <c r="F28" s="4452" t="s">
        <v>1271</v>
      </c>
      <c r="G28" s="4453"/>
      <c r="H28" s="4456">
        <f>LlevarArmadura_final</f>
        <v>0</v>
      </c>
      <c r="I28" s="4348"/>
      <c r="J28" s="4349"/>
      <c r="K28" s="2406"/>
      <c r="L28" s="4323"/>
      <c r="M28" s="4440" t="s">
        <v>5858</v>
      </c>
      <c r="N28" s="4440"/>
      <c r="O28" s="4324"/>
      <c r="P28" s="4324"/>
      <c r="Q28" s="1436">
        <f>IF(Pilotar_final="-","-",Pilotar_final+O28)</f>
        <v>-30</v>
      </c>
      <c r="R28" s="579"/>
      <c r="S28" s="947"/>
      <c r="T28" s="948"/>
      <c r="U28" s="966"/>
      <c r="W28" s="2389"/>
      <c r="X28" s="2389"/>
      <c r="Y28" s="2389"/>
      <c r="Z28" s="2389"/>
      <c r="AA28" s="2389"/>
      <c r="AB28" s="2389"/>
      <c r="AC28" s="2389"/>
      <c r="AD28" s="2389"/>
      <c r="AE28" s="2389"/>
      <c r="AK28" s="1293"/>
      <c r="AL28" s="587"/>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c r="BW28" s="530"/>
      <c r="BX28" s="530"/>
      <c r="BY28" s="530"/>
      <c r="BZ28" s="530"/>
      <c r="CA28" s="530"/>
      <c r="CB28" s="530"/>
      <c r="CC28" s="530"/>
      <c r="CD28" s="530"/>
      <c r="CE28" s="530"/>
      <c r="CF28" s="530"/>
      <c r="CG28" s="530"/>
    </row>
    <row r="29" spans="1:85" ht="12" customHeight="1" thickBot="1">
      <c r="A29" s="9"/>
      <c r="B29" s="746"/>
      <c r="C29" s="2263" t="s">
        <v>9630</v>
      </c>
      <c r="D29" s="2264">
        <f>IF(Ki!P40="-",10,0)+'Tablas psiquica'!$AO$59</f>
        <v>0</v>
      </c>
      <c r="F29" s="4454"/>
      <c r="G29" s="4455"/>
      <c r="H29" s="4457"/>
      <c r="I29" s="4350"/>
      <c r="J29" s="4351"/>
      <c r="K29" s="2398"/>
      <c r="L29" s="4322" t="s">
        <v>1281</v>
      </c>
      <c r="M29" s="4306" t="s">
        <v>1282</v>
      </c>
      <c r="N29" s="4306"/>
      <c r="O29" s="4311"/>
      <c r="P29" s="4311"/>
      <c r="Q29" s="470">
        <f>IF(Estilo_final="-","-",Estilo_final+O29)</f>
        <v>-30</v>
      </c>
      <c r="R29" s="579"/>
      <c r="S29" s="947"/>
      <c r="T29" s="948"/>
      <c r="U29" s="966"/>
      <c r="V29" s="4372" t="s">
        <v>1285</v>
      </c>
      <c r="W29" s="4372"/>
      <c r="X29" s="4372"/>
      <c r="Y29" s="4372"/>
      <c r="Z29" s="4372"/>
      <c r="AA29" s="4372"/>
      <c r="AB29" s="4372"/>
      <c r="AC29" s="4372"/>
      <c r="AD29" s="4372"/>
      <c r="AE29" s="4372"/>
      <c r="AF29" s="4487" t="s">
        <v>1286</v>
      </c>
      <c r="AG29" s="4487"/>
      <c r="AH29" s="4487"/>
      <c r="AI29" s="4487"/>
      <c r="AJ29" s="4487"/>
      <c r="AK29" s="1293"/>
      <c r="AL29" s="587"/>
      <c r="AM29" s="3637"/>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c r="BW29" s="530"/>
      <c r="BX29" s="530"/>
      <c r="BY29" s="530"/>
      <c r="BZ29" s="530"/>
      <c r="CA29" s="530"/>
      <c r="CB29" s="530"/>
      <c r="CC29" s="530"/>
      <c r="CD29" s="530"/>
      <c r="CE29" s="530"/>
      <c r="CF29" s="530"/>
      <c r="CG29" s="530"/>
    </row>
    <row r="30" spans="1:85" ht="12" customHeight="1">
      <c r="A30" s="9"/>
      <c r="B30" s="746"/>
      <c r="C30" s="1426" t="s">
        <v>1277</v>
      </c>
      <c r="D30" s="2018"/>
      <c r="F30" s="4301" t="str">
        <f>IF(Tablas!G531&gt;0,"Arma exclusiva:","Arma desarrollada:")</f>
        <v>Arma desarrollada:</v>
      </c>
      <c r="G30" s="4302"/>
      <c r="H30" s="4303"/>
      <c r="I30" s="4304" t="str">
        <f>IF(Tablas!H1586&gt;0,"Sin Pen. por Dolor",IF(Tablas!$G$537&gt;0,IF(OR(Tablas!$G$339&gt;0,Ki!$P$57="-"),"x1/2 Pen. por Cansancio","x2 Pen. por Dolor"),IF(Tablas!$G$538&gt;0,IF(OR(Tablas!$G$339&gt;0,Ki!$P$57="-"),"x1/2 Pen. por Dolor","x2 Pen. por Cansancio"),IF(AND(Tablas!$G$339&gt;0,Ki!$P$57="-"),"x1/3 Penalizadores",IF(OR(Tablas!$G$339&gt;0,Ki!$P$57="-"),"x1/2 Penalizadores","")))))</f>
        <v/>
      </c>
      <c r="J30" s="4305"/>
      <c r="K30" s="2398"/>
      <c r="L30" s="4322"/>
      <c r="M30" s="4306" t="s">
        <v>1284</v>
      </c>
      <c r="N30" s="4306"/>
      <c r="O30" s="4311"/>
      <c r="P30" s="4311"/>
      <c r="Q30" s="470">
        <f>IF(Intimidar_final="-","-",Intimidar_final+O30)</f>
        <v>-30</v>
      </c>
      <c r="R30" s="579"/>
      <c r="S30" s="947"/>
      <c r="T30" s="948"/>
      <c r="U30" s="966"/>
      <c r="V30" s="4479" t="str">
        <f>IF(Raza="","",VLOOKUP(Raza,Tabla_Razas,20,FALSE))</f>
        <v/>
      </c>
      <c r="W30" s="4444"/>
      <c r="X30" s="4444"/>
      <c r="Y30" s="4444"/>
      <c r="Z30" s="4444"/>
      <c r="AA30" s="4444"/>
      <c r="AB30" s="4444"/>
      <c r="AC30" s="4444"/>
      <c r="AD30" s="4444"/>
      <c r="AE30" s="4480"/>
      <c r="AF30" s="4443" t="str">
        <f>Tablas!R293</f>
        <v/>
      </c>
      <c r="AG30" s="4444"/>
      <c r="AH30" s="4444"/>
      <c r="AI30" s="4444"/>
      <c r="AJ30" s="4445"/>
      <c r="AK30" s="1295"/>
      <c r="AL30" s="587"/>
      <c r="AM30" s="369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c r="BW30" s="530"/>
      <c r="BX30" s="530"/>
      <c r="BY30" s="530"/>
      <c r="BZ30" s="530"/>
      <c r="CA30" s="530"/>
      <c r="CB30" s="530"/>
      <c r="CC30" s="530"/>
      <c r="CD30" s="530"/>
      <c r="CE30" s="530"/>
      <c r="CF30" s="530"/>
      <c r="CG30" s="530"/>
    </row>
    <row r="31" spans="1:85" ht="12" customHeight="1" thickBot="1">
      <c r="A31" s="9"/>
      <c r="B31" s="746"/>
      <c r="C31" s="4319" t="s">
        <v>1209</v>
      </c>
      <c r="D31" s="4325">
        <f>$E$25+IF(AND(FALSE,$E$25+$E$26&gt;200),(200+$E$26-$E$25)/2,$E$26)+IF(Mod_ATA&lt;0,TRUNC(Mod_ATA/2,0),0)</f>
        <v>40</v>
      </c>
      <c r="F31" s="4437" t="s">
        <v>1701</v>
      </c>
      <c r="G31" s="4438"/>
      <c r="H31" s="4439"/>
      <c r="I31" s="4304"/>
      <c r="J31" s="4305"/>
      <c r="K31" s="2398"/>
      <c r="L31" s="4322"/>
      <c r="M31" s="4306" t="s">
        <v>1287</v>
      </c>
      <c r="N31" s="4306"/>
      <c r="O31" s="4311"/>
      <c r="P31" s="4311"/>
      <c r="Q31" s="470">
        <f>IF(Liderazgo_final="-","-",Liderazgo_final+O31)</f>
        <v>-30</v>
      </c>
      <c r="R31" s="579"/>
      <c r="S31" s="947"/>
      <c r="T31" s="948"/>
      <c r="U31" s="966"/>
      <c r="V31" s="4481"/>
      <c r="W31" s="4447"/>
      <c r="X31" s="4447"/>
      <c r="Y31" s="4447"/>
      <c r="Z31" s="4447"/>
      <c r="AA31" s="4447"/>
      <c r="AB31" s="4447"/>
      <c r="AC31" s="4447"/>
      <c r="AD31" s="4447"/>
      <c r="AE31" s="4482"/>
      <c r="AF31" s="4446"/>
      <c r="AG31" s="4447"/>
      <c r="AH31" s="4447"/>
      <c r="AI31" s="4447"/>
      <c r="AJ31" s="4448"/>
      <c r="AK31" s="1295"/>
      <c r="AL31" s="587"/>
      <c r="AM31" s="2265" t="s">
        <v>6765</v>
      </c>
      <c r="AT31" s="2265" t="s">
        <v>9957</v>
      </c>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c r="BW31" s="530"/>
      <c r="BX31" s="530"/>
      <c r="BY31" s="530"/>
      <c r="BZ31" s="530"/>
      <c r="CA31" s="530"/>
      <c r="CB31" s="530"/>
      <c r="CC31" s="530"/>
      <c r="CD31" s="530"/>
      <c r="CE31" s="530"/>
      <c r="CF31" s="530"/>
      <c r="CG31" s="530"/>
    </row>
    <row r="32" spans="1:85" ht="12" customHeight="1" thickBot="1">
      <c r="A32" s="9"/>
      <c r="B32" s="746"/>
      <c r="C32" s="4320"/>
      <c r="D32" s="4326"/>
      <c r="F32" s="4441" t="s">
        <v>1283</v>
      </c>
      <c r="G32" s="4442"/>
      <c r="H32" s="4442"/>
      <c r="I32" s="4442"/>
      <c r="J32" s="1203">
        <f>VLOOKUP(G13+G11,Tabla_NumAcciones,2)</f>
        <v>1</v>
      </c>
      <c r="K32" s="2398"/>
      <c r="L32" s="4322"/>
      <c r="M32" s="4306" t="s">
        <v>1289</v>
      </c>
      <c r="N32" s="4306"/>
      <c r="O32" s="4311"/>
      <c r="P32" s="4311"/>
      <c r="Q32" s="470">
        <f>IF(Persuasión_final="-","-",Persuasión_final+O32)</f>
        <v>-30</v>
      </c>
      <c r="R32" s="579"/>
      <c r="S32" s="947"/>
      <c r="T32" s="948"/>
      <c r="U32" s="966"/>
      <c r="V32" s="4481"/>
      <c r="W32" s="4447"/>
      <c r="X32" s="4447"/>
      <c r="Y32" s="4447"/>
      <c r="Z32" s="4447"/>
      <c r="AA32" s="4447"/>
      <c r="AB32" s="4447"/>
      <c r="AC32" s="4447"/>
      <c r="AD32" s="4447"/>
      <c r="AE32" s="4482"/>
      <c r="AF32" s="4446"/>
      <c r="AG32" s="4447"/>
      <c r="AH32" s="4447"/>
      <c r="AI32" s="4447"/>
      <c r="AJ32" s="4448"/>
      <c r="AK32" s="1295"/>
      <c r="AL32" s="587"/>
      <c r="AM32" s="2265" t="s">
        <v>6167</v>
      </c>
      <c r="AN32" s="628" t="str">
        <f>IF(AND(Raza="Criatura",AN39,AB13&lt;30),"$AO$36",Lista_VentajasComun)</f>
        <v>Tablas!$AB$237:$AB$377</v>
      </c>
      <c r="AT32" s="2265" t="str">
        <f>IF(SUM(Tablas!$I$1204:$I$1215)&gt;0,"+20 RM afín y -20 RM opuesta: Des. elemental","")</f>
        <v/>
      </c>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c r="BW32" s="530"/>
      <c r="BX32" s="530"/>
      <c r="BY32" s="530"/>
      <c r="BZ32" s="530"/>
      <c r="CA32" s="530"/>
      <c r="CB32" s="530"/>
      <c r="CC32" s="530"/>
      <c r="CD32" s="530"/>
      <c r="CE32" s="530"/>
      <c r="CF32" s="530"/>
      <c r="CG32" s="530"/>
    </row>
    <row r="33" spans="1:85" ht="12" customHeight="1" thickBot="1">
      <c r="A33" s="9"/>
      <c r="B33" s="746"/>
      <c r="K33" s="2398"/>
      <c r="L33" s="4322"/>
      <c r="M33" s="4306" t="s">
        <v>685</v>
      </c>
      <c r="N33" s="4306"/>
      <c r="O33" s="4311"/>
      <c r="P33" s="4311"/>
      <c r="Q33" s="470">
        <f>IF(Comercio_final="-","-",Comercio_final+O33)</f>
        <v>-30</v>
      </c>
      <c r="R33" s="579"/>
      <c r="S33" s="947"/>
      <c r="T33" s="948"/>
      <c r="U33" s="966"/>
      <c r="V33" s="4481"/>
      <c r="W33" s="4447"/>
      <c r="X33" s="4447"/>
      <c r="Y33" s="4447"/>
      <c r="Z33" s="4447"/>
      <c r="AA33" s="4447"/>
      <c r="AB33" s="4447"/>
      <c r="AC33" s="4447"/>
      <c r="AD33" s="4447"/>
      <c r="AE33" s="4482"/>
      <c r="AF33" s="4446"/>
      <c r="AG33" s="4447"/>
      <c r="AH33" s="4447"/>
      <c r="AI33" s="4447"/>
      <c r="AJ33" s="4448"/>
      <c r="AK33" s="1295"/>
      <c r="AL33" s="587"/>
      <c r="AM33" s="2265" t="s">
        <v>6168</v>
      </c>
      <c r="AN33" s="628" t="str">
        <f>IF(AND(Raza="Criatura",AN39,AB13&lt;30),"$AO$36",IF(AND(Don,Psíquico),"Lista_VentajasDonYPsi",IF(Don,"Lista_VentajasDon",IF(Psíquico,"Lista_VentajasPsi","$AO$37"))))</f>
        <v>$AO$37</v>
      </c>
      <c r="AT33" s="2265" t="str">
        <f>IF(OR(TipoDeCriatura="Entre mundos, Elemental",TipoDeCriatura="Ánima, Elemental"),"+20 Resistencias afines y -20 opuestas: Elemental","")</f>
        <v/>
      </c>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c r="BW33" s="530"/>
      <c r="BX33" s="530"/>
      <c r="BY33" s="530"/>
      <c r="BZ33" s="530"/>
      <c r="CA33" s="530"/>
      <c r="CB33" s="530"/>
      <c r="CC33" s="530"/>
      <c r="CD33" s="530"/>
      <c r="CE33" s="530"/>
      <c r="CF33" s="530"/>
      <c r="CG33" s="530"/>
    </row>
    <row r="34" spans="1:85" ht="12" customHeight="1">
      <c r="A34" s="9"/>
      <c r="B34" s="746"/>
      <c r="C34" s="4315" t="s">
        <v>1288</v>
      </c>
      <c r="D34" s="4316"/>
      <c r="E34" s="4316"/>
      <c r="F34" s="4316"/>
      <c r="G34" s="4317"/>
      <c r="H34" s="4317"/>
      <c r="I34" s="4318"/>
      <c r="J34" s="1379">
        <f>IF(AND(Raza="Criatura",AN39),0,Personalización!P136)+J49-Tablas!C239+IF(Y23="PDs",0,IF($AB$13=0,0,VLOOKUP($AB$13,Tabla_Gnosis,3,FALSE)))</f>
        <v>3</v>
      </c>
      <c r="K34" s="2391"/>
      <c r="L34" s="4322"/>
      <c r="M34" s="4306" t="s">
        <v>686</v>
      </c>
      <c r="N34" s="4306"/>
      <c r="O34" s="4310"/>
      <c r="P34" s="4310"/>
      <c r="Q34" s="470">
        <f>IF(Callejeo_final="-","-",Callejeo_final+O34)</f>
        <v>-30</v>
      </c>
      <c r="R34" s="579"/>
      <c r="S34" s="947"/>
      <c r="T34" s="948"/>
      <c r="U34" s="966"/>
      <c r="V34" s="4481"/>
      <c r="W34" s="4447"/>
      <c r="X34" s="4447"/>
      <c r="Y34" s="4447"/>
      <c r="Z34" s="4447"/>
      <c r="AA34" s="4447"/>
      <c r="AB34" s="4447"/>
      <c r="AC34" s="4447"/>
      <c r="AD34" s="4447"/>
      <c r="AE34" s="4482"/>
      <c r="AF34" s="4449"/>
      <c r="AG34" s="4450"/>
      <c r="AH34" s="4450"/>
      <c r="AI34" s="4450"/>
      <c r="AJ34" s="4451"/>
      <c r="AK34" s="1295"/>
      <c r="AL34" s="587"/>
      <c r="AM34" s="2265" t="s">
        <v>6169</v>
      </c>
      <c r="AN34" s="3691" t="str">
        <f>IF(AND(Raza="Criatura",AN39,AB13&lt;30),"$AO$36","Lista_VentajasTrasfondo")</f>
        <v>Lista_VentajasTrasfondo</v>
      </c>
      <c r="AT34" s="2265" t="str">
        <f>IF(ISNUMBER(SEARCH("Afinidad Elemental",AF30)),"+20 Resistencias afines: Legado","")</f>
        <v/>
      </c>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c r="BW34" s="530"/>
      <c r="BX34" s="530"/>
      <c r="BY34" s="530"/>
      <c r="BZ34" s="530"/>
      <c r="CA34" s="530"/>
      <c r="CB34" s="530"/>
      <c r="CC34" s="530"/>
      <c r="CD34" s="530"/>
      <c r="CE34" s="530"/>
      <c r="CF34" s="530"/>
      <c r="CG34" s="530"/>
    </row>
    <row r="35" spans="1:85" ht="12" customHeight="1" thickBot="1">
      <c r="A35" s="9"/>
      <c r="B35" s="746"/>
      <c r="C35" s="4312"/>
      <c r="D35" s="4313"/>
      <c r="E35" s="4313"/>
      <c r="F35" s="4314"/>
      <c r="G35" s="4497"/>
      <c r="H35" s="4498"/>
      <c r="I35" s="4498"/>
      <c r="J35" s="4499"/>
      <c r="K35" s="2391"/>
      <c r="L35" s="4322"/>
      <c r="M35" s="4306" t="s">
        <v>687</v>
      </c>
      <c r="N35" s="4306"/>
      <c r="O35" s="4310"/>
      <c r="P35" s="4310"/>
      <c r="Q35" s="470">
        <f>IF(Etiqueta_final="-","-",Etiqueta_final+O35)</f>
        <v>-30</v>
      </c>
      <c r="R35" s="579"/>
      <c r="S35" s="947"/>
      <c r="T35" s="948"/>
      <c r="U35" s="966"/>
      <c r="V35" s="4483"/>
      <c r="W35" s="4484"/>
      <c r="X35" s="4484"/>
      <c r="Y35" s="4484"/>
      <c r="Z35" s="4484"/>
      <c r="AA35" s="4484"/>
      <c r="AB35" s="4484"/>
      <c r="AC35" s="4484"/>
      <c r="AD35" s="4484"/>
      <c r="AE35" s="4485"/>
      <c r="AF35" s="4486" t="str">
        <f>IF(ISNUMBER(SEARCH("Afinidad Elemental",AF30)),"+10 Daño base ataques elemento afín","")</f>
        <v/>
      </c>
      <c r="AG35" s="4486"/>
      <c r="AH35" s="4486"/>
      <c r="AI35" s="4486"/>
      <c r="AJ35" s="4486"/>
      <c r="AK35" s="1295"/>
      <c r="AL35" s="587"/>
      <c r="AM35" s="2265" t="s">
        <v>6170</v>
      </c>
      <c r="AN35" s="628" t="str">
        <f>IF(AND(Raza="Criatura",AN39,AB13&lt;30),"$AO$36","Lista_LegadosSangre")</f>
        <v>Lista_LegadosSangre</v>
      </c>
      <c r="AT35" s="2265" t="str">
        <f>IF(Tablas!$P$253&gt;0,"+10 RF ante críticos: Toa","")</f>
        <v/>
      </c>
      <c r="AV35" s="530"/>
      <c r="AW35" s="530"/>
      <c r="AX35" s="530"/>
      <c r="AY35" s="530"/>
      <c r="AZ35" s="530"/>
      <c r="BA35" s="530"/>
      <c r="BB35" s="530"/>
      <c r="BC35" s="530"/>
      <c r="BD35" s="530"/>
      <c r="BE35" s="530"/>
      <c r="BF35" s="530"/>
      <c r="BG35" s="530"/>
      <c r="BH35" s="530"/>
      <c r="BI35" s="530"/>
      <c r="BJ35" s="530"/>
      <c r="BK35" s="530"/>
      <c r="BL35" s="530"/>
      <c r="BM35" s="530"/>
      <c r="BN35" s="530"/>
      <c r="BO35" s="530"/>
      <c r="BP35" s="530"/>
      <c r="BQ35" s="530"/>
      <c r="BR35" s="530"/>
      <c r="BS35" s="530"/>
      <c r="BT35" s="530"/>
      <c r="BU35" s="530"/>
      <c r="BV35" s="530"/>
      <c r="BW35" s="530"/>
      <c r="BX35" s="530"/>
      <c r="BY35" s="530"/>
      <c r="BZ35" s="530"/>
      <c r="CA35" s="530"/>
      <c r="CB35" s="530"/>
      <c r="CC35" s="530"/>
      <c r="CD35" s="530"/>
      <c r="CE35" s="530"/>
      <c r="CF35" s="530"/>
      <c r="CG35" s="530"/>
    </row>
    <row r="36" spans="1:85" ht="12" customHeight="1" thickBot="1">
      <c r="A36" s="9"/>
      <c r="B36" s="746"/>
      <c r="C36" s="4307"/>
      <c r="D36" s="4308"/>
      <c r="E36" s="4308"/>
      <c r="F36" s="4309"/>
      <c r="G36" s="4467"/>
      <c r="H36" s="4468"/>
      <c r="I36" s="4468"/>
      <c r="J36" s="4469"/>
      <c r="K36" s="2391"/>
      <c r="L36" s="4321" t="s">
        <v>1290</v>
      </c>
      <c r="M36" s="4337" t="s">
        <v>1291</v>
      </c>
      <c r="N36" s="4337"/>
      <c r="O36" s="4335">
        <f>IF(Combate!$C$15=0,0,VLOOKUP(Combate!$C$15,Tabla_Yelmos,3,FALSE))</f>
        <v>0</v>
      </c>
      <c r="P36" s="4335"/>
      <c r="Q36" s="2407">
        <f>IF(Advertir_final="-","-",Advertir_final+O36)</f>
        <v>-30</v>
      </c>
      <c r="R36" s="579"/>
      <c r="S36" s="947"/>
      <c r="T36" s="948"/>
      <c r="U36" s="966"/>
      <c r="V36" s="4422" t="s">
        <v>6642</v>
      </c>
      <c r="W36" s="4423"/>
      <c r="X36" s="4423"/>
      <c r="Y36" s="4423"/>
      <c r="Z36" s="4423"/>
      <c r="AA36" s="4423"/>
      <c r="AB36" s="4423"/>
      <c r="AC36" s="4423"/>
      <c r="AD36" s="4423"/>
      <c r="AE36" s="4423"/>
      <c r="AF36" s="4423"/>
      <c r="AG36" s="4423"/>
      <c r="AH36" s="4423"/>
      <c r="AI36" s="4423"/>
      <c r="AJ36" s="4424"/>
      <c r="AK36" s="4001"/>
      <c r="AL36" s="587"/>
      <c r="AM36" s="2265" t="s">
        <v>6171</v>
      </c>
      <c r="AN36" s="628" t="b">
        <f>OR(ISNUMBER(SEARCH("Don",$C35&amp;$C36&amp;$C37&amp;$C38&amp;$C39&amp;$C40&amp;$C41&amp;$C42)),Tablas!H1378&gt;0)</f>
        <v>0</v>
      </c>
      <c r="AO36" s="628" t="s">
        <v>7878</v>
      </c>
      <c r="AT36" s="2265" t="str">
        <f>IF(AT32&lt;&gt;"",AT32&amp;", ","")&amp;IF(AT33&lt;&gt;"",AT33&amp;", ","")&amp;IF(AT34&lt;&gt;"",AT34&amp;", ","")&amp;IF(AT35&lt;&gt;"",AT35&amp;", ","")</f>
        <v/>
      </c>
      <c r="AV36" s="530"/>
      <c r="AW36" s="530"/>
      <c r="AX36" s="530"/>
      <c r="AY36" s="530"/>
      <c r="AZ36" s="530"/>
      <c r="BA36" s="530"/>
      <c r="BB36" s="530"/>
      <c r="BC36" s="530"/>
      <c r="BD36" s="530"/>
      <c r="BE36" s="530"/>
      <c r="BF36" s="530"/>
      <c r="BG36" s="530"/>
      <c r="BH36" s="530"/>
      <c r="BI36" s="530"/>
      <c r="BJ36" s="530"/>
      <c r="BK36" s="530"/>
      <c r="BL36" s="530"/>
      <c r="BM36" s="530"/>
      <c r="BN36" s="530"/>
      <c r="BO36" s="530"/>
      <c r="BP36" s="530"/>
      <c r="BQ36" s="530"/>
      <c r="BR36" s="530"/>
      <c r="BS36" s="530"/>
      <c r="BT36" s="530"/>
      <c r="BU36" s="530"/>
      <c r="BV36" s="530"/>
      <c r="BW36" s="530"/>
      <c r="BX36" s="530"/>
      <c r="BY36" s="530"/>
      <c r="BZ36" s="530"/>
      <c r="CA36" s="530"/>
      <c r="CB36" s="530"/>
      <c r="CC36" s="530"/>
      <c r="CD36" s="530"/>
      <c r="CE36" s="530"/>
      <c r="CF36" s="530"/>
      <c r="CG36" s="530"/>
    </row>
    <row r="37" spans="1:85" ht="12" customHeight="1">
      <c r="A37" s="9"/>
      <c r="B37" s="746"/>
      <c r="C37" s="4307"/>
      <c r="D37" s="4308"/>
      <c r="E37" s="4308"/>
      <c r="F37" s="4309"/>
      <c r="G37" s="4467"/>
      <c r="H37" s="4468"/>
      <c r="I37" s="4468"/>
      <c r="J37" s="4469"/>
      <c r="K37" s="2391"/>
      <c r="L37" s="4322"/>
      <c r="M37" s="4306" t="s">
        <v>1292</v>
      </c>
      <c r="N37" s="4306"/>
      <c r="O37" s="4311">
        <f>IF(Combate!$C$15=0,0,VLOOKUP(Combate!$C$15,Tabla_Yelmos,3,FALSE))</f>
        <v>0</v>
      </c>
      <c r="P37" s="4311"/>
      <c r="Q37" s="470">
        <f>IF(Buscar_final="-","-",Buscar_final+O37)</f>
        <v>-30</v>
      </c>
      <c r="R37" s="579"/>
      <c r="S37" s="947"/>
      <c r="T37" s="948"/>
      <c r="U37" s="966"/>
      <c r="V37" s="4633" t="str">
        <f>IF(Nephilim="","",VLOOKUP(Nephilim,Tabla_Razas,20,FALSE))</f>
        <v/>
      </c>
      <c r="W37" s="4634"/>
      <c r="X37" s="4634"/>
      <c r="Y37" s="4634"/>
      <c r="Z37" s="4634"/>
      <c r="AA37" s="4634"/>
      <c r="AB37" s="4634"/>
      <c r="AC37" s="4634"/>
      <c r="AD37" s="4634"/>
      <c r="AE37" s="4634"/>
      <c r="AF37" s="4634"/>
      <c r="AG37" s="4634"/>
      <c r="AH37" s="4634"/>
      <c r="AI37" s="4634"/>
      <c r="AJ37" s="4635"/>
      <c r="AK37" s="1295"/>
      <c r="AL37" s="587"/>
      <c r="AM37" s="2265" t="s">
        <v>6172</v>
      </c>
      <c r="AN37" s="628" t="b">
        <f>OR(ISNUMBER(SEARCH("psiquica",$C35&amp;$C36&amp;$C37&amp;$C38&amp;$C39&amp;$C40&amp;$C41&amp;$C42)),Tablas!H1379&gt;0,Tablas!H1380&gt;0)</f>
        <v>0</v>
      </c>
      <c r="AO37" s="628" t="s">
        <v>6764</v>
      </c>
      <c r="AT37" s="2265"/>
      <c r="AV37" s="530"/>
      <c r="AW37" s="530"/>
      <c r="AX37" s="530"/>
      <c r="AY37" s="530"/>
      <c r="AZ37" s="530"/>
      <c r="BA37" s="530"/>
      <c r="BB37" s="530"/>
      <c r="BC37" s="530"/>
      <c r="BD37" s="530"/>
      <c r="BE37" s="530"/>
      <c r="BF37" s="530"/>
      <c r="BG37" s="530"/>
      <c r="BH37" s="530"/>
      <c r="BI37" s="530"/>
      <c r="BJ37" s="530"/>
      <c r="BK37" s="530"/>
      <c r="BL37" s="530"/>
      <c r="BM37" s="530"/>
      <c r="BN37" s="530"/>
      <c r="BO37" s="530"/>
      <c r="BP37" s="530"/>
      <c r="BQ37" s="530"/>
      <c r="BR37" s="530"/>
      <c r="BS37" s="530"/>
      <c r="BT37" s="530"/>
      <c r="BU37" s="530"/>
      <c r="BV37" s="530"/>
      <c r="BW37" s="530"/>
      <c r="BX37" s="530"/>
      <c r="BY37" s="530"/>
      <c r="BZ37" s="530"/>
      <c r="CA37" s="530"/>
      <c r="CB37" s="530"/>
      <c r="CC37" s="530"/>
      <c r="CD37" s="530"/>
      <c r="CE37" s="530"/>
      <c r="CF37" s="530"/>
      <c r="CG37" s="530"/>
    </row>
    <row r="38" spans="1:85" ht="12" customHeight="1" thickBot="1">
      <c r="A38" s="9"/>
      <c r="B38" s="443"/>
      <c r="C38" s="4307"/>
      <c r="D38" s="4308"/>
      <c r="E38" s="4308"/>
      <c r="F38" s="4309"/>
      <c r="G38" s="4467"/>
      <c r="H38" s="4468"/>
      <c r="I38" s="4468"/>
      <c r="J38" s="4469"/>
      <c r="K38" s="2391"/>
      <c r="L38" s="4323"/>
      <c r="M38" s="4440" t="s">
        <v>1293</v>
      </c>
      <c r="N38" s="4440"/>
      <c r="O38" s="4324"/>
      <c r="P38" s="4324"/>
      <c r="Q38" s="1436">
        <f>IF(Rastrear_final="-","-",Rastrear_final+O38)</f>
        <v>-30</v>
      </c>
      <c r="R38" s="579"/>
      <c r="S38" s="947"/>
      <c r="T38" s="948"/>
      <c r="U38" s="966"/>
      <c r="V38" s="4636"/>
      <c r="W38" s="4637"/>
      <c r="X38" s="4637"/>
      <c r="Y38" s="4637"/>
      <c r="Z38" s="4637"/>
      <c r="AA38" s="4637"/>
      <c r="AB38" s="4637"/>
      <c r="AC38" s="4637"/>
      <c r="AD38" s="4637"/>
      <c r="AE38" s="4637"/>
      <c r="AF38" s="4637"/>
      <c r="AG38" s="4637"/>
      <c r="AH38" s="4637"/>
      <c r="AI38" s="4637"/>
      <c r="AJ38" s="4638"/>
      <c r="AK38" s="532"/>
      <c r="AL38" s="587"/>
      <c r="AM38" s="2265" t="s">
        <v>8347</v>
      </c>
      <c r="AN38" s="628" t="str">
        <f>IF(AND(Raza="Criatura",AN39,AB13&lt;30),"$AO$36",Lista_Desventajas)</f>
        <v>Tablas!$AB$508:$AB$564</v>
      </c>
      <c r="AV38" s="530"/>
      <c r="AW38" s="530"/>
      <c r="AX38" s="530"/>
      <c r="AY38" s="530"/>
      <c r="AZ38" s="530"/>
      <c r="BA38" s="530"/>
      <c r="BB38" s="530"/>
      <c r="BC38" s="530"/>
      <c r="BD38" s="530"/>
      <c r="BE38" s="530"/>
      <c r="BF38" s="530"/>
      <c r="BG38" s="530"/>
      <c r="BH38" s="530"/>
      <c r="BI38" s="530"/>
      <c r="BJ38" s="530"/>
      <c r="BK38" s="530"/>
      <c r="BL38" s="530"/>
      <c r="BM38" s="530"/>
      <c r="BN38" s="530"/>
      <c r="BO38" s="530"/>
      <c r="BP38" s="530"/>
      <c r="BQ38" s="530"/>
      <c r="BR38" s="530"/>
      <c r="BS38" s="530"/>
      <c r="BT38" s="530"/>
      <c r="BU38" s="530"/>
      <c r="BV38" s="530"/>
      <c r="BW38" s="530"/>
      <c r="BX38" s="530"/>
      <c r="BY38" s="530"/>
      <c r="BZ38" s="530"/>
      <c r="CA38" s="530"/>
      <c r="CB38" s="530"/>
      <c r="CC38" s="530"/>
      <c r="CD38" s="530"/>
      <c r="CE38" s="530"/>
      <c r="CF38" s="530"/>
      <c r="CG38" s="530"/>
    </row>
    <row r="39" spans="1:85" ht="12" customHeight="1" thickBot="1">
      <c r="A39" s="9"/>
      <c r="B39" s="443"/>
      <c r="C39" s="4307"/>
      <c r="D39" s="4308"/>
      <c r="E39" s="4308"/>
      <c r="F39" s="4309"/>
      <c r="G39" s="4467"/>
      <c r="H39" s="4468"/>
      <c r="I39" s="4468"/>
      <c r="J39" s="4469"/>
      <c r="K39" s="2391"/>
      <c r="L39" s="4623" t="s">
        <v>1294</v>
      </c>
      <c r="M39" s="4306" t="s">
        <v>1295</v>
      </c>
      <c r="N39" s="4306"/>
      <c r="O39" s="4311"/>
      <c r="P39" s="4311"/>
      <c r="Q39" s="470">
        <f>IF(Animales_final="-","-",Animales_final+O39)</f>
        <v>-30</v>
      </c>
      <c r="R39" s="579"/>
      <c r="S39" s="947"/>
      <c r="T39" s="948"/>
      <c r="U39" s="966"/>
      <c r="V39" s="2390">
        <f>IF(Raza=0,0,VLOOKUP(Raza,Tabla_Razas,22,FALSE))</f>
        <v>0</v>
      </c>
      <c r="W39" s="2390">
        <f>IF(Raza=0,0,VLOOKUP(Raza,Tabla_Razas,25,FALSE))</f>
        <v>0</v>
      </c>
      <c r="X39" s="2391">
        <f>IF(Raza=0,0,VLOOKUP(Raza,Tabla_Razas,28,FALSE))</f>
        <v>0</v>
      </c>
      <c r="Y39" s="2391">
        <f>IF(Raza=0,0,VLOOKUP(Raza,Tabla_Razas,31,FALSE))</f>
        <v>0</v>
      </c>
      <c r="Z39" s="2391">
        <f>IF(Raza=0,0,VLOOKUP(Raza,Tabla_Razas,34,FALSE))</f>
        <v>0</v>
      </c>
      <c r="AA39" s="2391">
        <f>IF(Raza=0,0,VLOOKUP(Raza,Tabla_Razas,37,FALSE))</f>
        <v>0</v>
      </c>
      <c r="AB39" s="2391">
        <f>IF(Raza=0,0,VLOOKUP(Raza,Tabla_Razas,40,FALSE))</f>
        <v>0</v>
      </c>
      <c r="AC39" s="2391">
        <f>IF(Raza=0,0,VLOOKUP(Raza,Tabla_Razas,43,FALSE))</f>
        <v>0</v>
      </c>
      <c r="AD39" s="2391">
        <f>IF(Raza=0,0,VLOOKUP(Raza,Tabla_Razas,46,FALSE))</f>
        <v>0</v>
      </c>
      <c r="AE39" s="2391">
        <f>IF(Raza=0,0,VLOOKUP(Raza,Tabla_Razas,49,FALSE))</f>
        <v>0</v>
      </c>
      <c r="AF39" s="2391">
        <f>IF(Raza=0,0,VLOOKUP(Raza,Tabla_Razas,52,FALSE))</f>
        <v>0</v>
      </c>
      <c r="AG39" s="2391">
        <f>IF(Raza=0,0,VLOOKUP(Raza,Tabla_Razas,55,FALSE))</f>
        <v>0</v>
      </c>
      <c r="AH39" s="530"/>
      <c r="AI39" s="530"/>
      <c r="AJ39" s="708"/>
      <c r="AK39" s="1294"/>
      <c r="AL39" s="587"/>
      <c r="AM39" s="2265" t="s">
        <v>8866</v>
      </c>
      <c r="AN39" s="628" t="b">
        <f>Personalización!F9&lt;&gt;"Sí (No oficial)"</f>
        <v>1</v>
      </c>
      <c r="AV39" s="530"/>
      <c r="AW39" s="530"/>
      <c r="AX39" s="530"/>
      <c r="AY39" s="530"/>
      <c r="AZ39" s="530"/>
      <c r="BA39" s="530"/>
      <c r="BB39" s="530"/>
      <c r="BC39" s="530"/>
      <c r="BD39" s="530"/>
      <c r="BE39" s="530"/>
      <c r="BF39" s="530"/>
      <c r="BG39" s="530"/>
      <c r="BH39" s="530"/>
      <c r="BI39" s="530"/>
      <c r="BJ39" s="530"/>
      <c r="BK39" s="530"/>
      <c r="BL39" s="530"/>
      <c r="BM39" s="530"/>
      <c r="BN39" s="530"/>
      <c r="BO39" s="530"/>
      <c r="BP39" s="530"/>
      <c r="BQ39" s="530"/>
      <c r="BR39" s="530"/>
      <c r="BS39" s="530"/>
      <c r="BT39" s="530"/>
      <c r="BU39" s="530"/>
      <c r="BV39" s="530"/>
      <c r="BW39" s="530"/>
      <c r="BX39" s="530"/>
      <c r="BY39" s="530"/>
      <c r="BZ39" s="530"/>
      <c r="CA39" s="530"/>
      <c r="CB39" s="530"/>
      <c r="CC39" s="530"/>
      <c r="CD39" s="530"/>
      <c r="CE39" s="530"/>
      <c r="CF39" s="530"/>
      <c r="CG39" s="530"/>
    </row>
    <row r="40" spans="1:85" ht="12" customHeight="1" thickBot="1">
      <c r="A40" s="9"/>
      <c r="B40" s="443"/>
      <c r="C40" s="4549"/>
      <c r="D40" s="4550"/>
      <c r="E40" s="4550"/>
      <c r="F40" s="4551"/>
      <c r="G40" s="4626"/>
      <c r="H40" s="4627"/>
      <c r="I40" s="4627"/>
      <c r="J40" s="4628"/>
      <c r="K40" s="2391"/>
      <c r="L40" s="4624"/>
      <c r="M40" s="4306" t="s">
        <v>1296</v>
      </c>
      <c r="N40" s="4306"/>
      <c r="O40" s="4311"/>
      <c r="P40" s="4311"/>
      <c r="Q40" s="470" t="str">
        <f>IF(Ciencia_final="-","-",Ciencia_final+O40)</f>
        <v>-</v>
      </c>
      <c r="R40" s="579"/>
      <c r="S40" s="947"/>
      <c r="T40" s="948"/>
      <c r="U40" s="966"/>
      <c r="V40" s="4368" t="s">
        <v>1298</v>
      </c>
      <c r="W40" s="4369"/>
      <c r="X40" s="4369"/>
      <c r="Y40" s="4369"/>
      <c r="Z40" s="4369"/>
      <c r="AA40" s="4369"/>
      <c r="AB40" s="4365"/>
      <c r="AC40" s="4365"/>
      <c r="AD40" s="4365"/>
      <c r="AE40" s="4365"/>
      <c r="AF40" s="4369"/>
      <c r="AG40" s="4370"/>
      <c r="AH40" s="4639" t="s">
        <v>1232</v>
      </c>
      <c r="AI40" s="4640"/>
      <c r="AJ40" s="2091">
        <f>IF(ISNUMBER(SUM(AJ42:AJ69)+AJ70),SUM(AJ42:AJ69)+AJ70,0)</f>
        <v>0</v>
      </c>
      <c r="AK40" s="3985"/>
      <c r="AL40" s="587"/>
      <c r="AP40" s="3692"/>
      <c r="AV40" s="530"/>
      <c r="AW40" s="530"/>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0"/>
      <c r="CB40" s="530"/>
      <c r="CC40" s="530"/>
      <c r="CD40" s="530"/>
      <c r="CE40" s="530"/>
      <c r="CF40" s="530"/>
      <c r="CG40" s="530"/>
    </row>
    <row r="41" spans="1:85" ht="12" customHeight="1">
      <c r="A41" s="9"/>
      <c r="B41" s="443"/>
      <c r="C41" s="4307"/>
      <c r="D41" s="4308"/>
      <c r="E41" s="4308"/>
      <c r="F41" s="4309"/>
      <c r="G41" s="4464"/>
      <c r="H41" s="4465"/>
      <c r="I41" s="4465"/>
      <c r="J41" s="4466"/>
      <c r="K41" s="2391"/>
      <c r="L41" s="4624"/>
      <c r="M41" s="4306" t="s">
        <v>2405</v>
      </c>
      <c r="N41" s="4306"/>
      <c r="O41" s="4311"/>
      <c r="P41" s="4311"/>
      <c r="Q41" s="470">
        <f>IF(Ley_final="-","-",Ley_final+O41)</f>
        <v>-30</v>
      </c>
      <c r="R41" s="579"/>
      <c r="S41" s="947"/>
      <c r="T41" s="948"/>
      <c r="U41" s="966"/>
      <c r="V41" s="4644" t="s">
        <v>7870</v>
      </c>
      <c r="W41" s="4645"/>
      <c r="X41" s="4645"/>
      <c r="Y41" s="4645"/>
      <c r="Z41" s="4645"/>
      <c r="AA41" s="4646"/>
      <c r="AB41" s="4598" t="s">
        <v>8835</v>
      </c>
      <c r="AC41" s="4619"/>
      <c r="AD41" s="4619"/>
      <c r="AE41" s="4620"/>
      <c r="AF41" s="4621" t="s">
        <v>6898</v>
      </c>
      <c r="AG41" s="4621"/>
      <c r="AH41" s="4622"/>
      <c r="AI41" s="1439" t="s">
        <v>1236</v>
      </c>
      <c r="AJ41" s="2392" t="s">
        <v>1237</v>
      </c>
      <c r="AK41" s="3985"/>
      <c r="AL41" s="587"/>
      <c r="AM41" s="2265" t="s">
        <v>9821</v>
      </c>
      <c r="AN41" s="628" t="s">
        <v>9828</v>
      </c>
      <c r="AO41" s="2265" t="s">
        <v>7869</v>
      </c>
      <c r="AP41" s="628" t="s">
        <v>9829</v>
      </c>
      <c r="AS41" s="530" t="str">
        <f>AK44</f>
        <v/>
      </c>
      <c r="AT41" s="2265" t="s">
        <v>1231</v>
      </c>
      <c r="AV41" s="530"/>
      <c r="AW41" s="530"/>
      <c r="AX41" s="530"/>
      <c r="AY41" s="530"/>
      <c r="AZ41" s="530"/>
      <c r="BA41" s="530"/>
      <c r="BB41" s="530"/>
      <c r="BC41" s="530"/>
      <c r="BD41" s="530"/>
      <c r="BE41" s="530"/>
      <c r="BF41" s="530"/>
      <c r="BG41" s="530"/>
      <c r="BH41" s="530"/>
      <c r="BI41" s="530"/>
      <c r="BJ41" s="530"/>
      <c r="BK41" s="530"/>
      <c r="BL41" s="530"/>
      <c r="BM41" s="530"/>
      <c r="BN41" s="530"/>
      <c r="BO41" s="530"/>
      <c r="BP41" s="530"/>
      <c r="BQ41" s="530"/>
      <c r="BR41" s="530"/>
      <c r="BS41" s="530"/>
      <c r="BT41" s="530"/>
      <c r="BU41" s="530"/>
      <c r="BV41" s="530"/>
      <c r="BW41" s="530"/>
      <c r="BX41" s="530"/>
      <c r="BY41" s="530"/>
      <c r="BZ41" s="530"/>
      <c r="CA41" s="530"/>
      <c r="CB41" s="530"/>
      <c r="CC41" s="530"/>
      <c r="CD41" s="530"/>
      <c r="CE41" s="530"/>
      <c r="CF41" s="530"/>
      <c r="CG41" s="530"/>
    </row>
    <row r="42" spans="1:85" ht="12" customHeight="1">
      <c r="A42" s="9"/>
      <c r="B42" s="443"/>
      <c r="C42" s="4540"/>
      <c r="D42" s="4541"/>
      <c r="E42" s="4541"/>
      <c r="F42" s="4542"/>
      <c r="G42" s="4461"/>
      <c r="H42" s="4462"/>
      <c r="I42" s="4462"/>
      <c r="J42" s="4463"/>
      <c r="K42" s="2391"/>
      <c r="L42" s="4624"/>
      <c r="M42" s="4306" t="s">
        <v>1297</v>
      </c>
      <c r="N42" s="4306"/>
      <c r="O42" s="4311"/>
      <c r="P42" s="4311"/>
      <c r="Q42" s="470">
        <f>IF(Herbolaria_final="-","-",Herbolaria_final+O42)</f>
        <v>-30</v>
      </c>
      <c r="R42" s="579"/>
      <c r="S42" s="947">
        <f>IF(V42="",MAX($S$41:S41)+1,0)</f>
        <v>1</v>
      </c>
      <c r="T42" s="948">
        <f>IF(V42="",0,MAX($T$41:T41)+1)</f>
        <v>0</v>
      </c>
      <c r="U42" s="967">
        <f>IF(V42="",Tablas!A1,V42&amp;1)</f>
        <v>1</v>
      </c>
      <c r="V42" s="4641"/>
      <c r="W42" s="4642"/>
      <c r="X42" s="4642"/>
      <c r="Y42" s="4642"/>
      <c r="Z42" s="4642"/>
      <c r="AA42" s="4643"/>
      <c r="AB42" s="4616"/>
      <c r="AC42" s="4617"/>
      <c r="AD42" s="4617"/>
      <c r="AE42" s="4618"/>
      <c r="AF42" s="4629"/>
      <c r="AG42" s="4313"/>
      <c r="AH42" s="4314"/>
      <c r="AI42" s="1419" t="str">
        <f t="shared" ref="AI42:AI69" si="6">IF(AB42="","",IFERROR(VLOOKUP(AO42,Tabla_PodCriatura,2,FALSE),0))</f>
        <v/>
      </c>
      <c r="AJ42" s="1304"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3985" t="str">
        <f>SUBSTITUTE(IF(AB42="","",VLOOKUP(AB42,Tabla_Listas_PodHabMonstruo,3,FALSE)),".","")</f>
        <v/>
      </c>
      <c r="AL42" s="587"/>
      <c r="AM42" s="2265" t="str">
        <f>IF(AB42="","",AB42)</f>
        <v/>
      </c>
      <c r="AN42" s="628" t="str">
        <f>V42&amp;AM42</f>
        <v/>
      </c>
      <c r="AO42" s="2265" t="str">
        <f t="shared" ref="AO42:AO69" si="8">AB42&amp;IF(AF42="",""," "&amp;AF42)</f>
        <v/>
      </c>
      <c r="AP42" s="530">
        <f>COUNTIF($AN$41:AN41,V42&amp;AB42&amp;"*")</f>
        <v>1</v>
      </c>
      <c r="AQ42" s="2265" t="s">
        <v>6166</v>
      </c>
      <c r="AS42" s="2265" t="s">
        <v>6166</v>
      </c>
      <c r="AT42" s="2265" t="str">
        <f>IF(AD12="","",AD12&amp;IF(AG12="",""," ("&amp;AG12&amp;")"))</f>
        <v/>
      </c>
      <c r="AV42" s="530"/>
      <c r="AW42" s="530"/>
      <c r="AX42" s="530"/>
      <c r="AY42" s="530"/>
      <c r="AZ42" s="530"/>
      <c r="BA42" s="530"/>
      <c r="BB42" s="530"/>
      <c r="BC42" s="530"/>
      <c r="BD42" s="530"/>
      <c r="BE42" s="530"/>
      <c r="BF42" s="530"/>
      <c r="BG42" s="530"/>
      <c r="BH42" s="530"/>
      <c r="BI42" s="530"/>
      <c r="BJ42" s="530"/>
      <c r="BK42" s="530"/>
      <c r="BL42" s="530"/>
      <c r="BM42" s="530"/>
      <c r="BN42" s="530"/>
      <c r="BO42" s="530"/>
      <c r="BP42" s="530"/>
      <c r="BQ42" s="530"/>
      <c r="BR42" s="530"/>
      <c r="BS42" s="530"/>
      <c r="BT42" s="530"/>
      <c r="BU42" s="530"/>
      <c r="BV42" s="530"/>
      <c r="BW42" s="530"/>
      <c r="BX42" s="530"/>
      <c r="BY42" s="530"/>
      <c r="BZ42" s="530"/>
      <c r="CA42" s="530"/>
      <c r="CB42" s="530"/>
      <c r="CC42" s="530"/>
      <c r="CD42" s="530"/>
      <c r="CE42" s="530"/>
      <c r="CF42" s="530"/>
      <c r="CG42" s="530"/>
    </row>
    <row r="43" spans="1:85" ht="12" customHeight="1">
      <c r="A43" s="9"/>
      <c r="B43" s="443"/>
      <c r="C43" s="4543"/>
      <c r="D43" s="4544"/>
      <c r="E43" s="4544"/>
      <c r="F43" s="4545"/>
      <c r="G43" s="4461"/>
      <c r="H43" s="4462"/>
      <c r="I43" s="4462"/>
      <c r="J43" s="4463"/>
      <c r="K43" s="2391"/>
      <c r="L43" s="4624"/>
      <c r="M43" s="4306" t="s">
        <v>1299</v>
      </c>
      <c r="N43" s="4306"/>
      <c r="O43" s="4311"/>
      <c r="P43" s="4311"/>
      <c r="Q43" s="470" t="str">
        <f>IF(Historia_final="-","-",Historia_final+O43)</f>
        <v>-</v>
      </c>
      <c r="R43" s="579"/>
      <c r="S43" s="947">
        <f>IF(V43="",MAX($S$41:S42)+1,0)</f>
        <v>2</v>
      </c>
      <c r="T43" s="948">
        <f>IF(V43="",0,MAX($T$41:T42)+1)</f>
        <v>0</v>
      </c>
      <c r="U43" s="967">
        <f>IF(V43="",Tablas!A2,IF(COUNTIF(V$42:V42,V43)&gt;0,V43&amp;COUNTIF(V$42:V42,V43)+1,V43&amp;1))</f>
        <v>2</v>
      </c>
      <c r="V43" s="4473"/>
      <c r="W43" s="4474"/>
      <c r="X43" s="4474"/>
      <c r="Y43" s="4474"/>
      <c r="Z43" s="4474"/>
      <c r="AA43" s="4475"/>
      <c r="AB43" s="4616"/>
      <c r="AC43" s="4617"/>
      <c r="AD43" s="4617"/>
      <c r="AE43" s="4618"/>
      <c r="AF43" s="4630"/>
      <c r="AG43" s="4631"/>
      <c r="AH43" s="4632"/>
      <c r="AI43" s="1032" t="str">
        <f t="shared" si="6"/>
        <v/>
      </c>
      <c r="AJ43" s="1304" t="str">
        <f t="shared" si="7"/>
        <v/>
      </c>
      <c r="AK43" s="3985" t="str">
        <f t="shared" ref="AK43:AK69" si="9">SUBSTITUTE(IF(AB43="","",VLOOKUP(AB43,Tabla_Listas_PodHabMonstruo,3,FALSE)),".","")</f>
        <v/>
      </c>
      <c r="AL43" s="587"/>
      <c r="AM43" s="2265" t="str">
        <f t="shared" ref="AM43:AM69" si="10">IF(AB43="","",AB43)</f>
        <v/>
      </c>
      <c r="AN43" s="628" t="str">
        <f t="shared" ref="AN43:AN69" si="11">V43&amp;AM43</f>
        <v/>
      </c>
      <c r="AO43" s="2265" t="str">
        <f>AB43&amp;IF(AF43="",""," "&amp;AF43)</f>
        <v/>
      </c>
      <c r="AP43" s="530">
        <f>COUNTIF($AN$41:AN42,V43&amp;AB43&amp;"*")</f>
        <v>2</v>
      </c>
      <c r="AQ43" s="3637" t="str">
        <f>IF(A48="","",VLOOKUP(A48,Tablas!$E$503:$J$569,6,FALSE))</f>
        <v/>
      </c>
      <c r="AS43" s="3637" t="str">
        <f>IF(C51="","",VLOOKUP(C51,Tablas!$E$503:$J$569,6,FALSE))</f>
        <v/>
      </c>
      <c r="AT43" s="2265" t="str">
        <f t="shared" ref="AT43:AT53" si="12">IF(AD13="","",AD13&amp;IF(AG13="",""," ("&amp;AG13&amp;")"))</f>
        <v/>
      </c>
      <c r="AV43" s="530"/>
      <c r="AW43" s="530"/>
      <c r="AX43" s="530"/>
      <c r="AY43" s="530"/>
      <c r="AZ43" s="530"/>
      <c r="BA43" s="530"/>
      <c r="BB43" s="530"/>
      <c r="BC43" s="530"/>
      <c r="BD43" s="530"/>
      <c r="BE43" s="530"/>
      <c r="BF43" s="530"/>
      <c r="BG43" s="530"/>
      <c r="BH43" s="530"/>
      <c r="BI43" s="530"/>
      <c r="BJ43" s="530"/>
      <c r="BK43" s="530"/>
      <c r="BL43" s="530"/>
      <c r="BM43" s="530"/>
      <c r="BN43" s="530"/>
      <c r="BO43" s="530"/>
      <c r="BP43" s="530"/>
      <c r="BQ43" s="530"/>
      <c r="BR43" s="530"/>
      <c r="BS43" s="530"/>
      <c r="BT43" s="530"/>
      <c r="BU43" s="530"/>
      <c r="BV43" s="530"/>
      <c r="BW43" s="530"/>
      <c r="BX43" s="530"/>
      <c r="BY43" s="530"/>
      <c r="BZ43" s="530"/>
      <c r="CA43" s="530"/>
      <c r="CB43" s="530"/>
      <c r="CC43" s="530"/>
      <c r="CD43" s="530"/>
      <c r="CE43" s="530"/>
      <c r="CF43" s="530"/>
      <c r="CG43" s="530"/>
    </row>
    <row r="44" spans="1:85" ht="12" customHeight="1">
      <c r="A44" s="9"/>
      <c r="B44" s="443"/>
      <c r="C44" s="4307"/>
      <c r="D44" s="4308"/>
      <c r="E44" s="4308"/>
      <c r="F44" s="4532"/>
      <c r="G44" s="4461"/>
      <c r="H44" s="4462"/>
      <c r="I44" s="4462"/>
      <c r="J44" s="4463"/>
      <c r="K44" s="2409"/>
      <c r="L44" s="4624"/>
      <c r="M44" s="4306" t="s">
        <v>688</v>
      </c>
      <c r="N44" s="4306"/>
      <c r="O44" s="4311"/>
      <c r="P44" s="4311"/>
      <c r="Q44" s="470">
        <f>IF(Tactica_final="-","-",Tactica_final+O44)</f>
        <v>-30</v>
      </c>
      <c r="R44" s="579"/>
      <c r="S44" s="947">
        <f>IF(V44="",MAX($S$41:S43)+1,0)</f>
        <v>3</v>
      </c>
      <c r="T44" s="948">
        <f>IF(V44="",0,MAX($T$41:T43)+1)</f>
        <v>0</v>
      </c>
      <c r="U44" s="967">
        <f>IF(V44="",Tablas!A3,IF(COUNTIF(V$42:V43,V44)&gt;0,V44&amp;COUNTIF(V$42:V43,V44)+1,V44&amp;1))</f>
        <v>3</v>
      </c>
      <c r="V44" s="4473"/>
      <c r="W44" s="4474"/>
      <c r="X44" s="4474"/>
      <c r="Y44" s="4474"/>
      <c r="Z44" s="4474"/>
      <c r="AA44" s="4475"/>
      <c r="AB44" s="4470"/>
      <c r="AC44" s="4471"/>
      <c r="AD44" s="4471"/>
      <c r="AE44" s="4472"/>
      <c r="AF44" s="4488"/>
      <c r="AG44" s="4489"/>
      <c r="AH44" s="4490"/>
      <c r="AI44" s="1032" t="str">
        <f t="shared" si="6"/>
        <v/>
      </c>
      <c r="AJ44" s="1304" t="str">
        <f t="shared" si="7"/>
        <v/>
      </c>
      <c r="AK44" s="3985" t="str">
        <f t="shared" si="9"/>
        <v/>
      </c>
      <c r="AL44" s="587"/>
      <c r="AM44" s="2265" t="str">
        <f t="shared" si="10"/>
        <v/>
      </c>
      <c r="AN44" s="628" t="str">
        <f t="shared" si="11"/>
        <v/>
      </c>
      <c r="AO44" s="2265" t="str">
        <f>AB44&amp;IF(AF44="",""," "&amp;AF44)</f>
        <v/>
      </c>
      <c r="AP44" s="530">
        <f>COUNTIF($AN$41:AN43,V44&amp;AB44&amp;"*")</f>
        <v>3</v>
      </c>
      <c r="AQ44" s="3637" t="str">
        <f>IF(A49="","",VLOOKUP(A49,Tablas!$E$503:$J$569,6,FALSE))</f>
        <v/>
      </c>
      <c r="AS44" s="3637" t="str">
        <f>IF(C52="","",VLOOKUP(C52,Tablas!$E$503:$J$569,6,FALSE))</f>
        <v/>
      </c>
      <c r="AT44" s="2265" t="str">
        <f t="shared" si="12"/>
        <v/>
      </c>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c r="BY44" s="530"/>
      <c r="BZ44" s="530"/>
      <c r="CA44" s="530"/>
      <c r="CB44" s="530"/>
      <c r="CC44" s="530"/>
      <c r="CD44" s="530"/>
      <c r="CE44" s="530"/>
      <c r="CF44" s="530"/>
      <c r="CG44" s="530"/>
    </row>
    <row r="45" spans="1:85" ht="12" customHeight="1">
      <c r="A45" s="9"/>
      <c r="B45" s="746"/>
      <c r="C45" s="4307"/>
      <c r="D45" s="4308"/>
      <c r="E45" s="4308"/>
      <c r="F45" s="4532"/>
      <c r="G45" s="4461"/>
      <c r="H45" s="4462"/>
      <c r="I45" s="4462"/>
      <c r="J45" s="4463"/>
      <c r="K45" s="2409"/>
      <c r="L45" s="4624"/>
      <c r="M45" s="4306" t="s">
        <v>1302</v>
      </c>
      <c r="N45" s="4306"/>
      <c r="O45" s="4311"/>
      <c r="P45" s="4311"/>
      <c r="Q45" s="470" t="str">
        <f>IF(Medicina_final="-","-",Medicina_final+O45)</f>
        <v>-</v>
      </c>
      <c r="R45" s="579"/>
      <c r="S45" s="947">
        <f>IF(V45="",MAX($S$41:S44)+1,0)</f>
        <v>4</v>
      </c>
      <c r="T45" s="948">
        <f>IF(V45="",0,MAX($T$41:T44)+1)</f>
        <v>0</v>
      </c>
      <c r="U45" s="967">
        <f>IF(V45="",Tablas!A4,IF(COUNTIF(V$42:V44,V45)&gt;0,V45&amp;COUNTIF(V$42:V44,V45)+1,V45&amp;1))</f>
        <v>4</v>
      </c>
      <c r="V45" s="4473"/>
      <c r="W45" s="4474"/>
      <c r="X45" s="4474"/>
      <c r="Y45" s="4474"/>
      <c r="Z45" s="4474"/>
      <c r="AA45" s="4475"/>
      <c r="AB45" s="4470"/>
      <c r="AC45" s="4471"/>
      <c r="AD45" s="4471"/>
      <c r="AE45" s="4472"/>
      <c r="AF45" s="4488"/>
      <c r="AG45" s="4489"/>
      <c r="AH45" s="4490"/>
      <c r="AI45" s="1032" t="str">
        <f t="shared" si="6"/>
        <v/>
      </c>
      <c r="AJ45" s="1304" t="str">
        <f t="shared" si="7"/>
        <v/>
      </c>
      <c r="AK45" s="3985" t="str">
        <f t="shared" si="9"/>
        <v/>
      </c>
      <c r="AL45" s="587"/>
      <c r="AM45" s="2265" t="str">
        <f t="shared" si="10"/>
        <v/>
      </c>
      <c r="AN45" s="628" t="str">
        <f t="shared" si="11"/>
        <v/>
      </c>
      <c r="AO45" s="2265" t="str">
        <f t="shared" si="8"/>
        <v/>
      </c>
      <c r="AP45" s="530">
        <f>COUNTIF($AN$41:AN44,V45&amp;AB45&amp;"*")</f>
        <v>4</v>
      </c>
      <c r="AS45" s="3637" t="str">
        <f>IF(C53="","",VLOOKUP(C53,Tablas!$E$503:$J$569,6,FALSE))</f>
        <v/>
      </c>
      <c r="AT45" s="2265" t="str">
        <f t="shared" si="12"/>
        <v/>
      </c>
      <c r="AV45" s="530"/>
      <c r="AW45" s="530"/>
      <c r="AX45" s="530"/>
      <c r="AY45" s="530"/>
      <c r="AZ45" s="530"/>
      <c r="BA45" s="530"/>
      <c r="BB45" s="530"/>
      <c r="BC45" s="530"/>
      <c r="BD45" s="530"/>
      <c r="BE45" s="530"/>
      <c r="BF45" s="530"/>
      <c r="BG45" s="530"/>
      <c r="BH45" s="530"/>
      <c r="BI45" s="530"/>
      <c r="BJ45" s="530"/>
      <c r="BK45" s="530"/>
      <c r="BL45" s="530"/>
      <c r="BM45" s="530"/>
      <c r="BN45" s="530"/>
      <c r="BO45" s="530"/>
      <c r="BP45" s="530"/>
      <c r="BQ45" s="530"/>
      <c r="BR45" s="530"/>
      <c r="BS45" s="530"/>
      <c r="BT45" s="530"/>
      <c r="BU45" s="530"/>
      <c r="BV45" s="530"/>
      <c r="BW45" s="530"/>
      <c r="BX45" s="530"/>
      <c r="BY45" s="530"/>
      <c r="BZ45" s="530"/>
      <c r="CA45" s="530"/>
      <c r="CB45" s="530"/>
      <c r="CC45" s="530"/>
      <c r="CD45" s="530"/>
      <c r="CE45" s="530"/>
      <c r="CF45" s="530"/>
      <c r="CG45" s="530"/>
    </row>
    <row r="46" spans="1:85" ht="12" customHeight="1">
      <c r="A46" s="9"/>
      <c r="B46" s="746"/>
      <c r="C46" s="4307"/>
      <c r="D46" s="4308"/>
      <c r="E46" s="4308"/>
      <c r="F46" s="4532"/>
      <c r="G46" s="4461"/>
      <c r="H46" s="4462"/>
      <c r="I46" s="4462"/>
      <c r="J46" s="4463"/>
      <c r="K46" s="2409"/>
      <c r="L46" s="4624"/>
      <c r="M46" s="4306" t="s">
        <v>1303</v>
      </c>
      <c r="N46" s="4306"/>
      <c r="O46" s="4311"/>
      <c r="P46" s="4311"/>
      <c r="Q46" s="470">
        <f>IF(Memorizar_final="-","-",Memorizar_final+O46)</f>
        <v>-30</v>
      </c>
      <c r="R46" s="579"/>
      <c r="S46" s="947">
        <f>IF(V46="",MAX($S$41:S45)+1,0)</f>
        <v>5</v>
      </c>
      <c r="T46" s="948">
        <f>IF(V46="",0,MAX($T$41:T45)+1)</f>
        <v>0</v>
      </c>
      <c r="U46" s="967">
        <f>IF(V46="",Tablas!A5,IF(COUNTIF(V$42:V45,V46)&gt;0,V46&amp;COUNTIF(V$42:V45,V46)+1,V46&amp;1))</f>
        <v>5</v>
      </c>
      <c r="V46" s="4473"/>
      <c r="W46" s="4474"/>
      <c r="X46" s="4474"/>
      <c r="Y46" s="4474"/>
      <c r="Z46" s="4474"/>
      <c r="AA46" s="4475"/>
      <c r="AB46" s="4470"/>
      <c r="AC46" s="4471"/>
      <c r="AD46" s="4471"/>
      <c r="AE46" s="4472"/>
      <c r="AF46" s="4488"/>
      <c r="AG46" s="4489"/>
      <c r="AH46" s="4490"/>
      <c r="AI46" s="1032" t="str">
        <f t="shared" si="6"/>
        <v/>
      </c>
      <c r="AJ46" s="1304" t="str">
        <f t="shared" si="7"/>
        <v/>
      </c>
      <c r="AK46" s="3985" t="str">
        <f t="shared" si="9"/>
        <v/>
      </c>
      <c r="AL46" s="587"/>
      <c r="AM46" s="2265" t="str">
        <f t="shared" si="10"/>
        <v/>
      </c>
      <c r="AN46" s="628" t="str">
        <f t="shared" si="11"/>
        <v/>
      </c>
      <c r="AO46" s="2265" t="str">
        <f t="shared" si="8"/>
        <v/>
      </c>
      <c r="AP46" s="530">
        <f>COUNTIF($AN$41:AN45,V46&amp;AB46&amp;"*")</f>
        <v>5</v>
      </c>
      <c r="AT46" s="2265" t="str">
        <f t="shared" si="12"/>
        <v/>
      </c>
      <c r="AV46" s="530"/>
      <c r="AW46" s="530"/>
      <c r="AX46" s="530"/>
      <c r="AY46" s="530"/>
      <c r="AZ46" s="530"/>
      <c r="BA46" s="530"/>
      <c r="BB46" s="530"/>
      <c r="BC46" s="530"/>
      <c r="BD46" s="530"/>
      <c r="BE46" s="530"/>
      <c r="BF46" s="530"/>
      <c r="BG46" s="530"/>
      <c r="BH46" s="530"/>
      <c r="BI46" s="530"/>
      <c r="BJ46" s="530"/>
      <c r="BK46" s="530"/>
      <c r="BL46" s="530"/>
      <c r="BM46" s="530"/>
      <c r="BN46" s="530"/>
      <c r="BO46" s="530"/>
      <c r="BP46" s="530"/>
      <c r="BQ46" s="530"/>
      <c r="BR46" s="530"/>
      <c r="BS46" s="530"/>
      <c r="BT46" s="530"/>
      <c r="BU46" s="530"/>
      <c r="BV46" s="530"/>
      <c r="BW46" s="530"/>
      <c r="BX46" s="530"/>
      <c r="BY46" s="530"/>
      <c r="BZ46" s="530"/>
      <c r="CA46" s="530"/>
      <c r="CB46" s="530"/>
      <c r="CC46" s="530"/>
      <c r="CD46" s="530"/>
      <c r="CE46" s="530"/>
      <c r="CF46" s="530"/>
      <c r="CG46" s="530"/>
    </row>
    <row r="47" spans="1:85" ht="12" customHeight="1">
      <c r="A47" s="9"/>
      <c r="B47" s="746"/>
      <c r="C47" s="4307"/>
      <c r="D47" s="4308"/>
      <c r="E47" s="4308"/>
      <c r="F47" s="4532"/>
      <c r="G47" s="4529"/>
      <c r="H47" s="4530"/>
      <c r="I47" s="4530"/>
      <c r="J47" s="4531"/>
      <c r="L47" s="4624"/>
      <c r="M47" s="4306" t="s">
        <v>1304</v>
      </c>
      <c r="N47" s="4306"/>
      <c r="O47" s="4311"/>
      <c r="P47" s="4311"/>
      <c r="Q47" s="470">
        <f>IF(Navegación_final="-","-",Navegación_final+O47)</f>
        <v>-30</v>
      </c>
      <c r="R47" s="579"/>
      <c r="S47" s="947">
        <f>IF(V47="",MAX($S$41:S46)+1,0)</f>
        <v>6</v>
      </c>
      <c r="T47" s="948">
        <f>IF(V47="",0,MAX($T$41:T46)+1)</f>
        <v>0</v>
      </c>
      <c r="U47" s="967">
        <f>IF(V47="",Tablas!A6,IF(COUNTIF(V$42:V46,V47)&gt;0,V47&amp;COUNTIF(V$42:V46,V47)+1,V47&amp;1))</f>
        <v>6</v>
      </c>
      <c r="V47" s="4473"/>
      <c r="W47" s="4474"/>
      <c r="X47" s="4474"/>
      <c r="Y47" s="4474"/>
      <c r="Z47" s="4474"/>
      <c r="AA47" s="4475"/>
      <c r="AB47" s="4470"/>
      <c r="AC47" s="4471"/>
      <c r="AD47" s="4471"/>
      <c r="AE47" s="4472"/>
      <c r="AF47" s="4488"/>
      <c r="AG47" s="4489"/>
      <c r="AH47" s="4490"/>
      <c r="AI47" s="1032" t="str">
        <f t="shared" si="6"/>
        <v/>
      </c>
      <c r="AJ47" s="1304" t="str">
        <f t="shared" si="7"/>
        <v/>
      </c>
      <c r="AK47" s="3985" t="str">
        <f t="shared" si="9"/>
        <v/>
      </c>
      <c r="AL47" s="587"/>
      <c r="AM47" s="2265" t="str">
        <f t="shared" si="10"/>
        <v/>
      </c>
      <c r="AN47" s="628" t="str">
        <f t="shared" si="11"/>
        <v/>
      </c>
      <c r="AO47" s="2265" t="str">
        <f t="shared" si="8"/>
        <v/>
      </c>
      <c r="AP47" s="530">
        <f>COUNTIF($AN$41:AN46,V47&amp;AB47&amp;"*")</f>
        <v>6</v>
      </c>
      <c r="AT47" s="2265" t="str">
        <f t="shared" si="12"/>
        <v/>
      </c>
      <c r="AV47" s="530"/>
      <c r="AW47" s="530"/>
      <c r="AX47" s="530"/>
      <c r="AY47" s="530"/>
      <c r="AZ47" s="530"/>
      <c r="BA47" s="530"/>
      <c r="BB47" s="530"/>
      <c r="BC47" s="530"/>
      <c r="BD47" s="530"/>
      <c r="BE47" s="530"/>
      <c r="BF47" s="530"/>
      <c r="BG47" s="530"/>
      <c r="BH47" s="530"/>
      <c r="BI47" s="530"/>
      <c r="BJ47" s="530"/>
      <c r="BK47" s="530"/>
      <c r="BL47" s="530"/>
      <c r="BM47" s="530"/>
      <c r="BN47" s="530"/>
      <c r="BO47" s="530"/>
      <c r="BP47" s="530"/>
      <c r="BQ47" s="530"/>
      <c r="BR47" s="530"/>
      <c r="BS47" s="530"/>
      <c r="BT47" s="530"/>
      <c r="BU47" s="530"/>
      <c r="BV47" s="530"/>
      <c r="BW47" s="530"/>
      <c r="BX47" s="530"/>
      <c r="BY47" s="530"/>
      <c r="BZ47" s="530"/>
      <c r="CA47" s="530"/>
      <c r="CB47" s="530"/>
      <c r="CC47" s="530"/>
      <c r="CD47" s="530"/>
      <c r="CE47" s="530"/>
      <c r="CF47" s="530"/>
      <c r="CG47" s="530"/>
    </row>
    <row r="48" spans="1:85" ht="12" customHeight="1">
      <c r="A48" s="9"/>
      <c r="B48" s="746"/>
      <c r="C48" s="4307"/>
      <c r="D48" s="4308"/>
      <c r="E48" s="4308"/>
      <c r="F48" s="4532"/>
      <c r="G48" s="4535" t="s">
        <v>9571</v>
      </c>
      <c r="H48" s="4536"/>
      <c r="I48" s="4536"/>
      <c r="J48" s="2160">
        <f>TRUNC(Nivel_Total/2)+IF(Nivel_Total&gt;=16,(TRUNC((Nivel_Total-14)/2)^2+TRUNC((Nivel_Total-14)/2))/2)-SUM($H$50:$H$53,$J$50:$J$53)-$J$49</f>
        <v>0</v>
      </c>
      <c r="K48" s="2409"/>
      <c r="L48" s="4624"/>
      <c r="M48" s="4306" t="s">
        <v>1305</v>
      </c>
      <c r="N48" s="4306"/>
      <c r="O48" s="4311"/>
      <c r="P48" s="4311"/>
      <c r="Q48" s="470">
        <f>IF(Ocultismo_final="-","-",Ocultismo_final+O48)</f>
        <v>-30</v>
      </c>
      <c r="R48" s="579"/>
      <c r="S48" s="947">
        <f>IF(V48="",MAX($S$41:S47)+1,0)</f>
        <v>7</v>
      </c>
      <c r="T48" s="948">
        <f>IF(V48="",0,MAX($T$41:T47)+1)</f>
        <v>0</v>
      </c>
      <c r="U48" s="967">
        <f>IF(V48="",Tablas!A7,IF(COUNTIF(V$42:V47,V48)&gt;0,V48&amp;COUNTIF(V$42:V47,V48)+1,V48&amp;1))</f>
        <v>7</v>
      </c>
      <c r="V48" s="4473"/>
      <c r="W48" s="4474"/>
      <c r="X48" s="4474"/>
      <c r="Y48" s="4474"/>
      <c r="Z48" s="4474"/>
      <c r="AA48" s="4475"/>
      <c r="AB48" s="4470"/>
      <c r="AC48" s="4471"/>
      <c r="AD48" s="4471"/>
      <c r="AE48" s="4472"/>
      <c r="AF48" s="4488"/>
      <c r="AG48" s="4489"/>
      <c r="AH48" s="4490"/>
      <c r="AI48" s="1032" t="str">
        <f t="shared" si="6"/>
        <v/>
      </c>
      <c r="AJ48" s="1304" t="str">
        <f t="shared" si="7"/>
        <v/>
      </c>
      <c r="AK48" s="3985" t="str">
        <f t="shared" si="9"/>
        <v/>
      </c>
      <c r="AL48" s="587"/>
      <c r="AM48" s="2265" t="str">
        <f t="shared" si="10"/>
        <v/>
      </c>
      <c r="AN48" s="628" t="str">
        <f t="shared" si="11"/>
        <v/>
      </c>
      <c r="AO48" s="2265" t="str">
        <f t="shared" si="8"/>
        <v/>
      </c>
      <c r="AP48" s="530">
        <f>COUNTIF($AN$41:AN47,V48&amp;AB48&amp;"*")</f>
        <v>7</v>
      </c>
      <c r="AT48" s="2265" t="str">
        <f t="shared" si="12"/>
        <v/>
      </c>
      <c r="AV48" s="530"/>
      <c r="AW48" s="530"/>
      <c r="AX48" s="530"/>
      <c r="AY48" s="530"/>
      <c r="AZ48" s="530"/>
      <c r="BA48" s="530"/>
      <c r="BB48" s="530"/>
      <c r="BC48" s="530"/>
      <c r="BD48" s="530"/>
      <c r="BE48" s="530"/>
      <c r="BF48" s="530"/>
      <c r="BG48" s="530"/>
      <c r="BH48" s="530"/>
      <c r="BI48" s="530"/>
      <c r="BJ48" s="530"/>
      <c r="BK48" s="530"/>
      <c r="BL48" s="530"/>
      <c r="BM48" s="530"/>
      <c r="BN48" s="530"/>
      <c r="BO48" s="530"/>
      <c r="BP48" s="530"/>
      <c r="BQ48" s="530"/>
      <c r="BR48" s="530"/>
      <c r="BS48" s="530"/>
      <c r="BT48" s="530"/>
      <c r="BU48" s="530"/>
      <c r="BV48" s="530"/>
      <c r="BW48" s="530"/>
      <c r="BX48" s="530"/>
      <c r="BY48" s="530"/>
      <c r="BZ48" s="530"/>
      <c r="CA48" s="530"/>
      <c r="CB48" s="530"/>
      <c r="CC48" s="530"/>
      <c r="CD48" s="530"/>
      <c r="CE48" s="530"/>
      <c r="CF48" s="530"/>
      <c r="CG48" s="530"/>
    </row>
    <row r="49" spans="1:85" ht="12" customHeight="1">
      <c r="A49" s="9"/>
      <c r="B49" s="746"/>
      <c r="C49" s="4476"/>
      <c r="D49" s="4477"/>
      <c r="E49" s="4477"/>
      <c r="F49" s="4478"/>
      <c r="G49" s="4535" t="s">
        <v>9580</v>
      </c>
      <c r="H49" s="4536"/>
      <c r="I49" s="4536"/>
      <c r="J49" s="2228"/>
      <c r="K49" s="2398"/>
      <c r="L49" s="4624"/>
      <c r="M49" s="4306" t="s">
        <v>1306</v>
      </c>
      <c r="N49" s="4306"/>
      <c r="O49" s="4311"/>
      <c r="P49" s="4311"/>
      <c r="Q49" s="470" t="str">
        <f>IF(Tasación_final="-","-",Tasación_final+O49)</f>
        <v>-</v>
      </c>
      <c r="R49" s="579"/>
      <c r="S49" s="947">
        <f>IF(V49="",MAX($S$41:S48)+1,0)</f>
        <v>8</v>
      </c>
      <c r="T49" s="948">
        <f>IF(V49="",0,MAX($T$41:T48)+1)</f>
        <v>0</v>
      </c>
      <c r="U49" s="967">
        <f>IF(V49="",Tablas!A8,IF(COUNTIF(V$42:V48,V49)&gt;0,V49&amp;COUNTIF(V$42:V48,V49)+1,V49&amp;1))</f>
        <v>8</v>
      </c>
      <c r="V49" s="4473"/>
      <c r="W49" s="4474"/>
      <c r="X49" s="4474"/>
      <c r="Y49" s="4474"/>
      <c r="Z49" s="4474"/>
      <c r="AA49" s="4475"/>
      <c r="AB49" s="4470"/>
      <c r="AC49" s="4471"/>
      <c r="AD49" s="4471"/>
      <c r="AE49" s="4472"/>
      <c r="AF49" s="4488"/>
      <c r="AG49" s="4489"/>
      <c r="AH49" s="4490"/>
      <c r="AI49" s="1032" t="str">
        <f t="shared" si="6"/>
        <v/>
      </c>
      <c r="AJ49" s="1304" t="str">
        <f t="shared" si="7"/>
        <v/>
      </c>
      <c r="AK49" s="3985" t="str">
        <f t="shared" si="9"/>
        <v/>
      </c>
      <c r="AL49" s="587"/>
      <c r="AM49" s="2265" t="str">
        <f t="shared" si="10"/>
        <v/>
      </c>
      <c r="AN49" s="628" t="str">
        <f t="shared" si="11"/>
        <v/>
      </c>
      <c r="AO49" s="2265" t="str">
        <f t="shared" si="8"/>
        <v/>
      </c>
      <c r="AP49" s="530">
        <f>COUNTIF($AN$41:AN48,V49&amp;AB49&amp;"*")</f>
        <v>8</v>
      </c>
      <c r="AT49" s="2265" t="str">
        <f t="shared" si="12"/>
        <v/>
      </c>
      <c r="AV49" s="530"/>
      <c r="AW49" s="530"/>
      <c r="AX49" s="530"/>
      <c r="AY49" s="530"/>
      <c r="AZ49" s="530"/>
      <c r="BA49" s="530"/>
      <c r="BB49" s="530"/>
      <c r="BC49" s="530"/>
      <c r="BD49" s="530"/>
      <c r="BE49" s="530"/>
      <c r="BF49" s="530"/>
      <c r="BG49" s="530"/>
      <c r="BH49" s="530"/>
      <c r="BI49" s="530"/>
      <c r="BJ49" s="530"/>
      <c r="BK49" s="530"/>
      <c r="BL49" s="530"/>
      <c r="BM49" s="530"/>
      <c r="BN49" s="530"/>
      <c r="BO49" s="530"/>
      <c r="BP49" s="530"/>
      <c r="BQ49" s="530"/>
      <c r="BR49" s="530"/>
      <c r="BS49" s="530"/>
      <c r="BT49" s="530"/>
      <c r="BU49" s="530"/>
      <c r="BV49" s="530"/>
      <c r="BW49" s="530"/>
      <c r="BX49" s="530"/>
      <c r="BY49" s="530"/>
      <c r="BZ49" s="530"/>
      <c r="CA49" s="530"/>
      <c r="CB49" s="530"/>
      <c r="CC49" s="530"/>
      <c r="CD49" s="530"/>
      <c r="CE49" s="530"/>
      <c r="CF49" s="530"/>
      <c r="CG49" s="530"/>
    </row>
    <row r="50" spans="1:85" ht="12" customHeight="1">
      <c r="A50" s="9"/>
      <c r="B50" s="746"/>
      <c r="C50" s="4546" t="s">
        <v>2657</v>
      </c>
      <c r="D50" s="4547"/>
      <c r="E50" s="4547"/>
      <c r="F50" s="4548"/>
      <c r="G50" s="1408" t="s">
        <v>1233</v>
      </c>
      <c r="H50" s="2153"/>
      <c r="I50" s="1408" t="s">
        <v>1245</v>
      </c>
      <c r="J50" s="2154"/>
      <c r="K50" s="2398"/>
      <c r="L50" s="4624"/>
      <c r="M50" s="4306" t="s">
        <v>1307</v>
      </c>
      <c r="N50" s="4306"/>
      <c r="O50" s="4311"/>
      <c r="P50" s="4311"/>
      <c r="Q50" s="470" t="str">
        <f>IF(V.Mágica_final="-","-",V.Mágica_final+O50)</f>
        <v>-</v>
      </c>
      <c r="R50" s="579"/>
      <c r="S50" s="947">
        <f>IF(V50="",MAX($S$41:S49)+1,0)</f>
        <v>9</v>
      </c>
      <c r="T50" s="948">
        <f>IF(V50="",0,MAX($T$41:T49)+1)</f>
        <v>0</v>
      </c>
      <c r="U50" s="967">
        <f>IF(V50="",Tablas!A9,IF(COUNTIF(V$42:V49,V50)&gt;0,V50&amp;COUNTIF(V$42:V49,V50)+1,V50&amp;1))</f>
        <v>9</v>
      </c>
      <c r="V50" s="4473"/>
      <c r="W50" s="4474"/>
      <c r="X50" s="4474"/>
      <c r="Y50" s="4474"/>
      <c r="Z50" s="4474"/>
      <c r="AA50" s="4475"/>
      <c r="AB50" s="4470"/>
      <c r="AC50" s="4471"/>
      <c r="AD50" s="4471"/>
      <c r="AE50" s="4472"/>
      <c r="AF50" s="4488"/>
      <c r="AG50" s="4489"/>
      <c r="AH50" s="4490"/>
      <c r="AI50" s="1032" t="str">
        <f t="shared" si="6"/>
        <v/>
      </c>
      <c r="AJ50" s="1304" t="str">
        <f t="shared" si="7"/>
        <v/>
      </c>
      <c r="AK50" s="3985" t="str">
        <f t="shared" si="9"/>
        <v/>
      </c>
      <c r="AL50" s="587"/>
      <c r="AM50" s="2265" t="str">
        <f t="shared" si="10"/>
        <v/>
      </c>
      <c r="AN50" s="628" t="str">
        <f t="shared" si="11"/>
        <v/>
      </c>
      <c r="AO50" s="2265" t="str">
        <f t="shared" si="8"/>
        <v/>
      </c>
      <c r="AP50" s="530">
        <f>COUNTIF($AN$41:AN49,V50&amp;AB50&amp;"*")</f>
        <v>9</v>
      </c>
      <c r="AT50" s="2265" t="str">
        <f t="shared" si="12"/>
        <v/>
      </c>
      <c r="AV50" s="530"/>
      <c r="AW50" s="530"/>
      <c r="AX50" s="530"/>
      <c r="AY50" s="530"/>
      <c r="AZ50" s="530"/>
      <c r="BA50" s="530"/>
      <c r="BB50" s="530"/>
      <c r="BC50" s="530"/>
      <c r="BD50" s="530"/>
      <c r="BE50" s="530"/>
      <c r="BF50" s="530"/>
      <c r="BG50" s="530"/>
      <c r="BH50" s="530"/>
      <c r="BI50" s="530"/>
      <c r="BJ50" s="530"/>
      <c r="BK50" s="530"/>
      <c r="BL50" s="530"/>
      <c r="BM50" s="530"/>
      <c r="BN50" s="530"/>
      <c r="BO50" s="530"/>
      <c r="BP50" s="530"/>
      <c r="BQ50" s="530"/>
      <c r="BR50" s="530"/>
      <c r="BS50" s="530"/>
      <c r="BT50" s="530"/>
      <c r="BU50" s="530"/>
      <c r="BV50" s="530"/>
      <c r="BW50" s="530"/>
      <c r="BX50" s="530"/>
      <c r="BY50" s="530"/>
      <c r="BZ50" s="530"/>
      <c r="CA50" s="530"/>
      <c r="CB50" s="530"/>
      <c r="CC50" s="530"/>
      <c r="CD50" s="530"/>
      <c r="CE50" s="530"/>
      <c r="CF50" s="530"/>
      <c r="CG50" s="530"/>
    </row>
    <row r="51" spans="1:85" ht="12" customHeight="1">
      <c r="A51" s="9"/>
      <c r="B51" s="746"/>
      <c r="C51" s="4458"/>
      <c r="D51" s="4459"/>
      <c r="E51" s="4459"/>
      <c r="F51" s="4460"/>
      <c r="G51" s="1408" t="s">
        <v>1357</v>
      </c>
      <c r="H51" s="2357"/>
      <c r="I51" s="1408" t="s">
        <v>1248</v>
      </c>
      <c r="J51" s="2361"/>
      <c r="K51" s="2398"/>
      <c r="L51" s="4323"/>
      <c r="M51" s="4306" t="s">
        <v>10833</v>
      </c>
      <c r="N51" s="4306"/>
      <c r="O51" s="4311"/>
      <c r="P51" s="4311"/>
      <c r="Q51" s="470" t="str">
        <f>IF(InvestigacionPsi_Final="-","-",InvestigacionPsi_Final+O51)</f>
        <v>-</v>
      </c>
      <c r="R51" s="579"/>
      <c r="S51" s="947">
        <f>IF(V51="",MAX($S$41:S50)+1,0)</f>
        <v>10</v>
      </c>
      <c r="T51" s="948">
        <f>IF(V51="",0,MAX($T$41:T50)+1)</f>
        <v>0</v>
      </c>
      <c r="U51" s="967">
        <f>IF(V51="",Tablas!A10,IF(COUNTIF(V$42:V50,V51)&gt;0,V51&amp;COUNTIF(V$42:V50,V51)+1,V51&amp;1))</f>
        <v>10</v>
      </c>
      <c r="V51" s="4473"/>
      <c r="W51" s="4474"/>
      <c r="X51" s="4474"/>
      <c r="Y51" s="4474"/>
      <c r="Z51" s="4474"/>
      <c r="AA51" s="4475"/>
      <c r="AB51" s="4470"/>
      <c r="AC51" s="4471"/>
      <c r="AD51" s="4471"/>
      <c r="AE51" s="4472"/>
      <c r="AF51" s="4488"/>
      <c r="AG51" s="4489"/>
      <c r="AH51" s="4490"/>
      <c r="AI51" s="1032" t="str">
        <f t="shared" si="6"/>
        <v/>
      </c>
      <c r="AJ51" s="1304" t="str">
        <f t="shared" si="7"/>
        <v/>
      </c>
      <c r="AK51" s="3985" t="str">
        <f t="shared" si="9"/>
        <v/>
      </c>
      <c r="AL51" s="587"/>
      <c r="AM51" s="2265" t="str">
        <f t="shared" si="10"/>
        <v/>
      </c>
      <c r="AN51" s="628" t="str">
        <f t="shared" si="11"/>
        <v/>
      </c>
      <c r="AO51" s="2265" t="str">
        <f t="shared" si="8"/>
        <v/>
      </c>
      <c r="AP51" s="530">
        <f>COUNTIF($AN$41:AN50,V51&amp;AB51&amp;"*")</f>
        <v>10</v>
      </c>
      <c r="AT51" s="2265" t="str">
        <f t="shared" si="12"/>
        <v/>
      </c>
      <c r="AV51" s="530"/>
      <c r="AW51" s="530"/>
      <c r="AX51" s="530"/>
      <c r="AY51" s="530"/>
      <c r="AZ51" s="530"/>
      <c r="BA51" s="530"/>
      <c r="BB51" s="530"/>
      <c r="BC51" s="530"/>
      <c r="BD51" s="530"/>
      <c r="BE51" s="530"/>
      <c r="BF51" s="530"/>
      <c r="BG51" s="530"/>
      <c r="BH51" s="530"/>
      <c r="BI51" s="530"/>
      <c r="BJ51" s="530"/>
      <c r="BK51" s="530"/>
      <c r="BL51" s="530"/>
      <c r="BM51" s="530"/>
      <c r="BN51" s="530"/>
      <c r="BO51" s="530"/>
      <c r="BP51" s="530"/>
      <c r="BQ51" s="530"/>
      <c r="BR51" s="530"/>
      <c r="BS51" s="530"/>
      <c r="BT51" s="530"/>
      <c r="BU51" s="530"/>
      <c r="BV51" s="530"/>
      <c r="BW51" s="530"/>
      <c r="BX51" s="530"/>
      <c r="BY51" s="530"/>
      <c r="BZ51" s="530"/>
      <c r="CA51" s="530"/>
      <c r="CB51" s="530"/>
      <c r="CC51" s="530"/>
      <c r="CD51" s="530"/>
      <c r="CE51" s="530"/>
      <c r="CF51" s="530"/>
      <c r="CG51" s="530"/>
    </row>
    <row r="52" spans="1:85" ht="12" customHeight="1">
      <c r="A52" s="9"/>
      <c r="B52" s="746"/>
      <c r="C52" s="4537"/>
      <c r="D52" s="4538"/>
      <c r="E52" s="4538"/>
      <c r="F52" s="4539"/>
      <c r="G52" s="1408" t="s">
        <v>1238</v>
      </c>
      <c r="H52" s="2357"/>
      <c r="I52" s="1408" t="s">
        <v>1250</v>
      </c>
      <c r="J52" s="2361"/>
      <c r="K52" s="2410"/>
      <c r="L52" s="4321" t="s">
        <v>1308</v>
      </c>
      <c r="M52" s="4337" t="s">
        <v>1309</v>
      </c>
      <c r="N52" s="4337"/>
      <c r="O52" s="4335"/>
      <c r="P52" s="4335"/>
      <c r="Q52" s="2407">
        <f>IF(Frialdad_final="-","-",Frialdad_final+O52)</f>
        <v>-30</v>
      </c>
      <c r="R52" s="579"/>
      <c r="S52" s="947">
        <f>IF(V52="",MAX($S$41:S51)+1,0)</f>
        <v>11</v>
      </c>
      <c r="T52" s="948">
        <f>IF(V52="",0,MAX($T$41:T51)+1)</f>
        <v>0</v>
      </c>
      <c r="U52" s="967">
        <f>IF(V52="",Tablas!A11,IF(COUNTIF(V$42:V51,V52)&gt;0,V52&amp;COUNTIF(V$42:V51,V52)+1,V52&amp;1))</f>
        <v>11</v>
      </c>
      <c r="V52" s="4473"/>
      <c r="W52" s="4474"/>
      <c r="X52" s="4474"/>
      <c r="Y52" s="4474"/>
      <c r="Z52" s="4474"/>
      <c r="AA52" s="4475"/>
      <c r="AB52" s="4470"/>
      <c r="AC52" s="4471"/>
      <c r="AD52" s="4471"/>
      <c r="AE52" s="4472"/>
      <c r="AF52" s="4488"/>
      <c r="AG52" s="4489"/>
      <c r="AH52" s="4490"/>
      <c r="AI52" s="1032" t="str">
        <f t="shared" si="6"/>
        <v/>
      </c>
      <c r="AJ52" s="1304" t="str">
        <f t="shared" si="7"/>
        <v/>
      </c>
      <c r="AK52" s="3985" t="str">
        <f t="shared" si="9"/>
        <v/>
      </c>
      <c r="AL52" s="587"/>
      <c r="AM52" s="2265" t="str">
        <f t="shared" si="10"/>
        <v/>
      </c>
      <c r="AN52" s="628" t="str">
        <f t="shared" si="11"/>
        <v/>
      </c>
      <c r="AO52" s="2265" t="str">
        <f t="shared" si="8"/>
        <v/>
      </c>
      <c r="AP52" s="530">
        <f>COUNTIF($AN$41:AN51,V52&amp;AB52&amp;"*")</f>
        <v>11</v>
      </c>
      <c r="AT52" s="2265" t="str">
        <f t="shared" si="12"/>
        <v/>
      </c>
      <c r="AV52" s="530"/>
      <c r="AW52" s="530"/>
      <c r="AX52" s="530"/>
      <c r="AY52" s="530"/>
      <c r="AZ52" s="530"/>
      <c r="BA52" s="530"/>
      <c r="BB52" s="530"/>
      <c r="BC52" s="530"/>
      <c r="BD52" s="530"/>
      <c r="BE52" s="530"/>
      <c r="BF52" s="530"/>
      <c r="BG52" s="530"/>
      <c r="BH52" s="530"/>
      <c r="BI52" s="530"/>
      <c r="BJ52" s="530"/>
      <c r="BK52" s="530"/>
      <c r="BL52" s="530"/>
      <c r="BM52" s="530"/>
      <c r="BN52" s="530"/>
      <c r="BO52" s="530"/>
      <c r="BP52" s="530"/>
      <c r="BQ52" s="530"/>
      <c r="BR52" s="530"/>
      <c r="BS52" s="530"/>
      <c r="BT52" s="530"/>
      <c r="BU52" s="530"/>
      <c r="BV52" s="530"/>
      <c r="BW52" s="530"/>
      <c r="BX52" s="530"/>
      <c r="BY52" s="530"/>
      <c r="BZ52" s="530"/>
      <c r="CA52" s="530"/>
      <c r="CB52" s="530"/>
      <c r="CC52" s="530"/>
      <c r="CD52" s="530"/>
      <c r="CE52" s="530"/>
      <c r="CF52" s="530"/>
      <c r="CG52" s="530"/>
    </row>
    <row r="53" spans="1:85" ht="12" customHeight="1" thickBot="1">
      <c r="A53" s="9"/>
      <c r="B53" s="746"/>
      <c r="C53" s="4500"/>
      <c r="D53" s="4501"/>
      <c r="E53" s="4501"/>
      <c r="F53" s="4502"/>
      <c r="G53" s="2405" t="s">
        <v>1243</v>
      </c>
      <c r="H53" s="2359"/>
      <c r="I53" s="2405" t="s">
        <v>1251</v>
      </c>
      <c r="J53" s="2161"/>
      <c r="K53" s="2410"/>
      <c r="L53" s="4322"/>
      <c r="M53" s="4306" t="s">
        <v>1310</v>
      </c>
      <c r="N53" s="4306"/>
      <c r="O53" s="4311">
        <f>PenNatural</f>
        <v>0</v>
      </c>
      <c r="P53" s="4311"/>
      <c r="Q53" s="470">
        <f>IF(P.Fuerza_final="-","-",P.Fuerza_final+O53)</f>
        <v>-30</v>
      </c>
      <c r="R53" s="579"/>
      <c r="S53" s="947">
        <f>IF(V53="",MAX($S$41:S52)+1,0)</f>
        <v>12</v>
      </c>
      <c r="T53" s="948">
        <f>IF(V53="",0,MAX($T$41:T52)+1)</f>
        <v>0</v>
      </c>
      <c r="U53" s="967">
        <f>IF(V53="",Tablas!A12,IF(COUNTIF(V$42:V52,V53)&gt;0,V53&amp;COUNTIF(V$42:V52,V53)+1,V53&amp;1))</f>
        <v>12</v>
      </c>
      <c r="V53" s="4473"/>
      <c r="W53" s="4474"/>
      <c r="X53" s="4474"/>
      <c r="Y53" s="4474"/>
      <c r="Z53" s="4474"/>
      <c r="AA53" s="4475"/>
      <c r="AB53" s="4470"/>
      <c r="AC53" s="4471"/>
      <c r="AD53" s="4471"/>
      <c r="AE53" s="4472"/>
      <c r="AF53" s="4488"/>
      <c r="AG53" s="4489"/>
      <c r="AH53" s="4490"/>
      <c r="AI53" s="1032" t="str">
        <f t="shared" si="6"/>
        <v/>
      </c>
      <c r="AJ53" s="1304" t="str">
        <f t="shared" si="7"/>
        <v/>
      </c>
      <c r="AK53" s="3985" t="str">
        <f t="shared" si="9"/>
        <v/>
      </c>
      <c r="AL53" s="587"/>
      <c r="AM53" s="2265" t="str">
        <f t="shared" si="10"/>
        <v/>
      </c>
      <c r="AN53" s="628" t="str">
        <f t="shared" si="11"/>
        <v/>
      </c>
      <c r="AO53" s="2265" t="str">
        <f t="shared" si="8"/>
        <v/>
      </c>
      <c r="AP53" s="530">
        <f>COUNTIF($AN$41:AN52,V53&amp;AB53&amp;"*")</f>
        <v>12</v>
      </c>
      <c r="AT53" s="2265" t="str">
        <f t="shared" si="12"/>
        <v/>
      </c>
      <c r="AV53" s="530"/>
      <c r="AW53" s="530"/>
      <c r="AX53" s="530"/>
      <c r="AY53" s="530"/>
      <c r="AZ53" s="530"/>
      <c r="BA53" s="530"/>
      <c r="BB53" s="530"/>
      <c r="BC53" s="530"/>
      <c r="BD53" s="530"/>
      <c r="BE53" s="530"/>
      <c r="BF53" s="530"/>
      <c r="BG53" s="530"/>
      <c r="BH53" s="530"/>
      <c r="BI53" s="530"/>
      <c r="BJ53" s="530"/>
      <c r="BK53" s="530"/>
      <c r="BL53" s="530"/>
      <c r="BM53" s="530"/>
      <c r="BN53" s="530"/>
      <c r="BO53" s="530"/>
      <c r="BP53" s="530"/>
      <c r="BQ53" s="530"/>
      <c r="BR53" s="530"/>
      <c r="BS53" s="530"/>
      <c r="BT53" s="530"/>
      <c r="BU53" s="530"/>
      <c r="BV53" s="530"/>
      <c r="BW53" s="530"/>
      <c r="BX53" s="530"/>
      <c r="BY53" s="530"/>
      <c r="BZ53" s="530"/>
      <c r="CA53" s="530"/>
      <c r="CB53" s="530"/>
      <c r="CC53" s="530"/>
      <c r="CD53" s="530"/>
      <c r="CE53" s="530"/>
      <c r="CF53" s="530"/>
      <c r="CG53" s="530"/>
    </row>
    <row r="54" spans="1:85" ht="12" customHeight="1">
      <c r="A54" s="9"/>
      <c r="B54" s="746"/>
      <c r="C54" s="4595" t="str">
        <f>IF(F54&lt;=0,"",IF(COUNTIF(Principal!$AS$43:$AS$45,"Trasfondo")&gt;0,"PC exclusivos trasfondo",""))</f>
        <v/>
      </c>
      <c r="D54" s="4595"/>
      <c r="E54" s="4595"/>
      <c r="F54" s="2411">
        <f>-Tablas!$F$239</f>
        <v>0</v>
      </c>
      <c r="G54" s="4595" t="str">
        <f>IF(J54&lt;=0,"",IF(AND(COUNTIF(Principal!$AS$43:$AS$45,"Don")&gt;0,COUNTIF(Principal!$AS$43:$AS$45,"Psiquicos")&gt;0),"PC exclusivos Don/Psíquicos",IF(COUNTIF(Principal!$AS$43:$AS$45,"Don")&gt;0,"PC exclusivos Don",IF(COUNTIF(Principal!$AS$43:$AS$45,"Psiquicos")&gt;0,"PC exclusivos Psíquica",""))))</f>
        <v/>
      </c>
      <c r="H54" s="4595"/>
      <c r="I54" s="4595"/>
      <c r="J54" s="2411">
        <f>-Tablas!E239</f>
        <v>0</v>
      </c>
      <c r="K54" s="2398"/>
      <c r="L54" s="4323"/>
      <c r="M54" s="4440" t="s">
        <v>1313</v>
      </c>
      <c r="N54" s="4440"/>
      <c r="O54" s="4324"/>
      <c r="P54" s="4324"/>
      <c r="Q54" s="1436">
        <f>IF(Res.Dolor_final="-","-",Res.Dolor_final+O54)</f>
        <v>-30</v>
      </c>
      <c r="R54" s="579"/>
      <c r="S54" s="947">
        <f>IF(V54="",MAX($S$41:S53)+1,0)</f>
        <v>13</v>
      </c>
      <c r="T54" s="948">
        <f>IF(V54="",0,MAX($T$41:T53)+1)</f>
        <v>0</v>
      </c>
      <c r="U54" s="967">
        <f>IF(V54="",Tablas!A13,IF(COUNTIF(V$42:V53,V54)&gt;0,V54&amp;COUNTIF(V$42:V53,V54)+1,V54&amp;1))</f>
        <v>13</v>
      </c>
      <c r="V54" s="4473"/>
      <c r="W54" s="4474"/>
      <c r="X54" s="4474"/>
      <c r="Y54" s="4474"/>
      <c r="Z54" s="4474"/>
      <c r="AA54" s="4475"/>
      <c r="AB54" s="4470"/>
      <c r="AC54" s="4471"/>
      <c r="AD54" s="4471"/>
      <c r="AE54" s="4472"/>
      <c r="AF54" s="4488"/>
      <c r="AG54" s="4489"/>
      <c r="AH54" s="4490"/>
      <c r="AI54" s="1032" t="str">
        <f t="shared" si="6"/>
        <v/>
      </c>
      <c r="AJ54" s="1304" t="str">
        <f t="shared" si="7"/>
        <v/>
      </c>
      <c r="AK54" s="3985" t="str">
        <f t="shared" si="9"/>
        <v/>
      </c>
      <c r="AL54" s="587"/>
      <c r="AM54" s="2265" t="str">
        <f t="shared" si="10"/>
        <v/>
      </c>
      <c r="AN54" s="628" t="str">
        <f t="shared" si="11"/>
        <v/>
      </c>
      <c r="AO54" s="2265" t="str">
        <f t="shared" si="8"/>
        <v/>
      </c>
      <c r="AP54" s="530">
        <f>COUNTIF($AN$41:AN53,V54&amp;AB54&amp;"*")</f>
        <v>13</v>
      </c>
      <c r="AT54" s="2265"/>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c r="BY54" s="530"/>
      <c r="BZ54" s="530"/>
      <c r="CA54" s="530"/>
      <c r="CB54" s="530"/>
      <c r="CC54" s="530"/>
      <c r="CD54" s="530"/>
      <c r="CE54" s="530"/>
      <c r="CF54" s="530"/>
      <c r="CG54" s="530"/>
    </row>
    <row r="55" spans="1:85" ht="12" customHeight="1" thickBot="1">
      <c r="A55" s="9"/>
      <c r="B55" s="746"/>
      <c r="K55" s="2398"/>
      <c r="L55" s="4322" t="s">
        <v>1316</v>
      </c>
      <c r="M55" s="4306" t="s">
        <v>1317</v>
      </c>
      <c r="N55" s="4306"/>
      <c r="O55" s="4311"/>
      <c r="P55" s="4311"/>
      <c r="Q55" s="470">
        <f>IF(Cerrajería_final="-","-",Cerrajería_final+O55)</f>
        <v>-30</v>
      </c>
      <c r="R55" s="579"/>
      <c r="S55" s="947">
        <f>IF(V55="",MAX($S$41:S54)+1,0)</f>
        <v>14</v>
      </c>
      <c r="T55" s="948">
        <f>IF(V55="",0,MAX($T$41:T54)+1)</f>
        <v>0</v>
      </c>
      <c r="U55" s="967">
        <f>IF(V55="",Tablas!A14,IF(COUNTIF(V$42:V54,V55)&gt;0,V55&amp;COUNTIF(V$42:V54,V55)+1,V55&amp;1))</f>
        <v>14</v>
      </c>
      <c r="V55" s="4473"/>
      <c r="W55" s="4474"/>
      <c r="X55" s="4474"/>
      <c r="Y55" s="4474"/>
      <c r="Z55" s="4474"/>
      <c r="AA55" s="4475"/>
      <c r="AB55" s="4470"/>
      <c r="AC55" s="4471"/>
      <c r="AD55" s="4471"/>
      <c r="AE55" s="4472"/>
      <c r="AF55" s="4488"/>
      <c r="AG55" s="4489"/>
      <c r="AH55" s="4490"/>
      <c r="AI55" s="1032" t="str">
        <f t="shared" si="6"/>
        <v/>
      </c>
      <c r="AJ55" s="1304" t="str">
        <f t="shared" si="7"/>
        <v/>
      </c>
      <c r="AK55" s="3985" t="str">
        <f t="shared" si="9"/>
        <v/>
      </c>
      <c r="AL55" s="587"/>
      <c r="AM55" s="2265" t="str">
        <f t="shared" si="10"/>
        <v/>
      </c>
      <c r="AN55" s="628" t="str">
        <f t="shared" si="11"/>
        <v/>
      </c>
      <c r="AO55" s="2265" t="str">
        <f t="shared" si="8"/>
        <v/>
      </c>
      <c r="AP55" s="530">
        <f>COUNTIF($AN$41:AN54,V55&amp;AB55&amp;"*")</f>
        <v>14</v>
      </c>
      <c r="AT55" s="2265" t="s">
        <v>9820</v>
      </c>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c r="BY55" s="530"/>
      <c r="BZ55" s="530"/>
      <c r="CA55" s="530"/>
      <c r="CB55" s="530"/>
      <c r="CC55" s="530"/>
      <c r="CD55" s="530"/>
      <c r="CE55" s="530"/>
      <c r="CF55" s="530"/>
      <c r="CG55" s="530"/>
    </row>
    <row r="56" spans="1:85" ht="12" customHeight="1">
      <c r="A56" s="9"/>
      <c r="B56" s="746"/>
      <c r="C56" s="4525" t="s">
        <v>1311</v>
      </c>
      <c r="D56" s="4582"/>
      <c r="E56" s="4583"/>
      <c r="F56" s="2412" t="s">
        <v>1225</v>
      </c>
      <c r="G56" s="2362" t="s">
        <v>1227</v>
      </c>
      <c r="H56" s="2362" t="s">
        <v>1312</v>
      </c>
      <c r="I56" s="2413" t="s">
        <v>1277</v>
      </c>
      <c r="J56" s="1427" t="s">
        <v>1209</v>
      </c>
      <c r="K56" s="2398"/>
      <c r="L56" s="4322"/>
      <c r="M56" s="4306" t="s">
        <v>1319</v>
      </c>
      <c r="N56" s="4306"/>
      <c r="O56" s="4311"/>
      <c r="P56" s="4311"/>
      <c r="Q56" s="470">
        <f>IF(Disfraz_final="-","-",Disfraz_final+O56)</f>
        <v>-30</v>
      </c>
      <c r="R56" s="579"/>
      <c r="S56" s="947">
        <f>IF(V56="",MAX($S$41:S55)+1,0)</f>
        <v>15</v>
      </c>
      <c r="T56" s="948">
        <f>IF(V56="",0,MAX($T$41:T55)+1)</f>
        <v>0</v>
      </c>
      <c r="U56" s="967">
        <f>IF(V56="",Tablas!A15,IF(COUNTIF(V$42:V55,V56)&gt;0,V56&amp;COUNTIF(V$42:V55,V56)+1,V56&amp;1))</f>
        <v>15</v>
      </c>
      <c r="V56" s="4473"/>
      <c r="W56" s="4474"/>
      <c r="X56" s="4474"/>
      <c r="Y56" s="4474"/>
      <c r="Z56" s="4474"/>
      <c r="AA56" s="4475"/>
      <c r="AB56" s="4470"/>
      <c r="AC56" s="4471"/>
      <c r="AD56" s="4471"/>
      <c r="AE56" s="4472"/>
      <c r="AF56" s="4488"/>
      <c r="AG56" s="4489"/>
      <c r="AH56" s="4490"/>
      <c r="AI56" s="1032" t="str">
        <f t="shared" si="6"/>
        <v/>
      </c>
      <c r="AJ56" s="1304" t="str">
        <f t="shared" si="7"/>
        <v/>
      </c>
      <c r="AK56" s="3985" t="str">
        <f t="shared" si="9"/>
        <v/>
      </c>
      <c r="AL56" s="587"/>
      <c r="AM56" s="2265" t="str">
        <f t="shared" si="10"/>
        <v/>
      </c>
      <c r="AN56" s="628" t="str">
        <f t="shared" si="11"/>
        <v/>
      </c>
      <c r="AO56" s="2265" t="str">
        <f t="shared" si="8"/>
        <v/>
      </c>
      <c r="AP56" s="530">
        <f>COUNTIF($AN$41:AN55,V56&amp;AB56&amp;"*")</f>
        <v>15</v>
      </c>
      <c r="AT56" s="2265" t="str">
        <f>Tablas!$L$2236</f>
        <v/>
      </c>
      <c r="AV56" s="530"/>
      <c r="AW56" s="530"/>
      <c r="AX56" s="530"/>
      <c r="AY56" s="530"/>
      <c r="AZ56" s="530"/>
      <c r="BA56" s="530"/>
      <c r="BB56" s="530"/>
      <c r="BC56" s="530"/>
      <c r="BD56" s="530"/>
      <c r="BE56" s="530"/>
      <c r="BF56" s="530"/>
      <c r="BG56" s="530"/>
      <c r="BH56" s="530"/>
      <c r="BI56" s="530"/>
      <c r="BJ56" s="530"/>
      <c r="BK56" s="530"/>
      <c r="BL56" s="530"/>
      <c r="BM56" s="530"/>
      <c r="BN56" s="530"/>
      <c r="BO56" s="530"/>
      <c r="BP56" s="530"/>
      <c r="BQ56" s="530"/>
      <c r="BR56" s="530"/>
      <c r="BS56" s="530"/>
      <c r="BT56" s="530"/>
      <c r="BU56" s="530"/>
      <c r="BV56" s="530"/>
      <c r="BW56" s="530"/>
      <c r="BX56" s="530"/>
      <c r="BY56" s="530"/>
      <c r="BZ56" s="530"/>
      <c r="CA56" s="530"/>
      <c r="CB56" s="530"/>
      <c r="CC56" s="530"/>
      <c r="CD56" s="530"/>
      <c r="CE56" s="530"/>
      <c r="CF56" s="530"/>
      <c r="CG56" s="530"/>
    </row>
    <row r="57" spans="1:85" ht="12" customHeight="1">
      <c r="A57" s="9"/>
      <c r="B57" s="746"/>
      <c r="C57" s="4526"/>
      <c r="D57" s="4584" t="s">
        <v>1314</v>
      </c>
      <c r="E57" s="4585"/>
      <c r="F57" s="1409">
        <f>IF(SUM(PDs!$S$7:$S$16)=0,20,25+(SUM(PDs!$S$7:$S$16)*5))</f>
        <v>30</v>
      </c>
      <c r="G57" s="1410" t="s">
        <v>1315</v>
      </c>
      <c r="H57" s="1410" t="s">
        <v>1315</v>
      </c>
      <c r="I57" s="1990"/>
      <c r="J57" s="1428">
        <f>F57+I57</f>
        <v>30</v>
      </c>
      <c r="K57" s="2410"/>
      <c r="L57" s="4322"/>
      <c r="M57" s="4306" t="s">
        <v>1321</v>
      </c>
      <c r="N57" s="4306"/>
      <c r="O57" s="4311">
        <f>PenNatural</f>
        <v>0</v>
      </c>
      <c r="P57" s="4311"/>
      <c r="Q57" s="470">
        <f>IF(Ocultarse_final="-","-",Ocultarse_final+O57)</f>
        <v>-30</v>
      </c>
      <c r="R57" s="579"/>
      <c r="S57" s="947">
        <f>IF(V57="",MAX($S$41:S56)+1,0)</f>
        <v>16</v>
      </c>
      <c r="T57" s="948">
        <f>IF(V57="",0,MAX($T$41:T56)+1)</f>
        <v>0</v>
      </c>
      <c r="U57" s="967">
        <f>IF(V57="",Tablas!A16,IF(COUNTIF(V$42:V56,V57)&gt;0,V57&amp;COUNTIF(V$42:V56,V57)+1,V57&amp;1))</f>
        <v>16</v>
      </c>
      <c r="V57" s="4473"/>
      <c r="W57" s="4474"/>
      <c r="X57" s="4474"/>
      <c r="Y57" s="4474"/>
      <c r="Z57" s="4474"/>
      <c r="AA57" s="4475"/>
      <c r="AB57" s="4470"/>
      <c r="AC57" s="4471"/>
      <c r="AD57" s="4471"/>
      <c r="AE57" s="4472"/>
      <c r="AF57" s="4488"/>
      <c r="AG57" s="4489"/>
      <c r="AH57" s="4490"/>
      <c r="AI57" s="1032" t="str">
        <f t="shared" si="6"/>
        <v/>
      </c>
      <c r="AJ57" s="1304" t="str">
        <f t="shared" si="7"/>
        <v/>
      </c>
      <c r="AK57" s="3985" t="str">
        <f t="shared" si="9"/>
        <v/>
      </c>
      <c r="AL57" s="587"/>
      <c r="AM57" s="2265" t="str">
        <f t="shared" si="10"/>
        <v/>
      </c>
      <c r="AN57" s="628" t="str">
        <f t="shared" si="11"/>
        <v/>
      </c>
      <c r="AO57" s="2265" t="str">
        <f t="shared" si="8"/>
        <v/>
      </c>
      <c r="AP57" s="530">
        <f>COUNTIF($AN$41:AN56,V57&amp;AB57&amp;"*")</f>
        <v>16</v>
      </c>
      <c r="AT57" s="2265" t="str">
        <f>Tablas!$O$2236</f>
        <v/>
      </c>
      <c r="AV57" s="530"/>
      <c r="AW57" s="530"/>
      <c r="AX57" s="530"/>
      <c r="AY57" s="530"/>
      <c r="AZ57" s="530"/>
      <c r="BA57" s="530"/>
      <c r="BB57" s="530"/>
      <c r="BC57" s="530"/>
      <c r="BD57" s="530"/>
      <c r="BE57" s="530"/>
      <c r="BF57" s="530"/>
      <c r="BG57" s="530"/>
      <c r="BH57" s="530"/>
      <c r="BI57" s="530"/>
      <c r="BJ57" s="530"/>
      <c r="BK57" s="530"/>
      <c r="BL57" s="530"/>
      <c r="BM57" s="530"/>
      <c r="BN57" s="530"/>
      <c r="BO57" s="530"/>
      <c r="BP57" s="530"/>
      <c r="BQ57" s="530"/>
      <c r="BR57" s="530"/>
      <c r="BS57" s="530"/>
      <c r="BT57" s="530"/>
      <c r="BU57" s="530"/>
      <c r="BV57" s="530"/>
      <c r="BW57" s="530"/>
      <c r="BX57" s="530"/>
      <c r="BY57" s="530"/>
      <c r="BZ57" s="530"/>
      <c r="CA57" s="530"/>
      <c r="CB57" s="530"/>
      <c r="CC57" s="530"/>
      <c r="CD57" s="530"/>
      <c r="CE57" s="530"/>
      <c r="CF57" s="530"/>
      <c r="CG57" s="530"/>
    </row>
    <row r="58" spans="1:85" ht="12" customHeight="1">
      <c r="A58" s="9"/>
      <c r="B58" s="746"/>
      <c r="C58" s="4526"/>
      <c r="D58" s="4495" t="s">
        <v>1318</v>
      </c>
      <c r="E58" s="4496"/>
      <c r="F58" s="1411">
        <f>$F$57</f>
        <v>30</v>
      </c>
      <c r="G58" s="1327">
        <f>$H$12</f>
        <v>0</v>
      </c>
      <c r="H58" s="132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991"/>
      <c r="J58" s="1304">
        <f>TRUNC((SUM(F58:I58)+IF(Dominiofísico,10,0)+IF(CuerpodeVacío,20,0)+Tablas!$G$272*25+Tablas!$G$273*50+Tablas!$K$1937+Tablas!$K$2003+Tablas!$S$1545+'Tablas psiquica'!$AO$61)*IF(Tablas!$G$519&gt;0,0.5,1),0)</f>
        <v>30</v>
      </c>
      <c r="K58" s="2398"/>
      <c r="L58" s="4322"/>
      <c r="M58" s="4306" t="s">
        <v>1323</v>
      </c>
      <c r="N58" s="4306"/>
      <c r="O58" s="4311"/>
      <c r="P58" s="4311"/>
      <c r="Q58" s="470">
        <f>IF(Robo_final="-","-",Robo_final+O58)</f>
        <v>-30</v>
      </c>
      <c r="R58" s="579"/>
      <c r="S58" s="947">
        <f>IF(V58="",MAX($S$41:S57)+1,0)</f>
        <v>17</v>
      </c>
      <c r="T58" s="948">
        <f>IF(V58="",0,MAX($T$41:T57)+1)</f>
        <v>0</v>
      </c>
      <c r="U58" s="967">
        <f>IF(V58="",Tablas!A17,IF(COUNTIF(V$42:V57,V58)&gt;0,V58&amp;COUNTIF(V$42:V57,V58)+1,V58&amp;1))</f>
        <v>17</v>
      </c>
      <c r="V58" s="4473"/>
      <c r="W58" s="4474"/>
      <c r="X58" s="4474"/>
      <c r="Y58" s="4474"/>
      <c r="Z58" s="4474"/>
      <c r="AA58" s="4475"/>
      <c r="AB58" s="4470"/>
      <c r="AC58" s="4471"/>
      <c r="AD58" s="4471"/>
      <c r="AE58" s="4472"/>
      <c r="AF58" s="4488"/>
      <c r="AG58" s="4489"/>
      <c r="AH58" s="4490"/>
      <c r="AI58" s="1032" t="str">
        <f t="shared" si="6"/>
        <v/>
      </c>
      <c r="AJ58" s="1304" t="str">
        <f t="shared" si="7"/>
        <v/>
      </c>
      <c r="AK58" s="3985" t="str">
        <f t="shared" si="9"/>
        <v/>
      </c>
      <c r="AL58" s="587"/>
      <c r="AM58" s="2265" t="str">
        <f t="shared" si="10"/>
        <v/>
      </c>
      <c r="AN58" s="628" t="str">
        <f t="shared" si="11"/>
        <v/>
      </c>
      <c r="AO58" s="2265" t="str">
        <f t="shared" si="8"/>
        <v/>
      </c>
      <c r="AP58" s="530">
        <f>COUNTIF($AN$41:AN57,V58&amp;AB58&amp;"*")</f>
        <v>17</v>
      </c>
      <c r="AT58" s="2265" t="str">
        <f>Tablas!$R$2236</f>
        <v/>
      </c>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c r="BY58" s="530"/>
      <c r="BZ58" s="530"/>
      <c r="CA58" s="530"/>
      <c r="CB58" s="530"/>
      <c r="CC58" s="530"/>
      <c r="CD58" s="530"/>
      <c r="CE58" s="530"/>
      <c r="CF58" s="530"/>
      <c r="CG58" s="530"/>
    </row>
    <row r="59" spans="1:85" ht="12" customHeight="1">
      <c r="A59" s="9"/>
      <c r="B59" s="746"/>
      <c r="C59" s="4526"/>
      <c r="D59" s="4495" t="s">
        <v>1320</v>
      </c>
      <c r="E59" s="4496"/>
      <c r="F59" s="1411">
        <f>$F$57</f>
        <v>30</v>
      </c>
      <c r="G59" s="1327">
        <f>$H$12</f>
        <v>0</v>
      </c>
      <c r="H59" s="132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991"/>
      <c r="J59" s="1304">
        <f>TRUNC((SUM(F59:I59)+IF(CuerpodeVacío,20,0)+Tablas!$G$272*25+Tablas!$G$273*50+Tablas!$K$1937+Tablas!S1546)*IF(Tablas!$G$513&gt;0,0.5,1),0)</f>
        <v>30</v>
      </c>
      <c r="K59" s="2398"/>
      <c r="L59" s="4322"/>
      <c r="M59" s="4306" t="s">
        <v>1325</v>
      </c>
      <c r="N59" s="4306"/>
      <c r="O59" s="4311">
        <f>PenNatural-MIN(MAX(LlevarArmadura_final-Combate!H16,0)+Combate!H17,0)+MIN(Combate!H17+MAX(LlevarArmadura_final-Combate!H16,0),ROUNDDOWN(Combate!H17/2,0))</f>
        <v>0</v>
      </c>
      <c r="P59" s="4311"/>
      <c r="Q59" s="470">
        <f>IF(Sigilo_final="-","-",Sigilo_final+O59)</f>
        <v>-30</v>
      </c>
      <c r="R59" s="579"/>
      <c r="S59" s="947">
        <f>IF(V59="",MAX($S$41:S58)+1,0)</f>
        <v>18</v>
      </c>
      <c r="T59" s="948">
        <f>IF(V59="",0,MAX($T$41:T58)+1)</f>
        <v>0</v>
      </c>
      <c r="U59" s="967">
        <f>IF(V59="",Tablas!A18,IF(COUNTIF(V$42:V58,V59)&gt;0,V59&amp;COUNTIF(V$42:V58,V59)+1,V59&amp;1))</f>
        <v>18</v>
      </c>
      <c r="V59" s="4473"/>
      <c r="W59" s="4474"/>
      <c r="X59" s="4474"/>
      <c r="Y59" s="4474"/>
      <c r="Z59" s="4474"/>
      <c r="AA59" s="4475"/>
      <c r="AB59" s="4470"/>
      <c r="AC59" s="4471"/>
      <c r="AD59" s="4471"/>
      <c r="AE59" s="4472"/>
      <c r="AF59" s="4488"/>
      <c r="AG59" s="4489"/>
      <c r="AH59" s="4490"/>
      <c r="AI59" s="1032" t="str">
        <f t="shared" si="6"/>
        <v/>
      </c>
      <c r="AJ59" s="1304" t="str">
        <f t="shared" si="7"/>
        <v/>
      </c>
      <c r="AK59" s="3985" t="str">
        <f t="shared" si="9"/>
        <v/>
      </c>
      <c r="AL59" s="587"/>
      <c r="AM59" s="2265" t="str">
        <f t="shared" si="10"/>
        <v/>
      </c>
      <c r="AN59" s="628" t="str">
        <f t="shared" si="11"/>
        <v/>
      </c>
      <c r="AO59" s="2265" t="str">
        <f t="shared" si="8"/>
        <v/>
      </c>
      <c r="AP59" s="530">
        <f>COUNTIF($AN$41:AN58,V59&amp;AB59&amp;"*")</f>
        <v>18</v>
      </c>
      <c r="AT59" s="2265" t="str">
        <f>Tablas!$U$2236</f>
        <v/>
      </c>
      <c r="AV59" s="530"/>
      <c r="AW59" s="530"/>
      <c r="AX59" s="530"/>
      <c r="AY59" s="530"/>
      <c r="AZ59" s="530"/>
      <c r="BA59" s="530"/>
      <c r="BB59" s="530"/>
      <c r="BC59" s="530"/>
      <c r="BD59" s="530"/>
      <c r="BE59" s="530"/>
      <c r="BF59" s="530"/>
      <c r="BG59" s="530"/>
      <c r="BH59" s="530"/>
      <c r="BI59" s="530"/>
      <c r="BJ59" s="530"/>
      <c r="BK59" s="530"/>
      <c r="BL59" s="530"/>
      <c r="BM59" s="530"/>
      <c r="BN59" s="530"/>
      <c r="BO59" s="530"/>
      <c r="BP59" s="530"/>
      <c r="BQ59" s="530"/>
      <c r="BR59" s="530"/>
      <c r="BS59" s="530"/>
      <c r="BT59" s="530"/>
      <c r="BU59" s="530"/>
      <c r="BV59" s="530"/>
      <c r="BW59" s="530"/>
      <c r="BX59" s="530"/>
      <c r="BY59" s="530"/>
      <c r="BZ59" s="530"/>
      <c r="CA59" s="530"/>
      <c r="CB59" s="530"/>
      <c r="CC59" s="530"/>
      <c r="CD59" s="530"/>
      <c r="CE59" s="530"/>
      <c r="CF59" s="530"/>
      <c r="CG59" s="530"/>
    </row>
    <row r="60" spans="1:85" ht="12" customHeight="1">
      <c r="A60" s="9"/>
      <c r="B60" s="746"/>
      <c r="C60" s="4526"/>
      <c r="D60" s="4495" t="s">
        <v>1322</v>
      </c>
      <c r="E60" s="4496"/>
      <c r="F60" s="1411">
        <f>$F$57</f>
        <v>30</v>
      </c>
      <c r="G60" s="1327">
        <f>$H$12</f>
        <v>0</v>
      </c>
      <c r="H60" s="132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991"/>
      <c r="J60" s="1304">
        <f>TRUNC((SUM(F60:I60)+IF(CuerpodeVacío,20,0)+Tablas!$G$272*25+Tablas!$G$273*50+20*Tablas!$P$268+Tablas!$K$1937+Tablas!$S$1547)*IF(Tablas!$G$514&gt;0,0.5,1),0)</f>
        <v>30</v>
      </c>
      <c r="K60" s="2398"/>
      <c r="L60" s="4322"/>
      <c r="M60" s="4306" t="s">
        <v>1327</v>
      </c>
      <c r="N60" s="4306"/>
      <c r="O60" s="4311"/>
      <c r="P60" s="4311"/>
      <c r="Q60" s="470">
        <f>IF(Trampería_final="-","-",Trampería_final+O60)</f>
        <v>-30</v>
      </c>
      <c r="R60" s="579"/>
      <c r="S60" s="947">
        <f>IF(V60="",MAX($S$41:S59)+1,0)</f>
        <v>19</v>
      </c>
      <c r="T60" s="948">
        <f>IF(V60="",0,MAX($T$41:T59)+1)</f>
        <v>0</v>
      </c>
      <c r="U60" s="967">
        <f>IF(V60="",Tablas!A19,IF(COUNTIF(V$42:V59,V60)&gt;0,V60&amp;COUNTIF(V$42:V59,V60)+1,V60&amp;1))</f>
        <v>19</v>
      </c>
      <c r="V60" s="4473"/>
      <c r="W60" s="4474"/>
      <c r="X60" s="4474"/>
      <c r="Y60" s="4474"/>
      <c r="Z60" s="4474"/>
      <c r="AA60" s="4475"/>
      <c r="AB60" s="4470"/>
      <c r="AC60" s="4471"/>
      <c r="AD60" s="4471"/>
      <c r="AE60" s="4472"/>
      <c r="AF60" s="4488"/>
      <c r="AG60" s="4489"/>
      <c r="AH60" s="4490"/>
      <c r="AI60" s="1032" t="str">
        <f t="shared" si="6"/>
        <v/>
      </c>
      <c r="AJ60" s="1304" t="str">
        <f t="shared" si="7"/>
        <v/>
      </c>
      <c r="AK60" s="3985" t="str">
        <f t="shared" si="9"/>
        <v/>
      </c>
      <c r="AL60" s="587"/>
      <c r="AM60" s="2265" t="str">
        <f t="shared" si="10"/>
        <v/>
      </c>
      <c r="AN60" s="628" t="str">
        <f t="shared" si="11"/>
        <v/>
      </c>
      <c r="AO60" s="2265" t="str">
        <f t="shared" si="8"/>
        <v/>
      </c>
      <c r="AP60" s="530">
        <f>COUNTIF($AN$41:AN59,V60&amp;AB60&amp;"*")</f>
        <v>19</v>
      </c>
      <c r="AT60" s="2265" t="str">
        <f>Tablas!$X$2236</f>
        <v/>
      </c>
      <c r="AV60" s="530"/>
      <c r="AW60" s="530"/>
      <c r="AX60" s="530"/>
      <c r="AY60" s="530"/>
      <c r="AZ60" s="530"/>
      <c r="BA60" s="530"/>
      <c r="BB60" s="530"/>
      <c r="BC60" s="530"/>
      <c r="BD60" s="530"/>
      <c r="BE60" s="530"/>
      <c r="BF60" s="530"/>
      <c r="BG60" s="530"/>
      <c r="BH60" s="530"/>
      <c r="BI60" s="530"/>
      <c r="BJ60" s="530"/>
      <c r="BK60" s="530"/>
      <c r="BL60" s="530"/>
      <c r="BM60" s="530"/>
      <c r="BN60" s="530"/>
      <c r="BO60" s="530"/>
      <c r="BP60" s="530"/>
      <c r="BQ60" s="530"/>
      <c r="BR60" s="530"/>
      <c r="BS60" s="530"/>
      <c r="BT60" s="530"/>
      <c r="BU60" s="530"/>
      <c r="BV60" s="530"/>
      <c r="BW60" s="530"/>
      <c r="BX60" s="530"/>
      <c r="BY60" s="530"/>
      <c r="BZ60" s="530"/>
      <c r="CA60" s="530"/>
      <c r="CB60" s="530"/>
      <c r="CC60" s="530"/>
      <c r="CD60" s="530"/>
      <c r="CE60" s="530"/>
      <c r="CF60" s="530"/>
      <c r="CG60" s="530"/>
    </row>
    <row r="61" spans="1:85" ht="12" customHeight="1">
      <c r="A61" s="9"/>
      <c r="B61" s="746"/>
      <c r="C61" s="4526"/>
      <c r="D61" s="4495" t="s">
        <v>1324</v>
      </c>
      <c r="E61" s="4496"/>
      <c r="F61" s="1411">
        <f>$F$57</f>
        <v>30</v>
      </c>
      <c r="G61" s="1327">
        <f>H17</f>
        <v>0</v>
      </c>
      <c r="H61" s="132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991"/>
      <c r="J61" s="1304">
        <f>TRUNC((SUM(F61:I61)+IF(CuerpodeVacío,20,0)+Tablas!$G$286*10+Tablas!$G$274*25+Tablas!$G$275*50+Tablas!$K$1937+Tablas!S1563)*IF(Tablas!G516&gt;0,0.5,1),0)</f>
        <v>30</v>
      </c>
      <c r="K61" s="2398"/>
      <c r="L61" s="4322"/>
      <c r="M61" s="4306" t="s">
        <v>1328</v>
      </c>
      <c r="N61" s="4306"/>
      <c r="O61" s="4311"/>
      <c r="P61" s="4311"/>
      <c r="Q61" s="470" t="str">
        <f>IF(Venenos_final="-","-",Venenos_final+O61)</f>
        <v>-</v>
      </c>
      <c r="R61" s="579"/>
      <c r="S61" s="947">
        <f>IF(V61="",MAX($S$41:S60)+1,0)</f>
        <v>20</v>
      </c>
      <c r="T61" s="948">
        <f>IF(V61="",0,MAX($T$41:T60)+1)</f>
        <v>0</v>
      </c>
      <c r="U61" s="967">
        <f>IF(V61="",Tablas!A20,IF(COUNTIF(V$42:V60,V61)&gt;0,V61&amp;COUNTIF(V$42:V60,V61)+1,V61&amp;1))</f>
        <v>20</v>
      </c>
      <c r="V61" s="4473"/>
      <c r="W61" s="4474"/>
      <c r="X61" s="4474"/>
      <c r="Y61" s="4474"/>
      <c r="Z61" s="4474"/>
      <c r="AA61" s="4475"/>
      <c r="AB61" s="4470"/>
      <c r="AC61" s="4471"/>
      <c r="AD61" s="4471"/>
      <c r="AE61" s="4472"/>
      <c r="AF61" s="4488"/>
      <c r="AG61" s="4489"/>
      <c r="AH61" s="4490"/>
      <c r="AI61" s="1032" t="str">
        <f t="shared" si="6"/>
        <v/>
      </c>
      <c r="AJ61" s="1304" t="str">
        <f t="shared" si="7"/>
        <v/>
      </c>
      <c r="AK61" s="3985" t="str">
        <f t="shared" si="9"/>
        <v/>
      </c>
      <c r="AL61" s="587"/>
      <c r="AM61" s="2265" t="str">
        <f t="shared" si="10"/>
        <v/>
      </c>
      <c r="AN61" s="628" t="str">
        <f t="shared" si="11"/>
        <v/>
      </c>
      <c r="AO61" s="2265" t="str">
        <f t="shared" si="8"/>
        <v/>
      </c>
      <c r="AP61" s="530">
        <f>COUNTIF($AN$41:AN60,V61&amp;AB61&amp;"*")</f>
        <v>20</v>
      </c>
      <c r="AT61" s="2265" t="str">
        <f>Tablas!$AA$2236</f>
        <v/>
      </c>
      <c r="AV61" s="530"/>
      <c r="AW61" s="530"/>
      <c r="AX61" s="530"/>
      <c r="AY61" s="530"/>
      <c r="AZ61" s="530"/>
      <c r="BA61" s="530"/>
      <c r="BB61" s="530"/>
      <c r="BC61" s="530"/>
      <c r="BD61" s="530"/>
      <c r="BE61" s="530"/>
      <c r="BF61" s="530"/>
      <c r="BG61" s="530"/>
      <c r="BH61" s="530"/>
      <c r="BI61" s="530"/>
      <c r="BJ61" s="530"/>
      <c r="BK61" s="530"/>
      <c r="BL61" s="530"/>
      <c r="BM61" s="530"/>
      <c r="BN61" s="530"/>
      <c r="BO61" s="530"/>
      <c r="BP61" s="530"/>
      <c r="BQ61" s="530"/>
      <c r="BR61" s="530"/>
      <c r="BS61" s="530"/>
      <c r="BT61" s="530"/>
      <c r="BU61" s="530"/>
      <c r="BV61" s="530"/>
      <c r="BW61" s="530"/>
      <c r="BX61" s="530"/>
      <c r="BY61" s="530"/>
      <c r="BZ61" s="530"/>
      <c r="CA61" s="530"/>
      <c r="CB61" s="530"/>
      <c r="CC61" s="530"/>
      <c r="CD61" s="530"/>
      <c r="CE61" s="530"/>
      <c r="CF61" s="530"/>
      <c r="CG61" s="530"/>
    </row>
    <row r="62" spans="1:85" ht="12" customHeight="1">
      <c r="A62" s="9"/>
      <c r="B62" s="746"/>
      <c r="C62" s="4526"/>
      <c r="D62" s="4533" t="s">
        <v>1326</v>
      </c>
      <c r="E62" s="4534"/>
      <c r="F62" s="1412">
        <f>$F$57</f>
        <v>30</v>
      </c>
      <c r="G62" s="2414">
        <f>H18</f>
        <v>0</v>
      </c>
      <c r="H62" s="24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992"/>
      <c r="J62" s="2415">
        <f>SUM(F62:I62)+IF(CuerpodeVacío,20,0)+Tablas!$G$276*25+Tablas!$G$277*50+Tablas!$K$1937+Tablas!$S$1553+'Tablas psiquica'!$AO$8</f>
        <v>30</v>
      </c>
      <c r="K62" s="2398"/>
      <c r="L62" s="4321" t="s">
        <v>1329</v>
      </c>
      <c r="M62" s="4337" t="s">
        <v>1330</v>
      </c>
      <c r="N62" s="4337"/>
      <c r="O62" s="4335"/>
      <c r="P62" s="4335"/>
      <c r="Q62" s="2407">
        <f>IF(Arte_final="-","-",Arte_final+O62)</f>
        <v>-30</v>
      </c>
      <c r="R62" s="579"/>
      <c r="S62" s="947">
        <f>IF(V62="",MAX($S$41:S61)+1,0)</f>
        <v>21</v>
      </c>
      <c r="T62" s="948">
        <f>IF(V62="",0,MAX($T$41:T61)+1)</f>
        <v>0</v>
      </c>
      <c r="U62" s="967">
        <f>IF(V62="",Tablas!A21,IF(COUNTIF(V$42:V61,V62)&gt;0,V62&amp;COUNTIF(V$42:V61,V62)+1,V62&amp;1))</f>
        <v>21</v>
      </c>
      <c r="V62" s="4473"/>
      <c r="W62" s="4474"/>
      <c r="X62" s="4474"/>
      <c r="Y62" s="4474"/>
      <c r="Z62" s="4474"/>
      <c r="AA62" s="4475"/>
      <c r="AB62" s="4470"/>
      <c r="AC62" s="4471"/>
      <c r="AD62" s="4471"/>
      <c r="AE62" s="4472"/>
      <c r="AF62" s="4488"/>
      <c r="AG62" s="4489"/>
      <c r="AH62" s="4490"/>
      <c r="AI62" s="1032" t="str">
        <f t="shared" si="6"/>
        <v/>
      </c>
      <c r="AJ62" s="1304" t="str">
        <f t="shared" si="7"/>
        <v/>
      </c>
      <c r="AK62" s="3985" t="str">
        <f t="shared" si="9"/>
        <v/>
      </c>
      <c r="AL62" s="587"/>
      <c r="AM62" s="2265" t="str">
        <f t="shared" si="10"/>
        <v/>
      </c>
      <c r="AN62" s="628" t="str">
        <f t="shared" si="11"/>
        <v/>
      </c>
      <c r="AO62" s="2265" t="str">
        <f t="shared" si="8"/>
        <v/>
      </c>
      <c r="AP62" s="530">
        <f>COUNTIF($AN$41:AN61,V62&amp;AB62&amp;"*")</f>
        <v>21</v>
      </c>
      <c r="AT62" s="2265" t="str">
        <f>Tablas!$AD$2236</f>
        <v/>
      </c>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c r="BY62" s="530"/>
      <c r="BZ62" s="530"/>
      <c r="CA62" s="530"/>
      <c r="CB62" s="530"/>
      <c r="CC62" s="530"/>
      <c r="CD62" s="530"/>
      <c r="CE62" s="530"/>
      <c r="CF62" s="530"/>
      <c r="CG62" s="530"/>
    </row>
    <row r="63" spans="1:85" ht="12" customHeight="1">
      <c r="A63" s="9"/>
      <c r="B63" s="746"/>
      <c r="C63" s="4527"/>
      <c r="D63" s="4503" t="s">
        <v>1239</v>
      </c>
      <c r="E63" s="4491"/>
      <c r="F63" s="4491"/>
      <c r="G63" s="4491"/>
      <c r="H63" s="4491"/>
      <c r="I63" s="4491"/>
      <c r="J63" s="4492"/>
      <c r="K63" s="2398"/>
      <c r="L63" s="4322"/>
      <c r="M63" s="4306" t="s">
        <v>1331</v>
      </c>
      <c r="N63" s="4306"/>
      <c r="O63" s="4311">
        <f>PenNatural</f>
        <v>0</v>
      </c>
      <c r="P63" s="4311"/>
      <c r="Q63" s="470" t="str">
        <f>IF(Baile_final="-","-",Baile_final+O63)</f>
        <v>-</v>
      </c>
      <c r="R63" s="579"/>
      <c r="S63" s="947">
        <f>IF(V63="",MAX($S$41:S62)+1,0)</f>
        <v>22</v>
      </c>
      <c r="T63" s="948">
        <f>IF(V63="",0,MAX($T$41:T62)+1)</f>
        <v>0</v>
      </c>
      <c r="U63" s="967">
        <f>IF(V63="",Tablas!A22,IF(COUNTIF(V$42:V62,V63)&gt;0,V63&amp;COUNTIF(V$42:V62,V63)+1,V63&amp;1))</f>
        <v>22</v>
      </c>
      <c r="V63" s="4473"/>
      <c r="W63" s="4474"/>
      <c r="X63" s="4474"/>
      <c r="Y63" s="4474"/>
      <c r="Z63" s="4474"/>
      <c r="AA63" s="4475"/>
      <c r="AB63" s="4470"/>
      <c r="AC63" s="4471"/>
      <c r="AD63" s="4471"/>
      <c r="AE63" s="4472"/>
      <c r="AF63" s="4488"/>
      <c r="AG63" s="4489"/>
      <c r="AH63" s="4490"/>
      <c r="AI63" s="1032" t="str">
        <f t="shared" si="6"/>
        <v/>
      </c>
      <c r="AJ63" s="1304" t="str">
        <f t="shared" si="7"/>
        <v/>
      </c>
      <c r="AK63" s="3985" t="str">
        <f t="shared" si="9"/>
        <v/>
      </c>
      <c r="AL63" s="587"/>
      <c r="AM63" s="2265" t="str">
        <f t="shared" si="10"/>
        <v/>
      </c>
      <c r="AN63" s="628" t="str">
        <f t="shared" si="11"/>
        <v/>
      </c>
      <c r="AO63" s="2265" t="str">
        <f t="shared" si="8"/>
        <v/>
      </c>
      <c r="AP63" s="530">
        <f>COUNTIF($AN$41:AN62,V63&amp;AB63&amp;"*")</f>
        <v>22</v>
      </c>
      <c r="AT63" s="2265" t="str">
        <f>Tablas!$AG$2236</f>
        <v/>
      </c>
      <c r="AV63" s="530"/>
      <c r="AW63" s="530"/>
      <c r="AX63" s="530"/>
      <c r="AY63" s="530"/>
      <c r="AZ63" s="530"/>
      <c r="BA63" s="530"/>
      <c r="BB63" s="530"/>
      <c r="BC63" s="530"/>
      <c r="BD63" s="530"/>
      <c r="BE63" s="530"/>
      <c r="BF63" s="530"/>
      <c r="BG63" s="530"/>
      <c r="BH63" s="530"/>
      <c r="BI63" s="530"/>
      <c r="BJ63" s="530"/>
      <c r="BK63" s="530"/>
      <c r="BL63" s="530"/>
      <c r="BM63" s="530"/>
      <c r="BN63" s="530"/>
      <c r="BO63" s="530"/>
      <c r="BP63" s="530"/>
      <c r="BQ63" s="530"/>
      <c r="BR63" s="530"/>
      <c r="BS63" s="530"/>
      <c r="BT63" s="530"/>
      <c r="BU63" s="530"/>
      <c r="BV63" s="530"/>
      <c r="BW63" s="530"/>
      <c r="BX63" s="530"/>
      <c r="BY63" s="530"/>
      <c r="BZ63" s="530"/>
      <c r="CA63" s="530"/>
      <c r="CB63" s="530"/>
      <c r="CC63" s="530"/>
      <c r="CD63" s="530"/>
      <c r="CE63" s="530"/>
      <c r="CF63" s="530"/>
      <c r="CG63" s="530"/>
    </row>
    <row r="64" spans="1:85" ht="12" customHeight="1">
      <c r="A64" s="9"/>
      <c r="B64" s="746"/>
      <c r="C64" s="4527"/>
      <c r="D64" s="4503"/>
      <c r="E64" s="4493"/>
      <c r="F64" s="4493"/>
      <c r="G64" s="4493"/>
      <c r="H64" s="4493"/>
      <c r="I64" s="4493"/>
      <c r="J64" s="4494"/>
      <c r="K64" s="2398"/>
      <c r="L64" s="4322"/>
      <c r="M64" s="4306" t="s">
        <v>1332</v>
      </c>
      <c r="N64" s="4306"/>
      <c r="O64" s="4311"/>
      <c r="P64" s="4311"/>
      <c r="Q64" s="470" t="str">
        <f>IF(Forja_final="-","-",Forja_final+O64)</f>
        <v>-</v>
      </c>
      <c r="R64" s="579"/>
      <c r="S64" s="947">
        <f>IF(V64="",MAX($S$41:S63)+1,0)</f>
        <v>23</v>
      </c>
      <c r="T64" s="948">
        <f>IF(V64="",0,MAX($T$41:T63)+1)</f>
        <v>0</v>
      </c>
      <c r="U64" s="967">
        <f>IF(V64="",Tablas!A23,IF(COUNTIF(V$42:V63,V64)&gt;0,V64&amp;COUNTIF(V$42:V63,V64)+1,V64&amp;1))</f>
        <v>23</v>
      </c>
      <c r="V64" s="4473"/>
      <c r="W64" s="4474"/>
      <c r="X64" s="4474"/>
      <c r="Y64" s="4474"/>
      <c r="Z64" s="4474"/>
      <c r="AA64" s="4475"/>
      <c r="AB64" s="4470"/>
      <c r="AC64" s="4471"/>
      <c r="AD64" s="4471"/>
      <c r="AE64" s="4472"/>
      <c r="AF64" s="4488"/>
      <c r="AG64" s="4489"/>
      <c r="AH64" s="4490"/>
      <c r="AI64" s="1032" t="str">
        <f t="shared" si="6"/>
        <v/>
      </c>
      <c r="AJ64" s="1304" t="str">
        <f t="shared" si="7"/>
        <v/>
      </c>
      <c r="AK64" s="3985" t="str">
        <f t="shared" si="9"/>
        <v/>
      </c>
      <c r="AL64" s="587"/>
      <c r="AM64" s="2265" t="str">
        <f t="shared" si="10"/>
        <v/>
      </c>
      <c r="AN64" s="628" t="str">
        <f t="shared" si="11"/>
        <v/>
      </c>
      <c r="AO64" s="2265" t="str">
        <f t="shared" si="8"/>
        <v/>
      </c>
      <c r="AP64" s="530">
        <f>COUNTIF($AN$41:AN63,V64&amp;AB64&amp;"*")</f>
        <v>23</v>
      </c>
      <c r="AT64" s="2265" t="str">
        <f>Tablas!$AJ$2236</f>
        <v/>
      </c>
      <c r="AV64" s="530"/>
      <c r="AW64" s="530"/>
      <c r="AX64" s="530"/>
      <c r="AY64" s="530"/>
      <c r="AZ64" s="530"/>
      <c r="BA64" s="530"/>
      <c r="BB64" s="530"/>
      <c r="BC64" s="530"/>
      <c r="BD64" s="530"/>
      <c r="BE64" s="530"/>
      <c r="BF64" s="530"/>
      <c r="BG64" s="530"/>
      <c r="BH64" s="530"/>
      <c r="BI64" s="530"/>
      <c r="BJ64" s="530"/>
      <c r="BK64" s="530"/>
      <c r="BL64" s="530"/>
      <c r="BM64" s="530"/>
      <c r="BN64" s="530"/>
      <c r="BO64" s="530"/>
      <c r="BP64" s="530"/>
      <c r="BQ64" s="530"/>
      <c r="BR64" s="530"/>
      <c r="BS64" s="530"/>
      <c r="BT64" s="530"/>
      <c r="BU64" s="530"/>
      <c r="BV64" s="530"/>
      <c r="BW64" s="530"/>
      <c r="BX64" s="530"/>
      <c r="BY64" s="530"/>
      <c r="BZ64" s="530"/>
      <c r="CA64" s="530"/>
      <c r="CB64" s="530"/>
      <c r="CC64" s="530"/>
      <c r="CD64" s="530"/>
      <c r="CE64" s="530"/>
      <c r="CF64" s="530"/>
      <c r="CG64" s="530"/>
    </row>
    <row r="65" spans="1:85" ht="12" customHeight="1" thickBot="1">
      <c r="A65" s="9"/>
      <c r="B65" s="746"/>
      <c r="C65" s="4528"/>
      <c r="D65" s="4593" t="str">
        <f>IFERROR(LEFT(AT36,LEN(AT36)-2),"")</f>
        <v/>
      </c>
      <c r="E65" s="4593"/>
      <c r="F65" s="4593"/>
      <c r="G65" s="4593"/>
      <c r="H65" s="4593"/>
      <c r="I65" s="4593"/>
      <c r="J65" s="4594"/>
      <c r="K65" s="2398"/>
      <c r="L65" s="4322"/>
      <c r="M65" s="4306" t="s">
        <v>682</v>
      </c>
      <c r="N65" s="4306"/>
      <c r="O65" s="4311"/>
      <c r="P65" s="4311"/>
      <c r="Q65" s="470">
        <f>IF(Runas_final="-","-",Runas_final+O65)</f>
        <v>-30</v>
      </c>
      <c r="R65" s="579"/>
      <c r="S65" s="947">
        <f>IF(V65="",MAX($S$41:S64)+1,0)</f>
        <v>24</v>
      </c>
      <c r="T65" s="948">
        <f>IF(V65="",0,MAX($T$41:T64)+1)</f>
        <v>0</v>
      </c>
      <c r="U65" s="967">
        <f>IF(V65="",Tablas!A24,IF(COUNTIF(V$42:V64,V65)&gt;0,V65&amp;COUNTIF(V$42:V64,V65)+1,V65&amp;1))</f>
        <v>24</v>
      </c>
      <c r="V65" s="4473"/>
      <c r="W65" s="4474"/>
      <c r="X65" s="4474"/>
      <c r="Y65" s="4474"/>
      <c r="Z65" s="4474"/>
      <c r="AA65" s="4475"/>
      <c r="AB65" s="4470"/>
      <c r="AC65" s="4471"/>
      <c r="AD65" s="4471"/>
      <c r="AE65" s="4472"/>
      <c r="AF65" s="4488"/>
      <c r="AG65" s="4489"/>
      <c r="AH65" s="4490"/>
      <c r="AI65" s="1032" t="str">
        <f t="shared" si="6"/>
        <v/>
      </c>
      <c r="AJ65" s="1304" t="str">
        <f t="shared" si="7"/>
        <v/>
      </c>
      <c r="AK65" s="3985" t="str">
        <f t="shared" si="9"/>
        <v/>
      </c>
      <c r="AL65" s="587"/>
      <c r="AM65" s="2265" t="str">
        <f t="shared" si="10"/>
        <v/>
      </c>
      <c r="AN65" s="628" t="str">
        <f t="shared" si="11"/>
        <v/>
      </c>
      <c r="AO65" s="2265" t="str">
        <f t="shared" si="8"/>
        <v/>
      </c>
      <c r="AP65" s="530">
        <f>COUNTIF($AN$41:AN64,V65&amp;AB65&amp;"*")</f>
        <v>24</v>
      </c>
      <c r="AT65" s="2265" t="str">
        <f>Tablas!$AM$2236</f>
        <v/>
      </c>
      <c r="AV65" s="530"/>
      <c r="AW65" s="530"/>
      <c r="AX65" s="530"/>
      <c r="AY65" s="530"/>
      <c r="AZ65" s="530"/>
      <c r="BA65" s="530"/>
      <c r="BB65" s="530"/>
      <c r="BC65" s="530"/>
      <c r="BD65" s="530"/>
      <c r="BE65" s="530"/>
      <c r="BF65" s="530"/>
      <c r="BG65" s="530"/>
      <c r="BH65" s="530"/>
      <c r="BI65" s="530"/>
      <c r="BJ65" s="530"/>
      <c r="BK65" s="530"/>
      <c r="BL65" s="530"/>
      <c r="BM65" s="530"/>
      <c r="BN65" s="530"/>
      <c r="BO65" s="530"/>
      <c r="BP65" s="530"/>
      <c r="BQ65" s="530"/>
      <c r="BR65" s="530"/>
      <c r="BS65" s="530"/>
      <c r="BT65" s="530"/>
      <c r="BU65" s="530"/>
      <c r="BV65" s="530"/>
      <c r="BW65" s="530"/>
      <c r="BX65" s="530"/>
      <c r="BY65" s="530"/>
      <c r="BZ65" s="530"/>
      <c r="CA65" s="530"/>
      <c r="CB65" s="530"/>
      <c r="CC65" s="530"/>
      <c r="CD65" s="530"/>
      <c r="CE65" s="530"/>
      <c r="CF65" s="530"/>
      <c r="CG65" s="530"/>
    </row>
    <row r="66" spans="1:85" ht="12" customHeight="1">
      <c r="A66" s="9"/>
      <c r="B66" s="746"/>
      <c r="K66" s="2398"/>
      <c r="L66" s="4322"/>
      <c r="M66" s="4306" t="s">
        <v>683</v>
      </c>
      <c r="N66" s="4306"/>
      <c r="O66" s="4311"/>
      <c r="P66" s="4311"/>
      <c r="Q66" s="470">
        <f>IF(Alquimia_final="-","-",Alquimia_final+O66)</f>
        <v>-30</v>
      </c>
      <c r="R66" s="579"/>
      <c r="S66" s="947">
        <f>IF(V66="",MAX($S$41:S65)+1,0)</f>
        <v>25</v>
      </c>
      <c r="T66" s="948">
        <f>IF(V66="",0,MAX($T$41:T65)+1)</f>
        <v>0</v>
      </c>
      <c r="U66" s="967">
        <f>IF(V66="",Tablas!A25,IF(COUNTIF(V$42:V65,V66)&gt;0,V66&amp;COUNTIF(V$42:V65,V66)+1,V66&amp;1))</f>
        <v>25</v>
      </c>
      <c r="V66" s="4473"/>
      <c r="W66" s="4474"/>
      <c r="X66" s="4474"/>
      <c r="Y66" s="4474"/>
      <c r="Z66" s="4474"/>
      <c r="AA66" s="4475"/>
      <c r="AB66" s="4470"/>
      <c r="AC66" s="4471"/>
      <c r="AD66" s="4471"/>
      <c r="AE66" s="4472"/>
      <c r="AF66" s="4488"/>
      <c r="AG66" s="4489"/>
      <c r="AH66" s="4490"/>
      <c r="AI66" s="1032" t="str">
        <f t="shared" si="6"/>
        <v/>
      </c>
      <c r="AJ66" s="1304" t="str">
        <f t="shared" si="7"/>
        <v/>
      </c>
      <c r="AK66" s="3985" t="str">
        <f t="shared" si="9"/>
        <v/>
      </c>
      <c r="AL66" s="587"/>
      <c r="AM66" s="2265" t="str">
        <f t="shared" si="10"/>
        <v/>
      </c>
      <c r="AN66" s="628" t="str">
        <f t="shared" si="11"/>
        <v/>
      </c>
      <c r="AO66" s="2265" t="str">
        <f t="shared" si="8"/>
        <v/>
      </c>
      <c r="AP66" s="530">
        <f>COUNTIF($AN$41:AN65,V66&amp;AB66&amp;"*")</f>
        <v>25</v>
      </c>
      <c r="AT66" s="2265"/>
      <c r="AV66" s="530"/>
      <c r="AW66" s="530"/>
      <c r="AX66" s="530"/>
      <c r="AY66" s="530"/>
      <c r="AZ66" s="530"/>
      <c r="BA66" s="530"/>
      <c r="BB66" s="530"/>
      <c r="BC66" s="530"/>
      <c r="BD66" s="530"/>
      <c r="BE66" s="530"/>
      <c r="BF66" s="530"/>
      <c r="BG66" s="530"/>
      <c r="BH66" s="530"/>
      <c r="BI66" s="530"/>
      <c r="BJ66" s="530"/>
      <c r="BK66" s="530"/>
      <c r="BL66" s="530"/>
      <c r="BM66" s="530"/>
      <c r="BN66" s="530"/>
      <c r="BO66" s="530"/>
      <c r="BP66" s="530"/>
      <c r="BQ66" s="530"/>
      <c r="BR66" s="530"/>
      <c r="BS66" s="530"/>
      <c r="BT66" s="530"/>
      <c r="BU66" s="530"/>
      <c r="BV66" s="530"/>
      <c r="BW66" s="530"/>
      <c r="BX66" s="530"/>
      <c r="BY66" s="530"/>
      <c r="BZ66" s="530"/>
      <c r="CA66" s="530"/>
      <c r="CB66" s="530"/>
      <c r="CC66" s="530"/>
      <c r="CD66" s="530"/>
      <c r="CE66" s="530"/>
      <c r="CF66" s="530"/>
      <c r="CG66" s="530"/>
    </row>
    <row r="67" spans="1:85" ht="12" customHeight="1" thickBot="1">
      <c r="A67" s="9"/>
      <c r="B67" s="746"/>
      <c r="K67" s="2398"/>
      <c r="L67" s="4322"/>
      <c r="M67" s="4306" t="s">
        <v>684</v>
      </c>
      <c r="N67" s="4306"/>
      <c r="O67" s="4311"/>
      <c r="P67" s="4311"/>
      <c r="Q67" s="470">
        <f>IF(Animismo_final="-","-",Animismo_final+O67)</f>
        <v>-30</v>
      </c>
      <c r="R67" s="579"/>
      <c r="S67" s="947">
        <f>IF(V67="",MAX($S$41:S66)+1,0)</f>
        <v>26</v>
      </c>
      <c r="T67" s="948">
        <f>IF(V67="",0,MAX($T$41:T66)+1)</f>
        <v>0</v>
      </c>
      <c r="U67" s="967">
        <f>IF(V67="",Tablas!A26,IF(COUNTIF(V$42:V66,V67)&gt;0,V67&amp;COUNTIF(V$42:V66,V67)+1,V67&amp;1))</f>
        <v>26</v>
      </c>
      <c r="V67" s="4473"/>
      <c r="W67" s="4474"/>
      <c r="X67" s="4474"/>
      <c r="Y67" s="4474"/>
      <c r="Z67" s="4474"/>
      <c r="AA67" s="4475"/>
      <c r="AB67" s="4470"/>
      <c r="AC67" s="4471"/>
      <c r="AD67" s="4471"/>
      <c r="AE67" s="4472"/>
      <c r="AF67" s="4488"/>
      <c r="AG67" s="4489"/>
      <c r="AH67" s="4490"/>
      <c r="AI67" s="1032" t="str">
        <f t="shared" si="6"/>
        <v/>
      </c>
      <c r="AJ67" s="1304" t="str">
        <f t="shared" si="7"/>
        <v/>
      </c>
      <c r="AK67" s="3985" t="str">
        <f t="shared" si="9"/>
        <v/>
      </c>
      <c r="AL67" s="587"/>
      <c r="AM67" s="2265" t="str">
        <f t="shared" si="10"/>
        <v/>
      </c>
      <c r="AN67" s="628" t="str">
        <f t="shared" si="11"/>
        <v/>
      </c>
      <c r="AO67" s="2265" t="str">
        <f t="shared" si="8"/>
        <v/>
      </c>
      <c r="AP67" s="530">
        <f>COUNTIF($AN$41:AN66,V67&amp;AB67&amp;"*")</f>
        <v>26</v>
      </c>
      <c r="AT67" s="2265"/>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c r="BY67" s="530"/>
      <c r="BZ67" s="530"/>
      <c r="CA67" s="530"/>
      <c r="CB67" s="530"/>
      <c r="CC67" s="530"/>
      <c r="CD67" s="530"/>
      <c r="CE67" s="530"/>
      <c r="CF67" s="530"/>
      <c r="CG67" s="530"/>
    </row>
    <row r="68" spans="1:85" ht="12" customHeight="1" thickBot="1">
      <c r="A68" s="9"/>
      <c r="B68" s="746"/>
      <c r="C68" s="4352" t="s">
        <v>9737</v>
      </c>
      <c r="D68" s="4504"/>
      <c r="E68" s="1429">
        <f>IF(INT=0,0,VLOOKUP(INT,Tabla_Idiomas,2))</f>
        <v>0</v>
      </c>
      <c r="G68" s="4505" t="s">
        <v>9138</v>
      </c>
      <c r="H68" s="4506"/>
      <c r="I68" s="4506"/>
      <c r="J68" s="4507"/>
      <c r="K68" s="2398"/>
      <c r="L68" s="4322"/>
      <c r="M68" s="4306" t="s">
        <v>1333</v>
      </c>
      <c r="N68" s="4306"/>
      <c r="O68" s="4311"/>
      <c r="P68" s="4311"/>
      <c r="Q68" s="470" t="str">
        <f>IF(Música_final="-","-",Música_final+O68)</f>
        <v>-</v>
      </c>
      <c r="R68" s="579"/>
      <c r="S68" s="947">
        <f>IF(V68="",MAX($S$41:S67)+1,0)</f>
        <v>27</v>
      </c>
      <c r="T68" s="948">
        <f>IF(V68="",0,MAX($T$41:T67)+1)</f>
        <v>0</v>
      </c>
      <c r="U68" s="967">
        <f>IF(V68="",Tablas!A27,IF(COUNTIF(V$42:V67,V68)&gt;0,V68&amp;COUNTIF(V$42:V67,V68)+1,V68&amp;1))</f>
        <v>27</v>
      </c>
      <c r="V68" s="4473"/>
      <c r="W68" s="4474"/>
      <c r="X68" s="4474"/>
      <c r="Y68" s="4474"/>
      <c r="Z68" s="4474"/>
      <c r="AA68" s="4475"/>
      <c r="AB68" s="4470"/>
      <c r="AC68" s="4471"/>
      <c r="AD68" s="4471"/>
      <c r="AE68" s="4472"/>
      <c r="AF68" s="4488"/>
      <c r="AG68" s="4489"/>
      <c r="AH68" s="4490"/>
      <c r="AI68" s="1032" t="str">
        <f t="shared" si="6"/>
        <v/>
      </c>
      <c r="AJ68" s="1304" t="str">
        <f t="shared" si="7"/>
        <v/>
      </c>
      <c r="AK68" s="3985" t="str">
        <f t="shared" si="9"/>
        <v/>
      </c>
      <c r="AL68" s="587"/>
      <c r="AM68" s="2265" t="str">
        <f t="shared" si="10"/>
        <v/>
      </c>
      <c r="AN68" s="628" t="str">
        <f t="shared" si="11"/>
        <v/>
      </c>
      <c r="AO68" s="2265" t="str">
        <f t="shared" si="8"/>
        <v/>
      </c>
      <c r="AP68" s="530">
        <f>COUNTIF($AN$41:AN67,V68&amp;AB68&amp;"*")</f>
        <v>27</v>
      </c>
      <c r="AT68" s="2265"/>
      <c r="AV68" s="530"/>
      <c r="AW68" s="530"/>
      <c r="AX68" s="530"/>
      <c r="AY68" s="530"/>
      <c r="AZ68" s="530"/>
      <c r="BA68" s="530"/>
      <c r="BB68" s="530"/>
      <c r="BC68" s="530"/>
      <c r="BD68" s="530"/>
      <c r="BE68" s="530"/>
      <c r="BF68" s="530"/>
      <c r="BG68" s="530"/>
      <c r="BH68" s="530"/>
      <c r="BI68" s="530"/>
      <c r="BJ68" s="530"/>
      <c r="BK68" s="530"/>
      <c r="BL68" s="530"/>
      <c r="BM68" s="530"/>
      <c r="BN68" s="530"/>
      <c r="BO68" s="530"/>
      <c r="BP68" s="530"/>
      <c r="BQ68" s="530"/>
      <c r="BR68" s="530"/>
      <c r="BS68" s="530"/>
      <c r="BT68" s="530"/>
      <c r="BU68" s="530"/>
      <c r="BV68" s="530"/>
      <c r="BW68" s="530"/>
      <c r="BX68" s="530"/>
      <c r="BY68" s="530"/>
      <c r="BZ68" s="530"/>
      <c r="CA68" s="530"/>
      <c r="CB68" s="530"/>
      <c r="CC68" s="530"/>
      <c r="CD68" s="530"/>
      <c r="CE68" s="530"/>
      <c r="CF68" s="530"/>
      <c r="CG68" s="530"/>
    </row>
    <row r="69" spans="1:85" ht="12" customHeight="1">
      <c r="A69" s="9"/>
      <c r="B69" s="746"/>
      <c r="C69" s="1430" t="s">
        <v>1225</v>
      </c>
      <c r="D69" s="4521"/>
      <c r="E69" s="4522"/>
      <c r="G69" s="4510"/>
      <c r="H69" s="4511"/>
      <c r="I69" s="4511"/>
      <c r="J69" s="4512"/>
      <c r="K69" s="2398"/>
      <c r="L69" s="4322"/>
      <c r="M69" s="4306" t="s">
        <v>1335</v>
      </c>
      <c r="N69" s="4306"/>
      <c r="O69" s="4311"/>
      <c r="P69" s="4311"/>
      <c r="Q69" s="470">
        <f>IF(T.Manos_final="-","-",T.Manos_final+O69)</f>
        <v>-30</v>
      </c>
      <c r="R69" s="579"/>
      <c r="S69" s="947">
        <f>IF(V69="",MAX($S$41:S68)+1,0)</f>
        <v>28</v>
      </c>
      <c r="T69" s="948">
        <f>IF(V69="",0,MAX($T$41:T68)+1)</f>
        <v>0</v>
      </c>
      <c r="U69" s="967">
        <f>IF(V69="",Tablas!A28,IF(COUNTIF(V$42:V68,V69)&gt;0,V69&amp;COUNTIF(V$42:V68,V69)+1,V69&amp;1))</f>
        <v>28</v>
      </c>
      <c r="V69" s="4555"/>
      <c r="W69" s="4556"/>
      <c r="X69" s="4556"/>
      <c r="Y69" s="4556"/>
      <c r="Z69" s="4556"/>
      <c r="AA69" s="4557"/>
      <c r="AB69" s="4558"/>
      <c r="AC69" s="4559"/>
      <c r="AD69" s="4559"/>
      <c r="AE69" s="4560"/>
      <c r="AF69" s="4561"/>
      <c r="AG69" s="4562"/>
      <c r="AH69" s="4563"/>
      <c r="AI69" s="1032" t="str">
        <f t="shared" si="6"/>
        <v/>
      </c>
      <c r="AJ69" s="1304" t="str">
        <f t="shared" si="7"/>
        <v/>
      </c>
      <c r="AK69" s="3985" t="str">
        <f t="shared" si="9"/>
        <v/>
      </c>
      <c r="AL69" s="587"/>
      <c r="AM69" s="2265" t="str">
        <f t="shared" si="10"/>
        <v/>
      </c>
      <c r="AN69" s="628" t="str">
        <f t="shared" si="11"/>
        <v/>
      </c>
      <c r="AO69" s="2265" t="str">
        <f t="shared" si="8"/>
        <v/>
      </c>
      <c r="AP69" s="530">
        <f>COUNTIF($AN$41:AN68,V69&amp;AB69&amp;"*")</f>
        <v>28</v>
      </c>
      <c r="AV69" s="530"/>
      <c r="AW69" s="530"/>
      <c r="AX69" s="530"/>
      <c r="AY69" s="530"/>
      <c r="AZ69" s="530"/>
      <c r="BA69" s="530"/>
      <c r="BB69" s="530"/>
      <c r="BC69" s="530"/>
      <c r="BD69" s="530"/>
      <c r="BE69" s="530"/>
      <c r="BF69" s="530"/>
      <c r="BG69" s="530"/>
      <c r="BH69" s="530"/>
      <c r="BI69" s="530"/>
      <c r="BJ69" s="530"/>
      <c r="BK69" s="530"/>
      <c r="BL69" s="530"/>
      <c r="BM69" s="530"/>
      <c r="BN69" s="530"/>
      <c r="BO69" s="530"/>
      <c r="BP69" s="530"/>
      <c r="BQ69" s="530"/>
      <c r="BR69" s="530"/>
      <c r="BS69" s="530"/>
      <c r="BT69" s="530"/>
      <c r="BU69" s="530"/>
      <c r="BV69" s="530"/>
      <c r="BW69" s="530"/>
      <c r="BX69" s="530"/>
      <c r="BY69" s="530"/>
      <c r="BZ69" s="530"/>
      <c r="CA69" s="530"/>
      <c r="CB69" s="530"/>
      <c r="CC69" s="530"/>
      <c r="CD69" s="530"/>
      <c r="CE69" s="530"/>
      <c r="CF69" s="530"/>
      <c r="CG69" s="530"/>
    </row>
    <row r="70" spans="1:85" ht="12" customHeight="1">
      <c r="A70" s="9"/>
      <c r="B70" s="746"/>
      <c r="C70" s="1431" t="s">
        <v>1337</v>
      </c>
      <c r="D70" s="4508"/>
      <c r="E70" s="4509"/>
      <c r="G70" s="4513"/>
      <c r="H70" s="4514"/>
      <c r="I70" s="4514"/>
      <c r="J70" s="4515"/>
      <c r="K70" s="2416"/>
      <c r="L70" s="4322"/>
      <c r="M70" s="4306" t="s">
        <v>5859</v>
      </c>
      <c r="N70" s="4306"/>
      <c r="O70" s="4311"/>
      <c r="P70" s="4311"/>
      <c r="Q70" s="470">
        <f>IF(Caligrafíaritual_final="-","-",Caligrafíaritual_final+O70)</f>
        <v>-30</v>
      </c>
      <c r="R70" s="818"/>
      <c r="S70" s="947"/>
      <c r="T70" s="948"/>
      <c r="U70" s="966"/>
      <c r="V70" s="4564"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4565"/>
      <c r="X70" s="4565"/>
      <c r="Y70" s="4565"/>
      <c r="Z70" s="4565"/>
      <c r="AA70" s="4565"/>
      <c r="AB70" s="4565"/>
      <c r="AC70" s="4565"/>
      <c r="AD70" s="4565"/>
      <c r="AE70" s="4565"/>
      <c r="AF70" s="4565"/>
      <c r="AG70" s="4565"/>
      <c r="AH70" s="4565"/>
      <c r="AI70" s="4565"/>
      <c r="AJ70" s="4566"/>
      <c r="AK70" s="3985"/>
      <c r="AL70" s="587"/>
      <c r="AV70" s="530"/>
      <c r="AW70" s="530"/>
      <c r="AX70" s="530"/>
      <c r="AY70" s="530"/>
      <c r="AZ70" s="530"/>
      <c r="BA70" s="530"/>
      <c r="BB70" s="530"/>
      <c r="BC70" s="530"/>
      <c r="BD70" s="530"/>
      <c r="BE70" s="530"/>
      <c r="BF70" s="530"/>
      <c r="BG70" s="530"/>
      <c r="BH70" s="530"/>
      <c r="BI70" s="530"/>
      <c r="BJ70" s="530"/>
      <c r="BK70" s="530"/>
      <c r="BL70" s="530"/>
      <c r="BM70" s="530"/>
      <c r="BN70" s="530"/>
      <c r="BO70" s="530"/>
      <c r="BP70" s="530"/>
      <c r="BQ70" s="530"/>
      <c r="BR70" s="530"/>
      <c r="BS70" s="530"/>
      <c r="BT70" s="530"/>
      <c r="BU70" s="530"/>
      <c r="BV70" s="530"/>
      <c r="BW70" s="530"/>
      <c r="BX70" s="530"/>
      <c r="BY70" s="530"/>
      <c r="BZ70" s="530"/>
      <c r="CA70" s="530"/>
      <c r="CB70" s="530"/>
      <c r="CC70" s="530"/>
      <c r="CD70" s="530"/>
      <c r="CE70" s="530"/>
      <c r="CF70" s="530"/>
      <c r="CG70" s="530"/>
    </row>
    <row r="71" spans="1:85" ht="12" customHeight="1">
      <c r="A71" s="9"/>
      <c r="B71" s="746"/>
      <c r="C71" s="1425" t="s">
        <v>1338</v>
      </c>
      <c r="D71" s="4519"/>
      <c r="E71" s="4520"/>
      <c r="G71" s="4513"/>
      <c r="H71" s="4514"/>
      <c r="I71" s="4514"/>
      <c r="J71" s="4515"/>
      <c r="K71" s="2416"/>
      <c r="L71" s="4322"/>
      <c r="M71" s="4306" t="s">
        <v>5860</v>
      </c>
      <c r="N71" s="4306"/>
      <c r="O71" s="4311"/>
      <c r="P71" s="4311"/>
      <c r="Q71" s="470">
        <f>IF(Orfebrería_final="-","-",Orfebrería_final+O71)</f>
        <v>-30</v>
      </c>
      <c r="R71" s="818"/>
      <c r="S71" s="947"/>
      <c r="T71" s="948"/>
      <c r="U71" s="966"/>
      <c r="V71" s="4567"/>
      <c r="W71" s="4568"/>
      <c r="X71" s="4568"/>
      <c r="Y71" s="4568"/>
      <c r="Z71" s="4568"/>
      <c r="AA71" s="4568"/>
      <c r="AB71" s="4568"/>
      <c r="AC71" s="4568"/>
      <c r="AD71" s="4568"/>
      <c r="AE71" s="4568"/>
      <c r="AF71" s="4568"/>
      <c r="AG71" s="4568"/>
      <c r="AH71" s="4568"/>
      <c r="AI71" s="4568"/>
      <c r="AJ71" s="4569"/>
      <c r="AK71" s="3984"/>
      <c r="AL71" s="587"/>
      <c r="AV71" s="530"/>
      <c r="AW71" s="530"/>
      <c r="AX71" s="530"/>
      <c r="AY71" s="530"/>
      <c r="AZ71" s="530"/>
      <c r="BA71" s="530"/>
      <c r="BB71" s="530"/>
      <c r="BC71" s="530"/>
      <c r="BD71" s="530"/>
      <c r="BE71" s="530"/>
      <c r="BF71" s="530"/>
      <c r="BG71" s="530"/>
      <c r="BH71" s="530"/>
      <c r="BI71" s="530"/>
      <c r="BJ71" s="530"/>
      <c r="BK71" s="530"/>
      <c r="BL71" s="530"/>
      <c r="BM71" s="530"/>
      <c r="BN71" s="530"/>
      <c r="BO71" s="530"/>
      <c r="BP71" s="530"/>
      <c r="BQ71" s="530"/>
      <c r="BR71" s="530"/>
      <c r="BS71" s="530"/>
      <c r="BT71" s="530"/>
      <c r="BU71" s="530"/>
      <c r="BV71" s="530"/>
      <c r="BW71" s="530"/>
      <c r="BX71" s="530"/>
      <c r="BY71" s="530"/>
      <c r="BZ71" s="530"/>
      <c r="CA71" s="530"/>
      <c r="CB71" s="530"/>
      <c r="CC71" s="530"/>
      <c r="CD71" s="530"/>
      <c r="CE71" s="530"/>
      <c r="CF71" s="530"/>
      <c r="CG71" s="530"/>
    </row>
    <row r="72" spans="1:85" ht="12" customHeight="1" thickBot="1">
      <c r="A72" s="9"/>
      <c r="B72" s="746"/>
      <c r="C72" s="1425" t="s">
        <v>1339</v>
      </c>
      <c r="D72" s="4519"/>
      <c r="E72" s="4520"/>
      <c r="G72" s="4513"/>
      <c r="H72" s="4514"/>
      <c r="I72" s="4514"/>
      <c r="J72" s="4515"/>
      <c r="K72" s="2398"/>
      <c r="L72" s="4322"/>
      <c r="M72" s="4306" t="s">
        <v>5861</v>
      </c>
      <c r="N72" s="4306"/>
      <c r="O72" s="4311"/>
      <c r="P72" s="4311"/>
      <c r="Q72" s="470">
        <f>IF(Confección_final="-","-",Confección_final+O72)</f>
        <v>-30</v>
      </c>
      <c r="R72" s="579"/>
      <c r="S72" s="947"/>
      <c r="T72" s="948"/>
      <c r="U72" s="966"/>
      <c r="V72" s="4570"/>
      <c r="W72" s="4571"/>
      <c r="X72" s="4571"/>
      <c r="Y72" s="4571"/>
      <c r="Z72" s="4571"/>
      <c r="AA72" s="4571"/>
      <c r="AB72" s="4571"/>
      <c r="AC72" s="4571"/>
      <c r="AD72" s="4571"/>
      <c r="AE72" s="4571"/>
      <c r="AF72" s="4571"/>
      <c r="AG72" s="4571"/>
      <c r="AH72" s="4571"/>
      <c r="AI72" s="4571"/>
      <c r="AJ72" s="4572"/>
      <c r="AK72" s="3984"/>
      <c r="AL72" s="587"/>
      <c r="AV72" s="530"/>
      <c r="AW72" s="530"/>
      <c r="AX72" s="530"/>
      <c r="AY72" s="530"/>
      <c r="AZ72" s="530"/>
      <c r="BA72" s="530"/>
      <c r="BB72" s="530"/>
      <c r="BC72" s="530"/>
      <c r="BD72" s="530"/>
      <c r="BE72" s="530"/>
      <c r="BF72" s="530"/>
      <c r="BG72" s="530"/>
      <c r="BH72" s="530"/>
      <c r="BI72" s="530"/>
      <c r="BJ72" s="530"/>
      <c r="BK72" s="530"/>
      <c r="BL72" s="530"/>
      <c r="BM72" s="530"/>
      <c r="BN72" s="530"/>
      <c r="BO72" s="530"/>
      <c r="BP72" s="530"/>
      <c r="BQ72" s="530"/>
      <c r="BR72" s="530"/>
      <c r="BS72" s="530"/>
      <c r="BT72" s="530"/>
      <c r="BU72" s="530"/>
      <c r="BV72" s="530"/>
      <c r="BW72" s="530"/>
      <c r="BX72" s="530"/>
      <c r="BY72" s="530"/>
      <c r="BZ72" s="530"/>
      <c r="CA72" s="530"/>
      <c r="CB72" s="530"/>
      <c r="CC72" s="530"/>
      <c r="CD72" s="530"/>
      <c r="CE72" s="530"/>
      <c r="CF72" s="530"/>
      <c r="CG72" s="530"/>
    </row>
    <row r="73" spans="1:85" ht="12" customHeight="1">
      <c r="A73" s="9"/>
      <c r="B73" s="746"/>
      <c r="C73" s="1425" t="s">
        <v>1340</v>
      </c>
      <c r="D73" s="4519"/>
      <c r="E73" s="4520"/>
      <c r="F73" s="2397"/>
      <c r="G73" s="4513"/>
      <c r="H73" s="4514"/>
      <c r="I73" s="4514"/>
      <c r="J73" s="4515"/>
      <c r="K73" s="2398"/>
      <c r="L73" s="4323"/>
      <c r="M73" s="4591" t="s">
        <v>5862</v>
      </c>
      <c r="N73" s="4591"/>
      <c r="O73" s="4324"/>
      <c r="P73" s="4324"/>
      <c r="Q73" s="1436">
        <f>IF(Conf.marionetas_final="-","-",Conf.marionetas_final+O73)</f>
        <v>-30</v>
      </c>
      <c r="R73" s="579"/>
      <c r="S73" s="947"/>
      <c r="T73" s="948"/>
      <c r="U73" s="966"/>
      <c r="AK73" s="1293"/>
      <c r="AL73" s="587"/>
      <c r="AV73" s="530"/>
      <c r="AW73" s="530"/>
      <c r="AX73" s="530"/>
      <c r="AY73" s="530"/>
      <c r="AZ73" s="530"/>
      <c r="BA73" s="530"/>
      <c r="BB73" s="530"/>
      <c r="BC73" s="530"/>
      <c r="BD73" s="530"/>
      <c r="BE73" s="530"/>
      <c r="BF73" s="530"/>
      <c r="BG73" s="530"/>
      <c r="BH73" s="530"/>
      <c r="BI73" s="530"/>
      <c r="BJ73" s="530"/>
      <c r="BK73" s="530"/>
      <c r="BL73" s="530"/>
      <c r="BM73" s="530"/>
      <c r="BN73" s="530"/>
      <c r="BO73" s="530"/>
      <c r="BP73" s="530"/>
      <c r="BQ73" s="530"/>
      <c r="BR73" s="530"/>
      <c r="BS73" s="530"/>
      <c r="BT73" s="530"/>
      <c r="BU73" s="530"/>
      <c r="BV73" s="530"/>
      <c r="BW73" s="530"/>
      <c r="BX73" s="530"/>
      <c r="BY73" s="530"/>
      <c r="BZ73" s="530"/>
      <c r="CA73" s="530"/>
      <c r="CB73" s="530"/>
      <c r="CC73" s="530"/>
      <c r="CD73" s="530"/>
      <c r="CE73" s="530"/>
      <c r="CF73" s="530"/>
      <c r="CG73" s="530"/>
    </row>
    <row r="74" spans="1:85" ht="12" customHeight="1" thickBot="1">
      <c r="A74" s="9"/>
      <c r="B74" s="746"/>
      <c r="C74" s="1425" t="s">
        <v>1341</v>
      </c>
      <c r="D74" s="4519"/>
      <c r="E74" s="4520"/>
      <c r="F74" s="2397"/>
      <c r="G74" s="4513"/>
      <c r="H74" s="4514"/>
      <c r="I74" s="4514"/>
      <c r="J74" s="4515"/>
      <c r="K74" s="2398"/>
      <c r="L74" s="4322" t="s">
        <v>1336</v>
      </c>
      <c r="M74" s="4306" t="str">
        <f>IF(PDs!E196="","-",PDs!E196)</f>
        <v>-</v>
      </c>
      <c r="N74" s="4306"/>
      <c r="O74" s="4311"/>
      <c r="P74" s="4311"/>
      <c r="Q74" s="470" t="str">
        <f>IF(PDs!AA196="-","-",PDs!AA196+O74)</f>
        <v>-</v>
      </c>
      <c r="R74" s="579"/>
      <c r="S74" s="947"/>
      <c r="T74" s="948"/>
      <c r="U74" s="966"/>
      <c r="AK74" s="1293"/>
      <c r="AL74" s="587"/>
      <c r="AV74" s="530"/>
      <c r="AW74" s="530"/>
      <c r="AX74" s="530"/>
      <c r="AY74" s="530"/>
      <c r="AZ74" s="530"/>
      <c r="BA74" s="530"/>
      <c r="BB74" s="530"/>
      <c r="BC74" s="530"/>
      <c r="BD74" s="530"/>
      <c r="BE74" s="530"/>
      <c r="BF74" s="530"/>
      <c r="BG74" s="530"/>
      <c r="BH74" s="530"/>
      <c r="BI74" s="530"/>
      <c r="BJ74" s="530"/>
      <c r="BK74" s="530"/>
      <c r="BL74" s="530"/>
      <c r="BM74" s="530"/>
      <c r="BN74" s="530"/>
      <c r="BO74" s="530"/>
      <c r="BP74" s="530"/>
      <c r="BQ74" s="530"/>
      <c r="BR74" s="530"/>
      <c r="BS74" s="530"/>
      <c r="BT74" s="530"/>
      <c r="BU74" s="530"/>
      <c r="BV74" s="530"/>
      <c r="BW74" s="530"/>
      <c r="BX74" s="530"/>
      <c r="BY74" s="530"/>
      <c r="BZ74" s="530"/>
      <c r="CA74" s="530"/>
      <c r="CB74" s="530"/>
      <c r="CC74" s="530"/>
      <c r="CD74" s="530"/>
      <c r="CE74" s="530"/>
      <c r="CF74" s="530"/>
      <c r="CG74" s="530"/>
    </row>
    <row r="75" spans="1:85" ht="12" customHeight="1">
      <c r="A75" s="9"/>
      <c r="B75" s="746"/>
      <c r="C75" s="1425" t="s">
        <v>1342</v>
      </c>
      <c r="D75" s="4519"/>
      <c r="E75" s="4520"/>
      <c r="F75" s="2397"/>
      <c r="G75" s="4513"/>
      <c r="H75" s="4514"/>
      <c r="I75" s="4514"/>
      <c r="J75" s="4515"/>
      <c r="K75" s="2398"/>
      <c r="L75" s="4322"/>
      <c r="M75" s="4306" t="str">
        <f>IF(PDs!E197="","-",PDs!E197)</f>
        <v>-</v>
      </c>
      <c r="N75" s="4306"/>
      <c r="O75" s="4311"/>
      <c r="P75" s="4311"/>
      <c r="Q75" s="470" t="str">
        <f>IF(PDs!AA197="-","-",PDs!AA197+O75)</f>
        <v>-</v>
      </c>
      <c r="R75" s="579"/>
      <c r="S75" s="947"/>
      <c r="T75" s="948"/>
      <c r="U75" s="966"/>
      <c r="V75" s="4552" t="s">
        <v>9139</v>
      </c>
      <c r="W75" s="4573"/>
      <c r="X75" s="4574"/>
      <c r="Y75" s="4574"/>
      <c r="Z75" s="4574"/>
      <c r="AA75" s="4574"/>
      <c r="AB75" s="4574"/>
      <c r="AC75" s="4574"/>
      <c r="AD75" s="4574"/>
      <c r="AE75" s="4574"/>
      <c r="AF75" s="4574"/>
      <c r="AG75" s="4574"/>
      <c r="AH75" s="4574"/>
      <c r="AI75" s="4574"/>
      <c r="AJ75" s="4575"/>
      <c r="AK75" s="1293"/>
      <c r="AL75" s="587"/>
      <c r="AM75" s="218"/>
      <c r="AN75" s="14"/>
      <c r="AO75" s="14"/>
      <c r="AP75" s="14"/>
      <c r="AQ75" s="14"/>
      <c r="AR75" s="21"/>
      <c r="AS75" s="21"/>
      <c r="AT75" s="21"/>
      <c r="AU75" s="21"/>
    </row>
    <row r="76" spans="1:85" ht="12" customHeight="1" thickBot="1">
      <c r="A76" s="9"/>
      <c r="B76" s="746"/>
      <c r="C76" s="1425" t="s">
        <v>1344</v>
      </c>
      <c r="D76" s="4519"/>
      <c r="E76" s="4520"/>
      <c r="F76" s="2397"/>
      <c r="G76" s="4516"/>
      <c r="H76" s="4517"/>
      <c r="I76" s="4517"/>
      <c r="J76" s="4518"/>
      <c r="K76" s="2398"/>
      <c r="L76" s="4322"/>
      <c r="M76" s="4306" t="str">
        <f>IF(PDs!E198="","-",PDs!E198)</f>
        <v>-</v>
      </c>
      <c r="N76" s="4306"/>
      <c r="O76" s="4311"/>
      <c r="P76" s="4311"/>
      <c r="Q76" s="470" t="str">
        <f>IF(PDs!AA198="-","-",PDs!AA198+O76)</f>
        <v>-</v>
      </c>
      <c r="R76" s="579"/>
      <c r="S76" s="947"/>
      <c r="T76" s="948"/>
      <c r="U76" s="966"/>
      <c r="V76" s="4553"/>
      <c r="W76" s="4576"/>
      <c r="X76" s="4577"/>
      <c r="Y76" s="4577"/>
      <c r="Z76" s="4577"/>
      <c r="AA76" s="4577"/>
      <c r="AB76" s="4577"/>
      <c r="AC76" s="4577"/>
      <c r="AD76" s="4577"/>
      <c r="AE76" s="4577"/>
      <c r="AF76" s="4577"/>
      <c r="AG76" s="4577"/>
      <c r="AH76" s="4577"/>
      <c r="AI76" s="4577"/>
      <c r="AJ76" s="4578"/>
      <c r="AK76" s="1293"/>
      <c r="AL76" s="587"/>
      <c r="AM76" s="218"/>
      <c r="AN76" s="14"/>
      <c r="AO76" s="14"/>
      <c r="AP76" s="14"/>
      <c r="AQ76" s="14"/>
      <c r="AR76" s="21"/>
      <c r="AS76" s="21"/>
      <c r="AT76" s="21"/>
      <c r="AU76" s="21"/>
    </row>
    <row r="77" spans="1:85" ht="12" customHeight="1">
      <c r="A77" s="9"/>
      <c r="B77" s="746"/>
      <c r="C77" s="1425" t="s">
        <v>1345</v>
      </c>
      <c r="D77" s="4519"/>
      <c r="E77" s="4520"/>
      <c r="F77" s="2397"/>
      <c r="G77" s="4589" t="s">
        <v>1343</v>
      </c>
      <c r="H77" s="4590"/>
      <c r="I77" s="4590"/>
      <c r="J77" s="2415">
        <f>IF(TipoDeCriatura="Natural",IF(AB14&gt;19,9,IF(AB14&gt;14,6,IF(AB14&gt;9,3,0))),"")</f>
        <v>3</v>
      </c>
      <c r="K77" s="2398"/>
      <c r="L77" s="4322"/>
      <c r="M77" s="4306" t="str">
        <f>IF(PDs!E199="","-",PDs!E199)</f>
        <v>-</v>
      </c>
      <c r="N77" s="4306"/>
      <c r="O77" s="4311"/>
      <c r="P77" s="4311"/>
      <c r="Q77" s="470" t="str">
        <f>IF(PDs!AA199="-","-",PDs!AA199+O77)</f>
        <v>-</v>
      </c>
      <c r="R77" s="579"/>
      <c r="S77" s="947"/>
      <c r="T77" s="948"/>
      <c r="U77" s="966"/>
      <c r="V77" s="4553"/>
      <c r="W77" s="4576"/>
      <c r="X77" s="4577"/>
      <c r="Y77" s="4577"/>
      <c r="Z77" s="4577"/>
      <c r="AA77" s="4577"/>
      <c r="AB77" s="4577"/>
      <c r="AC77" s="4577"/>
      <c r="AD77" s="4577"/>
      <c r="AE77" s="4577"/>
      <c r="AF77" s="4577"/>
      <c r="AG77" s="4577"/>
      <c r="AH77" s="4577"/>
      <c r="AI77" s="4577"/>
      <c r="AJ77" s="4578"/>
      <c r="AK77" s="1293"/>
      <c r="AL77" s="587"/>
      <c r="AM77" s="218"/>
      <c r="AN77" s="14"/>
      <c r="AO77" s="14"/>
      <c r="AP77" s="14"/>
      <c r="AQ77" s="14"/>
      <c r="AR77" s="21"/>
      <c r="AS77" s="21"/>
      <c r="AT77" s="21"/>
      <c r="AU77" s="21"/>
    </row>
    <row r="78" spans="1:85" ht="12" customHeight="1" thickBot="1">
      <c r="A78" s="9"/>
      <c r="B78" s="746"/>
      <c r="C78" s="1432" t="s">
        <v>1346</v>
      </c>
      <c r="D78" s="4587"/>
      <c r="E78" s="4588"/>
      <c r="F78" s="2397"/>
      <c r="G78" s="4586" t="s">
        <v>6639</v>
      </c>
      <c r="H78" s="4385"/>
      <c r="I78" s="4385"/>
      <c r="J78" s="1433"/>
      <c r="L78" s="4523"/>
      <c r="M78" s="4524" t="str">
        <f>IF(PDs!E200="","-",PDs!E200)</f>
        <v>-</v>
      </c>
      <c r="N78" s="4524"/>
      <c r="O78" s="4592"/>
      <c r="P78" s="4592"/>
      <c r="Q78" s="2417" t="str">
        <f>IF(PDs!AA200="-","-",PDs!AA200+O78)</f>
        <v>-</v>
      </c>
      <c r="R78" s="579"/>
      <c r="S78" s="947"/>
      <c r="T78" s="948"/>
      <c r="U78" s="966"/>
      <c r="V78" s="4554"/>
      <c r="W78" s="4579"/>
      <c r="X78" s="4580"/>
      <c r="Y78" s="4580"/>
      <c r="Z78" s="4580"/>
      <c r="AA78" s="4580"/>
      <c r="AB78" s="4580"/>
      <c r="AC78" s="4580"/>
      <c r="AD78" s="4580"/>
      <c r="AE78" s="4580"/>
      <c r="AF78" s="4580"/>
      <c r="AG78" s="4580"/>
      <c r="AH78" s="4580"/>
      <c r="AI78" s="4580"/>
      <c r="AJ78" s="4581"/>
      <c r="AK78" s="1293"/>
      <c r="AL78" s="587"/>
      <c r="AM78" s="218"/>
      <c r="AN78" s="14"/>
      <c r="AO78" s="14"/>
      <c r="AP78" s="14"/>
      <c r="AQ78" s="14"/>
      <c r="AR78" s="21"/>
      <c r="AS78" s="21"/>
      <c r="AT78" s="21"/>
      <c r="AU78" s="21"/>
    </row>
    <row r="79" spans="1:85" ht="12" customHeight="1" thickBot="1">
      <c r="A79" s="9"/>
      <c r="B79" s="749"/>
      <c r="C79" s="580"/>
      <c r="D79" s="581" t="str">
        <f>IF(D69&lt;&gt;"",D69&amp;", ","")&amp;IF(D70&lt;&gt;"",D70&amp;", ","")&amp;IF(D71&lt;&gt;"",D71&amp;", ","")&amp;IF(D72&lt;&gt;"",D72&amp;", ","")&amp;IF(D73&lt;&gt;"",D73&amp;", ","")&amp;IF(D74&lt;&gt;"",D74&amp;", ","")&amp;IF(D75&lt;&gt;"",D75&amp;", ","")&amp;IF(D76&lt;&gt;"",D76&amp;", ","")&amp;IF(D77&lt;&gt;"",D77&amp;", ","")&amp;IF(D78&lt;&gt;"",D78&amp;", ","")</f>
        <v/>
      </c>
      <c r="E79" s="581" t="str">
        <f>IFERROR(LEFT(D79,LEN(D79)-2),"")</f>
        <v/>
      </c>
      <c r="F79" s="580"/>
      <c r="G79" s="580"/>
      <c r="H79" s="580"/>
      <c r="I79" s="580"/>
      <c r="J79" s="580"/>
      <c r="K79" s="581"/>
      <c r="L79" s="580"/>
      <c r="M79" s="580"/>
      <c r="N79" s="580"/>
      <c r="O79" s="580"/>
      <c r="P79" s="580"/>
      <c r="Q79" s="580"/>
      <c r="R79" s="582"/>
      <c r="S79" s="947"/>
      <c r="T79" s="948"/>
      <c r="U79" s="968"/>
      <c r="V79" s="955"/>
      <c r="W79" s="955"/>
      <c r="X79" s="955"/>
      <c r="Y79" s="955"/>
      <c r="Z79" s="955"/>
      <c r="AA79" s="955"/>
      <c r="AB79" s="955"/>
      <c r="AC79" s="955"/>
      <c r="AD79" s="955"/>
      <c r="AE79" s="955"/>
      <c r="AF79" s="955"/>
      <c r="AG79" s="955"/>
      <c r="AH79" s="955"/>
      <c r="AI79" s="955"/>
      <c r="AJ79" s="955"/>
      <c r="AK79" s="1296"/>
      <c r="AL79" s="587"/>
      <c r="AM79" s="3644" t="s">
        <v>8293</v>
      </c>
      <c r="AQ79" s="14"/>
      <c r="AR79" s="21"/>
      <c r="AS79" s="21"/>
      <c r="AT79" s="21"/>
      <c r="AU79" s="21"/>
    </row>
    <row r="80" spans="1:85" ht="12" customHeight="1">
      <c r="A80" s="9"/>
      <c r="B80" s="22"/>
      <c r="C80" s="22"/>
      <c r="D80" s="22"/>
      <c r="E80" s="22"/>
      <c r="F80" s="22"/>
      <c r="G80" s="22"/>
      <c r="H80" s="22"/>
      <c r="I80" s="22"/>
      <c r="J80" s="22"/>
      <c r="K80" s="573"/>
      <c r="L80" s="22"/>
      <c r="M80" s="22"/>
      <c r="N80" s="22"/>
      <c r="O80" s="22"/>
      <c r="P80" s="22"/>
      <c r="Q80" s="22"/>
      <c r="R80" s="23"/>
      <c r="S80" s="947"/>
      <c r="T80" s="948"/>
      <c r="U80" s="3"/>
      <c r="V80" s="3"/>
      <c r="W80" s="3"/>
      <c r="X80" s="3"/>
      <c r="Y80" s="3"/>
      <c r="Z80" s="3"/>
      <c r="AA80" s="3"/>
      <c r="AB80" s="3"/>
      <c r="AC80" s="3"/>
      <c r="AD80" s="3"/>
      <c r="AE80" s="3"/>
      <c r="AF80" s="3"/>
      <c r="AG80" s="3"/>
      <c r="AH80" s="3"/>
      <c r="AI80" s="3"/>
      <c r="AJ80" s="3"/>
      <c r="AK80" s="1291"/>
      <c r="AL80" s="587"/>
      <c r="AM80" s="218"/>
      <c r="AN80" s="14"/>
      <c r="AO80" s="14"/>
      <c r="AP80" s="14"/>
      <c r="AQ80" s="14"/>
      <c r="AR80" s="21"/>
      <c r="AS80" s="21"/>
      <c r="AT80" s="21"/>
      <c r="AU80" s="21"/>
    </row>
    <row r="86" spans="37:37" ht="12" customHeight="1">
      <c r="AK86" s="21"/>
    </row>
  </sheetData>
  <sheetProtection sheet="1" selectLockedCells="1"/>
  <mergeCells count="385">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D56:E56"/>
    <mergeCell ref="D57:E57"/>
    <mergeCell ref="M55:N55"/>
    <mergeCell ref="O55:P55"/>
    <mergeCell ref="O68:P68"/>
    <mergeCell ref="O66:P66"/>
    <mergeCell ref="O67:P67"/>
    <mergeCell ref="D59:E59"/>
    <mergeCell ref="M57:N57"/>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AF35:AJ35">
    <cfRule type="expression" dxfId="2868" priority="175" stopIfTrue="1">
      <formula>F1=1</formula>
    </cfRule>
    <cfRule type="expression" dxfId="2867" priority="176" stopIfTrue="1">
      <formula>F1=2</formula>
    </cfRule>
  </conditionalFormatting>
  <conditionalFormatting sqref="AF30">
    <cfRule type="expression" dxfId="2866" priority="177" stopIfTrue="1">
      <formula>F1=1</formula>
    </cfRule>
    <cfRule type="expression" dxfId="2865" priority="178" stopIfTrue="1">
      <formula>F1=2</formula>
    </cfRule>
    <cfRule type="cellIs" dxfId="2864" priority="179" stopIfTrue="1" operator="equal">
      <formula>0</formula>
    </cfRule>
  </conditionalFormatting>
  <conditionalFormatting sqref="AI42 AI12:AI23">
    <cfRule type="cellIs" dxfId="2863" priority="180" stopIfTrue="1" operator="greaterThan">
      <formula>$AB$13</formula>
    </cfRule>
  </conditionalFormatting>
  <conditionalFormatting sqref="J34">
    <cfRule type="cellIs" dxfId="2862" priority="184" stopIfTrue="1" operator="lessThan">
      <formula>0</formula>
    </cfRule>
  </conditionalFormatting>
  <conditionalFormatting sqref="V30">
    <cfRule type="expression" dxfId="2861" priority="195" stopIfTrue="1">
      <formula>$V$39=1</formula>
    </cfRule>
    <cfRule type="expression" dxfId="2860" priority="196" stopIfTrue="1">
      <formula>$V$39=2</formula>
    </cfRule>
    <cfRule type="cellIs" dxfId="2859" priority="197" stopIfTrue="1" operator="equal">
      <formula>0</formula>
    </cfRule>
  </conditionalFormatting>
  <conditionalFormatting sqref="V69">
    <cfRule type="cellIs" dxfId="2858" priority="264" stopIfTrue="1" operator="equal">
      <formula>"Armas naturales"</formula>
    </cfRule>
  </conditionalFormatting>
  <conditionalFormatting sqref="J54 F54">
    <cfRule type="cellIs" dxfId="2857" priority="132" stopIfTrue="1" operator="greaterThan">
      <formula>0</formula>
    </cfRule>
  </conditionalFormatting>
  <conditionalFormatting sqref="G54:J54">
    <cfRule type="expression" dxfId="2856" priority="131" stopIfTrue="1">
      <formula>$J$54&lt;=0</formula>
    </cfRule>
  </conditionalFormatting>
  <conditionalFormatting sqref="C54:F54">
    <cfRule type="expression" dxfId="2855" priority="130" stopIfTrue="1">
      <formula>$F$54&lt;=0</formula>
    </cfRule>
  </conditionalFormatting>
  <conditionalFormatting sqref="Y23:Z23">
    <cfRule type="expression" dxfId="2854" priority="128">
      <formula>$AB$13&lt;30</formula>
    </cfRule>
  </conditionalFormatting>
  <conditionalFormatting sqref="AI43:AI69">
    <cfRule type="cellIs" dxfId="2853" priority="117" stopIfTrue="1" operator="greaterThan">
      <formula>$AB$13</formula>
    </cfRule>
  </conditionalFormatting>
  <conditionalFormatting sqref="AD13:AD23">
    <cfRule type="expression" dxfId="2852" priority="112" stopIfTrue="1">
      <formula>H2=1</formula>
    </cfRule>
    <cfRule type="expression" dxfId="2851" priority="113" stopIfTrue="1">
      <formula>H2=2</formula>
    </cfRule>
  </conditionalFormatting>
  <conditionalFormatting sqref="AB42:AE69">
    <cfRule type="containsText" dxfId="2850" priority="103" operator="containsText" text="Arma natural a distancia">
      <formula>NOT(ISERROR(SEARCH("Arma natural a distancia",AB42)))</formula>
    </cfRule>
    <cfRule type="expression" dxfId="2849" priority="4872">
      <formula>AND($AK42&lt;&gt;"",$AF42="")</formula>
    </cfRule>
  </conditionalFormatting>
  <conditionalFormatting sqref="AB42:AH69">
    <cfRule type="expression" dxfId="2848" priority="111">
      <formula>$AB42=""</formula>
    </cfRule>
  </conditionalFormatting>
  <conditionalFormatting sqref="AD12:AF23">
    <cfRule type="expression" dxfId="2847" priority="110">
      <formula>AND($AK12&lt;&gt;"",$AG12="")</formula>
    </cfRule>
  </conditionalFormatting>
  <conditionalFormatting sqref="AG12:AH23">
    <cfRule type="expression" dxfId="2846" priority="108">
      <formula>$AD12=""</formula>
    </cfRule>
  </conditionalFormatting>
  <conditionalFormatting sqref="AI42:AJ69 AI12:AJ23">
    <cfRule type="expression" dxfId="2845" priority="106" stopIfTrue="1">
      <formula>NOT(ISNUMBER(AI12))</formula>
    </cfRule>
  </conditionalFormatting>
  <conditionalFormatting sqref="AB13">
    <cfRule type="expression" dxfId="2844" priority="105" stopIfTrue="1">
      <formula>$AN$26</formula>
    </cfRule>
  </conditionalFormatting>
  <conditionalFormatting sqref="Y11:AB12">
    <cfRule type="expression" dxfId="2843" priority="104">
      <formula>$AN$25</formula>
    </cfRule>
  </conditionalFormatting>
  <conditionalFormatting sqref="I25">
    <cfRule type="cellIs" dxfId="2842" priority="101" operator="greaterThan">
      <formula>0</formula>
    </cfRule>
    <cfRule type="cellIs" dxfId="2841" priority="102" operator="lessThan">
      <formula>0</formula>
    </cfRule>
  </conditionalFormatting>
  <conditionalFormatting sqref="J48">
    <cfRule type="cellIs" dxfId="2840" priority="91" stopIfTrue="1" operator="lessThan">
      <formula>0</formula>
    </cfRule>
  </conditionalFormatting>
  <conditionalFormatting sqref="V70:AJ72">
    <cfRule type="containsText" dxfId="2839" priority="62" operator="containsText" text="Exceso de PDs en Poderes">
      <formula>NOT(ISERROR(SEARCH("Exceso de PDs en Poderes",V70)))</formula>
    </cfRule>
  </conditionalFormatting>
  <conditionalFormatting sqref="AJ40">
    <cfRule type="expression" dxfId="2838" priority="61">
      <formula>$V$70="Exceso de PDs en Poderes"</formula>
    </cfRule>
  </conditionalFormatting>
  <conditionalFormatting sqref="E12">
    <cfRule type="expression" dxfId="2837" priority="56" stopIfTrue="1">
      <formula>OR(TipoDeCriatura="Ánima",TipoDeCriatura="Ánima, Elemental",TipoDeCriatura="No muerto, Espectro")</formula>
    </cfRule>
    <cfRule type="expression" dxfId="2836" priority="57" stopIfTrue="1">
      <formula>$D$12="-"</formula>
    </cfRule>
  </conditionalFormatting>
  <conditionalFormatting sqref="E17">
    <cfRule type="expression" dxfId="2835" priority="58" stopIfTrue="1">
      <formula>AND(OR($K$7="Ánima",$K$7="Ánima, Elemental",$K$7="No muerto, Espectro"),NOT($E$12=$E$17))</formula>
    </cfRule>
  </conditionalFormatting>
  <conditionalFormatting sqref="E11:E14">
    <cfRule type="cellIs" dxfId="2834" priority="59" stopIfTrue="1" operator="greaterThan">
      <formula>$T$2</formula>
    </cfRule>
  </conditionalFormatting>
  <conditionalFormatting sqref="E15:E18">
    <cfRule type="cellIs" dxfId="2833" priority="60" operator="greaterThan">
      <formula>MAX($T$2,$T$3)</formula>
    </cfRule>
  </conditionalFormatting>
  <conditionalFormatting sqref="C42 D46:F47 C49:F49">
    <cfRule type="expression" dxfId="2832" priority="47" stopIfTrue="1">
      <formula>NA()</formula>
    </cfRule>
    <cfRule type="expression" dxfId="2831" priority="48" stopIfTrue="1">
      <formula>NA()</formula>
    </cfRule>
  </conditionalFormatting>
  <conditionalFormatting sqref="F35">
    <cfRule type="expression" dxfId="2830" priority="49" stopIfTrue="1">
      <formula>A39=1</formula>
    </cfRule>
    <cfRule type="expression" dxfId="2829" priority="50" stopIfTrue="1">
      <formula>A39</formula>
    </cfRule>
  </conditionalFormatting>
  <conditionalFormatting sqref="D35:E35">
    <cfRule type="expression" dxfId="2828" priority="51" stopIfTrue="1">
      <formula>NA()</formula>
    </cfRule>
    <cfRule type="expression" dxfId="2827" priority="52" stopIfTrue="1">
      <formula>NA()</formula>
    </cfRule>
  </conditionalFormatting>
  <conditionalFormatting sqref="C35">
    <cfRule type="expression" dxfId="2826" priority="53" stopIfTrue="1">
      <formula>NA()</formula>
    </cfRule>
    <cfRule type="expression" dxfId="2825" priority="54" stopIfTrue="1">
      <formula>NA()</formula>
    </cfRule>
  </conditionalFormatting>
  <conditionalFormatting sqref="C46">
    <cfRule type="expression" dxfId="2824" priority="33" stopIfTrue="1">
      <formula>NA()</formula>
    </cfRule>
    <cfRule type="expression" dxfId="2823" priority="34" stopIfTrue="1">
      <formula>NA()</formula>
    </cfRule>
  </conditionalFormatting>
  <conditionalFormatting sqref="D43:F43">
    <cfRule type="expression" dxfId="2822" priority="35" stopIfTrue="1">
      <formula>NA()</formula>
    </cfRule>
    <cfRule type="expression" dxfId="2821" priority="36" stopIfTrue="1">
      <formula>NA()</formula>
    </cfRule>
  </conditionalFormatting>
  <conditionalFormatting sqref="C43">
    <cfRule type="expression" dxfId="2820" priority="37" stopIfTrue="1">
      <formula>NA()</formula>
    </cfRule>
    <cfRule type="expression" dxfId="2819" priority="38" stopIfTrue="1">
      <formula>NA()</formula>
    </cfRule>
  </conditionalFormatting>
  <conditionalFormatting sqref="C47">
    <cfRule type="expression" dxfId="2818" priority="39" stopIfTrue="1">
      <formula>NA()</formula>
    </cfRule>
    <cfRule type="expression" dxfId="2817" priority="40" stopIfTrue="1">
      <formula>NA()</formula>
    </cfRule>
  </conditionalFormatting>
  <conditionalFormatting sqref="D45:F45">
    <cfRule type="expression" dxfId="2816" priority="41" stopIfTrue="1">
      <formula>NA()</formula>
    </cfRule>
    <cfRule type="expression" dxfId="2815" priority="42" stopIfTrue="1">
      <formula>NA()</formula>
    </cfRule>
  </conditionalFormatting>
  <conditionalFormatting sqref="C44:C45">
    <cfRule type="expression" dxfId="2814" priority="43" stopIfTrue="1">
      <formula>NA()</formula>
    </cfRule>
    <cfRule type="expression" dxfId="2813" priority="44" stopIfTrue="1">
      <formula>NA()</formula>
    </cfRule>
  </conditionalFormatting>
  <conditionalFormatting sqref="D44:F44">
    <cfRule type="expression" dxfId="2812" priority="45" stopIfTrue="1">
      <formula>NA()</formula>
    </cfRule>
    <cfRule type="expression" dxfId="2811" priority="46" stopIfTrue="1">
      <formula>NA()</formula>
    </cfRule>
  </conditionalFormatting>
  <conditionalFormatting sqref="C49:F49 C43:F47">
    <cfRule type="expression" dxfId="2810" priority="55">
      <formula>AND(NOT($AN$36),NOT($AN$37))</formula>
    </cfRule>
  </conditionalFormatting>
  <conditionalFormatting sqref="D48:F48">
    <cfRule type="expression" dxfId="2809" priority="30" stopIfTrue="1">
      <formula>NA()</formula>
    </cfRule>
    <cfRule type="expression" dxfId="2808" priority="31" stopIfTrue="1">
      <formula>NA()</formula>
    </cfRule>
  </conditionalFormatting>
  <conditionalFormatting sqref="C48">
    <cfRule type="expression" dxfId="2807" priority="28" stopIfTrue="1">
      <formula>NA()</formula>
    </cfRule>
    <cfRule type="expression" dxfId="2806" priority="29" stopIfTrue="1">
      <formula>NA()</formula>
    </cfRule>
  </conditionalFormatting>
  <conditionalFormatting sqref="C48:F48">
    <cfRule type="expression" dxfId="2805" priority="32">
      <formula>AND(NOT($AN$36),NOT($AN$37))</formula>
    </cfRule>
  </conditionalFormatting>
  <conditionalFormatting sqref="D37:F37">
    <cfRule type="expression" dxfId="2804" priority="24" stopIfTrue="1">
      <formula>NA()</formula>
    </cfRule>
    <cfRule type="expression" dxfId="2803" priority="25" stopIfTrue="1">
      <formula>NA()</formula>
    </cfRule>
  </conditionalFormatting>
  <conditionalFormatting sqref="C37">
    <cfRule type="expression" dxfId="2802" priority="26" stopIfTrue="1">
      <formula>NA()</formula>
    </cfRule>
    <cfRule type="expression" dxfId="2801" priority="27" stopIfTrue="1">
      <formula>NA()</formula>
    </cfRule>
  </conditionalFormatting>
  <conditionalFormatting sqref="D38:F38">
    <cfRule type="expression" dxfId="2800" priority="20" stopIfTrue="1">
      <formula>NA()</formula>
    </cfRule>
    <cfRule type="expression" dxfId="2799" priority="21" stopIfTrue="1">
      <formula>NA()</formula>
    </cfRule>
  </conditionalFormatting>
  <conditionalFormatting sqref="C38">
    <cfRule type="expression" dxfId="2798" priority="22" stopIfTrue="1">
      <formula>NA()</formula>
    </cfRule>
    <cfRule type="expression" dxfId="2797" priority="23" stopIfTrue="1">
      <formula>NA()</formula>
    </cfRule>
  </conditionalFormatting>
  <conditionalFormatting sqref="D41:F41">
    <cfRule type="expression" dxfId="2796" priority="16" stopIfTrue="1">
      <formula>NA()</formula>
    </cfRule>
    <cfRule type="expression" dxfId="2795" priority="17" stopIfTrue="1">
      <formula>NA()</formula>
    </cfRule>
  </conditionalFormatting>
  <conditionalFormatting sqref="C41">
    <cfRule type="expression" dxfId="2794" priority="18" stopIfTrue="1">
      <formula>NA()</formula>
    </cfRule>
    <cfRule type="expression" dxfId="2793" priority="19" stopIfTrue="1">
      <formula>NA()</formula>
    </cfRule>
  </conditionalFormatting>
  <conditionalFormatting sqref="D40:F40">
    <cfRule type="expression" dxfId="2792" priority="12" stopIfTrue="1">
      <formula>NA()</formula>
    </cfRule>
    <cfRule type="expression" dxfId="2791" priority="13" stopIfTrue="1">
      <formula>NA()</formula>
    </cfRule>
  </conditionalFormatting>
  <conditionalFormatting sqref="C40">
    <cfRule type="expression" dxfId="2790" priority="14" stopIfTrue="1">
      <formula>NA()</formula>
    </cfRule>
    <cfRule type="expression" dxfId="2789" priority="15" stopIfTrue="1">
      <formula>NA()</formula>
    </cfRule>
  </conditionalFormatting>
  <conditionalFormatting sqref="D36:F36">
    <cfRule type="expression" dxfId="2788" priority="8" stopIfTrue="1">
      <formula>NA()</formula>
    </cfRule>
    <cfRule type="expression" dxfId="2787" priority="9" stopIfTrue="1">
      <formula>NA()</formula>
    </cfRule>
  </conditionalFormatting>
  <conditionalFormatting sqref="C36">
    <cfRule type="expression" dxfId="2786" priority="10" stopIfTrue="1">
      <formula>NA()</formula>
    </cfRule>
    <cfRule type="expression" dxfId="2785" priority="11" stopIfTrue="1">
      <formula>NA()</formula>
    </cfRule>
  </conditionalFormatting>
  <conditionalFormatting sqref="D39:F39">
    <cfRule type="expression" dxfId="2784" priority="4" stopIfTrue="1">
      <formula>NA()</formula>
    </cfRule>
    <cfRule type="expression" dxfId="2783" priority="5" stopIfTrue="1">
      <formula>NA()</formula>
    </cfRule>
  </conditionalFormatting>
  <conditionalFormatting sqref="C39">
    <cfRule type="expression" dxfId="2782" priority="6" stopIfTrue="1">
      <formula>NA()</formula>
    </cfRule>
    <cfRule type="expression" dxfId="2781"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topLeftCell="A23" zoomScaleNormal="100" zoomScaleSheetLayoutView="25" workbookViewId="0">
      <selection activeCell="E68" sqref="E67:I68"/>
    </sheetView>
  </sheetViews>
  <sheetFormatPr baseColWidth="10" defaultColWidth="5.7109375" defaultRowHeight="12" customHeight="1"/>
  <cols>
    <col min="1" max="1" width="1.7109375" style="21" customWidth="1"/>
    <col min="2" max="2" width="3" style="826"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1" width="5.7109375" style="21"/>
    <col min="12" max="12" width="5.7109375" style="21" customWidth="1"/>
    <col min="13" max="13" width="5.7109375" style="21"/>
    <col min="14" max="16" width="5.7109375" style="21" customWidth="1"/>
    <col min="17" max="17" width="5.7109375" style="21"/>
    <col min="18" max="18" width="5.7109375" style="21" customWidth="1"/>
    <col min="19" max="19" width="5.7109375" style="21"/>
    <col min="20" max="23" width="5.7109375" style="21" customWidth="1"/>
    <col min="24" max="24" width="5.7109375" style="21"/>
    <col min="25" max="25" width="5.7109375" style="21" customWidth="1"/>
    <col min="26" max="26" width="5.7109375" style="21"/>
    <col min="27" max="27" width="5.7109375" style="21" customWidth="1"/>
    <col min="28" max="28" width="3.5703125" style="530" customWidth="1"/>
    <col min="29" max="29" width="1.140625" style="708" customWidth="1"/>
    <col min="30" max="30" width="10.7109375" style="218" customWidth="1"/>
    <col min="31" max="31" width="13.7109375" style="252" customWidth="1"/>
    <col min="32" max="32" width="8.7109375" style="212" customWidth="1"/>
    <col min="33" max="37" width="8.7109375" style="252" customWidth="1"/>
    <col min="38" max="38" width="30.28515625" style="14" customWidth="1"/>
    <col min="39" max="42" width="3.140625" style="14" customWidth="1"/>
    <col min="43" max="46" width="3.140625" style="21" customWidth="1"/>
    <col min="47" max="16384" width="5.7109375" style="21"/>
  </cols>
  <sheetData>
    <row r="1" spans="1:76" ht="12" customHeight="1" thickBot="1">
      <c r="A1" s="9"/>
      <c r="B1" s="830"/>
      <c r="C1" s="9"/>
      <c r="D1" s="9"/>
      <c r="E1" s="9"/>
      <c r="F1" s="9"/>
      <c r="G1" s="9"/>
      <c r="H1" s="9"/>
      <c r="I1" s="9"/>
      <c r="J1" s="9"/>
      <c r="K1" s="9"/>
      <c r="L1" s="9"/>
      <c r="M1" s="9"/>
      <c r="N1" s="9"/>
      <c r="O1" s="9"/>
      <c r="P1" s="9"/>
      <c r="Q1" s="9"/>
      <c r="R1" s="9"/>
      <c r="S1" s="9"/>
      <c r="T1" s="9"/>
      <c r="U1" s="12"/>
      <c r="V1" s="44"/>
      <c r="W1" s="44"/>
      <c r="X1" s="44"/>
      <c r="Y1" s="44"/>
      <c r="Z1" s="44"/>
      <c r="AA1" s="44"/>
      <c r="AB1" s="1544"/>
      <c r="AC1" s="769"/>
      <c r="AD1" s="2265" t="s">
        <v>8292</v>
      </c>
      <c r="AE1" s="3632"/>
      <c r="AF1" s="3633"/>
      <c r="AG1" s="3632"/>
      <c r="AH1" s="3632"/>
      <c r="AI1" s="3632"/>
      <c r="AJ1" s="3632"/>
      <c r="AK1" s="3632"/>
      <c r="AL1" s="628"/>
      <c r="AM1" s="628"/>
      <c r="AN1" s="628"/>
      <c r="AO1" s="628"/>
      <c r="AP1" s="628"/>
      <c r="AQ1" s="530"/>
      <c r="AR1" s="530"/>
      <c r="AS1" s="530"/>
      <c r="AT1" s="530"/>
      <c r="AU1" s="530"/>
      <c r="AV1" s="530"/>
      <c r="AW1" s="530"/>
      <c r="AX1" s="530"/>
      <c r="AY1" s="530"/>
      <c r="AZ1" s="530"/>
      <c r="BA1" s="530"/>
      <c r="BB1" s="530"/>
      <c r="BC1" s="530"/>
      <c r="BD1" s="2617"/>
      <c r="BE1" s="2617"/>
      <c r="BF1" s="2617"/>
      <c r="BG1" s="2617"/>
      <c r="BH1" s="2617"/>
      <c r="BI1" s="2617"/>
      <c r="BJ1" s="2617"/>
      <c r="BK1" s="2617"/>
      <c r="BL1" s="2617"/>
      <c r="BM1" s="2617"/>
      <c r="BN1" s="2617"/>
      <c r="BO1" s="2617"/>
      <c r="BP1" s="2617"/>
      <c r="BQ1" s="2617"/>
      <c r="BR1" s="2617"/>
      <c r="BS1" s="2617"/>
      <c r="BT1" s="2617"/>
      <c r="BU1" s="2617"/>
      <c r="BV1" s="2617"/>
      <c r="BW1" s="2617"/>
      <c r="BX1" s="2617"/>
    </row>
    <row r="2" spans="1:76" ht="12" customHeight="1">
      <c r="A2" s="9"/>
      <c r="B2" s="751"/>
      <c r="C2" s="45"/>
      <c r="D2" s="45"/>
      <c r="E2" s="45"/>
      <c r="F2" s="45"/>
      <c r="G2" s="45"/>
      <c r="H2" s="45"/>
      <c r="I2" s="45"/>
      <c r="J2" s="45"/>
      <c r="K2" s="45"/>
      <c r="L2" s="45"/>
      <c r="M2" s="45"/>
      <c r="N2" s="45"/>
      <c r="O2" s="45"/>
      <c r="P2" s="45"/>
      <c r="Q2" s="45"/>
      <c r="R2" s="45"/>
      <c r="S2" s="45"/>
      <c r="T2" s="45"/>
      <c r="U2" s="45"/>
      <c r="V2" s="46"/>
      <c r="W2" s="46"/>
      <c r="X2" s="46"/>
      <c r="Y2" s="46"/>
      <c r="Z2" s="46"/>
      <c r="AA2" s="46"/>
      <c r="AB2" s="1545"/>
      <c r="AC2" s="1279"/>
      <c r="AD2" s="2265"/>
      <c r="AE2" s="3632"/>
      <c r="AF2" s="3633"/>
      <c r="AG2" s="3632"/>
      <c r="AH2" s="3632"/>
      <c r="AI2" s="3634"/>
      <c r="AJ2" s="3632"/>
      <c r="AK2" s="3632"/>
      <c r="AL2" s="628"/>
      <c r="AM2" s="628"/>
      <c r="AN2" s="628"/>
      <c r="AO2" s="628"/>
      <c r="AP2" s="628"/>
      <c r="AQ2" s="530"/>
      <c r="AR2" s="530"/>
      <c r="AS2" s="530"/>
      <c r="AT2" s="530"/>
      <c r="AU2" s="530"/>
      <c r="AV2" s="530"/>
      <c r="AW2" s="530"/>
      <c r="AX2" s="530"/>
      <c r="AY2" s="530"/>
      <c r="AZ2" s="530"/>
      <c r="BA2" s="530"/>
      <c r="BB2" s="530"/>
      <c r="BC2" s="530"/>
      <c r="BD2" s="2617"/>
      <c r="BE2" s="2617"/>
      <c r="BF2" s="2617"/>
      <c r="BG2" s="2617"/>
      <c r="BH2" s="2617"/>
      <c r="BI2" s="2617"/>
      <c r="BJ2" s="2617"/>
      <c r="BK2" s="2617"/>
      <c r="BL2" s="2617"/>
      <c r="BM2" s="2617"/>
      <c r="BN2" s="2617"/>
      <c r="BO2" s="2617"/>
      <c r="BP2" s="2617"/>
      <c r="BQ2" s="2617"/>
      <c r="BR2" s="2617"/>
      <c r="BS2" s="2617"/>
      <c r="BT2" s="2617"/>
      <c r="BU2" s="2617"/>
      <c r="BV2" s="2617"/>
      <c r="BW2" s="2617"/>
      <c r="BX2" s="2617"/>
    </row>
    <row r="3" spans="1:76" ht="12" customHeight="1" thickBot="1">
      <c r="A3" s="9"/>
      <c r="B3" s="752"/>
      <c r="AB3" s="1546"/>
      <c r="AC3" s="1279"/>
      <c r="AD3" s="2265"/>
      <c r="AE3" s="3632"/>
      <c r="AF3" s="3633"/>
      <c r="AG3" s="3632"/>
      <c r="AH3" s="3632"/>
      <c r="AI3" s="3632"/>
      <c r="AJ3" s="3632"/>
      <c r="AK3" s="3632"/>
      <c r="AL3" s="628"/>
      <c r="AM3" s="628"/>
      <c r="AN3" s="628"/>
      <c r="AO3" s="628"/>
      <c r="AP3" s="628"/>
      <c r="AQ3" s="530"/>
      <c r="AR3" s="530"/>
      <c r="AS3" s="530"/>
      <c r="AT3" s="530"/>
      <c r="AU3" s="530"/>
      <c r="AV3" s="530"/>
      <c r="AW3" s="530"/>
      <c r="AX3" s="530"/>
      <c r="AY3" s="530"/>
      <c r="AZ3" s="530"/>
      <c r="BA3" s="530"/>
      <c r="BB3" s="530"/>
      <c r="BC3" s="530"/>
      <c r="BD3" s="2617"/>
      <c r="BE3" s="2617"/>
      <c r="BF3" s="2617"/>
      <c r="BG3" s="2617"/>
      <c r="BH3" s="2617"/>
      <c r="BI3" s="2617"/>
      <c r="BJ3" s="2617"/>
      <c r="BK3" s="2617"/>
      <c r="BL3" s="2617"/>
      <c r="BM3" s="2617"/>
      <c r="BN3" s="2617"/>
      <c r="BO3" s="2617"/>
      <c r="BP3" s="2617"/>
      <c r="BQ3" s="2617"/>
      <c r="BR3" s="2617"/>
      <c r="BS3" s="2617"/>
      <c r="BT3" s="2617"/>
      <c r="BU3" s="2617"/>
      <c r="BV3" s="2617"/>
      <c r="BW3" s="2617"/>
      <c r="BX3" s="2617"/>
    </row>
    <row r="4" spans="1:76" ht="12" customHeight="1">
      <c r="A4" s="9"/>
      <c r="B4" s="752"/>
      <c r="C4" s="2376"/>
      <c r="D4" s="2371"/>
      <c r="E4" s="2371"/>
      <c r="F4" s="2371"/>
      <c r="G4" s="2371"/>
      <c r="H4" s="1872"/>
      <c r="I4" s="856"/>
      <c r="J4" s="856"/>
      <c r="K4" s="856"/>
      <c r="L4" s="2373"/>
      <c r="M4" s="853"/>
      <c r="O4" s="4953" t="s">
        <v>1347</v>
      </c>
      <c r="P4" s="4954"/>
      <c r="Q4" s="4954"/>
      <c r="R4" s="4954"/>
      <c r="S4" s="4954"/>
      <c r="T4" s="4955"/>
      <c r="V4" s="4953" t="s">
        <v>7906</v>
      </c>
      <c r="W4" s="4954"/>
      <c r="X4" s="4954"/>
      <c r="Y4" s="4954"/>
      <c r="Z4" s="4954"/>
      <c r="AA4" s="4955"/>
      <c r="AB4" s="1547"/>
      <c r="AC4" s="1279"/>
      <c r="AD4" s="2265"/>
      <c r="AE4" s="3632"/>
      <c r="AF4" s="3633"/>
      <c r="AG4" s="3632"/>
      <c r="AH4" s="3632"/>
      <c r="AI4" s="3632"/>
      <c r="AJ4" s="3632"/>
      <c r="AK4" s="3632"/>
      <c r="AL4" s="628"/>
      <c r="AM4" s="628"/>
      <c r="AN4" s="628"/>
      <c r="AO4" s="628"/>
      <c r="AP4" s="628"/>
      <c r="AQ4" s="530"/>
      <c r="AR4" s="530"/>
      <c r="AS4" s="530"/>
      <c r="AT4" s="530"/>
      <c r="AU4" s="530"/>
      <c r="AV4" s="530"/>
      <c r="AW4" s="530"/>
      <c r="AX4" s="530"/>
      <c r="AY4" s="530"/>
      <c r="AZ4" s="530"/>
      <c r="BA4" s="530"/>
      <c r="BB4" s="530"/>
      <c r="BC4" s="530"/>
      <c r="BD4" s="2617"/>
      <c r="BE4" s="2617"/>
      <c r="BF4" s="2617"/>
      <c r="BG4" s="2617"/>
      <c r="BH4" s="2617"/>
      <c r="BI4" s="2617"/>
      <c r="BJ4" s="2617"/>
      <c r="BK4" s="2617"/>
      <c r="BL4" s="2617"/>
      <c r="BM4" s="2617"/>
      <c r="BN4" s="2617"/>
      <c r="BO4" s="2617"/>
      <c r="BP4" s="2617"/>
      <c r="BQ4" s="2617"/>
      <c r="BR4" s="2617"/>
      <c r="BS4" s="2617"/>
      <c r="BT4" s="2617"/>
      <c r="BU4" s="2617"/>
      <c r="BV4" s="2617"/>
      <c r="BW4" s="2617"/>
      <c r="BX4" s="2617"/>
    </row>
    <row r="5" spans="1:76" ht="12" customHeight="1" thickBot="1">
      <c r="A5" s="9"/>
      <c r="B5" s="752"/>
      <c r="C5" s="2372"/>
      <c r="D5" s="5374" t="s">
        <v>9687</v>
      </c>
      <c r="E5" s="5374"/>
      <c r="F5" s="5374"/>
      <c r="G5" s="5374"/>
      <c r="H5" s="2380"/>
      <c r="I5" s="5373" t="str">
        <f>IF(OR(General!$F$22="",General!$F$22=0),"",General!$F$22)</f>
        <v/>
      </c>
      <c r="J5" s="5373"/>
      <c r="K5" s="5373"/>
      <c r="L5" s="5373"/>
      <c r="M5" s="2374"/>
      <c r="O5" s="4956"/>
      <c r="P5" s="4957"/>
      <c r="Q5" s="4957"/>
      <c r="R5" s="4957"/>
      <c r="S5" s="4957"/>
      <c r="T5" s="4958"/>
      <c r="V5" s="4956"/>
      <c r="W5" s="4957"/>
      <c r="X5" s="4957"/>
      <c r="Y5" s="4957"/>
      <c r="Z5" s="4957"/>
      <c r="AA5" s="4958"/>
      <c r="AB5" s="1548"/>
      <c r="AC5" s="1279"/>
      <c r="AD5" s="2265" t="s">
        <v>9157</v>
      </c>
      <c r="AE5" s="3632" t="s">
        <v>1262</v>
      </c>
      <c r="AF5" s="2265" t="s">
        <v>9175</v>
      </c>
      <c r="AG5" s="3632"/>
      <c r="AH5" s="2265" t="s">
        <v>9750</v>
      </c>
      <c r="AI5" s="3632" t="b">
        <f>COUNTIF($O$9:$O$16,"*")&gt;0</f>
        <v>0</v>
      </c>
      <c r="AJ5" s="3632"/>
      <c r="AK5" s="3632"/>
      <c r="AL5" s="628"/>
      <c r="AM5" s="628"/>
      <c r="AN5" s="628"/>
      <c r="AO5" s="628"/>
      <c r="AP5" s="628"/>
      <c r="AQ5" s="530"/>
      <c r="AR5" s="530"/>
      <c r="AS5" s="530"/>
      <c r="AT5" s="530"/>
      <c r="AU5" s="530"/>
      <c r="AV5" s="530"/>
      <c r="AW5" s="530"/>
      <c r="AX5" s="530"/>
      <c r="AY5" s="530"/>
      <c r="AZ5" s="530"/>
      <c r="BA5" s="530"/>
      <c r="BB5" s="530"/>
      <c r="BC5" s="530"/>
      <c r="BD5" s="2617"/>
      <c r="BE5" s="2617"/>
      <c r="BF5" s="2617"/>
      <c r="BG5" s="2617"/>
      <c r="BH5" s="2617"/>
      <c r="BI5" s="2617"/>
      <c r="BJ5" s="2617"/>
      <c r="BK5" s="2617"/>
      <c r="BL5" s="2617"/>
      <c r="BM5" s="2617"/>
      <c r="BN5" s="2617"/>
      <c r="BO5" s="2617"/>
      <c r="BP5" s="2617"/>
      <c r="BQ5" s="2617"/>
      <c r="BR5" s="2617"/>
      <c r="BS5" s="2617"/>
      <c r="BT5" s="2617"/>
      <c r="BU5" s="2617"/>
      <c r="BV5" s="2617"/>
      <c r="BW5" s="2617"/>
      <c r="BX5" s="2617"/>
    </row>
    <row r="6" spans="1:76" ht="12" customHeight="1">
      <c r="A6" s="9"/>
      <c r="B6" s="752"/>
      <c r="C6" s="2372"/>
      <c r="D6" s="5374"/>
      <c r="E6" s="5374"/>
      <c r="F6" s="5374"/>
      <c r="G6" s="5374"/>
      <c r="H6" s="2380"/>
      <c r="I6" s="5373"/>
      <c r="J6" s="5373"/>
      <c r="K6" s="5373"/>
      <c r="L6" s="5373"/>
      <c r="M6" s="2374"/>
      <c r="O6" s="4911" t="s">
        <v>1348</v>
      </c>
      <c r="P6" s="5009"/>
      <c r="Q6" s="5009"/>
      <c r="R6" s="4870"/>
      <c r="S6" s="2365" t="s">
        <v>1262</v>
      </c>
      <c r="T6" s="2366" t="s">
        <v>1225</v>
      </c>
      <c r="V6" s="4959" t="s">
        <v>7903</v>
      </c>
      <c r="W6" s="4960"/>
      <c r="X6" s="4960"/>
      <c r="Y6" s="2363" t="s">
        <v>1349</v>
      </c>
      <c r="Z6" s="1045" t="s">
        <v>7904</v>
      </c>
      <c r="AA6" s="2364" t="s">
        <v>7905</v>
      </c>
      <c r="AB6" s="1546"/>
      <c r="AC6" s="1279"/>
      <c r="AD6" s="2265">
        <f>Categoría_1</f>
        <v>0</v>
      </c>
      <c r="AE6" s="3632">
        <f>S7</f>
        <v>1</v>
      </c>
      <c r="AF6" s="3632">
        <f>IF(Categoría_1="Novel",S7*5,0)</f>
        <v>0</v>
      </c>
      <c r="AG6" s="2265"/>
      <c r="AH6" s="2265" t="s">
        <v>9753</v>
      </c>
      <c r="AI6" s="2265" t="b">
        <f>AND(OR(Z15="",$Z$15=AH6),MúltiplesCategorías)</f>
        <v>0</v>
      </c>
      <c r="AJ6" s="3632"/>
      <c r="AK6" s="3632"/>
      <c r="AL6" s="628"/>
      <c r="AM6" s="628"/>
      <c r="AN6" s="628"/>
      <c r="AO6" s="628"/>
      <c r="AP6" s="628"/>
      <c r="AQ6" s="530"/>
      <c r="AR6" s="530"/>
      <c r="AS6" s="530"/>
      <c r="AT6" s="530"/>
      <c r="AU6" s="530"/>
      <c r="AV6" s="530"/>
      <c r="AW6" s="530"/>
      <c r="AX6" s="530"/>
      <c r="AY6" s="530"/>
      <c r="AZ6" s="530"/>
      <c r="BA6" s="530"/>
      <c r="BB6" s="530"/>
      <c r="BC6" s="530"/>
      <c r="BD6" s="2617"/>
      <c r="BE6" s="2617"/>
      <c r="BF6" s="2617"/>
      <c r="BG6" s="2617"/>
      <c r="BH6" s="2617"/>
      <c r="BI6" s="2617"/>
      <c r="BJ6" s="2617"/>
      <c r="BK6" s="2617"/>
      <c r="BL6" s="2617"/>
      <c r="BM6" s="2617"/>
      <c r="BN6" s="2617"/>
      <c r="BO6" s="2617"/>
      <c r="BP6" s="2617"/>
      <c r="BQ6" s="2617"/>
      <c r="BR6" s="2617"/>
      <c r="BS6" s="2617"/>
      <c r="BT6" s="2617"/>
      <c r="BU6" s="2617"/>
      <c r="BV6" s="2617"/>
      <c r="BW6" s="2617"/>
      <c r="BX6" s="2617"/>
    </row>
    <row r="7" spans="1:76" ht="12" customHeight="1">
      <c r="A7" s="9"/>
      <c r="B7" s="752"/>
      <c r="C7" s="2372"/>
      <c r="D7" s="5374"/>
      <c r="E7" s="5374"/>
      <c r="F7" s="5374"/>
      <c r="G7" s="5374"/>
      <c r="H7" s="2380"/>
      <c r="I7" s="5373"/>
      <c r="J7" s="5373"/>
      <c r="K7" s="5373"/>
      <c r="L7" s="5373"/>
      <c r="M7" s="2374"/>
      <c r="O7" s="5010"/>
      <c r="P7" s="5011"/>
      <c r="Q7" s="5011"/>
      <c r="R7" s="5012"/>
      <c r="S7" s="5005">
        <v>1</v>
      </c>
      <c r="T7" s="5003">
        <f>IF($S$7&gt;0,(500+100*$S$7),400)</f>
        <v>600</v>
      </c>
      <c r="V7" s="5276" t="str">
        <f>IF(AND(Categoría_1&lt;&gt;"",Categoría_2&lt;&gt;""),Categoría_1&amp;" a "&amp;Categoría_2,"-")</f>
        <v>-</v>
      </c>
      <c r="W7" s="5148"/>
      <c r="X7" s="5148"/>
      <c r="Y7" s="5281">
        <f>IF(OR(Categoría_1=0,Categoría_2=0),0,IF(OR(Categoría_1="Novel",Categoría_2="Novel",VLOOKUP(Categoría_1,Tablas!$D$202:$CP$228,91,FALSE)=VLOOKUP(Categoría_2,Tablas!$D$202:$CP$228,91,FALSE)),20,IF(OR(VLOOKUP(Categoría_1,Tabla_Categorías,89,FALSE)=VLOOKUP(Categoría_2,Tabla_Categorías,89,FALSE),VLOOKUP(Categoría_1,Tabla_Categorías,89,FALSE)=VLOOKUP(Categoría_2,Tabla_Categorías,90,FALSE),VLOOKUP(Categoría_1,Tabla_Categorías,90,FALSE)=VLOOKUP(Categoría_2,Tabla_Categorías,89,FALSE),IF(AND(VLOOKUP(Categoría_1,Tabla_Categorías,90,FALSE)="Sin",VLOOKUP(Categoría_2,Tabla_Categorías,90,FALSE)="Sin"),FALSE,VLOOKUP(Categoría_1,Tabla_Categorías,90,FALSE)=VLOOKUP(Categoría_2,Tabla_Categorías,90,FALSE))),40,60))*IF(Tablas!$G$376&gt;0,0.5,1))</f>
        <v>0</v>
      </c>
      <c r="Z7" s="5007"/>
      <c r="AA7" s="5272"/>
      <c r="AB7" s="1546"/>
      <c r="AC7" s="1279"/>
      <c r="AD7" s="2265">
        <f>Categoría_2</f>
        <v>0</v>
      </c>
      <c r="AE7" s="3632">
        <f>S9</f>
        <v>0</v>
      </c>
      <c r="AF7" s="3632">
        <f>IF(Categoría_2="Novel",S9*5,0)</f>
        <v>0</v>
      </c>
      <c r="AG7" s="2265"/>
      <c r="AH7" s="3632" t="s">
        <v>9767</v>
      </c>
      <c r="AI7" s="2265" t="b">
        <f>AND($Z$15=AH7,MúltiplesCategorías)</f>
        <v>0</v>
      </c>
      <c r="AJ7" s="3632"/>
      <c r="AK7" s="3632"/>
      <c r="AL7" s="628"/>
      <c r="AM7" s="628"/>
      <c r="AN7" s="628"/>
      <c r="AO7" s="628"/>
      <c r="AP7" s="628"/>
      <c r="AQ7" s="530"/>
      <c r="AR7" s="530"/>
      <c r="AS7" s="530"/>
      <c r="AT7" s="530"/>
      <c r="AU7" s="530"/>
      <c r="AV7" s="530"/>
      <c r="AW7" s="530"/>
      <c r="AX7" s="530"/>
      <c r="AY7" s="530"/>
      <c r="AZ7" s="530"/>
      <c r="BA7" s="530"/>
      <c r="BB7" s="530"/>
      <c r="BC7" s="530"/>
      <c r="BD7" s="2617"/>
      <c r="BE7" s="2617"/>
      <c r="BF7" s="2617"/>
      <c r="BG7" s="2617"/>
      <c r="BH7" s="2617"/>
      <c r="BI7" s="2617"/>
      <c r="BJ7" s="2617"/>
      <c r="BK7" s="2617"/>
      <c r="BL7" s="2617"/>
      <c r="BM7" s="2617"/>
      <c r="BN7" s="2617"/>
      <c r="BO7" s="2617"/>
      <c r="BP7" s="2617"/>
      <c r="BQ7" s="2617"/>
      <c r="BR7" s="2617"/>
      <c r="BS7" s="2617"/>
      <c r="BT7" s="2617"/>
      <c r="BU7" s="2617"/>
      <c r="BV7" s="2617"/>
      <c r="BW7" s="2617"/>
      <c r="BX7" s="2617"/>
    </row>
    <row r="8" spans="1:76" ht="12" customHeight="1">
      <c r="A8" s="9"/>
      <c r="B8" s="752"/>
      <c r="C8" s="2372"/>
      <c r="D8" s="5374"/>
      <c r="E8" s="5374"/>
      <c r="F8" s="5374"/>
      <c r="G8" s="5374"/>
      <c r="H8" s="2380"/>
      <c r="I8" s="5373"/>
      <c r="J8" s="5373"/>
      <c r="K8" s="5373"/>
      <c r="L8" s="5373"/>
      <c r="M8" s="2374"/>
      <c r="O8" s="5010"/>
      <c r="P8" s="5011"/>
      <c r="Q8" s="5011"/>
      <c r="R8" s="5012"/>
      <c r="S8" s="5006"/>
      <c r="T8" s="5004"/>
      <c r="V8" s="5276"/>
      <c r="W8" s="5148"/>
      <c r="X8" s="5148"/>
      <c r="Y8" s="5281"/>
      <c r="Z8" s="5007"/>
      <c r="AA8" s="5272"/>
      <c r="AB8" s="1546"/>
      <c r="AC8" s="1279"/>
      <c r="AD8" s="2265">
        <f>Categoría_3</f>
        <v>0</v>
      </c>
      <c r="AE8" s="3632">
        <f>S11</f>
        <v>0</v>
      </c>
      <c r="AF8" s="3632">
        <f>IF(Categoría_3="Novel",S11*5,0)</f>
        <v>0</v>
      </c>
      <c r="AG8" s="3632"/>
      <c r="AH8" s="3632" t="s">
        <v>9960</v>
      </c>
      <c r="AI8" s="2265" t="b">
        <f>AND($Z$15=AH8,MúltiplesCategorías)</f>
        <v>0</v>
      </c>
      <c r="AJ8" s="3632"/>
      <c r="AK8" s="3632"/>
      <c r="AL8" s="628"/>
      <c r="AM8" s="628"/>
      <c r="AN8" s="628"/>
      <c r="AO8" s="628"/>
      <c r="AP8" s="628"/>
      <c r="AQ8" s="530"/>
      <c r="AR8" s="530"/>
      <c r="AS8" s="530"/>
      <c r="AT8" s="530"/>
      <c r="AU8" s="530"/>
      <c r="AV8" s="530"/>
      <c r="AW8" s="530"/>
      <c r="AX8" s="530"/>
      <c r="AY8" s="530"/>
      <c r="AZ8" s="530"/>
      <c r="BA8" s="530"/>
      <c r="BB8" s="530"/>
      <c r="BC8" s="530"/>
      <c r="BD8" s="2617"/>
      <c r="BE8" s="2617"/>
      <c r="BF8" s="2617"/>
      <c r="BG8" s="2617"/>
      <c r="BH8" s="2617"/>
      <c r="BI8" s="2617"/>
      <c r="BJ8" s="2617"/>
      <c r="BK8" s="2617"/>
      <c r="BL8" s="2617"/>
      <c r="BM8" s="2617"/>
      <c r="BN8" s="2617"/>
      <c r="BO8" s="2617"/>
      <c r="BP8" s="2617"/>
      <c r="BQ8" s="2617"/>
      <c r="BR8" s="2617"/>
      <c r="BS8" s="2617"/>
      <c r="BT8" s="2617"/>
      <c r="BU8" s="2617"/>
      <c r="BV8" s="2617"/>
      <c r="BW8" s="2617"/>
      <c r="BX8" s="2617"/>
    </row>
    <row r="9" spans="1:76" ht="12" customHeight="1">
      <c r="A9" s="9"/>
      <c r="B9" s="752"/>
      <c r="C9" s="2372"/>
      <c r="D9" s="2380"/>
      <c r="E9" s="2380"/>
      <c r="F9" s="2380"/>
      <c r="G9" s="2380"/>
      <c r="H9" s="2380"/>
      <c r="I9" s="5373"/>
      <c r="J9" s="5373"/>
      <c r="K9" s="5373"/>
      <c r="L9" s="5373"/>
      <c r="M9" s="2375"/>
      <c r="O9" s="5013"/>
      <c r="P9" s="5014"/>
      <c r="Q9" s="5014"/>
      <c r="R9" s="5015"/>
      <c r="S9" s="5023"/>
      <c r="T9" s="4993">
        <f>IF($S$9&gt;0,(100*$S$9)+IF(S7=0,100,0),0)</f>
        <v>0</v>
      </c>
      <c r="V9" s="5277" t="str">
        <f>IF(AND(Categoría_2&lt;&gt;"",Categoría_3&lt;&gt;""),Categoría_2&amp;" a "&amp;Categoría_3,"-")</f>
        <v>-</v>
      </c>
      <c r="W9" s="5278"/>
      <c r="X9" s="5278"/>
      <c r="Y9" s="4996">
        <f>IF(OR(Categoría_2=0,Categoría_3=0),0,IF(OR(Categoría_2="Novel",Categoría_3="Novel",VLOOKUP(Categoría_2,Tablas!$D$202:$CP$228,90,FALSE)=VLOOKUP(Categoría_3,Tablas!$D$202:$CP$228,90,FALSE)),20,IF(OR(VLOOKUP(Categoría_2,Tabla_Categorías,88,FALSE)=VLOOKUP(Categoría_3,Tabla_Categorías,88,FALSE),VLOOKUP(Categoría_2,Tabla_Categorías,88,FALSE)=VLOOKUP(Categoría_3,Tabla_Categorías,89,FALSE),VLOOKUP(Categoría_2,Tabla_Categorías,89,FALSE)=VLOOKUP(Categoría_3,Tabla_Categorías,88,FALSE),IF(AND(VLOOKUP(Categoría_2,Tabla_Categorías,89,FALSE)="Sin",VLOOKUP(Categoría_3,Tabla_Categorías,89,FALSE)="Sin"),FALSE,VLOOKUP(Categoría_2,Tabla_Categorías,89,FALSE)=VLOOKUP(Categoría_3,Tabla_Categorías,89,FALSE))),40,60))*IF(Tablas!$G$376&gt;0,0.5,1))</f>
        <v>0</v>
      </c>
      <c r="Z9" s="5008"/>
      <c r="AA9" s="5274"/>
      <c r="AB9" s="1546"/>
      <c r="AC9" s="1279"/>
      <c r="AD9" s="2265">
        <f>Categoría_4</f>
        <v>0</v>
      </c>
      <c r="AE9" s="3632">
        <f>S13</f>
        <v>0</v>
      </c>
      <c r="AF9" s="3632">
        <f>IF(Categoría_4="Novel",S13*5,0)</f>
        <v>0</v>
      </c>
      <c r="AG9" s="3632"/>
      <c r="AH9" s="2265" t="s">
        <v>9754</v>
      </c>
      <c r="AI9" s="3632"/>
      <c r="AJ9" s="3632"/>
      <c r="AK9" s="3632"/>
      <c r="AL9" s="628"/>
      <c r="AM9" s="628"/>
      <c r="AN9" s="628"/>
      <c r="AO9" s="628"/>
      <c r="AP9" s="628"/>
      <c r="AQ9" s="530"/>
      <c r="AR9" s="530"/>
      <c r="AS9" s="530"/>
      <c r="AT9" s="530"/>
      <c r="AU9" s="530"/>
      <c r="AV9" s="530"/>
      <c r="AW9" s="530"/>
      <c r="AX9" s="530"/>
      <c r="AY9" s="530"/>
      <c r="AZ9" s="530"/>
      <c r="BA9" s="530"/>
      <c r="BB9" s="530"/>
      <c r="BC9" s="530"/>
      <c r="BD9" s="2617"/>
      <c r="BE9" s="2617"/>
      <c r="BF9" s="2617"/>
      <c r="BG9" s="2617"/>
      <c r="BH9" s="2617"/>
      <c r="BI9" s="2617"/>
      <c r="BJ9" s="2617"/>
      <c r="BK9" s="2617"/>
      <c r="BL9" s="2617"/>
      <c r="BM9" s="2617"/>
      <c r="BN9" s="2617"/>
      <c r="BO9" s="2617"/>
      <c r="BP9" s="2617"/>
      <c r="BQ9" s="2617"/>
      <c r="BR9" s="2617"/>
      <c r="BS9" s="2617"/>
      <c r="BT9" s="2617"/>
      <c r="BU9" s="2617"/>
      <c r="BV9" s="2617"/>
      <c r="BW9" s="2617"/>
      <c r="BX9" s="2617"/>
    </row>
    <row r="10" spans="1:76" ht="12" customHeight="1">
      <c r="A10" s="9"/>
      <c r="B10" s="752"/>
      <c r="C10" s="2372"/>
      <c r="D10" s="2380"/>
      <c r="E10" s="2380"/>
      <c r="F10" s="2380"/>
      <c r="G10" s="2380"/>
      <c r="H10" s="2380"/>
      <c r="I10" s="2383"/>
      <c r="J10" s="2383"/>
      <c r="K10" s="2383"/>
      <c r="L10" s="2383"/>
      <c r="M10" s="2375"/>
      <c r="O10" s="5013"/>
      <c r="P10" s="5014"/>
      <c r="Q10" s="5014"/>
      <c r="R10" s="5015"/>
      <c r="S10" s="5023"/>
      <c r="T10" s="4993"/>
      <c r="V10" s="5277"/>
      <c r="W10" s="5278"/>
      <c r="X10" s="5278"/>
      <c r="Y10" s="4996"/>
      <c r="Z10" s="5008"/>
      <c r="AA10" s="5274"/>
      <c r="AB10" s="1546"/>
      <c r="AC10" s="1279"/>
      <c r="AD10" s="2265">
        <f>Categoría_5</f>
        <v>0</v>
      </c>
      <c r="AE10" s="3632">
        <f>S15</f>
        <v>0</v>
      </c>
      <c r="AF10" s="3632">
        <f>IF(Categoría_5="Novel",S15*5,0)</f>
        <v>0</v>
      </c>
      <c r="AG10" s="3632"/>
      <c r="AH10" s="2265" t="s">
        <v>9752</v>
      </c>
      <c r="AI10" s="2265" t="b">
        <f>AND($Z$15=AH10,MúltiplesCategorías)</f>
        <v>0</v>
      </c>
      <c r="AJ10" s="3632"/>
      <c r="AK10" s="3632"/>
      <c r="AL10" s="628"/>
      <c r="AM10" s="628"/>
      <c r="AN10" s="628"/>
      <c r="AO10" s="628"/>
      <c r="AP10" s="628"/>
      <c r="AQ10" s="530"/>
      <c r="AR10" s="530"/>
      <c r="AS10" s="530"/>
      <c r="AT10" s="530"/>
      <c r="AU10" s="530"/>
      <c r="AV10" s="530"/>
      <c r="AW10" s="530"/>
      <c r="AX10" s="530"/>
      <c r="AY10" s="530"/>
      <c r="AZ10" s="530"/>
      <c r="BA10" s="530"/>
      <c r="BB10" s="530"/>
      <c r="BC10" s="530"/>
      <c r="BD10" s="2617"/>
      <c r="BE10" s="2617"/>
      <c r="BF10" s="2617"/>
      <c r="BG10" s="2617"/>
      <c r="BH10" s="2617"/>
      <c r="BI10" s="2617"/>
      <c r="BJ10" s="2617"/>
      <c r="BK10" s="2617"/>
      <c r="BL10" s="2617"/>
      <c r="BM10" s="2617"/>
      <c r="BN10" s="2617"/>
      <c r="BO10" s="2617"/>
      <c r="BP10" s="2617"/>
      <c r="BQ10" s="2617"/>
      <c r="BR10" s="2617"/>
      <c r="BS10" s="2617"/>
      <c r="BT10" s="2617"/>
      <c r="BU10" s="2617"/>
      <c r="BV10" s="2617"/>
      <c r="BW10" s="2617"/>
      <c r="BX10" s="2617"/>
    </row>
    <row r="11" spans="1:76" ht="12" customHeight="1">
      <c r="A11" s="9"/>
      <c r="B11" s="752"/>
      <c r="C11" s="2372"/>
      <c r="D11" s="2382" t="s">
        <v>1185</v>
      </c>
      <c r="E11" s="4751" t="str">
        <f>O7&amp;IF(O9="",""," "&amp;S7&amp;" / "&amp;O9&amp;" "&amp;S9&amp;IF(O11="",""," / "&amp;O11&amp;" "&amp;S11&amp;IF(O13="",""," / "&amp;O13&amp;" "&amp;S13&amp;IF(O15="",""," / "&amp;O15&amp;" "&amp;S15))))</f>
        <v/>
      </c>
      <c r="F11" s="4751"/>
      <c r="G11" s="4751"/>
      <c r="H11" s="4751"/>
      <c r="I11" s="4751"/>
      <c r="J11" s="4751"/>
      <c r="K11" s="4751"/>
      <c r="L11" s="4751"/>
      <c r="M11" s="5372"/>
      <c r="N11" s="530">
        <f>LEN(E11)</f>
        <v>0</v>
      </c>
      <c r="O11" s="5010"/>
      <c r="P11" s="5011"/>
      <c r="Q11" s="5011"/>
      <c r="R11" s="5012"/>
      <c r="S11" s="5021"/>
      <c r="T11" s="5001">
        <f>IF($S$11&gt;0,(100*$S$11),0)</f>
        <v>0</v>
      </c>
      <c r="V11" s="5276" t="str">
        <f>IF(AND(Categoría_3&lt;&gt;"",Categoría_4&lt;&gt;""),Categoría_3&amp;" a "&amp;Categoría_4,"-")</f>
        <v>-</v>
      </c>
      <c r="W11" s="5148"/>
      <c r="X11" s="5148"/>
      <c r="Y11" s="5281">
        <f>IF(OR(Categoría_3=0,Categoría_4=0),0,IF(OR(Categoría_3="Novel",Categoría_4="Novel",VLOOKUP(Categoría_3,Tablas!$D$202:$CP$228,90,FALSE)=VLOOKUP(Categoría_4,Tablas!$D$202:$CP$228,90,FALSE)),20,IF(OR(VLOOKUP(Categoría_3,Tabla_Categorías,88,FALSE)=VLOOKUP(Categoría_4,Tabla_Categorías,88,FALSE),VLOOKUP(Categoría_3,Tabla_Categorías,88,FALSE)=VLOOKUP(Categoría_4,Tabla_Categorías,89,FALSE),VLOOKUP(Categoría_3,Tabla_Categorías,89,FALSE)=VLOOKUP(Categoría_4,Tabla_Categorías,88,FALSE),IF(AND(VLOOKUP(Categoría_3,Tabla_Categorías,89,FALSE)="Sin",VLOOKUP(Categoría_4,Tabla_Categorías,89,FALSE)="Sin"),FALSE,VLOOKUP(Categoría_3,Tabla_Categorías,89,FALSE)=VLOOKUP(Categoría_4,Tabla_Categorías,89,FALSE))),40,60))*IF(Tablas!$G$376&gt;0,0.5,1))</f>
        <v>0</v>
      </c>
      <c r="Z11" s="5007"/>
      <c r="AA11" s="5272"/>
      <c r="AB11" s="1546"/>
      <c r="AC11" s="1279"/>
      <c r="AD11" s="2265"/>
      <c r="AE11" s="3632"/>
      <c r="AF11" s="3633"/>
      <c r="AG11" s="3632"/>
      <c r="AH11" s="3632"/>
      <c r="AI11" s="3632"/>
      <c r="AJ11" s="3632"/>
      <c r="AK11" s="3632"/>
      <c r="AL11" s="628"/>
      <c r="AM11" s="628"/>
      <c r="AN11" s="628"/>
      <c r="AO11" s="628"/>
      <c r="AP11" s="628"/>
      <c r="AQ11" s="530"/>
      <c r="AR11" s="530"/>
      <c r="AS11" s="530"/>
      <c r="AT11" s="530"/>
      <c r="AU11" s="530"/>
      <c r="AV11" s="530"/>
      <c r="AW11" s="530"/>
      <c r="AX11" s="530"/>
      <c r="AY11" s="530"/>
      <c r="AZ11" s="530"/>
      <c r="BA11" s="530"/>
      <c r="BB11" s="530"/>
      <c r="BC11" s="530"/>
      <c r="BD11" s="2617"/>
      <c r="BE11" s="2617"/>
      <c r="BF11" s="2617"/>
      <c r="BG11" s="2617"/>
      <c r="BH11" s="2617"/>
      <c r="BI11" s="2617"/>
      <c r="BJ11" s="2617"/>
      <c r="BK11" s="2617"/>
      <c r="BL11" s="2617"/>
      <c r="BM11" s="2617"/>
      <c r="BN11" s="2617"/>
      <c r="BO11" s="2617"/>
      <c r="BP11" s="2617"/>
      <c r="BQ11" s="2617"/>
      <c r="BR11" s="2617"/>
      <c r="BS11" s="2617"/>
      <c r="BT11" s="2617"/>
      <c r="BU11" s="2617"/>
      <c r="BV11" s="2617"/>
      <c r="BW11" s="2617"/>
      <c r="BX11" s="2617"/>
    </row>
    <row r="12" spans="1:76" ht="12" customHeight="1">
      <c r="A12" s="9"/>
      <c r="B12" s="752"/>
      <c r="C12" s="2372"/>
      <c r="D12" s="859"/>
      <c r="E12" s="4751"/>
      <c r="F12" s="4751"/>
      <c r="G12" s="4751"/>
      <c r="H12" s="4751"/>
      <c r="I12" s="4751"/>
      <c r="J12" s="4751"/>
      <c r="K12" s="4751"/>
      <c r="L12" s="4751"/>
      <c r="M12" s="5372"/>
      <c r="O12" s="5010"/>
      <c r="P12" s="5011"/>
      <c r="Q12" s="5011"/>
      <c r="R12" s="5012"/>
      <c r="S12" s="5021"/>
      <c r="T12" s="5001"/>
      <c r="V12" s="5276"/>
      <c r="W12" s="5148"/>
      <c r="X12" s="5148"/>
      <c r="Y12" s="5281"/>
      <c r="Z12" s="5007"/>
      <c r="AA12" s="5272"/>
      <c r="AB12" s="1546"/>
      <c r="AC12" s="1279"/>
      <c r="AD12" s="2265"/>
      <c r="AE12" s="3632"/>
      <c r="AF12" s="3633"/>
      <c r="AG12" s="3632"/>
      <c r="AH12" s="3632" t="s">
        <v>9756</v>
      </c>
      <c r="AI12" s="3632" t="b">
        <f>Principal!$AJ$40&gt;0</f>
        <v>0</v>
      </c>
      <c r="AJ12" s="3632"/>
      <c r="AK12" s="3632"/>
      <c r="AL12" s="628"/>
      <c r="AM12" s="628"/>
      <c r="AN12" s="628"/>
      <c r="AO12" s="628"/>
      <c r="AP12" s="628"/>
      <c r="AQ12" s="530"/>
      <c r="AR12" s="530"/>
      <c r="AS12" s="530"/>
      <c r="AT12" s="530"/>
      <c r="AU12" s="530"/>
      <c r="AV12" s="530"/>
      <c r="AW12" s="530"/>
      <c r="AX12" s="530"/>
      <c r="AY12" s="530"/>
      <c r="AZ12" s="530"/>
      <c r="BA12" s="530"/>
      <c r="BB12" s="530"/>
      <c r="BC12" s="530"/>
      <c r="BD12" s="2617"/>
      <c r="BE12" s="2617"/>
      <c r="BF12" s="2617"/>
      <c r="BG12" s="2617"/>
      <c r="BH12" s="2617"/>
      <c r="BI12" s="2617"/>
      <c r="BJ12" s="2617"/>
      <c r="BK12" s="2617"/>
      <c r="BL12" s="2617"/>
      <c r="BM12" s="2617"/>
      <c r="BN12" s="2617"/>
      <c r="BO12" s="2617"/>
      <c r="BP12" s="2617"/>
      <c r="BQ12" s="2617"/>
      <c r="BR12" s="2617"/>
      <c r="BS12" s="2617"/>
      <c r="BT12" s="2617"/>
      <c r="BU12" s="2617"/>
      <c r="BV12" s="2617"/>
      <c r="BW12" s="2617"/>
      <c r="BX12" s="2617"/>
    </row>
    <row r="13" spans="1:76" ht="12" customHeight="1">
      <c r="A13" s="9"/>
      <c r="B13" s="752"/>
      <c r="C13" s="2372"/>
      <c r="D13" s="2382" t="s">
        <v>1223</v>
      </c>
      <c r="E13" s="4751" t="str">
        <f>Principal!K7</f>
        <v>Natural 10</v>
      </c>
      <c r="F13" s="4751"/>
      <c r="G13" s="4751"/>
      <c r="H13" s="4751"/>
      <c r="I13" s="4751"/>
      <c r="J13" s="4751"/>
      <c r="K13" s="4751"/>
      <c r="L13" s="4751"/>
      <c r="M13" s="5372"/>
      <c r="O13" s="5013"/>
      <c r="P13" s="5014"/>
      <c r="Q13" s="5014"/>
      <c r="R13" s="5015"/>
      <c r="S13" s="5253"/>
      <c r="T13" s="5000">
        <f>IF($S$13&gt;0,(100*$S$13),0)</f>
        <v>0</v>
      </c>
      <c r="V13" s="5277" t="str">
        <f>IF(AND(Categoría_4&lt;&gt;"",Categoría_5&lt;&gt;""),Categoría_4&amp;" a "&amp;Categoría_5,"-")</f>
        <v>-</v>
      </c>
      <c r="W13" s="5278"/>
      <c r="X13" s="5278"/>
      <c r="Y13" s="4996">
        <f>IF(OR(Categoría_4=0,Categoría_5=0),0,IF(OR(Categoría_4="Novel",Categoría_5="Novel",VLOOKUP(Categoría_4,Tablas!$D$202:$CP$228,90,FALSE)=VLOOKUP(Categoría_5,Tablas!$D$202:$CP$228,90,FALSE)),20,IF(OR(VLOOKUP(Categoría_4,Tabla_Categorías,88,FALSE)=VLOOKUP(Categoría_5,Tabla_Categorías,88,FALSE),VLOOKUP(Categoría_4,Tabla_Categorías,88,FALSE)=VLOOKUP(Categoría_5,Tabla_Categorías,89,FALSE),VLOOKUP(Categoría_4,Tabla_Categorías,89,FALSE)=VLOOKUP(Categoría_5,Tabla_Categorías,88,FALSE),IF(AND(VLOOKUP(Categoría_4,Tabla_Categorías,89,FALSE)="Sin",VLOOKUP(Categoría_5,Tabla_Categorías,89,FALSE)="Sin"),FALSE,VLOOKUP(Categoría_4,Tabla_Categorías,89,FALSE)=VLOOKUP(Categoría_5,Tabla_Categorías,89,FALSE))),40,60))*IF(Tablas!$G$376&gt;0,0.5,1))</f>
        <v>0</v>
      </c>
      <c r="Z13" s="5008"/>
      <c r="AA13" s="5274"/>
      <c r="AB13" s="1549" t="str">
        <f>IF(Principal!AD18=0,"",VLOOKUP(Principal!AD18,Tabla_HabEsenciales,5,FALSE))</f>
        <v/>
      </c>
      <c r="AC13" s="1279"/>
      <c r="AD13" s="2265"/>
      <c r="AE13" s="3632"/>
      <c r="AF13" s="3633"/>
      <c r="AG13" s="3632"/>
      <c r="AH13" s="3633" t="s">
        <v>9758</v>
      </c>
      <c r="AI13" s="3632" t="b">
        <f>IF(Tablas!$G$376,TRUE,AND(IF(Categoría_2=0,TRUE,S7&lt;&gt;1),IF(Categoría_3=0,TRUE,S9&lt;&gt;1),IF(Categoría_4=0,TRUE,S11&lt;&gt;1),IF(Categoría_5=0,TRUE,S13&lt;&gt;1)))</f>
        <v>1</v>
      </c>
      <c r="AJ13" s="3632"/>
      <c r="AK13" s="3632"/>
      <c r="AL13" s="628"/>
      <c r="AM13" s="628"/>
      <c r="AN13" s="628"/>
      <c r="AO13" s="628"/>
      <c r="AP13" s="628"/>
      <c r="AQ13" s="530"/>
      <c r="AR13" s="530"/>
      <c r="AS13" s="530"/>
      <c r="AT13" s="530"/>
      <c r="AU13" s="530"/>
      <c r="AV13" s="530"/>
      <c r="AW13" s="530"/>
      <c r="AX13" s="530"/>
      <c r="AY13" s="530"/>
      <c r="AZ13" s="530"/>
      <c r="BA13" s="530"/>
      <c r="BB13" s="530"/>
      <c r="BC13" s="530"/>
      <c r="BD13" s="2617"/>
      <c r="BE13" s="2617"/>
      <c r="BF13" s="2617"/>
      <c r="BG13" s="2617"/>
      <c r="BH13" s="2617"/>
      <c r="BI13" s="2617"/>
      <c r="BJ13" s="2617"/>
      <c r="BK13" s="2617"/>
      <c r="BL13" s="2617"/>
      <c r="BM13" s="2617"/>
      <c r="BN13" s="2617"/>
      <c r="BO13" s="2617"/>
      <c r="BP13" s="2617"/>
      <c r="BQ13" s="2617"/>
      <c r="BR13" s="2617"/>
      <c r="BS13" s="2617"/>
      <c r="BT13" s="2617"/>
      <c r="BU13" s="2617"/>
      <c r="BV13" s="2617"/>
      <c r="BW13" s="2617"/>
      <c r="BX13" s="2617"/>
    </row>
    <row r="14" spans="1:76" ht="12" customHeight="1" thickBot="1">
      <c r="A14" s="9"/>
      <c r="B14" s="752"/>
      <c r="C14" s="2377"/>
      <c r="D14" s="859"/>
      <c r="E14" s="4751"/>
      <c r="F14" s="4751"/>
      <c r="G14" s="4751"/>
      <c r="H14" s="4751"/>
      <c r="I14" s="4751"/>
      <c r="J14" s="4751"/>
      <c r="K14" s="4751"/>
      <c r="L14" s="4751"/>
      <c r="M14" s="5372"/>
      <c r="O14" s="5013"/>
      <c r="P14" s="5014"/>
      <c r="Q14" s="5014"/>
      <c r="R14" s="5015"/>
      <c r="S14" s="5253"/>
      <c r="T14" s="5000"/>
      <c r="V14" s="5279"/>
      <c r="W14" s="5280"/>
      <c r="X14" s="5280"/>
      <c r="Y14" s="4997"/>
      <c r="Z14" s="5273"/>
      <c r="AA14" s="5275"/>
      <c r="AB14" s="1549" t="str">
        <f>IF(Principal!AD19=0,"",VLOOKUP(Principal!AD19,Tabla_HabEsenciales,5,FALSE))</f>
        <v/>
      </c>
      <c r="AC14" s="769"/>
      <c r="AD14" s="2265"/>
      <c r="AE14" s="3632"/>
      <c r="AF14" s="3633"/>
      <c r="AG14" s="3632"/>
      <c r="AH14" s="3632"/>
      <c r="AI14" s="3632"/>
      <c r="AJ14" s="3632"/>
      <c r="AK14" s="3632"/>
      <c r="AL14" s="628"/>
      <c r="AM14" s="628"/>
      <c r="AN14" s="628"/>
      <c r="AO14" s="628"/>
      <c r="AP14" s="628"/>
      <c r="AQ14" s="530"/>
      <c r="AR14" s="530"/>
      <c r="AS14" s="530"/>
      <c r="AT14" s="530"/>
      <c r="AU14" s="530"/>
      <c r="AV14" s="530"/>
      <c r="AW14" s="530"/>
      <c r="AX14" s="530"/>
      <c r="AY14" s="530"/>
      <c r="AZ14" s="530"/>
      <c r="BA14" s="530"/>
      <c r="BB14" s="530"/>
      <c r="BC14" s="530"/>
      <c r="BD14" s="2617"/>
      <c r="BE14" s="2617"/>
      <c r="BF14" s="2617"/>
      <c r="BG14" s="2617"/>
      <c r="BH14" s="2617"/>
      <c r="BI14" s="2617"/>
      <c r="BJ14" s="2617"/>
      <c r="BK14" s="2617"/>
      <c r="BL14" s="2617"/>
      <c r="BM14" s="2617"/>
      <c r="BN14" s="2617"/>
      <c r="BO14" s="2617"/>
      <c r="BP14" s="2617"/>
      <c r="BQ14" s="2617"/>
      <c r="BR14" s="2617"/>
      <c r="BS14" s="2617"/>
      <c r="BT14" s="2617"/>
      <c r="BU14" s="2617"/>
      <c r="BV14" s="2617"/>
      <c r="BW14" s="2617"/>
      <c r="BX14" s="2617"/>
    </row>
    <row r="15" spans="1:76" ht="12" customHeight="1">
      <c r="A15" s="9"/>
      <c r="B15" s="752"/>
      <c r="C15" s="2377"/>
      <c r="D15" s="2382" t="s">
        <v>1186</v>
      </c>
      <c r="E15" s="4751" t="str">
        <f>Principal!$O$6</f>
        <v>1</v>
      </c>
      <c r="F15" s="4751"/>
      <c r="G15" s="859"/>
      <c r="H15" s="859"/>
      <c r="I15" s="859"/>
      <c r="J15" s="859"/>
      <c r="K15" s="859"/>
      <c r="L15" s="859"/>
      <c r="M15" s="2378"/>
      <c r="O15" s="5010"/>
      <c r="P15" s="5011"/>
      <c r="Q15" s="5011"/>
      <c r="R15" s="5012"/>
      <c r="S15" s="5021"/>
      <c r="T15" s="5001">
        <f>IF($S$15&gt;0,(100*$S$15),0)</f>
        <v>0</v>
      </c>
      <c r="V15" s="5258" t="s">
        <v>9751</v>
      </c>
      <c r="W15" s="5259"/>
      <c r="X15" s="5259"/>
      <c r="Y15" s="5259"/>
      <c r="Z15" s="5288" t="s">
        <v>9753</v>
      </c>
      <c r="AA15" s="5289"/>
      <c r="AB15" s="1549" t="str">
        <f>IF(Principal!AD20=0,"",VLOOKUP(Principal!AD20,Tabla_HabEsenciales,5,FALSE))</f>
        <v/>
      </c>
      <c r="AC15" s="769"/>
      <c r="AD15" s="2265"/>
      <c r="AE15" s="3632"/>
      <c r="AF15" s="3633"/>
      <c r="AG15" s="3632"/>
      <c r="AH15" s="3632"/>
      <c r="AI15" s="3632"/>
      <c r="AJ15" s="3632"/>
      <c r="AK15" s="3632"/>
      <c r="AL15" s="628"/>
      <c r="AM15" s="628"/>
      <c r="AN15" s="628"/>
      <c r="AO15" s="628"/>
      <c r="AP15" s="628"/>
      <c r="AQ15" s="530"/>
      <c r="AR15" s="530"/>
      <c r="AS15" s="530"/>
      <c r="AT15" s="530"/>
      <c r="AU15" s="530"/>
      <c r="AV15" s="530"/>
      <c r="AW15" s="530"/>
      <c r="AX15" s="530"/>
      <c r="AY15" s="530"/>
      <c r="AZ15" s="530"/>
      <c r="BA15" s="530"/>
      <c r="BB15" s="530"/>
      <c r="BC15" s="530"/>
      <c r="BD15" s="2617"/>
      <c r="BE15" s="2617"/>
      <c r="BF15" s="2617"/>
      <c r="BG15" s="2617"/>
      <c r="BH15" s="2617"/>
      <c r="BI15" s="2617"/>
      <c r="BJ15" s="2617"/>
      <c r="BK15" s="2617"/>
      <c r="BL15" s="2617"/>
      <c r="BM15" s="2617"/>
      <c r="BN15" s="2617"/>
      <c r="BO15" s="2617"/>
      <c r="BP15" s="2617"/>
      <c r="BQ15" s="2617"/>
      <c r="BR15" s="2617"/>
      <c r="BS15" s="2617"/>
      <c r="BT15" s="2617"/>
      <c r="BU15" s="2617"/>
      <c r="BV15" s="2617"/>
      <c r="BW15" s="2617"/>
      <c r="BX15" s="2617"/>
    </row>
    <row r="16" spans="1:76" ht="12" customHeight="1" thickBot="1">
      <c r="A16" s="9"/>
      <c r="B16" s="752"/>
      <c r="C16" s="2377"/>
      <c r="D16" s="859"/>
      <c r="E16" s="859"/>
      <c r="F16" s="859"/>
      <c r="G16" s="859"/>
      <c r="H16" s="2381"/>
      <c r="I16" s="2381"/>
      <c r="J16" s="2381"/>
      <c r="K16" s="2381"/>
      <c r="L16" s="2381"/>
      <c r="M16" s="2379"/>
      <c r="O16" s="5016"/>
      <c r="P16" s="5017"/>
      <c r="Q16" s="5017"/>
      <c r="R16" s="5018"/>
      <c r="S16" s="5022"/>
      <c r="T16" s="5002"/>
      <c r="V16" s="526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5261"/>
      <c r="X16" s="5261"/>
      <c r="Y16" s="5261"/>
      <c r="Z16" s="5261"/>
      <c r="AA16" s="5262"/>
      <c r="AB16" s="1549" t="str">
        <f>IF(Principal!AD21=0,"",VLOOKUP(Principal!AD21,Tabla_HabEsenciales,5,FALSE))</f>
        <v/>
      </c>
      <c r="AC16" s="769"/>
      <c r="AD16" s="2265"/>
      <c r="AE16" s="3632"/>
      <c r="AF16" s="3633"/>
      <c r="AG16" s="3632"/>
      <c r="AH16" s="3632"/>
      <c r="AI16" s="3632"/>
      <c r="AJ16" s="3632"/>
      <c r="AK16" s="3632"/>
      <c r="AL16" s="628"/>
      <c r="AM16" s="628"/>
      <c r="AN16" s="628"/>
      <c r="AO16" s="628"/>
      <c r="AP16" s="628"/>
      <c r="AQ16" s="530"/>
      <c r="AR16" s="530"/>
      <c r="AS16" s="530"/>
      <c r="AT16" s="530"/>
      <c r="AU16" s="530"/>
      <c r="AV16" s="530"/>
      <c r="AW16" s="530"/>
      <c r="AX16" s="530"/>
      <c r="AY16" s="530"/>
      <c r="AZ16" s="530"/>
      <c r="BA16" s="530"/>
      <c r="BB16" s="530"/>
      <c r="BC16" s="530"/>
      <c r="BD16" s="2617"/>
      <c r="BE16" s="2617"/>
      <c r="BF16" s="2617"/>
      <c r="BG16" s="2617"/>
      <c r="BH16" s="2617"/>
      <c r="BI16" s="2617"/>
      <c r="BJ16" s="2617"/>
      <c r="BK16" s="2617"/>
      <c r="BL16" s="2617"/>
      <c r="BM16" s="2617"/>
      <c r="BN16" s="2617"/>
      <c r="BO16" s="2617"/>
      <c r="BP16" s="2617"/>
      <c r="BQ16" s="2617"/>
      <c r="BR16" s="2617"/>
      <c r="BS16" s="2617"/>
      <c r="BT16" s="2617"/>
      <c r="BU16" s="2617"/>
      <c r="BV16" s="2617"/>
      <c r="BW16" s="2617"/>
      <c r="BX16" s="2617"/>
    </row>
    <row r="17" spans="1:76" ht="12" customHeight="1" thickBot="1">
      <c r="A17" s="9"/>
      <c r="B17" s="752"/>
      <c r="C17" s="5349" t="s">
        <v>1350</v>
      </c>
      <c r="D17" s="5350"/>
      <c r="E17" s="5350"/>
      <c r="F17" s="5350"/>
      <c r="G17" s="5350"/>
      <c r="H17" s="5350"/>
      <c r="I17" s="5350"/>
      <c r="J17" s="5350"/>
      <c r="K17" s="5350"/>
      <c r="L17" s="5350"/>
      <c r="M17" s="5351"/>
      <c r="O17" s="4393" t="s">
        <v>1351</v>
      </c>
      <c r="P17" s="4394"/>
      <c r="Q17" s="5019"/>
      <c r="R17" s="4994">
        <f>SUM(S7:S16)</f>
        <v>1</v>
      </c>
      <c r="S17" s="4998" t="s">
        <v>1237</v>
      </c>
      <c r="T17" s="5251">
        <f>SUM(T7:T16)</f>
        <v>600</v>
      </c>
      <c r="V17" s="5263"/>
      <c r="W17" s="5264"/>
      <c r="X17" s="5264"/>
      <c r="Y17" s="5264"/>
      <c r="Z17" s="5264"/>
      <c r="AA17" s="5265"/>
      <c r="AB17" s="1549" t="str">
        <f>IF(Principal!AD22=0,"",VLOOKUP(Principal!AD22,Tabla_HabEsenciales,5,FALSE))</f>
        <v/>
      </c>
      <c r="AC17" s="769"/>
      <c r="AD17" s="2265"/>
      <c r="AE17" s="530"/>
      <c r="AF17" s="530"/>
      <c r="AG17" s="530"/>
      <c r="AH17" s="530"/>
      <c r="AI17" s="530"/>
      <c r="AJ17" s="3632"/>
      <c r="AK17" s="3632"/>
      <c r="AL17" s="628"/>
      <c r="AM17" s="628"/>
      <c r="AN17" s="628"/>
      <c r="AO17" s="628"/>
      <c r="AP17" s="628"/>
      <c r="AQ17" s="530"/>
      <c r="AR17" s="530"/>
      <c r="AS17" s="530"/>
      <c r="AT17" s="530"/>
      <c r="AU17" s="530"/>
      <c r="AV17" s="530"/>
      <c r="AW17" s="530"/>
      <c r="AX17" s="530"/>
      <c r="AY17" s="530"/>
      <c r="AZ17" s="530"/>
      <c r="BA17" s="530"/>
      <c r="BB17" s="530"/>
      <c r="BC17" s="530"/>
      <c r="BD17" s="2617"/>
      <c r="BE17" s="2617"/>
      <c r="BF17" s="2617"/>
      <c r="BG17" s="2617"/>
      <c r="BH17" s="2617"/>
      <c r="BI17" s="2617"/>
      <c r="BJ17" s="2617"/>
      <c r="BK17" s="2617"/>
      <c r="BL17" s="2617"/>
      <c r="BM17" s="2617"/>
      <c r="BN17" s="2617"/>
      <c r="BO17" s="2617"/>
      <c r="BP17" s="2617"/>
      <c r="BQ17" s="2617"/>
      <c r="BR17" s="2617"/>
      <c r="BS17" s="2617"/>
      <c r="BT17" s="2617"/>
      <c r="BU17" s="2617"/>
      <c r="BV17" s="2617"/>
      <c r="BW17" s="2617"/>
      <c r="BX17" s="2617"/>
    </row>
    <row r="18" spans="1:76" ht="12" customHeight="1" thickBot="1">
      <c r="A18" s="9"/>
      <c r="B18" s="752"/>
      <c r="C18" s="5352"/>
      <c r="D18" s="4721"/>
      <c r="E18" s="4721"/>
      <c r="F18" s="4721"/>
      <c r="G18" s="4721"/>
      <c r="H18" s="4721"/>
      <c r="I18" s="4721"/>
      <c r="J18" s="4721"/>
      <c r="K18" s="4721"/>
      <c r="L18" s="4721"/>
      <c r="M18" s="5353"/>
      <c r="O18" s="5020"/>
      <c r="P18" s="4602"/>
      <c r="Q18" s="4603"/>
      <c r="R18" s="4995"/>
      <c r="S18" s="4999"/>
      <c r="T18" s="5252"/>
      <c r="V18" s="4987" t="s">
        <v>7912</v>
      </c>
      <c r="W18" s="4988"/>
      <c r="X18" s="4988"/>
      <c r="Y18" s="4988"/>
      <c r="Z18" s="4988"/>
      <c r="AA18" s="4989"/>
      <c r="AB18" s="1549"/>
      <c r="AC18" s="769"/>
      <c r="AD18" s="2265"/>
      <c r="AE18" s="3635"/>
      <c r="AF18" s="3635"/>
      <c r="AG18" s="3635"/>
      <c r="AH18" s="3635"/>
      <c r="AI18" s="3635"/>
      <c r="AJ18" s="3632"/>
      <c r="AK18" s="3632"/>
      <c r="AL18" s="628"/>
      <c r="AM18" s="628"/>
      <c r="AN18" s="628"/>
      <c r="AO18" s="628"/>
      <c r="AP18" s="628"/>
      <c r="AQ18" s="530"/>
      <c r="AR18" s="530"/>
      <c r="AS18" s="530"/>
      <c r="AT18" s="530"/>
      <c r="AU18" s="530"/>
      <c r="AV18" s="530"/>
      <c r="AW18" s="530"/>
      <c r="AX18" s="530"/>
      <c r="AY18" s="530"/>
      <c r="AZ18" s="530"/>
      <c r="BA18" s="530"/>
      <c r="BB18" s="530"/>
      <c r="BC18" s="530"/>
      <c r="BD18" s="2617"/>
      <c r="BE18" s="2617"/>
      <c r="BF18" s="2617"/>
      <c r="BG18" s="2617"/>
      <c r="BH18" s="2617"/>
      <c r="BI18" s="2617"/>
      <c r="BJ18" s="2617"/>
      <c r="BK18" s="2617"/>
      <c r="BL18" s="2617"/>
      <c r="BM18" s="2617"/>
      <c r="BN18" s="2617"/>
      <c r="BO18" s="2617"/>
      <c r="BP18" s="2617"/>
      <c r="BQ18" s="2617"/>
      <c r="BR18" s="2617"/>
      <c r="BS18" s="2617"/>
      <c r="BT18" s="2617"/>
      <c r="BU18" s="2617"/>
      <c r="BV18" s="2617"/>
      <c r="BW18" s="2617"/>
      <c r="BX18" s="2617"/>
    </row>
    <row r="19" spans="1:76" ht="12" customHeight="1" thickBot="1">
      <c r="A19" s="9"/>
      <c r="B19" s="752"/>
      <c r="C19" s="5354"/>
      <c r="D19" s="5355"/>
      <c r="E19" s="5355"/>
      <c r="F19" s="5355"/>
      <c r="G19" s="5355"/>
      <c r="H19" s="5355"/>
      <c r="I19" s="5355"/>
      <c r="J19" s="5355"/>
      <c r="K19" s="5355"/>
      <c r="L19" s="5355"/>
      <c r="M19" s="5356"/>
      <c r="O19" s="4990" t="s">
        <v>9757</v>
      </c>
      <c r="P19" s="5250"/>
      <c r="Q19" s="5250"/>
      <c r="R19" s="5250"/>
      <c r="S19" s="5250"/>
      <c r="T19" s="4992"/>
      <c r="V19" s="2353" t="s">
        <v>1209</v>
      </c>
      <c r="W19" s="1045" t="s">
        <v>7907</v>
      </c>
      <c r="X19" s="2367" t="s">
        <v>7908</v>
      </c>
      <c r="Y19" s="2367" t="s">
        <v>7909</v>
      </c>
      <c r="Z19" s="2367" t="s">
        <v>7910</v>
      </c>
      <c r="AA19" s="2364" t="s">
        <v>7911</v>
      </c>
      <c r="AB19" s="1549"/>
      <c r="AC19" s="769"/>
      <c r="AD19" s="2265"/>
      <c r="AE19" s="3635"/>
      <c r="AF19" s="3635"/>
      <c r="AG19" s="3635"/>
      <c r="AH19" s="3635"/>
      <c r="AI19" s="3635"/>
      <c r="AJ19" s="3632"/>
      <c r="AK19" s="3632"/>
      <c r="AL19" s="628"/>
      <c r="AM19" s="628"/>
      <c r="AN19" s="628"/>
      <c r="AO19" s="628"/>
      <c r="AP19" s="628"/>
      <c r="AQ19" s="530"/>
      <c r="AR19" s="530"/>
      <c r="AS19" s="530"/>
      <c r="AT19" s="530"/>
      <c r="AU19" s="530"/>
      <c r="AV19" s="530"/>
      <c r="AW19" s="530"/>
      <c r="AX19" s="530"/>
      <c r="AY19" s="530"/>
      <c r="AZ19" s="530"/>
      <c r="BA19" s="530"/>
      <c r="BB19" s="530"/>
      <c r="BC19" s="530"/>
      <c r="BD19" s="2617"/>
      <c r="BE19" s="2617"/>
      <c r="BF19" s="2617"/>
      <c r="BG19" s="2617"/>
      <c r="BH19" s="2617"/>
      <c r="BI19" s="2617"/>
      <c r="BJ19" s="2617"/>
      <c r="BK19" s="2617"/>
      <c r="BL19" s="2617"/>
      <c r="BM19" s="2617"/>
      <c r="BN19" s="2617"/>
      <c r="BO19" s="2617"/>
      <c r="BP19" s="2617"/>
      <c r="BQ19" s="2617"/>
      <c r="BR19" s="2617"/>
      <c r="BS19" s="2617"/>
      <c r="BT19" s="2617"/>
      <c r="BU19" s="2617"/>
      <c r="BV19" s="2617"/>
      <c r="BW19" s="2617"/>
      <c r="BX19" s="2617"/>
    </row>
    <row r="20" spans="1:76" ht="12" customHeight="1" thickBot="1">
      <c r="A20" s="9"/>
      <c r="B20" s="752"/>
      <c r="H20" s="84"/>
      <c r="I20" s="84"/>
      <c r="J20" s="84"/>
      <c r="V20" s="2368">
        <f>MAX(Principal!AJ10+Principal!AJ40-Principal!$AB$27,0)</f>
        <v>0</v>
      </c>
      <c r="W20" s="2369">
        <f>IF(Principal!AB13&lt;25,PDs!V20,MAX(0,PDs!V20-PDs!X20-PDs!Y20-PDs!Z20-PDs!AA20))</f>
        <v>0</v>
      </c>
      <c r="X20" s="1440"/>
      <c r="Y20" s="2354"/>
      <c r="Z20" s="2593"/>
      <c r="AA20" s="2370"/>
      <c r="AB20" s="1549"/>
      <c r="AC20" s="769"/>
      <c r="AD20" s="2265"/>
      <c r="AE20" s="3635"/>
      <c r="AF20" s="3635"/>
      <c r="AG20" s="3635"/>
      <c r="AH20" s="3635"/>
      <c r="AI20" s="3635"/>
      <c r="AJ20" s="3632"/>
      <c r="AK20" s="3632"/>
      <c r="AL20" s="628"/>
      <c r="AM20" s="628"/>
      <c r="AN20" s="628"/>
      <c r="AO20" s="628"/>
      <c r="AP20" s="628"/>
      <c r="AQ20" s="530"/>
      <c r="AR20" s="530"/>
      <c r="AS20" s="530"/>
      <c r="AT20" s="530"/>
      <c r="AU20" s="530"/>
      <c r="AV20" s="530"/>
      <c r="AW20" s="530"/>
      <c r="AX20" s="530"/>
      <c r="AY20" s="530"/>
      <c r="AZ20" s="530"/>
      <c r="BA20" s="530"/>
      <c r="BB20" s="530"/>
      <c r="BC20" s="530"/>
      <c r="BD20" s="2617"/>
      <c r="BE20" s="2617"/>
      <c r="BF20" s="2617"/>
      <c r="BG20" s="2617"/>
      <c r="BH20" s="2617"/>
      <c r="BI20" s="2617"/>
      <c r="BJ20" s="2617"/>
      <c r="BK20" s="2617"/>
      <c r="BL20" s="2617"/>
      <c r="BM20" s="2617"/>
      <c r="BN20" s="2617"/>
      <c r="BO20" s="2617"/>
      <c r="BP20" s="2617"/>
      <c r="BQ20" s="2617"/>
      <c r="BR20" s="2617"/>
      <c r="BS20" s="2617"/>
      <c r="BT20" s="2617"/>
      <c r="BU20" s="2617"/>
      <c r="BV20" s="2617"/>
      <c r="BW20" s="2617"/>
      <c r="BX20" s="2617"/>
    </row>
    <row r="21" spans="1:76" ht="12" customHeight="1" thickBot="1">
      <c r="A21" s="9"/>
      <c r="B21" s="752"/>
      <c r="D21" s="304"/>
      <c r="E21" s="304"/>
      <c r="F21" s="304"/>
      <c r="G21" s="304"/>
      <c r="H21" s="304"/>
      <c r="I21" s="304"/>
      <c r="J21" s="304"/>
      <c r="W21" s="4990" t="s">
        <v>9755</v>
      </c>
      <c r="X21" s="4991"/>
      <c r="Y21" s="4991"/>
      <c r="Z21" s="4991"/>
      <c r="AA21" s="4992"/>
      <c r="AB21" s="1549" t="str">
        <f>IF(Principal!AD23=0,"",VLOOKUP(Principal!AD23,Tabla_HabEsenciales,5,FALSE))</f>
        <v/>
      </c>
      <c r="AC21" s="1280"/>
      <c r="AD21" s="2265"/>
      <c r="AE21" s="3632"/>
      <c r="AF21" s="2265"/>
      <c r="AG21" s="2265"/>
      <c r="AH21" s="2265"/>
      <c r="AI21" s="2265"/>
      <c r="AJ21" s="3632"/>
      <c r="AK21" s="3632"/>
      <c r="AL21" s="628"/>
      <c r="AM21" s="628"/>
      <c r="AN21" s="628"/>
      <c r="AO21" s="628"/>
      <c r="AP21" s="628"/>
      <c r="AQ21" s="530"/>
      <c r="AR21" s="530"/>
      <c r="AS21" s="530"/>
      <c r="AT21" s="530"/>
      <c r="AU21" s="530"/>
      <c r="AV21" s="530"/>
      <c r="AW21" s="530"/>
      <c r="AX21" s="530"/>
      <c r="AY21" s="530"/>
      <c r="AZ21" s="530"/>
      <c r="BA21" s="530"/>
      <c r="BB21" s="530"/>
      <c r="BC21" s="530"/>
      <c r="BD21" s="2617"/>
      <c r="BE21" s="2617"/>
      <c r="BF21" s="2617"/>
      <c r="BG21" s="2617"/>
      <c r="BH21" s="2617"/>
      <c r="BI21" s="2617"/>
      <c r="BJ21" s="2617"/>
      <c r="BK21" s="2617"/>
      <c r="BL21" s="2617"/>
      <c r="BM21" s="2617"/>
      <c r="BN21" s="2617"/>
      <c r="BO21" s="2617"/>
      <c r="BP21" s="2617"/>
      <c r="BQ21" s="2617"/>
      <c r="BR21" s="2617"/>
      <c r="BS21" s="2617"/>
      <c r="BT21" s="2617"/>
      <c r="BU21" s="2617"/>
      <c r="BV21" s="2617"/>
      <c r="BW21" s="2617"/>
      <c r="BX21" s="2617"/>
    </row>
    <row r="22" spans="1:76" ht="12" customHeight="1">
      <c r="A22" s="9"/>
      <c r="B22" s="752"/>
      <c r="D22" s="304"/>
      <c r="E22" s="304"/>
      <c r="F22" s="304"/>
      <c r="G22" s="304"/>
      <c r="H22" s="304"/>
      <c r="I22" s="304"/>
      <c r="J22" s="304"/>
      <c r="L22" s="5310" t="str">
        <f>IF(Categoría_1=0,"",Categoría_1)</f>
        <v/>
      </c>
      <c r="M22" s="5110"/>
      <c r="N22" s="5109" t="str">
        <f>IF(Categoría_2=0,"",Categoría_2)</f>
        <v/>
      </c>
      <c r="O22" s="5110"/>
      <c r="P22" s="5109" t="str">
        <f>IF(Categoría_3=0,"",Categoría_3)</f>
        <v/>
      </c>
      <c r="Q22" s="5110"/>
      <c r="R22" s="5109" t="str">
        <f>IF(Categoría_4=0,"",Categoría_4)</f>
        <v/>
      </c>
      <c r="S22" s="5110"/>
      <c r="T22" s="5109" t="str">
        <f>IF(Categoría_5=0,"",Categoría_5)</f>
        <v/>
      </c>
      <c r="U22" s="5145"/>
      <c r="AB22" s="1546"/>
      <c r="AC22" s="1281"/>
      <c r="AD22" s="2265"/>
      <c r="AE22" s="3632"/>
      <c r="AF22" s="3633"/>
      <c r="AG22" s="3632"/>
      <c r="AH22" s="3632"/>
      <c r="AI22" s="3632"/>
      <c r="AJ22" s="3632"/>
      <c r="AK22" s="3632"/>
      <c r="AL22" s="628"/>
      <c r="AM22" s="628"/>
      <c r="AN22" s="628"/>
      <c r="AO22" s="628"/>
      <c r="AP22" s="628"/>
      <c r="AQ22" s="530"/>
      <c r="AR22" s="530"/>
      <c r="AS22" s="530"/>
      <c r="AT22" s="530"/>
      <c r="AU22" s="530"/>
      <c r="AV22" s="530"/>
      <c r="AW22" s="530"/>
      <c r="AX22" s="530"/>
      <c r="AY22" s="530"/>
      <c r="AZ22" s="530"/>
      <c r="BA22" s="530"/>
      <c r="BB22" s="530"/>
      <c r="BC22" s="530"/>
      <c r="BD22" s="2617"/>
      <c r="BE22" s="2617"/>
      <c r="BF22" s="2617"/>
      <c r="BG22" s="2617"/>
      <c r="BH22" s="2617"/>
      <c r="BI22" s="2617"/>
      <c r="BJ22" s="2617"/>
      <c r="BK22" s="2617"/>
      <c r="BL22" s="2617"/>
      <c r="BM22" s="2617"/>
      <c r="BN22" s="2617"/>
      <c r="BO22" s="2617"/>
      <c r="BP22" s="2617"/>
      <c r="BQ22" s="2617"/>
      <c r="BR22" s="2617"/>
      <c r="BS22" s="2617"/>
      <c r="BT22" s="2617"/>
      <c r="BU22" s="2617"/>
      <c r="BV22" s="2617"/>
      <c r="BW22" s="2617"/>
      <c r="BX22" s="2617"/>
    </row>
    <row r="23" spans="1:76" ht="12" customHeight="1" thickBot="1">
      <c r="A23" s="9"/>
      <c r="B23" s="752"/>
      <c r="L23" s="5311"/>
      <c r="M23" s="5312"/>
      <c r="N23" s="5313"/>
      <c r="O23" s="5312"/>
      <c r="P23" s="5313"/>
      <c r="Q23" s="5312"/>
      <c r="R23" s="5313"/>
      <c r="S23" s="5312"/>
      <c r="T23" s="5313"/>
      <c r="U23" s="5326"/>
      <c r="AB23" s="1546"/>
      <c r="AC23" s="769"/>
      <c r="AD23" s="2265"/>
      <c r="AE23" s="3632"/>
      <c r="AF23" s="3633"/>
      <c r="AG23" s="3632"/>
      <c r="AH23" s="3632"/>
      <c r="AI23" s="3632"/>
      <c r="AJ23" s="3632"/>
      <c r="AK23" s="3632"/>
      <c r="AL23" s="628"/>
      <c r="AM23" s="628"/>
      <c r="AN23" s="628"/>
      <c r="AO23" s="628"/>
      <c r="AP23" s="628"/>
      <c r="AQ23" s="530"/>
      <c r="AR23" s="530"/>
      <c r="AS23" s="530"/>
      <c r="AT23" s="530"/>
      <c r="AU23" s="530"/>
      <c r="AV23" s="530"/>
      <c r="AW23" s="530"/>
      <c r="AX23" s="530"/>
      <c r="AY23" s="530"/>
      <c r="AZ23" s="530"/>
      <c r="BA23" s="530"/>
      <c r="BB23" s="530"/>
      <c r="BC23" s="530"/>
      <c r="BD23" s="2617"/>
      <c r="BE23" s="2617"/>
      <c r="BF23" s="2617"/>
      <c r="BG23" s="2617"/>
      <c r="BH23" s="2617"/>
      <c r="BI23" s="2617"/>
      <c r="BJ23" s="2617"/>
      <c r="BK23" s="2617"/>
      <c r="BL23" s="2617"/>
      <c r="BM23" s="2617"/>
      <c r="BN23" s="2617"/>
      <c r="BO23" s="2617"/>
      <c r="BP23" s="2617"/>
      <c r="BQ23" s="2617"/>
      <c r="BR23" s="2617"/>
      <c r="BS23" s="2617"/>
      <c r="BT23" s="2617"/>
      <c r="BU23" s="2617"/>
      <c r="BV23" s="2617"/>
      <c r="BW23" s="2617"/>
      <c r="BX23" s="2617"/>
    </row>
    <row r="24" spans="1:76" ht="12" customHeight="1" thickBot="1">
      <c r="A24" s="9"/>
      <c r="B24" s="752"/>
      <c r="C24" s="5401" t="s">
        <v>1253</v>
      </c>
      <c r="D24" s="477" t="s">
        <v>1258</v>
      </c>
      <c r="E24" s="5357" t="s">
        <v>1235</v>
      </c>
      <c r="F24" s="5358"/>
      <c r="G24" s="5358"/>
      <c r="H24" s="5358"/>
      <c r="I24" s="5358"/>
      <c r="J24" s="5358"/>
      <c r="K24" s="5359"/>
      <c r="L24" s="478" t="s">
        <v>1349</v>
      </c>
      <c r="M24" s="479" t="s">
        <v>1237</v>
      </c>
      <c r="N24" s="478" t="s">
        <v>1349</v>
      </c>
      <c r="O24" s="479" t="s">
        <v>1237</v>
      </c>
      <c r="P24" s="478" t="s">
        <v>1349</v>
      </c>
      <c r="Q24" s="479" t="s">
        <v>1237</v>
      </c>
      <c r="R24" s="478" t="s">
        <v>1349</v>
      </c>
      <c r="S24" s="479" t="s">
        <v>1237</v>
      </c>
      <c r="T24" s="478" t="s">
        <v>1349</v>
      </c>
      <c r="U24" s="479" t="s">
        <v>1237</v>
      </c>
      <c r="V24" s="478" t="s">
        <v>1225</v>
      </c>
      <c r="W24" s="478" t="s">
        <v>1227</v>
      </c>
      <c r="X24" s="5118" t="s">
        <v>1348</v>
      </c>
      <c r="Y24" s="5118"/>
      <c r="Z24" s="478" t="s">
        <v>1277</v>
      </c>
      <c r="AA24" s="480" t="s">
        <v>1209</v>
      </c>
      <c r="AB24" s="1546"/>
      <c r="AC24" s="769"/>
      <c r="AD24" s="2265"/>
      <c r="AE24" s="3632"/>
      <c r="AF24" s="3633"/>
      <c r="AG24" s="3632"/>
      <c r="AH24" s="3632"/>
      <c r="AI24" s="3632"/>
      <c r="AJ24" s="3632"/>
      <c r="AK24" s="3632"/>
      <c r="AL24" s="628"/>
      <c r="AM24" s="628"/>
      <c r="AN24" s="628"/>
      <c r="AO24" s="628"/>
      <c r="AP24" s="628"/>
      <c r="AQ24" s="530"/>
      <c r="AR24" s="530"/>
      <c r="AS24" s="530"/>
      <c r="AT24" s="530"/>
      <c r="AU24" s="530"/>
      <c r="AV24" s="530"/>
      <c r="AW24" s="530"/>
      <c r="AX24" s="530"/>
      <c r="AY24" s="530"/>
      <c r="AZ24" s="530"/>
      <c r="BA24" s="530"/>
      <c r="BB24" s="530"/>
      <c r="BC24" s="530"/>
      <c r="BD24" s="2617"/>
      <c r="BE24" s="2617"/>
      <c r="BF24" s="2617"/>
      <c r="BG24" s="2617"/>
      <c r="BH24" s="2617"/>
      <c r="BI24" s="2617"/>
      <c r="BJ24" s="2617"/>
      <c r="BK24" s="2617"/>
      <c r="BL24" s="2617"/>
      <c r="BM24" s="2617"/>
      <c r="BN24" s="2617"/>
      <c r="BO24" s="2617"/>
      <c r="BP24" s="2617"/>
      <c r="BQ24" s="2617"/>
      <c r="BR24" s="2617"/>
      <c r="BS24" s="2617"/>
      <c r="BT24" s="2617"/>
      <c r="BU24" s="2617"/>
      <c r="BV24" s="2617"/>
      <c r="BW24" s="2617"/>
      <c r="BX24" s="2617"/>
    </row>
    <row r="25" spans="1:76" ht="12" customHeight="1">
      <c r="A25" s="9"/>
      <c r="B25" s="752"/>
      <c r="C25" s="5402"/>
      <c r="D25" s="5218" t="s">
        <v>1225</v>
      </c>
      <c r="E25" s="5360" t="s">
        <v>1352</v>
      </c>
      <c r="F25" s="5361"/>
      <c r="G25" s="5361"/>
      <c r="H25" s="5361"/>
      <c r="I25" s="5361"/>
      <c r="J25" s="5361"/>
      <c r="K25" s="5362"/>
      <c r="L25" s="1764">
        <f>IFERROR(VLOOKUP(L$22,Tabla_Categorías,MATCH("Coste"&amp;$E25,Name_Tabla_Cat,FALSE),FALSE),0)</f>
        <v>0</v>
      </c>
      <c r="M25" s="2319"/>
      <c r="N25" s="1764">
        <f>IFERROR(VLOOKUP(N$22,Tabla_Categorías,MATCH("Coste"&amp;$E25,Name_Tabla_Cat,FALSE),FALSE),0)</f>
        <v>0</v>
      </c>
      <c r="O25" s="1339"/>
      <c r="P25" s="1764">
        <f>IFERROR(VLOOKUP(P$22,Tabla_Categorías,MATCH("Coste"&amp;$E25,Name_Tabla_Cat,FALSE),FALSE),0)</f>
        <v>0</v>
      </c>
      <c r="Q25" s="1339"/>
      <c r="R25" s="1764">
        <f>IFERROR(VLOOKUP(R$22,Tabla_Categorías,MATCH("Coste"&amp;$E25,Name_Tabla_Cat,FALSE),FALSE),0)</f>
        <v>0</v>
      </c>
      <c r="S25" s="1339"/>
      <c r="T25" s="1764">
        <f>IFERROR(VLOOKUP(T$22,Tabla_Categorías,MATCH("Coste"&amp;$E25,Name_Tabla_Cat,FALSE),FALSE),0)</f>
        <v>0</v>
      </c>
      <c r="U25" s="1339"/>
      <c r="V25" s="483">
        <f>IF(L25=0,0,TRUNC(M25/L25,0))+IF(N25=0,0,TRUNC(O25/N25,0))+IF(P25=0,0,TRUNC(Q25/P25,0))+IF(R25=0,0,TRUNC(S25/R25,0))+IF(T25=0,0,TRUNC(U25/T25,0))</f>
        <v>0</v>
      </c>
      <c r="W25" s="484">
        <f>Bono_Des</f>
        <v>0</v>
      </c>
      <c r="X25" s="4583">
        <f>MIN(50,HLOOKUP($E25,Bonos_Cat_Base,2,FALSE)+5*Nivel_Total*Tablas!$G$369)</f>
        <v>0</v>
      </c>
      <c r="Y25" s="4583"/>
      <c r="Z25" s="1954"/>
      <c r="AA25" s="485">
        <f>Z25+X25+V25+W25+Mod_ATA+Mod_Fisico</f>
        <v>0</v>
      </c>
      <c r="AB25" s="1546"/>
      <c r="AC25" s="769"/>
      <c r="AD25" s="2265" t="s">
        <v>6783</v>
      </c>
      <c r="AE25" s="3632"/>
      <c r="AF25" s="3633"/>
      <c r="AG25" s="3632"/>
      <c r="AH25" s="3632"/>
      <c r="AI25" s="3632"/>
      <c r="AJ25" s="3632"/>
      <c r="AK25" s="3632"/>
      <c r="AL25" s="628"/>
      <c r="AM25" s="628"/>
      <c r="AN25" s="628"/>
      <c r="AO25" s="628"/>
      <c r="AP25" s="628"/>
      <c r="AQ25" s="530"/>
      <c r="AR25" s="530"/>
      <c r="AS25" s="530"/>
      <c r="AT25" s="530"/>
      <c r="AU25" s="530"/>
      <c r="AV25" s="530"/>
      <c r="AW25" s="530"/>
      <c r="AX25" s="530"/>
      <c r="AY25" s="530"/>
      <c r="AZ25" s="530"/>
      <c r="BA25" s="530"/>
      <c r="BB25" s="530"/>
      <c r="BC25" s="530"/>
      <c r="BD25" s="2617"/>
      <c r="BE25" s="2617"/>
      <c r="BF25" s="2617"/>
      <c r="BG25" s="2617"/>
      <c r="BH25" s="2617"/>
      <c r="BI25" s="2617"/>
      <c r="BJ25" s="2617"/>
      <c r="BK25" s="2617"/>
      <c r="BL25" s="2617"/>
      <c r="BM25" s="2617"/>
      <c r="BN25" s="2617"/>
      <c r="BO25" s="2617"/>
      <c r="BP25" s="2617"/>
      <c r="BQ25" s="2617"/>
      <c r="BR25" s="2617"/>
      <c r="BS25" s="2617"/>
      <c r="BT25" s="2617"/>
      <c r="BU25" s="2617"/>
      <c r="BV25" s="2617"/>
      <c r="BW25" s="2617"/>
      <c r="BX25" s="2617"/>
    </row>
    <row r="26" spans="1:76" ht="12" customHeight="1">
      <c r="A26" s="9"/>
      <c r="B26" s="752"/>
      <c r="C26" s="5402"/>
      <c r="D26" s="5188"/>
      <c r="E26" s="5363" t="s">
        <v>1353</v>
      </c>
      <c r="F26" s="5364"/>
      <c r="G26" s="5364"/>
      <c r="H26" s="5364"/>
      <c r="I26" s="5364"/>
      <c r="J26" s="5364"/>
      <c r="K26" s="5365"/>
      <c r="L26" s="1771">
        <f>IFERROR(VLOOKUP(L$22,Tabla_Categorías,MATCH("Coste"&amp;$E26,Name_Tabla_Cat,FALSE),FALSE),0)</f>
        <v>0</v>
      </c>
      <c r="M26" s="2320"/>
      <c r="N26" s="1771">
        <f>IFERROR(VLOOKUP(N$22,Tabla_Categorías,MATCH("Coste"&amp;$E26,Name_Tabla_Cat,FALSE),FALSE),0)</f>
        <v>0</v>
      </c>
      <c r="O26" s="1352"/>
      <c r="P26" s="1771">
        <f>IFERROR(VLOOKUP(P$22,Tabla_Categorías,MATCH("Coste"&amp;$E26,Name_Tabla_Cat,FALSE),FALSE),0)</f>
        <v>0</v>
      </c>
      <c r="Q26" s="1352"/>
      <c r="R26" s="1771">
        <f>IFERROR(VLOOKUP(R$22,Tabla_Categorías,MATCH("Coste"&amp;$E26,Name_Tabla_Cat,FALSE),FALSE),0)</f>
        <v>0</v>
      </c>
      <c r="S26" s="1352"/>
      <c r="T26" s="1771">
        <f>IFERROR(VLOOKUP(T$22,Tabla_Categorías,MATCH("Coste"&amp;$E26,Name_Tabla_Cat,FALSE),FALSE),0)</f>
        <v>0</v>
      </c>
      <c r="U26" s="1352"/>
      <c r="V26" s="54">
        <f>IF(L26=0,0,TRUNC(M26/L26,0))+IF(N26=0,0,TRUNC(O26/N26,0))+IF(P26=0,0,TRUNC(Q26/P26,0))+IF(R26=0,0,TRUNC(S26/R26,0))+IF(T26=0,0,TRUNC(U26/T26,0))</f>
        <v>0</v>
      </c>
      <c r="W26" s="459">
        <f>Bono_Des</f>
        <v>0</v>
      </c>
      <c r="X26" s="5148">
        <f>MIN(50,HLOOKUP($E26,Bonos_Cat_Base,2,FALSE)+5*Nivel_Total*Tablas!$G$370)</f>
        <v>0</v>
      </c>
      <c r="Y26" s="5148"/>
      <c r="Z26" s="1955"/>
      <c r="AA26" s="486">
        <f>W26+X26+V26+Z26+Mod_ATA+Mod_Fisico</f>
        <v>0</v>
      </c>
      <c r="AB26" s="1546"/>
      <c r="AC26" s="769"/>
      <c r="AD26" s="2265">
        <f>MAX(HP_final,HE_final)</f>
        <v>0</v>
      </c>
      <c r="AE26" s="3632"/>
      <c r="AF26" s="3633"/>
      <c r="AG26" s="3632"/>
      <c r="AH26" s="3632"/>
      <c r="AI26" s="3632"/>
      <c r="AJ26" s="3632"/>
      <c r="AK26" s="3632"/>
      <c r="AL26" s="628"/>
      <c r="AM26" s="628"/>
      <c r="AN26" s="628"/>
      <c r="AO26" s="628"/>
      <c r="AP26" s="628"/>
      <c r="AQ26" s="530"/>
      <c r="AR26" s="530"/>
      <c r="AS26" s="530"/>
      <c r="AT26" s="530"/>
      <c r="AU26" s="530"/>
      <c r="AV26" s="530"/>
      <c r="AW26" s="530"/>
      <c r="AX26" s="530"/>
      <c r="AY26" s="530"/>
      <c r="AZ26" s="530"/>
      <c r="BA26" s="530"/>
      <c r="BB26" s="530"/>
      <c r="BC26" s="530"/>
      <c r="BD26" s="2617"/>
      <c r="BE26" s="2617"/>
      <c r="BF26" s="2617"/>
      <c r="BG26" s="2617"/>
      <c r="BH26" s="2617"/>
      <c r="BI26" s="2617"/>
      <c r="BJ26" s="2617"/>
      <c r="BK26" s="2617"/>
      <c r="BL26" s="2617"/>
      <c r="BM26" s="2617"/>
      <c r="BN26" s="2617"/>
      <c r="BO26" s="2617"/>
      <c r="BP26" s="2617"/>
      <c r="BQ26" s="2617"/>
      <c r="BR26" s="2617"/>
      <c r="BS26" s="2617"/>
      <c r="BT26" s="2617"/>
      <c r="BU26" s="2617"/>
      <c r="BV26" s="2617"/>
      <c r="BW26" s="2617"/>
      <c r="BX26" s="2617"/>
    </row>
    <row r="27" spans="1:76" ht="12" customHeight="1">
      <c r="A27" s="9"/>
      <c r="B27" s="752"/>
      <c r="C27" s="5402"/>
      <c r="D27" s="5188"/>
      <c r="E27" s="5182" t="s">
        <v>1354</v>
      </c>
      <c r="F27" s="4306"/>
      <c r="G27" s="4306"/>
      <c r="H27" s="4306"/>
      <c r="I27" s="4306"/>
      <c r="J27" s="4306"/>
      <c r="K27" s="5183"/>
      <c r="L27" s="1765">
        <f>IFERROR(VLOOKUP(L$22,Tabla_Categorías,MATCH("Coste"&amp;$E27,Name_Tabla_Cat,FALSE),FALSE),0)</f>
        <v>0</v>
      </c>
      <c r="M27" s="1340"/>
      <c r="N27" s="1765">
        <f>IFERROR(VLOOKUP(N$22,Tabla_Categorías,MATCH("Coste"&amp;$E27,Name_Tabla_Cat,FALSE),FALSE),0)</f>
        <v>0</v>
      </c>
      <c r="O27" s="1340"/>
      <c r="P27" s="1765">
        <f>IFERROR(VLOOKUP(P$22,Tabla_Categorías,MATCH("Coste"&amp;$E27,Name_Tabla_Cat,FALSE),FALSE),0)</f>
        <v>0</v>
      </c>
      <c r="Q27" s="1340"/>
      <c r="R27" s="1765">
        <f>IFERROR(VLOOKUP(R$22,Tabla_Categorías,MATCH("Coste"&amp;$E27,Name_Tabla_Cat,FALSE),FALSE),0)</f>
        <v>0</v>
      </c>
      <c r="S27" s="1340"/>
      <c r="T27" s="1765">
        <f>IFERROR(VLOOKUP(T$22,Tabla_Categorías,MATCH("Coste"&amp;$E27,Name_Tabla_Cat,FALSE),FALSE),0)</f>
        <v>0</v>
      </c>
      <c r="U27" s="1340"/>
      <c r="V27" s="52">
        <f>IF(L27=0,0,TRUNC(M27/L27,0))+IF(N27=0,0,TRUNC(O27/N27,0))+IF(P27=0,0,TRUNC(Q27/P27,0))+IF(R27=0,0,TRUNC(S27/R27,0))+IF(T27=0,0,TRUNC(U27/T27,0))</f>
        <v>0</v>
      </c>
      <c r="W27" s="462">
        <f>Bono_Agi</f>
        <v>0</v>
      </c>
      <c r="X27" s="4621">
        <f>MIN(50,HLOOKUP($E27,Bonos_Cat_Base,2,FALSE)+5*Nivel_Total*Tablas!$G$371)</f>
        <v>0</v>
      </c>
      <c r="Y27" s="4621"/>
      <c r="Z27" s="1956"/>
      <c r="AA27" s="487">
        <f>V27+W27+X27+Z27+Mod_ATA+Mod_Fisico</f>
        <v>0</v>
      </c>
      <c r="AB27" s="1546"/>
      <c r="AC27" s="769"/>
      <c r="AD27" s="2265"/>
      <c r="AE27" s="3632"/>
      <c r="AF27" s="3633"/>
      <c r="AG27" s="3632"/>
      <c r="AH27" s="3632"/>
      <c r="AI27" s="3632"/>
      <c r="AJ27" s="3632"/>
      <c r="AK27" s="3632"/>
      <c r="AL27" s="628"/>
      <c r="AM27" s="628"/>
      <c r="AN27" s="628"/>
      <c r="AO27" s="628"/>
      <c r="AP27" s="628"/>
      <c r="AQ27" s="530"/>
      <c r="AR27" s="530"/>
      <c r="AS27" s="530"/>
      <c r="AT27" s="530"/>
      <c r="AU27" s="530"/>
      <c r="AV27" s="530"/>
      <c r="AW27" s="530"/>
      <c r="AX27" s="530"/>
      <c r="AY27" s="530"/>
      <c r="AZ27" s="530"/>
      <c r="BA27" s="530"/>
      <c r="BB27" s="530"/>
      <c r="BC27" s="530"/>
      <c r="BD27" s="2617"/>
      <c r="BE27" s="2617"/>
      <c r="BF27" s="2617"/>
      <c r="BG27" s="2617"/>
      <c r="BH27" s="2617"/>
      <c r="BI27" s="2617"/>
      <c r="BJ27" s="2617"/>
      <c r="BK27" s="2617"/>
      <c r="BL27" s="2617"/>
      <c r="BM27" s="2617"/>
      <c r="BN27" s="2617"/>
      <c r="BO27" s="2617"/>
      <c r="BP27" s="2617"/>
      <c r="BQ27" s="2617"/>
      <c r="BR27" s="2617"/>
      <c r="BS27" s="2617"/>
      <c r="BT27" s="2617"/>
      <c r="BU27" s="2617"/>
      <c r="BV27" s="2617"/>
      <c r="BW27" s="2617"/>
      <c r="BX27" s="2617"/>
    </row>
    <row r="28" spans="1:76" ht="12" customHeight="1">
      <c r="A28" s="9"/>
      <c r="B28" s="752"/>
      <c r="C28" s="5402"/>
      <c r="D28" s="5188"/>
      <c r="E28" s="5163" t="s">
        <v>1355</v>
      </c>
      <c r="F28" s="5164"/>
      <c r="G28" s="5164"/>
      <c r="H28" s="5164"/>
      <c r="I28" s="5164"/>
      <c r="J28" s="5164"/>
      <c r="K28" s="5165"/>
      <c r="L28" s="1771">
        <f>IFERROR(VLOOKUP(L$22,Tabla_Categorías,MATCH("Coste"&amp;$E28,Name_Tabla_Cat,FALSE),FALSE),0)</f>
        <v>0</v>
      </c>
      <c r="M28" s="1352"/>
      <c r="N28" s="1771">
        <f>IFERROR(VLOOKUP(N$22,Tabla_Categorías,MATCH("Coste"&amp;$E28,Name_Tabla_Cat,FALSE),FALSE),0)</f>
        <v>0</v>
      </c>
      <c r="O28" s="1352"/>
      <c r="P28" s="1771">
        <f>IFERROR(VLOOKUP(P$22,Tabla_Categorías,MATCH("Coste"&amp;$E28,Name_Tabla_Cat,FALSE),FALSE),0)</f>
        <v>0</v>
      </c>
      <c r="Q28" s="1352"/>
      <c r="R28" s="1771">
        <f>IFERROR(VLOOKUP(R$22,Tabla_Categorías,MATCH("Coste"&amp;$E28,Name_Tabla_Cat,FALSE),FALSE),0)</f>
        <v>0</v>
      </c>
      <c r="S28" s="1352"/>
      <c r="T28" s="1771">
        <f>IFERROR(VLOOKUP(T$22,Tabla_Categorías,MATCH("Coste"&amp;$E28,Name_Tabla_Cat,FALSE),FALSE),0)</f>
        <v>0</v>
      </c>
      <c r="U28" s="1352"/>
      <c r="V28" s="54">
        <f>IF(L28=0,0,TRUNC(M28/L28,0))+IF(N28=0,0,TRUNC(O28/N28,0))+IF(P28=0,0,TRUNC(Q28/P28,0))+IF(R28=0,0,TRUNC(S28/R28,0))+IF(T28=0,0,TRUNC(U28/T28,0))</f>
        <v>0</v>
      </c>
      <c r="W28" s="459">
        <f>Bono_Fue+Nivel_Total*(5*Tablas!$G$373+10*Tablas!$G$374+15*Tablas!$G$375)</f>
        <v>0</v>
      </c>
      <c r="X28" s="5267">
        <f>HLOOKUP($E28,Bonos_Cat_Base,2,FALSE)</f>
        <v>0</v>
      </c>
      <c r="Y28" s="5267">
        <f>HLOOKUP($E28,Bonos_Cat_Base,2,FALSE)</f>
        <v>0</v>
      </c>
      <c r="Z28" s="1955"/>
      <c r="AA28" s="488">
        <f>V28+W28+X28+Z28</f>
        <v>0</v>
      </c>
      <c r="AB28" s="1546"/>
      <c r="AC28" s="769"/>
      <c r="AD28" s="2265"/>
      <c r="AE28" s="3632"/>
      <c r="AF28" s="3633"/>
      <c r="AG28" s="3632"/>
      <c r="AH28" s="3632"/>
      <c r="AI28" s="3632"/>
      <c r="AJ28" s="3632"/>
      <c r="AK28" s="3632"/>
      <c r="AL28" s="628"/>
      <c r="AM28" s="628"/>
      <c r="AN28" s="628"/>
      <c r="AO28" s="628"/>
      <c r="AP28" s="628"/>
      <c r="AQ28" s="530"/>
      <c r="AR28" s="530"/>
      <c r="AS28" s="530"/>
      <c r="AT28" s="530"/>
      <c r="AU28" s="530"/>
      <c r="AV28" s="530"/>
      <c r="AW28" s="530"/>
      <c r="AX28" s="530"/>
      <c r="AY28" s="530"/>
      <c r="AZ28" s="530"/>
      <c r="BA28" s="530"/>
      <c r="BB28" s="530"/>
      <c r="BC28" s="530"/>
      <c r="BD28" s="2617"/>
      <c r="BE28" s="2617"/>
      <c r="BF28" s="2617"/>
      <c r="BG28" s="2617"/>
      <c r="BH28" s="2617"/>
      <c r="BI28" s="2617"/>
      <c r="BJ28" s="2617"/>
      <c r="BK28" s="2617"/>
      <c r="BL28" s="2617"/>
      <c r="BM28" s="2617"/>
      <c r="BN28" s="2617"/>
      <c r="BO28" s="2617"/>
      <c r="BP28" s="2617"/>
      <c r="BQ28" s="2617"/>
      <c r="BR28" s="2617"/>
      <c r="BS28" s="2617"/>
      <c r="BT28" s="2617"/>
      <c r="BU28" s="2617"/>
      <c r="BV28" s="2617"/>
      <c r="BW28" s="2617"/>
      <c r="BX28" s="2617"/>
    </row>
    <row r="29" spans="1:76" ht="12" customHeight="1">
      <c r="A29" s="9"/>
      <c r="B29" s="752"/>
      <c r="C29" s="5402"/>
      <c r="D29" s="5219"/>
      <c r="E29" s="1781"/>
      <c r="F29" s="1782"/>
      <c r="G29" s="1782"/>
      <c r="H29" s="1782"/>
      <c r="I29" s="1782"/>
      <c r="J29" s="1782"/>
      <c r="K29" s="1782"/>
      <c r="L29" s="1782"/>
      <c r="M29" s="1782"/>
      <c r="N29" s="1782"/>
      <c r="O29" s="1782"/>
      <c r="P29" s="1782"/>
      <c r="Q29" s="1782"/>
      <c r="R29" s="1782"/>
      <c r="S29" s="1782"/>
      <c r="T29" s="1782"/>
      <c r="U29" s="1782"/>
      <c r="V29" s="1782"/>
      <c r="W29" s="1782"/>
      <c r="X29" s="1782"/>
      <c r="Y29" s="1782"/>
      <c r="Z29" s="178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excesivo",IF(OR(HA_SinArmas_final-Tablas!O1013&gt;50+HD_SinArmas_final-Tablas!P1013,HD_SinArmas_final-IF(Combate!K21="Par",VLOOKUP(Combate!$C$21,Tabla_ArmaDistinta,2),0)-Tablas!P1013&gt;50+HA_SinArmas_final-VLOOKUP(Combate!$C$21,Tabla_ArmaDistinta,2)-Tablas!O1013),"Desequilibrio Ataque/Defensa excesivo por bonos de Artes Marciales",""))))</f>
        <v/>
      </c>
      <c r="AA29" s="489" t="str">
        <f>IF((M25+M26+M27+O25+O26+O27+Q25+Q26+Q27+S25+S26+S27+U25+U26+U27)&gt;(($T$7+$T$9+$T$11+$T$13+$T$15)/2),($T$7+$T$9+$T$11+$T$13+$T$15)/2,"")</f>
        <v/>
      </c>
      <c r="AB29" s="1546"/>
      <c r="AC29" s="769"/>
      <c r="AD29" s="2265"/>
      <c r="AE29" s="3632"/>
      <c r="AF29" s="3633"/>
      <c r="AG29" s="3632"/>
      <c r="AH29" s="3632"/>
      <c r="AI29" s="3632"/>
      <c r="AJ29" s="3632"/>
      <c r="AK29" s="3632"/>
      <c r="AL29" s="628"/>
      <c r="AM29" s="628"/>
      <c r="AN29" s="628"/>
      <c r="AO29" s="628"/>
      <c r="AP29" s="628"/>
      <c r="AQ29" s="530"/>
      <c r="AR29" s="530"/>
      <c r="AS29" s="530"/>
      <c r="AT29" s="530"/>
      <c r="AU29" s="530"/>
      <c r="AV29" s="530"/>
      <c r="AW29" s="530"/>
      <c r="AX29" s="530"/>
      <c r="AY29" s="530"/>
      <c r="AZ29" s="530"/>
      <c r="BA29" s="530"/>
      <c r="BB29" s="530"/>
      <c r="BC29" s="530"/>
      <c r="BD29" s="2617"/>
      <c r="BE29" s="2617"/>
      <c r="BF29" s="2617"/>
      <c r="BG29" s="2617"/>
      <c r="BH29" s="2617"/>
      <c r="BI29" s="2617"/>
      <c r="BJ29" s="2617"/>
      <c r="BK29" s="2617"/>
      <c r="BL29" s="2617"/>
      <c r="BM29" s="2617"/>
      <c r="BN29" s="2617"/>
      <c r="BO29" s="2617"/>
      <c r="BP29" s="2617"/>
      <c r="BQ29" s="2617"/>
      <c r="BR29" s="2617"/>
      <c r="BS29" s="2617"/>
      <c r="BT29" s="2617"/>
      <c r="BU29" s="2617"/>
      <c r="BV29" s="2617"/>
      <c r="BW29" s="2617"/>
      <c r="BX29" s="2617"/>
    </row>
    <row r="30" spans="1:76" ht="12" customHeight="1">
      <c r="A30" s="9"/>
      <c r="B30" s="752"/>
      <c r="C30" s="5402"/>
      <c r="D30" s="5187" t="s">
        <v>1356</v>
      </c>
      <c r="E30" s="5229" t="s">
        <v>1233</v>
      </c>
      <c r="F30" s="5230"/>
      <c r="G30" s="5230"/>
      <c r="H30" s="5230"/>
      <c r="I30" s="5230"/>
      <c r="J30" s="5230"/>
      <c r="K30" s="5231"/>
      <c r="L30" s="1766">
        <f t="shared" ref="L30:L35" si="0">IFERROR(VLOOKUP(L$22,Tabla_Categorías,MATCH("CosteKi",Name_Tabla_Cat,FALSE),FALSE),0)</f>
        <v>0</v>
      </c>
      <c r="M30" s="1341"/>
      <c r="N30" s="1766">
        <f t="shared" ref="N30:N35" si="1">IFERROR(VLOOKUP(N$22,Tabla_Categorías,MATCH("CosteKi",Name_Tabla_Cat,FALSE),FALSE),0)</f>
        <v>0</v>
      </c>
      <c r="O30" s="1341"/>
      <c r="P30" s="1766">
        <f t="shared" ref="P30:P35" si="2">IFERROR(VLOOKUP(P$22,Tabla_Categorías,MATCH("CosteKi",Name_Tabla_Cat,FALSE),FALSE),0)</f>
        <v>0</v>
      </c>
      <c r="Q30" s="1341"/>
      <c r="R30" s="1766">
        <f t="shared" ref="R30:R35" si="3">IFERROR(VLOOKUP(R$22,Tabla_Categorías,MATCH("CosteKi",Name_Tabla_Cat,FALSE),FALSE),0)</f>
        <v>0</v>
      </c>
      <c r="S30" s="1341"/>
      <c r="T30" s="1766">
        <f t="shared" ref="T30:T35" si="4">IFERROR(VLOOKUP(T$22,Tabla_Categorías,MATCH("CosteKi",Name_Tabla_Cat,FALSE),FALSE),0)</f>
        <v>0</v>
      </c>
      <c r="U30" s="1341"/>
      <c r="V30" s="392">
        <f t="shared" ref="V30:V41" si="5">IF(L30=0,0,TRUNC(M30/L30,0))+IF(N30=0,0,TRUNC(O30/N30,0))+IF(P30=0,0,TRUNC(Q30/P30,0))+IF(R30=0,0,TRUNC(S30/R30,0))+IF(T30=0,0,TRUNC(U30/T30,0))</f>
        <v>0</v>
      </c>
      <c r="W30" s="463">
        <f>AGI+IF(AGI-10&gt;0,AGI-10,0)</f>
        <v>0</v>
      </c>
      <c r="X30" s="5266" t="s">
        <v>1315</v>
      </c>
      <c r="Y30" s="5266"/>
      <c r="Z30" s="1957"/>
      <c r="AA30" s="490">
        <f t="shared" ref="AA30:AA35" si="6">W30+V30+Z30</f>
        <v>0</v>
      </c>
      <c r="AB30" s="1546"/>
      <c r="AC30" s="769"/>
      <c r="AD30" s="2265"/>
      <c r="AE30" s="3632"/>
      <c r="AF30" s="3633"/>
      <c r="AG30" s="3632"/>
      <c r="AH30" s="3632"/>
      <c r="AI30" s="3632"/>
      <c r="AJ30" s="3632"/>
      <c r="AK30" s="3632"/>
      <c r="AL30" s="628"/>
      <c r="AM30" s="628"/>
      <c r="AN30" s="628"/>
      <c r="AO30" s="628"/>
      <c r="AP30" s="628"/>
      <c r="AQ30" s="530"/>
      <c r="AR30" s="530"/>
      <c r="AS30" s="530"/>
      <c r="AT30" s="530"/>
      <c r="AU30" s="530"/>
      <c r="AV30" s="530"/>
      <c r="AW30" s="530"/>
      <c r="AX30" s="530"/>
      <c r="AY30" s="530"/>
      <c r="AZ30" s="530"/>
      <c r="BA30" s="530"/>
      <c r="BB30" s="530"/>
      <c r="BC30" s="530"/>
      <c r="BD30" s="2617"/>
      <c r="BE30" s="2617"/>
      <c r="BF30" s="2617"/>
      <c r="BG30" s="2617"/>
      <c r="BH30" s="2617"/>
      <c r="BI30" s="2617"/>
      <c r="BJ30" s="2617"/>
      <c r="BK30" s="2617"/>
      <c r="BL30" s="2617"/>
      <c r="BM30" s="2617"/>
      <c r="BN30" s="2617"/>
      <c r="BO30" s="2617"/>
      <c r="BP30" s="2617"/>
      <c r="BQ30" s="2617"/>
      <c r="BR30" s="2617"/>
      <c r="BS30" s="2617"/>
      <c r="BT30" s="2617"/>
      <c r="BU30" s="2617"/>
      <c r="BV30" s="2617"/>
      <c r="BW30" s="2617"/>
      <c r="BX30" s="2617"/>
    </row>
    <row r="31" spans="1:76" ht="12" customHeight="1">
      <c r="A31" s="9"/>
      <c r="B31" s="752"/>
      <c r="C31" s="5402"/>
      <c r="D31" s="5188"/>
      <c r="E31" s="5163" t="s">
        <v>1357</v>
      </c>
      <c r="F31" s="5164"/>
      <c r="G31" s="5164"/>
      <c r="H31" s="5164"/>
      <c r="I31" s="5164"/>
      <c r="J31" s="5164"/>
      <c r="K31" s="5165"/>
      <c r="L31" s="1772">
        <f t="shared" si="0"/>
        <v>0</v>
      </c>
      <c r="M31" s="1352"/>
      <c r="N31" s="1772">
        <f t="shared" si="1"/>
        <v>0</v>
      </c>
      <c r="O31" s="1352"/>
      <c r="P31" s="1772">
        <f t="shared" si="2"/>
        <v>0</v>
      </c>
      <c r="Q31" s="1352"/>
      <c r="R31" s="1772">
        <f t="shared" si="3"/>
        <v>0</v>
      </c>
      <c r="S31" s="1352"/>
      <c r="T31" s="1772">
        <f t="shared" si="4"/>
        <v>0</v>
      </c>
      <c r="U31" s="1352"/>
      <c r="V31" s="393">
        <f t="shared" si="5"/>
        <v>0</v>
      </c>
      <c r="W31" s="252">
        <f>CON+IF(CON-10&gt;0,CON-10,0)</f>
        <v>0</v>
      </c>
      <c r="X31" s="5148" t="s">
        <v>1315</v>
      </c>
      <c r="Y31" s="5148"/>
      <c r="Z31" s="1955"/>
      <c r="AA31" s="491">
        <f t="shared" si="6"/>
        <v>0</v>
      </c>
      <c r="AB31" s="1546"/>
      <c r="AC31" s="769"/>
      <c r="AD31" s="2265"/>
      <c r="AE31" s="3632"/>
      <c r="AF31" s="3633"/>
      <c r="AG31" s="3632"/>
      <c r="AH31" s="3632"/>
      <c r="AI31" s="3632"/>
      <c r="AJ31" s="3632"/>
      <c r="AK31" s="3632"/>
      <c r="AL31" s="628"/>
      <c r="AM31" s="628"/>
      <c r="AN31" s="628"/>
      <c r="AO31" s="628"/>
      <c r="AP31" s="628"/>
      <c r="AQ31" s="530"/>
      <c r="AR31" s="530"/>
      <c r="AS31" s="530"/>
      <c r="AT31" s="530"/>
      <c r="AU31" s="530"/>
      <c r="AV31" s="530"/>
      <c r="AW31" s="530"/>
      <c r="AX31" s="530"/>
      <c r="AY31" s="530"/>
      <c r="AZ31" s="530"/>
      <c r="BA31" s="530"/>
      <c r="BB31" s="530"/>
      <c r="BC31" s="530"/>
      <c r="BD31" s="2617"/>
      <c r="BE31" s="2617"/>
      <c r="BF31" s="2617"/>
      <c r="BG31" s="2617"/>
      <c r="BH31" s="2617"/>
      <c r="BI31" s="2617"/>
      <c r="BJ31" s="2617"/>
      <c r="BK31" s="2617"/>
      <c r="BL31" s="2617"/>
      <c r="BM31" s="2617"/>
      <c r="BN31" s="2617"/>
      <c r="BO31" s="2617"/>
      <c r="BP31" s="2617"/>
      <c r="BQ31" s="2617"/>
      <c r="BR31" s="2617"/>
      <c r="BS31" s="2617"/>
      <c r="BT31" s="2617"/>
      <c r="BU31" s="2617"/>
      <c r="BV31" s="2617"/>
      <c r="BW31" s="2617"/>
      <c r="BX31" s="2617"/>
    </row>
    <row r="32" spans="1:76" ht="12" customHeight="1">
      <c r="A32" s="9"/>
      <c r="B32" s="752"/>
      <c r="C32" s="5402"/>
      <c r="D32" s="5188"/>
      <c r="E32" s="5182" t="s">
        <v>1238</v>
      </c>
      <c r="F32" s="4306"/>
      <c r="G32" s="4306"/>
      <c r="H32" s="4306"/>
      <c r="I32" s="4306"/>
      <c r="J32" s="4306"/>
      <c r="K32" s="5183"/>
      <c r="L32" s="1767">
        <f t="shared" si="0"/>
        <v>0</v>
      </c>
      <c r="M32" s="1340"/>
      <c r="N32" s="1767">
        <f t="shared" si="1"/>
        <v>0</v>
      </c>
      <c r="O32" s="1340"/>
      <c r="P32" s="1767">
        <f t="shared" si="2"/>
        <v>0</v>
      </c>
      <c r="Q32" s="1340"/>
      <c r="R32" s="1767">
        <f t="shared" si="3"/>
        <v>0</v>
      </c>
      <c r="S32" s="1340"/>
      <c r="T32" s="1767">
        <f t="shared" si="4"/>
        <v>0</v>
      </c>
      <c r="U32" s="1340"/>
      <c r="V32" s="394">
        <f t="shared" si="5"/>
        <v>0</v>
      </c>
      <c r="W32" s="71">
        <f>DES+IF(DES-10&gt;0,DES-10,0)</f>
        <v>0</v>
      </c>
      <c r="X32" s="4621" t="s">
        <v>1315</v>
      </c>
      <c r="Y32" s="4621"/>
      <c r="Z32" s="1956"/>
      <c r="AA32" s="492">
        <f t="shared" si="6"/>
        <v>0</v>
      </c>
      <c r="AB32" s="1546"/>
      <c r="AC32" s="769"/>
      <c r="AD32" s="2265"/>
      <c r="AE32" s="3632"/>
      <c r="AF32" s="3633"/>
      <c r="AG32" s="3632"/>
      <c r="AH32" s="3632"/>
      <c r="AI32" s="3632"/>
      <c r="AJ32" s="3632"/>
      <c r="AK32" s="3632"/>
      <c r="AL32" s="628"/>
      <c r="AM32" s="628"/>
      <c r="AN32" s="628"/>
      <c r="AO32" s="628"/>
      <c r="AP32" s="628"/>
      <c r="AQ32" s="530"/>
      <c r="AR32" s="530"/>
      <c r="AS32" s="530"/>
      <c r="AT32" s="530"/>
      <c r="AU32" s="530"/>
      <c r="AV32" s="530"/>
      <c r="AW32" s="530"/>
      <c r="AX32" s="530"/>
      <c r="AY32" s="530"/>
      <c r="AZ32" s="530"/>
      <c r="BA32" s="530"/>
      <c r="BB32" s="530"/>
      <c r="BC32" s="530"/>
      <c r="BD32" s="2617"/>
      <c r="BE32" s="2617"/>
      <c r="BF32" s="2617"/>
      <c r="BG32" s="2617"/>
      <c r="BH32" s="2617"/>
      <c r="BI32" s="2617"/>
      <c r="BJ32" s="2617"/>
      <c r="BK32" s="2617"/>
      <c r="BL32" s="2617"/>
      <c r="BM32" s="2617"/>
      <c r="BN32" s="2617"/>
      <c r="BO32" s="2617"/>
      <c r="BP32" s="2617"/>
      <c r="BQ32" s="2617"/>
      <c r="BR32" s="2617"/>
      <c r="BS32" s="2617"/>
      <c r="BT32" s="2617"/>
      <c r="BU32" s="2617"/>
      <c r="BV32" s="2617"/>
      <c r="BW32" s="2617"/>
      <c r="BX32" s="2617"/>
    </row>
    <row r="33" spans="1:76" ht="12" customHeight="1">
      <c r="A33" s="9"/>
      <c r="B33" s="752"/>
      <c r="C33" s="5402"/>
      <c r="D33" s="5188"/>
      <c r="E33" s="5163" t="s">
        <v>1243</v>
      </c>
      <c r="F33" s="5164"/>
      <c r="G33" s="5164"/>
      <c r="H33" s="5164"/>
      <c r="I33" s="5164"/>
      <c r="J33" s="5164"/>
      <c r="K33" s="5165"/>
      <c r="L33" s="1772">
        <f t="shared" si="0"/>
        <v>0</v>
      </c>
      <c r="M33" s="1352"/>
      <c r="N33" s="1772">
        <f t="shared" si="1"/>
        <v>0</v>
      </c>
      <c r="O33" s="1352"/>
      <c r="P33" s="1772">
        <f t="shared" si="2"/>
        <v>0</v>
      </c>
      <c r="Q33" s="1352"/>
      <c r="R33" s="1772">
        <f t="shared" si="3"/>
        <v>0</v>
      </c>
      <c r="S33" s="1352"/>
      <c r="T33" s="1772">
        <f t="shared" si="4"/>
        <v>0</v>
      </c>
      <c r="U33" s="1352"/>
      <c r="V33" s="393">
        <f t="shared" si="5"/>
        <v>0</v>
      </c>
      <c r="W33" s="252">
        <f>FUE+IF(FUE-10&gt;0,FUE-10,0)</f>
        <v>0</v>
      </c>
      <c r="X33" s="5148" t="s">
        <v>1315</v>
      </c>
      <c r="Y33" s="5148"/>
      <c r="Z33" s="1955"/>
      <c r="AA33" s="491">
        <f t="shared" si="6"/>
        <v>0</v>
      </c>
      <c r="AB33" s="1546"/>
      <c r="AC33" s="769"/>
      <c r="AD33" s="2265"/>
      <c r="AE33" s="3632"/>
      <c r="AF33" s="3633"/>
      <c r="AG33" s="3632"/>
      <c r="AH33" s="3632"/>
      <c r="AI33" s="3632"/>
      <c r="AJ33" s="3632"/>
      <c r="AK33" s="3632"/>
      <c r="AL33" s="628"/>
      <c r="AM33" s="628"/>
      <c r="AN33" s="628"/>
      <c r="AO33" s="628"/>
      <c r="AP33" s="628"/>
      <c r="AQ33" s="530"/>
      <c r="AR33" s="530"/>
      <c r="AS33" s="530"/>
      <c r="AT33" s="530"/>
      <c r="AU33" s="530"/>
      <c r="AV33" s="530"/>
      <c r="AW33" s="530"/>
      <c r="AX33" s="530"/>
      <c r="AY33" s="530"/>
      <c r="AZ33" s="530"/>
      <c r="BA33" s="530"/>
      <c r="BB33" s="530"/>
      <c r="BC33" s="530"/>
      <c r="BD33" s="2617"/>
      <c r="BE33" s="2617"/>
      <c r="BF33" s="2617"/>
      <c r="BG33" s="2617"/>
      <c r="BH33" s="2617"/>
      <c r="BI33" s="2617"/>
      <c r="BJ33" s="2617"/>
      <c r="BK33" s="2617"/>
      <c r="BL33" s="2617"/>
      <c r="BM33" s="2617"/>
      <c r="BN33" s="2617"/>
      <c r="BO33" s="2617"/>
      <c r="BP33" s="2617"/>
      <c r="BQ33" s="2617"/>
      <c r="BR33" s="2617"/>
      <c r="BS33" s="2617"/>
      <c r="BT33" s="2617"/>
      <c r="BU33" s="2617"/>
      <c r="BV33" s="2617"/>
      <c r="BW33" s="2617"/>
      <c r="BX33" s="2617"/>
    </row>
    <row r="34" spans="1:76" ht="12" customHeight="1">
      <c r="A34" s="9"/>
      <c r="B34" s="752"/>
      <c r="C34" s="5402"/>
      <c r="D34" s="5188"/>
      <c r="E34" s="5182" t="s">
        <v>1250</v>
      </c>
      <c r="F34" s="4306"/>
      <c r="G34" s="4306"/>
      <c r="H34" s="4306"/>
      <c r="I34" s="4306"/>
      <c r="J34" s="4306"/>
      <c r="K34" s="5183"/>
      <c r="L34" s="1767">
        <f t="shared" si="0"/>
        <v>0</v>
      </c>
      <c r="M34" s="1340"/>
      <c r="N34" s="1767">
        <f t="shared" si="1"/>
        <v>0</v>
      </c>
      <c r="O34" s="1340"/>
      <c r="P34" s="1767">
        <f t="shared" si="2"/>
        <v>0</v>
      </c>
      <c r="Q34" s="1340"/>
      <c r="R34" s="1767">
        <f t="shared" si="3"/>
        <v>0</v>
      </c>
      <c r="S34" s="1340"/>
      <c r="T34" s="1767">
        <f t="shared" si="4"/>
        <v>0</v>
      </c>
      <c r="U34" s="1340"/>
      <c r="V34" s="394">
        <f t="shared" si="5"/>
        <v>0</v>
      </c>
      <c r="W34" s="71">
        <f>POD+IF(POD-10&gt;0,POD-10,0)</f>
        <v>0</v>
      </c>
      <c r="X34" s="4621" t="s">
        <v>1315</v>
      </c>
      <c r="Y34" s="4621"/>
      <c r="Z34" s="1956"/>
      <c r="AA34" s="492">
        <f t="shared" si="6"/>
        <v>0</v>
      </c>
      <c r="AB34" s="1546"/>
      <c r="AC34" s="769"/>
      <c r="AD34" s="2265"/>
      <c r="AE34" s="3632"/>
      <c r="AF34" s="3633"/>
      <c r="AG34" s="3632"/>
      <c r="AH34" s="3632"/>
      <c r="AI34" s="3632"/>
      <c r="AJ34" s="3632"/>
      <c r="AK34" s="3632"/>
      <c r="AL34" s="628"/>
      <c r="AM34" s="628"/>
      <c r="AN34" s="628"/>
      <c r="AO34" s="628"/>
      <c r="AP34" s="628"/>
      <c r="AQ34" s="530"/>
      <c r="AR34" s="530"/>
      <c r="AS34" s="530"/>
      <c r="AT34" s="530"/>
      <c r="AU34" s="530"/>
      <c r="AV34" s="530"/>
      <c r="AW34" s="530"/>
      <c r="AX34" s="530"/>
      <c r="AY34" s="530"/>
      <c r="AZ34" s="530"/>
      <c r="BA34" s="530"/>
      <c r="BB34" s="530"/>
      <c r="BC34" s="530"/>
      <c r="BD34" s="2617"/>
      <c r="BE34" s="2617"/>
      <c r="BF34" s="2617"/>
      <c r="BG34" s="2617"/>
      <c r="BH34" s="2617"/>
      <c r="BI34" s="2617"/>
      <c r="BJ34" s="2617"/>
      <c r="BK34" s="2617"/>
      <c r="BL34" s="2617"/>
      <c r="BM34" s="2617"/>
      <c r="BN34" s="2617"/>
      <c r="BO34" s="2617"/>
      <c r="BP34" s="2617"/>
      <c r="BQ34" s="2617"/>
      <c r="BR34" s="2617"/>
      <c r="BS34" s="2617"/>
      <c r="BT34" s="2617"/>
      <c r="BU34" s="2617"/>
      <c r="BV34" s="2617"/>
      <c r="BW34" s="2617"/>
      <c r="BX34" s="2617"/>
    </row>
    <row r="35" spans="1:76" ht="12" customHeight="1">
      <c r="A35" s="9"/>
      <c r="B35" s="752"/>
      <c r="C35" s="5402"/>
      <c r="D35" s="5188"/>
      <c r="E35" s="5163" t="s">
        <v>1251</v>
      </c>
      <c r="F35" s="5164"/>
      <c r="G35" s="5164"/>
      <c r="H35" s="5164"/>
      <c r="I35" s="5164"/>
      <c r="J35" s="5164"/>
      <c r="K35" s="5165"/>
      <c r="L35" s="1773">
        <f t="shared" si="0"/>
        <v>0</v>
      </c>
      <c r="M35" s="1353"/>
      <c r="N35" s="1773">
        <f t="shared" si="1"/>
        <v>0</v>
      </c>
      <c r="O35" s="1353"/>
      <c r="P35" s="1773">
        <f t="shared" si="2"/>
        <v>0</v>
      </c>
      <c r="Q35" s="1353"/>
      <c r="R35" s="1773">
        <f t="shared" si="3"/>
        <v>0</v>
      </c>
      <c r="S35" s="1353"/>
      <c r="T35" s="1773">
        <f t="shared" si="4"/>
        <v>0</v>
      </c>
      <c r="U35" s="1353"/>
      <c r="V35" s="395">
        <f t="shared" si="5"/>
        <v>0</v>
      </c>
      <c r="W35" s="391">
        <f>VOL+IF(VOL-10&gt;0,VOL-10,0)</f>
        <v>0</v>
      </c>
      <c r="X35" s="5267" t="s">
        <v>1315</v>
      </c>
      <c r="Y35" s="5267"/>
      <c r="Z35" s="1958"/>
      <c r="AA35" s="493">
        <f t="shared" si="6"/>
        <v>0</v>
      </c>
      <c r="AB35" s="1546"/>
      <c r="AC35" s="769"/>
      <c r="AD35" s="2265" t="s">
        <v>9137</v>
      </c>
      <c r="AE35" s="3632"/>
      <c r="AF35" s="3633"/>
      <c r="AG35" s="3632"/>
      <c r="AH35" s="3632"/>
      <c r="AI35" s="3632"/>
      <c r="AJ35" s="3632"/>
      <c r="AK35" s="3632"/>
      <c r="AL35" s="628"/>
      <c r="AM35" s="628"/>
      <c r="AN35" s="628"/>
      <c r="AO35" s="628"/>
      <c r="AP35" s="628"/>
      <c r="AQ35" s="530"/>
      <c r="AR35" s="530"/>
      <c r="AS35" s="530"/>
      <c r="AT35" s="530"/>
      <c r="AU35" s="530"/>
      <c r="AV35" s="530"/>
      <c r="AW35" s="530"/>
      <c r="AX35" s="530"/>
      <c r="AY35" s="530"/>
      <c r="AZ35" s="530"/>
      <c r="BA35" s="530"/>
      <c r="BB35" s="530"/>
      <c r="BC35" s="530"/>
      <c r="BD35" s="2617"/>
      <c r="BE35" s="2617"/>
      <c r="BF35" s="2617"/>
      <c r="BG35" s="2617"/>
      <c r="BH35" s="2617"/>
      <c r="BI35" s="2617"/>
      <c r="BJ35" s="2617"/>
      <c r="BK35" s="2617"/>
      <c r="BL35" s="2617"/>
      <c r="BM35" s="2617"/>
      <c r="BN35" s="2617"/>
      <c r="BO35" s="2617"/>
      <c r="BP35" s="2617"/>
      <c r="BQ35" s="2617"/>
      <c r="BR35" s="2617"/>
      <c r="BS35" s="2617"/>
      <c r="BT35" s="2617"/>
      <c r="BU35" s="2617"/>
      <c r="BV35" s="2617"/>
      <c r="BW35" s="2617"/>
      <c r="BX35" s="2617"/>
    </row>
    <row r="36" spans="1:76" ht="12" customHeight="1">
      <c r="A36" s="9"/>
      <c r="B36" s="752"/>
      <c r="C36" s="5402"/>
      <c r="D36" s="5220" t="s">
        <v>1358</v>
      </c>
      <c r="E36" s="5229" t="s">
        <v>1233</v>
      </c>
      <c r="F36" s="5230"/>
      <c r="G36" s="5230"/>
      <c r="H36" s="5230"/>
      <c r="I36" s="5230"/>
      <c r="J36" s="5230"/>
      <c r="K36" s="5257"/>
      <c r="L36" s="1768">
        <f t="shared" ref="L36:L41" si="7">IFERROR(VLOOKUP(L$22,Tabla_Categorías,MATCH("CosteAcumKi",Name_Tabla_Cat,FALSE),FALSE),0)</f>
        <v>0</v>
      </c>
      <c r="M36" s="1342"/>
      <c r="N36" s="1768">
        <f t="shared" ref="N36:N41" si="8">IFERROR(VLOOKUP(N$22,Tabla_Categorías,MATCH("CosteAcumKi",Name_Tabla_Cat,FALSE),FALSE),0)</f>
        <v>0</v>
      </c>
      <c r="O36" s="1342"/>
      <c r="P36" s="1768">
        <f t="shared" ref="P36:P41" si="9">IFERROR(VLOOKUP(P$22,Tabla_Categorías,MATCH("CosteAcumKi",Name_Tabla_Cat,FALSE),FALSE),0)</f>
        <v>0</v>
      </c>
      <c r="Q36" s="1342"/>
      <c r="R36" s="1768">
        <f t="shared" ref="R36:R41" si="10">IFERROR(VLOOKUP(R$22,Tabla_Categorías,MATCH("CosteAcumKi",Name_Tabla_Cat,FALSE),FALSE),0)</f>
        <v>0</v>
      </c>
      <c r="S36" s="1342"/>
      <c r="T36" s="1768">
        <f t="shared" ref="T36:T41" si="11">IFERROR(VLOOKUP(T$22,Tabla_Categorías,MATCH("CosteAcumKi",Name_Tabla_Cat,FALSE),FALSE),0)</f>
        <v>0</v>
      </c>
      <c r="U36" s="1342"/>
      <c r="V36" s="396">
        <f t="shared" si="5"/>
        <v>0</v>
      </c>
      <c r="W36" s="260">
        <f>IF(AGI=0,0,VLOOKUP(AGI,Tabla_Acum,2))+AD36</f>
        <v>0</v>
      </c>
      <c r="X36" s="5302" t="s">
        <v>1315</v>
      </c>
      <c r="Y36" s="5302"/>
      <c r="Z36" s="1959"/>
      <c r="AA36" s="494">
        <f t="shared" ref="AA36:AA41" si="12">MAX(0,W36+V36+Z36+IF(Mod_ATA&lt;0,MIN(0,TRUNC(Mod_ATA/20,0)),0))</f>
        <v>0</v>
      </c>
      <c r="AB36" s="1546"/>
      <c r="AC36" s="769"/>
      <c r="AD36" s="2265">
        <f>IF(AND(Tablas!$P$273,Personalización!$AB$105=E36),1,0)</f>
        <v>0</v>
      </c>
      <c r="AE36" s="3632"/>
      <c r="AF36" s="3633"/>
      <c r="AG36" s="3632"/>
      <c r="AH36" s="3632"/>
      <c r="AI36" s="3632"/>
      <c r="AJ36" s="3632"/>
      <c r="AK36" s="3632"/>
      <c r="AL36" s="628"/>
      <c r="AM36" s="628"/>
      <c r="AN36" s="628"/>
      <c r="AO36" s="628"/>
      <c r="AP36" s="628"/>
      <c r="AQ36" s="530"/>
      <c r="AR36" s="530"/>
      <c r="AS36" s="530"/>
      <c r="AT36" s="530"/>
      <c r="AU36" s="530"/>
      <c r="AV36" s="530"/>
      <c r="AW36" s="530"/>
      <c r="AX36" s="530"/>
      <c r="AY36" s="530"/>
      <c r="AZ36" s="530"/>
      <c r="BA36" s="530"/>
      <c r="BB36" s="530"/>
      <c r="BC36" s="530"/>
      <c r="BD36" s="2617"/>
      <c r="BE36" s="2617"/>
      <c r="BF36" s="2617"/>
      <c r="BG36" s="2617"/>
      <c r="BH36" s="2617"/>
      <c r="BI36" s="2617"/>
      <c r="BJ36" s="2617"/>
      <c r="BK36" s="2617"/>
      <c r="BL36" s="2617"/>
      <c r="BM36" s="2617"/>
      <c r="BN36" s="2617"/>
      <c r="BO36" s="2617"/>
      <c r="BP36" s="2617"/>
      <c r="BQ36" s="2617"/>
      <c r="BR36" s="2617"/>
      <c r="BS36" s="2617"/>
      <c r="BT36" s="2617"/>
      <c r="BU36" s="2617"/>
      <c r="BV36" s="2617"/>
      <c r="BW36" s="2617"/>
      <c r="BX36" s="2617"/>
    </row>
    <row r="37" spans="1:76" ht="12" customHeight="1">
      <c r="A37" s="9"/>
      <c r="B37" s="752"/>
      <c r="C37" s="5402"/>
      <c r="D37" s="5188"/>
      <c r="E37" s="5163" t="s">
        <v>1357</v>
      </c>
      <c r="F37" s="5164"/>
      <c r="G37" s="5164"/>
      <c r="H37" s="5164"/>
      <c r="I37" s="5164"/>
      <c r="J37" s="5164"/>
      <c r="K37" s="5232"/>
      <c r="L37" s="1772">
        <f t="shared" si="7"/>
        <v>0</v>
      </c>
      <c r="M37" s="1352"/>
      <c r="N37" s="1772">
        <f t="shared" si="8"/>
        <v>0</v>
      </c>
      <c r="O37" s="1352"/>
      <c r="P37" s="1772">
        <f t="shared" si="9"/>
        <v>0</v>
      </c>
      <c r="Q37" s="1352"/>
      <c r="R37" s="1772">
        <f t="shared" si="10"/>
        <v>0</v>
      </c>
      <c r="S37" s="1352"/>
      <c r="T37" s="1772">
        <f t="shared" si="11"/>
        <v>0</v>
      </c>
      <c r="U37" s="1352"/>
      <c r="V37" s="393">
        <f t="shared" si="5"/>
        <v>0</v>
      </c>
      <c r="W37" s="252">
        <f>IF(CON=0,0,VLOOKUP(CON,Tabla_Acum,2))+AD37</f>
        <v>0</v>
      </c>
      <c r="X37" s="5148" t="s">
        <v>1315</v>
      </c>
      <c r="Y37" s="5148"/>
      <c r="Z37" s="1955"/>
      <c r="AA37" s="491">
        <f t="shared" si="12"/>
        <v>0</v>
      </c>
      <c r="AB37" s="1546"/>
      <c r="AC37" s="769"/>
      <c r="AD37" s="2265">
        <f>IF(AND(Tablas!$P$273,Personalización!$AB$105=E37),1,0)</f>
        <v>0</v>
      </c>
      <c r="AE37" s="3632"/>
      <c r="AF37" s="3633"/>
      <c r="AG37" s="3632"/>
      <c r="AH37" s="3632"/>
      <c r="AI37" s="3632"/>
      <c r="AJ37" s="3632"/>
      <c r="AK37" s="3632"/>
      <c r="AL37" s="628"/>
      <c r="AM37" s="628"/>
      <c r="AN37" s="628"/>
      <c r="AO37" s="628"/>
      <c r="AP37" s="628"/>
      <c r="AQ37" s="530"/>
      <c r="AR37" s="530"/>
      <c r="AS37" s="530"/>
      <c r="AT37" s="530"/>
      <c r="AU37" s="530"/>
      <c r="AV37" s="530"/>
      <c r="AW37" s="530"/>
      <c r="AX37" s="530"/>
      <c r="AY37" s="530"/>
      <c r="AZ37" s="530"/>
      <c r="BA37" s="530"/>
      <c r="BB37" s="530"/>
      <c r="BC37" s="530"/>
      <c r="BD37" s="2617"/>
      <c r="BE37" s="2617"/>
      <c r="BF37" s="2617"/>
      <c r="BG37" s="2617"/>
      <c r="BH37" s="2617"/>
      <c r="BI37" s="2617"/>
      <c r="BJ37" s="2617"/>
      <c r="BK37" s="2617"/>
      <c r="BL37" s="2617"/>
      <c r="BM37" s="2617"/>
      <c r="BN37" s="2617"/>
      <c r="BO37" s="2617"/>
      <c r="BP37" s="2617"/>
      <c r="BQ37" s="2617"/>
      <c r="BR37" s="2617"/>
      <c r="BS37" s="2617"/>
      <c r="BT37" s="2617"/>
      <c r="BU37" s="2617"/>
      <c r="BV37" s="2617"/>
      <c r="BW37" s="2617"/>
      <c r="BX37" s="2617"/>
    </row>
    <row r="38" spans="1:76" ht="12" customHeight="1">
      <c r="A38" s="9"/>
      <c r="B38" s="752"/>
      <c r="C38" s="5402"/>
      <c r="D38" s="5188"/>
      <c r="E38" s="5182" t="s">
        <v>1238</v>
      </c>
      <c r="F38" s="4306"/>
      <c r="G38" s="4306"/>
      <c r="H38" s="4306"/>
      <c r="I38" s="4306"/>
      <c r="J38" s="4306"/>
      <c r="K38" s="5233"/>
      <c r="L38" s="1767">
        <f t="shared" si="7"/>
        <v>0</v>
      </c>
      <c r="M38" s="1340"/>
      <c r="N38" s="1767">
        <f t="shared" si="8"/>
        <v>0</v>
      </c>
      <c r="O38" s="1340"/>
      <c r="P38" s="1767">
        <f t="shared" si="9"/>
        <v>0</v>
      </c>
      <c r="Q38" s="1340"/>
      <c r="R38" s="1767">
        <f t="shared" si="10"/>
        <v>0</v>
      </c>
      <c r="S38" s="1340"/>
      <c r="T38" s="1767">
        <f t="shared" si="11"/>
        <v>0</v>
      </c>
      <c r="U38" s="1340"/>
      <c r="V38" s="394">
        <f t="shared" si="5"/>
        <v>0</v>
      </c>
      <c r="W38" s="71">
        <f>IF(DES=0,0,VLOOKUP(DES,Tabla_Acum,2))+AD38</f>
        <v>0</v>
      </c>
      <c r="X38" s="4621" t="s">
        <v>1315</v>
      </c>
      <c r="Y38" s="4621"/>
      <c r="Z38" s="1956"/>
      <c r="AA38" s="492">
        <f t="shared" si="12"/>
        <v>0</v>
      </c>
      <c r="AB38" s="1546"/>
      <c r="AC38" s="769"/>
      <c r="AD38" s="2265">
        <f>IF(AND(Tablas!$P$273,Personalización!$AB$105=E38),1,0)</f>
        <v>0</v>
      </c>
      <c r="AE38" s="3632"/>
      <c r="AF38" s="3633"/>
      <c r="AG38" s="3632"/>
      <c r="AH38" s="3632"/>
      <c r="AI38" s="3632"/>
      <c r="AJ38" s="3632"/>
      <c r="AK38" s="3632"/>
      <c r="AL38" s="628"/>
      <c r="AM38" s="628"/>
      <c r="AN38" s="628"/>
      <c r="AO38" s="628"/>
      <c r="AP38" s="628"/>
      <c r="AQ38" s="530"/>
      <c r="AR38" s="530"/>
      <c r="AS38" s="530"/>
      <c r="AT38" s="530"/>
      <c r="AU38" s="530"/>
      <c r="AV38" s="530"/>
      <c r="AW38" s="530"/>
      <c r="AX38" s="530"/>
      <c r="AY38" s="530"/>
      <c r="AZ38" s="530"/>
      <c r="BA38" s="530"/>
      <c r="BB38" s="530"/>
      <c r="BC38" s="530"/>
      <c r="BD38" s="2617"/>
      <c r="BE38" s="2617"/>
      <c r="BF38" s="2617"/>
      <c r="BG38" s="2617"/>
      <c r="BH38" s="2617"/>
      <c r="BI38" s="2617"/>
      <c r="BJ38" s="2617"/>
      <c r="BK38" s="2617"/>
      <c r="BL38" s="2617"/>
      <c r="BM38" s="2617"/>
      <c r="BN38" s="2617"/>
      <c r="BO38" s="2617"/>
      <c r="BP38" s="2617"/>
      <c r="BQ38" s="2617"/>
      <c r="BR38" s="2617"/>
      <c r="BS38" s="2617"/>
      <c r="BT38" s="2617"/>
      <c r="BU38" s="2617"/>
      <c r="BV38" s="2617"/>
      <c r="BW38" s="2617"/>
      <c r="BX38" s="2617"/>
    </row>
    <row r="39" spans="1:76" ht="12" customHeight="1">
      <c r="A39" s="9"/>
      <c r="B39" s="752"/>
      <c r="C39" s="5402"/>
      <c r="D39" s="5188"/>
      <c r="E39" s="5163" t="s">
        <v>1243</v>
      </c>
      <c r="F39" s="5164"/>
      <c r="G39" s="5164"/>
      <c r="H39" s="5164"/>
      <c r="I39" s="5164"/>
      <c r="J39" s="5164"/>
      <c r="K39" s="5232"/>
      <c r="L39" s="1772">
        <f t="shared" si="7"/>
        <v>0</v>
      </c>
      <c r="M39" s="1352"/>
      <c r="N39" s="1772">
        <f t="shared" si="8"/>
        <v>0</v>
      </c>
      <c r="O39" s="1352"/>
      <c r="P39" s="1772">
        <f t="shared" si="9"/>
        <v>0</v>
      </c>
      <c r="Q39" s="1352"/>
      <c r="R39" s="1772">
        <f t="shared" si="10"/>
        <v>0</v>
      </c>
      <c r="S39" s="1352"/>
      <c r="T39" s="1772">
        <f t="shared" si="11"/>
        <v>0</v>
      </c>
      <c r="U39" s="1352"/>
      <c r="V39" s="393">
        <f t="shared" si="5"/>
        <v>0</v>
      </c>
      <c r="W39" s="252">
        <f>IF(FUE=0,0,VLOOKUP(FUE,Tabla_Acum,2))+AD39</f>
        <v>0</v>
      </c>
      <c r="X39" s="5148" t="s">
        <v>1315</v>
      </c>
      <c r="Y39" s="5148"/>
      <c r="Z39" s="1955"/>
      <c r="AA39" s="491">
        <f t="shared" si="12"/>
        <v>0</v>
      </c>
      <c r="AB39" s="1546"/>
      <c r="AC39" s="29"/>
      <c r="AD39" s="2265">
        <f>IF(AND(Tablas!$P$273,Personalización!$AB$105=E39),1,0)</f>
        <v>0</v>
      </c>
      <c r="AE39" s="3632"/>
      <c r="AF39" s="3633"/>
      <c r="AG39" s="3632"/>
      <c r="AH39" s="3632"/>
      <c r="AI39" s="3632"/>
      <c r="AJ39" s="3632"/>
      <c r="AK39" s="3632"/>
      <c r="AL39" s="628"/>
      <c r="AM39" s="628"/>
      <c r="AN39" s="628"/>
      <c r="AO39" s="628"/>
      <c r="AP39" s="628"/>
      <c r="AQ39" s="530"/>
      <c r="AR39" s="530"/>
      <c r="AS39" s="530"/>
      <c r="AT39" s="530"/>
      <c r="AU39" s="530"/>
      <c r="AV39" s="530"/>
      <c r="AW39" s="530"/>
      <c r="AX39" s="530"/>
      <c r="AY39" s="530"/>
      <c r="AZ39" s="530"/>
      <c r="BA39" s="530"/>
      <c r="BB39" s="530"/>
      <c r="BC39" s="530"/>
      <c r="BD39" s="2617"/>
      <c r="BE39" s="2617"/>
      <c r="BF39" s="2617"/>
      <c r="BG39" s="2617"/>
      <c r="BH39" s="2617"/>
      <c r="BI39" s="2617"/>
      <c r="BJ39" s="2617"/>
      <c r="BK39" s="2617"/>
      <c r="BL39" s="2617"/>
      <c r="BM39" s="2617"/>
      <c r="BN39" s="2617"/>
      <c r="BO39" s="2617"/>
      <c r="BP39" s="2617"/>
      <c r="BQ39" s="2617"/>
      <c r="BR39" s="2617"/>
      <c r="BS39" s="2617"/>
      <c r="BT39" s="2617"/>
      <c r="BU39" s="2617"/>
      <c r="BV39" s="2617"/>
      <c r="BW39" s="2617"/>
      <c r="BX39" s="2617"/>
    </row>
    <row r="40" spans="1:76" ht="12" customHeight="1">
      <c r="A40" s="9"/>
      <c r="B40" s="752"/>
      <c r="C40" s="5402"/>
      <c r="D40" s="5188"/>
      <c r="E40" s="5182" t="s">
        <v>1250</v>
      </c>
      <c r="F40" s="4306"/>
      <c r="G40" s="4306"/>
      <c r="H40" s="4306"/>
      <c r="I40" s="4306"/>
      <c r="J40" s="4306"/>
      <c r="K40" s="5233"/>
      <c r="L40" s="1767">
        <f t="shared" si="7"/>
        <v>0</v>
      </c>
      <c r="M40" s="1340"/>
      <c r="N40" s="1767">
        <f t="shared" si="8"/>
        <v>0</v>
      </c>
      <c r="O40" s="1340"/>
      <c r="P40" s="1767">
        <f t="shared" si="9"/>
        <v>0</v>
      </c>
      <c r="Q40" s="1340"/>
      <c r="R40" s="1767">
        <f t="shared" si="10"/>
        <v>0</v>
      </c>
      <c r="S40" s="1340"/>
      <c r="T40" s="1767">
        <f t="shared" si="11"/>
        <v>0</v>
      </c>
      <c r="U40" s="1340"/>
      <c r="V40" s="394">
        <f t="shared" si="5"/>
        <v>0</v>
      </c>
      <c r="W40" s="71">
        <f>IF(POD=0,0,VLOOKUP(POD,Tabla_Acum,2))+AD40</f>
        <v>0</v>
      </c>
      <c r="X40" s="4621" t="s">
        <v>1315</v>
      </c>
      <c r="Y40" s="4621"/>
      <c r="Z40" s="1956"/>
      <c r="AA40" s="492">
        <f t="shared" si="12"/>
        <v>0</v>
      </c>
      <c r="AB40" s="1546"/>
      <c r="AC40" s="29"/>
      <c r="AD40" s="2265">
        <f>IF(AND(Tablas!$P$273,Personalización!$AB$105=E40),1,0)</f>
        <v>0</v>
      </c>
      <c r="AE40" s="3632"/>
      <c r="AF40" s="3633"/>
      <c r="AG40" s="3632"/>
      <c r="AH40" s="3632"/>
      <c r="AI40" s="3632"/>
      <c r="AJ40" s="3632"/>
      <c r="AK40" s="3632"/>
      <c r="AL40" s="628"/>
      <c r="AM40" s="628"/>
      <c r="AN40" s="628"/>
      <c r="AO40" s="628"/>
      <c r="AP40" s="628"/>
      <c r="AQ40" s="530"/>
      <c r="AR40" s="530"/>
      <c r="AS40" s="530"/>
      <c r="AT40" s="530"/>
      <c r="AU40" s="530"/>
      <c r="AV40" s="530"/>
      <c r="AW40" s="530"/>
      <c r="AX40" s="530"/>
      <c r="AY40" s="530"/>
      <c r="AZ40" s="530"/>
      <c r="BA40" s="530"/>
      <c r="BB40" s="530"/>
      <c r="BC40" s="530"/>
      <c r="BD40" s="2617"/>
      <c r="BE40" s="2617"/>
      <c r="BF40" s="2617"/>
      <c r="BG40" s="2617"/>
      <c r="BH40" s="2617"/>
      <c r="BI40" s="2617"/>
      <c r="BJ40" s="2617"/>
      <c r="BK40" s="2617"/>
      <c r="BL40" s="2617"/>
      <c r="BM40" s="2617"/>
      <c r="BN40" s="2617"/>
      <c r="BO40" s="2617"/>
      <c r="BP40" s="2617"/>
      <c r="BQ40" s="2617"/>
      <c r="BR40" s="2617"/>
      <c r="BS40" s="2617"/>
      <c r="BT40" s="2617"/>
      <c r="BU40" s="2617"/>
      <c r="BV40" s="2617"/>
      <c r="BW40" s="2617"/>
      <c r="BX40" s="2617"/>
    </row>
    <row r="41" spans="1:76" ht="12" customHeight="1">
      <c r="A41" s="9"/>
      <c r="B41" s="752"/>
      <c r="C41" s="5402"/>
      <c r="D41" s="5221"/>
      <c r="E41" s="5234" t="s">
        <v>1251</v>
      </c>
      <c r="F41" s="5235"/>
      <c r="G41" s="5235"/>
      <c r="H41" s="5235"/>
      <c r="I41" s="5235"/>
      <c r="J41" s="5235"/>
      <c r="K41" s="5236"/>
      <c r="L41" s="1773">
        <f t="shared" si="7"/>
        <v>0</v>
      </c>
      <c r="M41" s="1353"/>
      <c r="N41" s="1773">
        <f t="shared" si="8"/>
        <v>0</v>
      </c>
      <c r="O41" s="1353"/>
      <c r="P41" s="1773">
        <f t="shared" si="9"/>
        <v>0</v>
      </c>
      <c r="Q41" s="1353"/>
      <c r="R41" s="1773">
        <f t="shared" si="10"/>
        <v>0</v>
      </c>
      <c r="S41" s="1353"/>
      <c r="T41" s="1773">
        <f t="shared" si="11"/>
        <v>0</v>
      </c>
      <c r="U41" s="1353"/>
      <c r="V41" s="395">
        <f t="shared" si="5"/>
        <v>0</v>
      </c>
      <c r="W41" s="397">
        <f>IF(VOL=0,0,VLOOKUP(VOL,Tabla_Acum,2))+AD41</f>
        <v>0</v>
      </c>
      <c r="X41" s="5366" t="s">
        <v>1315</v>
      </c>
      <c r="Y41" s="5366"/>
      <c r="Z41" s="1958"/>
      <c r="AA41" s="493">
        <f t="shared" si="12"/>
        <v>0</v>
      </c>
      <c r="AB41" s="1546"/>
      <c r="AC41" s="29"/>
      <c r="AD41" s="2265">
        <f>IF(AND(Tablas!$P$273,Personalización!$AB$105=E41),1,0)</f>
        <v>0</v>
      </c>
      <c r="AE41" s="3632"/>
      <c r="AF41" s="3633"/>
      <c r="AG41" s="3632"/>
      <c r="AH41" s="3632"/>
      <c r="AI41" s="3632"/>
      <c r="AJ41" s="3632"/>
      <c r="AK41" s="3632"/>
      <c r="AL41" s="628"/>
      <c r="AM41" s="628"/>
      <c r="AN41" s="628"/>
      <c r="AO41" s="628"/>
      <c r="AP41" s="628"/>
      <c r="AQ41" s="530"/>
      <c r="AR41" s="530"/>
      <c r="AS41" s="530"/>
      <c r="AT41" s="530"/>
      <c r="AU41" s="530"/>
      <c r="AV41" s="530"/>
      <c r="AW41" s="530"/>
      <c r="AX41" s="530"/>
      <c r="AY41" s="530"/>
      <c r="AZ41" s="530"/>
      <c r="BA41" s="530"/>
      <c r="BB41" s="530"/>
      <c r="BC41" s="530"/>
      <c r="BD41" s="2617"/>
      <c r="BE41" s="2617"/>
      <c r="BF41" s="2617"/>
      <c r="BG41" s="2617"/>
      <c r="BH41" s="2617"/>
      <c r="BI41" s="2617"/>
      <c r="BJ41" s="2617"/>
      <c r="BK41" s="2617"/>
      <c r="BL41" s="2617"/>
      <c r="BM41" s="2617"/>
      <c r="BN41" s="2617"/>
      <c r="BO41" s="2617"/>
      <c r="BP41" s="2617"/>
      <c r="BQ41" s="2617"/>
      <c r="BR41" s="2617"/>
      <c r="BS41" s="2617"/>
      <c r="BT41" s="2617"/>
      <c r="BU41" s="2617"/>
      <c r="BV41" s="2617"/>
      <c r="BW41" s="2617"/>
      <c r="BX41" s="2617"/>
    </row>
    <row r="42" spans="1:76" ht="12" customHeight="1">
      <c r="A42" s="9"/>
      <c r="B42" s="752"/>
      <c r="C42" s="5402"/>
      <c r="D42" s="495" t="s">
        <v>1359</v>
      </c>
      <c r="E42" s="5237" t="s">
        <v>1360</v>
      </c>
      <c r="F42" s="5238"/>
      <c r="G42" s="5238"/>
      <c r="H42" s="5238"/>
      <c r="I42" s="5238"/>
      <c r="J42" s="5238"/>
      <c r="K42" s="5239"/>
      <c r="L42" s="1769">
        <v>5</v>
      </c>
      <c r="M42" s="1343"/>
      <c r="N42" s="1769">
        <v>5</v>
      </c>
      <c r="O42" s="1343"/>
      <c r="P42" s="1769">
        <v>5</v>
      </c>
      <c r="Q42" s="1343"/>
      <c r="R42" s="1769">
        <v>5</v>
      </c>
      <c r="S42" s="1343"/>
      <c r="T42" s="1769">
        <v>5</v>
      </c>
      <c r="U42" s="1343"/>
      <c r="V42" s="398">
        <f>(IF(L42=0,0,TRUNC(M42/L42,0))+IF(N42=0,0,TRUNC(O42/N42,0))+IF(P42=0,0,TRUNC(Q42/P42,0))+IF(R42=0,0,TRUNC(S42/R42,0))+IF(T42=0,0,TRUNC(U42/T42,0)))*5</f>
        <v>0</v>
      </c>
      <c r="W42" s="399">
        <f>SUM(Combate!AQ31:AQ49)+Tablas!G341*40+Tablas!G342*80+Tablas!G343*120</f>
        <v>0</v>
      </c>
      <c r="X42" s="5367">
        <f>HLOOKUP($E42,Bonos_Cat_Base,2,FALSE)</f>
        <v>0</v>
      </c>
      <c r="Y42" s="5367">
        <f>HLOOKUP($E42,Bonos_Cat_Base,2,FALSE)</f>
        <v>0</v>
      </c>
      <c r="Z42" s="1970"/>
      <c r="AA42" s="496">
        <f>Z42+X42+W42+V42</f>
        <v>0</v>
      </c>
      <c r="AB42" s="1546"/>
      <c r="AC42" s="29"/>
      <c r="AD42" s="2265"/>
      <c r="AE42" s="3632"/>
      <c r="AF42" s="3633"/>
      <c r="AG42" s="3632"/>
      <c r="AH42" s="3632"/>
      <c r="AI42" s="3632"/>
      <c r="AJ42" s="3632"/>
      <c r="AK42" s="3632"/>
      <c r="AL42" s="628"/>
      <c r="AM42" s="628"/>
      <c r="AN42" s="628"/>
      <c r="AO42" s="628"/>
      <c r="AP42" s="628"/>
      <c r="AQ42" s="530"/>
      <c r="AR42" s="530"/>
      <c r="AS42" s="530"/>
      <c r="AT42" s="530"/>
      <c r="AU42" s="530"/>
      <c r="AV42" s="530"/>
      <c r="AW42" s="530"/>
      <c r="AX42" s="530"/>
      <c r="AY42" s="530"/>
      <c r="AZ42" s="530"/>
      <c r="BA42" s="530"/>
      <c r="BB42" s="530"/>
      <c r="BC42" s="530"/>
      <c r="BD42" s="2617"/>
      <c r="BE42" s="2617"/>
      <c r="BF42" s="2617"/>
      <c r="BG42" s="2617"/>
      <c r="BH42" s="2617"/>
      <c r="BI42" s="2617"/>
      <c r="BJ42" s="2617"/>
      <c r="BK42" s="2617"/>
      <c r="BL42" s="2617"/>
      <c r="BM42" s="2617"/>
      <c r="BN42" s="2617"/>
      <c r="BO42" s="2617"/>
      <c r="BP42" s="2617"/>
      <c r="BQ42" s="2617"/>
      <c r="BR42" s="2617"/>
      <c r="BS42" s="2617"/>
      <c r="BT42" s="2617"/>
      <c r="BU42" s="2617"/>
      <c r="BV42" s="2617"/>
      <c r="BW42" s="2617"/>
      <c r="BX42" s="2617"/>
    </row>
    <row r="43" spans="1:76" ht="12" customHeight="1">
      <c r="A43" s="9"/>
      <c r="B43" s="752"/>
      <c r="C43" s="5402"/>
      <c r="D43" s="5187" t="s">
        <v>1361</v>
      </c>
      <c r="E43" s="5240"/>
      <c r="F43" s="5241"/>
      <c r="G43" s="5241"/>
      <c r="H43" s="5241"/>
      <c r="I43" s="5241"/>
      <c r="J43" s="5241"/>
      <c r="K43" s="5242"/>
      <c r="L43" s="1774" t="str">
        <f>IF(Y43="Lanzamiento",IF(L$22="Maestro en Armas",20,40),IF($E43=0,"",TRUNC(IF(L$22="Maestro en Armas",0.5,1)*VLOOKUP($E43,Tablas!$X$593:$Y$598,2,FALSE),0)))</f>
        <v/>
      </c>
      <c r="M43" s="1354"/>
      <c r="N43" s="1774" t="str">
        <f>IF($E43=0,"",TRUNC(IF(N$22="Maestro en Armas",0.5,1)*VLOOKUP($E43,Tablas!$X$593:$Y$598,2,FALSE),0))</f>
        <v/>
      </c>
      <c r="O43" s="1354"/>
      <c r="P43" s="1774" t="str">
        <f>IF($E43=0,"",TRUNC(IF(P$22="Maestro en Armas",0.5,1)*VLOOKUP($E43,Tablas!$X$593:$Y$598,2,FALSE),0))</f>
        <v/>
      </c>
      <c r="Q43" s="1354"/>
      <c r="R43" s="1774" t="str">
        <f>IF($E43=0,"",TRUNC(IF(R$22="Maestro en Armas",0.5,1)*VLOOKUP($E43,Tablas!$X$593:$Y$598,2,FALSE),0))</f>
        <v/>
      </c>
      <c r="S43" s="1354"/>
      <c r="T43" s="1774" t="str">
        <f>IF($E43=0,"",TRUNC(IF(T$22="Maestro en Armas",0.5,1)*VLOOKUP($E43,Tablas!$X$593:$Y$598,2,FALSE),0))</f>
        <v/>
      </c>
      <c r="U43" s="1354"/>
      <c r="V43" s="5298" t="str">
        <f>IF(E43=0,"",VLOOKUP(E43,Tabla_TablasArmas,3,FALSE))</f>
        <v/>
      </c>
      <c r="W43" s="5299"/>
      <c r="X43" s="5299"/>
      <c r="Y43" s="5268"/>
      <c r="Z43" s="5268"/>
      <c r="AA43" s="5269"/>
      <c r="AB43" s="1546"/>
      <c r="AC43" s="29"/>
      <c r="AD43" s="2265" t="str">
        <f>IF($E43="Tabla de tipología","Lista_Tipologías",IF($E43="Tabla de armas arquetípicas","Lista_ArmasArquetipo",IF($E43="Arma Similar",Tablas!$AZ$654,IF($E43="Arma Mixta",Tablas!$BA$654,IF($E43="Arma Distinta / Desarmado",Tablas!$BB$654,"")))))</f>
        <v/>
      </c>
      <c r="AE43" s="3632"/>
      <c r="AF43" s="3632"/>
      <c r="AG43" s="3632"/>
      <c r="AH43" s="3632"/>
      <c r="AI43" s="3632"/>
      <c r="AJ43" s="3632"/>
      <c r="AK43" s="3632"/>
      <c r="AL43" s="628"/>
      <c r="AM43" s="628"/>
      <c r="AN43" s="628"/>
      <c r="AO43" s="628"/>
      <c r="AP43" s="628"/>
      <c r="AQ43" s="530"/>
      <c r="AR43" s="530"/>
      <c r="AS43" s="530"/>
      <c r="AT43" s="530"/>
      <c r="AU43" s="530"/>
      <c r="AV43" s="530"/>
      <c r="AW43" s="530"/>
      <c r="AX43" s="530"/>
      <c r="AY43" s="530"/>
      <c r="AZ43" s="530"/>
      <c r="BA43" s="530"/>
      <c r="BB43" s="530"/>
      <c r="BC43" s="530"/>
      <c r="BD43" s="2617"/>
      <c r="BE43" s="2617"/>
      <c r="BF43" s="2617"/>
      <c r="BG43" s="2617"/>
      <c r="BH43" s="2617"/>
      <c r="BI43" s="2617"/>
      <c r="BJ43" s="2617"/>
      <c r="BK43" s="2617"/>
      <c r="BL43" s="2617"/>
      <c r="BM43" s="2617"/>
      <c r="BN43" s="2617"/>
      <c r="BO43" s="2617"/>
      <c r="BP43" s="2617"/>
      <c r="BQ43" s="2617"/>
      <c r="BR43" s="2617"/>
      <c r="BS43" s="2617"/>
      <c r="BT43" s="2617"/>
      <c r="BU43" s="2617"/>
      <c r="BV43" s="2617"/>
      <c r="BW43" s="2617"/>
      <c r="BX43" s="2617"/>
    </row>
    <row r="44" spans="1:76" ht="12" customHeight="1">
      <c r="A44" s="9"/>
      <c r="B44" s="752"/>
      <c r="C44" s="5402"/>
      <c r="D44" s="5188"/>
      <c r="E44" s="5181"/>
      <c r="F44" s="5032"/>
      <c r="G44" s="5032"/>
      <c r="H44" s="5032"/>
      <c r="I44" s="5032"/>
      <c r="J44" s="5032"/>
      <c r="K44" s="5033"/>
      <c r="L44" s="1767" t="str">
        <f>IF(Y44="Lanzamiento",IF(L$22="Maestro en Armas",20,40),IF($E44=0,"",TRUNC(IF(L$22="Maestro en Armas",0.5,1)*VLOOKUP($E44,Tablas!$X$593:$Y$598,2,FALSE),0)))</f>
        <v/>
      </c>
      <c r="M44" s="1760"/>
      <c r="N44" s="1767" t="str">
        <f>IF($E44=0,"",TRUNC(IF(N$22="Maestro en Armas",0.5,1)*VLOOKUP($E44,Tablas!$X$593:$Y$598,2,FALSE),0))</f>
        <v/>
      </c>
      <c r="O44" s="1760"/>
      <c r="P44" s="1767" t="str">
        <f>IF($E44=0,"",TRUNC(IF(P$22="Maestro en Armas",0.5,1)*VLOOKUP($E44,Tablas!$X$593:$Y$598,2,FALSE),0))</f>
        <v/>
      </c>
      <c r="Q44" s="1760"/>
      <c r="R44" s="1767" t="str">
        <f>IF($E44=0,"",TRUNC(IF(R$22="Maestro en Armas",0.5,1)*VLOOKUP($E44,Tablas!$X$593:$Y$598,2,FALSE),0))</f>
        <v/>
      </c>
      <c r="S44" s="1760"/>
      <c r="T44" s="1767" t="str">
        <f>IF($E44=0,"",TRUNC(IF(T$22="Maestro en Armas",0.5,1)*VLOOKUP($E44,Tablas!$X$593:$Y$598,2,FALSE),0))</f>
        <v/>
      </c>
      <c r="U44" s="1760"/>
      <c r="V44" s="5305" t="str">
        <f t="shared" ref="V44:V48" si="13">IF(E44=0,"",VLOOKUP(E44,Tabla_TablasArmas,3,FALSE))</f>
        <v/>
      </c>
      <c r="W44" s="5306"/>
      <c r="X44" s="5306"/>
      <c r="Y44" s="5270"/>
      <c r="Z44" s="5270"/>
      <c r="AA44" s="5271"/>
      <c r="AB44" s="1546"/>
      <c r="AC44" s="29"/>
      <c r="AD44" s="2265" t="str">
        <f>IF($E44="Tabla de tipología","Lista_Tipologías",IF($E44="Tabla de armas arquetípicas","Lista_ArmasArquetipo",IF($E44="Arma Similar",Tablas!$BG$654,IF($E44="Arma Mixta",Tablas!$BH$654,IF($E44="Arma Distinta / Desarmado",Tablas!$BI$654,"")))))</f>
        <v/>
      </c>
      <c r="AE44" s="3636"/>
      <c r="AF44" s="3636"/>
      <c r="AG44" s="3632"/>
      <c r="AH44" s="3632"/>
      <c r="AI44" s="3632"/>
      <c r="AJ44" s="3632"/>
      <c r="AK44" s="3632"/>
      <c r="AL44" s="628"/>
      <c r="AM44" s="628"/>
      <c r="AN44" s="628"/>
      <c r="AO44" s="628"/>
      <c r="AP44" s="628"/>
      <c r="AQ44" s="530"/>
      <c r="AR44" s="530"/>
      <c r="AS44" s="530"/>
      <c r="AT44" s="530"/>
      <c r="AU44" s="530"/>
      <c r="AV44" s="530"/>
      <c r="AW44" s="530"/>
      <c r="AX44" s="530"/>
      <c r="AY44" s="530"/>
      <c r="AZ44" s="530"/>
      <c r="BA44" s="530"/>
      <c r="BB44" s="530"/>
      <c r="BC44" s="530"/>
      <c r="BD44" s="2617"/>
      <c r="BE44" s="2617"/>
      <c r="BF44" s="2617"/>
      <c r="BG44" s="2617"/>
      <c r="BH44" s="2617"/>
      <c r="BI44" s="2617"/>
      <c r="BJ44" s="2617"/>
      <c r="BK44" s="2617"/>
      <c r="BL44" s="2617"/>
      <c r="BM44" s="2617"/>
      <c r="BN44" s="2617"/>
      <c r="BO44" s="2617"/>
      <c r="BP44" s="2617"/>
      <c r="BQ44" s="2617"/>
      <c r="BR44" s="2617"/>
      <c r="BS44" s="2617"/>
      <c r="BT44" s="2617"/>
      <c r="BU44" s="2617"/>
      <c r="BV44" s="2617"/>
      <c r="BW44" s="2617"/>
      <c r="BX44" s="2617"/>
    </row>
    <row r="45" spans="1:76" ht="12" customHeight="1">
      <c r="A45" s="9"/>
      <c r="B45" s="752"/>
      <c r="C45" s="5402"/>
      <c r="D45" s="5188"/>
      <c r="E45" s="5180"/>
      <c r="F45" s="4979"/>
      <c r="G45" s="4979"/>
      <c r="H45" s="4979"/>
      <c r="I45" s="4979"/>
      <c r="J45" s="4979"/>
      <c r="K45" s="4980"/>
      <c r="L45" s="1772" t="str">
        <f>IF(Y45="Lanzamiento",IF(L$22="Maestro en Armas",20,40),IF($E45=0,"",TRUNC(IF(L$22="Maestro en Armas",0.5,1)*VLOOKUP($E45,Tablas!$X$593:$Y$598,2,FALSE),0)))</f>
        <v/>
      </c>
      <c r="M45" s="1761"/>
      <c r="N45" s="1772" t="str">
        <f>IF($E45=0,"",TRUNC(IF(N$22="Maestro en Armas",0.5,1)*VLOOKUP($E45,Tablas!$X$593:$Y$598,2,FALSE),0))</f>
        <v/>
      </c>
      <c r="O45" s="1761"/>
      <c r="P45" s="1772" t="str">
        <f>IF($E45=0,"",TRUNC(IF(P$22="Maestro en Armas",0.5,1)*VLOOKUP($E45,Tablas!$X$593:$Y$598,2,FALSE),0))</f>
        <v/>
      </c>
      <c r="Q45" s="1761"/>
      <c r="R45" s="1772" t="str">
        <f>IF($E45=0,"",TRUNC(IF(R$22="Maestro en Armas",0.5,1)*VLOOKUP($E45,Tablas!$X$593:$Y$598,2,FALSE),0))</f>
        <v/>
      </c>
      <c r="S45" s="1761"/>
      <c r="T45" s="1772" t="str">
        <f>IF($E45=0,"",TRUNC(IF(T$22="Maestro en Armas",0.5,1)*VLOOKUP($E45,Tablas!$X$593:$Y$598,2,FALSE),0))</f>
        <v/>
      </c>
      <c r="U45" s="1761"/>
      <c r="V45" s="5298" t="str">
        <f t="shared" si="13"/>
        <v/>
      </c>
      <c r="W45" s="5299"/>
      <c r="X45" s="5299"/>
      <c r="Y45" s="5268"/>
      <c r="Z45" s="5268"/>
      <c r="AA45" s="5269"/>
      <c r="AB45" s="1546"/>
      <c r="AC45" s="29"/>
      <c r="AD45" s="2265" t="str">
        <f>IF($E45="Tabla de tipología","Lista_Tipologías",IF($E45="Tabla de armas arquetípicas","Lista_ArmasArquetipo",IF($E45="Arma Similar",Tablas!$BN$654,IF($E45="Arma Mixta",Tablas!$BO$654,IF($E45="Arma Distinta / Desarmado",Tablas!$BP$654,"")))))</f>
        <v/>
      </c>
      <c r="AE45" s="3632"/>
      <c r="AF45" s="3633"/>
      <c r="AG45" s="3632"/>
      <c r="AH45" s="3632"/>
      <c r="AI45" s="3632"/>
      <c r="AJ45" s="3632"/>
      <c r="AK45" s="3632"/>
      <c r="AL45" s="628"/>
      <c r="AM45" s="628"/>
      <c r="AN45" s="628"/>
      <c r="AO45" s="628"/>
      <c r="AP45" s="628"/>
      <c r="AQ45" s="530"/>
      <c r="AR45" s="530"/>
      <c r="AS45" s="530"/>
      <c r="AT45" s="530"/>
      <c r="AU45" s="530"/>
      <c r="AV45" s="530"/>
      <c r="AW45" s="530"/>
      <c r="AX45" s="530"/>
      <c r="AY45" s="530"/>
      <c r="AZ45" s="530"/>
      <c r="BA45" s="530"/>
      <c r="BB45" s="530"/>
      <c r="BC45" s="530"/>
      <c r="BD45" s="2617"/>
      <c r="BE45" s="2617"/>
      <c r="BF45" s="2617"/>
      <c r="BG45" s="2617"/>
      <c r="BH45" s="2617"/>
      <c r="BI45" s="2617"/>
      <c r="BJ45" s="2617"/>
      <c r="BK45" s="2617"/>
      <c r="BL45" s="2617"/>
      <c r="BM45" s="2617"/>
      <c r="BN45" s="2617"/>
      <c r="BO45" s="2617"/>
      <c r="BP45" s="2617"/>
      <c r="BQ45" s="2617"/>
      <c r="BR45" s="2617"/>
      <c r="BS45" s="2617"/>
      <c r="BT45" s="2617"/>
      <c r="BU45" s="2617"/>
      <c r="BV45" s="2617"/>
      <c r="BW45" s="2617"/>
      <c r="BX45" s="2617"/>
    </row>
    <row r="46" spans="1:76" ht="12" customHeight="1">
      <c r="A46" s="9"/>
      <c r="B46" s="752"/>
      <c r="C46" s="5402"/>
      <c r="D46" s="5188"/>
      <c r="E46" s="5181"/>
      <c r="F46" s="5032"/>
      <c r="G46" s="5032"/>
      <c r="H46" s="5032"/>
      <c r="I46" s="5032"/>
      <c r="J46" s="5032"/>
      <c r="K46" s="5033"/>
      <c r="L46" s="1767" t="str">
        <f>IF(Y46="Lanzamiento",IF(L$22="Maestro en Armas",20,40),IF($E46=0,"",TRUNC(IF(L$22="Maestro en Armas",0.5,1)*VLOOKUP($E46,Tablas!$X$593:$Y$598,2,FALSE),0)))</f>
        <v/>
      </c>
      <c r="M46" s="1760"/>
      <c r="N46" s="1767" t="str">
        <f>IF($E46=0,"",TRUNC(IF(N$22="Maestro en Armas",0.5,1)*VLOOKUP($E46,Tablas!$X$593:$Y$598,2,FALSE),0))</f>
        <v/>
      </c>
      <c r="O46" s="1760"/>
      <c r="P46" s="1767" t="str">
        <f>IF($E46=0,"",TRUNC(IF(P$22="Maestro en Armas",0.5,1)*VLOOKUP($E46,Tablas!$X$593:$Y$598,2,FALSE),0))</f>
        <v/>
      </c>
      <c r="Q46" s="1760"/>
      <c r="R46" s="1767" t="str">
        <f>IF($E46=0,"",TRUNC(IF(R$22="Maestro en Armas",0.5,1)*VLOOKUP($E46,Tablas!$X$593:$Y$598,2,FALSE),0))</f>
        <v/>
      </c>
      <c r="S46" s="1760"/>
      <c r="T46" s="1767" t="str">
        <f>IF($E46=0,"",TRUNC(IF(T$22="Maestro en Armas",0.5,1)*VLOOKUP($E46,Tablas!$X$593:$Y$598,2,FALSE),0))</f>
        <v/>
      </c>
      <c r="U46" s="1760"/>
      <c r="V46" s="5305" t="str">
        <f t="shared" si="13"/>
        <v/>
      </c>
      <c r="W46" s="5306"/>
      <c r="X46" s="5306"/>
      <c r="Y46" s="5270"/>
      <c r="Z46" s="5270"/>
      <c r="AA46" s="5271"/>
      <c r="AB46" s="1546"/>
      <c r="AC46" s="29"/>
      <c r="AD46" s="2265" t="str">
        <f>IF($E46="Tabla de tipología","Lista_Tipologías",IF($E46="Tabla de armas arquetípicas","Lista_ArmasArquetipo",IF($E46="Arma Similar",Tablas!$BU$654,IF($E46="Arma Mixta",Tablas!$BV$654,IF($E46="Arma Distinta / Desarmado",Tablas!$BW$654,"")))))</f>
        <v/>
      </c>
      <c r="AE46" s="3632" t="str" cm="1">
        <f t="array" ref="AE46">INDEX(Tablas!$AG$903:$AG$904,AG59)</f>
        <v>Base</v>
      </c>
      <c r="AF46" s="3633"/>
      <c r="AG46" s="3632"/>
      <c r="AH46" s="3632"/>
      <c r="AI46" s="3632"/>
      <c r="AJ46" s="3632"/>
      <c r="AK46" s="3632"/>
      <c r="AL46" s="628"/>
      <c r="AM46" s="628"/>
      <c r="AN46" s="628"/>
      <c r="AO46" s="628"/>
      <c r="AP46" s="628"/>
      <c r="AQ46" s="530"/>
      <c r="AR46" s="530"/>
      <c r="AS46" s="530"/>
      <c r="AT46" s="530"/>
      <c r="AU46" s="530"/>
      <c r="AV46" s="530"/>
      <c r="AW46" s="530"/>
      <c r="AX46" s="530"/>
      <c r="AY46" s="530"/>
      <c r="AZ46" s="530"/>
      <c r="BA46" s="530"/>
      <c r="BB46" s="530"/>
      <c r="BC46" s="530"/>
      <c r="BD46" s="2617"/>
      <c r="BE46" s="2617"/>
      <c r="BF46" s="2617"/>
      <c r="BG46" s="2617"/>
      <c r="BH46" s="2617"/>
      <c r="BI46" s="2617"/>
      <c r="BJ46" s="2617"/>
      <c r="BK46" s="2617"/>
      <c r="BL46" s="2617"/>
      <c r="BM46" s="2617"/>
      <c r="BN46" s="2617"/>
      <c r="BO46" s="2617"/>
      <c r="BP46" s="2617"/>
      <c r="BQ46" s="2617"/>
      <c r="BR46" s="2617"/>
      <c r="BS46" s="2617"/>
      <c r="BT46" s="2617"/>
      <c r="BU46" s="2617"/>
      <c r="BV46" s="2617"/>
      <c r="BW46" s="2617"/>
      <c r="BX46" s="2617"/>
    </row>
    <row r="47" spans="1:76" ht="12" customHeight="1">
      <c r="A47" s="9"/>
      <c r="B47" s="752"/>
      <c r="C47" s="5402"/>
      <c r="D47" s="5188"/>
      <c r="E47" s="5180"/>
      <c r="F47" s="4979"/>
      <c r="G47" s="4979"/>
      <c r="H47" s="4979"/>
      <c r="I47" s="4979"/>
      <c r="J47" s="4979"/>
      <c r="K47" s="4980"/>
      <c r="L47" s="1772" t="str">
        <f>IF(Y47="Lanzamiento",IF(L$22="Maestro en Armas",20,40),IF($E47=0,"",TRUNC(IF(L$22="Maestro en Armas",0.5,1)*VLOOKUP($E47,Tablas!$X$593:$Y$598,2,FALSE),0)))</f>
        <v/>
      </c>
      <c r="M47" s="1761"/>
      <c r="N47" s="1772" t="str">
        <f>IF($E47=0,"",TRUNC(IF(N$22="Maestro en Armas",0.5,1)*VLOOKUP($E47,Tablas!$X$593:$Y$598,2,FALSE),0))</f>
        <v/>
      </c>
      <c r="O47" s="1761"/>
      <c r="P47" s="1772" t="str">
        <f>IF($E47=0,"",TRUNC(IF(P$22="Maestro en Armas",0.5,1)*VLOOKUP($E47,Tablas!$X$593:$Y$598,2,FALSE),0))</f>
        <v/>
      </c>
      <c r="Q47" s="1761"/>
      <c r="R47" s="1772" t="str">
        <f>IF($E47=0,"",TRUNC(IF(R$22="Maestro en Armas",0.5,1)*VLOOKUP($E47,Tablas!$X$593:$Y$598,2,FALSE),0))</f>
        <v/>
      </c>
      <c r="S47" s="1761"/>
      <c r="T47" s="1772" t="str">
        <f>IF($E47=0,"",TRUNC(IF(T$22="Maestro en Armas",0.5,1)*VLOOKUP($E47,Tablas!$X$593:$Y$598,2,FALSE),0))</f>
        <v/>
      </c>
      <c r="U47" s="1761"/>
      <c r="V47" s="5298" t="str">
        <f t="shared" si="13"/>
        <v/>
      </c>
      <c r="W47" s="5299"/>
      <c r="X47" s="5299"/>
      <c r="Y47" s="5268"/>
      <c r="Z47" s="5268"/>
      <c r="AA47" s="5269"/>
      <c r="AB47" s="1546"/>
      <c r="AC47" s="29"/>
      <c r="AD47" s="2265" t="str">
        <f>IF($E47="Tabla de tipología","Lista_Tipologías",IF($E47="Tabla de armas arquetípicas","Lista_ArmasArquetipo",IF($E47="Arma Similar",Tablas!$CB$654,IF($E47="Arma Mixta",Tablas!$CC$654,IF($E47="Arma Distinta / Desarmado",Tablas!$CD$654,"")))))</f>
        <v/>
      </c>
      <c r="AE47" s="3632"/>
      <c r="AF47" s="3633"/>
      <c r="AG47" s="3632"/>
      <c r="AH47" s="5307" t="s">
        <v>8097</v>
      </c>
      <c r="AI47" s="5307"/>
      <c r="AJ47" s="5307"/>
      <c r="AK47" s="5307"/>
      <c r="AL47" s="5307"/>
      <c r="AM47" s="5307"/>
      <c r="AN47" s="5307"/>
      <c r="AO47" s="5307"/>
      <c r="AP47" s="5307" t="s">
        <v>8098</v>
      </c>
      <c r="AQ47" s="5307"/>
      <c r="AR47" s="5307"/>
      <c r="AS47" s="5307"/>
      <c r="AT47" s="5307"/>
      <c r="AU47" s="5307"/>
      <c r="AV47" s="5307"/>
      <c r="AW47" s="530"/>
      <c r="AX47" s="530"/>
      <c r="AY47" s="530"/>
      <c r="AZ47" s="530"/>
      <c r="BA47" s="530"/>
      <c r="BB47" s="530"/>
      <c r="BC47" s="530"/>
      <c r="BD47" s="2617"/>
      <c r="BE47" s="2617"/>
      <c r="BF47" s="2617"/>
      <c r="BG47" s="2617"/>
      <c r="BH47" s="2617"/>
      <c r="BI47" s="2617"/>
      <c r="BJ47" s="2617"/>
      <c r="BK47" s="2617"/>
      <c r="BL47" s="2617"/>
      <c r="BM47" s="2617"/>
      <c r="BN47" s="2617"/>
      <c r="BO47" s="2617"/>
      <c r="BP47" s="2617"/>
      <c r="BQ47" s="2617"/>
      <c r="BR47" s="2617"/>
      <c r="BS47" s="2617"/>
      <c r="BT47" s="2617"/>
      <c r="BU47" s="2617"/>
      <c r="BV47" s="2617"/>
      <c r="BW47" s="2617"/>
      <c r="BX47" s="2617"/>
    </row>
    <row r="48" spans="1:76" ht="12" customHeight="1">
      <c r="A48" s="9"/>
      <c r="B48" s="752"/>
      <c r="C48" s="5402"/>
      <c r="D48" s="5219"/>
      <c r="E48" s="5181"/>
      <c r="F48" s="5032"/>
      <c r="G48" s="5032"/>
      <c r="H48" s="5032"/>
      <c r="I48" s="5032"/>
      <c r="J48" s="5032"/>
      <c r="K48" s="5033"/>
      <c r="L48" s="1767" t="str">
        <f>IF(Y48="Lanzamiento",IF(L$22="Maestro en Armas",20,40),IF($E48=0,"",TRUNC(IF(L$22="Maestro en Armas",0.5,1)*VLOOKUP($E48,Tablas!$X$593:$Y$598,2,FALSE),0)))</f>
        <v/>
      </c>
      <c r="M48" s="1760"/>
      <c r="N48" s="1767" t="str">
        <f>IF($E48=0,"",TRUNC(IF(N$22="Maestro en Armas",0.5,1)*VLOOKUP($E48,Tablas!$X$593:$Y$598,2,FALSE),0))</f>
        <v/>
      </c>
      <c r="O48" s="1760"/>
      <c r="P48" s="1767" t="str">
        <f>IF($E48=0,"",TRUNC(IF(P$22="Maestro en Armas",0.5,1)*VLOOKUP($E48,Tablas!$X$593:$Y$598,2,FALSE),0))</f>
        <v/>
      </c>
      <c r="Q48" s="1760"/>
      <c r="R48" s="1767" t="str">
        <f>IF($E48=0,"",TRUNC(IF(R$22="Maestro en Armas",0.5,1)*VLOOKUP($E48,Tablas!$X$593:$Y$598,2,FALSE),0))</f>
        <v/>
      </c>
      <c r="S48" s="1760"/>
      <c r="T48" s="1767" t="str">
        <f>IF($E48=0,"",TRUNC(IF(T$22="Maestro en Armas",0.5,1)*VLOOKUP($E48,Tablas!$X$593:$Y$598,2,FALSE),0))</f>
        <v/>
      </c>
      <c r="U48" s="1760"/>
      <c r="V48" s="5300" t="str">
        <f t="shared" si="13"/>
        <v/>
      </c>
      <c r="W48" s="5301"/>
      <c r="X48" s="5301"/>
      <c r="Y48" s="5336"/>
      <c r="Z48" s="5336"/>
      <c r="AA48" s="5337"/>
      <c r="AB48" s="1546"/>
      <c r="AC48" s="29"/>
      <c r="AD48" s="2265" t="str">
        <f>IF($E48="Tabla de tipología","Lista_Tipologías",IF($E48="Tabla de armas arquetípicas","Lista_ArmasArquetipo",IF($E48="Arma Similar",Tablas!$CI$654,IF($E48="Arma Mixta",Tablas!$CJ$654,IF($E48="Arma Distinta / Desarmado",Tablas!$CK$654,"")))))</f>
        <v/>
      </c>
      <c r="AE48" s="3632" t="s">
        <v>8096</v>
      </c>
      <c r="AF48" s="3633" t="s">
        <v>8095</v>
      </c>
      <c r="AG48" s="3632" t="s">
        <v>8104</v>
      </c>
      <c r="AH48" s="628">
        <v>1</v>
      </c>
      <c r="AI48" s="628">
        <v>2</v>
      </c>
      <c r="AJ48" s="628">
        <v>3</v>
      </c>
      <c r="AK48" s="628">
        <v>4</v>
      </c>
      <c r="AL48" s="628">
        <v>5</v>
      </c>
      <c r="AM48" s="628">
        <v>6</v>
      </c>
      <c r="AN48" s="628">
        <v>7</v>
      </c>
      <c r="AO48" s="628">
        <v>8</v>
      </c>
      <c r="AP48" s="628">
        <v>1</v>
      </c>
      <c r="AQ48" s="628">
        <v>2</v>
      </c>
      <c r="AR48" s="628">
        <v>3</v>
      </c>
      <c r="AS48" s="628">
        <v>4</v>
      </c>
      <c r="AT48" s="628">
        <v>5</v>
      </c>
      <c r="AU48" s="628">
        <v>6</v>
      </c>
      <c r="AV48" s="628">
        <v>7</v>
      </c>
      <c r="AW48" s="530"/>
      <c r="AX48" s="530"/>
      <c r="AY48" s="530"/>
      <c r="AZ48" s="530"/>
      <c r="BA48" s="530"/>
      <c r="BB48" s="530"/>
      <c r="BC48" s="530"/>
      <c r="BD48" s="2617"/>
      <c r="BE48" s="2617"/>
      <c r="BF48" s="2617"/>
      <c r="BG48" s="2617"/>
      <c r="BH48" s="2617"/>
      <c r="BI48" s="2617"/>
      <c r="BJ48" s="2617"/>
      <c r="BK48" s="2617"/>
      <c r="BL48" s="2617"/>
      <c r="BM48" s="2617"/>
      <c r="BN48" s="2617"/>
      <c r="BO48" s="2617"/>
      <c r="BP48" s="2617"/>
      <c r="BQ48" s="2617"/>
      <c r="BR48" s="2617"/>
      <c r="BS48" s="2617"/>
      <c r="BT48" s="2617"/>
      <c r="BU48" s="2617"/>
      <c r="BV48" s="2617"/>
      <c r="BW48" s="2617"/>
      <c r="BX48" s="2617"/>
    </row>
    <row r="49" spans="1:76" ht="12" customHeight="1">
      <c r="A49" s="9"/>
      <c r="B49" s="752"/>
      <c r="C49" s="5402"/>
      <c r="D49" s="5195" t="s">
        <v>1362</v>
      </c>
      <c r="E49" s="5222"/>
      <c r="F49" s="5223"/>
      <c r="G49" s="5223"/>
      <c r="H49" s="5223"/>
      <c r="I49" s="5223"/>
      <c r="J49" s="5223"/>
      <c r="K49" s="5224"/>
      <c r="L49" s="1775" t="str">
        <f t="shared" ref="L49:L58" si="14">IF($E49=0,"",TRUNC(IF(L$22="Maestro en Armas",0.5,1)*VLOOKUP($E49,Tabla_Tabla_Estilos,2,FALSE),0))</f>
        <v/>
      </c>
      <c r="M49" s="1355"/>
      <c r="N49" s="1775" t="str">
        <f t="shared" ref="N49:N58" si="15">IF($E49=0,"",TRUNC(IF(N$22="Maestro en Armas",0.5,1)*VLOOKUP($E49,Tabla_Tabla_Estilos,2,FALSE),0))</f>
        <v/>
      </c>
      <c r="O49" s="1355"/>
      <c r="P49" s="1775" t="str">
        <f t="shared" ref="P49:P58" si="16">IF($E49=0,"",TRUNC(IF(P$22="Maestro en Armas",0.5,1)*VLOOKUP($E49,Tabla_Tabla_Estilos,2,FALSE),0))</f>
        <v/>
      </c>
      <c r="Q49" s="1355"/>
      <c r="R49" s="1775" t="str">
        <f t="shared" ref="R49:R58" si="17">IF($E49=0,"",TRUNC(IF(R$22="Maestro en Armas",0.5,1)*VLOOKUP($E49,Tabla_Tabla_Estilos,2,FALSE),0))</f>
        <v/>
      </c>
      <c r="S49" s="1355"/>
      <c r="T49" s="1775" t="str">
        <f t="shared" ref="T49:T58" si="18">IF($E49=0,"",TRUNC(IF(T$22="Maestro en Armas",0.5,1)*VLOOKUP($E49,Tabla_Tabla_Estilos,2,FALSE),0))</f>
        <v/>
      </c>
      <c r="U49" s="1355"/>
      <c r="V49" s="5303" t="str">
        <f>IF($E49="","",IF(AND(AD49=1,M49/L49+O49/N49+Q49/P49+S49/R49+U49/T49&gt;1),SUBSTITUTE(VLOOKUP($E49,Tabla_Tabla_Estilos,8,FALSE),"XXX",M49/L49+O49/N49+Q49/P49+S49/R49+U49/T49),VLOOKUP($E49,Tabla_Tabla_Estilos,4,FALSE)))</f>
        <v/>
      </c>
      <c r="W49" s="5303"/>
      <c r="X49" s="5303"/>
      <c r="Y49" s="5303"/>
      <c r="Z49" s="5303"/>
      <c r="AA49" s="5304"/>
      <c r="AB49" s="1546"/>
      <c r="AC49" s="29"/>
      <c r="AD49" s="2265" t="e">
        <f>VLOOKUP(E49,Tablas!$R$1020:$T$1045,3,0)</f>
        <v>#N/A</v>
      </c>
      <c r="AE49" s="3632" t="e">
        <f>IF(AD49=1,ADDRESS(ROW($AH49),COLUMN($AH49))&amp;":"&amp;ADDRESS(ROW($AO49),COLUMN($AO49)),ADDRESS(ROW($AH49),COLUMN($AH49)))</f>
        <v>#N/A</v>
      </c>
      <c r="AF49" s="3633" t="e">
        <f>IF(AD49=1,ADDRESS(ROW($AP49),COLUMN($AP49))&amp;":"&amp;ADDRESS(ROW($AV49),COLUMN($AV49)),ADDRESS(ROW($AP49),COLUMN($AP49)))</f>
        <v>#N/A</v>
      </c>
      <c r="AG49" s="3632" t="e">
        <f>IF(AD49=1,NOT(OR(AND(INT(M49/L49)=M49/L49,M49&gt;0),AND(INT(O49/N49)=O49/N49,O49&gt;0),AND(INT(Q49/P49)=Q49/P49,Q49&gt;0),AND(INT(S49/R49)=S49/R49,S49&gt;0),AND(INT(U49/T49)=U49/T49,U49&gt;0))),NOT(OR(M49=L49,O49=N49,Q49=P49,S49=R49,U49=T49)))</f>
        <v>#N/A</v>
      </c>
      <c r="AH49" s="3633" t="e">
        <f>VLOOKUP($E49,Tablas!$R$1020:$T$1045,2,0)*AH$48/2</f>
        <v>#N/A</v>
      </c>
      <c r="AI49" s="3633" t="e">
        <f>VLOOKUP($E49,Tablas!$R$1020:$T$1045,2,0)*AI$48/2</f>
        <v>#N/A</v>
      </c>
      <c r="AJ49" s="3633" t="e">
        <f>VLOOKUP($E49,Tablas!$R$1020:$T$1045,2,0)*AJ$48/2</f>
        <v>#N/A</v>
      </c>
      <c r="AK49" s="3633" t="e">
        <f>VLOOKUP($E49,Tablas!$R$1020:$T$1045,2,0)*AK$48/2</f>
        <v>#N/A</v>
      </c>
      <c r="AL49" s="3633" t="e">
        <f>VLOOKUP($E49,Tablas!$R$1020:$T$1045,2,0)*AL$48/2</f>
        <v>#N/A</v>
      </c>
      <c r="AM49" s="3633" t="e">
        <f>VLOOKUP($E49,Tablas!$R$1020:$T$1045,2,0)*AM$48/2</f>
        <v>#N/A</v>
      </c>
      <c r="AN49" s="3633" t="e">
        <f>VLOOKUP($E49,Tablas!$R$1020:$T$1045,2,0)*AN$48/2</f>
        <v>#N/A</v>
      </c>
      <c r="AO49" s="3633" t="e">
        <f>VLOOKUP($E49,Tablas!$R$1020:$T$1045,2,0)*AO$48/2</f>
        <v>#N/A</v>
      </c>
      <c r="AP49" s="3633" t="e">
        <f>VLOOKUP($E49,Tablas!$R$1020:$T$1045,2,0)*AP$48</f>
        <v>#N/A</v>
      </c>
      <c r="AQ49" s="3633" t="e">
        <f>VLOOKUP($E49,Tablas!$R$1020:$T$1045,2,0)*AQ$48</f>
        <v>#N/A</v>
      </c>
      <c r="AR49" s="3633" t="e">
        <f>VLOOKUP($E49,Tablas!$R$1020:$T$1045,2,0)*AR$48</f>
        <v>#N/A</v>
      </c>
      <c r="AS49" s="3633" t="e">
        <f>VLOOKUP($E49,Tablas!$R$1020:$T$1045,2,0)*AS$48</f>
        <v>#N/A</v>
      </c>
      <c r="AT49" s="3633" t="e">
        <f>VLOOKUP($E49,Tablas!$R$1020:$T$1045,2,0)*AT$48</f>
        <v>#N/A</v>
      </c>
      <c r="AU49" s="3633" t="e">
        <f>VLOOKUP($E49,Tablas!$R$1020:$T$1045,2,0)*AU$48</f>
        <v>#N/A</v>
      </c>
      <c r="AV49" s="3633" t="e">
        <f>VLOOKUP($E49,Tablas!$R$1020:$T$1045,2,0)*AV$48</f>
        <v>#N/A</v>
      </c>
      <c r="AW49" s="530"/>
      <c r="AX49" s="530"/>
      <c r="AY49" s="530"/>
      <c r="AZ49" s="530"/>
      <c r="BA49" s="530"/>
      <c r="BB49" s="530"/>
      <c r="BC49" s="530"/>
      <c r="BD49" s="2617"/>
      <c r="BE49" s="2617"/>
      <c r="BF49" s="2617"/>
      <c r="BG49" s="2617"/>
      <c r="BH49" s="2617"/>
      <c r="BI49" s="2617"/>
      <c r="BJ49" s="2617"/>
      <c r="BK49" s="2617"/>
      <c r="BL49" s="2617"/>
      <c r="BM49" s="2617"/>
      <c r="BN49" s="2617"/>
      <c r="BO49" s="2617"/>
      <c r="BP49" s="2617"/>
      <c r="BQ49" s="2617"/>
      <c r="BR49" s="2617"/>
      <c r="BS49" s="2617"/>
      <c r="BT49" s="2617"/>
      <c r="BU49" s="2617"/>
      <c r="BV49" s="2617"/>
      <c r="BW49" s="2617"/>
      <c r="BX49" s="2617"/>
    </row>
    <row r="50" spans="1:76" ht="12" customHeight="1">
      <c r="A50" s="9"/>
      <c r="B50" s="752"/>
      <c r="C50" s="5402"/>
      <c r="D50" s="5196"/>
      <c r="E50" s="5225"/>
      <c r="F50" s="5226"/>
      <c r="G50" s="5226"/>
      <c r="H50" s="5226"/>
      <c r="I50" s="5226"/>
      <c r="J50" s="5226"/>
      <c r="K50" s="5227"/>
      <c r="L50" s="1767" t="str">
        <f t="shared" si="14"/>
        <v/>
      </c>
      <c r="M50" s="1340"/>
      <c r="N50" s="1767" t="str">
        <f t="shared" si="15"/>
        <v/>
      </c>
      <c r="O50" s="1340"/>
      <c r="P50" s="1767" t="str">
        <f t="shared" si="16"/>
        <v/>
      </c>
      <c r="Q50" s="1340"/>
      <c r="R50" s="1767" t="str">
        <f t="shared" si="17"/>
        <v/>
      </c>
      <c r="S50" s="1340"/>
      <c r="T50" s="1767" t="str">
        <f t="shared" si="18"/>
        <v/>
      </c>
      <c r="U50" s="1340"/>
      <c r="V50" s="5327" t="str">
        <f t="shared" ref="V50:V58" si="19">IF($E50="","",IF(AND(AD50=1,M50/L50+O50/N50+Q50/P50+S50/R50+U50/T50&gt;1),SUBSTITUTE(VLOOKUP($E50,Tabla_Tabla_Estilos,8,FALSE),"XXX",M50/L50+O50/N50+Q50/P50+S50/R50+U50/T50),VLOOKUP($E50,Tabla_Tabla_Estilos,4,FALSE)))</f>
        <v/>
      </c>
      <c r="W50" s="5328"/>
      <c r="X50" s="5328"/>
      <c r="Y50" s="5328"/>
      <c r="Z50" s="5328"/>
      <c r="AA50" s="5329"/>
      <c r="AB50" s="1546"/>
      <c r="AC50" s="29"/>
      <c r="AD50" s="2265" t="e">
        <f>VLOOKUP(E50,Tablas!$R$1020:$T$1045,3,0)</f>
        <v>#N/A</v>
      </c>
      <c r="AE50" s="3632" t="e">
        <f t="shared" ref="AE50:AE58" si="20">IF(AD50=1,ADDRESS(ROW($AH50),COLUMN($AH50))&amp;":"&amp;ADDRESS(ROW($AO50),COLUMN($AO50)),ADDRESS(ROW($AH50),COLUMN($AH50)))</f>
        <v>#N/A</v>
      </c>
      <c r="AF50" s="3633" t="e">
        <f t="shared" ref="AF50:AF58" si="21">IF(AD50=1,ADDRESS(ROW($AP50),COLUMN($AP50))&amp;":"&amp;ADDRESS(ROW($AV50),COLUMN($AV50)),ADDRESS(ROW($AP50),COLUMN($AP50)))</f>
        <v>#N/A</v>
      </c>
      <c r="AG50" s="3632" t="e">
        <f t="shared" ref="AG50:AG58" si="22">IF(AD50=1,NOT(OR(AND(INT(M50/L50)=M50/L50,M50&gt;0),AND(INT(O50/N50)=O50/N50,O50&gt;0),AND(INT(Q50/P50)=Q50/P50,Q50&gt;0),AND(INT(S50/R50)=S50/R50,S50&gt;0),AND(INT(U50/T50)=U50/T50,U50&gt;0))),NOT(OR(M50=L50,O50=N50,Q50=P50,S50=R50,U50=T50)))</f>
        <v>#N/A</v>
      </c>
      <c r="AH50" s="3633" t="e">
        <f>VLOOKUP($E50,Tablas!$R$1020:$T$1045,2,0)*AH$48/2</f>
        <v>#N/A</v>
      </c>
      <c r="AI50" s="3633" t="e">
        <f>VLOOKUP($E50,Tablas!$R$1020:$T$1045,2,0)*AI$48/2</f>
        <v>#N/A</v>
      </c>
      <c r="AJ50" s="3633" t="e">
        <f>VLOOKUP($E50,Tablas!$R$1020:$T$1045,2,0)*AJ$48/2</f>
        <v>#N/A</v>
      </c>
      <c r="AK50" s="3633" t="e">
        <f>VLOOKUP($E50,Tablas!$R$1020:$T$1045,2,0)*AK$48/2</f>
        <v>#N/A</v>
      </c>
      <c r="AL50" s="3633" t="e">
        <f>VLOOKUP($E50,Tablas!$R$1020:$T$1045,2,0)*AL$48/2</f>
        <v>#N/A</v>
      </c>
      <c r="AM50" s="3633" t="e">
        <f>VLOOKUP($E50,Tablas!$R$1020:$T$1045,2,0)*AM$48/2</f>
        <v>#N/A</v>
      </c>
      <c r="AN50" s="3633" t="e">
        <f>VLOOKUP($E50,Tablas!$R$1020:$T$1045,2,0)*AN$48/2</f>
        <v>#N/A</v>
      </c>
      <c r="AO50" s="3633" t="e">
        <f>VLOOKUP($E50,Tablas!$R$1020:$T$1045,2,0)*AO$48/2</f>
        <v>#N/A</v>
      </c>
      <c r="AP50" s="3633" t="e">
        <f>VLOOKUP($E50,Tablas!$R$1020:$T$1045,2,0)*AP$48</f>
        <v>#N/A</v>
      </c>
      <c r="AQ50" s="3633" t="e">
        <f>VLOOKUP($E50,Tablas!$R$1020:$T$1045,2,0)*AQ$48</f>
        <v>#N/A</v>
      </c>
      <c r="AR50" s="3633" t="e">
        <f>VLOOKUP($E50,Tablas!$R$1020:$T$1045,2,0)*AR$48</f>
        <v>#N/A</v>
      </c>
      <c r="AS50" s="3633" t="e">
        <f>VLOOKUP($E50,Tablas!$R$1020:$T$1045,2,0)*AS$48</f>
        <v>#N/A</v>
      </c>
      <c r="AT50" s="3633" t="e">
        <f>VLOOKUP($E50,Tablas!$R$1020:$T$1045,2,0)*AT$48</f>
        <v>#N/A</v>
      </c>
      <c r="AU50" s="3633" t="e">
        <f>VLOOKUP($E50,Tablas!$R$1020:$T$1045,2,0)*AU$48</f>
        <v>#N/A</v>
      </c>
      <c r="AV50" s="3633" t="e">
        <f>VLOOKUP($E50,Tablas!$R$1020:$T$1045,2,0)*AV$48</f>
        <v>#N/A</v>
      </c>
      <c r="AW50" s="530"/>
      <c r="AX50" s="530"/>
      <c r="AY50" s="530"/>
      <c r="AZ50" s="530"/>
      <c r="BA50" s="530"/>
      <c r="BB50" s="530"/>
      <c r="BC50" s="530"/>
      <c r="BD50" s="2617"/>
      <c r="BE50" s="2617"/>
      <c r="BF50" s="2617"/>
      <c r="BG50" s="2617"/>
      <c r="BH50" s="2617"/>
      <c r="BI50" s="2617"/>
      <c r="BJ50" s="2617"/>
      <c r="BK50" s="2617"/>
      <c r="BL50" s="2617"/>
      <c r="BM50" s="2617"/>
      <c r="BN50" s="2617"/>
      <c r="BO50" s="2617"/>
      <c r="BP50" s="2617"/>
      <c r="BQ50" s="2617"/>
      <c r="BR50" s="2617"/>
      <c r="BS50" s="2617"/>
      <c r="BT50" s="2617"/>
      <c r="BU50" s="2617"/>
      <c r="BV50" s="2617"/>
      <c r="BW50" s="2617"/>
      <c r="BX50" s="2617"/>
    </row>
    <row r="51" spans="1:76" ht="12" customHeight="1">
      <c r="A51" s="9"/>
      <c r="B51" s="752"/>
      <c r="C51" s="5402"/>
      <c r="D51" s="5196"/>
      <c r="E51" s="4978"/>
      <c r="F51" s="4979"/>
      <c r="G51" s="4979"/>
      <c r="H51" s="4979"/>
      <c r="I51" s="4979"/>
      <c r="J51" s="4979"/>
      <c r="K51" s="5228"/>
      <c r="L51" s="1772" t="str">
        <f t="shared" si="14"/>
        <v/>
      </c>
      <c r="M51" s="1352"/>
      <c r="N51" s="1772" t="str">
        <f t="shared" si="15"/>
        <v/>
      </c>
      <c r="O51" s="1352"/>
      <c r="P51" s="1772" t="str">
        <f t="shared" si="16"/>
        <v/>
      </c>
      <c r="Q51" s="1352"/>
      <c r="R51" s="1772" t="str">
        <f t="shared" si="17"/>
        <v/>
      </c>
      <c r="S51" s="1352"/>
      <c r="T51" s="1772" t="str">
        <f t="shared" si="18"/>
        <v/>
      </c>
      <c r="U51" s="1352"/>
      <c r="V51" s="5330" t="str">
        <f t="shared" si="19"/>
        <v/>
      </c>
      <c r="W51" s="5331"/>
      <c r="X51" s="5331"/>
      <c r="Y51" s="5331"/>
      <c r="Z51" s="5331"/>
      <c r="AA51" s="5332"/>
      <c r="AB51" s="1546"/>
      <c r="AC51" s="29"/>
      <c r="AD51" s="2265" t="e">
        <f>VLOOKUP(E51,Tablas!$R$1020:$T$1045,3,0)</f>
        <v>#N/A</v>
      </c>
      <c r="AE51" s="3632" t="e">
        <f t="shared" si="20"/>
        <v>#N/A</v>
      </c>
      <c r="AF51" s="3633" t="e">
        <f t="shared" si="21"/>
        <v>#N/A</v>
      </c>
      <c r="AG51" s="3632" t="e">
        <f t="shared" si="22"/>
        <v>#N/A</v>
      </c>
      <c r="AH51" s="3633" t="e">
        <f>VLOOKUP($E51,Tablas!$R$1020:$T$1045,2,0)*AH$48/2</f>
        <v>#N/A</v>
      </c>
      <c r="AI51" s="3633" t="e">
        <f>VLOOKUP($E51,Tablas!$R$1020:$T$1045,2,0)*AI$48/2</f>
        <v>#N/A</v>
      </c>
      <c r="AJ51" s="3633" t="e">
        <f>VLOOKUP($E51,Tablas!$R$1020:$T$1045,2,0)*AJ$48/2</f>
        <v>#N/A</v>
      </c>
      <c r="AK51" s="3633" t="e">
        <f>VLOOKUP($E51,Tablas!$R$1020:$T$1045,2,0)*AK$48/2</f>
        <v>#N/A</v>
      </c>
      <c r="AL51" s="3633" t="e">
        <f>VLOOKUP($E51,Tablas!$R$1020:$T$1045,2,0)*AL$48/2</f>
        <v>#N/A</v>
      </c>
      <c r="AM51" s="3633" t="e">
        <f>VLOOKUP($E51,Tablas!$R$1020:$T$1045,2,0)*AM$48/2</f>
        <v>#N/A</v>
      </c>
      <c r="AN51" s="3633" t="e">
        <f>VLOOKUP($E51,Tablas!$R$1020:$T$1045,2,0)*AN$48/2</f>
        <v>#N/A</v>
      </c>
      <c r="AO51" s="3633" t="e">
        <f>VLOOKUP($E51,Tablas!$R$1020:$T$1045,2,0)*AO$48/2</f>
        <v>#N/A</v>
      </c>
      <c r="AP51" s="3633" t="e">
        <f>VLOOKUP($E51,Tablas!$R$1020:$T$1045,2,0)*AP$48</f>
        <v>#N/A</v>
      </c>
      <c r="AQ51" s="3633" t="e">
        <f>VLOOKUP($E51,Tablas!$R$1020:$T$1045,2,0)*AQ$48</f>
        <v>#N/A</v>
      </c>
      <c r="AR51" s="3633" t="e">
        <f>VLOOKUP($E51,Tablas!$R$1020:$T$1045,2,0)*AR$48</f>
        <v>#N/A</v>
      </c>
      <c r="AS51" s="3633" t="e">
        <f>VLOOKUP($E51,Tablas!$R$1020:$T$1045,2,0)*AS$48</f>
        <v>#N/A</v>
      </c>
      <c r="AT51" s="3633" t="e">
        <f>VLOOKUP($E51,Tablas!$R$1020:$T$1045,2,0)*AT$48</f>
        <v>#N/A</v>
      </c>
      <c r="AU51" s="3633" t="e">
        <f>VLOOKUP($E51,Tablas!$R$1020:$T$1045,2,0)*AU$48</f>
        <v>#N/A</v>
      </c>
      <c r="AV51" s="3633" t="e">
        <f>VLOOKUP($E51,Tablas!$R$1020:$T$1045,2,0)*AV$48</f>
        <v>#N/A</v>
      </c>
      <c r="AW51" s="530"/>
      <c r="AX51" s="530"/>
      <c r="AY51" s="530"/>
      <c r="AZ51" s="530"/>
      <c r="BA51" s="530"/>
      <c r="BB51" s="530"/>
      <c r="BC51" s="530"/>
      <c r="BD51" s="2617"/>
      <c r="BE51" s="2617"/>
      <c r="BF51" s="2617"/>
      <c r="BG51" s="2617"/>
      <c r="BH51" s="2617"/>
      <c r="BI51" s="2617"/>
      <c r="BJ51" s="2617"/>
      <c r="BK51" s="2617"/>
      <c r="BL51" s="2617"/>
      <c r="BM51" s="2617"/>
      <c r="BN51" s="2617"/>
      <c r="BO51" s="2617"/>
      <c r="BP51" s="2617"/>
      <c r="BQ51" s="2617"/>
      <c r="BR51" s="2617"/>
      <c r="BS51" s="2617"/>
      <c r="BT51" s="2617"/>
      <c r="BU51" s="2617"/>
      <c r="BV51" s="2617"/>
      <c r="BW51" s="2617"/>
      <c r="BX51" s="2617"/>
    </row>
    <row r="52" spans="1:76" ht="12" customHeight="1">
      <c r="A52" s="9"/>
      <c r="B52" s="752"/>
      <c r="C52" s="5402"/>
      <c r="D52" s="5196"/>
      <c r="E52" s="5225"/>
      <c r="F52" s="5226"/>
      <c r="G52" s="5226"/>
      <c r="H52" s="5226"/>
      <c r="I52" s="5226"/>
      <c r="J52" s="5226"/>
      <c r="K52" s="5227"/>
      <c r="L52" s="1767" t="str">
        <f t="shared" si="14"/>
        <v/>
      </c>
      <c r="M52" s="1340"/>
      <c r="N52" s="1767" t="str">
        <f t="shared" si="15"/>
        <v/>
      </c>
      <c r="O52" s="1340"/>
      <c r="P52" s="1767" t="str">
        <f t="shared" si="16"/>
        <v/>
      </c>
      <c r="Q52" s="1340"/>
      <c r="R52" s="1767" t="str">
        <f t="shared" si="17"/>
        <v/>
      </c>
      <c r="S52" s="1340"/>
      <c r="T52" s="1767" t="str">
        <f t="shared" si="18"/>
        <v/>
      </c>
      <c r="U52" s="1340"/>
      <c r="V52" s="5327" t="str">
        <f t="shared" si="19"/>
        <v/>
      </c>
      <c r="W52" s="5328"/>
      <c r="X52" s="5328"/>
      <c r="Y52" s="5328"/>
      <c r="Z52" s="5328"/>
      <c r="AA52" s="5329"/>
      <c r="AB52" s="1546"/>
      <c r="AC52" s="29"/>
      <c r="AD52" s="2265" t="e">
        <f>VLOOKUP(E52,Tablas!$R$1020:$T$1045,3,0)</f>
        <v>#N/A</v>
      </c>
      <c r="AE52" s="3632" t="e">
        <f t="shared" si="20"/>
        <v>#N/A</v>
      </c>
      <c r="AF52" s="3633" t="e">
        <f t="shared" si="21"/>
        <v>#N/A</v>
      </c>
      <c r="AG52" s="3632" t="e">
        <f t="shared" si="22"/>
        <v>#N/A</v>
      </c>
      <c r="AH52" s="3633" t="e">
        <f>VLOOKUP($E52,Tablas!$R$1020:$T$1045,2,0)*AH$48/2</f>
        <v>#N/A</v>
      </c>
      <c r="AI52" s="3633" t="e">
        <f>VLOOKUP($E52,Tablas!$R$1020:$T$1045,2,0)*AI$48/2</f>
        <v>#N/A</v>
      </c>
      <c r="AJ52" s="3633" t="e">
        <f>VLOOKUP($E52,Tablas!$R$1020:$T$1045,2,0)*AJ$48/2</f>
        <v>#N/A</v>
      </c>
      <c r="AK52" s="3633" t="e">
        <f>VLOOKUP($E52,Tablas!$R$1020:$T$1045,2,0)*AK$48/2</f>
        <v>#N/A</v>
      </c>
      <c r="AL52" s="3633" t="e">
        <f>VLOOKUP($E52,Tablas!$R$1020:$T$1045,2,0)*AL$48/2</f>
        <v>#N/A</v>
      </c>
      <c r="AM52" s="3633" t="e">
        <f>VLOOKUP($E52,Tablas!$R$1020:$T$1045,2,0)*AM$48/2</f>
        <v>#N/A</v>
      </c>
      <c r="AN52" s="3633" t="e">
        <f>VLOOKUP($E52,Tablas!$R$1020:$T$1045,2,0)*AN$48/2</f>
        <v>#N/A</v>
      </c>
      <c r="AO52" s="3633" t="e">
        <f>VLOOKUP($E52,Tablas!$R$1020:$T$1045,2,0)*AO$48/2</f>
        <v>#N/A</v>
      </c>
      <c r="AP52" s="3633" t="e">
        <f>VLOOKUP($E52,Tablas!$R$1020:$T$1045,2,0)*AP$48</f>
        <v>#N/A</v>
      </c>
      <c r="AQ52" s="3633" t="e">
        <f>VLOOKUP($E52,Tablas!$R$1020:$T$1045,2,0)*AQ$48</f>
        <v>#N/A</v>
      </c>
      <c r="AR52" s="3633" t="e">
        <f>VLOOKUP($E52,Tablas!$R$1020:$T$1045,2,0)*AR$48</f>
        <v>#N/A</v>
      </c>
      <c r="AS52" s="3633" t="e">
        <f>VLOOKUP($E52,Tablas!$R$1020:$T$1045,2,0)*AS$48</f>
        <v>#N/A</v>
      </c>
      <c r="AT52" s="3633" t="e">
        <f>VLOOKUP($E52,Tablas!$R$1020:$T$1045,2,0)*AT$48</f>
        <v>#N/A</v>
      </c>
      <c r="AU52" s="3633" t="e">
        <f>VLOOKUP($E52,Tablas!$R$1020:$T$1045,2,0)*AU$48</f>
        <v>#N/A</v>
      </c>
      <c r="AV52" s="3633" t="e">
        <f>VLOOKUP($E52,Tablas!$R$1020:$T$1045,2,0)*AV$48</f>
        <v>#N/A</v>
      </c>
      <c r="AW52" s="530"/>
      <c r="AX52" s="530"/>
      <c r="AY52" s="530"/>
      <c r="AZ52" s="530"/>
      <c r="BA52" s="530"/>
      <c r="BB52" s="530"/>
      <c r="BC52" s="530"/>
      <c r="BD52" s="2617"/>
      <c r="BE52" s="2617"/>
      <c r="BF52" s="2617"/>
      <c r="BG52" s="2617"/>
      <c r="BH52" s="2617"/>
      <c r="BI52" s="2617"/>
      <c r="BJ52" s="2617"/>
      <c r="BK52" s="2617"/>
      <c r="BL52" s="2617"/>
      <c r="BM52" s="2617"/>
      <c r="BN52" s="2617"/>
      <c r="BO52" s="2617"/>
      <c r="BP52" s="2617"/>
      <c r="BQ52" s="2617"/>
      <c r="BR52" s="2617"/>
      <c r="BS52" s="2617"/>
      <c r="BT52" s="2617"/>
      <c r="BU52" s="2617"/>
      <c r="BV52" s="2617"/>
      <c r="BW52" s="2617"/>
      <c r="BX52" s="2617"/>
    </row>
    <row r="53" spans="1:76" ht="12" customHeight="1">
      <c r="A53" s="9"/>
      <c r="B53" s="752"/>
      <c r="C53" s="5402"/>
      <c r="D53" s="5196"/>
      <c r="E53" s="4978"/>
      <c r="F53" s="4979"/>
      <c r="G53" s="4979"/>
      <c r="H53" s="4979"/>
      <c r="I53" s="4979"/>
      <c r="J53" s="4979"/>
      <c r="K53" s="5228"/>
      <c r="L53" s="1772" t="str">
        <f t="shared" si="14"/>
        <v/>
      </c>
      <c r="M53" s="1352"/>
      <c r="N53" s="1772" t="str">
        <f t="shared" si="15"/>
        <v/>
      </c>
      <c r="O53" s="1352"/>
      <c r="P53" s="1772" t="str">
        <f t="shared" si="16"/>
        <v/>
      </c>
      <c r="Q53" s="1352"/>
      <c r="R53" s="1772" t="str">
        <f t="shared" si="17"/>
        <v/>
      </c>
      <c r="S53" s="1352"/>
      <c r="T53" s="1772" t="str">
        <f t="shared" si="18"/>
        <v/>
      </c>
      <c r="U53" s="1352"/>
      <c r="V53" s="5330" t="str">
        <f t="shared" si="19"/>
        <v/>
      </c>
      <c r="W53" s="5331"/>
      <c r="X53" s="5331"/>
      <c r="Y53" s="5331"/>
      <c r="Z53" s="5331"/>
      <c r="AA53" s="5332"/>
      <c r="AB53" s="1546"/>
      <c r="AC53" s="29"/>
      <c r="AD53" s="2265" t="e">
        <f>VLOOKUP(E53,Tablas!$R$1020:$T$1045,3,0)</f>
        <v>#N/A</v>
      </c>
      <c r="AE53" s="3632" t="e">
        <f t="shared" si="20"/>
        <v>#N/A</v>
      </c>
      <c r="AF53" s="3633" t="e">
        <f t="shared" si="21"/>
        <v>#N/A</v>
      </c>
      <c r="AG53" s="3632" t="e">
        <f t="shared" si="22"/>
        <v>#N/A</v>
      </c>
      <c r="AH53" s="3633" t="e">
        <f>VLOOKUP($E53,Tablas!$R$1020:$T$1045,2,0)*AH$48/2</f>
        <v>#N/A</v>
      </c>
      <c r="AI53" s="3633" t="e">
        <f>VLOOKUP($E53,Tablas!$R$1020:$T$1045,2,0)*AI$48/2</f>
        <v>#N/A</v>
      </c>
      <c r="AJ53" s="3633" t="e">
        <f>VLOOKUP($E53,Tablas!$R$1020:$T$1045,2,0)*AJ$48/2</f>
        <v>#N/A</v>
      </c>
      <c r="AK53" s="3633" t="e">
        <f>VLOOKUP($E53,Tablas!$R$1020:$T$1045,2,0)*AK$48/2</f>
        <v>#N/A</v>
      </c>
      <c r="AL53" s="3633" t="e">
        <f>VLOOKUP($E53,Tablas!$R$1020:$T$1045,2,0)*AL$48/2</f>
        <v>#N/A</v>
      </c>
      <c r="AM53" s="3633" t="e">
        <f>VLOOKUP($E53,Tablas!$R$1020:$T$1045,2,0)*AM$48/2</f>
        <v>#N/A</v>
      </c>
      <c r="AN53" s="3633" t="e">
        <f>VLOOKUP($E53,Tablas!$R$1020:$T$1045,2,0)*AN$48/2</f>
        <v>#N/A</v>
      </c>
      <c r="AO53" s="3633" t="e">
        <f>VLOOKUP($E53,Tablas!$R$1020:$T$1045,2,0)*AO$48/2</f>
        <v>#N/A</v>
      </c>
      <c r="AP53" s="3633" t="e">
        <f>VLOOKUP($E53,Tablas!$R$1020:$T$1045,2,0)*AP$48</f>
        <v>#N/A</v>
      </c>
      <c r="AQ53" s="3633" t="e">
        <f>VLOOKUP($E53,Tablas!$R$1020:$T$1045,2,0)*AQ$48</f>
        <v>#N/A</v>
      </c>
      <c r="AR53" s="3633" t="e">
        <f>VLOOKUP($E53,Tablas!$R$1020:$T$1045,2,0)*AR$48</f>
        <v>#N/A</v>
      </c>
      <c r="AS53" s="3633" t="e">
        <f>VLOOKUP($E53,Tablas!$R$1020:$T$1045,2,0)*AS$48</f>
        <v>#N/A</v>
      </c>
      <c r="AT53" s="3633" t="e">
        <f>VLOOKUP($E53,Tablas!$R$1020:$T$1045,2,0)*AT$48</f>
        <v>#N/A</v>
      </c>
      <c r="AU53" s="3633" t="e">
        <f>VLOOKUP($E53,Tablas!$R$1020:$T$1045,2,0)*AU$48</f>
        <v>#N/A</v>
      </c>
      <c r="AV53" s="3633" t="e">
        <f>VLOOKUP($E53,Tablas!$R$1020:$T$1045,2,0)*AV$48</f>
        <v>#N/A</v>
      </c>
      <c r="AW53" s="530"/>
      <c r="AX53" s="530"/>
      <c r="AY53" s="530"/>
      <c r="AZ53" s="530"/>
      <c r="BA53" s="530"/>
      <c r="BB53" s="530"/>
      <c r="BC53" s="530"/>
      <c r="BD53" s="2617"/>
      <c r="BE53" s="2617"/>
      <c r="BF53" s="2617"/>
      <c r="BG53" s="2617"/>
      <c r="BH53" s="2617"/>
      <c r="BI53" s="2617"/>
      <c r="BJ53" s="2617"/>
      <c r="BK53" s="2617"/>
      <c r="BL53" s="2617"/>
      <c r="BM53" s="2617"/>
      <c r="BN53" s="2617"/>
      <c r="BO53" s="2617"/>
      <c r="BP53" s="2617"/>
      <c r="BQ53" s="2617"/>
      <c r="BR53" s="2617"/>
      <c r="BS53" s="2617"/>
      <c r="BT53" s="2617"/>
      <c r="BU53" s="2617"/>
      <c r="BV53" s="2617"/>
      <c r="BW53" s="2617"/>
      <c r="BX53" s="2617"/>
    </row>
    <row r="54" spans="1:76" ht="12" customHeight="1">
      <c r="A54" s="9"/>
      <c r="B54" s="752"/>
      <c r="C54" s="5402"/>
      <c r="D54" s="5196"/>
      <c r="E54" s="5225"/>
      <c r="F54" s="5226"/>
      <c r="G54" s="5226"/>
      <c r="H54" s="5226"/>
      <c r="I54" s="5226"/>
      <c r="J54" s="5226"/>
      <c r="K54" s="5227"/>
      <c r="L54" s="1767" t="str">
        <f t="shared" si="14"/>
        <v/>
      </c>
      <c r="M54" s="1340"/>
      <c r="N54" s="1767" t="str">
        <f t="shared" si="15"/>
        <v/>
      </c>
      <c r="O54" s="1340"/>
      <c r="P54" s="1767" t="str">
        <f t="shared" si="16"/>
        <v/>
      </c>
      <c r="Q54" s="1340"/>
      <c r="R54" s="1767" t="str">
        <f t="shared" si="17"/>
        <v/>
      </c>
      <c r="S54" s="1340"/>
      <c r="T54" s="1767" t="str">
        <f t="shared" si="18"/>
        <v/>
      </c>
      <c r="U54" s="1340"/>
      <c r="V54" s="5327" t="str">
        <f t="shared" si="19"/>
        <v/>
      </c>
      <c r="W54" s="5328"/>
      <c r="X54" s="5328"/>
      <c r="Y54" s="5328"/>
      <c r="Z54" s="5328"/>
      <c r="AA54" s="5329"/>
      <c r="AB54" s="1546"/>
      <c r="AC54" s="29"/>
      <c r="AD54" s="2265" t="e">
        <f>VLOOKUP(E54,Tablas!$R$1020:$T$1045,3,0)</f>
        <v>#N/A</v>
      </c>
      <c r="AE54" s="3632" t="e">
        <f t="shared" si="20"/>
        <v>#N/A</v>
      </c>
      <c r="AF54" s="3633" t="e">
        <f t="shared" si="21"/>
        <v>#N/A</v>
      </c>
      <c r="AG54" s="3632" t="e">
        <f t="shared" si="22"/>
        <v>#N/A</v>
      </c>
      <c r="AH54" s="3633" t="e">
        <f>VLOOKUP($E54,Tablas!$R$1020:$T$1045,2,0)*AH$48/2</f>
        <v>#N/A</v>
      </c>
      <c r="AI54" s="3633" t="e">
        <f>VLOOKUP($E54,Tablas!$R$1020:$T$1045,2,0)*AI$48/2</f>
        <v>#N/A</v>
      </c>
      <c r="AJ54" s="3633" t="e">
        <f>VLOOKUP($E54,Tablas!$R$1020:$T$1045,2,0)*AJ$48/2</f>
        <v>#N/A</v>
      </c>
      <c r="AK54" s="3633" t="e">
        <f>VLOOKUP($E54,Tablas!$R$1020:$T$1045,2,0)*AK$48/2</f>
        <v>#N/A</v>
      </c>
      <c r="AL54" s="3633" t="e">
        <f>VLOOKUP($E54,Tablas!$R$1020:$T$1045,2,0)*AL$48/2</f>
        <v>#N/A</v>
      </c>
      <c r="AM54" s="3633" t="e">
        <f>VLOOKUP($E54,Tablas!$R$1020:$T$1045,2,0)*AM$48/2</f>
        <v>#N/A</v>
      </c>
      <c r="AN54" s="3633" t="e">
        <f>VLOOKUP($E54,Tablas!$R$1020:$T$1045,2,0)*AN$48/2</f>
        <v>#N/A</v>
      </c>
      <c r="AO54" s="3633" t="e">
        <f>VLOOKUP($E54,Tablas!$R$1020:$T$1045,2,0)*AO$48/2</f>
        <v>#N/A</v>
      </c>
      <c r="AP54" s="3633" t="e">
        <f>VLOOKUP($E54,Tablas!$R$1020:$T$1045,2,0)*AP$48</f>
        <v>#N/A</v>
      </c>
      <c r="AQ54" s="3633" t="e">
        <f>VLOOKUP($E54,Tablas!$R$1020:$T$1045,2,0)*AQ$48</f>
        <v>#N/A</v>
      </c>
      <c r="AR54" s="3633" t="e">
        <f>VLOOKUP($E54,Tablas!$R$1020:$T$1045,2,0)*AR$48</f>
        <v>#N/A</v>
      </c>
      <c r="AS54" s="3633" t="e">
        <f>VLOOKUP($E54,Tablas!$R$1020:$T$1045,2,0)*AS$48</f>
        <v>#N/A</v>
      </c>
      <c r="AT54" s="3633" t="e">
        <f>VLOOKUP($E54,Tablas!$R$1020:$T$1045,2,0)*AT$48</f>
        <v>#N/A</v>
      </c>
      <c r="AU54" s="3633" t="e">
        <f>VLOOKUP($E54,Tablas!$R$1020:$T$1045,2,0)*AU$48</f>
        <v>#N/A</v>
      </c>
      <c r="AV54" s="3633" t="e">
        <f>VLOOKUP($E54,Tablas!$R$1020:$T$1045,2,0)*AV$48</f>
        <v>#N/A</v>
      </c>
      <c r="AW54" s="530"/>
      <c r="AX54" s="530"/>
      <c r="AY54" s="530"/>
      <c r="AZ54" s="530"/>
      <c r="BA54" s="530"/>
      <c r="BB54" s="530"/>
      <c r="BC54" s="530"/>
      <c r="BD54" s="2617"/>
      <c r="BE54" s="2617"/>
      <c r="BF54" s="2617"/>
      <c r="BG54" s="2617"/>
      <c r="BH54" s="2617"/>
      <c r="BI54" s="2617"/>
      <c r="BJ54" s="2617"/>
      <c r="BK54" s="2617"/>
      <c r="BL54" s="2617"/>
      <c r="BM54" s="2617"/>
      <c r="BN54" s="2617"/>
      <c r="BO54" s="2617"/>
      <c r="BP54" s="2617"/>
      <c r="BQ54" s="2617"/>
      <c r="BR54" s="2617"/>
      <c r="BS54" s="2617"/>
      <c r="BT54" s="2617"/>
      <c r="BU54" s="2617"/>
      <c r="BV54" s="2617"/>
      <c r="BW54" s="2617"/>
      <c r="BX54" s="2617"/>
    </row>
    <row r="55" spans="1:76" ht="12" customHeight="1">
      <c r="A55" s="9"/>
      <c r="B55" s="752"/>
      <c r="C55" s="5402"/>
      <c r="D55" s="5196"/>
      <c r="E55" s="4978"/>
      <c r="F55" s="4979"/>
      <c r="G55" s="4979"/>
      <c r="H55" s="4979"/>
      <c r="I55" s="4979"/>
      <c r="J55" s="4979"/>
      <c r="K55" s="5228"/>
      <c r="L55" s="1772" t="str">
        <f t="shared" si="14"/>
        <v/>
      </c>
      <c r="M55" s="1356"/>
      <c r="N55" s="1772" t="str">
        <f t="shared" si="15"/>
        <v/>
      </c>
      <c r="O55" s="1356"/>
      <c r="P55" s="1772" t="str">
        <f t="shared" si="16"/>
        <v/>
      </c>
      <c r="Q55" s="1356"/>
      <c r="R55" s="1772" t="str">
        <f t="shared" si="17"/>
        <v/>
      </c>
      <c r="S55" s="1356"/>
      <c r="T55" s="1772" t="str">
        <f t="shared" si="18"/>
        <v/>
      </c>
      <c r="U55" s="1356"/>
      <c r="V55" s="5330" t="str">
        <f t="shared" si="19"/>
        <v/>
      </c>
      <c r="W55" s="5331"/>
      <c r="X55" s="5331"/>
      <c r="Y55" s="5331"/>
      <c r="Z55" s="5331"/>
      <c r="AA55" s="5332"/>
      <c r="AB55" s="1546"/>
      <c r="AC55" s="29"/>
      <c r="AD55" s="2265" t="e">
        <f>VLOOKUP(E55,Tablas!$R$1020:$T$1045,3,0)</f>
        <v>#N/A</v>
      </c>
      <c r="AE55" s="3632" t="e">
        <f t="shared" si="20"/>
        <v>#N/A</v>
      </c>
      <c r="AF55" s="3633" t="e">
        <f t="shared" si="21"/>
        <v>#N/A</v>
      </c>
      <c r="AG55" s="3632" t="e">
        <f t="shared" si="22"/>
        <v>#N/A</v>
      </c>
      <c r="AH55" s="3633" t="e">
        <f>VLOOKUP($E55,Tablas!$R$1020:$T$1045,2,0)*AH$48/2</f>
        <v>#N/A</v>
      </c>
      <c r="AI55" s="3633" t="e">
        <f>VLOOKUP($E55,Tablas!$R$1020:$T$1045,2,0)*AI$48/2</f>
        <v>#N/A</v>
      </c>
      <c r="AJ55" s="3633" t="e">
        <f>VLOOKUP($E55,Tablas!$R$1020:$T$1045,2,0)*AJ$48/2</f>
        <v>#N/A</v>
      </c>
      <c r="AK55" s="3633" t="e">
        <f>VLOOKUP($E55,Tablas!$R$1020:$T$1045,2,0)*AK$48/2</f>
        <v>#N/A</v>
      </c>
      <c r="AL55" s="3633" t="e">
        <f>VLOOKUP($E55,Tablas!$R$1020:$T$1045,2,0)*AL$48/2</f>
        <v>#N/A</v>
      </c>
      <c r="AM55" s="3633" t="e">
        <f>VLOOKUP($E55,Tablas!$R$1020:$T$1045,2,0)*AM$48/2</f>
        <v>#N/A</v>
      </c>
      <c r="AN55" s="3633" t="e">
        <f>VLOOKUP($E55,Tablas!$R$1020:$T$1045,2,0)*AN$48/2</f>
        <v>#N/A</v>
      </c>
      <c r="AO55" s="3633" t="e">
        <f>VLOOKUP($E55,Tablas!$R$1020:$T$1045,2,0)*AO$48/2</f>
        <v>#N/A</v>
      </c>
      <c r="AP55" s="3633" t="e">
        <f>VLOOKUP($E55,Tablas!$R$1020:$T$1045,2,0)*AP$48</f>
        <v>#N/A</v>
      </c>
      <c r="AQ55" s="3633" t="e">
        <f>VLOOKUP($E55,Tablas!$R$1020:$T$1045,2,0)*AQ$48</f>
        <v>#N/A</v>
      </c>
      <c r="AR55" s="3633" t="e">
        <f>VLOOKUP($E55,Tablas!$R$1020:$T$1045,2,0)*AR$48</f>
        <v>#N/A</v>
      </c>
      <c r="AS55" s="3633" t="e">
        <f>VLOOKUP($E55,Tablas!$R$1020:$T$1045,2,0)*AS$48</f>
        <v>#N/A</v>
      </c>
      <c r="AT55" s="3633" t="e">
        <f>VLOOKUP($E55,Tablas!$R$1020:$T$1045,2,0)*AT$48</f>
        <v>#N/A</v>
      </c>
      <c r="AU55" s="3633" t="e">
        <f>VLOOKUP($E55,Tablas!$R$1020:$T$1045,2,0)*AU$48</f>
        <v>#N/A</v>
      </c>
      <c r="AV55" s="3633" t="e">
        <f>VLOOKUP($E55,Tablas!$R$1020:$T$1045,2,0)*AV$48</f>
        <v>#N/A</v>
      </c>
      <c r="AW55" s="530"/>
      <c r="AX55" s="530"/>
      <c r="AY55" s="530"/>
      <c r="AZ55" s="530"/>
      <c r="BA55" s="530"/>
      <c r="BB55" s="530"/>
      <c r="BC55" s="530"/>
      <c r="BD55" s="2617"/>
      <c r="BE55" s="2617"/>
      <c r="BF55" s="2617"/>
      <c r="BG55" s="2617"/>
      <c r="BH55" s="2617"/>
      <c r="BI55" s="2617"/>
      <c r="BJ55" s="2617"/>
      <c r="BK55" s="2617"/>
      <c r="BL55" s="2617"/>
      <c r="BM55" s="2617"/>
      <c r="BN55" s="2617"/>
      <c r="BO55" s="2617"/>
      <c r="BP55" s="2617"/>
      <c r="BQ55" s="2617"/>
      <c r="BR55" s="2617"/>
      <c r="BS55" s="2617"/>
      <c r="BT55" s="2617"/>
      <c r="BU55" s="2617"/>
      <c r="BV55" s="2617"/>
      <c r="BW55" s="2617"/>
      <c r="BX55" s="2617"/>
    </row>
    <row r="56" spans="1:76" ht="12" customHeight="1">
      <c r="A56" s="9"/>
      <c r="B56" s="752"/>
      <c r="C56" s="5402"/>
      <c r="D56" s="5196"/>
      <c r="E56" s="5225"/>
      <c r="F56" s="5226"/>
      <c r="G56" s="5226"/>
      <c r="H56" s="5226"/>
      <c r="I56" s="5226"/>
      <c r="J56" s="5226"/>
      <c r="K56" s="5227"/>
      <c r="L56" s="1767" t="str">
        <f t="shared" si="14"/>
        <v/>
      </c>
      <c r="M56" s="1344"/>
      <c r="N56" s="1767" t="str">
        <f t="shared" si="15"/>
        <v/>
      </c>
      <c r="O56" s="1344"/>
      <c r="P56" s="1767" t="str">
        <f t="shared" si="16"/>
        <v/>
      </c>
      <c r="Q56" s="1344"/>
      <c r="R56" s="1767" t="str">
        <f t="shared" si="17"/>
        <v/>
      </c>
      <c r="S56" s="1344"/>
      <c r="T56" s="1767" t="str">
        <f t="shared" si="18"/>
        <v/>
      </c>
      <c r="U56" s="1344"/>
      <c r="V56" s="5327" t="str">
        <f t="shared" si="19"/>
        <v/>
      </c>
      <c r="W56" s="5328"/>
      <c r="X56" s="5328"/>
      <c r="Y56" s="5328"/>
      <c r="Z56" s="5328"/>
      <c r="AA56" s="5329"/>
      <c r="AB56" s="1546"/>
      <c r="AC56" s="29"/>
      <c r="AD56" s="2265" t="e">
        <f>VLOOKUP(E56,Tablas!$R$1020:$T$1045,3,0)</f>
        <v>#N/A</v>
      </c>
      <c r="AE56" s="3632" t="e">
        <f t="shared" si="20"/>
        <v>#N/A</v>
      </c>
      <c r="AF56" s="3633" t="e">
        <f t="shared" si="21"/>
        <v>#N/A</v>
      </c>
      <c r="AG56" s="3632" t="e">
        <f t="shared" si="22"/>
        <v>#N/A</v>
      </c>
      <c r="AH56" s="3633" t="e">
        <f>VLOOKUP($E56,Tablas!$R$1020:$T$1045,2,0)*AH$48/2</f>
        <v>#N/A</v>
      </c>
      <c r="AI56" s="3633" t="e">
        <f>VLOOKUP($E56,Tablas!$R$1020:$T$1045,2,0)*AI$48/2</f>
        <v>#N/A</v>
      </c>
      <c r="AJ56" s="3633" t="e">
        <f>VLOOKUP($E56,Tablas!$R$1020:$T$1045,2,0)*AJ$48/2</f>
        <v>#N/A</v>
      </c>
      <c r="AK56" s="3633" t="e">
        <f>VLOOKUP($E56,Tablas!$R$1020:$T$1045,2,0)*AK$48/2</f>
        <v>#N/A</v>
      </c>
      <c r="AL56" s="3633" t="e">
        <f>VLOOKUP($E56,Tablas!$R$1020:$T$1045,2,0)*AL$48/2</f>
        <v>#N/A</v>
      </c>
      <c r="AM56" s="3633" t="e">
        <f>VLOOKUP($E56,Tablas!$R$1020:$T$1045,2,0)*AM$48/2</f>
        <v>#N/A</v>
      </c>
      <c r="AN56" s="3633" t="e">
        <f>VLOOKUP($E56,Tablas!$R$1020:$T$1045,2,0)*AN$48/2</f>
        <v>#N/A</v>
      </c>
      <c r="AO56" s="3633" t="e">
        <f>VLOOKUP($E56,Tablas!$R$1020:$T$1045,2,0)*AO$48/2</f>
        <v>#N/A</v>
      </c>
      <c r="AP56" s="3633" t="e">
        <f>VLOOKUP($E56,Tablas!$R$1020:$T$1045,2,0)*AP$48</f>
        <v>#N/A</v>
      </c>
      <c r="AQ56" s="3633" t="e">
        <f>VLOOKUP($E56,Tablas!$R$1020:$T$1045,2,0)*AQ$48</f>
        <v>#N/A</v>
      </c>
      <c r="AR56" s="3633" t="e">
        <f>VLOOKUP($E56,Tablas!$R$1020:$T$1045,2,0)*AR$48</f>
        <v>#N/A</v>
      </c>
      <c r="AS56" s="3633" t="e">
        <f>VLOOKUP($E56,Tablas!$R$1020:$T$1045,2,0)*AS$48</f>
        <v>#N/A</v>
      </c>
      <c r="AT56" s="3633" t="e">
        <f>VLOOKUP($E56,Tablas!$R$1020:$T$1045,2,0)*AT$48</f>
        <v>#N/A</v>
      </c>
      <c r="AU56" s="3633" t="e">
        <f>VLOOKUP($E56,Tablas!$R$1020:$T$1045,2,0)*AU$48</f>
        <v>#N/A</v>
      </c>
      <c r="AV56" s="3633" t="e">
        <f>VLOOKUP($E56,Tablas!$R$1020:$T$1045,2,0)*AV$48</f>
        <v>#N/A</v>
      </c>
      <c r="AW56" s="530"/>
      <c r="AX56" s="530"/>
      <c r="AY56" s="530"/>
      <c r="AZ56" s="530"/>
      <c r="BA56" s="530"/>
      <c r="BB56" s="530"/>
      <c r="BC56" s="530"/>
      <c r="BD56" s="2617"/>
      <c r="BE56" s="2617"/>
      <c r="BF56" s="2617"/>
      <c r="BG56" s="2617"/>
      <c r="BH56" s="2617"/>
      <c r="BI56" s="2617"/>
      <c r="BJ56" s="2617"/>
      <c r="BK56" s="2617"/>
      <c r="BL56" s="2617"/>
      <c r="BM56" s="2617"/>
      <c r="BN56" s="2617"/>
      <c r="BO56" s="2617"/>
      <c r="BP56" s="2617"/>
      <c r="BQ56" s="2617"/>
      <c r="BR56" s="2617"/>
      <c r="BS56" s="2617"/>
      <c r="BT56" s="2617"/>
      <c r="BU56" s="2617"/>
      <c r="BV56" s="2617"/>
      <c r="BW56" s="2617"/>
      <c r="BX56" s="2617"/>
    </row>
    <row r="57" spans="1:76" ht="12" customHeight="1">
      <c r="A57" s="9"/>
      <c r="B57" s="752"/>
      <c r="C57" s="5402"/>
      <c r="D57" s="5196"/>
      <c r="E57" s="4978"/>
      <c r="F57" s="4979"/>
      <c r="G57" s="4979"/>
      <c r="H57" s="4979"/>
      <c r="I57" s="4979"/>
      <c r="J57" s="4979"/>
      <c r="K57" s="5228"/>
      <c r="L57" s="1772" t="str">
        <f t="shared" si="14"/>
        <v/>
      </c>
      <c r="M57" s="1356"/>
      <c r="N57" s="1772" t="str">
        <f t="shared" si="15"/>
        <v/>
      </c>
      <c r="O57" s="1356"/>
      <c r="P57" s="1772" t="str">
        <f t="shared" si="16"/>
        <v/>
      </c>
      <c r="Q57" s="1356"/>
      <c r="R57" s="1772" t="str">
        <f t="shared" si="17"/>
        <v/>
      </c>
      <c r="S57" s="1356"/>
      <c r="T57" s="1772" t="str">
        <f t="shared" si="18"/>
        <v/>
      </c>
      <c r="U57" s="1356"/>
      <c r="V57" s="5330" t="str">
        <f t="shared" si="19"/>
        <v/>
      </c>
      <c r="W57" s="5331"/>
      <c r="X57" s="5331"/>
      <c r="Y57" s="5331"/>
      <c r="Z57" s="5331"/>
      <c r="AA57" s="5332"/>
      <c r="AB57" s="1546"/>
      <c r="AC57" s="29"/>
      <c r="AD57" s="2265" t="e">
        <f>VLOOKUP(E57,Tablas!$R$1020:$T$1045,3,0)</f>
        <v>#N/A</v>
      </c>
      <c r="AE57" s="3632" t="e">
        <f t="shared" si="20"/>
        <v>#N/A</v>
      </c>
      <c r="AF57" s="3633" t="e">
        <f t="shared" si="21"/>
        <v>#N/A</v>
      </c>
      <c r="AG57" s="3632" t="e">
        <f t="shared" si="22"/>
        <v>#N/A</v>
      </c>
      <c r="AH57" s="3633" t="e">
        <f>VLOOKUP($E57,Tablas!$R$1020:$T$1045,2,0)*AH$48/2</f>
        <v>#N/A</v>
      </c>
      <c r="AI57" s="3633" t="e">
        <f>VLOOKUP($E57,Tablas!$R$1020:$T$1045,2,0)*AI$48/2</f>
        <v>#N/A</v>
      </c>
      <c r="AJ57" s="3633" t="e">
        <f>VLOOKUP($E57,Tablas!$R$1020:$T$1045,2,0)*AJ$48/2</f>
        <v>#N/A</v>
      </c>
      <c r="AK57" s="3633" t="e">
        <f>VLOOKUP($E57,Tablas!$R$1020:$T$1045,2,0)*AK$48/2</f>
        <v>#N/A</v>
      </c>
      <c r="AL57" s="3633" t="e">
        <f>VLOOKUP($E57,Tablas!$R$1020:$T$1045,2,0)*AL$48/2</f>
        <v>#N/A</v>
      </c>
      <c r="AM57" s="3633" t="e">
        <f>VLOOKUP($E57,Tablas!$R$1020:$T$1045,2,0)*AM$48/2</f>
        <v>#N/A</v>
      </c>
      <c r="AN57" s="3633" t="e">
        <f>VLOOKUP($E57,Tablas!$R$1020:$T$1045,2,0)*AN$48/2</f>
        <v>#N/A</v>
      </c>
      <c r="AO57" s="3633" t="e">
        <f>VLOOKUP($E57,Tablas!$R$1020:$T$1045,2,0)*AO$48/2</f>
        <v>#N/A</v>
      </c>
      <c r="AP57" s="3633" t="e">
        <f>VLOOKUP($E57,Tablas!$R$1020:$T$1045,2,0)*AP$48</f>
        <v>#N/A</v>
      </c>
      <c r="AQ57" s="3633" t="e">
        <f>VLOOKUP($E57,Tablas!$R$1020:$T$1045,2,0)*AQ$48</f>
        <v>#N/A</v>
      </c>
      <c r="AR57" s="3633" t="e">
        <f>VLOOKUP($E57,Tablas!$R$1020:$T$1045,2,0)*AR$48</f>
        <v>#N/A</v>
      </c>
      <c r="AS57" s="3633" t="e">
        <f>VLOOKUP($E57,Tablas!$R$1020:$T$1045,2,0)*AS$48</f>
        <v>#N/A</v>
      </c>
      <c r="AT57" s="3633" t="e">
        <f>VLOOKUP($E57,Tablas!$R$1020:$T$1045,2,0)*AT$48</f>
        <v>#N/A</v>
      </c>
      <c r="AU57" s="3633" t="e">
        <f>VLOOKUP($E57,Tablas!$R$1020:$T$1045,2,0)*AU$48</f>
        <v>#N/A</v>
      </c>
      <c r="AV57" s="3633" t="e">
        <f>VLOOKUP($E57,Tablas!$R$1020:$T$1045,2,0)*AV$48</f>
        <v>#N/A</v>
      </c>
      <c r="AW57" s="530"/>
      <c r="AX57" s="530"/>
      <c r="AY57" s="530"/>
      <c r="AZ57" s="530"/>
      <c r="BA57" s="530"/>
      <c r="BB57" s="530"/>
      <c r="BC57" s="530"/>
      <c r="BD57" s="2617"/>
      <c r="BE57" s="2617"/>
      <c r="BF57" s="2617"/>
      <c r="BG57" s="2617"/>
      <c r="BH57" s="2617"/>
      <c r="BI57" s="2617"/>
      <c r="BJ57" s="2617"/>
      <c r="BK57" s="2617"/>
      <c r="BL57" s="2617"/>
      <c r="BM57" s="2617"/>
      <c r="BN57" s="2617"/>
      <c r="BO57" s="2617"/>
      <c r="BP57" s="2617"/>
      <c r="BQ57" s="2617"/>
      <c r="BR57" s="2617"/>
      <c r="BS57" s="2617"/>
      <c r="BT57" s="2617"/>
      <c r="BU57" s="2617"/>
      <c r="BV57" s="2617"/>
      <c r="BW57" s="2617"/>
      <c r="BX57" s="2617"/>
    </row>
    <row r="58" spans="1:76" ht="12" customHeight="1">
      <c r="A58" s="9"/>
      <c r="B58" s="752"/>
      <c r="C58" s="5402"/>
      <c r="D58" s="5197"/>
      <c r="E58" s="5254"/>
      <c r="F58" s="5255"/>
      <c r="G58" s="5255"/>
      <c r="H58" s="5255"/>
      <c r="I58" s="5255"/>
      <c r="J58" s="5255"/>
      <c r="K58" s="5256"/>
      <c r="L58" s="1770" t="str">
        <f t="shared" si="14"/>
        <v/>
      </c>
      <c r="M58" s="1345"/>
      <c r="N58" s="1770" t="str">
        <f t="shared" si="15"/>
        <v/>
      </c>
      <c r="O58" s="1345"/>
      <c r="P58" s="1770" t="str">
        <f t="shared" si="16"/>
        <v/>
      </c>
      <c r="Q58" s="1345"/>
      <c r="R58" s="1770" t="str">
        <f t="shared" si="17"/>
        <v/>
      </c>
      <c r="S58" s="1345"/>
      <c r="T58" s="1770" t="str">
        <f t="shared" si="18"/>
        <v/>
      </c>
      <c r="U58" s="1345"/>
      <c r="V58" s="5333" t="str">
        <f t="shared" si="19"/>
        <v/>
      </c>
      <c r="W58" s="5334"/>
      <c r="X58" s="5334"/>
      <c r="Y58" s="5334"/>
      <c r="Z58" s="5334"/>
      <c r="AA58" s="5335"/>
      <c r="AB58" s="1546"/>
      <c r="AC58" s="29"/>
      <c r="AD58" s="2265" t="e">
        <f>VLOOKUP(E58,Tablas!$R$1020:$T$1045,3,0)</f>
        <v>#N/A</v>
      </c>
      <c r="AE58" s="3632" t="e">
        <f t="shared" si="20"/>
        <v>#N/A</v>
      </c>
      <c r="AF58" s="3633" t="e">
        <f t="shared" si="21"/>
        <v>#N/A</v>
      </c>
      <c r="AG58" s="3632" t="e">
        <f t="shared" si="22"/>
        <v>#N/A</v>
      </c>
      <c r="AH58" s="3633" t="e">
        <f>VLOOKUP($E58,Tablas!$R$1020:$T$1045,2,0)*AH$48/2</f>
        <v>#N/A</v>
      </c>
      <c r="AI58" s="3633" t="e">
        <f>VLOOKUP($E58,Tablas!$R$1020:$T$1045,2,0)*AI$48/2</f>
        <v>#N/A</v>
      </c>
      <c r="AJ58" s="3633" t="e">
        <f>VLOOKUP($E58,Tablas!$R$1020:$T$1045,2,0)*AJ$48/2</f>
        <v>#N/A</v>
      </c>
      <c r="AK58" s="3633" t="e">
        <f>VLOOKUP($E58,Tablas!$R$1020:$T$1045,2,0)*AK$48/2</f>
        <v>#N/A</v>
      </c>
      <c r="AL58" s="3633" t="e">
        <f>VLOOKUP($E58,Tablas!$R$1020:$T$1045,2,0)*AL$48/2</f>
        <v>#N/A</v>
      </c>
      <c r="AM58" s="3633" t="e">
        <f>VLOOKUP($E58,Tablas!$R$1020:$T$1045,2,0)*AM$48/2</f>
        <v>#N/A</v>
      </c>
      <c r="AN58" s="3633" t="e">
        <f>VLOOKUP($E58,Tablas!$R$1020:$T$1045,2,0)*AN$48/2</f>
        <v>#N/A</v>
      </c>
      <c r="AO58" s="3633" t="e">
        <f>VLOOKUP($E58,Tablas!$R$1020:$T$1045,2,0)*AO$48/2</f>
        <v>#N/A</v>
      </c>
      <c r="AP58" s="3633" t="e">
        <f>VLOOKUP($E58,Tablas!$R$1020:$T$1045,2,0)*AP$48</f>
        <v>#N/A</v>
      </c>
      <c r="AQ58" s="3633" t="e">
        <f>VLOOKUP($E58,Tablas!$R$1020:$T$1045,2,0)*AQ$48</f>
        <v>#N/A</v>
      </c>
      <c r="AR58" s="3633" t="e">
        <f>VLOOKUP($E58,Tablas!$R$1020:$T$1045,2,0)*AR$48</f>
        <v>#N/A</v>
      </c>
      <c r="AS58" s="3633" t="e">
        <f>VLOOKUP($E58,Tablas!$R$1020:$T$1045,2,0)*AS$48</f>
        <v>#N/A</v>
      </c>
      <c r="AT58" s="3633" t="e">
        <f>VLOOKUP($E58,Tablas!$R$1020:$T$1045,2,0)*AT$48</f>
        <v>#N/A</v>
      </c>
      <c r="AU58" s="3633" t="e">
        <f>VLOOKUP($E58,Tablas!$R$1020:$T$1045,2,0)*AU$48</f>
        <v>#N/A</v>
      </c>
      <c r="AV58" s="3633" t="e">
        <f>VLOOKUP($E58,Tablas!$R$1020:$T$1045,2,0)*AV$48</f>
        <v>#N/A</v>
      </c>
      <c r="AW58" s="530"/>
      <c r="AX58" s="530"/>
      <c r="AY58" s="530"/>
      <c r="AZ58" s="530"/>
      <c r="BA58" s="530"/>
      <c r="BB58" s="530"/>
      <c r="BC58" s="530"/>
      <c r="BD58" s="2617"/>
      <c r="BE58" s="2617"/>
      <c r="BF58" s="2617"/>
      <c r="BG58" s="2617"/>
      <c r="BH58" s="2617"/>
      <c r="BI58" s="2617"/>
      <c r="BJ58" s="2617"/>
      <c r="BK58" s="2617"/>
      <c r="BL58" s="2617"/>
      <c r="BM58" s="2617"/>
      <c r="BN58" s="2617"/>
      <c r="BO58" s="2617"/>
      <c r="BP58" s="2617"/>
      <c r="BQ58" s="2617"/>
      <c r="BR58" s="2617"/>
      <c r="BS58" s="2617"/>
      <c r="BT58" s="2617"/>
      <c r="BU58" s="2617"/>
      <c r="BV58" s="2617"/>
      <c r="BW58" s="2617"/>
      <c r="BX58" s="2617"/>
    </row>
    <row r="59" spans="1:76" ht="12" customHeight="1">
      <c r="A59" s="9"/>
      <c r="B59" s="752"/>
      <c r="C59" s="5402"/>
      <c r="D59" s="5195" t="s">
        <v>1363</v>
      </c>
      <c r="E59" s="5203"/>
      <c r="F59" s="5204"/>
      <c r="G59" s="5204"/>
      <c r="H59" s="5204"/>
      <c r="I59" s="5205"/>
      <c r="J59" s="5206"/>
      <c r="K59" s="5207"/>
      <c r="L59" s="459" t="str">
        <f>IFERROR(IF(NOT(Tablas!$AK$891),INDEX(Tablas!$AN893:$AP893,1,Tablas!$AL893),IF(M59&lt;&gt;"",IF(Tablas!$AK893="Básica",INDEX(Tablas!$AF$903:$AF$905,AG59),IF(Tablas!$AK893="Avanzada",INDEX(Tablas!$AG$903:$AG$904,AG59),"")),"")),"")</f>
        <v/>
      </c>
      <c r="M59" s="1352"/>
      <c r="N59" s="1772" t="str">
        <f>IFERROR(IF(NOT(Tablas!$AK$891),INDEX(Tablas!AP893:AR893,1,Tablas!AN893),IF(O59&lt;&gt;"",IF(Tablas!$AK893="Básica",INDEX(Tablas!$AF$903:$AF$905,AH59),IF(Tablas!$AK893="Avanzada",INDEX(Tablas!$AG$903:$AG$904,AH59),"")),"")),"")</f>
        <v/>
      </c>
      <c r="O59" s="1352"/>
      <c r="P59" s="54" t="str">
        <f>IFERROR(IF(NOT(Tablas!$AK$891),INDEX(Tablas!AR893:AT893,1,Tablas!AP893),IF(Q59&lt;&gt;"",IF(Tablas!$AK893="Básica",INDEX(Tablas!$AF$903:$AF$905,AI59),IF(Tablas!$AK893="Avanzada",INDEX(Tablas!$AG$903:$AG$904,AI59),"")),"")),"")</f>
        <v/>
      </c>
      <c r="Q59" s="1352"/>
      <c r="R59" s="54" t="str" cm="1">
        <f t="array" ref="R59">IFERROR(IF(NOT(Tablas!$AK$891),INDEX(Tablas!AT893:AV893,1,Tablas!AR893),IF(S59&lt;&gt;"",IF(Tablas!$AK893="Básica",INDEX(Tablas!$AF$903:$AF$905,AJ59),IF(Tablas!$AK893="Avanzada",INDEX(Tablas!$AG$903:$AG$904,AJ59),"")),"")),"")</f>
        <v/>
      </c>
      <c r="S59" s="1352"/>
      <c r="T59" s="54" t="str">
        <f>IFERROR(IF(NOT(Tablas!$AK$891),INDEX(Tablas!AV893:AX893,1,Tablas!AT893),IF(U59&lt;&gt;"",IF(Tablas!$AK893="Básica",INDEX(Tablas!$AF$903:$AF$905,AK59),IF(Tablas!$AK893="Avanzada",INDEX(Tablas!$AG$903:$AG$904,AK59),"")),"")),"")</f>
        <v/>
      </c>
      <c r="U59" s="1352"/>
      <c r="V59" s="5318" t="str">
        <f t="shared" ref="V59:V75" si="23">IF($AD59=0,"",IF(AF59&gt;1,"ARTE MARCIAL REPETIDA",IF(NOT(AL59),"ARTE MARCIAL SIN PAGAR",IF(VLOOKUP($AD59,Tabla_ArtesMarciales,23,FALSE)&lt;&gt;"-","FALTAN REQUISITOS",IF(VLOOKUP($AD59,Tabla_ArtesMarciales,16,FALSE)&gt;55,"Ver",VLOOKUP($AD59,Tabla_ArtesMarciales,11,FALSE))))))</f>
        <v/>
      </c>
      <c r="W59" s="5319"/>
      <c r="X59" s="5319"/>
      <c r="Y59" s="5319"/>
      <c r="Z59" s="5319"/>
      <c r="AA59" s="5320"/>
      <c r="AB59" s="1546"/>
      <c r="AC59" s="29"/>
      <c r="AD59" s="2265">
        <f>IF(OR(E59="",J59=""),,E59&amp;" ("&amp;J59&amp;")")</f>
        <v>0</v>
      </c>
      <c r="AE59" s="3632" t="str">
        <f>Tablas!$AK893</f>
        <v/>
      </c>
      <c r="AF59" s="2265">
        <f>COUNTIF($E$59:$E59,E59)</f>
        <v>0</v>
      </c>
      <c r="AG59" s="3633">
        <f>Tablas!$AQ893</f>
        <v>1</v>
      </c>
      <c r="AH59" s="3633">
        <f>Tablas!$AV893</f>
        <v>1</v>
      </c>
      <c r="AI59" s="3633">
        <f>Tablas!$BA893</f>
        <v>1</v>
      </c>
      <c r="AJ59" s="3633">
        <f>Tablas!$BF893</f>
        <v>1</v>
      </c>
      <c r="AK59" s="3633">
        <f>Tablas!$BK893</f>
        <v>1</v>
      </c>
      <c r="AL59" s="530" t="b">
        <f>Tablas!BL893=1</f>
        <v>0</v>
      </c>
      <c r="AY59" s="530"/>
      <c r="AZ59" s="530"/>
      <c r="BA59" s="530"/>
      <c r="BB59" s="530"/>
      <c r="BC59" s="530"/>
      <c r="BD59" s="2617"/>
      <c r="BE59" s="2617"/>
      <c r="BF59" s="2617"/>
      <c r="BG59" s="2617"/>
      <c r="BH59" s="2617"/>
      <c r="BI59" s="2617"/>
      <c r="BJ59" s="2617"/>
      <c r="BK59" s="2617"/>
      <c r="BL59" s="2617"/>
      <c r="BM59" s="2617"/>
      <c r="BN59" s="2617"/>
      <c r="BO59" s="2617"/>
      <c r="BP59" s="2617"/>
      <c r="BQ59" s="2617"/>
      <c r="BR59" s="2617"/>
      <c r="BS59" s="2617"/>
      <c r="BT59" s="2617"/>
      <c r="BU59" s="2617"/>
      <c r="BV59" s="2617"/>
      <c r="BW59" s="2617"/>
      <c r="BX59" s="2617"/>
    </row>
    <row r="60" spans="1:76" ht="12" customHeight="1">
      <c r="A60" s="9"/>
      <c r="B60" s="752"/>
      <c r="C60" s="5402"/>
      <c r="D60" s="5196"/>
      <c r="E60" s="5200"/>
      <c r="F60" s="5201"/>
      <c r="G60" s="5201"/>
      <c r="H60" s="5201"/>
      <c r="I60" s="5202"/>
      <c r="J60" s="5198"/>
      <c r="K60" s="5199"/>
      <c r="L60" s="1626" t="str">
        <f>IFERROR(IF(NOT(Tablas!$AK$891),INDEX(Tablas!$AN894:$AP894,1,Tablas!AL894),IF(M60&lt;&gt;"",IF(Tablas!$AK894="Básica",INDEX(Tablas!$AF$903:$AF$905,AG60),IF(Tablas!$AK894="Avanzada",INDEX(Tablas!$AG$903:$AG$904,AG60),"")),"")),"")</f>
        <v/>
      </c>
      <c r="M60" s="1340"/>
      <c r="N60" s="1767" t="str">
        <f>IFERROR(IF(NOT(Tablas!$AK$891),INDEX(Tablas!AP894:AR894,1,Tablas!AN894),IF(O60&lt;&gt;"",IF(Tablas!$AK894="Básica",INDEX(Tablas!$AF$903:$AF$905,AH60),IF(Tablas!$AK894="Avanzada",INDEX(Tablas!$AG$903:$AG$904,AH60),"")),"")),"")</f>
        <v/>
      </c>
      <c r="O60" s="1340"/>
      <c r="P60" s="1642" t="str">
        <f>IFERROR(IF(NOT(Tablas!$AK$891),INDEX(Tablas!AR894:AT894,1,Tablas!AP894),IF(Q60&lt;&gt;"",IF(Tablas!$AK894="Básica",INDEX(Tablas!$AF$903:$AF$905,AI60),IF(Tablas!$AK894="Avanzada",INDEX(Tablas!$AG$903:$AG$904,AI60),"")),"")),"")</f>
        <v/>
      </c>
      <c r="Q60" s="1340"/>
      <c r="R60" s="1642" t="str" cm="1">
        <f t="array" ref="R60">IFERROR(IF(NOT(Tablas!$AK$891),INDEX(Tablas!AT894:AV894,1,Tablas!AR894),IF(S60&lt;&gt;"",IF(Tablas!$AK894="Básica",INDEX(Tablas!$AF$903:$AF$905,AJ60),IF(Tablas!$AK894="Avanzada",INDEX(Tablas!$AG$903:$AG$904,AJ60),"")),"")),"")</f>
        <v/>
      </c>
      <c r="S60" s="1340"/>
      <c r="T60" s="1642" t="str">
        <f>IFERROR(IF(NOT(Tablas!$AK$891),INDEX(Tablas!AV894:AX894,1,Tablas!AT894),IF(U60&lt;&gt;"",IF(Tablas!$AK894="Básica",INDEX(Tablas!$AF$903:$AF$905,AK60),IF(Tablas!$AK894="Avanzada",INDEX(Tablas!$AG$903:$AG$904,AK60),"")),"")),"")</f>
        <v/>
      </c>
      <c r="U60" s="1340"/>
      <c r="V60" s="5282" t="str">
        <f t="shared" si="23"/>
        <v/>
      </c>
      <c r="W60" s="5283"/>
      <c r="X60" s="5283"/>
      <c r="Y60" s="5283"/>
      <c r="Z60" s="5283"/>
      <c r="AA60" s="5284"/>
      <c r="AB60" s="1546"/>
      <c r="AC60" s="29"/>
      <c r="AD60" s="2265">
        <f t="shared" ref="AD60:AD77" si="24">IF(OR(E60="",J60=""),,E60&amp;" ("&amp;J60&amp;")")</f>
        <v>0</v>
      </c>
      <c r="AE60" s="3632" t="str">
        <f>Tablas!$AK894</f>
        <v/>
      </c>
      <c r="AF60" s="2265">
        <f>COUNTIF($E$59:$E60,E60)</f>
        <v>0</v>
      </c>
      <c r="AG60" s="3633">
        <f>Tablas!$AQ894</f>
        <v>1</v>
      </c>
      <c r="AH60" s="3633">
        <f>Tablas!$AV894</f>
        <v>1</v>
      </c>
      <c r="AI60" s="3633">
        <f>Tablas!$BA894</f>
        <v>1</v>
      </c>
      <c r="AJ60" s="3633">
        <f>Tablas!$BF894</f>
        <v>1</v>
      </c>
      <c r="AK60" s="3633">
        <f>Tablas!$BK894</f>
        <v>1</v>
      </c>
      <c r="AL60" s="530" t="b">
        <f>Tablas!BL894=1</f>
        <v>0</v>
      </c>
      <c r="AY60" s="530"/>
      <c r="AZ60" s="530"/>
      <c r="BA60" s="530"/>
      <c r="BB60" s="530"/>
      <c r="BC60" s="530"/>
      <c r="BD60" s="2617"/>
      <c r="BE60" s="2617"/>
      <c r="BF60" s="2617"/>
      <c r="BG60" s="2617"/>
      <c r="BH60" s="2617"/>
      <c r="BI60" s="2617"/>
      <c r="BJ60" s="2617"/>
      <c r="BK60" s="2617"/>
      <c r="BL60" s="2617"/>
      <c r="BM60" s="2617"/>
      <c r="BN60" s="2617"/>
      <c r="BO60" s="2617"/>
      <c r="BP60" s="2617"/>
      <c r="BQ60" s="2617"/>
      <c r="BR60" s="2617"/>
      <c r="BS60" s="2617"/>
      <c r="BT60" s="2617"/>
      <c r="BU60" s="2617"/>
      <c r="BV60" s="2617"/>
      <c r="BW60" s="2617"/>
      <c r="BX60" s="2617"/>
    </row>
    <row r="61" spans="1:76" ht="12" customHeight="1">
      <c r="A61" s="9"/>
      <c r="B61" s="752"/>
      <c r="C61" s="5402"/>
      <c r="D61" s="5196"/>
      <c r="E61" s="5203"/>
      <c r="F61" s="5204"/>
      <c r="G61" s="5204"/>
      <c r="H61" s="5204"/>
      <c r="I61" s="5205"/>
      <c r="J61" s="5206"/>
      <c r="K61" s="5207"/>
      <c r="L61" s="459" t="str">
        <f>IFERROR(IF(NOT(Tablas!$AK$891),INDEX(Tablas!$AN895:$AP895,1,Tablas!AL895),IF(M61&lt;&gt;"",IF(Tablas!$AK895="Básica",INDEX(Tablas!$AF$903:$AF$905,AG61),IF(Tablas!$AK895="Avanzada",INDEX(Tablas!$AG$903:$AG$904,AG61),"")),"")),"")</f>
        <v/>
      </c>
      <c r="M61" s="1352"/>
      <c r="N61" s="1772" t="str">
        <f>IFERROR(IF(NOT(Tablas!$AK$891),INDEX(Tablas!AP895:AR895,1,Tablas!AN895),IF(O61&lt;&gt;"",IF(Tablas!$AK895="Básica",INDEX(Tablas!$AF$903:$AF$905,AH61),IF(Tablas!$AK895="Avanzada",INDEX(Tablas!$AG$903:$AG$904,AH61),"")),"")),"")</f>
        <v/>
      </c>
      <c r="O61" s="1352"/>
      <c r="P61" s="54" t="str">
        <f>IFERROR(IF(NOT(Tablas!$AK$891),INDEX(Tablas!AR895:AT895,1,Tablas!AP895),IF(Q61&lt;&gt;"",IF(Tablas!$AK895="Básica",INDEX(Tablas!$AF$903:$AF$905,AI61),IF(Tablas!$AK895="Avanzada",INDEX(Tablas!$AG$903:$AG$904,AI61),"")),"")),"")</f>
        <v/>
      </c>
      <c r="Q61" s="1352"/>
      <c r="R61" s="54" t="str" cm="1">
        <f t="array" ref="R61">IFERROR(IF(NOT(Tablas!$AK$891),INDEX(Tablas!AT895:AV895,1,Tablas!AR895),IF(S61&lt;&gt;"",IF(Tablas!$AK895="Básica",INDEX(Tablas!$AF$903:$AF$905,AJ61),IF(Tablas!$AK895="Avanzada",INDEX(Tablas!$AG$903:$AG$904,AJ61),"")),"")),"")</f>
        <v/>
      </c>
      <c r="S61" s="1352"/>
      <c r="T61" s="54" t="str">
        <f>IFERROR(IF(NOT(Tablas!$AK$891),INDEX(Tablas!AV895:AX895,1,Tablas!AT895),IF(U61&lt;&gt;"",IF(Tablas!$AK895="Básica",INDEX(Tablas!$AF$903:$AF$905,AK61),IF(Tablas!$AK895="Avanzada",INDEX(Tablas!$AG$903:$AG$904,AK61),"")),"")),"")</f>
        <v/>
      </c>
      <c r="U61" s="1352"/>
      <c r="V61" s="5285" t="str">
        <f t="shared" si="23"/>
        <v/>
      </c>
      <c r="W61" s="5286"/>
      <c r="X61" s="5286"/>
      <c r="Y61" s="5286"/>
      <c r="Z61" s="5286"/>
      <c r="AA61" s="5287"/>
      <c r="AB61" s="1546"/>
      <c r="AC61" s="769"/>
      <c r="AD61" s="2265">
        <f t="shared" si="24"/>
        <v>0</v>
      </c>
      <c r="AE61" s="3632" t="str">
        <f>Tablas!$AK895</f>
        <v/>
      </c>
      <c r="AF61" s="2265">
        <f>COUNTIF($E$59:$E61,E61)</f>
        <v>0</v>
      </c>
      <c r="AG61" s="3633">
        <f>Tablas!$AQ895</f>
        <v>1</v>
      </c>
      <c r="AH61" s="3633">
        <f>Tablas!$AV895</f>
        <v>1</v>
      </c>
      <c r="AI61" s="3633">
        <f>Tablas!$BA895</f>
        <v>1</v>
      </c>
      <c r="AJ61" s="3633">
        <f>Tablas!$BF895</f>
        <v>1</v>
      </c>
      <c r="AK61" s="3633">
        <f>Tablas!$BK895</f>
        <v>1</v>
      </c>
      <c r="AL61" s="530" t="b">
        <f>Tablas!BL895=1</f>
        <v>0</v>
      </c>
      <c r="AY61" s="530"/>
      <c r="AZ61" s="530"/>
      <c r="BA61" s="530"/>
      <c r="BB61" s="530"/>
      <c r="BC61" s="530"/>
      <c r="BD61" s="2617"/>
      <c r="BE61" s="2617"/>
      <c r="BF61" s="2617"/>
      <c r="BG61" s="2617"/>
      <c r="BH61" s="2617"/>
      <c r="BI61" s="2617"/>
      <c r="BJ61" s="2617"/>
      <c r="BK61" s="2617"/>
      <c r="BL61" s="2617"/>
      <c r="BM61" s="2617"/>
      <c r="BN61" s="2617"/>
      <c r="BO61" s="2617"/>
      <c r="BP61" s="2617"/>
      <c r="BQ61" s="2617"/>
      <c r="BR61" s="2617"/>
      <c r="BS61" s="2617"/>
      <c r="BT61" s="2617"/>
      <c r="BU61" s="2617"/>
      <c r="BV61" s="2617"/>
      <c r="BW61" s="2617"/>
      <c r="BX61" s="2617"/>
    </row>
    <row r="62" spans="1:76" ht="12" customHeight="1">
      <c r="A62" s="9"/>
      <c r="B62" s="752"/>
      <c r="C62" s="5402"/>
      <c r="D62" s="5196"/>
      <c r="E62" s="5200"/>
      <c r="F62" s="5201"/>
      <c r="G62" s="5201"/>
      <c r="H62" s="5201"/>
      <c r="I62" s="5202"/>
      <c r="J62" s="5198"/>
      <c r="K62" s="5199"/>
      <c r="L62" s="1626" t="str">
        <f>IFERROR(IF(NOT(Tablas!$AK$891),INDEX(Tablas!$AN896:$AP896,1,Tablas!AL896),IF(M62&lt;&gt;"",IF(Tablas!$AK896="Básica",INDEX(Tablas!$AF$903:$AF$905,AG62),IF(Tablas!$AK896="Avanzada",INDEX(Tablas!$AG$903:$AG$904,AG62),"")),"")),"")</f>
        <v/>
      </c>
      <c r="M62" s="1340"/>
      <c r="N62" s="1767" t="str">
        <f>IFERROR(IF(NOT(Tablas!$AK$891),INDEX(Tablas!AP896:AR896,1,Tablas!AN896),IF(O62&lt;&gt;"",IF(Tablas!$AK896="Básica",INDEX(Tablas!$AF$903:$AF$905,AH62),IF(Tablas!$AK896="Avanzada",INDEX(Tablas!$AG$903:$AG$904,AH62),"")),"")),"")</f>
        <v/>
      </c>
      <c r="O62" s="1340"/>
      <c r="P62" s="1642" t="str">
        <f>IFERROR(IF(NOT(Tablas!$AK$891),INDEX(Tablas!AR896:AT896,1,Tablas!AP896),IF(Q62&lt;&gt;"",IF(Tablas!$AK896="Básica",INDEX(Tablas!$AF$903:$AF$905,AI62),IF(Tablas!$AK896="Avanzada",INDEX(Tablas!$AG$903:$AG$904,AI62),"")),"")),"")</f>
        <v/>
      </c>
      <c r="Q62" s="1340"/>
      <c r="R62" s="1642" t="str" cm="1">
        <f t="array" ref="R62">IFERROR(IF(NOT(Tablas!$AK$891),INDEX(Tablas!AT896:AV896,1,Tablas!AR896),IF(S62&lt;&gt;"",IF(Tablas!$AK896="Básica",INDEX(Tablas!$AF$903:$AF$905,AJ62),IF(Tablas!$AK896="Avanzada",INDEX(Tablas!$AG$903:$AG$904,AJ62),"")),"")),"")</f>
        <v/>
      </c>
      <c r="S62" s="1340"/>
      <c r="T62" s="1642" t="str">
        <f>IFERROR(IF(NOT(Tablas!$AK$891),INDEX(Tablas!AV896:AX896,1,Tablas!AT896),IF(U62&lt;&gt;"",IF(Tablas!$AK896="Básica",INDEX(Tablas!$AF$903:$AF$905,AK62),IF(Tablas!$AK896="Avanzada",INDEX(Tablas!$AG$903:$AG$904,AK62),"")),"")),"")</f>
        <v/>
      </c>
      <c r="U62" s="1340"/>
      <c r="V62" s="5282" t="str">
        <f t="shared" si="23"/>
        <v/>
      </c>
      <c r="W62" s="5283"/>
      <c r="X62" s="5283"/>
      <c r="Y62" s="5283"/>
      <c r="Z62" s="5283"/>
      <c r="AA62" s="5284"/>
      <c r="AB62" s="1546"/>
      <c r="AC62" s="769"/>
      <c r="AD62" s="2265">
        <f t="shared" si="24"/>
        <v>0</v>
      </c>
      <c r="AE62" s="3632" t="str">
        <f>Tablas!$AK896</f>
        <v/>
      </c>
      <c r="AF62" s="2265">
        <f>COUNTIF($E$59:$E62,E62)</f>
        <v>0</v>
      </c>
      <c r="AG62" s="3633">
        <f>Tablas!$AQ896</f>
        <v>1</v>
      </c>
      <c r="AH62" s="3633">
        <f>Tablas!$AV896</f>
        <v>1</v>
      </c>
      <c r="AI62" s="3633">
        <f>Tablas!$BA896</f>
        <v>1</v>
      </c>
      <c r="AJ62" s="3633">
        <f>Tablas!$BF896</f>
        <v>1</v>
      </c>
      <c r="AK62" s="3633">
        <f>Tablas!$BK896</f>
        <v>1</v>
      </c>
      <c r="AL62" s="530" t="b">
        <f>Tablas!BL896=1</f>
        <v>0</v>
      </c>
      <c r="AY62" s="530"/>
      <c r="AZ62" s="530"/>
      <c r="BA62" s="530"/>
      <c r="BB62" s="530"/>
      <c r="BC62" s="530"/>
      <c r="BD62" s="2617"/>
      <c r="BE62" s="2617"/>
      <c r="BF62" s="2617"/>
      <c r="BG62" s="2617"/>
      <c r="BH62" s="2617"/>
      <c r="BI62" s="2617"/>
      <c r="BJ62" s="2617"/>
      <c r="BK62" s="2617"/>
      <c r="BL62" s="2617"/>
      <c r="BM62" s="2617"/>
      <c r="BN62" s="2617"/>
      <c r="BO62" s="2617"/>
      <c r="BP62" s="2617"/>
      <c r="BQ62" s="2617"/>
      <c r="BR62" s="2617"/>
      <c r="BS62" s="2617"/>
      <c r="BT62" s="2617"/>
      <c r="BU62" s="2617"/>
      <c r="BV62" s="2617"/>
      <c r="BW62" s="2617"/>
      <c r="BX62" s="2617"/>
    </row>
    <row r="63" spans="1:76" ht="12" customHeight="1">
      <c r="A63" s="9"/>
      <c r="B63" s="752"/>
      <c r="C63" s="5402"/>
      <c r="D63" s="5196"/>
      <c r="E63" s="5203"/>
      <c r="F63" s="5204"/>
      <c r="G63" s="5204"/>
      <c r="H63" s="5204"/>
      <c r="I63" s="5205"/>
      <c r="J63" s="5206"/>
      <c r="K63" s="5207"/>
      <c r="L63" s="459" t="str">
        <f>IFERROR(IF(NOT(Tablas!$AK$891),INDEX(Tablas!$AN897:$AP897,1,Tablas!AL897),IF(M63&lt;&gt;"",IF(Tablas!$AK897="Básica",INDEX(Tablas!$AF$903:$AF$905,AG63),IF(Tablas!$AK897="Avanzada",INDEX(Tablas!$AG$903:$AG$904,AG63),"")),"")),"")</f>
        <v/>
      </c>
      <c r="M63" s="1352"/>
      <c r="N63" s="1772" t="str">
        <f>IFERROR(IF(NOT(Tablas!$AK$891),INDEX(Tablas!AP897:AR897,1,Tablas!AN897),IF(O63&lt;&gt;"",IF(Tablas!$AK897="Básica",INDEX(Tablas!$AF$903:$AF$905,AH63),IF(Tablas!$AK897="Avanzada",INDEX(Tablas!$AG$903:$AG$904,AH63),"")),"")),"")</f>
        <v/>
      </c>
      <c r="O63" s="1352"/>
      <c r="P63" s="54" t="str">
        <f>IFERROR(IF(NOT(Tablas!$AK$891),INDEX(Tablas!AR897:AT897,1,Tablas!AP897),IF(Q63&lt;&gt;"",IF(Tablas!$AK897="Básica",INDEX(Tablas!$AF$903:$AF$905,AI63),IF(Tablas!$AK897="Avanzada",INDEX(Tablas!$AG$903:$AG$904,AI63),"")),"")),"")</f>
        <v/>
      </c>
      <c r="Q63" s="1352"/>
      <c r="R63" s="54" t="str" cm="1">
        <f t="array" ref="R63">IFERROR(IF(NOT(Tablas!$AK$891),INDEX(Tablas!AT897:AV897,1,Tablas!AR897),IF(S63&lt;&gt;"",IF(Tablas!$AK897="Básica",INDEX(Tablas!$AF$903:$AF$905,AJ63),IF(Tablas!$AK897="Avanzada",INDEX(Tablas!$AG$903:$AG$904,AJ63),"")),"")),"")</f>
        <v/>
      </c>
      <c r="S63" s="1352"/>
      <c r="T63" s="54" t="str">
        <f>IFERROR(IF(NOT(Tablas!$AK$891),INDEX(Tablas!AV897:AX897,1,Tablas!AT897),IF(U63&lt;&gt;"",IF(Tablas!$AK897="Básica",INDEX(Tablas!$AF$903:$AF$905,AK63),IF(Tablas!$AK897="Avanzada",INDEX(Tablas!$AG$903:$AG$904,AK63),"")),"")),"")</f>
        <v/>
      </c>
      <c r="U63" s="1352"/>
      <c r="V63" s="5285" t="str">
        <f t="shared" si="23"/>
        <v/>
      </c>
      <c r="W63" s="5286"/>
      <c r="X63" s="5286"/>
      <c r="Y63" s="5286"/>
      <c r="Z63" s="5286"/>
      <c r="AA63" s="5287"/>
      <c r="AB63" s="1546"/>
      <c r="AC63" s="769"/>
      <c r="AD63" s="2265">
        <f t="shared" si="24"/>
        <v>0</v>
      </c>
      <c r="AE63" s="3632" t="str">
        <f>Tablas!$AK897</f>
        <v/>
      </c>
      <c r="AF63" s="2265">
        <f>COUNTIF($E$59:$E63,E63)</f>
        <v>0</v>
      </c>
      <c r="AG63" s="3633">
        <f>Tablas!$AQ897</f>
        <v>1</v>
      </c>
      <c r="AH63" s="3633">
        <f>Tablas!$AV897</f>
        <v>1</v>
      </c>
      <c r="AI63" s="3633">
        <f>Tablas!$BA897</f>
        <v>1</v>
      </c>
      <c r="AJ63" s="3633">
        <f>Tablas!$BF897</f>
        <v>1</v>
      </c>
      <c r="AK63" s="3633">
        <f>Tablas!$BK897</f>
        <v>1</v>
      </c>
      <c r="AL63" s="530" t="b">
        <f>Tablas!BL897=1</f>
        <v>0</v>
      </c>
      <c r="AY63" s="530"/>
      <c r="AZ63" s="530"/>
      <c r="BA63" s="530"/>
      <c r="BB63" s="530"/>
      <c r="BC63" s="530"/>
      <c r="BD63" s="2617"/>
      <c r="BE63" s="2617"/>
      <c r="BF63" s="2617"/>
      <c r="BG63" s="2617"/>
      <c r="BH63" s="2617"/>
      <c r="BI63" s="2617"/>
      <c r="BJ63" s="2617"/>
      <c r="BK63" s="2617"/>
      <c r="BL63" s="2617"/>
      <c r="BM63" s="2617"/>
      <c r="BN63" s="2617"/>
      <c r="BO63" s="2617"/>
      <c r="BP63" s="2617"/>
      <c r="BQ63" s="2617"/>
      <c r="BR63" s="2617"/>
      <c r="BS63" s="2617"/>
      <c r="BT63" s="2617"/>
      <c r="BU63" s="2617"/>
      <c r="BV63" s="2617"/>
      <c r="BW63" s="2617"/>
      <c r="BX63" s="2617"/>
    </row>
    <row r="64" spans="1:76" ht="12" customHeight="1">
      <c r="A64" s="9"/>
      <c r="B64" s="752"/>
      <c r="C64" s="5402"/>
      <c r="D64" s="5196"/>
      <c r="E64" s="5200"/>
      <c r="F64" s="5201"/>
      <c r="G64" s="5201"/>
      <c r="H64" s="5201"/>
      <c r="I64" s="5202"/>
      <c r="J64" s="5198"/>
      <c r="K64" s="5199"/>
      <c r="L64" s="1626" t="str">
        <f>IFERROR(IF(NOT(Tablas!$AK$891),INDEX(Tablas!$AN898:$AP898,1,Tablas!AL898),IF(M64&lt;&gt;"",IF(Tablas!$AK898="Básica",INDEX(Tablas!$AF$903:$AF$905,AG64),IF(Tablas!$AK898="Avanzada",INDEX(Tablas!$AG$903:$AG$904,AG64),"")),"")),"")</f>
        <v/>
      </c>
      <c r="M64" s="1340"/>
      <c r="N64" s="1767" t="str">
        <f>IFERROR(IF(NOT(Tablas!$AK$891),INDEX(Tablas!AP898:AR898,1,Tablas!AN898),IF(O64&lt;&gt;"",IF(Tablas!$AK898="Básica",INDEX(Tablas!$AF$903:$AF$905,AH64),IF(Tablas!$AK898="Avanzada",INDEX(Tablas!$AG$903:$AG$904,AH64),"")),"")),"")</f>
        <v/>
      </c>
      <c r="O64" s="1340"/>
      <c r="P64" s="1642" t="str">
        <f>IFERROR(IF(NOT(Tablas!$AK$891),INDEX(Tablas!AR898:AT898,1,Tablas!AP898),IF(Q64&lt;&gt;"",IF(Tablas!$AK898="Básica",INDEX(Tablas!$AF$903:$AF$905,AI64),IF(Tablas!$AK898="Avanzada",INDEX(Tablas!$AG$903:$AG$904,AI64),"")),"")),"")</f>
        <v/>
      </c>
      <c r="Q64" s="1340"/>
      <c r="R64" s="1642" t="str" cm="1">
        <f t="array" ref="R64">IFERROR(IF(NOT(Tablas!$AK$891),INDEX(Tablas!AT898:AV898,1,Tablas!AR898),IF(S64&lt;&gt;"",IF(Tablas!$AK898="Básica",INDEX(Tablas!$AF$903:$AF$905,AJ64),IF(Tablas!$AK898="Avanzada",INDEX(Tablas!$AG$903:$AG$904,AJ64),"")),"")),"")</f>
        <v/>
      </c>
      <c r="S64" s="1340"/>
      <c r="T64" s="1642" t="str">
        <f>IFERROR(IF(NOT(Tablas!$AK$891),INDEX(Tablas!AV898:AX898,1,Tablas!AT898),IF(U64&lt;&gt;"",IF(Tablas!$AK898="Básica",INDEX(Tablas!$AF$903:$AF$905,AK64),IF(Tablas!$AK898="Avanzada",INDEX(Tablas!$AG$903:$AG$904,AK64),"")),"")),"")</f>
        <v/>
      </c>
      <c r="U64" s="1340"/>
      <c r="V64" s="5282" t="str">
        <f t="shared" si="23"/>
        <v/>
      </c>
      <c r="W64" s="5283"/>
      <c r="X64" s="5283"/>
      <c r="Y64" s="5283"/>
      <c r="Z64" s="5283"/>
      <c r="AA64" s="5284"/>
      <c r="AB64" s="1549"/>
      <c r="AC64" s="769"/>
      <c r="AD64" s="2265">
        <f t="shared" si="24"/>
        <v>0</v>
      </c>
      <c r="AE64" s="3632" t="str">
        <f>Tablas!$AK898</f>
        <v/>
      </c>
      <c r="AF64" s="2265">
        <f>COUNTIF($E$59:$E64,E64)</f>
        <v>0</v>
      </c>
      <c r="AG64" s="3633">
        <f>Tablas!$AQ898</f>
        <v>1</v>
      </c>
      <c r="AH64" s="3633">
        <f>Tablas!$AV898</f>
        <v>1</v>
      </c>
      <c r="AI64" s="3633">
        <f>Tablas!$BA898</f>
        <v>1</v>
      </c>
      <c r="AJ64" s="3633">
        <f>Tablas!$BF898</f>
        <v>1</v>
      </c>
      <c r="AK64" s="3633">
        <f>Tablas!$BK898</f>
        <v>1</v>
      </c>
      <c r="AL64" s="530" t="b">
        <f>Tablas!BL898=1</f>
        <v>0</v>
      </c>
      <c r="AY64" s="530"/>
      <c r="AZ64" s="530"/>
      <c r="BA64" s="530"/>
      <c r="BB64" s="530"/>
      <c r="BC64" s="530"/>
      <c r="BD64" s="2617"/>
      <c r="BE64" s="2617"/>
      <c r="BF64" s="2617"/>
      <c r="BG64" s="2617"/>
      <c r="BH64" s="2617"/>
      <c r="BI64" s="2617"/>
      <c r="BJ64" s="2617"/>
      <c r="BK64" s="2617"/>
      <c r="BL64" s="2617"/>
      <c r="BM64" s="2617"/>
      <c r="BN64" s="2617"/>
      <c r="BO64" s="2617"/>
      <c r="BP64" s="2617"/>
      <c r="BQ64" s="2617"/>
      <c r="BR64" s="2617"/>
      <c r="BS64" s="2617"/>
      <c r="BT64" s="2617"/>
      <c r="BU64" s="2617"/>
      <c r="BV64" s="2617"/>
      <c r="BW64" s="2617"/>
      <c r="BX64" s="2617"/>
    </row>
    <row r="65" spans="1:76" ht="12" customHeight="1">
      <c r="A65" s="9"/>
      <c r="B65" s="752"/>
      <c r="C65" s="5402"/>
      <c r="D65" s="5196"/>
      <c r="E65" s="5203"/>
      <c r="F65" s="5204"/>
      <c r="G65" s="5204"/>
      <c r="H65" s="5204"/>
      <c r="I65" s="5205"/>
      <c r="J65" s="5206"/>
      <c r="K65" s="5207"/>
      <c r="L65" s="459" t="str">
        <f>IFERROR(IF(NOT(Tablas!$AK$891),INDEX(Tablas!$AN899:$AP899,1,Tablas!AL899),IF(M65&lt;&gt;"",IF(Tablas!$AK899="Básica",INDEX(Tablas!$AF$903:$AF$905,AG65),IF(Tablas!$AK899="Avanzada",INDEX(Tablas!$AG$903:$AG$904,AG65),"")),"")),"")</f>
        <v/>
      </c>
      <c r="M65" s="1352"/>
      <c r="N65" s="1772" t="str">
        <f>IFERROR(IF(NOT(Tablas!$AK$891),INDEX(Tablas!AP899:AR899,1,Tablas!AN899),IF(O65&lt;&gt;"",IF(Tablas!$AK899="Básica",INDEX(Tablas!$AF$903:$AF$905,AH65),IF(Tablas!$AK899="Avanzada",INDEX(Tablas!$AG$903:$AG$904,AH65),"")),"")),"")</f>
        <v/>
      </c>
      <c r="O65" s="1352"/>
      <c r="P65" s="54" t="str">
        <f>IFERROR(IF(NOT(Tablas!$AK$891),INDEX(Tablas!AR899:AT899,1,Tablas!AP899),IF(Q65&lt;&gt;"",IF(Tablas!$AK899="Básica",INDEX(Tablas!$AF$903:$AF$905,AI65),IF(Tablas!$AK899="Avanzada",INDEX(Tablas!$AG$903:$AG$904,AI65),"")),"")),"")</f>
        <v/>
      </c>
      <c r="Q65" s="1352"/>
      <c r="R65" s="54" t="str" cm="1">
        <f t="array" ref="R65">IFERROR(IF(NOT(Tablas!$AK$891),INDEX(Tablas!AT899:AV899,1,Tablas!AR899),IF(S65&lt;&gt;"",IF(Tablas!$AK899="Básica",INDEX(Tablas!$AF$903:$AF$905,AJ65),IF(Tablas!$AK899="Avanzada",INDEX(Tablas!$AG$903:$AG$904,AJ65),"")),"")),"")</f>
        <v/>
      </c>
      <c r="S65" s="1352"/>
      <c r="T65" s="54" t="str">
        <f>IFERROR(IF(NOT(Tablas!$AK$891),INDEX(Tablas!AV899:AX899,1,Tablas!AT899),IF(U65&lt;&gt;"",IF(Tablas!$AK899="Básica",INDEX(Tablas!$AF$903:$AF$905,AK65),IF(Tablas!$AK899="Avanzada",INDEX(Tablas!$AG$903:$AG$904,AK65),"")),"")),"")</f>
        <v/>
      </c>
      <c r="U65" s="1352"/>
      <c r="V65" s="5285" t="str">
        <f t="shared" si="23"/>
        <v/>
      </c>
      <c r="W65" s="5286"/>
      <c r="X65" s="5286"/>
      <c r="Y65" s="5286"/>
      <c r="Z65" s="5286"/>
      <c r="AA65" s="5287"/>
      <c r="AB65" s="1546"/>
      <c r="AC65" s="769"/>
      <c r="AD65" s="2265">
        <f t="shared" si="24"/>
        <v>0</v>
      </c>
      <c r="AE65" s="3632" t="str">
        <f>Tablas!$AK899</f>
        <v/>
      </c>
      <c r="AF65" s="2265">
        <f>COUNTIF($E$59:$E65,E65)</f>
        <v>0</v>
      </c>
      <c r="AG65" s="3633">
        <f>Tablas!$AQ899</f>
        <v>1</v>
      </c>
      <c r="AH65" s="3633">
        <f>Tablas!$AV899</f>
        <v>1</v>
      </c>
      <c r="AI65" s="3633">
        <f>Tablas!$BA899</f>
        <v>1</v>
      </c>
      <c r="AJ65" s="3633">
        <f>Tablas!$BF899</f>
        <v>1</v>
      </c>
      <c r="AK65" s="3633">
        <f>Tablas!$BK899</f>
        <v>1</v>
      </c>
      <c r="AL65" s="530" t="b">
        <f>Tablas!BL899=1</f>
        <v>0</v>
      </c>
      <c r="AY65" s="530"/>
      <c r="AZ65" s="530"/>
      <c r="BA65" s="530"/>
      <c r="BB65" s="530"/>
      <c r="BC65" s="530"/>
      <c r="BD65" s="2617"/>
      <c r="BE65" s="2617"/>
      <c r="BF65" s="2617"/>
      <c r="BG65" s="2617"/>
      <c r="BH65" s="2617"/>
      <c r="BI65" s="2617"/>
      <c r="BJ65" s="2617"/>
      <c r="BK65" s="2617"/>
      <c r="BL65" s="2617"/>
      <c r="BM65" s="2617"/>
      <c r="BN65" s="2617"/>
      <c r="BO65" s="2617"/>
      <c r="BP65" s="2617"/>
      <c r="BQ65" s="2617"/>
      <c r="BR65" s="2617"/>
      <c r="BS65" s="2617"/>
      <c r="BT65" s="2617"/>
      <c r="BU65" s="2617"/>
      <c r="BV65" s="2617"/>
      <c r="BW65" s="2617"/>
      <c r="BX65" s="2617"/>
    </row>
    <row r="66" spans="1:76" ht="12" customHeight="1">
      <c r="A66" s="9"/>
      <c r="B66" s="752"/>
      <c r="C66" s="5402"/>
      <c r="D66" s="5196"/>
      <c r="E66" s="5200"/>
      <c r="F66" s="5201"/>
      <c r="G66" s="5201"/>
      <c r="H66" s="5201"/>
      <c r="I66" s="5202"/>
      <c r="J66" s="5198"/>
      <c r="K66" s="5199"/>
      <c r="L66" s="1626" t="str">
        <f>IFERROR(IF(NOT(Tablas!$AK$891),INDEX(Tablas!$AN900:$AP900,1,Tablas!AL900),IF(M66&lt;&gt;"",IF(Tablas!$AK900="Básica",INDEX(Tablas!$AF$903:$AF$905,AG66),IF(Tablas!$AK900="Avanzada",INDEX(Tablas!$AG$903:$AG$904,AG66),"")),"")),"")</f>
        <v/>
      </c>
      <c r="M66" s="1340"/>
      <c r="N66" s="1767" t="str">
        <f>IFERROR(IF(NOT(Tablas!$AK$891),INDEX(Tablas!AP900:AR900,1,Tablas!AN900),IF(O66&lt;&gt;"",IF(Tablas!$AK900="Básica",INDEX(Tablas!$AF$903:$AF$905,AH66),IF(Tablas!$AK900="Avanzada",INDEX(Tablas!$AG$903:$AG$904,AH66),"")),"")),"")</f>
        <v/>
      </c>
      <c r="O66" s="1340"/>
      <c r="P66" s="1642" t="str">
        <f>IFERROR(IF(NOT(Tablas!$AK$891),INDEX(Tablas!AR900:AT900,1,Tablas!AP900),IF(Q66&lt;&gt;"",IF(Tablas!$AK900="Básica",INDEX(Tablas!$AF$903:$AF$905,AI66),IF(Tablas!$AK900="Avanzada",INDEX(Tablas!$AG$903:$AG$904,AI66),"")),"")),"")</f>
        <v/>
      </c>
      <c r="Q66" s="1340"/>
      <c r="R66" s="1642" t="str" cm="1">
        <f t="array" ref="R66">IFERROR(IF(NOT(Tablas!$AK$891),INDEX(Tablas!AT900:AV900,1,Tablas!AR900),IF(S66&lt;&gt;"",IF(Tablas!$AK900="Básica",INDEX(Tablas!$AF$903:$AF$905,AJ66),IF(Tablas!$AK900="Avanzada",INDEX(Tablas!$AG$903:$AG$904,AJ66),"")),"")),"")</f>
        <v/>
      </c>
      <c r="S66" s="1340"/>
      <c r="T66" s="1642" t="str">
        <f>IFERROR(IF(NOT(Tablas!$AK$891),INDEX(Tablas!AV900:AX900,1,Tablas!AT900),IF(U66&lt;&gt;"",IF(Tablas!$AK900="Básica",INDEX(Tablas!$AF$903:$AF$905,AK66),IF(Tablas!$AK900="Avanzada",INDEX(Tablas!$AG$903:$AG$904,AK66),"")),"")),"")</f>
        <v/>
      </c>
      <c r="U66" s="1340"/>
      <c r="V66" s="5282" t="str">
        <f t="shared" si="23"/>
        <v/>
      </c>
      <c r="W66" s="5283"/>
      <c r="X66" s="5283"/>
      <c r="Y66" s="5283"/>
      <c r="Z66" s="5283"/>
      <c r="AA66" s="5284"/>
      <c r="AB66" s="1550"/>
      <c r="AC66" s="769"/>
      <c r="AD66" s="2265">
        <f t="shared" si="24"/>
        <v>0</v>
      </c>
      <c r="AE66" s="3632" t="str">
        <f>Tablas!$AK900</f>
        <v/>
      </c>
      <c r="AF66" s="2265">
        <f>COUNTIF($E$59:$E66,E66)</f>
        <v>0</v>
      </c>
      <c r="AG66" s="3633">
        <f>Tablas!$AQ900</f>
        <v>1</v>
      </c>
      <c r="AH66" s="3633">
        <f>Tablas!$AV900</f>
        <v>1</v>
      </c>
      <c r="AI66" s="3633">
        <f>Tablas!$BA900</f>
        <v>1</v>
      </c>
      <c r="AJ66" s="3633">
        <f>Tablas!$BF900</f>
        <v>1</v>
      </c>
      <c r="AK66" s="3633">
        <f>Tablas!$BK900</f>
        <v>1</v>
      </c>
      <c r="AL66" s="530" t="b">
        <f>Tablas!BL900=1</f>
        <v>0</v>
      </c>
      <c r="AY66" s="530"/>
      <c r="AZ66" s="530"/>
      <c r="BA66" s="530"/>
      <c r="BB66" s="530"/>
      <c r="BC66" s="530"/>
      <c r="BD66" s="2617"/>
      <c r="BE66" s="2617"/>
      <c r="BF66" s="2617"/>
      <c r="BG66" s="2617"/>
      <c r="BH66" s="2617"/>
      <c r="BI66" s="2617"/>
      <c r="BJ66" s="2617"/>
      <c r="BK66" s="2617"/>
      <c r="BL66" s="2617"/>
      <c r="BM66" s="2617"/>
      <c r="BN66" s="2617"/>
      <c r="BO66" s="2617"/>
      <c r="BP66" s="2617"/>
      <c r="BQ66" s="2617"/>
      <c r="BR66" s="2617"/>
      <c r="BS66" s="2617"/>
      <c r="BT66" s="2617"/>
      <c r="BU66" s="2617"/>
      <c r="BV66" s="2617"/>
      <c r="BW66" s="2617"/>
      <c r="BX66" s="2617"/>
    </row>
    <row r="67" spans="1:76" ht="12" customHeight="1">
      <c r="A67" s="9"/>
      <c r="B67" s="752"/>
      <c r="C67" s="5402"/>
      <c r="D67" s="5196"/>
      <c r="E67" s="5203"/>
      <c r="F67" s="5204"/>
      <c r="G67" s="5204"/>
      <c r="H67" s="5204"/>
      <c r="I67" s="5205"/>
      <c r="J67" s="5206"/>
      <c r="K67" s="5207"/>
      <c r="L67" s="459" t="str">
        <f>IFERROR(IF(NOT(Tablas!$AK$891),INDEX(Tablas!$AN901:$AP901,1,Tablas!AL901),IF(M67&lt;&gt;"",IF(Tablas!$AK901="Básica",INDEX(Tablas!$AF$903:$AF$905,AG67),IF(Tablas!$AK901="Avanzada",INDEX(Tablas!$AG$903:$AG$904,AG67),"")),"")),"")</f>
        <v/>
      </c>
      <c r="M67" s="1352"/>
      <c r="N67" s="1772" t="str">
        <f>IFERROR(IF(NOT(Tablas!$AK$891),INDEX(Tablas!AP901:AR901,1,Tablas!AN901),IF(O67&lt;&gt;"",IF(Tablas!$AK901="Básica",INDEX(Tablas!$AF$903:$AF$905,AH67),IF(Tablas!$AK901="Avanzada",INDEX(Tablas!$AG$903:$AG$904,AH67),"")),"")),"")</f>
        <v/>
      </c>
      <c r="O67" s="1352"/>
      <c r="P67" s="54" t="str">
        <f>IFERROR(IF(NOT(Tablas!$AK$891),INDEX(Tablas!AR901:AT901,1,Tablas!AP901),IF(Q67&lt;&gt;"",IF(Tablas!$AK901="Básica",INDEX(Tablas!$AF$903:$AF$905,AI67),IF(Tablas!$AK901="Avanzada",INDEX(Tablas!$AG$903:$AG$904,AI67),"")),"")),"")</f>
        <v/>
      </c>
      <c r="Q67" s="1352"/>
      <c r="R67" s="54" t="str" cm="1">
        <f t="array" ref="R67">IFERROR(IF(NOT(Tablas!$AK$891),INDEX(Tablas!AT901:AV901,1,Tablas!AR901),IF(S67&lt;&gt;"",IF(Tablas!$AK901="Básica",INDEX(Tablas!$AF$903:$AF$905,AJ67),IF(Tablas!$AK901="Avanzada",INDEX(Tablas!$AG$903:$AG$904,AJ67),"")),"")),"")</f>
        <v/>
      </c>
      <c r="S67" s="1352"/>
      <c r="T67" s="54" t="str">
        <f>IFERROR(IF(NOT(Tablas!$AK$891),INDEX(Tablas!AV901:AX901,1,Tablas!AT901),IF(U67&lt;&gt;"",IF(Tablas!$AK901="Básica",INDEX(Tablas!$AF$903:$AF$905,AK67),IF(Tablas!$AK901="Avanzada",INDEX(Tablas!$AG$903:$AG$904,AK67),"")),"")),"")</f>
        <v/>
      </c>
      <c r="U67" s="1352"/>
      <c r="V67" s="5285" t="str">
        <f t="shared" si="23"/>
        <v/>
      </c>
      <c r="W67" s="5286"/>
      <c r="X67" s="5286"/>
      <c r="Y67" s="5286"/>
      <c r="Z67" s="5286"/>
      <c r="AA67" s="5287"/>
      <c r="AB67" s="1550"/>
      <c r="AC67" s="769"/>
      <c r="AD67" s="2265">
        <f t="shared" si="24"/>
        <v>0</v>
      </c>
      <c r="AE67" s="3632" t="str">
        <f>Tablas!$AK901</f>
        <v/>
      </c>
      <c r="AF67" s="2265">
        <f>COUNTIF($E$59:$E67,E67)</f>
        <v>0</v>
      </c>
      <c r="AG67" s="3633">
        <f>Tablas!$AQ901</f>
        <v>1</v>
      </c>
      <c r="AH67" s="3633">
        <f>Tablas!$AV901</f>
        <v>1</v>
      </c>
      <c r="AI67" s="3633">
        <f>Tablas!$BA901</f>
        <v>1</v>
      </c>
      <c r="AJ67" s="3633">
        <f>Tablas!$BF901</f>
        <v>1</v>
      </c>
      <c r="AK67" s="3633">
        <f>Tablas!$BK901</f>
        <v>1</v>
      </c>
      <c r="AL67" s="530" t="b">
        <f>Tablas!BL901=1</f>
        <v>0</v>
      </c>
      <c r="AY67" s="530"/>
      <c r="AZ67" s="530"/>
      <c r="BA67" s="530"/>
      <c r="BB67" s="530"/>
      <c r="BC67" s="530"/>
      <c r="BD67" s="2617"/>
      <c r="BE67" s="2617"/>
      <c r="BF67" s="2617"/>
      <c r="BG67" s="2617"/>
      <c r="BH67" s="2617"/>
      <c r="BI67" s="2617"/>
      <c r="BJ67" s="2617"/>
      <c r="BK67" s="2617"/>
      <c r="BL67" s="2617"/>
      <c r="BM67" s="2617"/>
      <c r="BN67" s="2617"/>
      <c r="BO67" s="2617"/>
      <c r="BP67" s="2617"/>
      <c r="BQ67" s="2617"/>
      <c r="BR67" s="2617"/>
      <c r="BS67" s="2617"/>
      <c r="BT67" s="2617"/>
      <c r="BU67" s="2617"/>
      <c r="BV67" s="2617"/>
      <c r="BW67" s="2617"/>
      <c r="BX67" s="2617"/>
    </row>
    <row r="68" spans="1:76" ht="12" customHeight="1">
      <c r="A68" s="9"/>
      <c r="B68" s="752"/>
      <c r="C68" s="5402"/>
      <c r="D68" s="5196"/>
      <c r="E68" s="5200"/>
      <c r="F68" s="5201"/>
      <c r="G68" s="5201"/>
      <c r="H68" s="5201"/>
      <c r="I68" s="5202"/>
      <c r="J68" s="5198"/>
      <c r="K68" s="5199"/>
      <c r="L68" s="1626" t="str">
        <f>IFERROR(IF(NOT(Tablas!$AK$891),INDEX(Tablas!$AN902:$AP902,1,Tablas!AL902),IF(M68&lt;&gt;"",IF(Tablas!$AK902="Básica",INDEX(Tablas!$AF$903:$AF$905,AG68),IF(Tablas!$AK902="Avanzada",INDEX(Tablas!$AG$903:$AG$904,AG68),"")),"")),"")</f>
        <v/>
      </c>
      <c r="M68" s="1340"/>
      <c r="N68" s="1767" t="str">
        <f>IFERROR(IF(NOT(Tablas!$AK$891),INDEX(Tablas!AP902:AR902,1,Tablas!AN902),IF(O68&lt;&gt;"",IF(Tablas!$AK902="Básica",INDEX(Tablas!$AF$903:$AF$905,AH68),IF(Tablas!$AK902="Avanzada",INDEX(Tablas!$AG$903:$AG$904,AH68),"")),"")),"")</f>
        <v/>
      </c>
      <c r="O68" s="1340"/>
      <c r="P68" s="1642" t="str">
        <f>IFERROR(IF(NOT(Tablas!$AK$891),INDEX(Tablas!AR902:AT902,1,Tablas!AP902),IF(Q68&lt;&gt;"",IF(Tablas!$AK902="Básica",INDEX(Tablas!$AF$903:$AF$905,AI68),IF(Tablas!$AK902="Avanzada",INDEX(Tablas!$AG$903:$AG$904,AI68),"")),"")),"")</f>
        <v/>
      </c>
      <c r="Q68" s="1340"/>
      <c r="R68" s="1642" t="str" cm="1">
        <f t="array" ref="R68">IFERROR(IF(NOT(Tablas!$AK$891),INDEX(Tablas!AT902:AV902,1,Tablas!AR902),IF(S68&lt;&gt;"",IF(Tablas!$AK902="Básica",INDEX(Tablas!$AF$903:$AF$905,AJ68),IF(Tablas!$AK902="Avanzada",INDEX(Tablas!$AG$903:$AG$904,AJ68),"")),"")),"")</f>
        <v/>
      </c>
      <c r="S68" s="1340"/>
      <c r="T68" s="1642" t="str">
        <f>IFERROR(IF(NOT(Tablas!$AK$891),INDEX(Tablas!AV902:AX902,1,Tablas!AT902),IF(U68&lt;&gt;"",IF(Tablas!$AK902="Básica",INDEX(Tablas!$AF$903:$AF$905,AK68),IF(Tablas!$AK902="Avanzada",INDEX(Tablas!$AG$903:$AG$904,AK68),"")),"")),"")</f>
        <v/>
      </c>
      <c r="U68" s="1340"/>
      <c r="V68" s="5282" t="str">
        <f t="shared" si="23"/>
        <v/>
      </c>
      <c r="W68" s="5283"/>
      <c r="X68" s="5283"/>
      <c r="Y68" s="5283"/>
      <c r="Z68" s="5283"/>
      <c r="AA68" s="5284"/>
      <c r="AB68" s="1550"/>
      <c r="AC68" s="769"/>
      <c r="AD68" s="2265">
        <f t="shared" si="24"/>
        <v>0</v>
      </c>
      <c r="AE68" s="3632" t="str">
        <f>Tablas!$AK902</f>
        <v/>
      </c>
      <c r="AF68" s="2265">
        <f>COUNTIF($E$59:$E68,E68)</f>
        <v>0</v>
      </c>
      <c r="AG68" s="3633">
        <f>Tablas!$AQ902</f>
        <v>1</v>
      </c>
      <c r="AH68" s="3633">
        <f>Tablas!$AV902</f>
        <v>1</v>
      </c>
      <c r="AI68" s="3633">
        <f>Tablas!$BA902</f>
        <v>1</v>
      </c>
      <c r="AJ68" s="3633">
        <f>Tablas!$BF902</f>
        <v>1</v>
      </c>
      <c r="AK68" s="3633">
        <f>Tablas!$BK902</f>
        <v>1</v>
      </c>
      <c r="AL68" s="530" t="b">
        <f>Tablas!BL902=1</f>
        <v>0</v>
      </c>
      <c r="AY68" s="530"/>
      <c r="AZ68" s="530"/>
      <c r="BA68" s="530"/>
      <c r="BB68" s="530"/>
      <c r="BC68" s="530"/>
      <c r="BD68" s="2617"/>
      <c r="BE68" s="2617"/>
      <c r="BF68" s="2617"/>
      <c r="BG68" s="2617"/>
      <c r="BH68" s="2617"/>
      <c r="BI68" s="2617"/>
      <c r="BJ68" s="2617"/>
      <c r="BK68" s="2617"/>
      <c r="BL68" s="2617"/>
      <c r="BM68" s="2617"/>
      <c r="BN68" s="2617"/>
      <c r="BO68" s="2617"/>
      <c r="BP68" s="2617"/>
      <c r="BQ68" s="2617"/>
      <c r="BR68" s="2617"/>
      <c r="BS68" s="2617"/>
      <c r="BT68" s="2617"/>
      <c r="BU68" s="2617"/>
      <c r="BV68" s="2617"/>
      <c r="BW68" s="2617"/>
      <c r="BX68" s="2617"/>
    </row>
    <row r="69" spans="1:76" ht="12" customHeight="1">
      <c r="A69" s="9"/>
      <c r="B69" s="752"/>
      <c r="C69" s="5402"/>
      <c r="D69" s="5196"/>
      <c r="E69" s="5203"/>
      <c r="F69" s="5204"/>
      <c r="G69" s="5204"/>
      <c r="H69" s="5204"/>
      <c r="I69" s="5205"/>
      <c r="J69" s="5206"/>
      <c r="K69" s="5207"/>
      <c r="L69" s="459" t="str">
        <f>IFERROR(IF(NOT(Tablas!$AK$891),INDEX(Tablas!$AN903:$AP903,1,Tablas!AL903),IF(M69&lt;&gt;"",IF(Tablas!$AK903="Básica",INDEX(Tablas!$AF$903:$AF$905,AG69),IF(Tablas!$AK903="Avanzada",INDEX(Tablas!$AG$903:$AG$904,AG69),"")),"")),"")</f>
        <v/>
      </c>
      <c r="M69" s="1352"/>
      <c r="N69" s="1772" t="str">
        <f>IFERROR(IF(NOT(Tablas!$AK$891),INDEX(Tablas!AP903:AR903,1,Tablas!AN903),IF(O69&lt;&gt;"",IF(Tablas!$AK903="Básica",INDEX(Tablas!$AF$903:$AF$905,AH69),IF(Tablas!$AK903="Avanzada",INDEX(Tablas!$AG$903:$AG$904,AH69),"")),"")),"")</f>
        <v/>
      </c>
      <c r="O69" s="1352"/>
      <c r="P69" s="54" t="str">
        <f>IFERROR(IF(NOT(Tablas!$AK$891),INDEX(Tablas!AR903:AT903,1,Tablas!AP903),IF(Q69&lt;&gt;"",IF(Tablas!$AK903="Básica",INDEX(Tablas!$AF$903:$AF$905,AI69),IF(Tablas!$AK903="Avanzada",INDEX(Tablas!$AG$903:$AG$904,AI69),"")),"")),"")</f>
        <v/>
      </c>
      <c r="Q69" s="1352"/>
      <c r="R69" s="54" t="str" cm="1">
        <f t="array" ref="R69">IFERROR(IF(NOT(Tablas!$AK$891),INDEX(Tablas!AT903:AV903,1,Tablas!AR903),IF(S69&lt;&gt;"",IF(Tablas!$AK903="Básica",INDEX(Tablas!$AF$903:$AF$905,AJ69),IF(Tablas!$AK903="Avanzada",INDEX(Tablas!$AG$903:$AG$904,AJ69),"")),"")),"")</f>
        <v/>
      </c>
      <c r="S69" s="1352"/>
      <c r="T69" s="54" t="str">
        <f>IFERROR(IF(NOT(Tablas!$AK$891),INDEX(Tablas!AV903:AX903,1,Tablas!AT903),IF(U69&lt;&gt;"",IF(Tablas!$AK903="Básica",INDEX(Tablas!$AF$903:$AF$905,AK69),IF(Tablas!$AK903="Avanzada",INDEX(Tablas!$AG$903:$AG$904,AK69),"")),"")),"")</f>
        <v/>
      </c>
      <c r="U69" s="1352"/>
      <c r="V69" s="5285" t="str">
        <f t="shared" si="23"/>
        <v/>
      </c>
      <c r="W69" s="5286"/>
      <c r="X69" s="5286"/>
      <c r="Y69" s="5286"/>
      <c r="Z69" s="5286"/>
      <c r="AA69" s="5287"/>
      <c r="AB69" s="1550"/>
      <c r="AC69" s="769"/>
      <c r="AD69" s="2265">
        <f t="shared" si="24"/>
        <v>0</v>
      </c>
      <c r="AE69" s="3632" t="str">
        <f>Tablas!$AK903</f>
        <v/>
      </c>
      <c r="AF69" s="2265">
        <f>COUNTIF($E$59:$E69,E69)</f>
        <v>0</v>
      </c>
      <c r="AG69" s="3633">
        <f>Tablas!$AQ903</f>
        <v>1</v>
      </c>
      <c r="AH69" s="3633">
        <f>Tablas!$AV903</f>
        <v>1</v>
      </c>
      <c r="AI69" s="3633">
        <f>Tablas!$BA903</f>
        <v>1</v>
      </c>
      <c r="AJ69" s="3633">
        <f>Tablas!$BF903</f>
        <v>1</v>
      </c>
      <c r="AK69" s="3633">
        <f>Tablas!$BK903</f>
        <v>1</v>
      </c>
      <c r="AL69" s="530" t="b">
        <f>Tablas!BL903=1</f>
        <v>0</v>
      </c>
      <c r="AY69" s="530"/>
      <c r="AZ69" s="530"/>
      <c r="BA69" s="530"/>
      <c r="BB69" s="530"/>
      <c r="BC69" s="530"/>
      <c r="BD69" s="2617"/>
      <c r="BE69" s="2617"/>
      <c r="BF69" s="2617"/>
      <c r="BG69" s="2617"/>
      <c r="BH69" s="2617"/>
      <c r="BI69" s="2617"/>
      <c r="BJ69" s="2617"/>
      <c r="BK69" s="2617"/>
      <c r="BL69" s="2617"/>
      <c r="BM69" s="2617"/>
      <c r="BN69" s="2617"/>
      <c r="BO69" s="2617"/>
      <c r="BP69" s="2617"/>
      <c r="BQ69" s="2617"/>
      <c r="BR69" s="2617"/>
      <c r="BS69" s="2617"/>
      <c r="BT69" s="2617"/>
      <c r="BU69" s="2617"/>
      <c r="BV69" s="2617"/>
      <c r="BW69" s="2617"/>
      <c r="BX69" s="2617"/>
    </row>
    <row r="70" spans="1:76" ht="12" customHeight="1">
      <c r="A70" s="9"/>
      <c r="B70" s="752"/>
      <c r="C70" s="5402"/>
      <c r="D70" s="5196"/>
      <c r="E70" s="5200"/>
      <c r="F70" s="5201"/>
      <c r="G70" s="5201"/>
      <c r="H70" s="5201"/>
      <c r="I70" s="5202"/>
      <c r="J70" s="5198"/>
      <c r="K70" s="5199"/>
      <c r="L70" s="1626" t="str">
        <f>IFERROR(IF(NOT(Tablas!$AK$891),INDEX(Tablas!$AN904:$AP904,1,Tablas!AL904),IF(M70&lt;&gt;"",IF(Tablas!$AK904="Básica",INDEX(Tablas!$AF$903:$AF$905,AG70),IF(Tablas!$AK904="Avanzada",INDEX(Tablas!$AG$903:$AG$904,AG70),"")),"")),"")</f>
        <v/>
      </c>
      <c r="M70" s="1340"/>
      <c r="N70" s="1767" t="str">
        <f>IFERROR(IF(NOT(Tablas!$AK$891),INDEX(Tablas!AP904:AR904,1,Tablas!AN904),IF(O70&lt;&gt;"",IF(Tablas!$AK904="Básica",INDEX(Tablas!$AF$903:$AF$905,AH70),IF(Tablas!$AK904="Avanzada",INDEX(Tablas!$AG$903:$AG$904,AH70),"")),"")),"")</f>
        <v/>
      </c>
      <c r="O70" s="1340"/>
      <c r="P70" s="1642" t="str">
        <f>IFERROR(IF(NOT(Tablas!$AK$891),INDEX(Tablas!AR904:AT904,1,Tablas!AP904),IF(Q70&lt;&gt;"",IF(Tablas!$AK904="Básica",INDEX(Tablas!$AF$903:$AF$905,AI70),IF(Tablas!$AK904="Avanzada",INDEX(Tablas!$AG$903:$AG$904,AI70),"")),"")),"")</f>
        <v/>
      </c>
      <c r="Q70" s="1340"/>
      <c r="R70" s="1642" t="str" cm="1">
        <f t="array" ref="R70">IFERROR(IF(NOT(Tablas!$AK$891),INDEX(Tablas!AT904:AV904,1,Tablas!AR904),IF(S70&lt;&gt;"",IF(Tablas!$AK904="Básica",INDEX(Tablas!$AF$903:$AF$905,AJ70),IF(Tablas!$AK904="Avanzada",INDEX(Tablas!$AG$903:$AG$904,AJ70),"")),"")),"")</f>
        <v/>
      </c>
      <c r="S70" s="1340"/>
      <c r="T70" s="1642" t="str">
        <f>IFERROR(IF(NOT(Tablas!$AK$891),INDEX(Tablas!AV904:AX904,1,Tablas!AT904),IF(U70&lt;&gt;"",IF(Tablas!$AK904="Básica",INDEX(Tablas!$AF$903:$AF$905,AK70),IF(Tablas!$AK904="Avanzada",INDEX(Tablas!$AG$903:$AG$904,AK70),"")),"")),"")</f>
        <v/>
      </c>
      <c r="U70" s="1340"/>
      <c r="V70" s="5282" t="str">
        <f t="shared" si="23"/>
        <v/>
      </c>
      <c r="W70" s="5283"/>
      <c r="X70" s="5283"/>
      <c r="Y70" s="5283"/>
      <c r="Z70" s="5283"/>
      <c r="AA70" s="5284"/>
      <c r="AB70" s="1550"/>
      <c r="AC70" s="769"/>
      <c r="AD70" s="2265">
        <f t="shared" si="24"/>
        <v>0</v>
      </c>
      <c r="AE70" s="3632" t="str">
        <f>Tablas!$AK904</f>
        <v/>
      </c>
      <c r="AF70" s="2265">
        <f>COUNTIF($E$59:$E70,E70)</f>
        <v>0</v>
      </c>
      <c r="AG70" s="3633">
        <f>Tablas!$AQ904</f>
        <v>1</v>
      </c>
      <c r="AH70" s="3633">
        <f>Tablas!$AV904</f>
        <v>1</v>
      </c>
      <c r="AI70" s="3633">
        <f>Tablas!$BA904</f>
        <v>1</v>
      </c>
      <c r="AJ70" s="3633">
        <f>Tablas!$BF904</f>
        <v>1</v>
      </c>
      <c r="AK70" s="3633">
        <f>Tablas!$BK904</f>
        <v>1</v>
      </c>
      <c r="AL70" s="530" t="b">
        <f>Tablas!BL904=1</f>
        <v>0</v>
      </c>
      <c r="AY70" s="530"/>
      <c r="AZ70" s="530"/>
      <c r="BA70" s="530"/>
      <c r="BB70" s="530"/>
      <c r="BC70" s="530"/>
      <c r="BD70" s="2617"/>
      <c r="BE70" s="2617"/>
      <c r="BF70" s="2617"/>
      <c r="BG70" s="2617"/>
      <c r="BH70" s="2617"/>
      <c r="BI70" s="2617"/>
      <c r="BJ70" s="2617"/>
      <c r="BK70" s="2617"/>
      <c r="BL70" s="2617"/>
      <c r="BM70" s="2617"/>
      <c r="BN70" s="2617"/>
      <c r="BO70" s="2617"/>
      <c r="BP70" s="2617"/>
      <c r="BQ70" s="2617"/>
      <c r="BR70" s="2617"/>
      <c r="BS70" s="2617"/>
      <c r="BT70" s="2617"/>
      <c r="BU70" s="2617"/>
      <c r="BV70" s="2617"/>
      <c r="BW70" s="2617"/>
      <c r="BX70" s="2617"/>
    </row>
    <row r="71" spans="1:76" ht="12" customHeight="1">
      <c r="A71" s="9"/>
      <c r="B71" s="752"/>
      <c r="C71" s="5402"/>
      <c r="D71" s="5196"/>
      <c r="E71" s="5203"/>
      <c r="F71" s="5204"/>
      <c r="G71" s="5204"/>
      <c r="H71" s="5204"/>
      <c r="I71" s="5205"/>
      <c r="J71" s="5206"/>
      <c r="K71" s="5207"/>
      <c r="L71" s="459" t="str">
        <f>IFERROR(IF(NOT(Tablas!$AK$891),INDEX(Tablas!$AN905:$AP905,1,Tablas!AL905),IF(M71&lt;&gt;"",IF(Tablas!$AK905="Básica",INDEX(Tablas!$AF$903:$AF$905,AG71),IF(Tablas!$AK905="Avanzada",INDEX(Tablas!$AG$903:$AG$904,AG71),"")),"")),"")</f>
        <v/>
      </c>
      <c r="M71" s="1352"/>
      <c r="N71" s="1772" t="str">
        <f>IFERROR(IF(NOT(Tablas!$AK$891),INDEX(Tablas!AP905:AR905,1,Tablas!AN905),IF(O71&lt;&gt;"",IF(Tablas!$AK905="Básica",INDEX(Tablas!$AF$903:$AF$905,AH71),IF(Tablas!$AK905="Avanzada",INDEX(Tablas!$AG$903:$AG$904,AH71),"")),"")),"")</f>
        <v/>
      </c>
      <c r="O71" s="1352"/>
      <c r="P71" s="54" t="str">
        <f>IFERROR(IF(NOT(Tablas!$AK$891),INDEX(Tablas!AR905:AT905,1,Tablas!AP905),IF(Q71&lt;&gt;"",IF(Tablas!$AK905="Básica",INDEX(Tablas!$AF$903:$AF$905,AI71),IF(Tablas!$AK905="Avanzada",INDEX(Tablas!$AG$903:$AG$904,AI71),"")),"")),"")</f>
        <v/>
      </c>
      <c r="Q71" s="1352"/>
      <c r="R71" s="54" t="str" cm="1">
        <f t="array" ref="R71">IFERROR(IF(NOT(Tablas!$AK$891),INDEX(Tablas!AT905:AV905,1,Tablas!AR905),IF(S71&lt;&gt;"",IF(Tablas!$AK905="Básica",INDEX(Tablas!$AF$903:$AF$905,AJ71),IF(Tablas!$AK905="Avanzada",INDEX(Tablas!$AG$903:$AG$904,AJ71),"")),"")),"")</f>
        <v/>
      </c>
      <c r="S71" s="1352"/>
      <c r="T71" s="54" t="str">
        <f>IFERROR(IF(NOT(Tablas!$AK$891),INDEX(Tablas!AV905:AX905,1,Tablas!AT905),IF(U71&lt;&gt;"",IF(Tablas!$AK905="Básica",INDEX(Tablas!$AF$903:$AF$905,AK71),IF(Tablas!$AK905="Avanzada",INDEX(Tablas!$AG$903:$AG$904,AK71),"")),"")),"")</f>
        <v/>
      </c>
      <c r="U71" s="1352"/>
      <c r="V71" s="5285" t="str">
        <f t="shared" si="23"/>
        <v/>
      </c>
      <c r="W71" s="5286"/>
      <c r="X71" s="5286"/>
      <c r="Y71" s="5286"/>
      <c r="Z71" s="5286"/>
      <c r="AA71" s="5287"/>
      <c r="AB71" s="1550"/>
      <c r="AC71" s="769"/>
      <c r="AD71" s="2265">
        <f t="shared" si="24"/>
        <v>0</v>
      </c>
      <c r="AE71" s="3632" t="str">
        <f>Tablas!$AK905</f>
        <v/>
      </c>
      <c r="AF71" s="2265">
        <f>COUNTIF($E$59:$E71,E71)</f>
        <v>0</v>
      </c>
      <c r="AG71" s="3633">
        <f>Tablas!$AQ905</f>
        <v>1</v>
      </c>
      <c r="AH71" s="3633">
        <f>Tablas!$AV905</f>
        <v>1</v>
      </c>
      <c r="AI71" s="3633">
        <f>Tablas!$BA905</f>
        <v>1</v>
      </c>
      <c r="AJ71" s="3633">
        <f>Tablas!$BF905</f>
        <v>1</v>
      </c>
      <c r="AK71" s="3633">
        <f>Tablas!$BK905</f>
        <v>1</v>
      </c>
      <c r="AL71" s="530" t="b">
        <f>Tablas!BL905=1</f>
        <v>0</v>
      </c>
      <c r="AY71" s="530"/>
      <c r="AZ71" s="530"/>
      <c r="BA71" s="530"/>
      <c r="BB71" s="530"/>
      <c r="BC71" s="530"/>
      <c r="BD71" s="2617"/>
      <c r="BE71" s="2617"/>
      <c r="BF71" s="2617"/>
      <c r="BG71" s="2617"/>
      <c r="BH71" s="2617"/>
      <c r="BI71" s="2617"/>
      <c r="BJ71" s="2617"/>
      <c r="BK71" s="2617"/>
      <c r="BL71" s="2617"/>
      <c r="BM71" s="2617"/>
      <c r="BN71" s="2617"/>
      <c r="BO71" s="2617"/>
      <c r="BP71" s="2617"/>
      <c r="BQ71" s="2617"/>
      <c r="BR71" s="2617"/>
      <c r="BS71" s="2617"/>
      <c r="BT71" s="2617"/>
      <c r="BU71" s="2617"/>
      <c r="BV71" s="2617"/>
      <c r="BW71" s="2617"/>
      <c r="BX71" s="2617"/>
    </row>
    <row r="72" spans="1:76" s="14" customFormat="1" ht="12" customHeight="1">
      <c r="A72" s="9"/>
      <c r="B72" s="752"/>
      <c r="C72" s="5402"/>
      <c r="D72" s="5196"/>
      <c r="E72" s="5200"/>
      <c r="F72" s="5201"/>
      <c r="G72" s="5201"/>
      <c r="H72" s="5201"/>
      <c r="I72" s="5202"/>
      <c r="J72" s="5198"/>
      <c r="K72" s="5199"/>
      <c r="L72" s="1626" t="str">
        <f>IFERROR(IF(NOT(Tablas!$AK$891),INDEX(Tablas!$AN906:$AP906,1,Tablas!AL906),IF(M72&lt;&gt;"",IF(Tablas!$AK906="Básica",INDEX(Tablas!$AF$903:$AF$905,AG72),IF(Tablas!$AK906="Avanzada",INDEX(Tablas!$AG$903:$AG$904,AG72),"")),"")),"")</f>
        <v/>
      </c>
      <c r="M72" s="1340"/>
      <c r="N72" s="1767" t="str">
        <f>IFERROR(IF(NOT(Tablas!$AK$891),INDEX(Tablas!AP906:AR906,1,Tablas!AN906),IF(O72&lt;&gt;"",IF(Tablas!$AK906="Básica",INDEX(Tablas!$AF$903:$AF$905,AH72),IF(Tablas!$AK906="Avanzada",INDEX(Tablas!$AG$903:$AG$904,AH72),"")),"")),"")</f>
        <v/>
      </c>
      <c r="O72" s="1340"/>
      <c r="P72" s="1642" t="str">
        <f>IFERROR(IF(NOT(Tablas!$AK$891),INDEX(Tablas!AR906:AT906,1,Tablas!AP906),IF(Q72&lt;&gt;"",IF(Tablas!$AK906="Básica",INDEX(Tablas!$AF$903:$AF$905,AI72),IF(Tablas!$AK906="Avanzada",INDEX(Tablas!$AG$903:$AG$904,AI72),"")),"")),"")</f>
        <v/>
      </c>
      <c r="Q72" s="1340"/>
      <c r="R72" s="1642" t="str" cm="1">
        <f t="array" ref="R72">IFERROR(IF(NOT(Tablas!$AK$891),INDEX(Tablas!AT906:AV906,1,Tablas!AR906),IF(S72&lt;&gt;"",IF(Tablas!$AK906="Básica",INDEX(Tablas!$AF$903:$AF$905,AJ72),IF(Tablas!$AK906="Avanzada",INDEX(Tablas!$AG$903:$AG$904,AJ72),"")),"")),"")</f>
        <v/>
      </c>
      <c r="S72" s="1340"/>
      <c r="T72" s="1642" t="str">
        <f>IFERROR(IF(NOT(Tablas!$AK$891),INDEX(Tablas!AV906:AX906,1,Tablas!AT906),IF(U72&lt;&gt;"",IF(Tablas!$AK906="Básica",INDEX(Tablas!$AF$903:$AF$905,AK72),IF(Tablas!$AK906="Avanzada",INDEX(Tablas!$AG$903:$AG$904,AK72),"")),"")),"")</f>
        <v/>
      </c>
      <c r="U72" s="1340"/>
      <c r="V72" s="5282" t="str">
        <f t="shared" si="23"/>
        <v/>
      </c>
      <c r="W72" s="5283"/>
      <c r="X72" s="5283"/>
      <c r="Y72" s="5283"/>
      <c r="Z72" s="5283"/>
      <c r="AA72" s="5284"/>
      <c r="AB72" s="1550"/>
      <c r="AC72" s="769"/>
      <c r="AD72" s="2265">
        <f t="shared" si="24"/>
        <v>0</v>
      </c>
      <c r="AE72" s="3632" t="str">
        <f>Tablas!$AK906</f>
        <v/>
      </c>
      <c r="AF72" s="2265">
        <f>COUNTIF($E$59:$E72,E72)</f>
        <v>0</v>
      </c>
      <c r="AG72" s="3633">
        <f>Tablas!$AQ906</f>
        <v>1</v>
      </c>
      <c r="AH72" s="3633">
        <f>Tablas!$AV906</f>
        <v>1</v>
      </c>
      <c r="AI72" s="3633">
        <f>Tablas!$BA906</f>
        <v>1</v>
      </c>
      <c r="AJ72" s="3633">
        <f>Tablas!$BF906</f>
        <v>1</v>
      </c>
      <c r="AK72" s="3633">
        <f>Tablas!$BK906</f>
        <v>1</v>
      </c>
      <c r="AL72" s="530" t="b">
        <f>Tablas!BL906=1</f>
        <v>0</v>
      </c>
      <c r="AQ72" s="21"/>
      <c r="AS72" s="21"/>
      <c r="AT72" s="21"/>
      <c r="AU72" s="21"/>
      <c r="AV72" s="21"/>
      <c r="AY72" s="628"/>
      <c r="AZ72" s="628"/>
      <c r="BA72" s="628"/>
      <c r="BB72" s="628"/>
      <c r="BC72" s="628"/>
      <c r="BD72" s="2616"/>
      <c r="BE72" s="2616"/>
      <c r="BF72" s="2616"/>
      <c r="BG72" s="2616"/>
      <c r="BH72" s="2616"/>
      <c r="BI72" s="2616"/>
      <c r="BJ72" s="2616"/>
      <c r="BK72" s="2616"/>
      <c r="BL72" s="2616"/>
      <c r="BM72" s="2616"/>
      <c r="BN72" s="2616"/>
      <c r="BO72" s="2616"/>
      <c r="BP72" s="2616"/>
      <c r="BQ72" s="2616"/>
      <c r="BR72" s="2616"/>
      <c r="BS72" s="2616"/>
      <c r="BT72" s="2616"/>
      <c r="BU72" s="2616"/>
      <c r="BV72" s="2616"/>
      <c r="BW72" s="2616"/>
      <c r="BX72" s="2616"/>
    </row>
    <row r="73" spans="1:76" s="14" customFormat="1" ht="12" customHeight="1">
      <c r="A73" s="4"/>
      <c r="B73" s="831"/>
      <c r="C73" s="5402"/>
      <c r="D73" s="5196"/>
      <c r="E73" s="5203"/>
      <c r="F73" s="5204"/>
      <c r="G73" s="5204"/>
      <c r="H73" s="5204"/>
      <c r="I73" s="5205"/>
      <c r="J73" s="5206"/>
      <c r="K73" s="5207"/>
      <c r="L73" s="459" t="str">
        <f>IFERROR(IF(NOT(Tablas!$AK$891),INDEX(Tablas!$AN907:$AP907,1,Tablas!AL907),IF(M73&lt;&gt;"",IF(Tablas!$AK907="Básica",INDEX(Tablas!$AF$903:$AF$905,AG73),IF(Tablas!$AK907="Avanzada",INDEX(Tablas!$AG$903:$AG$904,AG73),"")),"")),"")</f>
        <v/>
      </c>
      <c r="M73" s="1352"/>
      <c r="N73" s="1772" t="str">
        <f>IFERROR(IF(NOT(Tablas!$AK$891),INDEX(Tablas!AP907:AR907,1,Tablas!AN907),IF(O73&lt;&gt;"",IF(Tablas!$AK907="Básica",INDEX(Tablas!$AF$903:$AF$905,AH73),IF(Tablas!$AK907="Avanzada",INDEX(Tablas!$AG$903:$AG$904,AH73),"")),"")),"")</f>
        <v/>
      </c>
      <c r="O73" s="1352"/>
      <c r="P73" s="54" t="str">
        <f>IFERROR(IF(NOT(Tablas!$AK$891),INDEX(Tablas!AR907:AT907,1,Tablas!AP907),IF(Q73&lt;&gt;"",IF(Tablas!$AK907="Básica",INDEX(Tablas!$AF$903:$AF$905,AI73),IF(Tablas!$AK907="Avanzada",INDEX(Tablas!$AG$903:$AG$904,AI73),"")),"")),"")</f>
        <v/>
      </c>
      <c r="Q73" s="1352"/>
      <c r="R73" s="54" t="str" cm="1">
        <f t="array" ref="R73">IFERROR(IF(NOT(Tablas!$AK$891),INDEX(Tablas!AT907:AV907,1,Tablas!AR907),IF(S73&lt;&gt;"",IF(Tablas!$AK907="Básica",INDEX(Tablas!$AF$903:$AF$905,AJ73),IF(Tablas!$AK907="Avanzada",INDEX(Tablas!$AG$903:$AG$904,AJ73),"")),"")),"")</f>
        <v/>
      </c>
      <c r="S73" s="1352"/>
      <c r="T73" s="54" t="str">
        <f>IFERROR(IF(NOT(Tablas!$AK$891),INDEX(Tablas!AV907:AX907,1,Tablas!AT907),IF(U73&lt;&gt;"",IF(Tablas!$AK907="Básica",INDEX(Tablas!$AF$903:$AF$905,AK73),IF(Tablas!$AK907="Avanzada",INDEX(Tablas!$AG$903:$AG$904,AK73),"")),"")),"")</f>
        <v/>
      </c>
      <c r="U73" s="1352"/>
      <c r="V73" s="5285" t="str">
        <f t="shared" si="23"/>
        <v/>
      </c>
      <c r="W73" s="5286"/>
      <c r="X73" s="5286"/>
      <c r="Y73" s="5286"/>
      <c r="Z73" s="5286"/>
      <c r="AA73" s="5287"/>
      <c r="AB73" s="1550"/>
      <c r="AC73" s="769"/>
      <c r="AD73" s="2265">
        <f t="shared" si="24"/>
        <v>0</v>
      </c>
      <c r="AE73" s="3632" t="str">
        <f>Tablas!$AK907</f>
        <v/>
      </c>
      <c r="AF73" s="2265">
        <f>COUNTIF($E$59:$E73,E73)</f>
        <v>0</v>
      </c>
      <c r="AG73" s="3633">
        <f>Tablas!$AQ907</f>
        <v>1</v>
      </c>
      <c r="AH73" s="3633">
        <f>Tablas!$AV907</f>
        <v>1</v>
      </c>
      <c r="AI73" s="3633">
        <f>Tablas!$BA907</f>
        <v>1</v>
      </c>
      <c r="AJ73" s="3633">
        <f>Tablas!$BF907</f>
        <v>1</v>
      </c>
      <c r="AK73" s="3633">
        <f>Tablas!$BK907</f>
        <v>1</v>
      </c>
      <c r="AL73" s="530" t="b">
        <f>Tablas!BL907=1</f>
        <v>0</v>
      </c>
      <c r="AY73" s="628"/>
      <c r="AZ73" s="628"/>
      <c r="BA73" s="628"/>
      <c r="BB73" s="628"/>
      <c r="BC73" s="628"/>
      <c r="BD73" s="2616"/>
      <c r="BE73" s="2616"/>
      <c r="BF73" s="2616"/>
      <c r="BG73" s="2616"/>
      <c r="BH73" s="2616"/>
      <c r="BI73" s="2616"/>
      <c r="BJ73" s="2616"/>
      <c r="BK73" s="2616"/>
      <c r="BL73" s="2616"/>
      <c r="BM73" s="2616"/>
      <c r="BN73" s="2616"/>
      <c r="BO73" s="2616"/>
      <c r="BP73" s="2616"/>
      <c r="BQ73" s="2616"/>
      <c r="BR73" s="2616"/>
      <c r="BS73" s="2616"/>
      <c r="BT73" s="2616"/>
      <c r="BU73" s="2616"/>
      <c r="BV73" s="2616"/>
      <c r="BW73" s="2616"/>
      <c r="BX73" s="2616"/>
    </row>
    <row r="74" spans="1:76" s="14" customFormat="1" ht="12" customHeight="1">
      <c r="A74" s="4"/>
      <c r="B74" s="831"/>
      <c r="C74" s="5402"/>
      <c r="D74" s="5196"/>
      <c r="E74" s="5200"/>
      <c r="F74" s="5201"/>
      <c r="G74" s="5201"/>
      <c r="H74" s="5201"/>
      <c r="I74" s="5202"/>
      <c r="J74" s="5198"/>
      <c r="K74" s="5199"/>
      <c r="L74" s="1626" t="str">
        <f>IFERROR(IF(NOT(Tablas!$AK$891),INDEX(Tablas!$AN908:$AP908,1,Tablas!AL908),IF(M74&lt;&gt;"",IF(Tablas!$AK908="Básica",INDEX(Tablas!$AF$903:$AF$905,AG74),IF(Tablas!$AK908="Avanzada",INDEX(Tablas!$AG$903:$AG$904,AG74),"")),"")),"")</f>
        <v/>
      </c>
      <c r="M74" s="1340"/>
      <c r="N74" s="1767" t="str">
        <f>IFERROR(IF(NOT(Tablas!$AK$891),INDEX(Tablas!AP908:AR908,1,Tablas!AN908),IF(O74&lt;&gt;"",IF(Tablas!$AK908="Básica",INDEX(Tablas!$AF$903:$AF$905,AH74),IF(Tablas!$AK908="Avanzada",INDEX(Tablas!$AG$903:$AG$904,AH74),"")),"")),"")</f>
        <v/>
      </c>
      <c r="O74" s="1340"/>
      <c r="P74" s="1642" t="str">
        <f>IFERROR(IF(NOT(Tablas!$AK$891),INDEX(Tablas!AR908:AT908,1,Tablas!AP908),IF(Q74&lt;&gt;"",IF(Tablas!$AK908="Básica",INDEX(Tablas!$AF$903:$AF$905,AI74),IF(Tablas!$AK908="Avanzada",INDEX(Tablas!$AG$903:$AG$904,AI74),"")),"")),"")</f>
        <v/>
      </c>
      <c r="Q74" s="1340"/>
      <c r="R74" s="1642" t="str" cm="1">
        <f t="array" ref="R74">IFERROR(IF(NOT(Tablas!$AK$891),INDEX(Tablas!AT908:AV908,1,Tablas!AR908),IF(S74&lt;&gt;"",IF(Tablas!$AK908="Básica",INDEX(Tablas!$AF$903:$AF$905,AJ74),IF(Tablas!$AK908="Avanzada",INDEX(Tablas!$AG$903:$AG$904,AJ74),"")),"")),"")</f>
        <v/>
      </c>
      <c r="S74" s="1340"/>
      <c r="T74" s="1642" t="str">
        <f>IFERROR(IF(NOT(Tablas!$AK$891),INDEX(Tablas!AV908:AX908,1,Tablas!AT908),IF(U74&lt;&gt;"",IF(Tablas!$AK908="Básica",INDEX(Tablas!$AF$903:$AF$905,AK74),IF(Tablas!$AK908="Avanzada",INDEX(Tablas!$AG$903:$AG$904,AK74),"")),"")),"")</f>
        <v/>
      </c>
      <c r="U74" s="1340"/>
      <c r="V74" s="5282" t="str">
        <f t="shared" si="23"/>
        <v/>
      </c>
      <c r="W74" s="5283"/>
      <c r="X74" s="5283"/>
      <c r="Y74" s="5283"/>
      <c r="Z74" s="5283"/>
      <c r="AA74" s="5284"/>
      <c r="AB74" s="1550"/>
      <c r="AC74" s="769"/>
      <c r="AD74" s="2265">
        <f t="shared" si="24"/>
        <v>0</v>
      </c>
      <c r="AE74" s="3632" t="str">
        <f>Tablas!$AK908</f>
        <v/>
      </c>
      <c r="AF74" s="2265">
        <f>COUNTIF($E$59:$E74,E74)</f>
        <v>0</v>
      </c>
      <c r="AG74" s="3633">
        <f>Tablas!$AQ908</f>
        <v>1</v>
      </c>
      <c r="AH74" s="3633">
        <f>Tablas!$AV908</f>
        <v>1</v>
      </c>
      <c r="AI74" s="3633">
        <f>Tablas!$BA908</f>
        <v>1</v>
      </c>
      <c r="AJ74" s="3633">
        <f>Tablas!$BF908</f>
        <v>1</v>
      </c>
      <c r="AK74" s="3633">
        <f>Tablas!$BK908</f>
        <v>1</v>
      </c>
      <c r="AL74" s="530" t="b">
        <f>Tablas!BL908=1</f>
        <v>0</v>
      </c>
      <c r="AY74" s="628"/>
      <c r="AZ74" s="628"/>
      <c r="BA74" s="628"/>
      <c r="BB74" s="628"/>
      <c r="BC74" s="628"/>
      <c r="BD74" s="2616"/>
      <c r="BE74" s="2616"/>
      <c r="BF74" s="2616"/>
      <c r="BG74" s="2616"/>
      <c r="BH74" s="2616"/>
      <c r="BI74" s="2616"/>
      <c r="BJ74" s="2616"/>
      <c r="BK74" s="2616"/>
      <c r="BL74" s="2616"/>
      <c r="BM74" s="2616"/>
      <c r="BN74" s="2616"/>
      <c r="BO74" s="2616"/>
      <c r="BP74" s="2616"/>
      <c r="BQ74" s="2616"/>
      <c r="BR74" s="2616"/>
      <c r="BS74" s="2616"/>
      <c r="BT74" s="2616"/>
      <c r="BU74" s="2616"/>
      <c r="BV74" s="2616"/>
      <c r="BW74" s="2616"/>
      <c r="BX74" s="2616"/>
    </row>
    <row r="75" spans="1:76" s="14" customFormat="1" ht="12" customHeight="1">
      <c r="A75" s="4"/>
      <c r="B75" s="831"/>
      <c r="C75" s="5402"/>
      <c r="D75" s="5196"/>
      <c r="E75" s="5203"/>
      <c r="F75" s="5204"/>
      <c r="G75" s="5204"/>
      <c r="H75" s="5204"/>
      <c r="I75" s="5205"/>
      <c r="J75" s="5206"/>
      <c r="K75" s="5207"/>
      <c r="L75" s="459" t="str">
        <f>IFERROR(IF(NOT(Tablas!$AK$891),INDEX(Tablas!$AN909:$AP909,1,Tablas!AL909),IF(M75&lt;&gt;"",IF(Tablas!$AK909="Básica",INDEX(Tablas!$AF$903:$AF$905,AG75),IF(Tablas!$AK909="Avanzada",INDEX(Tablas!$AG$903:$AG$904,AG75),"")),"")),"")</f>
        <v/>
      </c>
      <c r="M75" s="1352"/>
      <c r="N75" s="1772" t="str">
        <f>IFERROR(IF(NOT(Tablas!$AK$891),INDEX(Tablas!AP909:AR909,1,Tablas!AN909),IF(O75&lt;&gt;"",IF(Tablas!$AK909="Básica",INDEX(Tablas!$AF$903:$AF$905,AH75),IF(Tablas!$AK909="Avanzada",INDEX(Tablas!$AG$903:$AG$904,AH75),"")),"")),"")</f>
        <v/>
      </c>
      <c r="O75" s="1352"/>
      <c r="P75" s="54" t="str">
        <f>IFERROR(IF(NOT(Tablas!$AK$891),INDEX(Tablas!AR909:AT909,1,Tablas!AP909),IF(Q75&lt;&gt;"",IF(Tablas!$AK909="Básica",INDEX(Tablas!$AF$903:$AF$905,AI75),IF(Tablas!$AK909="Avanzada",INDEX(Tablas!$AG$903:$AG$904,AI75),"")),"")),"")</f>
        <v/>
      </c>
      <c r="Q75" s="1352"/>
      <c r="R75" s="54" t="str" cm="1">
        <f t="array" ref="R75">IFERROR(IF(NOT(Tablas!$AK$891),INDEX(Tablas!AT909:AV909,1,Tablas!AR909),IF(S75&lt;&gt;"",IF(Tablas!$AK909="Básica",INDEX(Tablas!$AF$903:$AF$905,AJ75),IF(Tablas!$AK909="Avanzada",INDEX(Tablas!$AG$903:$AG$904,AJ75),"")),"")),"")</f>
        <v/>
      </c>
      <c r="S75" s="1352"/>
      <c r="T75" s="54" t="str">
        <f>IFERROR(IF(NOT(Tablas!$AK$891),INDEX(Tablas!AV909:AX909,1,Tablas!AT909),IF(U75&lt;&gt;"",IF(Tablas!$AK909="Básica",INDEX(Tablas!$AF$903:$AF$905,AK75),IF(Tablas!$AK909="Avanzada",INDEX(Tablas!$AG$903:$AG$904,AK75),"")),"")),"")</f>
        <v/>
      </c>
      <c r="U75" s="1352"/>
      <c r="V75" s="5285" t="str">
        <f t="shared" si="23"/>
        <v/>
      </c>
      <c r="W75" s="5286"/>
      <c r="X75" s="5286"/>
      <c r="Y75" s="5286"/>
      <c r="Z75" s="5286"/>
      <c r="AA75" s="5287"/>
      <c r="AB75" s="1550"/>
      <c r="AC75" s="769"/>
      <c r="AD75" s="2265">
        <f t="shared" si="24"/>
        <v>0</v>
      </c>
      <c r="AE75" s="3632" t="str">
        <f>Tablas!$AK909</f>
        <v/>
      </c>
      <c r="AF75" s="2265">
        <f>COUNTIF($E$59:$E75,E75)</f>
        <v>0</v>
      </c>
      <c r="AG75" s="3633">
        <f>Tablas!$AQ909</f>
        <v>1</v>
      </c>
      <c r="AH75" s="3633">
        <f>Tablas!$AV909</f>
        <v>1</v>
      </c>
      <c r="AI75" s="3633">
        <f>Tablas!$BA909</f>
        <v>1</v>
      </c>
      <c r="AJ75" s="3633">
        <f>Tablas!$BF909</f>
        <v>1</v>
      </c>
      <c r="AK75" s="3633">
        <f>Tablas!$BK909</f>
        <v>1</v>
      </c>
      <c r="AL75" s="530" t="b">
        <f>Tablas!BL909=1</f>
        <v>0</v>
      </c>
      <c r="AY75" s="628"/>
      <c r="AZ75" s="628"/>
      <c r="BA75" s="628"/>
      <c r="BB75" s="628"/>
      <c r="BC75" s="628"/>
      <c r="BD75" s="2616"/>
      <c r="BE75" s="2616"/>
      <c r="BF75" s="2616"/>
      <c r="BG75" s="2616"/>
      <c r="BH75" s="2616"/>
      <c r="BI75" s="2616"/>
      <c r="BJ75" s="2616"/>
      <c r="BK75" s="2616"/>
      <c r="BL75" s="2616"/>
      <c r="BM75" s="2616"/>
      <c r="BN75" s="2616"/>
      <c r="BO75" s="2616"/>
      <c r="BP75" s="2616"/>
      <c r="BQ75" s="2616"/>
      <c r="BR75" s="2616"/>
      <c r="BS75" s="2616"/>
      <c r="BT75" s="2616"/>
      <c r="BU75" s="2616"/>
      <c r="BV75" s="2616"/>
      <c r="BW75" s="2616"/>
      <c r="BX75" s="2616"/>
    </row>
    <row r="76" spans="1:76" s="14" customFormat="1" ht="12" customHeight="1">
      <c r="A76" s="4"/>
      <c r="B76" s="831"/>
      <c r="C76" s="5402"/>
      <c r="D76" s="5196"/>
      <c r="E76" s="5200"/>
      <c r="F76" s="5201"/>
      <c r="G76" s="5201"/>
      <c r="H76" s="5201"/>
      <c r="I76" s="5202"/>
      <c r="J76" s="5198"/>
      <c r="K76" s="5199"/>
      <c r="L76" s="1626" t="str">
        <f>IFERROR(IF(NOT(Tablas!$AK$891),INDEX(Tablas!$AN910:$AP910,1,Tablas!AL910),IF(M76&lt;&gt;"",IF(Tablas!$AK910="Básica",INDEX(Tablas!$AF$903:$AF$905,AG76),IF(Tablas!$AK910="Avanzada",INDEX(Tablas!$AG$903:$AG$904,AG76),"")),"")),"")</f>
        <v/>
      </c>
      <c r="M76" s="1340"/>
      <c r="N76" s="1767" t="str">
        <f>IFERROR(IF(NOT(Tablas!$AK$891),INDEX(Tablas!AP910:AR910,1,Tablas!AN910),IF(O76&lt;&gt;"",IF(Tablas!$AK910="Básica",INDEX(Tablas!$AF$903:$AF$905,AH76),IF(Tablas!$AK910="Avanzada",INDEX(Tablas!$AG$903:$AG$904,AH76),"")),"")),"")</f>
        <v/>
      </c>
      <c r="O76" s="1340"/>
      <c r="P76" s="1642" t="str">
        <f>IFERROR(IF(NOT(Tablas!$AK$891),INDEX(Tablas!AR910:AT910,1,Tablas!AP910),IF(Q76&lt;&gt;"",IF(Tablas!$AK910="Básica",INDEX(Tablas!$AF$903:$AF$905,AI76),IF(Tablas!$AK910="Avanzada",INDEX(Tablas!$AG$903:$AG$904,AI76),"")),"")),"")</f>
        <v/>
      </c>
      <c r="Q76" s="1340"/>
      <c r="R76" s="1642" t="str" cm="1">
        <f t="array" ref="R76">IFERROR(IF(NOT(Tablas!$AK$891),INDEX(Tablas!AT910:AV910,1,Tablas!AR910),IF(S76&lt;&gt;"",IF(Tablas!$AK910="Básica",INDEX(Tablas!$AF$903:$AF$905,AJ76),IF(Tablas!$AK910="Avanzada",INDEX(Tablas!$AG$903:$AG$904,AJ76),"")),"")),"")</f>
        <v/>
      </c>
      <c r="S76" s="1340"/>
      <c r="T76" s="1642" t="str">
        <f>IFERROR(IF(NOT(Tablas!$AK$891),INDEX(Tablas!AV910:AX910,1,Tablas!AT910),IF(U76&lt;&gt;"",IF(Tablas!$AK910="Básica",INDEX(Tablas!$AF$903:$AF$905,AK76),IF(Tablas!$AK910="Avanzada",INDEX(Tablas!$AG$903:$AG$904,AK76),"")),"")),"")</f>
        <v/>
      </c>
      <c r="U76" s="1340"/>
      <c r="V76" s="5282" t="str">
        <f>IF($AD76=0,"",IF(AF76&gt;1,"ARTE MARCIAL REPETIDA",IF(NOT(AL76),"ARTE MARCIAL SIN PAGAR",IF(VLOOKUP($AD76,Tabla_ArtesMarciales,23,FALSE)&lt;&gt;"-","FALTAN REQUISITOS",IF(VLOOKUP($AD76,Tabla_ArtesMarciales,16,FALSE)&gt;55,"Ver",VLOOKUP($AD76,Tabla_ArtesMarciales,11,FALSE))))))</f>
        <v/>
      </c>
      <c r="W76" s="5283"/>
      <c r="X76" s="5283"/>
      <c r="Y76" s="5283"/>
      <c r="Z76" s="5283"/>
      <c r="AA76" s="5284"/>
      <c r="AB76" s="1550"/>
      <c r="AC76" s="769"/>
      <c r="AD76" s="2265">
        <f t="shared" si="24"/>
        <v>0</v>
      </c>
      <c r="AE76" s="3632" t="str">
        <f>Tablas!$AK910</f>
        <v/>
      </c>
      <c r="AF76" s="2265">
        <f>COUNTIF($E$59:$E76,E76)</f>
        <v>0</v>
      </c>
      <c r="AG76" s="3633">
        <f>Tablas!$AQ910</f>
        <v>1</v>
      </c>
      <c r="AH76" s="3633">
        <f>Tablas!$AV910</f>
        <v>1</v>
      </c>
      <c r="AI76" s="3633">
        <f>Tablas!$BA910</f>
        <v>1</v>
      </c>
      <c r="AJ76" s="3633">
        <f>Tablas!$BF910</f>
        <v>1</v>
      </c>
      <c r="AK76" s="3633">
        <f>Tablas!$BK910</f>
        <v>1</v>
      </c>
      <c r="AL76" s="530" t="b">
        <f>Tablas!BL910=1</f>
        <v>0</v>
      </c>
      <c r="AY76" s="628"/>
      <c r="AZ76" s="628"/>
      <c r="BA76" s="628"/>
      <c r="BB76" s="628"/>
      <c r="BC76" s="628"/>
      <c r="BD76" s="2616"/>
      <c r="BE76" s="2616"/>
      <c r="BF76" s="2616"/>
      <c r="BG76" s="2616"/>
      <c r="BH76" s="2616"/>
      <c r="BI76" s="2616"/>
      <c r="BJ76" s="2616"/>
      <c r="BK76" s="2616"/>
      <c r="BL76" s="2616"/>
      <c r="BM76" s="2616"/>
      <c r="BN76" s="2616"/>
      <c r="BO76" s="2616"/>
      <c r="BP76" s="2616"/>
      <c r="BQ76" s="2616"/>
      <c r="BR76" s="2616"/>
      <c r="BS76" s="2616"/>
      <c r="BT76" s="2616"/>
      <c r="BU76" s="2616"/>
      <c r="BV76" s="2616"/>
      <c r="BW76" s="2616"/>
      <c r="BX76" s="2616"/>
    </row>
    <row r="77" spans="1:76" s="14" customFormat="1" ht="12" customHeight="1">
      <c r="A77" s="4"/>
      <c r="B77" s="831"/>
      <c r="C77" s="5402"/>
      <c r="D77" s="5196"/>
      <c r="E77" s="5208"/>
      <c r="F77" s="5209"/>
      <c r="G77" s="5209"/>
      <c r="H77" s="5209"/>
      <c r="I77" s="5210"/>
      <c r="J77" s="5246"/>
      <c r="K77" s="5247"/>
      <c r="L77" s="459" t="str">
        <f>IFERROR(IF(NOT(Tablas!$AK$891),INDEX(Tablas!$AN911:$AP911,1,Tablas!AL911),IF(M77&lt;&gt;"",IF(Tablas!$AK911="Básica",INDEX(Tablas!$AF$903:$AF$905,AG77),IF(Tablas!$AK911="Avanzada",INDEX(Tablas!$AG$903:$AG$904,AG77),"")),"")),"")</f>
        <v/>
      </c>
      <c r="M77" s="1352"/>
      <c r="N77" s="1772" t="str">
        <f>IFERROR(IF(NOT(Tablas!$AK$891),INDEX(Tablas!AP911:AR911,1,Tablas!AN911),IF(O77&lt;&gt;"",IF(Tablas!$AK911="Básica",INDEX(Tablas!$AF$903:$AF$905,AH77),IF(Tablas!$AK911="Avanzada",INDEX(Tablas!$AG$903:$AG$904,AH77),"")),"")),"")</f>
        <v/>
      </c>
      <c r="O77" s="1352"/>
      <c r="P77" s="54" t="str">
        <f>IFERROR(IF(NOT(Tablas!$AK$891),INDEX(Tablas!AR911:AT911,1,Tablas!AP911),IF(Q77&lt;&gt;"",IF(Tablas!$AK911="Básica",INDEX(Tablas!$AF$903:$AF$905,AI77),IF(Tablas!$AK911="Avanzada",INDEX(Tablas!$AG$903:$AG$904,AI77),"")),"")),"")</f>
        <v/>
      </c>
      <c r="Q77" s="1352"/>
      <c r="R77" s="54" t="str" cm="1">
        <f t="array" ref="R77">IFERROR(IF(NOT(Tablas!$AK$891),INDEX(Tablas!AT911:AV911,1,Tablas!AR911),IF(S77&lt;&gt;"",IF(Tablas!$AK911="Básica",INDEX(Tablas!$AF$903:$AF$905,AJ77),IF(Tablas!$AK911="Avanzada",INDEX(Tablas!$AG$903:$AG$904,AJ77),"")),"")),"")</f>
        <v/>
      </c>
      <c r="S77" s="1352"/>
      <c r="T77" s="54" t="str">
        <f>IFERROR(IF(NOT(Tablas!$AK$891),INDEX(Tablas!AV911:AX911,1,Tablas!AT911),IF(U77&lt;&gt;"",IF(Tablas!$AK911="Básica",INDEX(Tablas!$AF$903:$AF$905,AK77),IF(Tablas!$AK911="Avanzada",INDEX(Tablas!$AG$903:$AG$904,AK77),"")),"")),"")</f>
        <v/>
      </c>
      <c r="U77" s="1352"/>
      <c r="V77" s="5292" t="str">
        <f>IF($AD77=0,"",IF(AF77&gt;1,"ARTE MARCIAL REPETIDA",IF(NOT(AL77),"ARTE MARCIAL SIN PAGAR",IF(VLOOKUP($AD77,Tabla_ArtesMarciales,23,FALSE)&lt;&gt;"-","FALTAN REQUISITOS",IF(VLOOKUP($AD77,Tabla_ArtesMarciales,16,FALSE)&gt;55,"Ver",VLOOKUP($AD77,Tabla_ArtesMarciales,11,FALSE))))))</f>
        <v/>
      </c>
      <c r="W77" s="5293"/>
      <c r="X77" s="5293"/>
      <c r="Y77" s="5293"/>
      <c r="Z77" s="5293"/>
      <c r="AA77" s="5294"/>
      <c r="AB77" s="1550"/>
      <c r="AC77" s="769"/>
      <c r="AD77" s="2265">
        <f t="shared" si="24"/>
        <v>0</v>
      </c>
      <c r="AE77" s="3632" t="str">
        <f>Tablas!$AK911</f>
        <v/>
      </c>
      <c r="AF77" s="2265">
        <f>COUNTIF($E$59:$E77,E77)</f>
        <v>0</v>
      </c>
      <c r="AG77" s="3633">
        <f>Tablas!$AQ911</f>
        <v>1</v>
      </c>
      <c r="AH77" s="3633">
        <f>Tablas!$AV911</f>
        <v>1</v>
      </c>
      <c r="AI77" s="3633">
        <f>Tablas!$BA911</f>
        <v>1</v>
      </c>
      <c r="AJ77" s="3633">
        <f>Tablas!$BF911</f>
        <v>1</v>
      </c>
      <c r="AK77" s="3633">
        <f>Tablas!$BK911</f>
        <v>1</v>
      </c>
      <c r="AL77" s="530" t="b">
        <f>Tablas!BL911=1</f>
        <v>0</v>
      </c>
      <c r="AY77" s="628"/>
      <c r="AZ77" s="628"/>
      <c r="BA77" s="628"/>
      <c r="BB77" s="628"/>
      <c r="BC77" s="628"/>
      <c r="BD77" s="2616"/>
      <c r="BE77" s="2616"/>
      <c r="BF77" s="2616"/>
      <c r="BG77" s="2616"/>
      <c r="BH77" s="2616"/>
      <c r="BI77" s="2616"/>
      <c r="BJ77" s="2616"/>
      <c r="BK77" s="2616"/>
      <c r="BL77" s="2616"/>
      <c r="BM77" s="2616"/>
      <c r="BN77" s="2616"/>
      <c r="BO77" s="2616"/>
      <c r="BP77" s="2616"/>
      <c r="BQ77" s="2616"/>
      <c r="BR77" s="2616"/>
      <c r="BS77" s="2616"/>
      <c r="BT77" s="2616"/>
      <c r="BU77" s="2616"/>
      <c r="BV77" s="2616"/>
      <c r="BW77" s="2616"/>
      <c r="BX77" s="2616"/>
    </row>
    <row r="78" spans="1:76" s="14" customFormat="1" ht="12" customHeight="1">
      <c r="A78" s="4"/>
      <c r="B78" s="831"/>
      <c r="C78" s="5402"/>
      <c r="D78" s="5196"/>
      <c r="E78" s="5031"/>
      <c r="F78" s="5032"/>
      <c r="G78" s="5032"/>
      <c r="H78" s="5032"/>
      <c r="I78" s="5032"/>
      <c r="J78" s="5032"/>
      <c r="K78" s="5033"/>
      <c r="L78" s="1776" t="str">
        <f>IF($E78=0,"",TRUNC(IF(OR(L$22="Maestro en Armas",L$22="Tao"),0.5,1)*VLOOKUP($E78,Tabla_AM_Armas,2,FALSE),0))</f>
        <v/>
      </c>
      <c r="M78" s="1762"/>
      <c r="N78" s="1776" t="str">
        <f>IF($E78=0,"",TRUNC(IF(OR(N$22="Maestro en Armas",N$22="Tao"),0.5,1)*VLOOKUP($E78,Tabla_AM_Armas,2,FALSE),0))</f>
        <v/>
      </c>
      <c r="O78" s="1762"/>
      <c r="P78" s="1776" t="str">
        <f>IF($E78=0,"",TRUNC(IF(OR(P$22="Maestro en Armas",P$22="Tao"),0.5,1)*VLOOKUP($E78,Tabla_AM_Armas,2,FALSE),0))</f>
        <v/>
      </c>
      <c r="Q78" s="1762"/>
      <c r="R78" s="1776" t="str">
        <f>IF($E78=0,"",TRUNC(IF(OR(R$22="Maestro en Armas",R$22="Tao"),0.5,1)*VLOOKUP($E78,Tabla_AM_Armas,2,FALSE),0))</f>
        <v/>
      </c>
      <c r="S78" s="1762"/>
      <c r="T78" s="1776" t="str">
        <f>IF($E78=0,"",TRUNC(IF(OR(T$22="Maestro en Armas",T$22="Tao"),0.5,1)*VLOOKUP($E78,Tabla_AM_Armas,2,FALSE),0))</f>
        <v/>
      </c>
      <c r="U78" s="1762"/>
      <c r="V78" s="5295" t="str">
        <f>IF(E78=0,"",IF(VLOOKUP(E78,Tabla_AM_Armas,4,FALSE)="-","-","FALTAN REQUISITOS"))</f>
        <v/>
      </c>
      <c r="W78" s="5296"/>
      <c r="X78" s="5296"/>
      <c r="Y78" s="5296"/>
      <c r="Z78" s="5296"/>
      <c r="AA78" s="5297"/>
      <c r="AB78" s="1550"/>
      <c r="AC78" s="1282"/>
      <c r="AD78" s="3637"/>
      <c r="AE78" s="3632"/>
      <c r="AF78" s="3633"/>
      <c r="AG78" s="3632"/>
      <c r="AH78" s="3632"/>
      <c r="AI78" s="3632"/>
      <c r="AJ78" s="3632"/>
      <c r="AK78" s="3632"/>
      <c r="AL78" s="628"/>
      <c r="AO78" s="218"/>
      <c r="AY78" s="628"/>
      <c r="AZ78" s="628"/>
      <c r="BA78" s="628"/>
      <c r="BB78" s="628"/>
      <c r="BC78" s="628"/>
      <c r="BD78" s="2616"/>
      <c r="BE78" s="2616"/>
      <c r="BF78" s="2616"/>
      <c r="BG78" s="2616"/>
      <c r="BH78" s="2616"/>
      <c r="BI78" s="2616"/>
      <c r="BJ78" s="2616"/>
      <c r="BK78" s="2616"/>
      <c r="BL78" s="2616"/>
      <c r="BM78" s="2616"/>
      <c r="BN78" s="2616"/>
      <c r="BO78" s="2616"/>
      <c r="BP78" s="2616"/>
      <c r="BQ78" s="2616"/>
      <c r="BR78" s="2616"/>
      <c r="BS78" s="2616"/>
      <c r="BT78" s="2616"/>
      <c r="BU78" s="2616"/>
      <c r="BV78" s="2616"/>
      <c r="BW78" s="2616"/>
      <c r="BX78" s="2616"/>
    </row>
    <row r="79" spans="1:76" s="14" customFormat="1" ht="12" customHeight="1">
      <c r="A79" s="4"/>
      <c r="B79" s="831"/>
      <c r="C79" s="5402"/>
      <c r="D79" s="5196"/>
      <c r="E79" s="4978"/>
      <c r="F79" s="4979"/>
      <c r="G79" s="4979"/>
      <c r="H79" s="4979"/>
      <c r="I79" s="4979"/>
      <c r="J79" s="4979"/>
      <c r="K79" s="4980"/>
      <c r="L79" s="1777" t="str">
        <f>IF($E79=0,"",TRUNC(IF(OR(L$22="Maestro en Armas",L$22="Tao"),0.5,1)*VLOOKUP($E79,Tabla_AM_Armas,2,FALSE),0))</f>
        <v/>
      </c>
      <c r="M79" s="1778"/>
      <c r="N79" s="1777" t="str">
        <f>IF($E79=0,"",TRUNC(IF(OR(N$22="Maestro en Armas",N$22="Tao"),0.5,1)*VLOOKUP($E79,Tabla_AM_Armas,2,FALSE),0))</f>
        <v/>
      </c>
      <c r="O79" s="1778"/>
      <c r="P79" s="1777" t="str">
        <f>IF($E79=0,"",TRUNC(IF(OR(P$22="Maestro en Armas",P$22="Tao"),0.5,1)*VLOOKUP($E79,Tabla_AM_Armas,2,FALSE),0))</f>
        <v/>
      </c>
      <c r="Q79" s="1778"/>
      <c r="R79" s="1777" t="str">
        <f>IF($E79=0,"",TRUNC(IF(OR(R$22="Maestro en Armas",R$22="Tao"),0.5,1)*VLOOKUP($E79,Tabla_AM_Armas,2,FALSE),0))</f>
        <v/>
      </c>
      <c r="S79" s="1778"/>
      <c r="T79" s="1777" t="str">
        <f>IF($E79=0,"",TRUNC(IF(OR(T$22="Maestro en Armas",T$22="Tao"),0.5,1)*VLOOKUP($E79,Tabla_AM_Armas,2,FALSE),0))</f>
        <v/>
      </c>
      <c r="U79" s="1778"/>
      <c r="V79" s="5160" t="str">
        <f>IF(E79=0,"",IF(VLOOKUP(E79,Tabla_AM_Armas,4,FALSE)="-","-","FALTAN REQUISITOS"))</f>
        <v/>
      </c>
      <c r="W79" s="5161"/>
      <c r="X79" s="5161"/>
      <c r="Y79" s="5161"/>
      <c r="Z79" s="5161"/>
      <c r="AA79" s="5314"/>
      <c r="AB79" s="1550"/>
      <c r="AC79" s="1282"/>
      <c r="AD79" s="76"/>
      <c r="AE79" s="252"/>
      <c r="AF79" s="212"/>
      <c r="AG79" s="252"/>
      <c r="AH79" s="252"/>
      <c r="AI79" s="252"/>
      <c r="AJ79" s="252"/>
      <c r="AK79" s="252"/>
      <c r="AO79" s="218"/>
      <c r="AY79" s="628"/>
      <c r="AZ79" s="628"/>
      <c r="BA79" s="628"/>
      <c r="BB79" s="628"/>
      <c r="BC79" s="628"/>
      <c r="BD79" s="2616"/>
      <c r="BE79" s="2616"/>
      <c r="BF79" s="2616"/>
      <c r="BG79" s="2616"/>
      <c r="BH79" s="2616"/>
      <c r="BI79" s="2616"/>
      <c r="BJ79" s="2616"/>
      <c r="BK79" s="2616"/>
      <c r="BL79" s="2616"/>
      <c r="BM79" s="2616"/>
      <c r="BN79" s="2616"/>
      <c r="BO79" s="2616"/>
      <c r="BP79" s="2616"/>
      <c r="BQ79" s="2616"/>
      <c r="BR79" s="2616"/>
      <c r="BS79" s="2616"/>
      <c r="BT79" s="2616"/>
      <c r="BU79" s="2616"/>
      <c r="BV79" s="2616"/>
      <c r="BW79" s="2616"/>
      <c r="BX79" s="2616"/>
    </row>
    <row r="80" spans="1:76" s="14" customFormat="1" ht="12" customHeight="1">
      <c r="A80" s="4"/>
      <c r="B80" s="831"/>
      <c r="C80" s="5402"/>
      <c r="D80" s="5197"/>
      <c r="E80" s="4975"/>
      <c r="F80" s="5185"/>
      <c r="G80" s="5185"/>
      <c r="H80" s="5185"/>
      <c r="I80" s="5185"/>
      <c r="J80" s="5185"/>
      <c r="K80" s="5186"/>
      <c r="L80" s="1779" t="str">
        <f>IF($E80=0,"",TRUNC(IF(OR(L$22="Maestro en Armas",L$22="Tao"),0.5,1)*VLOOKUP($E80,Tabla_AM_Armas,2,FALSE),0))</f>
        <v/>
      </c>
      <c r="M80" s="1780"/>
      <c r="N80" s="1779" t="str">
        <f>IF($E80=0,"",TRUNC(IF(OR(N$22="Maestro en Armas",N$22="Tao"),0.5,1)*VLOOKUP($E80,Tabla_AM_Armas,2,FALSE),0))</f>
        <v/>
      </c>
      <c r="O80" s="1780"/>
      <c r="P80" s="1779" t="str">
        <f>IF($E80=0,"",TRUNC(IF(OR(P$22="Maestro en Armas",P$22="Tao"),0.5,1)*VLOOKUP($E80,Tabla_AM_Armas,2,FALSE),0))</f>
        <v/>
      </c>
      <c r="Q80" s="1780"/>
      <c r="R80" s="1779" t="str">
        <f>IF($E80=0,"",TRUNC(IF(OR(R$22="Maestro en Armas",R$22="Tao"),0.5,1)*VLOOKUP($E80,Tabla_AM_Armas,2,FALSE),0))</f>
        <v/>
      </c>
      <c r="S80" s="1780"/>
      <c r="T80" s="1779" t="str">
        <f>IF($E80=0,"",TRUNC(IF(OR(T$22="Maestro en Armas",T$22="Tao"),0.5,1)*VLOOKUP($E80,Tabla_AM_Armas,2,FALSE),0))</f>
        <v/>
      </c>
      <c r="U80" s="1780"/>
      <c r="V80" s="5315" t="str">
        <f>IF(E80=0,"",IF(VLOOKUP(E80,Tabla_AM_Armas,4,FALSE)="-","-","FALTAN REQUISITOS"))</f>
        <v/>
      </c>
      <c r="W80" s="5316"/>
      <c r="X80" s="5316"/>
      <c r="Y80" s="5316"/>
      <c r="Z80" s="5316"/>
      <c r="AA80" s="5317"/>
      <c r="AB80" s="1550"/>
      <c r="AC80" s="1282"/>
      <c r="AD80" s="76"/>
      <c r="AE80" s="252"/>
      <c r="AF80" s="212"/>
      <c r="AG80" s="252"/>
      <c r="AH80" s="252"/>
      <c r="AI80" s="252"/>
      <c r="AJ80" s="252"/>
      <c r="AK80" s="252"/>
      <c r="AO80" s="218"/>
      <c r="AY80" s="628"/>
      <c r="AZ80" s="628"/>
      <c r="BA80" s="628"/>
      <c r="BB80" s="628"/>
      <c r="BC80" s="628"/>
      <c r="BD80" s="2616"/>
      <c r="BE80" s="2616"/>
      <c r="BF80" s="2616"/>
      <c r="BG80" s="2616"/>
      <c r="BH80" s="2616"/>
      <c r="BI80" s="2616"/>
      <c r="BJ80" s="2616"/>
      <c r="BK80" s="2616"/>
      <c r="BL80" s="2616"/>
      <c r="BM80" s="2616"/>
      <c r="BN80" s="2616"/>
      <c r="BO80" s="2616"/>
      <c r="BP80" s="2616"/>
      <c r="BQ80" s="2616"/>
      <c r="BR80" s="2616"/>
      <c r="BS80" s="2616"/>
      <c r="BT80" s="2616"/>
      <c r="BU80" s="2616"/>
      <c r="BV80" s="2616"/>
      <c r="BW80" s="2616"/>
      <c r="BX80" s="2616"/>
    </row>
    <row r="81" spans="1:76" s="14" customFormat="1" ht="12" customHeight="1">
      <c r="A81" s="4"/>
      <c r="B81" s="831"/>
      <c r="C81" s="5402"/>
      <c r="D81" s="5187" t="s">
        <v>1364</v>
      </c>
      <c r="E81" s="5189"/>
      <c r="F81" s="5190"/>
      <c r="G81" s="5190"/>
      <c r="H81" s="5190"/>
      <c r="I81" s="5190"/>
      <c r="J81" s="5190"/>
      <c r="K81" s="5191"/>
      <c r="L81" s="1772" t="str">
        <f>IFERROR(IF($E81=0,"",IF($E81="Ophiucos Sigma",IF($M81="",VLOOKUP($E81,Tabla_ArsMagnus,2,FALSE)*IF(L$22="Maestro en Armas",0.5,1),$M81),VLOOKUP($E81,Tabla_ArsMagnus,2,FALSE)*IF(OR(L$22="Maestro en Armas",AND($E81="Kiai",L$22="Tao")),0.5,1))),"")</f>
        <v/>
      </c>
      <c r="M81" s="1761"/>
      <c r="N81" s="1772" t="str">
        <f>IFERROR(IF($E81=0,"",IF($E81="Ophiucos Sigma",IF($O81="",VLOOKUP($E81,Tabla_ArsMagnus,2,FALSE)*IF(N$22="Maestro en Armas",0.5,1),$O81),VLOOKUP($E81,Tabla_ArsMagnus,2,FALSE)*IF(OR(N$22="Maestro en Armas",AND($E81="Kiai",N$22="Tao")),0.5,1))),"")</f>
        <v/>
      </c>
      <c r="O81" s="1761"/>
      <c r="P81" s="1772" t="str">
        <f>IFERROR(IF($E81=0,"",IF($E81="Ophiucos Sigma",IF($Q81="",VLOOKUP($E81,Tabla_ArsMagnus,2,FALSE)*IF(P$22="Maestro en Armas",0.5,1),$Q81),VLOOKUP($E81,Tabla_ArsMagnus,2,FALSE)*IF(OR(P$22="Maestro en Armas",AND($E81="Kiai",P$22="Tao")),0.5,1))),"")</f>
        <v/>
      </c>
      <c r="Q81" s="1761"/>
      <c r="R81" s="1772" t="str">
        <f>IFERROR(IF($E81=0,"",IF($E81="Ophiucos Sigma",IF($S81="",VLOOKUP($E81,Tabla_ArsMagnus,2,FALSE)*IF(R$22="Maestro en Armas",0.5,1),$S81),VLOOKUP($E81,Tabla_ArsMagnus,2,FALSE)*IF(OR(R$22="Maestro en Armas",AND($E81="Kiai",R$22="Tao")),0.5,1))),"")</f>
        <v/>
      </c>
      <c r="S81" s="1761"/>
      <c r="T81" s="1772" t="str">
        <f>IFERROR(IF($E81=0,"",IF($E81="Ophiucos Sigma",IF($U81="",VLOOKUP($E81,Tabla_ArsMagnus,2,FALSE)*IF(T$22="Maestro en Armas",0.5,1),$U81),VLOOKUP($E81,Tabla_ArsMagnus,2,FALSE)*IF(OR(T$22="Maestro en Armas",AND($E81="Kiai",T$22="Tao")),0.5,1))),"")</f>
        <v/>
      </c>
      <c r="U81" s="1761"/>
      <c r="V81" s="5144" t="str">
        <f>IF(E81=0,"",IF(VLOOKUP(E81,Tabla_ArsMagnus,5,FALSE)="-","Ver Descripción","FALTAN REQUISITOS"))</f>
        <v/>
      </c>
      <c r="W81" s="5133"/>
      <c r="X81" s="5133"/>
      <c r="Y81" s="5133"/>
      <c r="Z81" s="59" t="s">
        <v>1365</v>
      </c>
      <c r="AA81" s="497">
        <f>IF(E81=0,0,VLOOKUP(E81,Tabla_ArsMagnus,3,FALSE))</f>
        <v>0</v>
      </c>
      <c r="AB81" s="1550"/>
      <c r="AC81" s="1282"/>
      <c r="AD81" s="218"/>
      <c r="AE81" s="252"/>
      <c r="AF81" s="212"/>
      <c r="AG81" s="252"/>
      <c r="AH81" s="252"/>
      <c r="AI81" s="252"/>
      <c r="AJ81" s="252"/>
      <c r="AK81" s="252"/>
      <c r="AO81" s="218"/>
      <c r="AY81" s="628"/>
      <c r="AZ81" s="628"/>
      <c r="BA81" s="628"/>
      <c r="BB81" s="628"/>
      <c r="BC81" s="628"/>
      <c r="BD81" s="2616"/>
      <c r="BE81" s="2616"/>
      <c r="BF81" s="2616"/>
      <c r="BG81" s="2616"/>
      <c r="BH81" s="2616"/>
      <c r="BI81" s="2616"/>
      <c r="BJ81" s="2616"/>
      <c r="BK81" s="2616"/>
      <c r="BL81" s="2616"/>
      <c r="BM81" s="2616"/>
      <c r="BN81" s="2616"/>
      <c r="BO81" s="2616"/>
      <c r="BP81" s="2616"/>
      <c r="BQ81" s="2616"/>
      <c r="BR81" s="2616"/>
      <c r="BS81" s="2616"/>
      <c r="BT81" s="2616"/>
      <c r="BU81" s="2616"/>
      <c r="BV81" s="2616"/>
      <c r="BW81" s="2616"/>
      <c r="BX81" s="2616"/>
    </row>
    <row r="82" spans="1:76" s="14" customFormat="1" ht="12" customHeight="1">
      <c r="A82" s="4"/>
      <c r="B82" s="831"/>
      <c r="C82" s="5402"/>
      <c r="D82" s="5188"/>
      <c r="E82" s="5192"/>
      <c r="F82" s="5193"/>
      <c r="G82" s="5193"/>
      <c r="H82" s="5193"/>
      <c r="I82" s="5193"/>
      <c r="J82" s="5193"/>
      <c r="K82" s="5194"/>
      <c r="L82" s="1767" t="str">
        <f>IFERROR(IF($E82=0,"",IF($E82="Ophiucos Sigma",IF($M82="",VLOOKUP($E82,Tabla_ArsMagnus,2,FALSE)*IF(L$22="Maestro en Armas",0.5,1),$M82),VLOOKUP($E82,Tabla_ArsMagnus,2,FALSE)*IF(OR(L$22="Maestro en Armas",AND($E82="Kiai",L$22="Tao")),0.5,1))),"")</f>
        <v/>
      </c>
      <c r="M82" s="1760"/>
      <c r="N82" s="1767" t="str">
        <f>IFERROR(IF($E82=0,"",IF($E82="Ophiucos Sigma",IF($O82="",VLOOKUP($E82,Tabla_ArsMagnus,2,FALSE)*IF(N$22="Maestro en Armas",0.5,1),$O82),VLOOKUP($E82,Tabla_ArsMagnus,2,FALSE)*IF(OR(N$22="Maestro en Armas",AND($E82="Kiai",N$22="Tao")),0.5,1))),"")</f>
        <v/>
      </c>
      <c r="O82" s="1760"/>
      <c r="P82" s="1767" t="str">
        <f>IFERROR(IF($E82=0,"",IF($E82="Ophiucos Sigma",IF($Q82="",VLOOKUP($E82,Tabla_ArsMagnus,2,FALSE)*IF(P$22="Maestro en Armas",0.5,1),$Q82),VLOOKUP($E82,Tabla_ArsMagnus,2,FALSE)*IF(OR(P$22="Maestro en Armas",AND($E82="Kiai",P$22="Tao")),0.5,1))),"")</f>
        <v/>
      </c>
      <c r="Q82" s="1760"/>
      <c r="R82" s="1767" t="str">
        <f>IFERROR(IF($E82=0,"",IF($E82="Ophiucos Sigma",IF($S82="",VLOOKUP($E82,Tabla_ArsMagnus,2,FALSE)*IF(R$22="Maestro en Armas",0.5,1),$S82),VLOOKUP($E82,Tabla_ArsMagnus,2,FALSE)*IF(OR(R$22="Maestro en Armas",AND($E82="Kiai",R$22="Tao")),0.5,1))),"")</f>
        <v/>
      </c>
      <c r="S82" s="1760"/>
      <c r="T82" s="1767" t="str">
        <f>IFERROR(IF($E82=0,"",IF($E82="Ophiucos Sigma",IF($U82="",VLOOKUP($E82,Tabla_ArsMagnus,2,FALSE)*IF(T$22="Maestro en Armas",0.5,1),$U82),VLOOKUP($E82,Tabla_ArsMagnus,2,FALSE)*IF(OR(T$22="Maestro en Armas",AND($E82="Kiai",T$22="Tao")),0.5,1))),"")</f>
        <v/>
      </c>
      <c r="U82" s="1760"/>
      <c r="V82" s="5324" t="str">
        <f>IF(E82=0,"",IF(VLOOKUP(E82,Tabla_ArsMagnus,5,FALSE)="-","Ver Descripción","FALTAN REQUISITOS"))</f>
        <v/>
      </c>
      <c r="W82" s="5135"/>
      <c r="X82" s="5135"/>
      <c r="Y82" s="5135"/>
      <c r="Z82" s="58" t="s">
        <v>1365</v>
      </c>
      <c r="AA82" s="498">
        <f>IF(E82=0,0,VLOOKUP(E82,Tabla_ArsMagnus,3,FALSE))</f>
        <v>0</v>
      </c>
      <c r="AB82" s="1550"/>
      <c r="AC82" s="1282"/>
      <c r="AD82" s="218"/>
      <c r="AE82" s="252"/>
      <c r="AF82" s="212"/>
      <c r="AG82" s="252"/>
      <c r="AH82" s="252"/>
      <c r="AI82" s="252"/>
      <c r="AJ82" s="252"/>
      <c r="AK82" s="252"/>
      <c r="AY82" s="628"/>
      <c r="AZ82" s="628"/>
      <c r="BA82" s="628"/>
      <c r="BB82" s="628"/>
      <c r="BC82" s="628"/>
      <c r="BD82" s="2616"/>
      <c r="BE82" s="2616"/>
      <c r="BF82" s="2616"/>
      <c r="BG82" s="2616"/>
      <c r="BH82" s="2616"/>
      <c r="BI82" s="2616"/>
      <c r="BJ82" s="2616"/>
      <c r="BK82" s="2616"/>
      <c r="BL82" s="2616"/>
      <c r="BM82" s="2616"/>
      <c r="BN82" s="2616"/>
      <c r="BO82" s="2616"/>
      <c r="BP82" s="2616"/>
      <c r="BQ82" s="2616"/>
      <c r="BR82" s="2616"/>
      <c r="BS82" s="2616"/>
      <c r="BT82" s="2616"/>
      <c r="BU82" s="2616"/>
      <c r="BV82" s="2616"/>
      <c r="BW82" s="2616"/>
      <c r="BX82" s="2616"/>
    </row>
    <row r="83" spans="1:76" s="14" customFormat="1" ht="12" customHeight="1">
      <c r="A83" s="4"/>
      <c r="B83" s="831"/>
      <c r="C83" s="5402"/>
      <c r="D83" s="5188"/>
      <c r="E83" s="5189"/>
      <c r="F83" s="5190"/>
      <c r="G83" s="5190"/>
      <c r="H83" s="5190"/>
      <c r="I83" s="5190"/>
      <c r="J83" s="5190"/>
      <c r="K83" s="5191"/>
      <c r="L83" s="1772" t="str">
        <f>IFERROR(IF($E83=0,"",IF($E83="Ophiucos Sigma",IF($M83="",VLOOKUP($E83,Tabla_ArsMagnus,2,FALSE)*IF(L$22="Maestro en Armas",0.5,1),$M83),VLOOKUP($E83,Tabla_ArsMagnus,2,FALSE)*IF(OR(L$22="Maestro en Armas",AND($E83="Kiai",L$22="Tao")),0.5,1))),"")</f>
        <v/>
      </c>
      <c r="M83" s="1761"/>
      <c r="N83" s="1772" t="str">
        <f>IFERROR(IF($E83=0,"",IF($E83="Ophiucos Sigma",IF($O83="",VLOOKUP($E83,Tabla_ArsMagnus,2,FALSE)*IF(N$22="Maestro en Armas",0.5,1),$O83),VLOOKUP($E83,Tabla_ArsMagnus,2,FALSE)*IF(OR(N$22="Maestro en Armas",AND($E83="Kiai",N$22="Tao")),0.5,1))),"")</f>
        <v/>
      </c>
      <c r="O83" s="1761"/>
      <c r="P83" s="1772" t="str">
        <f>IFERROR(IF($E83=0,"",IF($E83="Ophiucos Sigma",IF($Q83="",VLOOKUP($E83,Tabla_ArsMagnus,2,FALSE)*IF(P$22="Maestro en Armas",0.5,1),$Q83),VLOOKUP($E83,Tabla_ArsMagnus,2,FALSE)*IF(OR(P$22="Maestro en Armas",AND($E83="Kiai",P$22="Tao")),0.5,1))),"")</f>
        <v/>
      </c>
      <c r="Q83" s="1761"/>
      <c r="R83" s="1772" t="str">
        <f>IFERROR(IF($E83=0,"",IF($E83="Ophiucos Sigma",IF($S83="",VLOOKUP($E83,Tabla_ArsMagnus,2,FALSE)*IF(R$22="Maestro en Armas",0.5,1),$S83),VLOOKUP($E83,Tabla_ArsMagnus,2,FALSE)*IF(OR(R$22="Maestro en Armas",AND($E83="Kiai",R$22="Tao")),0.5,1))),"")</f>
        <v/>
      </c>
      <c r="S83" s="1761"/>
      <c r="T83" s="1772" t="str">
        <f>IFERROR(IF($E83=0,"",IF($E83="Ophiucos Sigma",IF($U83="",VLOOKUP($E83,Tabla_ArsMagnus,2,FALSE)*IF(T$22="Maestro en Armas",0.5,1),$U83),VLOOKUP($E83,Tabla_ArsMagnus,2,FALSE)*IF(OR(T$22="Maestro en Armas",AND($E83="Kiai",T$22="Tao")),0.5,1))),"")</f>
        <v/>
      </c>
      <c r="U83" s="1761"/>
      <c r="V83" s="5144" t="str">
        <f>IF(E83=0,"",IF(VLOOKUP(E83,Tabla_ArsMagnus,5,FALSE)="-","Ver Descripción","FALTAN REQUISITOS"))</f>
        <v/>
      </c>
      <c r="W83" s="5133"/>
      <c r="X83" s="5133"/>
      <c r="Y83" s="5133"/>
      <c r="Z83" s="59" t="s">
        <v>1365</v>
      </c>
      <c r="AA83" s="497">
        <f>IF(E83=0,0,VLOOKUP(E83,Tabla_ArsMagnus,3,FALSE))</f>
        <v>0</v>
      </c>
      <c r="AB83" s="1550"/>
      <c r="AC83" s="1282"/>
      <c r="AD83" s="2265"/>
      <c r="AE83" s="3632"/>
      <c r="AF83" s="3633"/>
      <c r="AG83" s="3632"/>
      <c r="AH83" s="3632"/>
      <c r="AI83" s="3632"/>
      <c r="AJ83" s="3632"/>
      <c r="AK83" s="3632"/>
      <c r="AL83" s="628"/>
      <c r="AM83" s="628"/>
      <c r="AN83" s="628"/>
      <c r="AO83" s="628"/>
      <c r="AP83" s="628"/>
      <c r="AQ83" s="628"/>
      <c r="AR83" s="628"/>
      <c r="AS83" s="628"/>
      <c r="AT83" s="628"/>
      <c r="AU83" s="628"/>
      <c r="AV83" s="628"/>
      <c r="AW83" s="628"/>
      <c r="AX83" s="628"/>
      <c r="AY83" s="628"/>
      <c r="AZ83" s="628"/>
      <c r="BA83" s="628"/>
      <c r="BB83" s="628"/>
      <c r="BC83" s="628"/>
      <c r="BD83" s="2616"/>
      <c r="BE83" s="2616"/>
      <c r="BF83" s="2616"/>
      <c r="BG83" s="2616"/>
      <c r="BH83" s="2616"/>
      <c r="BI83" s="2616"/>
      <c r="BJ83" s="2616"/>
      <c r="BK83" s="2616"/>
      <c r="BL83" s="2616"/>
      <c r="BM83" s="2616"/>
      <c r="BN83" s="2616"/>
      <c r="BO83" s="2616"/>
      <c r="BP83" s="2616"/>
      <c r="BQ83" s="2616"/>
      <c r="BR83" s="2616"/>
      <c r="BS83" s="2616"/>
      <c r="BT83" s="2616"/>
      <c r="BU83" s="2616"/>
      <c r="BV83" s="2616"/>
      <c r="BW83" s="2616"/>
      <c r="BX83" s="2616"/>
    </row>
    <row r="84" spans="1:76" s="14" customFormat="1" ht="12" customHeight="1">
      <c r="A84" s="4"/>
      <c r="B84" s="831"/>
      <c r="C84" s="5402"/>
      <c r="D84" s="5188"/>
      <c r="E84" s="5192"/>
      <c r="F84" s="5193"/>
      <c r="G84" s="5193"/>
      <c r="H84" s="5193"/>
      <c r="I84" s="5193"/>
      <c r="J84" s="5193"/>
      <c r="K84" s="5194"/>
      <c r="L84" s="1767" t="str">
        <f>IFERROR(IF($E84=0,"",IF($E84="Ophiucos Sigma",IF($M84="",VLOOKUP($E84,Tabla_ArsMagnus,2,FALSE)*IF(L$22="Maestro en Armas",0.5,1),$M84),VLOOKUP($E84,Tabla_ArsMagnus,2,FALSE)*IF(OR(L$22="Maestro en Armas",AND($E84="Kiai",L$22="Tao")),0.5,1))),"")</f>
        <v/>
      </c>
      <c r="M84" s="1760"/>
      <c r="N84" s="1767" t="str">
        <f>IFERROR(IF($E84=0,"",IF($E84="Ophiucos Sigma",IF($O84="",VLOOKUP($E84,Tabla_ArsMagnus,2,FALSE)*IF(N$22="Maestro en Armas",0.5,1),$O84),VLOOKUP($E84,Tabla_ArsMagnus,2,FALSE)*IF(OR(N$22="Maestro en Armas",AND($E84="Kiai",N$22="Tao")),0.5,1))),"")</f>
        <v/>
      </c>
      <c r="O84" s="1760"/>
      <c r="P84" s="1767" t="str">
        <f>IFERROR(IF($E84=0,"",IF($E84="Ophiucos Sigma",IF($Q84="",VLOOKUP($E84,Tabla_ArsMagnus,2,FALSE)*IF(P$22="Maestro en Armas",0.5,1),$Q84),VLOOKUP($E84,Tabla_ArsMagnus,2,FALSE)*IF(OR(P$22="Maestro en Armas",AND($E84="Kiai",P$22="Tao")),0.5,1))),"")</f>
        <v/>
      </c>
      <c r="Q84" s="1760"/>
      <c r="R84" s="1767" t="str">
        <f>IFERROR(IF($E84=0,"",IF($E84="Ophiucos Sigma",IF($S84="",VLOOKUP($E84,Tabla_ArsMagnus,2,FALSE)*IF(R$22="Maestro en Armas",0.5,1),$S84),VLOOKUP($E84,Tabla_ArsMagnus,2,FALSE)*IF(OR(R$22="Maestro en Armas",AND($E84="Kiai",R$22="Tao")),0.5,1))),"")</f>
        <v/>
      </c>
      <c r="S84" s="1760"/>
      <c r="T84" s="1767" t="str">
        <f>IFERROR(IF($E84=0,"",IF($E84="Ophiucos Sigma",IF($U84="",VLOOKUP($E84,Tabla_ArsMagnus,2,FALSE)*IF(T$22="Maestro en Armas",0.5,1),$U84),VLOOKUP($E84,Tabla_ArsMagnus,2,FALSE)*IF(OR(T$22="Maestro en Armas",AND($E84="Kiai",T$22="Tao")),0.5,1))),"")</f>
        <v/>
      </c>
      <c r="U84" s="1760"/>
      <c r="V84" s="5324" t="str">
        <f>IF(E84=0,"",IF(VLOOKUP(E84,Tabla_ArsMagnus,5,FALSE)="-","Ver Descripción","FALTAN REQUISITOS"))</f>
        <v/>
      </c>
      <c r="W84" s="5135"/>
      <c r="X84" s="5135"/>
      <c r="Y84" s="5135"/>
      <c r="Z84" s="58" t="s">
        <v>1365</v>
      </c>
      <c r="AA84" s="498">
        <f>IF(E84=0,0,VLOOKUP(E84,Tabla_ArsMagnus,3,FALSE))</f>
        <v>0</v>
      </c>
      <c r="AB84" s="1550"/>
      <c r="AC84" s="1282"/>
      <c r="AD84" s="2265"/>
      <c r="AE84" s="3632"/>
      <c r="AF84" s="3633"/>
      <c r="AG84" s="3632"/>
      <c r="AH84" s="3632"/>
      <c r="AI84" s="3632"/>
      <c r="AJ84" s="3632"/>
      <c r="AK84" s="3632"/>
      <c r="AL84" s="628"/>
      <c r="AM84" s="628"/>
      <c r="AN84" s="628"/>
      <c r="AO84" s="628"/>
      <c r="AP84" s="628"/>
      <c r="AQ84" s="628"/>
      <c r="AR84" s="628"/>
      <c r="AS84" s="628"/>
      <c r="AT84" s="628"/>
      <c r="AU84" s="628"/>
      <c r="AV84" s="628"/>
      <c r="AW84" s="628"/>
      <c r="AX84" s="628"/>
      <c r="AY84" s="628"/>
      <c r="AZ84" s="628"/>
      <c r="BA84" s="628"/>
      <c r="BB84" s="628"/>
      <c r="BC84" s="628"/>
      <c r="BD84" s="2616"/>
      <c r="BE84" s="2616"/>
      <c r="BF84" s="2616"/>
      <c r="BG84" s="2616"/>
      <c r="BH84" s="2616"/>
      <c r="BI84" s="2616"/>
      <c r="BJ84" s="2616"/>
      <c r="BK84" s="2616"/>
      <c r="BL84" s="2616"/>
      <c r="BM84" s="2616"/>
      <c r="BN84" s="2616"/>
      <c r="BO84" s="2616"/>
      <c r="BP84" s="2616"/>
      <c r="BQ84" s="2616"/>
      <c r="BR84" s="2616"/>
      <c r="BS84" s="2616"/>
      <c r="BT84" s="2616"/>
      <c r="BU84" s="2616"/>
      <c r="BV84" s="2616"/>
      <c r="BW84" s="2616"/>
      <c r="BX84" s="2616"/>
    </row>
    <row r="85" spans="1:76" s="14" customFormat="1" ht="12" customHeight="1">
      <c r="A85" s="4"/>
      <c r="B85" s="831"/>
      <c r="C85" s="5402"/>
      <c r="D85" s="5188"/>
      <c r="E85" s="5189"/>
      <c r="F85" s="5190"/>
      <c r="G85" s="5190"/>
      <c r="H85" s="5190"/>
      <c r="I85" s="5190"/>
      <c r="J85" s="5190"/>
      <c r="K85" s="5191"/>
      <c r="L85" s="1772" t="str">
        <f>IFERROR(IF($E85=0,"",IF($E85="Ophiucos Sigma",IF($M85="",VLOOKUP($E85,Tabla_ArsMagnus,2,FALSE)*IF(L$22="Maestro en Armas",0.5,1),$M85),VLOOKUP($E85,Tabla_ArsMagnus,2,FALSE)*IF(OR(L$22="Maestro en Armas",AND($E85="Kiai",L$22="Tao")),0.5,1))),"")</f>
        <v/>
      </c>
      <c r="M85" s="1761"/>
      <c r="N85" s="1772" t="str">
        <f>IFERROR(IF($E85=0,"",IF($E85="Ophiucos Sigma",IF($O85="",VLOOKUP($E85,Tabla_ArsMagnus,2,FALSE)*IF(N$22="Maestro en Armas",0.5,1),$O85),VLOOKUP($E85,Tabla_ArsMagnus,2,FALSE)*IF(OR(N$22="Maestro en Armas",AND($E85="Kiai",N$22="Tao")),0.5,1))),"")</f>
        <v/>
      </c>
      <c r="O85" s="1761"/>
      <c r="P85" s="1772" t="str">
        <f>IFERROR(IF($E85=0,"",IF($E85="Ophiucos Sigma",IF($Q85="",VLOOKUP($E85,Tabla_ArsMagnus,2,FALSE)*IF(P$22="Maestro en Armas",0.5,1),$Q85),VLOOKUP($E85,Tabla_ArsMagnus,2,FALSE)*IF(OR(P$22="Maestro en Armas",AND($E85="Kiai",P$22="Tao")),0.5,1))),"")</f>
        <v/>
      </c>
      <c r="Q85" s="1761"/>
      <c r="R85" s="1772" t="str">
        <f>IFERROR(IF($E85=0,"",IF($E85="Ophiucos Sigma",IF($S85="",VLOOKUP($E85,Tabla_ArsMagnus,2,FALSE)*IF(R$22="Maestro en Armas",0.5,1),$S85),VLOOKUP($E85,Tabla_ArsMagnus,2,FALSE)*IF(OR(R$22="Maestro en Armas",AND($E85="Kiai",R$22="Tao")),0.5,1))),"")</f>
        <v/>
      </c>
      <c r="S85" s="1761"/>
      <c r="T85" s="1772" t="str">
        <f>IFERROR(IF($E85=0,"",IF($E85="Ophiucos Sigma",IF($U85="",VLOOKUP($E85,Tabla_ArsMagnus,2,FALSE)*IF(T$22="Maestro en Armas",0.5,1),$U85),VLOOKUP($E85,Tabla_ArsMagnus,2,FALSE)*IF(OR(T$22="Maestro en Armas",AND($E85="Kiai",T$22="Tao")),0.5,1))),"")</f>
        <v/>
      </c>
      <c r="U85" s="1761"/>
      <c r="V85" s="5144" t="str">
        <f>IF(E85=0,"",IF(VLOOKUP(E85,Tabla_ArsMagnus,5,FALSE)="-","Ver Descripción","FALTAN REQUISITOS"))</f>
        <v/>
      </c>
      <c r="W85" s="5133"/>
      <c r="X85" s="5133"/>
      <c r="Y85" s="5133"/>
      <c r="Z85" s="59" t="s">
        <v>1365</v>
      </c>
      <c r="AA85" s="497">
        <f>IF(E85=0,0,VLOOKUP(E85,Tabla_ArsMagnus,3,FALSE))</f>
        <v>0</v>
      </c>
      <c r="AB85" s="1550"/>
      <c r="AC85" s="1282"/>
      <c r="AD85" s="2265"/>
      <c r="AE85" s="3632"/>
      <c r="AF85" s="3633"/>
      <c r="AG85" s="3632"/>
      <c r="AH85" s="3632"/>
      <c r="AI85" s="3632"/>
      <c r="AJ85" s="3632"/>
      <c r="AK85" s="3632"/>
      <c r="AL85" s="628"/>
      <c r="AM85" s="628"/>
      <c r="AN85" s="628"/>
      <c r="AO85" s="628"/>
      <c r="AP85" s="628"/>
      <c r="AQ85" s="628"/>
      <c r="AR85" s="628"/>
      <c r="AS85" s="628"/>
      <c r="AT85" s="628"/>
      <c r="AU85" s="628"/>
      <c r="AV85" s="628"/>
      <c r="AW85" s="628"/>
      <c r="AX85" s="628"/>
      <c r="AY85" s="628"/>
      <c r="AZ85" s="628"/>
      <c r="BA85" s="628"/>
      <c r="BB85" s="628"/>
      <c r="BC85" s="628"/>
      <c r="BD85" s="2616"/>
      <c r="BE85" s="2616"/>
      <c r="BF85" s="2616"/>
      <c r="BG85" s="2616"/>
      <c r="BH85" s="2616"/>
      <c r="BI85" s="2616"/>
      <c r="BJ85" s="2616"/>
      <c r="BK85" s="2616"/>
      <c r="BL85" s="2616"/>
      <c r="BM85" s="2616"/>
      <c r="BN85" s="2616"/>
      <c r="BO85" s="2616"/>
      <c r="BP85" s="2616"/>
      <c r="BQ85" s="2616"/>
      <c r="BR85" s="2616"/>
      <c r="BS85" s="2616"/>
      <c r="BT85" s="2616"/>
      <c r="BU85" s="2616"/>
      <c r="BV85" s="2616"/>
      <c r="BW85" s="2616"/>
      <c r="BX85" s="2616"/>
    </row>
    <row r="86" spans="1:76" s="14" customFormat="1" ht="12" customHeight="1">
      <c r="A86" s="4"/>
      <c r="B86" s="831"/>
      <c r="C86" s="5402"/>
      <c r="D86" s="5399" t="s">
        <v>10048</v>
      </c>
      <c r="E86" s="5404"/>
      <c r="F86" s="5405"/>
      <c r="G86" s="5405"/>
      <c r="H86" s="5405"/>
      <c r="I86" s="5405"/>
      <c r="J86" s="5405"/>
      <c r="K86" s="5406"/>
      <c r="L86" s="2699" t="str">
        <f>IFERROR(IF($E$86=0,"",IF($E$86="Ophiucos Sigma",IF(M86="",VLOOKUP($E$86,Tabla_ArsInanimis,2,FALSE)*IF(L$22="Maestro en Armas",0.5,1),M86),VLOOKUP($E$86,Tabla_ArsInanimis,2,FALSE)*IF(OR(L$22="Maestro en Armas",AND($E$86="Kiai",L$22="Tao")),0.5,1))),"")</f>
        <v/>
      </c>
      <c r="M86" s="2692"/>
      <c r="N86" s="2699" t="str">
        <f>IF(N22&lt;&gt;"",IFERROR(IF($E$86=0,"",IF($E$86="Ophiucos Sigma",IF(O86="",VLOOKUP($E$86,Tabla_ArsInanimis,2,FALSE)*IF(N$22="Maestro en Armas",0.5,1),O86),VLOOKUP($E$86,Tabla_ArsInanimis,2,FALSE)*IF(OR(N$22="Maestro en Armas",AND($E$86="Kiai",N$22="Tao")),0.5,1))),""),"")</f>
        <v/>
      </c>
      <c r="O86" s="2692"/>
      <c r="P86" s="2699" t="str">
        <f>IF(P22&lt;&gt;"",IFERROR(IF($E$86=0,"",IF($E$86="Ophiucos Sigma",IF(Q86="",VLOOKUP($E$86,Tabla_ArsInanimis,2,FALSE)*IF(P$22="Maestro en Armas",0.5,1),Q86),VLOOKUP($E$86,Tabla_ArsInanimis,2,FALSE)*IF(OR(P$22="Maestro en Armas",AND($E$86="Kiai",P$22="Tao")),0.5,1))),""),"")</f>
        <v/>
      </c>
      <c r="Q86" s="2692"/>
      <c r="R86" s="2699" t="str">
        <f>IF(R22&lt;&gt;"",IFERROR(IF($E$86=0,"",IF($E$86="Ophiucos Sigma",IF(S86="",VLOOKUP($E$86,Tabla_ArsInanimis,2,FALSE)*IF(R$22="Maestro en Armas",0.5,1),S86),VLOOKUP($E$86,Tabla_ArsInanimis,2,FALSE)*IF(OR(R$22="Maestro en Armas",AND($E$86="Kiai",R$22="Tao")),0.5,1))),""),"")</f>
        <v/>
      </c>
      <c r="S86" s="2692"/>
      <c r="T86" s="2699" t="str">
        <f>IF(T22&lt;&gt;"",IFERROR(IF($E$86=0,"",IF($E$86="Ophiucos Sigma",IF(U86="",VLOOKUP($E$86,Tabla_ArsInanimis,2,FALSE)*IF(T$22="Maestro en Armas",0.5,1),U86),VLOOKUP($E$86,Tabla_ArsInanimis,2,FALSE)*IF(OR(T$22="Maestro en Armas",AND($E$86="Kiai",T$22="Tao")),0.5,1))),""),"")</f>
        <v/>
      </c>
      <c r="U86" s="2692"/>
      <c r="V86" s="5290" t="str">
        <f>IF(E86=0,"",IF(VLOOKUP(E86,Tabla_ArsInanimis,5,FALSE)=1,"Ver Descripción","FALTAN REQUISITOS"))</f>
        <v/>
      </c>
      <c r="W86" s="5291"/>
      <c r="X86" s="5291"/>
      <c r="Y86" s="5291"/>
      <c r="Z86" s="2694" t="s">
        <v>1365</v>
      </c>
      <c r="AA86" s="2702">
        <f>IF(E86=0,0,VLOOKUP(E86,Tabla_ArsInanimis,3,FALSE))</f>
        <v>0</v>
      </c>
      <c r="AB86" s="1550"/>
      <c r="AC86" s="1282"/>
      <c r="AD86" s="2265"/>
      <c r="AE86" s="3632"/>
      <c r="AF86" s="3633"/>
      <c r="AG86" s="3632"/>
      <c r="AH86" s="3632"/>
      <c r="AI86" s="3632"/>
      <c r="AJ86" s="3632"/>
      <c r="AK86" s="3632"/>
      <c r="AL86" s="628"/>
      <c r="AM86" s="628"/>
      <c r="AN86" s="628"/>
      <c r="AO86" s="628"/>
      <c r="AP86" s="628"/>
      <c r="AQ86" s="628"/>
      <c r="AR86" s="628"/>
      <c r="AS86" s="628"/>
      <c r="AT86" s="628"/>
      <c r="AU86" s="628"/>
      <c r="AV86" s="628"/>
      <c r="AW86" s="628"/>
      <c r="AX86" s="628"/>
      <c r="AY86" s="628"/>
      <c r="AZ86" s="628"/>
      <c r="BA86" s="628"/>
      <c r="BB86" s="628"/>
      <c r="BC86" s="628"/>
      <c r="BD86" s="2616"/>
      <c r="BE86" s="2616"/>
      <c r="BF86" s="2616"/>
      <c r="BG86" s="2616"/>
      <c r="BH86" s="2616"/>
      <c r="BI86" s="2616"/>
      <c r="BJ86" s="2616"/>
      <c r="BK86" s="2616"/>
      <c r="BL86" s="2616"/>
      <c r="BM86" s="2616"/>
      <c r="BN86" s="2616"/>
      <c r="BO86" s="2616"/>
      <c r="BP86" s="2616"/>
      <c r="BQ86" s="2616"/>
      <c r="BR86" s="2616"/>
      <c r="BS86" s="2616"/>
      <c r="BT86" s="2616"/>
      <c r="BU86" s="2616"/>
      <c r="BV86" s="2616"/>
      <c r="BW86" s="2616"/>
      <c r="BX86" s="2616"/>
    </row>
    <row r="87" spans="1:76" s="14" customFormat="1" ht="12" customHeight="1">
      <c r="A87" s="4"/>
      <c r="B87" s="831"/>
      <c r="C87" s="5402"/>
      <c r="D87" s="5188"/>
      <c r="E87" s="5393"/>
      <c r="F87" s="5190"/>
      <c r="G87" s="5190"/>
      <c r="H87" s="5190"/>
      <c r="I87" s="5190"/>
      <c r="J87" s="5190"/>
      <c r="K87" s="5191"/>
      <c r="L87" s="70" t="str">
        <f>IFERROR(IF($E$87=0,"",IF($E$87="Ophiucos Sigma",IF(M87="",VLOOKUP($E$87,Tabla_ArsInanimis,2,FALSE)*IF(L$22="Maestro en Armas",0.5,1),M87),VLOOKUP($E$87,Tabla_ArsInanimis,2,FALSE)*IF(OR(L$22="Maestro en Armas",AND($E$87="Kiai",L$22="Tao")),0.5,1))),"")</f>
        <v/>
      </c>
      <c r="M87" s="1778"/>
      <c r="N87" s="70" t="str">
        <f>IF(N22&lt;&gt;"",IFERROR(IF($E$87=0,"",IF($E$87="Ophiucos Sigma",IF(O87="",VLOOKUP($E$87,Tabla_ArsInanimis,2,FALSE)*IF(N$22="Maestro en Armas",0.5,1),O87),VLOOKUP($E$87,Tabla_ArsInanimis,2,FALSE)*IF(OR(N$22="Maestro en Armas",AND($E$87="Kiai",N$22="Tao")),0.5,1))),""),"")</f>
        <v/>
      </c>
      <c r="O87" s="1778"/>
      <c r="P87" s="70" t="str">
        <f>IF(P22&lt;&gt;"",IFERROR(IF($E$87=0,"",IF($E$87="Ophiucos Sigma",IF(Q87="",VLOOKUP($E$87,Tabla_ArsInanimis,2,FALSE)*IF(P$22="Maestro en Armas",0.5,1),Q87),VLOOKUP($E$87,Tabla_ArsInanimis,2,FALSE)*IF(OR(P$22="Maestro en Armas",AND($E$87="Kiai",P$22="Tao")),0.5,1))),""),"")</f>
        <v/>
      </c>
      <c r="Q87" s="1778"/>
      <c r="R87" s="70" t="str">
        <f>IF(R22&lt;&gt;"",IFERROR(IF($E$87=0,"",IF($E$87="Ophiucos Sigma",IF(S87="",VLOOKUP($E$87,Tabla_ArsInanimis,2,FALSE)*IF(R$22="Maestro en Armas",0.5,1),S87),VLOOKUP($E$87,Tabla_ArsInanimis,2,FALSE)*IF(OR(R$22="Maestro en Armas",AND($E$87="Kiai",R$22="Tao")),0.5,1))),""),"")</f>
        <v/>
      </c>
      <c r="S87" s="1778"/>
      <c r="T87" s="70" t="str">
        <f>IF(T22&lt;&gt;"",IFERROR(IF($E$87=0,"",IF($E$87="Ophiucos Sigma",IF(U87="",VLOOKUP($E$87,Tabla_ArsInanimis,2,FALSE)*IF(T$22="Maestro en Armas",0.5,1),U87),VLOOKUP($E$87,Tabla_ArsInanimis,2,FALSE)*IF(OR(T$22="Maestro en Armas",AND($E$87="Kiai",T$22="Tao")),0.5,1))),""),"")</f>
        <v/>
      </c>
      <c r="U87" s="1778"/>
      <c r="V87" s="5149" t="str">
        <f>IF(E87=0,"",IF(VLOOKUP(E87,Tabla_ArsInanimis,5,FALSE)=1,"Ver Descripción","FALTAN REQUISITOS"))</f>
        <v/>
      </c>
      <c r="W87" s="5150"/>
      <c r="X87" s="5150"/>
      <c r="Y87" s="5150"/>
      <c r="Z87" s="2695" t="s">
        <v>1365</v>
      </c>
      <c r="AA87" s="886">
        <f>IF(E87=0,0,VLOOKUP(E87,Tabla_ArsInanimis,3,FALSE))</f>
        <v>0</v>
      </c>
      <c r="AB87" s="1550"/>
      <c r="AC87" s="1282"/>
      <c r="AD87" s="2265"/>
      <c r="AE87" s="3632"/>
      <c r="AF87" s="3633"/>
      <c r="AG87" s="3632"/>
      <c r="AH87" s="3632"/>
      <c r="AI87" s="3632"/>
      <c r="AJ87" s="3632"/>
      <c r="AK87" s="3632"/>
      <c r="AL87" s="628"/>
      <c r="AM87" s="628"/>
      <c r="AN87" s="628"/>
      <c r="AO87" s="628"/>
      <c r="AP87" s="628"/>
      <c r="AQ87" s="628"/>
      <c r="AR87" s="628"/>
      <c r="AS87" s="628"/>
      <c r="AT87" s="628"/>
      <c r="AU87" s="628"/>
      <c r="AV87" s="628"/>
      <c r="AW87" s="628"/>
      <c r="AX87" s="628"/>
      <c r="AY87" s="628"/>
      <c r="AZ87" s="628"/>
      <c r="BA87" s="628"/>
      <c r="BB87" s="628"/>
      <c r="BC87" s="628"/>
      <c r="BD87" s="2616"/>
      <c r="BE87" s="2616"/>
      <c r="BF87" s="2616"/>
      <c r="BG87" s="2616"/>
      <c r="BH87" s="2616"/>
      <c r="BI87" s="2616"/>
      <c r="BJ87" s="2616"/>
      <c r="BK87" s="2616"/>
      <c r="BL87" s="2616"/>
      <c r="BM87" s="2616"/>
      <c r="BN87" s="2616"/>
      <c r="BO87" s="2616"/>
      <c r="BP87" s="2616"/>
      <c r="BQ87" s="2616"/>
      <c r="BR87" s="2616"/>
      <c r="BS87" s="2616"/>
      <c r="BT87" s="2616"/>
      <c r="BU87" s="2616"/>
      <c r="BV87" s="2616"/>
      <c r="BW87" s="2616"/>
      <c r="BX87" s="2616"/>
    </row>
    <row r="88" spans="1:76" s="14" customFormat="1" ht="12" customHeight="1">
      <c r="A88" s="4"/>
      <c r="B88" s="831"/>
      <c r="C88" s="5402"/>
      <c r="D88" s="5188"/>
      <c r="E88" s="5390"/>
      <c r="F88" s="5391"/>
      <c r="G88" s="5391"/>
      <c r="H88" s="5391"/>
      <c r="I88" s="5391"/>
      <c r="J88" s="5391"/>
      <c r="K88" s="5392"/>
      <c r="L88" s="2700" t="str">
        <f>IFERROR(IF($E$88=0,"",IF($E$88="Ophiucos Sigma",IF(M88="",VLOOKUP($E$88,Tabla_ArsInanimis,2,FALSE)*IF(L$22="Maestro en Armas",0.5,1),M88),VLOOKUP($E$88,Tabla_ArsInanimis,2,FALSE)*IF(OR(L$22="Maestro en Armas",AND($E$88="Kiai",L$22="Tao")),0.5,1))),"")</f>
        <v/>
      </c>
      <c r="M88" s="2609"/>
      <c r="N88" s="2700" t="str">
        <f>IF(N22&lt;&gt;"",IFERROR(IF($E$88=0,"",IF($E$88="Ophiucos Sigma",IF(O88="",VLOOKUP($E$88,Tabla_ArsInanimis,2,FALSE)*IF(N$22="Maestro en Armas",0.5,1),O88),VLOOKUP($E$88,Tabla_ArsInanimis,2,FALSE)*IF(OR(N$22="Maestro en Armas",AND($E$88="Kiai",N$22="Tao")),0.5,1))),""),"")</f>
        <v/>
      </c>
      <c r="O88" s="2609"/>
      <c r="P88" s="2700" t="str">
        <f>IF(P22&lt;&gt;"",IFERROR(IF($E$88=0,"",IF($E$88="Ophiucos Sigma",IF(Q88="",VLOOKUP($E$88,Tabla_ArsInanimis,2,FALSE)*IF(P$22="Maestro en Armas",0.5,1),Q88),VLOOKUP($E$88,Tabla_ArsInanimis,2,FALSE)*IF(OR(P$22="Maestro en Armas",AND($E$88="Kiai",P$22="Tao")),0.5,1))),""),"")</f>
        <v/>
      </c>
      <c r="Q88" s="2609"/>
      <c r="R88" s="2700" t="str">
        <f>IF(R22&lt;&gt;"",IFERROR(IF($E$88=0,"",IF($E$88="Ophiucos Sigma",IF(S88="",VLOOKUP($E$88,Tabla_ArsInanimis,2,FALSE)*IF(R$22="Maestro en Armas",0.5,1),S88),VLOOKUP($E$88,Tabla_ArsInanimis,2,FALSE)*IF(OR(R$22="Maestro en Armas",AND($E$88="Kiai",R$22="Tao")),0.5,1))),""),"")</f>
        <v/>
      </c>
      <c r="S88" s="2609"/>
      <c r="T88" s="2700" t="str">
        <f>IF(T22&lt;&gt;"",IFERROR(IF($E$88=0,"",IF($E$88="Ophiucos Sigma",IF(U88="",VLOOKUP($E$88,Tabla_ArsInanimis,2,FALSE)*IF(T$22="Maestro en Armas",0.5,1),U88),VLOOKUP($E$88,Tabla_ArsInanimis,2,FALSE)*IF(OR(T$22="Maestro en Armas",AND($E$88="Kiai",T$22="Tao")),0.5,1))),""),"")</f>
        <v/>
      </c>
      <c r="U88" s="2609"/>
      <c r="V88" s="5151" t="str">
        <f>IF(E88=0,"",IF(VLOOKUP(E88,Tabla_ArsInanimis,5,FALSE)=1,"Ver Descripción","FALTAN REQUISITOS"))</f>
        <v/>
      </c>
      <c r="W88" s="5152"/>
      <c r="X88" s="5152"/>
      <c r="Y88" s="5152"/>
      <c r="Z88" s="2696" t="s">
        <v>1365</v>
      </c>
      <c r="AA88" s="2703">
        <f>IF(E88=0,0,VLOOKUP(E88,Tabla_ArsInanimis,3,FALSE))</f>
        <v>0</v>
      </c>
      <c r="AB88" s="1550"/>
      <c r="AC88" s="1282"/>
      <c r="AD88" s="2265"/>
      <c r="AE88" s="3632"/>
      <c r="AF88" s="3633"/>
      <c r="AG88" s="3632"/>
      <c r="AH88" s="3632"/>
      <c r="AI88" s="3632"/>
      <c r="AJ88" s="3632"/>
      <c r="AK88" s="3632"/>
      <c r="AL88" s="628"/>
      <c r="AM88" s="628"/>
      <c r="AN88" s="628"/>
      <c r="AO88" s="628"/>
      <c r="AP88" s="628"/>
      <c r="AQ88" s="628"/>
      <c r="AR88" s="628"/>
      <c r="AS88" s="628"/>
      <c r="AT88" s="628"/>
      <c r="AU88" s="628"/>
      <c r="AV88" s="628"/>
      <c r="AW88" s="628"/>
      <c r="AX88" s="628"/>
      <c r="AY88" s="628"/>
      <c r="AZ88" s="628"/>
      <c r="BA88" s="628"/>
      <c r="BB88" s="628"/>
      <c r="BC88" s="628"/>
      <c r="BD88" s="2616"/>
      <c r="BE88" s="2616"/>
      <c r="BF88" s="2616"/>
      <c r="BG88" s="2616"/>
      <c r="BH88" s="2616"/>
      <c r="BI88" s="2616"/>
      <c r="BJ88" s="2616"/>
      <c r="BK88" s="2616"/>
      <c r="BL88" s="2616"/>
      <c r="BM88" s="2616"/>
      <c r="BN88" s="2616"/>
      <c r="BO88" s="2616"/>
      <c r="BP88" s="2616"/>
      <c r="BQ88" s="2616"/>
      <c r="BR88" s="2616"/>
      <c r="BS88" s="2616"/>
      <c r="BT88" s="2616"/>
      <c r="BU88" s="2616"/>
      <c r="BV88" s="2616"/>
      <c r="BW88" s="2616"/>
      <c r="BX88" s="2616"/>
    </row>
    <row r="89" spans="1:76" s="14" customFormat="1" ht="12" customHeight="1">
      <c r="A89" s="4"/>
      <c r="B89" s="831"/>
      <c r="C89" s="5402"/>
      <c r="D89" s="5188"/>
      <c r="E89" s="5393"/>
      <c r="F89" s="5190"/>
      <c r="G89" s="5190"/>
      <c r="H89" s="5190"/>
      <c r="I89" s="5190"/>
      <c r="J89" s="5190"/>
      <c r="K89" s="5191"/>
      <c r="L89" s="70" t="str">
        <f>IFERROR(IF($E$89=0,"",IF($E$89="Ophiucos Sigma",IF(M89="",VLOOKUP($E$89,Tabla_ArsInanimis,2,FALSE)*IF(L$22="Maestro en Armas",0.5,1),M89),VLOOKUP($E$89,Tabla_ArsInanimis,2,FALSE)*IF(OR(L$22="Maestro en Armas",AND($E$89="Kiai",L$22="Tao")),0.5,1))),"")</f>
        <v/>
      </c>
      <c r="M89" s="1778"/>
      <c r="N89" s="70" t="str">
        <f>IF(N22&lt;&gt;"",IFERROR(IF($E$89=0,"",IF($E$89="Ophiucos Sigma",IF(O89="",VLOOKUP($E$89,Tabla_ArsInanimis,2,FALSE)*IF(N$22="Maestro en Armas",0.5,1),O89),VLOOKUP($E$89,Tabla_ArsInanimis,2,FALSE)*IF(OR(N$22="Maestro en Armas",AND($E$89="Kiai",N$22="Tao")),0.5,1))),""),"")</f>
        <v/>
      </c>
      <c r="O89" s="1778"/>
      <c r="P89" s="70" t="str">
        <f>IF(P22&lt;&gt;"",IFERROR(IF($E$89=0,"",IF($E$89="Ophiucos Sigma",IF(Q89="",VLOOKUP($E$89,Tabla_ArsInanimis,2,FALSE)*IF(P$22="Maestro en Armas",0.5,1),Q89),VLOOKUP($E$89,Tabla_ArsInanimis,2,FALSE)*IF(OR(P$22="Maestro en Armas",AND($E$89="Kiai",P$22="Tao")),0.5,1))),""),"")</f>
        <v/>
      </c>
      <c r="Q89" s="1778"/>
      <c r="R89" s="70" t="str">
        <f>IF(R22&lt;&gt;"",IFERROR(IF($E$89=0,"",IF($E$89="Ophiucos Sigma",IF(S89="",VLOOKUP($E$89,Tabla_ArsInanimis,2,FALSE)*IF(R$22="Maestro en Armas",0.5,1),S89),VLOOKUP($E$89,Tabla_ArsInanimis,2,FALSE)*IF(OR(R$22="Maestro en Armas",AND($E$89="Kiai",R$22="Tao")),0.5,1))),""),"")</f>
        <v/>
      </c>
      <c r="S89" s="1778"/>
      <c r="T89" s="70" t="str">
        <f>IF(T22&lt;&gt;"",IFERROR(IF($E$89=0,"",IF($E$89="Ophiucos Sigma",IF(U89="",VLOOKUP($E$89,Tabla_ArsInanimis,2,FALSE)*IF(T$22="Maestro en Armas",0.5,1),U89),VLOOKUP($E$89,Tabla_ArsInanimis,2,FALSE)*IF(OR(T$22="Maestro en Armas",AND($E$89="Kiai",T$22="Tao")),0.5,1))),""),"")</f>
        <v/>
      </c>
      <c r="U89" s="1778"/>
      <c r="V89" s="5149" t="str">
        <f>IF(E89=0,"",IF(VLOOKUP(E89,Tabla_ArsInanimis,5,FALSE)=1,"Ver Descripción","FALTAN REQUISITOS"))</f>
        <v/>
      </c>
      <c r="W89" s="5150"/>
      <c r="X89" s="5150"/>
      <c r="Y89" s="5150"/>
      <c r="Z89" s="2695" t="s">
        <v>1365</v>
      </c>
      <c r="AA89" s="886">
        <f>IF(E89=0,0,VLOOKUP(E89,Tabla_ArsInanimis,3,FALSE))</f>
        <v>0</v>
      </c>
      <c r="AB89" s="1550"/>
      <c r="AC89" s="1282"/>
      <c r="AD89" s="2265"/>
      <c r="AE89" s="3632"/>
      <c r="AF89" s="3633"/>
      <c r="AG89" s="3632"/>
      <c r="AH89" s="3632"/>
      <c r="AI89" s="3632"/>
      <c r="AJ89" s="3632"/>
      <c r="AK89" s="3632"/>
      <c r="AL89" s="628"/>
      <c r="AM89" s="628"/>
      <c r="AN89" s="628"/>
      <c r="AO89" s="628"/>
      <c r="AP89" s="628"/>
      <c r="AQ89" s="628"/>
      <c r="AR89" s="628"/>
      <c r="AS89" s="628"/>
      <c r="AT89" s="628"/>
      <c r="AU89" s="628"/>
      <c r="AV89" s="628"/>
      <c r="AW89" s="628"/>
      <c r="AX89" s="628"/>
      <c r="AY89" s="628"/>
      <c r="AZ89" s="628"/>
      <c r="BA89" s="628"/>
      <c r="BB89" s="628"/>
      <c r="BC89" s="628"/>
      <c r="BD89" s="2616"/>
      <c r="BE89" s="2616"/>
      <c r="BF89" s="2616"/>
      <c r="BG89" s="2616"/>
      <c r="BH89" s="2616"/>
      <c r="BI89" s="2616"/>
      <c r="BJ89" s="2616"/>
      <c r="BK89" s="2616"/>
      <c r="BL89" s="2616"/>
      <c r="BM89" s="2616"/>
      <c r="BN89" s="2616"/>
      <c r="BO89" s="2616"/>
      <c r="BP89" s="2616"/>
      <c r="BQ89" s="2616"/>
      <c r="BR89" s="2616"/>
      <c r="BS89" s="2616"/>
      <c r="BT89" s="2616"/>
      <c r="BU89" s="2616"/>
      <c r="BV89" s="2616"/>
      <c r="BW89" s="2616"/>
      <c r="BX89" s="2616"/>
    </row>
    <row r="90" spans="1:76" s="14" customFormat="1" ht="12" customHeight="1">
      <c r="A90" s="4"/>
      <c r="B90" s="831"/>
      <c r="C90" s="5402"/>
      <c r="D90" s="5400"/>
      <c r="E90" s="5407"/>
      <c r="F90" s="5408"/>
      <c r="G90" s="5408"/>
      <c r="H90" s="5408"/>
      <c r="I90" s="5408"/>
      <c r="J90" s="5408"/>
      <c r="K90" s="5409"/>
      <c r="L90" s="2700" t="str">
        <f>IFERROR(IF($E$90=0,"",IF($E$90="Ophiucos Sigma",IF(M90="",VLOOKUP($E$90,Tabla_ArsInanimis,2,FALSE)*IF(L$22="Maestro en Armas",0.5,1),M90),VLOOKUP($E$90,Tabla_ArsInanimis,2,FALSE)*IF(OR(L$22="Maestro en Armas",AND($E$90="Kiai",L$22="Tao")),0.5,1))),"")</f>
        <v/>
      </c>
      <c r="M90" s="2609"/>
      <c r="N90" s="2700" t="str">
        <f>IF(N22&lt;&gt;"",IFERROR(IF($E$90=0,"",IF($E$90="Ophiucos Sigma",IF(O90="",VLOOKUP($E$90,Tabla_ArsInanimis,2,FALSE)*IF(N$22="Maestro en Armas",0.5,1),O90),VLOOKUP($E$90,Tabla_ArsInanimis,2,FALSE)*IF(OR(N$22="Maestro en Armas",AND($E$90="Kiai",N$22="Tao")),0.5,1))),""),"")</f>
        <v/>
      </c>
      <c r="O90" s="2609"/>
      <c r="P90" s="2700" t="str">
        <f>IF(P22&lt;&gt;"",IFERROR(IF($E$90=0,"",IF($E$90="Ophiucos Sigma",IF(Q90="",VLOOKUP($E$90,Tabla_ArsInanimis,2,FALSE)*IF(P$22="Maestro en Armas",0.5,1),Q90),VLOOKUP($E$90,Tabla_ArsInanimis,2,FALSE)*IF(OR(P$22="Maestro en Armas",AND($E$90="Kiai",P$22="Tao")),0.5,1))),""),"")</f>
        <v/>
      </c>
      <c r="Q90" s="2609"/>
      <c r="R90" s="2700" t="str">
        <f>IF(R22&lt;&gt;"",IFERROR(IF($E$90=0,"",IF($E$90="Ophiucos Sigma",IF(S90="",VLOOKUP($E$90,Tabla_ArsInanimis,2,FALSE)*IF(R$22="Maestro en Armas",0.5,1),S90),VLOOKUP($E$90,Tabla_ArsInanimis,2,FALSE)*IF(OR(R$22="Maestro en Armas",AND($E$90="Kiai",R$22="Tao")),0.5,1))),""),"")</f>
        <v/>
      </c>
      <c r="S90" s="2609"/>
      <c r="T90" s="2700" t="str">
        <f>IF(T22&lt;&gt;"",IFERROR(IF($E$90=0,"",IF($E$90="Ophiucos Sigma",IF(U90="",VLOOKUP($E$90,Tabla_ArsInanimis,2,FALSE)*IF(T$22="Maestro en Armas",0.5,1),U90),VLOOKUP($E$90,Tabla_ArsInanimis,2,FALSE)*IF(OR(T$22="Maestro en Armas",AND($E$90="Kiai",T$22="Tao")),0.5,1))),""),"")</f>
        <v/>
      </c>
      <c r="U90" s="2609"/>
      <c r="V90" s="5420" t="str">
        <f>IF(E90=0,"",IF(VLOOKUP(E90,Tabla_ArsInanimis,5,FALSE)=1,"Ver Descripción","FALTAN REQUISITOS"))</f>
        <v/>
      </c>
      <c r="W90" s="5421"/>
      <c r="X90" s="5421"/>
      <c r="Y90" s="5421"/>
      <c r="Z90" s="2696" t="s">
        <v>1365</v>
      </c>
      <c r="AA90" s="2703">
        <f>IF(E90=0,0,VLOOKUP(E90,Tabla_ArsInanimis,3,FALSE))</f>
        <v>0</v>
      </c>
      <c r="AB90" s="1550"/>
      <c r="AC90" s="1282"/>
      <c r="AD90" s="2265"/>
      <c r="AE90" s="3632"/>
      <c r="AF90" s="3633"/>
      <c r="AG90" s="3632"/>
      <c r="AH90" s="3632"/>
      <c r="AI90" s="3632"/>
      <c r="AJ90" s="3632"/>
      <c r="AK90" s="3632"/>
      <c r="AL90" s="628"/>
      <c r="AM90" s="628"/>
      <c r="AN90" s="628"/>
      <c r="AO90" s="628"/>
      <c r="AP90" s="628"/>
      <c r="AQ90" s="628"/>
      <c r="AR90" s="628"/>
      <c r="AS90" s="628"/>
      <c r="AT90" s="628"/>
      <c r="AU90" s="628"/>
      <c r="AV90" s="628"/>
      <c r="AW90" s="628"/>
      <c r="AX90" s="628"/>
      <c r="AY90" s="628"/>
      <c r="AZ90" s="628"/>
      <c r="BA90" s="628"/>
      <c r="BB90" s="628"/>
      <c r="BC90" s="628"/>
      <c r="BD90" s="2616"/>
      <c r="BE90" s="2616"/>
      <c r="BF90" s="2616"/>
      <c r="BG90" s="2616"/>
      <c r="BH90" s="2616"/>
      <c r="BI90" s="2616"/>
      <c r="BJ90" s="2616"/>
      <c r="BK90" s="2616"/>
      <c r="BL90" s="2616"/>
      <c r="BM90" s="2616"/>
      <c r="BN90" s="2616"/>
      <c r="BO90" s="2616"/>
      <c r="BP90" s="2616"/>
      <c r="BQ90" s="2616"/>
      <c r="BR90" s="2616"/>
      <c r="BS90" s="2616"/>
      <c r="BT90" s="2616"/>
      <c r="BU90" s="2616"/>
      <c r="BV90" s="2616"/>
      <c r="BW90" s="2616"/>
      <c r="BX90" s="2616"/>
    </row>
    <row r="91" spans="1:76" s="14" customFormat="1" ht="12" customHeight="1">
      <c r="A91" s="4"/>
      <c r="B91" s="831"/>
      <c r="C91" s="5402"/>
      <c r="D91" s="5187" t="s">
        <v>10030</v>
      </c>
      <c r="E91" s="5410" t="str">
        <f>IF(OR(L22="Mentalista (C)",L22="Mentalista (F)",L22="Hechicero Ment. (C)",L22="Hechicero Ment. (F)"),"",IF(E130&lt;&gt;"",E130,""))</f>
        <v/>
      </c>
      <c r="F91" s="5411"/>
      <c r="G91" s="5411"/>
      <c r="H91" s="5411"/>
      <c r="I91" s="5411"/>
      <c r="J91" s="5411"/>
      <c r="K91" s="5412"/>
      <c r="L91" s="2790" t="str">
        <f>IF(OR(L22="Mentalista (C)",L22="Mentalista (F)",L22="Hechicero Ment. (C)",L22="Hechicero Ment. (F)"),"",IF(OR($E91="",L$22=""),"",VLOOKUP($E91,Tabla_ArsCognitiam,2,FALSE)))</f>
        <v/>
      </c>
      <c r="M91" s="2693"/>
      <c r="N91" s="2790" t="str">
        <f>IF(OR($E91="",N$22=""),"",VLOOKUP($E91,Tabla_ArsCognitiam,2,FALSE))</f>
        <v/>
      </c>
      <c r="O91" s="2693"/>
      <c r="P91" s="2790" t="str">
        <f>IF(OR($E91="",P$22=""),"",VLOOKUP($E91,Tabla_ArsCognitiam,2,FALSE))</f>
        <v/>
      </c>
      <c r="Q91" s="2693"/>
      <c r="R91" s="2790" t="str">
        <f>IF(OR($E91="",R$22=""),"",VLOOKUP($E91,Tabla_ArsCognitiam,2,FALSE))</f>
        <v/>
      </c>
      <c r="S91" s="2693"/>
      <c r="T91" s="2790" t="str">
        <f>IF(OR($E91="",T$22=""),"",VLOOKUP($E91,Tabla_ArsCognitiam,2,FALSE))</f>
        <v/>
      </c>
      <c r="U91" s="2693"/>
      <c r="V91" s="5422" t="str">
        <f>IF(E91="","",VLOOKUP(E91,Tabla_ArsCognitiam,12,FALSE))</f>
        <v/>
      </c>
      <c r="W91" s="5423"/>
      <c r="X91" s="5423"/>
      <c r="Y91" s="5423"/>
      <c r="Z91" s="2697" t="s">
        <v>10031</v>
      </c>
      <c r="AA91" s="2704">
        <f>IF(E91="",0,VLOOKUP(E91,Tabla_ArsCognitiam,4,FALSE))</f>
        <v>0</v>
      </c>
      <c r="AB91" s="1550"/>
      <c r="AC91" s="1282"/>
      <c r="AD91" s="2265"/>
      <c r="AE91" s="3632"/>
      <c r="AF91" s="3633"/>
      <c r="AG91" s="3632"/>
      <c r="AH91" s="3632"/>
      <c r="AI91" s="3632"/>
      <c r="AJ91" s="3632"/>
      <c r="AK91" s="3632"/>
      <c r="AL91" s="628"/>
      <c r="AM91" s="628"/>
      <c r="AN91" s="628"/>
      <c r="AO91" s="628"/>
      <c r="AP91" s="628"/>
      <c r="AQ91" s="628"/>
      <c r="AR91" s="628"/>
      <c r="AS91" s="628"/>
      <c r="AT91" s="628"/>
      <c r="AU91" s="628"/>
      <c r="AV91" s="628"/>
      <c r="AW91" s="628"/>
      <c r="AX91" s="628"/>
      <c r="AY91" s="628"/>
      <c r="AZ91" s="628"/>
      <c r="BA91" s="628"/>
      <c r="BB91" s="628"/>
      <c r="BC91" s="628"/>
      <c r="BD91" s="2616"/>
      <c r="BE91" s="2616"/>
      <c r="BF91" s="2616"/>
      <c r="BG91" s="2616"/>
      <c r="BH91" s="2616"/>
      <c r="BI91" s="2616"/>
      <c r="BJ91" s="2616"/>
      <c r="BK91" s="2616"/>
      <c r="BL91" s="2616"/>
      <c r="BM91" s="2616"/>
      <c r="BN91" s="2616"/>
      <c r="BO91" s="2616"/>
      <c r="BP91" s="2616"/>
      <c r="BQ91" s="2616"/>
      <c r="BR91" s="2616"/>
      <c r="BS91" s="2616"/>
      <c r="BT91" s="2616"/>
      <c r="BU91" s="2616"/>
      <c r="BV91" s="2616"/>
      <c r="BW91" s="2616"/>
      <c r="BX91" s="2616"/>
    </row>
    <row r="92" spans="1:76" s="14" customFormat="1" ht="12" customHeight="1">
      <c r="A92" s="4"/>
      <c r="B92" s="831"/>
      <c r="C92" s="5402"/>
      <c r="D92" s="5188"/>
      <c r="E92" s="5413" t="str">
        <f>IF(OR(L22="Mentalista (C)",L22="Mentalista (F)",L22="Hechicero Ment. (C)",L22="Hechicero Ment. (F)"),"",IF(E131&lt;&gt;"",E131,""))</f>
        <v/>
      </c>
      <c r="F92" s="5414"/>
      <c r="G92" s="5414"/>
      <c r="H92" s="5414"/>
      <c r="I92" s="5414"/>
      <c r="J92" s="5414"/>
      <c r="K92" s="5415"/>
      <c r="L92" s="2700" t="str">
        <f>IF(OR(L22="Mentalista (C)",L22="Mentalista (F)",L22="Hechicero Ment. (C)",L22="Hechicero Ment. (F)"),"",IF(OR(E92="",L$22=""),"",VLOOKUP($E92,Tabla_ArsCognitiam,2,FALSE)))</f>
        <v/>
      </c>
      <c r="M92" s="2609"/>
      <c r="N92" s="2700" t="str">
        <f>IF(OR(G92="",N$22=""),"",VLOOKUP($E92,Tabla_ArsCognitiam,2,FALSE))</f>
        <v/>
      </c>
      <c r="O92" s="2609"/>
      <c r="P92" s="2700" t="str">
        <f>IF(OR(I92="",P$22=""),"",VLOOKUP($E92,Tabla_ArsCognitiam,2,FALSE))</f>
        <v/>
      </c>
      <c r="Q92" s="2609"/>
      <c r="R92" s="2700" t="str">
        <f>IF(OR(K92="",R$22=""),"",VLOOKUP($E92,Tabla_ArsCognitiam,2,FALSE))</f>
        <v/>
      </c>
      <c r="S92" s="2609"/>
      <c r="T92" s="2700" t="str">
        <f>IF(OR(M92="",T$22=""),"",VLOOKUP($E92,Tabla_ArsCognitiam,2,FALSE))</f>
        <v/>
      </c>
      <c r="U92" s="2609"/>
      <c r="V92" s="5151" t="str">
        <f>IF(E92="","",VLOOKUP(E92,Tabla_ArsCognitiam,12,FALSE))</f>
        <v/>
      </c>
      <c r="W92" s="5152"/>
      <c r="X92" s="5152"/>
      <c r="Y92" s="5152"/>
      <c r="Z92" s="2696" t="s">
        <v>10031</v>
      </c>
      <c r="AA92" s="2703">
        <f>IF(E92="",0,VLOOKUP(E92,Tabla_ArsCognitiam,4,FALSE))</f>
        <v>0</v>
      </c>
      <c r="AB92" s="1550"/>
      <c r="AC92" s="1282"/>
      <c r="AD92" s="2265"/>
      <c r="AE92" s="3632"/>
      <c r="AF92" s="3633"/>
      <c r="AG92" s="3632"/>
      <c r="AH92" s="3632"/>
      <c r="AI92" s="3632"/>
      <c r="AJ92" s="3632"/>
      <c r="AK92" s="3632"/>
      <c r="AL92" s="628"/>
      <c r="AM92" s="628"/>
      <c r="AN92" s="628"/>
      <c r="AO92" s="628"/>
      <c r="AP92" s="628"/>
      <c r="AQ92" s="628"/>
      <c r="AR92" s="628"/>
      <c r="AS92" s="628"/>
      <c r="AT92" s="628"/>
      <c r="AU92" s="628"/>
      <c r="AV92" s="628"/>
      <c r="AW92" s="628"/>
      <c r="AX92" s="628"/>
      <c r="AY92" s="628"/>
      <c r="AZ92" s="628"/>
      <c r="BA92" s="628"/>
      <c r="BB92" s="628"/>
      <c r="BC92" s="628"/>
      <c r="BD92" s="2616"/>
      <c r="BE92" s="2616"/>
      <c r="BF92" s="2616"/>
      <c r="BG92" s="2616"/>
      <c r="BH92" s="2616"/>
      <c r="BI92" s="2616"/>
      <c r="BJ92" s="2616"/>
      <c r="BK92" s="2616"/>
      <c r="BL92" s="2616"/>
      <c r="BM92" s="2616"/>
      <c r="BN92" s="2616"/>
      <c r="BO92" s="2616"/>
      <c r="BP92" s="2616"/>
      <c r="BQ92" s="2616"/>
      <c r="BR92" s="2616"/>
      <c r="BS92" s="2616"/>
      <c r="BT92" s="2616"/>
      <c r="BU92" s="2616"/>
      <c r="BV92" s="2616"/>
      <c r="BW92" s="2616"/>
      <c r="BX92" s="2616"/>
    </row>
    <row r="93" spans="1:76" s="14" customFormat="1" ht="12" customHeight="1">
      <c r="A93" s="4"/>
      <c r="B93" s="831"/>
      <c r="C93" s="5402"/>
      <c r="D93" s="5188"/>
      <c r="E93" s="5416" t="str">
        <f>IF(OR(L22="Mentalista (C)",L22="Mentalista (F)",L22="Hechicero Ment. (C)",L22="Hechicero Ment. (F)"),"",IF(E132&lt;&gt;"",E132,""))</f>
        <v/>
      </c>
      <c r="F93" s="5417"/>
      <c r="G93" s="5417"/>
      <c r="H93" s="5417"/>
      <c r="I93" s="5417"/>
      <c r="J93" s="5417"/>
      <c r="K93" s="5418"/>
      <c r="L93" s="70" t="str">
        <f>IF(OR(L22="Mentalista (C)",L22="Mentalista (F)",L22="Hechicero Ment. (C)",L22="Hechicero Ment. (F)"),"",IF(OR(E93="",L$22=""),"",VLOOKUP($E93,Tabla_ArsCognitiam,2,FALSE)))</f>
        <v/>
      </c>
      <c r="M93" s="1778"/>
      <c r="N93" s="70" t="str">
        <f>IF(OR(G93="",N$22=""),"",VLOOKUP($E93,Tabla_ArsCognitiam,2,FALSE))</f>
        <v/>
      </c>
      <c r="O93" s="1778"/>
      <c r="P93" s="70" t="str">
        <f>IF(OR(I93="",P$22=""),"",VLOOKUP($E93,Tabla_ArsCognitiam,2,FALSE))</f>
        <v/>
      </c>
      <c r="Q93" s="1778"/>
      <c r="R93" s="70" t="str">
        <f>IF(OR(K93="",R$22=""),"",VLOOKUP($E93,Tabla_ArsCognitiam,2,FALSE))</f>
        <v/>
      </c>
      <c r="S93" s="1778"/>
      <c r="T93" s="70" t="str">
        <f>IF(OR(M93="",T$22=""),"",VLOOKUP($E93,Tabla_ArsCognitiam,2,FALSE))</f>
        <v/>
      </c>
      <c r="U93" s="1778"/>
      <c r="V93" s="5149" t="str">
        <f>IF(E93="","",VLOOKUP(E93,Tabla_ArsCognitiam,12,FALSE))</f>
        <v/>
      </c>
      <c r="W93" s="5150"/>
      <c r="X93" s="5150"/>
      <c r="Y93" s="5150"/>
      <c r="Z93" s="2695" t="s">
        <v>10031</v>
      </c>
      <c r="AA93" s="886">
        <f>IF(E93="",0,VLOOKUP(E93,Tabla_ArsCognitiam,4,FALSE))</f>
        <v>0</v>
      </c>
      <c r="AB93" s="1550"/>
      <c r="AC93" s="1282"/>
      <c r="AD93" s="2265"/>
      <c r="AE93" s="3632"/>
      <c r="AF93" s="3633"/>
      <c r="AG93" s="3632"/>
      <c r="AH93" s="3632"/>
      <c r="AI93" s="3632"/>
      <c r="AJ93" s="3632"/>
      <c r="AK93" s="3632"/>
      <c r="AL93" s="628"/>
      <c r="AM93" s="628"/>
      <c r="AN93" s="628"/>
      <c r="AO93" s="628"/>
      <c r="AP93" s="628"/>
      <c r="AQ93" s="628"/>
      <c r="AR93" s="628"/>
      <c r="AS93" s="628"/>
      <c r="AT93" s="628"/>
      <c r="AU93" s="628"/>
      <c r="AV93" s="628"/>
      <c r="AW93" s="628"/>
      <c r="AX93" s="628"/>
      <c r="AY93" s="628"/>
      <c r="AZ93" s="628"/>
      <c r="BA93" s="628"/>
      <c r="BB93" s="628"/>
      <c r="BC93" s="628"/>
      <c r="BD93" s="2616"/>
      <c r="BE93" s="2616"/>
      <c r="BF93" s="2616"/>
      <c r="BG93" s="2616"/>
      <c r="BH93" s="2616"/>
      <c r="BI93" s="2616"/>
      <c r="BJ93" s="2616"/>
      <c r="BK93" s="2616"/>
      <c r="BL93" s="2616"/>
      <c r="BM93" s="2616"/>
      <c r="BN93" s="2616"/>
      <c r="BO93" s="2616"/>
      <c r="BP93" s="2616"/>
      <c r="BQ93" s="2616"/>
      <c r="BR93" s="2616"/>
      <c r="BS93" s="2616"/>
      <c r="BT93" s="2616"/>
      <c r="BU93" s="2616"/>
      <c r="BV93" s="2616"/>
      <c r="BW93" s="2616"/>
      <c r="BX93" s="2616"/>
    </row>
    <row r="94" spans="1:76" s="14" customFormat="1" ht="12" customHeight="1">
      <c r="A94" s="4"/>
      <c r="B94" s="831"/>
      <c r="C94" s="5402"/>
      <c r="D94" s="5188"/>
      <c r="E94" s="5413" t="str">
        <f>IF(OR(L22="Mentalista (C)",L22="Mentalista (F)",L22="Hechicero Ment. (C)",L22="Hechicero Ment. (F)"),"",IF(E133&lt;&gt;"",E133,""))</f>
        <v/>
      </c>
      <c r="F94" s="5414"/>
      <c r="G94" s="5414"/>
      <c r="H94" s="5414"/>
      <c r="I94" s="5414"/>
      <c r="J94" s="5414"/>
      <c r="K94" s="5415"/>
      <c r="L94" s="2700" t="str">
        <f>IF(OR(L22="Mentalista (C)",L22="Mentalista (F)",L22="Hechicero Ment. (C)",L22="Hechicero Ment. (F)"),"",IF(OR(E94="",L$22=""),"",VLOOKUP($E94,Tabla_ArsCognitiam,2,FALSE)))</f>
        <v/>
      </c>
      <c r="M94" s="2609"/>
      <c r="N94" s="2700" t="str">
        <f>IF(OR(G94="",N$22=""),"",VLOOKUP($E94,Tabla_ArsCognitiam,2,FALSE))</f>
        <v/>
      </c>
      <c r="O94" s="2609"/>
      <c r="P94" s="2700" t="str">
        <f>IF(OR(I94="",P$22=""),"",VLOOKUP($E94,Tabla_ArsCognitiam,2,FALSE))</f>
        <v/>
      </c>
      <c r="Q94" s="2609"/>
      <c r="R94" s="2700" t="str">
        <f>IF(OR(K94="",R$22=""),"",VLOOKUP($E94,Tabla_ArsCognitiam,2,FALSE))</f>
        <v/>
      </c>
      <c r="S94" s="2609"/>
      <c r="T94" s="2700" t="str">
        <f>IF(OR(M94="",T$22=""),"",VLOOKUP($E94,Tabla_ArsCognitiam,2,FALSE))</f>
        <v/>
      </c>
      <c r="U94" s="2609"/>
      <c r="V94" s="5151" t="str">
        <f>IF(E94="","",VLOOKUP(E94,Tabla_ArsCognitiam,12,FALSE))</f>
        <v/>
      </c>
      <c r="W94" s="5152"/>
      <c r="X94" s="5152"/>
      <c r="Y94" s="5152"/>
      <c r="Z94" s="2696" t="s">
        <v>10031</v>
      </c>
      <c r="AA94" s="2703">
        <f>IF(E94="",0,VLOOKUP(E94,Tabla_ArsCognitiam,4,FALSE))</f>
        <v>0</v>
      </c>
      <c r="AB94" s="1550"/>
      <c r="AC94" s="1282"/>
      <c r="AD94" s="2265"/>
      <c r="AE94" s="3632"/>
      <c r="AF94" s="3633"/>
      <c r="AG94" s="3632"/>
      <c r="AH94" s="3632"/>
      <c r="AI94" s="3632"/>
      <c r="AJ94" s="3632"/>
      <c r="AK94" s="3632"/>
      <c r="AL94" s="628"/>
      <c r="AM94" s="628"/>
      <c r="AN94" s="628"/>
      <c r="AO94" s="628"/>
      <c r="AP94" s="628"/>
      <c r="AQ94" s="628"/>
      <c r="AR94" s="628"/>
      <c r="AS94" s="628"/>
      <c r="AT94" s="628"/>
      <c r="AU94" s="628"/>
      <c r="AV94" s="628"/>
      <c r="AW94" s="628"/>
      <c r="AX94" s="628"/>
      <c r="AY94" s="628"/>
      <c r="AZ94" s="628"/>
      <c r="BA94" s="628"/>
      <c r="BB94" s="628"/>
      <c r="BC94" s="628"/>
      <c r="BD94" s="2616"/>
      <c r="BE94" s="2616"/>
      <c r="BF94" s="2616"/>
      <c r="BG94" s="2616"/>
      <c r="BH94" s="2616"/>
      <c r="BI94" s="2616"/>
      <c r="BJ94" s="2616"/>
      <c r="BK94" s="2616"/>
      <c r="BL94" s="2616"/>
      <c r="BM94" s="2616"/>
      <c r="BN94" s="2616"/>
      <c r="BO94" s="2616"/>
      <c r="BP94" s="2616"/>
      <c r="BQ94" s="2616"/>
      <c r="BR94" s="2616"/>
      <c r="BS94" s="2616"/>
      <c r="BT94" s="2616"/>
      <c r="BU94" s="2616"/>
      <c r="BV94" s="2616"/>
      <c r="BW94" s="2616"/>
      <c r="BX94" s="2616"/>
    </row>
    <row r="95" spans="1:76" s="14" customFormat="1" ht="12" customHeight="1" thickBot="1">
      <c r="A95" s="4"/>
      <c r="B95" s="831"/>
      <c r="C95" s="5402"/>
      <c r="D95" s="5188"/>
      <c r="E95" s="5243" t="str">
        <f>IF(OR(L22="Mentalista (C)",L22="Mentalista (F)",L22="Hechicero Ment. (C)",L22="Hechicero Ment. (F)"),"",IF(E134&lt;&gt;"",E134,""))</f>
        <v/>
      </c>
      <c r="F95" s="5244"/>
      <c r="G95" s="5244"/>
      <c r="H95" s="5244"/>
      <c r="I95" s="5244"/>
      <c r="J95" s="5244"/>
      <c r="K95" s="5245"/>
      <c r="L95" s="70" t="str">
        <f>IF(OR(L22="Mentalista (C)",L22="Mentalista (F)",L22="Hechicero Ment. (C)",L22="Hechicero Ment. (F)"),"",IF(OR(E95="",L$22=""),"",VLOOKUP($E95,Tabla_ArsCognitiam,2,FALSE)))</f>
        <v/>
      </c>
      <c r="M95" s="2611"/>
      <c r="N95" s="70" t="str">
        <f>IF(OR(G95="",N$22=""),"",VLOOKUP($E95,Tabla_ArsCognitiam,2,FALSE))</f>
        <v/>
      </c>
      <c r="O95" s="2611"/>
      <c r="P95" s="70" t="str">
        <f>IF(OR(I95="",P$22=""),"",VLOOKUP($E95,Tabla_ArsCognitiam,2,FALSE))</f>
        <v/>
      </c>
      <c r="Q95" s="2611"/>
      <c r="R95" s="70" t="str">
        <f>IF(OR(K95="",R$22=""),"",VLOOKUP($E95,Tabla_ArsCognitiam,2,FALSE))</f>
        <v/>
      </c>
      <c r="S95" s="2611"/>
      <c r="T95" s="70" t="str">
        <f>IF(OR(M95="",T$22=""),"",VLOOKUP($E95,Tabla_ArsCognitiam,2,FALSE))</f>
        <v/>
      </c>
      <c r="U95" s="2611"/>
      <c r="V95" s="5424" t="str">
        <f>IF(E95="","",VLOOKUP(E95,Tabla_ArsCognitiam,12,FALSE))</f>
        <v/>
      </c>
      <c r="W95" s="5425"/>
      <c r="X95" s="5425"/>
      <c r="Y95" s="5425"/>
      <c r="Z95" s="2695" t="s">
        <v>10031</v>
      </c>
      <c r="AA95" s="888">
        <f>IF(E95="",0,VLOOKUP(E95,Tabla_ArsCognitiam,4,FALSE))</f>
        <v>0</v>
      </c>
      <c r="AB95" s="1550"/>
      <c r="AC95" s="1282"/>
      <c r="AD95" s="2265"/>
      <c r="AE95" s="3632"/>
      <c r="AF95" s="3633"/>
      <c r="AG95" s="3632"/>
      <c r="AH95" s="3632"/>
      <c r="AI95" s="3632"/>
      <c r="AJ95" s="3632"/>
      <c r="AK95" s="3632"/>
      <c r="AL95" s="628"/>
      <c r="AM95" s="628"/>
      <c r="AN95" s="628"/>
      <c r="AO95" s="628"/>
      <c r="AP95" s="628"/>
      <c r="AQ95" s="628"/>
      <c r="AR95" s="628"/>
      <c r="AS95" s="628"/>
      <c r="AT95" s="628"/>
      <c r="AU95" s="628"/>
      <c r="AV95" s="628"/>
      <c r="AW95" s="628"/>
      <c r="AX95" s="628"/>
      <c r="AY95" s="628"/>
      <c r="AZ95" s="628"/>
      <c r="BA95" s="628"/>
      <c r="BB95" s="628"/>
      <c r="BC95" s="628"/>
      <c r="BD95" s="2616"/>
      <c r="BE95" s="2616"/>
      <c r="BF95" s="2616"/>
      <c r="BG95" s="2616"/>
      <c r="BH95" s="2616"/>
      <c r="BI95" s="2616"/>
      <c r="BJ95" s="2616"/>
      <c r="BK95" s="2616"/>
      <c r="BL95" s="2616"/>
      <c r="BM95" s="2616"/>
      <c r="BN95" s="2616"/>
      <c r="BO95" s="2616"/>
      <c r="BP95" s="2616"/>
      <c r="BQ95" s="2616"/>
      <c r="BR95" s="2616"/>
      <c r="BS95" s="2616"/>
      <c r="BT95" s="2616"/>
      <c r="BU95" s="2616"/>
      <c r="BV95" s="2616"/>
      <c r="BW95" s="2616"/>
      <c r="BX95" s="2616"/>
    </row>
    <row r="96" spans="1:76" s="14" customFormat="1" ht="12" customHeight="1">
      <c r="A96" s="4"/>
      <c r="B96" s="831"/>
      <c r="C96" s="5402"/>
      <c r="D96" s="5052" t="s">
        <v>1366</v>
      </c>
      <c r="E96" s="5047"/>
      <c r="F96" s="5047"/>
      <c r="G96" s="5047"/>
      <c r="H96" s="5047"/>
      <c r="I96" s="5047"/>
      <c r="J96" s="5047"/>
      <c r="K96" s="5048"/>
      <c r="L96" s="4981">
        <f>T$7*IF(Categoría_1=0,0.5,L98)</f>
        <v>300</v>
      </c>
      <c r="M96" s="4983">
        <f>SUM(M30:M95)+SUM(M25:M28)</f>
        <v>0</v>
      </c>
      <c r="N96" s="4981">
        <f>IF(Limite_Primarias_Individual,$T$9*N98,IF(Categoría_2=0,0,(IF(OR(Limite_Primarias_Combinado,Limite_Primarias_MasConveniente),O98,SUM(T$7:T$9)*IF(Limite_Primarias_Maximo,MAX($L98,$N98),N98)))))</f>
        <v>0</v>
      </c>
      <c r="O96" s="4983">
        <f>(SUM(O30:O85)+SUM(O25:O28)+IF(Limite_Primarias_Individual,0,M96))*IF(Categoría_2=0,0,1)</f>
        <v>0</v>
      </c>
      <c r="P96" s="4981">
        <f>IF(Limite_Primarias_Individual,$T$11*P98,IF(Categoría_3=0,0,(IF(OR(Limite_Primarias_Combinado,Limite_Primarias_MasConveniente),Q98,SUM(T$7:T$11)*IF(Limite_Primarias_Maximo,MAX($L98,$N98,$P98),P98)))))</f>
        <v>0</v>
      </c>
      <c r="Q96" s="5129">
        <f>(SUM(Q30:Q85)+SUM(Q25:Q28)+IF(Limite_Primarias_Individual,0,O96))*IF(Categoría_3=0,0,1)</f>
        <v>0</v>
      </c>
      <c r="R96" s="4981">
        <f>IF(Limite_Primarias_Individual,$T$13*R98,IF(Categoría_4=0,0,(IF(OR(Limite_Primarias_Combinado,Limite_Primarias_MasConveniente),S98,SUM(T$7:T$13)*IF(Limite_Primarias_Maximo,MAX($L98,$N98,$P98,$R98),R98)))))</f>
        <v>0</v>
      </c>
      <c r="S96" s="4983">
        <f>(SUM(S30:S85)+SUM(S25:S28)+IF(Limite_Primarias_Individual,0,Q96))*IF(Categoría_4=0,0,1)</f>
        <v>0</v>
      </c>
      <c r="T96" s="4981">
        <f>IF(Limite_Primarias_Individual,$T$15*T98,IF(Categoría_5=0,0,(IF(OR(Limite_Primarias_Combinado,Limite_Primarias_MasConveniente),U98,SUM(T$7:T$15)*IF(Limite_Primarias_Maximo,MAX($L98,$N98,$P98,$R98,$T98),T98)))))</f>
        <v>0</v>
      </c>
      <c r="U96" s="4983">
        <f>(SUM(U30:U85)+SUM(U25:U28)+IF(Limite_Primarias_Individual,0,S96))*IF(Categoría_5=0,0,1)</f>
        <v>0</v>
      </c>
      <c r="V96" s="5138" t="str">
        <f>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Cognitiam",IF(AND(OR(Tablas!$H$1109&gt;0,Tablas!$H$1110&gt;0,Tablas!$H$1111&gt;0,Tablas!$H$1112&gt;0),AA25&gt;AA190),"Habilidad de Música insuficiente: Debe ser igual o superior a Ataque",IF(OR(M96&gt;L96,O96&gt;N96,Q96&gt;P96,S96&gt;R96,U96&gt;T96),"Exceso de PDs en Habilidades de Combate",""))))))))</f>
        <v/>
      </c>
      <c r="W96" s="5139"/>
      <c r="X96" s="5139"/>
      <c r="Y96" s="5139"/>
      <c r="Z96" s="5139"/>
      <c r="AA96" s="5140"/>
      <c r="AB96" s="1550"/>
      <c r="AC96" s="1282"/>
      <c r="AD96" s="2265"/>
      <c r="AE96" s="3632"/>
      <c r="AF96" s="3633"/>
      <c r="AG96" s="3632"/>
      <c r="AH96" s="3632"/>
      <c r="AI96" s="3632"/>
      <c r="AJ96" s="3632"/>
      <c r="AK96" s="3632"/>
      <c r="AL96" s="628"/>
      <c r="AM96" s="628"/>
      <c r="AN96" s="628"/>
      <c r="AO96" s="628"/>
      <c r="AP96" s="628"/>
      <c r="AQ96" s="628"/>
      <c r="AR96" s="628"/>
      <c r="AS96" s="628"/>
      <c r="AT96" s="628"/>
      <c r="AU96" s="628"/>
      <c r="AV96" s="628"/>
      <c r="AW96" s="628"/>
      <c r="AX96" s="628"/>
      <c r="AY96" s="628"/>
      <c r="AZ96" s="628"/>
      <c r="BA96" s="628"/>
      <c r="BB96" s="628"/>
      <c r="BC96" s="628"/>
      <c r="BD96" s="2616"/>
      <c r="BE96" s="2616"/>
      <c r="BF96" s="2616"/>
      <c r="BG96" s="2616"/>
      <c r="BH96" s="2616"/>
      <c r="BI96" s="2616"/>
      <c r="BJ96" s="2616"/>
      <c r="BK96" s="2616"/>
      <c r="BL96" s="2616"/>
      <c r="BM96" s="2616"/>
      <c r="BN96" s="2616"/>
      <c r="BO96" s="2616"/>
      <c r="BP96" s="2616"/>
      <c r="BQ96" s="2616"/>
      <c r="BR96" s="2616"/>
      <c r="BS96" s="2616"/>
      <c r="BT96" s="2616"/>
      <c r="BU96" s="2616"/>
      <c r="BV96" s="2616"/>
      <c r="BW96" s="2616"/>
      <c r="BX96" s="2616"/>
    </row>
    <row r="97" spans="1:76" s="14" customFormat="1" ht="12" customHeight="1" thickBot="1">
      <c r="A97" s="4"/>
      <c r="B97" s="831"/>
      <c r="C97" s="5403"/>
      <c r="D97" s="5053"/>
      <c r="E97" s="5049"/>
      <c r="F97" s="5049"/>
      <c r="G97" s="5049"/>
      <c r="H97" s="5049"/>
      <c r="I97" s="5049"/>
      <c r="J97" s="5049"/>
      <c r="K97" s="5050"/>
      <c r="L97" s="4982"/>
      <c r="M97" s="4984"/>
      <c r="N97" s="4982"/>
      <c r="O97" s="4984"/>
      <c r="P97" s="4982"/>
      <c r="Q97" s="4603"/>
      <c r="R97" s="4982"/>
      <c r="S97" s="4984"/>
      <c r="T97" s="4982"/>
      <c r="U97" s="4984"/>
      <c r="V97" s="5141"/>
      <c r="W97" s="5142"/>
      <c r="X97" s="5142"/>
      <c r="Y97" s="5142"/>
      <c r="Z97" s="5142"/>
      <c r="AA97" s="5143"/>
      <c r="AB97" s="1550"/>
      <c r="AC97" s="1282"/>
      <c r="AD97" s="2265"/>
      <c r="AE97" s="3632"/>
      <c r="AF97" s="3633"/>
      <c r="AG97" s="3632"/>
      <c r="AH97" s="3632"/>
      <c r="AI97" s="3632"/>
      <c r="AJ97" s="3632"/>
      <c r="AK97" s="3632"/>
      <c r="AL97" s="628"/>
      <c r="AM97" s="628"/>
      <c r="AN97" s="628"/>
      <c r="AO97" s="628"/>
      <c r="AP97" s="628"/>
      <c r="AQ97" s="628"/>
      <c r="AR97" s="628"/>
      <c r="AS97" s="628"/>
      <c r="AT97" s="628"/>
      <c r="AU97" s="628"/>
      <c r="AV97" s="628"/>
      <c r="AW97" s="628"/>
      <c r="AX97" s="628"/>
      <c r="AY97" s="628"/>
      <c r="AZ97" s="628"/>
      <c r="BA97" s="628"/>
      <c r="BB97" s="628"/>
      <c r="BC97" s="628"/>
      <c r="BD97" s="2616"/>
      <c r="BE97" s="2616"/>
      <c r="BF97" s="2616"/>
      <c r="BG97" s="2616"/>
      <c r="BH97" s="2616"/>
      <c r="BI97" s="2616"/>
      <c r="BJ97" s="2616"/>
      <c r="BK97" s="2616"/>
      <c r="BL97" s="2616"/>
      <c r="BM97" s="2616"/>
      <c r="BN97" s="2616"/>
      <c r="BO97" s="2616"/>
      <c r="BP97" s="2616"/>
      <c r="BQ97" s="2616"/>
      <c r="BR97" s="2616"/>
      <c r="BS97" s="2616"/>
      <c r="BT97" s="2616"/>
      <c r="BU97" s="2616"/>
      <c r="BV97" s="2616"/>
      <c r="BW97" s="2616"/>
      <c r="BX97" s="2616"/>
    </row>
    <row r="98" spans="1:76" s="14" customFormat="1" ht="12" customHeight="1">
      <c r="A98" s="4"/>
      <c r="B98" s="831"/>
      <c r="L98" s="628">
        <f>IFERROR(VLOOKUP(Categoría_1,Tabla_Categorías,6,FALSE),0)</f>
        <v>0</v>
      </c>
      <c r="M98" s="628">
        <f>L98*$T$7</f>
        <v>0</v>
      </c>
      <c r="N98" s="628">
        <f>IFERROR(VLOOKUP(Categoría_2,Tabla_Categorías,6,FALSE),0)</f>
        <v>0</v>
      </c>
      <c r="O98" s="628">
        <f>IF(OR(Limite_Primarias_Combinado,N98&lt;=L98),N98*$T$9+M98,IF(Limite_Primarias_MasConveniente,N98*SUM($T$7:$T$9),0))</f>
        <v>0</v>
      </c>
      <c r="P98" s="628">
        <f>IFERROR(VLOOKUP(Categoría_3,Tabla_Categorías,6,FALSE),0)</f>
        <v>0</v>
      </c>
      <c r="Q98" s="628">
        <f>IF(OR(Limite_Primarias_Combinado,P98&lt;=N98),P98*$T$11+O98,IF(Limite_Primarias_MasConveniente,P98*SUM($T$7:$T$11),0))</f>
        <v>0</v>
      </c>
      <c r="R98" s="628">
        <f>IFERROR(VLOOKUP(Categoría_4,Tabla_Categorías,6,FALSE),0)</f>
        <v>0</v>
      </c>
      <c r="S98" s="628">
        <f>IF(OR(Limite_Primarias_Combinado,R98&lt;=P98),R98*$T$13+Q98,IF(Limite_Primarias_MasConveniente,R98*SUM($T$7:$T$13),0))</f>
        <v>0</v>
      </c>
      <c r="T98" s="628">
        <f>IFERROR(VLOOKUP(Categoría_5,Tabla_Categorías,6,FALSE),0)</f>
        <v>0</v>
      </c>
      <c r="U98" s="628">
        <f>IF(OR(Limite_Primarias_Combinado,T98&lt;=R98),T98*$T$15+S98,IF(Limite_Primarias_MasConveniente,T98*SUM($T$7:$T$15),0))</f>
        <v>0</v>
      </c>
      <c r="AB98" s="1550"/>
      <c r="AC98" s="1282"/>
      <c r="AD98" s="2265"/>
      <c r="AE98" s="3632"/>
      <c r="AF98" s="3633"/>
      <c r="AG98" s="3632"/>
      <c r="AH98" s="3632"/>
      <c r="AI98" s="3632"/>
      <c r="AJ98" s="3632"/>
      <c r="AK98" s="3632"/>
      <c r="AL98" s="628"/>
      <c r="AM98" s="628"/>
      <c r="AN98" s="628"/>
      <c r="AO98" s="628"/>
      <c r="AP98" s="628"/>
      <c r="AQ98" s="628"/>
      <c r="AR98" s="628"/>
      <c r="AS98" s="628"/>
      <c r="AT98" s="628"/>
      <c r="AU98" s="628"/>
      <c r="AV98" s="628"/>
      <c r="AW98" s="628"/>
      <c r="AX98" s="628"/>
      <c r="AY98" s="628"/>
      <c r="AZ98" s="628"/>
      <c r="BA98" s="628"/>
      <c r="BB98" s="628"/>
      <c r="BC98" s="628"/>
      <c r="BD98" s="2616"/>
      <c r="BE98" s="2616"/>
      <c r="BF98" s="2616"/>
      <c r="BG98" s="2616"/>
      <c r="BH98" s="2616"/>
      <c r="BI98" s="2616"/>
      <c r="BJ98" s="2616"/>
      <c r="BK98" s="2616"/>
      <c r="BL98" s="2616"/>
      <c r="BM98" s="2616"/>
      <c r="BN98" s="2616"/>
      <c r="BO98" s="2616"/>
      <c r="BP98" s="2616"/>
      <c r="BQ98" s="2616"/>
      <c r="BR98" s="2616"/>
      <c r="BS98" s="2616"/>
      <c r="BT98" s="2616"/>
      <c r="BU98" s="2616"/>
      <c r="BV98" s="2616"/>
      <c r="BW98" s="2616"/>
      <c r="BX98" s="2616"/>
    </row>
    <row r="99" spans="1:76" s="14" customFormat="1" ht="12" customHeight="1" thickBot="1">
      <c r="A99" s="4"/>
      <c r="B99" s="831"/>
      <c r="AB99" s="1550"/>
      <c r="AC99" s="1282"/>
      <c r="AD99" s="2265"/>
      <c r="AE99" s="3632"/>
      <c r="AF99" s="3633"/>
      <c r="AG99" s="3632"/>
      <c r="AH99" s="3632"/>
      <c r="AI99" s="3632"/>
      <c r="AJ99" s="3632"/>
      <c r="AK99" s="3632"/>
      <c r="AL99" s="628"/>
      <c r="AM99" s="628"/>
      <c r="AN99" s="628"/>
      <c r="AO99" s="628"/>
      <c r="AP99" s="628"/>
      <c r="AQ99" s="628"/>
      <c r="AR99" s="628"/>
      <c r="AS99" s="628"/>
      <c r="AT99" s="628"/>
      <c r="AU99" s="628"/>
      <c r="AV99" s="628"/>
      <c r="AW99" s="628"/>
      <c r="AX99" s="628"/>
      <c r="AY99" s="628"/>
      <c r="AZ99" s="628"/>
      <c r="BA99" s="628"/>
      <c r="BB99" s="628"/>
      <c r="BC99" s="628"/>
      <c r="BD99" s="2616"/>
      <c r="BE99" s="2616"/>
      <c r="BF99" s="2616"/>
      <c r="BG99" s="2616"/>
      <c r="BH99" s="2616"/>
      <c r="BI99" s="2616"/>
      <c r="BJ99" s="2616"/>
      <c r="BK99" s="2616"/>
      <c r="BL99" s="2616"/>
      <c r="BM99" s="2616"/>
      <c r="BN99" s="2616"/>
      <c r="BO99" s="2616"/>
      <c r="BP99" s="2616"/>
      <c r="BQ99" s="2616"/>
      <c r="BR99" s="2616"/>
      <c r="BS99" s="2616"/>
      <c r="BT99" s="2616"/>
      <c r="BU99" s="2616"/>
      <c r="BV99" s="2616"/>
      <c r="BW99" s="2616"/>
      <c r="BX99" s="2616"/>
    </row>
    <row r="100" spans="1:76" s="14" customFormat="1" ht="12" customHeight="1">
      <c r="A100" s="4"/>
      <c r="B100" s="831"/>
      <c r="L100" s="5310" t="str">
        <f>IF(Categoría_1=0,"",Categoría_1)</f>
        <v/>
      </c>
      <c r="M100" s="5110"/>
      <c r="N100" s="5109" t="str">
        <f>IF(Categoría_2=0,"",Categoría_2)</f>
        <v/>
      </c>
      <c r="O100" s="5110"/>
      <c r="P100" s="5109" t="str">
        <f>IF(Categoría_3=0,"",Categoría_3)</f>
        <v/>
      </c>
      <c r="Q100" s="5110"/>
      <c r="R100" s="5109" t="str">
        <f>IF(Categoría_4=0,"",Categoría_4)</f>
        <v/>
      </c>
      <c r="S100" s="5110"/>
      <c r="T100" s="5109" t="str">
        <f>IF(Categoría_5=0,"",Categoría_5)</f>
        <v/>
      </c>
      <c r="U100" s="5145"/>
      <c r="V100" s="60"/>
      <c r="W100" s="60"/>
      <c r="X100" s="60"/>
      <c r="Y100" s="60"/>
      <c r="Z100" s="60"/>
      <c r="AA100" s="60"/>
      <c r="AB100" s="1550"/>
      <c r="AC100" s="1282"/>
      <c r="AD100" s="2265"/>
      <c r="AE100" s="3632"/>
      <c r="AF100" s="3633"/>
      <c r="AG100" s="3632"/>
      <c r="AH100" s="3632"/>
      <c r="AI100" s="3632"/>
      <c r="AJ100" s="3632"/>
      <c r="AK100" s="3632"/>
      <c r="AL100" s="628"/>
      <c r="AM100" s="628"/>
      <c r="AN100" s="628"/>
      <c r="AO100" s="628"/>
      <c r="AP100" s="628"/>
      <c r="AQ100" s="628"/>
      <c r="AR100" s="628"/>
      <c r="AS100" s="628"/>
      <c r="AT100" s="628"/>
      <c r="AU100" s="628"/>
      <c r="AV100" s="628"/>
      <c r="AW100" s="628"/>
      <c r="AX100" s="628"/>
      <c r="AY100" s="628"/>
      <c r="AZ100" s="628"/>
      <c r="BA100" s="628"/>
      <c r="BB100" s="628"/>
      <c r="BC100" s="628"/>
      <c r="BD100" s="2616"/>
      <c r="BE100" s="2616"/>
      <c r="BF100" s="2616"/>
      <c r="BG100" s="2616"/>
      <c r="BH100" s="2616"/>
      <c r="BI100" s="2616"/>
      <c r="BJ100" s="2616"/>
      <c r="BK100" s="2616"/>
      <c r="BL100" s="2616"/>
      <c r="BM100" s="2616"/>
      <c r="BN100" s="2616"/>
      <c r="BO100" s="2616"/>
      <c r="BP100" s="2616"/>
      <c r="BQ100" s="2616"/>
      <c r="BR100" s="2616"/>
      <c r="BS100" s="2616"/>
      <c r="BT100" s="2616"/>
      <c r="BU100" s="2616"/>
      <c r="BV100" s="2616"/>
      <c r="BW100" s="2616"/>
      <c r="BX100" s="2616"/>
    </row>
    <row r="101" spans="1:76" s="14" customFormat="1" ht="12" customHeight="1" thickBot="1">
      <c r="A101" s="4"/>
      <c r="B101" s="831"/>
      <c r="C101" s="19"/>
      <c r="L101" s="5419"/>
      <c r="M101" s="5112"/>
      <c r="N101" s="5111"/>
      <c r="O101" s="5112"/>
      <c r="P101" s="5111"/>
      <c r="Q101" s="5112"/>
      <c r="R101" s="5111"/>
      <c r="S101" s="5112"/>
      <c r="T101" s="5111"/>
      <c r="U101" s="5146"/>
      <c r="V101" s="60"/>
      <c r="W101" s="60"/>
      <c r="X101" s="60"/>
      <c r="Y101" s="60"/>
      <c r="Z101" s="60"/>
      <c r="AA101" s="60"/>
      <c r="AB101" s="1550"/>
      <c r="AC101" s="1282"/>
      <c r="AD101" s="2265"/>
      <c r="AE101" s="3632"/>
      <c r="AF101" s="3633"/>
      <c r="AG101" s="3632"/>
      <c r="AH101" s="3632"/>
      <c r="AI101" s="3632"/>
      <c r="AJ101" s="3632"/>
      <c r="AK101" s="3632"/>
      <c r="AL101" s="628"/>
      <c r="AM101" s="628"/>
      <c r="AN101" s="628"/>
      <c r="AO101" s="628"/>
      <c r="AP101" s="628"/>
      <c r="AQ101" s="628"/>
      <c r="AR101" s="628"/>
      <c r="AS101" s="628"/>
      <c r="AT101" s="628"/>
      <c r="AU101" s="628"/>
      <c r="AV101" s="628"/>
      <c r="AW101" s="628"/>
      <c r="AX101" s="628"/>
      <c r="AY101" s="628"/>
      <c r="AZ101" s="628"/>
      <c r="BA101" s="628"/>
      <c r="BB101" s="628"/>
      <c r="BC101" s="628"/>
      <c r="BD101" s="2616"/>
      <c r="BE101" s="2616"/>
      <c r="BF101" s="2616"/>
      <c r="BG101" s="2616"/>
      <c r="BH101" s="2616"/>
      <c r="BI101" s="2616"/>
      <c r="BJ101" s="2616"/>
      <c r="BK101" s="2616"/>
      <c r="BL101" s="2616"/>
      <c r="BM101" s="2616"/>
      <c r="BN101" s="2616"/>
      <c r="BO101" s="2616"/>
      <c r="BP101" s="2616"/>
      <c r="BQ101" s="2616"/>
      <c r="BR101" s="2616"/>
      <c r="BS101" s="2616"/>
      <c r="BT101" s="2616"/>
      <c r="BU101" s="2616"/>
      <c r="BV101" s="2616"/>
      <c r="BW101" s="2616"/>
      <c r="BX101" s="2616"/>
    </row>
    <row r="102" spans="1:76" s="14" customFormat="1" ht="12" customHeight="1" thickBot="1">
      <c r="A102" s="4"/>
      <c r="B102" s="831"/>
      <c r="C102" s="5375" t="s">
        <v>1367</v>
      </c>
      <c r="D102" s="477" t="s">
        <v>1258</v>
      </c>
      <c r="E102" s="5248" t="s">
        <v>1235</v>
      </c>
      <c r="F102" s="5118"/>
      <c r="G102" s="5118"/>
      <c r="H102" s="5118"/>
      <c r="I102" s="5118"/>
      <c r="J102" s="5118"/>
      <c r="K102" s="5249"/>
      <c r="L102" s="1305" t="s">
        <v>1349</v>
      </c>
      <c r="M102" s="1306" t="s">
        <v>1237</v>
      </c>
      <c r="N102" s="1305" t="s">
        <v>1349</v>
      </c>
      <c r="O102" s="1306" t="s">
        <v>1237</v>
      </c>
      <c r="P102" s="1305" t="s">
        <v>1349</v>
      </c>
      <c r="Q102" s="1306" t="s">
        <v>1237</v>
      </c>
      <c r="R102" s="1305" t="s">
        <v>1349</v>
      </c>
      <c r="S102" s="1306" t="s">
        <v>1237</v>
      </c>
      <c r="T102" s="1305" t="s">
        <v>1349</v>
      </c>
      <c r="U102" s="1306" t="s">
        <v>1237</v>
      </c>
      <c r="V102" s="478" t="s">
        <v>1225</v>
      </c>
      <c r="W102" s="478" t="s">
        <v>1227</v>
      </c>
      <c r="X102" s="5118" t="s">
        <v>1348</v>
      </c>
      <c r="Y102" s="5118"/>
      <c r="Z102" s="478" t="s">
        <v>1277</v>
      </c>
      <c r="AA102" s="480" t="s">
        <v>1209</v>
      </c>
      <c r="AB102" s="1550"/>
      <c r="AC102" s="1282"/>
      <c r="AD102" s="2265"/>
      <c r="AE102" s="3632"/>
      <c r="AF102" s="3633"/>
      <c r="AG102" s="3632"/>
      <c r="AH102" s="3632"/>
      <c r="AI102" s="3632"/>
      <c r="AJ102" s="3632"/>
      <c r="AK102" s="3632"/>
      <c r="AL102" s="628"/>
      <c r="AM102" s="628"/>
      <c r="AN102" s="628"/>
      <c r="AO102" s="628"/>
      <c r="AP102" s="628"/>
      <c r="AQ102" s="628"/>
      <c r="AR102" s="628"/>
      <c r="AS102" s="628"/>
      <c r="AT102" s="628"/>
      <c r="AU102" s="628"/>
      <c r="AV102" s="628"/>
      <c r="AW102" s="628"/>
      <c r="AX102" s="628"/>
      <c r="AY102" s="628"/>
      <c r="AZ102" s="628"/>
      <c r="BA102" s="628"/>
      <c r="BB102" s="628"/>
      <c r="BC102" s="628"/>
      <c r="BD102" s="2616"/>
      <c r="BE102" s="2616"/>
      <c r="BF102" s="2616"/>
      <c r="BG102" s="2616"/>
      <c r="BH102" s="2616"/>
      <c r="BI102" s="2616"/>
      <c r="BJ102" s="2616"/>
      <c r="BK102" s="2616"/>
      <c r="BL102" s="2616"/>
      <c r="BM102" s="2616"/>
      <c r="BN102" s="2616"/>
      <c r="BO102" s="2616"/>
      <c r="BP102" s="2616"/>
      <c r="BQ102" s="2616"/>
      <c r="BR102" s="2616"/>
      <c r="BS102" s="2616"/>
      <c r="BT102" s="2616"/>
      <c r="BU102" s="2616"/>
      <c r="BV102" s="2616"/>
      <c r="BW102" s="2616"/>
      <c r="BX102" s="2616"/>
    </row>
    <row r="103" spans="1:76" s="14" customFormat="1" ht="12" customHeight="1">
      <c r="A103" s="4"/>
      <c r="B103" s="831"/>
      <c r="C103" s="5376"/>
      <c r="D103" s="5211" t="s">
        <v>1225</v>
      </c>
      <c r="E103" s="5182" t="s">
        <v>1368</v>
      </c>
      <c r="F103" s="4306"/>
      <c r="G103" s="4306"/>
      <c r="H103" s="4306"/>
      <c r="I103" s="4306"/>
      <c r="J103" s="4306"/>
      <c r="K103" s="5183"/>
      <c r="L103" s="1767">
        <f>IFERROR(VLOOKUP(L$22,Tabla_Categorías,MATCH("Coste"&amp;$E103,Name_Tabla_Cat,FALSE),FALSE),0)</f>
        <v>0</v>
      </c>
      <c r="M103" s="1340"/>
      <c r="N103" s="1767">
        <f>IFERROR(VLOOKUP(N$22,Tabla_Categorías,MATCH("Coste"&amp;$E103,Name_Tabla_Cat,FALSE),FALSE),0)</f>
        <v>0</v>
      </c>
      <c r="O103" s="1340"/>
      <c r="P103" s="1767">
        <f>IFERROR(VLOOKUP(P$22,Tabla_Categorías,MATCH("Coste"&amp;$E103,Name_Tabla_Cat,FALSE),FALSE),0)</f>
        <v>0</v>
      </c>
      <c r="Q103" s="1340"/>
      <c r="R103" s="1767">
        <f>IFERROR(VLOOKUP(R$22,Tabla_Categorías,MATCH("Coste"&amp;$E103,Name_Tabla_Cat,FALSE),FALSE),0)</f>
        <v>0</v>
      </c>
      <c r="S103" s="1340"/>
      <c r="T103" s="1767">
        <f>IFERROR(VLOOKUP(T$22,Tabla_Categorías,MATCH("Coste"&amp;$E103,Name_Tabla_Cat,FALSE),FALSE),0)</f>
        <v>0</v>
      </c>
      <c r="U103" s="1340"/>
      <c r="V103" s="52">
        <f>5*(IF(L103=0,0,TRUNC(M103/L103,0))+IF(N103=0,0,TRUNC(O103/N103,0))+IF(P103=0,0,TRUNC(Q103/P103,0))+IF(R103=0,0,TRUNC(S103/R103,0))+IF(T103=0,0,TRUNC(U103/T103,0)))</f>
        <v>0</v>
      </c>
      <c r="W103" s="462">
        <f>IF(POD=0,0,VLOOKUP(POD,Tabla_ValoresBase,2))+Nivel_Total*(50*Tablas!G446+100*Tablas!G447+150*Tablas!G448)</f>
        <v>0</v>
      </c>
      <c r="X103" s="4621">
        <f>HLOOKUP($E103,Bonos_Cat_Base,2,FALSE)</f>
        <v>0</v>
      </c>
      <c r="Y103" s="4621">
        <f>HLOOKUP($E103,Bonos_Cat_Base,2,FALSE)</f>
        <v>0</v>
      </c>
      <c r="Z103" s="1956"/>
      <c r="AA103" s="53">
        <f>Z103+X103+V103+W103</f>
        <v>0</v>
      </c>
      <c r="AB103" s="1550"/>
      <c r="AC103" s="1282"/>
      <c r="AD103" s="2265"/>
      <c r="AE103" s="3632"/>
      <c r="AF103" s="3633"/>
      <c r="AG103" s="3632"/>
      <c r="AH103" s="3632"/>
      <c r="AI103" s="3632"/>
      <c r="AJ103" s="3632"/>
      <c r="AK103" s="3632"/>
      <c r="AL103" s="628"/>
      <c r="AM103" s="628"/>
      <c r="AN103" s="628"/>
      <c r="AO103" s="628"/>
      <c r="AP103" s="628"/>
      <c r="AQ103" s="628"/>
      <c r="AR103" s="628"/>
      <c r="AS103" s="628"/>
      <c r="AT103" s="628"/>
      <c r="AU103" s="628"/>
      <c r="AV103" s="628"/>
      <c r="AW103" s="628"/>
      <c r="AX103" s="628"/>
      <c r="AY103" s="628"/>
      <c r="AZ103" s="628"/>
      <c r="BA103" s="628"/>
      <c r="BB103" s="628"/>
      <c r="BC103" s="628"/>
      <c r="BD103" s="2616"/>
      <c r="BE103" s="2616"/>
      <c r="BF103" s="2616"/>
      <c r="BG103" s="2616"/>
      <c r="BH103" s="2616"/>
      <c r="BI103" s="2616"/>
      <c r="BJ103" s="2616"/>
      <c r="BK103" s="2616"/>
      <c r="BL103" s="2616"/>
      <c r="BM103" s="2616"/>
      <c r="BN103" s="2616"/>
      <c r="BO103" s="2616"/>
      <c r="BP103" s="2616"/>
      <c r="BQ103" s="2616"/>
      <c r="BR103" s="2616"/>
      <c r="BS103" s="2616"/>
      <c r="BT103" s="2616"/>
      <c r="BU103" s="2616"/>
      <c r="BV103" s="2616"/>
      <c r="BW103" s="2616"/>
      <c r="BX103" s="2616"/>
    </row>
    <row r="104" spans="1:76" s="14" customFormat="1" ht="12" customHeight="1">
      <c r="A104" s="4"/>
      <c r="B104" s="831"/>
      <c r="C104" s="5376"/>
      <c r="D104" s="5211"/>
      <c r="E104" s="5163" t="s">
        <v>1369</v>
      </c>
      <c r="F104" s="5164"/>
      <c r="G104" s="5164"/>
      <c r="H104" s="5164"/>
      <c r="I104" s="5164"/>
      <c r="J104" s="5164"/>
      <c r="K104" s="5165"/>
      <c r="L104" s="1772">
        <f>IFERROR(VLOOKUP(L$22,Tabla_Categorías,MATCH("Coste"&amp;$E104,Name_Tabla_Cat,FALSE),FALSE),0)</f>
        <v>0</v>
      </c>
      <c r="M104" s="1352"/>
      <c r="N104" s="1772">
        <f>IFERROR(VLOOKUP(N$22,Tabla_Categorías,MATCH("Coste"&amp;$E104,Name_Tabla_Cat,FALSE),FALSE),0)</f>
        <v>0</v>
      </c>
      <c r="O104" s="1352"/>
      <c r="P104" s="1772">
        <f>IFERROR(VLOOKUP(P$22,Tabla_Categorías,MATCH("Coste"&amp;$E104,Name_Tabla_Cat,FALSE),FALSE),0)</f>
        <v>0</v>
      </c>
      <c r="Q104" s="1352"/>
      <c r="R104" s="1772">
        <f>IFERROR(VLOOKUP(R$22,Tabla_Categorías,MATCH("Coste"&amp;$E104,Name_Tabla_Cat,FALSE),FALSE),0)</f>
        <v>0</v>
      </c>
      <c r="S104" s="1352"/>
      <c r="T104" s="1772">
        <f>IFERROR(VLOOKUP(T$22,Tabla_Categorías,MATCH("Coste"&amp;$E104,Name_Tabla_Cat,FALSE),FALSE),0)</f>
        <v>0</v>
      </c>
      <c r="U104" s="1352"/>
      <c r="V104" s="54">
        <f>(IF(L104=0,0,TRUNC((M104/L104),0))+IF(N104=0,0,TRUNC((O104/N104),0))+IF(P104=0,0,TRUNC((Q104/P104),0))+IF(R104=0,0,TRUNC((S104/R104),0))+IF(T104=0,0,TRUNC((U104/T104),0)))*W104</f>
        <v>0</v>
      </c>
      <c r="W104" s="459">
        <f>IF(POD=0,0,VLOOKUP(POD,Tabla_Valores_Base,3))</f>
        <v>0</v>
      </c>
      <c r="X104" s="5148" t="s">
        <v>1315</v>
      </c>
      <c r="Y104" s="5148"/>
      <c r="Z104" s="1955"/>
      <c r="AA104" s="55">
        <f>MAX(0,Z104+W104+V104+IF(Mod_ATA&lt;0,MIN(0,TRUNC(Mod_ATA/2,0)),0))</f>
        <v>0</v>
      </c>
      <c r="AB104" s="1550"/>
      <c r="AC104" s="1282"/>
      <c r="AD104" s="2265"/>
      <c r="AE104" s="3632"/>
      <c r="AF104" s="3633"/>
      <c r="AG104" s="3632"/>
      <c r="AH104" s="3632"/>
      <c r="AI104" s="3632"/>
      <c r="AJ104" s="3632"/>
      <c r="AK104" s="3632"/>
      <c r="AL104" s="628"/>
      <c r="AM104" s="628"/>
      <c r="AN104" s="628"/>
      <c r="AO104" s="628"/>
      <c r="AP104" s="628"/>
      <c r="AQ104" s="628"/>
      <c r="AR104" s="628"/>
      <c r="AS104" s="628"/>
      <c r="AT104" s="628"/>
      <c r="AU104" s="628"/>
      <c r="AV104" s="628"/>
      <c r="AW104" s="628"/>
      <c r="AX104" s="628"/>
      <c r="AY104" s="628"/>
      <c r="AZ104" s="628"/>
      <c r="BA104" s="628"/>
      <c r="BB104" s="628"/>
      <c r="BC104" s="628"/>
      <c r="BD104" s="2616"/>
      <c r="BE104" s="2616"/>
      <c r="BF104" s="2616"/>
      <c r="BG104" s="2616"/>
      <c r="BH104" s="2616"/>
      <c r="BI104" s="2616"/>
      <c r="BJ104" s="2616"/>
      <c r="BK104" s="2616"/>
      <c r="BL104" s="2616"/>
      <c r="BM104" s="2616"/>
      <c r="BN104" s="2616"/>
      <c r="BO104" s="2616"/>
      <c r="BP104" s="2616"/>
      <c r="BQ104" s="2616"/>
      <c r="BR104" s="2616"/>
      <c r="BS104" s="2616"/>
      <c r="BT104" s="2616"/>
      <c r="BU104" s="2616"/>
      <c r="BV104" s="2616"/>
      <c r="BW104" s="2616"/>
      <c r="BX104" s="2616"/>
    </row>
    <row r="105" spans="1:76" s="14" customFormat="1" ht="12" customHeight="1">
      <c r="A105" s="4"/>
      <c r="B105" s="831"/>
      <c r="C105" s="5376"/>
      <c r="D105" s="5211"/>
      <c r="E105" s="5182" t="s">
        <v>1370</v>
      </c>
      <c r="F105" s="4306"/>
      <c r="G105" s="4306"/>
      <c r="H105" s="4306"/>
      <c r="I105" s="4306"/>
      <c r="J105" s="4306"/>
      <c r="K105" s="5183"/>
      <c r="L105" s="1767">
        <f>L$104/2</f>
        <v>0</v>
      </c>
      <c r="M105" s="1340"/>
      <c r="N105" s="1767">
        <f>N$104/2</f>
        <v>0</v>
      </c>
      <c r="O105" s="1340"/>
      <c r="P105" s="1767">
        <f>P$104/2</f>
        <v>0</v>
      </c>
      <c r="Q105" s="1340"/>
      <c r="R105" s="1767">
        <f>R$104/2</f>
        <v>0</v>
      </c>
      <c r="S105" s="1340"/>
      <c r="T105" s="1767">
        <f>T$104/2</f>
        <v>0</v>
      </c>
      <c r="U105" s="1340"/>
      <c r="V105" s="462">
        <f>(IF(L105=0,0,TRUNC((M105/L105),0))+IF(N105=0,0,TRUNC((O105/N105),0))+IF(P105=0,0,TRUNC((Q105/P105),0))+IF(R105=0,0,TRUNC((S105/R105),0))+IF(T105=0,0,TRUNC((U105/T105),0)))*W104</f>
        <v>0</v>
      </c>
      <c r="W105" s="462">
        <f>$AA$104+10*(Metamagia!$R$59+Metamagia!$X$63+Metamagia!$X$48)</f>
        <v>0</v>
      </c>
      <c r="X105" s="4621" t="s">
        <v>1315</v>
      </c>
      <c r="Y105" s="4621"/>
      <c r="Z105" s="1956"/>
      <c r="AA105" s="53">
        <f>W105+V105+Z105</f>
        <v>0</v>
      </c>
      <c r="AB105" s="1550"/>
      <c r="AC105" s="1282"/>
      <c r="AD105" s="2265"/>
      <c r="AE105" s="3632"/>
      <c r="AF105" s="3633"/>
      <c r="AG105" s="3632"/>
      <c r="AH105" s="3632"/>
      <c r="AI105" s="3632"/>
      <c r="AJ105" s="3632"/>
      <c r="AK105" s="3632"/>
      <c r="AL105" s="628"/>
      <c r="AM105" s="628"/>
      <c r="AN105" s="628"/>
      <c r="AO105" s="628"/>
      <c r="AP105" s="628"/>
      <c r="AQ105" s="628"/>
      <c r="AR105" s="628"/>
      <c r="AS105" s="628"/>
      <c r="AT105" s="628"/>
      <c r="AU105" s="628"/>
      <c r="AV105" s="628"/>
      <c r="AW105" s="628"/>
      <c r="AX105" s="628"/>
      <c r="AY105" s="628"/>
      <c r="AZ105" s="628"/>
      <c r="BA105" s="628"/>
      <c r="BB105" s="628"/>
      <c r="BC105" s="628"/>
      <c r="BD105" s="2616"/>
      <c r="BE105" s="2616"/>
      <c r="BF105" s="2616"/>
      <c r="BG105" s="2616"/>
      <c r="BH105" s="2616"/>
      <c r="BI105" s="2616"/>
      <c r="BJ105" s="2616"/>
      <c r="BK105" s="2616"/>
      <c r="BL105" s="2616"/>
      <c r="BM105" s="2616"/>
      <c r="BN105" s="2616"/>
      <c r="BO105" s="2616"/>
      <c r="BP105" s="2616"/>
      <c r="BQ105" s="2616"/>
      <c r="BR105" s="2616"/>
      <c r="BS105" s="2616"/>
      <c r="BT105" s="2616"/>
      <c r="BU105" s="2616"/>
      <c r="BV105" s="2616"/>
      <c r="BW105" s="2616"/>
      <c r="BX105" s="2616"/>
    </row>
    <row r="106" spans="1:76" s="14" customFormat="1" ht="12" customHeight="1">
      <c r="A106" s="4"/>
      <c r="B106" s="831"/>
      <c r="C106" s="5376"/>
      <c r="D106" s="5211"/>
      <c r="E106" s="5163" t="s">
        <v>1371</v>
      </c>
      <c r="F106" s="5164"/>
      <c r="G106" s="5164"/>
      <c r="H106" s="5164"/>
      <c r="I106" s="5164"/>
      <c r="J106" s="5164"/>
      <c r="K106" s="5165"/>
      <c r="L106" s="1772">
        <f>IFERROR(VLOOKUP(L$22,Tabla_Categorías,MATCH("Coste"&amp;$E106,Name_Tabla_Cat,FALSE),FALSE),0)</f>
        <v>0</v>
      </c>
      <c r="M106" s="1352"/>
      <c r="N106" s="1772">
        <f>IFERROR(VLOOKUP(N$22,Tabla_Categorías,MATCH("Coste"&amp;$E106,Name_Tabla_Cat,FALSE),FALSE),0)</f>
        <v>0</v>
      </c>
      <c r="O106" s="1352"/>
      <c r="P106" s="1772">
        <f>IFERROR(VLOOKUP(P$22,Tabla_Categorías,MATCH("Coste"&amp;$E106,Name_Tabla_Cat,FALSE),FALSE),0)</f>
        <v>0</v>
      </c>
      <c r="Q106" s="1352"/>
      <c r="R106" s="1772">
        <f>IFERROR(VLOOKUP(R$22,Tabla_Categorías,MATCH("Coste"&amp;$E106,Name_Tabla_Cat,FALSE),FALSE),0)</f>
        <v>0</v>
      </c>
      <c r="S106" s="1352"/>
      <c r="T106" s="1772">
        <f>IFERROR(VLOOKUP(T$22,Tabla_Categorías,MATCH("Coste"&amp;$E106,Name_Tabla_Cat,FALSE),FALSE),0)</f>
        <v>0</v>
      </c>
      <c r="U106" s="1352"/>
      <c r="V106" s="54">
        <f>IF(L106=0,0,TRUNC(M106/L106,0))+IF(N106=0,0,TRUNC(O106/N106,0))+IF(P106=0,0,TRUNC(Q106/P106,0))+IF(R106=0,0,TRUNC(S106/R106,0))+IF(T106=0,0,TRUNC(U106/T106,0))</f>
        <v>0</v>
      </c>
      <c r="W106" s="459">
        <f>Bono_Des</f>
        <v>0</v>
      </c>
      <c r="X106" s="5148" t="s">
        <v>1315</v>
      </c>
      <c r="Y106" s="5148"/>
      <c r="Z106" s="1955"/>
      <c r="AA106" s="55">
        <f>Z106+V106+W106+Mod_ATA</f>
        <v>0</v>
      </c>
      <c r="AB106" s="1550"/>
      <c r="AC106" s="1282"/>
      <c r="AD106" s="2265"/>
      <c r="AE106" s="3632"/>
      <c r="AF106" s="3633"/>
      <c r="AG106" s="3632"/>
      <c r="AH106" s="3632"/>
      <c r="AI106" s="3632"/>
      <c r="AJ106" s="3632"/>
      <c r="AK106" s="3632"/>
      <c r="AL106" s="628"/>
      <c r="AM106" s="628"/>
      <c r="AN106" s="628"/>
      <c r="AO106" s="2265"/>
      <c r="AP106" s="628"/>
      <c r="AQ106" s="628"/>
      <c r="AR106" s="628"/>
      <c r="AS106" s="628"/>
      <c r="AT106" s="628"/>
      <c r="AU106" s="628"/>
      <c r="AV106" s="628"/>
      <c r="AW106" s="628"/>
      <c r="AX106" s="628"/>
      <c r="AY106" s="628"/>
      <c r="AZ106" s="628"/>
      <c r="BA106" s="628"/>
      <c r="BB106" s="628"/>
      <c r="BC106" s="628"/>
      <c r="BD106" s="2616"/>
      <c r="BE106" s="2616"/>
      <c r="BF106" s="2616"/>
      <c r="BG106" s="2616"/>
      <c r="BH106" s="2616"/>
      <c r="BI106" s="2616"/>
      <c r="BJ106" s="2616"/>
      <c r="BK106" s="2616"/>
      <c r="BL106" s="2616"/>
      <c r="BM106" s="2616"/>
      <c r="BN106" s="2616"/>
      <c r="BO106" s="2616"/>
      <c r="BP106" s="2616"/>
      <c r="BQ106" s="2616"/>
      <c r="BR106" s="2616"/>
      <c r="BS106" s="2616"/>
      <c r="BT106" s="2616"/>
      <c r="BU106" s="2616"/>
      <c r="BV106" s="2616"/>
      <c r="BW106" s="2616"/>
      <c r="BX106" s="2616"/>
    </row>
    <row r="107" spans="1:76" s="14" customFormat="1" ht="12" customHeight="1">
      <c r="A107" s="4"/>
      <c r="B107" s="831"/>
      <c r="C107" s="5376"/>
      <c r="D107" s="5212"/>
      <c r="E107" s="5182" t="s">
        <v>1372</v>
      </c>
      <c r="F107" s="4306"/>
      <c r="G107" s="4306"/>
      <c r="H107" s="4306"/>
      <c r="I107" s="4306"/>
      <c r="J107" s="4306"/>
      <c r="K107" s="5183"/>
      <c r="L107" s="1767">
        <v>5</v>
      </c>
      <c r="M107" s="1340"/>
      <c r="N107" s="1767">
        <v>5</v>
      </c>
      <c r="O107" s="1340"/>
      <c r="P107" s="1767">
        <v>5</v>
      </c>
      <c r="Q107" s="1340"/>
      <c r="R107" s="1767">
        <v>5</v>
      </c>
      <c r="S107" s="1340"/>
      <c r="T107" s="1767">
        <v>5</v>
      </c>
      <c r="U107" s="1340"/>
      <c r="V107" s="56">
        <f>(IF(L107=0,0,TRUNC(M107/L107,0))+IF(N107=0,0,TRUNC(O107/N107,0))+IF(P107=0,0,TRUNC(Q107/P107,0))+IF(R107=0,0,TRUNC(S107/R107,0))+IF(T107=0,0,TRUNC(U107/T107,0)))*5</f>
        <v>0</v>
      </c>
      <c r="W107" s="462">
        <f>IF(Principal!$AQ$15=0,0,VLOOKUP(Principal!$AQ$15,Tabla_NivelMagia,2))</f>
        <v>0</v>
      </c>
      <c r="X107" s="4621">
        <f>IF(Tablas!G454&gt;0,5*Nivel_Total,0)</f>
        <v>0</v>
      </c>
      <c r="Y107" s="4621"/>
      <c r="Z107" s="1956"/>
      <c r="AA107" s="62">
        <f>Z107+V107+W107+X107</f>
        <v>0</v>
      </c>
      <c r="AB107" s="1550"/>
      <c r="AC107" s="1282"/>
      <c r="AD107" s="2265"/>
      <c r="AE107" s="3632"/>
      <c r="AF107" s="3633"/>
      <c r="AG107" s="3632"/>
      <c r="AH107" s="3632"/>
      <c r="AI107" s="3632"/>
      <c r="AJ107" s="3632"/>
      <c r="AK107" s="3632"/>
      <c r="AL107" s="628"/>
      <c r="AM107" s="628"/>
      <c r="AN107" s="628"/>
      <c r="AO107" s="2265"/>
      <c r="AP107" s="628"/>
      <c r="AQ107" s="628"/>
      <c r="AR107" s="628"/>
      <c r="AS107" s="628"/>
      <c r="AT107" s="628"/>
      <c r="AU107" s="628"/>
      <c r="AV107" s="628"/>
      <c r="AW107" s="628"/>
      <c r="AX107" s="628"/>
      <c r="AY107" s="628"/>
      <c r="AZ107" s="628"/>
      <c r="BA107" s="628"/>
      <c r="BB107" s="628"/>
      <c r="BC107" s="628"/>
      <c r="BD107" s="2616"/>
      <c r="BE107" s="2616"/>
      <c r="BF107" s="2616"/>
      <c r="BG107" s="2616"/>
      <c r="BH107" s="2616"/>
      <c r="BI107" s="2616"/>
      <c r="BJ107" s="2616"/>
      <c r="BK107" s="2616"/>
      <c r="BL107" s="2616"/>
      <c r="BM107" s="2616"/>
      <c r="BN107" s="2616"/>
      <c r="BO107" s="2616"/>
      <c r="BP107" s="2616"/>
      <c r="BQ107" s="2616"/>
      <c r="BR107" s="2616"/>
      <c r="BS107" s="2616"/>
      <c r="BT107" s="2616"/>
      <c r="BU107" s="2616"/>
      <c r="BV107" s="2616"/>
      <c r="BW107" s="2616"/>
      <c r="BX107" s="2616"/>
    </row>
    <row r="108" spans="1:76" s="14" customFormat="1" ht="12" customHeight="1">
      <c r="A108" s="4"/>
      <c r="B108" s="831"/>
      <c r="C108" s="5376"/>
      <c r="D108" s="5213" t="s">
        <v>1373</v>
      </c>
      <c r="E108" s="5039" t="s">
        <v>1374</v>
      </c>
      <c r="F108" s="5040"/>
      <c r="G108" s="5040"/>
      <c r="H108" s="5040"/>
      <c r="I108" s="5040"/>
      <c r="J108" s="5040"/>
      <c r="K108" s="5184"/>
      <c r="L108" s="1787">
        <f>IFERROR(VLOOKUP(L$22,Tabla_Categorías,MATCH("Coste"&amp;$E108,Name_Tabla_Cat,FALSE),FALSE),0)</f>
        <v>0</v>
      </c>
      <c r="M108" s="1371"/>
      <c r="N108" s="1787">
        <f>IFERROR(VLOOKUP(N$22,Tabla_Categorías,MATCH("Coste"&amp;$E108,Name_Tabla_Cat,FALSE),FALSE),0)</f>
        <v>0</v>
      </c>
      <c r="O108" s="1371"/>
      <c r="P108" s="1787">
        <f>IFERROR(VLOOKUP(P$22,Tabla_Categorías,MATCH("Coste"&amp;$E108,Name_Tabla_Cat,FALSE),FALSE),0)</f>
        <v>0</v>
      </c>
      <c r="Q108" s="1371"/>
      <c r="R108" s="1787">
        <f>IFERROR(VLOOKUP(R$22,Tabla_Categorías,MATCH("Coste"&amp;$E108,Name_Tabla_Cat,FALSE),FALSE),0)</f>
        <v>0</v>
      </c>
      <c r="S108" s="1371"/>
      <c r="T108" s="1787">
        <f>IFERROR(VLOOKUP(T$22,Tabla_Categorías,MATCH("Coste"&amp;$E108,Name_Tabla_Cat,FALSE),FALSE),0)</f>
        <v>0</v>
      </c>
      <c r="U108" s="1371"/>
      <c r="V108" s="482">
        <f>IF(L108=0,0,TRUNC(M108/L108,0))+IF(N108=0,0,TRUNC(O108/N108,0))+IF(P108=0,0,TRUNC(Q108/P108,0))+IF(R108=0,0,TRUNC(S108/R108,0))+IF(T108=0,0,TRUNC(U108/T108,0))</f>
        <v>0</v>
      </c>
      <c r="W108" s="499">
        <f>Bono_Pod</f>
        <v>0</v>
      </c>
      <c r="X108" s="5166">
        <f t="shared" ref="X108:Y111" si="25">HLOOKUP($E108,Bonos_Cat_Base,2,FALSE)</f>
        <v>0</v>
      </c>
      <c r="Y108" s="5166">
        <f t="shared" si="25"/>
        <v>0</v>
      </c>
      <c r="Z108" s="1966"/>
      <c r="AA108" s="63">
        <f>Z108+X108+V108+W108+IF(Mod_ATA&lt;0,Mod_ATA,0)+IF(Raza="Devah",10,0)+IF(Nephilim="Nephilim Devah",10,0)</f>
        <v>0</v>
      </c>
      <c r="AB108" s="1550"/>
      <c r="AC108" s="1282"/>
      <c r="AD108" s="2265"/>
      <c r="AE108" s="2265"/>
      <c r="AF108" s="3633"/>
      <c r="AG108" s="3632"/>
      <c r="AH108" s="3632"/>
      <c r="AI108" s="3632"/>
      <c r="AJ108" s="3632"/>
      <c r="AK108" s="3632"/>
      <c r="AL108" s="628"/>
      <c r="AM108" s="628"/>
      <c r="AN108" s="628"/>
      <c r="AO108" s="2265"/>
      <c r="AP108" s="628"/>
      <c r="AQ108" s="628"/>
      <c r="AR108" s="628"/>
      <c r="AS108" s="628"/>
      <c r="AT108" s="628"/>
      <c r="AU108" s="628"/>
      <c r="AV108" s="628"/>
      <c r="AW108" s="628"/>
      <c r="AX108" s="628"/>
      <c r="AY108" s="628"/>
      <c r="AZ108" s="628"/>
      <c r="BA108" s="628"/>
      <c r="BB108" s="628"/>
      <c r="BC108" s="628"/>
      <c r="BD108" s="2616"/>
      <c r="BE108" s="2616"/>
      <c r="BF108" s="2616"/>
      <c r="BG108" s="2616"/>
      <c r="BH108" s="2616"/>
      <c r="BI108" s="2616"/>
      <c r="BJ108" s="2616"/>
      <c r="BK108" s="2616"/>
      <c r="BL108" s="2616"/>
      <c r="BM108" s="2616"/>
      <c r="BN108" s="2616"/>
      <c r="BO108" s="2616"/>
      <c r="BP108" s="2616"/>
      <c r="BQ108" s="2616"/>
      <c r="BR108" s="2616"/>
      <c r="BS108" s="2616"/>
      <c r="BT108" s="2616"/>
      <c r="BU108" s="2616"/>
      <c r="BV108" s="2616"/>
      <c r="BW108" s="2616"/>
      <c r="BX108" s="2616"/>
    </row>
    <row r="109" spans="1:76" s="14" customFormat="1" ht="12" customHeight="1">
      <c r="A109" s="4"/>
      <c r="B109" s="831"/>
      <c r="C109" s="5376"/>
      <c r="D109" s="5214"/>
      <c r="E109" s="4969" t="s">
        <v>6552</v>
      </c>
      <c r="F109" s="4970"/>
      <c r="G109" s="4970"/>
      <c r="H109" s="4970"/>
      <c r="I109" s="4970"/>
      <c r="J109" s="4970"/>
      <c r="K109" s="5024"/>
      <c r="L109" s="1784">
        <f>IFERROR(VLOOKUP(L$22,Tabla_Categorías,MATCH("Coste"&amp;$E109,Name_Tabla_Cat,FALSE),FALSE),0)</f>
        <v>0</v>
      </c>
      <c r="M109" s="1346"/>
      <c r="N109" s="1784">
        <f>IFERROR(VLOOKUP(N$22,Tabla_Categorías,MATCH("Coste"&amp;$E109,Name_Tabla_Cat,FALSE),FALSE),0)</f>
        <v>0</v>
      </c>
      <c r="O109" s="1346"/>
      <c r="P109" s="1784">
        <f>IFERROR(VLOOKUP(P$22,Tabla_Categorías,MATCH("Coste"&amp;$E109,Name_Tabla_Cat,FALSE),FALSE),0)</f>
        <v>0</v>
      </c>
      <c r="Q109" s="1346"/>
      <c r="R109" s="1784">
        <f>IFERROR(VLOOKUP(R$22,Tabla_Categorías,MATCH("Coste"&amp;$E109,Name_Tabla_Cat,FALSE),FALSE),0)</f>
        <v>0</v>
      </c>
      <c r="S109" s="1346"/>
      <c r="T109" s="1784">
        <f>IFERROR(VLOOKUP(T$22,Tabla_Categorías,MATCH("Coste"&amp;$E109,Name_Tabla_Cat,FALSE),FALSE),0)</f>
        <v>0</v>
      </c>
      <c r="U109" s="1346"/>
      <c r="V109" s="52">
        <f>IF(L109=0,0,TRUNC(M109/L109,0))+IF(N109=0,0,TRUNC(O109/N109,0))+IF(P109=0,0,TRUNC(Q109/P109,0))+IF(R109=0,0,TRUNC(S109/R109,0))+IF(T109=0,0,TRUNC(U109/T109,0))</f>
        <v>0</v>
      </c>
      <c r="W109" s="71">
        <f>Bono_Vol</f>
        <v>0</v>
      </c>
      <c r="X109" s="5167">
        <f t="shared" si="25"/>
        <v>0</v>
      </c>
      <c r="Y109" s="5167">
        <f t="shared" si="25"/>
        <v>0</v>
      </c>
      <c r="Z109" s="1967"/>
      <c r="AA109" s="458">
        <f>Z109+X109+V109+W109+IF(Mod_ATA&lt;0,Mod_ATA,0)+IF(Raza="Devah",10,0)+Tablas!$K$1975</f>
        <v>0</v>
      </c>
      <c r="AB109" s="1550"/>
      <c r="AC109" s="1282"/>
      <c r="AD109" s="2265"/>
      <c r="AE109" s="3632"/>
      <c r="AF109" s="3633"/>
      <c r="AG109" s="3632"/>
      <c r="AH109" s="3632"/>
      <c r="AI109" s="3632"/>
      <c r="AJ109" s="3632"/>
      <c r="AK109" s="3632"/>
      <c r="AL109" s="628"/>
      <c r="AM109" s="628"/>
      <c r="AN109" s="628"/>
      <c r="AO109" s="2265"/>
      <c r="AP109" s="628"/>
      <c r="AQ109" s="628"/>
      <c r="AR109" s="628"/>
      <c r="AS109" s="628"/>
      <c r="AT109" s="628"/>
      <c r="AU109" s="628"/>
      <c r="AV109" s="628"/>
      <c r="AW109" s="628"/>
      <c r="AX109" s="628"/>
      <c r="AY109" s="628"/>
      <c r="AZ109" s="628"/>
      <c r="BA109" s="628"/>
      <c r="BB109" s="628"/>
      <c r="BC109" s="628"/>
      <c r="BD109" s="2616"/>
      <c r="BE109" s="2616"/>
      <c r="BF109" s="2616"/>
      <c r="BG109" s="2616"/>
      <c r="BH109" s="2616"/>
      <c r="BI109" s="2616"/>
      <c r="BJ109" s="2616"/>
      <c r="BK109" s="2616"/>
      <c r="BL109" s="2616"/>
      <c r="BM109" s="2616"/>
      <c r="BN109" s="2616"/>
      <c r="BO109" s="2616"/>
      <c r="BP109" s="2616"/>
      <c r="BQ109" s="2616"/>
      <c r="BR109" s="2616"/>
      <c r="BS109" s="2616"/>
      <c r="BT109" s="2616"/>
      <c r="BU109" s="2616"/>
      <c r="BV109" s="2616"/>
      <c r="BW109" s="2616"/>
      <c r="BX109" s="2616"/>
    </row>
    <row r="110" spans="1:76" s="14" customFormat="1" ht="12" customHeight="1">
      <c r="A110" s="4"/>
      <c r="B110" s="831"/>
      <c r="C110" s="5376"/>
      <c r="D110" s="5214"/>
      <c r="E110" s="4971" t="s">
        <v>345</v>
      </c>
      <c r="F110" s="4972"/>
      <c r="G110" s="4972"/>
      <c r="H110" s="4972"/>
      <c r="I110" s="4972"/>
      <c r="J110" s="4972"/>
      <c r="K110" s="5025"/>
      <c r="L110" s="1786">
        <f>IFERROR(VLOOKUP(L$22,Tabla_Categorías,MATCH("Coste"&amp;$E110,Name_Tabla_Cat,FALSE),FALSE),0)</f>
        <v>0</v>
      </c>
      <c r="M110" s="1372"/>
      <c r="N110" s="1786">
        <f>IFERROR(VLOOKUP(N$22,Tabla_Categorías,MATCH("Coste"&amp;$E110,Name_Tabla_Cat,FALSE),FALSE),0)</f>
        <v>0</v>
      </c>
      <c r="O110" s="1372"/>
      <c r="P110" s="1786">
        <f>IFERROR(VLOOKUP(P$22,Tabla_Categorías,MATCH("Coste"&amp;$E110,Name_Tabla_Cat,FALSE),FALSE),0)</f>
        <v>0</v>
      </c>
      <c r="Q110" s="1372"/>
      <c r="R110" s="1786">
        <f>IFERROR(VLOOKUP(R$22,Tabla_Categorías,MATCH("Coste"&amp;$E110,Name_Tabla_Cat,FALSE),FALSE),0)</f>
        <v>0</v>
      </c>
      <c r="S110" s="1372"/>
      <c r="T110" s="1786">
        <f>IFERROR(VLOOKUP(T$22,Tabla_Categorías,MATCH("Coste"&amp;$E110,Name_Tabla_Cat,FALSE),FALSE),0)</f>
        <v>0</v>
      </c>
      <c r="U110" s="1372"/>
      <c r="V110" s="54">
        <f>IF(L110=0,0,TRUNC(M110/L110,0))+IF(N110=0,0,TRUNC(O110/N110,0))+IF(P110=0,0,TRUNC(Q110/P110,0))+IF(R110=0,0,TRUNC(S110/R110,0))+IF(T110=0,0,TRUNC(U110/T110,0))</f>
        <v>0</v>
      </c>
      <c r="W110" s="252">
        <f>Bono_Pod</f>
        <v>0</v>
      </c>
      <c r="X110" s="5168">
        <f t="shared" si="25"/>
        <v>0</v>
      </c>
      <c r="Y110" s="5168">
        <f t="shared" si="25"/>
        <v>0</v>
      </c>
      <c r="Z110" s="1968"/>
      <c r="AA110" s="461">
        <f>Z110+X110+V110+W110+IF(Mod_ATA&lt;0,Mod_ATA,0)+IF(Raza="Devah",10,0)</f>
        <v>0</v>
      </c>
      <c r="AB110" s="1550"/>
      <c r="AC110" s="1282"/>
      <c r="AD110" s="2265"/>
      <c r="AE110" s="3632"/>
      <c r="AF110" s="3633"/>
      <c r="AG110" s="3632"/>
      <c r="AH110" s="3632"/>
      <c r="AI110" s="3632"/>
      <c r="AJ110" s="3632"/>
      <c r="AK110" s="3632"/>
      <c r="AL110" s="628"/>
      <c r="AM110" s="628"/>
      <c r="AN110" s="628"/>
      <c r="AO110" s="2265"/>
      <c r="AP110" s="628"/>
      <c r="AQ110" s="628"/>
      <c r="AR110" s="628"/>
      <c r="AS110" s="628"/>
      <c r="AT110" s="628"/>
      <c r="AU110" s="628"/>
      <c r="AV110" s="628"/>
      <c r="AW110" s="628"/>
      <c r="AX110" s="628"/>
      <c r="AY110" s="628"/>
      <c r="AZ110" s="628"/>
      <c r="BA110" s="628"/>
      <c r="BB110" s="628"/>
      <c r="BC110" s="628"/>
      <c r="BD110" s="2616"/>
      <c r="BE110" s="2616"/>
      <c r="BF110" s="2616"/>
      <c r="BG110" s="2616"/>
      <c r="BH110" s="2616"/>
      <c r="BI110" s="2616"/>
      <c r="BJ110" s="2616"/>
      <c r="BK110" s="2616"/>
      <c r="BL110" s="2616"/>
      <c r="BM110" s="2616"/>
      <c r="BN110" s="2616"/>
      <c r="BO110" s="2616"/>
      <c r="BP110" s="2616"/>
      <c r="BQ110" s="2616"/>
      <c r="BR110" s="2616"/>
      <c r="BS110" s="2616"/>
      <c r="BT110" s="2616"/>
      <c r="BU110" s="2616"/>
      <c r="BV110" s="2616"/>
      <c r="BW110" s="2616"/>
      <c r="BX110" s="2616"/>
    </row>
    <row r="111" spans="1:76" s="14" customFormat="1" ht="12" customHeight="1">
      <c r="A111" s="4"/>
      <c r="B111" s="831"/>
      <c r="C111" s="5376"/>
      <c r="D111" s="5215"/>
      <c r="E111" s="5177" t="s">
        <v>1377</v>
      </c>
      <c r="F111" s="5178"/>
      <c r="G111" s="5178"/>
      <c r="H111" s="5178"/>
      <c r="I111" s="5178"/>
      <c r="J111" s="5178"/>
      <c r="K111" s="5179"/>
      <c r="L111" s="1785">
        <f>IFERROR(VLOOKUP(L$22,Tabla_Categorías,MATCH("Coste"&amp;$E111,Name_Tabla_Cat,FALSE),FALSE),0)</f>
        <v>0</v>
      </c>
      <c r="M111" s="1347"/>
      <c r="N111" s="1785">
        <f>IFERROR(VLOOKUP(N$22,Tabla_Categorías,MATCH("Coste"&amp;$E111,Name_Tabla_Cat,FALSE),FALSE),0)</f>
        <v>0</v>
      </c>
      <c r="O111" s="1347"/>
      <c r="P111" s="1785">
        <f>IFERROR(VLOOKUP(P$22,Tabla_Categorías,MATCH("Coste"&amp;$E111,Name_Tabla_Cat,FALSE),FALSE),0)</f>
        <v>0</v>
      </c>
      <c r="Q111" s="1347"/>
      <c r="R111" s="1785">
        <f>IFERROR(VLOOKUP(R$22,Tabla_Categorías,MATCH("Coste"&amp;$E111,Name_Tabla_Cat,FALSE),FALSE),0)</f>
        <v>0</v>
      </c>
      <c r="S111" s="1347"/>
      <c r="T111" s="1785">
        <f>IFERROR(VLOOKUP(T$22,Tabla_Categorías,MATCH("Coste"&amp;$E111,Name_Tabla_Cat,FALSE),FALSE),0)</f>
        <v>0</v>
      </c>
      <c r="U111" s="1347"/>
      <c r="V111" s="481">
        <f>IF(L111=0,0,TRUNC(M111/L111,0))+IF(N111=0,0,TRUNC(O111/N111,0))+IF(P111=0,0,TRUNC(Q111/P111,0))+IF(R111=0,0,TRUNC(S111/R111,0))+IF(T111=0,0,TRUNC(U111/T111,0))</f>
        <v>0</v>
      </c>
      <c r="W111" s="464">
        <f>Bono_Pod</f>
        <v>0</v>
      </c>
      <c r="X111" s="5147">
        <f t="shared" si="25"/>
        <v>0</v>
      </c>
      <c r="Y111" s="5147">
        <f t="shared" si="25"/>
        <v>0</v>
      </c>
      <c r="Z111" s="1969"/>
      <c r="AA111" s="64">
        <f>Z111+X111+V111+W111+IF(Mod_ATA&lt;0,Mod_ATA,0)+IF(Raza="Devah",10,0)+IF(Nephilim="Nephilim Devah",10,0)</f>
        <v>0</v>
      </c>
      <c r="AB111" s="1550"/>
      <c r="AC111" s="1282"/>
      <c r="AD111" s="2265"/>
      <c r="AE111" s="3632"/>
      <c r="AF111" s="3633"/>
      <c r="AG111" s="3632"/>
      <c r="AH111" s="3632"/>
      <c r="AI111" s="3632"/>
      <c r="AJ111" s="3632"/>
      <c r="AK111" s="3632"/>
      <c r="AL111" s="628"/>
      <c r="AM111" s="628"/>
      <c r="AN111" s="628"/>
      <c r="AO111" s="2265"/>
      <c r="AP111" s="628"/>
      <c r="AQ111" s="628"/>
      <c r="AR111" s="628"/>
      <c r="AS111" s="628"/>
      <c r="AT111" s="628"/>
      <c r="AU111" s="628"/>
      <c r="AV111" s="628"/>
      <c r="AW111" s="628"/>
      <c r="AX111" s="628"/>
      <c r="AY111" s="628"/>
      <c r="AZ111" s="628"/>
      <c r="BA111" s="628"/>
      <c r="BB111" s="628"/>
      <c r="BC111" s="628"/>
      <c r="BD111" s="2616"/>
      <c r="BE111" s="2616"/>
      <c r="BF111" s="2616"/>
      <c r="BG111" s="2616"/>
      <c r="BH111" s="2616"/>
      <c r="BI111" s="2616"/>
      <c r="BJ111" s="2616"/>
      <c r="BK111" s="2616"/>
      <c r="BL111" s="2616"/>
      <c r="BM111" s="2616"/>
      <c r="BN111" s="2616"/>
      <c r="BO111" s="2616"/>
      <c r="BP111" s="2616"/>
      <c r="BQ111" s="2616"/>
      <c r="BR111" s="2616"/>
      <c r="BS111" s="2616"/>
      <c r="BT111" s="2616"/>
      <c r="BU111" s="2616"/>
      <c r="BV111" s="2616"/>
      <c r="BW111" s="2616"/>
      <c r="BX111" s="2616"/>
    </row>
    <row r="112" spans="1:76" s="14" customFormat="1" ht="12" customHeight="1">
      <c r="A112" s="4"/>
      <c r="B112" s="831"/>
      <c r="C112" s="5376"/>
      <c r="D112" s="5216" t="s">
        <v>1378</v>
      </c>
      <c r="E112" s="5180"/>
      <c r="F112" s="4979"/>
      <c r="G112" s="4979"/>
      <c r="H112" s="4979"/>
      <c r="I112" s="4979"/>
      <c r="J112" s="4979"/>
      <c r="K112" s="4980"/>
      <c r="L112" s="1772" t="str">
        <f>IF($E112=0,"",VLOOKUP($E112,Tabla_TablasSobrenat,2))</f>
        <v/>
      </c>
      <c r="M112" s="1356"/>
      <c r="N112" s="1772" t="str">
        <f>IF($E112=0,"",VLOOKUP($E112,Tabla_TablasSobrenat,2))</f>
        <v/>
      </c>
      <c r="O112" s="1356"/>
      <c r="P112" s="1772" t="str">
        <f>IF($E112=0,"",VLOOKUP($E112,Tabla_TablasSobrenat,2))</f>
        <v/>
      </c>
      <c r="Q112" s="1356"/>
      <c r="R112" s="1772" t="str">
        <f>IF($E112=0,"",VLOOKUP($E112,Tabla_TablasSobrenat,2))</f>
        <v/>
      </c>
      <c r="S112" s="1356"/>
      <c r="T112" s="1772" t="str">
        <f>IF($E112=0,"",VLOOKUP($E112,Tabla_TablasSobrenat,2))</f>
        <v/>
      </c>
      <c r="U112" s="1356"/>
      <c r="V112" s="5160" t="str">
        <f>IF($E112=0,"",VLOOKUP($E112,Tabla_TablasSobrenat,3))</f>
        <v/>
      </c>
      <c r="W112" s="5161">
        <f t="shared" ref="W112:AA113" si="26">IF($E112=0,0,VLOOKUP($E112,Tabla_TablasSobrenat,2))</f>
        <v>0</v>
      </c>
      <c r="X112" s="5161">
        <f t="shared" si="26"/>
        <v>0</v>
      </c>
      <c r="Y112" s="5161">
        <f t="shared" si="26"/>
        <v>0</v>
      </c>
      <c r="Z112" s="5161">
        <f t="shared" si="26"/>
        <v>0</v>
      </c>
      <c r="AA112" s="5162">
        <f t="shared" si="26"/>
        <v>0</v>
      </c>
      <c r="AB112" s="1550"/>
      <c r="AC112" s="1282"/>
      <c r="AD112" s="2265"/>
      <c r="AE112" s="3632"/>
      <c r="AF112" s="3633"/>
      <c r="AG112" s="3632"/>
      <c r="AH112" s="3632"/>
      <c r="AI112" s="3632"/>
      <c r="AJ112" s="3632"/>
      <c r="AK112" s="3632"/>
      <c r="AL112" s="628"/>
      <c r="AM112" s="628"/>
      <c r="AN112" s="628"/>
      <c r="AO112" s="2265"/>
      <c r="AP112" s="628"/>
      <c r="AQ112" s="628"/>
      <c r="AR112" s="628"/>
      <c r="AS112" s="628"/>
      <c r="AT112" s="628"/>
      <c r="AU112" s="628"/>
      <c r="AV112" s="628"/>
      <c r="AW112" s="628"/>
      <c r="AX112" s="628"/>
      <c r="AY112" s="628"/>
      <c r="AZ112" s="628"/>
      <c r="BA112" s="628"/>
      <c r="BB112" s="628"/>
      <c r="BC112" s="628"/>
      <c r="BD112" s="2616"/>
      <c r="BE112" s="2616"/>
      <c r="BF112" s="2616"/>
      <c r="BG112" s="2616"/>
      <c r="BH112" s="2616"/>
      <c r="BI112" s="2616"/>
      <c r="BJ112" s="2616"/>
      <c r="BK112" s="2616"/>
      <c r="BL112" s="2616"/>
      <c r="BM112" s="2616"/>
      <c r="BN112" s="2616"/>
      <c r="BO112" s="2616"/>
      <c r="BP112" s="2616"/>
      <c r="BQ112" s="2616"/>
      <c r="BR112" s="2616"/>
      <c r="BS112" s="2616"/>
      <c r="BT112" s="2616"/>
      <c r="BU112" s="2616"/>
      <c r="BV112" s="2616"/>
      <c r="BW112" s="2616"/>
      <c r="BX112" s="2616"/>
    </row>
    <row r="113" spans="1:76" s="14" customFormat="1" ht="12" customHeight="1" thickBot="1">
      <c r="A113" s="4"/>
      <c r="B113" s="831"/>
      <c r="C113" s="5376"/>
      <c r="D113" s="5217"/>
      <c r="E113" s="5181"/>
      <c r="F113" s="5032"/>
      <c r="G113" s="5032"/>
      <c r="H113" s="5032"/>
      <c r="I113" s="5032"/>
      <c r="J113" s="5032"/>
      <c r="K113" s="5033"/>
      <c r="L113" s="1767" t="str">
        <f>IF($E113=0,"",VLOOKUP($E113,Tabla_TablasSobrenat,2))</f>
        <v/>
      </c>
      <c r="M113" s="1340"/>
      <c r="N113" s="1767" t="str">
        <f>IF($E113=0,"",VLOOKUP($E113,Tabla_TablasSobrenat,2))</f>
        <v/>
      </c>
      <c r="O113" s="1340"/>
      <c r="P113" s="1767" t="str">
        <f>IF($E113=0,"",VLOOKUP($E113,Tabla_TablasSobrenat,2))</f>
        <v/>
      </c>
      <c r="Q113" s="1340"/>
      <c r="R113" s="1767" t="str">
        <f>IF($E113=0,"",VLOOKUP($E113,Tabla_TablasSobrenat,2))</f>
        <v/>
      </c>
      <c r="S113" s="1340"/>
      <c r="T113" s="1767" t="str">
        <f>IF($E113=0,"",VLOOKUP($E113,Tabla_TablasSobrenat,2))</f>
        <v/>
      </c>
      <c r="U113" s="1340"/>
      <c r="V113" s="5173" t="str">
        <f>IF($E113=0,"",VLOOKUP($E113,Tabla_TablasSobrenat,3))</f>
        <v/>
      </c>
      <c r="W113" s="5174">
        <f t="shared" si="26"/>
        <v>0</v>
      </c>
      <c r="X113" s="5174">
        <f t="shared" si="26"/>
        <v>0</v>
      </c>
      <c r="Y113" s="5174">
        <f t="shared" si="26"/>
        <v>0</v>
      </c>
      <c r="Z113" s="5174">
        <f t="shared" si="26"/>
        <v>0</v>
      </c>
      <c r="AA113" s="5175">
        <f t="shared" si="26"/>
        <v>0</v>
      </c>
      <c r="AB113" s="1550"/>
      <c r="AC113" s="1282"/>
      <c r="AD113" s="2265"/>
      <c r="AE113" s="3632"/>
      <c r="AF113" s="3633"/>
      <c r="AG113" s="3632"/>
      <c r="AH113" s="3632"/>
      <c r="AI113" s="3632"/>
      <c r="AJ113" s="3632"/>
      <c r="AK113" s="3632"/>
      <c r="AL113" s="628"/>
      <c r="AM113" s="628"/>
      <c r="AN113" s="628"/>
      <c r="AO113" s="2265"/>
      <c r="AP113" s="628"/>
      <c r="AQ113" s="628"/>
      <c r="AR113" s="628"/>
      <c r="AS113" s="628"/>
      <c r="AT113" s="628"/>
      <c r="AU113" s="628"/>
      <c r="AV113" s="628"/>
      <c r="AW113" s="628"/>
      <c r="AX113" s="628"/>
      <c r="AY113" s="628"/>
      <c r="AZ113" s="628"/>
      <c r="BA113" s="628"/>
      <c r="BB113" s="628"/>
      <c r="BC113" s="628"/>
      <c r="BD113" s="2616"/>
      <c r="BE113" s="2616"/>
      <c r="BF113" s="2616"/>
      <c r="BG113" s="2616"/>
      <c r="BH113" s="2616"/>
      <c r="BI113" s="2616"/>
      <c r="BJ113" s="2616"/>
      <c r="BK113" s="2616"/>
      <c r="BL113" s="2616"/>
      <c r="BM113" s="2616"/>
      <c r="BN113" s="2616"/>
      <c r="BO113" s="2616"/>
      <c r="BP113" s="2616"/>
      <c r="BQ113" s="2616"/>
      <c r="BR113" s="2616"/>
      <c r="BS113" s="2616"/>
      <c r="BT113" s="2616"/>
      <c r="BU113" s="2616"/>
      <c r="BV113" s="2616"/>
      <c r="BW113" s="2616"/>
      <c r="BX113" s="2616"/>
    </row>
    <row r="114" spans="1:76" s="14" customFormat="1" ht="12" customHeight="1">
      <c r="A114" s="4"/>
      <c r="B114" s="831"/>
      <c r="C114" s="5377"/>
      <c r="D114" s="5052" t="s">
        <v>1379</v>
      </c>
      <c r="E114" s="5047"/>
      <c r="F114" s="5047"/>
      <c r="G114" s="5047"/>
      <c r="H114" s="5047"/>
      <c r="I114" s="5047"/>
      <c r="J114" s="5047"/>
      <c r="K114" s="5397"/>
      <c r="L114" s="4981">
        <f>T$7*IF(Categoría_1=0,0.5,L116)</f>
        <v>300</v>
      </c>
      <c r="M114" s="4983">
        <f>SUM(M103:M113)</f>
        <v>0</v>
      </c>
      <c r="N114" s="4981">
        <f>IF(Limite_Primarias_Individual,$T$9*N116,IF(Categoría_2=0,0,(IF(OR(Limite_Primarias_Combinado,Limite_Primarias_MasConveniente),O116,SUM(T$7:T$9)*IF(Limite_Primarias_Maximo,MAX($L116,$N116),N116)))))</f>
        <v>0</v>
      </c>
      <c r="O114" s="4983">
        <f>(SUM(O103:O113)+IF(Limite_Primarias_Individual,0,M114))*IF(Categoría_2=0,0,1)</f>
        <v>0</v>
      </c>
      <c r="P114" s="4981">
        <f>IF(Limite_Primarias_Individual,$T$11*P116,IF(Categoría_3=0,0,(IF(OR(Limite_Primarias_Combinado,Limite_Primarias_MasConveniente),Q116,SUM(T$7:T$11)*IF(Limite_Primarias_Maximo,MAX($L116,$N116,$P116),P116)))))</f>
        <v>0</v>
      </c>
      <c r="Q114" s="5129">
        <f>(SUM(Q103:Q113)+IF(Limite_Primarias_Individual,0,O114))*IF(Categoría_3=0,0,1)</f>
        <v>0</v>
      </c>
      <c r="R114" s="4981">
        <f>IF(Limite_Primarias_Individual,$T$13*R116,IF(Categoría_4=0,0,(IF(OR(Limite_Primarias_Combinado,Limite_Primarias_MasConveniente),S116,SUM(T$7:T$13)*IF(Limite_Primarias_Maximo,MAX($L116,$N116,$P116,$R116),R116)))))</f>
        <v>0</v>
      </c>
      <c r="S114" s="4983">
        <f>(SUM(S103:S113)+IF(Limite_Primarias_Individual,0,Q114))*IF(Categoría_4=0,0,1)</f>
        <v>0</v>
      </c>
      <c r="T114" s="4981">
        <f>IF(Limite_Primarias_Individual,$T$15*T116,IF(Categoría_5=0,0,(IF(OR(Limite_Primarias_Combinado,Limite_Primarias_MasConveniente),U116,SUM(T$7:T$15)*IF(Limite_Primarias_Maximo,MAX($L116,$N116,$P116,$R116,$T116),T116)))))</f>
        <v>0</v>
      </c>
      <c r="U114" s="5322">
        <f>(SUM(U103:U113)+IF(Limite_Primarias_Individual,0,S114))*IF(Categoría_5=0,0,1)</f>
        <v>0</v>
      </c>
      <c r="V114" s="5123" t="str">
        <f>IF((M106+O106+Q106+S106+U106)*2&gt;MAX(L114,N114,P114,R114,T114),"Exceso en Proyección Mágica",IF(M107+O107+Q107+S107+U107&gt;0.1*$Z$210,"Exceso de PDs en Nivel de Magia",IF(OR(M114&gt;L114,O114&gt;N114,Q114&gt;P114,S114&gt;R114,U114&gt;T114),"Exceso de PDs en Habilidades Místicas","")))</f>
        <v/>
      </c>
      <c r="W114" s="5124"/>
      <c r="X114" s="5124"/>
      <c r="Y114" s="5124"/>
      <c r="Z114" s="5124"/>
      <c r="AA114" s="5125"/>
      <c r="AB114" s="1550"/>
      <c r="AC114" s="1282"/>
      <c r="AD114" s="2265"/>
      <c r="AE114" s="3632"/>
      <c r="AF114" s="3633"/>
      <c r="AG114" s="3632"/>
      <c r="AH114" s="3632"/>
      <c r="AI114" s="3632"/>
      <c r="AJ114" s="3632"/>
      <c r="AK114" s="3632"/>
      <c r="AL114" s="628"/>
      <c r="AM114" s="628"/>
      <c r="AN114" s="628"/>
      <c r="AO114" s="2265"/>
      <c r="AP114" s="628"/>
      <c r="AQ114" s="628"/>
      <c r="AR114" s="628"/>
      <c r="AS114" s="628"/>
      <c r="AT114" s="628"/>
      <c r="AU114" s="628"/>
      <c r="AV114" s="628"/>
      <c r="AW114" s="628"/>
      <c r="AX114" s="628"/>
      <c r="AY114" s="628"/>
      <c r="AZ114" s="628"/>
      <c r="BA114" s="628"/>
      <c r="BB114" s="628"/>
      <c r="BC114" s="628"/>
      <c r="BD114" s="2616"/>
      <c r="BE114" s="2616"/>
      <c r="BF114" s="2616"/>
      <c r="BG114" s="2616"/>
      <c r="BH114" s="2616"/>
      <c r="BI114" s="2616"/>
      <c r="BJ114" s="2616"/>
      <c r="BK114" s="2616"/>
      <c r="BL114" s="2616"/>
      <c r="BM114" s="2616"/>
      <c r="BN114" s="2616"/>
      <c r="BO114" s="2616"/>
      <c r="BP114" s="2616"/>
      <c r="BQ114" s="2616"/>
      <c r="BR114" s="2616"/>
      <c r="BS114" s="2616"/>
      <c r="BT114" s="2616"/>
      <c r="BU114" s="2616"/>
      <c r="BV114" s="2616"/>
      <c r="BW114" s="2616"/>
      <c r="BX114" s="2616"/>
    </row>
    <row r="115" spans="1:76" s="14" customFormat="1" ht="12" customHeight="1" thickBot="1">
      <c r="A115" s="4"/>
      <c r="B115" s="831"/>
      <c r="C115" s="5378"/>
      <c r="D115" s="5053"/>
      <c r="E115" s="5049"/>
      <c r="F115" s="5049"/>
      <c r="G115" s="5049"/>
      <c r="H115" s="5049"/>
      <c r="I115" s="5049"/>
      <c r="J115" s="5049"/>
      <c r="K115" s="5398"/>
      <c r="L115" s="4982"/>
      <c r="M115" s="4984"/>
      <c r="N115" s="4982"/>
      <c r="O115" s="4984"/>
      <c r="P115" s="4982"/>
      <c r="Q115" s="4603"/>
      <c r="R115" s="4982"/>
      <c r="S115" s="4984"/>
      <c r="T115" s="4982"/>
      <c r="U115" s="5323"/>
      <c r="V115" s="5126"/>
      <c r="W115" s="5127"/>
      <c r="X115" s="5127"/>
      <c r="Y115" s="5127"/>
      <c r="Z115" s="5127"/>
      <c r="AA115" s="5128"/>
      <c r="AB115" s="1550"/>
      <c r="AC115" s="1282"/>
      <c r="AD115" s="2265"/>
      <c r="AE115" s="3632"/>
      <c r="AF115" s="3633"/>
      <c r="AG115" s="3632"/>
      <c r="AH115" s="2701"/>
      <c r="AI115" s="3632"/>
      <c r="AJ115" s="3632"/>
      <c r="AK115" s="3632"/>
      <c r="AL115" s="628"/>
      <c r="AM115" s="628"/>
      <c r="AN115" s="628"/>
      <c r="AO115" s="2265"/>
      <c r="AP115" s="628"/>
      <c r="AQ115" s="628"/>
      <c r="AR115" s="628"/>
      <c r="AS115" s="628"/>
      <c r="AT115" s="628"/>
      <c r="AU115" s="628"/>
      <c r="AV115" s="628"/>
      <c r="AW115" s="628"/>
      <c r="AX115" s="628"/>
      <c r="AY115" s="628"/>
      <c r="AZ115" s="628"/>
      <c r="BA115" s="628"/>
      <c r="BB115" s="628"/>
      <c r="BC115" s="628"/>
      <c r="BD115" s="2616"/>
      <c r="BE115" s="2616"/>
      <c r="BF115" s="2616"/>
      <c r="BG115" s="2616"/>
      <c r="BH115" s="2616"/>
      <c r="BI115" s="2616"/>
      <c r="BJ115" s="2616"/>
      <c r="BK115" s="2616"/>
      <c r="BL115" s="2616"/>
      <c r="BM115" s="2616"/>
      <c r="BN115" s="2616"/>
      <c r="BO115" s="2616"/>
      <c r="BP115" s="2616"/>
      <c r="BQ115" s="2616"/>
      <c r="BR115" s="2616"/>
      <c r="BS115" s="2616"/>
      <c r="BT115" s="2616"/>
      <c r="BU115" s="2616"/>
      <c r="BV115" s="2616"/>
      <c r="BW115" s="2616"/>
      <c r="BX115" s="2616"/>
    </row>
    <row r="116" spans="1:76" s="14" customFormat="1" ht="12" customHeight="1">
      <c r="A116" s="4"/>
      <c r="B116" s="831"/>
      <c r="C116" s="21"/>
      <c r="D116" s="21"/>
      <c r="E116" s="21"/>
      <c r="F116" s="21"/>
      <c r="I116" s="21"/>
      <c r="J116" s="21"/>
      <c r="K116" s="21"/>
      <c r="L116" s="628">
        <f>IFERROR(VLOOKUP(Categoría_1,Tabla_Categorías,7,FALSE),0)</f>
        <v>0</v>
      </c>
      <c r="M116" s="628">
        <f>L116*$T$7</f>
        <v>0</v>
      </c>
      <c r="N116" s="628">
        <f>IFERROR(VLOOKUP(Categoría_2,Tabla_Categorías,7,FALSE),0)</f>
        <v>0</v>
      </c>
      <c r="O116" s="628">
        <f>IF(OR(Limite_Primarias_Combinado,N116&lt;=L116),N116*$T$9+M116,IF(Limite_Primarias_MasConveniente,N116*SUM($T$7:$T$9),0))</f>
        <v>0</v>
      </c>
      <c r="P116" s="628">
        <f>IFERROR(VLOOKUP(Categoría_3,Tabla_Categorías,7,FALSE),0)</f>
        <v>0</v>
      </c>
      <c r="Q116" s="628">
        <f>IF(OR(Limite_Primarias_Combinado,P116&lt;=N116),P116*$T$11+O116,IF(Limite_Primarias_MasConveniente,P116*SUM($T$7:$T$11),0))</f>
        <v>0</v>
      </c>
      <c r="R116" s="628">
        <f>IFERROR(VLOOKUP(Categoría_4,Tabla_Categorías,7,FALSE),0)</f>
        <v>0</v>
      </c>
      <c r="S116" s="628">
        <f>IF(OR(Limite_Primarias_Combinado,R116&lt;=P116),R116*$T$13+Q116,IF(Limite_Primarias_MasConveniente,R116*SUM($T$7:$T$13),0))</f>
        <v>0</v>
      </c>
      <c r="T116" s="628">
        <f>IFERROR(VLOOKUP(Categoría_5,Tabla_Categorías,7,FALSE),0)</f>
        <v>0</v>
      </c>
      <c r="U116" s="628">
        <f>IF(OR(Limite_Primarias_Combinado,T116&lt;=R116),T116*$T$15+S116,IF(Limite_Primarias_MasConveniente,T116*SUM($T$7:$T$15),0))</f>
        <v>0</v>
      </c>
      <c r="V116" s="21"/>
      <c r="W116" s="2701">
        <f>IF('Red Neuronal'!P40=5,1,0)</f>
        <v>0</v>
      </c>
      <c r="X116" s="2701">
        <f>IF('Red Neuronal'!P30,1,0)</f>
        <v>0</v>
      </c>
      <c r="Y116" s="2701">
        <f>IF('Red Neuronal'!Z30=5,1,0)</f>
        <v>0</v>
      </c>
      <c r="Z116" s="2701">
        <f>IF('Red Neuronal'!Z40=5,1,0)</f>
        <v>0</v>
      </c>
      <c r="AA116" s="21"/>
      <c r="AB116" s="1550"/>
      <c r="AC116" s="1282"/>
      <c r="AD116" s="2265"/>
      <c r="AE116" s="3632"/>
      <c r="AF116" s="3633"/>
      <c r="AG116" s="3632"/>
      <c r="AH116" s="3632"/>
      <c r="AI116" s="3632"/>
      <c r="AJ116" s="3632"/>
      <c r="AK116" s="3632"/>
      <c r="AL116" s="628"/>
      <c r="AM116" s="628"/>
      <c r="AN116" s="628"/>
      <c r="AO116" s="2265"/>
      <c r="AP116" s="628"/>
      <c r="AQ116" s="628"/>
      <c r="AR116" s="628"/>
      <c r="AS116" s="628"/>
      <c r="AT116" s="628"/>
      <c r="AU116" s="628"/>
      <c r="AV116" s="628"/>
      <c r="AW116" s="628"/>
      <c r="AX116" s="628"/>
      <c r="AY116" s="628"/>
      <c r="AZ116" s="628"/>
      <c r="BA116" s="628"/>
      <c r="BB116" s="628"/>
      <c r="BC116" s="628"/>
      <c r="BD116" s="2616"/>
      <c r="BE116" s="2616"/>
      <c r="BF116" s="2616"/>
      <c r="BG116" s="2616"/>
      <c r="BH116" s="2616"/>
      <c r="BI116" s="2616"/>
      <c r="BJ116" s="2616"/>
      <c r="BK116" s="2616"/>
      <c r="BL116" s="2616"/>
      <c r="BM116" s="2616"/>
      <c r="BN116" s="2616"/>
      <c r="BO116" s="2616"/>
      <c r="BP116" s="2616"/>
      <c r="BQ116" s="2616"/>
      <c r="BR116" s="2616"/>
      <c r="BS116" s="2616"/>
      <c r="BT116" s="2616"/>
      <c r="BU116" s="2616"/>
      <c r="BV116" s="2616"/>
      <c r="BW116" s="2616"/>
      <c r="BX116" s="2616"/>
    </row>
    <row r="117" spans="1:76" s="14" customFormat="1" ht="12" customHeight="1" thickBot="1">
      <c r="A117" s="4"/>
      <c r="B117" s="831"/>
      <c r="U117" s="3730"/>
      <c r="W117" s="2701">
        <f>COUNTIF(E125:K129,"Compasión")</f>
        <v>0</v>
      </c>
      <c r="X117" s="2701">
        <f>COUNTIF(E125:K129,"Extroversión")</f>
        <v>0</v>
      </c>
      <c r="Y117" s="2701">
        <f>COUNTIF(E125:K129,"Locura")</f>
        <v>0</v>
      </c>
      <c r="Z117" s="2701">
        <f>COUNTIF(E125:K129,"Cobardía")</f>
        <v>0</v>
      </c>
      <c r="AB117" s="1550"/>
      <c r="AC117" s="1282"/>
      <c r="AD117" s="2265"/>
      <c r="AE117" s="3632"/>
      <c r="AF117" s="3633"/>
      <c r="AG117" s="3632"/>
      <c r="AH117" s="3632"/>
      <c r="AI117" s="3632"/>
      <c r="AJ117" s="3632"/>
      <c r="AK117" s="3632"/>
      <c r="AL117" s="628"/>
      <c r="AM117" s="628"/>
      <c r="AN117" s="628"/>
      <c r="AO117" s="2265"/>
      <c r="AP117" s="628"/>
      <c r="AQ117" s="628"/>
      <c r="AR117" s="628"/>
      <c r="AS117" s="628"/>
      <c r="AT117" s="628"/>
      <c r="AU117" s="628"/>
      <c r="AV117" s="628"/>
      <c r="AW117" s="628"/>
      <c r="AX117" s="628"/>
      <c r="AY117" s="628"/>
      <c r="AZ117" s="628"/>
      <c r="BA117" s="628"/>
      <c r="BB117" s="628"/>
      <c r="BC117" s="628"/>
      <c r="BD117" s="2616"/>
      <c r="BE117" s="2616"/>
      <c r="BF117" s="2616"/>
      <c r="BG117" s="2616"/>
      <c r="BH117" s="2616"/>
      <c r="BI117" s="2616"/>
      <c r="BJ117" s="2616"/>
      <c r="BK117" s="2616"/>
      <c r="BL117" s="2616"/>
      <c r="BM117" s="2616"/>
      <c r="BN117" s="2616"/>
      <c r="BO117" s="2616"/>
      <c r="BP117" s="2616"/>
      <c r="BQ117" s="2616"/>
      <c r="BR117" s="2616"/>
      <c r="BS117" s="2616"/>
      <c r="BT117" s="2616"/>
      <c r="BU117" s="2616"/>
      <c r="BV117" s="2616"/>
      <c r="BW117" s="2616"/>
      <c r="BX117" s="2616"/>
    </row>
    <row r="118" spans="1:76" s="14" customFormat="1" ht="12" customHeight="1">
      <c r="A118" s="4"/>
      <c r="B118" s="831"/>
      <c r="C118" s="21"/>
      <c r="D118" s="21"/>
      <c r="E118" s="21"/>
      <c r="F118" s="21"/>
      <c r="I118" s="21"/>
      <c r="J118" s="21"/>
      <c r="K118" s="21"/>
      <c r="L118" s="5310" t="str">
        <f>IF(Categoría_1=0,"",Categoría_1)</f>
        <v/>
      </c>
      <c r="M118" s="5110"/>
      <c r="N118" s="5109" t="str">
        <f>IF(Categoría_2=0,"",Categoría_2)</f>
        <v/>
      </c>
      <c r="O118" s="5110"/>
      <c r="P118" s="5109" t="str">
        <f>IF(Categoría_3=0,"",Categoría_3)</f>
        <v/>
      </c>
      <c r="Q118" s="5110"/>
      <c r="R118" s="5109" t="str">
        <f>IF(Categoría_4=0,"",Categoría_4)</f>
        <v/>
      </c>
      <c r="S118" s="5110"/>
      <c r="T118" s="5109" t="str">
        <f>IF(Categoría_5=0,"",Categoría_5)</f>
        <v/>
      </c>
      <c r="U118" s="5145"/>
      <c r="V118" s="21"/>
      <c r="W118" s="2701">
        <f>COUNTIF(E125:K129,"Razón")</f>
        <v>0</v>
      </c>
      <c r="X118" s="2701">
        <f>COUNTIF(E125:K129,"Valentía")</f>
        <v>0</v>
      </c>
      <c r="Y118" s="2701">
        <f>COUNTIF(E125:K129,"Psicopatía")</f>
        <v>0</v>
      </c>
      <c r="Z118" s="2701">
        <f>COUNTIF(E125:K129,"Introversión")</f>
        <v>0</v>
      </c>
      <c r="AA118" s="21"/>
      <c r="AB118" s="1550"/>
      <c r="AC118" s="1282"/>
      <c r="AD118" s="2265"/>
      <c r="AE118" s="3632"/>
      <c r="AF118" s="3633"/>
      <c r="AG118" s="3632"/>
      <c r="AH118" s="3632"/>
      <c r="AI118" s="3632"/>
      <c r="AJ118" s="3632"/>
      <c r="AK118" s="3632"/>
      <c r="AL118" s="628"/>
      <c r="AM118" s="628"/>
      <c r="AN118" s="628"/>
      <c r="AO118" s="2265"/>
      <c r="AP118" s="628"/>
      <c r="AQ118" s="628"/>
      <c r="AR118" s="628"/>
      <c r="AS118" s="628"/>
      <c r="AT118" s="628"/>
      <c r="AU118" s="628"/>
      <c r="AV118" s="628"/>
      <c r="AW118" s="628"/>
      <c r="AX118" s="628"/>
      <c r="AY118" s="628"/>
      <c r="AZ118" s="628"/>
      <c r="BA118" s="628"/>
      <c r="BB118" s="628"/>
      <c r="BC118" s="628"/>
      <c r="BD118" s="2616"/>
      <c r="BE118" s="2616"/>
      <c r="BF118" s="2616"/>
      <c r="BG118" s="2616"/>
      <c r="BH118" s="2616"/>
      <c r="BI118" s="2616"/>
      <c r="BJ118" s="2616"/>
      <c r="BK118" s="2616"/>
      <c r="BL118" s="2616"/>
      <c r="BM118" s="2616"/>
      <c r="BN118" s="2616"/>
      <c r="BO118" s="2616"/>
      <c r="BP118" s="2616"/>
      <c r="BQ118" s="2616"/>
      <c r="BR118" s="2616"/>
      <c r="BS118" s="2616"/>
      <c r="BT118" s="2616"/>
      <c r="BU118" s="2616"/>
      <c r="BV118" s="2616"/>
      <c r="BW118" s="2616"/>
      <c r="BX118" s="2616"/>
    </row>
    <row r="119" spans="1:76" s="14" customFormat="1" ht="12" customHeight="1" thickBot="1">
      <c r="A119" s="4"/>
      <c r="B119" s="831"/>
      <c r="C119" s="21"/>
      <c r="D119" s="21"/>
      <c r="E119" s="21"/>
      <c r="F119" s="21"/>
      <c r="I119" s="21"/>
      <c r="J119" s="21"/>
      <c r="K119" s="21"/>
      <c r="L119" s="5419"/>
      <c r="M119" s="5112"/>
      <c r="N119" s="5111"/>
      <c r="O119" s="5112"/>
      <c r="P119" s="5111"/>
      <c r="Q119" s="5112"/>
      <c r="R119" s="5111"/>
      <c r="S119" s="5112"/>
      <c r="T119" s="5111"/>
      <c r="U119" s="5146"/>
      <c r="V119" s="708"/>
      <c r="W119" s="2701">
        <f>IF(AND(COUNTIF(W117:W118,1),W116=1),10,0)</f>
        <v>0</v>
      </c>
      <c r="X119" s="2701">
        <f>IF(AND(COUNTIF(X117:X118,1),X116=1),10,0)</f>
        <v>0</v>
      </c>
      <c r="Y119" s="2701">
        <f>IF(AND(COUNTIF(Y117:Y118,1),Y116=1),10,0)</f>
        <v>0</v>
      </c>
      <c r="Z119" s="2701">
        <f>IF(AND(COUNTIF(Z117:Z118,1),Z116=1),10,0)</f>
        <v>0</v>
      </c>
      <c r="AA119" s="530"/>
      <c r="AB119" s="1550"/>
      <c r="AC119" s="531"/>
      <c r="AD119" s="2265"/>
      <c r="AE119" s="3632"/>
      <c r="AF119" s="3633"/>
      <c r="AG119" s="3632"/>
      <c r="AH119" s="3632"/>
      <c r="AI119" s="3632"/>
      <c r="AJ119" s="3632"/>
      <c r="AK119" s="3632"/>
      <c r="AL119" s="628"/>
      <c r="AM119" s="628"/>
      <c r="AN119" s="628"/>
      <c r="AO119" s="2265"/>
      <c r="AP119" s="628"/>
      <c r="AQ119" s="628"/>
      <c r="AR119" s="628"/>
      <c r="AS119" s="628"/>
      <c r="AT119" s="628"/>
      <c r="AU119" s="628"/>
      <c r="AV119" s="628"/>
      <c r="AW119" s="628"/>
      <c r="AX119" s="628"/>
      <c r="AY119" s="628"/>
      <c r="AZ119" s="628"/>
      <c r="BA119" s="628"/>
      <c r="BB119" s="628"/>
      <c r="BC119" s="628"/>
      <c r="BD119" s="2616"/>
      <c r="BE119" s="2616"/>
      <c r="BF119" s="2616"/>
      <c r="BG119" s="2616"/>
      <c r="BH119" s="2616"/>
      <c r="BI119" s="2616"/>
      <c r="BJ119" s="2616"/>
      <c r="BK119" s="2616"/>
      <c r="BL119" s="2616"/>
      <c r="BM119" s="2616"/>
      <c r="BN119" s="2616"/>
      <c r="BO119" s="2616"/>
      <c r="BP119" s="2616"/>
      <c r="BQ119" s="2616"/>
      <c r="BR119" s="2616"/>
      <c r="BS119" s="2616"/>
      <c r="BT119" s="2616"/>
      <c r="BU119" s="2616"/>
      <c r="BV119" s="2616"/>
      <c r="BW119" s="2616"/>
      <c r="BX119" s="2616"/>
    </row>
    <row r="120" spans="1:76" s="14" customFormat="1" ht="12" customHeight="1" thickBot="1">
      <c r="A120" s="29"/>
      <c r="B120" s="753"/>
      <c r="C120" s="5379" t="s">
        <v>1380</v>
      </c>
      <c r="D120" s="2705" t="s">
        <v>1258</v>
      </c>
      <c r="E120" s="4985" t="s">
        <v>1235</v>
      </c>
      <c r="F120" s="4985"/>
      <c r="G120" s="4985"/>
      <c r="H120" s="4985"/>
      <c r="I120" s="4985"/>
      <c r="J120" s="4985"/>
      <c r="K120" s="4986"/>
      <c r="L120" s="1307" t="s">
        <v>1349</v>
      </c>
      <c r="M120" s="1308" t="s">
        <v>1237</v>
      </c>
      <c r="N120" s="1307" t="s">
        <v>1349</v>
      </c>
      <c r="O120" s="1308" t="s">
        <v>1237</v>
      </c>
      <c r="P120" s="1307" t="s">
        <v>1349</v>
      </c>
      <c r="Q120" s="1308" t="s">
        <v>1237</v>
      </c>
      <c r="R120" s="1307" t="s">
        <v>1349</v>
      </c>
      <c r="S120" s="1308" t="s">
        <v>1237</v>
      </c>
      <c r="T120" s="1307" t="s">
        <v>1349</v>
      </c>
      <c r="U120" s="1308" t="s">
        <v>1237</v>
      </c>
      <c r="V120" s="460" t="s">
        <v>1225</v>
      </c>
      <c r="W120" s="460" t="s">
        <v>1227</v>
      </c>
      <c r="X120" s="5321" t="s">
        <v>1348</v>
      </c>
      <c r="Y120" s="5321"/>
      <c r="Z120" s="460" t="s">
        <v>1277</v>
      </c>
      <c r="AA120" s="51" t="s">
        <v>1209</v>
      </c>
      <c r="AB120" s="1546"/>
      <c r="AC120" s="769"/>
      <c r="AD120" s="2265" t="s">
        <v>11077</v>
      </c>
      <c r="AE120" s="2946"/>
      <c r="AF120" s="3638"/>
      <c r="AG120" s="4284"/>
      <c r="AH120" s="3632"/>
      <c r="AI120" s="3632"/>
      <c r="AJ120" s="3632"/>
      <c r="AK120" s="3632"/>
      <c r="AL120" s="628"/>
      <c r="AM120" s="628"/>
      <c r="AN120" s="628"/>
      <c r="AO120" s="2265"/>
      <c r="AP120" s="628"/>
      <c r="AQ120" s="628"/>
      <c r="AR120" s="628"/>
      <c r="AS120" s="628"/>
      <c r="AT120" s="628"/>
      <c r="AU120" s="628"/>
      <c r="AV120" s="628"/>
      <c r="AW120" s="628"/>
      <c r="AX120" s="628"/>
      <c r="AY120" s="628"/>
      <c r="AZ120" s="628"/>
      <c r="BA120" s="628"/>
      <c r="BB120" s="628"/>
      <c r="BC120" s="628"/>
      <c r="BD120" s="2616"/>
      <c r="BE120" s="2616"/>
      <c r="BF120" s="2616"/>
      <c r="BG120" s="2616"/>
      <c r="BH120" s="2616"/>
      <c r="BI120" s="2616"/>
      <c r="BJ120" s="2616"/>
      <c r="BK120" s="2616"/>
      <c r="BL120" s="2616"/>
      <c r="BM120" s="2616"/>
      <c r="BN120" s="2616"/>
      <c r="BO120" s="2616"/>
      <c r="BP120" s="2616"/>
      <c r="BQ120" s="2616"/>
      <c r="BR120" s="2616"/>
      <c r="BS120" s="2616"/>
      <c r="BT120" s="2616"/>
      <c r="BU120" s="2616"/>
      <c r="BV120" s="2616"/>
      <c r="BW120" s="2616"/>
      <c r="BX120" s="2616"/>
    </row>
    <row r="121" spans="1:76" s="14" customFormat="1" ht="12" customHeight="1">
      <c r="A121" s="29"/>
      <c r="B121" s="753"/>
      <c r="C121" s="5376"/>
      <c r="D121" s="5384" t="s">
        <v>1225</v>
      </c>
      <c r="E121" s="4970" t="s">
        <v>1381</v>
      </c>
      <c r="F121" s="4970"/>
      <c r="G121" s="4970"/>
      <c r="H121" s="4970"/>
      <c r="I121" s="4970"/>
      <c r="J121" s="4970"/>
      <c r="K121" s="5024"/>
      <c r="L121" s="1784">
        <f>IFERROR(VLOOKUP(L$22,Tabla_Categorías,MATCH("Coste"&amp;$E121,Name_Tabla_Cat,FALSE),FALSE),0)</f>
        <v>0</v>
      </c>
      <c r="M121" s="1340"/>
      <c r="N121" s="1784">
        <f>IFERROR(VLOOKUP(N$22,Tabla_Categorías,MATCH("Coste"&amp;$E121,Name_Tabla_Cat,FALSE),FALSE),0)</f>
        <v>0</v>
      </c>
      <c r="O121" s="1340"/>
      <c r="P121" s="1784">
        <f>IFERROR(VLOOKUP(P$22,Tabla_Categorías,MATCH("Coste"&amp;$E121,Name_Tabla_Cat,FALSE),FALSE),0)</f>
        <v>0</v>
      </c>
      <c r="Q121" s="1340"/>
      <c r="R121" s="1784">
        <f>IFERROR(VLOOKUP(R$22,Tabla_Categorías,MATCH("Coste"&amp;$E121,Name_Tabla_Cat,FALSE),FALSE),0)</f>
        <v>0</v>
      </c>
      <c r="S121" s="1340"/>
      <c r="T121" s="1784">
        <f>IFERROR(VLOOKUP(T$22,Tabla_Categorías,MATCH("Coste"&amp;$E121,Name_Tabla_Cat,FALSE),FALSE),0)</f>
        <v>0</v>
      </c>
      <c r="U121" s="1340"/>
      <c r="V121" s="52">
        <f>IF(L121=0,0,TRUNC(M121/L121,0))+IF(N121=0,0,TRUNC(O121/N121,0))+IF(P121=0,0,TRUNC(Q121/P121,0))+IF(R121=0,0,TRUNC(S121/R121,0))+IF(T121=0,0,TRUNC(U121/T121,0))</f>
        <v>0</v>
      </c>
      <c r="W121" s="465" t="s">
        <v>1315</v>
      </c>
      <c r="X121" s="5116">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0</v>
      </c>
      <c r="Y121" s="5116"/>
      <c r="Z121" s="1965"/>
      <c r="AA121" s="61">
        <f>V121+Z121+X121</f>
        <v>0</v>
      </c>
      <c r="AB121" s="1546"/>
      <c r="AC121" s="769"/>
      <c r="AD121" s="2265">
        <f>IF(OR(Principal!C43="Con. psíquico innato (3)",Principal!C44="Con. psíquico innato (3)",Principal!C45="Con. psíquico innato (3)",Principal!C46="Con. psíquico innato (3)",Principal!C47="Con. psíquico innato (3)",Principal!C48="Con. psíquico innato (3)",Principal!C49="Con. psíquico innato (3)"),PRODUCT(15,R17),0)</f>
        <v>0</v>
      </c>
      <c r="AE121" s="2946">
        <f>IF(OR(Principal!C43="Con. psíquico innato (2)",Principal!C44="Con. psíquico innato (2)",Principal!C45="Con. psíquico innato (2)",Principal!C46="Con. psíquico innato (2)",Principal!C47="Con. psíquico innato (2)",Principal!C48="Con. psíquico innato (2)",Principal!C49="Con. psíquico innato (2)"),PRODUCT(10,R17),0)</f>
        <v>0</v>
      </c>
      <c r="AF121" s="3638">
        <f>IF(OR(Principal!C43="Con. psíquico innato (1)",Principal!C44="Con. psíquico innato (1)",Principal!C45="Con. psíquico innato (1)",Principal!C46="Con. psíquico innato (1)",Principal!C47="Con. psíquico innato (1)",Principal!C48="Con. psíquico innato (1)",Principal!C49="Con. psíquico innato (1)"),PRODUCT(R17,5),0)</f>
        <v>0</v>
      </c>
      <c r="AG121" s="4284"/>
      <c r="AH121" s="3632"/>
      <c r="AI121" s="3632"/>
      <c r="AJ121" s="3632"/>
      <c r="AK121" s="3632"/>
      <c r="AL121" s="628"/>
      <c r="AM121" s="628"/>
      <c r="AN121" s="628"/>
      <c r="AO121" s="2265"/>
      <c r="AP121" s="628"/>
      <c r="AQ121" s="628"/>
      <c r="AR121" s="628"/>
      <c r="AS121" s="628"/>
      <c r="AT121" s="628"/>
      <c r="AU121" s="628"/>
      <c r="AV121" s="628"/>
      <c r="AW121" s="628"/>
      <c r="AX121" s="628"/>
      <c r="AY121" s="628"/>
      <c r="AZ121" s="628"/>
      <c r="BA121" s="628"/>
      <c r="BB121" s="628"/>
      <c r="BC121" s="628"/>
      <c r="BD121" s="2616"/>
      <c r="BE121" s="2616"/>
      <c r="BF121" s="2616"/>
      <c r="BG121" s="2616"/>
      <c r="BH121" s="2616"/>
      <c r="BI121" s="2616"/>
      <c r="BJ121" s="2616"/>
      <c r="BK121" s="2616"/>
      <c r="BL121" s="2616"/>
      <c r="BM121" s="2616"/>
      <c r="BN121" s="2616"/>
      <c r="BO121" s="2616"/>
      <c r="BP121" s="2616"/>
      <c r="BQ121" s="2616"/>
      <c r="BR121" s="2616"/>
      <c r="BS121" s="2616"/>
      <c r="BT121" s="2616"/>
      <c r="BU121" s="2616"/>
      <c r="BV121" s="2616"/>
      <c r="BW121" s="2616"/>
      <c r="BX121" s="2616"/>
    </row>
    <row r="122" spans="1:76" s="14" customFormat="1" ht="12" customHeight="1">
      <c r="A122" s="29"/>
      <c r="B122" s="753"/>
      <c r="C122" s="5376"/>
      <c r="D122" s="5385"/>
      <c r="E122" s="4972" t="s">
        <v>1382</v>
      </c>
      <c r="F122" s="4972"/>
      <c r="G122" s="4972"/>
      <c r="H122" s="4972"/>
      <c r="I122" s="4972"/>
      <c r="J122" s="4972"/>
      <c r="K122" s="5025"/>
      <c r="L122" s="1786">
        <f>IFERROR(VLOOKUP(L$22,Tabla_Categorías,MATCH("Coste"&amp;$E122,Name_Tabla_Cat,FALSE),FALSE),0)</f>
        <v>0</v>
      </c>
      <c r="M122" s="1352"/>
      <c r="N122" s="1786">
        <f>IFERROR(VLOOKUP(N$22,Tabla_Categorías,MATCH("Coste"&amp;$E122,Name_Tabla_Cat,FALSE),FALSE),0)</f>
        <v>0</v>
      </c>
      <c r="O122" s="1352"/>
      <c r="P122" s="1786">
        <f>IFERROR(VLOOKUP(P$22,Tabla_Categorías,MATCH("Coste"&amp;$E122,Name_Tabla_Cat,FALSE),FALSE),0)</f>
        <v>0</v>
      </c>
      <c r="Q122" s="1352"/>
      <c r="R122" s="1786">
        <f>IFERROR(VLOOKUP(R$22,Tabla_Categorías,MATCH("Coste"&amp;$E122,Name_Tabla_Cat,FALSE),FALSE),0)</f>
        <v>0</v>
      </c>
      <c r="S122" s="1352"/>
      <c r="T122" s="1786">
        <f>IFERROR(VLOOKUP(T$22,Tabla_Categorías,MATCH("Coste"&amp;$E122,Name_Tabla_Cat,FALSE),FALSE),0)</f>
        <v>0</v>
      </c>
      <c r="U122" s="1352"/>
      <c r="V122" s="2709">
        <f>IF(L122=0,0,TRUNC(M122/L122,0))+IF(N122=0,0,TRUNC(O122/N122,0))+IF(P122=0,0,TRUNC(Q122/P122,0))+IF(R122=0,0,TRUNC(S122/R122,0))+IF(T122=0,0,TRUNC(U122/T122,0))</f>
        <v>0</v>
      </c>
      <c r="W122" s="2710">
        <f>Bono_Des</f>
        <v>0</v>
      </c>
      <c r="X122" s="5117" t="s">
        <v>1315</v>
      </c>
      <c r="Y122" s="5117"/>
      <c r="Z122" s="2711"/>
      <c r="AA122" s="2713">
        <f>V122+W122+Z122+Mod_ATA</f>
        <v>0</v>
      </c>
      <c r="AB122" s="1546"/>
      <c r="AC122" s="769"/>
      <c r="AD122" s="2265">
        <f>SUM(AD121:AF121)</f>
        <v>0</v>
      </c>
      <c r="AE122" s="2946">
        <f>Principal!$AQ$15</f>
        <v>0</v>
      </c>
      <c r="AF122" s="3638"/>
      <c r="AG122" s="4284"/>
      <c r="AH122" s="3632"/>
      <c r="AI122" s="3632"/>
      <c r="AJ122" s="3632"/>
      <c r="AK122" s="3632"/>
      <c r="AL122" s="628"/>
      <c r="AM122" s="628"/>
      <c r="AN122" s="628"/>
      <c r="AO122" s="2265"/>
      <c r="AP122" s="628"/>
      <c r="AQ122" s="628"/>
      <c r="AR122" s="628"/>
      <c r="AS122" s="628"/>
      <c r="AT122" s="628"/>
      <c r="AU122" s="628"/>
      <c r="AV122" s="628"/>
      <c r="AW122" s="628"/>
      <c r="AX122" s="628"/>
      <c r="AY122" s="628"/>
      <c r="AZ122" s="628"/>
      <c r="BA122" s="628"/>
      <c r="BB122" s="628"/>
      <c r="BC122" s="628"/>
      <c r="BD122" s="2616"/>
      <c r="BE122" s="2616"/>
      <c r="BF122" s="2616"/>
      <c r="BG122" s="2616"/>
      <c r="BH122" s="2616"/>
      <c r="BI122" s="2616"/>
      <c r="BJ122" s="2616"/>
      <c r="BK122" s="2616"/>
      <c r="BL122" s="2616"/>
      <c r="BM122" s="2616"/>
      <c r="BN122" s="2616"/>
      <c r="BO122" s="2616"/>
      <c r="BP122" s="2616"/>
      <c r="BQ122" s="2616"/>
      <c r="BR122" s="2616"/>
      <c r="BS122" s="2616"/>
      <c r="BT122" s="2616"/>
      <c r="BU122" s="2616"/>
      <c r="BV122" s="2616"/>
      <c r="BW122" s="2616"/>
      <c r="BX122" s="2616"/>
    </row>
    <row r="123" spans="1:76" s="14" customFormat="1" ht="12" customHeight="1">
      <c r="A123" s="29"/>
      <c r="B123" s="753"/>
      <c r="C123" s="5376"/>
      <c r="D123" s="5386"/>
      <c r="E123" s="5026" t="s">
        <v>10049</v>
      </c>
      <c r="F123" s="5027"/>
      <c r="G123" s="5027"/>
      <c r="H123" s="5027"/>
      <c r="I123" s="5027"/>
      <c r="J123" s="5027"/>
      <c r="K123" s="5027"/>
      <c r="L123" s="2717">
        <v>5</v>
      </c>
      <c r="M123" s="3732"/>
      <c r="N123" s="3693">
        <v>5</v>
      </c>
      <c r="O123" s="3732"/>
      <c r="P123" s="3693">
        <v>5</v>
      </c>
      <c r="Q123" s="3732"/>
      <c r="R123" s="3693">
        <v>5</v>
      </c>
      <c r="S123" s="3732"/>
      <c r="T123" s="3693">
        <v>5</v>
      </c>
      <c r="U123" s="3732"/>
      <c r="V123" s="2716">
        <f>M123+O123+Q123+S123+U123</f>
        <v>0</v>
      </c>
      <c r="W123" s="2715">
        <f>IF(AE122=0,0,VLOOKUP(AE122,Tabla_NivelPsiquico,2))+AD122+W119+X119+Z119+Y119</f>
        <v>0</v>
      </c>
      <c r="X123" s="5176">
        <f>IF(Tablas!G473&gt;0,5*Nivel_Total,0)</f>
        <v>0</v>
      </c>
      <c r="Y123" s="5176"/>
      <c r="Z123" s="2712"/>
      <c r="AA123" s="2714">
        <f>V123+Z123+X123+W123</f>
        <v>0</v>
      </c>
      <c r="AB123" s="1546"/>
      <c r="AC123" s="769"/>
      <c r="AD123" s="2265"/>
      <c r="AE123" s="3632"/>
      <c r="AF123" s="3633"/>
      <c r="AG123" s="4284"/>
      <c r="AH123" s="3632"/>
      <c r="AI123" s="3632"/>
      <c r="AJ123" s="3632"/>
      <c r="AK123" s="3632"/>
      <c r="AL123" s="628"/>
      <c r="AM123" s="628"/>
      <c r="AN123" s="628"/>
      <c r="AO123" s="2265"/>
      <c r="AP123" s="628"/>
      <c r="AQ123" s="628"/>
      <c r="AR123" s="628"/>
      <c r="AS123" s="628"/>
      <c r="AT123" s="628"/>
      <c r="AU123" s="628"/>
      <c r="AV123" s="628"/>
      <c r="AW123" s="628"/>
      <c r="AX123" s="628"/>
      <c r="AY123" s="628"/>
      <c r="AZ123" s="628"/>
      <c r="BA123" s="628"/>
      <c r="BB123" s="628"/>
      <c r="BC123" s="628"/>
      <c r="BD123" s="2616"/>
      <c r="BE123" s="2616"/>
      <c r="BF123" s="2616"/>
      <c r="BG123" s="2616"/>
      <c r="BH123" s="2616"/>
      <c r="BI123" s="2616"/>
      <c r="BJ123" s="2616"/>
      <c r="BK123" s="2616"/>
      <c r="BL123" s="2616"/>
      <c r="BM123" s="2616"/>
      <c r="BN123" s="2616"/>
      <c r="BO123" s="2616"/>
      <c r="BP123" s="2616"/>
      <c r="BQ123" s="2616"/>
      <c r="BR123" s="2616"/>
      <c r="BS123" s="2616"/>
      <c r="BT123" s="2616"/>
      <c r="BU123" s="2616"/>
      <c r="BV123" s="2616"/>
      <c r="BW123" s="2616"/>
      <c r="BX123" s="2616"/>
    </row>
    <row r="124" spans="1:76" s="14" customFormat="1" ht="12" customHeight="1">
      <c r="A124" s="29"/>
      <c r="B124" s="753"/>
      <c r="C124" s="5376"/>
      <c r="D124" s="2706" t="s">
        <v>1378</v>
      </c>
      <c r="E124" s="5028"/>
      <c r="F124" s="5029"/>
      <c r="G124" s="5029"/>
      <c r="H124" s="5029"/>
      <c r="I124" s="5029"/>
      <c r="J124" s="5029"/>
      <c r="K124" s="5030"/>
      <c r="L124" s="2708">
        <f>IF($E124=0,0,VLOOKUP($E124,Tabla_TablasSobrenat,2))</f>
        <v>0</v>
      </c>
      <c r="M124" s="2707"/>
      <c r="N124" s="2708">
        <f>IF($E124=0,0,VLOOKUP($E124,Tabla_TablasSobrenat,2))</f>
        <v>0</v>
      </c>
      <c r="O124" s="2707"/>
      <c r="P124" s="2708">
        <f>IF($E124=0,0,VLOOKUP($E124,Tabla_TablasSobrenat,2))</f>
        <v>0</v>
      </c>
      <c r="Q124" s="2707"/>
      <c r="R124" s="2708">
        <f>IF($E124=0,0,VLOOKUP($E124,Tabla_TablasSobrenat,2))</f>
        <v>0</v>
      </c>
      <c r="S124" s="2707"/>
      <c r="T124" s="2708">
        <f>IF($E124=0,0,VLOOKUP($E124,Tabla_TablasSobrenat,2))</f>
        <v>0</v>
      </c>
      <c r="U124" s="2707"/>
      <c r="V124" s="5113" t="str">
        <f>IF($E124=0,"",VLOOKUP($E124,Tabla_TablasSobrenat,3))</f>
        <v/>
      </c>
      <c r="W124" s="5114" t="e">
        <f>IF($E123=0,0,VLOOKUP($E123,Tabla_TablasSobrenat,2))</f>
        <v>#N/A</v>
      </c>
      <c r="X124" s="5114" t="e">
        <f>IF($E123=0,0,VLOOKUP($E123,Tabla_TablasSobrenat,2))</f>
        <v>#N/A</v>
      </c>
      <c r="Y124" s="5114" t="e">
        <f>IF($E123=0,0,VLOOKUP($E123,Tabla_TablasSobrenat,2))</f>
        <v>#N/A</v>
      </c>
      <c r="Z124" s="5114" t="e">
        <f>IF($E123=0,0,VLOOKUP($E123,Tabla_TablasSobrenat,2))</f>
        <v>#N/A</v>
      </c>
      <c r="AA124" s="5115" t="e">
        <f>IF($E123=0,0,VLOOKUP($E123,Tabla_TablasSobrenat,2))</f>
        <v>#N/A</v>
      </c>
      <c r="AB124" s="1546"/>
      <c r="AC124" s="769"/>
      <c r="AD124" s="4283"/>
      <c r="AE124" s="4284"/>
      <c r="AF124" s="4285"/>
      <c r="AG124" s="4284"/>
      <c r="AH124" s="3632"/>
      <c r="AI124" s="3632"/>
      <c r="AJ124" s="3632"/>
      <c r="AK124" s="3632"/>
      <c r="AL124" s="628"/>
      <c r="AM124" s="628"/>
      <c r="AN124" s="628"/>
      <c r="AO124" s="2265"/>
      <c r="AP124" s="628"/>
      <c r="AQ124" s="628"/>
      <c r="AR124" s="628"/>
      <c r="AS124" s="628"/>
      <c r="AT124" s="628"/>
      <c r="AU124" s="628"/>
      <c r="AV124" s="628"/>
      <c r="AW124" s="628"/>
      <c r="AX124" s="628"/>
      <c r="AY124" s="628"/>
      <c r="AZ124" s="628"/>
      <c r="BA124" s="628"/>
      <c r="BB124" s="628"/>
      <c r="BC124" s="628"/>
      <c r="BD124" s="2616"/>
      <c r="BE124" s="2616"/>
      <c r="BF124" s="2616"/>
      <c r="BG124" s="2616"/>
      <c r="BH124" s="2616"/>
      <c r="BI124" s="2616"/>
      <c r="BJ124" s="2616"/>
      <c r="BK124" s="2616"/>
      <c r="BL124" s="2616"/>
      <c r="BM124" s="2616"/>
      <c r="BN124" s="2616"/>
      <c r="BO124" s="2616"/>
      <c r="BP124" s="2616"/>
      <c r="BQ124" s="2616"/>
      <c r="BR124" s="2616"/>
      <c r="BS124" s="2616"/>
      <c r="BT124" s="2616"/>
      <c r="BU124" s="2616"/>
      <c r="BV124" s="2616"/>
      <c r="BW124" s="2616"/>
      <c r="BX124" s="2616"/>
    </row>
    <row r="125" spans="1:76" ht="12" customHeight="1">
      <c r="A125" s="29"/>
      <c r="B125" s="753"/>
      <c r="C125" s="5376"/>
      <c r="D125" s="5035" t="s">
        <v>1383</v>
      </c>
      <c r="E125" s="5031"/>
      <c r="F125" s="5032"/>
      <c r="G125" s="5032"/>
      <c r="H125" s="5032"/>
      <c r="I125" s="5032"/>
      <c r="J125" s="5032"/>
      <c r="K125" s="5033"/>
      <c r="L125" s="1765" t="str">
        <f>IF($E$125=0,"",VLOOKUP($E$125,Tablas!D1328:R1337,2,FALSE))</f>
        <v/>
      </c>
      <c r="M125" s="1348"/>
      <c r="N125" s="1765" t="str">
        <f>IF($E$125=0,"",VLOOKUP($E$125,Tablas!$D$1328:$R$1341,3,FALSE))</f>
        <v/>
      </c>
      <c r="O125" s="1348"/>
      <c r="P125" s="1765" t="str">
        <f>IF($E$125=0,"",VLOOKUP($E$125,Tablas!$D$1328:$R$1341,3,FALSE))</f>
        <v/>
      </c>
      <c r="Q125" s="1348"/>
      <c r="R125" s="1765" t="str">
        <f>IF($E$125=0,"",VLOOKUP($E$125,Tablas!$D$1328:$R$1341,3,FALSE))</f>
        <v/>
      </c>
      <c r="S125" s="1348"/>
      <c r="T125" s="1765" t="str">
        <f>IF($E$125=0,"",VLOOKUP($E$125,Tablas!$D$1328:$R$1341,3,FALSE))</f>
        <v/>
      </c>
      <c r="U125" s="1348"/>
      <c r="V125" s="5130" t="str">
        <f>IF(E125=0,"",VLOOKUP(E125,Tablas!$D$1328:$R$1341,4,FALSE))</f>
        <v/>
      </c>
      <c r="W125" s="5131"/>
      <c r="X125" s="5131"/>
      <c r="Y125" s="5131"/>
      <c r="Z125" s="58" t="s">
        <v>10031</v>
      </c>
      <c r="AA125" s="1325" t="str">
        <f>IF(E125=0,"",VLOOKUP(E125,Tablas!D1328:R1337,3,FALSE))</f>
        <v/>
      </c>
      <c r="AB125" s="1546"/>
      <c r="AC125" s="769"/>
      <c r="AD125" s="4283"/>
      <c r="AE125" s="4283"/>
      <c r="AF125" s="4285"/>
      <c r="AG125" s="4284"/>
      <c r="AH125" s="3632"/>
      <c r="AI125" s="3632"/>
      <c r="AJ125" s="3632"/>
      <c r="AK125" s="3632"/>
      <c r="AL125" s="628"/>
      <c r="AM125" s="628"/>
      <c r="AN125" s="628"/>
      <c r="AO125" s="2265"/>
      <c r="AP125" s="628"/>
      <c r="AQ125" s="530"/>
      <c r="AR125" s="530"/>
      <c r="AS125" s="530"/>
      <c r="AT125" s="530"/>
      <c r="AU125" s="530"/>
      <c r="AV125" s="530"/>
      <c r="AW125" s="530"/>
      <c r="AX125" s="530"/>
      <c r="AY125" s="530"/>
      <c r="AZ125" s="530"/>
      <c r="BA125" s="530"/>
      <c r="BB125" s="530"/>
      <c r="BC125" s="530"/>
      <c r="BD125" s="2617"/>
      <c r="BE125" s="2617"/>
      <c r="BF125" s="2617"/>
      <c r="BG125" s="2617"/>
      <c r="BH125" s="2617"/>
      <c r="BI125" s="2617"/>
      <c r="BJ125" s="2617"/>
      <c r="BK125" s="2617"/>
      <c r="BL125" s="2617"/>
      <c r="BM125" s="2617"/>
      <c r="BN125" s="2617"/>
      <c r="BO125" s="2617"/>
      <c r="BP125" s="2617"/>
      <c r="BQ125" s="2617"/>
      <c r="BR125" s="2617"/>
      <c r="BS125" s="2617"/>
      <c r="BT125" s="2617"/>
      <c r="BU125" s="2617"/>
      <c r="BV125" s="2617"/>
      <c r="BW125" s="2617"/>
      <c r="BX125" s="2617"/>
    </row>
    <row r="126" spans="1:76" ht="12" customHeight="1">
      <c r="A126" s="29"/>
      <c r="B126" s="753"/>
      <c r="C126" s="5376"/>
      <c r="D126" s="5035"/>
      <c r="E126" s="4978"/>
      <c r="F126" s="4979"/>
      <c r="G126" s="4979"/>
      <c r="H126" s="4979"/>
      <c r="I126" s="4979"/>
      <c r="J126" s="4979"/>
      <c r="K126" s="4980"/>
      <c r="L126" s="1771" t="str">
        <f>IF($E$126=0,"",VLOOKUP($E$126,Tablas!D1328:R1337,2,FALSE))</f>
        <v/>
      </c>
      <c r="M126" s="1373"/>
      <c r="N126" s="1771" t="str">
        <f>IF($E$126=0,"",VLOOKUP($E$126,Tablas!$D$1328:$R$1337,2,FALSE))</f>
        <v/>
      </c>
      <c r="O126" s="1373"/>
      <c r="P126" s="1771" t="str">
        <f>IF($E$126=0,"",VLOOKUP($E$126,Tablas!$D$1328:$R$1337,2,FALSE))</f>
        <v/>
      </c>
      <c r="Q126" s="1373"/>
      <c r="R126" s="1771" t="str">
        <f>IF($E$126=0,"",VLOOKUP($E$126,Tablas!$D$1328:$R$1337,2,FALSE))</f>
        <v/>
      </c>
      <c r="S126" s="1373"/>
      <c r="T126" s="1771" t="str">
        <f>IF($E$126=0,"",VLOOKUP($E$126,Tablas!$D$1328:$R$1337,2,FALSE))</f>
        <v/>
      </c>
      <c r="U126" s="1373"/>
      <c r="V126" s="5132" t="str">
        <f>IF(E126=0,"",VLOOKUP(E126,Tablas!$D$1328:$R$1341,4,FALSE))</f>
        <v/>
      </c>
      <c r="W126" s="5133"/>
      <c r="X126" s="5133"/>
      <c r="Y126" s="5133"/>
      <c r="Z126" s="59" t="s">
        <v>10031</v>
      </c>
      <c r="AA126" s="3570" t="str">
        <f>IF(E126=0,"",VLOOKUP(E126,Tablas!D1328:R1337,3,FALSE))</f>
        <v/>
      </c>
      <c r="AB126" s="1546"/>
      <c r="AC126" s="769"/>
      <c r="AD126" s="4283"/>
      <c r="AE126" s="4284"/>
      <c r="AF126" s="4285"/>
      <c r="AG126" s="4284"/>
      <c r="AH126" s="3632"/>
      <c r="AI126" s="3632"/>
      <c r="AJ126" s="3632"/>
      <c r="AK126" s="3632"/>
      <c r="AL126" s="628"/>
      <c r="AM126" s="628"/>
      <c r="AN126" s="628"/>
      <c r="AO126" s="2265"/>
      <c r="AP126" s="628"/>
      <c r="AQ126" s="530"/>
      <c r="AR126" s="530"/>
      <c r="AS126" s="530"/>
      <c r="AT126" s="530"/>
      <c r="AU126" s="530"/>
      <c r="AV126" s="530"/>
      <c r="AW126" s="530"/>
      <c r="AX126" s="530"/>
      <c r="AY126" s="530"/>
      <c r="AZ126" s="530"/>
      <c r="BA126" s="530"/>
      <c r="BB126" s="530"/>
      <c r="BC126" s="530"/>
      <c r="BD126" s="2617"/>
      <c r="BE126" s="2617"/>
      <c r="BF126" s="2617"/>
      <c r="BG126" s="2617"/>
      <c r="BH126" s="2617"/>
      <c r="BI126" s="2617"/>
      <c r="BJ126" s="2617"/>
      <c r="BK126" s="2617"/>
      <c r="BL126" s="2617"/>
      <c r="BM126" s="2617"/>
      <c r="BN126" s="2617"/>
      <c r="BO126" s="2617"/>
      <c r="BP126" s="2617"/>
      <c r="BQ126" s="2617"/>
      <c r="BR126" s="2617"/>
      <c r="BS126" s="2617"/>
      <c r="BT126" s="2617"/>
      <c r="BU126" s="2617"/>
      <c r="BV126" s="2617"/>
      <c r="BW126" s="2617"/>
      <c r="BX126" s="2617"/>
    </row>
    <row r="127" spans="1:76" ht="12" customHeight="1">
      <c r="A127" s="29"/>
      <c r="B127" s="753"/>
      <c r="C127" s="5376"/>
      <c r="D127" s="5035"/>
      <c r="E127" s="5031"/>
      <c r="F127" s="5032"/>
      <c r="G127" s="5032"/>
      <c r="H127" s="5032"/>
      <c r="I127" s="5032"/>
      <c r="J127" s="5032"/>
      <c r="K127" s="5033"/>
      <c r="L127" s="1765" t="str">
        <f>IF($E$127=0,"",VLOOKUP($E$127,Tablas!D1328:R1337,2,FALSE))</f>
        <v/>
      </c>
      <c r="M127" s="1348"/>
      <c r="N127" s="1765" t="str">
        <f>IF($E$127=0,"",VLOOKUP($E$127,Tablas!$D$1328:$R$1337,2,FALSE))</f>
        <v/>
      </c>
      <c r="O127" s="1348"/>
      <c r="P127" s="1765" t="str">
        <f>IF($E$127=0,"",VLOOKUP($E$127,Tablas!$D$1328:$R$1337,2,FALSE))</f>
        <v/>
      </c>
      <c r="Q127" s="1348"/>
      <c r="R127" s="1765" t="str">
        <f>IF($E$127=0,"",VLOOKUP($E$127,Tablas!$D$1328:$R$1337,2,FALSE))</f>
        <v/>
      </c>
      <c r="S127" s="1348"/>
      <c r="T127" s="1765" t="str">
        <f>IF($E$127=0,"",VLOOKUP($E$127,Tablas!$D$1328:$R$1337,2,FALSE))</f>
        <v/>
      </c>
      <c r="U127" s="1348"/>
      <c r="V127" s="5134" t="str">
        <f>IF(E127=0,"",VLOOKUP(E127,Tablas!$D$1328:$R$1341,4,FALSE))</f>
        <v/>
      </c>
      <c r="W127" s="5135"/>
      <c r="X127" s="5135"/>
      <c r="Y127" s="5135"/>
      <c r="Z127" s="58" t="s">
        <v>10031</v>
      </c>
      <c r="AA127" s="1325" t="str">
        <f>IF(E126=0,"",VLOOKUP(E126,Tablas!D1328:R1337,3,FALSE))</f>
        <v/>
      </c>
      <c r="AB127" s="1546"/>
      <c r="AC127" s="769"/>
      <c r="AD127" s="4283"/>
      <c r="AE127" s="4284"/>
      <c r="AF127" s="4285"/>
      <c r="AG127" s="4284"/>
      <c r="AH127" s="3632"/>
      <c r="AI127" s="3632"/>
      <c r="AJ127" s="3632"/>
      <c r="AK127" s="3632"/>
      <c r="AL127" s="628"/>
      <c r="AM127" s="628"/>
      <c r="AN127" s="628"/>
      <c r="AO127" s="2265"/>
      <c r="AP127" s="628"/>
      <c r="AQ127" s="530"/>
      <c r="AR127" s="530"/>
      <c r="AS127" s="530"/>
      <c r="AT127" s="530"/>
      <c r="AU127" s="530"/>
      <c r="AV127" s="530"/>
      <c r="AW127" s="530"/>
      <c r="AX127" s="530"/>
      <c r="AY127" s="530"/>
      <c r="AZ127" s="530"/>
      <c r="BA127" s="530"/>
      <c r="BB127" s="530"/>
      <c r="BC127" s="530"/>
      <c r="BD127" s="2617"/>
      <c r="BE127" s="2617"/>
      <c r="BF127" s="2617"/>
      <c r="BG127" s="2617"/>
      <c r="BH127" s="2617"/>
      <c r="BI127" s="2617"/>
      <c r="BJ127" s="2617"/>
      <c r="BK127" s="2617"/>
      <c r="BL127" s="2617"/>
      <c r="BM127" s="2617"/>
      <c r="BN127" s="2617"/>
      <c r="BO127" s="2617"/>
      <c r="BP127" s="2617"/>
      <c r="BQ127" s="2617"/>
      <c r="BR127" s="2617"/>
      <c r="BS127" s="2617"/>
      <c r="BT127" s="2617"/>
      <c r="BU127" s="2617"/>
      <c r="BV127" s="2617"/>
      <c r="BW127" s="2617"/>
      <c r="BX127" s="2617"/>
    </row>
    <row r="128" spans="1:76" ht="12" customHeight="1">
      <c r="A128" s="29"/>
      <c r="B128" s="753"/>
      <c r="C128" s="5376"/>
      <c r="D128" s="5035"/>
      <c r="E128" s="4978"/>
      <c r="F128" s="4979"/>
      <c r="G128" s="4979"/>
      <c r="H128" s="4979"/>
      <c r="I128" s="4979"/>
      <c r="J128" s="4979"/>
      <c r="K128" s="4980"/>
      <c r="L128" s="1771" t="str">
        <f>IF($E$128=0,"",VLOOKUP($E$128,Tablas!D1328:R1337,2,FALSE))</f>
        <v/>
      </c>
      <c r="M128" s="1373"/>
      <c r="N128" s="1771" t="str">
        <f>IF($E$128=0,"",VLOOKUP($E$128,Tablas!$D$1328:$R$1337,2,FALSE))</f>
        <v/>
      </c>
      <c r="O128" s="1373"/>
      <c r="P128" s="1771" t="str">
        <f>IF($E$128=0,"",VLOOKUP($E$128,Tablas!$D$1328:$R$1337,2,FALSE))</f>
        <v/>
      </c>
      <c r="Q128" s="1373"/>
      <c r="R128" s="1771" t="str">
        <f>IF($E$128=0,"",VLOOKUP($E$128,Tablas!$D$1328:$R$1337,2,FALSE))</f>
        <v/>
      </c>
      <c r="S128" s="1373"/>
      <c r="T128" s="1771" t="str">
        <f>IF($E$128=0,"",VLOOKUP($E$128,Tablas!$D$1328:$R$1337,2,FALSE))</f>
        <v/>
      </c>
      <c r="U128" s="1373"/>
      <c r="V128" s="5132" t="str">
        <f>IF(E128=0,"",VLOOKUP(E128,Tablas!$D$1328:$R$1341,4,FALSE))</f>
        <v/>
      </c>
      <c r="W128" s="5133"/>
      <c r="X128" s="5133"/>
      <c r="Y128" s="5133"/>
      <c r="Z128" s="59" t="s">
        <v>10031</v>
      </c>
      <c r="AA128" s="3570" t="str">
        <f>IF(E126=0,"",VLOOKUP(E126,Tablas!D1328:R1337,3,FALSE))</f>
        <v/>
      </c>
      <c r="AB128" s="1546"/>
      <c r="AC128" s="769"/>
      <c r="AD128" s="2265" t="s">
        <v>9764</v>
      </c>
      <c r="AE128" s="3632" t="s">
        <v>9765</v>
      </c>
      <c r="AF128" s="3633" t="s">
        <v>9766</v>
      </c>
      <c r="AG128" s="3632"/>
      <c r="AH128" s="3632"/>
      <c r="AI128" s="3632"/>
      <c r="AJ128" s="3632"/>
      <c r="AK128" s="3632"/>
      <c r="AL128" s="628"/>
      <c r="AM128" s="628"/>
      <c r="AN128" s="628"/>
      <c r="AO128" s="2265"/>
      <c r="AP128" s="628"/>
      <c r="AQ128" s="530"/>
      <c r="AR128" s="530"/>
      <c r="AS128" s="530"/>
      <c r="AT128" s="530"/>
      <c r="AU128" s="530"/>
      <c r="AV128" s="530"/>
      <c r="AW128" s="530"/>
      <c r="AX128" s="530"/>
      <c r="AY128" s="530"/>
      <c r="AZ128" s="530"/>
      <c r="BA128" s="530"/>
      <c r="BB128" s="530"/>
      <c r="BC128" s="530"/>
      <c r="BD128" s="2617"/>
      <c r="BE128" s="2617"/>
      <c r="BF128" s="2617"/>
      <c r="BG128" s="2617"/>
      <c r="BH128" s="2617"/>
      <c r="BI128" s="2617"/>
      <c r="BJ128" s="2617"/>
      <c r="BK128" s="2617"/>
      <c r="BL128" s="2617"/>
      <c r="BM128" s="2617"/>
      <c r="BN128" s="2617"/>
      <c r="BO128" s="2617"/>
      <c r="BP128" s="2617"/>
      <c r="BQ128" s="2617"/>
      <c r="BR128" s="2617"/>
      <c r="BS128" s="2617"/>
      <c r="BT128" s="2617"/>
      <c r="BU128" s="2617"/>
      <c r="BV128" s="2617"/>
      <c r="BW128" s="2617"/>
      <c r="BX128" s="2617"/>
    </row>
    <row r="129" spans="1:76" ht="12" customHeight="1">
      <c r="A129" s="29"/>
      <c r="B129" s="753"/>
      <c r="C129" s="5376"/>
      <c r="D129" s="5383"/>
      <c r="E129" s="4975"/>
      <c r="F129" s="4976"/>
      <c r="G129" s="4976"/>
      <c r="H129" s="4976"/>
      <c r="I129" s="4976"/>
      <c r="J129" s="4976"/>
      <c r="K129" s="4977"/>
      <c r="L129" s="1765" t="str">
        <f>IF($E$129=0,"",VLOOKUP($E$129,Tablas!D1328:R1337,2,FALSE))</f>
        <v/>
      </c>
      <c r="M129" s="1348"/>
      <c r="N129" s="1765" t="str">
        <f>IF($E$129=0,"",VLOOKUP($E$129,Tablas!$D$1328:$R$1337,2,FALSE))</f>
        <v/>
      </c>
      <c r="O129" s="1348"/>
      <c r="P129" s="1765" t="str">
        <f>IF($E$129=0,"",VLOOKUP($E$129,Tablas!$D$1328:$R$1337,2,FALSE))</f>
        <v/>
      </c>
      <c r="Q129" s="1348"/>
      <c r="R129" s="1765" t="str">
        <f>IF($E$129=0,"",VLOOKUP($E$129,Tablas!$D$1328:$R$1337,2,FALSE))</f>
        <v/>
      </c>
      <c r="S129" s="1348"/>
      <c r="T129" s="1765" t="str">
        <f>IF($E$129=0,"",VLOOKUP($E$129,Tablas!$D$1328:$R$1337,2,FALSE))</f>
        <v/>
      </c>
      <c r="U129" s="1348"/>
      <c r="V129" s="5136" t="str">
        <f>IF(E129=0,"",VLOOKUP(E129,Tablas!$D$1328:$R$1341,4,FALSE))</f>
        <v/>
      </c>
      <c r="W129" s="5137"/>
      <c r="X129" s="5137"/>
      <c r="Y129" s="5137"/>
      <c r="Z129" s="2725" t="s">
        <v>10031</v>
      </c>
      <c r="AA129" s="3595" t="str">
        <f>IF(E126=0,"",VLOOKUP(E126,Tablas!D1328:R1337,3,FALSE))</f>
        <v/>
      </c>
      <c r="AB129" s="1546"/>
      <c r="AC129" s="769"/>
      <c r="AD129" s="2265"/>
      <c r="AE129" s="3632"/>
      <c r="AF129" s="3633"/>
      <c r="AG129" s="3633"/>
      <c r="AH129" s="3632"/>
      <c r="AI129" s="3632"/>
      <c r="AJ129" s="3632"/>
      <c r="AK129" s="3632"/>
      <c r="AL129" s="628"/>
      <c r="AM129" s="628"/>
      <c r="AN129" s="628"/>
      <c r="AO129" s="2265"/>
      <c r="AP129" s="628"/>
      <c r="AQ129" s="530"/>
      <c r="AR129" s="530"/>
      <c r="AS129" s="530"/>
      <c r="AT129" s="530"/>
      <c r="AU129" s="530"/>
      <c r="AV129" s="530"/>
      <c r="AW129" s="530"/>
      <c r="AX129" s="530"/>
      <c r="AY129" s="530"/>
      <c r="AZ129" s="530"/>
      <c r="BA129" s="530"/>
      <c r="BB129" s="530"/>
      <c r="BC129" s="530"/>
      <c r="BD129" s="2617"/>
      <c r="BE129" s="2617"/>
      <c r="BF129" s="2617"/>
      <c r="BG129" s="2617"/>
      <c r="BH129" s="2617"/>
      <c r="BI129" s="2617"/>
      <c r="BJ129" s="2617"/>
      <c r="BK129" s="2617"/>
      <c r="BL129" s="2617"/>
      <c r="BM129" s="2617"/>
      <c r="BN129" s="2617"/>
      <c r="BO129" s="2617"/>
      <c r="BP129" s="2617"/>
      <c r="BQ129" s="2617"/>
      <c r="BR129" s="2617"/>
      <c r="BS129" s="2617"/>
      <c r="BT129" s="2617"/>
      <c r="BU129" s="2617"/>
      <c r="BV129" s="2617"/>
      <c r="BW129" s="2617"/>
      <c r="BX129" s="2617"/>
    </row>
    <row r="130" spans="1:76" ht="12" customHeight="1">
      <c r="A130" s="29"/>
      <c r="B130" s="753"/>
      <c r="C130" s="5376"/>
      <c r="D130" s="5381" t="s">
        <v>10030</v>
      </c>
      <c r="E130" s="5387"/>
      <c r="F130" s="5388"/>
      <c r="G130" s="5388"/>
      <c r="H130" s="5388"/>
      <c r="I130" s="5388"/>
      <c r="J130" s="5388"/>
      <c r="K130" s="5389"/>
      <c r="L130" s="2791" t="str">
        <f>IF(OR(L22="Mentalista (C)",L22="Mentalista (F)",L22="Hechicero Ment. (C)",L22="Hechicero Ment. (F)"),IF(OR($E$130="",L$22=""),"",VLOOKUP($E$130,Tabla_ArsCognitiam,3,FALSE)*2),IF(OR($E$130="",L$22=""),"",VLOOKUP($E$130,Tabla_ArsCognitiam,3,FALSE)))</f>
        <v/>
      </c>
      <c r="M130" s="3706"/>
      <c r="N130" s="2791" t="str">
        <f>IF(OR(N22="Mentalista (C)",N22="Mentalista (F)",N22="Hechicero Ment. (C)",N22="Hechicero Ment. (F)"),IF(OR($E$130="",N$22=""),"",VLOOKUP($E$130,Tabla_ArsCognitiam,3,FALSE)*2),IF(OR($E$130="",N$22=""),"",VLOOKUP($E$130,Tabla_ArsCognitiam,3,FALSE)))</f>
        <v/>
      </c>
      <c r="O130" s="2720"/>
      <c r="P130" s="2791" t="str">
        <f>IF(OR(P22="Mentalista (C)",P22="Mentalista (F)",P22="Hechicero Ment. (C)",P22="Hechicero Ment. (F)"),IF(OR($E$130="",P$22=""),"",VLOOKUP($E$130,Tabla_ArsCognitiam,3,FALSE)*2),IF(OR($E$130="",P$22=""),"",VLOOKUP($E$130,Tabla_ArsCognitiam,3,FALSE)))</f>
        <v/>
      </c>
      <c r="Q130" s="2720"/>
      <c r="R130" s="2791" t="str">
        <f>IF(OR(R22="Mentalista (C)",R22="Mentalista (F)",R22="Hechicero Ment. (C)",R22="Hechicero Ment. (F)"),IF(OR($E$130="",R$22=""),"",VLOOKUP($E$130,Tabla_ArsCognitiam,3,FALSE)*2),IF(OR($E$130="",R$22=""),"",VLOOKUP($E$130,Tabla_ArsCognitiam,3,FALSE)))</f>
        <v/>
      </c>
      <c r="S130" s="2720"/>
      <c r="T130" s="2791" t="str">
        <f>IF(OR(T22="Mentalista (C)",T22="Mentalista (F)",T22="Hechicero Ment. (C)",T22="Hechicero Ment. (F)"),IF(OR($E$130="",T$22=""),"",VLOOKUP($E$130,Tabla_ArsCognitiam,3,FALSE)*2),IF(OR($E$130="",T$22=""),"",VLOOKUP($E$130,Tabla_ArsCognitiam,3,FALSE)))</f>
        <v/>
      </c>
      <c r="U130" s="2721"/>
      <c r="V130" s="5119" t="str">
        <f>IF(E130="","",VLOOKUP(E130,Tabla_ArsCognitiam,12,FALSE))</f>
        <v/>
      </c>
      <c r="W130" s="5120"/>
      <c r="X130" s="5120"/>
      <c r="Y130" s="5120"/>
      <c r="Z130" s="2695" t="s">
        <v>10031</v>
      </c>
      <c r="AA130" s="497">
        <f>IF(E130="",0,VLOOKUP(E130,Tabla_ArsCognitiam,4,FALSE))</f>
        <v>0</v>
      </c>
      <c r="AB130" s="1546"/>
      <c r="AC130" s="769"/>
      <c r="AD130" s="2265" t="e">
        <f>VLOOKUP(E125,Tablas!$D$1328:$R$1341,5,FALSE)</f>
        <v>#N/A</v>
      </c>
      <c r="AE130" s="3632" t="str">
        <f>IF(ISNUMBER(FIND("Cancelación:",E125)),SUBSTITUTE(E125,"Cancelación: ",""),"")</f>
        <v/>
      </c>
      <c r="AF130" s="3633" t="b">
        <f>AND(COUNTIF($E$125:$E125,AD130)&gt;0,COUNTIF($E$125:$E125,"Cancelación: "&amp;AD130)=0)</f>
        <v>0</v>
      </c>
      <c r="AG130" s="3632" t="b">
        <f>OR(COUNTIF($E$125:$E125,E125)&lt;&gt;COUNTIF($E$125:$E125,"Cancelación: "&amp;E126),AF130,IF(AE130="",FALSE,COUNTIF($E$125:$E125,AE130)=0))</f>
        <v>0</v>
      </c>
      <c r="AH130" s="3632"/>
      <c r="AI130" s="3632"/>
      <c r="AJ130" s="3632"/>
      <c r="AK130" s="3632"/>
      <c r="AL130" s="628"/>
      <c r="AM130" s="628"/>
      <c r="AN130" s="628"/>
      <c r="AO130" s="2265"/>
      <c r="AP130" s="628"/>
      <c r="AQ130" s="530"/>
      <c r="AR130" s="530"/>
      <c r="AS130" s="530"/>
      <c r="AT130" s="530"/>
      <c r="AU130" s="530"/>
      <c r="AV130" s="530"/>
      <c r="AW130" s="530"/>
      <c r="AX130" s="530"/>
      <c r="AY130" s="530"/>
      <c r="AZ130" s="530"/>
      <c r="BA130" s="530"/>
      <c r="BB130" s="530"/>
      <c r="BC130" s="530"/>
      <c r="BD130" s="2617"/>
      <c r="BE130" s="2617"/>
      <c r="BF130" s="2617"/>
      <c r="BG130" s="2617"/>
      <c r="BH130" s="2617"/>
      <c r="BI130" s="2617"/>
      <c r="BJ130" s="2617"/>
      <c r="BK130" s="2617"/>
      <c r="BL130" s="2617"/>
      <c r="BM130" s="2617"/>
      <c r="BN130" s="2617"/>
      <c r="BO130" s="2617"/>
      <c r="BP130" s="2617"/>
      <c r="BQ130" s="2617"/>
      <c r="BR130" s="2617"/>
      <c r="BS130" s="2617"/>
      <c r="BT130" s="2617"/>
      <c r="BU130" s="2617"/>
      <c r="BV130" s="2617"/>
      <c r="BW130" s="2617"/>
      <c r="BX130" s="2617"/>
    </row>
    <row r="131" spans="1:76" ht="12" customHeight="1">
      <c r="A131" s="29"/>
      <c r="B131" s="753"/>
      <c r="C131" s="5376"/>
      <c r="D131" s="5211"/>
      <c r="E131" s="5390"/>
      <c r="F131" s="5391"/>
      <c r="G131" s="5391"/>
      <c r="H131" s="5391"/>
      <c r="I131" s="5391"/>
      <c r="J131" s="5391"/>
      <c r="K131" s="5392"/>
      <c r="L131" s="2792" t="str">
        <f>IF(OR(L22="Mentalista (C)",L22="Mentalista (F)",L22="Hechicero Ment. (C)",L22="Hechicero Ment. (F)"),IF(OR($E$131="",L$22=""),"",VLOOKUP($E$131,Tabla_ArsCognitiam,3,FALSE)*2),IF(OR($E$131="",L$22=""),"",VLOOKUP($E$131,Tabla_ArsCognitiam,3,FALSE)))</f>
        <v/>
      </c>
      <c r="M131" s="3701"/>
      <c r="N131" s="2792" t="str">
        <f>IF(OR(N22="Mentalista (C)",N22="Mentalista (F)",N22="Hechicero Ment. (C)",N22="Hechicero Ment. (F)"),IF(OR($E$131="",N$22=""),"",VLOOKUP($E$131,Tabla_ArsCognitiam,3,FALSE)*2),IF(OR($E$131="",N$22=""),"",VLOOKUP($E$131,Tabla_ArsCognitiam,3,FALSE)))</f>
        <v/>
      </c>
      <c r="O131" s="2719"/>
      <c r="P131" s="2792" t="str">
        <f>IF(OR(P22="Mentalista (C)",P22="Mentalista (F)",P22="Hechicero Ment. (C)",P22="Hechicero Ment. (F)"),IF(OR($E$131="",P$22=""),"",VLOOKUP($E$131,Tabla_ArsCognitiam,3,FALSE)*2),IF(OR($E$131="",P$22=""),"",VLOOKUP($E$131,Tabla_ArsCognitiam,3,FALSE)))</f>
        <v/>
      </c>
      <c r="Q131" s="2719"/>
      <c r="R131" s="2792" t="str">
        <f>IF(OR(R22="Mentalista (C)",R22="Mentalista (F)",R22="Hechicero Ment. (C)",R22="Hechicero Ment. (F)"),IF(OR($E$131="",R$22=""),"",VLOOKUP($E$131,Tabla_ArsCognitiam,3,FALSE)*2),IF(OR($E$131="",R$22=""),"",VLOOKUP($E$131,Tabla_ArsCognitiam,3,FALSE)))</f>
        <v/>
      </c>
      <c r="S131" s="2719"/>
      <c r="T131" s="2792" t="str">
        <f>IF(OR(T22="Mentalista (C)",T22="Mentalista (F)",T22="Hechicero Ment. (C)",T22="Hechicero Ment. (F)"),IF(OR($E$131="",T$22=""),"",VLOOKUP($E$131,Tabla_ArsCognitiam,3,FALSE)*2),IF(OR($E$131="",T$22=""),"",VLOOKUP($E$131,Tabla_ArsCognitiam,3,FALSE)))</f>
        <v/>
      </c>
      <c r="U131" s="2722"/>
      <c r="V131" s="5121" t="str">
        <f>IF(E131="","",VLOOKUP(E131,Tabla_ArsCognitiam,12,FALSE))</f>
        <v/>
      </c>
      <c r="W131" s="5122"/>
      <c r="X131" s="5122"/>
      <c r="Y131" s="5122"/>
      <c r="Z131" s="2726" t="s">
        <v>10031</v>
      </c>
      <c r="AA131" s="1301">
        <f>IF(E131="",0,VLOOKUP(E131,Tabla_ArsCognitiam,4,FALSE))</f>
        <v>0</v>
      </c>
      <c r="AB131" s="1546"/>
      <c r="AC131" s="769"/>
      <c r="AD131" s="2265" t="e">
        <f>VLOOKUP(E126,Tablas!$D$1328:$R$1341,5,FALSE)</f>
        <v>#N/A</v>
      </c>
      <c r="AE131" s="3632" t="str">
        <f>IF(ISNUMBER(FIND("Cancelación:",E126)),SUBSTITUTE(E126,"Cancelación: ",""),"")</f>
        <v/>
      </c>
      <c r="AF131" s="3633" t="b">
        <f>AND(COUNTIF($E$124:$E125,AD131)&gt;0,COUNTIF($E$124:$E125,"Cancelación: "&amp;AD131)=0)</f>
        <v>0</v>
      </c>
      <c r="AG131" s="3632" t="b">
        <f>OR(COUNTIF($E$124:$E125,E126)&lt;&gt;COUNTIF($E$124:$E125,"Cancelación: "&amp;E126),AF131,IF(AE131="",FALSE,COUNTIF($E$124:$E125,AE131)=0))</f>
        <v>0</v>
      </c>
      <c r="AH131" s="3632"/>
      <c r="AI131" s="3632"/>
      <c r="AJ131" s="3632"/>
      <c r="AK131" s="3632"/>
      <c r="AL131" s="628"/>
      <c r="AM131" s="628"/>
      <c r="AN131" s="628"/>
      <c r="AO131" s="2265"/>
      <c r="AP131" s="628"/>
      <c r="AQ131" s="530"/>
      <c r="AR131" s="530"/>
      <c r="AS131" s="530"/>
      <c r="AT131" s="530"/>
      <c r="AU131" s="530"/>
      <c r="AV131" s="530"/>
      <c r="AW131" s="530"/>
      <c r="AX131" s="530"/>
      <c r="AY131" s="530"/>
      <c r="AZ131" s="530"/>
      <c r="BA131" s="530"/>
      <c r="BB131" s="530"/>
      <c r="BC131" s="530"/>
      <c r="BD131" s="2617"/>
      <c r="BE131" s="2617"/>
      <c r="BF131" s="2617"/>
      <c r="BG131" s="2617"/>
      <c r="BH131" s="2617"/>
      <c r="BI131" s="2617"/>
      <c r="BJ131" s="2617"/>
      <c r="BK131" s="2617"/>
      <c r="BL131" s="2617"/>
      <c r="BM131" s="2617"/>
      <c r="BN131" s="2617"/>
      <c r="BO131" s="2617"/>
      <c r="BP131" s="2617"/>
      <c r="BQ131" s="2617"/>
      <c r="BR131" s="2617"/>
      <c r="BS131" s="2617"/>
      <c r="BT131" s="2617"/>
      <c r="BU131" s="2617"/>
      <c r="BV131" s="2617"/>
      <c r="BW131" s="2617"/>
      <c r="BX131" s="2617"/>
    </row>
    <row r="132" spans="1:76" ht="12" customHeight="1">
      <c r="A132" s="29"/>
      <c r="B132" s="753"/>
      <c r="C132" s="5376"/>
      <c r="D132" s="5211"/>
      <c r="E132" s="5393"/>
      <c r="F132" s="5190"/>
      <c r="G132" s="5190"/>
      <c r="H132" s="5190"/>
      <c r="I132" s="5190"/>
      <c r="J132" s="5190"/>
      <c r="K132" s="5191"/>
      <c r="L132" s="2793" t="str">
        <f>IF(OR(L22="Mentalista (C)",L22="Mentalista (F)",L22="Hechicero Ment. (C)",L22="Hechicero Ment. (F)"),IF(OR($E$132="",L$22=""),"",VLOOKUP($E$132,Tabla_ArsCognitiam,3,FALSE)*2),IF(OR($E$132="",L$22=""),"",VLOOKUP($E$132,Tabla_ArsCognitiam,3,FALSE)))</f>
        <v/>
      </c>
      <c r="M132" s="3702"/>
      <c r="N132" s="2793" t="str">
        <f>IF(OR(N22="Mentalista (C)",N22="Mentalista (F)",N22="Hechicero Ment. (C)",N22="Hechicero Ment. (F)"),IF(OR($E$132="",N$22=""),"",VLOOKUP($E$132,Tabla_ArsCognitiam,3,FALSE)*2),IF(OR($E$132="",N$22=""),"",VLOOKUP($E$132,Tabla_ArsCognitiam,3,FALSE)))</f>
        <v/>
      </c>
      <c r="O132" s="2718"/>
      <c r="P132" s="2793" t="str">
        <f>IF(OR(P22="Mentalista (C)",P22="Mentalista (F)",P22="Hechicero Ment. (C)",P22="Hechicero Ment. (F)"),IF(OR($E$132="",P$22=""),"",VLOOKUP($E$132,Tabla_ArsCognitiam,3,FALSE)*2),IF(OR($E$132="",P$22=""),"",VLOOKUP($E$132,Tabla_ArsCognitiam,3,FALSE)))</f>
        <v/>
      </c>
      <c r="Q132" s="2718"/>
      <c r="R132" s="2793" t="str">
        <f>IF(OR(R22="Mentalista (C)",R22="Mentalista (F)",R22="Hechicero Ment. (C)",R22="Hechicero Ment. (F)"),IF(OR($E$132="",R$22=""),"",VLOOKUP($E$132,Tabla_ArsCognitiam,3,FALSE)*2),IF(OR($E$132="",R$22=""),"",VLOOKUP($E$132,Tabla_ArsCognitiam,3,FALSE)))</f>
        <v/>
      </c>
      <c r="S132" s="2718"/>
      <c r="T132" s="2793" t="str">
        <f>IF(OR(T22="Mentalista (C)",T22="Mentalista (F)",T22="Hechicero Ment. (C)",T22="Hechicero Ment. (F)"),IF(OR($E$132="",T$22=""),"",VLOOKUP($E$132,Tabla_ArsCognitiam,3,FALSE)*2),IF(OR($E$132="",T$22=""),"",VLOOKUP($E$132,Tabla_ArsCognitiam,3,FALSE)))</f>
        <v/>
      </c>
      <c r="U132" s="2723"/>
      <c r="V132" s="5169" t="str">
        <f>IF(E132="","",VLOOKUP(E132,Tabla_ArsCognitiam,12,FALSE))</f>
        <v/>
      </c>
      <c r="W132" s="5170"/>
      <c r="X132" s="5170"/>
      <c r="Y132" s="5170"/>
      <c r="Z132" s="2695" t="s">
        <v>10031</v>
      </c>
      <c r="AA132" s="886">
        <f>IF(E132="",0,VLOOKUP(E132,Tabla_ArsCognitiam,4,FALSE))</f>
        <v>0</v>
      </c>
      <c r="AB132" s="1546"/>
      <c r="AC132" s="769"/>
      <c r="AD132" s="2265" t="e">
        <f>VLOOKUP(E127,Tablas!$D$1328:$R$1341,5,FALSE)</f>
        <v>#N/A</v>
      </c>
      <c r="AE132" s="3632" t="str">
        <f>IF(ISNUMBER(FIND("Cancelación:",E127)),SUBSTITUTE(E127,"Cancelación: ",""),"")</f>
        <v/>
      </c>
      <c r="AF132" s="3633" t="b">
        <f>AND(COUNTIF($E$124:$E126,AD132)&gt;0,COUNTIF($E$124:$E126,"Cancelación: "&amp;AD132)=0)</f>
        <v>0</v>
      </c>
      <c r="AG132" s="3632" t="b">
        <f>OR(COUNTIF($E$124:$E126,E127)&lt;&gt;COUNTIF($E$124:$E126,"Cancelación: "&amp;E127),AF132,IF(AE132="",FALSE,COUNTIF($E$124:$E126,AE132)=0))</f>
        <v>0</v>
      </c>
      <c r="AH132" s="3632"/>
      <c r="AI132" s="3632"/>
      <c r="AJ132" s="3632"/>
      <c r="AK132" s="3632"/>
      <c r="AL132" s="628"/>
      <c r="AM132" s="628"/>
      <c r="AN132" s="628"/>
      <c r="AO132" s="2265"/>
      <c r="AP132" s="628"/>
      <c r="AQ132" s="530"/>
      <c r="AR132" s="530"/>
      <c r="AS132" s="530"/>
      <c r="AT132" s="530"/>
      <c r="AU132" s="530"/>
      <c r="AV132" s="530"/>
      <c r="AW132" s="530"/>
      <c r="AX132" s="530"/>
      <c r="AY132" s="530"/>
      <c r="AZ132" s="530"/>
      <c r="BA132" s="530"/>
      <c r="BB132" s="530"/>
      <c r="BC132" s="530"/>
      <c r="BD132" s="2617"/>
      <c r="BE132" s="2617"/>
      <c r="BF132" s="2617"/>
      <c r="BG132" s="2617"/>
      <c r="BH132" s="2617"/>
      <c r="BI132" s="2617"/>
      <c r="BJ132" s="2617"/>
      <c r="BK132" s="2617"/>
      <c r="BL132" s="2617"/>
      <c r="BM132" s="2617"/>
      <c r="BN132" s="2617"/>
      <c r="BO132" s="2617"/>
      <c r="BP132" s="2617"/>
      <c r="BQ132" s="2617"/>
      <c r="BR132" s="2617"/>
      <c r="BS132" s="2617"/>
      <c r="BT132" s="2617"/>
      <c r="BU132" s="2617"/>
      <c r="BV132" s="2617"/>
      <c r="BW132" s="2617"/>
      <c r="BX132" s="2617"/>
    </row>
    <row r="133" spans="1:76" ht="12" customHeight="1">
      <c r="A133" s="29"/>
      <c r="B133" s="753"/>
      <c r="C133" s="5376"/>
      <c r="D133" s="5211"/>
      <c r="E133" s="5390"/>
      <c r="F133" s="5391"/>
      <c r="G133" s="5391"/>
      <c r="H133" s="5391"/>
      <c r="I133" s="5391"/>
      <c r="J133" s="5391"/>
      <c r="K133" s="5392"/>
      <c r="L133" s="2792" t="str">
        <f>IF(OR(L22="Mentalista (C)",L22="Mentalista (F)",L22="Hechicero Ment. (C)",L22="Hechicero Ment. (F)"),IF(OR($E$133="",L$22=""),"",VLOOKUP($E$133,Tabla_ArsCognitiam,3,FALSE)*2),IF(OR($E$133="",L$22=""),"",VLOOKUP($E$133,Tabla_ArsCognitiam,3,FALSE)))</f>
        <v/>
      </c>
      <c r="M133" s="3701"/>
      <c r="N133" s="2792" t="str">
        <f>IF(OR(N22="Mentalista (C)",N22="Mentalista (F)",N22="Hechicero Ment. (C)",N22="Hechicero Ment. (F)"),IF(OR($E$133="",N$22=""),"",VLOOKUP($E$133,Tabla_ArsCognitiam,3,FALSE)*2),IF(OR($E$133="",N$22=""),"",VLOOKUP($E$133,Tabla_ArsCognitiam,3,FALSE)))</f>
        <v/>
      </c>
      <c r="O133" s="2719"/>
      <c r="P133" s="2792" t="str">
        <f>IF(OR(P22="Mentalista (C)",P22="Mentalista (F)",P22="Hechicero Ment. (C)",P22="Hechicero Ment. (F)"),IF(OR($E$133="",P$22=""),"",VLOOKUP($E$133,Tabla_ArsCognitiam,3,FALSE)*2),IF(OR($E$133="",P$22=""),"",VLOOKUP($E$133,Tabla_ArsCognitiam,3,FALSE)))</f>
        <v/>
      </c>
      <c r="Q133" s="2719"/>
      <c r="R133" s="2792" t="str">
        <f>IF(OR(R22="Mentalista (C)",R22="Mentalista (F)",R22="Hechicero Ment. (C)",R22="Hechicero Ment. (F)"),IF(OR($E$133="",R$22=""),"",VLOOKUP($E$133,Tabla_ArsCognitiam,3,FALSE)*2),IF(OR($E$133="",R$22=""),"",VLOOKUP($E$133,Tabla_ArsCognitiam,3,FALSE)))</f>
        <v/>
      </c>
      <c r="S133" s="2719"/>
      <c r="T133" s="2792" t="str">
        <f>IF(OR(T22="Mentalista (C)",T22="Mentalista (F)",T22="Hechicero Ment. (C)",T22="Hechicero Ment. (F)"),IF(OR($E$133="",T$22=""),"",VLOOKUP($E$133,Tabla_ArsCognitiam,3,FALSE)*2),IF(OR($E$133="",T$22=""),"",VLOOKUP($E$133,Tabla_ArsCognitiam,3,FALSE)))</f>
        <v/>
      </c>
      <c r="U133" s="2722"/>
      <c r="V133" s="5121" t="str">
        <f>IF(E133="","",VLOOKUP(E133,Tabla_ArsCognitiam,12,FALSE))</f>
        <v/>
      </c>
      <c r="W133" s="5122"/>
      <c r="X133" s="5122"/>
      <c r="Y133" s="5122"/>
      <c r="Z133" s="2726" t="s">
        <v>10031</v>
      </c>
      <c r="AA133" s="1301">
        <f>IF(E133="",0,VLOOKUP(E133,Tabla_ArsCognitiam,4,FALSE))</f>
        <v>0</v>
      </c>
      <c r="AB133" s="1546"/>
      <c r="AC133" s="769"/>
      <c r="AD133" s="2265" t="e">
        <f>VLOOKUP(E128,Tablas!$D$1328:$R$1341,5,FALSE)</f>
        <v>#N/A</v>
      </c>
      <c r="AE133" s="3632" t="str">
        <f>IF(ISNUMBER(FIND("Cancelación:",E128)),SUBSTITUTE(E128,"Cancelación: ",""),"")</f>
        <v/>
      </c>
      <c r="AF133" s="3633" t="b">
        <f>AND(COUNTIF($E$124:$E127,AD133)&gt;0,COUNTIF($E$124:$E127,"Cancelación: "&amp;AD133)=0)</f>
        <v>0</v>
      </c>
      <c r="AG133" s="3632" t="b">
        <f>OR(COUNTIF($E$124:$E127,E128)&lt;&gt;COUNTIF($E$124:$E127,"Cancelación: "&amp;E128),AF133,IF(AE133="",FALSE,COUNTIF($E$124:$E127,AE133)=0))</f>
        <v>0</v>
      </c>
      <c r="AH133" s="2701"/>
      <c r="AI133" s="3632"/>
      <c r="AJ133" s="3632"/>
      <c r="AK133" s="3632"/>
      <c r="AL133" s="628"/>
      <c r="AM133" s="628"/>
      <c r="AN133" s="628"/>
      <c r="AO133" s="2265"/>
      <c r="AP133" s="628"/>
      <c r="AQ133" s="530"/>
      <c r="AR133" s="530"/>
      <c r="AS133" s="530"/>
      <c r="AT133" s="530"/>
      <c r="AU133" s="530"/>
      <c r="AV133" s="530"/>
      <c r="AW133" s="530"/>
      <c r="AX133" s="530"/>
      <c r="AY133" s="530"/>
      <c r="AZ133" s="530"/>
      <c r="BA133" s="530"/>
      <c r="BB133" s="530"/>
      <c r="BC133" s="530"/>
      <c r="BD133" s="2617"/>
      <c r="BE133" s="2617"/>
      <c r="BF133" s="2617"/>
      <c r="BG133" s="2617"/>
      <c r="BH133" s="2617"/>
      <c r="BI133" s="2617"/>
      <c r="BJ133" s="2617"/>
      <c r="BK133" s="2617"/>
      <c r="BL133" s="2617"/>
      <c r="BM133" s="2617"/>
      <c r="BN133" s="2617"/>
      <c r="BO133" s="2617"/>
      <c r="BP133" s="2617"/>
      <c r="BQ133" s="2617"/>
      <c r="BR133" s="2617"/>
      <c r="BS133" s="2617"/>
      <c r="BT133" s="2617"/>
      <c r="BU133" s="2617"/>
      <c r="BV133" s="2617"/>
      <c r="BW133" s="2617"/>
      <c r="BX133" s="2617"/>
    </row>
    <row r="134" spans="1:76" ht="12" customHeight="1" thickBot="1">
      <c r="A134" s="29"/>
      <c r="B134" s="753"/>
      <c r="C134" s="5376"/>
      <c r="D134" s="5382"/>
      <c r="E134" s="5394"/>
      <c r="F134" s="5395"/>
      <c r="G134" s="5395"/>
      <c r="H134" s="5395"/>
      <c r="I134" s="5395"/>
      <c r="J134" s="5395"/>
      <c r="K134" s="5396"/>
      <c r="L134" s="2794" t="str">
        <f>IF(OR(L22="Mentalista (C)",L22="Mentalista (F)",L22="Hechicero Ment. (C)",L22="Hechicero Ment. (F)"),IF(OR($E$134="",L$22=""),"",VLOOKUP($E$134,Tabla_ArsCognitiam,3,FALSE)*2),IF(OR($E$134="",L$22=""),"",VLOOKUP($E$134,Tabla_ArsCognitiam,3,FALSE)))</f>
        <v/>
      </c>
      <c r="M134" s="3702"/>
      <c r="N134" s="2794" t="str">
        <f>IF(OR(N22="Mentalista (C)",N22="Mentalista (F)",N22="Hechicero Ment. (C)",N22="Hechicero Ment. (F)"),IF(OR($E$134="",N$22=""),"",VLOOKUP($E$134,Tabla_ArsCognitiam,3,FALSE)*2),IF(OR($E$134="",N$22=""),"",VLOOKUP($E$134,Tabla_ArsCognitiam,3,FALSE)))</f>
        <v/>
      </c>
      <c r="O134" s="2718"/>
      <c r="P134" s="2794" t="str">
        <f>IF(OR(P22="Mentalista (C)",P22="Mentalista (F)",P22="Hechicero Ment. (C)",P22="Hechicero Ment. (F)"),IF(OR($E$134="",P$22=""),"",VLOOKUP($E$134,Tabla_ArsCognitiam,3,FALSE)*2),IF(OR($E$134="",P$22=""),"",VLOOKUP($E$134,Tabla_ArsCognitiam,3,FALSE)))</f>
        <v/>
      </c>
      <c r="Q134" s="2718"/>
      <c r="R134" s="2794" t="str">
        <f>IF(OR(R22="Mentalista (C)",R22="Mentalista (F)",R22="Hechicero Ment. (C)",R22="Hechicero Ment. (F)"),IF(OR($E$134="",R$22=""),"",VLOOKUP($E$134,Tabla_ArsCognitiam,3,FALSE)*2),IF(OR($E$134="",R$22=""),"",VLOOKUP($E$134,Tabla_ArsCognitiam,3,FALSE)))</f>
        <v/>
      </c>
      <c r="S134" s="2718"/>
      <c r="T134" s="2794" t="str">
        <f>IF(OR(T22="Mentalista (C)",T22="Mentalista (F)",T22="Hechicero Ment. (C)",T22="Hechicero Ment. (F)"),IF(OR($E$134="",T$22=""),"",VLOOKUP($E$134,Tabla_ArsCognitiam,3,FALSE)*2),IF(OR($E$134="",T$22=""),"",VLOOKUP($E$134,Tabla_ArsCognitiam,3,FALSE)))</f>
        <v/>
      </c>
      <c r="U134" s="2724"/>
      <c r="V134" s="5171" t="str">
        <f>IF(E134="","",VLOOKUP(E134,Tabla_ArsCognitiam,12,FALSE))</f>
        <v/>
      </c>
      <c r="W134" s="5172"/>
      <c r="X134" s="5172"/>
      <c r="Y134" s="5172"/>
      <c r="Z134" s="2727" t="s">
        <v>10031</v>
      </c>
      <c r="AA134" s="888">
        <f>IF(E134="",0,VLOOKUP(E134,Tabla_ArsCognitiam,4,FALSE))</f>
        <v>0</v>
      </c>
      <c r="AB134" s="1546"/>
      <c r="AC134" s="769"/>
      <c r="AD134" s="2265" t="e">
        <f>VLOOKUP(E129,Tablas!$D$1328:$R$1341,5,FALSE)</f>
        <v>#N/A</v>
      </c>
      <c r="AE134" s="3632" t="str">
        <f>IF(ISNUMBER(FIND("Cancelación:",E129)),SUBSTITUTE(E129,"Cancelación: ",""),"")</f>
        <v/>
      </c>
      <c r="AF134" s="3633" t="b">
        <f>AND(COUNTIF($E$124:$E128,AD134)&gt;0,COUNTIF($E$124:$E128,"Cancelación: "&amp;AD134)=0)</f>
        <v>0</v>
      </c>
      <c r="AG134" s="3632" t="b">
        <f>OR(COUNTIF($E$124:$E128,E129)&lt;&gt;COUNTIF($E$124:$E128,"Cancelación: "&amp;E129),AF134,IF(AE134="",FALSE,COUNTIF($E$124:$E128,AE134)=0))</f>
        <v>0</v>
      </c>
      <c r="AH134" s="3632"/>
      <c r="AI134" s="3632"/>
      <c r="AJ134" s="3632"/>
      <c r="AK134" s="3632"/>
      <c r="AL134" s="628"/>
      <c r="AM134" s="628"/>
      <c r="AN134" s="628"/>
      <c r="AO134" s="2265"/>
      <c r="AP134" s="628"/>
      <c r="AQ134" s="530"/>
      <c r="AR134" s="530"/>
      <c r="AS134" s="530"/>
      <c r="AT134" s="530"/>
      <c r="AU134" s="530"/>
      <c r="AV134" s="530"/>
      <c r="AW134" s="530"/>
      <c r="AX134" s="530"/>
      <c r="AY134" s="530"/>
      <c r="AZ134" s="530"/>
      <c r="BA134" s="530"/>
      <c r="BB134" s="530"/>
      <c r="BC134" s="530"/>
      <c r="BD134" s="2617"/>
      <c r="BE134" s="2617"/>
      <c r="BF134" s="2617"/>
      <c r="BG134" s="2617"/>
      <c r="BH134" s="2617"/>
      <c r="BI134" s="2617"/>
      <c r="BJ134" s="2617"/>
      <c r="BK134" s="2617"/>
      <c r="BL134" s="2617"/>
      <c r="BM134" s="2617"/>
      <c r="BN134" s="2617"/>
      <c r="BO134" s="2617"/>
      <c r="BP134" s="2617"/>
      <c r="BQ134" s="2617"/>
      <c r="BR134" s="2617"/>
      <c r="BS134" s="2617"/>
      <c r="BT134" s="2617"/>
      <c r="BU134" s="2617"/>
      <c r="BV134" s="2617"/>
      <c r="BW134" s="2617"/>
      <c r="BX134" s="2617"/>
    </row>
    <row r="135" spans="1:76" ht="12" customHeight="1">
      <c r="A135" s="29"/>
      <c r="B135" s="753"/>
      <c r="C135" s="5376"/>
      <c r="D135" s="5047" t="s">
        <v>1384</v>
      </c>
      <c r="E135" s="5047"/>
      <c r="F135" s="5047"/>
      <c r="G135" s="5047"/>
      <c r="H135" s="5047"/>
      <c r="I135" s="5047"/>
      <c r="J135" s="5047"/>
      <c r="K135" s="5048"/>
      <c r="L135" s="4981">
        <f>T$7*IF(Categoría_1=0,0.5,VLOOKUP(Categoría_1,Tabla_Categorías,8,FALSE))</f>
        <v>300</v>
      </c>
      <c r="M135" s="4983">
        <f>SUM(M121:M134)</f>
        <v>0</v>
      </c>
      <c r="N135" s="4981">
        <f>IF(Limite_Primarias_Individual,$T$9*N137,IF(Categoría_2=0,0,(IF(OR(Limite_Primarias_Combinado,Limite_Primarias_MasConveniente),O137,SUM(T$7:T$9)*IF(Limite_Primarias_Maximo,MAX($L137,$N137),N137)))))</f>
        <v>0</v>
      </c>
      <c r="O135" s="4983">
        <f>(SUM(O121:O124)+IF(Limite_Primarias_Individual,0,M135))*IF(Categoría_2=0,0,1)</f>
        <v>0</v>
      </c>
      <c r="P135" s="4981">
        <f>IF(Limite_Primarias_Individual,$T$11*P137,IF(Categoría_3=0,0,(IF(OR(Limite_Primarias_Combinado,Limite_Primarias_MasConveniente),Q137,SUM(T$7:T$11)*IF(Limite_Primarias_Maximo,MAX($L137,$N137,$P137),P137)))))</f>
        <v>0</v>
      </c>
      <c r="Q135" s="5129">
        <f>(SUM(Q121:Q124)+IF(Limite_Primarias_Individual,0,O135))*IF(Categoría_3=0,0,1)</f>
        <v>0</v>
      </c>
      <c r="R135" s="4981">
        <f>IF(Limite_Primarias_Individual,$T$13*R137,IF(Categoría_4=0,0,(IF(OR(Limite_Primarias_Combinado,Limite_Primarias_MasConveniente),S137,SUM(T$7:T$13)*IF(Limite_Primarias_Maximo,MAX($L137,$N137,$P137,$R137),R137)))))</f>
        <v>0</v>
      </c>
      <c r="S135" s="4983">
        <f>(SUM(S121:S124)+IF(Limite_Primarias_Individual,0,Q135))*IF(Categoría_4=0,0,1)</f>
        <v>0</v>
      </c>
      <c r="T135" s="4981">
        <f>IF(Limite_Primarias_Individual,$T$15*T137,IF(Categoría_5=0,0,(IF(OR(Limite_Primarias_Combinado,Limite_Primarias_MasConveniente),U137,SUM(T$7:T$15)*IF(Limite_Primarias_Maximo,MAX($L137,$N137,$P137,$R137,$T137),T137)))))</f>
        <v>0</v>
      </c>
      <c r="U135" s="4983">
        <f>(SUM(U121:U124)+IF(Limite_Primarias_Individual,0,S135))*IF(Categoría_5=0,0,1)</f>
        <v>0</v>
      </c>
      <c r="V135" s="5138" t="str">
        <f>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5139"/>
      <c r="X135" s="5139"/>
      <c r="Y135" s="5139"/>
      <c r="Z135" s="5139"/>
      <c r="AA135" s="5140"/>
      <c r="AB135" s="1546"/>
      <c r="AC135" s="769"/>
      <c r="AD135" s="2265"/>
      <c r="AE135" s="3632"/>
      <c r="AF135" s="3633" t="b">
        <f>OR(AF130:AF134)</f>
        <v>0</v>
      </c>
      <c r="AG135" s="3632"/>
      <c r="AH135" s="3632"/>
      <c r="AI135" s="3632"/>
      <c r="AJ135" s="3632"/>
      <c r="AK135" s="3632"/>
      <c r="AL135" s="628"/>
      <c r="AM135" s="628"/>
      <c r="AN135" s="628"/>
      <c r="AO135" s="2265"/>
      <c r="AP135" s="628"/>
      <c r="AQ135" s="530"/>
      <c r="AR135" s="530"/>
      <c r="AS135" s="530"/>
      <c r="AT135" s="530"/>
      <c r="AU135" s="530"/>
      <c r="AV135" s="530"/>
      <c r="AW135" s="530"/>
      <c r="AX135" s="530"/>
      <c r="AY135" s="530"/>
      <c r="AZ135" s="530"/>
      <c r="BA135" s="530"/>
      <c r="BB135" s="530"/>
      <c r="BC135" s="530"/>
      <c r="BD135" s="2617"/>
      <c r="BE135" s="2617"/>
      <c r="BF135" s="2617"/>
      <c r="BG135" s="2617"/>
      <c r="BH135" s="2617"/>
      <c r="BI135" s="2617"/>
      <c r="BJ135" s="2617"/>
      <c r="BK135" s="2617"/>
      <c r="BL135" s="2617"/>
      <c r="BM135" s="2617"/>
      <c r="BN135" s="2617"/>
      <c r="BO135" s="2617"/>
      <c r="BP135" s="2617"/>
      <c r="BQ135" s="2617"/>
      <c r="BR135" s="2617"/>
      <c r="BS135" s="2617"/>
      <c r="BT135" s="2617"/>
      <c r="BU135" s="2617"/>
      <c r="BV135" s="2617"/>
      <c r="BW135" s="2617"/>
      <c r="BX135" s="2617"/>
    </row>
    <row r="136" spans="1:76" ht="12" customHeight="1" thickBot="1">
      <c r="A136" s="29"/>
      <c r="B136" s="753"/>
      <c r="C136" s="5380"/>
      <c r="D136" s="5049"/>
      <c r="E136" s="5049"/>
      <c r="F136" s="5049"/>
      <c r="G136" s="5049"/>
      <c r="H136" s="5049"/>
      <c r="I136" s="5049"/>
      <c r="J136" s="5049"/>
      <c r="K136" s="5050"/>
      <c r="L136" s="4982"/>
      <c r="M136" s="4984"/>
      <c r="N136" s="4982"/>
      <c r="O136" s="4984"/>
      <c r="P136" s="4982"/>
      <c r="Q136" s="4603"/>
      <c r="R136" s="4982"/>
      <c r="S136" s="4984"/>
      <c r="T136" s="4982"/>
      <c r="U136" s="4984"/>
      <c r="V136" s="5141"/>
      <c r="W136" s="5142"/>
      <c r="X136" s="5142"/>
      <c r="Y136" s="5142"/>
      <c r="Z136" s="5142"/>
      <c r="AA136" s="5143"/>
      <c r="AB136" s="1546"/>
      <c r="AC136" s="769"/>
      <c r="AD136" s="2265"/>
      <c r="AE136" s="2265"/>
      <c r="AF136" s="3633"/>
      <c r="AG136" s="3632"/>
      <c r="AH136" s="3632"/>
      <c r="AI136" s="3632"/>
      <c r="AJ136" s="3632"/>
      <c r="AK136" s="3632"/>
      <c r="AL136" s="628"/>
      <c r="AM136" s="628"/>
      <c r="AN136" s="628"/>
      <c r="AO136" s="2265"/>
      <c r="AP136" s="628"/>
      <c r="AQ136" s="530"/>
      <c r="AR136" s="530"/>
      <c r="AS136" s="530"/>
      <c r="AT136" s="530"/>
      <c r="AU136" s="530"/>
      <c r="AV136" s="530"/>
      <c r="AW136" s="530"/>
      <c r="AX136" s="530"/>
      <c r="AY136" s="530"/>
      <c r="AZ136" s="530"/>
      <c r="BA136" s="530"/>
      <c r="BB136" s="530"/>
      <c r="BC136" s="530"/>
      <c r="BD136" s="2617"/>
      <c r="BE136" s="2617"/>
      <c r="BF136" s="2617"/>
      <c r="BG136" s="2617"/>
      <c r="BH136" s="2617"/>
      <c r="BI136" s="2617"/>
      <c r="BJ136" s="2617"/>
      <c r="BK136" s="2617"/>
      <c r="BL136" s="2617"/>
      <c r="BM136" s="2617"/>
      <c r="BN136" s="2617"/>
      <c r="BO136" s="2617"/>
      <c r="BP136" s="2617"/>
      <c r="BQ136" s="2617"/>
      <c r="BR136" s="2617"/>
      <c r="BS136" s="2617"/>
      <c r="BT136" s="2617"/>
      <c r="BU136" s="2617"/>
      <c r="BV136" s="2617"/>
      <c r="BW136" s="2617"/>
      <c r="BX136" s="2617"/>
    </row>
    <row r="137" spans="1:76" ht="12" customHeight="1">
      <c r="A137" s="29"/>
      <c r="B137" s="753"/>
      <c r="L137" s="628">
        <f>IFERROR(VLOOKUP(Categoría_1,Tabla_Categorías,8,FALSE),0)</f>
        <v>0</v>
      </c>
      <c r="M137" s="628">
        <f>L137*$T$7</f>
        <v>0</v>
      </c>
      <c r="N137" s="628">
        <f>IFERROR(VLOOKUP(Categoría_2,Tabla_Categorías,8,FALSE),0)</f>
        <v>0</v>
      </c>
      <c r="O137" s="628">
        <f>IF(OR(Limite_Primarias_Combinado,N137&lt;=L137),N137*$T$9+M137,IF(Limite_Primarias_MasConveniente,N137*SUM($T$7:$T$9),0))</f>
        <v>0</v>
      </c>
      <c r="P137" s="628">
        <f>IFERROR(VLOOKUP(Categoría_3,Tabla_Categorías,8,FALSE),0)</f>
        <v>0</v>
      </c>
      <c r="Q137" s="628">
        <f>IF(OR(Limite_Primarias_Combinado,P137&lt;=N137),P137*$T$11+O137,IF(Limite_Primarias_MasConveniente,P137*SUM($T$7:$T$11),0))</f>
        <v>0</v>
      </c>
      <c r="R137" s="628">
        <f>IFERROR(VLOOKUP(Categoría_4,Tabla_Categorías,8,FALSE),0)</f>
        <v>0</v>
      </c>
      <c r="S137" s="628">
        <f>IF(OR(Limite_Primarias_Combinado,R137&lt;=P137),R137*$T$13+Q137,IF(Limite_Primarias_MasConveniente,R137*SUM($T$7:$T$13),0))</f>
        <v>0</v>
      </c>
      <c r="T137" s="628">
        <f>IFERROR(VLOOKUP(Categoría_5,Tabla_Categorías,8,FALSE),0)</f>
        <v>0</v>
      </c>
      <c r="U137" s="628">
        <f>IF(OR(Limite_Primarias_Combinado,T137&lt;=R137),T137*$T$15+S137,IF(Limite_Primarias_MasConveniente,T137*SUM($T$7:$T$15),0))</f>
        <v>0</v>
      </c>
      <c r="AB137" s="1546"/>
      <c r="AC137" s="769"/>
      <c r="AD137" s="2265"/>
      <c r="AE137" s="3632"/>
      <c r="AF137" s="3633"/>
      <c r="AG137" s="3632"/>
      <c r="AH137" s="3632"/>
      <c r="AI137" s="3632"/>
      <c r="AJ137" s="3632"/>
      <c r="AK137" s="3632"/>
      <c r="AL137" s="628"/>
      <c r="AM137" s="628"/>
      <c r="AN137" s="628"/>
      <c r="AO137" s="628"/>
      <c r="AP137" s="628"/>
      <c r="AQ137" s="530"/>
      <c r="AR137" s="530"/>
      <c r="AS137" s="530"/>
      <c r="AT137" s="530"/>
      <c r="AU137" s="530"/>
      <c r="AV137" s="530"/>
      <c r="AW137" s="530"/>
      <c r="AX137" s="530"/>
      <c r="AY137" s="530"/>
      <c r="AZ137" s="530"/>
      <c r="BA137" s="530"/>
      <c r="BB137" s="530"/>
      <c r="BC137" s="530"/>
      <c r="BD137" s="2617"/>
      <c r="BE137" s="2617"/>
      <c r="BF137" s="2617"/>
      <c r="BG137" s="2617"/>
      <c r="BH137" s="2617"/>
      <c r="BI137" s="2617"/>
      <c r="BJ137" s="2617"/>
      <c r="BK137" s="2617"/>
      <c r="BL137" s="2617"/>
      <c r="BM137" s="2617"/>
      <c r="BN137" s="2617"/>
      <c r="BO137" s="2617"/>
      <c r="BP137" s="2617"/>
      <c r="BQ137" s="2617"/>
      <c r="BR137" s="2617"/>
      <c r="BS137" s="2617"/>
      <c r="BT137" s="2617"/>
      <c r="BU137" s="2617"/>
      <c r="BV137" s="2617"/>
      <c r="BW137" s="2617"/>
      <c r="BX137" s="2617"/>
    </row>
    <row r="138" spans="1:76" ht="12" customHeight="1" thickBot="1">
      <c r="A138" s="29"/>
      <c r="B138" s="832"/>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1551"/>
      <c r="AC138" s="769"/>
      <c r="AD138" s="2265"/>
      <c r="AE138" s="3632"/>
      <c r="AF138" s="3633"/>
      <c r="AG138" s="3632"/>
      <c r="AH138" s="3632"/>
      <c r="AI138" s="3632"/>
      <c r="AJ138" s="3632"/>
      <c r="AK138" s="3632"/>
      <c r="AL138" s="628"/>
      <c r="AM138" s="628"/>
      <c r="AN138" s="628"/>
      <c r="AO138" s="628"/>
      <c r="AP138" s="628"/>
      <c r="AQ138" s="530"/>
      <c r="AR138" s="530"/>
      <c r="AS138" s="530"/>
      <c r="AT138" s="530"/>
      <c r="AU138" s="530"/>
      <c r="AV138" s="530"/>
      <c r="AW138" s="530"/>
      <c r="AX138" s="530"/>
      <c r="AY138" s="530"/>
      <c r="AZ138" s="530"/>
      <c r="BA138" s="530"/>
      <c r="BB138" s="530"/>
      <c r="BC138" s="530"/>
      <c r="BD138" s="2617"/>
      <c r="BE138" s="2617"/>
      <c r="BF138" s="2617"/>
      <c r="BG138" s="2617"/>
      <c r="BH138" s="2617"/>
      <c r="BI138" s="2617"/>
      <c r="BJ138" s="2617"/>
      <c r="BK138" s="2617"/>
      <c r="BL138" s="2617"/>
      <c r="BM138" s="2617"/>
      <c r="BN138" s="2617"/>
      <c r="BO138" s="2617"/>
      <c r="BP138" s="2617"/>
      <c r="BQ138" s="2617"/>
      <c r="BR138" s="2617"/>
      <c r="BS138" s="2617"/>
      <c r="BT138" s="2617"/>
      <c r="BU138" s="2617"/>
      <c r="BV138" s="2617"/>
      <c r="BW138" s="2617"/>
      <c r="BX138" s="2617"/>
    </row>
    <row r="139" spans="1:76" ht="12" customHeight="1" thickBot="1">
      <c r="A139" s="29"/>
      <c r="B139" s="833"/>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1544"/>
      <c r="AC139" s="769"/>
      <c r="AL139" s="628"/>
      <c r="AM139" s="628"/>
      <c r="AN139" s="628"/>
      <c r="AO139" s="628"/>
      <c r="AP139" s="628"/>
      <c r="AQ139" s="530"/>
      <c r="AR139" s="530"/>
      <c r="AS139" s="530"/>
      <c r="AT139" s="530"/>
      <c r="AU139" s="530"/>
      <c r="AV139" s="530"/>
      <c r="AW139" s="530"/>
      <c r="BL139" s="2617"/>
      <c r="BM139" s="2617"/>
      <c r="BN139" s="2617"/>
      <c r="BO139" s="2617"/>
      <c r="BP139" s="2617"/>
      <c r="BQ139" s="2617"/>
      <c r="BR139" s="2617"/>
      <c r="BS139" s="2617"/>
      <c r="BT139" s="2617"/>
      <c r="BU139" s="2617"/>
      <c r="BV139" s="2617"/>
      <c r="BW139" s="2617"/>
      <c r="BX139" s="2617"/>
    </row>
    <row r="140" spans="1:76" ht="12" customHeight="1" thickBot="1">
      <c r="A140" s="29"/>
      <c r="B140" s="753"/>
      <c r="AB140" s="1546"/>
      <c r="AC140" s="769"/>
      <c r="AL140" s="628"/>
      <c r="AM140" s="628"/>
      <c r="AN140" s="628"/>
      <c r="AO140" s="628"/>
      <c r="AP140" s="628"/>
      <c r="AQ140" s="530"/>
      <c r="AR140" s="530"/>
      <c r="AS140" s="530"/>
      <c r="AT140" s="530"/>
      <c r="AU140" s="530"/>
      <c r="AV140" s="530"/>
      <c r="AW140" s="530"/>
      <c r="BL140" s="2617"/>
      <c r="BM140" s="2617"/>
      <c r="BN140" s="2617"/>
      <c r="BO140" s="2617"/>
      <c r="BP140" s="2617"/>
      <c r="BQ140" s="2617"/>
      <c r="BR140" s="2617"/>
      <c r="BS140" s="2617"/>
      <c r="BT140" s="2617"/>
      <c r="BU140" s="2617"/>
      <c r="BV140" s="2617"/>
      <c r="BW140" s="2617"/>
      <c r="BX140" s="2617"/>
    </row>
    <row r="141" spans="1:76" ht="12" customHeight="1" thickBot="1">
      <c r="A141" s="9"/>
      <c r="B141" s="753"/>
      <c r="J141" s="4965" t="str">
        <f>IF(Categoría_1=0,"",Categoría_1)</f>
        <v/>
      </c>
      <c r="K141" s="4966"/>
      <c r="L141" s="5156" t="str">
        <f>IF(Categoría_2=0,"",Categoría_2)</f>
        <v/>
      </c>
      <c r="M141" s="4966"/>
      <c r="N141" s="5156" t="str">
        <f>IF(Categoría_3=0,"",Categoría_3)</f>
        <v/>
      </c>
      <c r="O141" s="4966"/>
      <c r="P141" s="5156" t="str">
        <f>IF(Categoría_4=0,"",Categoría_4)</f>
        <v/>
      </c>
      <c r="Q141" s="4966"/>
      <c r="R141" s="5156" t="str">
        <f>IF(Categoría_5=0,"",Categoría_5)</f>
        <v/>
      </c>
      <c r="S141" s="5157"/>
      <c r="AB141" s="1546"/>
      <c r="AC141" s="769"/>
      <c r="AD141" s="2265"/>
      <c r="AE141" s="2265" t="s">
        <v>6550</v>
      </c>
      <c r="AF141" s="628" t="b">
        <f>IF(Tablas!G492&gt;0,TRUE,IF(Personalización!E12&lt;&gt;"No",TRUE,FALSE))</f>
        <v>0</v>
      </c>
      <c r="AG141" s="3632"/>
      <c r="AH141" s="3632"/>
      <c r="AI141" s="3632"/>
      <c r="AJ141" s="3632"/>
      <c r="AK141" s="3632"/>
      <c r="AL141" s="628"/>
      <c r="AM141" s="628"/>
      <c r="AN141" s="628"/>
      <c r="AO141" s="628"/>
      <c r="AP141" s="628"/>
      <c r="AQ141" s="530"/>
      <c r="AR141" s="530"/>
      <c r="AS141" s="530"/>
      <c r="AT141" s="530"/>
      <c r="AU141" s="530"/>
      <c r="AV141" s="530"/>
      <c r="AW141" s="530"/>
      <c r="BL141" s="2617"/>
      <c r="BM141" s="2617"/>
      <c r="BN141" s="2617"/>
      <c r="BO141" s="2617"/>
      <c r="BP141" s="2617"/>
      <c r="BQ141" s="2617"/>
      <c r="BR141" s="2617"/>
      <c r="BS141" s="2617"/>
      <c r="BT141" s="2617"/>
      <c r="BU141" s="2617"/>
      <c r="BV141" s="2617"/>
      <c r="BW141" s="2617"/>
      <c r="BX141" s="2617"/>
    </row>
    <row r="142" spans="1:76" ht="12" customHeight="1" thickBot="1">
      <c r="A142" s="29"/>
      <c r="B142" s="753"/>
      <c r="J142" s="4967"/>
      <c r="K142" s="4968"/>
      <c r="L142" s="5158"/>
      <c r="M142" s="4968"/>
      <c r="N142" s="5158"/>
      <c r="O142" s="4968"/>
      <c r="P142" s="5158"/>
      <c r="Q142" s="4968"/>
      <c r="R142" s="5158"/>
      <c r="S142" s="5159"/>
      <c r="W142" s="4911" t="s">
        <v>1395</v>
      </c>
      <c r="X142" s="5153"/>
      <c r="AB142" s="1546"/>
      <c r="AC142" s="769"/>
      <c r="AD142" s="2265"/>
      <c r="AE142" s="5307" t="s">
        <v>2323</v>
      </c>
      <c r="AF142" s="5307"/>
      <c r="AG142" s="5307"/>
      <c r="AH142" s="5307"/>
      <c r="AI142" s="5307"/>
      <c r="AJ142" s="5307"/>
      <c r="AK142" s="3632"/>
      <c r="AL142" s="5307" t="s">
        <v>6862</v>
      </c>
      <c r="AM142" s="5307"/>
      <c r="AN142" s="5307"/>
      <c r="AO142" s="5307"/>
      <c r="AP142" s="5307"/>
      <c r="AQ142" s="5307"/>
      <c r="AR142" s="5307"/>
      <c r="AS142" s="5307"/>
      <c r="AT142" s="5307"/>
      <c r="AU142" s="530"/>
      <c r="AV142" s="530"/>
      <c r="AW142" s="530"/>
      <c r="BL142" s="2617"/>
      <c r="BM142" s="2617"/>
      <c r="BN142" s="2617"/>
      <c r="BO142" s="2617"/>
      <c r="BP142" s="2617"/>
      <c r="BQ142" s="2617"/>
      <c r="BR142" s="2617"/>
      <c r="BS142" s="2617"/>
      <c r="BT142" s="2617"/>
      <c r="BU142" s="2617"/>
      <c r="BV142" s="2617"/>
      <c r="BW142" s="2617"/>
      <c r="BX142" s="2617"/>
    </row>
    <row r="143" spans="1:76" ht="12" customHeight="1" thickBot="1">
      <c r="A143" s="29"/>
      <c r="B143" s="753"/>
      <c r="C143" s="4525" t="s">
        <v>1254</v>
      </c>
      <c r="D143" s="2114" t="s">
        <v>1258</v>
      </c>
      <c r="E143" s="5154" t="s">
        <v>1235</v>
      </c>
      <c r="F143" s="4985"/>
      <c r="G143" s="4985"/>
      <c r="H143" s="5155"/>
      <c r="I143" s="725" t="s">
        <v>5863</v>
      </c>
      <c r="J143" s="462" t="s">
        <v>1349</v>
      </c>
      <c r="K143" s="1309" t="s">
        <v>1237</v>
      </c>
      <c r="L143" s="462" t="s">
        <v>1349</v>
      </c>
      <c r="M143" s="1310" t="s">
        <v>1237</v>
      </c>
      <c r="N143" s="451" t="s">
        <v>1349</v>
      </c>
      <c r="O143" s="1309" t="s">
        <v>1237</v>
      </c>
      <c r="P143" s="462" t="s">
        <v>1349</v>
      </c>
      <c r="Q143" s="1310" t="s">
        <v>1237</v>
      </c>
      <c r="R143" s="451" t="s">
        <v>1349</v>
      </c>
      <c r="S143" s="1309" t="s">
        <v>1237</v>
      </c>
      <c r="T143" s="484" t="s">
        <v>1225</v>
      </c>
      <c r="U143" s="484" t="s">
        <v>859</v>
      </c>
      <c r="V143" s="484" t="s">
        <v>1267</v>
      </c>
      <c r="W143" s="451" t="s">
        <v>1396</v>
      </c>
      <c r="X143" s="452" t="s">
        <v>1397</v>
      </c>
      <c r="Y143" s="484" t="s">
        <v>1398</v>
      </c>
      <c r="Z143" s="484" t="s">
        <v>1277</v>
      </c>
      <c r="AA143" s="506" t="s">
        <v>1209</v>
      </c>
      <c r="AB143" s="1546"/>
      <c r="AC143" s="769"/>
      <c r="AD143" s="2265" t="s">
        <v>6549</v>
      </c>
      <c r="AE143" s="2265" t="s">
        <v>6551</v>
      </c>
      <c r="AF143" s="2265" t="s">
        <v>6157</v>
      </c>
      <c r="AG143" s="2265" t="s">
        <v>6158</v>
      </c>
      <c r="AH143" s="3632" t="s">
        <v>1336</v>
      </c>
      <c r="AI143" s="2265" t="s">
        <v>5980</v>
      </c>
      <c r="AJ143" s="2265" t="s">
        <v>5965</v>
      </c>
      <c r="AK143" s="3632"/>
      <c r="AL143" s="628" t="s">
        <v>6790</v>
      </c>
      <c r="AM143" s="628"/>
      <c r="AN143" s="628" t="s">
        <v>6788</v>
      </c>
      <c r="AO143" s="628"/>
      <c r="AP143" s="628" t="s">
        <v>6789</v>
      </c>
      <c r="AQ143" s="530"/>
      <c r="AR143" s="628" t="s">
        <v>6792</v>
      </c>
      <c r="AS143" s="530"/>
      <c r="AT143" s="628" t="s">
        <v>6791</v>
      </c>
      <c r="AU143" s="628" t="s">
        <v>9540</v>
      </c>
      <c r="AV143" s="530"/>
      <c r="AW143" s="530"/>
      <c r="AX143" s="530"/>
      <c r="AY143" s="530"/>
      <c r="AZ143" s="530"/>
      <c r="BA143" s="530"/>
      <c r="BL143" s="2617"/>
      <c r="BM143" s="2617"/>
      <c r="BN143" s="2617"/>
      <c r="BO143" s="2617"/>
      <c r="BP143" s="2617"/>
      <c r="BQ143" s="2617"/>
      <c r="BR143" s="2617"/>
      <c r="BS143" s="2617"/>
      <c r="BT143" s="2617"/>
      <c r="BU143" s="2617"/>
      <c r="BV143" s="2617"/>
      <c r="BW143" s="2617"/>
      <c r="BX143" s="2617"/>
    </row>
    <row r="144" spans="1:76" ht="12" customHeight="1">
      <c r="A144" s="29"/>
      <c r="B144" s="753" t="str">
        <f>D144</f>
        <v>Atléticas</v>
      </c>
      <c r="C144" s="4527"/>
      <c r="D144" s="5104" t="s">
        <v>1263</v>
      </c>
      <c r="E144" s="4973" t="s">
        <v>1264</v>
      </c>
      <c r="F144" s="4974"/>
      <c r="G144" s="4974"/>
      <c r="H144" s="726" t="s">
        <v>1233</v>
      </c>
      <c r="I144" s="1349"/>
      <c r="J144" s="1788">
        <f>IF(ISNA(AL144),0,MAX(MIN(AL144-VLOOKUP("Apto en campo: "&amp;$B144,Tabla_Ventajas,3,FALSE)-Tablas!$O310-2*Tablas!$Q310,3),1))</f>
        <v>0</v>
      </c>
      <c r="K144" s="1611"/>
      <c r="L144" s="1788">
        <f>IF(ISNA(AN144),0,MAX(MIN(AN144-VLOOKUP("Apto en campo: "&amp;$B144,Tabla_Ventajas,3,FALSE)-Tablas!$O310-2*Tablas!$Q310,3),1))</f>
        <v>0</v>
      </c>
      <c r="M144" s="1611"/>
      <c r="N144" s="1788">
        <f>IF(ISNA(AP144),0,MAX(MIN(AP144-VLOOKUP("Apto en campo: "&amp;$B144,Tabla_Ventajas,3,FALSE)-Tablas!$O310-2*Tablas!$Q310,3),1))</f>
        <v>0</v>
      </c>
      <c r="O144" s="1611"/>
      <c r="P144" s="1788">
        <f>IF(ISNA(AR144),0,MAX(MIN(AR144-VLOOKUP("Apto en campo: "&amp;$B144,Tabla_Ventajas,3,FALSE)-Tablas!$O310-2*Tablas!$Q310,3),1))</f>
        <v>0</v>
      </c>
      <c r="Q144" s="1611"/>
      <c r="R144" s="1788">
        <f>IF(ISNA(AT144),0,MAX(MIN(AT144-VLOOKUP("Apto en campo: "&amp;$B144,Tabla_Ventajas,3,FALSE)-Tablas!$O310-2*Tablas!$Q310,3),1))</f>
        <v>0</v>
      </c>
      <c r="S144" s="1611"/>
      <c r="T144" s="453">
        <f>IF(J144=0,0,TRUNC(K144/J144,0))+IF(L144=0,0,TRUNC(M144/L144,0))+IF(N144=0,0,TRUNC(O144/N144,0))+IF(P144=0,0,TRUNC(Q144/P144,0))+IF(R144=0,0,TRUNC(S144/R144,0))+IF(Personalización!$E$12="Como Base (no oficial)",AF144,0)</f>
        <v>0</v>
      </c>
      <c r="U144" s="453">
        <f t="shared" ref="U144:U172" si="27">MIN(VLOOKUP($H144,Tabla_Características,5,0)*(1+W144)+10*Con.TodasMaterias+10*X144,100)</f>
        <v>0</v>
      </c>
      <c r="V144" s="453">
        <f>IF(ISNA(HLOOKUP($E144,Bonos_Cat_Base,2,FALSE)),0,HLOOKUP($E144,Bonos_Cat_Base,2,FALSE))+Tablas!$X310*Nivel_Total+10*Y144</f>
        <v>0</v>
      </c>
      <c r="W144" s="1610"/>
      <c r="X144" s="1611"/>
      <c r="Y144" s="1610"/>
      <c r="Z144" s="1960"/>
      <c r="AA144" s="1190">
        <f>IF(AND(T144&lt;5,Tablas!G$315=0),-30,0)+T144+U144+V144+Z144+IF(I144="",0,40)+Mod_ATA+Mod_Fisico+AD144+IF(Personalización!$E$12="Como Base (no oficial)",0,AF144)</f>
        <v>-30</v>
      </c>
      <c r="AB144" s="1547">
        <f t="shared" ref="AB144:AB172" si="28">IF(AA144="-",0,IF(AA144&gt;VLOOKUP(Nivel_Total,Tabla_LímiteSecundarias,2),1,0))</f>
        <v>0</v>
      </c>
      <c r="AC144" s="769"/>
      <c r="AD144" s="3639">
        <f>MAX('Tablas psiquica'!AO54,'Tablas psiquica'!AO56)</f>
        <v>0</v>
      </c>
      <c r="AE144" s="3632" t="e">
        <f>$S$7*VLOOKUP(Categoría_1,Tablas!$D$198:$CN$228,MATCH(E144,Tablas!$D$201:$CQ$201,0),FALSE)+IF(Categoría_2="",0,$S$9*VLOOKUP(Categoría_2,Tablas!$D$198:$CN$228,MATCH(E144,Tablas!$D$201:$CQ$201,0),FALSE))+IF(Categoría_3="",0,$S$11*VLOOKUP(Categoría_3,Tablas!$D$198:$CN$228,MATCH(E144,Tablas!$D$201:$CQ$201,0),FALSE))+IF(Categoría_4="",0,$S$13*VLOOKUP(Categoría_4,Tablas!$D$198:$CN$228,MATCH(E144,Tablas!$D$201:$CQ$201,0),FALSE))+IF(Categoría_5="",0,$S$15*VLOOKUP(Categoría_5,Tablas!$D$198:$CN$228,MATCH(E144,Tablas!$D$201:$CQ$201,0)))</f>
        <v>#N/A</v>
      </c>
      <c r="AF144" s="3633">
        <f>IF(AF$141,IF(OR(Region="",ClaseSocial="",Personalización!$AN$9),0,IF(OR(AND(AI144,AJ144),AND(NOT(AI144),NOT(AJ144))),LEFT(AG144,2)+LEFT(AH144,2),IF(AND(AI144,NOT(AJ144)),LEFT(AH144,2),0))),0)</f>
        <v>0</v>
      </c>
      <c r="AG144" s="2265">
        <f>HLOOKUP(Region&amp;ClaseSocial,Tabla_RaicesCulturales,Tablas!F142,FALSE)</f>
        <v>0</v>
      </c>
      <c r="AH144" s="3632">
        <f>IF(AND(E144="Historia",Personalización!$E$16="Historia (Local)"),20&amp;" "&amp;Personalización!$E$16,IF(E144=Personalización!$E$15,VLOOKUP(E144,Tablas!$L$136:$M$137,2,FALSE),IF(E144=Personalización!$E$16,VLOOKUP(E144,Tablas!$N$136:$O$137,2,FALSE),0)))</f>
        <v>0</v>
      </c>
      <c r="AI144" s="3632" t="b">
        <f t="shared" ref="AI144:AI161" si="29">OR(ISNUMBER(FIND("(",AG144)),ISNUMBER(FIND("(",AH144)))</f>
        <v>0</v>
      </c>
      <c r="AJ144" s="3632" t="b">
        <f t="shared" ref="AJ144:AJ161" si="30">AND(NOT(I144=""),OR(ISNUMBER(SEARCH(I144,AG144)),ISNUMBER(SEARCH(I144,AH144))))</f>
        <v>0</v>
      </c>
      <c r="AK144" s="3632"/>
      <c r="AL144" s="628" t="e">
        <f>IF(ISNUMBER(MATCH("Coste"&amp;$E144,Name_Tabla_Cat,0)),MIN(VLOOKUP(Categoría_1,Tabla_Categorías,MATCH("Coste"&amp;$E144,Name_Tabla_Cat,0),FALSE),VLOOKUP(Categoría_1,Tabla_Categorías,MATCH("Coste"&amp;$B144,Name_Tabla_Cat,0),FALSE)),VLOOKUP(Categoría_1,Tabla_Categorías,MATCH("Coste"&amp;$B144,Name_Tabla_Cat,0),FALSE))</f>
        <v>#N/A</v>
      </c>
      <c r="AM144" s="628"/>
      <c r="AN144" s="628"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628"/>
      <c r="AP144" s="628"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530"/>
      <c r="AR144" s="628"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530"/>
      <c r="AT144" s="628"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530" t="str">
        <f>IF(AND($AF$141,OR(AG144&lt;&gt;0,AH144&lt;&gt;0)),E144&amp;" "&amp;IF(AND(ISNUMBER(AG144),ISNUMBER(VALUE(AH144))),AG144+AH144,IF(AH144&lt;&gt;0,VALUE(AH144)&amp;", "&amp;E144&amp;" ","")&amp;SUBSTITUTE(AG144,E144&amp;" ",""))&amp;", ","")</f>
        <v/>
      </c>
      <c r="AV144" s="530"/>
      <c r="AW144" s="530"/>
      <c r="AX144" s="530"/>
      <c r="AY144" s="530"/>
      <c r="AZ144" s="530"/>
      <c r="BA144" s="530"/>
      <c r="BL144" s="2617"/>
      <c r="BM144" s="2617"/>
      <c r="BN144" s="2617"/>
      <c r="BO144" s="2617"/>
      <c r="BP144" s="2617"/>
      <c r="BQ144" s="2617"/>
      <c r="BR144" s="2617"/>
      <c r="BS144" s="2617"/>
      <c r="BT144" s="2617"/>
      <c r="BU144" s="2617"/>
      <c r="BV144" s="2617"/>
      <c r="BW144" s="2617"/>
      <c r="BX144" s="2617"/>
    </row>
    <row r="145" spans="1:76" ht="12" customHeight="1">
      <c r="A145" s="29"/>
      <c r="B145" s="753" t="str">
        <f t="shared" ref="B145:B150" si="35">B144</f>
        <v>Atléticas</v>
      </c>
      <c r="C145" s="4527"/>
      <c r="D145" s="5035"/>
      <c r="E145" s="4971" t="s">
        <v>1265</v>
      </c>
      <c r="F145" s="4972"/>
      <c r="G145" s="4972"/>
      <c r="H145" s="727" t="s">
        <v>1233</v>
      </c>
      <c r="I145" s="1374"/>
      <c r="J145" s="1789">
        <f>IF(ISNA(AL145),0,MAX(MIN(AL145-VLOOKUP("Apto en campo: "&amp;$B145,Tabla_Ventajas,3,FALSE)-Tablas!$O311-2*Tablas!$Q311,3),1))</f>
        <v>0</v>
      </c>
      <c r="K145" s="1613"/>
      <c r="L145" s="1789">
        <f>IF(ISNA(AN145),0,MAX(MIN(AN145-VLOOKUP("Apto en campo: "&amp;$B145,Tabla_Ventajas,3,FALSE)-Tablas!$O311-2*Tablas!$Q311,3),1))</f>
        <v>0</v>
      </c>
      <c r="M145" s="1613"/>
      <c r="N145" s="1789">
        <f>IF(ISNA(AP145),0,MAX(MIN(AP145-VLOOKUP("Apto en campo: "&amp;$B145,Tabla_Ventajas,3,FALSE)-Tablas!$O311-2*Tablas!$Q311,3),1))</f>
        <v>0</v>
      </c>
      <c r="O145" s="1613"/>
      <c r="P145" s="1789">
        <f>IF(ISNA(AR145),0,MAX(MIN(AR145-VLOOKUP("Apto en campo: "&amp;$B145,Tabla_Ventajas,3,FALSE)-Tablas!$O311-2*Tablas!$Q311,3),1))</f>
        <v>0</v>
      </c>
      <c r="Q145" s="1613"/>
      <c r="R145" s="1789">
        <f>IF(ISNA(AT145),0,MAX(MIN(AT145-VLOOKUP("Apto en campo: "&amp;$B145,Tabla_Ventajas,3,FALSE)-Tablas!$O311-2*Tablas!$Q311,3),1))</f>
        <v>0</v>
      </c>
      <c r="S145" s="1613"/>
      <c r="T145" s="447">
        <f>IF(J145=0,0,TRUNC(K145/J145,0))+IF(L145=0,0,TRUNC(M145/L145,0))+IF(N145=0,0,TRUNC(O145/N145,0))+IF(P145=0,0,TRUNC(Q145/P145,0))+IF(R145=0,0,TRUNC(S145/R145,0))+IF(Personalización!$E$12="Como Base (no oficial)",AF145,0)</f>
        <v>0</v>
      </c>
      <c r="U145" s="447">
        <f t="shared" si="27"/>
        <v>0</v>
      </c>
      <c r="V145" s="447">
        <f>IF(ISNA(HLOOKUP($E145,Bonos_Cat_Base,2,FALSE)),0,HLOOKUP($E145,Bonos_Cat_Base,2,FALSE))+Tablas!$X311*Nivel_Total+10*Y145</f>
        <v>0</v>
      </c>
      <c r="W145" s="1612"/>
      <c r="X145" s="1613"/>
      <c r="Y145" s="1612"/>
      <c r="Z145" s="1961"/>
      <c r="AA145" s="1191">
        <f>IF(AND(T145&lt;5,Tablas!G$315=0),-30,0)+T145+U145+V145+Z145+IF(I145="",0,40)+Mod_ATA+Mod_Fisico+AD145+IF(Personalización!$E$12="Como Base (no oficial)",0,AF145)</f>
        <v>-30</v>
      </c>
      <c r="AB145" s="1547">
        <f t="shared" si="28"/>
        <v>0</v>
      </c>
      <c r="AC145" s="769"/>
      <c r="AD145" s="3639">
        <f>'Tablas psiquica'!$AO$56</f>
        <v>0</v>
      </c>
      <c r="AE145" s="3632" t="e">
        <f>$S$7*VLOOKUP(Categoría_1,Tablas!$D$198:$CN$228,MATCH(E145,Tablas!$D$201:$CQ$201,0),FALSE)+IF(Categoría_2="",0,$S$9*VLOOKUP(Categoría_2,Tablas!$D$198:$CN$228,MATCH(E145,Tablas!$D$201:$CQ$201,0),FALSE))+IF(Categoría_3="",0,$S$11*VLOOKUP(Categoría_3,Tablas!$D$198:$CN$228,MATCH(E145,Tablas!$D$201:$CQ$201,0),FALSE))+IF(Categoría_4="",0,$S$13*VLOOKUP(Categoría_4,Tablas!$D$198:$CN$228,MATCH(E145,Tablas!$D$201:$CQ$201,0),FALSE))+IF(Categoría_5="",0,$S$15*VLOOKUP(Categoría_5,Tablas!$D$198:$CN$228,MATCH(E145,Tablas!$D$201:$CQ$201,0)))</f>
        <v>#N/A</v>
      </c>
      <c r="AF145" s="3633">
        <f>IF(AF$141,IF(OR(Region="",ClaseSocial="",Personalización!$AN$9),0,IF(OR(AND(AI145,AJ145),AND(NOT(AI145),NOT(AJ145))),LEFT(AG145,2)+LEFT(AH145,2),IF(AND(AI145,NOT(AJ145)),LEFT(AH145,2),0))),0)</f>
        <v>0</v>
      </c>
      <c r="AG145" s="2265">
        <f>HLOOKUP(Region&amp;ClaseSocial,Tabla_RaicesCulturales,Tablas!F143,FALSE)</f>
        <v>0</v>
      </c>
      <c r="AH145" s="3632">
        <f>IF(AND(E145="Historia",Personalización!$E$16="Historia (Local)"),20&amp;" "&amp;Personalización!$E$16,IF(E145=Personalización!$E$15,VLOOKUP(E145,Tablas!$L$136:$M$137,2,FALSE),IF(E145=Personalización!$E$16,VLOOKUP(E145,Tablas!$N$136:$O$137,2,FALSE),0)))</f>
        <v>0</v>
      </c>
      <c r="AI145" s="3632" t="b">
        <f t="shared" si="29"/>
        <v>0</v>
      </c>
      <c r="AJ145" s="3632" t="b">
        <f t="shared" si="30"/>
        <v>0</v>
      </c>
      <c r="AK145" s="3632"/>
      <c r="AL145" s="628" t="e">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#N/A</v>
      </c>
      <c r="AM145" s="628"/>
      <c r="AN145" s="628" t="e">
        <f t="shared" si="31"/>
        <v>#N/A</v>
      </c>
      <c r="AO145" s="628"/>
      <c r="AP145" s="628" t="e">
        <f t="shared" si="32"/>
        <v>#N/A</v>
      </c>
      <c r="AQ145" s="530"/>
      <c r="AR145" s="628" t="e">
        <f t="shared" si="33"/>
        <v>#N/A</v>
      </c>
      <c r="AS145" s="530"/>
      <c r="AT145" s="628" t="e">
        <f t="shared" si="34"/>
        <v>#N/A</v>
      </c>
      <c r="AU145" s="21" t="str">
        <f t="shared" ref="AU145:AU173" si="37">IF(AND($AF$141,OR(AG145&lt;&gt;0,AH145&lt;&gt;0)),E145&amp;" "&amp;IF(AND(ISNUMBER(AG145),ISNUMBER(VALUE(AH145))),AG145+AH145,IF(AH145&lt;&gt;0,VALUE(AH145)&amp;", "&amp;E145&amp;" ","")&amp;SUBSTITUTE(AG145,E145&amp;" ",""))&amp;", ","")</f>
        <v/>
      </c>
      <c r="BL145" s="2617"/>
      <c r="BM145" s="2617"/>
      <c r="BN145" s="2617"/>
      <c r="BO145" s="2617"/>
      <c r="BP145" s="2617"/>
      <c r="BQ145" s="2617"/>
      <c r="BR145" s="2617"/>
      <c r="BS145" s="2617"/>
      <c r="BT145" s="2617"/>
      <c r="BU145" s="2617"/>
      <c r="BV145" s="2617"/>
      <c r="BW145" s="2617"/>
      <c r="BX145" s="2617"/>
    </row>
    <row r="146" spans="1:76" ht="12" customHeight="1">
      <c r="A146" s="29"/>
      <c r="B146" s="753" t="str">
        <f t="shared" si="35"/>
        <v>Atléticas</v>
      </c>
      <c r="C146" s="4527"/>
      <c r="D146" s="5035"/>
      <c r="E146" s="4969" t="s">
        <v>1268</v>
      </c>
      <c r="F146" s="4970"/>
      <c r="G146" s="4970"/>
      <c r="H146" s="728" t="s">
        <v>1233</v>
      </c>
      <c r="I146" s="1350"/>
      <c r="J146" s="503">
        <f>IF(ISNA(AL146),0,MAX(MIN(AL146-VLOOKUP("Apto en campo: "&amp;$B146,Tabla_Ventajas,3,FALSE)-Tablas!$O312-2*Tablas!$Q312,3),1))</f>
        <v>0</v>
      </c>
      <c r="K146" s="1615"/>
      <c r="L146" s="503">
        <f>IF(ISNA(AN146),0,MAX(MIN(AN146-VLOOKUP("Apto en campo: "&amp;$B146,Tabla_Ventajas,3,FALSE)-Tablas!$O312-2*Tablas!$Q312,3),1))</f>
        <v>0</v>
      </c>
      <c r="M146" s="1615"/>
      <c r="N146" s="503">
        <f>IF(ISNA(AP146),0,MAX(MIN(AP146-VLOOKUP("Apto en campo: "&amp;$B146,Tabla_Ventajas,3,FALSE)-Tablas!$O312-2*Tablas!$Q312,3),1))</f>
        <v>0</v>
      </c>
      <c r="O146" s="1615"/>
      <c r="P146" s="503">
        <f>IF(ISNA(AR146),0,MAX(MIN(AR146-VLOOKUP("Apto en campo: "&amp;$B146,Tabla_Ventajas,3,FALSE)-Tablas!$O312-2*Tablas!$Q312,3),1))</f>
        <v>0</v>
      </c>
      <c r="Q146" s="1615"/>
      <c r="R146" s="503">
        <f>IF(ISNA(AT146),0,MAX(MIN(AT146-VLOOKUP("Apto en campo: "&amp;$B146,Tabla_Ventajas,3,FALSE)-Tablas!$O312-2*Tablas!$Q312,3),1))</f>
        <v>0</v>
      </c>
      <c r="S146" s="1615"/>
      <c r="T146" s="448">
        <f>IF(J146=0,0,TRUNC(K146/J146,0))+IF(L146=0,0,TRUNC(M146/L146,0))+IF(N146=0,0,TRUNC(O146/N146,0))+IF(P146=0,0,TRUNC(Q146/P146,0))+IF(R146=0,0,TRUNC(S146/R146,0))+IF(Personalización!$E$12="Como Base (no oficial)",AF146,0)</f>
        <v>0</v>
      </c>
      <c r="U146" s="448">
        <f t="shared" si="27"/>
        <v>0</v>
      </c>
      <c r="V146" s="448">
        <f>IF(ISNA(HLOOKUP($E146,Bonos_Cat_Base,2,FALSE)),0,HLOOKUP($E146,Bonos_Cat_Base,2,FALSE))+Tablas!$X312*Nivel_Total+10*Y146</f>
        <v>0</v>
      </c>
      <c r="W146" s="1614"/>
      <c r="X146" s="1615"/>
      <c r="Y146" s="1614"/>
      <c r="Z146" s="1962"/>
      <c r="AA146" s="1192">
        <f>IF(AND(T146&lt;5,Tablas!G$315=0),-30,0)+T146+U146+V146+Z146+IF(I146="",0,40)+Mod_ATA+Mod_Fisico+AD146+IF(Personalización!$E$12="Como Base (no oficial)",0,AF146)</f>
        <v>-30</v>
      </c>
      <c r="AB146" s="1547">
        <f t="shared" si="28"/>
        <v>0</v>
      </c>
      <c r="AC146" s="769"/>
      <c r="AD146" s="3639">
        <f>'Tablas psiquica'!$AO$56</f>
        <v>0</v>
      </c>
      <c r="AE146" s="3632" t="e">
        <f>$S$7*VLOOKUP(Categoría_1,Tablas!$D$198:$CN$228,MATCH(E146,Tablas!$D$201:$CQ$201,0),FALSE)+IF(Categoría_2="",0,$S$9*VLOOKUP(Categoría_2,Tablas!$D$198:$CN$228,MATCH(E146,Tablas!$D$201:$CQ$201,0),FALSE))+IF(Categoría_3="",0,$S$11*VLOOKUP(Categoría_3,Tablas!$D$198:$CN$228,MATCH(E146,Tablas!$D$201:$CQ$201,0),FALSE))+IF(Categoría_4="",0,$S$13*VLOOKUP(Categoría_4,Tablas!$D$198:$CN$228,MATCH(E146,Tablas!$D$201:$CQ$201,0),FALSE))+IF(Categoría_5="",0,$S$15*VLOOKUP(Categoría_5,Tablas!$D$198:$CN$228,MATCH(E146,Tablas!$D$201:$CQ$201,0)))</f>
        <v>#N/A</v>
      </c>
      <c r="AF146" s="3633">
        <f>IF(AF$141,IF(OR(Region="",ClaseSocial="",Personalización!$AN$9),0,IF(OR(AND(AI146,AJ146),AND(NOT(AI146),NOT(AJ146))),LEFT(AG146,2)+LEFT(AH146,2),IF(AND(AI146,NOT(AJ146)),LEFT(AH146,2),0))),0)</f>
        <v>0</v>
      </c>
      <c r="AG146" s="2265">
        <f>HLOOKUP(Region&amp;ClaseSocial,Tabla_RaicesCulturales,Tablas!F144,FALSE)</f>
        <v>0</v>
      </c>
      <c r="AH146" s="3632">
        <f>IF(AND(E146="Historia",Personalización!$E$16="Historia (Local)"),20&amp;" "&amp;Personalización!$E$16,IF(E146=Personalización!$E$15,VLOOKUP(E146,Tablas!$L$136:$M$137,2,FALSE),IF(E146=Personalización!$E$16,VLOOKUP(E146,Tablas!$N$136:$O$137,2,FALSE),0)))</f>
        <v>0</v>
      </c>
      <c r="AI146" s="3632" t="b">
        <f t="shared" si="29"/>
        <v>0</v>
      </c>
      <c r="AJ146" s="3632" t="b">
        <f t="shared" si="30"/>
        <v>0</v>
      </c>
      <c r="AK146" s="3632"/>
      <c r="AL146" s="628" t="e">
        <f t="shared" si="36"/>
        <v>#N/A</v>
      </c>
      <c r="AM146" s="628"/>
      <c r="AN146" s="628" t="e">
        <f t="shared" si="31"/>
        <v>#N/A</v>
      </c>
      <c r="AO146" s="628"/>
      <c r="AP146" s="628" t="e">
        <f t="shared" si="32"/>
        <v>#N/A</v>
      </c>
      <c r="AQ146" s="530"/>
      <c r="AR146" s="628" t="e">
        <f t="shared" si="33"/>
        <v>#N/A</v>
      </c>
      <c r="AS146" s="530"/>
      <c r="AT146" s="628" t="e">
        <f t="shared" si="34"/>
        <v>#N/A</v>
      </c>
      <c r="AU146" s="21" t="str">
        <f t="shared" si="37"/>
        <v/>
      </c>
      <c r="BL146" s="2617"/>
      <c r="BM146" s="2617"/>
      <c r="BN146" s="2617"/>
      <c r="BO146" s="2617"/>
      <c r="BP146" s="2617"/>
      <c r="BQ146" s="2617"/>
      <c r="BR146" s="2617"/>
      <c r="BS146" s="2617"/>
      <c r="BT146" s="2617"/>
      <c r="BU146" s="2617"/>
      <c r="BV146" s="2617"/>
      <c r="BW146" s="2617"/>
      <c r="BX146" s="2617"/>
    </row>
    <row r="147" spans="1:76" ht="12" customHeight="1">
      <c r="A147" s="29"/>
      <c r="B147" s="753" t="str">
        <f t="shared" si="35"/>
        <v>Atléticas</v>
      </c>
      <c r="C147" s="4527"/>
      <c r="D147" s="5035"/>
      <c r="E147" s="4971" t="s">
        <v>1272</v>
      </c>
      <c r="F147" s="4972"/>
      <c r="G147" s="4972"/>
      <c r="H147" s="727" t="s">
        <v>1233</v>
      </c>
      <c r="I147" s="1374"/>
      <c r="J147" s="1789">
        <f>IF(ISNA(AL147),0,MAX(MIN(AL147-VLOOKUP("Apto en campo: "&amp;$B147,Tabla_Ventajas,3,FALSE)-Tablas!$O313-2*Tablas!$Q313,3),1))</f>
        <v>0</v>
      </c>
      <c r="K147" s="1613"/>
      <c r="L147" s="1789">
        <f>IF(ISNA(AN147),0,MAX(MIN(AN147-VLOOKUP("Apto en campo: "&amp;$B147,Tabla_Ventajas,3,FALSE)-Tablas!$O313-2*Tablas!$Q313,3),1))</f>
        <v>0</v>
      </c>
      <c r="M147" s="1613"/>
      <c r="N147" s="1789">
        <f>IF(ISNA(AP147),0,MAX(MIN(AP147-VLOOKUP("Apto en campo: "&amp;$B147,Tabla_Ventajas,3,FALSE)-Tablas!$O313-2*Tablas!$Q313,3),1))</f>
        <v>0</v>
      </c>
      <c r="O147" s="1613"/>
      <c r="P147" s="1789">
        <f>IF(ISNA(AR147),0,MAX(MIN(AR147-VLOOKUP("Apto en campo: "&amp;$B147,Tabla_Ventajas,3,FALSE)-Tablas!$O313-2*Tablas!$Q313,3),1))</f>
        <v>0</v>
      </c>
      <c r="Q147" s="1613"/>
      <c r="R147" s="1789">
        <f>IF(ISNA(AT147),0,MAX(MIN(AT147-VLOOKUP("Apto en campo: "&amp;$B147,Tabla_Ventajas,3,FALSE)-Tablas!$O313-2*Tablas!$Q313,3),1))</f>
        <v>0</v>
      </c>
      <c r="S147" s="1613"/>
      <c r="T147" s="447">
        <f>IF(J147=0,0,TRUNC(K147/J147,0))+IF(L147=0,0,TRUNC(M147/L147,0))+IF(N147=0,0,TRUNC(O147/N147,0))+IF(P147=0,0,TRUNC(Q147/P147,0))+IF(R147=0,0,TRUNC(S147/R147,0))+IF(Personalización!$E$12="Como Base (no oficial)",AF147,0)</f>
        <v>0</v>
      </c>
      <c r="U147" s="447">
        <f t="shared" si="27"/>
        <v>0</v>
      </c>
      <c r="V147" s="447">
        <f>IF(ISNA(HLOOKUP($E147,Bonos_Cat_Base,2,FALSE)),0,HLOOKUP($E147,Bonos_Cat_Base,2,FALSE))+Tablas!$X313*Nivel_Total+10*Y147</f>
        <v>0</v>
      </c>
      <c r="W147" s="1612"/>
      <c r="X147" s="1613"/>
      <c r="Y147" s="1612"/>
      <c r="Z147" s="1961"/>
      <c r="AA147" s="1191">
        <f>IF(AND(T147&lt;5,Tablas!G$315=0),-30,0)+T147+U147+V147+Z147+IF(I147="",0,40)+Mod_ATA+Mod_Fisico+AD147+IF(Personalización!$E$12="Como Base (no oficial)",0,AF147)</f>
        <v>-30</v>
      </c>
      <c r="AB147" s="1547">
        <f t="shared" si="28"/>
        <v>0</v>
      </c>
      <c r="AC147" s="769"/>
      <c r="AD147" s="3639">
        <f>'Tablas psiquica'!$AO$56</f>
        <v>0</v>
      </c>
      <c r="AE147" s="3632" t="e">
        <f>$S$7*VLOOKUP(Categoría_1,Tablas!$D$198:$CN$228,MATCH(E147,Tablas!$D$201:$CQ$201,0),FALSE)+IF(Categoría_2="",0,$S$9*VLOOKUP(Categoría_2,Tablas!$D$198:$CN$228,MATCH(E147,Tablas!$D$201:$CQ$201,0),FALSE))+IF(Categoría_3="",0,$S$11*VLOOKUP(Categoría_3,Tablas!$D$198:$CN$228,MATCH(E147,Tablas!$D$201:$CQ$201,0),FALSE))+IF(Categoría_4="",0,$S$13*VLOOKUP(Categoría_4,Tablas!$D$198:$CN$228,MATCH(E147,Tablas!$D$201:$CQ$201,0),FALSE))+IF(Categoría_5="",0,$S$15*VLOOKUP(Categoría_5,Tablas!$D$198:$CN$228,MATCH(E147,Tablas!$D$201:$CQ$201,0)))</f>
        <v>#N/A</v>
      </c>
      <c r="AF147" s="3633">
        <f>IF(AF$141,IF(OR(Region="",ClaseSocial="",Personalización!$AN$9),0,IF(OR(AND(AI147,AJ147),AND(NOT(AI147),NOT(AJ147))),LEFT(AG147,2)+LEFT(AH147,2),IF(AND(AI147,NOT(AJ147)),LEFT(AH147,2),0))),0)</f>
        <v>0</v>
      </c>
      <c r="AG147" s="2265">
        <f>HLOOKUP(Region&amp;ClaseSocial,Tabla_RaicesCulturales,Tablas!F145,FALSE)</f>
        <v>0</v>
      </c>
      <c r="AH147" s="3632">
        <f>IF(AND(E147="Historia",Personalización!$E$16="Historia (Local)"),20&amp;" "&amp;Personalización!$E$16,IF(E147=Personalización!$E$15,VLOOKUP(E147,Tablas!$L$136:$M$137,2,FALSE),IF(E147=Personalización!$E$16,VLOOKUP(E147,Tablas!$N$136:$O$137,2,FALSE),0)))</f>
        <v>0</v>
      </c>
      <c r="AI147" s="3632" t="b">
        <f t="shared" si="29"/>
        <v>0</v>
      </c>
      <c r="AJ147" s="3632" t="b">
        <f t="shared" si="30"/>
        <v>0</v>
      </c>
      <c r="AK147" s="3632"/>
      <c r="AL147" s="628" t="e">
        <f t="shared" si="36"/>
        <v>#N/A</v>
      </c>
      <c r="AM147" s="628"/>
      <c r="AN147" s="628" t="e">
        <f t="shared" si="31"/>
        <v>#N/A</v>
      </c>
      <c r="AO147" s="628"/>
      <c r="AP147" s="628" t="e">
        <f t="shared" si="32"/>
        <v>#N/A</v>
      </c>
      <c r="AQ147" s="530"/>
      <c r="AR147" s="628" t="e">
        <f t="shared" si="33"/>
        <v>#N/A</v>
      </c>
      <c r="AS147" s="530"/>
      <c r="AT147" s="628" t="e">
        <f t="shared" si="34"/>
        <v>#N/A</v>
      </c>
      <c r="AU147" s="21" t="str">
        <f t="shared" si="37"/>
        <v/>
      </c>
      <c r="BL147" s="2617"/>
      <c r="BM147" s="2617"/>
      <c r="BN147" s="2617"/>
      <c r="BO147" s="2617"/>
      <c r="BP147" s="2617"/>
      <c r="BQ147" s="2617"/>
      <c r="BR147" s="2617"/>
      <c r="BS147" s="2617"/>
      <c r="BT147" s="2617"/>
      <c r="BU147" s="2617"/>
      <c r="BV147" s="2617"/>
      <c r="BW147" s="2617"/>
      <c r="BX147" s="2617"/>
    </row>
    <row r="148" spans="1:76" ht="12" customHeight="1">
      <c r="A148" s="29"/>
      <c r="B148" s="753" t="str">
        <f t="shared" si="35"/>
        <v>Atléticas</v>
      </c>
      <c r="C148" s="4527"/>
      <c r="D148" s="5035"/>
      <c r="E148" s="4969" t="s">
        <v>1275</v>
      </c>
      <c r="F148" s="4970"/>
      <c r="G148" s="4970"/>
      <c r="H148" s="728" t="s">
        <v>1233</v>
      </c>
      <c r="I148" s="1350"/>
      <c r="J148" s="503">
        <f>IF(ISNA(AL148),0,MAX(MIN(AL148-VLOOKUP("Apto en campo: "&amp;$B148,Tabla_Ventajas,3,FALSE)-Tablas!$O314-2*Tablas!$Q314,3),1))</f>
        <v>0</v>
      </c>
      <c r="K148" s="1615"/>
      <c r="L148" s="503">
        <f>IF(ISNA(AN148),0,MAX(MIN(AN148-VLOOKUP("Apto en campo: "&amp;$B148,Tabla_Ventajas,3,FALSE)-Tablas!$O314-2*Tablas!$Q314,3),1))</f>
        <v>0</v>
      </c>
      <c r="M148" s="1615"/>
      <c r="N148" s="503">
        <f>IF(ISNA(AP148),0,MAX(MIN(AP148-VLOOKUP("Apto en campo: "&amp;$B148,Tabla_Ventajas,3,FALSE)-Tablas!$O314-2*Tablas!$Q314,3),1))</f>
        <v>0</v>
      </c>
      <c r="O148" s="1615"/>
      <c r="P148" s="503">
        <f>IF(ISNA(AR148),0,MAX(MIN(AR148-VLOOKUP("Apto en campo: "&amp;$B148,Tabla_Ventajas,3,FALSE)-Tablas!$O314-2*Tablas!$Q314,3),1))</f>
        <v>0</v>
      </c>
      <c r="Q148" s="1615"/>
      <c r="R148" s="503">
        <f>IF(ISNA(AT148),0,MAX(MIN(AT148-VLOOKUP("Apto en campo: "&amp;$B148,Tabla_Ventajas,3,FALSE)-Tablas!$O314-2*Tablas!$Q314,3),1))</f>
        <v>0</v>
      </c>
      <c r="S148" s="1615"/>
      <c r="T148" s="448">
        <f>IF(J148=0,0,TRUNC(K148/J148,0))+IF(L148=0,0,TRUNC(M148/L148,0))+IF(N148=0,0,TRUNC(O148/N148,0))+IF(P148=0,0,TRUNC(Q148/P148,0))+IF(R148=0,0,TRUNC(S148/R148,0))+IF(Personalización!$E$12="Como Base (no oficial)",AF148,0)</f>
        <v>0</v>
      </c>
      <c r="U148" s="448">
        <f t="shared" si="27"/>
        <v>0</v>
      </c>
      <c r="V148" s="448">
        <f>IF(ISNA(HLOOKUP($E148,Bonos_Cat_Base,2,FALSE)),0,HLOOKUP($E148,Bonos_Cat_Base,2,FALSE))+Tablas!$X314*Nivel_Total+10*Y148</f>
        <v>0</v>
      </c>
      <c r="W148" s="1614"/>
      <c r="X148" s="1615"/>
      <c r="Y148" s="1614"/>
      <c r="Z148" s="1962"/>
      <c r="AA148" s="1192">
        <f>IF(AND(T148&lt;5,Tablas!G$315=0),-30,0)+T148+U148+V148+Z148+IF(I148="",0,40)+Mod_ATA+Mod_Fisico+AD148+IF(Personalización!$E$12="Como Base (no oficial)",0,AF148)</f>
        <v>-30</v>
      </c>
      <c r="AB148" s="1547">
        <f t="shared" si="28"/>
        <v>0</v>
      </c>
      <c r="AC148" s="769"/>
      <c r="AD148" s="3639">
        <f>'Tablas psiquica'!$AO$56</f>
        <v>0</v>
      </c>
      <c r="AE148" s="3632" t="e">
        <f>$S$7*VLOOKUP(Categoría_1,Tablas!$D$198:$CN$228,MATCH(E148,Tablas!$D$201:$CQ$201,0),FALSE)+IF(Categoría_2="",0,$S$9*VLOOKUP(Categoría_2,Tablas!$D$198:$CN$228,MATCH(E148,Tablas!$D$201:$CQ$201,0),FALSE))+IF(Categoría_3="",0,$S$11*VLOOKUP(Categoría_3,Tablas!$D$198:$CN$228,MATCH(E148,Tablas!$D$201:$CQ$201,0),FALSE))+IF(Categoría_4="",0,$S$13*VLOOKUP(Categoría_4,Tablas!$D$198:$CN$228,MATCH(E148,Tablas!$D$201:$CQ$201,0),FALSE))+IF(Categoría_5="",0,$S$15*VLOOKUP(Categoría_5,Tablas!$D$198:$CN$228,MATCH(E148,Tablas!$D$201:$CQ$201,0)))</f>
        <v>#N/A</v>
      </c>
      <c r="AF148" s="3633">
        <f>IF(AF$141,IF(OR(Region="",ClaseSocial="",Personalización!$AN$9),0,IF(OR(AND(AI148,AJ148),AND(NOT(AI148),NOT(AJ148))),LEFT(AG148,2)+LEFT(AH148,2),IF(AND(AI148,NOT(AJ148)),LEFT(AH148,2),0))),0)</f>
        <v>0</v>
      </c>
      <c r="AG148" s="2265">
        <f>HLOOKUP(Region&amp;ClaseSocial,Tabla_RaicesCulturales,Tablas!F146,FALSE)</f>
        <v>0</v>
      </c>
      <c r="AH148" s="3632">
        <f>IF(AND(E148="Historia",Personalización!$E$16="Historia (Local)"),20&amp;" "&amp;Personalización!$E$16,IF(E148=Personalización!$E$15,VLOOKUP(E148,Tablas!$L$136:$M$137,2,FALSE),IF(E148=Personalización!$E$16,VLOOKUP(E148,Tablas!$N$136:$O$137,2,FALSE),0)))</f>
        <v>0</v>
      </c>
      <c r="AI148" s="3632" t="b">
        <f t="shared" si="29"/>
        <v>0</v>
      </c>
      <c r="AJ148" s="3632" t="b">
        <f t="shared" si="30"/>
        <v>0</v>
      </c>
      <c r="AK148" s="3632"/>
      <c r="AL148" s="628" t="e">
        <f t="shared" si="36"/>
        <v>#N/A</v>
      </c>
      <c r="AM148" s="628"/>
      <c r="AN148" s="628" t="e">
        <f t="shared" si="31"/>
        <v>#N/A</v>
      </c>
      <c r="AO148" s="628"/>
      <c r="AP148" s="628" t="e">
        <f t="shared" si="32"/>
        <v>#N/A</v>
      </c>
      <c r="AQ148" s="530"/>
      <c r="AR148" s="628" t="e">
        <f t="shared" si="33"/>
        <v>#N/A</v>
      </c>
      <c r="AS148" s="530"/>
      <c r="AT148" s="628" t="e">
        <f t="shared" si="34"/>
        <v>#N/A</v>
      </c>
      <c r="AU148" s="21" t="str">
        <f t="shared" si="37"/>
        <v/>
      </c>
      <c r="BL148" s="2617"/>
      <c r="BM148" s="2617"/>
      <c r="BN148" s="2617"/>
      <c r="BO148" s="2617"/>
      <c r="BP148" s="2617"/>
      <c r="BQ148" s="2617"/>
      <c r="BR148" s="2617"/>
      <c r="BS148" s="2617"/>
      <c r="BT148" s="2617"/>
      <c r="BU148" s="2617"/>
      <c r="BV148" s="2617"/>
      <c r="BW148" s="2617"/>
      <c r="BX148" s="2617"/>
    </row>
    <row r="149" spans="1:76" ht="12" customHeight="1">
      <c r="A149" s="29"/>
      <c r="B149" s="753" t="str">
        <f t="shared" si="35"/>
        <v>Atléticas</v>
      </c>
      <c r="C149" s="4527"/>
      <c r="D149" s="5035"/>
      <c r="E149" s="4971" t="s">
        <v>1278</v>
      </c>
      <c r="F149" s="4972"/>
      <c r="G149" s="4972"/>
      <c r="H149" s="727" t="s">
        <v>1243</v>
      </c>
      <c r="I149" s="1374"/>
      <c r="J149" s="1789">
        <f>IF(ISNA(AL149),0,MAX(MIN(AL149-VLOOKUP("Apto en campo: "&amp;$B149,Tabla_Ventajas,3,FALSE)-Tablas!$O315-2*Tablas!$Q315,3),1))</f>
        <v>0</v>
      </c>
      <c r="K149" s="1613"/>
      <c r="L149" s="1789">
        <f>IF(ISNA(AN149),0,MAX(MIN(AN149-VLOOKUP("Apto en campo: "&amp;$B149,Tabla_Ventajas,3,FALSE)-Tablas!$O315-2*Tablas!$Q315,3),1))</f>
        <v>0</v>
      </c>
      <c r="M149" s="1613"/>
      <c r="N149" s="1789">
        <f>IF(ISNA(AP149),0,MAX(MIN(AP149-VLOOKUP("Apto en campo: "&amp;$B149,Tabla_Ventajas,3,FALSE)-Tablas!$O315-2*Tablas!$Q315,3),1))</f>
        <v>0</v>
      </c>
      <c r="O149" s="1613"/>
      <c r="P149" s="1789">
        <f>IF(ISNA(AR149),0,MAX(MIN(AR149-VLOOKUP("Apto en campo: "&amp;$B149,Tabla_Ventajas,3,FALSE)-Tablas!$O315-2*Tablas!$Q315,3),1))</f>
        <v>0</v>
      </c>
      <c r="Q149" s="1613"/>
      <c r="R149" s="1789">
        <f>IF(ISNA(AT149),0,MAX(MIN(AT149-VLOOKUP("Apto en campo: "&amp;$B149,Tabla_Ventajas,3,FALSE)-Tablas!$O315-2*Tablas!$Q315,3),1))</f>
        <v>0</v>
      </c>
      <c r="S149" s="1613"/>
      <c r="T149" s="447">
        <f>IF(J149=0,0,TRUNC(K149/J149,0))+IF(L149=0,0,TRUNC(M149/L149,0))+IF(N149=0,0,TRUNC(O149/N149,0))+IF(P149=0,0,TRUNC(Q149/P149,0))+IF(R149=0,0,TRUNC(S149/R149,0))+IF(Personalización!$E$12="Como Base (no oficial)",AF149,0)</f>
        <v>0</v>
      </c>
      <c r="U149" s="447">
        <f t="shared" si="27"/>
        <v>0</v>
      </c>
      <c r="V149" s="447">
        <f>IF(ISNA(HLOOKUP($E149,Bonos_Cat_Base,2,FALSE)),0,HLOOKUP($E149,Bonos_Cat_Base,2,FALSE))+Tablas!$X315*Nivel_Total+10*Y149</f>
        <v>0</v>
      </c>
      <c r="W149" s="1612"/>
      <c r="X149" s="1613"/>
      <c r="Y149" s="1612"/>
      <c r="Z149" s="1961"/>
      <c r="AA149" s="1191">
        <f>IF(AND(T149&lt;5,Tablas!G$315=0),-30,0)+T149+U149+V149+Z149+IF(I149="",0,40)+Mod_ATA+Mod_Fisico+AD149+IF(Personalización!$E$12="Como Base (no oficial)",0,AF149)</f>
        <v>-30</v>
      </c>
      <c r="AB149" s="1547">
        <f t="shared" si="28"/>
        <v>0</v>
      </c>
      <c r="AC149" s="769"/>
      <c r="AD149" s="3639">
        <f>MAX('Tablas psiquica'!AO53,'Tablas psiquica'!$AO$56)</f>
        <v>0</v>
      </c>
      <c r="AE149" s="3632" t="e">
        <f>$S$7*VLOOKUP(Categoría_1,Tablas!$D$198:$CN$228,MATCH(E149,Tablas!$D$201:$CQ$201,0),FALSE)+IF(Categoría_2="",0,$S$9*VLOOKUP(Categoría_2,Tablas!$D$198:$CN$228,MATCH(E149,Tablas!$D$201:$CQ$201,0),FALSE))+IF(Categoría_3="",0,$S$11*VLOOKUP(Categoría_3,Tablas!$D$198:$CN$228,MATCH(E149,Tablas!$D$201:$CQ$201,0),FALSE))+IF(Categoría_4="",0,$S$13*VLOOKUP(Categoría_4,Tablas!$D$198:$CN$228,MATCH(E149,Tablas!$D$201:$CQ$201,0),FALSE))+IF(Categoría_5="",0,$S$15*VLOOKUP(Categoría_5,Tablas!$D$198:$CN$228,MATCH(E149,Tablas!$D$201:$CQ$201,0)))</f>
        <v>#N/A</v>
      </c>
      <c r="AF149" s="3633">
        <f>IF(AF$141,IF(OR(Region="",ClaseSocial="",Personalización!$AN$9),0,IF(OR(AND(AI149,AJ149),AND(NOT(AI149),NOT(AJ149))),LEFT(AG149,2)+LEFT(AH149,2),IF(AND(AI149,NOT(AJ149)),LEFT(AH149,2),0))),0)</f>
        <v>0</v>
      </c>
      <c r="AG149" s="2265">
        <f>HLOOKUP(Region&amp;ClaseSocial,Tabla_RaicesCulturales,Tablas!F147,FALSE)</f>
        <v>0</v>
      </c>
      <c r="AH149" s="3632">
        <f>IF(AND(E149="Historia",Personalización!$E$16="Historia (Local)"),20&amp;" "&amp;Personalización!$E$16,IF(E149=Personalización!$E$15,VLOOKUP(E149,Tablas!$L$136:$M$137,2,FALSE),IF(E149=Personalización!$E$16,VLOOKUP(E149,Tablas!$N$136:$O$137,2,FALSE),0)))</f>
        <v>0</v>
      </c>
      <c r="AI149" s="3632" t="b">
        <f t="shared" si="29"/>
        <v>0</v>
      </c>
      <c r="AJ149" s="3632" t="b">
        <f t="shared" si="30"/>
        <v>0</v>
      </c>
      <c r="AK149" s="3632"/>
      <c r="AL149" s="628" t="e">
        <f t="shared" si="36"/>
        <v>#N/A</v>
      </c>
      <c r="AM149" s="628"/>
      <c r="AN149" s="628" t="e">
        <f t="shared" si="31"/>
        <v>#N/A</v>
      </c>
      <c r="AO149" s="628"/>
      <c r="AP149" s="628" t="e">
        <f t="shared" si="32"/>
        <v>#N/A</v>
      </c>
      <c r="AQ149" s="530"/>
      <c r="AR149" s="628" t="e">
        <f t="shared" si="33"/>
        <v>#N/A</v>
      </c>
      <c r="AS149" s="530"/>
      <c r="AT149" s="628" t="e">
        <f t="shared" si="34"/>
        <v>#N/A</v>
      </c>
      <c r="AU149" s="21" t="str">
        <f t="shared" si="37"/>
        <v/>
      </c>
      <c r="BL149" s="2617"/>
      <c r="BM149" s="2617"/>
      <c r="BN149" s="2617"/>
      <c r="BO149" s="2617"/>
      <c r="BP149" s="2617"/>
      <c r="BQ149" s="2617"/>
      <c r="BR149" s="2617"/>
      <c r="BS149" s="2617"/>
      <c r="BT149" s="2617"/>
      <c r="BU149" s="2617"/>
      <c r="BV149" s="2617"/>
      <c r="BW149" s="2617"/>
      <c r="BX149" s="2617"/>
    </row>
    <row r="150" spans="1:76" ht="12" customHeight="1">
      <c r="A150" s="29"/>
      <c r="B150" s="753" t="str">
        <f t="shared" si="35"/>
        <v>Atléticas</v>
      </c>
      <c r="C150" s="4527"/>
      <c r="D150" s="5035"/>
      <c r="E150" s="4969" t="s">
        <v>5858</v>
      </c>
      <c r="F150" s="4970"/>
      <c r="G150" s="4970"/>
      <c r="H150" s="728" t="s">
        <v>1238</v>
      </c>
      <c r="I150" s="1351"/>
      <c r="J150" s="503">
        <f>IF(ISNA(AL150),0,MAX(MIN(AL150-VLOOKUP("Apto en campo: "&amp;$B150,Tabla_Ventajas,3,FALSE)-Tablas!$O316-2*Tablas!$Q316,3),1))</f>
        <v>0</v>
      </c>
      <c r="K150" s="1615"/>
      <c r="L150" s="503">
        <f>IF(ISNA(AN150),0,MAX(MIN(AN150-VLOOKUP("Apto en campo: "&amp;$B150,Tabla_Ventajas,3,FALSE)-Tablas!$O316-2*Tablas!$Q316,3),1))</f>
        <v>0</v>
      </c>
      <c r="M150" s="1615"/>
      <c r="N150" s="503">
        <f>IF(ISNA(AP150),0,MAX(MIN(AP150-VLOOKUP("Apto en campo: "&amp;$B150,Tabla_Ventajas,3,FALSE)-Tablas!$O316-2*Tablas!$Q316,3),1))</f>
        <v>0</v>
      </c>
      <c r="O150" s="1615"/>
      <c r="P150" s="503">
        <f>IF(ISNA(AR150),0,MAX(MIN(AR150-VLOOKUP("Apto en campo: "&amp;$B150,Tabla_Ventajas,3,FALSE)-Tablas!$O316-2*Tablas!$Q316,3),1))</f>
        <v>0</v>
      </c>
      <c r="Q150" s="1615"/>
      <c r="R150" s="503">
        <f>IF(ISNA(AT150),0,MAX(MIN(AT150-VLOOKUP("Apto en campo: "&amp;$B150,Tabla_Ventajas,3,FALSE)-Tablas!$O316-2*Tablas!$Q316,3),1))</f>
        <v>0</v>
      </c>
      <c r="S150" s="1615"/>
      <c r="T150" s="448">
        <f>IF(J150=0,0,TRUNC(K150/J150,0))+IF(L150=0,0,TRUNC(M150/L150,0))+IF(N150=0,0,TRUNC(O150/N150,0))+IF(P150=0,0,TRUNC(Q150/P150,0))+IF(R150=0,0,TRUNC(S150/R150,0))+IF(Personalización!$E$12="Como Base (no oficial)",AF150,0)</f>
        <v>0</v>
      </c>
      <c r="U150" s="448">
        <f t="shared" si="27"/>
        <v>0</v>
      </c>
      <c r="V150" s="448">
        <f>IF(ISNA(HLOOKUP($E150,Bonos_Cat_Base,2,FALSE)),0,HLOOKUP($E150,Bonos_Cat_Base,2,FALSE))+Tablas!$X316*Nivel_Total+10*Y150</f>
        <v>0</v>
      </c>
      <c r="W150" s="1614"/>
      <c r="X150" s="1615"/>
      <c r="Y150" s="1614"/>
      <c r="Z150" s="1962"/>
      <c r="AA150" s="1192">
        <f>IF(AND(T150&lt;5,Tablas!G$315=0),-30,0)+T150+U150+V150+Z150+IF(I150="",0,40)+Mod_ATA+Mod_Fisico+AD150+IF(Personalización!$E$12="Como Base (no oficial)",0,AF150)</f>
        <v>-30</v>
      </c>
      <c r="AB150" s="1547">
        <f t="shared" si="28"/>
        <v>0</v>
      </c>
      <c r="AC150" s="769"/>
      <c r="AD150" s="3639">
        <f>'Tablas psiquica'!$AO$56</f>
        <v>0</v>
      </c>
      <c r="AE150" s="3632" t="e">
        <f>$S$7*VLOOKUP(Categoría_1,Tablas!$D$198:$CN$228,MATCH(E150,Tablas!$D$201:$CQ$201,0),FALSE)+IF(Categoría_2="",0,$S$9*VLOOKUP(Categoría_2,Tablas!$D$198:$CN$228,MATCH(E150,Tablas!$D$201:$CQ$201,0),FALSE))+IF(Categoría_3="",0,$S$11*VLOOKUP(Categoría_3,Tablas!$D$198:$CN$228,MATCH(E150,Tablas!$D$201:$CQ$201,0),FALSE))+IF(Categoría_4="",0,$S$13*VLOOKUP(Categoría_4,Tablas!$D$198:$CN$228,MATCH(E150,Tablas!$D$201:$CQ$201,0),FALSE))+IF(Categoría_5="",0,$S$15*VLOOKUP(Categoría_5,Tablas!$D$198:$CN$228,MATCH(E150,Tablas!$D$201:$CQ$201,0)))</f>
        <v>#N/A</v>
      </c>
      <c r="AF150" s="3633">
        <f>IF(AF$141,IF(OR(Region="",ClaseSocial="",Personalización!$AN$9),0,IF(OR(AND(AI150,AJ150),AND(NOT(AI150),NOT(AJ150))),LEFT(AG150,2)+LEFT(AH150,2),IF(AND(AI150,NOT(AJ150)),LEFT(AH150,2),0))),0)</f>
        <v>0</v>
      </c>
      <c r="AG150" s="2265">
        <f>HLOOKUP(Region&amp;ClaseSocial,Tabla_RaicesCulturales,Tablas!F148,FALSE)</f>
        <v>0</v>
      </c>
      <c r="AH150" s="3632">
        <f>IF(AND(E150="Historia",Personalización!$E$16="Historia (Local)"),20&amp;" "&amp;Personalización!$E$16,IF(E150=Personalización!$E$15,VLOOKUP(E150,Tablas!$L$136:$M$137,2,FALSE),IF(E150=Personalización!$E$16,VLOOKUP(E150,Tablas!$N$136:$O$137,2,FALSE),0)))</f>
        <v>0</v>
      </c>
      <c r="AI150" s="3632" t="b">
        <f t="shared" si="29"/>
        <v>0</v>
      </c>
      <c r="AJ150" s="3632" t="b">
        <f t="shared" si="30"/>
        <v>0</v>
      </c>
      <c r="AK150" s="3632"/>
      <c r="AL150" s="628" t="e">
        <f t="shared" si="36"/>
        <v>#N/A</v>
      </c>
      <c r="AM150" s="628"/>
      <c r="AN150" s="628" t="e">
        <f t="shared" si="31"/>
        <v>#N/A</v>
      </c>
      <c r="AO150" s="628"/>
      <c r="AP150" s="628" t="e">
        <f t="shared" si="32"/>
        <v>#N/A</v>
      </c>
      <c r="AQ150" s="530"/>
      <c r="AR150" s="628" t="e">
        <f t="shared" si="33"/>
        <v>#N/A</v>
      </c>
      <c r="AS150" s="530"/>
      <c r="AT150" s="628" t="e">
        <f t="shared" si="34"/>
        <v>#N/A</v>
      </c>
      <c r="AU150" s="21" t="str">
        <f t="shared" si="37"/>
        <v/>
      </c>
      <c r="BL150" s="2617"/>
      <c r="BM150" s="2617"/>
      <c r="BN150" s="2617"/>
      <c r="BO150" s="2617"/>
      <c r="BP150" s="2617"/>
      <c r="BQ150" s="2617"/>
      <c r="BR150" s="2617"/>
      <c r="BS150" s="2617"/>
      <c r="BT150" s="2617"/>
      <c r="BU150" s="2617"/>
      <c r="BV150" s="2617"/>
      <c r="BW150" s="2617"/>
      <c r="BX150" s="2617"/>
    </row>
    <row r="151" spans="1:76" ht="12" customHeight="1">
      <c r="A151" s="29"/>
      <c r="B151" s="753" t="str">
        <f>D151</f>
        <v>Sociales</v>
      </c>
      <c r="C151" s="4527"/>
      <c r="D151" s="5034" t="s">
        <v>1281</v>
      </c>
      <c r="E151" s="5039" t="s">
        <v>1282</v>
      </c>
      <c r="F151" s="5040"/>
      <c r="G151" s="5040"/>
      <c r="H151" s="729" t="s">
        <v>1250</v>
      </c>
      <c r="I151" s="1375"/>
      <c r="J151" s="1790">
        <f>IF(ISNA(AL151),0,MAX(MIN(AL151-VLOOKUP("Apto en campo: "&amp;$B151,Tabla_Ventajas,3,FALSE)-Tablas!$O317-2*Tablas!$Q317,3),1))</f>
        <v>0</v>
      </c>
      <c r="K151" s="1617"/>
      <c r="L151" s="1790">
        <f>IF(ISNA(AN151),0,MAX(MIN(AN151-VLOOKUP("Apto en campo: "&amp;$B151,Tabla_Ventajas,3,FALSE)-Tablas!$O317-2*Tablas!$Q317,3),1))</f>
        <v>0</v>
      </c>
      <c r="M151" s="1617"/>
      <c r="N151" s="1790">
        <f>IF(ISNA(AP151),0,MAX(MIN(AP151-VLOOKUP("Apto en campo: "&amp;$B151,Tabla_Ventajas,3,FALSE)-Tablas!$O317-2*Tablas!$Q317,3),1))</f>
        <v>0</v>
      </c>
      <c r="O151" s="1617"/>
      <c r="P151" s="1790">
        <f>IF(ISNA(AR151),0,MAX(MIN(AR151-VLOOKUP("Apto en campo: "&amp;$B151,Tabla_Ventajas,3,FALSE)-Tablas!$O317-2*Tablas!$Q317,3),1))</f>
        <v>0</v>
      </c>
      <c r="Q151" s="1617"/>
      <c r="R151" s="1790">
        <f>IF(ISNA(AT151),0,MAX(MIN(AT151-VLOOKUP("Apto en campo: "&amp;$B151,Tabla_Ventajas,3,FALSE)-Tablas!$O317-2*Tablas!$Q317,3),1))</f>
        <v>0</v>
      </c>
      <c r="S151" s="1617"/>
      <c r="T151" s="449">
        <f>IF(J151=0,0,TRUNC(K151/J151,0))+IF(L151=0,0,TRUNC(M151/L151,0))+IF(N151=0,0,TRUNC(O151/N151,0))+IF(P151=0,0,TRUNC(Q151/P151,0))+IF(R151=0,0,TRUNC(S151/R151,0))+IF(Personalización!$E$12="Como Base (no oficial)",AF151,0)</f>
        <v>0</v>
      </c>
      <c r="U151" s="449">
        <f t="shared" si="27"/>
        <v>0</v>
      </c>
      <c r="V151" s="449">
        <f>IF(ISNA(HLOOKUP($E151,Bonos_Cat_Base,2,FALSE)),0,HLOOKUP($E151,Bonos_Cat_Base,2,FALSE))+Tablas!$X317*Nivel_Total+10*Y151</f>
        <v>0</v>
      </c>
      <c r="W151" s="1616"/>
      <c r="X151" s="1617"/>
      <c r="Y151" s="1616"/>
      <c r="Z151" s="1963"/>
      <c r="AA151" s="2062">
        <f>IF(AND(T151&lt;5,Tablas!G$315=0),-30,0)+T151+U151+V151+Z151+IF(I151="",0,40)+Mod_ATA+AD151+IF(Personalización!$E$12="Como Base (no oficial)",0,AF151)</f>
        <v>-30</v>
      </c>
      <c r="AB151" s="1547">
        <f t="shared" si="28"/>
        <v>0</v>
      </c>
      <c r="AC151" s="769"/>
      <c r="AD151" s="2265">
        <f>Tablas!$K$2065</f>
        <v>0</v>
      </c>
      <c r="AE151" s="3632" t="e">
        <f>$S$7*VLOOKUP(Categoría_1,Tablas!$D$198:$CN$228,MATCH(E151,Tablas!$D$201:$CQ$201,0),FALSE)+IF(Categoría_2="",0,$S$9*VLOOKUP(Categoría_2,Tablas!$D$198:$CN$228,MATCH(E151,Tablas!$D$201:$CQ$201,0),FALSE))+IF(Categoría_3="",0,$S$11*VLOOKUP(Categoría_3,Tablas!$D$198:$CN$228,MATCH(E151,Tablas!$D$201:$CQ$201,0),FALSE))+IF(Categoría_4="",0,$S$13*VLOOKUP(Categoría_4,Tablas!$D$198:$CN$228,MATCH(E151,Tablas!$D$201:$CQ$201,0),FALSE))+IF(Categoría_5="",0,$S$15*VLOOKUP(Categoría_5,Tablas!$D$198:$CN$228,MATCH(E151,Tablas!$D$201:$CQ$201,0)))</f>
        <v>#N/A</v>
      </c>
      <c r="AF151" s="3633">
        <f>IF(AF$141,IF(OR(Region="",ClaseSocial="",Personalización!$AN$9),0,IF(OR(AND(AI151,AJ151),AND(NOT(AI151),NOT(AJ151))),LEFT(AG151,2)+LEFT(AH151,2),IF(AND(AI151,NOT(AJ151)),LEFT(AH151,2),0))),0)</f>
        <v>0</v>
      </c>
      <c r="AG151" s="2265">
        <f>HLOOKUP(Region&amp;ClaseSocial,Tabla_RaicesCulturales,Tablas!F149,FALSE)</f>
        <v>0</v>
      </c>
      <c r="AH151" s="3632">
        <f>IF(AND(E151="Historia",Personalización!$E$16="Historia (Local)"),20&amp;" "&amp;Personalización!$E$16,IF(E151=Personalización!$E$15,VLOOKUP(E151,Tablas!$L$136:$M$137,2,FALSE),IF(E151=Personalización!$E$16,VLOOKUP(E151,Tablas!$N$136:$O$137,2,FALSE),0)))</f>
        <v>0</v>
      </c>
      <c r="AI151" s="3632" t="b">
        <f t="shared" si="29"/>
        <v>0</v>
      </c>
      <c r="AJ151" s="3632" t="b">
        <f t="shared" si="30"/>
        <v>0</v>
      </c>
      <c r="AK151" s="3632"/>
      <c r="AL151" s="628" t="e">
        <f t="shared" si="36"/>
        <v>#N/A</v>
      </c>
      <c r="AM151" s="628"/>
      <c r="AN151" s="628" t="e">
        <f t="shared" si="31"/>
        <v>#N/A</v>
      </c>
      <c r="AO151" s="628"/>
      <c r="AP151" s="628" t="e">
        <f t="shared" si="32"/>
        <v>#N/A</v>
      </c>
      <c r="AQ151" s="530"/>
      <c r="AR151" s="628" t="e">
        <f t="shared" si="33"/>
        <v>#N/A</v>
      </c>
      <c r="AS151" s="530"/>
      <c r="AT151" s="628" t="e">
        <f t="shared" si="34"/>
        <v>#N/A</v>
      </c>
      <c r="AU151" s="21" t="str">
        <f t="shared" si="37"/>
        <v/>
      </c>
      <c r="BL151" s="2617"/>
      <c r="BM151" s="2617"/>
      <c r="BN151" s="2617"/>
      <c r="BO151" s="2617"/>
      <c r="BP151" s="2617"/>
      <c r="BQ151" s="2617"/>
      <c r="BR151" s="2617"/>
      <c r="BS151" s="2617"/>
      <c r="BT151" s="2617"/>
      <c r="BU151" s="2617"/>
      <c r="BV151" s="2617"/>
      <c r="BW151" s="2617"/>
      <c r="BX151" s="2617"/>
    </row>
    <row r="152" spans="1:76" ht="12" customHeight="1">
      <c r="A152" s="29"/>
      <c r="B152" s="753" t="str">
        <f t="shared" ref="B152:B157" si="38">B151</f>
        <v>Sociales</v>
      </c>
      <c r="C152" s="4527"/>
      <c r="D152" s="5035"/>
      <c r="E152" s="4969" t="s">
        <v>1284</v>
      </c>
      <c r="F152" s="4970"/>
      <c r="G152" s="4970"/>
      <c r="H152" s="728" t="s">
        <v>1251</v>
      </c>
      <c r="I152" s="1350"/>
      <c r="J152" s="503">
        <f>IF(ISNA(AL152),0,MAX(MIN(AL152-VLOOKUP("Apto en campo: "&amp;$B152,Tabla_Ventajas,3,FALSE)-Tablas!$O318-2*Tablas!$Q318,3),1))</f>
        <v>0</v>
      </c>
      <c r="K152" s="1615"/>
      <c r="L152" s="503">
        <f>IF(ISNA(AN152),0,MAX(MIN(AN152-VLOOKUP("Apto en campo: "&amp;$B152,Tabla_Ventajas,3,FALSE)-Tablas!$O318-2*Tablas!$Q318,3),1))</f>
        <v>0</v>
      </c>
      <c r="M152" s="1615"/>
      <c r="N152" s="503">
        <f>IF(ISNA(AP152),0,MAX(MIN(AP152-VLOOKUP("Apto en campo: "&amp;$B152,Tabla_Ventajas,3,FALSE)-Tablas!$O318-2*Tablas!$Q318,3),1))</f>
        <v>0</v>
      </c>
      <c r="O152" s="1615"/>
      <c r="P152" s="503">
        <f>IF(ISNA(AR152),0,MAX(MIN(AR152-VLOOKUP("Apto en campo: "&amp;$B152,Tabla_Ventajas,3,FALSE)-Tablas!$O318-2*Tablas!$Q318,3),1))</f>
        <v>0</v>
      </c>
      <c r="Q152" s="1615"/>
      <c r="R152" s="503">
        <f>IF(ISNA(AT152),0,MAX(MIN(AT152-VLOOKUP("Apto en campo: "&amp;$B152,Tabla_Ventajas,3,FALSE)-Tablas!$O318-2*Tablas!$Q318,3),1))</f>
        <v>0</v>
      </c>
      <c r="S152" s="1615"/>
      <c r="T152" s="448">
        <f>IF(J152=0,0,TRUNC(K152/J152,0))+IF(L152=0,0,TRUNC(M152/L152,0))+IF(N152=0,0,TRUNC(O152/N152,0))+IF(P152=0,0,TRUNC(Q152/P152,0))+IF(R152=0,0,TRUNC(S152/R152,0))+IF(Personalización!$E$12="Como Base (no oficial)",AF152,0)</f>
        <v>0</v>
      </c>
      <c r="U152" s="448">
        <f t="shared" si="27"/>
        <v>0</v>
      </c>
      <c r="V152" s="448">
        <f>IF(ISNA(HLOOKUP($E152,Bonos_Cat_Base,2,FALSE)),0,HLOOKUP($E152,Bonos_Cat_Base,2,FALSE))+Tablas!$X318*Nivel_Total+10*Y152</f>
        <v>0</v>
      </c>
      <c r="W152" s="1614"/>
      <c r="X152" s="1615"/>
      <c r="Y152" s="1614"/>
      <c r="Z152" s="1962"/>
      <c r="AA152" s="1192">
        <f>IF(AND(T152&lt;5,Tablas!G$315=0),-30,0)+T152+U152+V152+Z152+IF(I152="",0,40)+Mod_ATA+AD152+IF(Personalización!$E$12="Como Base (no oficial)",0,AF152)+IF(AND(X117=1,Personalización!Y82="Intimidar"),20,0)</f>
        <v>-30</v>
      </c>
      <c r="AB152" s="1547">
        <f t="shared" si="28"/>
        <v>0</v>
      </c>
      <c r="AC152" s="769"/>
      <c r="AD152" s="2265">
        <f>Tablas!$K$2029</f>
        <v>0</v>
      </c>
      <c r="AE152" s="3632" t="e">
        <f>$S$7*VLOOKUP(Categoría_1,Tablas!$D$198:$CN$228,MATCH(E152,Tablas!$D$201:$CQ$201,0),FALSE)+IF(Categoría_2="",0,$S$9*VLOOKUP(Categoría_2,Tablas!$D$198:$CN$228,MATCH(E152,Tablas!$D$201:$CQ$201,0),FALSE))+IF(Categoría_3="",0,$S$11*VLOOKUP(Categoría_3,Tablas!$D$198:$CN$228,MATCH(E152,Tablas!$D$201:$CQ$201,0),FALSE))+IF(Categoría_4="",0,$S$13*VLOOKUP(Categoría_4,Tablas!$D$198:$CN$228,MATCH(E152,Tablas!$D$201:$CQ$201,0),FALSE))+IF(Categoría_5="",0,$S$15*VLOOKUP(Categoría_5,Tablas!$D$198:$CN$228,MATCH(E152,Tablas!$D$201:$CQ$201,0)))</f>
        <v>#N/A</v>
      </c>
      <c r="AF152" s="3633">
        <f>IF(AF$141,IF(OR(Region="",ClaseSocial="",Personalización!$AN$9),0,IF(OR(AND(AI152,AJ152),AND(NOT(AI152),NOT(AJ152))),LEFT(AG152,2)+LEFT(AH152,2),IF(AND(AI152,NOT(AJ152)),LEFT(AH152,2),0))),0)</f>
        <v>0</v>
      </c>
      <c r="AG152" s="2265">
        <f>HLOOKUP(Region&amp;ClaseSocial,Tabla_RaicesCulturales,Tablas!F150,FALSE)</f>
        <v>0</v>
      </c>
      <c r="AH152" s="3632">
        <f>IF(AND(E152="Historia",Personalización!$E$16="Historia (Local)"),20&amp;" "&amp;Personalización!$E$16,IF(E152=Personalización!$E$15,VLOOKUP(E152,Tablas!$L$136:$M$137,2,FALSE),IF(E152=Personalización!$E$16,VLOOKUP(E152,Tablas!$N$136:$O$137,2,FALSE),0)))</f>
        <v>0</v>
      </c>
      <c r="AI152" s="3632" t="b">
        <f t="shared" si="29"/>
        <v>0</v>
      </c>
      <c r="AJ152" s="3632" t="b">
        <f t="shared" si="30"/>
        <v>0</v>
      </c>
      <c r="AK152" s="3632"/>
      <c r="AL152" s="628" t="e">
        <f t="shared" si="36"/>
        <v>#N/A</v>
      </c>
      <c r="AM152" s="628"/>
      <c r="AN152" s="628" t="e">
        <f t="shared" si="31"/>
        <v>#N/A</v>
      </c>
      <c r="AO152" s="628"/>
      <c r="AP152" s="628" t="e">
        <f t="shared" si="32"/>
        <v>#N/A</v>
      </c>
      <c r="AQ152" s="530"/>
      <c r="AR152" s="628" t="e">
        <f t="shared" si="33"/>
        <v>#N/A</v>
      </c>
      <c r="AS152" s="530"/>
      <c r="AT152" s="628" t="e">
        <f t="shared" si="34"/>
        <v>#N/A</v>
      </c>
      <c r="AU152" s="21" t="str">
        <f t="shared" si="37"/>
        <v/>
      </c>
      <c r="BL152" s="2617"/>
      <c r="BM152" s="2617"/>
      <c r="BN152" s="2617"/>
      <c r="BO152" s="2617"/>
      <c r="BP152" s="2617"/>
      <c r="BQ152" s="2617"/>
      <c r="BR152" s="2617"/>
      <c r="BS152" s="2617"/>
      <c r="BT152" s="2617"/>
      <c r="BU152" s="2617"/>
      <c r="BV152" s="2617"/>
      <c r="BW152" s="2617"/>
      <c r="BX152" s="2617"/>
    </row>
    <row r="153" spans="1:76" ht="12" customHeight="1">
      <c r="A153" s="29"/>
      <c r="B153" s="753" t="str">
        <f t="shared" si="38"/>
        <v>Sociales</v>
      </c>
      <c r="C153" s="4527"/>
      <c r="D153" s="5035"/>
      <c r="E153" s="4971" t="s">
        <v>1287</v>
      </c>
      <c r="F153" s="4972"/>
      <c r="G153" s="4972"/>
      <c r="H153" s="727" t="s">
        <v>1250</v>
      </c>
      <c r="I153" s="1374"/>
      <c r="J153" s="1789">
        <f>IF(ISNA(AL153),0,MAX(MIN(AL153-VLOOKUP("Apto en campo: "&amp;$B153,Tabla_Ventajas,3,FALSE)-Tablas!$O319-2*Tablas!$Q319,3),1))</f>
        <v>0</v>
      </c>
      <c r="K153" s="1613"/>
      <c r="L153" s="1789">
        <f>IF(ISNA(AN153),0,MAX(MIN(AN153-VLOOKUP("Apto en campo: "&amp;$B153,Tabla_Ventajas,3,FALSE)-Tablas!$O319-2*Tablas!$Q319,3),1))</f>
        <v>0</v>
      </c>
      <c r="M153" s="1613"/>
      <c r="N153" s="1789">
        <f>IF(ISNA(AP153),0,MAX(MIN(AP153-VLOOKUP("Apto en campo: "&amp;$B153,Tabla_Ventajas,3,FALSE)-Tablas!$O319-2*Tablas!$Q319,3),1))</f>
        <v>0</v>
      </c>
      <c r="O153" s="1613"/>
      <c r="P153" s="1789">
        <f>IF(ISNA(AR153),0,MAX(MIN(AR153-VLOOKUP("Apto en campo: "&amp;$B153,Tabla_Ventajas,3,FALSE)-Tablas!$O319-2*Tablas!$Q319,3),1))</f>
        <v>0</v>
      </c>
      <c r="Q153" s="1613"/>
      <c r="R153" s="1789">
        <f>IF(ISNA(AT153),0,MAX(MIN(AT153-VLOOKUP("Apto en campo: "&amp;$B153,Tabla_Ventajas,3,FALSE)-Tablas!$O319-2*Tablas!$Q319,3),1))</f>
        <v>0</v>
      </c>
      <c r="S153" s="1613"/>
      <c r="T153" s="447">
        <f>IF(J153=0,0,TRUNC(K153/J153,0))+IF(L153=0,0,TRUNC(M153/L153,0))+IF(N153=0,0,TRUNC(O153/N153,0))+IF(P153=0,0,TRUNC(Q153/P153,0))+IF(R153=0,0,TRUNC(S153/R153,0))+IF(Personalización!$E$12="Como Base (no oficial)",AF153,0)</f>
        <v>0</v>
      </c>
      <c r="U153" s="447">
        <f t="shared" si="27"/>
        <v>0</v>
      </c>
      <c r="V153" s="447">
        <f>IF(ISNA(HLOOKUP($E153,Bonos_Cat_Base,2,FALSE)),0,HLOOKUP($E153,Bonos_Cat_Base,2,FALSE))+Tablas!$X319*Nivel_Total+10*Y153</f>
        <v>0</v>
      </c>
      <c r="W153" s="1612"/>
      <c r="X153" s="1613"/>
      <c r="Y153" s="1612"/>
      <c r="Z153" s="1961"/>
      <c r="AA153" s="1191">
        <f>IF(AND(T153&lt;5,Tablas!G$315=0),-30,0)+T153+U153+V153+Z153+IF(I153="",0,40)+Mod_ATA+AD153+IF(Personalización!$E$12="Como Base (no oficial)",0,AF153)</f>
        <v>-30</v>
      </c>
      <c r="AB153" s="1547">
        <f t="shared" si="28"/>
        <v>0</v>
      </c>
      <c r="AC153" s="769"/>
      <c r="AD153" s="2265">
        <f>Tablas!$K$1974+Tablas!$K$2040</f>
        <v>0</v>
      </c>
      <c r="AE153" s="3632" t="e">
        <f>$S$7*VLOOKUP(Categoría_1,Tablas!$D$198:$CN$228,MATCH(E153,Tablas!$D$201:$CQ$201,0),FALSE)+IF(Categoría_2="",0,$S$9*VLOOKUP(Categoría_2,Tablas!$D$198:$CN$228,MATCH(E153,Tablas!$D$201:$CQ$201,0),FALSE))+IF(Categoría_3="",0,$S$11*VLOOKUP(Categoría_3,Tablas!$D$198:$CN$228,MATCH(E153,Tablas!$D$201:$CQ$201,0),FALSE))+IF(Categoría_4="",0,$S$13*VLOOKUP(Categoría_4,Tablas!$D$198:$CN$228,MATCH(E153,Tablas!$D$201:$CQ$201,0),FALSE))+IF(Categoría_5="",0,$S$15*VLOOKUP(Categoría_5,Tablas!$D$198:$CN$228,MATCH(E153,Tablas!$D$201:$CQ$201,0)))</f>
        <v>#N/A</v>
      </c>
      <c r="AF153" s="3633">
        <f>IF(AF$141,IF(OR(Region="",ClaseSocial="",Personalización!$AN$9),0,IF(OR(AND(AI153,AJ153),AND(NOT(AI153),NOT(AJ153))),LEFT(AG153,2)+LEFT(AH153,2),IF(AND(AI153,NOT(AJ153)),LEFT(AH153,2),0))),0)</f>
        <v>0</v>
      </c>
      <c r="AG153" s="2265">
        <f>HLOOKUP(Region&amp;ClaseSocial,Tabla_RaicesCulturales,Tablas!F151,FALSE)</f>
        <v>0</v>
      </c>
      <c r="AH153" s="3632">
        <f>IF(AND(E153="Historia",Personalización!$E$16="Historia (Local)"),20&amp;" "&amp;Personalización!$E$16,IF(E153=Personalización!$E$15,VLOOKUP(E153,Tablas!$L$136:$M$137,2,FALSE),IF(E153=Personalización!$E$16,VLOOKUP(E153,Tablas!$N$136:$O$137,2,FALSE),0)))</f>
        <v>0</v>
      </c>
      <c r="AI153" s="3632" t="b">
        <f t="shared" si="29"/>
        <v>0</v>
      </c>
      <c r="AJ153" s="3632" t="b">
        <f t="shared" si="30"/>
        <v>0</v>
      </c>
      <c r="AK153" s="3632"/>
      <c r="AL153" s="628" t="e">
        <f t="shared" si="36"/>
        <v>#N/A</v>
      </c>
      <c r="AM153" s="628"/>
      <c r="AN153" s="628" t="e">
        <f t="shared" si="31"/>
        <v>#N/A</v>
      </c>
      <c r="AO153" s="628"/>
      <c r="AP153" s="628" t="e">
        <f t="shared" si="32"/>
        <v>#N/A</v>
      </c>
      <c r="AQ153" s="530"/>
      <c r="AR153" s="628" t="e">
        <f t="shared" si="33"/>
        <v>#N/A</v>
      </c>
      <c r="AS153" s="530"/>
      <c r="AT153" s="628" t="e">
        <f t="shared" si="34"/>
        <v>#N/A</v>
      </c>
      <c r="AU153" s="21" t="str">
        <f t="shared" si="37"/>
        <v/>
      </c>
      <c r="BL153" s="2617"/>
      <c r="BM153" s="2617"/>
      <c r="BN153" s="2617"/>
      <c r="BO153" s="2617"/>
      <c r="BP153" s="2617"/>
      <c r="BQ153" s="2617"/>
      <c r="BR153" s="2617"/>
      <c r="BS153" s="2617"/>
      <c r="BT153" s="2617"/>
      <c r="BU153" s="2617"/>
      <c r="BV153" s="2617"/>
      <c r="BW153" s="2617"/>
      <c r="BX153" s="2617"/>
    </row>
    <row r="154" spans="1:76" ht="12" customHeight="1">
      <c r="A154" s="29"/>
      <c r="B154" s="753" t="str">
        <f t="shared" si="38"/>
        <v>Sociales</v>
      </c>
      <c r="C154" s="4527"/>
      <c r="D154" s="5035"/>
      <c r="E154" s="4969" t="s">
        <v>1289</v>
      </c>
      <c r="F154" s="4970"/>
      <c r="G154" s="4970"/>
      <c r="H154" s="728" t="s">
        <v>1245</v>
      </c>
      <c r="I154" s="1350"/>
      <c r="J154" s="503">
        <f>IF(ISNA(AL154),0,MAX(MIN(AL154-VLOOKUP("Apto en campo: "&amp;$B154,Tabla_Ventajas,3,FALSE)-Tablas!$O320-2*Tablas!$Q320,3),1))</f>
        <v>0</v>
      </c>
      <c r="K154" s="1615"/>
      <c r="L154" s="503">
        <f>IF(ISNA(AN154),0,MAX(MIN(AN154-VLOOKUP("Apto en campo: "&amp;$B154,Tabla_Ventajas,3,FALSE)-Tablas!$O320-2*Tablas!$Q320,3),1))</f>
        <v>0</v>
      </c>
      <c r="M154" s="1615"/>
      <c r="N154" s="503">
        <f>IF(ISNA(AP154),0,MAX(MIN(AP154-VLOOKUP("Apto en campo: "&amp;$B154,Tabla_Ventajas,3,FALSE)-Tablas!$O320-2*Tablas!$Q320,3),1))</f>
        <v>0</v>
      </c>
      <c r="O154" s="1615"/>
      <c r="P154" s="503">
        <f>IF(ISNA(AR154),0,MAX(MIN(AR154-VLOOKUP("Apto en campo: "&amp;$B154,Tabla_Ventajas,3,FALSE)-Tablas!$O320-2*Tablas!$Q320,3),1))</f>
        <v>0</v>
      </c>
      <c r="Q154" s="1615"/>
      <c r="R154" s="503">
        <f>IF(ISNA(AT154),0,MAX(MIN(AT154-VLOOKUP("Apto en campo: "&amp;$B154,Tabla_Ventajas,3,FALSE)-Tablas!$O320-2*Tablas!$Q320,3),1))</f>
        <v>0</v>
      </c>
      <c r="S154" s="1615"/>
      <c r="T154" s="448">
        <f>IF(J154=0,0,TRUNC(K154/J154,0))+IF(L154=0,0,TRUNC(M154/L154,0))+IF(N154=0,0,TRUNC(O154/N154,0))+IF(P154=0,0,TRUNC(Q154/P154,0))+IF(R154=0,0,TRUNC(S154/R154,0))+IF(Personalización!$E$12="Como Base (no oficial)",AF154,0)</f>
        <v>0</v>
      </c>
      <c r="U154" s="448">
        <f t="shared" si="27"/>
        <v>0</v>
      </c>
      <c r="V154" s="448">
        <f>IF(ISNA(HLOOKUP($E154,Bonos_Cat_Base,2,FALSE)),0,HLOOKUP($E154,Bonos_Cat_Base,2,FALSE))+Tablas!$X320*Nivel_Total+10*Y154</f>
        <v>0</v>
      </c>
      <c r="W154" s="1614"/>
      <c r="X154" s="1615"/>
      <c r="Y154" s="1614"/>
      <c r="Z154" s="1962"/>
      <c r="AA154" s="1192">
        <f>IF(AND(T154&lt;5,Tablas!G$315=0),-30,0)+T154+U154+V154+Z154+IF(I154="",0,40)+Mod_ATA+AD154+IF(Personalización!$E$12="Como Base (no oficial)",0,AF154)+IF(AND(X117=1,Personalización!Y82="Persuasión"),20,0)</f>
        <v>-30</v>
      </c>
      <c r="AB154" s="1547">
        <f t="shared" si="28"/>
        <v>0</v>
      </c>
      <c r="AC154" s="769"/>
      <c r="AD154" s="2265">
        <f>Tablas!$K$1974</f>
        <v>0</v>
      </c>
      <c r="AE154" s="3632" t="e">
        <f>$S$7*VLOOKUP(Categoría_1,Tablas!$D$198:$CN$228,MATCH(E154,Tablas!$D$201:$CQ$201,0),FALSE)+IF(Categoría_2="",0,$S$9*VLOOKUP(Categoría_2,Tablas!$D$198:$CN$228,MATCH(E154,Tablas!$D$201:$CQ$201,0),FALSE))+IF(Categoría_3="",0,$S$11*VLOOKUP(Categoría_3,Tablas!$D$198:$CN$228,MATCH(E154,Tablas!$D$201:$CQ$201,0),FALSE))+IF(Categoría_4="",0,$S$13*VLOOKUP(Categoría_4,Tablas!$D$198:$CN$228,MATCH(E154,Tablas!$D$201:$CQ$201,0),FALSE))+IF(Categoría_5="",0,$S$15*VLOOKUP(Categoría_5,Tablas!$D$198:$CN$228,MATCH(E154,Tablas!$D$201:$CQ$201,0)))</f>
        <v>#N/A</v>
      </c>
      <c r="AF154" s="3633">
        <f>IF(AF$141,IF(OR(Region="",ClaseSocial="",Personalización!$AN$9),0,IF(OR(AND(AI154,AJ154),AND(NOT(AI154),NOT(AJ154))),LEFT(AG154,2)+LEFT(AH154,2),IF(AND(AI154,NOT(AJ154)),LEFT(AH154,2),0))),0)</f>
        <v>0</v>
      </c>
      <c r="AG154" s="2265">
        <f>HLOOKUP(Region&amp;ClaseSocial,Tabla_RaicesCulturales,Tablas!F152,FALSE)</f>
        <v>0</v>
      </c>
      <c r="AH154" s="3632">
        <f>IF(AND(E154="Historia",Personalización!$E$16="Historia (Local)"),20&amp;" "&amp;Personalización!$E$16,IF(E154=Personalización!$E$15,VLOOKUP(E154,Tablas!$L$136:$M$137,2,FALSE),IF(E154=Personalización!$E$16,VLOOKUP(E154,Tablas!$N$136:$O$137,2,FALSE),0)))</f>
        <v>0</v>
      </c>
      <c r="AI154" s="3632" t="b">
        <f t="shared" si="29"/>
        <v>0</v>
      </c>
      <c r="AJ154" s="3632" t="b">
        <f t="shared" si="30"/>
        <v>0</v>
      </c>
      <c r="AK154" s="3632"/>
      <c r="AL154" s="628" t="e">
        <f t="shared" si="36"/>
        <v>#N/A</v>
      </c>
      <c r="AM154" s="628"/>
      <c r="AN154" s="628" t="e">
        <f t="shared" si="31"/>
        <v>#N/A</v>
      </c>
      <c r="AO154" s="628"/>
      <c r="AP154" s="628" t="e">
        <f t="shared" si="32"/>
        <v>#N/A</v>
      </c>
      <c r="AQ154" s="530"/>
      <c r="AR154" s="628" t="e">
        <f t="shared" si="33"/>
        <v>#N/A</v>
      </c>
      <c r="AS154" s="530"/>
      <c r="AT154" s="628" t="e">
        <f t="shared" si="34"/>
        <v>#N/A</v>
      </c>
      <c r="AU154" s="21" t="str">
        <f t="shared" si="37"/>
        <v/>
      </c>
      <c r="BL154" s="2617"/>
      <c r="BM154" s="2617"/>
      <c r="BN154" s="2617"/>
      <c r="BO154" s="2617"/>
      <c r="BP154" s="2617"/>
      <c r="BQ154" s="2617"/>
      <c r="BR154" s="2617"/>
      <c r="BS154" s="2617"/>
      <c r="BT154" s="2617"/>
      <c r="BU154" s="2617"/>
      <c r="BV154" s="2617"/>
      <c r="BW154" s="2617"/>
      <c r="BX154" s="2617"/>
    </row>
    <row r="155" spans="1:76" ht="12" customHeight="1">
      <c r="A155" s="29"/>
      <c r="B155" s="753" t="str">
        <f t="shared" si="38"/>
        <v>Sociales</v>
      </c>
      <c r="C155" s="4527"/>
      <c r="D155" s="5035"/>
      <c r="E155" s="4971" t="s">
        <v>685</v>
      </c>
      <c r="F155" s="4972"/>
      <c r="G155" s="4972"/>
      <c r="H155" s="727" t="s">
        <v>1245</v>
      </c>
      <c r="I155" s="1376"/>
      <c r="J155" s="1789">
        <f>IF(ISNA(AL155),0,MAX(MIN(AL155-VLOOKUP("Apto en campo: "&amp;$B155,Tabla_Ventajas,3,FALSE)-Tablas!$O321-2*Tablas!$Q321,3),1))</f>
        <v>0</v>
      </c>
      <c r="K155" s="1613"/>
      <c r="L155" s="1789">
        <f>IF(ISNA(AN155),0,MAX(MIN(AN155-VLOOKUP("Apto en campo: "&amp;$B155,Tabla_Ventajas,3,FALSE)-Tablas!$O321-2*Tablas!$Q321,3),1))</f>
        <v>0</v>
      </c>
      <c r="M155" s="1613"/>
      <c r="N155" s="1789">
        <f>IF(ISNA(AP155),0,MAX(MIN(AP155-VLOOKUP("Apto en campo: "&amp;$B155,Tabla_Ventajas,3,FALSE)-Tablas!$O321-2*Tablas!$Q321,3),1))</f>
        <v>0</v>
      </c>
      <c r="O155" s="1613"/>
      <c r="P155" s="1789">
        <f>IF(ISNA(AR155),0,MAX(MIN(AR155-VLOOKUP("Apto en campo: "&amp;$B155,Tabla_Ventajas,3,FALSE)-Tablas!$O321-2*Tablas!$Q321,3),1))</f>
        <v>0</v>
      </c>
      <c r="Q155" s="1613"/>
      <c r="R155" s="1789">
        <f>IF(ISNA(AT155),0,MAX(MIN(AT155-VLOOKUP("Apto en campo: "&amp;$B155,Tabla_Ventajas,3,FALSE)-Tablas!$O321-2*Tablas!$Q321,3),1))</f>
        <v>0</v>
      </c>
      <c r="S155" s="1613"/>
      <c r="T155" s="447">
        <f>IF(J155=0,0,TRUNC(K155/J155,0))+IF(L155=0,0,TRUNC(M155/L155,0))+IF(N155=0,0,TRUNC(O155/N155,0))+IF(P155=0,0,TRUNC(Q155/P155,0))+IF(R155=0,0,TRUNC(S155/R155,0))+IF(Personalización!$E$12="Como Base (no oficial)",AF155,0)</f>
        <v>0</v>
      </c>
      <c r="U155" s="447">
        <f t="shared" si="27"/>
        <v>0</v>
      </c>
      <c r="V155" s="447">
        <f>IF(ISNA(HLOOKUP($E155,Bonos_Cat_Base,2,FALSE)),0,HLOOKUP($E155,Bonos_Cat_Base,2,FALSE))+Tablas!$X321*Nivel_Total+10*Y155</f>
        <v>0</v>
      </c>
      <c r="W155" s="1612"/>
      <c r="X155" s="1613"/>
      <c r="Y155" s="1612"/>
      <c r="Z155" s="1961"/>
      <c r="AA155" s="1191">
        <f>IF(AND(T155&lt;5,Tablas!G$315=0),-30,0)+T155+U155+V155+Z155+IF(I155="",0,40)+Mod_ATA+AD155+IF(Personalización!$E$12="Como Base (no oficial)",0,AF155)</f>
        <v>-30</v>
      </c>
      <c r="AB155" s="1547">
        <f t="shared" si="28"/>
        <v>0</v>
      </c>
      <c r="AC155" s="769"/>
      <c r="AD155" s="2265"/>
      <c r="AE155" s="3632" t="e">
        <f>$S$7*VLOOKUP(Categoría_1,Tablas!$D$198:$CN$228,MATCH(E155,Tablas!$D$201:$CQ$201,0),FALSE)+IF(Categoría_2="",0,$S$9*VLOOKUP(Categoría_2,Tablas!$D$198:$CN$228,MATCH(E155,Tablas!$D$201:$CQ$201,0),FALSE))+IF(Categoría_3="",0,$S$11*VLOOKUP(Categoría_3,Tablas!$D$198:$CN$228,MATCH(E155,Tablas!$D$201:$CQ$201,0),FALSE))+IF(Categoría_4="",0,$S$13*VLOOKUP(Categoría_4,Tablas!$D$198:$CN$228,MATCH(E155,Tablas!$D$201:$CQ$201,0),FALSE))+IF(Categoría_5="",0,$S$15*VLOOKUP(Categoría_5,Tablas!$D$198:$CN$228,MATCH(E155,Tablas!$D$201:$CQ$201,0)))</f>
        <v>#N/A</v>
      </c>
      <c r="AF155" s="3633">
        <f>IF(AF$141,IF(OR(Region="",ClaseSocial="",Personalización!$AN$9),0,IF(OR(AND(AI155,AJ155),AND(NOT(AI155),NOT(AJ155))),LEFT(AG155,2)+LEFT(AH155,2),IF(AND(AI155,NOT(AJ155)),LEFT(AH155,2),0))),0)</f>
        <v>0</v>
      </c>
      <c r="AG155" s="2265">
        <f>HLOOKUP(Region&amp;ClaseSocial,Tabla_RaicesCulturales,Tablas!F153,FALSE)</f>
        <v>0</v>
      </c>
      <c r="AH155" s="3632">
        <f>IF(AND(E155="Historia",Personalización!$E$16="Historia (Local)"),20&amp;" "&amp;Personalización!$E$16,IF(E155=Personalización!$E$15,VLOOKUP(E155,Tablas!$L$136:$M$137,2,FALSE),IF(E155=Personalización!$E$16,VLOOKUP(E155,Tablas!$N$136:$O$137,2,FALSE),0)))</f>
        <v>0</v>
      </c>
      <c r="AI155" s="3632" t="b">
        <f t="shared" si="29"/>
        <v>0</v>
      </c>
      <c r="AJ155" s="3632" t="b">
        <f t="shared" si="30"/>
        <v>0</v>
      </c>
      <c r="AK155" s="3632"/>
      <c r="AL155" s="628" t="e">
        <f t="shared" si="36"/>
        <v>#N/A</v>
      </c>
      <c r="AM155" s="628"/>
      <c r="AN155" s="628" t="e">
        <f t="shared" si="31"/>
        <v>#N/A</v>
      </c>
      <c r="AO155" s="628"/>
      <c r="AP155" s="628" t="e">
        <f t="shared" si="32"/>
        <v>#N/A</v>
      </c>
      <c r="AQ155" s="530"/>
      <c r="AR155" s="628" t="e">
        <f t="shared" si="33"/>
        <v>#N/A</v>
      </c>
      <c r="AS155" s="530"/>
      <c r="AT155" s="628" t="e">
        <f t="shared" si="34"/>
        <v>#N/A</v>
      </c>
      <c r="AU155" s="21" t="str">
        <f t="shared" si="37"/>
        <v/>
      </c>
      <c r="BL155" s="2617"/>
      <c r="BM155" s="2617"/>
      <c r="BN155" s="2617"/>
      <c r="BO155" s="2617"/>
      <c r="BP155" s="2617"/>
      <c r="BQ155" s="2617"/>
      <c r="BR155" s="2617"/>
      <c r="BS155" s="2617"/>
      <c r="BT155" s="2617"/>
      <c r="BU155" s="2617"/>
      <c r="BV155" s="2617"/>
      <c r="BW155" s="2617"/>
      <c r="BX155" s="2617"/>
    </row>
    <row r="156" spans="1:76" ht="12" customHeight="1">
      <c r="A156" s="29"/>
      <c r="B156" s="753" t="str">
        <f t="shared" si="38"/>
        <v>Sociales</v>
      </c>
      <c r="C156" s="4527"/>
      <c r="D156" s="5035"/>
      <c r="E156" s="4969" t="s">
        <v>686</v>
      </c>
      <c r="F156" s="4970"/>
      <c r="G156" s="4970"/>
      <c r="H156" s="728" t="s">
        <v>1245</v>
      </c>
      <c r="I156" s="1350"/>
      <c r="J156" s="503">
        <f>IF(ISNA(AL156),0,MAX(MIN(AL156-VLOOKUP("Apto en campo: "&amp;$B156,Tabla_Ventajas,3,FALSE)-Tablas!$O322-2*Tablas!$Q322,3),1))</f>
        <v>0</v>
      </c>
      <c r="K156" s="1615"/>
      <c r="L156" s="503">
        <f>IF(ISNA(AN156),0,MAX(MIN(AN156-VLOOKUP("Apto en campo: "&amp;$B156,Tabla_Ventajas,3,FALSE)-Tablas!$O322-2*Tablas!$Q322,3),1))</f>
        <v>0</v>
      </c>
      <c r="M156" s="1615"/>
      <c r="N156" s="503">
        <f>IF(ISNA(AP156),0,MAX(MIN(AP156-VLOOKUP("Apto en campo: "&amp;$B156,Tabla_Ventajas,3,FALSE)-Tablas!$O322-2*Tablas!$Q322,3),1))</f>
        <v>0</v>
      </c>
      <c r="O156" s="1615"/>
      <c r="P156" s="503">
        <f>IF(ISNA(AR156),0,MAX(MIN(AR156-VLOOKUP("Apto en campo: "&amp;$B156,Tabla_Ventajas,3,FALSE)-Tablas!$O322-2*Tablas!$Q322,3),1))</f>
        <v>0</v>
      </c>
      <c r="Q156" s="1615"/>
      <c r="R156" s="503">
        <f>IF(ISNA(AT156),0,MAX(MIN(AT156-VLOOKUP("Apto en campo: "&amp;$B156,Tabla_Ventajas,3,FALSE)-Tablas!$O322-2*Tablas!$Q322,3),1))</f>
        <v>0</v>
      </c>
      <c r="S156" s="1615"/>
      <c r="T156" s="448">
        <f>IF(J156=0,0,TRUNC(K156/J156,0))+IF(L156=0,0,TRUNC(M156/L156,0))+IF(N156=0,0,TRUNC(O156/N156,0))+IF(P156=0,0,TRUNC(Q156/P156,0))+IF(R156=0,0,TRUNC(S156/R156,0))+IF(Personalización!$E$12="Como Base (no oficial)",AF156,0)</f>
        <v>0</v>
      </c>
      <c r="U156" s="448">
        <f t="shared" si="27"/>
        <v>0</v>
      </c>
      <c r="V156" s="448">
        <f>IF(ISNA(HLOOKUP($E156,Bonos_Cat_Base,2,FALSE)),0,HLOOKUP($E156,Bonos_Cat_Base,2,FALSE))+Tablas!$X322*Nivel_Total+10*Y156</f>
        <v>0</v>
      </c>
      <c r="W156" s="1614"/>
      <c r="X156" s="1615"/>
      <c r="Y156" s="1614"/>
      <c r="Z156" s="1962"/>
      <c r="AA156" s="1192">
        <f>IF(AND(T156&lt;5,Tablas!G$315=0),-30,0)+T156+U156+V156+Z156+IF(I156="",0,40)+Mod_ATA+AD156+IF(Personalización!$E$12="Como Base (no oficial)",0,AF156)</f>
        <v>-30</v>
      </c>
      <c r="AB156" s="1547">
        <f t="shared" si="28"/>
        <v>0</v>
      </c>
      <c r="AC156" s="769"/>
      <c r="AD156" s="2265"/>
      <c r="AE156" s="3632" t="e">
        <f>$S$7*VLOOKUP(Categoría_1,Tablas!$D$198:$CN$228,MATCH(E156,Tablas!$D$201:$CQ$201,0),FALSE)+IF(Categoría_2="",0,$S$9*VLOOKUP(Categoría_2,Tablas!$D$198:$CN$228,MATCH(E156,Tablas!$D$201:$CQ$201,0),FALSE))+IF(Categoría_3="",0,$S$11*VLOOKUP(Categoría_3,Tablas!$D$198:$CN$228,MATCH(E156,Tablas!$D$201:$CQ$201,0),FALSE))+IF(Categoría_4="",0,$S$13*VLOOKUP(Categoría_4,Tablas!$D$198:$CN$228,MATCH(E156,Tablas!$D$201:$CQ$201,0),FALSE))+IF(Categoría_5="",0,$S$15*VLOOKUP(Categoría_5,Tablas!$D$198:$CN$228,MATCH(E156,Tablas!$D$201:$CQ$201,0)))</f>
        <v>#N/A</v>
      </c>
      <c r="AF156" s="3633">
        <f>IF(AF$141,IF(OR(Region="",ClaseSocial="",Personalización!$AN$9),0,IF(OR(AND(AI156,AJ156),AND(NOT(AI156),NOT(AJ156))),LEFT(AG156,2)+LEFT(AH156,2),IF(AND(AI156,NOT(AJ156)),LEFT(AH156,2),0))),0)</f>
        <v>0</v>
      </c>
      <c r="AG156" s="2265">
        <f>HLOOKUP(Region&amp;ClaseSocial,Tabla_RaicesCulturales,Tablas!F154,FALSE)</f>
        <v>0</v>
      </c>
      <c r="AH156" s="3632">
        <f>IF(AND(E156="Historia",Personalización!$E$16="Historia (Local)"),20&amp;" "&amp;Personalización!$E$16,IF(E156=Personalización!$E$15,VLOOKUP(E156,Tablas!$L$136:$M$137,2,FALSE),IF(E156=Personalización!$E$16,VLOOKUP(E156,Tablas!$N$136:$O$137,2,FALSE),0)))</f>
        <v>0</v>
      </c>
      <c r="AI156" s="3632" t="b">
        <f t="shared" si="29"/>
        <v>0</v>
      </c>
      <c r="AJ156" s="3632" t="b">
        <f t="shared" si="30"/>
        <v>0</v>
      </c>
      <c r="AK156" s="3632"/>
      <c r="AL156" s="628" t="e">
        <f t="shared" si="36"/>
        <v>#N/A</v>
      </c>
      <c r="AM156" s="628"/>
      <c r="AN156" s="628" t="e">
        <f t="shared" si="31"/>
        <v>#N/A</v>
      </c>
      <c r="AO156" s="628"/>
      <c r="AP156" s="628" t="e">
        <f t="shared" si="32"/>
        <v>#N/A</v>
      </c>
      <c r="AQ156" s="530"/>
      <c r="AR156" s="628" t="e">
        <f t="shared" si="33"/>
        <v>#N/A</v>
      </c>
      <c r="AS156" s="530"/>
      <c r="AT156" s="628" t="e">
        <f t="shared" si="34"/>
        <v>#N/A</v>
      </c>
      <c r="AU156" s="21" t="str">
        <f t="shared" si="37"/>
        <v/>
      </c>
      <c r="BL156" s="2617"/>
      <c r="BM156" s="2617"/>
      <c r="BN156" s="2617"/>
      <c r="BO156" s="2617"/>
      <c r="BP156" s="2617"/>
      <c r="BQ156" s="2617"/>
      <c r="BR156" s="2617"/>
      <c r="BS156" s="2617"/>
      <c r="BT156" s="2617"/>
      <c r="BU156" s="2617"/>
      <c r="BV156" s="2617"/>
      <c r="BW156" s="2617"/>
      <c r="BX156" s="2617"/>
    </row>
    <row r="157" spans="1:76" ht="12" customHeight="1">
      <c r="A157" s="29"/>
      <c r="B157" s="753" t="str">
        <f t="shared" si="38"/>
        <v>Sociales</v>
      </c>
      <c r="C157" s="4527"/>
      <c r="D157" s="5036"/>
      <c r="E157" s="5041" t="s">
        <v>687</v>
      </c>
      <c r="F157" s="5042"/>
      <c r="G157" s="5042"/>
      <c r="H157" s="730" t="s">
        <v>1245</v>
      </c>
      <c r="I157" s="1377"/>
      <c r="J157" s="1791">
        <f>IF(ISNA(AL157),0,MAX(MIN(AL157-VLOOKUP("Apto en campo: "&amp;$B157,Tabla_Ventajas,3,FALSE)-Tablas!$O323-2*Tablas!$Q323,3),1))</f>
        <v>0</v>
      </c>
      <c r="K157" s="1619"/>
      <c r="L157" s="1791">
        <f>IF(ISNA(AN157),0,MAX(MIN(AN157-VLOOKUP("Apto en campo: "&amp;$B157,Tabla_Ventajas,3,FALSE)-Tablas!$O323-2*Tablas!$Q323,3),1))</f>
        <v>0</v>
      </c>
      <c r="M157" s="1619"/>
      <c r="N157" s="1791">
        <f>IF(ISNA(AP157),0,MAX(MIN(AP157-VLOOKUP("Apto en campo: "&amp;$B157,Tabla_Ventajas,3,FALSE)-Tablas!$O323-2*Tablas!$Q323,3),1))</f>
        <v>0</v>
      </c>
      <c r="O157" s="1619"/>
      <c r="P157" s="1791">
        <f>IF(ISNA(AR157),0,MAX(MIN(AR157-VLOOKUP("Apto en campo: "&amp;$B157,Tabla_Ventajas,3,FALSE)-Tablas!$O323-2*Tablas!$Q323,3),1))</f>
        <v>0</v>
      </c>
      <c r="Q157" s="1619"/>
      <c r="R157" s="1791">
        <f>IF(ISNA(AT157),0,MAX(MIN(AT157-VLOOKUP("Apto en campo: "&amp;$B157,Tabla_Ventajas,3,FALSE)-Tablas!$O323-2*Tablas!$Q323,3),1))</f>
        <v>0</v>
      </c>
      <c r="S157" s="1619"/>
      <c r="T157" s="450">
        <f>IF(J157=0,0,TRUNC(K157/J157,0))+IF(L157=0,0,TRUNC(M157/L157,0))+IF(N157=0,0,TRUNC(O157/N157,0))+IF(P157=0,0,TRUNC(Q157/P157,0))+IF(R157=0,0,TRUNC(S157/R157,0))+IF(Personalización!$E$12="Como Base (no oficial)",AF157,0)</f>
        <v>0</v>
      </c>
      <c r="U157" s="450">
        <f t="shared" si="27"/>
        <v>0</v>
      </c>
      <c r="V157" s="450">
        <f>IF(ISNA(HLOOKUP($E157,Bonos_Cat_Base,2,FALSE)),0,HLOOKUP($E157,Bonos_Cat_Base,2,FALSE))+Tablas!$X323*Nivel_Total+10*Y157</f>
        <v>0</v>
      </c>
      <c r="W157" s="1618"/>
      <c r="X157" s="1619"/>
      <c r="Y157" s="1618"/>
      <c r="Z157" s="1964"/>
      <c r="AA157" s="2063">
        <f>IF(AND(T157&lt;5,Tablas!G$315=0),-30,0)+T157+U157+V157+Z157+IF(I157="",0,40)+Mod_ATA+AD157+IF(Personalización!$E$12="Como Base (no oficial)",0,AF157)</f>
        <v>-30</v>
      </c>
      <c r="AB157" s="1547">
        <f t="shared" si="28"/>
        <v>0</v>
      </c>
      <c r="AC157" s="769"/>
      <c r="AD157" s="2265"/>
      <c r="AE157" s="3632" t="e">
        <f>$S$7*VLOOKUP(Categoría_1,Tablas!$D$198:$CN$228,MATCH(E157,Tablas!$D$201:$CQ$201,0),FALSE)+IF(Categoría_2="",0,$S$9*VLOOKUP(Categoría_2,Tablas!$D$198:$CN$228,MATCH(E157,Tablas!$D$201:$CQ$201,0),FALSE))+IF(Categoría_3="",0,$S$11*VLOOKUP(Categoría_3,Tablas!$D$198:$CN$228,MATCH(E157,Tablas!$D$201:$CQ$201,0),FALSE))+IF(Categoría_4="",0,$S$13*VLOOKUP(Categoría_4,Tablas!$D$198:$CN$228,MATCH(E157,Tablas!$D$201:$CQ$201,0),FALSE))+IF(Categoría_5="",0,$S$15*VLOOKUP(Categoría_5,Tablas!$D$198:$CN$228,MATCH(E157,Tablas!$D$201:$CQ$201,0)))</f>
        <v>#N/A</v>
      </c>
      <c r="AF157" s="3633">
        <f>IF(AF$141,IF(OR(Region="",ClaseSocial="",Personalización!$AN$9),0,IF(OR(AND(AI157,AJ157),AND(NOT(AI157),NOT(AJ157))),LEFT(AG157,2)+LEFT(AH157,2),IF(AND(AI157,NOT(AJ157)),LEFT(AH157,2),0))),0)</f>
        <v>0</v>
      </c>
      <c r="AG157" s="2265">
        <f>HLOOKUP(Region&amp;ClaseSocial,Tabla_RaicesCulturales,Tablas!F155,FALSE)</f>
        <v>0</v>
      </c>
      <c r="AH157" s="3632">
        <f>IF(AND(E157="Historia",Personalización!$E$16="Historia (Local)"),20&amp;" "&amp;Personalización!$E$16,IF(E157=Personalización!$E$15,VLOOKUP(E157,Tablas!$L$136:$M$137,2,FALSE),IF(E157=Personalización!$E$16,VLOOKUP(E157,Tablas!$N$136:$O$137,2,FALSE),0)))</f>
        <v>0</v>
      </c>
      <c r="AI157" s="3632" t="b">
        <f t="shared" si="29"/>
        <v>0</v>
      </c>
      <c r="AJ157" s="3632" t="b">
        <f t="shared" si="30"/>
        <v>0</v>
      </c>
      <c r="AK157" s="3632"/>
      <c r="AL157" s="628" t="e">
        <f t="shared" si="36"/>
        <v>#N/A</v>
      </c>
      <c r="AM157" s="628"/>
      <c r="AN157" s="628" t="e">
        <f t="shared" si="31"/>
        <v>#N/A</v>
      </c>
      <c r="AO157" s="628"/>
      <c r="AP157" s="628" t="e">
        <f t="shared" si="32"/>
        <v>#N/A</v>
      </c>
      <c r="AQ157" s="530"/>
      <c r="AR157" s="628" t="e">
        <f t="shared" si="33"/>
        <v>#N/A</v>
      </c>
      <c r="AS157" s="530"/>
      <c r="AT157" s="628" t="e">
        <f t="shared" si="34"/>
        <v>#N/A</v>
      </c>
      <c r="AU157" s="21" t="str">
        <f t="shared" si="37"/>
        <v/>
      </c>
      <c r="BL157" s="2617"/>
      <c r="BM157" s="2617"/>
      <c r="BN157" s="2617"/>
      <c r="BO157" s="2617"/>
      <c r="BP157" s="2617"/>
      <c r="BQ157" s="2617"/>
      <c r="BR157" s="2617"/>
      <c r="BS157" s="2617"/>
      <c r="BT157" s="2617"/>
      <c r="BU157" s="2617"/>
      <c r="BV157" s="2617"/>
      <c r="BW157" s="2617"/>
      <c r="BX157" s="2617"/>
    </row>
    <row r="158" spans="1:76" ht="12" customHeight="1">
      <c r="A158" s="29"/>
      <c r="B158" s="753" t="str">
        <f>"Perceptivas"</f>
        <v>Perceptivas</v>
      </c>
      <c r="C158" s="4527"/>
      <c r="D158" s="5035" t="s">
        <v>6663</v>
      </c>
      <c r="E158" s="4969" t="s">
        <v>1291</v>
      </c>
      <c r="F158" s="4970"/>
      <c r="G158" s="4970"/>
      <c r="H158" s="728" t="s">
        <v>1248</v>
      </c>
      <c r="I158" s="1350"/>
      <c r="J158" s="503">
        <f>IF(ISNA(AL158),0,MAX(MIN(AL158-VLOOKUP("Apto en campo: "&amp;$B158,Tabla_Ventajas,3,FALSE)-Tablas!$O324-2*Tablas!$Q324,3),1))</f>
        <v>0</v>
      </c>
      <c r="K158" s="1615"/>
      <c r="L158" s="503">
        <f>IF(ISNA(AN158),0,MAX(MIN(AN158-VLOOKUP("Apto en campo: "&amp;$B158,Tabla_Ventajas,3,FALSE)-Tablas!$O324-2*Tablas!$Q324,3),1))</f>
        <v>0</v>
      </c>
      <c r="M158" s="1615"/>
      <c r="N158" s="503">
        <f>IF(ISNA(AP158),0,MAX(MIN(AP158-VLOOKUP("Apto en campo: "&amp;$B158,Tabla_Ventajas,3,FALSE)-Tablas!$O324-2*Tablas!$Q324,3),1))</f>
        <v>0</v>
      </c>
      <c r="O158" s="1615"/>
      <c r="P158" s="503">
        <f>IF(ISNA(AR158),0,MAX(MIN(AR158-VLOOKUP("Apto en campo: "&amp;$B158,Tabla_Ventajas,3,FALSE)-Tablas!$O324-2*Tablas!$Q324,3),1))</f>
        <v>0</v>
      </c>
      <c r="Q158" s="1615"/>
      <c r="R158" s="503">
        <f>IF(ISNA(AT158),0,MAX(MIN(AT158-VLOOKUP("Apto en campo: "&amp;$B158,Tabla_Ventajas,3,FALSE)-Tablas!$O324-2*Tablas!$Q324,3),1))</f>
        <v>0</v>
      </c>
      <c r="S158" s="1615"/>
      <c r="T158" s="448">
        <f>IF(J158=0,0,TRUNC(K158/J158,0))+IF(L158=0,0,TRUNC(M158/L158,0))+IF(N158=0,0,TRUNC(O158/N158,0))+IF(P158=0,0,TRUNC(Q158/P158,0))+IF(R158=0,0,TRUNC(S158/R158,0))+IF(Personalización!$E$12="Como Base (no oficial)",AF158,0)</f>
        <v>0</v>
      </c>
      <c r="U158" s="448">
        <f t="shared" si="27"/>
        <v>0</v>
      </c>
      <c r="V158" s="448">
        <f>IF(ISNA(HLOOKUP($E158,Bonos_Cat_Base,2,FALSE)),0,HLOOKUP($E158,Bonos_Cat_Base,2,FALSE))+Tablas!$X324*Nivel_Total+10*Y158</f>
        <v>0</v>
      </c>
      <c r="W158" s="1614"/>
      <c r="X158" s="1615"/>
      <c r="Y158" s="1614"/>
      <c r="Z158" s="1962"/>
      <c r="AA158" s="1192">
        <f>IF(AND(T158&lt;5,Tablas!G$315=0),-30,0)+T158+U158+V158+Z158+IF(I158="",0,40)+Mod_ATA+AD158+IF(Personalización!$E$12="Como Base (no oficial)",0,AF158)+IF(COUNTIF(Principal!G41:J47,"Ojos del Shinigami")=1,20)</f>
        <v>-30</v>
      </c>
      <c r="AB158" s="1547">
        <f t="shared" si="28"/>
        <v>0</v>
      </c>
      <c r="AC158" s="769"/>
      <c r="AD158" s="2265">
        <f>IF(Raza="Tuan Dalyr",80,50)*Tablas!G284+IF(Raza="Turak",IF(COUNTIF(Cercanía_Dragón,"Ojos de cazador")&gt;0,20,0),0)</f>
        <v>0</v>
      </c>
      <c r="AE158" s="3632" t="e">
        <f>$S$7*VLOOKUP(Categoría_1,Tablas!$D$198:$CN$228,MATCH(E158,Tablas!$D$201:$CQ$201,0),FALSE)+IF(Categoría_2="",0,$S$9*VLOOKUP(Categoría_2,Tablas!$D$198:$CN$228,MATCH(E158,Tablas!$D$201:$CQ$201,0),FALSE))+IF(Categoría_3="",0,$S$11*VLOOKUP(Categoría_3,Tablas!$D$198:$CN$228,MATCH(E158,Tablas!$D$201:$CQ$201,0),FALSE))+IF(Categoría_4="",0,$S$13*VLOOKUP(Categoría_4,Tablas!$D$198:$CN$228,MATCH(E158,Tablas!$D$201:$CQ$201,0),FALSE))+IF(Categoría_5="",0,$S$15*VLOOKUP(Categoría_5,Tablas!$D$198:$CN$228,MATCH(E158,Tablas!$D$201:$CQ$201,0)))</f>
        <v>#N/A</v>
      </c>
      <c r="AF158" s="3633">
        <f>IF(AF$141,IF(OR(Region="",ClaseSocial="",Personalización!$AN$9),0,IF(OR(AND(AI158,AJ158),AND(NOT(AI158),NOT(AJ158))),LEFT(AG158,2)+LEFT(AH158,2),IF(AND(AI158,NOT(AJ158)),LEFT(AH158,2),0))),0)</f>
        <v>0</v>
      </c>
      <c r="AG158" s="2265">
        <f>HLOOKUP(Region&amp;ClaseSocial,Tabla_RaicesCulturales,Tablas!F156,FALSE)</f>
        <v>0</v>
      </c>
      <c r="AH158" s="3632">
        <f>IF(AND(E158="Historia",Personalización!$E$16="Historia (Local)"),20&amp;" "&amp;Personalización!$E$16,IF(E158=Personalización!$E$15,VLOOKUP(E158,Tablas!$L$136:$M$137,2,FALSE),IF(E158=Personalización!$E$16,VLOOKUP(E158,Tablas!$N$136:$O$137,2,FALSE),0)))</f>
        <v>0</v>
      </c>
      <c r="AI158" s="3632" t="b">
        <f t="shared" si="29"/>
        <v>0</v>
      </c>
      <c r="AJ158" s="3632" t="b">
        <f t="shared" si="30"/>
        <v>0</v>
      </c>
      <c r="AK158" s="3632"/>
      <c r="AL158" s="628" t="e">
        <f t="shared" si="36"/>
        <v>#N/A</v>
      </c>
      <c r="AM158" s="628"/>
      <c r="AN158" s="628" t="e">
        <f t="shared" si="31"/>
        <v>#N/A</v>
      </c>
      <c r="AO158" s="628"/>
      <c r="AP158" s="628" t="e">
        <f t="shared" si="32"/>
        <v>#N/A</v>
      </c>
      <c r="AQ158" s="530"/>
      <c r="AR158" s="628" t="e">
        <f t="shared" si="33"/>
        <v>#N/A</v>
      </c>
      <c r="AS158" s="530"/>
      <c r="AT158" s="628" t="e">
        <f t="shared" si="34"/>
        <v>#N/A</v>
      </c>
      <c r="AU158" s="21" t="str">
        <f t="shared" si="37"/>
        <v/>
      </c>
      <c r="BL158" s="2617"/>
      <c r="BM158" s="2617"/>
      <c r="BN158" s="2617"/>
      <c r="BO158" s="2617"/>
      <c r="BP158" s="2617"/>
      <c r="BQ158" s="2617"/>
      <c r="BR158" s="2617"/>
      <c r="BS158" s="2617"/>
      <c r="BT158" s="2617"/>
      <c r="BU158" s="2617"/>
      <c r="BV158" s="2617"/>
      <c r="BW158" s="2617"/>
      <c r="BX158" s="2617"/>
    </row>
    <row r="159" spans="1:76" ht="12" customHeight="1">
      <c r="A159" s="29"/>
      <c r="B159" s="753" t="str">
        <f>B158</f>
        <v>Perceptivas</v>
      </c>
      <c r="C159" s="4527"/>
      <c r="D159" s="5035"/>
      <c r="E159" s="4971" t="s">
        <v>1292</v>
      </c>
      <c r="F159" s="4972"/>
      <c r="G159" s="4972"/>
      <c r="H159" s="727" t="s">
        <v>1248</v>
      </c>
      <c r="I159" s="1374"/>
      <c r="J159" s="1789">
        <f>IF(ISNA(AL159),0,MAX(MIN(AL159-VLOOKUP("Apto en campo: "&amp;$B159,Tabla_Ventajas,3,FALSE)-Tablas!$O325-2*Tablas!$Q325,3),1))</f>
        <v>0</v>
      </c>
      <c r="K159" s="1613"/>
      <c r="L159" s="1789">
        <f>IF(ISNA(AN159),0,MAX(MIN(AN159-VLOOKUP("Apto en campo: "&amp;$B159,Tabla_Ventajas,3,FALSE)-Tablas!$O325-2*Tablas!$Q325,3),1))</f>
        <v>0</v>
      </c>
      <c r="M159" s="1613"/>
      <c r="N159" s="1789">
        <f>IF(ISNA(AP159),0,MAX(MIN(AP159-VLOOKUP("Apto en campo: "&amp;$B159,Tabla_Ventajas,3,FALSE)-Tablas!$O325-2*Tablas!$Q325,3),1))</f>
        <v>0</v>
      </c>
      <c r="O159" s="1613"/>
      <c r="P159" s="1789">
        <f>IF(ISNA(AR159),0,MAX(MIN(AR159-VLOOKUP("Apto en campo: "&amp;$B159,Tabla_Ventajas,3,FALSE)-Tablas!$O325-2*Tablas!$Q325,3),1))</f>
        <v>0</v>
      </c>
      <c r="Q159" s="1613"/>
      <c r="R159" s="1789">
        <f>IF(ISNA(AT159),0,MAX(MIN(AT159-VLOOKUP("Apto en campo: "&amp;$B159,Tabla_Ventajas,3,FALSE)-Tablas!$O325-2*Tablas!$Q325,3),1))</f>
        <v>0</v>
      </c>
      <c r="S159" s="1613"/>
      <c r="T159" s="447">
        <f>IF(J159=0,0,TRUNC(K159/J159,0))+IF(L159=0,0,TRUNC(M159/L159,0))+IF(N159=0,0,TRUNC(O159/N159,0))+IF(P159=0,0,TRUNC(Q159/P159,0))+IF(R159=0,0,TRUNC(S159/R159,0))+IF(Personalización!$E$12="Como Base (no oficial)",AF159,0)</f>
        <v>0</v>
      </c>
      <c r="U159" s="447">
        <f t="shared" si="27"/>
        <v>0</v>
      </c>
      <c r="V159" s="447">
        <f>IF(ISNA(HLOOKUP($E159,Bonos_Cat_Base,2,FALSE)),0,HLOOKUP($E159,Bonos_Cat_Base,2,FALSE))+Tablas!$X325*Nivel_Total+10*Y159</f>
        <v>0</v>
      </c>
      <c r="W159" s="1612"/>
      <c r="X159" s="1613"/>
      <c r="Y159" s="1612"/>
      <c r="Z159" s="1961"/>
      <c r="AA159" s="1191">
        <f>IF(AND(T159&lt;5,Tablas!G$315=0),-30,0)+T159+U159+V159+Z159+IF(I159="",0,40)+Mod_ATA+AD159+IF(Personalización!$E$12="Como Base (no oficial)",0,AF159)+IF(COUNTIF(Principal!G41:J47,"Ojos del Shinigami")=1,20)</f>
        <v>-30</v>
      </c>
      <c r="AB159" s="1547">
        <f t="shared" si="28"/>
        <v>0</v>
      </c>
      <c r="AC159" s="769"/>
      <c r="AD159" s="2265">
        <f>IF(Raza="Tuan Dalyr",80,50)*Tablas!G284</f>
        <v>0</v>
      </c>
      <c r="AE159" s="3632" t="e">
        <f>$S$7*VLOOKUP(Categoría_1,Tablas!$D$198:$CN$228,MATCH(E159,Tablas!$D$201:$CQ$201,0),FALSE)+IF(Categoría_2="",0,$S$9*VLOOKUP(Categoría_2,Tablas!$D$198:$CN$228,MATCH(E159,Tablas!$D$201:$CQ$201,0),FALSE))+IF(Categoría_3="",0,$S$11*VLOOKUP(Categoría_3,Tablas!$D$198:$CN$228,MATCH(E159,Tablas!$D$201:$CQ$201,0),FALSE))+IF(Categoría_4="",0,$S$13*VLOOKUP(Categoría_4,Tablas!$D$198:$CN$228,MATCH(E159,Tablas!$D$201:$CQ$201,0),FALSE))+IF(Categoría_5="",0,$S$15*VLOOKUP(Categoría_5,Tablas!$D$198:$CN$228,MATCH(E159,Tablas!$D$201:$CQ$201,0)))</f>
        <v>#N/A</v>
      </c>
      <c r="AF159" s="3633">
        <f>IF(AF$141,IF(OR(Region="",ClaseSocial="",Personalización!$AN$9),0,IF(OR(AND(AI159,AJ159),AND(NOT(AI159),NOT(AJ159))),LEFT(AG159,2)+LEFT(AH159,2),IF(AND(AI159,NOT(AJ159)),LEFT(AH159,2),0))),0)</f>
        <v>0</v>
      </c>
      <c r="AG159" s="2265">
        <f>HLOOKUP(Region&amp;ClaseSocial,Tabla_RaicesCulturales,Tablas!F157,FALSE)</f>
        <v>0</v>
      </c>
      <c r="AH159" s="3632">
        <f>IF(AND(E159="Historia",Personalización!$E$16="Historia (Local)"),20&amp;" "&amp;Personalización!$E$16,IF(E159=Personalización!$E$15,VLOOKUP(E159,Tablas!$L$136:$M$137,2,FALSE),IF(E159=Personalización!$E$16,VLOOKUP(E159,Tablas!$N$136:$O$137,2,FALSE),0)))</f>
        <v>0</v>
      </c>
      <c r="AI159" s="3632" t="b">
        <f t="shared" si="29"/>
        <v>0</v>
      </c>
      <c r="AJ159" s="3632" t="b">
        <f t="shared" si="30"/>
        <v>0</v>
      </c>
      <c r="AK159" s="3632"/>
      <c r="AL159" s="628" t="e">
        <f t="shared" si="36"/>
        <v>#N/A</v>
      </c>
      <c r="AM159" s="628"/>
      <c r="AN159" s="628" t="e">
        <f t="shared" si="31"/>
        <v>#N/A</v>
      </c>
      <c r="AO159" s="628"/>
      <c r="AP159" s="628" t="e">
        <f t="shared" si="32"/>
        <v>#N/A</v>
      </c>
      <c r="AQ159" s="530"/>
      <c r="AR159" s="628" t="e">
        <f t="shared" si="33"/>
        <v>#N/A</v>
      </c>
      <c r="AS159" s="530"/>
      <c r="AT159" s="628" t="e">
        <f t="shared" si="34"/>
        <v>#N/A</v>
      </c>
      <c r="AU159" s="21" t="str">
        <f t="shared" si="37"/>
        <v/>
      </c>
      <c r="BL159" s="2617"/>
      <c r="BM159" s="2617"/>
      <c r="BN159" s="2617"/>
      <c r="BO159" s="2617"/>
      <c r="BP159" s="2617"/>
      <c r="BQ159" s="2617"/>
      <c r="BR159" s="2617"/>
      <c r="BS159" s="2617"/>
      <c r="BT159" s="2617"/>
      <c r="BU159" s="2617"/>
      <c r="BV159" s="2617"/>
      <c r="BW159" s="2617"/>
      <c r="BX159" s="2617"/>
    </row>
    <row r="160" spans="1:76" ht="12" customHeight="1">
      <c r="A160" s="29"/>
      <c r="B160" s="753" t="str">
        <f>B159</f>
        <v>Perceptivas</v>
      </c>
      <c r="C160" s="4527"/>
      <c r="D160" s="5035"/>
      <c r="E160" s="4969" t="s">
        <v>1293</v>
      </c>
      <c r="F160" s="4970"/>
      <c r="G160" s="4970"/>
      <c r="H160" s="728" t="s">
        <v>1248</v>
      </c>
      <c r="I160" s="1350"/>
      <c r="J160" s="503">
        <f>IF(ISNA(AL160),0,MAX(MIN(AL160-VLOOKUP("Apto en campo: "&amp;$B160,Tabla_Ventajas,3,FALSE)-Tablas!$O326-2*Tablas!$Q326,3),1))</f>
        <v>0</v>
      </c>
      <c r="K160" s="1615"/>
      <c r="L160" s="503">
        <f>IF(ISNA(AN160),0,MAX(MIN(AN160-VLOOKUP("Apto en campo: "&amp;$B160,Tabla_Ventajas,3,FALSE)-Tablas!$O326-2*Tablas!$Q326,3),1))</f>
        <v>0</v>
      </c>
      <c r="M160" s="1615"/>
      <c r="N160" s="503">
        <f>IF(ISNA(AP160),0,MAX(MIN(AP160-VLOOKUP("Apto en campo: "&amp;$B160,Tabla_Ventajas,3,FALSE)-Tablas!$O326-2*Tablas!$Q326,3),1))</f>
        <v>0</v>
      </c>
      <c r="O160" s="1615"/>
      <c r="P160" s="503">
        <f>IF(ISNA(AR160),0,MAX(MIN(AR160-VLOOKUP("Apto en campo: "&amp;$B160,Tabla_Ventajas,3,FALSE)-Tablas!$O326-2*Tablas!$Q326,3),1))</f>
        <v>0</v>
      </c>
      <c r="Q160" s="1615"/>
      <c r="R160" s="503">
        <f>IF(ISNA(AT160),0,MAX(MIN(AT160-VLOOKUP("Apto en campo: "&amp;$B160,Tabla_Ventajas,3,FALSE)-Tablas!$O326-2*Tablas!$Q326,3),1))</f>
        <v>0</v>
      </c>
      <c r="S160" s="1615"/>
      <c r="T160" s="448">
        <f>IF(J160=0,0,TRUNC(K160/J160,0))+IF(L160=0,0,TRUNC(M160/L160,0))+IF(N160=0,0,TRUNC(O160/N160,0))+IF(P160=0,0,TRUNC(Q160/P160,0))+IF(R160=0,0,TRUNC(S160/R160,0))+IF(Personalización!$E$12="Como Base (no oficial)",AF160,0)</f>
        <v>0</v>
      </c>
      <c r="U160" s="448">
        <f t="shared" si="27"/>
        <v>0</v>
      </c>
      <c r="V160" s="448">
        <f>IF(ISNA(HLOOKUP($E160,Bonos_Cat_Base,2,FALSE)),0,HLOOKUP($E160,Bonos_Cat_Base,2,FALSE))+Tablas!$X326*Nivel_Total+10*Y160</f>
        <v>0</v>
      </c>
      <c r="W160" s="1614"/>
      <c r="X160" s="1615"/>
      <c r="Y160" s="1614"/>
      <c r="Z160" s="1962"/>
      <c r="AA160" s="1192">
        <f>IF(AND(T160&lt;5,Tablas!G$315=0),-30,0)+T160+U160+V160+Z160+IF(I160="",0,40)+Mod_ATA+AD160+IF(Personalización!$E$12="Como Base (no oficial)",0,AF160)+IF(COUNTIF(Principal!G41:J47,"Ojos del Shinigami")=1,20)</f>
        <v>-30</v>
      </c>
      <c r="AB160" s="1547">
        <f t="shared" si="28"/>
        <v>0</v>
      </c>
      <c r="AC160" s="769"/>
      <c r="AD160" s="2265"/>
      <c r="AE160" s="3632" t="e">
        <f>$S$7*VLOOKUP(Categoría_1,Tablas!$D$198:$CN$228,MATCH(E160,Tablas!$D$201:$CQ$201,0),FALSE)+IF(Categoría_2="",0,$S$9*VLOOKUP(Categoría_2,Tablas!$D$198:$CN$228,MATCH(E160,Tablas!$D$201:$CQ$201,0),FALSE))+IF(Categoría_3="",0,$S$11*VLOOKUP(Categoría_3,Tablas!$D$198:$CN$228,MATCH(E160,Tablas!$D$201:$CQ$201,0),FALSE))+IF(Categoría_4="",0,$S$13*VLOOKUP(Categoría_4,Tablas!$D$198:$CN$228,MATCH(E160,Tablas!$D$201:$CQ$201,0),FALSE))+IF(Categoría_5="",0,$S$15*VLOOKUP(Categoría_5,Tablas!$D$198:$CN$228,MATCH(E160,Tablas!$D$201:$CQ$201,0)))</f>
        <v>#N/A</v>
      </c>
      <c r="AF160" s="3633">
        <f>IF(AF$141,IF(OR(Region="",ClaseSocial="",Personalización!$AN$9),0,IF(OR(AND(AI160,AJ160),AND(NOT(AI160),NOT(AJ160))),LEFT(AG160,2)+LEFT(AH160,2),IF(AND(AI160,NOT(AJ160)),LEFT(AH160,2),0))),0)</f>
        <v>0</v>
      </c>
      <c r="AG160" s="2265">
        <f>HLOOKUP(Region&amp;ClaseSocial,Tabla_RaicesCulturales,Tablas!F158,FALSE)</f>
        <v>0</v>
      </c>
      <c r="AH160" s="3632">
        <f>IF(AND(E160="Historia",Personalización!$E$16="Historia (Local)"),20&amp;" "&amp;Personalización!$E$16,IF(E160=Personalización!$E$15,VLOOKUP(E160,Tablas!$L$136:$M$137,2,FALSE),IF(E160=Personalización!$E$16,VLOOKUP(E160,Tablas!$N$136:$O$137,2,FALSE),0)))</f>
        <v>0</v>
      </c>
      <c r="AI160" s="3632" t="b">
        <f t="shared" si="29"/>
        <v>0</v>
      </c>
      <c r="AJ160" s="3632" t="b">
        <f t="shared" si="30"/>
        <v>0</v>
      </c>
      <c r="AK160" s="3632"/>
      <c r="AL160" s="628" t="e">
        <f t="shared" si="36"/>
        <v>#N/A</v>
      </c>
      <c r="AM160" s="628"/>
      <c r="AN160" s="628" t="e">
        <f t="shared" si="31"/>
        <v>#N/A</v>
      </c>
      <c r="AO160" s="628"/>
      <c r="AP160" s="628" t="e">
        <f t="shared" si="32"/>
        <v>#N/A</v>
      </c>
      <c r="AQ160" s="530"/>
      <c r="AR160" s="628" t="e">
        <f t="shared" si="33"/>
        <v>#N/A</v>
      </c>
      <c r="AS160" s="530"/>
      <c r="AT160" s="628" t="e">
        <f t="shared" si="34"/>
        <v>#N/A</v>
      </c>
      <c r="AU160" s="21" t="str">
        <f t="shared" si="37"/>
        <v/>
      </c>
      <c r="BL160" s="2617"/>
      <c r="BM160" s="2617"/>
      <c r="BN160" s="2617"/>
      <c r="BO160" s="2617"/>
      <c r="BP160" s="2617"/>
      <c r="BQ160" s="2617"/>
      <c r="BR160" s="2617"/>
      <c r="BS160" s="2617"/>
      <c r="BT160" s="2617"/>
      <c r="BU160" s="2617"/>
      <c r="BV160" s="2617"/>
      <c r="BW160" s="2617"/>
      <c r="BX160" s="2617"/>
    </row>
    <row r="161" spans="1:76" ht="12" customHeight="1">
      <c r="A161" s="29"/>
      <c r="B161" s="753" t="str">
        <f>D161</f>
        <v>Intelectuales</v>
      </c>
      <c r="C161" s="4527"/>
      <c r="D161" s="4321" t="s">
        <v>1294</v>
      </c>
      <c r="E161" s="5039" t="s">
        <v>1295</v>
      </c>
      <c r="F161" s="5040"/>
      <c r="G161" s="5040"/>
      <c r="H161" s="729" t="s">
        <v>1245</v>
      </c>
      <c r="I161" s="1378"/>
      <c r="J161" s="1790">
        <f>IF(ISNA(AL161),0,MAX(MIN(AL161-VLOOKUP("Apto en campo: "&amp;$B161,Tabla_Ventajas,3,FALSE)-Tablas!$O327-2*Tablas!$Q327,3),1))</f>
        <v>0</v>
      </c>
      <c r="K161" s="1617"/>
      <c r="L161" s="1790">
        <f>IF(ISNA(AN161),0,MAX(MIN(AN161-VLOOKUP("Apto en campo: "&amp;$B161,Tabla_Ventajas,3,FALSE)-Tablas!$O327-2*Tablas!$Q327,3),1))</f>
        <v>0</v>
      </c>
      <c r="M161" s="1617"/>
      <c r="N161" s="1790">
        <f>IF(ISNA(AP161),0,MAX(MIN(AP161-VLOOKUP("Apto en campo: "&amp;$B161,Tabla_Ventajas,3,FALSE)-Tablas!$O327-2*Tablas!$Q327,3),1))</f>
        <v>0</v>
      </c>
      <c r="O161" s="1617"/>
      <c r="P161" s="1790">
        <f>IF(ISNA(AR161),0,MAX(MIN(AR161-VLOOKUP("Apto en campo: "&amp;$B161,Tabla_Ventajas,3,FALSE)-Tablas!$O327-2*Tablas!$Q327,3),1))</f>
        <v>0</v>
      </c>
      <c r="Q161" s="1617"/>
      <c r="R161" s="1790">
        <f>IF(ISNA(AT161),0,MAX(MIN(AT161-VLOOKUP("Apto en campo: "&amp;$B161,Tabla_Ventajas,3,FALSE)-Tablas!$O327-2*Tablas!$Q327,3),1))</f>
        <v>0</v>
      </c>
      <c r="S161" s="1617"/>
      <c r="T161" s="449">
        <f>IF(J161=0,0,TRUNC(K161/J161,0))+IF(L161=0,0,TRUNC(M161/L161,0))+IF(N161=0,0,TRUNC(O161/N161,0))+IF(P161=0,0,TRUNC(Q161/P161,0))+IF(R161=0,0,TRUNC(S161/R161,0))+IF(Personalización!$E$12="Como Base (no oficial)",AF161,0)</f>
        <v>0</v>
      </c>
      <c r="U161" s="449">
        <f t="shared" si="27"/>
        <v>0</v>
      </c>
      <c r="V161" s="449">
        <f>IF(ISNA(HLOOKUP($E161,Bonos_Cat_Base,2,FALSE)),0,HLOOKUP($E161,Bonos_Cat_Base,2,FALSE))+Tablas!$X327*Nivel_Total+10*Y161</f>
        <v>0</v>
      </c>
      <c r="W161" s="1616"/>
      <c r="X161" s="1617"/>
      <c r="Y161" s="1616"/>
      <c r="Z161" s="1963"/>
      <c r="AA161" s="2062">
        <f>IF(AND(T161&lt;5,Tablas!G$315=0),-30,0)+T161+U161+V161+Z161+IF(I161="",0,40)+Mod_ATA+AD161+IF(Personalización!$E$12="Como Base (no oficial)",0,AF161)</f>
        <v>-30</v>
      </c>
      <c r="AB161" s="1547">
        <f t="shared" si="28"/>
        <v>0</v>
      </c>
      <c r="AC161" s="769"/>
      <c r="AD161" s="2265">
        <f>Tablas!$K$1978+Tablas!$K$2015</f>
        <v>0</v>
      </c>
      <c r="AE161" s="3632" t="e">
        <f>$S$7*VLOOKUP(Categoría_1,Tablas!$D$198:$CN$228,MATCH(E161,Tablas!$D$201:$CQ$201,0),FALSE)+IF(Categoría_2="",0,$S$9*VLOOKUP(Categoría_2,Tablas!$D$198:$CN$228,MATCH(E161,Tablas!$D$201:$CQ$201,0),FALSE))+IF(Categoría_3="",0,$S$11*VLOOKUP(Categoría_3,Tablas!$D$198:$CN$228,MATCH(E161,Tablas!$D$201:$CQ$201,0),FALSE))+IF(Categoría_4="",0,$S$13*VLOOKUP(Categoría_4,Tablas!$D$198:$CN$228,MATCH(E161,Tablas!$D$201:$CQ$201,0),FALSE))+IF(Categoría_5="",0,$S$15*VLOOKUP(Categoría_5,Tablas!$D$198:$CN$228,MATCH(E161,Tablas!$D$201:$CQ$201,0)))</f>
        <v>#N/A</v>
      </c>
      <c r="AF161" s="3633">
        <f>IF(AF$141,IF(OR(Region="",ClaseSocial="",Personalización!$AN$9),0,IF(OR(AND(AI161,AJ161),AND(NOT(AI161),NOT(AJ161))),LEFT(AG161,2)+LEFT(AH161,2),IF(AND(AI161,NOT(AJ161)),LEFT(AH161,2),0))),0)</f>
        <v>0</v>
      </c>
      <c r="AG161" s="2265">
        <f>HLOOKUP(Region&amp;ClaseSocial,Tabla_RaicesCulturales,Tablas!F159,FALSE)</f>
        <v>0</v>
      </c>
      <c r="AH161" s="3632">
        <f>IF(AND(E161="Historia",Personalización!$E$16="Historia (Local)"),20&amp;" "&amp;Personalización!$E$16,IF(E161=Personalización!$E$15,VLOOKUP(E161,Tablas!$L$136:$M$137,2,FALSE),IF(E161=Personalización!$E$16,VLOOKUP(E161,Tablas!$N$136:$O$137,2,FALSE),0)))</f>
        <v>0</v>
      </c>
      <c r="AI161" s="3632" t="b">
        <f t="shared" si="29"/>
        <v>0</v>
      </c>
      <c r="AJ161" s="3632" t="b">
        <f t="shared" si="30"/>
        <v>0</v>
      </c>
      <c r="AK161" s="3632"/>
      <c r="AL161" s="628" t="e">
        <f t="shared" si="36"/>
        <v>#N/A</v>
      </c>
      <c r="AM161" s="628"/>
      <c r="AN161" s="628" t="e">
        <f t="shared" si="31"/>
        <v>#N/A</v>
      </c>
      <c r="AO161" s="628"/>
      <c r="AP161" s="628" t="e">
        <f t="shared" si="32"/>
        <v>#N/A</v>
      </c>
      <c r="AQ161" s="530"/>
      <c r="AR161" s="628" t="e">
        <f t="shared" si="33"/>
        <v>#N/A</v>
      </c>
      <c r="AS161" s="530"/>
      <c r="AT161" s="628" t="e">
        <f t="shared" si="34"/>
        <v>#N/A</v>
      </c>
      <c r="AU161" s="21" t="str">
        <f t="shared" si="37"/>
        <v/>
      </c>
      <c r="BL161" s="2617"/>
      <c r="BM161" s="2617"/>
      <c r="BN161" s="2617"/>
      <c r="BO161" s="2617"/>
      <c r="BP161" s="2617"/>
      <c r="BQ161" s="2617"/>
      <c r="BR161" s="2617"/>
      <c r="BS161" s="2617"/>
      <c r="BT161" s="2617"/>
      <c r="BU161" s="2617"/>
      <c r="BV161" s="2617"/>
      <c r="BW161" s="2617"/>
      <c r="BX161" s="2617"/>
    </row>
    <row r="162" spans="1:76" ht="12" customHeight="1">
      <c r="A162" s="29"/>
      <c r="B162" s="753" t="str">
        <f t="shared" ref="B162:B173" si="39">B161</f>
        <v>Intelectuales</v>
      </c>
      <c r="C162" s="4527"/>
      <c r="D162" s="4322"/>
      <c r="E162" s="4969" t="s">
        <v>1296</v>
      </c>
      <c r="F162" s="4970"/>
      <c r="G162" s="4970"/>
      <c r="H162" s="728" t="s">
        <v>1245</v>
      </c>
      <c r="I162" s="1351"/>
      <c r="J162" s="503">
        <f>IF(ISNA(AL162),0,MAX(MIN(AL162-VLOOKUP("Apto en campo: "&amp;$B162,Tabla_Ventajas,3,FALSE)-Tablas!$O328-2*Tablas!$Q328,3),1))</f>
        <v>0</v>
      </c>
      <c r="K162" s="1615"/>
      <c r="L162" s="503">
        <f>IF(ISNA(AN162),0,MAX(MIN(AN162-VLOOKUP("Apto en campo: "&amp;$B162,Tabla_Ventajas,3,FALSE)-Tablas!$O328-2*Tablas!$Q328,3),1))</f>
        <v>0</v>
      </c>
      <c r="M162" s="1615"/>
      <c r="N162" s="503">
        <f>IF(ISNA(AP162),0,MAX(MIN(AP162-VLOOKUP("Apto en campo: "&amp;$B162,Tabla_Ventajas,3,FALSE)-Tablas!$O328-2*Tablas!$Q328,3),1))</f>
        <v>0</v>
      </c>
      <c r="O162" s="1615"/>
      <c r="P162" s="503">
        <f>IF(ISNA(AR162),0,MAX(MIN(AR162-VLOOKUP("Apto en campo: "&amp;$B162,Tabla_Ventajas,3,FALSE)-Tablas!$O328-2*Tablas!$Q328,3),1))</f>
        <v>0</v>
      </c>
      <c r="Q162" s="1615"/>
      <c r="R162" s="503">
        <f>IF(ISNA(AT162),0,MAX(MIN(AT162-VLOOKUP("Apto en campo: "&amp;$B162,Tabla_Ventajas,3,FALSE)-Tablas!$O328-2*Tablas!$Q328,3),1))</f>
        <v>0</v>
      </c>
      <c r="S162" s="1615"/>
      <c r="T162" s="448">
        <f>IF(J162=0,0,TRUNC(K162/J162,0))+IF(L162=0,0,TRUNC(M162/L162,0))+IF(N162=0,0,TRUNC(O162/N162,0))+IF(P162=0,0,TRUNC(Q162/P162,0))+IF(R162=0,0,TRUNC(S162/R162,0))+IF(Personalización!$E$12="Como Base (no oficial)",AF162,0)</f>
        <v>0</v>
      </c>
      <c r="U162" s="448">
        <f t="shared" si="27"/>
        <v>0</v>
      </c>
      <c r="V162" s="448">
        <f>IF(ISNA(HLOOKUP($E162,Bonos_Cat_Base,2,FALSE)),0,HLOOKUP($E162,Bonos_Cat_Base,2,FALSE))+Tablas!$X328*Nivel_Total+10*Y162</f>
        <v>0</v>
      </c>
      <c r="W162" s="1614"/>
      <c r="X162" s="1615"/>
      <c r="Y162" s="1614"/>
      <c r="Z162" s="1962"/>
      <c r="AA162" s="455" t="str">
        <f>IF(AND(T162&lt;5,Tablas!G$315=0),"-",T162+U162+V162+Z162+IF(I162="",0,40)+Mod_ATA+AD162+IF(Personalización!$E$12="Como Base (no oficial)",0,AF162))</f>
        <v>-</v>
      </c>
      <c r="AB162" s="1547">
        <f t="shared" si="28"/>
        <v>0</v>
      </c>
      <c r="AC162" s="769"/>
      <c r="AD162" s="2265">
        <f>Tablas!$K$1978+Tablas!$K$2067</f>
        <v>0</v>
      </c>
      <c r="AE162" s="3632" t="e">
        <f>$S$7*VLOOKUP(Categoría_1,Tablas!$D$198:$CN$228,MATCH(E162,Tablas!$D$201:$CQ$201,0),FALSE)+IF(Categoría_2="",0,$S$9*VLOOKUP(Categoría_2,Tablas!$D$198:$CN$228,MATCH(E162,Tablas!$D$201:$CQ$201,0),FALSE))+IF(Categoría_3="",0,$S$11*VLOOKUP(Categoría_3,Tablas!$D$198:$CN$228,MATCH(E162,Tablas!$D$201:$CQ$201,0),FALSE))+IF(Categoría_4="",0,$S$13*VLOOKUP(Categoría_4,Tablas!$D$198:$CN$228,MATCH(E162,Tablas!$D$201:$CQ$201,0),FALSE))+IF(Categoría_5="",0,$S$15*VLOOKUP(Categoría_5,Tablas!$D$198:$CN$228,MATCH(E162,Tablas!$D$201:$CQ$201,0)))</f>
        <v>#N/A</v>
      </c>
      <c r="AF162" s="3633">
        <f>IF(AF$141,IF(OR(Region="",ClaseSocial="",Personalización!$AN$9),0,IF(OR(AND(AI162,AJ162),AND(NOT(AI162),NOT(AJ162))),LEFT(AG162,2)+LEFT(AH162,2),IF(AND(AI162,NOT(AJ162)),LEFT(AH162,2),0))),0)</f>
        <v>0</v>
      </c>
      <c r="AG162" s="2265">
        <f>HLOOKUP(Region&amp;ClaseSocial,Tabla_RaicesCulturales,Tablas!F160,FALSE)</f>
        <v>0</v>
      </c>
      <c r="AH162" s="3632">
        <f>IF(AND(E162="Historia",Personalización!$E$16="Historia (Local)"),20&amp;" "&amp;Personalización!$E$16,IF(E162=Personalización!$E$15,VLOOKUP(E162,Tablas!$L$136:$M$137,2,FALSE),IF(E162=Personalización!$E$16,VLOOKUP(E162,Tablas!$N$136:$O$137,2,FALSE),0)))</f>
        <v>0</v>
      </c>
      <c r="AI162" s="3632" t="b">
        <f t="shared" ref="AI162:AI172" si="40">OR(ISNUMBER(FIND("(",AG162)),ISNUMBER(FIND("(",AH162)))</f>
        <v>0</v>
      </c>
      <c r="AJ162" s="3632" t="b">
        <f t="shared" ref="AJ162:AJ172" si="41">AND(NOT(I162=""),OR(ISNUMBER(SEARCH(I162,AG162)),ISNUMBER(SEARCH(I162,AH162))))</f>
        <v>0</v>
      </c>
      <c r="AK162" s="3632"/>
      <c r="AL162" s="628" t="e">
        <f t="shared" si="36"/>
        <v>#N/A</v>
      </c>
      <c r="AM162" s="628"/>
      <c r="AN162" s="628" t="e">
        <f t="shared" si="31"/>
        <v>#N/A</v>
      </c>
      <c r="AO162" s="628"/>
      <c r="AP162" s="628" t="e">
        <f t="shared" si="32"/>
        <v>#N/A</v>
      </c>
      <c r="AQ162" s="530"/>
      <c r="AR162" s="628" t="e">
        <f t="shared" si="33"/>
        <v>#N/A</v>
      </c>
      <c r="AS162" s="530"/>
      <c r="AT162" s="628" t="e">
        <f t="shared" si="34"/>
        <v>#N/A</v>
      </c>
      <c r="AU162" s="21" t="str">
        <f t="shared" si="37"/>
        <v/>
      </c>
      <c r="BL162" s="2617"/>
      <c r="BM162" s="2617"/>
      <c r="BN162" s="2617"/>
      <c r="BO162" s="2617"/>
      <c r="BP162" s="2617"/>
      <c r="BQ162" s="2617"/>
      <c r="BR162" s="2617"/>
      <c r="BS162" s="2617"/>
      <c r="BT162" s="2617"/>
      <c r="BU162" s="2617"/>
      <c r="BV162" s="2617"/>
      <c r="BW162" s="2617"/>
      <c r="BX162" s="2617"/>
    </row>
    <row r="163" spans="1:76" ht="12" customHeight="1">
      <c r="A163" s="29"/>
      <c r="B163" s="753" t="str">
        <f t="shared" si="39"/>
        <v>Intelectuales</v>
      </c>
      <c r="C163" s="4527"/>
      <c r="D163" s="4322"/>
      <c r="E163" s="4971" t="s">
        <v>2405</v>
      </c>
      <c r="F163" s="4972"/>
      <c r="G163" s="4972"/>
      <c r="H163" s="727" t="s">
        <v>1245</v>
      </c>
      <c r="I163" s="1374"/>
      <c r="J163" s="1789">
        <f>IF(ISNA(AL163),0,MAX(MIN(AL163-VLOOKUP("Apto en campo: "&amp;$B163,Tabla_Ventajas,3,FALSE)-Tablas!$O329-2*Tablas!$Q329,3),1))</f>
        <v>0</v>
      </c>
      <c r="K163" s="1613"/>
      <c r="L163" s="1789">
        <f>IF(ISNA(AN163),0,MAX(MIN(AN163-VLOOKUP("Apto en campo: "&amp;$B163,Tabla_Ventajas,3,FALSE)-Tablas!$O329-2*Tablas!$Q329,3),1))</f>
        <v>0</v>
      </c>
      <c r="M163" s="1613"/>
      <c r="N163" s="1789">
        <f>IF(ISNA(AP163),0,MAX(MIN(AP163-VLOOKUP("Apto en campo: "&amp;$B163,Tabla_Ventajas,3,FALSE)-Tablas!$O329-2*Tablas!$Q329,3),1))</f>
        <v>0</v>
      </c>
      <c r="O163" s="1613"/>
      <c r="P163" s="1789">
        <f>IF(ISNA(AR163),0,MAX(MIN(AR163-VLOOKUP("Apto en campo: "&amp;$B163,Tabla_Ventajas,3,FALSE)-Tablas!$O329-2*Tablas!$Q329,3),1))</f>
        <v>0</v>
      </c>
      <c r="Q163" s="1613"/>
      <c r="R163" s="1789">
        <f>IF(ISNA(AT163),0,MAX(MIN(AT163-VLOOKUP("Apto en campo: "&amp;$B163,Tabla_Ventajas,3,FALSE)-Tablas!$O329-2*Tablas!$Q329,3),1))</f>
        <v>0</v>
      </c>
      <c r="S163" s="1613"/>
      <c r="T163" s="447">
        <f>IF(J163=0,0,TRUNC(K163/J163,0))+IF(L163=0,0,TRUNC(M163/L163,0))+IF(N163=0,0,TRUNC(O163/N163,0))+IF(P163=0,0,TRUNC(Q163/P163,0))+IF(R163=0,0,TRUNC(S163/R163,0))+IF(Personalización!$E$12="Como Base (no oficial)",AF163,0)</f>
        <v>0</v>
      </c>
      <c r="U163" s="447">
        <f t="shared" si="27"/>
        <v>0</v>
      </c>
      <c r="V163" s="447">
        <f>IF(ISNA(HLOOKUP($E163,Bonos_Cat_Base,2,FALSE)),0,HLOOKUP($E163,Bonos_Cat_Base,2,FALSE))+Tablas!$X329*Nivel_Total+10*Y163</f>
        <v>0</v>
      </c>
      <c r="W163" s="1612"/>
      <c r="X163" s="1613"/>
      <c r="Y163" s="1612"/>
      <c r="Z163" s="1961"/>
      <c r="AA163" s="1191">
        <f>IF(AND(T163&lt;5,Tablas!G$315=0),-30,0)+T163+U163+V163+Z163+IF(I163="",0,40)+Mod_ATA+AD163+IF(Personalización!$E$12="Como Base (no oficial)",0,AF163)</f>
        <v>-30</v>
      </c>
      <c r="AB163" s="1547">
        <f t="shared" si="28"/>
        <v>0</v>
      </c>
      <c r="AC163" s="769"/>
      <c r="AD163" s="2265">
        <f>Tablas!$K$1978</f>
        <v>0</v>
      </c>
      <c r="AE163" s="3632" t="e">
        <f>$S$7*VLOOKUP(Categoría_1,Tablas!$D$198:$CN$228,MATCH(E163,Tablas!$D$201:$CQ$201,0),FALSE)+IF(Categoría_2="",0,$S$9*VLOOKUP(Categoría_2,Tablas!$D$198:$CN$228,MATCH(E163,Tablas!$D$201:$CQ$201,0),FALSE))+IF(Categoría_3="",0,$S$11*VLOOKUP(Categoría_3,Tablas!$D$198:$CN$228,MATCH(E163,Tablas!$D$201:$CQ$201,0),FALSE))+IF(Categoría_4="",0,$S$13*VLOOKUP(Categoría_4,Tablas!$D$198:$CN$228,MATCH(E163,Tablas!$D$201:$CQ$201,0),FALSE))+IF(Categoría_5="",0,$S$15*VLOOKUP(Categoría_5,Tablas!$D$198:$CN$228,MATCH(E163,Tablas!$D$201:$CQ$201,0)))</f>
        <v>#N/A</v>
      </c>
      <c r="AF163" s="3633">
        <f>IF(AF$141,IF(OR(Region="",ClaseSocial="",Personalización!$AN$9),0,IF(OR(AND(AI163,AJ163),AND(NOT(AI163),NOT(AJ163))),LEFT(AG163,2)+LEFT(AH163,2),IF(AND(AI163,NOT(AJ163)),LEFT(AH163,2),0))),0)</f>
        <v>0</v>
      </c>
      <c r="AG163" s="2265">
        <f>HLOOKUP(Region&amp;ClaseSocial,Tabla_RaicesCulturales,Tablas!F161,FALSE)</f>
        <v>0</v>
      </c>
      <c r="AH163" s="3632">
        <f>IF(AND(E163="Historia",Personalización!$E$16="Historia (Local)"),20&amp;" "&amp;Personalización!$E$16,IF(E163=Personalización!$E$15,VLOOKUP(E163,Tablas!$L$136:$M$137,2,FALSE),IF(E163=Personalización!$E$16,VLOOKUP(E163,Tablas!$N$136:$O$137,2,FALSE),0)))</f>
        <v>0</v>
      </c>
      <c r="AI163" s="3632" t="b">
        <f t="shared" si="40"/>
        <v>0</v>
      </c>
      <c r="AJ163" s="3632" t="b">
        <f t="shared" si="41"/>
        <v>0</v>
      </c>
      <c r="AK163" s="3632"/>
      <c r="AL163" s="628" t="e">
        <f t="shared" si="36"/>
        <v>#N/A</v>
      </c>
      <c r="AM163" s="628"/>
      <c r="AN163" s="628" t="e">
        <f t="shared" si="31"/>
        <v>#N/A</v>
      </c>
      <c r="AO163" s="628"/>
      <c r="AP163" s="628" t="e">
        <f t="shared" si="32"/>
        <v>#N/A</v>
      </c>
      <c r="AQ163" s="530"/>
      <c r="AR163" s="628" t="e">
        <f t="shared" si="33"/>
        <v>#N/A</v>
      </c>
      <c r="AS163" s="530"/>
      <c r="AT163" s="628" t="e">
        <f t="shared" si="34"/>
        <v>#N/A</v>
      </c>
      <c r="AU163" s="21" t="str">
        <f t="shared" si="37"/>
        <v/>
      </c>
      <c r="BL163" s="2617"/>
      <c r="BM163" s="2617"/>
      <c r="BN163" s="2617"/>
      <c r="BO163" s="2617"/>
      <c r="BP163" s="2617"/>
      <c r="BQ163" s="2617"/>
      <c r="BR163" s="2617"/>
      <c r="BS163" s="2617"/>
      <c r="BT163" s="2617"/>
      <c r="BU163" s="2617"/>
      <c r="BV163" s="2617"/>
      <c r="BW163" s="2617"/>
      <c r="BX163" s="2617"/>
    </row>
    <row r="164" spans="1:76" ht="12" customHeight="1">
      <c r="A164" s="29"/>
      <c r="B164" s="753" t="str">
        <f t="shared" si="39"/>
        <v>Intelectuales</v>
      </c>
      <c r="C164" s="4527"/>
      <c r="D164" s="4322"/>
      <c r="E164" s="4969" t="s">
        <v>1297</v>
      </c>
      <c r="F164" s="4970"/>
      <c r="G164" s="4970"/>
      <c r="H164" s="728" t="s">
        <v>1245</v>
      </c>
      <c r="I164" s="1350"/>
      <c r="J164" s="503">
        <f>IF(ISNA(AL164),0,MAX(MIN(AL164-VLOOKUP("Apto en campo: "&amp;$B164,Tabla_Ventajas,3,FALSE)-Tablas!$O330-2*Tablas!$Q330,3),1))</f>
        <v>0</v>
      </c>
      <c r="K164" s="1615"/>
      <c r="L164" s="503">
        <f>IF(ISNA(AN164),0,MAX(MIN(AN164-VLOOKUP("Apto en campo: "&amp;$B164,Tabla_Ventajas,3,FALSE)-Tablas!$O330-2*Tablas!$Q330,3),1))</f>
        <v>0</v>
      </c>
      <c r="M164" s="1615"/>
      <c r="N164" s="503">
        <f>IF(ISNA(AP164),0,MAX(MIN(AP164-VLOOKUP("Apto en campo: "&amp;$B164,Tabla_Ventajas,3,FALSE)-Tablas!$O330-2*Tablas!$Q330,3),1))</f>
        <v>0</v>
      </c>
      <c r="O164" s="1615"/>
      <c r="P164" s="503">
        <f>IF(ISNA(AR164),0,MAX(MIN(AR164-VLOOKUP("Apto en campo: "&amp;$B164,Tabla_Ventajas,3,FALSE)-Tablas!$O330-2*Tablas!$Q330,3),1))</f>
        <v>0</v>
      </c>
      <c r="Q164" s="1615"/>
      <c r="R164" s="503">
        <f>IF(ISNA(AT164),0,MAX(MIN(AT164-VLOOKUP("Apto en campo: "&amp;$B164,Tabla_Ventajas,3,FALSE)-Tablas!$O330-2*Tablas!$Q330,3),1))</f>
        <v>0</v>
      </c>
      <c r="S164" s="1615"/>
      <c r="T164" s="448">
        <f>IF(J164=0,0,TRUNC(K164/J164,0))+IF(L164=0,0,TRUNC(M164/L164,0))+IF(N164=0,0,TRUNC(O164/N164,0))+IF(P164=0,0,TRUNC(Q164/P164,0))+IF(R164=0,0,TRUNC(S164/R164,0))+IF(Personalización!$E$12="Como Base (no oficial)",AF164,0)</f>
        <v>0</v>
      </c>
      <c r="U164" s="448">
        <f t="shared" si="27"/>
        <v>0</v>
      </c>
      <c r="V164" s="448">
        <f>IF(ISNA(HLOOKUP($E164,Bonos_Cat_Base,2,FALSE)),0,HLOOKUP($E164,Bonos_Cat_Base,2,FALSE))+Tablas!$X330*Nivel_Total+10*Y164</f>
        <v>0</v>
      </c>
      <c r="W164" s="1614"/>
      <c r="X164" s="1615"/>
      <c r="Y164" s="1614"/>
      <c r="Z164" s="1962"/>
      <c r="AA164" s="1192">
        <f>IF(AND(T164&lt;5,Tablas!G$315=0),-30,0)+T164+U164+V164+Z164+IF(I164="",0,40)+Mod_ATA+AD164+IF(Personalización!$E$12="Como Base (no oficial)",0,AF164)</f>
        <v>-30</v>
      </c>
      <c r="AB164" s="1547">
        <f t="shared" si="28"/>
        <v>0</v>
      </c>
      <c r="AC164" s="769"/>
      <c r="AD164" s="2265">
        <f>Tablas!$K$1978+Tablas!$K2014</f>
        <v>0</v>
      </c>
      <c r="AE164" s="3632" t="e">
        <f>$S$7*VLOOKUP(Categoría_1,Tablas!$D$198:$CN$228,MATCH(E164,Tablas!$D$201:$CQ$201,0),FALSE)+IF(Categoría_2="",0,$S$9*VLOOKUP(Categoría_2,Tablas!$D$198:$CN$228,MATCH(E164,Tablas!$D$201:$CQ$201,0),FALSE))+IF(Categoría_3="",0,$S$11*VLOOKUP(Categoría_3,Tablas!$D$198:$CN$228,MATCH(E164,Tablas!$D$201:$CQ$201,0),FALSE))+IF(Categoría_4="",0,$S$13*VLOOKUP(Categoría_4,Tablas!$D$198:$CN$228,MATCH(E164,Tablas!$D$201:$CQ$201,0),FALSE))+IF(Categoría_5="",0,$S$15*VLOOKUP(Categoría_5,Tablas!$D$198:$CN$228,MATCH(E164,Tablas!$D$201:$CQ$201,0)))</f>
        <v>#N/A</v>
      </c>
      <c r="AF164" s="3633">
        <f>IF(AF$141,IF(OR(Region="",ClaseSocial="",Personalización!$AN$9),0,IF(OR(AND(AI164,AJ164),AND(NOT(AI164),NOT(AJ164))),LEFT(AG164,2)+LEFT(AH164,2),IF(AND(AI164,NOT(AJ164)),LEFT(AH164,2),0))),0)</f>
        <v>0</v>
      </c>
      <c r="AG164" s="2265">
        <f>HLOOKUP(Region&amp;ClaseSocial,Tabla_RaicesCulturales,Tablas!F162,FALSE)</f>
        <v>0</v>
      </c>
      <c r="AH164" s="3632">
        <f>IF(AND(E164="Historia",Personalización!$E$16="Historia (Local)"),20&amp;" "&amp;Personalización!$E$16,IF(E164=Personalización!$E$15,VLOOKUP(E164,Tablas!$L$136:$M$137,2,FALSE),IF(E164=Personalización!$E$16,VLOOKUP(E164,Tablas!$N$136:$O$137,2,FALSE),0)))</f>
        <v>0</v>
      </c>
      <c r="AI164" s="3632" t="b">
        <f t="shared" si="40"/>
        <v>0</v>
      </c>
      <c r="AJ164" s="3632" t="b">
        <f t="shared" si="41"/>
        <v>0</v>
      </c>
      <c r="AK164" s="3632"/>
      <c r="AL164" s="628" t="e">
        <f t="shared" si="36"/>
        <v>#N/A</v>
      </c>
      <c r="AM164" s="628"/>
      <c r="AN164" s="628" t="e">
        <f t="shared" si="31"/>
        <v>#N/A</v>
      </c>
      <c r="AO164" s="628"/>
      <c r="AP164" s="628" t="e">
        <f t="shared" si="32"/>
        <v>#N/A</v>
      </c>
      <c r="AQ164" s="530"/>
      <c r="AR164" s="628" t="e">
        <f t="shared" si="33"/>
        <v>#N/A</v>
      </c>
      <c r="AS164" s="530"/>
      <c r="AT164" s="628" t="e">
        <f t="shared" si="34"/>
        <v>#N/A</v>
      </c>
      <c r="AU164" s="21" t="str">
        <f t="shared" si="37"/>
        <v/>
      </c>
      <c r="BL164" s="2617"/>
      <c r="BM164" s="2617"/>
      <c r="BN164" s="2617"/>
      <c r="BO164" s="2617"/>
      <c r="BP164" s="2617"/>
      <c r="BQ164" s="2617"/>
      <c r="BR164" s="2617"/>
      <c r="BS164" s="2617"/>
      <c r="BT164" s="2617"/>
      <c r="BU164" s="2617"/>
      <c r="BV164" s="2617"/>
      <c r="BW164" s="2617"/>
      <c r="BX164" s="2617"/>
    </row>
    <row r="165" spans="1:76" ht="12" customHeight="1">
      <c r="A165" s="29"/>
      <c r="B165" s="753" t="str">
        <f t="shared" si="39"/>
        <v>Intelectuales</v>
      </c>
      <c r="C165" s="4527"/>
      <c r="D165" s="4322"/>
      <c r="E165" s="4971" t="s">
        <v>1299</v>
      </c>
      <c r="F165" s="4972"/>
      <c r="G165" s="4972"/>
      <c r="H165" s="727" t="s">
        <v>1245</v>
      </c>
      <c r="I165" s="1376"/>
      <c r="J165" s="1789">
        <f>IF(ISNA(AL165),0,MAX(MIN(AL165-VLOOKUP("Apto en campo: "&amp;$B165,Tabla_Ventajas,3,FALSE)-Tablas!$O331-2*Tablas!$Q331,3),1))</f>
        <v>0</v>
      </c>
      <c r="K165" s="1613"/>
      <c r="L165" s="1789">
        <f>IF(ISNA(AN165),0,MAX(MIN(AN165-VLOOKUP("Apto en campo: "&amp;$B165,Tabla_Ventajas,3,FALSE)-Tablas!$O331-2*Tablas!$Q331,3),1))</f>
        <v>0</v>
      </c>
      <c r="M165" s="1613"/>
      <c r="N165" s="1789">
        <f>IF(ISNA(AP165),0,MAX(MIN(AP165-VLOOKUP("Apto en campo: "&amp;$B165,Tabla_Ventajas,3,FALSE)-Tablas!$O331-2*Tablas!$Q331,3),1))</f>
        <v>0</v>
      </c>
      <c r="O165" s="1613"/>
      <c r="P165" s="1789">
        <f>IF(ISNA(AR165),0,MAX(MIN(AR165-VLOOKUP("Apto en campo: "&amp;$B165,Tabla_Ventajas,3,FALSE)-Tablas!$O331-2*Tablas!$Q331,3),1))</f>
        <v>0</v>
      </c>
      <c r="Q165" s="1613"/>
      <c r="R165" s="1789">
        <f>IF(ISNA(AT165),0,MAX(MIN(AT165-VLOOKUP("Apto en campo: "&amp;$B165,Tabla_Ventajas,3,FALSE)-Tablas!$O331-2*Tablas!$Q331,3),1))</f>
        <v>0</v>
      </c>
      <c r="S165" s="1613"/>
      <c r="T165" s="447">
        <f>IF(J165=0,0,TRUNC(K165/J165,0))+IF(L165=0,0,TRUNC(M165/L165,0))+IF(N165=0,0,TRUNC(O165/N165,0))+IF(P165=0,0,TRUNC(Q165/P165,0))+IF(R165=0,0,TRUNC(S165/R165,0))+IF(Personalización!$E$12="Como Base (no oficial)",AF165,0)</f>
        <v>0</v>
      </c>
      <c r="U165" s="447">
        <f t="shared" si="27"/>
        <v>0</v>
      </c>
      <c r="V165" s="447">
        <f>IF(ISNA(HLOOKUP($E165,Bonos_Cat_Base,2,FALSE)),0,HLOOKUP($E165,Bonos_Cat_Base,2,FALSE))+Tablas!$X331*Nivel_Total+10*Y165</f>
        <v>0</v>
      </c>
      <c r="W165" s="1612"/>
      <c r="X165" s="1613"/>
      <c r="Y165" s="1612"/>
      <c r="Z165" s="1961"/>
      <c r="AA165" s="454" t="str">
        <f>IF(AND(T165&lt;5,Tablas!G$315=0),"-",T165+U165+V165+Z165+IF(I165="",0,40)+Mod_ATA+AD165+IF(Personalización!$E$12="Como Base (no oficial)",0,AF165))</f>
        <v>-</v>
      </c>
      <c r="AB165" s="1547">
        <f t="shared" si="28"/>
        <v>0</v>
      </c>
      <c r="AC165" s="769"/>
      <c r="AD165" s="2265">
        <f>Tablas!$K$1978</f>
        <v>0</v>
      </c>
      <c r="AE165" s="3632" t="e">
        <f>$S$7*VLOOKUP(Categoría_1,Tablas!$D$198:$CN$228,MATCH(E165,Tablas!$D$201:$CQ$201,0),FALSE)+IF(Categoría_2="",0,$S$9*VLOOKUP(Categoría_2,Tablas!$D$198:$CN$228,MATCH(E165,Tablas!$D$201:$CQ$201,0),FALSE))+IF(Categoría_3="",0,$S$11*VLOOKUP(Categoría_3,Tablas!$D$198:$CN$228,MATCH(E165,Tablas!$D$201:$CQ$201,0),FALSE))+IF(Categoría_4="",0,$S$13*VLOOKUP(Categoría_4,Tablas!$D$198:$CN$228,MATCH(E165,Tablas!$D$201:$CQ$201,0),FALSE))+IF(Categoría_5="",0,$S$15*VLOOKUP(Categoría_5,Tablas!$D$198:$CN$228,MATCH(E165,Tablas!$D$201:$CQ$201,0)))</f>
        <v>#N/A</v>
      </c>
      <c r="AF165" s="3633">
        <f>IF(AF$141,IF(OR(Region="",ClaseSocial="",Personalización!$AN$9),0,IF(OR(AND(AI165,AJ165),AND(NOT(AI165),NOT(AJ165))),LEFT(AG165,2)+LEFT(AH165,2),IF(AND(AI165,NOT(AJ165)),LEFT(AH165,2),0))),0)</f>
        <v>0</v>
      </c>
      <c r="AG165" s="2265">
        <f>HLOOKUP(Region&amp;ClaseSocial,Tabla_RaicesCulturales,Tablas!F163,FALSE)</f>
        <v>0</v>
      </c>
      <c r="AH165" s="3632">
        <f>IF(AND(E165="Historia",Personalización!$E$16="Historia (Local)"),20&amp;" "&amp;Personalización!$E$16,IF(E165=Personalización!$E$15,VLOOKUP(E165,Tablas!$L$136:$M$137,2,FALSE),IF(E165=Personalización!$E$16,VLOOKUP(E165,Tablas!$N$136:$O$137,2,FALSE),0)))</f>
        <v>0</v>
      </c>
      <c r="AI165" s="3632" t="b">
        <f>OR(ISNUMBER(FIND("(",AG165)),ISNUMBER(FIND("(",AH165)))</f>
        <v>0</v>
      </c>
      <c r="AJ165" s="3632" t="b">
        <f>AND(NOT(I165=""),OR(ISNUMBER(SEARCH(I165,AG165)),ISNUMBER(SEARCH(I165,AH165))))</f>
        <v>0</v>
      </c>
      <c r="AK165" s="3632"/>
      <c r="AL165" s="628" t="e">
        <f t="shared" si="36"/>
        <v>#N/A</v>
      </c>
      <c r="AM165" s="628"/>
      <c r="AN165" s="628" t="e">
        <f t="shared" si="31"/>
        <v>#N/A</v>
      </c>
      <c r="AO165" s="628"/>
      <c r="AP165" s="628" t="e">
        <f t="shared" si="32"/>
        <v>#N/A</v>
      </c>
      <c r="AQ165" s="530"/>
      <c r="AR165" s="628" t="e">
        <f t="shared" si="33"/>
        <v>#N/A</v>
      </c>
      <c r="AS165" s="530"/>
      <c r="AT165" s="628" t="e">
        <f t="shared" si="34"/>
        <v>#N/A</v>
      </c>
      <c r="AU165" s="21" t="str">
        <f t="shared" si="37"/>
        <v/>
      </c>
      <c r="BL165" s="2617"/>
      <c r="BM165" s="2617"/>
      <c r="BN165" s="2617"/>
      <c r="BO165" s="2617"/>
      <c r="BP165" s="2617"/>
      <c r="BQ165" s="2617"/>
      <c r="BR165" s="2617"/>
      <c r="BS165" s="2617"/>
      <c r="BT165" s="2617"/>
      <c r="BU165" s="2617"/>
      <c r="BV165" s="2617"/>
      <c r="BW165" s="2617"/>
      <c r="BX165" s="2617"/>
    </row>
    <row r="166" spans="1:76" ht="12" customHeight="1">
      <c r="A166" s="29"/>
      <c r="B166" s="753" t="str">
        <f t="shared" si="39"/>
        <v>Intelectuales</v>
      </c>
      <c r="C166" s="4527"/>
      <c r="D166" s="4322"/>
      <c r="E166" s="4969" t="s">
        <v>11722</v>
      </c>
      <c r="F166" s="4970"/>
      <c r="G166" s="4970"/>
      <c r="H166" s="728" t="s">
        <v>1245</v>
      </c>
      <c r="I166" s="1350"/>
      <c r="J166" s="503">
        <f>IF(ISNA(AL166),0,MAX(MIN(AL166-VLOOKUP("Apto en campo: "&amp;$B166,Tabla_Ventajas,3,FALSE)-Tablas!$O332-2*Tablas!$Q332,3),1))</f>
        <v>0</v>
      </c>
      <c r="K166" s="1615"/>
      <c r="L166" s="503">
        <f>IF(ISNA(AN166),0,MAX(MIN(AN166-VLOOKUP("Apto en campo: "&amp;$B166,Tabla_Ventajas,3,FALSE)-Tablas!$O332-2*Tablas!$Q332,3),1))</f>
        <v>0</v>
      </c>
      <c r="M166" s="1615"/>
      <c r="N166" s="503">
        <f>IF(ISNA(AP166),0,MAX(MIN(AP166-VLOOKUP("Apto en campo: "&amp;$B166,Tabla_Ventajas,3,FALSE)-Tablas!$O332-2*Tablas!$Q332,3),1))</f>
        <v>0</v>
      </c>
      <c r="O166" s="1615"/>
      <c r="P166" s="503">
        <f>IF(ISNA(AR166),0,MAX(MIN(AR166-VLOOKUP("Apto en campo: "&amp;$B166,Tabla_Ventajas,3,FALSE)-Tablas!$O332-2*Tablas!$Q332,3),1))</f>
        <v>0</v>
      </c>
      <c r="Q166" s="1615"/>
      <c r="R166" s="503">
        <f>IF(ISNA(AT166),0,MAX(MIN(AT166-VLOOKUP("Apto en campo: "&amp;$B166,Tabla_Ventajas,3,FALSE)-Tablas!$O332-2*Tablas!$Q332,3),1))</f>
        <v>0</v>
      </c>
      <c r="S166" s="1615"/>
      <c r="T166" s="448">
        <f>IF(J166=0,0,TRUNC(K166/J166,0))+IF(L166=0,0,TRUNC(M166/L166,0))+IF(N166=0,0,TRUNC(O166/N166,0))+IF(P166=0,0,TRUNC(Q166/P166,0))+IF(R166=0,0,TRUNC(S166/R166,0))+IF(Personalización!$E$12="Como Base (no oficial)",AF166,0)</f>
        <v>0</v>
      </c>
      <c r="U166" s="448">
        <f t="shared" si="27"/>
        <v>0</v>
      </c>
      <c r="V166" s="448">
        <f>IF(ISNA(HLOOKUP($E166,Bonos_Cat_Base,2,FALSE)),0,HLOOKUP($E166,Bonos_Cat_Base,2,FALSE))+Tablas!$X332*Nivel_Total+10*Y166</f>
        <v>0</v>
      </c>
      <c r="W166" s="1614"/>
      <c r="X166" s="1615"/>
      <c r="Y166" s="1614"/>
      <c r="Z166" s="1962"/>
      <c r="AA166" s="1192">
        <f>IF(AND(T166&lt;5,Tablas!G$315=0),-30,0)+T166+U166+V166+Z166+IF(I166="",0,40)+Mod_ATA+AD166+IF(Personalización!$E$12="Como Base (no oficial)",0,AF166)</f>
        <v>-30</v>
      </c>
      <c r="AB166" s="1547">
        <f t="shared" si="28"/>
        <v>0</v>
      </c>
      <c r="AC166" s="769"/>
      <c r="AD166" s="2265">
        <f>Tablas!$K$1978</f>
        <v>0</v>
      </c>
      <c r="AE166" s="3632" t="e">
        <f>$S$7*VLOOKUP(Categoría_1,Tablas!$D$198:$CN$228,MATCH(E166,Tablas!$D$201:$CQ$201,0),FALSE)+IF(Categoría_2="",0,$S$9*VLOOKUP(Categoría_2,Tablas!$D$198:$CN$228,MATCH(E166,Tablas!$D$201:$CQ$201,0),FALSE))+IF(Categoría_3="",0,$S$11*VLOOKUP(Categoría_3,Tablas!$D$198:$CN$228,MATCH(E166,Tablas!$D$201:$CQ$201,0),FALSE))+IF(Categoría_4="",0,$S$13*VLOOKUP(Categoría_4,Tablas!$D$198:$CN$228,MATCH(E166,Tablas!$D$201:$CQ$201,0),FALSE))+IF(Categoría_5="",0,$S$15*VLOOKUP(Categoría_5,Tablas!$D$198:$CN$228,MATCH(E166,Tablas!$D$201:$CQ$201,0)))</f>
        <v>#N/A</v>
      </c>
      <c r="AF166" s="3633">
        <f>IF(AF$141,IF(OR(Region="",ClaseSocial="",Personalización!$AN$9),0,IF(OR(AND(AI166,AJ166),AND(NOT(AI166),NOT(AJ166))),LEFT(AG166,2)+LEFT(AH166,2),IF(AND(AI166,NOT(AJ166)),LEFT(AH166,2),0))),0)</f>
        <v>0</v>
      </c>
      <c r="AG166" s="2265">
        <f>HLOOKUP(Region&amp;ClaseSocial,Tabla_RaicesCulturales,Tablas!F164,FALSE)</f>
        <v>0</v>
      </c>
      <c r="AH166" s="3632">
        <f>IF(AND(E166="Historia",Personalización!$E$16="Historia (Local)"),20&amp;" "&amp;Personalización!$E$16,IF(E166=Personalización!$E$15,VLOOKUP(E166,Tablas!$L$136:$M$137,2,FALSE),IF(E166=Personalización!$E$16,VLOOKUP(E166,Tablas!$N$136:$O$137,2,FALSE),0)))</f>
        <v>0</v>
      </c>
      <c r="AI166" s="3632" t="b">
        <f t="shared" si="40"/>
        <v>0</v>
      </c>
      <c r="AJ166" s="3632" t="b">
        <f t="shared" si="41"/>
        <v>0</v>
      </c>
      <c r="AK166" s="3632"/>
      <c r="AL166" s="628" t="e">
        <f t="shared" si="36"/>
        <v>#N/A</v>
      </c>
      <c r="AN166" s="628" t="e">
        <f t="shared" si="31"/>
        <v>#N/A</v>
      </c>
      <c r="AO166" s="628"/>
      <c r="AP166" s="628" t="e">
        <f t="shared" si="32"/>
        <v>#N/A</v>
      </c>
      <c r="AQ166" s="530"/>
      <c r="AR166" s="628" t="e">
        <f t="shared" si="33"/>
        <v>#N/A</v>
      </c>
      <c r="AS166" s="530"/>
      <c r="AT166" s="628" t="e">
        <f t="shared" si="34"/>
        <v>#N/A</v>
      </c>
      <c r="AU166" s="21" t="str">
        <f t="shared" si="37"/>
        <v/>
      </c>
      <c r="BL166" s="2617"/>
      <c r="BM166" s="2617"/>
      <c r="BN166" s="2617"/>
      <c r="BO166" s="2617"/>
      <c r="BP166" s="2617"/>
      <c r="BQ166" s="2617"/>
      <c r="BR166" s="2617"/>
      <c r="BS166" s="2617"/>
      <c r="BT166" s="2617"/>
      <c r="BU166" s="2617"/>
      <c r="BV166" s="2617"/>
      <c r="BW166" s="2617"/>
      <c r="BX166" s="2617"/>
    </row>
    <row r="167" spans="1:76" ht="12" customHeight="1">
      <c r="A167" s="29"/>
      <c r="B167" s="753" t="str">
        <f t="shared" si="39"/>
        <v>Intelectuales</v>
      </c>
      <c r="C167" s="4527"/>
      <c r="D167" s="4322"/>
      <c r="E167" s="4971" t="s">
        <v>1302</v>
      </c>
      <c r="F167" s="4972"/>
      <c r="G167" s="4972"/>
      <c r="H167" s="727" t="s">
        <v>1245</v>
      </c>
      <c r="I167" s="1376"/>
      <c r="J167" s="1789">
        <f>IF(ISNA(AL167),0,MAX(MIN(AL167-VLOOKUP("Apto en campo: "&amp;$B167,Tabla_Ventajas,3,FALSE)-Tablas!$O333-2*Tablas!$Q333,3),1))</f>
        <v>0</v>
      </c>
      <c r="K167" s="1613"/>
      <c r="L167" s="1789">
        <f>IF(ISNA(AN167),0,MAX(MIN(AN167-VLOOKUP("Apto en campo: "&amp;$B167,Tabla_Ventajas,3,FALSE)-Tablas!$O333-2*Tablas!$Q333,3),1))</f>
        <v>0</v>
      </c>
      <c r="M167" s="1613"/>
      <c r="N167" s="1789">
        <f>IF(ISNA(AP167),0,MAX(MIN(AP167-VLOOKUP("Apto en campo: "&amp;$B167,Tabla_Ventajas,3,FALSE)-Tablas!$O333-2*Tablas!$Q333,3),1))</f>
        <v>0</v>
      </c>
      <c r="O167" s="1613"/>
      <c r="P167" s="1789">
        <f>IF(ISNA(AR167),0,MAX(MIN(AR167-VLOOKUP("Apto en campo: "&amp;$B167,Tabla_Ventajas,3,FALSE)-Tablas!$O333-2*Tablas!$Q333,3),1))</f>
        <v>0</v>
      </c>
      <c r="Q167" s="1613"/>
      <c r="R167" s="1789">
        <f>IF(ISNA(AT167),0,MAX(MIN(AT167-VLOOKUP("Apto en campo: "&amp;$B167,Tabla_Ventajas,3,FALSE)-Tablas!$O333-2*Tablas!$Q333,3),1))</f>
        <v>0</v>
      </c>
      <c r="S167" s="1613"/>
      <c r="T167" s="447">
        <f>IF(J167=0,0,TRUNC(K167/J167,0))+IF(L167=0,0,TRUNC(M167/L167,0))+IF(N167=0,0,TRUNC(O167/N167,0))+IF(P167=0,0,TRUNC(Q167/P167,0))+IF(R167=0,0,TRUNC(S167/R167,0))+IF(Personalización!$E$12="Como Base (no oficial)",AF167,0)</f>
        <v>0</v>
      </c>
      <c r="U167" s="447">
        <f t="shared" si="27"/>
        <v>0</v>
      </c>
      <c r="V167" s="447">
        <f>IF(ISNA(HLOOKUP($E167,Bonos_Cat_Base,2,FALSE)),0,HLOOKUP($E167,Bonos_Cat_Base,2,FALSE))+Tablas!$X333*Nivel_Total+10*Y167</f>
        <v>0</v>
      </c>
      <c r="W167" s="1612"/>
      <c r="X167" s="1613"/>
      <c r="Y167" s="1612"/>
      <c r="Z167" s="1961"/>
      <c r="AA167" s="454" t="str">
        <f>IF(AND(T167&lt;5,Tablas!G$315=0),"-",T167+U167+V167+Z167+IF(I167="",0,40)+Mod_ATA+AD167+IF(Personalización!$E$12="Como Base (no oficial)",0,AF167))</f>
        <v>-</v>
      </c>
      <c r="AB167" s="1547">
        <f t="shared" si="28"/>
        <v>0</v>
      </c>
      <c r="AC167" s="769"/>
      <c r="AD167" s="2265">
        <f>Tablas!$K$1978</f>
        <v>0</v>
      </c>
      <c r="AE167" s="3632" t="e">
        <f>$S$7*VLOOKUP(Categoría_1,Tablas!$D$198:$CN$228,MATCH(E167,Tablas!$D$201:$CQ$201,0),FALSE)+IF(Categoría_2="",0,$S$9*VLOOKUP(Categoría_2,Tablas!$D$198:$CN$228,MATCH(E167,Tablas!$D$201:$CQ$201,0),FALSE))+IF(Categoría_3="",0,$S$11*VLOOKUP(Categoría_3,Tablas!$D$198:$CN$228,MATCH(E167,Tablas!$D$201:$CQ$201,0),FALSE))+IF(Categoría_4="",0,$S$13*VLOOKUP(Categoría_4,Tablas!$D$198:$CN$228,MATCH(E167,Tablas!$D$201:$CQ$201,0),FALSE))+IF(Categoría_5="",0,$S$15*VLOOKUP(Categoría_5,Tablas!$D$198:$CN$228,MATCH(E167,Tablas!$D$201:$CQ$201,0)))</f>
        <v>#N/A</v>
      </c>
      <c r="AF167" s="3633">
        <f>IF(AF$141,IF(OR(Region="",ClaseSocial="",Personalización!$AN$9),0,IF(OR(AND(AI167,AJ167),AND(NOT(AI167),NOT(AJ167))),LEFT(AG167,2)+LEFT(AH167,2),IF(AND(AI167,NOT(AJ167)),LEFT(AH167,2),0))),0)</f>
        <v>0</v>
      </c>
      <c r="AG167" s="2265">
        <f>HLOOKUP(Region&amp;ClaseSocial,Tabla_RaicesCulturales,Tablas!F165,FALSE)</f>
        <v>0</v>
      </c>
      <c r="AH167" s="3632">
        <f>IF(AND(E167="Historia",Personalización!$E$16="Historia (Local)"),20&amp;" "&amp;Personalización!$E$16,IF(E167=Personalización!$E$15,VLOOKUP(E167,Tablas!$L$136:$M$137,2,FALSE),IF(E167=Personalización!$E$16,VLOOKUP(E167,Tablas!$N$136:$O$137,2,FALSE),0)))</f>
        <v>0</v>
      </c>
      <c r="AI167" s="3632" t="b">
        <f t="shared" si="40"/>
        <v>0</v>
      </c>
      <c r="AJ167" s="3632" t="b">
        <f t="shared" si="41"/>
        <v>0</v>
      </c>
      <c r="AK167" s="3632"/>
      <c r="AL167" s="628" t="e">
        <f t="shared" si="36"/>
        <v>#N/A</v>
      </c>
      <c r="AM167" s="628"/>
      <c r="AN167" s="628" t="e">
        <f t="shared" si="31"/>
        <v>#N/A</v>
      </c>
      <c r="AO167" s="628"/>
      <c r="AP167" s="628" t="e">
        <f t="shared" si="32"/>
        <v>#N/A</v>
      </c>
      <c r="AQ167" s="530"/>
      <c r="AR167" s="628" t="e">
        <f t="shared" si="33"/>
        <v>#N/A</v>
      </c>
      <c r="AS167" s="530"/>
      <c r="AT167" s="628" t="e">
        <f t="shared" si="34"/>
        <v>#N/A</v>
      </c>
      <c r="AU167" s="21" t="str">
        <f t="shared" si="37"/>
        <v/>
      </c>
      <c r="BL167" s="2617"/>
      <c r="BM167" s="2617"/>
      <c r="BN167" s="2617"/>
      <c r="BO167" s="2617"/>
      <c r="BP167" s="2617"/>
      <c r="BQ167" s="2617"/>
      <c r="BR167" s="2617"/>
      <c r="BS167" s="2617"/>
      <c r="BT167" s="2617"/>
      <c r="BU167" s="2617"/>
      <c r="BV167" s="2617"/>
      <c r="BW167" s="2617"/>
      <c r="BX167" s="2617"/>
    </row>
    <row r="168" spans="1:76" ht="12" customHeight="1">
      <c r="A168" s="29"/>
      <c r="B168" s="753" t="str">
        <f t="shared" si="39"/>
        <v>Intelectuales</v>
      </c>
      <c r="C168" s="4527"/>
      <c r="D168" s="4322"/>
      <c r="E168" s="4969" t="s">
        <v>1303</v>
      </c>
      <c r="F168" s="4970"/>
      <c r="G168" s="4970"/>
      <c r="H168" s="728" t="s">
        <v>1245</v>
      </c>
      <c r="I168" s="1350"/>
      <c r="J168" s="503">
        <f>IF(ISNA(AL168),0,MAX(MIN(AL168-VLOOKUP("Apto en campo: "&amp;$B168,Tabla_Ventajas,3,FALSE)-Tablas!$O334-2*Tablas!$Q334,3),1))</f>
        <v>0</v>
      </c>
      <c r="K168" s="1615"/>
      <c r="L168" s="503">
        <f>IF(ISNA(AN168),0,MAX(MIN(AN168-VLOOKUP("Apto en campo: "&amp;$B168,Tabla_Ventajas,3,FALSE)-Tablas!$O334-2*Tablas!$Q334,3),1))</f>
        <v>0</v>
      </c>
      <c r="M168" s="1615"/>
      <c r="N168" s="503">
        <f>IF(ISNA(AP168),0,MAX(MIN(AP168-VLOOKUP("Apto en campo: "&amp;$B168,Tabla_Ventajas,3,FALSE)-Tablas!$O334-2*Tablas!$Q334,3),1))</f>
        <v>0</v>
      </c>
      <c r="O168" s="1615"/>
      <c r="P168" s="503">
        <f>IF(ISNA(AR168),0,MAX(MIN(AR168-VLOOKUP("Apto en campo: "&amp;$B168,Tabla_Ventajas,3,FALSE)-Tablas!$O334-2*Tablas!$Q334,3),1))</f>
        <v>0</v>
      </c>
      <c r="Q168" s="1615"/>
      <c r="R168" s="503">
        <f>IF(ISNA(AT168),0,MAX(MIN(AT168-VLOOKUP("Apto en campo: "&amp;$B168,Tabla_Ventajas,3,FALSE)-Tablas!$O334-2*Tablas!$Q334,3),1))</f>
        <v>0</v>
      </c>
      <c r="S168" s="1615"/>
      <c r="T168" s="448">
        <f>IF(J168=0,0,TRUNC(K168/J168,0))+IF(L168=0,0,TRUNC(M168/L168,0))+IF(N168=0,0,TRUNC(O168/N168,0))+IF(P168=0,0,TRUNC(Q168/P168,0))+IF(R168=0,0,TRUNC(S168/R168,0))+IF(Personalización!$E$12="Como Base (no oficial)",AF168,0)</f>
        <v>0</v>
      </c>
      <c r="U168" s="448">
        <f t="shared" si="27"/>
        <v>0</v>
      </c>
      <c r="V168" s="448">
        <f>IF(ISNA(HLOOKUP($E168,Bonos_Cat_Base,2,FALSE)),0,HLOOKUP($E168,Bonos_Cat_Base,2,FALSE))+Tablas!$X334*Nivel_Total+10*Y168</f>
        <v>0</v>
      </c>
      <c r="W168" s="1614"/>
      <c r="X168" s="1615"/>
      <c r="Y168" s="1614"/>
      <c r="Z168" s="1962"/>
      <c r="AA168" s="1192">
        <f>IF(AND(T168&lt;5,Tablas!G$315=0),-30,0)+T168+U168+V168+Z168+IF(I168="",0,40)+Mod_ATA+AD168+IF(Personalización!$E$12="Como Base (no oficial)",0,AF168)</f>
        <v>-30</v>
      </c>
      <c r="AB168" s="1547">
        <f t="shared" si="28"/>
        <v>0</v>
      </c>
      <c r="AC168" s="769"/>
      <c r="AD168" s="2265">
        <f>Tablas!$K$1978</f>
        <v>0</v>
      </c>
      <c r="AE168" s="3632" t="e">
        <f>$S$7*VLOOKUP(Categoría_1,Tablas!$D$198:$CN$228,MATCH(E168,Tablas!$D$201:$CQ$201,0),FALSE)+IF(Categoría_2="",0,$S$9*VLOOKUP(Categoría_2,Tablas!$D$198:$CN$228,MATCH(E168,Tablas!$D$201:$CQ$201,0),FALSE))+IF(Categoría_3="",0,$S$11*VLOOKUP(Categoría_3,Tablas!$D$198:$CN$228,MATCH(E168,Tablas!$D$201:$CQ$201,0),FALSE))+IF(Categoría_4="",0,$S$13*VLOOKUP(Categoría_4,Tablas!$D$198:$CN$228,MATCH(E168,Tablas!$D$201:$CQ$201,0),FALSE))+IF(Categoría_5="",0,$S$15*VLOOKUP(Categoría_5,Tablas!$D$198:$CN$228,MATCH(E168,Tablas!$D$201:$CQ$201,0)))</f>
        <v>#N/A</v>
      </c>
      <c r="AF168" s="3633">
        <f>IF(AF$141,IF(OR(Region="",ClaseSocial="",Personalización!$AN$9),0,IF(OR(AND(AI168,AJ168),AND(NOT(AI168),NOT(AJ168))),LEFT(AG168,2)+LEFT(AH168,2),IF(AND(AI168,NOT(AJ168)),LEFT(AH168,2),0))),0)</f>
        <v>0</v>
      </c>
      <c r="AG168" s="2265">
        <f>HLOOKUP(Region&amp;ClaseSocial,Tabla_RaicesCulturales,Tablas!F166,FALSE)</f>
        <v>0</v>
      </c>
      <c r="AH168" s="3632">
        <f>IF(AND(E168="Historia",Personalización!$E$16="Historia (Local)"),20&amp;" "&amp;Personalización!$E$16,IF(E168=Personalización!$E$15,VLOOKUP(E168,Tablas!$L$136:$M$137,2,FALSE),IF(E168=Personalización!$E$16,VLOOKUP(E168,Tablas!$N$136:$O$137,2,FALSE),0)))</f>
        <v>0</v>
      </c>
      <c r="AI168" s="3632" t="b">
        <f t="shared" si="40"/>
        <v>0</v>
      </c>
      <c r="AJ168" s="3632" t="b">
        <f t="shared" si="41"/>
        <v>0</v>
      </c>
      <c r="AK168" s="3632"/>
      <c r="AL168" s="628" t="e">
        <f t="shared" si="36"/>
        <v>#N/A</v>
      </c>
      <c r="AM168" s="628"/>
      <c r="AN168" s="628" t="e">
        <f t="shared" si="31"/>
        <v>#N/A</v>
      </c>
      <c r="AO168" s="628"/>
      <c r="AP168" s="628" t="e">
        <f t="shared" si="32"/>
        <v>#N/A</v>
      </c>
      <c r="AQ168" s="530"/>
      <c r="AR168" s="628" t="e">
        <f t="shared" si="33"/>
        <v>#N/A</v>
      </c>
      <c r="AS168" s="530"/>
      <c r="AT168" s="628" t="e">
        <f t="shared" si="34"/>
        <v>#N/A</v>
      </c>
      <c r="AU168" s="21" t="str">
        <f t="shared" si="37"/>
        <v/>
      </c>
      <c r="BL168" s="2617"/>
      <c r="BM168" s="2617"/>
      <c r="BN168" s="2617"/>
      <c r="BO168" s="2617"/>
      <c r="BP168" s="2617"/>
      <c r="BQ168" s="2617"/>
      <c r="BR168" s="2617"/>
      <c r="BS168" s="2617"/>
      <c r="BT168" s="2617"/>
      <c r="BU168" s="2617"/>
      <c r="BV168" s="2617"/>
      <c r="BW168" s="2617"/>
      <c r="BX168" s="2617"/>
    </row>
    <row r="169" spans="1:76" ht="12" customHeight="1">
      <c r="A169" s="29"/>
      <c r="B169" s="753" t="str">
        <f t="shared" si="39"/>
        <v>Intelectuales</v>
      </c>
      <c r="C169" s="4527"/>
      <c r="D169" s="4322"/>
      <c r="E169" s="4971" t="s">
        <v>1304</v>
      </c>
      <c r="F169" s="4972"/>
      <c r="G169" s="4972"/>
      <c r="H169" s="727" t="s">
        <v>1245</v>
      </c>
      <c r="I169" s="1374"/>
      <c r="J169" s="1789">
        <f>IF(ISNA(AL169),0,MAX(MIN(AL169-VLOOKUP("Apto en campo: "&amp;$B169,Tabla_Ventajas,3,FALSE)-Tablas!$O335-2*Tablas!$Q335,3),1))</f>
        <v>0</v>
      </c>
      <c r="K169" s="1613"/>
      <c r="L169" s="1789">
        <f>IF(ISNA(AN169),0,MAX(MIN(AN169-VLOOKUP("Apto en campo: "&amp;$B169,Tabla_Ventajas,3,FALSE)-Tablas!$O335-2*Tablas!$Q335,3),1))</f>
        <v>0</v>
      </c>
      <c r="M169" s="1613"/>
      <c r="N169" s="1789">
        <f>IF(ISNA(AP169),0,MAX(MIN(AP169-VLOOKUP("Apto en campo: "&amp;$B169,Tabla_Ventajas,3,FALSE)-Tablas!$O335-2*Tablas!$Q335,3),1))</f>
        <v>0</v>
      </c>
      <c r="O169" s="1613"/>
      <c r="P169" s="1789">
        <f>IF(ISNA(AR169),0,MAX(MIN(AR169-VLOOKUP("Apto en campo: "&amp;$B169,Tabla_Ventajas,3,FALSE)-Tablas!$O335-2*Tablas!$Q335,3),1))</f>
        <v>0</v>
      </c>
      <c r="Q169" s="1613"/>
      <c r="R169" s="1789">
        <f>IF(ISNA(AT169),0,MAX(MIN(AT169-VLOOKUP("Apto en campo: "&amp;$B169,Tabla_Ventajas,3,FALSE)-Tablas!$O335-2*Tablas!$Q335,3),1))</f>
        <v>0</v>
      </c>
      <c r="S169" s="1613"/>
      <c r="T169" s="447">
        <f>IF(J169=0,0,TRUNC(K169/J169,0))+IF(L169=0,0,TRUNC(M169/L169,0))+IF(N169=0,0,TRUNC(O169/N169,0))+IF(P169=0,0,TRUNC(Q169/P169,0))+IF(R169=0,0,TRUNC(S169/R169,0))+IF(Personalización!$E$12="Como Base (no oficial)",AF169,0)</f>
        <v>0</v>
      </c>
      <c r="U169" s="447">
        <f t="shared" si="27"/>
        <v>0</v>
      </c>
      <c r="V169" s="447">
        <f>IF(ISNA(HLOOKUP($E169,Bonos_Cat_Base,2,FALSE)),0,HLOOKUP($E169,Bonos_Cat_Base,2,FALSE))+Tablas!$X335*Nivel_Total+10*Y169</f>
        <v>0</v>
      </c>
      <c r="W169" s="1612"/>
      <c r="X169" s="1613"/>
      <c r="Y169" s="1612"/>
      <c r="Z169" s="1961"/>
      <c r="AA169" s="1191">
        <f>IF(AND(T169&lt;5,Tablas!G$315=0),-30,0)+T169+U169+V169+Z169+IF(I169="",0,40)+Mod_ATA+AD169+IF(Personalización!$E$12="Como Base (no oficial)",0,AF169)</f>
        <v>-30</v>
      </c>
      <c r="AB169" s="1547">
        <f t="shared" si="28"/>
        <v>0</v>
      </c>
      <c r="AC169" s="769"/>
      <c r="AD169" s="2265">
        <f>Tablas!$K$1978</f>
        <v>0</v>
      </c>
      <c r="AE169" s="3632" t="e">
        <f>$S$7*VLOOKUP(Categoría_1,Tablas!$D$198:$CN$228,MATCH(E169,Tablas!$D$201:$CQ$201,0),FALSE)+IF(Categoría_2="",0,$S$9*VLOOKUP(Categoría_2,Tablas!$D$198:$CN$228,MATCH(E169,Tablas!$D$201:$CQ$201,0),FALSE))+IF(Categoría_3="",0,$S$11*VLOOKUP(Categoría_3,Tablas!$D$198:$CN$228,MATCH(E169,Tablas!$D$201:$CQ$201,0),FALSE))+IF(Categoría_4="",0,$S$13*VLOOKUP(Categoría_4,Tablas!$D$198:$CN$228,MATCH(E169,Tablas!$D$201:$CQ$201,0),FALSE))+IF(Categoría_5="",0,$S$15*VLOOKUP(Categoría_5,Tablas!$D$198:$CN$228,MATCH(E169,Tablas!$D$201:$CQ$201,0)))</f>
        <v>#N/A</v>
      </c>
      <c r="AF169" s="3633">
        <f>IF(AF$141,IF(OR(Region="",ClaseSocial="",Personalización!$AN$9),0,IF(OR(AND(AI169,AJ169),AND(NOT(AI169),NOT(AJ169))),LEFT(AG169,2)+LEFT(AH169,2),IF(AND(AI169,NOT(AJ169)),LEFT(AH169,2),0))),0)</f>
        <v>0</v>
      </c>
      <c r="AG169" s="2265">
        <f>HLOOKUP(Region&amp;ClaseSocial,Tabla_RaicesCulturales,Tablas!F167,FALSE)</f>
        <v>0</v>
      </c>
      <c r="AH169" s="3632">
        <f>IF(AND(E169="Historia",Personalización!$E$16="Historia (Local)"),20&amp;" "&amp;Personalización!$E$16,IF(E169=Personalización!$E$15,VLOOKUP(E169,Tablas!$L$136:$M$137,2,FALSE),IF(E169=Personalización!$E$16,VLOOKUP(E169,Tablas!$N$136:$O$137,2,FALSE),0)))</f>
        <v>0</v>
      </c>
      <c r="AI169" s="3632" t="b">
        <f t="shared" si="40"/>
        <v>0</v>
      </c>
      <c r="AJ169" s="3632" t="b">
        <f t="shared" si="41"/>
        <v>0</v>
      </c>
      <c r="AK169" s="3632"/>
      <c r="AL169" s="628" t="e">
        <f t="shared" si="36"/>
        <v>#N/A</v>
      </c>
      <c r="AM169" s="628"/>
      <c r="AN169" s="628" t="e">
        <f t="shared" si="31"/>
        <v>#N/A</v>
      </c>
      <c r="AO169" s="628"/>
      <c r="AP169" s="628" t="e">
        <f t="shared" si="32"/>
        <v>#N/A</v>
      </c>
      <c r="AQ169" s="530"/>
      <c r="AR169" s="628" t="e">
        <f t="shared" si="33"/>
        <v>#N/A</v>
      </c>
      <c r="AS169" s="530"/>
      <c r="AT169" s="628" t="e">
        <f t="shared" si="34"/>
        <v>#N/A</v>
      </c>
      <c r="AU169" s="21" t="str">
        <f t="shared" si="37"/>
        <v/>
      </c>
      <c r="BL169" s="2617"/>
      <c r="BM169" s="2617"/>
      <c r="BN169" s="2617"/>
      <c r="BO169" s="2617"/>
      <c r="BP169" s="2617"/>
      <c r="BQ169" s="2617"/>
      <c r="BR169" s="2617"/>
      <c r="BS169" s="2617"/>
      <c r="BT169" s="2617"/>
      <c r="BU169" s="2617"/>
      <c r="BV169" s="2617"/>
      <c r="BW169" s="2617"/>
      <c r="BX169" s="2617"/>
    </row>
    <row r="170" spans="1:76" ht="12" customHeight="1">
      <c r="A170" s="29"/>
      <c r="B170" s="753" t="str">
        <f t="shared" si="39"/>
        <v>Intelectuales</v>
      </c>
      <c r="C170" s="4527"/>
      <c r="D170" s="4322"/>
      <c r="E170" s="4969" t="s">
        <v>1305</v>
      </c>
      <c r="F170" s="4970"/>
      <c r="G170" s="4970"/>
      <c r="H170" s="728" t="s">
        <v>1245</v>
      </c>
      <c r="I170" s="1351"/>
      <c r="J170" s="503">
        <f>IF(ISNA(AL170),0,MAX(MIN(AL170-VLOOKUP("Apto en campo: "&amp;$B170,Tabla_Ventajas,3,FALSE)-Tablas!$O336-2*Tablas!$Q336,3),1))</f>
        <v>0</v>
      </c>
      <c r="K170" s="1615"/>
      <c r="L170" s="503">
        <f>IF(ISNA(AN170),0,MAX(MIN(AN170-VLOOKUP("Apto en campo: "&amp;$B170,Tabla_Ventajas,3,FALSE)-Tablas!$O336-2*Tablas!$Q336,3),1))</f>
        <v>0</v>
      </c>
      <c r="M170" s="1615"/>
      <c r="N170" s="503">
        <f>IF(ISNA(AP170),0,MAX(MIN(AP170-VLOOKUP("Apto en campo: "&amp;$B170,Tabla_Ventajas,3,FALSE)-Tablas!$O336-2*Tablas!$Q336,3),1))</f>
        <v>0</v>
      </c>
      <c r="O170" s="1615"/>
      <c r="P170" s="503">
        <f>IF(ISNA(AR170),0,MAX(MIN(AR170-VLOOKUP("Apto en campo: "&amp;$B170,Tabla_Ventajas,3,FALSE)-Tablas!$O336-2*Tablas!$Q336,3),1))</f>
        <v>0</v>
      </c>
      <c r="Q170" s="1615"/>
      <c r="R170" s="503">
        <f>IF(ISNA(AT170),0,MAX(MIN(AT170-VLOOKUP("Apto en campo: "&amp;$B170,Tabla_Ventajas,3,FALSE)-Tablas!$O336-2*Tablas!$Q336,3),1))</f>
        <v>0</v>
      </c>
      <c r="S170" s="1615"/>
      <c r="T170" s="448">
        <f>IF(J170=0,0,TRUNC(K170/J170,0))+IF(L170=0,0,TRUNC(M170/L170,0))+IF(N170=0,0,TRUNC(O170/N170,0))+IF(P170=0,0,TRUNC(Q170/P170,0))+IF(R170=0,0,TRUNC(S170/R170,0))+IF(Personalización!$E$12="Como Base (no oficial)",AF170,0)</f>
        <v>0</v>
      </c>
      <c r="U170" s="448">
        <f t="shared" si="27"/>
        <v>0</v>
      </c>
      <c r="V170" s="448">
        <f>IF(ISNA(HLOOKUP($E170,Bonos_Cat_Base,2,FALSE)),0,HLOOKUP($E170,Bonos_Cat_Base,2,FALSE))+Tablas!$X336*Nivel_Total+10*Y170</f>
        <v>0</v>
      </c>
      <c r="W170" s="1614"/>
      <c r="X170" s="1615"/>
      <c r="Y170" s="1614"/>
      <c r="Z170" s="1962"/>
      <c r="AA170" s="1192">
        <f>IF(AND(T170&lt;5,Tablas!G$315=0),-30,0)+T170+U170+V170+Z170+IF(I170="",0,40)+Mod_ATA+AD170+IF(Personalización!$E$12="Como Base (no oficial)",0,AF170)</f>
        <v>-30</v>
      </c>
      <c r="AB170" s="1547">
        <f t="shared" si="28"/>
        <v>0</v>
      </c>
      <c r="AC170" s="769"/>
      <c r="AD170" s="2265">
        <f>Tablas!$K$1978+Tablas!$K$2028</f>
        <v>0</v>
      </c>
      <c r="AE170" s="3632" t="e">
        <f>$S$7*VLOOKUP(Categoría_1,Tablas!$D$198:$CN$228,MATCH(E170,Tablas!$D$201:$CQ$201,0),FALSE)+IF(Categoría_2="",0,$S$9*VLOOKUP(Categoría_2,Tablas!$D$198:$CN$228,MATCH(E170,Tablas!$D$201:$CQ$201,0),FALSE))+IF(Categoría_3="",0,$S$11*VLOOKUP(Categoría_3,Tablas!$D$198:$CN$228,MATCH(E170,Tablas!$D$201:$CQ$201,0),FALSE))+IF(Categoría_4="",0,$S$13*VLOOKUP(Categoría_4,Tablas!$D$198:$CN$228,MATCH(E170,Tablas!$D$201:$CQ$201,0),FALSE))+IF(Categoría_5="",0,$S$15*VLOOKUP(Categoría_5,Tablas!$D$198:$CN$228,MATCH(E170,Tablas!$D$201:$CQ$201,0)))</f>
        <v>#N/A</v>
      </c>
      <c r="AF170" s="3633">
        <f>IF(AF$141,IF(OR(Region="",ClaseSocial="",Personalización!$AN$9),0,IF(OR(AND(AI170,AJ170),AND(NOT(AI170),NOT(AJ170))),LEFT(AG170,2)+LEFT(AH170,2),IF(AND(AI170,NOT(AJ170)),LEFT(AH170,2),0))),0)</f>
        <v>0</v>
      </c>
      <c r="AG170" s="2265">
        <f>HLOOKUP(Region&amp;ClaseSocial,Tabla_RaicesCulturales,Tablas!F168,FALSE)</f>
        <v>0</v>
      </c>
      <c r="AH170" s="3632">
        <f>IF(AND(E170="Historia",Personalización!$E$16="Historia (Local)"),20&amp;" "&amp;Personalización!$E$16,IF(E170=Personalización!$E$15,VLOOKUP(E170,Tablas!$L$136:$M$137,2,FALSE),IF(E170=Personalización!$E$16,VLOOKUP(E170,Tablas!$N$136:$O$137,2,FALSE),0)))</f>
        <v>0</v>
      </c>
      <c r="AI170" s="3632" t="b">
        <f t="shared" si="40"/>
        <v>0</v>
      </c>
      <c r="AJ170" s="3632" t="b">
        <f t="shared" si="41"/>
        <v>0</v>
      </c>
      <c r="AK170" s="3632"/>
      <c r="AL170" s="628" t="e">
        <f t="shared" si="36"/>
        <v>#N/A</v>
      </c>
      <c r="AM170" s="628"/>
      <c r="AN170" s="628" t="e">
        <f t="shared" si="31"/>
        <v>#N/A</v>
      </c>
      <c r="AO170" s="628"/>
      <c r="AP170" s="628" t="e">
        <f t="shared" si="32"/>
        <v>#N/A</v>
      </c>
      <c r="AQ170" s="530"/>
      <c r="AR170" s="628" t="e">
        <f t="shared" si="33"/>
        <v>#N/A</v>
      </c>
      <c r="AS170" s="530"/>
      <c r="AT170" s="628" t="e">
        <f t="shared" si="34"/>
        <v>#N/A</v>
      </c>
      <c r="AU170" s="21" t="str">
        <f t="shared" si="37"/>
        <v/>
      </c>
      <c r="BL170" s="2617"/>
      <c r="BM170" s="2617"/>
      <c r="BN170" s="2617"/>
      <c r="BO170" s="2617"/>
      <c r="BP170" s="2617"/>
      <c r="BQ170" s="2617"/>
      <c r="BR170" s="2617"/>
      <c r="BS170" s="2617"/>
      <c r="BT170" s="2617"/>
      <c r="BU170" s="2617"/>
      <c r="BV170" s="2617"/>
      <c r="BW170" s="2617"/>
      <c r="BX170" s="2617"/>
    </row>
    <row r="171" spans="1:76" ht="12" customHeight="1">
      <c r="A171" s="29"/>
      <c r="B171" s="753" t="str">
        <f t="shared" si="39"/>
        <v>Intelectuales</v>
      </c>
      <c r="C171" s="4527"/>
      <c r="D171" s="4322"/>
      <c r="E171" s="4971" t="s">
        <v>1306</v>
      </c>
      <c r="F171" s="4972"/>
      <c r="G171" s="4972"/>
      <c r="H171" s="727" t="s">
        <v>1245</v>
      </c>
      <c r="I171" s="1374"/>
      <c r="J171" s="1789">
        <f>IF(ISNA(AL171),0,MAX(MIN(AL171-VLOOKUP("Apto en campo: "&amp;$B171,Tabla_Ventajas,3,FALSE)-Tablas!$O337-2*Tablas!$Q337,3),1))</f>
        <v>0</v>
      </c>
      <c r="K171" s="1613"/>
      <c r="L171" s="1789">
        <f>IF(ISNA(AN171),0,MAX(MIN(AN171-VLOOKUP("Apto en campo: "&amp;$B171,Tabla_Ventajas,3,FALSE)-Tablas!$O337-2*Tablas!$Q337,3),1))</f>
        <v>0</v>
      </c>
      <c r="M171" s="1613"/>
      <c r="N171" s="1789">
        <f>IF(ISNA(AP171),0,MAX(MIN(AP171-VLOOKUP("Apto en campo: "&amp;$B171,Tabla_Ventajas,3,FALSE)-Tablas!$O337-2*Tablas!$Q337,3),1))</f>
        <v>0</v>
      </c>
      <c r="O171" s="1613"/>
      <c r="P171" s="1789">
        <f>IF(ISNA(AR171),0,MAX(MIN(AR171-VLOOKUP("Apto en campo: "&amp;$B171,Tabla_Ventajas,3,FALSE)-Tablas!$O337-2*Tablas!$Q337,3),1))</f>
        <v>0</v>
      </c>
      <c r="Q171" s="1613"/>
      <c r="R171" s="1789">
        <f>IF(ISNA(AT171),0,MAX(MIN(AT171-VLOOKUP("Apto en campo: "&amp;$B171,Tabla_Ventajas,3,FALSE)-Tablas!$O337-2*Tablas!$Q337,3),1))</f>
        <v>0</v>
      </c>
      <c r="S171" s="1613"/>
      <c r="T171" s="447">
        <f>IF(J171=0,0,TRUNC(K171/J171,0))+IF(L171=0,0,TRUNC(M171/L171,0))+IF(N171=0,0,TRUNC(O171/N171,0))+IF(P171=0,0,TRUNC(Q171/P171,0))+IF(R171=0,0,TRUNC(S171/R171,0))+IF(Personalización!$E$12="Como Base (no oficial)",AF171,0)</f>
        <v>0</v>
      </c>
      <c r="U171" s="447">
        <f t="shared" si="27"/>
        <v>0</v>
      </c>
      <c r="V171" s="447">
        <f>IF(ISNA(HLOOKUP($E171,Bonos_Cat_Base,2,FALSE)),0,HLOOKUP($E171,Bonos_Cat_Base,2,FALSE))+Tablas!$X337*Nivel_Total+10*Y171</f>
        <v>0</v>
      </c>
      <c r="W171" s="1612"/>
      <c r="X171" s="1613"/>
      <c r="Y171" s="1612"/>
      <c r="Z171" s="1961"/>
      <c r="AA171" s="454" t="str">
        <f>IF(AND(T171&lt;5,Tablas!G$315=0),"-",T171+U171+V171+Z171+IF(I171="",0,40)+Mod_ATA+AD171+IF(Personalización!$E$12="Como Base (no oficial)",0,AF171))</f>
        <v>-</v>
      </c>
      <c r="AB171" s="1547">
        <f t="shared" si="28"/>
        <v>0</v>
      </c>
      <c r="AC171" s="769"/>
      <c r="AD171" s="2265">
        <f>Tablas!$K$1978</f>
        <v>0</v>
      </c>
      <c r="AE171" s="3632" t="e">
        <f>$S$7*VLOOKUP(Categoría_1,Tablas!$D$198:$CN$228,MATCH(E171,Tablas!$D$201:$CQ$201,0),FALSE)+IF(Categoría_2="",0,$S$9*VLOOKUP(Categoría_2,Tablas!$D$198:$CN$228,MATCH(E171,Tablas!$D$201:$CQ$201,0),FALSE))+IF(Categoría_3="",0,$S$11*VLOOKUP(Categoría_3,Tablas!$D$198:$CN$228,MATCH(E171,Tablas!$D$201:$CQ$201,0),FALSE))+IF(Categoría_4="",0,$S$13*VLOOKUP(Categoría_4,Tablas!$D$198:$CN$228,MATCH(E171,Tablas!$D$201:$CQ$201,0),FALSE))+IF(Categoría_5="",0,$S$15*VLOOKUP(Categoría_5,Tablas!$D$198:$CN$228,MATCH(E171,Tablas!$D$201:$CQ$201,0)))</f>
        <v>#N/A</v>
      </c>
      <c r="AF171" s="3633">
        <f>IF(AF$141,IF(OR(Region="",ClaseSocial="",Personalización!$AN$9),0,IF(OR(AND(AI171,AJ171),AND(NOT(AI171),NOT(AJ171))),LEFT(AG171,2)+LEFT(AH171,2),IF(AND(AI171,NOT(AJ171)),LEFT(AH171,2),0))),0)</f>
        <v>0</v>
      </c>
      <c r="AG171" s="2265">
        <f>HLOOKUP(Region&amp;ClaseSocial,Tabla_RaicesCulturales,Tablas!F169,FALSE)</f>
        <v>0</v>
      </c>
      <c r="AH171" s="3632">
        <f>IF(AND(E171="Historia",Personalización!$E$16="Historia (Local)"),20&amp;" "&amp;Personalización!$E$16,IF(E171=Personalización!$E$15,VLOOKUP(E171,Tablas!$L$136:$M$137,2,FALSE),IF(E171=Personalización!$E$16,VLOOKUP(E171,Tablas!$N$136:$O$137,2,FALSE),0)))</f>
        <v>0</v>
      </c>
      <c r="AI171" s="3632" t="b">
        <f t="shared" si="40"/>
        <v>0</v>
      </c>
      <c r="AJ171" s="3632" t="b">
        <f t="shared" si="41"/>
        <v>0</v>
      </c>
      <c r="AK171" s="3632"/>
      <c r="AL171" s="628" t="e">
        <f t="shared" si="36"/>
        <v>#N/A</v>
      </c>
      <c r="AM171" s="628"/>
      <c r="AN171" s="628" t="e">
        <f t="shared" si="31"/>
        <v>#N/A</v>
      </c>
      <c r="AO171" s="628"/>
      <c r="AP171" s="628" t="e">
        <f t="shared" si="32"/>
        <v>#N/A</v>
      </c>
      <c r="AQ171" s="530"/>
      <c r="AR171" s="628" t="e">
        <f t="shared" si="33"/>
        <v>#N/A</v>
      </c>
      <c r="AS171" s="530"/>
      <c r="AT171" s="628" t="e">
        <f t="shared" si="34"/>
        <v>#N/A</v>
      </c>
      <c r="AU171" s="21" t="str">
        <f t="shared" si="37"/>
        <v/>
      </c>
      <c r="BL171" s="2617"/>
      <c r="BM171" s="2617"/>
      <c r="BN171" s="2617"/>
      <c r="BO171" s="2617"/>
      <c r="BP171" s="2617"/>
      <c r="BQ171" s="2617"/>
      <c r="BR171" s="2617"/>
      <c r="BS171" s="2617"/>
      <c r="BT171" s="2617"/>
      <c r="BU171" s="2617"/>
      <c r="BV171" s="2617"/>
      <c r="BW171" s="2617"/>
      <c r="BX171" s="2617"/>
    </row>
    <row r="172" spans="1:76" ht="12" customHeight="1">
      <c r="A172" s="29"/>
      <c r="B172" s="753" t="str">
        <f t="shared" si="39"/>
        <v>Intelectuales</v>
      </c>
      <c r="C172" s="4527"/>
      <c r="D172" s="4322"/>
      <c r="E172" s="4969" t="s">
        <v>1307</v>
      </c>
      <c r="F172" s="4970"/>
      <c r="G172" s="4970"/>
      <c r="H172" s="728" t="s">
        <v>1250</v>
      </c>
      <c r="I172" s="1350"/>
      <c r="J172" s="503">
        <f>IF(ISNA(AL172),0,MAX(MIN(AL172-VLOOKUP("Apto en campo: "&amp;$B172,Tabla_Ventajas,3,FALSE)-Tablas!$O338-2*Tablas!$Q338,3),1))</f>
        <v>0</v>
      </c>
      <c r="K172" s="1615"/>
      <c r="L172" s="503">
        <f>IF(ISNA(AN172),0,MAX(MIN(AN172-VLOOKUP("Apto en campo: "&amp;$B172,Tabla_Ventajas,3,FALSE)-Tablas!$O338-2*Tablas!$Q338,3),1))</f>
        <v>0</v>
      </c>
      <c r="M172" s="1615"/>
      <c r="N172" s="503">
        <f>IF(ISNA(AP172),0,MAX(MIN(AP172-VLOOKUP("Apto en campo: "&amp;$B172,Tabla_Ventajas,3,FALSE)-Tablas!$O338-2*Tablas!$Q338,3),1))</f>
        <v>0</v>
      </c>
      <c r="O172" s="1615"/>
      <c r="P172" s="503">
        <f>IF(ISNA(AR172),0,MAX(MIN(AR172-VLOOKUP("Apto en campo: "&amp;$B172,Tabla_Ventajas,3,FALSE)-Tablas!$O338-2*Tablas!$Q338,3),1))</f>
        <v>0</v>
      </c>
      <c r="Q172" s="1615"/>
      <c r="R172" s="503">
        <f>IF(ISNA(AT172),0,MAX(MIN(AT172-VLOOKUP("Apto en campo: "&amp;$B172,Tabla_Ventajas,3,FALSE)-Tablas!$O338-2*Tablas!$Q338,3),1))</f>
        <v>0</v>
      </c>
      <c r="S172" s="1615"/>
      <c r="T172" s="448">
        <f>IF(J172=0,0,TRUNC(K172/J172,0))+IF(L172=0,0,TRUNC(M172/L172,0))+IF(N172=0,0,TRUNC(O172/N172,0))+IF(P172=0,0,TRUNC(Q172/P172,0))+IF(R172=0,0,TRUNC(S172/R172,0))+IF(Personalización!$E$12="Como Base (no oficial)",AF172,0)</f>
        <v>0</v>
      </c>
      <c r="U172" s="448">
        <f t="shared" si="27"/>
        <v>0</v>
      </c>
      <c r="V172" s="448">
        <f>IF(ISNA(HLOOKUP($E172,Bonos_Cat_Base,2,FALSE)),0,HLOOKUP($E172,Bonos_Cat_Base,2,FALSE))+Tablas!$X338*Nivel_Total+10*Y172</f>
        <v>0</v>
      </c>
      <c r="W172" s="1614"/>
      <c r="X172" s="1615"/>
      <c r="Y172" s="1614"/>
      <c r="Z172" s="1962"/>
      <c r="AA172" s="455" t="str">
        <f>IF(AND(T172&lt;5,Tablas!G$315=0),"-",T172+U172+V172+Z172+IF(I172="",0,40)+Mod_ATA+AD172+IF(Personalización!$E$12="Como Base (no oficial)",0,AF172))</f>
        <v>-</v>
      </c>
      <c r="AB172" s="1547">
        <f t="shared" si="28"/>
        <v>0</v>
      </c>
      <c r="AC172" s="769"/>
      <c r="AD172" s="2265">
        <f>Tablas!$K$1978</f>
        <v>0</v>
      </c>
      <c r="AE172" s="3632" t="e">
        <f>$S$7*VLOOKUP(Categoría_1,Tablas!$D$198:$CN$228,MATCH(E172,Tablas!$D$201:$CQ$201,0),FALSE)+IF(Categoría_2="",0,$S$9*VLOOKUP(Categoría_2,Tablas!$D$198:$CN$228,MATCH(E172,Tablas!$D$201:$CQ$201,0),FALSE))+IF(Categoría_3="",0,$S$11*VLOOKUP(Categoría_3,Tablas!$D$198:$CN$228,MATCH(E172,Tablas!$D$201:$CQ$201,0),FALSE))+IF(Categoría_4="",0,$S$13*VLOOKUP(Categoría_4,Tablas!$D$198:$CN$228,MATCH(E172,Tablas!$D$201:$CQ$201,0),FALSE))+IF(Categoría_5="",0,$S$15*VLOOKUP(Categoría_5,Tablas!$D$198:$CN$228,MATCH(E172,Tablas!$D$201:$CQ$201,0)))</f>
        <v>#N/A</v>
      </c>
      <c r="AF172" s="3633">
        <f>IF(AF$141,IF(OR(Region="",ClaseSocial="",Personalización!$AN$9),0,IF(OR(AND(AI172,AJ172),AND(NOT(AI172),NOT(AJ172))),LEFT(AG172,2)+LEFT(AH172,2),IF(AND(AI172,NOT(AJ172)),LEFT(AH172,2),0))),0)</f>
        <v>0</v>
      </c>
      <c r="AG172" s="2265">
        <f>HLOOKUP(Region&amp;ClaseSocial,Tabla_RaicesCulturales,Tablas!F170,FALSE)</f>
        <v>0</v>
      </c>
      <c r="AH172" s="3632">
        <f>IF(AND(E172="Historia",Personalización!$E$16="Historia (Local)"),20&amp;" "&amp;Personalización!$E$16,IF(E172=Personalización!$E$15,VLOOKUP(E172,Tablas!$L$136:$M$137,2,FALSE),IF(E172=Personalización!$E$16,VLOOKUP(E172,Tablas!$N$136:$O$137,2,FALSE),0)))</f>
        <v>0</v>
      </c>
      <c r="AI172" s="3632" t="b">
        <f t="shared" si="40"/>
        <v>0</v>
      </c>
      <c r="AJ172" s="3632" t="b">
        <f t="shared" si="41"/>
        <v>0</v>
      </c>
      <c r="AK172" s="3632"/>
      <c r="AL172" s="628" t="e">
        <f t="shared" si="36"/>
        <v>#N/A</v>
      </c>
      <c r="AM172" s="628"/>
      <c r="AN172" s="628" t="e">
        <f t="shared" si="31"/>
        <v>#N/A</v>
      </c>
      <c r="AO172" s="628"/>
      <c r="AP172" s="628" t="e">
        <f t="shared" si="32"/>
        <v>#N/A</v>
      </c>
      <c r="AQ172" s="530"/>
      <c r="AR172" s="628" t="e">
        <f t="shared" si="33"/>
        <v>#N/A</v>
      </c>
      <c r="AS172" s="530"/>
      <c r="AT172" s="628" t="e">
        <f t="shared" si="34"/>
        <v>#N/A</v>
      </c>
      <c r="AU172" s="21" t="str">
        <f t="shared" si="37"/>
        <v/>
      </c>
      <c r="BL172" s="2617"/>
      <c r="BM172" s="2617"/>
      <c r="BN172" s="2617"/>
      <c r="BO172" s="2617"/>
      <c r="BP172" s="2617"/>
      <c r="BQ172" s="2617"/>
      <c r="BR172" s="2617"/>
      <c r="BS172" s="2617"/>
      <c r="BT172" s="2617"/>
      <c r="BU172" s="2617"/>
      <c r="BV172" s="2617"/>
      <c r="BW172" s="2617"/>
      <c r="BX172" s="2617"/>
    </row>
    <row r="173" spans="1:76" ht="12" customHeight="1">
      <c r="A173" s="29"/>
      <c r="B173" s="753" t="str">
        <f t="shared" si="39"/>
        <v>Intelectuales</v>
      </c>
      <c r="C173" s="4527"/>
      <c r="D173" s="4323"/>
      <c r="E173" s="4971" t="s">
        <v>10029</v>
      </c>
      <c r="F173" s="4972"/>
      <c r="G173" s="4972"/>
      <c r="H173" s="727" t="s">
        <v>1245</v>
      </c>
      <c r="I173" s="1376"/>
      <c r="J173" s="2652">
        <f>IF(ISNA(AL173),0,MAX(MIN(AL173-VLOOKUP("Apto en campo: "&amp;$B173,Tabla_Ventajas,3,FALSE)-Tablas!$O339-2*Tablas!$Q339,3),1))</f>
        <v>0</v>
      </c>
      <c r="K173" s="2622"/>
      <c r="L173" s="2652">
        <f>IF(ISNA(AN173),0,MAX(MIN(AN173-VLOOKUP("Apto en campo: "&amp;$B173,Tabla_Ventajas,3,FALSE)-Tablas!$O340-2*Tablas!$Q340,3),1))</f>
        <v>0</v>
      </c>
      <c r="M173" s="2622"/>
      <c r="N173" s="2652">
        <f>IF(ISNA(AP173),0,MAX(MIN(AP173-VLOOKUP("Apto en campo: "&amp;$B173,Tabla_Ventajas,3,FALSE)-Tablas!$O340-2*Tablas!$Q340,3),1))</f>
        <v>0</v>
      </c>
      <c r="O173" s="2622"/>
      <c r="P173" s="2652">
        <f>IF(ISNA(AR173),0,MAX(MIN(AR173-VLOOKUP("Apto en campo: "&amp;$B173,Tabla_Ventajas,3,FALSE)-Tablas!$O340-2*Tablas!$Q340,3),1))</f>
        <v>0</v>
      </c>
      <c r="Q173" s="2622"/>
      <c r="R173" s="2652">
        <f>IF(ISNA(AT173),0,MAX(MIN(AT173-VLOOKUP("Apto en campo: "&amp;$B173,Tabla_Ventajas,3,FALSE)-Tablas!$O340-2*Tablas!$Q340,3),1))</f>
        <v>0</v>
      </c>
      <c r="S173" s="2622"/>
      <c r="T173" s="2667">
        <f>IF(J173=0,0,TRUNC(K173/J173,0))+IF(L173=0,0,TRUNC(M173/L173,0))+IF(N173=0,0,TRUNC(O173/N173,0))+IF(P173=0,0,TRUNC(Q173/P173,0))+IF(R173=0,0,TRUNC(S173/R173,0))+IF(Personalización!$E$12="Como Base (no oficial)",AF173,0)</f>
        <v>0</v>
      </c>
      <c r="U173" s="2667">
        <f>MIN(VLOOKUP($H173,Tabla_Características,5,0)*(1+W173)+10*Con.TodasMaterias+10*X173,100)</f>
        <v>0</v>
      </c>
      <c r="V173" s="2667">
        <f>IF(ISNA(HLOOKUP($E173,Bonos_Cat_Base,2,FALSE)),0,HLOOKUP($E173,Bonos_Cat_Base,2,FALSE))+Tablas!$X339*Nivel_Total+10*Y173</f>
        <v>0</v>
      </c>
      <c r="W173" s="2660"/>
      <c r="X173" s="2622"/>
      <c r="Y173" s="2660"/>
      <c r="Z173" s="2661"/>
      <c r="AA173" s="2679" t="str">
        <f>IF(AND(T173&lt;5,Tablas!G$315=0),"-",T173+U173+V173+Z173+IF(I173="",0,40)+Mod_ATA+AD173+IF(Personalización!$E$12="Como Base (no oficial)",0,AF173))</f>
        <v>-</v>
      </c>
      <c r="AB173" s="1547">
        <f>IF(AA173="-",0,IF(AA173&gt;VLOOKUP(Nivel_Total,Tabla_LímiteSecundarias,2),1,0))</f>
        <v>0</v>
      </c>
      <c r="AC173" s="769"/>
      <c r="AD173" s="2265">
        <f>Tablas!$K$1978</f>
        <v>0</v>
      </c>
      <c r="AE173" s="3632" t="e">
        <f>$S$7*VLOOKUP(Categoría_1,Tablas!$D$198:$CN$228,MATCH(E173,Tablas!$D$201:$CQ$201,0),FALSE)+IF(Categoría_2="",0,$S$9*VLOOKUP(Categoría_2,Tablas!$D$198:$CN$228,MATCH(E173,Tablas!$D$201:$CQ$201,0),FALSE))+IF(Categoría_3="",0,$S$11*VLOOKUP(Categoría_3,Tablas!$D$198:$CN$228,MATCH(E173,Tablas!$D$201:$CQ$201,0),FALSE))+IF(Categoría_4="",0,$S$13*VLOOKUP(Categoría_4,Tablas!$D$198:$CN$228,MATCH(E173,Tablas!$D$201:$CQ$201,0),FALSE))+IF(Categoría_5="",0,$S$15*VLOOKUP(Categoría_5,Tablas!$D$198:$CN$228,MATCH(E173,Tablas!$D$201:$CQ$201,0)))</f>
        <v>#N/A</v>
      </c>
      <c r="AF173" s="3633">
        <f>IF(AF$141,IF(OR(Region="",ClaseSocial="",Personalización!$AN$9),0,IF(OR(AND(AI173,AJ173),AND(NOT(AI173),NOT(AJ173))),LEFT(AG173,2)+LEFT(AH173,2),IF(AND(AI173,NOT(AJ173)),LEFT(AH173,2),0))),0)</f>
        <v>0</v>
      </c>
      <c r="AG173" s="2265">
        <f>HLOOKUP(Region&amp;ClaseSocial,Tabla_RaicesCulturales,Tablas!F171,FALSE)</f>
        <v>0</v>
      </c>
      <c r="AH173" s="3632">
        <f>IF(AND(E173="Historia",Personalización!$E$16="Historia (Local)"),20&amp;" "&amp;Personalización!$E$16,IF(E173=Personalización!$E$15,VLOOKUP(E173,Tablas!$L$136:$M$137,2,FALSE),IF(E173=Personalización!$E$16,VLOOKUP(E173,Tablas!$N$136:$O$137,2,FALSE),0)))</f>
        <v>0</v>
      </c>
      <c r="AI173" s="3632" t="b">
        <f>OR(ISNUMBER(FIND("(",AG173)),ISNUMBER(FIND("(",AH173)))</f>
        <v>0</v>
      </c>
      <c r="AJ173" s="3632" t="b">
        <f>AND(NOT(I173=""),OR(ISNUMBER(SEARCH(I173,AG173)),ISNUMBER(SEARCH(I173,AH173))))</f>
        <v>0</v>
      </c>
      <c r="AK173" s="3632"/>
      <c r="AL173" s="628" t="e">
        <f t="shared" si="36"/>
        <v>#N/A</v>
      </c>
      <c r="AM173" s="628"/>
      <c r="AN173" s="628" t="e">
        <f t="shared" si="31"/>
        <v>#N/A</v>
      </c>
      <c r="AO173" s="628"/>
      <c r="AP173" s="628" t="e">
        <f t="shared" si="32"/>
        <v>#N/A</v>
      </c>
      <c r="AQ173" s="530"/>
      <c r="AR173" s="628" t="e">
        <f t="shared" si="33"/>
        <v>#N/A</v>
      </c>
      <c r="AS173" s="530"/>
      <c r="AT173" s="628" t="e">
        <f t="shared" si="34"/>
        <v>#N/A</v>
      </c>
      <c r="AU173" s="21" t="str">
        <f t="shared" si="37"/>
        <v/>
      </c>
      <c r="BL173" s="2617"/>
      <c r="BM173" s="2617"/>
      <c r="BN173" s="2617"/>
      <c r="BO173" s="2617"/>
      <c r="BP173" s="2617"/>
      <c r="BQ173" s="2617"/>
      <c r="BR173" s="2617"/>
      <c r="BS173" s="2617"/>
      <c r="BT173" s="2617"/>
      <c r="BU173" s="2617"/>
      <c r="BV173" s="2617"/>
      <c r="BW173" s="2617"/>
      <c r="BX173" s="2617"/>
    </row>
    <row r="174" spans="1:76" ht="12" customHeight="1">
      <c r="A174" s="29"/>
      <c r="B174" s="753" t="str">
        <f>D174</f>
        <v>Vigor</v>
      </c>
      <c r="C174" s="4527"/>
      <c r="D174" s="4321" t="s">
        <v>1308</v>
      </c>
      <c r="E174" s="5069" t="s">
        <v>1309</v>
      </c>
      <c r="F174" s="5070"/>
      <c r="G174" s="5071"/>
      <c r="H174" s="2630" t="s">
        <v>1251</v>
      </c>
      <c r="I174" s="2628"/>
      <c r="J174" s="2627">
        <f>IF(ISNA(AL174),0,MAX(MIN(AL174-VLOOKUP("Apto en campo: "&amp;$B174,Tabla_Ventajas,3,FALSE)-Tablas!$O340-2*Tablas!$Q340,3),1))</f>
        <v>0</v>
      </c>
      <c r="K174" s="1615"/>
      <c r="L174" s="2627">
        <f>IF(ISNA(AN174),0,MAX(MIN(AN174-VLOOKUP("Apto en campo: "&amp;$B174,Tabla_Ventajas,3,FALSE)-Tablas!$O340-2*Tablas!$Q340,3),1))</f>
        <v>0</v>
      </c>
      <c r="M174" s="2625"/>
      <c r="N174" s="2627">
        <f>IF(ISNA(AP174),0,MAX(MIN(AP174-VLOOKUP("Apto en campo: "&amp;$B174,Tabla_Ventajas,3,FALSE)-Tablas!$O340-2*Tablas!$Q340,3),1))</f>
        <v>0</v>
      </c>
      <c r="O174" s="2625"/>
      <c r="P174" s="2627">
        <f>IF(ISNA(AR174),0,MAX(MIN(AR174-VLOOKUP("Apto en campo: "&amp;$B174,Tabla_Ventajas,3,FALSE)-Tablas!$O340-2*Tablas!$Q340,3),1))</f>
        <v>0</v>
      </c>
      <c r="Q174" s="2625"/>
      <c r="R174" s="2627">
        <f>IF(ISNA(AT174),0,MAX(MIN(AT174-VLOOKUP("Apto en campo: "&amp;$B174,Tabla_Ventajas,3,FALSE)-Tablas!$O340-2*Tablas!$Q340,3),1))</f>
        <v>0</v>
      </c>
      <c r="S174" s="2625"/>
      <c r="T174" s="2621">
        <f>IF(J174=0,0,TRUNC(K174/J174,0))+IF(L174=0,0,TRUNC(M174/L174,0))+IF(N174=0,0,TRUNC(O174/N174,0))+IF(P174=0,0,TRUNC(Q174/P174,0))+IF(R174=0,0,TRUNC(S174/R174,0))+IF(Personalización!$E$12="Como Base (no oficial)",AF174,0)</f>
        <v>0</v>
      </c>
      <c r="U174" s="2621">
        <f t="shared" ref="U174:U195" si="42">MIN(VLOOKUP($H174,Tabla_Características,5,0)*(1+W174)+10*Con.TodasMaterias+10*X174,100)</f>
        <v>0</v>
      </c>
      <c r="V174" s="2621">
        <f>IF(ISNA(HLOOKUP($E174,Bonos_Cat_Base,2,FALSE)),0,HLOOKUP($E174,Bonos_Cat_Base,2,FALSE))+Tablas!$X340*Nivel_Total+10*Y174</f>
        <v>0</v>
      </c>
      <c r="W174" s="2654"/>
      <c r="X174" s="2625"/>
      <c r="Y174" s="2654"/>
      <c r="Z174" s="2655"/>
      <c r="AA174" s="2675">
        <f>IF(AND(T174&lt;5,Tablas!G$315=0),-30,0)+T174+U174+V174+Z174+IF(I174="",0,40)+Mod_ATA+AD174+IF(Personalización!$E$12="Como Base (no oficial)",0,AF174)</f>
        <v>-30</v>
      </c>
      <c r="AB174" s="1547">
        <f>IF(AA174="-",0,IF(AA174&gt;VLOOKUP(Nivel_Total,Tabla_LímiteSecundarias,2),1,0))</f>
        <v>0</v>
      </c>
      <c r="AC174" s="769"/>
      <c r="AD174" s="2265">
        <f>Tablas!$K$2041+Tablas!$K$2103+IF(Tablas!$AF$354&gt;0,60,0)</f>
        <v>0</v>
      </c>
      <c r="AE174" s="3632" t="e">
        <f>$S$7*VLOOKUP(Categoría_1,Tablas!$D$198:$CN$228,MATCH(E174,Tablas!$D$201:$CQ$201,0),FALSE)+IF(Categoría_2="",0,$S$9*VLOOKUP(Categoría_2,Tablas!$D$198:$CN$228,MATCH(E174,Tablas!$D$201:$CQ$201,0),FALSE))+IF(Categoría_3="",0,$S$11*VLOOKUP(Categoría_3,Tablas!$D$198:$CN$228,MATCH(E174,Tablas!$D$201:$CQ$201,0),FALSE))+IF(Categoría_4="",0,$S$13*VLOOKUP(Categoría_4,Tablas!$D$198:$CN$228,MATCH(E174,Tablas!$D$201:$CQ$201,0),FALSE))+IF(Categoría_5="",0,$S$15*VLOOKUP(Categoría_5,Tablas!$D$198:$CN$228,MATCH(E174,Tablas!$D$201:$CQ$201,0)))</f>
        <v>#N/A</v>
      </c>
      <c r="AF174" s="3633">
        <f>IF(AF$141,IF(OR(Region="",ClaseSocial="",Personalización!$AN$9),0,IF(OR(AND(AI174,AJ174),AND(NOT(AI174),NOT(AJ174))),LEFT(AG174,2)+LEFT(AH174,2),IF(AND(AI174,NOT(AJ174)),LEFT(AH174,2),0))),0)</f>
        <v>0</v>
      </c>
      <c r="AG174" s="2265">
        <f>HLOOKUP(Region&amp;ClaseSocial,Tabla_RaicesCulturales,Tablas!F172,FALSE)</f>
        <v>0</v>
      </c>
      <c r="AH174" s="3632">
        <f>IF(AND(E174="Historia",Personalización!$E$16="Historia (Local)"),20&amp;" "&amp;Personalización!$E$16,IF(E174=Personalización!$E$15,VLOOKUP(E174,Tablas!$L$136:$M$137,2,FALSE),IF(E174=Personalización!$E$16,VLOOKUP(E174,Tablas!$N$136:$O$137,2,FALSE),0)))</f>
        <v>0</v>
      </c>
      <c r="AI174" s="3632" t="b">
        <f>OR(ISNUMBER(FIND("(",AG174)),ISNUMBER(FIND("(",AH174)))</f>
        <v>0</v>
      </c>
      <c r="AJ174" s="3632" t="b">
        <f>AND(NOT(I174=""),OR(ISNUMBER(SEARCH(I174,AG174)),ISNUMBER(SEARCH(I174,AH174))))</f>
        <v>0</v>
      </c>
      <c r="AK174" s="2265">
        <f>Tablas!$K$2041+Tablas!$K$2103+IF(Tablas!$G$379&gt;0,60,0)</f>
        <v>0</v>
      </c>
      <c r="AL174" s="628" t="e">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#N/A</v>
      </c>
      <c r="AM174" s="628"/>
      <c r="AN174" s="628"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628"/>
      <c r="AP174" s="628"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530"/>
      <c r="AR174" s="628"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530"/>
      <c r="AT174" s="628"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21" t="str">
        <f t="shared" ref="AU174:AU195" si="48">IF(AND($AF$141,OR(AG174&lt;&gt;0,AH174&lt;&gt;0)),E174&amp;" "&amp;IF(AND(ISNUMBER(AG174),ISNUMBER(VALUE(AH174))),AG174+AH174,IF(AH174&lt;&gt;0,VALUE(AH174)&amp;", "&amp;E174&amp;" ","")&amp;SUBSTITUTE(AG174,E174&amp;" ",""))&amp;", ","")</f>
        <v/>
      </c>
      <c r="BL174" s="2617"/>
      <c r="BM174" s="2617"/>
      <c r="BN174" s="2617"/>
      <c r="BO174" s="2617"/>
      <c r="BP174" s="2617"/>
      <c r="BQ174" s="2617"/>
      <c r="BR174" s="2617"/>
      <c r="BS174" s="2617"/>
      <c r="BT174" s="2617"/>
      <c r="BU174" s="2617"/>
      <c r="BV174" s="2617"/>
      <c r="BW174" s="2617"/>
      <c r="BX174" s="2617"/>
    </row>
    <row r="175" spans="1:76" ht="12" customHeight="1">
      <c r="A175" s="29"/>
      <c r="B175" s="753" t="str">
        <f>B174</f>
        <v>Vigor</v>
      </c>
      <c r="C175" s="4527"/>
      <c r="D175" s="4322"/>
      <c r="E175" s="4961" t="s">
        <v>1310</v>
      </c>
      <c r="F175" s="4962"/>
      <c r="G175" s="5043"/>
      <c r="H175" s="2632" t="s">
        <v>1243</v>
      </c>
      <c r="I175" s="1374"/>
      <c r="J175" s="2650">
        <f>IF(ISNA(AL175),0,MAX(MIN(AL175-VLOOKUP("Apto en campo: "&amp;$B175,Tabla_Ventajas,3,FALSE)-Tablas!$O341-2*Tablas!$Q341,3),1))</f>
        <v>0</v>
      </c>
      <c r="K175" s="2623"/>
      <c r="L175" s="2650">
        <f>IF(ISNA(AN175),0,MAX(MIN(AN175-VLOOKUP("Apto en campo: "&amp;$B175,Tabla_Ventajas,3,FALSE)-Tablas!$O341-2*Tablas!$Q341,3),1))</f>
        <v>0</v>
      </c>
      <c r="M175" s="2623"/>
      <c r="N175" s="2650">
        <f>IF(ISNA(AP175),0,MAX(MIN(AP175-VLOOKUP("Apto en campo: "&amp;$B175,Tabla_Ventajas,3,FALSE)-Tablas!$O341-2*Tablas!$Q341,3),1))</f>
        <v>0</v>
      </c>
      <c r="O175" s="2623"/>
      <c r="P175" s="2650">
        <f>IF(ISNA(AR175),0,MAX(MIN(AR175-VLOOKUP("Apto en campo: "&amp;$B175,Tabla_Ventajas,3,FALSE)-Tablas!$O341-2*Tablas!$Q341,3),1))</f>
        <v>0</v>
      </c>
      <c r="Q175" s="2623"/>
      <c r="R175" s="2650">
        <f>IF(ISNA(AT175),0,MAX(MIN(AT175-VLOOKUP("Apto en campo: "&amp;$B175,Tabla_Ventajas,3,FALSE)-Tablas!$O341-2*Tablas!$Q341,3),1))</f>
        <v>0</v>
      </c>
      <c r="S175" s="2623"/>
      <c r="T175" s="2668">
        <f>IF(J175=0,0,TRUNC(K175/J175,0))+IF(L175=0,0,TRUNC(M175/L175,0))+IF(N175=0,0,TRUNC(O175/N175,0))+IF(P175=0,0,TRUNC(Q175/P175,0))+IF(R175=0,0,TRUNC(S175/R175,0))+IF(Personalización!$E$12="Como Base (no oficial)",AF175,0)</f>
        <v>0</v>
      </c>
      <c r="U175" s="2668">
        <f t="shared" si="42"/>
        <v>0</v>
      </c>
      <c r="V175" s="2668">
        <f>IF(ISNA(HLOOKUP($E175,Bonos_Cat_Base,2,FALSE)),0,HLOOKUP($E175,Bonos_Cat_Base,2,FALSE))+Tablas!$X341*Nivel_Total+10*Y175</f>
        <v>0</v>
      </c>
      <c r="W175" s="2662"/>
      <c r="X175" s="2623"/>
      <c r="Y175" s="2662"/>
      <c r="Z175" s="2663"/>
      <c r="AA175" s="2680">
        <f>IF(AND(T175&lt;5,Tablas!G$315=0),-30,0)+T175+U175+V175+Z175+IF(I175="",0,40)+Mod_ATA+AD175+IF(Personalización!$E$12="Como Base (no oficial)",0,AF175)</f>
        <v>-30</v>
      </c>
      <c r="AB175" s="1547">
        <f>IF(AA175="-",0,IF(AA175&gt;VLOOKUP(Nivel_Total,Tabla_LímiteSecundarias,2),1,0))</f>
        <v>0</v>
      </c>
      <c r="AC175" s="769"/>
      <c r="AD175" s="2265"/>
      <c r="AE175" s="3632" t="e">
        <f>$S$7*VLOOKUP(Categoría_1,Tablas!$D$198:$CN$228,MATCH(E175,Tablas!$D$201:$CQ$201,0),FALSE)+IF(Categoría_2="",0,$S$9*VLOOKUP(Categoría_2,Tablas!$D$198:$CN$228,MATCH(E175,Tablas!$D$201:$CQ$201,0),FALSE))+IF(Categoría_3="",0,$S$11*VLOOKUP(Categoría_3,Tablas!$D$198:$CN$228,MATCH(E175,Tablas!$D$201:$CQ$201,0),FALSE))+IF(Categoría_4="",0,$S$13*VLOOKUP(Categoría_4,Tablas!$D$198:$CN$228,MATCH(E175,Tablas!$D$201:$CQ$201,0),FALSE))+IF(Categoría_5="",0,$S$15*VLOOKUP(Categoría_5,Tablas!$D$198:$CN$228,MATCH(E175,Tablas!$D$201:$CQ$201,0)))</f>
        <v>#N/A</v>
      </c>
      <c r="AF175" s="3633">
        <f>IF(AF$141,IF(OR(Region="",ClaseSocial="",Personalización!$AN$9),0,IF(OR(AND(AI175,AJ175),AND(NOT(AI175),NOT(AJ175))),LEFT(AG175,2)+LEFT(AH175,2),IF(AND(AI175,NOT(AJ175)),LEFT(AH175,2),0))),0)</f>
        <v>0</v>
      </c>
      <c r="AG175" s="2265">
        <f>HLOOKUP(Region&amp;ClaseSocial,Tabla_RaicesCulturales,Tablas!F173,FALSE)</f>
        <v>0</v>
      </c>
      <c r="AH175" s="3632">
        <f>IF(AND(E175="Historia",Personalización!$E$16="Historia (Local)"),20&amp;" "&amp;Personalización!$E$16,IF(E175=Personalización!$E$15,VLOOKUP(E175,Tablas!$L$136:$M$137,2,FALSE),IF(E175=Personalización!$E$16,VLOOKUP(E175,Tablas!$N$136:$O$137,2,FALSE),0)))</f>
        <v>0</v>
      </c>
      <c r="AI175" s="3632" t="b">
        <f>OR(ISNUMBER(FIND("(",AG175)),ISNUMBER(FIND("(",AH175)))</f>
        <v>0</v>
      </c>
      <c r="AJ175" s="3632" t="b">
        <f>AND(NOT(I175=""),OR(ISNUMBER(SEARCH(I175,AG175)),ISNUMBER(SEARCH(I175,AH175))))</f>
        <v>0</v>
      </c>
      <c r="AK175" s="3632"/>
      <c r="AL175" s="628" t="e">
        <f t="shared" si="43"/>
        <v>#N/A</v>
      </c>
      <c r="AM175" s="628"/>
      <c r="AN175" s="628" t="e">
        <f t="shared" si="44"/>
        <v>#N/A</v>
      </c>
      <c r="AO175" s="628"/>
      <c r="AP175" s="628" t="e">
        <f t="shared" si="45"/>
        <v>#N/A</v>
      </c>
      <c r="AQ175" s="530"/>
      <c r="AR175" s="628" t="e">
        <f t="shared" si="46"/>
        <v>#N/A</v>
      </c>
      <c r="AS175" s="530"/>
      <c r="AT175" s="628" t="e">
        <f t="shared" si="47"/>
        <v>#N/A</v>
      </c>
      <c r="AU175" s="21" t="str">
        <f t="shared" si="48"/>
        <v/>
      </c>
      <c r="BL175" s="2617"/>
      <c r="BM175" s="2617"/>
      <c r="BN175" s="2617"/>
      <c r="BO175" s="2617"/>
      <c r="BP175" s="2617"/>
      <c r="BQ175" s="2617"/>
      <c r="BR175" s="2617"/>
      <c r="BS175" s="2617"/>
      <c r="BT175" s="2617"/>
      <c r="BU175" s="2617"/>
      <c r="BV175" s="2617"/>
      <c r="BW175" s="2617"/>
      <c r="BX175" s="2617"/>
    </row>
    <row r="176" spans="1:76" ht="12" customHeight="1">
      <c r="A176" s="29"/>
      <c r="B176" s="753" t="str">
        <f>B175</f>
        <v>Vigor</v>
      </c>
      <c r="C176" s="4527"/>
      <c r="D176" s="4323"/>
      <c r="E176" s="5044" t="s">
        <v>1313</v>
      </c>
      <c r="F176" s="5045"/>
      <c r="G176" s="5046"/>
      <c r="H176" s="2619" t="s">
        <v>1251</v>
      </c>
      <c r="I176" s="2629"/>
      <c r="J176" s="2627">
        <f>IF(ISNA(AL176),0,MAX(MIN(AL176-VLOOKUP("Apto en campo: "&amp;$B176,Tabla_Ventajas,3,FALSE)-Tablas!$O342-2*Tablas!$Q342,3),1))</f>
        <v>0</v>
      </c>
      <c r="K176" s="2625"/>
      <c r="L176" s="2627">
        <f>IF(ISNA(AN176),0,MAX(MIN(AN176-VLOOKUP("Apto en campo: "&amp;$B176,Tabla_Ventajas,3,FALSE)-Tablas!$O342-2*Tablas!$Q342,3),1))</f>
        <v>0</v>
      </c>
      <c r="M176" s="2625"/>
      <c r="N176" s="2627">
        <f>IF(ISNA(AP176),0,MAX(MIN(AP176-VLOOKUP("Apto en campo: "&amp;$B176,Tabla_Ventajas,3,FALSE)-Tablas!$O342-2*Tablas!$Q342,3),1))</f>
        <v>0</v>
      </c>
      <c r="O176" s="2625"/>
      <c r="P176" s="2627">
        <f>IF(ISNA(AR176),0,MAX(MIN(AR176-VLOOKUP("Apto en campo: "&amp;$B176,Tabla_Ventajas,3,FALSE)-Tablas!$O342-2*Tablas!$Q342,3),1))</f>
        <v>0</v>
      </c>
      <c r="Q176" s="2625"/>
      <c r="R176" s="2627">
        <f>IF(ISNA(AT176),0,MAX(MIN(AT176-VLOOKUP("Apto en campo: "&amp;$B176,Tabla_Ventajas,3,FALSE)-Tablas!$O342-2*Tablas!$Q342,3),1))</f>
        <v>0</v>
      </c>
      <c r="S176" s="2625"/>
      <c r="T176" s="2621">
        <f>IF(J176=0,0,TRUNC(K176/J176,0))+IF(L176=0,0,TRUNC(M176/L176,0))+IF(N176=0,0,TRUNC(O176/N176,0))+IF(P176=0,0,TRUNC(Q176/P176,0))+IF(R176=0,0,TRUNC(S176/R176,0))+IF(Personalización!$E$12="Como Base (no oficial)",AF176,0)</f>
        <v>0</v>
      </c>
      <c r="U176" s="2621">
        <f t="shared" si="42"/>
        <v>0</v>
      </c>
      <c r="V176" s="2621">
        <f>IF(ISNA(HLOOKUP($E176,Bonos_Cat_Base,2,FALSE)),0,HLOOKUP($E176,Bonos_Cat_Base,2,FALSE))+Tablas!$X342*Nivel_Total+10*Y176</f>
        <v>0</v>
      </c>
      <c r="W176" s="2654"/>
      <c r="X176" s="2625"/>
      <c r="Y176" s="2654"/>
      <c r="Z176" s="2655"/>
      <c r="AA176" s="2675">
        <f>IF(AND(T176&lt;5,Tablas!G$315=0),-30,0)+T176+U176+V176+Z176+IF(I176="",0,40)+Mod_ATA+AD176+IF(Personalización!$E$12="Como Base (no oficial)",0,AF176)</f>
        <v>-30</v>
      </c>
      <c r="AB176" s="1547">
        <f>IF(AA176="-",0,IF(AA176&gt;VLOOKUP(Nivel_Total,Tabla_LímiteSecundarias,2),1,0))</f>
        <v>0</v>
      </c>
      <c r="AC176" s="769"/>
      <c r="AD176" s="2265">
        <f>Tablas!$K$2103</f>
        <v>0</v>
      </c>
      <c r="AE176" s="3632" t="e">
        <f>$S$7*VLOOKUP(Categoría_1,Tablas!$D$198:$CN$228,MATCH(E176,Tablas!$D$201:$CQ$201,0),FALSE)+IF(Categoría_2="",0,$S$9*VLOOKUP(Categoría_2,Tablas!$D$198:$CN$228,MATCH(E176,Tablas!$D$201:$CQ$201,0),FALSE))+IF(Categoría_3="",0,$S$11*VLOOKUP(Categoría_3,Tablas!$D$198:$CN$228,MATCH(E176,Tablas!$D$201:$CQ$201,0),FALSE))+IF(Categoría_4="",0,$S$13*VLOOKUP(Categoría_4,Tablas!$D$198:$CN$228,MATCH(E176,Tablas!$D$201:$CQ$201,0),FALSE))+IF(Categoría_5="",0,$S$15*VLOOKUP(Categoría_5,Tablas!$D$198:$CN$228,MATCH(E176,Tablas!$D$201:$CQ$201,0)))</f>
        <v>#N/A</v>
      </c>
      <c r="AF176" s="3633">
        <f>IF(AF$141,IF(OR(Region="",ClaseSocial="",Personalización!$AN$9),0,IF(OR(AND(AI176,AJ176),AND(NOT(AI176),NOT(AJ176))),LEFT(AG176,2)+LEFT(AH176,2),IF(AND(AI176,NOT(AJ176)),LEFT(AH176,2),0))),0)</f>
        <v>0</v>
      </c>
      <c r="AG176" s="2265">
        <f>HLOOKUP(Region&amp;ClaseSocial,Tabla_RaicesCulturales,Tablas!F174,FALSE)</f>
        <v>0</v>
      </c>
      <c r="AH176" s="3632">
        <f>IF(AND(E176="Historia",Personalización!$E$16="Historia (Local)"),20&amp;" "&amp;Personalización!$E$16,IF(E176=Personalización!$E$15,VLOOKUP(E176,Tablas!$L$136:$M$137,2,FALSE),IF(E176=Personalización!$E$16,VLOOKUP(E176,Tablas!$N$136:$O$137,2,FALSE),0)))</f>
        <v>0</v>
      </c>
      <c r="AI176" s="3632" t="b">
        <f>OR(ISNUMBER(FIND("(",AG176)),ISNUMBER(FIND("(",AH176)))</f>
        <v>0</v>
      </c>
      <c r="AJ176" s="3632" t="b">
        <f>AND(NOT(I176=""),OR(ISNUMBER(SEARCH(I176,AG176)),ISNUMBER(SEARCH(I176,AH176))))</f>
        <v>0</v>
      </c>
      <c r="AK176" s="3632"/>
      <c r="AL176" s="628" t="e">
        <f t="shared" si="43"/>
        <v>#N/A</v>
      </c>
      <c r="AM176" s="628"/>
      <c r="AN176" s="628" t="e">
        <f t="shared" si="44"/>
        <v>#N/A</v>
      </c>
      <c r="AO176" s="628"/>
      <c r="AP176" s="628" t="e">
        <f t="shared" si="45"/>
        <v>#N/A</v>
      </c>
      <c r="AQ176" s="530"/>
      <c r="AR176" s="628" t="e">
        <f t="shared" si="46"/>
        <v>#N/A</v>
      </c>
      <c r="AS176" s="530"/>
      <c r="AT176" s="628" t="e">
        <f t="shared" si="47"/>
        <v>#N/A</v>
      </c>
      <c r="AU176" s="21" t="str">
        <f t="shared" si="48"/>
        <v/>
      </c>
      <c r="BL176" s="2617"/>
      <c r="BM176" s="2617"/>
      <c r="BN176" s="2617"/>
      <c r="BO176" s="2617"/>
      <c r="BP176" s="2617"/>
      <c r="BQ176" s="2617"/>
      <c r="BR176" s="2617"/>
      <c r="BS176" s="2617"/>
      <c r="BT176" s="2617"/>
      <c r="BU176" s="2617"/>
      <c r="BV176" s="2617"/>
      <c r="BW176" s="2617"/>
      <c r="BX176" s="2617"/>
    </row>
    <row r="177" spans="1:76" ht="12" customHeight="1">
      <c r="A177" s="29"/>
      <c r="B177" s="753" t="str">
        <f>D177</f>
        <v>Subterfugio</v>
      </c>
      <c r="C177" s="4527"/>
      <c r="D177" s="5034" t="s">
        <v>1316</v>
      </c>
      <c r="E177" s="5037" t="s">
        <v>1317</v>
      </c>
      <c r="F177" s="5038"/>
      <c r="G177" s="5038"/>
      <c r="H177" s="2633" t="s">
        <v>1238</v>
      </c>
      <c r="I177" s="1374"/>
      <c r="J177" s="2653">
        <f>IF(ISNA(AL177),0,MAX(MIN(AL177-VLOOKUP("Apto en campo: "&amp;$B177,Tabla_Ventajas,3,FALSE)-Tablas!$O343-2*Tablas!$Q343,3),1))</f>
        <v>0</v>
      </c>
      <c r="K177" s="2624"/>
      <c r="L177" s="2653">
        <f>IF(ISNA(AN177),0,MAX(MIN(AN177-VLOOKUP("Apto en campo: "&amp;$B177,Tabla_Ventajas,3,FALSE)-Tablas!$O343-2*Tablas!$Q343,3),1))</f>
        <v>0</v>
      </c>
      <c r="M177" s="2624"/>
      <c r="N177" s="2653">
        <f>IF(ISNA(AP177),0,MAX(MIN(AP177-VLOOKUP("Apto en campo: "&amp;$B177,Tabla_Ventajas,3,FALSE)-Tablas!$O343-2*Tablas!$Q343,3),1))</f>
        <v>0</v>
      </c>
      <c r="O177" s="2624"/>
      <c r="P177" s="2653">
        <f>IF(ISNA(AR177),0,MAX(MIN(AR177-VLOOKUP("Apto en campo: "&amp;$B177,Tabla_Ventajas,3,FALSE)-Tablas!$O343-2*Tablas!$Q343,3),1))</f>
        <v>0</v>
      </c>
      <c r="Q177" s="2624"/>
      <c r="R177" s="2653">
        <f>IF(ISNA(AT177),0,MAX(MIN(AT177-VLOOKUP("Apto en campo: "&amp;$B177,Tabla_Ventajas,3,FALSE)-Tablas!$O343-2*Tablas!$Q343,3),1))</f>
        <v>0</v>
      </c>
      <c r="S177" s="2624"/>
      <c r="T177" s="2669">
        <f>IF(J177=0,0,TRUNC(K177/J177,0))+IF(L177=0,0,TRUNC(M177/L177,0))+IF(N177=0,0,TRUNC(O177/N177,0))+IF(P177=0,0,TRUNC(Q177/P177,0))+IF(R177=0,0,TRUNC(S177/R177,0))+IF(Personalización!$E$12="Como Base (no oficial)",AF177,0)</f>
        <v>0</v>
      </c>
      <c r="U177" s="2669">
        <f t="shared" si="42"/>
        <v>0</v>
      </c>
      <c r="V177" s="2669">
        <f>IF(ISNA(HLOOKUP($E177,Bonos_Cat_Base,2,FALSE)),0,HLOOKUP($E177,Bonos_Cat_Base,2,FALSE))+Tablas!$X343*Nivel_Total+10*Y177</f>
        <v>0</v>
      </c>
      <c r="W177" s="2664"/>
      <c r="X177" s="2624"/>
      <c r="Y177" s="2664"/>
      <c r="Z177" s="2665"/>
      <c r="AA177" s="2681">
        <f>IF(AND(T177&lt;5,Tablas!G$315=0),-30,0)+T177+U177+V177+Z177+IF(I177="",0,40)+Mod_ATA+AD177+IF(Personalización!$E$12="Como Base (no oficial)",0,AF177)</f>
        <v>-30</v>
      </c>
      <c r="AB177" s="1547">
        <f t="shared" ref="AB177:AB200" si="49">IF(AA177="-",0,IF(AA177&gt;VLOOKUP(Nivel_Total,Tabla_LímiteSecundarias,2),1,0))</f>
        <v>0</v>
      </c>
      <c r="AC177" s="769"/>
      <c r="AD177" s="2265"/>
      <c r="AE177" s="3632" t="e">
        <f>$S$7*VLOOKUP(Categoría_1,Tablas!$D$198:$CN$228,MATCH(E177,Tablas!$D$201:$CQ$201,0),FALSE)+IF(Categoría_2="",0,$S$9*VLOOKUP(Categoría_2,Tablas!$D$198:$CN$228,MATCH(E177,Tablas!$D$201:$CQ$201,0),FALSE))+IF(Categoría_3="",0,$S$11*VLOOKUP(Categoría_3,Tablas!$D$198:$CN$228,MATCH(E177,Tablas!$D$201:$CQ$201,0),FALSE))+IF(Categoría_4="",0,$S$13*VLOOKUP(Categoría_4,Tablas!$D$198:$CN$228,MATCH(E177,Tablas!$D$201:$CQ$201,0),FALSE))+IF(Categoría_5="",0,$S$15*VLOOKUP(Categoría_5,Tablas!$D$198:$CN$228,MATCH(E177,Tablas!$D$201:$CQ$201,0)))</f>
        <v>#N/A</v>
      </c>
      <c r="AF177" s="3633">
        <f>IF(AF$141,IF(OR(Region="",ClaseSocial="",Personalización!$AN$9),0,IF(OR(AND(AI177,AJ177),AND(NOT(AI177),NOT(AJ177))),LEFT(AG177,2)+LEFT(AH177,2),IF(AND(AI177,NOT(AJ177)),LEFT(AH177,2),0))),0)</f>
        <v>0</v>
      </c>
      <c r="AG177" s="2265">
        <f>HLOOKUP(Region&amp;ClaseSocial,Tabla_RaicesCulturales,Tablas!F175,FALSE)</f>
        <v>0</v>
      </c>
      <c r="AH177" s="3632">
        <f>IF(AND(E177="Historia",Personalización!$E$16="Historia (Local)"),20&amp;" "&amp;Personalización!$E$16,IF(E177=Personalización!$E$15,VLOOKUP(E177,Tablas!$L$136:$M$137,2,FALSE),IF(E177=Personalización!$E$16,VLOOKUP(E177,Tablas!$N$136:$O$137,2,FALSE),0)))</f>
        <v>0</v>
      </c>
      <c r="AI177" s="3632" t="b">
        <f t="shared" ref="AI177:AI195" si="50">OR(ISNUMBER(FIND("(",AG177)),ISNUMBER(FIND("(",AH177)))</f>
        <v>0</v>
      </c>
      <c r="AJ177" s="3632" t="b">
        <f t="shared" ref="AJ177:AJ195" si="51">AND(NOT(I177=""),OR(ISNUMBER(SEARCH(I177,AG177)),ISNUMBER(SEARCH(I177,AH177))))</f>
        <v>0</v>
      </c>
      <c r="AK177" s="3632"/>
      <c r="AL177" s="628" t="e">
        <f t="shared" si="43"/>
        <v>#N/A</v>
      </c>
      <c r="AM177" s="628"/>
      <c r="AN177" s="628" t="e">
        <f t="shared" si="44"/>
        <v>#N/A</v>
      </c>
      <c r="AO177" s="628"/>
      <c r="AP177" s="628" t="e">
        <f t="shared" si="45"/>
        <v>#N/A</v>
      </c>
      <c r="AQ177" s="530"/>
      <c r="AR177" s="628" t="e">
        <f t="shared" si="46"/>
        <v>#N/A</v>
      </c>
      <c r="AS177" s="530"/>
      <c r="AT177" s="628" t="e">
        <f t="shared" si="47"/>
        <v>#N/A</v>
      </c>
      <c r="AU177" s="21" t="str">
        <f t="shared" si="48"/>
        <v/>
      </c>
      <c r="BL177" s="2617"/>
      <c r="BM177" s="2617"/>
      <c r="BN177" s="2617"/>
      <c r="BO177" s="2617"/>
      <c r="BP177" s="2617"/>
      <c r="BQ177" s="2617"/>
      <c r="BR177" s="2617"/>
      <c r="BS177" s="2617"/>
      <c r="BT177" s="2617"/>
      <c r="BU177" s="2617"/>
      <c r="BV177" s="2617"/>
      <c r="BW177" s="2617"/>
      <c r="BX177" s="2617"/>
    </row>
    <row r="178" spans="1:76" ht="12" customHeight="1">
      <c r="A178" s="29"/>
      <c r="B178" s="753" t="str">
        <f t="shared" ref="B178:B183" si="52">B177</f>
        <v>Subterfugio</v>
      </c>
      <c r="C178" s="4527"/>
      <c r="D178" s="5035"/>
      <c r="E178" s="4963" t="s">
        <v>1319</v>
      </c>
      <c r="F178" s="4964"/>
      <c r="G178" s="4964"/>
      <c r="H178" s="2619" t="s">
        <v>1238</v>
      </c>
      <c r="I178" s="1350"/>
      <c r="J178" s="2627">
        <f>IF(ISNA(AL178),0,MAX(MIN(AL178-VLOOKUP("Apto en campo: "&amp;$B178,Tabla_Ventajas,3,FALSE)-Tablas!$O344-2*Tablas!$Q344,3),1))</f>
        <v>0</v>
      </c>
      <c r="K178" s="2625"/>
      <c r="L178" s="2627">
        <f>IF(ISNA(AN178),0,MAX(MIN(AN178-VLOOKUP("Apto en campo: "&amp;$B178,Tabla_Ventajas,3,FALSE)-Tablas!$O344-2*Tablas!$Q344,3),1))</f>
        <v>0</v>
      </c>
      <c r="M178" s="2625"/>
      <c r="N178" s="2627">
        <f>IF(ISNA(AP178),0,MAX(MIN(AP178-VLOOKUP("Apto en campo: "&amp;$B178,Tabla_Ventajas,3,FALSE)-Tablas!$O344-2*Tablas!$Q344,3),1))</f>
        <v>0</v>
      </c>
      <c r="O178" s="2625"/>
      <c r="P178" s="2627">
        <f>IF(ISNA(AR178),0,MAX(MIN(AR178-VLOOKUP("Apto en campo: "&amp;$B178,Tabla_Ventajas,3,FALSE)-Tablas!$O344-2*Tablas!$Q344,3),1))</f>
        <v>0</v>
      </c>
      <c r="Q178" s="2625"/>
      <c r="R178" s="2627">
        <f>IF(ISNA(AT178),0,MAX(MIN(AT178-VLOOKUP("Apto en campo: "&amp;$B178,Tabla_Ventajas,3,FALSE)-Tablas!$O344-2*Tablas!$Q344,3),1))</f>
        <v>0</v>
      </c>
      <c r="S178" s="2625"/>
      <c r="T178" s="2621">
        <f>IF(J178=0,0,TRUNC(K178/J178,0))+IF(L178=0,0,TRUNC(M178/L178,0))+IF(N178=0,0,TRUNC(O178/N178,0))+IF(P178=0,0,TRUNC(Q178/P178,0))+IF(R178=0,0,TRUNC(S178/R178,0))+IF(Personalización!$E$12="Como Base (no oficial)",AF178,0)</f>
        <v>0</v>
      </c>
      <c r="U178" s="2621">
        <f>MIN(VLOOKUP($H178,Tabla_Características,5,0)*(1+W178)+10*Con.TodasMaterias+10*X178,100)</f>
        <v>0</v>
      </c>
      <c r="V178" s="2621">
        <f>IF(ISNA(HLOOKUP($E178,Bonos_Cat_Base,2,FALSE)),0,HLOOKUP($E178,Bonos_Cat_Base,2,FALSE))+Tablas!$X344*Nivel_Total+10*Y178</f>
        <v>0</v>
      </c>
      <c r="W178" s="2654"/>
      <c r="X178" s="2625"/>
      <c r="Y178" s="2654"/>
      <c r="Z178" s="2655"/>
      <c r="AA178" s="2675">
        <f>IF(AND(T178&lt;5,Tablas!G$315=0),-30,0)+T178+U178+V178+Z178+IF(I178="",0,40)+Mod_ATA+AD178+IF(Personalización!$E$12="Como Base (no oficial)",0,AF178)</f>
        <v>-30</v>
      </c>
      <c r="AB178" s="1547">
        <f t="shared" si="49"/>
        <v>0</v>
      </c>
      <c r="AC178" s="769"/>
      <c r="AD178" s="2265"/>
      <c r="AE178" s="3632" t="e">
        <f>$S$7*VLOOKUP(Categoría_1,Tablas!$D$198:$CN$228,MATCH(E178,Tablas!$D$201:$CQ$201,0),FALSE)+IF(Categoría_2="",0,$S$9*VLOOKUP(Categoría_2,Tablas!$D$198:$CN$228,MATCH(E178,Tablas!$D$201:$CQ$201,0),FALSE))+IF(Categoría_3="",0,$S$11*VLOOKUP(Categoría_3,Tablas!$D$198:$CN$228,MATCH(E178,Tablas!$D$201:$CQ$201,0),FALSE))+IF(Categoría_4="",0,$S$13*VLOOKUP(Categoría_4,Tablas!$D$198:$CN$228,MATCH(E178,Tablas!$D$201:$CQ$201,0),FALSE))+IF(Categoría_5="",0,$S$15*VLOOKUP(Categoría_5,Tablas!$D$198:$CN$228,MATCH(E178,Tablas!$D$201:$CQ$201,0)))</f>
        <v>#N/A</v>
      </c>
      <c r="AF178" s="3633">
        <f>IF(AF$141,IF(OR(Region="",ClaseSocial="",Personalización!$AN$9),0,IF(OR(AND(AI178,AJ178),AND(NOT(AI178),NOT(AJ178))),LEFT(AG178,2)+LEFT(AH178,2),IF(AND(AI178,NOT(AJ178)),LEFT(AH178,2),0))),0)</f>
        <v>0</v>
      </c>
      <c r="AG178" s="2265">
        <f>HLOOKUP(Region&amp;ClaseSocial,Tabla_RaicesCulturales,Tablas!F176,FALSE)</f>
        <v>0</v>
      </c>
      <c r="AH178" s="3632">
        <f>IF(AND(E178="Historia",Personalización!$E$16="Historia (Local)"),20&amp;" "&amp;Personalización!$E$16,IF(E178=Personalización!$E$15,VLOOKUP(E178,Tablas!$L$136:$M$137,2,FALSE),IF(E178=Personalización!$E$16,VLOOKUP(E178,Tablas!$N$136:$O$137,2,FALSE),0)))</f>
        <v>0</v>
      </c>
      <c r="AI178" s="3632" t="b">
        <f t="shared" si="50"/>
        <v>0</v>
      </c>
      <c r="AJ178" s="3632" t="b">
        <f t="shared" si="51"/>
        <v>0</v>
      </c>
      <c r="AK178" s="3632"/>
      <c r="AL178" s="628" t="e">
        <f t="shared" si="43"/>
        <v>#N/A</v>
      </c>
      <c r="AM178" s="628"/>
      <c r="AN178" s="628" t="e">
        <f t="shared" si="44"/>
        <v>#N/A</v>
      </c>
      <c r="AO178" s="628"/>
      <c r="AP178" s="628" t="e">
        <f t="shared" si="45"/>
        <v>#N/A</v>
      </c>
      <c r="AQ178" s="530"/>
      <c r="AR178" s="628" t="e">
        <f t="shared" si="46"/>
        <v>#N/A</v>
      </c>
      <c r="AS178" s="530"/>
      <c r="AT178" s="628" t="e">
        <f t="shared" si="47"/>
        <v>#N/A</v>
      </c>
      <c r="AU178" s="21" t="str">
        <f t="shared" si="48"/>
        <v/>
      </c>
      <c r="BL178" s="2617"/>
      <c r="BM178" s="2617"/>
      <c r="BN178" s="2617"/>
      <c r="BO178" s="2617"/>
      <c r="BP178" s="2617"/>
      <c r="BQ178" s="2617"/>
      <c r="BR178" s="2617"/>
      <c r="BS178" s="2617"/>
      <c r="BT178" s="2617"/>
      <c r="BU178" s="2617"/>
      <c r="BV178" s="2617"/>
      <c r="BW178" s="2617"/>
      <c r="BX178" s="2617"/>
    </row>
    <row r="179" spans="1:76" ht="12" customHeight="1">
      <c r="A179" s="29"/>
      <c r="B179" s="753" t="str">
        <f t="shared" si="52"/>
        <v>Subterfugio</v>
      </c>
      <c r="C179" s="4527"/>
      <c r="D179" s="5035"/>
      <c r="E179" s="4961" t="s">
        <v>1321</v>
      </c>
      <c r="F179" s="4962"/>
      <c r="G179" s="4962"/>
      <c r="H179" s="2632" t="s">
        <v>1248</v>
      </c>
      <c r="I179" s="1374"/>
      <c r="J179" s="2650">
        <f>IF(ISNA(AL179),0,MAX(MIN(AL179-VLOOKUP("Apto en campo: "&amp;$B179,Tabla_Ventajas,3,FALSE)-Tablas!$O345-2*Tablas!$Q345,3),1))</f>
        <v>0</v>
      </c>
      <c r="K179" s="2623"/>
      <c r="L179" s="2650">
        <f>IF(ISNA(AN179),0,MAX(MIN(AN179-VLOOKUP("Apto en campo: "&amp;$B179,Tabla_Ventajas,3,FALSE)-Tablas!$O345-2*Tablas!$Q345,3),1))</f>
        <v>0</v>
      </c>
      <c r="M179" s="2623"/>
      <c r="N179" s="2650">
        <f>IF(ISNA(AP179),0,MAX(MIN(AP179-VLOOKUP("Apto en campo: "&amp;$B179,Tabla_Ventajas,3,FALSE)-Tablas!$O345-2*Tablas!$Q345,3),1))</f>
        <v>0</v>
      </c>
      <c r="O179" s="2623"/>
      <c r="P179" s="2650">
        <f>IF(ISNA(AR179),0,MAX(MIN(AR179-VLOOKUP("Apto en campo: "&amp;$B179,Tabla_Ventajas,3,FALSE)-Tablas!$O345-2*Tablas!$Q345,3),1))</f>
        <v>0</v>
      </c>
      <c r="Q179" s="2623"/>
      <c r="R179" s="2650">
        <f>IF(ISNA(AT179),0,MAX(MIN(AT179-VLOOKUP("Apto en campo: "&amp;$B179,Tabla_Ventajas,3,FALSE)-Tablas!$O345-2*Tablas!$Q345,3),1))</f>
        <v>0</v>
      </c>
      <c r="S179" s="2623"/>
      <c r="T179" s="2668">
        <f>IF(J179=0,0,TRUNC(K179/J179,0))+IF(L179=0,0,TRUNC(M179/L179,0))+IF(N179=0,0,TRUNC(O179/N179,0))+IF(P179=0,0,TRUNC(Q179/P179,0))+IF(R179=0,0,TRUNC(S179/R179,0))+IF(Personalización!$E$12="Como Base (no oficial)",AF179,0)</f>
        <v>0</v>
      </c>
      <c r="U179" s="2668">
        <f t="shared" si="42"/>
        <v>0</v>
      </c>
      <c r="V179" s="2668">
        <f>IF(ISNA(HLOOKUP($E179,Bonos_Cat_Base,2,FALSE)),0,HLOOKUP($E179,Bonos_Cat_Base,2,FALSE))+Tablas!$X345*Nivel_Total+10*Y179</f>
        <v>0</v>
      </c>
      <c r="W179" s="2662"/>
      <c r="X179" s="2623"/>
      <c r="Y179" s="2662"/>
      <c r="Z179" s="2663"/>
      <c r="AA179" s="2680">
        <f>IF(AND(T179&lt;5,Tablas!G$315=0),-30,0)+T179+U179+V179+Z179+IF(I179="",0,40)+Mod_ATA+AD179+IF(Personalización!$E$12="Como Base (no oficial)",0,AF179)</f>
        <v>-30</v>
      </c>
      <c r="AB179" s="1547">
        <f t="shared" si="49"/>
        <v>0</v>
      </c>
      <c r="AC179" s="769"/>
      <c r="AD179" s="2265"/>
      <c r="AE179" s="3632" t="e">
        <f>$S$7*VLOOKUP(Categoría_1,Tablas!$D$198:$CN$228,MATCH(E179,Tablas!$D$201:$CQ$201,0),FALSE)+IF(Categoría_2="",0,$S$9*VLOOKUP(Categoría_2,Tablas!$D$198:$CN$228,MATCH(E179,Tablas!$D$201:$CQ$201,0),FALSE))+IF(Categoría_3="",0,$S$11*VLOOKUP(Categoría_3,Tablas!$D$198:$CN$228,MATCH(E179,Tablas!$D$201:$CQ$201,0),FALSE))+IF(Categoría_4="",0,$S$13*VLOOKUP(Categoría_4,Tablas!$D$198:$CN$228,MATCH(E179,Tablas!$D$201:$CQ$201,0),FALSE))+IF(Categoría_5="",0,$S$15*VLOOKUP(Categoría_5,Tablas!$D$198:$CN$228,MATCH(E179,Tablas!$D$201:$CQ$201,0)))</f>
        <v>#N/A</v>
      </c>
      <c r="AF179" s="3633">
        <f>IF(AF$141,IF(OR(Region="",ClaseSocial="",Personalización!$AN$9),0,IF(OR(AND(AI179,AJ179),AND(NOT(AI179),NOT(AJ179))),LEFT(AG179,2)+LEFT(AH179,2),IF(AND(AI179,NOT(AJ179)),LEFT(AH179,2),0))),0)</f>
        <v>0</v>
      </c>
      <c r="AG179" s="2265">
        <f>HLOOKUP(Region&amp;ClaseSocial,Tabla_RaicesCulturales,Tablas!F177,FALSE)</f>
        <v>0</v>
      </c>
      <c r="AH179" s="3632">
        <f>IF(AND(E179="Historia",Personalización!$E$16="Historia (Local)"),20&amp;" "&amp;Personalización!$E$16,IF(E179=Personalización!$E$15,VLOOKUP(E179,Tablas!$L$136:$M$137,2,FALSE),IF(E179=Personalización!$E$16,VLOOKUP(E179,Tablas!$N$136:$O$137,2,FALSE),0)))</f>
        <v>0</v>
      </c>
      <c r="AI179" s="3632" t="b">
        <f t="shared" si="50"/>
        <v>0</v>
      </c>
      <c r="AJ179" s="3632" t="b">
        <f t="shared" si="51"/>
        <v>0</v>
      </c>
      <c r="AK179" s="3632"/>
      <c r="AL179" s="628" t="e">
        <f t="shared" si="43"/>
        <v>#N/A</v>
      </c>
      <c r="AM179" s="628"/>
      <c r="AN179" s="628" t="e">
        <f t="shared" si="44"/>
        <v>#N/A</v>
      </c>
      <c r="AO179" s="628"/>
      <c r="AP179" s="628" t="e">
        <f t="shared" si="45"/>
        <v>#N/A</v>
      </c>
      <c r="AQ179" s="530"/>
      <c r="AR179" s="628" t="e">
        <f t="shared" si="46"/>
        <v>#N/A</v>
      </c>
      <c r="AS179" s="530"/>
      <c r="AT179" s="628" t="e">
        <f t="shared" si="47"/>
        <v>#N/A</v>
      </c>
      <c r="AU179" s="21" t="str">
        <f t="shared" si="48"/>
        <v/>
      </c>
      <c r="BL179" s="2617"/>
      <c r="BM179" s="2617"/>
      <c r="BN179" s="2617"/>
      <c r="BO179" s="2617"/>
      <c r="BP179" s="2617"/>
      <c r="BQ179" s="2617"/>
      <c r="BR179" s="2617"/>
      <c r="BS179" s="2617"/>
      <c r="BT179" s="2617"/>
      <c r="BU179" s="2617"/>
      <c r="BV179" s="2617"/>
      <c r="BW179" s="2617"/>
      <c r="BX179" s="2617"/>
    </row>
    <row r="180" spans="1:76" ht="12" customHeight="1">
      <c r="A180" s="29"/>
      <c r="B180" s="753" t="str">
        <f t="shared" si="52"/>
        <v>Subterfugio</v>
      </c>
      <c r="C180" s="4527"/>
      <c r="D180" s="5035"/>
      <c r="E180" s="4963" t="s">
        <v>1323</v>
      </c>
      <c r="F180" s="4964"/>
      <c r="G180" s="4964"/>
      <c r="H180" s="2619" t="s">
        <v>1238</v>
      </c>
      <c r="I180" s="1350"/>
      <c r="J180" s="2627">
        <f>IF(ISNA(AL180),0,MAX(MIN(AL180-VLOOKUP("Apto en campo: "&amp;$B180,Tabla_Ventajas,3,FALSE)-Tablas!$O346-2*Tablas!$Q346,3),1))</f>
        <v>0</v>
      </c>
      <c r="K180" s="2625"/>
      <c r="L180" s="2627">
        <f>IF(ISNA(AN180),0,MAX(MIN(AN180-VLOOKUP("Apto en campo: "&amp;$B180,Tabla_Ventajas,3,FALSE)-Tablas!$O346-2*Tablas!$Q346,3),1))</f>
        <v>0</v>
      </c>
      <c r="M180" s="2625"/>
      <c r="N180" s="2627">
        <f>IF(ISNA(AP180),0,MAX(MIN(AP180-VLOOKUP("Apto en campo: "&amp;$B180,Tabla_Ventajas,3,FALSE)-Tablas!$O346-2*Tablas!$Q346,3),1))</f>
        <v>0</v>
      </c>
      <c r="O180" s="2625"/>
      <c r="P180" s="2627">
        <f>IF(ISNA(AR180),0,MAX(MIN(AR180-VLOOKUP("Apto en campo: "&amp;$B180,Tabla_Ventajas,3,FALSE)-Tablas!$O346-2*Tablas!$Q346,3),1))</f>
        <v>0</v>
      </c>
      <c r="Q180" s="2625"/>
      <c r="R180" s="2627">
        <f>IF(ISNA(AT180),0,MAX(MIN(AT180-VLOOKUP("Apto en campo: "&amp;$B180,Tabla_Ventajas,3,FALSE)-Tablas!$O346-2*Tablas!$Q346,3),1))</f>
        <v>0</v>
      </c>
      <c r="S180" s="2625"/>
      <c r="T180" s="2621">
        <f>IF(J180=0,0,TRUNC(K180/J180,0))+IF(L180=0,0,TRUNC(M180/L180,0))+IF(N180=0,0,TRUNC(O180/N180,0))+IF(P180=0,0,TRUNC(Q180/P180,0))+IF(R180=0,0,TRUNC(S180/R180,0))+IF(Personalización!$E$12="Como Base (no oficial)",AF180,0)</f>
        <v>0</v>
      </c>
      <c r="U180" s="2621">
        <f t="shared" si="42"/>
        <v>0</v>
      </c>
      <c r="V180" s="2621">
        <f>IF(ISNA(HLOOKUP($E180,Bonos_Cat_Base,2,FALSE)),0,HLOOKUP($E180,Bonos_Cat_Base,2,FALSE))+Tablas!$X346*Nivel_Total+10*Y180</f>
        <v>0</v>
      </c>
      <c r="W180" s="2654"/>
      <c r="X180" s="2625"/>
      <c r="Y180" s="2654"/>
      <c r="Z180" s="2655"/>
      <c r="AA180" s="2675">
        <f>IF(AND(T180&lt;5,Tablas!G$315=0),-30,0)+T180+U180+V180+Z180+IF(I180="",0,40)+Mod_ATA+AD180+IF(Personalización!$E$12="Como Base (no oficial)",0,AF180)</f>
        <v>-30</v>
      </c>
      <c r="AB180" s="1547">
        <f t="shared" si="49"/>
        <v>0</v>
      </c>
      <c r="AC180" s="769"/>
      <c r="AD180" s="2265"/>
      <c r="AE180" s="3632" t="e">
        <f>$S$7*VLOOKUP(Categoría_1,Tablas!$D$198:$CN$228,MATCH(E180,Tablas!$D$201:$CQ$201,0),FALSE)+IF(Categoría_2="",0,$S$9*VLOOKUP(Categoría_2,Tablas!$D$198:$CN$228,MATCH(E180,Tablas!$D$201:$CQ$201,0),FALSE))+IF(Categoría_3="",0,$S$11*VLOOKUP(Categoría_3,Tablas!$D$198:$CN$228,MATCH(E180,Tablas!$D$201:$CQ$201,0),FALSE))+IF(Categoría_4="",0,$S$13*VLOOKUP(Categoría_4,Tablas!$D$198:$CN$228,MATCH(E180,Tablas!$D$201:$CQ$201,0),FALSE))+IF(Categoría_5="",0,$S$15*VLOOKUP(Categoría_5,Tablas!$D$198:$CN$228,MATCH(E180,Tablas!$D$201:$CQ$201,0)))</f>
        <v>#N/A</v>
      </c>
      <c r="AF180" s="3633">
        <f>IF(AF$141,IF(OR(Region="",ClaseSocial="",Personalización!$AN$9),0,IF(OR(AND(AI180,AJ180),AND(NOT(AI180),NOT(AJ180))),LEFT(AG180,2)+LEFT(AH180,2),IF(AND(AI180,NOT(AJ180)),LEFT(AH180,2),0))),0)</f>
        <v>0</v>
      </c>
      <c r="AG180" s="2265">
        <f>HLOOKUP(Region&amp;ClaseSocial,Tabla_RaicesCulturales,Tablas!F178,FALSE)</f>
        <v>0</v>
      </c>
      <c r="AH180" s="3632">
        <f>IF(AND(E180="Historia",Personalización!$E$16="Historia (Local)"),20&amp;" "&amp;Personalización!$E$16,IF(E180=Personalización!$E$15,VLOOKUP(E180,Tablas!$L$136:$M$137,2,FALSE),IF(E180=Personalización!$E$16,VLOOKUP(E180,Tablas!$N$136:$O$137,2,FALSE),0)))</f>
        <v>0</v>
      </c>
      <c r="AI180" s="3632" t="b">
        <f t="shared" si="50"/>
        <v>0</v>
      </c>
      <c r="AJ180" s="3632" t="b">
        <f t="shared" si="51"/>
        <v>0</v>
      </c>
      <c r="AK180" s="3632"/>
      <c r="AL180" s="628" t="e">
        <f t="shared" si="43"/>
        <v>#N/A</v>
      </c>
      <c r="AM180" s="628"/>
      <c r="AN180" s="628" t="e">
        <f t="shared" si="44"/>
        <v>#N/A</v>
      </c>
      <c r="AO180" s="628"/>
      <c r="AP180" s="628" t="e">
        <f t="shared" si="45"/>
        <v>#N/A</v>
      </c>
      <c r="AQ180" s="530"/>
      <c r="AR180" s="628" t="e">
        <f t="shared" si="46"/>
        <v>#N/A</v>
      </c>
      <c r="AS180" s="530"/>
      <c r="AT180" s="628" t="e">
        <f t="shared" si="47"/>
        <v>#N/A</v>
      </c>
      <c r="AU180" s="21" t="str">
        <f t="shared" si="48"/>
        <v/>
      </c>
      <c r="BL180" s="2617"/>
      <c r="BM180" s="2617"/>
      <c r="BN180" s="2617"/>
      <c r="BO180" s="2617"/>
      <c r="BP180" s="2617"/>
      <c r="BQ180" s="2617"/>
      <c r="BR180" s="2617"/>
      <c r="BS180" s="2617"/>
      <c r="BT180" s="2617"/>
      <c r="BU180" s="2617"/>
      <c r="BV180" s="2617"/>
      <c r="BW180" s="2617"/>
      <c r="BX180" s="2617"/>
    </row>
    <row r="181" spans="1:76" ht="12" customHeight="1">
      <c r="A181" s="29"/>
      <c r="B181" s="753" t="str">
        <f t="shared" si="52"/>
        <v>Subterfugio</v>
      </c>
      <c r="C181" s="4527"/>
      <c r="D181" s="5035"/>
      <c r="E181" s="4961" t="s">
        <v>1325</v>
      </c>
      <c r="F181" s="4962"/>
      <c r="G181" s="4962"/>
      <c r="H181" s="2632" t="s">
        <v>1233</v>
      </c>
      <c r="I181" s="1374"/>
      <c r="J181" s="2650">
        <f>IF(ISNA(AL181),0,MAX(MIN(AL181-VLOOKUP("Apto en campo: "&amp;$B181,Tabla_Ventajas,3,FALSE)-Tablas!$O347-2*Tablas!$Q347,3),1))</f>
        <v>0</v>
      </c>
      <c r="K181" s="2623"/>
      <c r="L181" s="2650">
        <f>IF(ISNA(AN181),0,MAX(MIN(AN181-VLOOKUP("Apto en campo: "&amp;$B181,Tabla_Ventajas,3,FALSE)-Tablas!$O347-2*Tablas!$Q347,3),1))</f>
        <v>0</v>
      </c>
      <c r="M181" s="2623"/>
      <c r="N181" s="2650">
        <f>IF(ISNA(AP181),0,MAX(MIN(AP181-VLOOKUP("Apto en campo: "&amp;$B181,Tabla_Ventajas,3,FALSE)-Tablas!$O347-2*Tablas!$Q347,3),1))</f>
        <v>0</v>
      </c>
      <c r="O181" s="2623"/>
      <c r="P181" s="2650">
        <f>IF(ISNA(AR181),0,MAX(MIN(AR181-VLOOKUP("Apto en campo: "&amp;$B181,Tabla_Ventajas,3,FALSE)-Tablas!$O347-2*Tablas!$Q347,3),1))</f>
        <v>0</v>
      </c>
      <c r="Q181" s="2623"/>
      <c r="R181" s="2650">
        <f>IF(ISNA(AT181),0,MAX(MIN(AT181-VLOOKUP("Apto en campo: "&amp;$B181,Tabla_Ventajas,3,FALSE)-Tablas!$O347-2*Tablas!$Q347,3),1))</f>
        <v>0</v>
      </c>
      <c r="S181" s="2623"/>
      <c r="T181" s="2668">
        <f>IF(J181=0,0,TRUNC(K181/J181,0))+IF(L181=0,0,TRUNC(M181/L181,0))+IF(N181=0,0,TRUNC(O181/N181,0))+IF(P181=0,0,TRUNC(Q181/P181,0))+IF(R181=0,0,TRUNC(S181/R181,0))+IF(Personalización!$E$12="Como Base (no oficial)",AF181,0)</f>
        <v>0</v>
      </c>
      <c r="U181" s="2668">
        <f t="shared" si="42"/>
        <v>0</v>
      </c>
      <c r="V181" s="2668">
        <f>IF(ISNA(HLOOKUP($E181,Bonos_Cat_Base,2,FALSE)),0,HLOOKUP($E181,Bonos_Cat_Base,2,FALSE))+Tablas!$X347*Nivel_Total+10*Y181</f>
        <v>0</v>
      </c>
      <c r="W181" s="2662"/>
      <c r="X181" s="2623"/>
      <c r="Y181" s="2662"/>
      <c r="Z181" s="2663"/>
      <c r="AA181" s="2680">
        <f>IF(AND(T181&lt;5,Tablas!G$315=0),-30,0)+T181+U181+V181+Z181+IF(I181="",0,40)+Mod_ATA+AD181+IF(Personalización!$E$12="Como Base (no oficial)",0,AF181)</f>
        <v>-30</v>
      </c>
      <c r="AB181" s="1547">
        <f t="shared" si="49"/>
        <v>0</v>
      </c>
      <c r="AC181" s="769"/>
      <c r="AD181" s="2265"/>
      <c r="AE181" s="3632" t="e">
        <f>$S$7*VLOOKUP(Categoría_1,Tablas!$D$198:$CN$228,MATCH(E181,Tablas!$D$201:$CQ$201,0),FALSE)+IF(Categoría_2="",0,$S$9*VLOOKUP(Categoría_2,Tablas!$D$198:$CN$228,MATCH(E181,Tablas!$D$201:$CQ$201,0),FALSE))+IF(Categoría_3="",0,$S$11*VLOOKUP(Categoría_3,Tablas!$D$198:$CN$228,MATCH(E181,Tablas!$D$201:$CQ$201,0),FALSE))+IF(Categoría_4="",0,$S$13*VLOOKUP(Categoría_4,Tablas!$D$198:$CN$228,MATCH(E181,Tablas!$D$201:$CQ$201,0),FALSE))+IF(Categoría_5="",0,$S$15*VLOOKUP(Categoría_5,Tablas!$D$198:$CN$228,MATCH(E181,Tablas!$D$201:$CQ$201,0)))</f>
        <v>#N/A</v>
      </c>
      <c r="AF181" s="3633">
        <f>IF(AF$141,IF(OR(Region="",ClaseSocial="",Personalización!$AN$9),0,IF(OR(AND(AI181,AJ181),AND(NOT(AI181),NOT(AJ181))),LEFT(AG181,2)+LEFT(AH181,2),IF(AND(AI181,NOT(AJ181)),LEFT(AH181,2),0))),0)</f>
        <v>0</v>
      </c>
      <c r="AG181" s="2265">
        <f>HLOOKUP(Region&amp;ClaseSocial,Tabla_RaicesCulturales,Tablas!F179,FALSE)</f>
        <v>0</v>
      </c>
      <c r="AH181" s="3632">
        <f>IF(AND(E181="Historia",Personalización!$E$16="Historia (Local)"),20&amp;" "&amp;Personalización!$E$16,IF(E181=Personalización!$E$15,VLOOKUP(E181,Tablas!$L$136:$M$137,2,FALSE),IF(E181=Personalización!$E$16,VLOOKUP(E181,Tablas!$N$136:$O$137,2,FALSE),0)))</f>
        <v>0</v>
      </c>
      <c r="AI181" s="3632" t="b">
        <f t="shared" si="50"/>
        <v>0</v>
      </c>
      <c r="AJ181" s="3632" t="b">
        <f t="shared" si="51"/>
        <v>0</v>
      </c>
      <c r="AK181" s="3632"/>
      <c r="AL181" s="628" t="e">
        <f t="shared" si="43"/>
        <v>#N/A</v>
      </c>
      <c r="AM181" s="628"/>
      <c r="AN181" s="628" t="e">
        <f t="shared" si="44"/>
        <v>#N/A</v>
      </c>
      <c r="AO181" s="628"/>
      <c r="AP181" s="628" t="e">
        <f t="shared" si="45"/>
        <v>#N/A</v>
      </c>
      <c r="AQ181" s="530"/>
      <c r="AR181" s="628" t="e">
        <f t="shared" si="46"/>
        <v>#N/A</v>
      </c>
      <c r="AS181" s="530"/>
      <c r="AT181" s="628" t="e">
        <f t="shared" si="47"/>
        <v>#N/A</v>
      </c>
      <c r="AU181" s="21" t="str">
        <f t="shared" si="48"/>
        <v/>
      </c>
      <c r="BL181" s="2617"/>
      <c r="BM181" s="2617"/>
      <c r="BN181" s="2617"/>
      <c r="BO181" s="2617"/>
      <c r="BP181" s="2617"/>
      <c r="BQ181" s="2617"/>
      <c r="BR181" s="2617"/>
      <c r="BS181" s="2617"/>
      <c r="BT181" s="2617"/>
      <c r="BU181" s="2617"/>
      <c r="BV181" s="2617"/>
      <c r="BW181" s="2617"/>
      <c r="BX181" s="2617"/>
    </row>
    <row r="182" spans="1:76" ht="12" customHeight="1">
      <c r="A182" s="29"/>
      <c r="B182" s="753" t="str">
        <f t="shared" si="52"/>
        <v>Subterfugio</v>
      </c>
      <c r="C182" s="4527"/>
      <c r="D182" s="5035"/>
      <c r="E182" s="4963" t="s">
        <v>1327</v>
      </c>
      <c r="F182" s="4964"/>
      <c r="G182" s="4964"/>
      <c r="H182" s="2619" t="s">
        <v>1238</v>
      </c>
      <c r="I182" s="1350"/>
      <c r="J182" s="2627">
        <f>IF(ISNA(AL182),0,MAX(MIN(AL182-VLOOKUP("Apto en campo: "&amp;$B182,Tabla_Ventajas,3,FALSE)-Tablas!$O348-2*Tablas!$Q348,3),1))</f>
        <v>0</v>
      </c>
      <c r="K182" s="2625"/>
      <c r="L182" s="2627">
        <f>IF(ISNA(AN182),0,MAX(MIN(AN182-VLOOKUP("Apto en campo: "&amp;$B182,Tabla_Ventajas,3,FALSE)-Tablas!$O348-2*Tablas!$Q348,3),1))</f>
        <v>0</v>
      </c>
      <c r="M182" s="2625"/>
      <c r="N182" s="2627">
        <f>IF(ISNA(AP182),0,MAX(MIN(AP182-VLOOKUP("Apto en campo: "&amp;$B182,Tabla_Ventajas,3,FALSE)-Tablas!$O348-2*Tablas!$Q348,3),1))</f>
        <v>0</v>
      </c>
      <c r="O182" s="2625"/>
      <c r="P182" s="2627">
        <f>IF(ISNA(AR182),0,MAX(MIN(AR182-VLOOKUP("Apto en campo: "&amp;$B182,Tabla_Ventajas,3,FALSE)-Tablas!$O348-2*Tablas!$Q348,3),1))</f>
        <v>0</v>
      </c>
      <c r="Q182" s="2625"/>
      <c r="R182" s="2627">
        <f>IF(ISNA(AT182),0,MAX(MIN(AT182-VLOOKUP("Apto en campo: "&amp;$B182,Tabla_Ventajas,3,FALSE)-Tablas!$O348-2*Tablas!$Q348,3),1))</f>
        <v>0</v>
      </c>
      <c r="S182" s="2625"/>
      <c r="T182" s="2621">
        <f>IF(J182=0,0,TRUNC(K182/J182,0))+IF(L182=0,0,TRUNC(M182/L182,0))+IF(N182=0,0,TRUNC(O182/N182,0))+IF(P182=0,0,TRUNC(Q182/P182,0))+IF(R182=0,0,TRUNC(S182/R182,0))+IF(Personalización!$E$12="Como Base (no oficial)",AF182,0)</f>
        <v>0</v>
      </c>
      <c r="U182" s="2621">
        <f t="shared" si="42"/>
        <v>0</v>
      </c>
      <c r="V182" s="2621">
        <f>IF(ISNA(HLOOKUP($E182,Bonos_Cat_Base,2,FALSE)),0,HLOOKUP($E182,Bonos_Cat_Base,2,FALSE))+Tablas!$X348*Nivel_Total+10*Y182</f>
        <v>0</v>
      </c>
      <c r="W182" s="2654"/>
      <c r="X182" s="2625"/>
      <c r="Y182" s="2654"/>
      <c r="Z182" s="2655"/>
      <c r="AA182" s="2675">
        <f>IF(AND(T182&lt;5,Tablas!G$315=0),-30,0)+T182+U182+V182+Z182+IF(I182="",0,40)+Mod_ATA+AD182+IF(Personalización!$E$12="Como Base (no oficial)",0,AF182)</f>
        <v>-30</v>
      </c>
      <c r="AB182" s="1547">
        <f t="shared" si="49"/>
        <v>0</v>
      </c>
      <c r="AC182" s="769"/>
      <c r="AD182" s="2265"/>
      <c r="AE182" s="3632" t="e">
        <f>$S$7*VLOOKUP(Categoría_1,Tablas!$D$198:$CN$228,MATCH(E182,Tablas!$D$201:$CQ$201,0),FALSE)+IF(Categoría_2="",0,$S$9*VLOOKUP(Categoría_2,Tablas!$D$198:$CN$228,MATCH(E182,Tablas!$D$201:$CQ$201,0),FALSE))+IF(Categoría_3="",0,$S$11*VLOOKUP(Categoría_3,Tablas!$D$198:$CN$228,MATCH(E182,Tablas!$D$201:$CQ$201,0),FALSE))+IF(Categoría_4="",0,$S$13*VLOOKUP(Categoría_4,Tablas!$D$198:$CN$228,MATCH(E182,Tablas!$D$201:$CQ$201,0),FALSE))+IF(Categoría_5="",0,$S$15*VLOOKUP(Categoría_5,Tablas!$D$198:$CN$228,MATCH(E182,Tablas!$D$201:$CQ$201,0)))</f>
        <v>#N/A</v>
      </c>
      <c r="AF182" s="3633">
        <f>IF(AF$141,IF(OR(Region="",ClaseSocial="",Personalización!$AN$9),0,IF(OR(AND(AI182,AJ182),AND(NOT(AI182),NOT(AJ182))),LEFT(AG182,2)+LEFT(AH182,2),IF(AND(AI182,NOT(AJ182)),LEFT(AH182,2),0))),0)</f>
        <v>0</v>
      </c>
      <c r="AG182" s="2265">
        <f>HLOOKUP(Region&amp;ClaseSocial,Tabla_RaicesCulturales,Tablas!F180,FALSE)</f>
        <v>0</v>
      </c>
      <c r="AH182" s="3632">
        <f>IF(AND(E182="Historia",Personalización!$E$16="Historia (Local)"),20&amp;" "&amp;Personalización!$E$16,IF(E182=Personalización!$E$15,VLOOKUP(E182,Tablas!$L$136:$M$137,2,FALSE),IF(E182=Personalización!$E$16,VLOOKUP(E182,Tablas!$N$136:$O$137,2,FALSE),0)))</f>
        <v>0</v>
      </c>
      <c r="AI182" s="3632" t="b">
        <f t="shared" si="50"/>
        <v>0</v>
      </c>
      <c r="AJ182" s="3632" t="b">
        <f t="shared" si="51"/>
        <v>0</v>
      </c>
      <c r="AK182" s="3632"/>
      <c r="AL182" s="628" t="e">
        <f t="shared" si="43"/>
        <v>#N/A</v>
      </c>
      <c r="AM182" s="628"/>
      <c r="AN182" s="628" t="e">
        <f t="shared" si="44"/>
        <v>#N/A</v>
      </c>
      <c r="AO182" s="628"/>
      <c r="AP182" s="628" t="e">
        <f t="shared" si="45"/>
        <v>#N/A</v>
      </c>
      <c r="AQ182" s="530"/>
      <c r="AR182" s="628" t="e">
        <f t="shared" si="46"/>
        <v>#N/A</v>
      </c>
      <c r="AS182" s="530"/>
      <c r="AT182" s="628" t="e">
        <f t="shared" si="47"/>
        <v>#N/A</v>
      </c>
      <c r="AU182" s="21" t="str">
        <f t="shared" si="48"/>
        <v/>
      </c>
      <c r="BL182" s="2617"/>
      <c r="BM182" s="2617"/>
      <c r="BN182" s="2617"/>
      <c r="BO182" s="2617"/>
      <c r="BP182" s="2617"/>
      <c r="BQ182" s="2617"/>
      <c r="BR182" s="2617"/>
      <c r="BS182" s="2617"/>
      <c r="BT182" s="2617"/>
      <c r="BU182" s="2617"/>
      <c r="BV182" s="2617"/>
      <c r="BW182" s="2617"/>
      <c r="BX182" s="2617"/>
    </row>
    <row r="183" spans="1:76" ht="12" customHeight="1">
      <c r="A183" s="29"/>
      <c r="B183" s="753" t="str">
        <f t="shared" si="52"/>
        <v>Subterfugio</v>
      </c>
      <c r="C183" s="4527"/>
      <c r="D183" s="5036"/>
      <c r="E183" s="5102" t="s">
        <v>1328</v>
      </c>
      <c r="F183" s="5103"/>
      <c r="G183" s="5103"/>
      <c r="H183" s="2632" t="s">
        <v>1245</v>
      </c>
      <c r="I183" s="2631"/>
      <c r="J183" s="2651">
        <f>IF(ISNA(AL183),0,MAX(MIN(AL183-VLOOKUP("Apto en campo: "&amp;$B183,Tabla_Ventajas,3,FALSE)-Tablas!$O349-2*Tablas!$Q349,3),1))</f>
        <v>0</v>
      </c>
      <c r="K183" s="2623"/>
      <c r="L183" s="2651">
        <f>IF(ISNA(AN183),0,MAX(MIN(AN183-VLOOKUP("Apto en campo: "&amp;$B183,Tabla_Ventajas,3,FALSE)-Tablas!$O349-2*Tablas!$Q349,3),1))</f>
        <v>0</v>
      </c>
      <c r="M183" s="2623"/>
      <c r="N183" s="2651">
        <f>IF(ISNA(AP183),0,MAX(MIN(AP183-VLOOKUP("Apto en campo: "&amp;$B183,Tabla_Ventajas,3,FALSE)-Tablas!$O349-2*Tablas!$Q349,3),1))</f>
        <v>0</v>
      </c>
      <c r="O183" s="2623"/>
      <c r="P183" s="2651">
        <f>IF(ISNA(AR183),0,MAX(MIN(AR183-VLOOKUP("Apto en campo: "&amp;$B183,Tabla_Ventajas,3,FALSE)-Tablas!$O349-2*Tablas!$Q349,3),1))</f>
        <v>0</v>
      </c>
      <c r="Q183" s="2623"/>
      <c r="R183" s="2651">
        <f>IF(ISNA(AT183),0,MAX(MIN(AT183-VLOOKUP("Apto en campo: "&amp;$B183,Tabla_Ventajas,3,FALSE)-Tablas!$O349-2*Tablas!$Q349,3),1))</f>
        <v>0</v>
      </c>
      <c r="S183" s="2623"/>
      <c r="T183" s="2670">
        <f>IF(J183=0,0,TRUNC(K183/J183,0))+IF(L183=0,0,TRUNC(M183/L183,0))+IF(N183=0,0,TRUNC(O183/N183,0))+IF(P183=0,0,TRUNC(Q183/P183,0))+IF(R183=0,0,TRUNC(S183/R183,0))+IF(Personalización!$E$12="Como Base (no oficial)",AF183,0)</f>
        <v>0</v>
      </c>
      <c r="U183" s="2670">
        <f t="shared" si="42"/>
        <v>0</v>
      </c>
      <c r="V183" s="2670">
        <f>IF(ISNA(HLOOKUP($E183,Bonos_Cat_Base,2,FALSE)),0,HLOOKUP($E183,Bonos_Cat_Base,2,FALSE))+Tablas!$X349*Nivel_Total+10*Y183</f>
        <v>0</v>
      </c>
      <c r="W183" s="2666"/>
      <c r="X183" s="2623"/>
      <c r="Y183" s="2666"/>
      <c r="Z183" s="2663"/>
      <c r="AA183" s="2682" t="str">
        <f>IF(AND(T183&lt;5,Tablas!G$315=0),"-",+T183+U183+V183+Z183+IF(I183="",0,40)+Mod_ATA+AD183+IF(Personalización!$E$12="Como Base (no oficial)",0,AF183))</f>
        <v>-</v>
      </c>
      <c r="AB183" s="1547">
        <f t="shared" si="49"/>
        <v>0</v>
      </c>
      <c r="AC183" s="769"/>
      <c r="AD183" s="2265"/>
      <c r="AE183" s="3632" t="e">
        <f>$S$7*VLOOKUP(Categoría_1,Tablas!$D$198:$CN$228,MATCH(E183,Tablas!$D$201:$CQ$201,0),FALSE)+IF(Categoría_2="",0,$S$9*VLOOKUP(Categoría_2,Tablas!$D$198:$CN$228,MATCH(E183,Tablas!$D$201:$CQ$201,0),FALSE))+IF(Categoría_3="",0,$S$11*VLOOKUP(Categoría_3,Tablas!$D$198:$CN$228,MATCH(E183,Tablas!$D$201:$CQ$201,0),FALSE))+IF(Categoría_4="",0,$S$13*VLOOKUP(Categoría_4,Tablas!$D$198:$CN$228,MATCH(E183,Tablas!$D$201:$CQ$201,0),FALSE))+IF(Categoría_5="",0,$S$15*VLOOKUP(Categoría_5,Tablas!$D$198:$CN$228,MATCH(E183,Tablas!$D$201:$CQ$201,0)))</f>
        <v>#N/A</v>
      </c>
      <c r="AF183" s="3633">
        <f>IF(AF$141,IF(OR(Region="",ClaseSocial="",Personalización!$AN$9),0,IF(OR(AND(AI183,AJ183),AND(NOT(AI183),NOT(AJ183))),LEFT(AG183,2)+LEFT(AH183,2),IF(AND(AI183,NOT(AJ183)),LEFT(AH183,2),0))),0)</f>
        <v>0</v>
      </c>
      <c r="AG183" s="2265">
        <f>HLOOKUP(Region&amp;ClaseSocial,Tabla_RaicesCulturales,Tablas!F181,FALSE)</f>
        <v>0</v>
      </c>
      <c r="AH183" s="3632">
        <f>IF(AND(E183="Historia",Personalización!$E$16="Historia (Local)"),20&amp;" "&amp;Personalización!$E$16,IF(E183=Personalización!$E$15,VLOOKUP(E183,Tablas!$L$136:$M$137,2,FALSE),IF(E183=Personalización!$E$16,VLOOKUP(E183,Tablas!$N$136:$O$137,2,FALSE),0)))</f>
        <v>0</v>
      </c>
      <c r="AI183" s="3632" t="b">
        <f t="shared" si="50"/>
        <v>0</v>
      </c>
      <c r="AJ183" s="3632" t="b">
        <f t="shared" si="51"/>
        <v>0</v>
      </c>
      <c r="AK183" s="3632"/>
      <c r="AL183" s="628" t="e">
        <f t="shared" si="43"/>
        <v>#N/A</v>
      </c>
      <c r="AM183" s="628"/>
      <c r="AN183" s="628" t="e">
        <f t="shared" si="44"/>
        <v>#N/A</v>
      </c>
      <c r="AO183" s="628"/>
      <c r="AP183" s="628" t="e">
        <f t="shared" si="45"/>
        <v>#N/A</v>
      </c>
      <c r="AQ183" s="530"/>
      <c r="AR183" s="628" t="e">
        <f t="shared" si="46"/>
        <v>#N/A</v>
      </c>
      <c r="AS183" s="530"/>
      <c r="AT183" s="628" t="e">
        <f t="shared" si="47"/>
        <v>#N/A</v>
      </c>
      <c r="AU183" s="21" t="str">
        <f t="shared" si="48"/>
        <v/>
      </c>
      <c r="BL183" s="2617"/>
      <c r="BM183" s="2617"/>
      <c r="BN183" s="2617"/>
      <c r="BO183" s="2617"/>
      <c r="BP183" s="2617"/>
      <c r="BQ183" s="2617"/>
      <c r="BR183" s="2617"/>
      <c r="BS183" s="2617"/>
      <c r="BT183" s="2617"/>
      <c r="BU183" s="2617"/>
      <c r="BV183" s="2617"/>
      <c r="BW183" s="2617"/>
      <c r="BX183" s="2617"/>
    </row>
    <row r="184" spans="1:76" ht="12" customHeight="1">
      <c r="A184" s="29"/>
      <c r="B184" s="753" t="str">
        <f>D184</f>
        <v>Creativas</v>
      </c>
      <c r="C184" s="4527"/>
      <c r="D184" s="5035" t="s">
        <v>1329</v>
      </c>
      <c r="E184" s="4963" t="s">
        <v>1330</v>
      </c>
      <c r="F184" s="4964"/>
      <c r="G184" s="4964"/>
      <c r="H184" s="2620" t="s">
        <v>1250</v>
      </c>
      <c r="I184" s="1351"/>
      <c r="J184" s="2627">
        <f>IF(ISNA(AL184),0,MAX(MIN(AL184-VLOOKUP("Apto en campo: "&amp;$B184,Tabla_Ventajas,3,FALSE)-Tablas!$O350-2*Tablas!$Q350,3),1))</f>
        <v>0</v>
      </c>
      <c r="K184" s="2626"/>
      <c r="L184" s="2627">
        <f>IF(ISNA(AN184),0,MAX(MIN(AN184-VLOOKUP("Apto en campo: "&amp;$B184,Tabla_Ventajas,3,FALSE)-Tablas!$O350-2*Tablas!$Q350,3),1))</f>
        <v>0</v>
      </c>
      <c r="M184" s="2626"/>
      <c r="N184" s="2627">
        <f>IF(ISNA(AP184),0,MAX(MIN(AP184-VLOOKUP("Apto en campo: "&amp;$B184,Tabla_Ventajas,3,FALSE)-Tablas!$O350-2*Tablas!$Q350,3),1))</f>
        <v>0</v>
      </c>
      <c r="O184" s="2626"/>
      <c r="P184" s="2627">
        <f>IF(ISNA(AR184),0,MAX(MIN(AR184-VLOOKUP("Apto en campo: "&amp;$B184,Tabla_Ventajas,3,FALSE)-Tablas!$O350-2*Tablas!$Q350,3),1))</f>
        <v>0</v>
      </c>
      <c r="Q184" s="2626"/>
      <c r="R184" s="2627">
        <f>IF(ISNA(AT184),0,MAX(MIN(AT184-VLOOKUP("Apto en campo: "&amp;$B184,Tabla_Ventajas,3,FALSE)-Tablas!$O350-2*Tablas!$Q350,3),1))</f>
        <v>0</v>
      </c>
      <c r="S184" s="2626"/>
      <c r="T184" s="2621">
        <f>IF(J184=0,0,TRUNC(K184/J184,0))+IF(L184=0,0,TRUNC(M184/L184,0))+IF(N184=0,0,TRUNC(O184/N184,0))+IF(P184=0,0,TRUNC(Q184/P184,0))+IF(R184=0,0,TRUNC(S184/R184,0))+IF(Personalización!$E$12="Como Base (no oficial)",AF184,0)</f>
        <v>0</v>
      </c>
      <c r="U184" s="2621">
        <f t="shared" si="42"/>
        <v>0</v>
      </c>
      <c r="V184" s="2621">
        <f>IF(ISNA(HLOOKUP($E184,Bonos_Cat_Base,2,FALSE)),0,HLOOKUP($E184,Bonos_Cat_Base,2,FALSE))+Tablas!$X350*Nivel_Total+10*Y184</f>
        <v>0</v>
      </c>
      <c r="W184" s="2654"/>
      <c r="X184" s="2626"/>
      <c r="Y184" s="2654"/>
      <c r="Z184" s="2656"/>
      <c r="AA184" s="2675">
        <f>IF(AND(T184&lt;5,Tablas!G$315=0),-30,0)+T184+U184+V184+Z184+IF(I184="",0,40)+Mod_ATA+AD184+IF(Personalización!$E$12="Como Base (no oficial)",0,AF184)</f>
        <v>-30</v>
      </c>
      <c r="AB184" s="1547">
        <f t="shared" si="49"/>
        <v>0</v>
      </c>
      <c r="AC184" s="769"/>
      <c r="AD184" s="2265">
        <f>Tablas!$K$1988</f>
        <v>0</v>
      </c>
      <c r="AE184" s="3632" t="e">
        <f>$S$7*VLOOKUP(Categoría_1,Tablas!$D$198:$CN$228,MATCH(E184,Tablas!$D$201:$CQ$201,0),FALSE)+IF(Categoría_2="",0,$S$9*VLOOKUP(Categoría_2,Tablas!$D$198:$CN$228,MATCH(E184,Tablas!$D$201:$CQ$201,0),FALSE))+IF(Categoría_3="",0,$S$11*VLOOKUP(Categoría_3,Tablas!$D$198:$CN$228,MATCH(E184,Tablas!$D$201:$CQ$201,0),FALSE))+IF(Categoría_4="",0,$S$13*VLOOKUP(Categoría_4,Tablas!$D$198:$CN$228,MATCH(E184,Tablas!$D$201:$CQ$201,0),FALSE))+IF(Categoría_5="",0,$S$15*VLOOKUP(Categoría_5,Tablas!$D$198:$CN$228,MATCH(E184,Tablas!$D$201:$CQ$201,0)))</f>
        <v>#N/A</v>
      </c>
      <c r="AF184" s="3633">
        <f>IF(AF$141,IF(OR(Region="",ClaseSocial="",Personalización!$AN$9),0,IF(OR(AND(AI184,AJ184),AND(NOT(AI184),NOT(AJ184))),LEFT(AG184,2)+LEFT(AH184,2),IF(AND(AI184,NOT(AJ184)),LEFT(AH184,2),0))),0)</f>
        <v>0</v>
      </c>
      <c r="AG184" s="2265">
        <f>HLOOKUP(Region&amp;ClaseSocial,Tabla_RaicesCulturales,Tablas!F182,FALSE)</f>
        <v>0</v>
      </c>
      <c r="AH184" s="3632">
        <f>IF(AND(E184="Historia",Personalización!$E$16="Historia (Local)"),20&amp;" "&amp;Personalización!$E$16,IF(E184=Personalización!$E$15,VLOOKUP(E184,Tablas!$L$136:$M$137,2,FALSE),IF(E184=Personalización!$E$16,VLOOKUP(E184,Tablas!$N$136:$O$137,2,FALSE),0)))</f>
        <v>0</v>
      </c>
      <c r="AI184" s="3632" t="b">
        <f t="shared" si="50"/>
        <v>0</v>
      </c>
      <c r="AJ184" s="3632" t="b">
        <f t="shared" si="51"/>
        <v>0</v>
      </c>
      <c r="AK184" s="3632"/>
      <c r="AL184" s="628" t="e">
        <f t="shared" si="43"/>
        <v>#N/A</v>
      </c>
      <c r="AM184" s="628"/>
      <c r="AN184" s="628" t="e">
        <f t="shared" si="44"/>
        <v>#N/A</v>
      </c>
      <c r="AO184" s="628"/>
      <c r="AP184" s="628" t="e">
        <f t="shared" si="45"/>
        <v>#N/A</v>
      </c>
      <c r="AQ184" s="530"/>
      <c r="AR184" s="628" t="e">
        <f t="shared" si="46"/>
        <v>#N/A</v>
      </c>
      <c r="AS184" s="530"/>
      <c r="AT184" s="628" t="e">
        <f t="shared" si="47"/>
        <v>#N/A</v>
      </c>
      <c r="AU184" s="21" t="str">
        <f t="shared" si="48"/>
        <v/>
      </c>
      <c r="BL184" s="2617"/>
      <c r="BM184" s="2617"/>
      <c r="BN184" s="2617"/>
      <c r="BO184" s="2617"/>
      <c r="BP184" s="2617"/>
      <c r="BQ184" s="2617"/>
      <c r="BR184" s="2617"/>
      <c r="BS184" s="2617"/>
      <c r="BT184" s="2617"/>
      <c r="BU184" s="2617"/>
      <c r="BV184" s="2617"/>
      <c r="BW184" s="2617"/>
      <c r="BX184" s="2617"/>
    </row>
    <row r="185" spans="1:76" ht="12" customHeight="1">
      <c r="A185" s="29"/>
      <c r="B185" s="753" t="str">
        <f>B184</f>
        <v>Creativas</v>
      </c>
      <c r="C185" s="4527"/>
      <c r="D185" s="5035"/>
      <c r="E185" s="4961" t="s">
        <v>1331</v>
      </c>
      <c r="F185" s="4962"/>
      <c r="G185" s="4962"/>
      <c r="H185" s="2632" t="s">
        <v>1233</v>
      </c>
      <c r="I185" s="1376"/>
      <c r="J185" s="2650">
        <f>IF(ISNA(AL185),0,MAX(MIN(AL185-VLOOKUP("Apto en campo: "&amp;$B185,Tabla_Ventajas,3,FALSE)-Tablas!$O351-2*Tablas!$Q351,3),1))</f>
        <v>0</v>
      </c>
      <c r="K185" s="2623"/>
      <c r="L185" s="2650">
        <f>IF(ISNA(AN185),0,MAX(MIN(AN185-VLOOKUP("Apto en campo: "&amp;$B185,Tabla_Ventajas,3,FALSE)-Tablas!$O351-2*Tablas!$Q351,3),1))</f>
        <v>0</v>
      </c>
      <c r="M185" s="2623"/>
      <c r="N185" s="2650">
        <f>IF(ISNA(AP185),0,MAX(MIN(AP185-VLOOKUP("Apto en campo: "&amp;$B185,Tabla_Ventajas,3,FALSE)-Tablas!$O351-2*Tablas!$Q351,3),1))</f>
        <v>0</v>
      </c>
      <c r="O185" s="2623"/>
      <c r="P185" s="2650">
        <f>IF(ISNA(AR185),0,MAX(MIN(AR185-VLOOKUP("Apto en campo: "&amp;$B185,Tabla_Ventajas,3,FALSE)-Tablas!$O351-2*Tablas!$Q351,3),1))</f>
        <v>0</v>
      </c>
      <c r="Q185" s="2623"/>
      <c r="R185" s="2650">
        <f>IF(ISNA(AT185),0,MAX(MIN(AT185-VLOOKUP("Apto en campo: "&amp;$B185,Tabla_Ventajas,3,FALSE)-Tablas!$O351-2*Tablas!$Q351,3),1))</f>
        <v>0</v>
      </c>
      <c r="S185" s="2623"/>
      <c r="T185" s="2668">
        <f>IF(J185=0,0,TRUNC(K185/J185,0))+IF(L185=0,0,TRUNC(M185/L185,0))+IF(N185=0,0,TRUNC(O185/N185,0))+IF(P185=0,0,TRUNC(Q185/P185,0))+IF(R185=0,0,TRUNC(S185/R185,0))+IF(Personalización!$E$12="Como Base (no oficial)",AF185,0)</f>
        <v>0</v>
      </c>
      <c r="U185" s="2668">
        <f t="shared" si="42"/>
        <v>0</v>
      </c>
      <c r="V185" s="2668">
        <f>IF(ISNA(HLOOKUP($E185,Bonos_Cat_Base,2,FALSE)),0,HLOOKUP($E185,Bonos_Cat_Base,2,FALSE))+Tablas!$X351*Nivel_Total+10*Y185</f>
        <v>0</v>
      </c>
      <c r="W185" s="2662"/>
      <c r="X185" s="2623"/>
      <c r="Y185" s="2662"/>
      <c r="Z185" s="2663"/>
      <c r="AA185" s="2683" t="str">
        <f>IF(AND(T185&lt;5,Tablas!G$315=0),"-",T185+U185+V185+Z185+IF(I185="",0,40)+Mod_ATA+AD185+IF(Personalización!$E$12="Como Base (no oficial)",0,AF185))</f>
        <v>-</v>
      </c>
      <c r="AB185" s="1547">
        <f t="shared" si="49"/>
        <v>0</v>
      </c>
      <c r="AC185" s="769"/>
      <c r="AD185" s="2265"/>
      <c r="AE185" s="3632" t="e">
        <f>$S$7*VLOOKUP(Categoría_1,Tablas!$D$198:$CN$228,MATCH(E185,Tablas!$D$201:$CQ$201,0),FALSE)+IF(Categoría_2="",0,$S$9*VLOOKUP(Categoría_2,Tablas!$D$198:$CN$228,MATCH(E185,Tablas!$D$201:$CQ$201,0),FALSE))+IF(Categoría_3="",0,$S$11*VLOOKUP(Categoría_3,Tablas!$D$198:$CN$228,MATCH(E185,Tablas!$D$201:$CQ$201,0),FALSE))+IF(Categoría_4="",0,$S$13*VLOOKUP(Categoría_4,Tablas!$D$198:$CN$228,MATCH(E185,Tablas!$D$201:$CQ$201,0),FALSE))+IF(Categoría_5="",0,$S$15*VLOOKUP(Categoría_5,Tablas!$D$198:$CN$228,MATCH(E185,Tablas!$D$201:$CQ$201,0)))</f>
        <v>#N/A</v>
      </c>
      <c r="AF185" s="3633">
        <f>IF(AF$141,IF(OR(Region="",ClaseSocial="",Personalización!$AN$9),0,IF(OR(AND(AI185,AJ185),AND(NOT(AI185),NOT(AJ185))),LEFT(AG185,2)+LEFT(AH185,2),IF(AND(AI185,NOT(AJ185)),LEFT(AH185,2),0))),0)</f>
        <v>0</v>
      </c>
      <c r="AG185" s="2265">
        <f>HLOOKUP(Region&amp;ClaseSocial,Tabla_RaicesCulturales,Tablas!F183,FALSE)</f>
        <v>0</v>
      </c>
      <c r="AH185" s="3632">
        <f>IF(AND(E185="Historia",Personalización!$E$16="Historia (Local)"),20&amp;" "&amp;Personalización!$E$16,IF(E185=Personalización!$E$15,VLOOKUP(E185,Tablas!$L$136:$M$137,2,FALSE),IF(E185=Personalización!$E$16,VLOOKUP(E185,Tablas!$N$136:$O$137,2,FALSE),0)))</f>
        <v>0</v>
      </c>
      <c r="AI185" s="3632" t="b">
        <f t="shared" si="50"/>
        <v>0</v>
      </c>
      <c r="AJ185" s="3632" t="b">
        <f t="shared" si="51"/>
        <v>0</v>
      </c>
      <c r="AK185" s="3632"/>
      <c r="AL185" s="628" t="e">
        <f t="shared" si="43"/>
        <v>#N/A</v>
      </c>
      <c r="AM185" s="628"/>
      <c r="AN185" s="628" t="e">
        <f t="shared" si="44"/>
        <v>#N/A</v>
      </c>
      <c r="AO185" s="628"/>
      <c r="AP185" s="628" t="e">
        <f t="shared" si="45"/>
        <v>#N/A</v>
      </c>
      <c r="AQ185" s="530"/>
      <c r="AR185" s="628" t="e">
        <f t="shared" si="46"/>
        <v>#N/A</v>
      </c>
      <c r="AS185" s="530"/>
      <c r="AT185" s="628" t="e">
        <f t="shared" si="47"/>
        <v>#N/A</v>
      </c>
      <c r="AU185" s="21" t="str">
        <f t="shared" si="48"/>
        <v/>
      </c>
      <c r="BL185" s="2617"/>
      <c r="BM185" s="2617"/>
      <c r="BN185" s="2617"/>
      <c r="BO185" s="2617"/>
      <c r="BP185" s="2617"/>
      <c r="BQ185" s="2617"/>
      <c r="BR185" s="2617"/>
      <c r="BS185" s="2617"/>
      <c r="BT185" s="2617"/>
      <c r="BU185" s="2617"/>
      <c r="BV185" s="2617"/>
      <c r="BW185" s="2617"/>
      <c r="BX185" s="2617"/>
    </row>
    <row r="186" spans="1:76" ht="12" customHeight="1">
      <c r="A186" s="29"/>
      <c r="B186" s="753" t="str">
        <f t="shared" ref="B186:B195" si="53">B185</f>
        <v>Creativas</v>
      </c>
      <c r="C186" s="4527"/>
      <c r="D186" s="5035"/>
      <c r="E186" s="4963" t="s">
        <v>1332</v>
      </c>
      <c r="F186" s="4964"/>
      <c r="G186" s="4964"/>
      <c r="H186" s="2619" t="s">
        <v>1238</v>
      </c>
      <c r="I186" s="1351"/>
      <c r="J186" s="2627">
        <f>IF(ISNA(AL186),0,MAX(MIN(AL186-VLOOKUP("Apto en campo: "&amp;$B186,Tabla_Ventajas,3,FALSE)-Tablas!$O352-2*Tablas!$Q352,3),1))</f>
        <v>0</v>
      </c>
      <c r="K186" s="2625"/>
      <c r="L186" s="2627">
        <f>IF(ISNA(AN186),0,MAX(MIN(AN186-VLOOKUP("Apto en campo: "&amp;$B186,Tabla_Ventajas,3,FALSE)-Tablas!$O352-2*Tablas!$Q352,3),1))</f>
        <v>0</v>
      </c>
      <c r="M186" s="2625"/>
      <c r="N186" s="2627">
        <f>IF(ISNA(AP186),0,MAX(MIN(AP186-VLOOKUP("Apto en campo: "&amp;$B186,Tabla_Ventajas,3,FALSE)-Tablas!$O352-2*Tablas!$Q352,3),1))</f>
        <v>0</v>
      </c>
      <c r="O186" s="2625"/>
      <c r="P186" s="2627">
        <f>IF(ISNA(AR186),0,MAX(MIN(AR186-VLOOKUP("Apto en campo: "&amp;$B186,Tabla_Ventajas,3,FALSE)-Tablas!$O352-2*Tablas!$Q352,3),1))</f>
        <v>0</v>
      </c>
      <c r="Q186" s="2625"/>
      <c r="R186" s="2627">
        <f>IF(ISNA(AT186),0,MAX(MIN(AT186-VLOOKUP("Apto en campo: "&amp;$B186,Tabla_Ventajas,3,FALSE)-Tablas!$O352-2*Tablas!$Q352,3),1))</f>
        <v>0</v>
      </c>
      <c r="S186" s="2625"/>
      <c r="T186" s="2621">
        <f>IF(J186=0,0,TRUNC(K186/J186,0))+IF(L186=0,0,TRUNC(M186/L186,0))+IF(N186=0,0,TRUNC(O186/N186,0))+IF(P186=0,0,TRUNC(Q186/P186,0))+IF(R186=0,0,TRUNC(S186/R186,0))+IF(Personalización!$E$12="Como Base (no oficial)",AF186,0)</f>
        <v>0</v>
      </c>
      <c r="U186" s="2621">
        <f t="shared" si="42"/>
        <v>0</v>
      </c>
      <c r="V186" s="2621">
        <f>IF(ISNA(HLOOKUP($E186,Bonos_Cat_Base,2,FALSE)),0,HLOOKUP($E186,Bonos_Cat_Base,2,FALSE))+Tablas!$X352*Nivel_Total+10*Y186</f>
        <v>0</v>
      </c>
      <c r="W186" s="2654"/>
      <c r="X186" s="2625"/>
      <c r="Y186" s="2654"/>
      <c r="Z186" s="2655"/>
      <c r="AA186" s="2676" t="str">
        <f>IF(AND(T186&lt;5,Tablas!G$315=0),"-",T186+U186+V186+Z186+IF(I186="",0,40)+Mod_ATA+AD186+IF(Personalización!$E$12="Como Base (no oficial)",0,AF186))</f>
        <v>-</v>
      </c>
      <c r="AB186" s="1547">
        <f t="shared" si="49"/>
        <v>0</v>
      </c>
      <c r="AC186" s="769"/>
      <c r="AD186" s="2265"/>
      <c r="AE186" s="3632" t="e">
        <f>$S$7*VLOOKUP(Categoría_1,Tablas!$D$198:$CN$228,MATCH(E186,Tablas!$D$201:$CQ$201,0),FALSE)+IF(Categoría_2="",0,$S$9*VLOOKUP(Categoría_2,Tablas!$D$198:$CN$228,MATCH(E186,Tablas!$D$201:$CQ$201,0),FALSE))+IF(Categoría_3="",0,$S$11*VLOOKUP(Categoría_3,Tablas!$D$198:$CN$228,MATCH(E186,Tablas!$D$201:$CQ$201,0),FALSE))+IF(Categoría_4="",0,$S$13*VLOOKUP(Categoría_4,Tablas!$D$198:$CN$228,MATCH(E186,Tablas!$D$201:$CQ$201,0),FALSE))+IF(Categoría_5="",0,$S$15*VLOOKUP(Categoría_5,Tablas!$D$198:$CN$228,MATCH(E186,Tablas!$D$201:$CQ$201,0)))</f>
        <v>#N/A</v>
      </c>
      <c r="AF186" s="3633">
        <f>IF(AF$141,IF(OR(Region="",ClaseSocial="",Personalización!$AN$9),0,IF(OR(AND(AI186,AJ186),AND(NOT(AI186),NOT(AJ186))),LEFT(AG186,2)+LEFT(AH186,2),IF(AND(AI186,NOT(AJ186)),LEFT(AH186,2),0))),0)</f>
        <v>0</v>
      </c>
      <c r="AG186" s="2265">
        <f>HLOOKUP(Region&amp;ClaseSocial,Tabla_RaicesCulturales,Tablas!F184,FALSE)</f>
        <v>0</v>
      </c>
      <c r="AH186" s="3632">
        <f>IF(AND(E186="Historia",Personalización!$E$16="Historia (Local)"),20&amp;" "&amp;Personalización!$E$16,IF(E186=Personalización!$E$15,VLOOKUP(E186,Tablas!$L$136:$M$137,2,FALSE),IF(E186=Personalización!$E$16,VLOOKUP(E186,Tablas!$N$136:$O$137,2,FALSE),0)))</f>
        <v>0</v>
      </c>
      <c r="AI186" s="3632" t="b">
        <f t="shared" si="50"/>
        <v>0</v>
      </c>
      <c r="AJ186" s="3632" t="b">
        <f t="shared" si="51"/>
        <v>0</v>
      </c>
      <c r="AK186" s="3632"/>
      <c r="AL186" s="628" t="e">
        <f t="shared" si="43"/>
        <v>#N/A</v>
      </c>
      <c r="AM186" s="628"/>
      <c r="AN186" s="628" t="e">
        <f t="shared" si="44"/>
        <v>#N/A</v>
      </c>
      <c r="AO186" s="628"/>
      <c r="AP186" s="628" t="e">
        <f t="shared" si="45"/>
        <v>#N/A</v>
      </c>
      <c r="AQ186" s="530"/>
      <c r="AR186" s="628" t="e">
        <f t="shared" si="46"/>
        <v>#N/A</v>
      </c>
      <c r="AS186" s="530"/>
      <c r="AT186" s="628" t="e">
        <f t="shared" si="47"/>
        <v>#N/A</v>
      </c>
      <c r="AU186" s="21" t="str">
        <f t="shared" si="48"/>
        <v/>
      </c>
      <c r="BL186" s="2617"/>
      <c r="BM186" s="2617"/>
      <c r="BN186" s="2617"/>
      <c r="BO186" s="2617"/>
      <c r="BP186" s="2617"/>
      <c r="BQ186" s="2617"/>
      <c r="BR186" s="2617"/>
      <c r="BS186" s="2617"/>
      <c r="BT186" s="2617"/>
      <c r="BU186" s="2617"/>
      <c r="BV186" s="2617"/>
      <c r="BW186" s="2617"/>
      <c r="BX186" s="2617"/>
    </row>
    <row r="187" spans="1:76" ht="12" customHeight="1">
      <c r="A187" s="29"/>
      <c r="B187" s="753" t="str">
        <f t="shared" si="53"/>
        <v>Creativas</v>
      </c>
      <c r="C187" s="4527"/>
      <c r="D187" s="5035"/>
      <c r="E187" s="4961" t="s">
        <v>682</v>
      </c>
      <c r="F187" s="4962"/>
      <c r="G187" s="4962"/>
      <c r="H187" s="2632" t="s">
        <v>1238</v>
      </c>
      <c r="I187" s="1374"/>
      <c r="J187" s="2650">
        <f>IF(ISNA(AL187),0,MAX(MIN(AL187-VLOOKUP("Apto en campo: "&amp;$B187,Tabla_Ventajas,3,FALSE)-Tablas!$O353-2*Tablas!$Q353,3),1))</f>
        <v>0</v>
      </c>
      <c r="K187" s="2623"/>
      <c r="L187" s="2650">
        <f>IF(ISNA(AN187),0,MAX(MIN(AN187-VLOOKUP("Apto en campo: "&amp;$B187,Tabla_Ventajas,3,FALSE)-Tablas!$O353-2*Tablas!$Q353,3),1))</f>
        <v>0</v>
      </c>
      <c r="M187" s="2623"/>
      <c r="N187" s="2650">
        <f>IF(ISNA(AP187),0,MAX(MIN(AP187-VLOOKUP("Apto en campo: "&amp;$B187,Tabla_Ventajas,3,FALSE)-Tablas!$O353-2*Tablas!$Q353,3),1))</f>
        <v>0</v>
      </c>
      <c r="O187" s="2623"/>
      <c r="P187" s="2650">
        <f>IF(ISNA(AR187),0,MAX(MIN(AR187-VLOOKUP("Apto en campo: "&amp;$B187,Tabla_Ventajas,3,FALSE)-Tablas!$O353-2*Tablas!$Q353,3),1))</f>
        <v>0</v>
      </c>
      <c r="Q187" s="2623"/>
      <c r="R187" s="2650">
        <f>IF(ISNA(AT187),0,MAX(MIN(AT187-VLOOKUP("Apto en campo: "&amp;$B187,Tabla_Ventajas,3,FALSE)-Tablas!$O353-2*Tablas!$Q353,3),1))</f>
        <v>0</v>
      </c>
      <c r="S187" s="2623"/>
      <c r="T187" s="2668">
        <f>IF(J187=0,0,TRUNC(K187/J187,0))+IF(L187=0,0,TRUNC(M187/L187,0))+IF(N187=0,0,TRUNC(O187/N187,0))+IF(P187=0,0,TRUNC(Q187/P187,0))+IF(R187=0,0,TRUNC(S187/R187,0))+IF(Personalización!$E$12="Como Base (no oficial)",AF187,0)</f>
        <v>0</v>
      </c>
      <c r="U187" s="2668">
        <f t="shared" si="42"/>
        <v>0</v>
      </c>
      <c r="V187" s="2668">
        <f>IF(ISNA(HLOOKUP($E187,Bonos_Cat_Base,2,FALSE)),0,HLOOKUP($E187,Bonos_Cat_Base,2,FALSE))+Tablas!$X353*Nivel_Total+10*Y187</f>
        <v>0</v>
      </c>
      <c r="W187" s="2662"/>
      <c r="X187" s="2623"/>
      <c r="Y187" s="2662"/>
      <c r="Z187" s="2663"/>
      <c r="AA187" s="2680">
        <f>IF(AND(T187&lt;5,Tablas!G$315=0),-30,0)+T187+U187+V187+Z187+IF(I187="",0,40)+Mod_ATA+AD187+IF(Personalización!$E$12="Como Base (no oficial)",0,AF187)</f>
        <v>-30</v>
      </c>
      <c r="AB187" s="1547">
        <f t="shared" si="49"/>
        <v>0</v>
      </c>
      <c r="AC187" s="769"/>
      <c r="AD187" s="2265"/>
      <c r="AE187" s="3632" t="e">
        <f>$S$7*VLOOKUP(Categoría_1,Tablas!$D$198:$CN$228,MATCH(E187,Tablas!$D$201:$CQ$201,0),FALSE)+IF(Categoría_2="",0,$S$9*VLOOKUP(Categoría_2,Tablas!$D$198:$CN$228,MATCH(E187,Tablas!$D$201:$CQ$201,0),FALSE))+IF(Categoría_3="",0,$S$11*VLOOKUP(Categoría_3,Tablas!$D$198:$CN$228,MATCH(E187,Tablas!$D$201:$CQ$201,0),FALSE))+IF(Categoría_4="",0,$S$13*VLOOKUP(Categoría_4,Tablas!$D$198:$CN$228,MATCH(E187,Tablas!$D$201:$CQ$201,0),FALSE))+IF(Categoría_5="",0,$S$15*VLOOKUP(Categoría_5,Tablas!$D$198:$CN$228,MATCH(E187,Tablas!$D$201:$CQ$201,0)))</f>
        <v>#N/A</v>
      </c>
      <c r="AF187" s="3633">
        <f>IF(AF$141,IF(OR(Region="",ClaseSocial="",Personalización!$AN$9),0,IF(OR(AND(AI187,AJ187),AND(NOT(AI187),NOT(AJ187))),LEFT(AG187,2)+LEFT(AH187,2),IF(AND(AI187,NOT(AJ187)),LEFT(AH187,2),0))),0)</f>
        <v>0</v>
      </c>
      <c r="AG187" s="2265">
        <f>HLOOKUP(Region&amp;ClaseSocial,Tabla_RaicesCulturales,Tablas!F185,FALSE)</f>
        <v>0</v>
      </c>
      <c r="AH187" s="3632">
        <f>IF(AND(E187="Historia",Personalización!$E$16="Historia (Local)"),20&amp;" "&amp;Personalización!$E$16,IF(E187=Personalización!$E$15,VLOOKUP(E187,Tablas!$L$136:$M$137,2,FALSE),IF(E187=Personalización!$E$16,VLOOKUP(E187,Tablas!$N$136:$O$137,2,FALSE),0)))</f>
        <v>0</v>
      </c>
      <c r="AI187" s="3632" t="b">
        <f t="shared" si="50"/>
        <v>0</v>
      </c>
      <c r="AJ187" s="3632" t="b">
        <f t="shared" si="51"/>
        <v>0</v>
      </c>
      <c r="AK187" s="3632"/>
      <c r="AL187" s="628" t="e">
        <f t="shared" si="43"/>
        <v>#N/A</v>
      </c>
      <c r="AM187" s="628"/>
      <c r="AN187" s="628" t="e">
        <f t="shared" si="44"/>
        <v>#N/A</v>
      </c>
      <c r="AO187" s="628"/>
      <c r="AP187" s="628" t="e">
        <f t="shared" si="45"/>
        <v>#N/A</v>
      </c>
      <c r="AQ187" s="530"/>
      <c r="AR187" s="628" t="e">
        <f t="shared" si="46"/>
        <v>#N/A</v>
      </c>
      <c r="AS187" s="530"/>
      <c r="AT187" s="628" t="e">
        <f t="shared" si="47"/>
        <v>#N/A</v>
      </c>
      <c r="AU187" s="21" t="str">
        <f t="shared" si="48"/>
        <v/>
      </c>
      <c r="BL187" s="2617"/>
      <c r="BM187" s="2617"/>
      <c r="BN187" s="2617"/>
      <c r="BO187" s="2617"/>
      <c r="BP187" s="2617"/>
      <c r="BQ187" s="2617"/>
      <c r="BR187" s="2617"/>
      <c r="BS187" s="2617"/>
      <c r="BT187" s="2617"/>
      <c r="BU187" s="2617"/>
      <c r="BV187" s="2617"/>
      <c r="BW187" s="2617"/>
      <c r="BX187" s="2617"/>
    </row>
    <row r="188" spans="1:76" ht="12" customHeight="1">
      <c r="A188" s="29"/>
      <c r="B188" s="753" t="str">
        <f t="shared" si="53"/>
        <v>Creativas</v>
      </c>
      <c r="C188" s="4527"/>
      <c r="D188" s="5035"/>
      <c r="E188" s="4963" t="s">
        <v>683</v>
      </c>
      <c r="F188" s="4964"/>
      <c r="G188" s="4964"/>
      <c r="H188" s="2619" t="s">
        <v>1245</v>
      </c>
      <c r="I188" s="1350"/>
      <c r="J188" s="2627">
        <f>IF(ISNA(AL188),0,MAX(MIN(AL188-VLOOKUP("Apto en campo: "&amp;$B188,Tabla_Ventajas,3,FALSE)-Tablas!$O354-2*Tablas!$Q354,3),1))</f>
        <v>0</v>
      </c>
      <c r="K188" s="2625"/>
      <c r="L188" s="2627">
        <f>IF(ISNA(AN188),0,MAX(MIN(AN188-VLOOKUP("Apto en campo: "&amp;$B188,Tabla_Ventajas,3,FALSE)-Tablas!$O354-2*Tablas!$Q354,3),1))</f>
        <v>0</v>
      </c>
      <c r="M188" s="2625"/>
      <c r="N188" s="2627">
        <f>IF(ISNA(AP188),0,MAX(MIN(AP188-VLOOKUP("Apto en campo: "&amp;$B188,Tabla_Ventajas,3,FALSE)-Tablas!$O354-2*Tablas!$Q354,3),1))</f>
        <v>0</v>
      </c>
      <c r="O188" s="2625"/>
      <c r="P188" s="2627">
        <f>IF(ISNA(AR188),0,MAX(MIN(AR188-VLOOKUP("Apto en campo: "&amp;$B188,Tabla_Ventajas,3,FALSE)-Tablas!$O354-2*Tablas!$Q354,3),1))</f>
        <v>0</v>
      </c>
      <c r="Q188" s="2625"/>
      <c r="R188" s="2627">
        <f>IF(ISNA(AT188),0,MAX(MIN(AT188-VLOOKUP("Apto en campo: "&amp;$B188,Tabla_Ventajas,3,FALSE)-Tablas!$O354-2*Tablas!$Q354,3),1))</f>
        <v>0</v>
      </c>
      <c r="S188" s="2625"/>
      <c r="T188" s="2621">
        <f>IF(J188=0,0,TRUNC(K188/J188,0))+IF(L188=0,0,TRUNC(M188/L188,0))+IF(N188=0,0,TRUNC(O188/N188,0))+IF(P188=0,0,TRUNC(Q188/P188,0))+IF(R188=0,0,TRUNC(S188/R188,0))+IF(Personalización!$E$12="Como Base (no oficial)",AF188,0)</f>
        <v>0</v>
      </c>
      <c r="U188" s="2621">
        <f t="shared" si="42"/>
        <v>0</v>
      </c>
      <c r="V188" s="2621">
        <f>IF(ISNA(HLOOKUP($E188,Bonos_Cat_Base,2,FALSE)),0,HLOOKUP($E188,Bonos_Cat_Base,2,FALSE))+Tablas!$X354*Nivel_Total+10*Y188</f>
        <v>0</v>
      </c>
      <c r="W188" s="2654"/>
      <c r="X188" s="2625"/>
      <c r="Y188" s="2654"/>
      <c r="Z188" s="2655"/>
      <c r="AA188" s="2675">
        <f>IF(AND(T188&lt;5,Tablas!G$315=0),-30,0)+T188+U188+V188+Z188+IF(I188="",0,40)+Mod_ATA+AD188+IF(Personalización!$E$12="Como Base (no oficial)",0,AF188)</f>
        <v>-30</v>
      </c>
      <c r="AB188" s="1547">
        <f t="shared" si="49"/>
        <v>0</v>
      </c>
      <c r="AC188" s="769"/>
      <c r="AD188" s="2265"/>
      <c r="AE188" s="3632" t="e">
        <f>$S$7*VLOOKUP(Categoría_1,Tablas!$D$198:$CN$228,MATCH(E188,Tablas!$D$201:$CQ$201,0),FALSE)+IF(Categoría_2="",0,$S$9*VLOOKUP(Categoría_2,Tablas!$D$198:$CN$228,MATCH(E188,Tablas!$D$201:$CQ$201,0),FALSE))+IF(Categoría_3="",0,$S$11*VLOOKUP(Categoría_3,Tablas!$D$198:$CN$228,MATCH(E188,Tablas!$D$201:$CQ$201,0),FALSE))+IF(Categoría_4="",0,$S$13*VLOOKUP(Categoría_4,Tablas!$D$198:$CN$228,MATCH(E188,Tablas!$D$201:$CQ$201,0),FALSE))+IF(Categoría_5="",0,$S$15*VLOOKUP(Categoría_5,Tablas!$D$198:$CN$228,MATCH(E188,Tablas!$D$201:$CQ$201,0)))</f>
        <v>#N/A</v>
      </c>
      <c r="AF188" s="3633">
        <f>IF(AF$141,IF(OR(Region="",ClaseSocial="",Personalización!$AN$9),0,IF(OR(AND(AI188,AJ188),AND(NOT(AI188),NOT(AJ188))),LEFT(AG188,2)+LEFT(AH188,2),IF(AND(AI188,NOT(AJ188)),LEFT(AH188,2),0))),0)</f>
        <v>0</v>
      </c>
      <c r="AG188" s="2265">
        <f>HLOOKUP(Region&amp;ClaseSocial,Tabla_RaicesCulturales,Tablas!F186,FALSE)</f>
        <v>0</v>
      </c>
      <c r="AH188" s="3632">
        <f>IF(AND(E188="Historia",Personalización!$E$16="Historia (Local)"),20&amp;" "&amp;Personalización!$E$16,IF(E188=Personalización!$E$15,VLOOKUP(E188,Tablas!$L$136:$M$137,2,FALSE),IF(E188=Personalización!$E$16,VLOOKUP(E188,Tablas!$N$136:$O$137,2,FALSE),0)))</f>
        <v>0</v>
      </c>
      <c r="AI188" s="3632" t="b">
        <f>OR(ISNUMBER(FIND("(",AG188)),ISNUMBER(FIND("(",AH188)))</f>
        <v>0</v>
      </c>
      <c r="AJ188" s="3632" t="b">
        <f>AND(NOT(I188=""),OR(ISNUMBER(SEARCH(I188,AG188)),ISNUMBER(SEARCH(I188,AH188))))</f>
        <v>0</v>
      </c>
      <c r="AK188" s="3632"/>
      <c r="AL188" s="628" t="e">
        <f t="shared" si="43"/>
        <v>#N/A</v>
      </c>
      <c r="AM188" s="628"/>
      <c r="AN188" s="628" t="e">
        <f t="shared" si="44"/>
        <v>#N/A</v>
      </c>
      <c r="AO188" s="628"/>
      <c r="AP188" s="628" t="e">
        <f t="shared" si="45"/>
        <v>#N/A</v>
      </c>
      <c r="AQ188" s="530"/>
      <c r="AR188" s="628" t="e">
        <f t="shared" si="46"/>
        <v>#N/A</v>
      </c>
      <c r="AS188" s="530"/>
      <c r="AT188" s="628" t="e">
        <f t="shared" si="47"/>
        <v>#N/A</v>
      </c>
      <c r="AU188" s="21" t="str">
        <f t="shared" si="48"/>
        <v/>
      </c>
      <c r="BL188" s="2617"/>
      <c r="BM188" s="2617"/>
      <c r="BN188" s="2617"/>
      <c r="BO188" s="2617"/>
      <c r="BP188" s="2617"/>
      <c r="BQ188" s="2617"/>
      <c r="BR188" s="2617"/>
      <c r="BS188" s="2617"/>
      <c r="BT188" s="2617"/>
      <c r="BU188" s="2617"/>
      <c r="BV188" s="2617"/>
      <c r="BW188" s="2617"/>
      <c r="BX188" s="2617"/>
    </row>
    <row r="189" spans="1:76" ht="12" customHeight="1">
      <c r="A189" s="29"/>
      <c r="B189" s="753" t="str">
        <f t="shared" si="53"/>
        <v>Creativas</v>
      </c>
      <c r="C189" s="4527"/>
      <c r="D189" s="5035"/>
      <c r="E189" s="4961" t="s">
        <v>684</v>
      </c>
      <c r="F189" s="4962"/>
      <c r="G189" s="4962"/>
      <c r="H189" s="2632" t="s">
        <v>1250</v>
      </c>
      <c r="I189" s="1374"/>
      <c r="J189" s="2650">
        <f>IF(ISNA(AL189),0,MAX(MIN(AL189-VLOOKUP("Apto en campo: "&amp;$B189,Tabla_Ventajas,3,FALSE)-Tablas!$O355-2*Tablas!$Q355,3),1))</f>
        <v>0</v>
      </c>
      <c r="K189" s="2623"/>
      <c r="L189" s="2650">
        <f>IF(ISNA(AN189),0,MAX(MIN(AN189-VLOOKUP("Apto en campo: "&amp;$B189,Tabla_Ventajas,3,FALSE)-Tablas!$O355-2*Tablas!$Q355,3),1))</f>
        <v>0</v>
      </c>
      <c r="M189" s="2623"/>
      <c r="N189" s="2650">
        <f>IF(ISNA(AP189),0,MAX(MIN(AP189-VLOOKUP("Apto en campo: "&amp;$B189,Tabla_Ventajas,3,FALSE)-Tablas!$O355-2*Tablas!$Q355,3),1))</f>
        <v>0</v>
      </c>
      <c r="O189" s="2623"/>
      <c r="P189" s="2650">
        <f>IF(ISNA(AR189),0,MAX(MIN(AR189-VLOOKUP("Apto en campo: "&amp;$B189,Tabla_Ventajas,3,FALSE)-Tablas!$O355-2*Tablas!$Q355,3),1))</f>
        <v>0</v>
      </c>
      <c r="Q189" s="2623"/>
      <c r="R189" s="2650">
        <f>IF(ISNA(AT189),0,MAX(MIN(AT189-VLOOKUP("Apto en campo: "&amp;$B189,Tabla_Ventajas,3,FALSE)-Tablas!$O355-2*Tablas!$Q355,3),1))</f>
        <v>0</v>
      </c>
      <c r="S189" s="2623"/>
      <c r="T189" s="2668">
        <f>IF(J189=0,0,TRUNC(K189/J189,0))+IF(L189=0,0,TRUNC(M189/L189,0))+IF(N189=0,0,TRUNC(O189/N189,0))+IF(P189=0,0,TRUNC(Q189/P189,0))+IF(R189=0,0,TRUNC(S189/R189,0))+IF(Personalización!$E$12="Como Base (no oficial)",AF189,0)</f>
        <v>0</v>
      </c>
      <c r="U189" s="2668">
        <f t="shared" si="42"/>
        <v>0</v>
      </c>
      <c r="V189" s="2668">
        <f>IF(ISNA(HLOOKUP($E189,Bonos_Cat_Base,2,FALSE)),0,HLOOKUP($E189,Bonos_Cat_Base,2,FALSE))+Tablas!$X355*Nivel_Total+10*Y189</f>
        <v>0</v>
      </c>
      <c r="W189" s="2662"/>
      <c r="X189" s="2623"/>
      <c r="Y189" s="2662"/>
      <c r="Z189" s="2663"/>
      <c r="AA189" s="2680">
        <f>IF(AND(T189&lt;5,Tablas!G$315=0),-30,0)+T189+U189+V189+Z189+IF(I189="",0,40)+Mod_ATA+AD189+IF(Personalización!$E$12="Como Base (no oficial)",0,AF189)</f>
        <v>-30</v>
      </c>
      <c r="AB189" s="1547">
        <f t="shared" si="49"/>
        <v>0</v>
      </c>
      <c r="AC189" s="769"/>
      <c r="AD189" s="2265"/>
      <c r="AE189" s="3632" t="e">
        <f>$S$7*VLOOKUP(Categoría_1,Tablas!$D$198:$CN$228,MATCH(E189,Tablas!$D$201:$CQ$201,0),FALSE)+IF(Categoría_2="",0,$S$9*VLOOKUP(Categoría_2,Tablas!$D$198:$CN$228,MATCH(E189,Tablas!$D$201:$CQ$201,0),FALSE))+IF(Categoría_3="",0,$S$11*VLOOKUP(Categoría_3,Tablas!$D$198:$CN$228,MATCH(E189,Tablas!$D$201:$CQ$201,0),FALSE))+IF(Categoría_4="",0,$S$13*VLOOKUP(Categoría_4,Tablas!$D$198:$CN$228,MATCH(E189,Tablas!$D$201:$CQ$201,0),FALSE))+IF(Categoría_5="",0,$S$15*VLOOKUP(Categoría_5,Tablas!$D$198:$CN$228,MATCH(E189,Tablas!$D$201:$CQ$201,0)))</f>
        <v>#N/A</v>
      </c>
      <c r="AF189" s="3633">
        <f>IF(AF$141,IF(OR(Region="",ClaseSocial="",Personalización!$AN$9),0,IF(OR(AND(AI189,AJ189),AND(NOT(AI189),NOT(AJ189))),LEFT(AG189,2)+LEFT(AH189,2),IF(AND(AI189,NOT(AJ189)),LEFT(AH189,2),0))),0)</f>
        <v>0</v>
      </c>
      <c r="AG189" s="2265">
        <f>HLOOKUP(Region&amp;ClaseSocial,Tabla_RaicesCulturales,Tablas!F187,FALSE)</f>
        <v>0</v>
      </c>
      <c r="AH189" s="3632">
        <f>IF(AND(E189="Historia",Personalización!$E$16="Historia (Local)"),20&amp;" "&amp;Personalización!$E$16,IF(E189=Personalización!$E$15,VLOOKUP(E189,Tablas!$L$136:$M$137,2,FALSE),IF(E189=Personalización!$E$16,VLOOKUP(E189,Tablas!$N$136:$O$137,2,FALSE),0)))</f>
        <v>0</v>
      </c>
      <c r="AI189" s="3632" t="b">
        <f>OR(ISNUMBER(FIND("(",AG189)),ISNUMBER(FIND("(",AH189)))</f>
        <v>0</v>
      </c>
      <c r="AJ189" s="3632" t="b">
        <f>AND(NOT(I189=""),OR(ISNUMBER(SEARCH(I189,AG189)),ISNUMBER(SEARCH(I189,AH189))))</f>
        <v>0</v>
      </c>
      <c r="AK189" s="3632"/>
      <c r="AL189" s="628" t="e">
        <f t="shared" si="43"/>
        <v>#N/A</v>
      </c>
      <c r="AM189" s="628"/>
      <c r="AN189" s="628" t="e">
        <f t="shared" si="44"/>
        <v>#N/A</v>
      </c>
      <c r="AO189" s="628"/>
      <c r="AP189" s="628" t="e">
        <f t="shared" si="45"/>
        <v>#N/A</v>
      </c>
      <c r="AQ189" s="530"/>
      <c r="AR189" s="628" t="e">
        <f t="shared" si="46"/>
        <v>#N/A</v>
      </c>
      <c r="AS189" s="530"/>
      <c r="AT189" s="628" t="e">
        <f t="shared" si="47"/>
        <v>#N/A</v>
      </c>
      <c r="AU189" s="21" t="str">
        <f t="shared" si="48"/>
        <v/>
      </c>
      <c r="BL189" s="2617"/>
      <c r="BM189" s="2617"/>
      <c r="BN189" s="2617"/>
      <c r="BO189" s="2617"/>
      <c r="BP189" s="2617"/>
      <c r="BQ189" s="2617"/>
      <c r="BR189" s="2617"/>
      <c r="BS189" s="2617"/>
      <c r="BT189" s="2617"/>
      <c r="BU189" s="2617"/>
      <c r="BV189" s="2617"/>
      <c r="BW189" s="2617"/>
      <c r="BX189" s="2617"/>
    </row>
    <row r="190" spans="1:76" ht="12" customHeight="1">
      <c r="A190" s="29"/>
      <c r="B190" s="753" t="str">
        <f t="shared" si="53"/>
        <v>Creativas</v>
      </c>
      <c r="C190" s="4527"/>
      <c r="D190" s="5035"/>
      <c r="E190" s="4963" t="s">
        <v>1333</v>
      </c>
      <c r="F190" s="4964"/>
      <c r="G190" s="4964"/>
      <c r="H190" s="2619" t="s">
        <v>1250</v>
      </c>
      <c r="I190" s="1351"/>
      <c r="J190" s="2627">
        <f>IF(ISNA(AL190),0,MAX(MIN(AL190-VLOOKUP("Apto en campo: "&amp;$B190,Tabla_Ventajas,3,FALSE)-Tablas!$O356-2*Tablas!$Q356,3),1))</f>
        <v>0</v>
      </c>
      <c r="K190" s="2625"/>
      <c r="L190" s="2627">
        <f>IF(ISNA(AN190),0,MAX(MIN(AN190-VLOOKUP("Apto en campo: "&amp;$B190,Tabla_Ventajas,3,FALSE)-Tablas!$O356-2*Tablas!$Q356,3),1))</f>
        <v>0</v>
      </c>
      <c r="M190" s="2625"/>
      <c r="N190" s="2627">
        <f>IF(ISNA(AP190),0,MAX(MIN(AP190-VLOOKUP("Apto en campo: "&amp;$B190,Tabla_Ventajas,3,FALSE)-Tablas!$O356-2*Tablas!$Q356,3),1))</f>
        <v>0</v>
      </c>
      <c r="O190" s="2625"/>
      <c r="P190" s="2627">
        <f>IF(ISNA(AR190),0,MAX(MIN(AR190-VLOOKUP("Apto en campo: "&amp;$B190,Tabla_Ventajas,3,FALSE)-Tablas!$O356-2*Tablas!$Q356,3),1))</f>
        <v>0</v>
      </c>
      <c r="Q190" s="2625"/>
      <c r="R190" s="2627">
        <f>IF(ISNA(AT190),0,MAX(MIN(AT190-VLOOKUP("Apto en campo: "&amp;$B190,Tabla_Ventajas,3,FALSE)-Tablas!$O356-2*Tablas!$Q356,3),1))</f>
        <v>0</v>
      </c>
      <c r="S190" s="2625"/>
      <c r="T190" s="2621">
        <f>IF(J190=0,0,TRUNC(K190/J190,0))+IF(L190=0,0,TRUNC(M190/L190,0))+IF(N190=0,0,TRUNC(O190/N190,0))+IF(P190=0,0,TRUNC(Q190/P190,0))+IF(R190=0,0,TRUNC(S190/R190,0))+IF(Personalización!$E$12="Como Base (no oficial)",AF190,0)</f>
        <v>0</v>
      </c>
      <c r="U190" s="2621">
        <f>MIN(VLOOKUP($H190,Tabla_Características,5,0)*(1+W190)+10*Con.TodasMaterias+10*X190,100)</f>
        <v>0</v>
      </c>
      <c r="V190" s="2621">
        <f>IF(ISNA(HLOOKUP($E190,Bonos_Cat_Base,2,FALSE)),0,HLOOKUP($E190,Bonos_Cat_Base,2,FALSE))+Tablas!$X356*Nivel_Total+10*Y190</f>
        <v>0</v>
      </c>
      <c r="W190" s="2654"/>
      <c r="X190" s="2625"/>
      <c r="Y190" s="2654"/>
      <c r="Z190" s="2655"/>
      <c r="AA190" s="2676" t="str">
        <f>IF(AND(T190&lt;5,Tablas!G$315=0),"-",T190+U190+V190+Z190+IF(I190="",0,40)+Mod_ATA+AD190+IF(Personalización!$E$12="Como Base (no oficial)",0,AF190))</f>
        <v>-</v>
      </c>
      <c r="AB190" s="1547">
        <f t="shared" si="49"/>
        <v>0</v>
      </c>
      <c r="AC190" s="769"/>
      <c r="AD190" s="2265">
        <f>Tablas!$K$1988</f>
        <v>0</v>
      </c>
      <c r="AE190" s="3632" t="e">
        <f>$S$7*VLOOKUP(Categoría_1,Tablas!$D$198:$CN$228,MATCH(E190,Tablas!$D$201:$CQ$201,0),FALSE)+IF(Categoría_2="",0,$S$9*VLOOKUP(Categoría_2,Tablas!$D$198:$CN$228,MATCH(E190,Tablas!$D$201:$CQ$201,0),FALSE))+IF(Categoría_3="",0,$S$11*VLOOKUP(Categoría_3,Tablas!$D$198:$CN$228,MATCH(E190,Tablas!$D$201:$CQ$201,0),FALSE))+IF(Categoría_4="",0,$S$13*VLOOKUP(Categoría_4,Tablas!$D$198:$CN$228,MATCH(E190,Tablas!$D$201:$CQ$201,0),FALSE))+IF(Categoría_5="",0,$S$15*VLOOKUP(Categoría_5,Tablas!$D$198:$CN$228,MATCH(E190,Tablas!$D$201:$CQ$201,0)))</f>
        <v>#N/A</v>
      </c>
      <c r="AF190" s="3633">
        <f>IF(AF$141,IF(OR(Region="",ClaseSocial="",Personalización!$AN$9),0,IF(OR(AND(AI190,AJ190),AND(NOT(AI190),NOT(AJ190))),LEFT(AG190,2)+LEFT(AH190,2),IF(AND(AI190,NOT(AJ190)),LEFT(AH190,2),0))),0)</f>
        <v>0</v>
      </c>
      <c r="AG190" s="2265">
        <f>HLOOKUP(Region&amp;ClaseSocial,Tabla_RaicesCulturales,Tablas!F188,FALSE)</f>
        <v>0</v>
      </c>
      <c r="AH190" s="3632">
        <f>IF(AND(E190="Historia",Personalización!$E$16="Historia (Local)"),20&amp;" "&amp;Personalización!$E$16,IF(E190=Personalización!$E$15,VLOOKUP(E190,Tablas!$L$136:$M$137,2,FALSE),IF(E190=Personalización!$E$16,VLOOKUP(E190,Tablas!$N$136:$O$137,2,FALSE),0)))</f>
        <v>0</v>
      </c>
      <c r="AI190" s="3632" t="b">
        <f t="shared" si="50"/>
        <v>0</v>
      </c>
      <c r="AJ190" s="3632" t="b">
        <f t="shared" si="51"/>
        <v>0</v>
      </c>
      <c r="AK190" s="3632"/>
      <c r="AL190" s="628" t="e">
        <f t="shared" si="43"/>
        <v>#N/A</v>
      </c>
      <c r="AM190" s="628"/>
      <c r="AN190" s="628" t="e">
        <f t="shared" si="44"/>
        <v>#N/A</v>
      </c>
      <c r="AO190" s="628"/>
      <c r="AP190" s="628" t="e">
        <f t="shared" si="45"/>
        <v>#N/A</v>
      </c>
      <c r="AQ190" s="530"/>
      <c r="AR190" s="628" t="e">
        <f t="shared" si="46"/>
        <v>#N/A</v>
      </c>
      <c r="AS190" s="530"/>
      <c r="AT190" s="628" t="e">
        <f t="shared" si="47"/>
        <v>#N/A</v>
      </c>
      <c r="AU190" s="21" t="str">
        <f t="shared" si="48"/>
        <v/>
      </c>
      <c r="BL190" s="2617"/>
      <c r="BM190" s="2617"/>
      <c r="BN190" s="2617"/>
      <c r="BO190" s="2617"/>
      <c r="BP190" s="2617"/>
      <c r="BQ190" s="2617"/>
      <c r="BR190" s="2617"/>
      <c r="BS190" s="2617"/>
      <c r="BT190" s="2617"/>
      <c r="BU190" s="2617"/>
      <c r="BV190" s="2617"/>
      <c r="BW190" s="2617"/>
      <c r="BX190" s="2617"/>
    </row>
    <row r="191" spans="1:76" ht="12" customHeight="1">
      <c r="A191" s="29"/>
      <c r="B191" s="753" t="str">
        <f t="shared" si="53"/>
        <v>Creativas</v>
      </c>
      <c r="C191" s="4527"/>
      <c r="D191" s="5035"/>
      <c r="E191" s="4961" t="s">
        <v>1335</v>
      </c>
      <c r="F191" s="4962"/>
      <c r="G191" s="4962"/>
      <c r="H191" s="2632" t="s">
        <v>1238</v>
      </c>
      <c r="I191" s="1376"/>
      <c r="J191" s="2650">
        <f>IF(ISNA(AL191),0,MAX(MIN(AL191-VLOOKUP("Apto en campo: "&amp;$B191,Tabla_Ventajas,3,FALSE)-Tablas!$O357-2*Tablas!$Q357,3),1))</f>
        <v>0</v>
      </c>
      <c r="K191" s="2623"/>
      <c r="L191" s="2650">
        <f>IF(ISNA(AN191),0,MAX(MIN(AN191-VLOOKUP("Apto en campo: "&amp;$B191,Tabla_Ventajas,3,FALSE)-Tablas!$O357-2*Tablas!$Q357,3),1))</f>
        <v>0</v>
      </c>
      <c r="M191" s="2623"/>
      <c r="N191" s="2650">
        <f>IF(ISNA(AP191),0,MAX(MIN(AP191-VLOOKUP("Apto en campo: "&amp;$B191,Tabla_Ventajas,3,FALSE)-Tablas!$O357-2*Tablas!$Q357,3),1))</f>
        <v>0</v>
      </c>
      <c r="O191" s="2623"/>
      <c r="P191" s="2650">
        <f>IF(ISNA(AR191),0,MAX(MIN(AR191-VLOOKUP("Apto en campo: "&amp;$B191,Tabla_Ventajas,3,FALSE)-Tablas!$O357-2*Tablas!$Q357,3),1))</f>
        <v>0</v>
      </c>
      <c r="Q191" s="2623"/>
      <c r="R191" s="2650">
        <f>IF(ISNA(AT191),0,MAX(MIN(AT191-VLOOKUP("Apto en campo: "&amp;$B191,Tabla_Ventajas,3,FALSE)-Tablas!$O357-2*Tablas!$Q357,3),1))</f>
        <v>0</v>
      </c>
      <c r="S191" s="2623"/>
      <c r="T191" s="2668">
        <f>IF(J191=0,0,TRUNC(K191/J191,0))+IF(L191=0,0,TRUNC(M191/L191,0))+IF(N191=0,0,TRUNC(O191/N191,0))+IF(P191=0,0,TRUNC(Q191/P191,0))+IF(R191=0,0,TRUNC(S191/R191,0))+IF(Personalización!$E$12="Como Base (no oficial)",AF191,0)</f>
        <v>0</v>
      </c>
      <c r="U191" s="2668">
        <f>MIN(VLOOKUP($H191,Tabla_Características,5,0)*(1+W191)+10*Con.TodasMaterias+10*X191,100)</f>
        <v>0</v>
      </c>
      <c r="V191" s="2668">
        <f>IF(ISNA(HLOOKUP($E191,Bonos_Cat_Base,2,FALSE)),0,HLOOKUP($E191,Bonos_Cat_Base,2,FALSE))+Tablas!$X357*Nivel_Total+10*Y191</f>
        <v>0</v>
      </c>
      <c r="W191" s="2662"/>
      <c r="X191" s="2623"/>
      <c r="Y191" s="2662"/>
      <c r="Z191" s="2663"/>
      <c r="AA191" s="2680">
        <f>IF(AND(T191&lt;5,Tablas!G$315=0),-30,0)+T191+U191+V191+Z191+IF(I191="",0,40)+Mod_ATA+AD191+IF(Personalización!$E$12="Como Base (no oficial)",0,AF191)</f>
        <v>-30</v>
      </c>
      <c r="AB191" s="1547">
        <f t="shared" si="49"/>
        <v>0</v>
      </c>
      <c r="AC191" s="769"/>
      <c r="AD191" s="2265">
        <f>IF(Tablas!$G$380&gt;0,30,0)</f>
        <v>0</v>
      </c>
      <c r="AE191" s="3632" t="e">
        <f>$S$7*VLOOKUP(Categoría_1,Tablas!$D$198:$CN$228,MATCH(E191,Tablas!$D$201:$CQ$201,0),FALSE)+IF(Categoría_2="",0,$S$9*VLOOKUP(Categoría_2,Tablas!$D$198:$CN$228,MATCH(E191,Tablas!$D$201:$CQ$201,0),FALSE))+IF(Categoría_3="",0,$S$11*VLOOKUP(Categoría_3,Tablas!$D$198:$CN$228,MATCH(E191,Tablas!$D$201:$CQ$201,0),FALSE))+IF(Categoría_4="",0,$S$13*VLOOKUP(Categoría_4,Tablas!$D$198:$CN$228,MATCH(E191,Tablas!$D$201:$CQ$201,0),FALSE))+IF(Categoría_5="",0,$S$15*VLOOKUP(Categoría_5,Tablas!$D$198:$CN$228,MATCH(E191,Tablas!$D$201:$CQ$201,0)))</f>
        <v>#N/A</v>
      </c>
      <c r="AF191" s="3633">
        <f>IF(AF$141,IF(OR(Region="",ClaseSocial="",Personalización!$AN$9),0,IF(OR(AND(AI191,AJ191),AND(NOT(AI191),NOT(AJ191))),LEFT(AG191,2)+LEFT(AH191,2),IF(AND(AI191,NOT(AJ191)),LEFT(AH191,2),0))),0)</f>
        <v>0</v>
      </c>
      <c r="AG191" s="2265">
        <f>HLOOKUP(Region&amp;ClaseSocial,Tabla_RaicesCulturales,Tablas!F189,FALSE)</f>
        <v>0</v>
      </c>
      <c r="AH191" s="3632">
        <f>IF(AND(E191="Historia",Personalización!$E$16="Historia (Local)"),20&amp;" "&amp;Personalización!$E$16,IF(E191=Personalización!$E$15,VLOOKUP(E191,Tablas!$L$136:$M$137,2,FALSE),IF(E191=Personalización!$E$16,VLOOKUP(E191,Tablas!$N$136:$O$137,2,FALSE),0)))</f>
        <v>0</v>
      </c>
      <c r="AI191" s="3632" t="b">
        <f t="shared" si="50"/>
        <v>0</v>
      </c>
      <c r="AJ191" s="3632" t="b">
        <f t="shared" si="51"/>
        <v>0</v>
      </c>
      <c r="AK191" s="3632"/>
      <c r="AL191" s="628" t="e">
        <f t="shared" si="43"/>
        <v>#N/A</v>
      </c>
      <c r="AM191" s="628"/>
      <c r="AN191" s="628" t="e">
        <f t="shared" si="44"/>
        <v>#N/A</v>
      </c>
      <c r="AO191" s="628"/>
      <c r="AP191" s="628" t="e">
        <f t="shared" si="45"/>
        <v>#N/A</v>
      </c>
      <c r="AQ191" s="530"/>
      <c r="AR191" s="628" t="e">
        <f t="shared" si="46"/>
        <v>#N/A</v>
      </c>
      <c r="AS191" s="530"/>
      <c r="AT191" s="628" t="e">
        <f t="shared" si="47"/>
        <v>#N/A</v>
      </c>
      <c r="AU191" s="21" t="str">
        <f t="shared" si="48"/>
        <v/>
      </c>
      <c r="BL191" s="2617"/>
      <c r="BM191" s="2617"/>
      <c r="BN191" s="2617"/>
      <c r="BO191" s="2617"/>
      <c r="BP191" s="2617"/>
      <c r="BQ191" s="2617"/>
      <c r="BR191" s="2617"/>
      <c r="BS191" s="2617"/>
      <c r="BT191" s="2617"/>
      <c r="BU191" s="2617"/>
      <c r="BV191" s="2617"/>
      <c r="BW191" s="2617"/>
      <c r="BX191" s="2617"/>
    </row>
    <row r="192" spans="1:76" ht="12" customHeight="1">
      <c r="A192" s="29"/>
      <c r="B192" s="753" t="str">
        <f t="shared" si="53"/>
        <v>Creativas</v>
      </c>
      <c r="C192" s="4527"/>
      <c r="D192" s="5035"/>
      <c r="E192" s="4963" t="s">
        <v>5859</v>
      </c>
      <c r="F192" s="4964"/>
      <c r="G192" s="4964"/>
      <c r="H192" s="2619" t="s">
        <v>1238</v>
      </c>
      <c r="I192" s="1350"/>
      <c r="J192" s="2627">
        <f>IF(ISNA(AL192),0,MAX(MIN(AL192-VLOOKUP("Apto en campo: "&amp;$B192,Tabla_Ventajas,3,FALSE)-Tablas!$O358-2*Tablas!$Q358,3),1))</f>
        <v>0</v>
      </c>
      <c r="K192" s="2625"/>
      <c r="L192" s="2627">
        <f>IF(ISNA(AN192),0,MAX(MIN(AN192-VLOOKUP("Apto en campo: "&amp;$B192,Tabla_Ventajas,3,FALSE)-Tablas!$O358-2*Tablas!$Q358,3),1))</f>
        <v>0</v>
      </c>
      <c r="M192" s="2625"/>
      <c r="N192" s="2627">
        <f>IF(ISNA(AP192),0,MAX(MIN(AP192-VLOOKUP("Apto en campo: "&amp;$B192,Tabla_Ventajas,3,FALSE)-Tablas!$O358-2*Tablas!$Q358,3),1))</f>
        <v>0</v>
      </c>
      <c r="O192" s="2625"/>
      <c r="P192" s="2627">
        <f>IF(ISNA(AR192),0,MAX(MIN(AR192-VLOOKUP("Apto en campo: "&amp;$B192,Tabla_Ventajas,3,FALSE)-Tablas!$O358-2*Tablas!$Q358,3),1))</f>
        <v>0</v>
      </c>
      <c r="Q192" s="2625"/>
      <c r="R192" s="2627">
        <f>IF(ISNA(AT192),0,MAX(MIN(AT192-VLOOKUP("Apto en campo: "&amp;$B192,Tabla_Ventajas,3,FALSE)-Tablas!$O358-2*Tablas!$Q358,3),1))</f>
        <v>0</v>
      </c>
      <c r="S192" s="2625"/>
      <c r="T192" s="2621">
        <f>IF(J192=0,0,TRUNC(K192/J192,0))+IF(L192=0,0,TRUNC(M192/L192,0))+IF(N192=0,0,TRUNC(O192/N192,0))+IF(P192=0,0,TRUNC(Q192/P192,0))+IF(R192=0,0,TRUNC(S192/R192,0))+IF(Personalización!$E$12="Como Base (no oficial)",AF192,0)</f>
        <v>0</v>
      </c>
      <c r="U192" s="2621">
        <f t="shared" si="42"/>
        <v>0</v>
      </c>
      <c r="V192" s="2621">
        <f>IF(ISNA(HLOOKUP($E192,Bonos_Cat_Base,2,FALSE)),0,HLOOKUP($E192,Bonos_Cat_Base,2,FALSE))+Tablas!$X358*Nivel_Total+10*Y192</f>
        <v>0</v>
      </c>
      <c r="W192" s="2654"/>
      <c r="X192" s="2625"/>
      <c r="Y192" s="2654"/>
      <c r="Z192" s="2655"/>
      <c r="AA192" s="2675">
        <f>IF(AND(T192&lt;5,Tablas!G$315=0),-30,0)+T192+U192+V192+Z192+IF(I192="",0,40)+Mod_ATA+AD192+IF(Personalización!$E$12="Como Base (no oficial)",0,AF192)</f>
        <v>-30</v>
      </c>
      <c r="AB192" s="1547">
        <f t="shared" si="49"/>
        <v>0</v>
      </c>
      <c r="AC192" s="769"/>
      <c r="AD192" s="2265"/>
      <c r="AE192" s="3632" t="e">
        <f>$S$7*VLOOKUP(Categoría_1,Tablas!$D$198:$CN$228,MATCH(E192,Tablas!$D$201:$CQ$201,0),FALSE)+IF(Categoría_2="",0,$S$9*VLOOKUP(Categoría_2,Tablas!$D$198:$CN$228,MATCH(E192,Tablas!$D$201:$CQ$201,0),FALSE))+IF(Categoría_3="",0,$S$11*VLOOKUP(Categoría_3,Tablas!$D$198:$CN$228,MATCH(E192,Tablas!$D$201:$CQ$201,0),FALSE))+IF(Categoría_4="",0,$S$13*VLOOKUP(Categoría_4,Tablas!$D$198:$CN$228,MATCH(E192,Tablas!$D$201:$CQ$201,0),FALSE))+IF(Categoría_5="",0,$S$15*VLOOKUP(Categoría_5,Tablas!$D$198:$CN$228,MATCH(E192,Tablas!$D$201:$CQ$201,0)))</f>
        <v>#N/A</v>
      </c>
      <c r="AF192" s="3633">
        <f>IF(AF$141,IF(OR(Region="",ClaseSocial="",Personalización!$AN$9),0,IF(OR(AND(AI192,AJ192),AND(NOT(AI192),NOT(AJ192))),LEFT(AG192,2)+LEFT(AH192,2),IF(AND(AI192,NOT(AJ192)),LEFT(AH192,2),0))),0)</f>
        <v>0</v>
      </c>
      <c r="AG192" s="2265">
        <f>HLOOKUP(Region&amp;ClaseSocial,Tabla_RaicesCulturales,Tablas!F190,FALSE)</f>
        <v>0</v>
      </c>
      <c r="AH192" s="3632">
        <f>IF(AND(E192="Historia",Personalización!$E$16="Historia (Local)"),20&amp;" "&amp;Personalización!$E$16,IF(E192=Personalización!$E$15,VLOOKUP(E192,Tablas!$L$136:$M$137,2,FALSE),IF(E192=Personalización!$E$16,VLOOKUP(E192,Tablas!$N$136:$O$137,2,FALSE),0)))</f>
        <v>0</v>
      </c>
      <c r="AI192" s="3632" t="b">
        <f t="shared" si="50"/>
        <v>0</v>
      </c>
      <c r="AJ192" s="3632" t="b">
        <f t="shared" si="51"/>
        <v>0</v>
      </c>
      <c r="AK192" s="3632"/>
      <c r="AL192" s="628" t="e">
        <f t="shared" si="43"/>
        <v>#N/A</v>
      </c>
      <c r="AM192" s="628"/>
      <c r="AN192" s="628" t="e">
        <f t="shared" si="44"/>
        <v>#N/A</v>
      </c>
      <c r="AO192" s="628"/>
      <c r="AP192" s="628" t="e">
        <f t="shared" si="45"/>
        <v>#N/A</v>
      </c>
      <c r="AQ192" s="530"/>
      <c r="AR192" s="628" t="e">
        <f t="shared" si="46"/>
        <v>#N/A</v>
      </c>
      <c r="AS192" s="530"/>
      <c r="AT192" s="628" t="e">
        <f t="shared" si="47"/>
        <v>#N/A</v>
      </c>
      <c r="AU192" s="21" t="str">
        <f t="shared" si="48"/>
        <v/>
      </c>
      <c r="BL192" s="2617"/>
      <c r="BM192" s="2617"/>
      <c r="BN192" s="2617"/>
      <c r="BO192" s="2617"/>
      <c r="BP192" s="2617"/>
      <c r="BQ192" s="2617"/>
      <c r="BR192" s="2617"/>
      <c r="BS192" s="2617"/>
      <c r="BT192" s="2617"/>
      <c r="BU192" s="2617"/>
      <c r="BV192" s="2617"/>
      <c r="BW192" s="2617"/>
      <c r="BX192" s="2617"/>
    </row>
    <row r="193" spans="1:76" ht="12" customHeight="1">
      <c r="A193" s="29"/>
      <c r="B193" s="753" t="str">
        <f t="shared" si="53"/>
        <v>Creativas</v>
      </c>
      <c r="C193" s="4527"/>
      <c r="D193" s="5035"/>
      <c r="E193" s="4961" t="s">
        <v>5860</v>
      </c>
      <c r="F193" s="4962"/>
      <c r="G193" s="4962"/>
      <c r="H193" s="2632" t="s">
        <v>1238</v>
      </c>
      <c r="I193" s="1376"/>
      <c r="J193" s="2650">
        <f>IF(ISNA(AL193),0,MAX(MIN(AL193-VLOOKUP("Apto en campo: "&amp;$B193,Tabla_Ventajas,3,FALSE)-Tablas!$O359-2*Tablas!$Q359,3),1))</f>
        <v>0</v>
      </c>
      <c r="K193" s="2623"/>
      <c r="L193" s="2650">
        <f>IF(ISNA(AN193),0,MAX(MIN(AN193-VLOOKUP("Apto en campo: "&amp;$B193,Tabla_Ventajas,3,FALSE)-Tablas!$O359-2*Tablas!$Q359,3),1))</f>
        <v>0</v>
      </c>
      <c r="M193" s="2623"/>
      <c r="N193" s="2650">
        <f>IF(ISNA(AP193),0,MAX(MIN(AP193-VLOOKUP("Apto en campo: "&amp;$B193,Tabla_Ventajas,3,FALSE)-Tablas!$O359-2*Tablas!$Q359,3),1))</f>
        <v>0</v>
      </c>
      <c r="O193" s="2623"/>
      <c r="P193" s="2650">
        <f>IF(ISNA(AR193),0,MAX(MIN(AR193-VLOOKUP("Apto en campo: "&amp;$B193,Tabla_Ventajas,3,FALSE)-Tablas!$O359-2*Tablas!$Q359,3),1))</f>
        <v>0</v>
      </c>
      <c r="Q193" s="2623"/>
      <c r="R193" s="2650">
        <f>IF(ISNA(AT193),0,MAX(MIN(AT193-VLOOKUP("Apto en campo: "&amp;$B193,Tabla_Ventajas,3,FALSE)-Tablas!$O359-2*Tablas!$Q359,3),1))</f>
        <v>0</v>
      </c>
      <c r="S193" s="2623"/>
      <c r="T193" s="2668">
        <f>IF(J193=0,0,TRUNC(K193/J193,0))+IF(L193=0,0,TRUNC(M193/L193,0))+IF(N193=0,0,TRUNC(O193/N193,0))+IF(P193=0,0,TRUNC(Q193/P193,0))+IF(R193=0,0,TRUNC(S193/R193,0))+IF(Personalización!$E$12="Como Base (no oficial)",AF193,0)</f>
        <v>0</v>
      </c>
      <c r="U193" s="2668">
        <f t="shared" si="42"/>
        <v>0</v>
      </c>
      <c r="V193" s="2668">
        <f>IF(ISNA(HLOOKUP($E193,Bonos_Cat_Base,2,FALSE)),0,HLOOKUP($E193,Bonos_Cat_Base,2,FALSE))+Tablas!$X359*Nivel_Total+10*Y193</f>
        <v>0</v>
      </c>
      <c r="W193" s="2662"/>
      <c r="X193" s="2623"/>
      <c r="Y193" s="2662"/>
      <c r="Z193" s="2663"/>
      <c r="AA193" s="2680">
        <f>IF(AND(T193&lt;5,Tablas!G$315=0),-30,0)+T193+U193+V193+Z193+IF(I193="",0,40)+Mod_ATA+AD193+IF(Personalización!$E$12="Como Base (no oficial)",0,AF193)</f>
        <v>-30</v>
      </c>
      <c r="AB193" s="1547">
        <f t="shared" si="49"/>
        <v>0</v>
      </c>
      <c r="AC193" s="769"/>
      <c r="AD193" s="2265"/>
      <c r="AE193" s="3632" t="e">
        <f>$S$7*VLOOKUP(Categoría_1,Tablas!$D$198:$CN$228,MATCH(E193,Tablas!$D$201:$CQ$201,0),FALSE)+IF(Categoría_2="",0,$S$9*VLOOKUP(Categoría_2,Tablas!$D$198:$CN$228,MATCH(E193,Tablas!$D$201:$CQ$201,0),FALSE))+IF(Categoría_3="",0,$S$11*VLOOKUP(Categoría_3,Tablas!$D$198:$CN$228,MATCH(E193,Tablas!$D$201:$CQ$201,0),FALSE))+IF(Categoría_4="",0,$S$13*VLOOKUP(Categoría_4,Tablas!$D$198:$CN$228,MATCH(E193,Tablas!$D$201:$CQ$201,0),FALSE))+IF(Categoría_5="",0,$S$15*VLOOKUP(Categoría_5,Tablas!$D$198:$CN$228,MATCH(E193,Tablas!$D$201:$CQ$201,0)))</f>
        <v>#N/A</v>
      </c>
      <c r="AF193" s="3633">
        <f>IF(AF$141,IF(OR(Region="",ClaseSocial="",Personalización!$AN$9),0,IF(OR(AND(AI193,AJ193),AND(NOT(AI193),NOT(AJ193))),LEFT(AG193,2)+LEFT(AH193,2),IF(AND(AI193,NOT(AJ193)),LEFT(AH193,2),0))),0)</f>
        <v>0</v>
      </c>
      <c r="AG193" s="2265">
        <f>HLOOKUP(Region&amp;ClaseSocial,Tabla_RaicesCulturales,Tablas!F191,FALSE)</f>
        <v>0</v>
      </c>
      <c r="AH193" s="3632">
        <f>IF(AND(E193="Historia",Personalización!$E$16="Historia (Local)"),20&amp;" "&amp;Personalización!$E$16,IF(E193=Personalización!$E$15,VLOOKUP(E193,Tablas!$L$136:$M$137,2,FALSE),IF(E193=Personalización!$E$16,VLOOKUP(E193,Tablas!$N$136:$O$137,2,FALSE),0)))</f>
        <v>0</v>
      </c>
      <c r="AI193" s="3632" t="b">
        <f t="shared" si="50"/>
        <v>0</v>
      </c>
      <c r="AJ193" s="3632" t="b">
        <f t="shared" si="51"/>
        <v>0</v>
      </c>
      <c r="AK193" s="3632"/>
      <c r="AL193" s="628" t="e">
        <f t="shared" si="43"/>
        <v>#N/A</v>
      </c>
      <c r="AM193" s="628"/>
      <c r="AN193" s="628" t="e">
        <f t="shared" si="44"/>
        <v>#N/A</v>
      </c>
      <c r="AO193" s="628"/>
      <c r="AP193" s="628" t="e">
        <f t="shared" si="45"/>
        <v>#N/A</v>
      </c>
      <c r="AQ193" s="530"/>
      <c r="AR193" s="628" t="e">
        <f t="shared" si="46"/>
        <v>#N/A</v>
      </c>
      <c r="AS193" s="530"/>
      <c r="AT193" s="628" t="e">
        <f t="shared" si="47"/>
        <v>#N/A</v>
      </c>
      <c r="AU193" s="21" t="str">
        <f t="shared" si="48"/>
        <v/>
      </c>
      <c r="BL193" s="2617"/>
      <c r="BM193" s="2617"/>
      <c r="BN193" s="2617"/>
      <c r="BO193" s="2617"/>
      <c r="BP193" s="2617"/>
      <c r="BQ193" s="2617"/>
      <c r="BR193" s="2617"/>
      <c r="BS193" s="2617"/>
      <c r="BT193" s="2617"/>
      <c r="BU193" s="2617"/>
      <c r="BV193" s="2617"/>
      <c r="BW193" s="2617"/>
      <c r="BX193" s="2617"/>
    </row>
    <row r="194" spans="1:76" ht="12" customHeight="1">
      <c r="A194" s="29"/>
      <c r="B194" s="753" t="str">
        <f t="shared" si="53"/>
        <v>Creativas</v>
      </c>
      <c r="C194" s="4527"/>
      <c r="D194" s="5035"/>
      <c r="E194" s="4963" t="s">
        <v>5861</v>
      </c>
      <c r="F194" s="4964"/>
      <c r="G194" s="4964"/>
      <c r="H194" s="2619" t="s">
        <v>1238</v>
      </c>
      <c r="I194" s="1351"/>
      <c r="J194" s="2627">
        <f>IF(ISNA(AL194),0,MAX(MIN(AL194-VLOOKUP("Apto en campo: "&amp;$B194,Tabla_Ventajas,3,FALSE)-Tablas!$O360-2*Tablas!$Q360,3),1))</f>
        <v>0</v>
      </c>
      <c r="K194" s="2625"/>
      <c r="L194" s="2627">
        <f>IF(ISNA(AN194),0,MAX(MIN(AN194-VLOOKUP("Apto en campo: "&amp;$B194,Tabla_Ventajas,3,FALSE)-Tablas!$O360-2*Tablas!$Q360,3),1))</f>
        <v>0</v>
      </c>
      <c r="M194" s="2625"/>
      <c r="N194" s="2627">
        <f>IF(ISNA(AP194),0,MAX(MIN(AP194-VLOOKUP("Apto en campo: "&amp;$B194,Tabla_Ventajas,3,FALSE)-Tablas!$O360-2*Tablas!$Q360,3),1))</f>
        <v>0</v>
      </c>
      <c r="O194" s="2625"/>
      <c r="P194" s="2627">
        <f>IF(ISNA(AR194),0,MAX(MIN(AR194-VLOOKUP("Apto en campo: "&amp;$B194,Tabla_Ventajas,3,FALSE)-Tablas!$O360-2*Tablas!$Q360,3),1))</f>
        <v>0</v>
      </c>
      <c r="Q194" s="2625"/>
      <c r="R194" s="2627">
        <f>IF(ISNA(AT194),0,MAX(MIN(AT194-VLOOKUP("Apto en campo: "&amp;$B194,Tabla_Ventajas,3,FALSE)-Tablas!$O360-2*Tablas!$Q360,3),1))</f>
        <v>0</v>
      </c>
      <c r="S194" s="2625"/>
      <c r="T194" s="2621">
        <f>IF(J194=0,0,TRUNC(K194/J194,0))+IF(L194=0,0,TRUNC(M194/L194,0))+IF(N194=0,0,TRUNC(O194/N194,0))+IF(P194=0,0,TRUNC(Q194/P194,0))+IF(R194=0,0,TRUNC(S194/R194,0))+IF(Personalización!$E$12="Como Base (no oficial)",AF194,0)</f>
        <v>0</v>
      </c>
      <c r="U194" s="2621">
        <f t="shared" si="42"/>
        <v>0</v>
      </c>
      <c r="V194" s="2621">
        <f>IF(ISNA(HLOOKUP($E194,Bonos_Cat_Base,2,FALSE)),0,HLOOKUP($E194,Bonos_Cat_Base,2,FALSE))+Tablas!$X360*Nivel_Total+10*Y194</f>
        <v>0</v>
      </c>
      <c r="W194" s="2654"/>
      <c r="X194" s="2625"/>
      <c r="Y194" s="2654"/>
      <c r="Z194" s="2655"/>
      <c r="AA194" s="2675">
        <f>IF(AND(T194&lt;5,Tablas!G$315=0),-30,0)+T194+U194+V194+Z194+IF(I194="",0,40)+Mod_ATA+AD194+IF(Personalización!$E$12="Como Base (no oficial)",0,AF194)</f>
        <v>-30</v>
      </c>
      <c r="AB194" s="1547">
        <f t="shared" si="49"/>
        <v>0</v>
      </c>
      <c r="AC194" s="769"/>
      <c r="AD194" s="2265"/>
      <c r="AE194" s="3632" t="e">
        <f>$S$7*VLOOKUP(Categoría_1,Tablas!$D$198:$CN$228,MATCH(E194,Tablas!$D$201:$CQ$201,0),FALSE)+IF(Categoría_2="",0,$S$9*VLOOKUP(Categoría_2,Tablas!$D$198:$CN$228,MATCH(E194,Tablas!$D$201:$CQ$201,0),FALSE))+IF(Categoría_3="",0,$S$11*VLOOKUP(Categoría_3,Tablas!$D$198:$CN$228,MATCH(E194,Tablas!$D$201:$CQ$201,0),FALSE))+IF(Categoría_4="",0,$S$13*VLOOKUP(Categoría_4,Tablas!$D$198:$CN$228,MATCH(E194,Tablas!$D$201:$CQ$201,0),FALSE))+IF(Categoría_5="",0,$S$15*VLOOKUP(Categoría_5,Tablas!$D$198:$CN$228,MATCH(E194,Tablas!$D$201:$CQ$201,0)))</f>
        <v>#N/A</v>
      </c>
      <c r="AF194" s="3633">
        <f>IF(AF$141,IF(OR(Region="",ClaseSocial="",Personalización!$AN$9),0,IF(OR(AND(AI194,AJ194),AND(NOT(AI194),NOT(AJ194))),LEFT(AG194,2)+LEFT(AH194,2),IF(AND(AI194,NOT(AJ194)),LEFT(AH194,2),0))),0)</f>
        <v>0</v>
      </c>
      <c r="AG194" s="2265">
        <f>HLOOKUP(Region&amp;ClaseSocial,Tabla_RaicesCulturales,Tablas!F192,FALSE)</f>
        <v>0</v>
      </c>
      <c r="AH194" s="3632">
        <f>IF(AND(E194="Historia",Personalización!$E$16="Historia (Local)"),20&amp;" "&amp;Personalización!$E$16,IF(E194=Personalización!$E$15,VLOOKUP(E194,Tablas!$L$136:$M$137,2,FALSE),IF(E194=Personalización!$E$16,VLOOKUP(E194,Tablas!$N$136:$O$137,2,FALSE),0)))</f>
        <v>0</v>
      </c>
      <c r="AI194" s="3632" t="b">
        <f t="shared" si="50"/>
        <v>0</v>
      </c>
      <c r="AJ194" s="3632" t="b">
        <f t="shared" si="51"/>
        <v>0</v>
      </c>
      <c r="AK194" s="3632"/>
      <c r="AL194" s="628" t="e">
        <f t="shared" si="43"/>
        <v>#N/A</v>
      </c>
      <c r="AM194" s="628"/>
      <c r="AN194" s="628" t="e">
        <f t="shared" si="44"/>
        <v>#N/A</v>
      </c>
      <c r="AO194" s="628"/>
      <c r="AP194" s="628" t="e">
        <f t="shared" si="45"/>
        <v>#N/A</v>
      </c>
      <c r="AQ194" s="530"/>
      <c r="AR194" s="628" t="e">
        <f t="shared" si="46"/>
        <v>#N/A</v>
      </c>
      <c r="AS194" s="530"/>
      <c r="AT194" s="628" t="e">
        <f t="shared" si="47"/>
        <v>#N/A</v>
      </c>
      <c r="AU194" s="21" t="str">
        <f t="shared" si="48"/>
        <v/>
      </c>
      <c r="BL194" s="2617"/>
      <c r="BM194" s="2617"/>
      <c r="BN194" s="2617"/>
      <c r="BO194" s="2617"/>
      <c r="BP194" s="2617"/>
      <c r="BQ194" s="2617"/>
      <c r="BR194" s="2617"/>
      <c r="BS194" s="2617"/>
      <c r="BT194" s="2617"/>
      <c r="BU194" s="2617"/>
      <c r="BV194" s="2617"/>
      <c r="BW194" s="2617"/>
      <c r="BX194" s="2617"/>
    </row>
    <row r="195" spans="1:76" ht="12" customHeight="1">
      <c r="A195" s="29"/>
      <c r="B195" s="753" t="str">
        <f t="shared" si="53"/>
        <v>Creativas</v>
      </c>
      <c r="C195" s="4527"/>
      <c r="D195" s="5035"/>
      <c r="E195" s="4961" t="s">
        <v>5862</v>
      </c>
      <c r="F195" s="4962"/>
      <c r="G195" s="4962"/>
      <c r="H195" s="2634" t="s">
        <v>1250</v>
      </c>
      <c r="I195" s="2631"/>
      <c r="J195" s="2650">
        <f>IF(ISNA(AL195),0,MAX(MIN(AL195-VLOOKUP("Apto en campo: "&amp;$B195,Tabla_Ventajas,3,FALSE)-Tablas!$O361-2*Tablas!$Q361,3),1))</f>
        <v>0</v>
      </c>
      <c r="K195" s="2623"/>
      <c r="L195" s="2650">
        <f>IF(ISNA(AN195),0,MAX(MIN(AN195-VLOOKUP("Apto en campo: "&amp;$B195,Tabla_Ventajas,3,FALSE)-Tablas!$O361-2*Tablas!$Q361,3),1))</f>
        <v>0</v>
      </c>
      <c r="M195" s="2623"/>
      <c r="N195" s="2650">
        <f>IF(ISNA(AP195),0,MAX(MIN(AP195-VLOOKUP("Apto en campo: "&amp;$B195,Tabla_Ventajas,3,FALSE)-Tablas!$O361-2*Tablas!$Q361,3),1))</f>
        <v>0</v>
      </c>
      <c r="O195" s="2623"/>
      <c r="P195" s="2650">
        <f>IF(ISNA(AR195),0,MAX(MIN(AR195-VLOOKUP("Apto en campo: "&amp;$B195,Tabla_Ventajas,3,FALSE)-Tablas!$O361-2*Tablas!$Q361,3),1))</f>
        <v>0</v>
      </c>
      <c r="Q195" s="2623"/>
      <c r="R195" s="2650">
        <f>IF(ISNA(AT195),0,MAX(MIN(AT195-VLOOKUP("Apto en campo: "&amp;$B195,Tabla_Ventajas,3,FALSE)-Tablas!$O361-2*Tablas!$Q361,3),1))</f>
        <v>0</v>
      </c>
      <c r="S195" s="2623"/>
      <c r="T195" s="2668">
        <f>IF(J195=0,0,TRUNC(K195/J195,0))+IF(L195=0,0,TRUNC(M195/L195,0))+IF(N195=0,0,TRUNC(O195/N195,0))+IF(P195=0,0,TRUNC(Q195/P195,0))+IF(R195=0,0,TRUNC(S195/R195,0))+IF(Personalización!$E$12="Como Base (no oficial)",AF195,0)</f>
        <v>0</v>
      </c>
      <c r="U195" s="2668">
        <f t="shared" si="42"/>
        <v>0</v>
      </c>
      <c r="V195" s="2668">
        <f>IF(ISNA(HLOOKUP($E195,Bonos_Cat_Base,2,FALSE)),0,HLOOKUP($E195,Bonos_Cat_Base,2,FALSE))+Tablas!$X361*Nivel_Total+10*Y195</f>
        <v>0</v>
      </c>
      <c r="W195" s="2662"/>
      <c r="X195" s="2623"/>
      <c r="Y195" s="2662"/>
      <c r="Z195" s="2663"/>
      <c r="AA195" s="2680">
        <f>IF(AND(T195&lt;5,Tablas!G$315=0),-30,0)+T195+U195+V195+Z195+IF(I195="",0,40)+Mod_ATA+AD195+IF(Personalización!$E$12="Como Base (no oficial)",0,AF195)</f>
        <v>-30</v>
      </c>
      <c r="AB195" s="1547">
        <f t="shared" si="49"/>
        <v>0</v>
      </c>
      <c r="AC195" s="769"/>
      <c r="AD195" s="2265"/>
      <c r="AE195" s="3632" t="e">
        <f>$S$7*VLOOKUP(Categoría_1,Tablas!$D$198:$CN$228,MATCH(E195,Tablas!$D$201:$CQ$201,0),FALSE)+IF(Categoría_2="",0,$S$9*VLOOKUP(Categoría_2,Tablas!$D$198:$CN$228,MATCH(E195,Tablas!$D$201:$CQ$201,0),FALSE))+IF(Categoría_3="",0,$S$11*VLOOKUP(Categoría_3,Tablas!$D$198:$CN$228,MATCH(E195,Tablas!$D$201:$CQ$201,0),FALSE))+IF(Categoría_4="",0,$S$13*VLOOKUP(Categoría_4,Tablas!$D$198:$CN$228,MATCH(E195,Tablas!$D$201:$CQ$201,0),FALSE))+IF(Categoría_5="",0,$S$15*VLOOKUP(Categoría_5,Tablas!$D$198:$CN$228,MATCH(E195,Tablas!$D$201:$CQ$201,0)))</f>
        <v>#N/A</v>
      </c>
      <c r="AF195" s="3633">
        <f>IF(AF$141,IF(OR(Region="",ClaseSocial="",Personalización!$AN$9),0,IF(OR(AND(AI195,AJ195),AND(NOT(AI195),NOT(AJ195))),LEFT(AG195,2)+LEFT(AH195,2),IF(AND(AI195,NOT(AJ195)),LEFT(AH195,2),0))),0)</f>
        <v>0</v>
      </c>
      <c r="AG195" s="2265">
        <f>HLOOKUP(Region&amp;ClaseSocial,Tabla_RaicesCulturales,Tablas!F193,FALSE)</f>
        <v>0</v>
      </c>
      <c r="AH195" s="3632">
        <f>IF(AND(E195="Historia",Personalización!$E$16="Historia (Local)"),20&amp;" "&amp;Personalización!$E$16,IF(E195=Personalización!$E$15,VLOOKUP(E195,Tablas!$L$136:$M$137,2,FALSE),IF(E195=Personalización!$E$16,VLOOKUP(E195,Tablas!$N$136:$O$137,2,FALSE),0)))</f>
        <v>0</v>
      </c>
      <c r="AI195" s="3632" t="b">
        <f t="shared" si="50"/>
        <v>0</v>
      </c>
      <c r="AJ195" s="3632" t="b">
        <f t="shared" si="51"/>
        <v>0</v>
      </c>
      <c r="AK195" s="3632"/>
      <c r="AL195" s="628" t="e">
        <f t="shared" si="43"/>
        <v>#N/A</v>
      </c>
      <c r="AM195" s="628"/>
      <c r="AN195" s="628" t="e">
        <f t="shared" si="44"/>
        <v>#N/A</v>
      </c>
      <c r="AO195" s="628"/>
      <c r="AP195" s="628" t="e">
        <f t="shared" si="45"/>
        <v>#N/A</v>
      </c>
      <c r="AQ195" s="530"/>
      <c r="AR195" s="628" t="e">
        <f t="shared" si="46"/>
        <v>#N/A</v>
      </c>
      <c r="AS195" s="530"/>
      <c r="AT195" s="628" t="e">
        <f t="shared" si="47"/>
        <v>#N/A</v>
      </c>
      <c r="AU195" s="21" t="str">
        <f t="shared" si="48"/>
        <v/>
      </c>
      <c r="BL195" s="2617"/>
      <c r="BM195" s="2617"/>
      <c r="BN195" s="2617"/>
      <c r="BO195" s="2617"/>
      <c r="BP195" s="2617"/>
      <c r="BQ195" s="2617"/>
      <c r="BR195" s="2617"/>
      <c r="BS195" s="2617"/>
      <c r="BT195" s="2617"/>
      <c r="BU195" s="2617"/>
      <c r="BV195" s="2617"/>
      <c r="BW195" s="2617"/>
      <c r="BX195" s="2617"/>
    </row>
    <row r="196" spans="1:76" ht="12" customHeight="1">
      <c r="A196" s="29"/>
      <c r="B196" s="753">
        <f>IF(OR(U196="FUE",U196="CON",U196="DES",U196="AGI"),1,IF(OR(U196="INT",U196="POD",U196="VOL",U196="PER"),2,0))</f>
        <v>0</v>
      </c>
      <c r="C196" s="4527"/>
      <c r="D196" s="2635"/>
      <c r="E196" s="5107"/>
      <c r="F196" s="5108"/>
      <c r="G196" s="5108"/>
      <c r="H196" s="2636"/>
      <c r="I196" s="1351"/>
      <c r="J196" s="2637"/>
      <c r="K196" s="2626"/>
      <c r="L196" s="2637"/>
      <c r="M196" s="2626"/>
      <c r="N196" s="2638"/>
      <c r="O196" s="2626"/>
      <c r="P196" s="2637"/>
      <c r="Q196" s="2626"/>
      <c r="R196" s="2638"/>
      <c r="S196" s="2626"/>
      <c r="T196" s="2672">
        <f>IF(J196=0,0,TRUNC(K196/J196,0))+IF(L196=0,0,TRUNC(M196/L196,0))+IF(N196=0,0,TRUNC(O196/N196,0))+IF(P196=0,0,TRUNC(Q196/P196,0))+IF(R196=0,0,TRUNC(S196/R196,0))</f>
        <v>0</v>
      </c>
      <c r="U196" s="2672" t="str">
        <f>IF(H196="","",MIN(VLOOKUP($H196,Tabla_Características,5,0)*(1+W196)+10*Con.TodasMaterias+10*X196,100))</f>
        <v/>
      </c>
      <c r="V196" s="2672">
        <f>IF(ISNA(HLOOKUP($E196,Bonos_Cat_Base,2,FALSE)),0,HLOOKUP($E196,Bonos_Cat_Base,2,FALSE))+Tablas!$X362*Nivel_Total+10*Y196</f>
        <v>0</v>
      </c>
      <c r="W196" s="2657"/>
      <c r="X196" s="2626"/>
      <c r="Y196" s="2657"/>
      <c r="Z196" s="2656"/>
      <c r="AA196" s="2677" t="str">
        <f>IFERROR(IF(AND(T196&lt;5,Tablas!G$315=0),-30)+T196+U196+V196+Z196+IF(I196="",0,40)+Mod_ATA,"-")</f>
        <v>-</v>
      </c>
      <c r="AB196" s="1547">
        <f>IF(AA196="-",0,IF(AA196&gt;VLOOKUP(Nivel_Total,Tabla_LímiteSecundarias,2),1,0))</f>
        <v>0</v>
      </c>
      <c r="AC196" s="769"/>
      <c r="AD196" s="2265"/>
      <c r="AE196" s="3633"/>
      <c r="AF196" s="3633"/>
      <c r="AG196" s="3632"/>
      <c r="AH196" s="3632" t="s">
        <v>1315</v>
      </c>
      <c r="AI196" s="3632"/>
      <c r="AJ196" s="3632"/>
      <c r="AK196" s="3632"/>
      <c r="AL196" s="628"/>
      <c r="AM196" s="628"/>
      <c r="AN196" s="628"/>
      <c r="AO196" s="628"/>
      <c r="AP196" s="628"/>
      <c r="AQ196" s="530"/>
      <c r="AR196" s="530"/>
      <c r="AS196" s="530"/>
      <c r="AT196" s="530"/>
      <c r="BL196" s="2617"/>
      <c r="BM196" s="2617"/>
      <c r="BN196" s="2617"/>
      <c r="BO196" s="2617"/>
      <c r="BP196" s="2617"/>
      <c r="BQ196" s="2617"/>
      <c r="BR196" s="2617"/>
      <c r="BS196" s="2617"/>
      <c r="BT196" s="2617"/>
      <c r="BU196" s="2617"/>
      <c r="BV196" s="2617"/>
      <c r="BW196" s="2617"/>
      <c r="BX196" s="2617"/>
    </row>
    <row r="197" spans="1:76" ht="12" customHeight="1">
      <c r="A197" s="29"/>
      <c r="B197" s="753">
        <f>IF(OR(U197="FUE",U197="CON",U197="DES",U197="AGI"),1,IF(OR(U197="INT",U197="POD",U197="VOL",U197="PER"),2,0))</f>
        <v>0</v>
      </c>
      <c r="C197" s="4527"/>
      <c r="D197" s="2117"/>
      <c r="E197" s="5074"/>
      <c r="F197" s="5075"/>
      <c r="G197" s="5075"/>
      <c r="H197" s="2639"/>
      <c r="I197" s="1376"/>
      <c r="J197" s="2640"/>
      <c r="K197" s="2623"/>
      <c r="L197" s="2640"/>
      <c r="M197" s="2623"/>
      <c r="N197" s="2641"/>
      <c r="O197" s="2623"/>
      <c r="P197" s="2640"/>
      <c r="Q197" s="2623"/>
      <c r="R197" s="2641"/>
      <c r="S197" s="2623"/>
      <c r="T197" s="2668">
        <f>IF(J197=0,0,TRUNC(K197/J197,0))+IF(L197=0,0,TRUNC(M197/L197,0))+IF(N197=0,0,TRUNC(O197/N197,0))+IF(P197=0,0,TRUNC(Q197/P197,0))+IF(R197=0,0,TRUNC(S197/R197,0))</f>
        <v>0</v>
      </c>
      <c r="U197" s="2668" t="str">
        <f>IF(H197="","",MIN(VLOOKUP($H197,Tabla_Características,5,0)*(1+W197)+10*Con.TodasMaterias+10*X197,100))</f>
        <v/>
      </c>
      <c r="V197" s="2668">
        <f>IF(ISNA(HLOOKUP($E197,Bonos_Cat_Base,2,FALSE)),0,HLOOKUP($E197,Bonos_Cat_Base,2,FALSE))+Tablas!$X363*Nivel_Total+10*Y197</f>
        <v>0</v>
      </c>
      <c r="W197" s="2673"/>
      <c r="X197" s="2623"/>
      <c r="Y197" s="2673"/>
      <c r="Z197" s="2623"/>
      <c r="AA197" s="2683" t="str">
        <f>IF(AND(T197&lt;5,Tablas!G$315=0),"-",IFERROR(T197+U197+V197+Z197+IF(I197="",0,40)+Mod_ATA,"-"))</f>
        <v>-</v>
      </c>
      <c r="AB197" s="1547">
        <f t="shared" si="49"/>
        <v>0</v>
      </c>
      <c r="AC197" s="769"/>
      <c r="AD197" s="2265"/>
      <c r="AE197" s="3632"/>
      <c r="AF197" s="3633"/>
      <c r="AG197" s="3632"/>
      <c r="AH197" s="3632" t="s">
        <v>6662</v>
      </c>
      <c r="AI197" s="3632" t="s">
        <v>1263</v>
      </c>
      <c r="AJ197" s="3632"/>
      <c r="AK197" s="3632"/>
      <c r="AL197" s="628"/>
      <c r="AM197" s="628"/>
      <c r="AN197" s="628"/>
      <c r="AO197" s="628"/>
      <c r="AP197" s="628"/>
      <c r="AQ197" s="530"/>
      <c r="AR197" s="530"/>
      <c r="AS197" s="530"/>
      <c r="AT197" s="530"/>
      <c r="BL197" s="2617"/>
      <c r="BM197" s="2617"/>
      <c r="BN197" s="2617"/>
      <c r="BO197" s="2617"/>
      <c r="BP197" s="2617"/>
      <c r="BQ197" s="2617"/>
      <c r="BR197" s="2617"/>
      <c r="BS197" s="2617"/>
      <c r="BT197" s="2617"/>
      <c r="BU197" s="2617"/>
      <c r="BV197" s="2617"/>
      <c r="BW197" s="2617"/>
      <c r="BX197" s="2617"/>
    </row>
    <row r="198" spans="1:76" ht="12" customHeight="1">
      <c r="A198" s="9"/>
      <c r="B198" s="753">
        <f>IF(OR(U198="FUE",U198="CON",U198="DES",U198="AGI"),1,IF(OR(U198="INT",U198="POD",U198="VOL",U198="PER"),2,0))</f>
        <v>0</v>
      </c>
      <c r="C198" s="4527"/>
      <c r="D198" s="2116"/>
      <c r="E198" s="5072"/>
      <c r="F198" s="5073"/>
      <c r="G198" s="5073"/>
      <c r="H198" s="2642"/>
      <c r="I198" s="1351"/>
      <c r="J198" s="2643"/>
      <c r="K198" s="2625"/>
      <c r="L198" s="2643"/>
      <c r="M198" s="2625"/>
      <c r="N198" s="2644"/>
      <c r="O198" s="2625"/>
      <c r="P198" s="2643"/>
      <c r="Q198" s="2625"/>
      <c r="R198" s="2644"/>
      <c r="S198" s="2625"/>
      <c r="T198" s="2621">
        <f>IF(J198=0,0,TRUNC(K198/J198,0))+IF(L198=0,0,TRUNC(M198/L198,0))+IF(N198=0,0,TRUNC(O198/N198,0))+IF(P198=0,0,TRUNC(Q198/P198,0))+IF(R198=0,0,TRUNC(S198/R198,0))</f>
        <v>0</v>
      </c>
      <c r="U198" s="2621" t="str">
        <f>IF(H198="","",MIN(VLOOKUP($H198,Tabla_Características,5,0)*(1+W198)+10*Con.TodasMaterias+10*X198,100))</f>
        <v/>
      </c>
      <c r="V198" s="2621">
        <f>IF(ISNA(HLOOKUP($E198,Bonos_Cat_Base,2,FALSE)),0,HLOOKUP($E198,Bonos_Cat_Base,2,FALSE))+Tablas!$X364*Nivel_Total+10*Y198</f>
        <v>0</v>
      </c>
      <c r="W198" s="2674"/>
      <c r="X198" s="2625"/>
      <c r="Y198" s="2674"/>
      <c r="Z198" s="2655"/>
      <c r="AA198" s="2676" t="str">
        <f>IF(AND(T198&lt;5,Tablas!G$315=0),"-",IFERROR(T198+U198+V198+Z198+IF(I198="",0,40)+Mod_ATA,"-"))</f>
        <v>-</v>
      </c>
      <c r="AB198" s="1547">
        <f t="shared" si="49"/>
        <v>0</v>
      </c>
      <c r="AC198" s="769"/>
      <c r="AD198" s="2265"/>
      <c r="AE198" s="3632"/>
      <c r="AF198" s="3633"/>
      <c r="AG198" s="3632"/>
      <c r="AH198" s="3632" t="s">
        <v>6658</v>
      </c>
      <c r="AI198" s="3632" t="s">
        <v>1281</v>
      </c>
      <c r="AJ198" s="3632"/>
      <c r="AK198" s="3632"/>
      <c r="AL198" s="628"/>
      <c r="AM198" s="628"/>
      <c r="AN198" s="628"/>
      <c r="AO198" s="628"/>
      <c r="AP198" s="628"/>
      <c r="AQ198" s="530"/>
      <c r="AR198" s="530"/>
      <c r="AS198" s="530"/>
      <c r="AT198" s="530"/>
      <c r="BL198" s="2617"/>
      <c r="BM198" s="2617"/>
      <c r="BN198" s="2617"/>
      <c r="BO198" s="2617"/>
      <c r="BP198" s="2617"/>
      <c r="BQ198" s="2617"/>
      <c r="BR198" s="2617"/>
      <c r="BS198" s="2617"/>
      <c r="BT198" s="2617"/>
      <c r="BU198" s="2617"/>
      <c r="BV198" s="2617"/>
      <c r="BW198" s="2617"/>
      <c r="BX198" s="2617"/>
    </row>
    <row r="199" spans="1:76" ht="12" customHeight="1">
      <c r="A199" s="9"/>
      <c r="B199" s="753">
        <f>IF(OR(U199="FUE",U199="CON",U199="DES",U199="AGI"),1,IF(OR(U199="INT",U199="POD",U199="VOL",U199="PER"),2,0))</f>
        <v>0</v>
      </c>
      <c r="C199" s="4527"/>
      <c r="D199" s="2117"/>
      <c r="E199" s="5074"/>
      <c r="F199" s="5075"/>
      <c r="G199" s="5075"/>
      <c r="H199" s="2639"/>
      <c r="I199" s="1376"/>
      <c r="J199" s="2640"/>
      <c r="K199" s="2623"/>
      <c r="L199" s="2640"/>
      <c r="M199" s="2623"/>
      <c r="N199" s="2641"/>
      <c r="O199" s="2623"/>
      <c r="P199" s="2640"/>
      <c r="Q199" s="2623"/>
      <c r="R199" s="2641"/>
      <c r="S199" s="2623"/>
      <c r="T199" s="2668">
        <f>IF(J199=0,0,TRUNC(K199/J199,0))+IF(L199=0,0,TRUNC(M199/L199,0))+IF(N199=0,0,TRUNC(O199/N199,0))+IF(P199=0,0,TRUNC(Q199/P199,0))+IF(R199=0,0,TRUNC(S199/R199,0))</f>
        <v>0</v>
      </c>
      <c r="U199" s="2668" t="str">
        <f>IF(H199="","",MIN(VLOOKUP($H199,Tabla_Características,5,0)*(1+W199)+10*Con.TodasMaterias+10*X199,100))</f>
        <v/>
      </c>
      <c r="V199" s="2668">
        <f>IF(ISNA(HLOOKUP($E199,Bonos_Cat_Base,2,FALSE)),0,HLOOKUP($E199,Bonos_Cat_Base,2,FALSE))+Tablas!$X365*Nivel_Total+10*Y199</f>
        <v>0</v>
      </c>
      <c r="W199" s="2673"/>
      <c r="X199" s="2623"/>
      <c r="Y199" s="2673"/>
      <c r="Z199" s="2623"/>
      <c r="AA199" s="2683" t="str">
        <f>IF(AND(T199&lt;5,Tablas!G$315=0),"-",IFERROR(T199+U199+V199+Z199+IF(I199="",0,40)+Mod_ATA,"-"))</f>
        <v>-</v>
      </c>
      <c r="AB199" s="1547">
        <f t="shared" si="49"/>
        <v>0</v>
      </c>
      <c r="AC199" s="769"/>
      <c r="AD199" s="2265"/>
      <c r="AE199" s="3632"/>
      <c r="AF199" s="3633"/>
      <c r="AG199" s="3632"/>
      <c r="AH199" s="3632" t="s">
        <v>6663</v>
      </c>
      <c r="AI199" s="3632" t="s">
        <v>6645</v>
      </c>
      <c r="AJ199" s="3632"/>
      <c r="AK199" s="3632"/>
      <c r="AL199" s="628"/>
      <c r="AM199" s="628"/>
      <c r="AN199" s="628"/>
      <c r="AO199" s="628"/>
      <c r="AP199" s="628"/>
      <c r="AQ199" s="530"/>
      <c r="AR199" s="530"/>
      <c r="AS199" s="530"/>
      <c r="AT199" s="530"/>
      <c r="BL199" s="2617"/>
      <c r="BM199" s="2617"/>
      <c r="BN199" s="2617"/>
      <c r="BO199" s="2617"/>
      <c r="BP199" s="2617"/>
      <c r="BQ199" s="2617"/>
      <c r="BR199" s="2617"/>
      <c r="BS199" s="2617"/>
      <c r="BT199" s="2617"/>
      <c r="BU199" s="2617"/>
      <c r="BV199" s="2617"/>
      <c r="BW199" s="2617"/>
      <c r="BX199" s="2617"/>
    </row>
    <row r="200" spans="1:76" ht="12" customHeight="1">
      <c r="A200" s="9"/>
      <c r="B200" s="753">
        <f>IF(OR(U200="FUE",U200="CON",U200="DES",U200="AGI"),1,IF(OR(U200="INT",U200="POD",U200="VOL",U200="PER"),2,0))</f>
        <v>0</v>
      </c>
      <c r="C200" s="4527"/>
      <c r="D200" s="2645"/>
      <c r="E200" s="5105"/>
      <c r="F200" s="5106"/>
      <c r="G200" s="5106"/>
      <c r="H200" s="2646"/>
      <c r="I200" s="1351"/>
      <c r="J200" s="2647"/>
      <c r="K200" s="2648"/>
      <c r="L200" s="2647"/>
      <c r="M200" s="2648"/>
      <c r="N200" s="2649"/>
      <c r="O200" s="2648"/>
      <c r="P200" s="2647"/>
      <c r="Q200" s="2648"/>
      <c r="R200" s="2649"/>
      <c r="S200" s="2648"/>
      <c r="T200" s="2671">
        <f>IF(J200=0,0,TRUNC(K200/J200,0))+IF(L200=0,0,TRUNC(M200/L200,0))+IF(N200=0,0,TRUNC(O200/N200,0))+IF(P200=0,0,TRUNC(Q200/P200,0))+IF(R200=0,0,TRUNC(S200/R200,0))</f>
        <v>0</v>
      </c>
      <c r="U200" s="2671" t="str">
        <f>IF(H200="","",MIN(VLOOKUP($H200,Tabla_Características,5,0)*(1+W200)+10*Con.TodasMaterias+10*X200,100))</f>
        <v/>
      </c>
      <c r="V200" s="2671">
        <f>IF(ISNA(HLOOKUP($E200,Bonos_Cat_Base,2,FALSE)),0,HLOOKUP($E200,Bonos_Cat_Base,2,FALSE))+Tablas!$X366*Nivel_Total+10*Y200</f>
        <v>0</v>
      </c>
      <c r="W200" s="2658"/>
      <c r="X200" s="2648"/>
      <c r="Y200" s="2658"/>
      <c r="Z200" s="2659"/>
      <c r="AA200" s="2678" t="str">
        <f>IF(AND(T200&lt;5,Tablas!G$315=0),"-",IFERROR(T200+U200+V200+Z200+IF(I200="",0,40)+Mod_ATA,"-"))</f>
        <v>-</v>
      </c>
      <c r="AB200" s="1547">
        <f t="shared" si="49"/>
        <v>0</v>
      </c>
      <c r="AC200" s="769"/>
      <c r="AD200" s="2265"/>
      <c r="AE200" s="3632"/>
      <c r="AF200" s="3633"/>
      <c r="AG200" s="3632"/>
      <c r="AH200" s="3632" t="s">
        <v>6659</v>
      </c>
      <c r="AI200" s="3632" t="s">
        <v>1294</v>
      </c>
      <c r="AJ200" s="3632"/>
      <c r="AK200" s="3632"/>
      <c r="AL200" s="628"/>
      <c r="AM200" s="628"/>
      <c r="AN200" s="628"/>
      <c r="AO200" s="628"/>
      <c r="AP200" s="628"/>
      <c r="AQ200" s="530"/>
      <c r="AR200" s="530"/>
      <c r="AS200" s="530"/>
      <c r="AT200" s="530"/>
      <c r="BL200" s="2617"/>
      <c r="BM200" s="2617"/>
      <c r="BN200" s="2617"/>
      <c r="BO200" s="2617"/>
      <c r="BP200" s="2617"/>
      <c r="BQ200" s="2617"/>
      <c r="BR200" s="2617"/>
      <c r="BS200" s="2617"/>
      <c r="BT200" s="2617"/>
      <c r="BU200" s="2617"/>
      <c r="BV200" s="2617"/>
      <c r="BW200" s="2617"/>
      <c r="BX200" s="2617"/>
    </row>
    <row r="201" spans="1:76" ht="12" customHeight="1" thickBot="1">
      <c r="A201" s="9"/>
      <c r="B201" s="753"/>
      <c r="C201" s="4527"/>
      <c r="D201" s="5370" t="str">
        <f>IF($AF$141,"Raíces culturales ("&amp;IF(General!$I$26&lt;&gt;"",General!$I$26&amp;" ","#Región ")&amp;IF(General!$N$26&lt;&gt;"",General!$N$26,"#Clase social")&amp;") aplicadas:","")</f>
        <v/>
      </c>
      <c r="E201" s="5371"/>
      <c r="F201" s="5371"/>
      <c r="G201" s="5371"/>
      <c r="H201" s="5371"/>
      <c r="I201" s="5371"/>
      <c r="J201" s="5371"/>
      <c r="K201" s="5371"/>
      <c r="L201" s="5371"/>
      <c r="M201" s="5371"/>
      <c r="N201" s="5371"/>
      <c r="O201" s="5371"/>
      <c r="P201" s="5371"/>
      <c r="Q201" s="5371"/>
      <c r="R201" s="5371"/>
      <c r="S201" s="5371"/>
      <c r="T201" s="5369" t="s">
        <v>1399</v>
      </c>
      <c r="U201" s="5369"/>
      <c r="V201" s="5369"/>
      <c r="W201" s="5369"/>
      <c r="X201" s="5369"/>
      <c r="Y201" s="507" t="str">
        <f>SUMPRODUCT($W144:$W200,--ISNUMBER(MATCH($H144:$H200,{"AGI";"DES";"CON";"FUE"},0)))&amp;" + "&amp;SUMPRODUCT($W144:$W200,--ISNUMBER(MATCH($H144:$H200,{"PER";"INT";"POD";"VOL"},0)))</f>
        <v>0 + 0</v>
      </c>
      <c r="Z201" s="508" t="s">
        <v>1400</v>
      </c>
      <c r="AA201" s="509" t="str">
        <f>IF(Nivel_Total=0,"1 + 1",Nivel_Total*IF(Tablas!$G$372&gt;0,2,1)*IF(Tablas!$G$543&gt;0,0,1)&amp;" + "&amp;Nivel_Total*IF(Tablas!$G$372&gt;0,2,1)*IF(Tablas!$G$543&gt;0,0,1))</f>
        <v>1 + 1</v>
      </c>
      <c r="AB201" s="1546" t="str">
        <f>LEFT(Y201,FIND("+",Y201)-2)</f>
        <v>0</v>
      </c>
      <c r="AC201" s="769"/>
      <c r="AD201" s="530" t="str">
        <f>LEFT(AA201,FIND("+",AA201)-2)</f>
        <v>1</v>
      </c>
      <c r="AE201" s="3632"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3633"/>
      <c r="AG201" s="3632"/>
      <c r="AH201" s="3632" t="s">
        <v>1308</v>
      </c>
      <c r="AI201" s="3632" t="s">
        <v>1308</v>
      </c>
      <c r="AJ201" s="3632"/>
      <c r="AK201" s="3632"/>
      <c r="AL201" s="628"/>
      <c r="AM201" s="628"/>
      <c r="AN201" s="628"/>
      <c r="AO201" s="628"/>
      <c r="AP201" s="628"/>
      <c r="AQ201" s="530"/>
      <c r="AR201" s="530"/>
      <c r="AS201" s="530"/>
      <c r="AT201" s="530"/>
      <c r="BL201" s="2617"/>
      <c r="BM201" s="2617"/>
      <c r="BN201" s="2617"/>
      <c r="BO201" s="2617"/>
      <c r="BP201" s="2617"/>
      <c r="BQ201" s="2617"/>
      <c r="BR201" s="2617"/>
      <c r="BS201" s="2617"/>
      <c r="BT201" s="2617"/>
      <c r="BU201" s="2617"/>
      <c r="BV201" s="2617"/>
      <c r="BW201" s="2617"/>
      <c r="BX201" s="2617"/>
    </row>
    <row r="202" spans="1:76" ht="12" customHeight="1">
      <c r="A202" s="9"/>
      <c r="B202" s="753"/>
      <c r="C202" s="4527"/>
      <c r="D202" s="5058" t="str">
        <f>IF(AE201="","",LEFT(AE201,LEN(AE201)-2))</f>
        <v/>
      </c>
      <c r="E202" s="5059"/>
      <c r="F202" s="5059"/>
      <c r="G202" s="5059"/>
      <c r="H202" s="5059"/>
      <c r="I202" s="5059"/>
      <c r="J202" s="5059"/>
      <c r="K202" s="5059"/>
      <c r="L202" s="5059"/>
      <c r="M202" s="5059"/>
      <c r="N202" s="5059"/>
      <c r="O202" s="5059"/>
      <c r="P202" s="5059"/>
      <c r="Q202" s="5059"/>
      <c r="R202" s="5059"/>
      <c r="S202" s="5059"/>
      <c r="T202" s="5325" t="s">
        <v>1401</v>
      </c>
      <c r="U202" s="5325"/>
      <c r="V202" s="5325"/>
      <c r="W202" s="5325"/>
      <c r="X202" s="5325"/>
      <c r="Y202" s="72">
        <f>SUM($X144:$X200)</f>
        <v>0</v>
      </c>
      <c r="Z202" s="71" t="s">
        <v>1400</v>
      </c>
      <c r="AA202" s="456">
        <f>IF(Nivel_Total=0,5,Nivel_Total*5)</f>
        <v>5</v>
      </c>
      <c r="AB202" s="1546" t="str">
        <f>RIGHT(Y201,LEN(Y201)-FIND("+",Y201)-1)</f>
        <v>0</v>
      </c>
      <c r="AC202" s="769"/>
      <c r="AD202" s="530" t="str">
        <f>RIGHT(AA201,LEN(AA201)-FIND("+",AA201)-1)</f>
        <v>1</v>
      </c>
      <c r="AE202" s="3632"/>
      <c r="AF202" s="3633"/>
      <c r="AG202" s="3632"/>
      <c r="AH202" s="3632" t="s">
        <v>6660</v>
      </c>
      <c r="AI202" s="3632" t="s">
        <v>1316</v>
      </c>
      <c r="AJ202" s="3632"/>
      <c r="AK202" s="3632"/>
      <c r="AL202" s="628"/>
      <c r="AM202" s="628"/>
      <c r="AN202" s="628"/>
      <c r="AO202" s="628"/>
      <c r="AP202" s="628"/>
      <c r="AQ202" s="530"/>
      <c r="AR202" s="530"/>
      <c r="AS202" s="530"/>
      <c r="AT202" s="530"/>
      <c r="BL202" s="2617"/>
      <c r="BM202" s="2617"/>
      <c r="BN202" s="2617"/>
      <c r="BO202" s="2617"/>
      <c r="BP202" s="2617"/>
      <c r="BQ202" s="2617"/>
      <c r="BR202" s="2617"/>
      <c r="BS202" s="2617"/>
      <c r="BT202" s="2617"/>
      <c r="BU202" s="2617"/>
      <c r="BV202" s="2617"/>
      <c r="BW202" s="2617"/>
      <c r="BX202" s="2617"/>
    </row>
    <row r="203" spans="1:76" ht="12" customHeight="1">
      <c r="A203" s="9"/>
      <c r="B203" s="753"/>
      <c r="C203" s="4527"/>
      <c r="D203" s="5060"/>
      <c r="E203" s="4363"/>
      <c r="F203" s="4363"/>
      <c r="G203" s="4363"/>
      <c r="H203" s="4363"/>
      <c r="I203" s="4363"/>
      <c r="J203" s="4363"/>
      <c r="K203" s="4363"/>
      <c r="L203" s="4363"/>
      <c r="M203" s="4363"/>
      <c r="N203" s="4363"/>
      <c r="O203" s="4363"/>
      <c r="P203" s="4363"/>
      <c r="Q203" s="4363"/>
      <c r="R203" s="4363"/>
      <c r="S203" s="4363"/>
      <c r="T203" s="5368" t="s">
        <v>1402</v>
      </c>
      <c r="U203" s="5368"/>
      <c r="V203" s="5368"/>
      <c r="W203" s="5368"/>
      <c r="X203" s="5368"/>
      <c r="Y203" s="73">
        <f>SUM($Y144:$Y200)</f>
        <v>0</v>
      </c>
      <c r="Z203" s="74" t="s">
        <v>1400</v>
      </c>
      <c r="AA203" s="457">
        <f>SUM(AF6:AF10)</f>
        <v>0</v>
      </c>
      <c r="AB203" s="1552"/>
      <c r="AC203" s="769"/>
      <c r="AD203" s="2265"/>
      <c r="AE203" s="3632"/>
      <c r="AF203" s="3633"/>
      <c r="AG203" s="3632"/>
      <c r="AH203" s="3632" t="s">
        <v>6661</v>
      </c>
      <c r="AI203" s="3632" t="s">
        <v>1329</v>
      </c>
      <c r="AJ203" s="3632"/>
      <c r="AK203" s="3632"/>
      <c r="AL203" s="628"/>
      <c r="AM203" s="628"/>
      <c r="AN203" s="628"/>
      <c r="AO203" s="628"/>
      <c r="AP203" s="628"/>
      <c r="AQ203" s="530"/>
      <c r="AR203" s="530"/>
      <c r="AS203" s="530"/>
      <c r="AT203" s="530"/>
      <c r="BL203" s="2617"/>
      <c r="BM203" s="2617"/>
      <c r="BN203" s="2617"/>
      <c r="BO203" s="2617"/>
      <c r="BP203" s="2617"/>
      <c r="BQ203" s="2617"/>
      <c r="BR203" s="2617"/>
      <c r="BS203" s="2617"/>
      <c r="BT203" s="2617"/>
      <c r="BU203" s="2617"/>
      <c r="BV203" s="2617"/>
      <c r="BW203" s="2617"/>
      <c r="BX203" s="2617"/>
    </row>
    <row r="204" spans="1:76" ht="12" customHeight="1">
      <c r="A204" s="9"/>
      <c r="B204" s="753"/>
      <c r="C204" s="4527"/>
      <c r="D204" s="5056" t="s">
        <v>1403</v>
      </c>
      <c r="E204" s="5063" t="str">
        <f>IF(Acumulacion="Sí","Múltiplos de Acumulación","Múltiplos de Vida")</f>
        <v>Múltiplos de Vida</v>
      </c>
      <c r="F204" s="5064"/>
      <c r="G204" s="5064"/>
      <c r="H204" s="5064"/>
      <c r="I204" s="5065"/>
      <c r="J204" s="5054">
        <f>IF(Acumulacion="Sí","X",IF(Categoría_1=0,0,VLOOKUP(Categoría_1,Tabla_Categorías,4,FALSE)))</f>
        <v>0</v>
      </c>
      <c r="K204" s="5061"/>
      <c r="L204" s="5054">
        <f>IF(Acumulacion="Sí","X",IF(Categoría_2=0,0,VLOOKUP(Categoría_2,Tabla_Categorías,4,FALSE)))</f>
        <v>0</v>
      </c>
      <c r="M204" s="5061"/>
      <c r="N204" s="5054">
        <f>IF(Acumulacion="Sí","X",IF(Categoría_3=0,0,VLOOKUP(Categoría_3,Tabla_Categorías,4,FALSE)))</f>
        <v>0</v>
      </c>
      <c r="O204" s="5061"/>
      <c r="P204" s="5054">
        <f>IF(Acumulacion="Sí","X",IF(Categoría_4=0,0,VLOOKUP(Categoría_4,Tabla_Categorías,4,FALSE)))</f>
        <v>0</v>
      </c>
      <c r="Q204" s="5061"/>
      <c r="R204" s="5054">
        <f>IF(Acumulacion="Sí","X",IF(Categoría_5=0,0,VLOOKUP(Categoría_5,Tabla_Categorías,4,FALSE)))</f>
        <v>0</v>
      </c>
      <c r="S204" s="5061"/>
      <c r="T204" s="5097">
        <f>IF(Acumulacion="Sí",IF(Tablas!$S$1873&gt;0,Tablas!$S$1873,VLOOKUP(Tamaño,Tabla_CreaciónSeres,5)),IF(J204=0,0,TRUNC((K204/J204),0))+IF(L204=0,0,TRUNC((M204/L204),0))+IF(N204=0,0,TRUNC((O204/N204),0))+IF(P204=0,0,TRUNC((Q204/P204),0))+IF(R204=0,0,TRUNC((S204/R204),0)))</f>
        <v>0</v>
      </c>
      <c r="U204" s="5082">
        <f>20+IF(NOT(Ki!I62=10),CON*10,POD*10)+IF(NOT(Ki!I62=10),Bono_Con,Bono_Pod)</f>
        <v>20</v>
      </c>
      <c r="V204" s="5082">
        <f>(HLOOKUP("PV",Bonos_Cat_Base,2,FALSE)+(10*Tablas!$G$361+20*Tablas!$G$362+30*Tablas!$G$363)*Nivel_Total)*IF(Acumulacion="Sí",IF(Tablas!$S$1873&gt;0,Tablas!$S$1873,VLOOKUP(Tamaño,Tabla_CreaciónSeres,5)),1)</f>
        <v>0</v>
      </c>
      <c r="W204" s="5098">
        <f>IF(Acumulacion="Sí",T204*(K204+M204+O204+Q204+S204),T204*CON)</f>
        <v>0</v>
      </c>
      <c r="X204" s="5089"/>
      <c r="Y204" s="5090"/>
      <c r="Z204" s="5093">
        <f>U204+W204+V204+X204</f>
        <v>20</v>
      </c>
      <c r="AA204" s="5094"/>
      <c r="AB204" s="1546"/>
      <c r="AC204" s="769"/>
      <c r="BL204" s="2617"/>
      <c r="BM204" s="2617"/>
      <c r="BN204" s="2617"/>
      <c r="BO204" s="2617"/>
      <c r="BP204" s="2617"/>
      <c r="BQ204" s="2617"/>
      <c r="BR204" s="2617"/>
      <c r="BS204" s="2617"/>
      <c r="BT204" s="2617"/>
      <c r="BU204" s="2617"/>
      <c r="BV204" s="2617"/>
      <c r="BW204" s="2617"/>
      <c r="BX204" s="2617"/>
    </row>
    <row r="205" spans="1:76" ht="12" customHeight="1" thickBot="1">
      <c r="A205" s="9"/>
      <c r="B205" s="753"/>
      <c r="C205" s="4527"/>
      <c r="D205" s="5057"/>
      <c r="E205" s="5066"/>
      <c r="F205" s="5067"/>
      <c r="G205" s="5067"/>
      <c r="H205" s="5067"/>
      <c r="I205" s="5068"/>
      <c r="J205" s="5055"/>
      <c r="K205" s="5062"/>
      <c r="L205" s="5055"/>
      <c r="M205" s="5062"/>
      <c r="N205" s="5055"/>
      <c r="O205" s="5062"/>
      <c r="P205" s="5055"/>
      <c r="Q205" s="5062"/>
      <c r="R205" s="5055"/>
      <c r="S205" s="5062"/>
      <c r="T205" s="5066"/>
      <c r="U205" s="5067"/>
      <c r="V205" s="5067"/>
      <c r="W205" s="5099"/>
      <c r="X205" s="5091"/>
      <c r="Y205" s="5092"/>
      <c r="Z205" s="5095"/>
      <c r="AA205" s="5096"/>
      <c r="AB205" s="1553"/>
      <c r="AC205" s="769"/>
      <c r="BL205" s="2617"/>
      <c r="BM205" s="2617"/>
      <c r="BN205" s="2617"/>
      <c r="BO205" s="2617"/>
      <c r="BP205" s="2617"/>
      <c r="BQ205" s="2617"/>
      <c r="BR205" s="2617"/>
      <c r="BS205" s="2617"/>
      <c r="BT205" s="2617"/>
      <c r="BU205" s="2617"/>
      <c r="BV205" s="2617"/>
      <c r="BW205" s="2617"/>
      <c r="BX205" s="2617"/>
    </row>
    <row r="206" spans="1:76" ht="12" customHeight="1">
      <c r="A206" s="9"/>
      <c r="B206" s="834"/>
      <c r="C206" s="4527"/>
      <c r="D206" s="5047" t="s">
        <v>9536</v>
      </c>
      <c r="E206" s="5047"/>
      <c r="F206" s="5047"/>
      <c r="G206" s="5047"/>
      <c r="H206" s="5047"/>
      <c r="I206" s="5048"/>
      <c r="J206" s="4981">
        <f>$T$7</f>
        <v>600</v>
      </c>
      <c r="K206" s="5051">
        <f>K204+SUM(K144:K200)</f>
        <v>0</v>
      </c>
      <c r="L206" s="4981">
        <f>IF(Categoría_2=0,0,$T$9)</f>
        <v>0</v>
      </c>
      <c r="M206" s="5051">
        <f>(M204+SUM(M144:M200))*IF(Categoría_2=0,0,1)</f>
        <v>0</v>
      </c>
      <c r="N206" s="4981">
        <f>IF(Categoría_3=0,0,$T$11)</f>
        <v>0</v>
      </c>
      <c r="O206" s="5051">
        <f>(O204+SUM(O144:O200))*IF(Categoría_3=0,0,1)</f>
        <v>0</v>
      </c>
      <c r="P206" s="4981">
        <f>IF(Categoría_4=0,0,$T$13)</f>
        <v>0</v>
      </c>
      <c r="Q206" s="5051">
        <f>(Q204+SUM(Q144:Q200))*IF(Categoría_4=0,0,1)</f>
        <v>0</v>
      </c>
      <c r="R206" s="4981">
        <f>IF(Categoría_5=0,0,$T$15)</f>
        <v>0</v>
      </c>
      <c r="S206" s="5051">
        <f>(S204+SUM(S144:S200))*IF(Categoría_5=0,0,1)</f>
        <v>0</v>
      </c>
      <c r="T206" s="5083"/>
      <c r="U206" s="5084"/>
      <c r="V206" s="5084"/>
      <c r="W206" s="5084"/>
      <c r="X206" s="5084"/>
      <c r="Y206" s="5084"/>
      <c r="Z206" s="5084"/>
      <c r="AA206" s="5085"/>
      <c r="AB206" s="1546"/>
      <c r="AC206" s="769"/>
      <c r="BL206" s="2617"/>
      <c r="BM206" s="2617"/>
      <c r="BN206" s="2617"/>
      <c r="BO206" s="2617"/>
      <c r="BP206" s="2617"/>
      <c r="BQ206" s="2617"/>
      <c r="BR206" s="2617"/>
      <c r="BS206" s="2617"/>
      <c r="BT206" s="2617"/>
      <c r="BU206" s="2617"/>
      <c r="BV206" s="2617"/>
      <c r="BW206" s="2617"/>
      <c r="BX206" s="2617"/>
    </row>
    <row r="207" spans="1:76" ht="12" customHeight="1" thickBot="1">
      <c r="A207" s="9"/>
      <c r="B207" s="834"/>
      <c r="C207" s="4528"/>
      <c r="D207" s="5049"/>
      <c r="E207" s="5049"/>
      <c r="F207" s="5049"/>
      <c r="G207" s="5049"/>
      <c r="H207" s="5049"/>
      <c r="I207" s="5050"/>
      <c r="J207" s="4982"/>
      <c r="K207" s="4984"/>
      <c r="L207" s="4982"/>
      <c r="M207" s="4984"/>
      <c r="N207" s="4982"/>
      <c r="O207" s="4984"/>
      <c r="P207" s="4982"/>
      <c r="Q207" s="4984"/>
      <c r="R207" s="4982"/>
      <c r="S207" s="4984"/>
      <c r="T207" s="5086"/>
      <c r="U207" s="5087"/>
      <c r="V207" s="5087"/>
      <c r="W207" s="5087"/>
      <c r="X207" s="5087"/>
      <c r="Y207" s="5087"/>
      <c r="Z207" s="5087"/>
      <c r="AA207" s="5088"/>
      <c r="AB207" s="1546"/>
      <c r="AC207" s="769"/>
      <c r="BL207" s="2617"/>
      <c r="BM207" s="2617"/>
      <c r="BN207" s="2617"/>
      <c r="BO207" s="2617"/>
      <c r="BP207" s="2617"/>
      <c r="BQ207" s="2617"/>
      <c r="BR207" s="2617"/>
      <c r="BS207" s="2617"/>
      <c r="BT207" s="2617"/>
      <c r="BU207" s="2617"/>
      <c r="BV207" s="2617"/>
      <c r="BW207" s="2617"/>
      <c r="BX207" s="2617"/>
    </row>
    <row r="208" spans="1:76" ht="12" customHeight="1">
      <c r="A208" s="9"/>
      <c r="B208" s="834"/>
      <c r="AB208" s="1546"/>
      <c r="AC208" s="769"/>
      <c r="BL208" s="2617"/>
      <c r="BM208" s="2617"/>
      <c r="BN208" s="2617"/>
      <c r="BO208" s="2617"/>
      <c r="BP208" s="2617"/>
      <c r="BQ208" s="2617"/>
      <c r="BR208" s="2617"/>
      <c r="BS208" s="2617"/>
      <c r="BT208" s="2617"/>
      <c r="BU208" s="2617"/>
      <c r="BV208" s="2617"/>
      <c r="BW208" s="2617"/>
      <c r="BX208" s="2617"/>
    </row>
    <row r="209" spans="1:76" ht="12" customHeight="1" thickBot="1">
      <c r="A209" s="9"/>
      <c r="B209" s="753"/>
      <c r="AB209" s="1546"/>
      <c r="AC209" s="769"/>
      <c r="AD209" s="2265"/>
      <c r="AE209" s="3632"/>
      <c r="AF209" s="3633"/>
      <c r="AG209" s="3632"/>
      <c r="AH209" s="3632"/>
      <c r="AI209" s="3632"/>
      <c r="AJ209" s="3632"/>
      <c r="AK209" s="3632"/>
      <c r="AL209" s="628"/>
      <c r="AM209" s="628"/>
      <c r="AN209" s="628"/>
      <c r="AO209" s="628"/>
      <c r="AP209" s="628"/>
      <c r="AQ209" s="530"/>
      <c r="AR209" s="530"/>
      <c r="AS209" s="530"/>
      <c r="AT209" s="530"/>
      <c r="AU209" s="530"/>
      <c r="AV209" s="530"/>
      <c r="AW209" s="530"/>
      <c r="AX209" s="530"/>
      <c r="AY209" s="530"/>
      <c r="AZ209" s="530"/>
      <c r="BA209" s="530"/>
      <c r="BB209" s="530"/>
      <c r="BC209" s="530"/>
      <c r="BD209" s="2617"/>
      <c r="BE209" s="2617"/>
      <c r="BF209" s="2617"/>
      <c r="BG209" s="2617"/>
      <c r="BH209" s="2617"/>
      <c r="BI209" s="2617"/>
      <c r="BJ209" s="2617"/>
      <c r="BK209" s="2617"/>
      <c r="BL209" s="2617"/>
      <c r="BM209" s="2617"/>
      <c r="BN209" s="2617"/>
      <c r="BO209" s="2617"/>
      <c r="BP209" s="2617"/>
      <c r="BQ209" s="2617"/>
      <c r="BR209" s="2617"/>
      <c r="BS209" s="2617"/>
      <c r="BT209" s="2617"/>
      <c r="BU209" s="2617"/>
      <c r="BV209" s="2617"/>
      <c r="BW209" s="2617"/>
      <c r="BX209" s="2617"/>
    </row>
    <row r="210" spans="1:76" ht="12" customHeight="1">
      <c r="A210" s="9"/>
      <c r="B210" s="753"/>
      <c r="C210" s="5052" t="s">
        <v>1404</v>
      </c>
      <c r="D210" s="5047"/>
      <c r="E210" s="5047"/>
      <c r="F210" s="5047"/>
      <c r="G210" s="5047"/>
      <c r="H210" s="5047"/>
      <c r="I210" s="5048"/>
      <c r="J210" s="4981">
        <f>$T$7</f>
        <v>600</v>
      </c>
      <c r="K210" s="5051">
        <f>M96+M114+M135+K206+Z7+W20</f>
        <v>0</v>
      </c>
      <c r="L210" s="4981">
        <f>IF(Categoría_2=0,0,$T$9)</f>
        <v>0</v>
      </c>
      <c r="M210" s="4983">
        <f>IF(Categoría_2="",0,O96+O114+O135+M206+IF(Limite_Primarias_Individual,0,-1)*(M96+M114+M135)+AA7+Z9+X20)</f>
        <v>0</v>
      </c>
      <c r="N210" s="4981">
        <f>IF(Categoría_3=0,0,$T$11)</f>
        <v>0</v>
      </c>
      <c r="O210" s="4983">
        <f>IF(Categoría_3="",0,Q96+Q114+Q135+O206+IF(Limite_Primarias_Individual,0,-1)*(O96+O114+O135)+AA9+Z11+Y20)</f>
        <v>0</v>
      </c>
      <c r="P210" s="4981">
        <f>IF(Categoría_4=0,0,$T$13)</f>
        <v>0</v>
      </c>
      <c r="Q210" s="4983">
        <f>IF(Categoría_4="",0,S96+S114+S135+Q206+IF(Limite_Primarias_Individual,0,-1)*(Q96+Q114+Q135)+AA11+Z13+Z20)</f>
        <v>0</v>
      </c>
      <c r="R210" s="4981">
        <f>$T$15</f>
        <v>0</v>
      </c>
      <c r="S210" s="5080">
        <f>IF(Categoría_4="",0,U96+U114+U135+S206+IF(Limite_Primarias_Individual,0,-1)*(S96+S114+S135)+AA13+AA20)</f>
        <v>0</v>
      </c>
      <c r="T210" s="5083" t="str">
        <f>IF(AA210&gt;Z210,"Exceso de PDs gastados",IF(OR(K210&gt;J210,M210&gt;L210,O210&gt;N210,Q210&gt;P210,S210&gt;R210),"Límite por Categoría excedido",""))</f>
        <v/>
      </c>
      <c r="U210" s="5084"/>
      <c r="V210" s="5084"/>
      <c r="W210" s="5085"/>
      <c r="X210" s="5076" t="s">
        <v>3021</v>
      </c>
      <c r="Y210" s="5077"/>
      <c r="Z210" s="5100">
        <f>J210+L210+N210+P210+R210</f>
        <v>600</v>
      </c>
      <c r="AA210" s="5308">
        <f>K210+M210+O210+Q210+S210</f>
        <v>0</v>
      </c>
      <c r="AB210" s="1546"/>
      <c r="AC210" s="769"/>
      <c r="AD210" s="2265"/>
      <c r="AE210" s="3632"/>
      <c r="AF210" s="3633"/>
      <c r="AG210" s="3632"/>
      <c r="AH210" s="3632"/>
      <c r="AI210" s="3632"/>
      <c r="AJ210" s="3632"/>
      <c r="AK210" s="3632"/>
      <c r="AL210" s="628"/>
      <c r="AM210" s="628"/>
      <c r="AN210" s="628"/>
      <c r="AO210" s="628"/>
      <c r="AP210" s="628"/>
      <c r="AQ210" s="530"/>
      <c r="AR210" s="530"/>
      <c r="AS210" s="530"/>
      <c r="AT210" s="530"/>
      <c r="AU210" s="530"/>
      <c r="AV210" s="530"/>
      <c r="AW210" s="530"/>
      <c r="AX210" s="530"/>
      <c r="AY210" s="530"/>
      <c r="AZ210" s="530"/>
      <c r="BA210" s="530"/>
      <c r="BB210" s="530"/>
      <c r="BC210" s="530"/>
      <c r="BD210" s="2617"/>
      <c r="BE210" s="2617"/>
      <c r="BF210" s="2617"/>
      <c r="BG210" s="2617"/>
      <c r="BH210" s="2617"/>
      <c r="BI210" s="2617"/>
      <c r="BJ210" s="2617"/>
      <c r="BK210" s="2617"/>
      <c r="BL210" s="2617"/>
      <c r="BM210" s="2617"/>
      <c r="BN210" s="2617"/>
      <c r="BO210" s="2617"/>
      <c r="BP210" s="2617"/>
      <c r="BQ210" s="2617"/>
      <c r="BR210" s="2617"/>
      <c r="BS210" s="2617"/>
      <c r="BT210" s="2617"/>
      <c r="BU210" s="2617"/>
      <c r="BV210" s="2617"/>
      <c r="BW210" s="2617"/>
      <c r="BX210" s="2617"/>
    </row>
    <row r="211" spans="1:76" ht="12" customHeight="1" thickBot="1">
      <c r="A211" s="9"/>
      <c r="B211" s="753"/>
      <c r="C211" s="5053"/>
      <c r="D211" s="5049"/>
      <c r="E211" s="5049"/>
      <c r="F211" s="5049"/>
      <c r="G211" s="5049"/>
      <c r="H211" s="5049"/>
      <c r="I211" s="5050"/>
      <c r="J211" s="4982"/>
      <c r="K211" s="4984"/>
      <c r="L211" s="4982"/>
      <c r="M211" s="4984"/>
      <c r="N211" s="4982"/>
      <c r="O211" s="4984"/>
      <c r="P211" s="4982"/>
      <c r="Q211" s="4984"/>
      <c r="R211" s="4982"/>
      <c r="S211" s="5081"/>
      <c r="T211" s="5086"/>
      <c r="U211" s="5087"/>
      <c r="V211" s="5087"/>
      <c r="W211" s="5088"/>
      <c r="X211" s="5078"/>
      <c r="Y211" s="5079"/>
      <c r="Z211" s="5101"/>
      <c r="AA211" s="5309"/>
      <c r="AB211" s="1546"/>
      <c r="AC211" s="769"/>
      <c r="AD211" s="2265"/>
      <c r="AE211" s="3632"/>
      <c r="AF211" s="3633"/>
      <c r="AG211" s="3632"/>
      <c r="AH211" s="3632"/>
      <c r="AI211" s="3632"/>
      <c r="AJ211" s="3632"/>
      <c r="AK211" s="3632"/>
      <c r="AL211" s="628"/>
      <c r="AM211" s="628"/>
      <c r="AN211" s="628"/>
      <c r="AO211" s="628"/>
      <c r="AP211" s="628"/>
      <c r="AQ211" s="530"/>
      <c r="AR211" s="530"/>
      <c r="AS211" s="530"/>
      <c r="AT211" s="530"/>
      <c r="AU211" s="530"/>
      <c r="AV211" s="530"/>
      <c r="AW211" s="530"/>
      <c r="AX211" s="530"/>
      <c r="AY211" s="530"/>
      <c r="AZ211" s="530"/>
      <c r="BA211" s="530"/>
      <c r="BB211" s="530"/>
      <c r="BC211" s="530"/>
      <c r="BD211" s="2617"/>
      <c r="BE211" s="2617"/>
      <c r="BF211" s="2617"/>
      <c r="BG211" s="2617"/>
      <c r="BH211" s="2617"/>
      <c r="BI211" s="2617"/>
      <c r="BJ211" s="2617"/>
      <c r="BK211" s="2617"/>
      <c r="BL211" s="2617"/>
      <c r="BM211" s="2617"/>
      <c r="BN211" s="2617"/>
      <c r="BO211" s="2617"/>
      <c r="BP211" s="2617"/>
      <c r="BQ211" s="2617"/>
      <c r="BR211" s="2617"/>
      <c r="BS211" s="2617"/>
      <c r="BT211" s="2617"/>
      <c r="BU211" s="2617"/>
      <c r="BV211" s="2617"/>
      <c r="BW211" s="2617"/>
      <c r="BX211" s="2617"/>
    </row>
    <row r="212" spans="1:76" ht="12" customHeight="1" thickBot="1">
      <c r="A212" s="29"/>
      <c r="B212" s="753"/>
      <c r="AB212" s="1546"/>
      <c r="AC212" s="769"/>
      <c r="AD212" s="2265"/>
      <c r="AE212" s="3632"/>
      <c r="AF212" s="3633"/>
      <c r="AG212" s="3632"/>
      <c r="AH212" s="3632"/>
      <c r="AI212" s="3632"/>
      <c r="AJ212" s="3632"/>
      <c r="AK212" s="3632"/>
      <c r="AL212" s="628"/>
      <c r="AM212" s="628"/>
      <c r="AN212" s="628"/>
      <c r="AO212" s="628"/>
      <c r="AP212" s="628"/>
      <c r="AQ212" s="530"/>
      <c r="AR212" s="530"/>
      <c r="AS212" s="530"/>
      <c r="AT212" s="530"/>
      <c r="AU212" s="530"/>
      <c r="AV212" s="530"/>
      <c r="AW212" s="530"/>
      <c r="AX212" s="530"/>
      <c r="AY212" s="530"/>
      <c r="AZ212" s="530"/>
      <c r="BA212" s="530"/>
      <c r="BB212" s="530"/>
      <c r="BC212" s="530"/>
      <c r="BD212" s="2617"/>
      <c r="BE212" s="2617"/>
      <c r="BF212" s="2617"/>
      <c r="BG212" s="2617"/>
      <c r="BH212" s="2617"/>
      <c r="BI212" s="2617"/>
      <c r="BJ212" s="2617"/>
      <c r="BK212" s="2617"/>
      <c r="BL212" s="2617"/>
      <c r="BM212" s="2617"/>
      <c r="BN212" s="2617"/>
      <c r="BO212" s="2617"/>
      <c r="BP212" s="2617"/>
      <c r="BQ212" s="2617"/>
      <c r="BR212" s="2617"/>
      <c r="BS212" s="2617"/>
      <c r="BT212" s="2617"/>
      <c r="BU212" s="2617"/>
      <c r="BV212" s="2617"/>
      <c r="BW212" s="2617"/>
      <c r="BX212" s="2617"/>
    </row>
    <row r="213" spans="1:76" ht="12" customHeight="1">
      <c r="A213" s="29"/>
      <c r="B213" s="753"/>
      <c r="C213" s="5338" t="s">
        <v>9148</v>
      </c>
      <c r="D213" s="5341"/>
      <c r="E213" s="5342"/>
      <c r="F213" s="5342"/>
      <c r="G213" s="5342"/>
      <c r="H213" s="5342"/>
      <c r="I213" s="5342"/>
      <c r="J213" s="5342"/>
      <c r="K213" s="5342"/>
      <c r="L213" s="5342"/>
      <c r="M213" s="5342"/>
      <c r="N213" s="5342"/>
      <c r="O213" s="5342"/>
      <c r="P213" s="5342"/>
      <c r="Q213" s="5342"/>
      <c r="R213" s="5342"/>
      <c r="S213" s="5342"/>
      <c r="T213" s="5342"/>
      <c r="U213" s="5342"/>
      <c r="V213" s="5342"/>
      <c r="W213" s="5342"/>
      <c r="X213" s="5342"/>
      <c r="Y213" s="5342"/>
      <c r="Z213" s="5342"/>
      <c r="AA213" s="5343"/>
      <c r="AB213" s="1546"/>
      <c r="AC213" s="769"/>
      <c r="AD213" s="2265"/>
      <c r="AE213" s="3632"/>
      <c r="AF213" s="3633"/>
      <c r="AG213" s="3632"/>
      <c r="AH213" s="3632"/>
      <c r="AI213" s="3632"/>
      <c r="AJ213" s="3632"/>
      <c r="AK213" s="3632"/>
      <c r="AL213" s="628"/>
      <c r="AM213" s="628"/>
      <c r="AN213" s="628"/>
      <c r="AO213" s="628"/>
      <c r="AP213" s="628"/>
      <c r="AQ213" s="530"/>
      <c r="AR213" s="530"/>
      <c r="AS213" s="530"/>
      <c r="AT213" s="530"/>
      <c r="AU213" s="530"/>
      <c r="AV213" s="530"/>
      <c r="AW213" s="530"/>
      <c r="AX213" s="530"/>
      <c r="AY213" s="530"/>
      <c r="AZ213" s="530"/>
      <c r="BA213" s="530"/>
      <c r="BB213" s="530"/>
      <c r="BC213" s="530"/>
      <c r="BD213" s="2617"/>
      <c r="BE213" s="2617"/>
      <c r="BF213" s="2617"/>
      <c r="BG213" s="2617"/>
      <c r="BH213" s="2617"/>
      <c r="BI213" s="2617"/>
      <c r="BJ213" s="2617"/>
      <c r="BK213" s="2617"/>
      <c r="BL213" s="2617"/>
      <c r="BM213" s="2617"/>
      <c r="BN213" s="2617"/>
      <c r="BO213" s="2617"/>
      <c r="BP213" s="2617"/>
      <c r="BQ213" s="2617"/>
      <c r="BR213" s="2617"/>
      <c r="BS213" s="2617"/>
      <c r="BT213" s="2617"/>
      <c r="BU213" s="2617"/>
      <c r="BV213" s="2617"/>
      <c r="BW213" s="2617"/>
      <c r="BX213" s="2617"/>
    </row>
    <row r="214" spans="1:76" ht="12" customHeight="1">
      <c r="A214" s="29"/>
      <c r="B214" s="753"/>
      <c r="C214" s="5339"/>
      <c r="D214" s="5344"/>
      <c r="E214" s="4577"/>
      <c r="F214" s="4577"/>
      <c r="G214" s="4577"/>
      <c r="H214" s="4577"/>
      <c r="I214" s="4577"/>
      <c r="J214" s="4577"/>
      <c r="K214" s="4577"/>
      <c r="L214" s="4577"/>
      <c r="M214" s="4577"/>
      <c r="N214" s="4577"/>
      <c r="O214" s="4577"/>
      <c r="P214" s="4577"/>
      <c r="Q214" s="4577"/>
      <c r="R214" s="4577"/>
      <c r="S214" s="4577"/>
      <c r="T214" s="4577"/>
      <c r="U214" s="4577"/>
      <c r="V214" s="4577"/>
      <c r="W214" s="4577"/>
      <c r="X214" s="4577"/>
      <c r="Y214" s="4577"/>
      <c r="Z214" s="4577"/>
      <c r="AA214" s="5345"/>
      <c r="AB214" s="1546"/>
      <c r="AC214" s="769"/>
      <c r="AD214" s="2265"/>
      <c r="AE214" s="3632"/>
      <c r="AF214" s="3633"/>
      <c r="AG214" s="3632"/>
      <c r="AH214" s="3632"/>
      <c r="AI214" s="3632"/>
      <c r="AJ214" s="3632"/>
      <c r="AK214" s="3632"/>
      <c r="AL214" s="628"/>
      <c r="AM214" s="628"/>
      <c r="AN214" s="628"/>
      <c r="AO214" s="628"/>
      <c r="AP214" s="628"/>
      <c r="AQ214" s="530"/>
      <c r="AR214" s="530"/>
      <c r="AS214" s="530"/>
      <c r="AT214" s="530"/>
      <c r="AU214" s="530"/>
      <c r="AV214" s="530"/>
      <c r="AW214" s="530"/>
      <c r="AX214" s="530"/>
      <c r="AY214" s="530"/>
      <c r="AZ214" s="530"/>
      <c r="BA214" s="530"/>
      <c r="BB214" s="530"/>
      <c r="BC214" s="530"/>
      <c r="BD214" s="2617"/>
      <c r="BE214" s="2617"/>
      <c r="BF214" s="2617"/>
      <c r="BG214" s="2617"/>
      <c r="BH214" s="2617"/>
      <c r="BI214" s="2617"/>
      <c r="BJ214" s="2617"/>
      <c r="BK214" s="2617"/>
      <c r="BL214" s="2617"/>
      <c r="BM214" s="2617"/>
      <c r="BN214" s="2617"/>
      <c r="BO214" s="2617"/>
      <c r="BP214" s="2617"/>
      <c r="BQ214" s="2617"/>
      <c r="BR214" s="2617"/>
      <c r="BS214" s="2617"/>
      <c r="BT214" s="2617"/>
      <c r="BU214" s="2617"/>
      <c r="BV214" s="2617"/>
      <c r="BW214" s="2617"/>
      <c r="BX214" s="2617"/>
    </row>
    <row r="215" spans="1:76" ht="12" customHeight="1">
      <c r="A215" s="29"/>
      <c r="B215" s="753"/>
      <c r="C215" s="5339"/>
      <c r="D215" s="5344"/>
      <c r="E215" s="4577"/>
      <c r="F215" s="4577"/>
      <c r="G215" s="4577"/>
      <c r="H215" s="4577"/>
      <c r="I215" s="4577"/>
      <c r="J215" s="4577"/>
      <c r="K215" s="4577"/>
      <c r="L215" s="4577"/>
      <c r="M215" s="4577"/>
      <c r="N215" s="4577"/>
      <c r="O215" s="4577"/>
      <c r="P215" s="4577"/>
      <c r="Q215" s="4577"/>
      <c r="R215" s="4577"/>
      <c r="S215" s="4577"/>
      <c r="T215" s="4577"/>
      <c r="U215" s="4577"/>
      <c r="V215" s="4577"/>
      <c r="W215" s="4577"/>
      <c r="X215" s="4577"/>
      <c r="Y215" s="4577"/>
      <c r="Z215" s="4577"/>
      <c r="AA215" s="5345"/>
      <c r="AB215" s="1546"/>
      <c r="AC215" s="769"/>
      <c r="AD215" s="2265"/>
      <c r="AE215" s="3632"/>
      <c r="AF215" s="3633"/>
      <c r="AG215" s="3632"/>
      <c r="AH215" s="3632"/>
      <c r="AI215" s="3632"/>
      <c r="AJ215" s="3632"/>
      <c r="AK215" s="3632"/>
      <c r="AL215" s="628"/>
      <c r="AM215" s="628"/>
      <c r="AN215" s="628"/>
      <c r="AO215" s="628"/>
      <c r="AP215" s="628"/>
      <c r="AQ215" s="530"/>
      <c r="AR215" s="530"/>
      <c r="AS215" s="530"/>
      <c r="AT215" s="530"/>
      <c r="AU215" s="530"/>
      <c r="AV215" s="530"/>
      <c r="AW215" s="530"/>
      <c r="AX215" s="530"/>
      <c r="AY215" s="530"/>
      <c r="AZ215" s="530"/>
      <c r="BA215" s="530"/>
      <c r="BB215" s="530"/>
      <c r="BC215" s="530"/>
      <c r="BD215" s="2617"/>
      <c r="BE215" s="2617"/>
      <c r="BF215" s="2617"/>
      <c r="BG215" s="2617"/>
      <c r="BH215" s="2617"/>
      <c r="BI215" s="2617"/>
      <c r="BJ215" s="2617"/>
      <c r="BK215" s="2617"/>
      <c r="BL215" s="2617"/>
      <c r="BM215" s="2617"/>
      <c r="BN215" s="2617"/>
      <c r="BO215" s="2617"/>
      <c r="BP215" s="2617"/>
      <c r="BQ215" s="2617"/>
      <c r="BR215" s="2617"/>
      <c r="BS215" s="2617"/>
      <c r="BT215" s="2617"/>
      <c r="BU215" s="2617"/>
      <c r="BV215" s="2617"/>
      <c r="BW215" s="2617"/>
      <c r="BX215" s="2617"/>
    </row>
    <row r="216" spans="1:76" ht="12" customHeight="1" thickBot="1">
      <c r="A216" s="29"/>
      <c r="B216" s="753"/>
      <c r="C216" s="5340"/>
      <c r="D216" s="5346"/>
      <c r="E216" s="5347"/>
      <c r="F216" s="5347"/>
      <c r="G216" s="5347"/>
      <c r="H216" s="5347"/>
      <c r="I216" s="5347"/>
      <c r="J216" s="5347"/>
      <c r="K216" s="5347"/>
      <c r="L216" s="5347"/>
      <c r="M216" s="5347"/>
      <c r="N216" s="5347"/>
      <c r="O216" s="5347"/>
      <c r="P216" s="5347"/>
      <c r="Q216" s="5347"/>
      <c r="R216" s="5347"/>
      <c r="S216" s="5347"/>
      <c r="T216" s="5347"/>
      <c r="U216" s="5347"/>
      <c r="V216" s="5347"/>
      <c r="W216" s="5347"/>
      <c r="X216" s="5347"/>
      <c r="Y216" s="5347"/>
      <c r="Z216" s="5347"/>
      <c r="AA216" s="5348"/>
      <c r="AB216" s="1546"/>
      <c r="AC216" s="769"/>
      <c r="AD216" s="2265"/>
      <c r="AE216" s="3632"/>
      <c r="AF216" s="3633"/>
      <c r="AG216" s="3632"/>
      <c r="AH216" s="3632"/>
      <c r="AI216" s="3632"/>
      <c r="AJ216" s="3632"/>
      <c r="AK216" s="3632"/>
      <c r="AL216" s="628"/>
      <c r="AM216" s="628"/>
      <c r="AN216" s="628"/>
      <c r="AO216" s="628"/>
      <c r="AP216" s="628"/>
      <c r="AQ216" s="530"/>
      <c r="AR216" s="530"/>
      <c r="AS216" s="530"/>
      <c r="AT216" s="530"/>
      <c r="AU216" s="530"/>
      <c r="AV216" s="530"/>
      <c r="AW216" s="530"/>
      <c r="AX216" s="530"/>
      <c r="AY216" s="530"/>
      <c r="AZ216" s="530"/>
      <c r="BA216" s="530"/>
      <c r="BB216" s="530"/>
      <c r="BC216" s="530"/>
      <c r="BD216" s="2617"/>
      <c r="BE216" s="2617"/>
      <c r="BF216" s="2617"/>
      <c r="BG216" s="2617"/>
      <c r="BH216" s="2617"/>
      <c r="BI216" s="2617"/>
      <c r="BJ216" s="2617"/>
      <c r="BK216" s="2617"/>
      <c r="BL216" s="2617"/>
      <c r="BM216" s="2617"/>
      <c r="BN216" s="2617"/>
      <c r="BO216" s="2617"/>
      <c r="BP216" s="2617"/>
      <c r="BQ216" s="2617"/>
      <c r="BR216" s="2617"/>
      <c r="BS216" s="2617"/>
      <c r="BT216" s="2617"/>
      <c r="BU216" s="2617"/>
      <c r="BV216" s="2617"/>
      <c r="BW216" s="2617"/>
      <c r="BX216" s="2617"/>
    </row>
    <row r="217" spans="1:76" ht="12" customHeight="1" thickBot="1">
      <c r="A217" s="29"/>
      <c r="B217" s="832"/>
      <c r="C217" s="66"/>
      <c r="D217" s="66"/>
      <c r="E217" s="66"/>
      <c r="F217" s="66"/>
      <c r="G217" s="66"/>
      <c r="H217" s="66"/>
      <c r="I217" s="66"/>
      <c r="J217" s="66"/>
      <c r="K217" s="66"/>
      <c r="L217" s="66"/>
      <c r="M217" s="66"/>
      <c r="N217" s="66"/>
      <c r="O217" s="66"/>
      <c r="P217" s="66"/>
      <c r="Q217" s="66"/>
      <c r="R217" s="66"/>
      <c r="S217" s="66"/>
      <c r="T217" s="66"/>
      <c r="U217" s="66"/>
      <c r="V217" s="66"/>
      <c r="W217" s="66"/>
      <c r="X217" s="66"/>
      <c r="Y217" s="66"/>
      <c r="Z217" s="66"/>
      <c r="AA217" s="66"/>
      <c r="AB217" s="1551"/>
      <c r="AC217" s="769"/>
      <c r="AD217" s="2265"/>
      <c r="AE217" s="3632"/>
      <c r="AF217" s="3633"/>
      <c r="AG217" s="3632"/>
      <c r="AH217" s="3632"/>
      <c r="AI217" s="3632"/>
      <c r="AJ217" s="3632"/>
      <c r="AK217" s="3632"/>
      <c r="AL217" s="628"/>
      <c r="AM217" s="628"/>
      <c r="AN217" s="628"/>
      <c r="AO217" s="628"/>
      <c r="AP217" s="628"/>
      <c r="AQ217" s="530"/>
      <c r="AR217" s="530"/>
      <c r="AS217" s="530"/>
      <c r="AT217" s="530"/>
      <c r="AU217" s="530"/>
      <c r="AV217" s="530"/>
      <c r="AW217" s="530"/>
      <c r="AX217" s="530"/>
      <c r="AY217" s="530"/>
      <c r="AZ217" s="530"/>
      <c r="BA217" s="530"/>
      <c r="BB217" s="530"/>
      <c r="BC217" s="530"/>
    </row>
    <row r="218" spans="1:76" ht="12" customHeight="1">
      <c r="A218" s="859"/>
      <c r="B218" s="1620"/>
      <c r="C218" s="859"/>
      <c r="D218" s="859"/>
      <c r="E218" s="859"/>
      <c r="F218" s="859"/>
      <c r="G218" s="859"/>
      <c r="H218" s="859"/>
      <c r="I218" s="859"/>
      <c r="J218" s="859"/>
      <c r="K218" s="859"/>
      <c r="L218" s="859"/>
      <c r="M218" s="859"/>
      <c r="N218" s="859"/>
      <c r="O218" s="859"/>
      <c r="P218" s="859"/>
      <c r="Q218" s="859"/>
      <c r="R218" s="859"/>
      <c r="S218" s="859"/>
      <c r="T218" s="859"/>
      <c r="U218" s="859"/>
      <c r="V218" s="859"/>
      <c r="W218" s="859"/>
      <c r="X218" s="859"/>
      <c r="Y218" s="859"/>
      <c r="Z218" s="859"/>
      <c r="AA218" s="859"/>
      <c r="AB218" s="1259"/>
      <c r="AC218" s="1258"/>
      <c r="AD218" s="2265"/>
      <c r="AE218" s="3632"/>
      <c r="AF218" s="3633"/>
      <c r="AG218" s="3632"/>
      <c r="AH218" s="3632"/>
      <c r="AI218" s="3632"/>
      <c r="AJ218" s="3632"/>
      <c r="AK218" s="3632"/>
      <c r="AL218" s="628"/>
      <c r="AM218" s="628"/>
      <c r="AN218" s="628"/>
      <c r="AO218" s="628"/>
      <c r="AP218" s="628"/>
      <c r="AQ218" s="530"/>
      <c r="AR218" s="530"/>
      <c r="AS218" s="530"/>
      <c r="AT218" s="530"/>
      <c r="AU218" s="530"/>
      <c r="AV218" s="530"/>
      <c r="AW218" s="530"/>
      <c r="AX218" s="530"/>
      <c r="AY218" s="530"/>
      <c r="AZ218" s="530"/>
      <c r="BA218" s="530"/>
      <c r="BB218" s="530"/>
      <c r="BC218" s="530"/>
    </row>
  </sheetData>
  <sheetProtection sheet="1" selectLockedCells="1"/>
  <mergeCells count="469">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A11:AA12"/>
    <mergeCell ref="Z13:Z14"/>
    <mergeCell ref="AA13:AA14"/>
    <mergeCell ref="V7:X8"/>
    <mergeCell ref="V9:X10"/>
    <mergeCell ref="V11:X12"/>
    <mergeCell ref="V13:X14"/>
    <mergeCell ref="Y7:Y8"/>
    <mergeCell ref="Y9:Y10"/>
    <mergeCell ref="Y11:Y12"/>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95:G195"/>
    <mergeCell ref="E184:G184"/>
    <mergeCell ref="E185:G185"/>
    <mergeCell ref="E186:G186"/>
    <mergeCell ref="E182:G182"/>
    <mergeCell ref="E165:G165"/>
    <mergeCell ref="E190:G190"/>
    <mergeCell ref="E192:G192"/>
    <mergeCell ref="E167:G167"/>
    <mergeCell ref="E166:G16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O6:R6"/>
    <mergeCell ref="O7:R8"/>
    <mergeCell ref="O9:R10"/>
    <mergeCell ref="O11:R12"/>
    <mergeCell ref="O13:R14"/>
    <mergeCell ref="O15:R16"/>
    <mergeCell ref="O17:Q18"/>
    <mergeCell ref="S11:S12"/>
    <mergeCell ref="S15:S16"/>
    <mergeCell ref="S9:S10"/>
    <mergeCell ref="T9:T10"/>
    <mergeCell ref="R17:R18"/>
    <mergeCell ref="Y13:Y14"/>
    <mergeCell ref="S17:S18"/>
    <mergeCell ref="T13:T14"/>
    <mergeCell ref="T15:T16"/>
    <mergeCell ref="T7:T8"/>
    <mergeCell ref="S7:S8"/>
    <mergeCell ref="Z7:Z8"/>
    <mergeCell ref="Z9:Z10"/>
    <mergeCell ref="Z11:Z12"/>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s>
  <phoneticPr fontId="9" type="noConversion"/>
  <conditionalFormatting sqref="E49:E58">
    <cfRule type="cellIs" dxfId="2761" priority="689" stopIfTrue="1" operator="equal">
      <formula>"Tabla de Esquiva con Escudo"</formula>
    </cfRule>
  </conditionalFormatting>
  <conditionalFormatting sqref="Y203">
    <cfRule type="cellIs" dxfId="2760" priority="691" stopIfTrue="1" operator="notEqual">
      <formula>$AA$203</formula>
    </cfRule>
  </conditionalFormatting>
  <conditionalFormatting sqref="Y202">
    <cfRule type="cellIs" dxfId="2759" priority="692" stopIfTrue="1" operator="notEqual">
      <formula>$AA$202</formula>
    </cfRule>
  </conditionalFormatting>
  <conditionalFormatting sqref="Y201">
    <cfRule type="expression" dxfId="2758" priority="274" stopIfTrue="1">
      <formula>OR($AB$201&gt;$AD$201,$AB$202&gt;$AD$202)</formula>
    </cfRule>
    <cfRule type="expression" dxfId="2757" priority="693">
      <formula>OR($AB$201&lt;$AD$201,$AB$202&lt;$AD$202)</formula>
    </cfRule>
  </conditionalFormatting>
  <conditionalFormatting sqref="V44:V48">
    <cfRule type="expression" dxfId="2756" priority="1906" stopIfTrue="1">
      <formula>AND(NOT($V44="Armas improvisadas"),$Y44=0)</formula>
    </cfRule>
  </conditionalFormatting>
  <conditionalFormatting sqref="E43:K48 E78:K85">
    <cfRule type="expression" dxfId="2755" priority="1909">
      <formula>NOT(OR(L43=M43,$N43=$O43,$P43=$Q43,$R43=$S43,$T43=$U43))</formula>
    </cfRule>
  </conditionalFormatting>
  <conditionalFormatting sqref="Y43:AA48">
    <cfRule type="expression" dxfId="2754" priority="351" stopIfTrue="1">
      <formula>$V43=""</formula>
    </cfRule>
  </conditionalFormatting>
  <conditionalFormatting sqref="E59:E77">
    <cfRule type="expression" dxfId="2753" priority="315">
      <formula>OR($J59="",$AF59&gt;1)</formula>
    </cfRule>
  </conditionalFormatting>
  <conditionalFormatting sqref="L204">
    <cfRule type="expression" dxfId="2752" priority="4364" stopIfTrue="1">
      <formula>Categoría_2=0</formula>
    </cfRule>
  </conditionalFormatting>
  <conditionalFormatting sqref="N204">
    <cfRule type="expression" dxfId="2751" priority="4434" stopIfTrue="1">
      <formula>Categoría_3=0</formula>
    </cfRule>
  </conditionalFormatting>
  <conditionalFormatting sqref="P204">
    <cfRule type="expression" dxfId="2750" priority="4504" stopIfTrue="1">
      <formula>Categoría_4=0</formula>
    </cfRule>
  </conditionalFormatting>
  <conditionalFormatting sqref="R204">
    <cfRule type="expression" dxfId="2749" priority="4574" stopIfTrue="1">
      <formula>Categoría_5=0</formula>
    </cfRule>
  </conditionalFormatting>
  <conditionalFormatting sqref="N96:O96 N114:O115 N135:O136 L206:M207 L210:M211">
    <cfRule type="expression" dxfId="2748" priority="58" stopIfTrue="1">
      <formula>Categoría_2=0</formula>
    </cfRule>
  </conditionalFormatting>
  <conditionalFormatting sqref="P96:Q97 P114:Q115 P135:Q136 N206:O207 N210:O211">
    <cfRule type="expression" dxfId="2747" priority="59" stopIfTrue="1">
      <formula>Categoría_3=0</formula>
    </cfRule>
  </conditionalFormatting>
  <conditionalFormatting sqref="R96:S97 R114:S115 R135:S136 P206:Q207 P210:Q211">
    <cfRule type="expression" dxfId="2746" priority="60" stopIfTrue="1">
      <formula>Categoría_4=0</formula>
    </cfRule>
  </conditionalFormatting>
  <conditionalFormatting sqref="T96:U97 T114:U115 T135:U136 R206:S207 R210:S211">
    <cfRule type="expression" dxfId="2745" priority="72" stopIfTrue="1">
      <formula>Categoría_5=0</formula>
    </cfRule>
  </conditionalFormatting>
  <conditionalFormatting sqref="V43">
    <cfRule type="expression" dxfId="2744" priority="314" stopIfTrue="1">
      <formula>AND(NOT($V43="Armas improvisadas"),$Y43=0)</formula>
    </cfRule>
  </conditionalFormatting>
  <conditionalFormatting sqref="L96:M97">
    <cfRule type="expression" dxfId="2743" priority="73" stopIfTrue="1">
      <formula>$N$96&gt;0</formula>
    </cfRule>
  </conditionalFormatting>
  <conditionalFormatting sqref="N96:O97">
    <cfRule type="expression" dxfId="2742" priority="74" stopIfTrue="1">
      <formula>$P$96&gt;0</formula>
    </cfRule>
  </conditionalFormatting>
  <conditionalFormatting sqref="P96:Q97">
    <cfRule type="expression" dxfId="2741" priority="75" stopIfTrue="1">
      <formula>$R$96&gt;0</formula>
    </cfRule>
  </conditionalFormatting>
  <conditionalFormatting sqref="R96:S97">
    <cfRule type="expression" dxfId="2740" priority="76" stopIfTrue="1">
      <formula>$T$96&gt;0</formula>
    </cfRule>
  </conditionalFormatting>
  <conditionalFormatting sqref="L114:M115">
    <cfRule type="expression" dxfId="2739" priority="77" stopIfTrue="1">
      <formula>$N$114&gt;0</formula>
    </cfRule>
  </conditionalFormatting>
  <conditionalFormatting sqref="P114:Q115">
    <cfRule type="expression" dxfId="2738" priority="84" stopIfTrue="1">
      <formula>$R$114&gt;0</formula>
    </cfRule>
  </conditionalFormatting>
  <conditionalFormatting sqref="R114:S115">
    <cfRule type="expression" dxfId="2737" priority="91" stopIfTrue="1">
      <formula>$T$114&gt;0</formula>
    </cfRule>
  </conditionalFormatting>
  <conditionalFormatting sqref="L135:M136">
    <cfRule type="expression" dxfId="2736" priority="151" stopIfTrue="1">
      <formula>$N$135&gt;0</formula>
    </cfRule>
  </conditionalFormatting>
  <conditionalFormatting sqref="P135:Q136">
    <cfRule type="expression" dxfId="2735" priority="153" stopIfTrue="1">
      <formula>$R$135&gt;0</formula>
    </cfRule>
  </conditionalFormatting>
  <conditionalFormatting sqref="R135:S136">
    <cfRule type="expression" dxfId="2734" priority="154" stopIfTrue="1">
      <formula>$T$135&gt;0</formula>
    </cfRule>
  </conditionalFormatting>
  <conditionalFormatting sqref="E49:K58">
    <cfRule type="expression" dxfId="2733" priority="275">
      <formula>$AG49</formula>
    </cfRule>
  </conditionalFormatting>
  <conditionalFormatting sqref="W144:W196 W198 W200">
    <cfRule type="cellIs" dxfId="2732" priority="273" stopIfTrue="1" operator="greaterThan">
      <formula>MAX(Nivel_Total,1)</formula>
    </cfRule>
  </conditionalFormatting>
  <conditionalFormatting sqref="E59:K77">
    <cfRule type="expression" dxfId="2731" priority="7011">
      <formula>NOT($AL59)</formula>
    </cfRule>
  </conditionalFormatting>
  <conditionalFormatting sqref="V59:AA77">
    <cfRule type="containsText" dxfId="2730" priority="254" operator="containsText" text="FALTAN REQUISITOS">
      <formula>NOT(ISERROR(SEARCH("FALTAN REQUISITOS",V59)))</formula>
    </cfRule>
    <cfRule type="containsText" dxfId="2729" priority="255" operator="containsText" text="ARTE MARCIAL REPETIDA">
      <formula>NOT(ISERROR(SEARCH("ARTE MARCIAL REPETIDA",V59)))</formula>
    </cfRule>
    <cfRule type="containsText" dxfId="2728" priority="256" operator="containsText" text="ARTE MARCIAL SIN PAGAR">
      <formula>NOT(ISERROR(SEARCH("ARTE MARCIAL SIN PAGAR",V59)))</formula>
    </cfRule>
  </conditionalFormatting>
  <conditionalFormatting sqref="N25:N28 N30:N35 N42:N85 L30:L58 P30:P35 P42:P58 R30:R35 R42:R58 T30:T35 T42:T58">
    <cfRule type="expression" dxfId="2727" priority="238">
      <formula>L$22&lt;&gt;""</formula>
    </cfRule>
  </conditionalFormatting>
  <conditionalFormatting sqref="O25:O42 O59:O77">
    <cfRule type="expression" dxfId="2726" priority="187" stopIfTrue="1">
      <formula>N$22=""</formula>
    </cfRule>
  </conditionalFormatting>
  <conditionalFormatting sqref="L25:L28">
    <cfRule type="expression" dxfId="2725" priority="186">
      <formula>L$22&lt;&gt;""</formula>
    </cfRule>
  </conditionalFormatting>
  <conditionalFormatting sqref="M25:M58">
    <cfRule type="expression" dxfId="2724" priority="185" stopIfTrue="1">
      <formula>L$22=""</formula>
    </cfRule>
  </conditionalFormatting>
  <conditionalFormatting sqref="P25:P28">
    <cfRule type="expression" dxfId="2723" priority="184">
      <formula>P$22&lt;&gt;""</formula>
    </cfRule>
  </conditionalFormatting>
  <conditionalFormatting sqref="Q25:Q42">
    <cfRule type="expression" dxfId="2722" priority="183" stopIfTrue="1">
      <formula>P$22=""</formula>
    </cfRule>
  </conditionalFormatting>
  <conditionalFormatting sqref="R25:R28">
    <cfRule type="expression" dxfId="2721" priority="182">
      <formula>R$22&lt;&gt;""</formula>
    </cfRule>
  </conditionalFormatting>
  <conditionalFormatting sqref="S25:S42">
    <cfRule type="expression" dxfId="2720" priority="181" stopIfTrue="1">
      <formula>R$22=""</formula>
    </cfRule>
  </conditionalFormatting>
  <conditionalFormatting sqref="T25:T28">
    <cfRule type="expression" dxfId="2719" priority="180">
      <formula>T$22&lt;&gt;""</formula>
    </cfRule>
  </conditionalFormatting>
  <conditionalFormatting sqref="U25:U42">
    <cfRule type="expression" dxfId="2718" priority="179" stopIfTrue="1">
      <formula>T$22=""</formula>
    </cfRule>
  </conditionalFormatting>
  <conditionalFormatting sqref="L78:L85">
    <cfRule type="expression" dxfId="2717" priority="178">
      <formula>L$22&lt;&gt;""</formula>
    </cfRule>
  </conditionalFormatting>
  <conditionalFormatting sqref="M78:M86">
    <cfRule type="expression" dxfId="2716" priority="177" stopIfTrue="1">
      <formula>L$22=""</formula>
    </cfRule>
  </conditionalFormatting>
  <conditionalFormatting sqref="P78:P85">
    <cfRule type="expression" dxfId="2715" priority="176" stopIfTrue="1">
      <formula>P$22&lt;&gt;""</formula>
    </cfRule>
  </conditionalFormatting>
  <conditionalFormatting sqref="R78:R85">
    <cfRule type="expression" dxfId="2714" priority="174">
      <formula>R$22&lt;&gt;""</formula>
    </cfRule>
  </conditionalFormatting>
  <conditionalFormatting sqref="T78:T85">
    <cfRule type="expression" dxfId="2713" priority="172" stopIfTrue="1">
      <formula>T$22&lt;&gt;""</formula>
    </cfRule>
  </conditionalFormatting>
  <conditionalFormatting sqref="J144:J195 L144:L195 N144:N195 P144:P195 R144:R195">
    <cfRule type="expression" dxfId="2712" priority="150" stopIfTrue="1">
      <formula>J$141&lt;&gt;""</formula>
    </cfRule>
  </conditionalFormatting>
  <conditionalFormatting sqref="M144:M195 O144:O195 Q144:Q195 S144:S195 K144:K195">
    <cfRule type="expression" dxfId="2711" priority="149">
      <formula>J$141=""</formula>
    </cfRule>
  </conditionalFormatting>
  <conditionalFormatting sqref="O43:O48">
    <cfRule type="expression" dxfId="2710" priority="140" stopIfTrue="1">
      <formula>N$22=""</formula>
    </cfRule>
  </conditionalFormatting>
  <conditionalFormatting sqref="Q43:Q48">
    <cfRule type="expression" dxfId="2709" priority="139" stopIfTrue="1">
      <formula>P$22=""</formula>
    </cfRule>
  </conditionalFormatting>
  <conditionalFormatting sqref="S43:S48">
    <cfRule type="expression" dxfId="2708" priority="138" stopIfTrue="1">
      <formula>R$22=""</formula>
    </cfRule>
  </conditionalFormatting>
  <conditionalFormatting sqref="U43:U48">
    <cfRule type="expression" dxfId="2707" priority="137" stopIfTrue="1">
      <formula>T$22=""</formula>
    </cfRule>
  </conditionalFormatting>
  <conditionalFormatting sqref="O78:O85">
    <cfRule type="expression" dxfId="2706" priority="136" stopIfTrue="1">
      <formula>N$22=""</formula>
    </cfRule>
  </conditionalFormatting>
  <conditionalFormatting sqref="Q78:Q85">
    <cfRule type="expression" dxfId="2705" priority="135" stopIfTrue="1">
      <formula>P$22=""</formula>
    </cfRule>
  </conditionalFormatting>
  <conditionalFormatting sqref="S78:S85">
    <cfRule type="expression" dxfId="2704" priority="134" stopIfTrue="1">
      <formula>R$22=""</formula>
    </cfRule>
  </conditionalFormatting>
  <conditionalFormatting sqref="U78:U85">
    <cfRule type="expression" dxfId="2703" priority="133" stopIfTrue="1">
      <formula>T$22=""</formula>
    </cfRule>
  </conditionalFormatting>
  <conditionalFormatting sqref="N36:N41">
    <cfRule type="expression" dxfId="2702" priority="132">
      <formula>N$22&lt;&gt;""</formula>
    </cfRule>
  </conditionalFormatting>
  <conditionalFormatting sqref="P36:P41">
    <cfRule type="expression" dxfId="2701" priority="131">
      <formula>P$22&lt;&gt;""</formula>
    </cfRule>
  </conditionalFormatting>
  <conditionalFormatting sqref="R36:R41">
    <cfRule type="expression" dxfId="2700" priority="130">
      <formula>R$22&lt;&gt;""</formula>
    </cfRule>
  </conditionalFormatting>
  <conditionalFormatting sqref="T36:T41">
    <cfRule type="expression" dxfId="2699" priority="129">
      <formula>T$22&lt;&gt;""</formula>
    </cfRule>
  </conditionalFormatting>
  <conditionalFormatting sqref="O49:O58">
    <cfRule type="expression" dxfId="2698" priority="128" stopIfTrue="1">
      <formula>N$22=""</formula>
    </cfRule>
  </conditionalFormatting>
  <conditionalFormatting sqref="Q49:Q58">
    <cfRule type="expression" dxfId="2697" priority="127" stopIfTrue="1">
      <formula>P$22=""</formula>
    </cfRule>
  </conditionalFormatting>
  <conditionalFormatting sqref="S49:S58">
    <cfRule type="expression" dxfId="2696" priority="126" stopIfTrue="1">
      <formula>R$22=""</formula>
    </cfRule>
  </conditionalFormatting>
  <conditionalFormatting sqref="U49:U58">
    <cfRule type="expression" dxfId="2695" priority="125" stopIfTrue="1">
      <formula>T$22=""</formula>
    </cfRule>
  </conditionalFormatting>
  <conditionalFormatting sqref="AA144:AA146 AA151:AA173">
    <cfRule type="expression" dxfId="2694" priority="124" stopIfTrue="1">
      <formula>B1</formula>
    </cfRule>
  </conditionalFormatting>
  <conditionalFormatting sqref="AA147:AA150">
    <cfRule type="expression" dxfId="2693" priority="123" stopIfTrue="1">
      <formula>B4</formula>
    </cfRule>
  </conditionalFormatting>
  <conditionalFormatting sqref="AA200">
    <cfRule type="expression" dxfId="2692" priority="121" stopIfTrue="1">
      <formula>B59</formula>
    </cfRule>
  </conditionalFormatting>
  <conditionalFormatting sqref="AA144:AA195">
    <cfRule type="expression" dxfId="2691" priority="120" stopIfTrue="1">
      <formula>OR($AF144&gt;0,$AI144)</formula>
    </cfRule>
  </conditionalFormatting>
  <conditionalFormatting sqref="V78:AA80">
    <cfRule type="containsText" dxfId="2690" priority="119" operator="containsText" text="FALTAN REQUISITOS">
      <formula>NOT(ISERROR(SEARCH("FALTAN REQUISITOS",V78)))</formula>
    </cfRule>
  </conditionalFormatting>
  <conditionalFormatting sqref="K206 M206 O206 Q206 S206 K210 M210 O210 Q210 S210">
    <cfRule type="cellIs" dxfId="2689" priority="81" stopIfTrue="1" operator="greaterThan">
      <formula>J206</formula>
    </cfRule>
  </conditionalFormatting>
  <conditionalFormatting sqref="M96 O96 Q96 S96 U96 M114 O114 Q114 S114 U114 M135 O135 Q135 S135 U135">
    <cfRule type="expression" dxfId="2688" priority="5274" stopIfTrue="1">
      <formula>M96&gt;L96</formula>
    </cfRule>
  </conditionalFormatting>
  <conditionalFormatting sqref="J206:K207">
    <cfRule type="expression" dxfId="2687" priority="690">
      <formula>$L$206&gt;0</formula>
    </cfRule>
  </conditionalFormatting>
  <conditionalFormatting sqref="L206:M207">
    <cfRule type="expression" dxfId="2686" priority="109">
      <formula>$N$206&gt;0</formula>
    </cfRule>
  </conditionalFormatting>
  <conditionalFormatting sqref="N206:O207">
    <cfRule type="expression" dxfId="2685" priority="108">
      <formula>$P$206&gt;0</formula>
    </cfRule>
  </conditionalFormatting>
  <conditionalFormatting sqref="P206:Q207">
    <cfRule type="expression" dxfId="2684" priority="83">
      <formula>$R$206&gt;0</formula>
    </cfRule>
  </conditionalFormatting>
  <conditionalFormatting sqref="N114:O115">
    <cfRule type="expression" dxfId="2683" priority="79" stopIfTrue="1">
      <formula>$P$114&gt;0</formula>
    </cfRule>
  </conditionalFormatting>
  <conditionalFormatting sqref="N135:O136">
    <cfRule type="expression" dxfId="2682" priority="152" stopIfTrue="1">
      <formula>$P$135&gt;0</formula>
    </cfRule>
  </conditionalFormatting>
  <conditionalFormatting sqref="V15:AA21">
    <cfRule type="expression" dxfId="2681" priority="63" stopIfTrue="1">
      <formula>NOT(MúltiplesCategorías)</formula>
    </cfRule>
  </conditionalFormatting>
  <conditionalFormatting sqref="X20:AA20">
    <cfRule type="expression" dxfId="2680" priority="9780" stopIfTrue="1">
      <formula>$V$20=$W$20</formula>
    </cfRule>
  </conditionalFormatting>
  <conditionalFormatting sqref="O9 O11 O13 O15">
    <cfRule type="expression" dxfId="2679" priority="9740" stopIfTrue="1">
      <formula>$O$7=0</formula>
    </cfRule>
  </conditionalFormatting>
  <conditionalFormatting sqref="O11 O13 O15">
    <cfRule type="expression" dxfId="2678" priority="9749" stopIfTrue="1">
      <formula>$O$9=0</formula>
    </cfRule>
  </conditionalFormatting>
  <conditionalFormatting sqref="O13 O15">
    <cfRule type="expression" dxfId="2677" priority="9757" stopIfTrue="1">
      <formula>$O$11=0</formula>
    </cfRule>
  </conditionalFormatting>
  <conditionalFormatting sqref="O15">
    <cfRule type="expression" dxfId="2676" priority="9765" stopIfTrue="1">
      <formula>$O$13=0</formula>
    </cfRule>
  </conditionalFormatting>
  <conditionalFormatting sqref="V18:AA21">
    <cfRule type="expression" dxfId="2675" priority="64" stopIfTrue="1">
      <formula>$V$20=0</formula>
    </cfRule>
  </conditionalFormatting>
  <conditionalFormatting sqref="O19:T19">
    <cfRule type="expression" dxfId="2674" priority="62">
      <formula>$AI$13</formula>
    </cfRule>
  </conditionalFormatting>
  <conditionalFormatting sqref="J210:K211">
    <cfRule type="expression" dxfId="2673" priority="4914">
      <formula>$L$210&gt;0</formula>
    </cfRule>
  </conditionalFormatting>
  <conditionalFormatting sqref="L210:M211">
    <cfRule type="expression" dxfId="2672" priority="4920">
      <formula>$N$210&gt;0</formula>
    </cfRule>
  </conditionalFormatting>
  <conditionalFormatting sqref="N210:O211">
    <cfRule type="expression" dxfId="2671" priority="4926">
      <formula>$P$210&gt;0</formula>
    </cfRule>
  </conditionalFormatting>
  <conditionalFormatting sqref="P210:Q211">
    <cfRule type="expression" dxfId="2670" priority="9745">
      <formula>$R$210&gt;0</formula>
    </cfRule>
  </conditionalFormatting>
  <conditionalFormatting sqref="Y144:Y196 Y198 Y200">
    <cfRule type="cellIs" dxfId="2669" priority="9883" stopIfTrue="1" operator="greaterThan">
      <formula>$AA$203/5</formula>
    </cfRule>
  </conditionalFormatting>
  <conditionalFormatting sqref="X144:X196 X198 X200">
    <cfRule type="cellIs" dxfId="2668" priority="9887" stopIfTrue="1" operator="greaterThan">
      <formula>$AA$202/5</formula>
    </cfRule>
  </conditionalFormatting>
  <conditionalFormatting sqref="AA174:AA199">
    <cfRule type="expression" dxfId="2667" priority="9910" stopIfTrue="1">
      <formula>B30</formula>
    </cfRule>
  </conditionalFormatting>
  <conditionalFormatting sqref="M87:M95">
    <cfRule type="expression" dxfId="2666" priority="56" stopIfTrue="1">
      <formula>L$22=""</formula>
    </cfRule>
  </conditionalFormatting>
  <conditionalFormatting sqref="O86">
    <cfRule type="expression" dxfId="2665" priority="55" stopIfTrue="1">
      <formula>N$22=""</formula>
    </cfRule>
  </conditionalFormatting>
  <conditionalFormatting sqref="O87:O95">
    <cfRule type="expression" dxfId="2664" priority="54" stopIfTrue="1">
      <formula>N$22=""</formula>
    </cfRule>
  </conditionalFormatting>
  <conditionalFormatting sqref="Q86">
    <cfRule type="expression" dxfId="2663" priority="53" stopIfTrue="1">
      <formula>P$22=""</formula>
    </cfRule>
  </conditionalFormatting>
  <conditionalFormatting sqref="Q87:Q95">
    <cfRule type="expression" dxfId="2662" priority="52" stopIfTrue="1">
      <formula>P$22=""</formula>
    </cfRule>
  </conditionalFormatting>
  <conditionalFormatting sqref="S86">
    <cfRule type="expression" dxfId="2661" priority="51" stopIfTrue="1">
      <formula>R$22=""</formula>
    </cfRule>
  </conditionalFormatting>
  <conditionalFormatting sqref="S87:S95">
    <cfRule type="expression" dxfId="2660" priority="50" stopIfTrue="1">
      <formula>R$22=""</formula>
    </cfRule>
  </conditionalFormatting>
  <conditionalFormatting sqref="U86">
    <cfRule type="expression" dxfId="2659" priority="49" stopIfTrue="1">
      <formula>T$22=""</formula>
    </cfRule>
  </conditionalFormatting>
  <conditionalFormatting sqref="U87:U95">
    <cfRule type="expression" dxfId="2658" priority="48" stopIfTrue="1">
      <formula>T$22=""</formula>
    </cfRule>
  </conditionalFormatting>
  <conditionalFormatting sqref="L103:L113 N103:N113 P103:P113 R103:R113 T103:T113">
    <cfRule type="expression" dxfId="2657" priority="9916">
      <formula>L$100&lt;&gt;""</formula>
    </cfRule>
  </conditionalFormatting>
  <conditionalFormatting sqref="M103:M113 O103:O113 Q103:Q113 S103:S113 U103:U113">
    <cfRule type="expression" dxfId="2656" priority="9921">
      <formula>L$100=""</formula>
    </cfRule>
  </conditionalFormatting>
  <conditionalFormatting sqref="L121:L122 L124 N121:N122 N124:N125 P121:P122 R121:R122 T121:T122 P124:P125 R124:R125 T124:T125">
    <cfRule type="expression" dxfId="2655" priority="9926" stopIfTrue="1">
      <formula>L$118&lt;&gt;""</formula>
    </cfRule>
  </conditionalFormatting>
  <conditionalFormatting sqref="M121:M122 M124 O121:O122 O124:O129 Q121:Q122 Q124:Q129 S121:S122 S124:S129 U121:U122 U124:U129">
    <cfRule type="expression" dxfId="2654" priority="9931">
      <formula>L$118=""</formula>
    </cfRule>
  </conditionalFormatting>
  <conditionalFormatting sqref="L124:L129">
    <cfRule type="expression" dxfId="2653" priority="9936" stopIfTrue="1">
      <formula>L$118&lt;&gt;""</formula>
    </cfRule>
  </conditionalFormatting>
  <conditionalFormatting sqref="M124:M129">
    <cfRule type="expression" dxfId="2652" priority="9946">
      <formula>L$118=""</formula>
    </cfRule>
  </conditionalFormatting>
  <conditionalFormatting sqref="N126:N129">
    <cfRule type="expression" dxfId="2651" priority="47" stopIfTrue="1">
      <formula>N$118&lt;&gt;""</formula>
    </cfRule>
  </conditionalFormatting>
  <conditionalFormatting sqref="E86:K86">
    <cfRule type="expression" dxfId="2650" priority="43">
      <formula>$M$86=0</formula>
    </cfRule>
  </conditionalFormatting>
  <conditionalFormatting sqref="E87:K87">
    <cfRule type="expression" dxfId="2649" priority="42">
      <formula>$M$87=0</formula>
    </cfRule>
  </conditionalFormatting>
  <conditionalFormatting sqref="E88:K88">
    <cfRule type="expression" dxfId="2648" priority="41">
      <formula>$M$88=0</formula>
    </cfRule>
  </conditionalFormatting>
  <conditionalFormatting sqref="E89:K89">
    <cfRule type="expression" dxfId="2647" priority="40">
      <formula>$M$89=0</formula>
    </cfRule>
  </conditionalFormatting>
  <conditionalFormatting sqref="E90:K90">
    <cfRule type="expression" dxfId="2646" priority="39">
      <formula>$M$90=0</formula>
    </cfRule>
  </conditionalFormatting>
  <conditionalFormatting sqref="E91:K91">
    <cfRule type="expression" dxfId="2645" priority="38">
      <formula>$M$91=0</formula>
    </cfRule>
  </conditionalFormatting>
  <conditionalFormatting sqref="E92:K92">
    <cfRule type="expression" dxfId="2644" priority="37">
      <formula>$M$92=0</formula>
    </cfRule>
  </conditionalFormatting>
  <conditionalFormatting sqref="E93:K93">
    <cfRule type="expression" dxfId="2643" priority="36">
      <formula>$M$93=0</formula>
    </cfRule>
  </conditionalFormatting>
  <conditionalFormatting sqref="E94:K94">
    <cfRule type="expression" dxfId="2642" priority="35">
      <formula>$M$94=0</formula>
    </cfRule>
  </conditionalFormatting>
  <conditionalFormatting sqref="E95:K95">
    <cfRule type="expression" dxfId="2641" priority="34">
      <formula>$M$95=0</formula>
    </cfRule>
  </conditionalFormatting>
  <conditionalFormatting sqref="E125:K125">
    <cfRule type="expression" dxfId="2640" priority="33">
      <formula>$M$125=0</formula>
    </cfRule>
  </conditionalFormatting>
  <conditionalFormatting sqref="E126:K126">
    <cfRule type="expression" dxfId="2639" priority="32">
      <formula>$M$126=0</formula>
    </cfRule>
  </conditionalFormatting>
  <conditionalFormatting sqref="E127:K127">
    <cfRule type="expression" dxfId="2638" priority="31">
      <formula>$M$127=0</formula>
    </cfRule>
  </conditionalFormatting>
  <conditionalFormatting sqref="E128:K128">
    <cfRule type="expression" dxfId="2637" priority="30">
      <formula>$M$128=0</formula>
    </cfRule>
  </conditionalFormatting>
  <conditionalFormatting sqref="E129:K129">
    <cfRule type="expression" dxfId="2636" priority="29">
      <formula>$M$129=0</formula>
    </cfRule>
  </conditionalFormatting>
  <conditionalFormatting sqref="L124">
    <cfRule type="expression" dxfId="2635" priority="18">
      <formula>$E$124=""</formula>
    </cfRule>
  </conditionalFormatting>
  <conditionalFormatting sqref="L123">
    <cfRule type="expression" dxfId="2634" priority="17">
      <formula>$L$22=""</formula>
    </cfRule>
  </conditionalFormatting>
  <conditionalFormatting sqref="N123">
    <cfRule type="expression" dxfId="2633" priority="16">
      <formula>$N$22=""</formula>
    </cfRule>
  </conditionalFormatting>
  <conditionalFormatting sqref="P123">
    <cfRule type="expression" dxfId="2632" priority="15">
      <formula>$P$22=""</formula>
    </cfRule>
  </conditionalFormatting>
  <conditionalFormatting sqref="R123">
    <cfRule type="expression" dxfId="2631" priority="14">
      <formula>$R$22=""</formula>
    </cfRule>
  </conditionalFormatting>
  <conditionalFormatting sqref="T123">
    <cfRule type="expression" dxfId="2630" priority="13">
      <formula>$T$22=""</formula>
    </cfRule>
  </conditionalFormatting>
  <conditionalFormatting sqref="M123">
    <cfRule type="expression" dxfId="2629" priority="10">
      <formula>L118=""</formula>
    </cfRule>
  </conditionalFormatting>
  <conditionalFormatting sqref="O123">
    <cfRule type="expression" dxfId="2628" priority="9">
      <formula>N118=""</formula>
    </cfRule>
  </conditionalFormatting>
  <conditionalFormatting sqref="Q123">
    <cfRule type="expression" dxfId="2627" priority="8">
      <formula>P118=""</formula>
    </cfRule>
  </conditionalFormatting>
  <conditionalFormatting sqref="S123">
    <cfRule type="expression" dxfId="2626" priority="7">
      <formula>R118=""</formula>
    </cfRule>
  </conditionalFormatting>
  <conditionalFormatting sqref="U123">
    <cfRule type="expression" dxfId="2625" priority="6">
      <formula>T118=""</formula>
    </cfRule>
  </conditionalFormatting>
  <conditionalFormatting sqref="P126:P129">
    <cfRule type="expression" dxfId="2624" priority="5" stopIfTrue="1">
      <formula>P$118&lt;&gt;""</formula>
    </cfRule>
  </conditionalFormatting>
  <conditionalFormatting sqref="R126:R129">
    <cfRule type="expression" dxfId="2623" priority="4" stopIfTrue="1">
      <formula>R$118&lt;&gt;""</formula>
    </cfRule>
  </conditionalFormatting>
  <conditionalFormatting sqref="T126:T129">
    <cfRule type="expression" dxfId="2622" priority="3" stopIfTrue="1">
      <formula>T$118&lt;&gt;""</formula>
    </cfRule>
  </conditionalFormatting>
  <conditionalFormatting sqref="Y7:Y14">
    <cfRule type="expression" dxfId="2621" priority="1" stopIfTrue="1">
      <formula>NOT($Y7=$Z7+$AA7)</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8"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6"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7"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7"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Tablas!$AE$898:$AE$947</xm:f>
          </x14:formula1>
          <xm:sqref>E59:I77</xm:sqref>
        </x14:dataValidation>
        <x14:dataValidation type="list" allowBlank="1" showInputMessage="1" showErrorMessage="1" xr:uid="{00000000-0002-0000-0400-000015000000}">
          <x14:formula1>
            <xm:f>INDIRECT(Tablas!$AM893)</xm:f>
          </x14:formula1>
          <xm:sqref>M59:M77</xm:sqref>
        </x14:dataValidation>
        <x14:dataValidation type="list" allowBlank="1" showInputMessage="1" showErrorMessage="1" xr:uid="{00000000-0002-0000-0400-000016000000}">
          <x14:formula1>
            <xm:f>INDIRECT(Tablas!$AR893)</xm:f>
          </x14:formula1>
          <xm:sqref>O59:O77</xm:sqref>
        </x14:dataValidation>
        <x14:dataValidation type="list" allowBlank="1" showInputMessage="1" showErrorMessage="1" xr:uid="{00000000-0002-0000-0400-000017000000}">
          <x14:formula1>
            <xm:f>INDIRECT(Tablas!$AW893)</xm:f>
          </x14:formula1>
          <xm:sqref>Q59:Q77</xm:sqref>
        </x14:dataValidation>
        <x14:dataValidation type="list" allowBlank="1" showInputMessage="1" showErrorMessage="1" xr:uid="{00000000-0002-0000-0400-000018000000}">
          <x14:formula1>
            <xm:f>INDIRECT(Tablas!$BB893)</xm:f>
          </x14:formula1>
          <xm:sqref>S59:S77</xm:sqref>
        </x14:dataValidation>
        <x14:dataValidation type="list" allowBlank="1" showInputMessage="1" showErrorMessage="1" xr:uid="{00000000-0002-0000-0400-000019000000}">
          <x14:formula1>
            <xm:f>INDIRECT(Tablas!$BG893)</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N116"/>
  <sheetViews>
    <sheetView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530"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08" customWidth="1"/>
    <col min="44" max="44" width="5.7109375" style="530" customWidth="1"/>
    <col min="45" max="45" width="1.7109375" style="530" customWidth="1"/>
    <col min="46" max="46" width="2.5703125" style="21" customWidth="1"/>
    <col min="47" max="47" width="13.85546875" style="530" customWidth="1"/>
    <col min="48" max="48" width="15.5703125" style="530" customWidth="1"/>
    <col min="49" max="50" width="13.85546875" style="530" customWidth="1"/>
    <col min="51" max="51" width="21.28515625" style="530" customWidth="1"/>
    <col min="52" max="59" width="13.85546875" style="530" customWidth="1"/>
    <col min="60" max="16384" width="5.7109375" style="21"/>
  </cols>
  <sheetData>
    <row r="1" spans="1:66" ht="12" customHeight="1" thickBot="1">
      <c r="A1" s="9"/>
      <c r="B1" s="1044"/>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044"/>
      <c r="AS1" s="9"/>
      <c r="AT1" s="2265" t="s">
        <v>8292</v>
      </c>
      <c r="AZ1" s="3711"/>
      <c r="BH1" s="530"/>
      <c r="BI1" s="530"/>
      <c r="BJ1" s="530"/>
      <c r="BK1" s="530"/>
      <c r="BL1" s="530"/>
      <c r="BM1" s="530"/>
      <c r="BN1" s="530"/>
    </row>
    <row r="2" spans="1:66" ht="12" customHeight="1" thickBot="1">
      <c r="A2" s="9"/>
      <c r="B2" s="1048"/>
      <c r="C2" s="1020"/>
      <c r="D2" s="1020"/>
      <c r="E2" s="1020"/>
      <c r="F2" s="1020"/>
      <c r="G2" s="1020"/>
      <c r="H2" s="1020"/>
      <c r="I2" s="1020"/>
      <c r="J2" s="1020"/>
      <c r="K2" s="1020"/>
      <c r="L2" s="1020"/>
      <c r="M2" s="1020"/>
      <c r="N2" s="1020"/>
      <c r="O2" s="1020"/>
      <c r="P2" s="1020"/>
      <c r="Q2" s="1020"/>
      <c r="R2" s="1020"/>
      <c r="S2" s="1020"/>
      <c r="T2" s="1020"/>
      <c r="U2" s="1020"/>
      <c r="V2" s="1020"/>
      <c r="W2" s="1020"/>
      <c r="X2" s="1021"/>
      <c r="Y2" s="9"/>
      <c r="Z2" s="9"/>
      <c r="AA2" s="1019"/>
      <c r="AB2" s="1020"/>
      <c r="AC2" s="1020"/>
      <c r="AD2" s="1020"/>
      <c r="AE2" s="1020"/>
      <c r="AF2" s="1020"/>
      <c r="AG2" s="1020"/>
      <c r="AH2" s="1020"/>
      <c r="AI2" s="1020"/>
      <c r="AJ2" s="1020"/>
      <c r="AK2" s="1020"/>
      <c r="AL2" s="1020"/>
      <c r="AM2" s="1020"/>
      <c r="AN2" s="1020"/>
      <c r="AO2" s="1020"/>
      <c r="AP2" s="1020"/>
      <c r="AQ2" s="1020"/>
      <c r="AR2" s="1087"/>
      <c r="AS2" s="9"/>
      <c r="AT2" s="530"/>
      <c r="AZ2" s="3711"/>
      <c r="BH2" s="530"/>
      <c r="BI2" s="530"/>
      <c r="BJ2" s="530"/>
      <c r="BK2" s="530"/>
      <c r="BL2" s="530"/>
      <c r="BM2" s="530"/>
      <c r="BN2" s="530"/>
    </row>
    <row r="3" spans="1:66" ht="12" customHeight="1">
      <c r="A3" s="9"/>
      <c r="B3" s="1049"/>
      <c r="C3" s="5554" t="s">
        <v>9687</v>
      </c>
      <c r="D3" s="5555"/>
      <c r="E3" s="5555"/>
      <c r="F3" s="5555"/>
      <c r="G3" s="5555"/>
      <c r="H3" s="5555"/>
      <c r="I3" s="5555"/>
      <c r="J3" s="6"/>
      <c r="K3" s="6"/>
      <c r="L3" s="6"/>
      <c r="M3" s="6"/>
      <c r="N3" s="6"/>
      <c r="O3" s="6"/>
      <c r="P3" s="6"/>
      <c r="Q3" s="6"/>
      <c r="R3" s="6"/>
      <c r="S3" s="6"/>
      <c r="T3" s="6"/>
      <c r="U3" s="6"/>
      <c r="V3" s="6"/>
      <c r="W3" s="724"/>
      <c r="X3" s="1023"/>
      <c r="Y3" s="9"/>
      <c r="Z3" s="9"/>
      <c r="AA3" s="1022"/>
      <c r="AB3" s="5554" t="s">
        <v>9687</v>
      </c>
      <c r="AC3" s="5555"/>
      <c r="AD3" s="5555"/>
      <c r="AE3" s="5555"/>
      <c r="AF3" s="5555"/>
      <c r="AG3" s="5555"/>
      <c r="AH3" s="5555"/>
      <c r="AI3" s="6"/>
      <c r="AJ3" s="6"/>
      <c r="AK3" s="6"/>
      <c r="AL3" s="6"/>
      <c r="AM3" s="6"/>
      <c r="AN3" s="6"/>
      <c r="AO3" s="6"/>
      <c r="AP3" s="6"/>
      <c r="AQ3" s="7"/>
      <c r="AR3" s="1088"/>
      <c r="AS3" s="9"/>
      <c r="AT3" s="530"/>
      <c r="AU3" s="628" t="s">
        <v>9482</v>
      </c>
      <c r="BH3" s="530"/>
      <c r="BI3" s="530"/>
      <c r="BJ3" s="530"/>
      <c r="BK3" s="530"/>
      <c r="BL3" s="530"/>
      <c r="BM3" s="530"/>
      <c r="BN3" s="530"/>
    </row>
    <row r="4" spans="1:66" ht="12" customHeight="1">
      <c r="A4" s="9"/>
      <c r="B4" s="1049"/>
      <c r="C4" s="5556"/>
      <c r="D4" s="5557"/>
      <c r="E4" s="5557"/>
      <c r="F4" s="5557"/>
      <c r="G4" s="5557"/>
      <c r="H4" s="5557"/>
      <c r="I4" s="5557"/>
      <c r="J4" s="9"/>
      <c r="K4" s="4754" t="s">
        <v>1184</v>
      </c>
      <c r="L4" s="4754"/>
      <c r="M4" s="4373" t="str">
        <f>IF(OR(General!$F$22="",General!$F$22=0),"",General!$F$22)</f>
        <v/>
      </c>
      <c r="N4" s="4373"/>
      <c r="O4" s="4373"/>
      <c r="P4" s="4373"/>
      <c r="Q4" s="4373"/>
      <c r="R4" s="2000"/>
      <c r="S4" s="2000"/>
      <c r="T4" s="2000"/>
      <c r="U4" s="2000"/>
      <c r="V4" s="722"/>
      <c r="W4" s="10"/>
      <c r="X4" s="1023"/>
      <c r="Y4" s="9"/>
      <c r="Z4" s="9"/>
      <c r="AA4" s="1022"/>
      <c r="AB4" s="5556"/>
      <c r="AC4" s="5557"/>
      <c r="AD4" s="5557"/>
      <c r="AE4" s="5557"/>
      <c r="AF4" s="5557"/>
      <c r="AG4" s="5557"/>
      <c r="AH4" s="5557"/>
      <c r="AI4" s="9"/>
      <c r="AJ4" s="4754" t="s">
        <v>1184</v>
      </c>
      <c r="AK4" s="4754"/>
      <c r="AL4" s="4373" t="str">
        <f>IF(OR(General!$F$22="",General!$F$22=0),"",General!$F$22)</f>
        <v/>
      </c>
      <c r="AM4" s="4373"/>
      <c r="AN4" s="4373"/>
      <c r="AO4" s="4373"/>
      <c r="AP4" s="4373"/>
      <c r="AQ4" s="10"/>
      <c r="AR4" s="1088"/>
      <c r="AS4" s="9"/>
      <c r="AT4" s="530"/>
      <c r="AU4" s="628" t="s">
        <v>1826</v>
      </c>
      <c r="AV4" s="628" t="s">
        <v>9483</v>
      </c>
      <c r="AW4" s="628" t="s">
        <v>6855</v>
      </c>
      <c r="AY4" s="628" t="s">
        <v>2284</v>
      </c>
      <c r="AZ4" s="628"/>
      <c r="BH4" s="530"/>
      <c r="BI4" s="530"/>
      <c r="BJ4" s="530"/>
      <c r="BK4" s="530"/>
      <c r="BL4" s="530"/>
      <c r="BM4" s="530"/>
      <c r="BN4" s="530"/>
    </row>
    <row r="5" spans="1:66" ht="12" customHeight="1">
      <c r="A5" s="9"/>
      <c r="B5" s="1049"/>
      <c r="C5" s="5556"/>
      <c r="D5" s="5557"/>
      <c r="E5" s="5557"/>
      <c r="F5" s="5557"/>
      <c r="G5" s="5557"/>
      <c r="H5" s="5557"/>
      <c r="I5" s="5557"/>
      <c r="J5" s="9"/>
      <c r="K5" s="5535" t="s">
        <v>1185</v>
      </c>
      <c r="L5" s="5535"/>
      <c r="M5" s="4738" t="str">
        <f>IF(LEN(PDs!$E$11)&lt;=General!$AO$5,PDs!$E$11,"… /"&amp;RIGHT(PDs!$E$11,General!$AO$5-FIND("/",RIGHT(PDs!$E$11,General!$AO$5))))</f>
        <v/>
      </c>
      <c r="N5" s="4738"/>
      <c r="O5" s="4738"/>
      <c r="P5" s="1998" t="s">
        <v>1186</v>
      </c>
      <c r="Q5" s="1993" t="str">
        <f>Principal!$O$6</f>
        <v>1</v>
      </c>
      <c r="R5" s="2001"/>
      <c r="S5" s="2001"/>
      <c r="T5" s="1998" t="s">
        <v>8295</v>
      </c>
      <c r="U5" s="2002" t="str">
        <f>IF(Arma_Desarrollada="","Ninguna",Arma_Desarrollada)</f>
        <v>Arma #1</v>
      </c>
      <c r="V5" s="9"/>
      <c r="W5" s="11"/>
      <c r="X5" s="1023"/>
      <c r="Y5" s="9"/>
      <c r="Z5" s="9"/>
      <c r="AA5" s="1022"/>
      <c r="AB5" s="5556"/>
      <c r="AC5" s="5557"/>
      <c r="AD5" s="5557"/>
      <c r="AE5" s="5557"/>
      <c r="AF5" s="5557"/>
      <c r="AG5" s="5557"/>
      <c r="AH5" s="5557"/>
      <c r="AI5" s="9"/>
      <c r="AJ5" s="5535" t="s">
        <v>1185</v>
      </c>
      <c r="AK5" s="5535"/>
      <c r="AL5" s="4738" t="str">
        <f>IF(LEN(PDs!$E$11)&lt;=General!$AO$5,PDs!$E$11,"… /"&amp;RIGHT(PDs!$E$11,General!$AO$5-FIND("/",RIGHT(PDs!$E$11,General!$AO$5))))</f>
        <v/>
      </c>
      <c r="AM5" s="4738"/>
      <c r="AN5" s="4738"/>
      <c r="AO5" s="1998" t="s">
        <v>1186</v>
      </c>
      <c r="AP5" s="1993" t="str">
        <f>Principal!$O$6</f>
        <v>1</v>
      </c>
      <c r="AQ5" s="11"/>
      <c r="AR5" s="1088"/>
      <c r="AS5" s="9"/>
      <c r="AT5" s="530"/>
      <c r="AU5" s="628">
        <f>IF(OR(Principal!$P$16="",Principal!$P$16&gt;4),0,IF(Principal!$P$16=0,-120,-10*2^(4-Principal!$P$16)))</f>
        <v>0</v>
      </c>
      <c r="AV5" s="628">
        <f>IF(OR(Incansable,Ki!H62="-"),0,IF(Tablas!$G$538&gt;0,IF(OR(Tablas!$G$339&gt;0,Ki!$P$57="-"),1,2),IF(AND(Tablas!$G$339&gt;0,Ki!$P$57="-"),1/3,IF(OR(Tablas!$G$339&gt;0,Ki!$P$57="-"),1/2,1))))</f>
        <v>1</v>
      </c>
      <c r="AW5" s="628">
        <f>TRUNC(AU5*AV5)</f>
        <v>0</v>
      </c>
      <c r="AY5" s="628">
        <f>IF(AND(Tablas!G540&gt;0,Principal!P11&lt;&gt;"",Principal!$P$11&lt;AY6/3),-30,0)</f>
        <v>0</v>
      </c>
      <c r="AZ5" s="628"/>
      <c r="BH5" s="530"/>
      <c r="BI5" s="530"/>
      <c r="BJ5" s="530"/>
      <c r="BK5" s="530"/>
      <c r="BL5" s="530"/>
      <c r="BM5" s="530"/>
      <c r="BN5" s="530"/>
    </row>
    <row r="6" spans="1:66" ht="12" customHeight="1">
      <c r="A6" s="9"/>
      <c r="B6" s="1049"/>
      <c r="C6" s="5556"/>
      <c r="D6" s="5557"/>
      <c r="E6" s="5557"/>
      <c r="F6" s="5557"/>
      <c r="G6" s="5557"/>
      <c r="H6" s="5557"/>
      <c r="I6" s="5557"/>
      <c r="J6" s="9"/>
      <c r="K6" s="4362" t="s">
        <v>1405</v>
      </c>
      <c r="L6" s="4362"/>
      <c r="M6" s="4362"/>
      <c r="N6" s="4362"/>
      <c r="O6" s="4362"/>
      <c r="P6" s="4362"/>
      <c r="Q6" s="4362"/>
      <c r="R6" s="9"/>
      <c r="S6" s="9"/>
      <c r="T6" s="9"/>
      <c r="U6" s="5560"/>
      <c r="V6" s="5560"/>
      <c r="W6" s="11"/>
      <c r="X6" s="1023"/>
      <c r="Y6" s="9"/>
      <c r="Z6" s="9"/>
      <c r="AA6" s="1022"/>
      <c r="AB6" s="5556"/>
      <c r="AC6" s="5557"/>
      <c r="AD6" s="5557"/>
      <c r="AE6" s="5557"/>
      <c r="AF6" s="5557"/>
      <c r="AG6" s="5557"/>
      <c r="AH6" s="5557"/>
      <c r="AI6" s="9"/>
      <c r="AJ6" s="4362" t="s">
        <v>1406</v>
      </c>
      <c r="AK6" s="4362"/>
      <c r="AL6" s="4362"/>
      <c r="AM6" s="4362"/>
      <c r="AN6" s="4362"/>
      <c r="AO6" s="4362"/>
      <c r="AP6" s="4362"/>
      <c r="AQ6" s="11"/>
      <c r="AR6" s="1088"/>
      <c r="AS6" s="9"/>
      <c r="AT6" s="530"/>
      <c r="AW6" s="5307" t="s">
        <v>9530</v>
      </c>
      <c r="AX6" s="5307"/>
      <c r="AY6" s="530">
        <f>20+Principal!AQ12*10+IF(Principal!AQ12&lt;1,0,VLOOKUP(Principal!AQ12,Tablas!$C$14:$D$33,2))+PDs!V204+IF(Acumulacion="Sí",PDs!T204*(PDs!K204+PDs!M204+PDs!O204+PDs!Q204+PDs!S204),PDs!T204*Principal!AQ12)+PDs!X204</f>
        <v>20</v>
      </c>
      <c r="AZ6" s="3711"/>
      <c r="BH6" s="530"/>
      <c r="BI6" s="530"/>
      <c r="BJ6" s="530"/>
      <c r="BK6" s="530"/>
      <c r="BL6" s="530"/>
      <c r="BM6" s="530"/>
      <c r="BN6" s="530"/>
    </row>
    <row r="7" spans="1:66" ht="12" customHeight="1">
      <c r="A7" s="9"/>
      <c r="B7" s="1049"/>
      <c r="C7" s="5556"/>
      <c r="D7" s="5557"/>
      <c r="E7" s="5557"/>
      <c r="F7" s="5557"/>
      <c r="G7" s="5557"/>
      <c r="H7" s="5557"/>
      <c r="I7" s="5557"/>
      <c r="J7" s="9"/>
      <c r="K7" s="4362"/>
      <c r="L7" s="4362"/>
      <c r="M7" s="4362"/>
      <c r="N7" s="4362"/>
      <c r="O7" s="4362"/>
      <c r="P7" s="4362"/>
      <c r="Q7" s="4362"/>
      <c r="R7" s="9"/>
      <c r="S7" s="9"/>
      <c r="T7" s="9"/>
      <c r="U7" s="5560"/>
      <c r="V7" s="5560"/>
      <c r="W7" s="11"/>
      <c r="X7" s="1023"/>
      <c r="Y7" s="9"/>
      <c r="Z7" s="9"/>
      <c r="AA7" s="1022"/>
      <c r="AB7" s="5556"/>
      <c r="AC7" s="5557"/>
      <c r="AD7" s="5557"/>
      <c r="AE7" s="5557"/>
      <c r="AF7" s="5557"/>
      <c r="AG7" s="5557"/>
      <c r="AH7" s="5557"/>
      <c r="AI7" s="9"/>
      <c r="AJ7" s="4362"/>
      <c r="AK7" s="4362"/>
      <c r="AL7" s="4362"/>
      <c r="AM7" s="4362"/>
      <c r="AN7" s="4362"/>
      <c r="AO7" s="4362"/>
      <c r="AP7" s="4362"/>
      <c r="AQ7" s="11"/>
      <c r="AR7" s="1088"/>
      <c r="AS7" s="9"/>
      <c r="AT7" s="530"/>
      <c r="AV7" s="2265"/>
      <c r="AW7" s="628" t="s">
        <v>9531</v>
      </c>
      <c r="AX7" s="3712"/>
      <c r="AZ7" s="3711"/>
      <c r="BH7" s="530"/>
      <c r="BI7" s="530"/>
      <c r="BJ7" s="530"/>
      <c r="BK7" s="530"/>
      <c r="BL7" s="530"/>
      <c r="BM7" s="530"/>
      <c r="BN7" s="530"/>
    </row>
    <row r="8" spans="1:66" ht="12" customHeight="1" thickBot="1">
      <c r="A8" s="9"/>
      <c r="B8" s="1049"/>
      <c r="C8" s="5558"/>
      <c r="D8" s="5559"/>
      <c r="E8" s="5559"/>
      <c r="F8" s="5559"/>
      <c r="G8" s="5559"/>
      <c r="H8" s="5559"/>
      <c r="I8" s="5559"/>
      <c r="J8" s="12"/>
      <c r="K8" s="12"/>
      <c r="L8" s="12"/>
      <c r="M8" s="12"/>
      <c r="N8" s="12"/>
      <c r="O8" s="12"/>
      <c r="P8" s="12"/>
      <c r="Q8" s="12"/>
      <c r="R8" s="12"/>
      <c r="S8" s="12"/>
      <c r="T8" s="12"/>
      <c r="U8" s="12"/>
      <c r="V8" s="12"/>
      <c r="W8" s="1625" t="s">
        <v>9160</v>
      </c>
      <c r="X8" s="1023"/>
      <c r="Y8" s="9"/>
      <c r="Z8" s="9"/>
      <c r="AA8" s="1022"/>
      <c r="AB8" s="5558"/>
      <c r="AC8" s="5559"/>
      <c r="AD8" s="5559"/>
      <c r="AE8" s="5559"/>
      <c r="AF8" s="5559"/>
      <c r="AG8" s="5559"/>
      <c r="AH8" s="5559"/>
      <c r="AI8" s="12"/>
      <c r="AJ8" s="12"/>
      <c r="AK8" s="12"/>
      <c r="AL8" s="12"/>
      <c r="AM8" s="12"/>
      <c r="AN8" s="12"/>
      <c r="AO8" s="12"/>
      <c r="AP8" s="12"/>
      <c r="AQ8" s="13"/>
      <c r="AR8" s="1088"/>
      <c r="AS8" s="9"/>
      <c r="AT8" s="530"/>
      <c r="AZ8" s="3711"/>
      <c r="BH8" s="530"/>
      <c r="BI8" s="530"/>
      <c r="BJ8" s="530"/>
      <c r="BK8" s="530"/>
      <c r="BL8" s="530"/>
      <c r="BM8" s="530"/>
      <c r="BN8" s="530"/>
    </row>
    <row r="9" spans="1:66" ht="12" customHeight="1" thickBot="1">
      <c r="A9" s="9"/>
      <c r="B9" s="1049"/>
      <c r="C9" s="34"/>
      <c r="D9" s="34"/>
      <c r="E9" s="34"/>
      <c r="F9" s="34"/>
      <c r="G9" s="34"/>
      <c r="H9" s="34"/>
      <c r="I9" s="34"/>
      <c r="J9" s="34"/>
      <c r="K9" s="34"/>
      <c r="L9" s="34"/>
      <c r="M9" s="34"/>
      <c r="N9" s="34"/>
      <c r="O9" s="34"/>
      <c r="P9" s="34"/>
      <c r="Q9" s="34"/>
      <c r="R9" s="34"/>
      <c r="S9" s="34"/>
      <c r="T9" s="34"/>
      <c r="U9" s="34"/>
      <c r="X9" s="1023"/>
      <c r="Y9" s="9"/>
      <c r="Z9" s="9"/>
      <c r="AA9" s="1022"/>
      <c r="AB9" s="34"/>
      <c r="AC9" s="34"/>
      <c r="AD9" s="34"/>
      <c r="AE9" s="34"/>
      <c r="AF9" s="34"/>
      <c r="AG9" s="34"/>
      <c r="AH9" s="34"/>
      <c r="AI9" s="34"/>
      <c r="AJ9" s="34"/>
      <c r="AK9" s="34"/>
      <c r="AL9" s="34"/>
      <c r="AM9" s="34"/>
      <c r="AN9" s="34"/>
      <c r="AO9" s="34"/>
      <c r="AP9" s="34"/>
      <c r="AQ9" s="34"/>
      <c r="AR9" s="1088"/>
      <c r="AS9" s="9"/>
      <c r="AT9" s="530"/>
      <c r="AW9" s="3713" t="s">
        <v>6793</v>
      </c>
      <c r="AX9" s="3713"/>
      <c r="AY9" s="3713">
        <f t="shared" ref="AY9:BE9" si="0">IF(AY12&gt;AY13,AY12+TRUNC(AY13/2),AY13+TRUNC(AY12/2))+TRUNC(AY14/2)</f>
        <v>0</v>
      </c>
      <c r="AZ9" s="3713">
        <f t="shared" si="0"/>
        <v>0</v>
      </c>
      <c r="BA9" s="3713">
        <f t="shared" si="0"/>
        <v>0</v>
      </c>
      <c r="BB9" s="3713">
        <f t="shared" si="0"/>
        <v>0</v>
      </c>
      <c r="BC9" s="3713">
        <f t="shared" si="0"/>
        <v>0</v>
      </c>
      <c r="BD9" s="3713">
        <f t="shared" si="0"/>
        <v>0</v>
      </c>
      <c r="BE9" s="3713">
        <f t="shared" si="0"/>
        <v>0</v>
      </c>
      <c r="BH9" s="530"/>
      <c r="BI9" s="530"/>
      <c r="BJ9" s="530"/>
      <c r="BK9" s="530"/>
      <c r="BL9" s="530"/>
      <c r="BM9" s="530"/>
      <c r="BN9" s="530"/>
    </row>
    <row r="10" spans="1:66" ht="12" customHeight="1" thickBot="1">
      <c r="A10" s="9"/>
      <c r="B10" s="1049"/>
      <c r="C10" s="5536" t="s">
        <v>1407</v>
      </c>
      <c r="D10" s="5537"/>
      <c r="E10" s="5537"/>
      <c r="F10" s="5537"/>
      <c r="G10" s="5537"/>
      <c r="H10" s="5537"/>
      <c r="I10" s="5537"/>
      <c r="J10" s="5537"/>
      <c r="K10" s="5537"/>
      <c r="L10" s="5537"/>
      <c r="M10" s="5537"/>
      <c r="N10" s="5537"/>
      <c r="O10" s="5537"/>
      <c r="P10" s="5537"/>
      <c r="Q10" s="5537"/>
      <c r="R10" s="5537"/>
      <c r="S10" s="5538"/>
      <c r="U10" s="4422" t="s">
        <v>8231</v>
      </c>
      <c r="V10" s="4423"/>
      <c r="W10" s="4424"/>
      <c r="X10" s="1023"/>
      <c r="Y10" s="9"/>
      <c r="Z10" s="9"/>
      <c r="AA10" s="1022"/>
      <c r="AB10" s="5551" t="s">
        <v>1257</v>
      </c>
      <c r="AC10" s="5493" t="s">
        <v>8830</v>
      </c>
      <c r="AD10" s="5494"/>
      <c r="AE10" s="5459" t="s">
        <v>8831</v>
      </c>
      <c r="AF10" s="5460"/>
      <c r="AG10" s="530"/>
      <c r="AH10" s="4372" t="s">
        <v>1361</v>
      </c>
      <c r="AI10" s="4372"/>
      <c r="AJ10" s="4372"/>
      <c r="AK10" s="4372"/>
      <c r="AL10" s="5458" t="s">
        <v>1408</v>
      </c>
      <c r="AM10" s="5458"/>
      <c r="AN10" s="5458"/>
      <c r="AO10" s="5458"/>
      <c r="AP10" s="5458"/>
      <c r="AQ10" s="5458"/>
      <c r="AR10" s="1088"/>
      <c r="AS10" s="9"/>
      <c r="AT10" s="3711"/>
      <c r="AU10" s="3711"/>
      <c r="AW10" s="3713" t="s">
        <v>1419</v>
      </c>
      <c r="AX10" s="3711"/>
      <c r="AY10" s="3711">
        <f t="array" ref="AY10">IF(AY17&gt;LARGE(IF($AX$17:$AX$27="Natural",AY$17:AY$27,0),1),AY17+TRUNC(LARGE(IF($AX$17:$AX$27="Natural",AY$17:AY$27,0),1)/2),LARGE(IF($AX$17:$AX$27="Natural",AY$17:AY$27,0),1)+TRUNC(AY17/2))+TRUNC(LARGE(IF($AX$17:$AX$27="Natural",AY$17:AY$27,0),2)/2)</f>
        <v>0</v>
      </c>
      <c r="AZ10" s="3711">
        <f t="array" ref="AZ10">IF(AZ17&gt;LARGE(IF($AX$17:$AX$27="Natural",AZ$17:AZ$27,0),1),AZ17+TRUNC(LARGE(IF($AX$17:$AX$27="Natural",AZ$17:AZ$27,0),1)/2),LARGE(IF($AX$17:$AX$27="Natural",AZ$17:AZ$27,0),1)+TRUNC(AZ17/2))+TRUNC(LARGE(IF($AX$17:$AX$27="Natural",AZ$17:AZ$27,0),2)/2)</f>
        <v>0</v>
      </c>
      <c r="BA10" s="3711">
        <f t="array" ref="BA10">IF(BA17&gt;LARGE(IF($AX$17:$AX$27="Natural",BA$17:BA$27,0),1),BA17+TRUNC(LARGE(IF($AX$17:$AX$27="Natural",BA$17:BA$27,0),1)/2),LARGE(IF($AX$17:$AX$27="Natural",BA$17:BA$27,0),1)+TRUNC(BA17/2))+TRUNC(LARGE(IF($AX$17:$AX$27="Natural",BA$17:BA$27,0),2)/2)</f>
        <v>0</v>
      </c>
      <c r="BB10" s="3711">
        <f t="array" ref="BB10">IF(BB17&gt;LARGE(IF($AX$17:$AX$27="Natural",BB$17:BB$27,0),1),BB17+TRUNC(LARGE(IF($AX$17:$AX$27="Natural",BB$17:BB$27,0),1)/2),LARGE(IF($AX$17:$AX$27="Natural",BB$17:BB$27,0),1)+TRUNC(BB17/2))+TRUNC(LARGE(IF($AX$17:$AX$27="Natural",BB$17:BB$27,0),2)/2)</f>
        <v>0</v>
      </c>
      <c r="BC10" s="3711">
        <f t="array" ref="BC10">IF(BC17&gt;LARGE(IF($AX$17:$AX$27="Natural",BC$17:BC$27,0),1),BC17+TRUNC(LARGE(IF($AX$17:$AX$27="Natural",BC$17:BC$27,0),1)/2),LARGE(IF($AX$17:$AX$27="Natural",BC$17:BC$27,0),1)+TRUNC(BC17/2))+TRUNC(LARGE(IF($AX$17:$AX$27="Natural",BC$17:BC$27,0),2)/2)</f>
        <v>0</v>
      </c>
      <c r="BD10" s="3711">
        <f t="array" ref="BD10">IF(BD17&gt;LARGE(IF($AX$17:$AX$27="Natural",BD$17:BD$27,0),1),BD17+TRUNC(LARGE(IF($AX$17:$AX$27="Natural",BD$17:BD$27,0),1)/2),LARGE(IF($AX$17:$AX$27="Natural",BD$17:BD$27,0),1)+TRUNC(BD17/2))+TRUNC(LARGE(IF($AX$17:$AX$27="Natural",BD$17:BD$27,0),2)/2)</f>
        <v>0</v>
      </c>
      <c r="BE10" s="3711">
        <f t="array" ref="BE10">IF(BE17&gt;LARGE(IF($AX$17:$AX$27="Natural",BE$17:BE$27,0),1),BE17+TRUNC(LARGE(IF($AX$17:$AX$27="Natural",BE$17:BE$27,0),1)/2),LARGE(IF($AX$17:$AX$27="Natural",BE$17:BE$27,0),1)+TRUNC(BE17/2))+TRUNC(LARGE(IF($AX$17:$AX$27="Natural",BE$17:BE$27,0),2)/2)</f>
        <v>0</v>
      </c>
      <c r="BH10" s="530"/>
      <c r="BI10" s="530"/>
      <c r="BJ10" s="530"/>
      <c r="BK10" s="530"/>
      <c r="BL10" s="530"/>
      <c r="BM10" s="530"/>
      <c r="BN10" s="530"/>
    </row>
    <row r="11" spans="1:66" ht="12" customHeight="1" thickBot="1">
      <c r="A11" s="9"/>
      <c r="B11" s="1049"/>
      <c r="C11" s="5540" t="s">
        <v>1407</v>
      </c>
      <c r="D11" s="5541"/>
      <c r="E11" s="5541"/>
      <c r="F11" s="5542" t="s">
        <v>1189</v>
      </c>
      <c r="G11" s="5542"/>
      <c r="H11" s="1588" t="s">
        <v>1409</v>
      </c>
      <c r="I11" s="1589" t="s">
        <v>1410</v>
      </c>
      <c r="J11" s="1590" t="s">
        <v>1357</v>
      </c>
      <c r="K11" s="1590" t="s">
        <v>1411</v>
      </c>
      <c r="L11" s="1590" t="s">
        <v>1412</v>
      </c>
      <c r="M11" s="1590" t="s">
        <v>1413</v>
      </c>
      <c r="N11" s="1590" t="s">
        <v>1414</v>
      </c>
      <c r="O11" s="1590" t="s">
        <v>1415</v>
      </c>
      <c r="P11" s="1589" t="s">
        <v>1416</v>
      </c>
      <c r="Q11" s="1590" t="s">
        <v>1417</v>
      </c>
      <c r="R11" s="1591" t="s">
        <v>1418</v>
      </c>
      <c r="S11" s="1592" t="s">
        <v>6548</v>
      </c>
      <c r="U11" s="1324" t="s">
        <v>1425</v>
      </c>
      <c r="V11" s="1530" t="s">
        <v>1426</v>
      </c>
      <c r="W11" s="1364" t="s">
        <v>6855</v>
      </c>
      <c r="X11" s="532"/>
      <c r="Y11" s="9"/>
      <c r="Z11" s="9"/>
      <c r="AA11" s="1022"/>
      <c r="AB11" s="5552"/>
      <c r="AC11" s="5495"/>
      <c r="AD11" s="5496"/>
      <c r="AE11" s="5461"/>
      <c r="AF11" s="5462"/>
      <c r="AH11" s="5455" t="str">
        <f>IF(PDs!$E43=0,"",PDs!$E43)</f>
        <v/>
      </c>
      <c r="AI11" s="5455"/>
      <c r="AJ11" s="5455"/>
      <c r="AK11" s="5455"/>
      <c r="AL11" s="5456" t="str">
        <f>IF(PDs!$AD43=0,"",PDs!$V43&amp;" ")&amp;IF(PDs!$AD43=0,"",IF(PDs!$Y43=0,"",PDs!$Y43))</f>
        <v xml:space="preserve"> </v>
      </c>
      <c r="AM11" s="5456"/>
      <c r="AN11" s="5456"/>
      <c r="AO11" s="5456"/>
      <c r="AP11" s="5456"/>
      <c r="AQ11" s="5456"/>
      <c r="AR11" s="1088"/>
      <c r="AS11" s="9"/>
      <c r="AT11" s="3711"/>
      <c r="AU11" s="3711"/>
      <c r="BH11" s="530"/>
      <c r="BI11" s="530"/>
      <c r="BJ11" s="530"/>
      <c r="BK11" s="530"/>
      <c r="BL11" s="530"/>
      <c r="BM11" s="530"/>
      <c r="BN11" s="530"/>
    </row>
    <row r="12" spans="1:66" ht="12" customHeight="1" thickBot="1">
      <c r="A12" s="9"/>
      <c r="B12" s="1049"/>
      <c r="C12" s="5547"/>
      <c r="D12" s="5548"/>
      <c r="E12" s="5548"/>
      <c r="F12" s="5549" t="str">
        <f>IF(C12=0,"",VLOOKUP(C12,Tabla_Armaduras,7,FALSE))</f>
        <v/>
      </c>
      <c r="G12" s="5550"/>
      <c r="H12" s="1340"/>
      <c r="I12" s="1327">
        <f>IF(C12=0,0,H12/5+VLOOKUP($C12,Tabla_Armaduras,9,FALSE))</f>
        <v>0</v>
      </c>
      <c r="J12" s="1327">
        <f>IF(C12=0,0,H12/5+VLOOKUP($C12,Tabla_Armaduras,10,FALSE))</f>
        <v>0</v>
      </c>
      <c r="K12" s="1327">
        <f>IF(C12=0,0,H12/5+VLOOKUP($C12,Tabla_Armaduras,11,FALSE))</f>
        <v>0</v>
      </c>
      <c r="L12" s="1327">
        <f>IF(C12=0,0,H12/5+VLOOKUP($C12,Tabla_Armaduras,12,FALSE))</f>
        <v>0</v>
      </c>
      <c r="M12" s="1327">
        <f>IF(C12=0,0,H12/5+VLOOKUP($C12,Tabla_Armaduras,13,FALSE))</f>
        <v>0</v>
      </c>
      <c r="N12" s="1327">
        <f>IF(C12=0,0,H12/5+VLOOKUP($C12,Tabla_Armaduras,14,FALSE))</f>
        <v>0</v>
      </c>
      <c r="O12" s="1327">
        <f>IF(C12=0,0,IF(S12="Sí",H12/5,0)+VLOOKUP($C12,Tabla_Armaduras,15,FALSE))</f>
        <v>0</v>
      </c>
      <c r="P12" s="1574">
        <f>IF(C12=0,0,IF(Extensióndelauraalarma,10,0)+H12+VLOOKUP(C12,Tabla_Armaduras,5,FALSE))</f>
        <v>0</v>
      </c>
      <c r="Q12" s="1327">
        <f>IF(C12=0,0,H12*10+VLOOKUP(C12,Tabla_Armaduras,6,FALSE))</f>
        <v>0</v>
      </c>
      <c r="R12" s="1327">
        <f>IF(C12=0,0,MAX(VLOOKUP(C12,Tabla_Armaduras,4,FALSE)-H12/5,0))</f>
        <v>0</v>
      </c>
      <c r="S12" s="1367"/>
      <c r="U12" s="5539"/>
      <c r="V12" s="5488"/>
      <c r="W12" s="5486">
        <f>CEILING(U12/10,1)*V12/10</f>
        <v>0</v>
      </c>
      <c r="X12" s="532"/>
      <c r="Y12" s="9"/>
      <c r="Z12" s="9"/>
      <c r="AA12" s="1022"/>
      <c r="AB12" s="5552"/>
      <c r="AC12" s="5463" t="s">
        <v>8832</v>
      </c>
      <c r="AD12" s="5497"/>
      <c r="AE12" s="5463" t="s">
        <v>8833</v>
      </c>
      <c r="AF12" s="5464"/>
      <c r="AH12" s="5478" t="str">
        <f>IF(PDs!$E44=0,"",PDs!$E44)</f>
        <v/>
      </c>
      <c r="AI12" s="5478"/>
      <c r="AJ12" s="5478"/>
      <c r="AK12" s="5478"/>
      <c r="AL12" s="5457" t="str">
        <f>IF(PDs!$AD44=0,"",PDs!$V44&amp;" ")&amp;IF(PDs!$AD44=0,"",IF(PDs!$Y44=0,"",PDs!$Y44))</f>
        <v xml:space="preserve"> </v>
      </c>
      <c r="AM12" s="5457"/>
      <c r="AN12" s="5457"/>
      <c r="AO12" s="5457"/>
      <c r="AP12" s="5457"/>
      <c r="AQ12" s="5457"/>
      <c r="AR12" s="1088"/>
      <c r="AS12" s="9"/>
      <c r="AT12" s="3711"/>
      <c r="AU12" s="3711"/>
      <c r="AW12" s="3713" t="s">
        <v>9161</v>
      </c>
      <c r="AX12" s="3713"/>
      <c r="AY12" s="3711">
        <f t="array" ref="AY12">LARGE(IF($AX$18:$AX$27="Dura",AY$18:AY$27,0),1)</f>
        <v>0</v>
      </c>
      <c r="AZ12" s="3711">
        <f t="array" ref="AZ12">LARGE(IF($AX$18:$AX$27="Dura",AZ$18:AZ$27,0),1)</f>
        <v>0</v>
      </c>
      <c r="BA12" s="3711">
        <f t="array" ref="BA12">LARGE(IF($AX$18:$AX$27="Dura",BA$18:BA$27,0),1)</f>
        <v>0</v>
      </c>
      <c r="BB12" s="3711">
        <f t="array" ref="BB12">LARGE(IF($AX$18:$AX$27="Dura",BB$18:BB$27,0),1)</f>
        <v>0</v>
      </c>
      <c r="BC12" s="3711">
        <f t="array" ref="BC12">LARGE(IF($AX$18:$AX$27="Dura",BC$18:BC$27,0),1)</f>
        <v>0</v>
      </c>
      <c r="BD12" s="3711">
        <f t="array" ref="BD12">LARGE(IF($AX$18:$AX$27="Dura",BD$18:BD$27,0),1)</f>
        <v>0</v>
      </c>
      <c r="BE12" s="3711">
        <f t="array" ref="BE12">LARGE(IF($AX$18:$AX$27="Dura",BE$18:BE$27,0),1)</f>
        <v>0</v>
      </c>
      <c r="BH12" s="530"/>
      <c r="BI12" s="530"/>
      <c r="BJ12" s="530"/>
      <c r="BK12" s="530"/>
      <c r="BL12" s="530"/>
      <c r="BM12" s="530"/>
      <c r="BN12" s="530"/>
    </row>
    <row r="13" spans="1:66" ht="12" customHeight="1" thickBot="1">
      <c r="A13" s="9"/>
      <c r="B13" s="1049"/>
      <c r="C13" s="5543"/>
      <c r="D13" s="5544"/>
      <c r="E13" s="5544"/>
      <c r="F13" s="5545" t="str">
        <f>IF(C13=0,"",VLOOKUP(C13,Tabla_Armaduras,7,FALSE))</f>
        <v/>
      </c>
      <c r="G13" s="5546"/>
      <c r="H13" s="1988"/>
      <c r="I13" s="1327">
        <f>IF(C13=0,0,H13/5+VLOOKUP($C13,Tabla_Armaduras,9,FALSE))</f>
        <v>0</v>
      </c>
      <c r="J13" s="1327">
        <f>IF(C13=0,0,H13/5+VLOOKUP($C13,Tabla_Armaduras,10,FALSE))</f>
        <v>0</v>
      </c>
      <c r="K13" s="1327">
        <f>IF(C13=0,0,H13/5+VLOOKUP($C13,Tabla_Armaduras,11,FALSE))</f>
        <v>0</v>
      </c>
      <c r="L13" s="1327">
        <f>IF(C13=0,0,H13/5+VLOOKUP($C13,Tabla_Armaduras,12,FALSE))</f>
        <v>0</v>
      </c>
      <c r="M13" s="1327">
        <f>IF(C13=0,0,H13/5+VLOOKUP($C13,Tabla_Armaduras,13,FALSE))</f>
        <v>0</v>
      </c>
      <c r="N13" s="1327">
        <f>IF(C13=0,0,H13/5+VLOOKUP($C13,Tabla_Armaduras,14,FALSE))</f>
        <v>0</v>
      </c>
      <c r="O13" s="1327">
        <f>IF(C13=0,0,IF(S13="Sí",H13/5,0)+VLOOKUP($C13,Tabla_Armaduras,15,FALSE))</f>
        <v>0</v>
      </c>
      <c r="P13" s="1574">
        <f>IF(C13=0,0,IF(Extensióndelauraalarma,10,0)+H13+VLOOKUP(C13,Tabla_Armaduras,5,FALSE))</f>
        <v>0</v>
      </c>
      <c r="Q13" s="1327">
        <f>IF(C13=0,0,H13*10+VLOOKUP(C13,Tabla_Armaduras,6,FALSE))</f>
        <v>0</v>
      </c>
      <c r="R13" s="1327">
        <f>IF(C13=0,0,MAX(VLOOKUP(C13,Tabla_Armaduras,4,FALSE)-H13/5,0))</f>
        <v>0</v>
      </c>
      <c r="S13" s="1368"/>
      <c r="U13" s="5539"/>
      <c r="V13" s="5488"/>
      <c r="W13" s="5487"/>
      <c r="X13" s="532"/>
      <c r="Y13" s="9"/>
      <c r="Z13" s="9"/>
      <c r="AA13" s="1022"/>
      <c r="AB13" s="5552"/>
      <c r="AC13" s="5463"/>
      <c r="AD13" s="5497"/>
      <c r="AE13" s="5463"/>
      <c r="AF13" s="5464"/>
      <c r="AH13" s="5478" t="str">
        <f>IF(PDs!$E45=0,"",PDs!$E45)</f>
        <v/>
      </c>
      <c r="AI13" s="5478"/>
      <c r="AJ13" s="5478"/>
      <c r="AK13" s="5478"/>
      <c r="AL13" s="5457" t="str">
        <f>IF(PDs!$AD45=0,"",PDs!$V45&amp;" ")&amp;IF(PDs!$AD45=0,"",IF(PDs!$Y45=0,"",PDs!$Y45))</f>
        <v xml:space="preserve"> </v>
      </c>
      <c r="AM13" s="5457"/>
      <c r="AN13" s="5457"/>
      <c r="AO13" s="5457"/>
      <c r="AP13" s="5457"/>
      <c r="AQ13" s="5457"/>
      <c r="AR13" s="1088"/>
      <c r="AS13" s="9"/>
      <c r="AT13" s="3711"/>
      <c r="AU13" s="3711"/>
      <c r="AW13" s="3713" t="s">
        <v>9164</v>
      </c>
      <c r="AX13" s="3713"/>
      <c r="AY13" s="3711">
        <f t="array" ref="AY13">LARGE(IF($AX$18:$AX$27&lt;&gt;"Dura",AY$18:AY$27,0),1)</f>
        <v>0</v>
      </c>
      <c r="AZ13" s="3711">
        <f t="array" ref="AZ13">LARGE(IF($AX$18:$AX$27&lt;&gt;"Dura",AZ$18:AZ$27,0),1)</f>
        <v>0</v>
      </c>
      <c r="BA13" s="3711">
        <f t="array" ref="BA13">LARGE(IF($AX$18:$AX$27&lt;&gt;"Dura",BA$18:BA$27,0),1)</f>
        <v>0</v>
      </c>
      <c r="BB13" s="3711">
        <f t="array" ref="BB13">LARGE(IF($AX$18:$AX$27&lt;&gt;"Dura",BB$18:BB$27,0),1)</f>
        <v>0</v>
      </c>
      <c r="BC13" s="3711">
        <f t="array" ref="BC13">LARGE(IF($AX$18:$AX$27&lt;&gt;"Dura",BC$18:BC$27,0),1)</f>
        <v>0</v>
      </c>
      <c r="BD13" s="3711">
        <f t="array" ref="BD13">LARGE(IF($AX$18:$AX$27&lt;&gt;"Dura",BD$18:BD$27,0),1)</f>
        <v>0</v>
      </c>
      <c r="BE13" s="3711">
        <f t="array" ref="BE13">LARGE(IF($AX$18:$AX$27&lt;&gt;"Dura",BE$18:BE$27,0),1)</f>
        <v>0</v>
      </c>
      <c r="BH13" s="530"/>
      <c r="BI13" s="530"/>
      <c r="BJ13" s="530"/>
      <c r="BK13" s="530"/>
      <c r="BL13" s="530"/>
      <c r="BM13" s="530"/>
      <c r="BN13" s="530"/>
    </row>
    <row r="14" spans="1:66" ht="12" customHeight="1" thickBot="1">
      <c r="A14" s="9"/>
      <c r="B14" s="1049"/>
      <c r="C14" s="5597"/>
      <c r="D14" s="5598"/>
      <c r="E14" s="5598"/>
      <c r="F14" s="5589" t="str">
        <f>IF(C14=0,"",VLOOKUP(C14,Tabla_Armaduras,7,FALSE))</f>
        <v/>
      </c>
      <c r="G14" s="5589"/>
      <c r="H14" s="1343"/>
      <c r="I14" s="77">
        <f>IF(C14=0,0,H14/5+VLOOKUP($C14,Tabla_Armaduras,9,FALSE))</f>
        <v>0</v>
      </c>
      <c r="J14" s="1333">
        <f>IF(C14=0,0,H14/5+VLOOKUP($C14,Tabla_Armaduras,10,FALSE))</f>
        <v>0</v>
      </c>
      <c r="K14" s="1333">
        <f>IF(C14=0,0,H14/5+VLOOKUP($C14,Tabla_Armaduras,11,FALSE))</f>
        <v>0</v>
      </c>
      <c r="L14" s="1333">
        <f>IF(C14=0,0,H14/5+VLOOKUP($C14,Tabla_Armaduras,12,FALSE))</f>
        <v>0</v>
      </c>
      <c r="M14" s="1333">
        <f>IF(C14=0,0,H14/5+VLOOKUP($C14,Tabla_Armaduras,13,FALSE))</f>
        <v>0</v>
      </c>
      <c r="N14" s="1333">
        <f>IF(C14=0,0,H14/5+VLOOKUP($C14,Tabla_Armaduras,14,FALSE))</f>
        <v>0</v>
      </c>
      <c r="O14" s="41">
        <f>IF(C14=0,0,IF(S14="Sí",H14/5,0)+VLOOKUP($C14,Tabla_Armaduras,15,FALSE))</f>
        <v>0</v>
      </c>
      <c r="P14" s="77">
        <f>IF(C14=0,0,IF(Extensióndelauraalarma,10,0)+H14+VLOOKUP(C14,Tabla_Armaduras,5,FALSE))</f>
        <v>0</v>
      </c>
      <c r="Q14" s="1333">
        <f>IF(C14=0,0,H14*10+VLOOKUP(C14,Tabla_Armaduras,6,FALSE))</f>
        <v>0</v>
      </c>
      <c r="R14" s="1333">
        <f>IF(C14=0,0,MAX(VLOOKUP(C14,Tabla_Armaduras,4,FALSE)-H14/5,0))</f>
        <v>0</v>
      </c>
      <c r="S14" s="1369"/>
      <c r="U14" s="5539"/>
      <c r="V14" s="5488"/>
      <c r="W14" s="5486">
        <f>CEILING(U14/10,1)*V14/10</f>
        <v>0</v>
      </c>
      <c r="X14" s="532"/>
      <c r="Y14" s="9"/>
      <c r="Z14" s="9"/>
      <c r="AA14" s="1022"/>
      <c r="AB14" s="5552"/>
      <c r="AC14" s="1763" t="s">
        <v>1277</v>
      </c>
      <c r="AD14" s="1946"/>
      <c r="AE14" s="1763" t="s">
        <v>1277</v>
      </c>
      <c r="AF14" s="2040"/>
      <c r="AH14" s="5478" t="str">
        <f>IF(PDs!$E46=0,"",PDs!$E46)</f>
        <v/>
      </c>
      <c r="AI14" s="5478"/>
      <c r="AJ14" s="5478"/>
      <c r="AK14" s="5478"/>
      <c r="AL14" s="5457" t="str">
        <f>IF(PDs!$AD46=0,"",PDs!$V46&amp;" ")&amp;IF(PDs!$AD46=0,"",IF(PDs!$Y46=0,"",PDs!$Y46))</f>
        <v xml:space="preserve"> </v>
      </c>
      <c r="AM14" s="5457"/>
      <c r="AN14" s="5457"/>
      <c r="AO14" s="5457"/>
      <c r="AP14" s="5457"/>
      <c r="AQ14" s="5457"/>
      <c r="AR14" s="1088"/>
      <c r="AS14" s="9"/>
      <c r="AT14" s="3711"/>
      <c r="AU14" s="3711"/>
      <c r="AW14" s="3713" t="s">
        <v>9163</v>
      </c>
      <c r="AX14" s="3713"/>
      <c r="AY14" s="3711">
        <f t="array" ref="AY14">LARGE(IF($AX$18:$AX$27&lt;&gt;"Dura",AY$18:AY$27,0),2)</f>
        <v>0</v>
      </c>
      <c r="AZ14" s="3711">
        <f t="array" ref="AZ14">LARGE(IF($AX$18:$AX$27&lt;&gt;"Dura",AZ$18:AZ$27,0),2)</f>
        <v>0</v>
      </c>
      <c r="BA14" s="3711">
        <f t="array" ref="BA14">LARGE(IF($AX$18:$AX$27&lt;&gt;"Dura",BA$18:BA$27,0),2)</f>
        <v>0</v>
      </c>
      <c r="BB14" s="3711">
        <f t="array" ref="BB14">LARGE(IF($AX$18:$AX$27&lt;&gt;"Dura",BB$18:BB$27,0),2)</f>
        <v>0</v>
      </c>
      <c r="BC14" s="3711">
        <f t="array" ref="BC14">LARGE(IF($AX$18:$AX$27&lt;&gt;"Dura",BC$18:BC$27,0),2)</f>
        <v>0</v>
      </c>
      <c r="BD14" s="3711">
        <f t="array" ref="BD14">LARGE(IF($AX$18:$AX$27&lt;&gt;"Dura",BD$18:BD$27,0),2)</f>
        <v>0</v>
      </c>
      <c r="BE14" s="3711">
        <f t="array" ref="BE14">LARGE(IF($AX$18:$AX$27&lt;&gt;"Dura",BE$18:BE$27,0),2)</f>
        <v>0</v>
      </c>
      <c r="BH14" s="530"/>
      <c r="BI14" s="530"/>
      <c r="BJ14" s="530"/>
      <c r="BK14" s="530"/>
      <c r="BL14" s="530"/>
      <c r="BM14" s="530"/>
      <c r="BN14" s="530"/>
    </row>
    <row r="15" spans="1:66" ht="12" customHeight="1" thickBot="1">
      <c r="A15" s="9"/>
      <c r="B15" s="1049"/>
      <c r="C15" s="5592"/>
      <c r="D15" s="5593"/>
      <c r="E15" s="5594"/>
      <c r="F15" s="5568" t="s">
        <v>1419</v>
      </c>
      <c r="G15" s="5568"/>
      <c r="H15" s="1989"/>
      <c r="I15" s="1334">
        <f>AY10</f>
        <v>0</v>
      </c>
      <c r="J15" s="1334">
        <f t="shared" ref="J15:O15" si="1">AZ10</f>
        <v>0</v>
      </c>
      <c r="K15" s="1334">
        <f t="shared" si="1"/>
        <v>0</v>
      </c>
      <c r="L15" s="1334">
        <f t="shared" si="1"/>
        <v>0</v>
      </c>
      <c r="M15" s="1334">
        <f t="shared" si="1"/>
        <v>0</v>
      </c>
      <c r="N15" s="1334">
        <f t="shared" si="1"/>
        <v>0</v>
      </c>
      <c r="O15" s="1334">
        <f t="shared" si="1"/>
        <v>0</v>
      </c>
      <c r="P15" s="1573">
        <f>IF(C15=0,0,IF(Extensióndelauraalarma,10,0)+H15+VLOOKUP(C15,Tabla_Yelmos,4,FALSE))</f>
        <v>0</v>
      </c>
      <c r="Q15" s="1334">
        <f>IF(C15=0,0,H15*10+VLOOKUP(C15,Tabla_Yelmos,5,FALSE))</f>
        <v>0</v>
      </c>
      <c r="R15" s="1334" t="s">
        <v>1315</v>
      </c>
      <c r="S15" s="1370"/>
      <c r="U15" s="5539"/>
      <c r="V15" s="5488"/>
      <c r="W15" s="5487"/>
      <c r="X15" s="532"/>
      <c r="Y15" s="9"/>
      <c r="Z15" s="9"/>
      <c r="AA15" s="1022"/>
      <c r="AB15" s="5552"/>
      <c r="AC15" s="5491" t="s">
        <v>1209</v>
      </c>
      <c r="AD15" s="5484">
        <f>AW5+AD14+AY5</f>
        <v>0</v>
      </c>
      <c r="AE15" s="5491" t="s">
        <v>1209</v>
      </c>
      <c r="AF15" s="5489">
        <f>S16+AF14</f>
        <v>0</v>
      </c>
      <c r="AH15" s="5478" t="str">
        <f>IF(PDs!$E47=0,"",PDs!$E47)</f>
        <v/>
      </c>
      <c r="AI15" s="5478"/>
      <c r="AJ15" s="5478"/>
      <c r="AK15" s="5478"/>
      <c r="AL15" s="5457" t="str">
        <f>IF(PDs!$AD47=0,"",PDs!$V47&amp;" ")&amp;IF(PDs!$AD47=0,"",IF(PDs!$Y47=0,"",PDs!$Y47))</f>
        <v xml:space="preserve"> </v>
      </c>
      <c r="AM15" s="5457"/>
      <c r="AN15" s="5457"/>
      <c r="AO15" s="5457"/>
      <c r="AP15" s="5457"/>
      <c r="AQ15" s="5457"/>
      <c r="AR15" s="1088"/>
      <c r="AS15" s="9"/>
      <c r="AT15" s="3711"/>
      <c r="AU15" s="3711"/>
      <c r="AW15" s="3711" t="s">
        <v>6795</v>
      </c>
      <c r="AX15" s="3711"/>
      <c r="AY15" s="3711"/>
      <c r="AZ15" s="3711"/>
      <c r="BA15" s="3711"/>
      <c r="BB15" s="3711"/>
      <c r="BC15" s="3711"/>
      <c r="BD15" s="3711"/>
      <c r="BE15" s="3711"/>
      <c r="BH15" s="530"/>
      <c r="BI15" s="530"/>
      <c r="BJ15" s="530"/>
      <c r="BK15" s="530"/>
      <c r="BL15" s="530"/>
      <c r="BM15" s="530"/>
      <c r="BN15" s="530"/>
    </row>
    <row r="16" spans="1:66" ht="12" customHeight="1" thickBot="1">
      <c r="A16" s="9"/>
      <c r="B16" s="1049"/>
      <c r="C16" s="5569" t="s">
        <v>1420</v>
      </c>
      <c r="D16" s="5570"/>
      <c r="E16" s="5573">
        <f>MAX(0,R12+R13+R14-MAX(0,TRUNC((LlevarArmadura_final-H16)/50,0)))</f>
        <v>0</v>
      </c>
      <c r="F16" s="5575" t="s">
        <v>1421</v>
      </c>
      <c r="G16" s="5575"/>
      <c r="H16" s="1575">
        <f>SUM(BF17:BF20)</f>
        <v>0</v>
      </c>
      <c r="I16" s="5576">
        <f t="shared" ref="I16:O16" si="2">AY$9</f>
        <v>0</v>
      </c>
      <c r="J16" s="5563">
        <f t="shared" si="2"/>
        <v>0</v>
      </c>
      <c r="K16" s="5563">
        <f t="shared" si="2"/>
        <v>0</v>
      </c>
      <c r="L16" s="5563">
        <f t="shared" si="2"/>
        <v>0</v>
      </c>
      <c r="M16" s="5563">
        <f t="shared" si="2"/>
        <v>0</v>
      </c>
      <c r="N16" s="5563">
        <f t="shared" si="2"/>
        <v>0</v>
      </c>
      <c r="O16" s="5520">
        <f t="shared" si="2"/>
        <v>0</v>
      </c>
      <c r="P16" s="5565" t="s">
        <v>7920</v>
      </c>
      <c r="Q16" s="5566"/>
      <c r="R16" s="5566"/>
      <c r="S16" s="1051">
        <f>IF(H16=0,0,MIN(LlevarArmadura_final-H16,0))</f>
        <v>0</v>
      </c>
      <c r="U16" s="5539"/>
      <c r="V16" s="5488"/>
      <c r="W16" s="5486">
        <f>CEILING(U16/10,1)*V16/10</f>
        <v>0</v>
      </c>
      <c r="X16" s="532"/>
      <c r="Y16" s="9"/>
      <c r="Z16" s="9"/>
      <c r="AA16" s="1022"/>
      <c r="AB16" s="5553"/>
      <c r="AC16" s="5492"/>
      <c r="AD16" s="5485"/>
      <c r="AE16" s="5492"/>
      <c r="AF16" s="5490"/>
      <c r="AH16" s="5482" t="str">
        <f>IF(PDs!$E48=0,"",PDs!$E48)</f>
        <v/>
      </c>
      <c r="AI16" s="5482"/>
      <c r="AJ16" s="5482"/>
      <c r="AK16" s="5482"/>
      <c r="AL16" s="5483" t="str">
        <f>IF(PDs!$AD48=0,"",PDs!$V48&amp;" ")&amp;IF(PDs!$AD48=0,"",IF(PDs!$Y48=0,"",PDs!$Y48))</f>
        <v xml:space="preserve"> </v>
      </c>
      <c r="AM16" s="5483"/>
      <c r="AN16" s="5483"/>
      <c r="AO16" s="5483"/>
      <c r="AP16" s="5483"/>
      <c r="AQ16" s="5483"/>
      <c r="AR16" s="1088"/>
      <c r="AS16" s="9"/>
      <c r="AT16" s="628" t="s">
        <v>9102</v>
      </c>
      <c r="AU16" s="628"/>
      <c r="AW16" s="3711"/>
      <c r="AX16" s="3711" t="s">
        <v>9162</v>
      </c>
      <c r="AY16" s="3711" t="str">
        <f t="shared" ref="AY16:BE16" si="3">I11</f>
        <v>FIL</v>
      </c>
      <c r="AZ16" s="3711" t="str">
        <f t="shared" si="3"/>
        <v>CON</v>
      </c>
      <c r="BA16" s="3711" t="str">
        <f t="shared" si="3"/>
        <v>PEN</v>
      </c>
      <c r="BB16" s="3711" t="str">
        <f t="shared" si="3"/>
        <v>CAL</v>
      </c>
      <c r="BC16" s="3711" t="str">
        <f t="shared" si="3"/>
        <v>ELE</v>
      </c>
      <c r="BD16" s="3711" t="str">
        <f t="shared" si="3"/>
        <v>FRI</v>
      </c>
      <c r="BE16" s="3711" t="str">
        <f t="shared" si="3"/>
        <v>ENE</v>
      </c>
      <c r="BF16" s="530" t="s">
        <v>9589</v>
      </c>
      <c r="BG16" s="530" t="s">
        <v>9590</v>
      </c>
      <c r="BH16" s="530"/>
      <c r="BI16" s="530"/>
      <c r="BJ16" s="530"/>
      <c r="BK16" s="530"/>
      <c r="BL16" s="530"/>
      <c r="BM16" s="530"/>
      <c r="BN16" s="530"/>
    </row>
    <row r="17" spans="1:66" ht="12" customHeight="1" thickBot="1">
      <c r="A17" s="9"/>
      <c r="B17" s="1211"/>
      <c r="C17" s="5571"/>
      <c r="D17" s="5572"/>
      <c r="E17" s="5574"/>
      <c r="F17" s="5596" t="s">
        <v>1422</v>
      </c>
      <c r="G17" s="5596"/>
      <c r="H17" s="412">
        <f>SUM(BG18:BG20)</f>
        <v>0</v>
      </c>
      <c r="I17" s="5577"/>
      <c r="J17" s="5079"/>
      <c r="K17" s="5079"/>
      <c r="L17" s="5079"/>
      <c r="M17" s="5079"/>
      <c r="N17" s="5079"/>
      <c r="O17" s="5564"/>
      <c r="P17" s="5595" t="s">
        <v>7914</v>
      </c>
      <c r="Q17" s="4945"/>
      <c r="R17" s="4945"/>
      <c r="S17" s="1203">
        <f>MIN(MAX(LlevarArmadura_final-H16,0)+H17,0)+MAX(MIN(-20*IF(OR(C12=0,AX18="Natural"),0,1)-20*IF(OR(C13=0,AX19="Natural"),0,1)-20*IF(OR(C14=0,AX20="Natural"),0,1)+20,0),-40)</f>
        <v>0</v>
      </c>
      <c r="U17" s="5590"/>
      <c r="V17" s="5591"/>
      <c r="W17" s="5487"/>
      <c r="X17" s="1023"/>
      <c r="Y17" s="9"/>
      <c r="Z17" s="9"/>
      <c r="AA17" s="1022"/>
      <c r="AM17" s="21"/>
      <c r="AN17" s="21"/>
      <c r="AO17" s="21"/>
      <c r="AP17" s="21"/>
      <c r="AQ17" s="21"/>
      <c r="AR17" s="1088"/>
      <c r="AS17" s="9"/>
      <c r="AT17" s="5307">
        <f>HA_final-PDs!$X$25-IF(C20="Desarmado",IF(C21="Conocida",0,60),0)+MIN(PDs!$X$25+F24,50)+BonoMaestro_HA-IF(Tablas!$H$531&lt;&gt;0,IF(Arma_Desarrollada="Desarmado",0,30),0)</f>
        <v>-60</v>
      </c>
      <c r="AU17" s="5307"/>
      <c r="AW17" s="530" t="s">
        <v>9165</v>
      </c>
      <c r="AX17" s="530" t="s">
        <v>9166</v>
      </c>
      <c r="AY17" s="2265">
        <f>IF($C15=0,0,$H15/5+VLOOKUP($C15,Tabla_Yelmos,Tablas!H$1,FALSE))</f>
        <v>0</v>
      </c>
      <c r="AZ17" s="2265">
        <f>IF($C15=0,0,$H15/5+VLOOKUP($C15,Tabla_Yelmos,Tablas!I$1,FALSE))</f>
        <v>0</v>
      </c>
      <c r="BA17" s="2265">
        <f>IF($C15=0,0,$H15/5+VLOOKUP($C15,Tabla_Yelmos,Tablas!J$1,FALSE))</f>
        <v>0</v>
      </c>
      <c r="BB17" s="2265">
        <f>IF($C15=0,0,$H15/5+VLOOKUP($C15,Tabla_Yelmos,Tablas!K$1,FALSE))</f>
        <v>0</v>
      </c>
      <c r="BC17" s="2265">
        <f>IF($C15=0,0,$H15/5+VLOOKUP($C15,Tabla_Yelmos,Tablas!L$1,FALSE))</f>
        <v>0</v>
      </c>
      <c r="BD17" s="2265">
        <f>IF($C15=0,0,$H15/5+VLOOKUP($C15,Tabla_Yelmos,Tablas!M$1,FALSE))</f>
        <v>0</v>
      </c>
      <c r="BE17" s="2265">
        <f>IF($C15=0,0,IF(S15="Sí",$H15/5,0)+VLOOKUP($C15,Tabla_Yelmos,Tablas!N$1,FALSE))</f>
        <v>0</v>
      </c>
      <c r="BF17" s="530">
        <f>IFERROR(MAX(0,VLOOKUP(C15,Tabla_Yelmos,2,FALSE)-H15),0)</f>
        <v>0</v>
      </c>
      <c r="BH17" s="530"/>
      <c r="BI17" s="530"/>
      <c r="BJ17" s="530"/>
      <c r="BK17" s="530"/>
      <c r="BL17" s="530"/>
      <c r="BM17" s="530"/>
      <c r="BN17" s="530"/>
    </row>
    <row r="18" spans="1:66" ht="12" customHeight="1" thickBot="1">
      <c r="A18" s="9"/>
      <c r="B18" s="1049"/>
      <c r="C18" s="5567" t="str">
        <f>IF(COUNTIF(AY21:BE27,"&gt;0")&gt;0,"Armaduras especiales aplicadas:","")</f>
        <v/>
      </c>
      <c r="D18" s="5567"/>
      <c r="E18" s="5567"/>
      <c r="F18" s="5567"/>
      <c r="G18" s="5567"/>
      <c r="H18" s="5517" t="str">
        <f>BF23&amp;BG23&amp;BF24&amp;BG24&amp;BF25&amp;BG25&amp;BF26&amp;BG26&amp;BF27</f>
        <v/>
      </c>
      <c r="I18" s="5517"/>
      <c r="J18" s="5517"/>
      <c r="K18" s="5517"/>
      <c r="L18" s="5517"/>
      <c r="M18" s="5517"/>
      <c r="N18" s="5517"/>
      <c r="O18" s="5517"/>
      <c r="P18" s="5517"/>
      <c r="Q18" s="5517"/>
      <c r="R18" s="5517"/>
      <c r="S18" s="5517"/>
      <c r="T18" s="34"/>
      <c r="X18" s="1023"/>
      <c r="Y18" s="9"/>
      <c r="Z18" s="9"/>
      <c r="AA18" s="1022"/>
      <c r="AB18" s="4372" t="s">
        <v>1362</v>
      </c>
      <c r="AC18" s="4372"/>
      <c r="AD18" s="4372"/>
      <c r="AE18" s="4372"/>
      <c r="AF18" s="4372"/>
      <c r="AG18" s="4372"/>
      <c r="AH18" s="5458" t="s">
        <v>1408</v>
      </c>
      <c r="AI18" s="5458"/>
      <c r="AJ18" s="5458"/>
      <c r="AK18" s="5458"/>
      <c r="AL18" s="5458"/>
      <c r="AM18" s="5458"/>
      <c r="AN18" s="5458"/>
      <c r="AO18" s="5458"/>
      <c r="AP18" s="5458"/>
      <c r="AQ18" s="5458"/>
      <c r="AR18" s="1088"/>
      <c r="AS18" s="9"/>
      <c r="AT18" s="628" t="s">
        <v>7862</v>
      </c>
      <c r="AU18" s="628"/>
      <c r="AW18" s="3711" t="s">
        <v>6775</v>
      </c>
      <c r="AX18" s="3711">
        <f>IF(C12=0,0,VLOOKUP($C12,Tabla_Armaduras,8,FALSE))</f>
        <v>0</v>
      </c>
      <c r="AY18" s="3711">
        <f t="shared" ref="AY18:BE18" si="4">I$12</f>
        <v>0</v>
      </c>
      <c r="AZ18" s="3711">
        <f t="shared" si="4"/>
        <v>0</v>
      </c>
      <c r="BA18" s="3711">
        <f t="shared" si="4"/>
        <v>0</v>
      </c>
      <c r="BB18" s="3711">
        <f t="shared" si="4"/>
        <v>0</v>
      </c>
      <c r="BC18" s="3711">
        <f t="shared" si="4"/>
        <v>0</v>
      </c>
      <c r="BD18" s="3711">
        <f t="shared" si="4"/>
        <v>0</v>
      </c>
      <c r="BE18" s="3711">
        <f t="shared" si="4"/>
        <v>0</v>
      </c>
      <c r="BF18" s="530">
        <f>IFERROR(MAX(0,VLOOKUP(C12,Tabla_Armaduras,2,FALSE)-H12),0)</f>
        <v>0</v>
      </c>
      <c r="BG18" s="530">
        <f>IFERROR(MIN(0,VLOOKUP(C12,Tabla_Armaduras,3,FALSE)+H12),0)</f>
        <v>0</v>
      </c>
      <c r="BH18" s="530"/>
      <c r="BI18" s="530"/>
      <c r="BJ18" s="530"/>
      <c r="BK18" s="530"/>
      <c r="BL18" s="530"/>
      <c r="BM18" s="530"/>
      <c r="BN18" s="530"/>
    </row>
    <row r="19" spans="1:66" ht="12" customHeight="1" thickBot="1">
      <c r="A19" s="9"/>
      <c r="B19" s="1022"/>
      <c r="O19" s="14"/>
      <c r="X19" s="532"/>
      <c r="Y19" s="9"/>
      <c r="Z19" s="9"/>
      <c r="AA19" s="1022"/>
      <c r="AB19" s="5430" t="str">
        <f>IF(PDs!$E49="","",PDs!$E49&amp;IF(AND(PDs!AD49=1,PDs!M49/PDs!L49+PDs!O49/PDs!N49+PDs!Q49/PDs!P49+PDs!S49/PDs!R49+PDs!U49/PDs!T49&gt;1)," ("&amp;PDs!M49/PDs!L49+PDs!O49/PDs!N49+PDs!Q49/PDs!P49+PDs!S49/PDs!R49+PDs!U49/PDs!T49&amp;")",""))</f>
        <v/>
      </c>
      <c r="AC19" s="5430"/>
      <c r="AD19" s="5430"/>
      <c r="AE19" s="5430"/>
      <c r="AF19" s="5430"/>
      <c r="AG19" s="5430"/>
      <c r="AH19" s="5444" t="str">
        <f>IF(PDs!$V49=0,"",PDs!$V49)</f>
        <v/>
      </c>
      <c r="AI19" s="5444"/>
      <c r="AJ19" s="5444"/>
      <c r="AK19" s="5444"/>
      <c r="AL19" s="5444"/>
      <c r="AM19" s="5444"/>
      <c r="AN19" s="5444"/>
      <c r="AO19" s="5444"/>
      <c r="AP19" s="5444"/>
      <c r="AQ19" s="5444"/>
      <c r="AR19" s="1088"/>
      <c r="AS19" s="9"/>
      <c r="AT19" s="5307">
        <f>HP_final-PDs!$X$26-IF(C20="Desarmado",IF(C21="Conocida",0,60),0)+MIN(PDs!$X$26+H24,50)+BonoMaestro_HD-IF(Tablas!$H$531&lt;&gt;0,IF(Arma_Desarrollada="Desarmado",0,30),0)</f>
        <v>-60</v>
      </c>
      <c r="AU19" s="5307"/>
      <c r="AW19" s="3711" t="s">
        <v>6776</v>
      </c>
      <c r="AX19" s="3711">
        <f>IF(C13=0,0,VLOOKUP($C13,Tabla_Armaduras,8,FALSE))</f>
        <v>0</v>
      </c>
      <c r="AY19" s="3711">
        <f t="shared" ref="AY19:BE19" si="5">I$13</f>
        <v>0</v>
      </c>
      <c r="AZ19" s="3711">
        <f t="shared" si="5"/>
        <v>0</v>
      </c>
      <c r="BA19" s="3711">
        <f t="shared" si="5"/>
        <v>0</v>
      </c>
      <c r="BB19" s="3711">
        <f t="shared" si="5"/>
        <v>0</v>
      </c>
      <c r="BC19" s="3711">
        <f t="shared" si="5"/>
        <v>0</v>
      </c>
      <c r="BD19" s="3711">
        <f t="shared" si="5"/>
        <v>0</v>
      </c>
      <c r="BE19" s="3711">
        <f t="shared" si="5"/>
        <v>0</v>
      </c>
      <c r="BF19" s="530">
        <f>IFERROR(MAX(0,VLOOKUP(C13,Tabla_Armaduras,2,FALSE)-H13),0)</f>
        <v>0</v>
      </c>
      <c r="BG19" s="530">
        <f>IFERROR(MIN(0,VLOOKUP(C13,Tabla_Armaduras,3,FALSE)+H13),0)</f>
        <v>0</v>
      </c>
      <c r="BH19" s="530"/>
      <c r="BI19" s="530"/>
      <c r="BJ19" s="530"/>
      <c r="BK19" s="530"/>
      <c r="BL19" s="530"/>
      <c r="BM19" s="530"/>
      <c r="BN19" s="530"/>
    </row>
    <row r="20" spans="1:66" ht="12" customHeight="1" thickBot="1">
      <c r="A20" s="9"/>
      <c r="B20" s="1049"/>
      <c r="C20" s="5578" t="str">
        <f>IF(COUNTA(PDs!$E$59:$E$77)&gt;0,"Artes Marciales","Desarmado")</f>
        <v>Desarmado</v>
      </c>
      <c r="D20" s="5579"/>
      <c r="E20" s="5580"/>
      <c r="F20" s="5580"/>
      <c r="G20" s="5580"/>
      <c r="H20" s="1593" t="s">
        <v>1252</v>
      </c>
      <c r="I20" s="1594" t="s">
        <v>1423</v>
      </c>
      <c r="J20" s="5512" t="s">
        <v>1424</v>
      </c>
      <c r="K20" s="5512"/>
      <c r="L20" s="1595" t="s">
        <v>1425</v>
      </c>
      <c r="N20" s="5479" t="s">
        <v>8204</v>
      </c>
      <c r="O20" s="5480"/>
      <c r="P20" s="5481"/>
      <c r="R20" s="4352" t="s">
        <v>8250</v>
      </c>
      <c r="S20" s="4317"/>
      <c r="T20" s="4317"/>
      <c r="U20" s="4317"/>
      <c r="V20" s="4317"/>
      <c r="W20" s="4318"/>
      <c r="X20" s="532"/>
      <c r="Y20" s="9"/>
      <c r="Z20" s="9"/>
      <c r="AA20" s="1022"/>
      <c r="AB20" s="5430" t="str">
        <f>IF(PDs!$E50="","",PDs!$E50&amp;IF(AND(PDs!AD50=1,PDs!M50/PDs!L50+PDs!O50/PDs!N50+PDs!Q50/PDs!P50+PDs!S50/PDs!R50+PDs!U50/PDs!T50&gt;1)," ("&amp;PDs!M50/PDs!L50+PDs!O50/PDs!N50+PDs!Q50/PDs!P50+PDs!S50/PDs!R50+PDs!U50/PDs!T50&amp;")",""))</f>
        <v/>
      </c>
      <c r="AC20" s="5431"/>
      <c r="AD20" s="5431"/>
      <c r="AE20" s="5431"/>
      <c r="AF20" s="5431"/>
      <c r="AG20" s="5432"/>
      <c r="AH20" s="5444" t="str">
        <f>IF(PDs!$V50=0,"",PDs!$V50)</f>
        <v/>
      </c>
      <c r="AI20" s="5444"/>
      <c r="AJ20" s="5444"/>
      <c r="AK20" s="5444"/>
      <c r="AL20" s="5444"/>
      <c r="AM20" s="5444"/>
      <c r="AN20" s="5444"/>
      <c r="AO20" s="5444"/>
      <c r="AP20" s="5444"/>
      <c r="AQ20" s="5444"/>
      <c r="AR20" s="1088"/>
      <c r="AS20" s="9"/>
      <c r="AT20" s="628" t="s">
        <v>7863</v>
      </c>
      <c r="AU20" s="628"/>
      <c r="AW20" s="3711" t="s">
        <v>6777</v>
      </c>
      <c r="AX20" s="3711">
        <f>IF(C14=0,0,VLOOKUP($C14,Tabla_Armaduras,8,FALSE))</f>
        <v>0</v>
      </c>
      <c r="AY20" s="3711">
        <f t="shared" ref="AY20:BE20" si="6">I$14</f>
        <v>0</v>
      </c>
      <c r="AZ20" s="3711">
        <f t="shared" si="6"/>
        <v>0</v>
      </c>
      <c r="BA20" s="3711">
        <f t="shared" si="6"/>
        <v>0</v>
      </c>
      <c r="BB20" s="3711">
        <f t="shared" si="6"/>
        <v>0</v>
      </c>
      <c r="BC20" s="3711">
        <f t="shared" si="6"/>
        <v>0</v>
      </c>
      <c r="BD20" s="3711">
        <f t="shared" si="6"/>
        <v>0</v>
      </c>
      <c r="BE20" s="3711">
        <f t="shared" si="6"/>
        <v>0</v>
      </c>
      <c r="BF20" s="530">
        <f>IFERROR(MAX(0,VLOOKUP(C14,Tabla_Armaduras,2,FALSE)-H14),0)</f>
        <v>0</v>
      </c>
      <c r="BG20" s="530">
        <f>IFERROR(MIN(0,VLOOKUP(C14,Tabla_Armaduras,3,FALSE)+H14),0)</f>
        <v>0</v>
      </c>
      <c r="BH20" s="530"/>
      <c r="BI20" s="530"/>
      <c r="BJ20" s="530"/>
      <c r="BK20" s="530"/>
      <c r="BL20" s="530"/>
      <c r="BM20" s="530"/>
      <c r="BN20" s="530"/>
    </row>
    <row r="21" spans="1:66" ht="12" customHeight="1">
      <c r="A21" s="9"/>
      <c r="B21" s="1049"/>
      <c r="C21" s="5561" t="str">
        <f>IF(C20="Artes Marciales","Conocida",VLOOKUP(C20,Tabla_ArmasyEscudos,9,FALSE))</f>
        <v>Distinta</v>
      </c>
      <c r="D21" s="5562"/>
      <c r="E21" s="5582" t="str">
        <f>IF(OR(Tablas!$O$1013&gt;0,Tablas!$P$1013&gt;0),"B.Maestro: "&amp;IF(Tablas!$O$1013&gt;0,Tablas!$O$1013&amp;"HA","")&amp;IF(AND(Tablas!$O$1013&gt;0,Tablas!$P$1013&gt;0),", ","")&amp;IF(Tablas!$P$1013,Tablas!$P$1013&amp;"HD",""),"")</f>
        <v/>
      </c>
      <c r="F21" s="5583"/>
      <c r="G21" s="5584"/>
      <c r="H21" s="4334">
        <f>Turno_Nat_final+Combate!D24+Personalización!Y7+IFERROR(VLOOKUP(E20,Tabla_EquipoArtesMarciales,3,FALSE),0)+MIN(0,I23)</f>
        <v>40</v>
      </c>
      <c r="I21" s="5581">
        <f>MAX(HA_SinArmas+Personalización!Y8+IFERROR(VLOOKUP(E20,Tabla_EquipoArtesMarciales,4,FALSE),0))</f>
        <v>-60</v>
      </c>
      <c r="J21" s="5516">
        <f>MAX(HP_SinArmas_final,HE_SinArmas_final)</f>
        <v>0</v>
      </c>
      <c r="K21" s="5520" t="str">
        <f>IF(HP_SinArmas&gt;=HE_SinArmas,"Par","Esq")</f>
        <v>Esq</v>
      </c>
      <c r="L21" s="5521">
        <f>MAX(0,IF(C20="Desarmado",VLOOKUP(Tamaño,Tabla_CreaciónSeres,7,TRUE)+Bono_Fue,ArtesM_Daño)+L24+Personalización!Y10)</f>
        <v>5</v>
      </c>
      <c r="N21" s="5498" t="str">
        <f>IF(AU64,AU63,"")&amp;IF(AV65,", ","")&amp;IF(AV64,AV63,"")&amp;IF(AW65,", ","")&amp;IF(AW64,AW63,"")&amp;IF(AX65,", ","")&amp;IF(AX64,AX63,"")&amp;IF(AY65,", ","")&amp;IF(AY64,AY63,"")&amp;IF(AZ65,", ","")&amp;IF(AZ64,AZ63,"")</f>
        <v/>
      </c>
      <c r="O21" s="5499"/>
      <c r="P21" s="5500"/>
      <c r="R21" s="5588" t="s">
        <v>8251</v>
      </c>
      <c r="S21" s="5518"/>
      <c r="T21" s="5518"/>
      <c r="U21" s="5518" t="s">
        <v>8252</v>
      </c>
      <c r="V21" s="5518"/>
      <c r="W21" s="5519"/>
      <c r="X21" s="532"/>
      <c r="Y21" s="9"/>
      <c r="Z21" s="9"/>
      <c r="AA21" s="1022"/>
      <c r="AB21" s="5430" t="str">
        <f>IF(PDs!$E51="","",PDs!$E51&amp;IF(AND(PDs!AD51=1,PDs!M51/PDs!L51+PDs!O51/PDs!N51+PDs!Q51/PDs!P51+PDs!S51/PDs!R51+PDs!U51/PDs!T51&gt;1)," ("&amp;PDs!M51/PDs!L51+PDs!O51/PDs!N51+PDs!Q51/PDs!P51+PDs!S51/PDs!R51+PDs!U51/PDs!T51&amp;")",""))</f>
        <v/>
      </c>
      <c r="AC21" s="5431"/>
      <c r="AD21" s="5431"/>
      <c r="AE21" s="5431"/>
      <c r="AF21" s="5431"/>
      <c r="AG21" s="5432"/>
      <c r="AH21" s="5444" t="str">
        <f>IF(PDs!$V51=0,"",PDs!$V51)</f>
        <v/>
      </c>
      <c r="AI21" s="5444"/>
      <c r="AJ21" s="5444"/>
      <c r="AK21" s="5444"/>
      <c r="AL21" s="5444"/>
      <c r="AM21" s="5444"/>
      <c r="AN21" s="5444"/>
      <c r="AO21" s="5444"/>
      <c r="AP21" s="5444"/>
      <c r="AQ21" s="5444"/>
      <c r="AR21" s="1088"/>
      <c r="AS21" s="9"/>
      <c r="AT21" s="5307">
        <f>HE_final-PDs!$X$27+MIN(PDs!$X$27+J24,50)+BonoMaestro_HD</f>
        <v>0</v>
      </c>
      <c r="AU21" s="5307"/>
      <c r="AW21" s="3711" t="s">
        <v>6778</v>
      </c>
      <c r="AX21" s="3711" t="s">
        <v>1826</v>
      </c>
      <c r="AY21" s="3711">
        <f>2*Tablas!$G$334</f>
        <v>0</v>
      </c>
      <c r="AZ21" s="3711">
        <f>2*Tablas!$G$334</f>
        <v>0</v>
      </c>
      <c r="BA21" s="3711">
        <f>2*Tablas!$G$334</f>
        <v>0</v>
      </c>
      <c r="BB21" s="3711">
        <f>2*Tablas!$G$334</f>
        <v>0</v>
      </c>
      <c r="BC21" s="3711">
        <f>2*Tablas!$G$334</f>
        <v>0</v>
      </c>
      <c r="BD21" s="3711">
        <f>2*Tablas!$G$334</f>
        <v>0</v>
      </c>
      <c r="BE21" s="3711">
        <f>4*Tablas!G335</f>
        <v>0</v>
      </c>
      <c r="BH21" s="530"/>
      <c r="BI21" s="530"/>
      <c r="BJ21" s="530"/>
      <c r="BK21" s="530"/>
      <c r="BL21" s="530"/>
      <c r="BM21" s="530"/>
      <c r="BN21" s="530"/>
    </row>
    <row r="22" spans="1:66" ht="12" customHeight="1" thickBot="1">
      <c r="A22" s="9"/>
      <c r="B22" s="1049"/>
      <c r="C22" s="411" t="s">
        <v>1427</v>
      </c>
      <c r="D22" s="68" t="s">
        <v>1428</v>
      </c>
      <c r="E22" s="71" t="s">
        <v>1416</v>
      </c>
      <c r="F22" s="71" t="s">
        <v>1429</v>
      </c>
      <c r="G22" s="71" t="s">
        <v>1417</v>
      </c>
      <c r="H22" s="5513"/>
      <c r="I22" s="5513"/>
      <c r="J22" s="5516"/>
      <c r="K22" s="5520"/>
      <c r="L22" s="5522"/>
      <c r="N22" s="5501"/>
      <c r="O22" s="5502"/>
      <c r="P22" s="5503"/>
      <c r="R22" s="5533"/>
      <c r="S22" s="5527"/>
      <c r="T22" s="5527"/>
      <c r="U22" s="5585"/>
      <c r="V22" s="5586"/>
      <c r="W22" s="5587"/>
      <c r="X22" s="532"/>
      <c r="Y22" s="9"/>
      <c r="Z22" s="9"/>
      <c r="AA22" s="1022"/>
      <c r="AB22" s="5430" t="str">
        <f>IF(PDs!$E52="","",PDs!$E52&amp;IF(AND(PDs!AD52=1,PDs!M52/PDs!L52+PDs!O52/PDs!N52+PDs!Q52/PDs!P52+PDs!S52/PDs!R52+PDs!U52/PDs!T52&gt;1)," ("&amp;PDs!M52/PDs!L52+PDs!O52/PDs!N52+PDs!Q52/PDs!P52+PDs!S52/PDs!R52+PDs!U52/PDs!T52&amp;")",""))</f>
        <v/>
      </c>
      <c r="AC22" s="5431"/>
      <c r="AD22" s="5431"/>
      <c r="AE22" s="5431"/>
      <c r="AF22" s="5431"/>
      <c r="AG22" s="5432"/>
      <c r="AH22" s="5444" t="str">
        <f>IF(PDs!$V52=0,"",PDs!$V52)</f>
        <v/>
      </c>
      <c r="AI22" s="5444"/>
      <c r="AJ22" s="5444"/>
      <c r="AK22" s="5444"/>
      <c r="AL22" s="5444"/>
      <c r="AM22" s="5444"/>
      <c r="AN22" s="5444"/>
      <c r="AO22" s="5444"/>
      <c r="AP22" s="5444"/>
      <c r="AQ22" s="5444"/>
      <c r="AR22" s="1088"/>
      <c r="AS22" s="9"/>
      <c r="AT22" s="628" t="s">
        <v>9103</v>
      </c>
      <c r="AU22" s="628"/>
      <c r="AW22" s="3711" t="s">
        <v>6779</v>
      </c>
      <c r="AX22" s="3711" t="s">
        <v>1826</v>
      </c>
      <c r="AY22" s="3711">
        <f>Tablas!S$1635</f>
        <v>0</v>
      </c>
      <c r="AZ22" s="3711">
        <f>Tablas!S$1636</f>
        <v>0</v>
      </c>
      <c r="BA22" s="3711">
        <f>Tablas!S$1637</f>
        <v>0</v>
      </c>
      <c r="BB22" s="3711">
        <f>Tablas!S$1638</f>
        <v>0</v>
      </c>
      <c r="BC22" s="3711">
        <f>Tablas!S$1639</f>
        <v>0</v>
      </c>
      <c r="BD22" s="3711">
        <f>Tablas!S$1640</f>
        <v>0</v>
      </c>
      <c r="BE22" s="3711">
        <f>Tablas!S$1641</f>
        <v>0</v>
      </c>
      <c r="BH22" s="530"/>
      <c r="BI22" s="530"/>
      <c r="BJ22" s="530"/>
      <c r="BK22" s="530"/>
      <c r="BL22" s="530"/>
      <c r="BM22" s="530"/>
      <c r="BN22" s="530"/>
    </row>
    <row r="23" spans="1:66" ht="12" customHeight="1" thickBot="1">
      <c r="A23" s="9"/>
      <c r="B23" s="1049"/>
      <c r="C23" s="959" t="s">
        <v>1357</v>
      </c>
      <c r="D23" s="1327" t="s">
        <v>1315</v>
      </c>
      <c r="E23" s="1327">
        <f>MAX(0,MAX(CON,DES)+IF(Extensióndelauraalarma,10,0)+IF($E$20="Armas Naturales",VLOOKUP(Tamaño,Tabla_CreaciónSeres,10),0)+IF(Tabla_Desvío,DES,0)+Tablas!$L$1013)</f>
        <v>0</v>
      </c>
      <c r="F23" s="1327">
        <f>IF(FUE=0,0,-2+VLOOKUP(FUE,Tabla_Fuerza,2)+IF(Extensióndelauraalarma,5,0)+IF($E$20="Armas Naturales",VLOOKUP(Tamaño,Tabla_CreaciónSeres,9),0)+IF(Ojos_de_la_Muerte,5,0)+Tablas!$M$1013)</f>
        <v>0</v>
      </c>
      <c r="G23" s="1327">
        <f>Presencia_final*IF(OR(Extrusióndepresencia,Extrusióndevacío),2,1)</f>
        <v>30</v>
      </c>
      <c r="H23" s="1212" t="str">
        <f>IF(AND(E20&lt;&gt;"Sin equipo",E20&lt;&gt;""),"Calidad:","")</f>
        <v/>
      </c>
      <c r="I23" s="1519"/>
      <c r="J23" s="5602" t="str">
        <f>IF(OR(I23=0,E20=""),"","TA defensor:")</f>
        <v/>
      </c>
      <c r="K23" s="5602"/>
      <c r="L23" s="1336" t="str">
        <f>IF(J23="TA defensor:",I23/(-5),"")</f>
        <v/>
      </c>
      <c r="N23" s="4422" t="s">
        <v>8059</v>
      </c>
      <c r="O23" s="4423"/>
      <c r="P23" s="4424"/>
      <c r="R23" s="5532"/>
      <c r="S23" s="5524"/>
      <c r="T23" s="5524"/>
      <c r="U23" s="5523"/>
      <c r="V23" s="5524"/>
      <c r="W23" s="5525"/>
      <c r="X23" s="532"/>
      <c r="Y23" s="9"/>
      <c r="Z23" s="9"/>
      <c r="AA23" s="1022"/>
      <c r="AB23" s="5430" t="str">
        <f>IF(PDs!$E53="","",PDs!$E53&amp;IF(AND(PDs!AD53=1,PDs!M53/PDs!L53+PDs!O53/PDs!N53+PDs!Q53/PDs!P53+PDs!S53/PDs!R53+PDs!U53/PDs!T53&gt;1)," ("&amp;PDs!M53/PDs!L53+PDs!O53/PDs!N53+PDs!Q53/PDs!P53+PDs!S53/PDs!R53+PDs!U53/PDs!T53&amp;")",""))</f>
        <v/>
      </c>
      <c r="AC23" s="5431"/>
      <c r="AD23" s="5431"/>
      <c r="AE23" s="5431"/>
      <c r="AF23" s="5431"/>
      <c r="AG23" s="5432"/>
      <c r="AH23" s="5444" t="str">
        <f>IF(PDs!$V53=0,"",PDs!$V53)</f>
        <v/>
      </c>
      <c r="AI23" s="5444"/>
      <c r="AJ23" s="5444"/>
      <c r="AK23" s="5444"/>
      <c r="AL23" s="5444"/>
      <c r="AM23" s="5444"/>
      <c r="AN23" s="5444"/>
      <c r="AO23" s="5444"/>
      <c r="AP23" s="5444"/>
      <c r="AQ23" s="5444"/>
      <c r="AR23" s="1088"/>
      <c r="AS23" s="9"/>
      <c r="AT23" s="5307">
        <f>MAX(HP_SinArmas,HE_SinArmas)</f>
        <v>0</v>
      </c>
      <c r="AU23" s="5307"/>
      <c r="AW23" s="3711" t="s">
        <v>6781</v>
      </c>
      <c r="AX23" s="3711" t="s">
        <v>1826</v>
      </c>
      <c r="AY23" s="3711">
        <f t="shared" ref="AY23:BE23" si="7">IF(Acumulacion="Sí",VLOOKUP(Tamaño,Tabla_CreaciónSeres,6),0)</f>
        <v>0</v>
      </c>
      <c r="AZ23" s="3711">
        <f t="shared" si="7"/>
        <v>0</v>
      </c>
      <c r="BA23" s="3711">
        <f t="shared" si="7"/>
        <v>0</v>
      </c>
      <c r="BB23" s="3711">
        <f t="shared" si="7"/>
        <v>0</v>
      </c>
      <c r="BC23" s="3711">
        <f t="shared" si="7"/>
        <v>0</v>
      </c>
      <c r="BD23" s="3711">
        <f t="shared" si="7"/>
        <v>0</v>
      </c>
      <c r="BE23" s="3711">
        <f t="shared" si="7"/>
        <v>0</v>
      </c>
      <c r="BF23" s="530" t="str">
        <f>IF(COUNTIF(AY21:BE23,"&gt;0")&gt;0,"Armadura natural","")</f>
        <v/>
      </c>
      <c r="BG23" s="530" t="str">
        <f>IF(AND(BF23&lt;&gt;"",COUNTIF(BF24:BF27,"?*")&gt;0),", ","")</f>
        <v/>
      </c>
      <c r="BH23" s="530"/>
      <c r="BI23" s="530"/>
      <c r="BJ23" s="530"/>
      <c r="BK23" s="530"/>
      <c r="BL23" s="530"/>
      <c r="BM23" s="530"/>
      <c r="BN23" s="530"/>
    </row>
    <row r="24" spans="1:66" ht="12" customHeight="1" thickBot="1">
      <c r="A24" s="9"/>
      <c r="B24" s="1049"/>
      <c r="C24" s="4919" t="s">
        <v>1430</v>
      </c>
      <c r="D24" s="5605">
        <f>Tablas!$K$1013</f>
        <v>0</v>
      </c>
      <c r="E24" s="5607" t="s">
        <v>1431</v>
      </c>
      <c r="F24" s="5605">
        <f>MIN(Tablas!$H$1013,50)</f>
        <v>0</v>
      </c>
      <c r="G24" s="5607" t="s">
        <v>1432</v>
      </c>
      <c r="H24" s="5611">
        <f>MIN(Tablas!$J$1013,50)</f>
        <v>0</v>
      </c>
      <c r="I24" s="5603" t="s">
        <v>1433</v>
      </c>
      <c r="J24" s="5611">
        <f>MIN(Tablas!$I$1013,50)</f>
        <v>0</v>
      </c>
      <c r="K24" s="5603" t="s">
        <v>1434</v>
      </c>
      <c r="L24" s="5609">
        <f>IF(Extensióndelauraalarma,10,0)+IF(DañoIncrementado,10,0)+IF($C$20="Artes Marciales",Tablas!F1013,0)+Tablas!$K$1949+IFERROR(VLOOKUP(E20,Tabla_EquipoArtesMarciales,2,FALSE)+I23*2,0)</f>
        <v>0</v>
      </c>
      <c r="N24" s="5498" t="str">
        <f>IF(AU59,AU58,"")&amp;IF(AV60,", ","")&amp;IF(AV59,AV58,"")&amp;IF(AW60,", ","")&amp;IF(AW59,AW58,"")&amp;IF(AX60,", ","")&amp;IF(AX59,AX58,"")&amp;IF(AX58="CON"," (+10 Daño armas CON)","")</f>
        <v/>
      </c>
      <c r="O24" s="5499"/>
      <c r="P24" s="5500"/>
      <c r="R24" s="5533"/>
      <c r="S24" s="5527"/>
      <c r="T24" s="5527"/>
      <c r="U24" s="5526"/>
      <c r="V24" s="5527"/>
      <c r="W24" s="5528"/>
      <c r="X24" s="532"/>
      <c r="Y24" s="9"/>
      <c r="Z24" s="9"/>
      <c r="AA24" s="1022"/>
      <c r="AB24" s="5430" t="str">
        <f>IF(PDs!$E54="","",PDs!$E54&amp;IF(AND(PDs!AD54=1,PDs!M54/PDs!L54+PDs!O54/PDs!N54+PDs!Q54/PDs!P54+PDs!S54/PDs!R54+PDs!U54/PDs!T54&gt;1)," ("&amp;PDs!M54/PDs!L54+PDs!O54/PDs!N54+PDs!Q54/PDs!P54+PDs!S54/PDs!R54+PDs!U54/PDs!T54&amp;")",""))</f>
        <v/>
      </c>
      <c r="AC24" s="5431"/>
      <c r="AD24" s="5431"/>
      <c r="AE24" s="5431"/>
      <c r="AF24" s="5431"/>
      <c r="AG24" s="5432"/>
      <c r="AH24" s="5444" t="str">
        <f>IF(PDs!$V54=0,"",PDs!$V54)</f>
        <v/>
      </c>
      <c r="AI24" s="5444"/>
      <c r="AJ24" s="5444"/>
      <c r="AK24" s="5444"/>
      <c r="AL24" s="5444"/>
      <c r="AM24" s="5444"/>
      <c r="AN24" s="5444"/>
      <c r="AO24" s="5444"/>
      <c r="AP24" s="5444"/>
      <c r="AQ24" s="5444"/>
      <c r="AR24" s="1088"/>
      <c r="AS24" s="9"/>
      <c r="AT24" s="628" t="s">
        <v>9619</v>
      </c>
      <c r="AU24" s="628"/>
      <c r="AW24" s="3711" t="s">
        <v>6780</v>
      </c>
      <c r="AX24" s="3711" t="s">
        <v>1826</v>
      </c>
      <c r="AY24" s="3711">
        <f>MAX(3*Tablas!$Y983,6*Tablas!$Y$984)</f>
        <v>0</v>
      </c>
      <c r="AZ24" s="3711">
        <f>MAX(3*Tablas!$Y983,6*Tablas!$Y$984)</f>
        <v>0</v>
      </c>
      <c r="BA24" s="3711">
        <f>MAX(3*Tablas!$Y983,6*Tablas!$Y$984)</f>
        <v>0</v>
      </c>
      <c r="BB24" s="3711">
        <f>MAX(3*Tablas!$Y983,6*Tablas!$Y$984)</f>
        <v>0</v>
      </c>
      <c r="BC24" s="3711">
        <f>MAX(3*Tablas!$Y983,6*Tablas!$Y$984)</f>
        <v>0</v>
      </c>
      <c r="BD24" s="3711">
        <f>MAX(3*Tablas!$Y983,6*Tablas!$Y$984)</f>
        <v>0</v>
      </c>
      <c r="BE24" s="3711">
        <f>MAX(3*Tablas!$Y983,6*Tablas!$Y$984)</f>
        <v>0</v>
      </c>
      <c r="BF24" s="530" t="str">
        <f>IF(COUNTIF(AY24:BE24,"&gt;0")&gt;0,"Rex frame","")</f>
        <v/>
      </c>
      <c r="BG24" s="530" t="str">
        <f>IF(AND(BF24&lt;&gt;"",COUNTIF(BF25:BF27,"?*")&gt;0),", ","")</f>
        <v/>
      </c>
      <c r="BH24" s="530"/>
      <c r="BI24" s="530"/>
      <c r="BJ24" s="530"/>
      <c r="BK24" s="530"/>
      <c r="BL24" s="530"/>
      <c r="BM24" s="530"/>
      <c r="BN24" s="530"/>
    </row>
    <row r="25" spans="1:66" ht="12" customHeight="1" thickBot="1">
      <c r="A25" s="9"/>
      <c r="B25" s="1049"/>
      <c r="C25" s="4920"/>
      <c r="D25" s="5606"/>
      <c r="E25" s="5604"/>
      <c r="F25" s="5606"/>
      <c r="G25" s="5604"/>
      <c r="H25" s="5606"/>
      <c r="I25" s="5604"/>
      <c r="J25" s="5612"/>
      <c r="K25" s="5608"/>
      <c r="L25" s="5610"/>
      <c r="M25" s="34"/>
      <c r="N25" s="5501"/>
      <c r="O25" s="5502"/>
      <c r="P25" s="5503"/>
      <c r="R25" s="5534"/>
      <c r="S25" s="5530"/>
      <c r="T25" s="5530"/>
      <c r="U25" s="5529"/>
      <c r="V25" s="5530"/>
      <c r="W25" s="5531"/>
      <c r="X25" s="1023"/>
      <c r="Y25" s="9"/>
      <c r="Z25" s="9"/>
      <c r="AA25" s="1022"/>
      <c r="AB25" s="5430" t="str">
        <f>IF(PDs!$E55="","",PDs!$E55&amp;IF(AND(PDs!AD55=1,PDs!M55/PDs!L55+PDs!O55/PDs!N55+PDs!Q55/PDs!P55+PDs!S55/PDs!R55+PDs!U55/PDs!T55&gt;1)," ("&amp;PDs!M55/PDs!L55+PDs!O55/PDs!N55+PDs!Q55/PDs!P55+PDs!S55/PDs!R55+PDs!U55/PDs!T55&amp;")",""))</f>
        <v/>
      </c>
      <c r="AC25" s="5431"/>
      <c r="AD25" s="5431"/>
      <c r="AE25" s="5431"/>
      <c r="AF25" s="5431"/>
      <c r="AG25" s="5432"/>
      <c r="AH25" s="5444" t="str">
        <f>IF(PDs!$V55=0,"",PDs!$V55)</f>
        <v/>
      </c>
      <c r="AI25" s="5444"/>
      <c r="AJ25" s="5444"/>
      <c r="AK25" s="5444"/>
      <c r="AL25" s="5444"/>
      <c r="AM25" s="5444"/>
      <c r="AN25" s="5444"/>
      <c r="AO25" s="5444"/>
      <c r="AP25" s="5444"/>
      <c r="AQ25" s="5444"/>
      <c r="AR25" s="1088"/>
      <c r="AS25" s="9"/>
      <c r="AT25" s="5307">
        <f>HP_SinArmas+Personalización!Y9+IFERROR(VLOOKUP(E20,Tabla_EquipoArtesMarciales,4,FALSE),0)</f>
        <v>-60</v>
      </c>
      <c r="AU25" s="5307"/>
      <c r="AW25" s="3711" t="s">
        <v>6770</v>
      </c>
      <c r="AX25" s="3711" t="s">
        <v>1826</v>
      </c>
      <c r="AY25" s="3714">
        <f>'Tablas psiquica'!$AO$23</f>
        <v>0</v>
      </c>
      <c r="AZ25" s="3714">
        <f>'Tablas psiquica'!$AO$23</f>
        <v>0</v>
      </c>
      <c r="BA25" s="3714">
        <f>'Tablas psiquica'!$AO$23</f>
        <v>0</v>
      </c>
      <c r="BB25" s="3714">
        <f>'Tablas psiquica'!$AO$23</f>
        <v>0</v>
      </c>
      <c r="BC25" s="3714">
        <f>'Tablas psiquica'!$AO$23</f>
        <v>0</v>
      </c>
      <c r="BD25" s="3714">
        <f>'Tablas psiquica'!$AO$23</f>
        <v>0</v>
      </c>
      <c r="BE25" s="3714">
        <v>0</v>
      </c>
      <c r="BF25" s="530" t="str">
        <f>IF(COUNTIF(AY25:BE25,"&gt;0")&gt;0,"Armadura telequinética","")</f>
        <v/>
      </c>
      <c r="BG25" s="530" t="str">
        <f>IF(AND(BF25&lt;&gt;"",COUNTIF(BF26:BF27,"?*")&gt;0),", ","")</f>
        <v/>
      </c>
      <c r="BH25" s="530"/>
      <c r="BI25" s="530"/>
      <c r="BJ25" s="530"/>
      <c r="BK25" s="530"/>
      <c r="BL25" s="530"/>
      <c r="BM25" s="530"/>
      <c r="BN25" s="530"/>
    </row>
    <row r="26" spans="1:66" ht="12" customHeight="1" thickBot="1">
      <c r="A26" s="9"/>
      <c r="B26" s="1022"/>
      <c r="C26" s="708"/>
      <c r="D26" s="708"/>
      <c r="E26" s="708"/>
      <c r="F26" s="708"/>
      <c r="G26" s="708"/>
      <c r="H26" s="708"/>
      <c r="I26" s="708"/>
      <c r="J26" s="708"/>
      <c r="K26" s="708"/>
      <c r="L26" s="708"/>
      <c r="M26" s="1004"/>
      <c r="N26" s="1006"/>
      <c r="O26" s="1006"/>
      <c r="X26" s="532"/>
      <c r="Y26" s="9"/>
      <c r="Z26" s="9"/>
      <c r="AA26" s="1022"/>
      <c r="AB26" s="5430" t="str">
        <f>IF(PDs!$E56="","",PDs!$E56&amp;IF(AND(PDs!AD56=1,PDs!M56/PDs!L56+PDs!O56/PDs!N56+PDs!Q56/PDs!P56+PDs!S56/PDs!R56+PDs!U56/PDs!T56&gt;1)," ("&amp;PDs!M56/PDs!L56+PDs!O56/PDs!N56+PDs!Q56/PDs!P56+PDs!S56/PDs!R56+PDs!U56/PDs!T56&amp;")",""))</f>
        <v/>
      </c>
      <c r="AC26" s="5431"/>
      <c r="AD26" s="5431"/>
      <c r="AE26" s="5431"/>
      <c r="AF26" s="5431"/>
      <c r="AG26" s="5432"/>
      <c r="AH26" s="5444" t="str">
        <f>IF(PDs!$V56=0,"",PDs!$V56)</f>
        <v/>
      </c>
      <c r="AI26" s="5444"/>
      <c r="AJ26" s="5444"/>
      <c r="AK26" s="5444"/>
      <c r="AL26" s="5444"/>
      <c r="AM26" s="5444"/>
      <c r="AN26" s="5444"/>
      <c r="AO26" s="5444"/>
      <c r="AP26" s="5444"/>
      <c r="AQ26" s="5444"/>
      <c r="AR26" s="1088"/>
      <c r="AS26" s="9"/>
      <c r="AT26" s="628" t="s">
        <v>9620</v>
      </c>
      <c r="AU26" s="3711"/>
      <c r="AW26" s="3713" t="s">
        <v>1312</v>
      </c>
      <c r="AX26" s="3711" t="s">
        <v>1826</v>
      </c>
      <c r="AY26" s="3713">
        <f>IF(Nephilim="Nephilim Turak",1)+IF(Raza="Turak",IF(COUNTIF(Cercanía_Dragón,"Escamas de metal")&gt;0,3,2),0)</f>
        <v>0</v>
      </c>
      <c r="AZ26" s="3713">
        <f>IF(Nephilim="Nephilim Turak",1)+IF(Raza="Turak",IF(COUNTIF(Cercanía_Dragón,"Escamas de metal")&gt;0,3,2),0)</f>
        <v>0</v>
      </c>
      <c r="BA26" s="3713">
        <f>IF(Nephilim="Nephilim Turak",1)+IF(Raza="Turak",IF(COUNTIF(Cercanía_Dragón,"Escamas de metal")&gt;0,3,2),0)</f>
        <v>0</v>
      </c>
      <c r="BB26" s="3713">
        <f>IF(Nephilim="Nephilim Turak",1)+IF(Raza="Turak",IF(COUNTIF(Cercanía_Dragón,"Escamas de metal")&gt;0,3,2),0)</f>
        <v>0</v>
      </c>
      <c r="BC26" s="3713">
        <v>0</v>
      </c>
      <c r="BD26" s="3713">
        <v>0</v>
      </c>
      <c r="BE26" s="3713">
        <v>0</v>
      </c>
      <c r="BF26" s="530" t="str">
        <f>IF(COUNTIF(AY26:BE26,"&gt;0")&gt;0,"Armadura Turak","")</f>
        <v/>
      </c>
      <c r="BG26" s="530" t="str">
        <f>IF(AND(BF26&lt;&gt;"",COUNTIF(BF27,"?*")&gt;0),", ","")</f>
        <v/>
      </c>
      <c r="BH26" s="530"/>
      <c r="BI26" s="530"/>
      <c r="BJ26" s="530"/>
      <c r="BK26" s="530"/>
      <c r="BL26" s="530"/>
      <c r="BM26" s="530"/>
      <c r="BN26" s="530"/>
    </row>
    <row r="27" spans="1:66" ht="12" customHeight="1" thickBot="1">
      <c r="A27" s="9"/>
      <c r="B27" s="1049"/>
      <c r="C27" s="1335" t="s">
        <v>8234</v>
      </c>
      <c r="D27" s="1330" t="str">
        <f>E28&amp;IF(COUNTIF($R$22:$T$25,C27&amp;" "&amp;E28)&gt;0,IFERROR(" y"&amp;MID(VLOOKUP(C27&amp;" "&amp;E28,$R$22:$W$25,4,FALSE),SEARCH(".",VLOOKUP(C27&amp;" "&amp;E28,$R$22:$W$25,4,FALSE))+1,100),""),"")</f>
        <v/>
      </c>
      <c r="E27" s="1330"/>
      <c r="F27" s="1330"/>
      <c r="G27" s="1330"/>
      <c r="H27" s="1330"/>
      <c r="I27" s="1330"/>
      <c r="J27" s="1330"/>
      <c r="K27" s="1330"/>
      <c r="L27" s="1361" t="s">
        <v>8248</v>
      </c>
      <c r="M27" s="685"/>
      <c r="N27" s="1335" t="s">
        <v>8233</v>
      </c>
      <c r="O27" s="1330" t="str">
        <f>P28&amp;IF(COUNTIF($R$22:$T$25,N27&amp;" "&amp;P28)&gt;0,IFERROR(" y"&amp;MID(VLOOKUP(N27&amp;" "&amp;P28,$R$22:$W$25,4,FALSE),SEARCH(".",VLOOKUP(N27&amp;" "&amp;P28,$R$22:$W$25,4,FALSE))+1,100),""),"")</f>
        <v/>
      </c>
      <c r="P27" s="1330"/>
      <c r="Q27" s="1330"/>
      <c r="R27" s="1330"/>
      <c r="S27" s="1330"/>
      <c r="T27" s="1330"/>
      <c r="U27" s="1330"/>
      <c r="V27" s="1330"/>
      <c r="W27" s="1361" t="s">
        <v>8248</v>
      </c>
      <c r="X27" s="532"/>
      <c r="Y27" s="9"/>
      <c r="Z27" s="9"/>
      <c r="AA27" s="1022"/>
      <c r="AB27" s="5430" t="str">
        <f>IF(PDs!$E57="","",PDs!$E57&amp;IF(AND(PDs!AD57=1,PDs!M57/PDs!L57+PDs!O57/PDs!N57+PDs!Q57/PDs!P57+PDs!S57/PDs!R57+PDs!U57/PDs!T57&gt;1)," ("&amp;PDs!M57/PDs!L57+PDs!O57/PDs!N57+PDs!Q57/PDs!P57+PDs!S57/PDs!R57+PDs!U57/PDs!T57&amp;")",""))</f>
        <v/>
      </c>
      <c r="AC27" s="5431"/>
      <c r="AD27" s="5431"/>
      <c r="AE27" s="5431"/>
      <c r="AF27" s="5431"/>
      <c r="AG27" s="5432"/>
      <c r="AH27" s="5444" t="str">
        <f>IF(PDs!$V57=0,"",PDs!$V57)</f>
        <v/>
      </c>
      <c r="AI27" s="5444"/>
      <c r="AJ27" s="5444"/>
      <c r="AK27" s="5444"/>
      <c r="AL27" s="5444"/>
      <c r="AM27" s="5444"/>
      <c r="AN27" s="5444"/>
      <c r="AO27" s="5444"/>
      <c r="AP27" s="5444"/>
      <c r="AQ27" s="5444"/>
      <c r="AR27" s="1088"/>
      <c r="AS27" s="9"/>
      <c r="AT27" s="5307">
        <f>HE_SinArmas+Personalización!Y9+IFERROR(VLOOKUP(E20,Tabla_EquipoArtesMarciales,4,FALSE),0)</f>
        <v>0</v>
      </c>
      <c r="AU27" s="5307"/>
      <c r="AW27" s="3713" t="s">
        <v>2660</v>
      </c>
      <c r="AX27" s="3711" t="s">
        <v>1826</v>
      </c>
      <c r="AY27" s="3713">
        <v>0</v>
      </c>
      <c r="AZ27" s="3711">
        <v>0</v>
      </c>
      <c r="BA27" s="3711">
        <v>0</v>
      </c>
      <c r="BB27" s="3711">
        <v>0</v>
      </c>
      <c r="BC27" s="3711">
        <v>0</v>
      </c>
      <c r="BD27" s="3711">
        <v>0</v>
      </c>
      <c r="BE27" s="3711">
        <f>MAX(IF(ArmaduradeEnergia,2,0),IF(ArmaduraArcana,4,0))</f>
        <v>0</v>
      </c>
      <c r="BF27" s="530" t="str">
        <f>IF(BE27&gt;0,"Armadura de Energía por Ki","")</f>
        <v/>
      </c>
      <c r="BH27" s="530"/>
      <c r="BI27" s="530"/>
      <c r="BJ27" s="530"/>
      <c r="BK27" s="530"/>
      <c r="BL27" s="530"/>
      <c r="BM27" s="530"/>
      <c r="BN27" s="530"/>
    </row>
    <row r="28" spans="1:66" ht="12" customHeight="1" thickBot="1">
      <c r="A28" s="9"/>
      <c r="B28" s="1049"/>
      <c r="C28" s="5506" t="s">
        <v>8222</v>
      </c>
      <c r="D28" s="5507"/>
      <c r="E28" s="5509"/>
      <c r="F28" s="5510"/>
      <c r="G28" s="5511"/>
      <c r="H28" s="1593" t="s">
        <v>1252</v>
      </c>
      <c r="I28" s="1594" t="s">
        <v>1423</v>
      </c>
      <c r="J28" s="5512" t="s">
        <v>1424</v>
      </c>
      <c r="K28" s="5512"/>
      <c r="L28" s="1595" t="s">
        <v>1425</v>
      </c>
      <c r="M28" s="1360" t="str">
        <f ca="1">IF(C28=INDEX(Lista_ManosArma,2),Lista_A2Manos,Lista_A1Mano)</f>
        <v>Tablas!$AF$654:$AF$796</v>
      </c>
      <c r="N28" s="5506" t="s">
        <v>8222</v>
      </c>
      <c r="O28" s="5507"/>
      <c r="P28" s="5509"/>
      <c r="Q28" s="5510"/>
      <c r="R28" s="5511"/>
      <c r="S28" s="1593" t="s">
        <v>1252</v>
      </c>
      <c r="T28" s="1594" t="s">
        <v>1423</v>
      </c>
      <c r="U28" s="5512" t="s">
        <v>1424</v>
      </c>
      <c r="V28" s="5512"/>
      <c r="W28" s="1595" t="s">
        <v>1425</v>
      </c>
      <c r="X28" s="1360" t="str">
        <f ca="1">IF(N28=INDEX(Lista_ManosArma,2),Lista_A2Manos,Lista_A1Mano)</f>
        <v>Tablas!$AF$654:$AF$796</v>
      </c>
      <c r="Y28" s="9"/>
      <c r="Z28" s="9"/>
      <c r="AA28" s="1022"/>
      <c r="AB28" s="5475" t="str">
        <f>IF(PDs!$E58="","",PDs!$E58&amp;IF(AND(PDs!AD58=1,PDs!M58/PDs!L58+PDs!O58/PDs!N58+PDs!Q58/PDs!P58+PDs!S58/PDs!R58+PDs!U58/PDs!T58&gt;1)," ("&amp;PDs!M58/PDs!L58+PDs!O58/PDs!N58+PDs!Q58/PDs!P58+PDs!S58/PDs!R58+PDs!U58/PDs!T58&amp;")",""))</f>
        <v/>
      </c>
      <c r="AC28" s="5476"/>
      <c r="AD28" s="5476"/>
      <c r="AE28" s="5476"/>
      <c r="AF28" s="5476"/>
      <c r="AG28" s="5477"/>
      <c r="AH28" s="5508" t="str">
        <f>IF(PDs!$V58=0,"",PDs!$V58)</f>
        <v/>
      </c>
      <c r="AI28" s="5508"/>
      <c r="AJ28" s="5508"/>
      <c r="AK28" s="5508"/>
      <c r="AL28" s="5508"/>
      <c r="AM28" s="5508"/>
      <c r="AN28" s="5508"/>
      <c r="AO28" s="5508"/>
      <c r="AP28" s="5508"/>
      <c r="AQ28" s="5508"/>
      <c r="AR28" s="1088"/>
      <c r="AS28" s="9"/>
      <c r="AT28" s="530"/>
      <c r="AW28" s="530" t="e">
        <f t="array" aca="1" ref="AW28" ca="1">INDEX(Tabla_Combate,$AT$43,LEFT(C27,LEN(C27)-1))</f>
        <v>#N/A</v>
      </c>
      <c r="AX28" s="530" t="e">
        <f t="array" aca="1" ref="AX28" ca="1">INDEX(Tabla_Combate,$AT$44,LEFT(C41,LEN(C41)-1))</f>
        <v>#N/A</v>
      </c>
      <c r="BH28" s="530"/>
      <c r="BI28" s="530"/>
      <c r="BJ28" s="530"/>
      <c r="BK28" s="530"/>
      <c r="BL28" s="530"/>
      <c r="BM28" s="530"/>
      <c r="BN28" s="530"/>
    </row>
    <row r="29" spans="1:66" ht="12" customHeight="1" thickBot="1">
      <c r="A29" s="9"/>
      <c r="B29" s="1049"/>
      <c r="C29" s="5504" t="str">
        <f>IF(E28=0,"",VLOOKUP(E28,Tabla_ArmasyEscudos,9,FALSE))</f>
        <v/>
      </c>
      <c r="D29" s="5505"/>
      <c r="E29" s="1596" t="s">
        <v>1435</v>
      </c>
      <c r="F29" s="5599" t="s">
        <v>1436</v>
      </c>
      <c r="G29" s="5600"/>
      <c r="H29" s="5601" cm="1">
        <f t="array" aca="1" ref="H29" ca="1">IFERROR(INDEX(Tabla_Combate,$AT$41,LEFT(C27,LEN(C27)-1)),0)</f>
        <v>0</v>
      </c>
      <c r="I29" s="5513" cm="1">
        <f t="array" aca="1" ref="I29" ca="1">IFERROR(INDEX(Tabla_Combate,$AT$42,LEFT(C27,LEN(C27)-1)),0)</f>
        <v>0</v>
      </c>
      <c r="J29" s="5515" cm="1">
        <f t="array" aca="1" ref="J29" ca="1">IF(K29="-",0,IF(K29="Par",INDEX(Tabla_Combate,$AT$43,LEFT(C27,LEN(C27)-1)),INDEX(Tabla_Combate,$AT$44,LEFT(C27,LEN(C27)-1))))</f>
        <v>0</v>
      </c>
      <c r="K29" s="4334" t="str" cm="1">
        <f t="array" aca="1" ref="K29" ca="1">IF(IFERROR(VLOOKUP(INDEX(Tabla_Combate,$AT$30,LEFT(C27,LEN(C27)-1)),Tablas!$AI$848:$AU$857,12,0),FALSE),"-",IFERROR(IF(INDEX(Tabla_Combate,$AT$43,LEFT(C27,LEN(C27)-1))&gt;INDEX(Tabla_Combate,$AT$44,LEFT(C27,LEN(C27)-1)),"Par","Esq"),"-"))</f>
        <v>-</v>
      </c>
      <c r="L29" s="5521" cm="1">
        <f t="array" aca="1" ref="L29" ca="1">IFERROR(INDEX(Tabla_Combate,$AT$46,LEFT(C27,LEN(C27)-1)),0)</f>
        <v>0</v>
      </c>
      <c r="M29" s="685"/>
      <c r="N29" s="5504" t="str">
        <f>IF(P28=0,"",VLOOKUP(P28,Tabla_ArmasyEscudos,9,FALSE))</f>
        <v/>
      </c>
      <c r="O29" s="5505"/>
      <c r="P29" s="1596" t="s">
        <v>1435</v>
      </c>
      <c r="Q29" s="5599" t="s">
        <v>1436</v>
      </c>
      <c r="R29" s="5600"/>
      <c r="S29" s="5601" cm="1">
        <f t="array" aca="1" ref="S29" ca="1">IFERROR(INDEX(Tabla_Combate,$AT$41,LEFT(N27,LEN(N27)-1)),0)</f>
        <v>0</v>
      </c>
      <c r="T29" s="5513" cm="1">
        <f t="array" aca="1" ref="T29" ca="1">IFERROR(INDEX(Tabla_Combate,$AT$42,LEFT(N27,LEN(N27)-1)),0)</f>
        <v>0</v>
      </c>
      <c r="U29" s="5515" cm="1">
        <f t="array" aca="1" ref="U29" ca="1">IF(V29="-",0,IF(V29="Par",INDEX(Tabla_Combate,$AT$43,LEFT(N27,LEN(N27)-1)),INDEX(Tabla_Combate,$AT$44,LEFT(N27,LEN(N27)-1))))</f>
        <v>0</v>
      </c>
      <c r="V29" s="4334" t="str" cm="1">
        <f t="array" aca="1" ref="V29" ca="1">IF(IFERROR(VLOOKUP(INDEX(Tabla_Combate,$AT$30,LEFT(N27,LEN(N27)-1)),Tablas!$AI$848:$AU$857,12,0),FALSE),"-",IFERROR(IF(INDEX(Tabla_Combate,$AT$43,LEFT(N27,LEN(N27)-1))&gt;INDEX(Tabla_Combate,$AT$44,LEFT(N27,LEN(N27)-1)),"Par","Esq"),"-"))</f>
        <v>-</v>
      </c>
      <c r="W29" s="5521" cm="1">
        <f t="array" aca="1" ref="W29" ca="1">IFERROR(INDEX(Tabla_Combate,$AT$46,LEFT(N27,LEN(N27)-1)),0)</f>
        <v>0</v>
      </c>
      <c r="X29" s="685"/>
      <c r="Y29" s="9"/>
      <c r="Z29" s="9"/>
      <c r="AA29" s="1022"/>
      <c r="AM29" s="21"/>
      <c r="AN29" s="21"/>
      <c r="AO29" s="21"/>
      <c r="AP29" s="21"/>
      <c r="AQ29" s="21"/>
      <c r="AR29" s="1088"/>
      <c r="AS29" s="9"/>
      <c r="AT29" s="530"/>
      <c r="AV29" s="2265" t="s">
        <v>1959</v>
      </c>
      <c r="AW29" s="2265">
        <v>1</v>
      </c>
      <c r="AX29" s="2265">
        <v>2</v>
      </c>
      <c r="AY29" s="2265">
        <v>3</v>
      </c>
      <c r="AZ29" s="2265">
        <v>4</v>
      </c>
      <c r="BA29" s="2265">
        <v>5</v>
      </c>
      <c r="BB29" s="2265">
        <v>6</v>
      </c>
      <c r="BC29" s="2265">
        <v>7</v>
      </c>
      <c r="BD29" s="2265">
        <v>8</v>
      </c>
      <c r="BE29" s="2265">
        <v>9</v>
      </c>
      <c r="BF29" s="2265">
        <v>10</v>
      </c>
      <c r="BH29" s="530"/>
      <c r="BI29" s="530"/>
      <c r="BJ29" s="530"/>
      <c r="BK29" s="530"/>
      <c r="BL29" s="530"/>
      <c r="BM29" s="530"/>
      <c r="BN29" s="530"/>
    </row>
    <row r="30" spans="1:66" ht="12" customHeight="1" thickBot="1">
      <c r="A30" s="9"/>
      <c r="B30" s="1049"/>
      <c r="C30" s="958" t="s">
        <v>1427</v>
      </c>
      <c r="D30" s="71" t="s">
        <v>1428</v>
      </c>
      <c r="E30" s="71" t="s">
        <v>1416</v>
      </c>
      <c r="F30" s="71" t="s">
        <v>1429</v>
      </c>
      <c r="G30" s="71" t="s">
        <v>1417</v>
      </c>
      <c r="H30" s="5601"/>
      <c r="I30" s="5514"/>
      <c r="J30" s="5516"/>
      <c r="K30" s="5520"/>
      <c r="L30" s="5522"/>
      <c r="M30" s="685"/>
      <c r="N30" s="958" t="s">
        <v>1427</v>
      </c>
      <c r="O30" s="71" t="s">
        <v>1428</v>
      </c>
      <c r="P30" s="71" t="s">
        <v>1416</v>
      </c>
      <c r="Q30" s="71" t="s">
        <v>1429</v>
      </c>
      <c r="R30" s="71" t="s">
        <v>1417</v>
      </c>
      <c r="S30" s="5601"/>
      <c r="T30" s="5514"/>
      <c r="U30" s="5516"/>
      <c r="V30" s="5520"/>
      <c r="W30" s="5522"/>
      <c r="X30" s="685"/>
      <c r="Y30" s="9"/>
      <c r="Z30" s="9"/>
      <c r="AA30" s="1022"/>
      <c r="AB30" s="5467" t="s">
        <v>1363</v>
      </c>
      <c r="AC30" s="5468"/>
      <c r="AD30" s="5468"/>
      <c r="AE30" s="5469"/>
      <c r="AF30" s="5470" t="s">
        <v>1408</v>
      </c>
      <c r="AG30" s="5471"/>
      <c r="AH30" s="5471"/>
      <c r="AI30" s="5471"/>
      <c r="AJ30" s="5471"/>
      <c r="AK30" s="5471"/>
      <c r="AL30" s="5471"/>
      <c r="AM30" s="5471"/>
      <c r="AN30" s="5471"/>
      <c r="AO30" s="5471"/>
      <c r="AP30" s="5472"/>
      <c r="AQ30" s="1323" t="s">
        <v>1359</v>
      </c>
      <c r="AR30" s="1088"/>
      <c r="AS30" s="9"/>
      <c r="AT30" s="628">
        <v>1</v>
      </c>
      <c r="AU30" s="628" t="s">
        <v>1274</v>
      </c>
      <c r="AV30" s="2265"/>
      <c r="AW30" s="2265">
        <f>E28</f>
        <v>0</v>
      </c>
      <c r="AX30" s="2265">
        <f>P28</f>
        <v>0</v>
      </c>
      <c r="AY30" s="2265">
        <f>E35</f>
        <v>0</v>
      </c>
      <c r="AZ30" s="2265">
        <f>P35</f>
        <v>0</v>
      </c>
      <c r="BA30" s="2265">
        <f>E42</f>
        <v>0</v>
      </c>
      <c r="BB30" s="2265">
        <f>P42</f>
        <v>0</v>
      </c>
      <c r="BC30" s="2265">
        <f>E49</f>
        <v>0</v>
      </c>
      <c r="BD30" s="2265">
        <f>P49</f>
        <v>0</v>
      </c>
      <c r="BE30" s="2265">
        <f>E58</f>
        <v>0</v>
      </c>
      <c r="BF30" s="2265">
        <f>P58</f>
        <v>0</v>
      </c>
      <c r="BH30" s="530"/>
      <c r="BI30" s="530"/>
      <c r="BJ30" s="530"/>
      <c r="BK30" s="530"/>
      <c r="BL30" s="530"/>
      <c r="BM30" s="530"/>
      <c r="BN30" s="530"/>
    </row>
    <row r="31" spans="1:66" ht="12" customHeight="1">
      <c r="A31" s="9"/>
      <c r="B31" s="1049"/>
      <c r="C31" s="959" t="str">
        <f>IF(E28=0,"",VLOOKUP(E28,Tabla_ArmasyEscudos,6,FALSE))</f>
        <v/>
      </c>
      <c r="D31" s="1327" t="str">
        <f>IF(E28=0,"",VLOOKUP(E28,Tabla_ArmasyEscudos,7,FALSE))</f>
        <v/>
      </c>
      <c r="E31" s="1327" t="str">
        <f>IFERROR(IF(E28=0,"",MAX(0,IF(Extensióndelauraalarma,10,0)+J31*2+VLOOKUP(E28,Tabla_ArmasyEscudos,10,FALSE)+IF(F29=0,0,VLOOKUP(F29,Tabla_ArmasEnormes,6,FALSE)))+IF(Tabla_Desvío,DES,0)),"-")</f>
        <v/>
      </c>
      <c r="F31" s="1327" t="str">
        <f>IF(E28=0,"",IF(Extensióndelauraalarma,5,0)+J31*2/5+VLOOKUP(E28,Tabla_ArmasyEscudos,11,FALSE)+IF(F29=0,0,VLOOKUP(F29,Tabla_ArmasEnormes,7,FALSE))+IF(FUE=0,0,VLOOKUP(FUE,Tabla_Fuerza,2))+IF(Ojos_de_la_Muerte,5,0))</f>
        <v/>
      </c>
      <c r="G31" s="1032" t="str">
        <f>IFERROR(IF(E28=0,"",IF(E28="Ophiucos",0,MAX(IF(OR(ISNUMBER(FIND("Virgo",E28)),ISNUMBER(FIND("Umbra",E28))),0,J31)*10,0))+VLOOKUP(E28,Tabla_ArmasyEscudos,12,FALSE)),"-")</f>
        <v/>
      </c>
      <c r="H31" s="5613" t="s">
        <v>8224</v>
      </c>
      <c r="I31" s="5614"/>
      <c r="J31" s="1366"/>
      <c r="K31" s="5615" t="str">
        <f ca="1">IFERROR(IF(ISNUMBER(SEARCH("Escudo",VLOOKUP(E28,Tabla_ArmasyEscudos,8,0))),"Turno esp: ","Turno base: ")&amp;VLOOKUP(E28,Tabla_ArmasyEscudos,3,FALSE)+IFERROR(IF(Tamaño&lt;VLOOKUP(F29,Tabla_ArmasEnormes,3,FALSE),-40,0),0),"")</f>
        <v/>
      </c>
      <c r="L31" s="5616"/>
      <c r="M31" s="685"/>
      <c r="N31" s="959" t="str">
        <f>IF(P28=0,"",VLOOKUP(P28,Tabla_ArmasyEscudos,6,FALSE))</f>
        <v/>
      </c>
      <c r="O31" s="1327" t="str">
        <f>IF(P28=0,"",VLOOKUP(P28,Tabla_ArmasyEscudos,7,FALSE))</f>
        <v/>
      </c>
      <c r="P31" s="1327" t="str">
        <f>IFERROR(IF(P28=0,"",MAX(0,IF(Extensióndelauraalarma,10,0)+U31*2+VLOOKUP(P28,Tabla_ArmasyEscudos,10,FALSE)+IF(Q29=0,0,VLOOKUP(Q29,Tabla_ArmasEnormes,6,FALSE)))+IF(Tabla_Desvío,DES,0)),"-")</f>
        <v/>
      </c>
      <c r="Q31" s="1327" t="str">
        <f>IF(P28=0,"",IF(Extensióndelauraalarma,5,0)+U31*2/5+VLOOKUP(P28,Tabla_ArmasyEscudos,11,FALSE)+IF(Q29=0,0,VLOOKUP(Q29,Tabla_ArmasEnormes,7,FALSE))+IF(FUE=0,0,VLOOKUP(FUE,Tabla_Fuerza,2))+IF(Ojos_de_la_Muerte,5,0))</f>
        <v/>
      </c>
      <c r="R31" s="1032" t="str">
        <f>IFERROR(IF(P28=0,"",IF(P28="Ophiucos",0,MAX(IF(OR(ISNUMBER(FIND("Virgo",P28)),ISNUMBER(FIND("Umbra",P28))),0,U31)*10,0))+VLOOKUP(P28,Tabla_ArmasyEscudos,12,FALSE)),"-")</f>
        <v/>
      </c>
      <c r="S31" s="5613" t="s">
        <v>8224</v>
      </c>
      <c r="T31" s="5614"/>
      <c r="U31" s="1366"/>
      <c r="V31" s="5615" t="str">
        <f ca="1">IFERROR(IF(ISNUMBER(SEARCH("Escudo",VLOOKUP(P28,Tabla_ArmasyEscudos,8,0))),"Turno esp: ","Turno base: ")&amp;VLOOKUP(P28,Tabla_ArmasyEscudos,3,FALSE)+IF(Tamaño&lt;VLOOKUP(Q29,Tabla_ArmasEnormes,3,FALSE),IF(OR(Q29="Enorme",Q29="Gigante"),-40,0),0),"")</f>
        <v/>
      </c>
      <c r="W31" s="5616"/>
      <c r="X31" s="685"/>
      <c r="Y31" s="9"/>
      <c r="Z31" s="9"/>
      <c r="AA31" s="1022"/>
      <c r="AB31" s="5473" t="str">
        <f>IF(PDs!$AD59=0,"",PDs!$AD59)</f>
        <v/>
      </c>
      <c r="AC31" s="5474"/>
      <c r="AD31" s="5474"/>
      <c r="AE31" s="5474"/>
      <c r="AF31" s="5465" t="str">
        <f t="shared" ref="AF31:AF49" si="8">IFERROR(VLOOKUP(AB31,Tabla_ArtesMarciales,11,FALSE),"")</f>
        <v/>
      </c>
      <c r="AG31" s="5454"/>
      <c r="AH31" s="5454"/>
      <c r="AI31" s="5454"/>
      <c r="AJ31" s="5454"/>
      <c r="AK31" s="5454"/>
      <c r="AL31" s="5454"/>
      <c r="AM31" s="5454"/>
      <c r="AN31" s="5454"/>
      <c r="AO31" s="5454"/>
      <c r="AP31" s="5466"/>
      <c r="AQ31" s="3998">
        <f t="shared" ref="AQ31:AQ49" si="9">IF(AB31="",0,VLOOKUP(AB31,Tabla_ArtesMarciales,4,FALSE))</f>
        <v>0</v>
      </c>
      <c r="AR31" s="1023"/>
      <c r="AS31" s="9"/>
      <c r="AT31" s="628">
        <v>2</v>
      </c>
      <c r="AU31" s="628" t="s">
        <v>1409</v>
      </c>
      <c r="AV31" s="2265"/>
      <c r="AW31" s="2265">
        <f>J31</f>
        <v>0</v>
      </c>
      <c r="AX31" s="2265">
        <f>U31</f>
        <v>0</v>
      </c>
      <c r="AY31" s="2265">
        <f>J38</f>
        <v>0</v>
      </c>
      <c r="AZ31" s="2265">
        <f>U38</f>
        <v>0</v>
      </c>
      <c r="BA31" s="2265">
        <f>J45</f>
        <v>0</v>
      </c>
      <c r="BB31" s="2265">
        <f>U45</f>
        <v>0</v>
      </c>
      <c r="BC31" s="2265">
        <f>J52</f>
        <v>0</v>
      </c>
      <c r="BD31" s="2265">
        <f>U52</f>
        <v>0</v>
      </c>
      <c r="BE31" s="2265">
        <f>J61</f>
        <v>0</v>
      </c>
      <c r="BF31" s="2265">
        <f>U61</f>
        <v>0</v>
      </c>
      <c r="BG31" s="628"/>
      <c r="BH31" s="530"/>
      <c r="BI31" s="530"/>
      <c r="BJ31" s="530"/>
      <c r="BK31" s="530"/>
      <c r="BL31" s="530"/>
      <c r="BM31" s="530"/>
      <c r="BN31" s="530"/>
    </row>
    <row r="32" spans="1:66" ht="12" customHeight="1" thickBot="1">
      <c r="A32" s="9"/>
      <c r="B32" s="1049"/>
      <c r="C32" s="5617" t="str">
        <f>IF(E28=0,"",E33)</f>
        <v/>
      </c>
      <c r="D32" s="5618"/>
      <c r="E32" s="5618"/>
      <c r="F32" s="5618"/>
      <c r="G32" s="5618"/>
      <c r="H32" s="5618"/>
      <c r="I32" s="1331"/>
      <c r="J32" s="1332" t="str">
        <f>IF(F29=0,IF(J31&lt;=0,"","TA defensor: -"&amp;J31/5),IF(Tamaño&lt;VLOOKUP(F29,Tabla_ArmasEnormes,2,FALSE),"Tam. excesivo",IF(J31&lt;=0,"","TA defensor: -"&amp;J31/5)))</f>
        <v/>
      </c>
      <c r="K32" s="5619" t="str">
        <f ca="1">IFERROR("FUE min: "&amp;VLOOKUP(E28,Tabla_ArmasyEscudos,IF(C28="A dos manos",5,4),FALSE)+IFERROR(VLOOKUP(F29,Tabla_ArmasEnormes,4,FALSE),0),"")</f>
        <v/>
      </c>
      <c r="L32" s="5620"/>
      <c r="M32" s="685"/>
      <c r="N32" s="5617" t="str">
        <f>IF(P28=0,"",P33)</f>
        <v/>
      </c>
      <c r="O32" s="5618"/>
      <c r="P32" s="5618"/>
      <c r="Q32" s="5618"/>
      <c r="R32" s="5618"/>
      <c r="S32" s="5618"/>
      <c r="T32" s="1331"/>
      <c r="U32" s="1332" t="str">
        <f>IF(Q29=0,IF(U31&lt;=0,"","TA defensor: -"&amp;U31/5),IF(Tamaño&lt;VLOOKUP(Q29,Tabla_ArmasEnormes,2,FALSE),"Tam. excesivo",IF(U31&lt;=0,"","TA defensor: -"&amp;U31/5)))</f>
        <v/>
      </c>
      <c r="V32" s="5619" t="str">
        <f ca="1">IFERROR("FUE min: "&amp;VLOOKUP(P28,Tabla_ArmasyEscudos,IF(N28="A dos manos",5,4),FALSE)+IFERROR(VLOOKUP(Q29,Tabla_ArmasEnormes,4,FALSE),0),"")</f>
        <v/>
      </c>
      <c r="W32" s="5620"/>
      <c r="X32" s="685"/>
      <c r="Y32" s="9"/>
      <c r="Z32" s="9"/>
      <c r="AA32" s="1022"/>
      <c r="AB32" s="5453" t="str">
        <f>IF(PDs!$AD60=0,"",PDs!$AD60)</f>
        <v/>
      </c>
      <c r="AC32" s="5454"/>
      <c r="AD32" s="5454"/>
      <c r="AE32" s="5454"/>
      <c r="AF32" s="5465" t="str">
        <f t="shared" si="8"/>
        <v/>
      </c>
      <c r="AG32" s="5454"/>
      <c r="AH32" s="5454"/>
      <c r="AI32" s="5454"/>
      <c r="AJ32" s="5454"/>
      <c r="AK32" s="5454"/>
      <c r="AL32" s="5454"/>
      <c r="AM32" s="5454"/>
      <c r="AN32" s="5454"/>
      <c r="AO32" s="5454"/>
      <c r="AP32" s="5466"/>
      <c r="AQ32" s="1363">
        <f t="shared" si="9"/>
        <v>0</v>
      </c>
      <c r="AR32" s="1088"/>
      <c r="AS32" s="9"/>
      <c r="AT32" s="628">
        <v>3</v>
      </c>
      <c r="AU32" s="628" t="s">
        <v>8253</v>
      </c>
      <c r="AV32" s="2265"/>
      <c r="AW32" s="2265" t="str">
        <f>C29</f>
        <v/>
      </c>
      <c r="AX32" s="2265" t="str">
        <f>N29</f>
        <v/>
      </c>
      <c r="AY32" s="2265" t="str">
        <f>C36</f>
        <v/>
      </c>
      <c r="AZ32" s="2265" t="str">
        <f>N36</f>
        <v/>
      </c>
      <c r="BA32" s="2265" t="str">
        <f>C43</f>
        <v/>
      </c>
      <c r="BB32" s="2265" t="str">
        <f>N43</f>
        <v/>
      </c>
      <c r="BC32" s="2265" t="str">
        <f>C51</f>
        <v/>
      </c>
      <c r="BD32" s="2265" t="str">
        <f>N51</f>
        <v/>
      </c>
      <c r="BE32" s="2265" t="str">
        <f>C60</f>
        <v/>
      </c>
      <c r="BF32" s="2265" t="str">
        <f>N60</f>
        <v/>
      </c>
      <c r="BG32" s="628"/>
      <c r="BH32" s="530"/>
      <c r="BI32" s="530"/>
      <c r="BJ32" s="530"/>
      <c r="BK32" s="530"/>
      <c r="BL32" s="530"/>
      <c r="BM32" s="530"/>
      <c r="BN32" s="530"/>
    </row>
    <row r="33" spans="1:66" ht="12" customHeight="1" thickBot="1">
      <c r="A33" s="9"/>
      <c r="B33" s="1049"/>
      <c r="C33" s="530" t="e">
        <f ca="1">VLOOKUP(E28,Tabla_ArmasyEscudos,19,FALSE)</f>
        <v>#N/A</v>
      </c>
      <c r="D33" s="530" t="e">
        <f ca="1">IF(ISNUMBER(SEARCH("XXX",C33)),SUBSTITUTE(C33,"XXX",MAX(0,VLOOKUP(E28,Tabla_ArmasyEscudos,17,FALSE)+IF(FUE&lt;3,-30,VLOOKUP(FUE,Tabla_AlcanceFUE,2)))),SUBSTITUTE(SUBSTITUTE(C33,"Arma natural a distancia disparada",F33),"Arma natural a distancia",F33))</f>
        <v>#N/A</v>
      </c>
      <c r="E33" s="530" t="e">
        <f ca="1">SUBSTITUTE(IF(VLOOKUP(E28,Tabla_ArmasyEscudos,17,FALSE)&lt;&gt;"-",D33,C33),"(FUE "&amp;G33&amp;")","(FUE "&amp;G33+J31/5&amp;")")</f>
        <v>#N/A</v>
      </c>
      <c r="F33"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33" s="530">
        <f ca="1">IFERROR(MID(C33,SEARCH("(FUE ",C33)+5,SEARCH(")",C33,SEARCH("(FUE ",C33))-SEARCH("(FUE ",C33)-5),0)</f>
        <v>0</v>
      </c>
      <c r="H33" s="530"/>
      <c r="M33" s="530"/>
      <c r="N33" s="530" t="e">
        <f ca="1">VLOOKUP(P28,Tabla_ArmasyEscudos,19,FALSE)</f>
        <v>#N/A</v>
      </c>
      <c r="O33" s="530" t="e">
        <f ca="1">IF(ISNUMBER(SEARCH("XXX",N33)),SUBSTITUTE(N33,"XXX",MAX(0,VLOOKUP(P28,Tabla_ArmasyEscudos,17,FALSE)+IF(FUE&lt;3,-30,VLOOKUP(FUE,Tabla_AlcanceFUE,2)))),SUBSTITUTE(SUBSTITUTE(N33,"Arma natural a distancia disparada",Q33),"Arma natural a distancia",Q33))</f>
        <v>#N/A</v>
      </c>
      <c r="P33" s="530" t="e">
        <f ca="1">SUBSTITUTE(IF(VLOOKUP(P28,Tabla_ArmasyEscudos,17,FALSE)&lt;&gt;"-",O33,N33),"(FUE "&amp;R33&amp;")","(FUE "&amp;R33+U31/5&amp;")")</f>
        <v>#N/A</v>
      </c>
      <c r="Q33"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33" s="530">
        <f ca="1">IFERROR(MID(N33,SEARCH("(FUE ",N33)+5,SEARCH(")",N33,SEARCH("(FUE ",N33))-SEARCH("(FUE ",N33)-5),0)</f>
        <v>0</v>
      </c>
      <c r="S33" s="530"/>
      <c r="X33" s="685"/>
      <c r="Y33" s="9"/>
      <c r="Z33" s="9"/>
      <c r="AA33" s="1022"/>
      <c r="AB33" s="5453" t="str">
        <f>IF(PDs!$AD61=0,"",PDs!$AD61)</f>
        <v/>
      </c>
      <c r="AC33" s="5454"/>
      <c r="AD33" s="5454"/>
      <c r="AE33" s="5454"/>
      <c r="AF33" s="5465" t="str">
        <f t="shared" si="8"/>
        <v/>
      </c>
      <c r="AG33" s="5454"/>
      <c r="AH33" s="5454"/>
      <c r="AI33" s="5454"/>
      <c r="AJ33" s="5454"/>
      <c r="AK33" s="5454"/>
      <c r="AL33" s="5454"/>
      <c r="AM33" s="5454"/>
      <c r="AN33" s="5454"/>
      <c r="AO33" s="5454"/>
      <c r="AP33" s="5466"/>
      <c r="AQ33" s="1363">
        <f t="shared" si="9"/>
        <v>0</v>
      </c>
      <c r="AR33" s="1088"/>
      <c r="AS33" s="9"/>
      <c r="AT33" s="628">
        <v>4</v>
      </c>
      <c r="AU33" s="628" t="s">
        <v>1755</v>
      </c>
      <c r="AV33" s="2265"/>
      <c r="AW33" s="2265" t="str">
        <f>F29</f>
        <v>Normal</v>
      </c>
      <c r="AX33" s="2265" t="str">
        <f>Q29</f>
        <v>Normal</v>
      </c>
      <c r="AY33" s="2265" t="str">
        <f>F36</f>
        <v>Normal</v>
      </c>
      <c r="AZ33" s="2265" t="str">
        <f>Q36</f>
        <v>Normal</v>
      </c>
      <c r="BA33" s="2265" t="str">
        <f>F43</f>
        <v>Normal</v>
      </c>
      <c r="BB33" s="2265" t="str">
        <f>Q43</f>
        <v>Normal</v>
      </c>
      <c r="BC33" s="2265" t="str">
        <f>F51</f>
        <v>Normal</v>
      </c>
      <c r="BD33" s="2265" t="str">
        <f>Q51</f>
        <v>Normal</v>
      </c>
      <c r="BE33" s="2265" t="str">
        <f>F60</f>
        <v>Normal</v>
      </c>
      <c r="BF33" s="2265" t="str">
        <f>Q60</f>
        <v>Normal</v>
      </c>
      <c r="BG33" s="628"/>
      <c r="BH33" s="530"/>
      <c r="BI33" s="530"/>
      <c r="BJ33" s="530"/>
      <c r="BK33" s="530"/>
      <c r="BL33" s="530"/>
      <c r="BM33" s="530"/>
      <c r="BN33" s="530"/>
    </row>
    <row r="34" spans="1:66" ht="12" customHeight="1" thickBot="1">
      <c r="A34" s="9"/>
      <c r="B34" s="1049"/>
      <c r="C34" s="1335" t="s">
        <v>8232</v>
      </c>
      <c r="D34" s="1330" t="str">
        <f>E35&amp;IF(COUNTIF($R$22:$T$25,C34&amp;" "&amp;E35)&gt;0,IFERROR(" y"&amp;MID(VLOOKUP(C34&amp;" "&amp;E35,$R$22:$W$25,4,FALSE),SEARCH(".",VLOOKUP(C34&amp;" "&amp;E35,$R$22:$W$25,4,FALSE))+1,100),""),"")</f>
        <v/>
      </c>
      <c r="E34" s="1330"/>
      <c r="F34" s="1330"/>
      <c r="G34" s="1330"/>
      <c r="H34" s="1330"/>
      <c r="I34" s="1330"/>
      <c r="J34" s="1330"/>
      <c r="K34" s="1330"/>
      <c r="L34" s="1361" t="s">
        <v>8248</v>
      </c>
      <c r="M34" s="685"/>
      <c r="N34" s="1335" t="s">
        <v>8229</v>
      </c>
      <c r="O34" s="1330" t="str">
        <f>P35&amp;IF(COUNTIF($R$22:$T$25,N34&amp;" "&amp;P35)&gt;0,IFERROR(" y"&amp;MID(VLOOKUP(N34&amp;" "&amp;P35,$R$22:$W$25,4,FALSE),SEARCH(".",VLOOKUP(N34&amp;" "&amp;P35,$R$22:$W$25,4,FALSE))+1,100),""),"")</f>
        <v/>
      </c>
      <c r="P34" s="1330"/>
      <c r="Q34" s="1330"/>
      <c r="R34" s="1330"/>
      <c r="S34" s="1330"/>
      <c r="T34" s="1330"/>
      <c r="U34" s="1330"/>
      <c r="V34" s="1330"/>
      <c r="W34" s="1361" t="s">
        <v>8248</v>
      </c>
      <c r="X34" s="685"/>
      <c r="Y34" s="9"/>
      <c r="Z34" s="9"/>
      <c r="AA34" s="1022"/>
      <c r="AB34" s="5453" t="str">
        <f>IF(PDs!$AD62=0,"",PDs!$AD62)</f>
        <v/>
      </c>
      <c r="AC34" s="5454"/>
      <c r="AD34" s="5454"/>
      <c r="AE34" s="5454"/>
      <c r="AF34" s="5465" t="str">
        <f t="shared" si="8"/>
        <v/>
      </c>
      <c r="AG34" s="5454"/>
      <c r="AH34" s="5454"/>
      <c r="AI34" s="5454"/>
      <c r="AJ34" s="5454"/>
      <c r="AK34" s="5454"/>
      <c r="AL34" s="5454"/>
      <c r="AM34" s="5454"/>
      <c r="AN34" s="5454"/>
      <c r="AO34" s="5454"/>
      <c r="AP34" s="5466"/>
      <c r="AQ34" s="1363">
        <f t="shared" si="9"/>
        <v>0</v>
      </c>
      <c r="AR34" s="1088"/>
      <c r="AS34" s="9"/>
      <c r="AT34" s="628">
        <v>5</v>
      </c>
      <c r="AU34" s="628" t="s">
        <v>1439</v>
      </c>
      <c r="AW34" s="530" t="s">
        <v>1315</v>
      </c>
      <c r="AX34" s="530" t="s">
        <v>1315</v>
      </c>
      <c r="AY34" s="530" t="s">
        <v>1315</v>
      </c>
      <c r="AZ34" s="530" t="s">
        <v>1315</v>
      </c>
      <c r="BA34" s="530" t="s">
        <v>1315</v>
      </c>
      <c r="BB34" s="530" t="s">
        <v>1315</v>
      </c>
      <c r="BC34" s="2265">
        <f>E50</f>
        <v>0</v>
      </c>
      <c r="BD34" s="2265">
        <f>P50</f>
        <v>0</v>
      </c>
      <c r="BE34" s="2265">
        <f>E59</f>
        <v>0</v>
      </c>
      <c r="BF34" s="2265">
        <f>P59</f>
        <v>0</v>
      </c>
      <c r="BG34" s="628"/>
      <c r="BH34" s="530"/>
      <c r="BI34" s="530"/>
      <c r="BJ34" s="530"/>
      <c r="BK34" s="530"/>
      <c r="BL34" s="530"/>
      <c r="BM34" s="530"/>
      <c r="BN34" s="530"/>
    </row>
    <row r="35" spans="1:66" ht="12" customHeight="1">
      <c r="A35" s="9"/>
      <c r="B35" s="1049"/>
      <c r="C35" s="5506" t="s">
        <v>8222</v>
      </c>
      <c r="D35" s="5507"/>
      <c r="E35" s="5509"/>
      <c r="F35" s="5510"/>
      <c r="G35" s="5511"/>
      <c r="H35" s="1593" t="s">
        <v>1252</v>
      </c>
      <c r="I35" s="1594" t="s">
        <v>1423</v>
      </c>
      <c r="J35" s="5512" t="s">
        <v>1424</v>
      </c>
      <c r="K35" s="5512"/>
      <c r="L35" s="1595" t="s">
        <v>1425</v>
      </c>
      <c r="M35" s="1360" t="str">
        <f ca="1">IF(C35=INDEX(Lista_ManosArma,2),Lista_A2Manos,Lista_A1Mano)</f>
        <v>Tablas!$AF$654:$AF$796</v>
      </c>
      <c r="N35" s="5506" t="s">
        <v>8222</v>
      </c>
      <c r="O35" s="5507"/>
      <c r="P35" s="5509"/>
      <c r="Q35" s="5510"/>
      <c r="R35" s="5511"/>
      <c r="S35" s="1593" t="s">
        <v>1252</v>
      </c>
      <c r="T35" s="1594" t="s">
        <v>1423</v>
      </c>
      <c r="U35" s="5512" t="s">
        <v>1424</v>
      </c>
      <c r="V35" s="5512"/>
      <c r="W35" s="1595" t="s">
        <v>1425</v>
      </c>
      <c r="X35" s="1360" t="str">
        <f ca="1">IF(N35=INDEX(Lista_ManosArma,2),Lista_A2Manos,Lista_A1Mano)</f>
        <v>Tablas!$AF$654:$AF$796</v>
      </c>
      <c r="Y35" s="9"/>
      <c r="Z35" s="9"/>
      <c r="AA35" s="1022"/>
      <c r="AB35" s="5453" t="str">
        <f>IF(PDs!$AD63=0,"",PDs!$AD63)</f>
        <v/>
      </c>
      <c r="AC35" s="5454"/>
      <c r="AD35" s="5454"/>
      <c r="AE35" s="5454"/>
      <c r="AF35" s="5465" t="str">
        <f t="shared" si="8"/>
        <v/>
      </c>
      <c r="AG35" s="5454"/>
      <c r="AH35" s="5454"/>
      <c r="AI35" s="5454"/>
      <c r="AJ35" s="5454"/>
      <c r="AK35" s="5454"/>
      <c r="AL35" s="5454"/>
      <c r="AM35" s="5454"/>
      <c r="AN35" s="5454"/>
      <c r="AO35" s="5454"/>
      <c r="AP35" s="5466"/>
      <c r="AQ35" s="1363">
        <f t="shared" si="9"/>
        <v>0</v>
      </c>
      <c r="AR35" s="1088"/>
      <c r="AS35" s="9"/>
      <c r="AT35" s="628">
        <v>6</v>
      </c>
      <c r="AU35" s="628" t="s">
        <v>8289</v>
      </c>
      <c r="AV35" s="2265"/>
      <c r="AW35" s="2265" t="s">
        <v>1315</v>
      </c>
      <c r="AX35" s="2265" t="s">
        <v>1315</v>
      </c>
      <c r="AY35" s="2265" t="s">
        <v>1315</v>
      </c>
      <c r="AZ35" s="2265" t="s">
        <v>1315</v>
      </c>
      <c r="BA35" s="2265" t="s">
        <v>1315</v>
      </c>
      <c r="BB35" s="2265" t="s">
        <v>1315</v>
      </c>
      <c r="BC35" s="2265">
        <f>J53</f>
        <v>0</v>
      </c>
      <c r="BD35" s="2265">
        <f>U53</f>
        <v>0</v>
      </c>
      <c r="BE35" s="2265">
        <f>J62</f>
        <v>0</v>
      </c>
      <c r="BF35" s="2265">
        <f>U62</f>
        <v>0</v>
      </c>
      <c r="BG35" s="628"/>
      <c r="BH35" s="530"/>
      <c r="BI35" s="530"/>
      <c r="BJ35" s="530"/>
      <c r="BK35" s="530"/>
      <c r="BL35" s="530"/>
      <c r="BM35" s="530"/>
      <c r="BN35" s="530"/>
    </row>
    <row r="36" spans="1:66" ht="12" customHeight="1">
      <c r="A36" s="9"/>
      <c r="B36" s="1049"/>
      <c r="C36" s="5504" t="str">
        <f>IF(E35=0,"",VLOOKUP(E35,Tabla_ArmasyEscudos,9,FALSE))</f>
        <v/>
      </c>
      <c r="D36" s="5505"/>
      <c r="E36" s="1596" t="s">
        <v>1435</v>
      </c>
      <c r="F36" s="5599" t="s">
        <v>1436</v>
      </c>
      <c r="G36" s="5600"/>
      <c r="H36" s="5601" cm="1">
        <f t="array" aca="1" ref="H36" ca="1">IFERROR(INDEX(Tabla_Combate,$AT$41,LEFT(C34,LEN(C34)-1)),0)</f>
        <v>0</v>
      </c>
      <c r="I36" s="5513" cm="1">
        <f t="array" aca="1" ref="I36" ca="1">IFERROR(INDEX(Tabla_Combate,$AT$42,LEFT(C34,LEN(C34)-1)),0)</f>
        <v>0</v>
      </c>
      <c r="J36" s="5515" cm="1">
        <f t="array" aca="1" ref="J36" ca="1">IF(K36="-",0,IF(K36="Par",INDEX(Tabla_Combate,$AT$43,LEFT(C34,LEN(C34)-1)),INDEX(Tabla_Combate,$AT$44,LEFT(C34,LEN(C34)-1))))</f>
        <v>0</v>
      </c>
      <c r="K36" s="4334" t="str" cm="1">
        <f t="array" aca="1" ref="K36" ca="1">IF(IFERROR(VLOOKUP(INDEX(Tabla_Combate,$AT$30,LEFT(C34,LEN(C34)-1)),Tablas!$AI$848:$AU$857,12,0),FALSE),"-",IFERROR(IF(INDEX(Tabla_Combate,$AT$43,LEFT(C34,LEN(C34)-1))&gt;INDEX(Tabla_Combate,$AT$44,LEFT(C34,LEN(C34)-1)),"Par","Esq"),"-"))</f>
        <v>-</v>
      </c>
      <c r="L36" s="5521" cm="1">
        <f t="array" aca="1" ref="L36" ca="1">IFERROR(INDEX(Tabla_Combate,$AT$46,LEFT(C34,LEN(C34)-1)),0)</f>
        <v>0</v>
      </c>
      <c r="M36" s="685"/>
      <c r="N36" s="5504" t="str">
        <f>IF(P35=0,"",VLOOKUP(P35,Tabla_ArmasyEscudos,9,FALSE))</f>
        <v/>
      </c>
      <c r="O36" s="5505"/>
      <c r="P36" s="1596" t="s">
        <v>1435</v>
      </c>
      <c r="Q36" s="5599" t="s">
        <v>1436</v>
      </c>
      <c r="R36" s="5600"/>
      <c r="S36" s="5601" cm="1">
        <f t="array" aca="1" ref="S36" ca="1">IFERROR(INDEX(Tabla_Combate,$AT$41,LEFT(N34,LEN(N34)-1)),0)</f>
        <v>0</v>
      </c>
      <c r="T36" s="5513" cm="1">
        <f t="array" aca="1" ref="T36" ca="1">IFERROR(INDEX(Tabla_Combate,$AT$42,LEFT(N34,LEN(N34)-1)),0)</f>
        <v>0</v>
      </c>
      <c r="U36" s="5515" cm="1">
        <f t="array" aca="1" ref="U36" ca="1">IF(V36="-",0,IF(V36="Par",INDEX(Tabla_Combate,$AT$43,LEFT(N34,LEN(N34)-1)),INDEX(Tabla_Combate,$AT$44,LEFT(N34,LEN(N34)-1))))</f>
        <v>0</v>
      </c>
      <c r="V36" s="4334" t="str" cm="1">
        <f t="array" aca="1" ref="V36" ca="1">IF(IFERROR(VLOOKUP(INDEX(Tabla_Combate,$AT$30,LEFT(N34,LEN(N34)-1)),Tablas!$AI$848:$AU$857,12,0),FALSE),"-",IFERROR(IF(INDEX(Tabla_Combate,$AT$43,LEFT(N34,LEN(N34)-1))&gt;INDEX(Tabla_Combate,$AT$44,LEFT(N34,LEN(N34)-1)),"Par","Esq"),"-"))</f>
        <v>-</v>
      </c>
      <c r="W36" s="5521" cm="1">
        <f t="array" aca="1" ref="W36" ca="1">IFERROR(INDEX(Tabla_Combate,$AT$46,LEFT(N34,LEN(N34)-1)),0)</f>
        <v>0</v>
      </c>
      <c r="X36" s="685"/>
      <c r="Y36" s="9"/>
      <c r="Z36" s="9"/>
      <c r="AA36" s="1022"/>
      <c r="AB36" s="5453" t="str">
        <f>IF(PDs!$AD64=0,"",PDs!$AD64)</f>
        <v/>
      </c>
      <c r="AC36" s="5454"/>
      <c r="AD36" s="5454"/>
      <c r="AE36" s="5454"/>
      <c r="AF36" s="5465" t="str">
        <f t="shared" si="8"/>
        <v/>
      </c>
      <c r="AG36" s="5454"/>
      <c r="AH36" s="5454"/>
      <c r="AI36" s="5454"/>
      <c r="AJ36" s="5454"/>
      <c r="AK36" s="5454"/>
      <c r="AL36" s="5454"/>
      <c r="AM36" s="5454"/>
      <c r="AN36" s="5454"/>
      <c r="AO36" s="5454"/>
      <c r="AP36" s="5466"/>
      <c r="AQ36" s="1363">
        <f t="shared" si="9"/>
        <v>0</v>
      </c>
      <c r="AR36" s="1088"/>
      <c r="AS36" s="9"/>
      <c r="AT36" s="628">
        <v>7</v>
      </c>
      <c r="AU36" s="628" t="s">
        <v>9156</v>
      </c>
      <c r="AV36" s="628"/>
      <c r="AW36" s="628" t="str">
        <f>IF($C31="","","("&amp;$C31&amp;IF(AND($C31&lt;&gt;"ENE",OR(Extrusióndevacío,Tablas!$R$1497)),", ENE","")&amp;IF($D31="-",""," / "&amp;$D31)&amp;")")</f>
        <v/>
      </c>
      <c r="AX36" s="628" t="str">
        <f>IF($N31="","","("&amp;$N31&amp;IF(AND($N31&lt;&gt;"ENE",OR(Extrusióndevacío,Tablas!$R$1497)),", ENE","")&amp;IF($O31="-",""," / "&amp;$O31)&amp;")")</f>
        <v/>
      </c>
      <c r="AY36" s="628" t="str">
        <f>IF($C38="","","("&amp;$C38&amp;IF(AND($C38&lt;&gt;"ENE",OR(Extrusióndevacío,Tablas!$R$1497)),", ENE","")&amp;IF($D38="-",""," / "&amp;$D38)&amp;")")</f>
        <v/>
      </c>
      <c r="AZ36" s="628" t="str">
        <f>IF($N38="","","("&amp;$N38&amp;IF(AND($N38&lt;&gt;"ENE",OR(Extrusióndevacío,Tablas!$R$1497)),", ENE","")&amp;IF($O38="-",""," / "&amp;$O38)&amp;")")</f>
        <v/>
      </c>
      <c r="BA36" s="628" t="str">
        <f>IF($C45="","","("&amp;$C45&amp;IF(AND($C45&lt;&gt;"ENE",OR(Extrusióndevacío,Tablas!$R$1497)),", ENE","")&amp;IF($D45="-",""," / "&amp;$D45)&amp;")")</f>
        <v/>
      </c>
      <c r="BB36" s="628" t="str">
        <f>IF($N45="","","("&amp;$N45&amp;IF(AND($N45&lt;&gt;"ENE",OR(Extrusióndevacío,Tablas!$R$1497)),", ENE","")&amp;IF($O45="-",""," / "&amp;$O45)&amp;")")</f>
        <v/>
      </c>
      <c r="BC36" s="628" t="str">
        <f>IF($C53="","","("&amp;$C53&amp;IF(AND($C53&lt;&gt;"ENE",OR(Extrusióndevacío,Tablas!$R$1497)),", ENE","")&amp;IF($D53="-",""," / "&amp;$D53)&amp;")")</f>
        <v/>
      </c>
      <c r="BD36" s="628" t="str">
        <f>IF($N53="","","("&amp;$N53&amp;IF(AND($N53&lt;&gt;"ENE",OR(Extrusióndevacío,Tablas!$R$1497)),", ENE","")&amp;IF($O53="-",""," / "&amp;$O53)&amp;")")</f>
        <v/>
      </c>
      <c r="BE36" s="628" t="str">
        <f>IF($C62="","","("&amp;$C62&amp;IF(AND($C62&lt;&gt;"ENE",OR(Extrusióndevacío,Tablas!$R$1497)),", ENE","")&amp;IF($D62="-",""," / "&amp;$D62)&amp;")")</f>
        <v/>
      </c>
      <c r="BF36" s="628" t="str">
        <f>IF($N62="","","("&amp;$N62&amp;IF(AND($N62&lt;&gt;"ENE",OR(Extrusióndevacío,Tablas!$R$1497)),", ENE","")&amp;IF($O62="-",""," / "&amp;$O62)&amp;")")</f>
        <v/>
      </c>
      <c r="BG36" s="628"/>
      <c r="BH36" s="530"/>
      <c r="BI36" s="530"/>
      <c r="BJ36" s="530"/>
      <c r="BK36" s="530"/>
      <c r="BL36" s="530"/>
      <c r="BM36" s="530"/>
      <c r="BN36" s="530"/>
    </row>
    <row r="37" spans="1:66" ht="12" customHeight="1">
      <c r="A37" s="9"/>
      <c r="B37" s="1049"/>
      <c r="C37" s="958" t="s">
        <v>1427</v>
      </c>
      <c r="D37" s="71" t="s">
        <v>1428</v>
      </c>
      <c r="E37" s="71" t="s">
        <v>1416</v>
      </c>
      <c r="F37" s="71" t="s">
        <v>1429</v>
      </c>
      <c r="G37" s="71" t="s">
        <v>1417</v>
      </c>
      <c r="H37" s="5601"/>
      <c r="I37" s="5514"/>
      <c r="J37" s="5516"/>
      <c r="K37" s="5520"/>
      <c r="L37" s="5522"/>
      <c r="M37" s="685"/>
      <c r="N37" s="958" t="s">
        <v>1427</v>
      </c>
      <c r="O37" s="71" t="s">
        <v>1428</v>
      </c>
      <c r="P37" s="71" t="s">
        <v>1416</v>
      </c>
      <c r="Q37" s="71" t="s">
        <v>1429</v>
      </c>
      <c r="R37" s="71" t="s">
        <v>1417</v>
      </c>
      <c r="S37" s="5601"/>
      <c r="T37" s="5514"/>
      <c r="U37" s="5516"/>
      <c r="V37" s="5520"/>
      <c r="W37" s="5522"/>
      <c r="X37" s="685"/>
      <c r="Y37" s="9"/>
      <c r="Z37" s="9"/>
      <c r="AA37" s="1022"/>
      <c r="AB37" s="5451" t="str">
        <f>IF(PDs!$AD65=0,"",PDs!$AD65)</f>
        <v/>
      </c>
      <c r="AC37" s="5452"/>
      <c r="AD37" s="5452"/>
      <c r="AE37" s="5452"/>
      <c r="AF37" s="5465" t="str">
        <f t="shared" si="8"/>
        <v/>
      </c>
      <c r="AG37" s="5454"/>
      <c r="AH37" s="5454"/>
      <c r="AI37" s="5454"/>
      <c r="AJ37" s="5454"/>
      <c r="AK37" s="5454"/>
      <c r="AL37" s="5454"/>
      <c r="AM37" s="5454"/>
      <c r="AN37" s="5454"/>
      <c r="AO37" s="5454"/>
      <c r="AP37" s="5466"/>
      <c r="AQ37" s="1363">
        <f t="shared" si="9"/>
        <v>0</v>
      </c>
      <c r="AR37" s="1088"/>
      <c r="AS37" s="9"/>
      <c r="AT37" s="628">
        <v>8</v>
      </c>
      <c r="AU37" s="628" t="s">
        <v>8254</v>
      </c>
      <c r="AV37" s="2265"/>
      <c r="AW37" s="2265" t="str">
        <f>C28</f>
        <v>A una mano</v>
      </c>
      <c r="AX37" s="2265" t="str">
        <f>N28</f>
        <v>A una mano</v>
      </c>
      <c r="AY37" s="2265" t="str">
        <f>C35</f>
        <v>A una mano</v>
      </c>
      <c r="AZ37" s="2265" t="str">
        <f>N35</f>
        <v>A una mano</v>
      </c>
      <c r="BA37" s="2265" t="str">
        <f>C42</f>
        <v>A una mano</v>
      </c>
      <c r="BB37" s="2265" t="str">
        <f>N42</f>
        <v>A una mano</v>
      </c>
      <c r="BC37" s="2265" t="str">
        <f>C49</f>
        <v>A una mano</v>
      </c>
      <c r="BD37" s="2265" t="str">
        <f>N49</f>
        <v>A una mano</v>
      </c>
      <c r="BE37" s="2265" t="str">
        <f>C58</f>
        <v>A dos manos</v>
      </c>
      <c r="BF37" s="2265" t="str">
        <f>N58</f>
        <v>A dos manos</v>
      </c>
      <c r="BG37" s="628"/>
      <c r="BH37" s="530"/>
      <c r="BI37" s="530"/>
      <c r="BJ37" s="530"/>
      <c r="BK37" s="530"/>
      <c r="BL37" s="530"/>
      <c r="BM37" s="530"/>
      <c r="BN37" s="530"/>
    </row>
    <row r="38" spans="1:66" ht="12" customHeight="1">
      <c r="A38" s="9"/>
      <c r="B38" s="1049"/>
      <c r="C38" s="959" t="str">
        <f>IF(E35=0,"",VLOOKUP(E35,Tabla_ArmasyEscudos,6,FALSE))</f>
        <v/>
      </c>
      <c r="D38" s="1327" t="str">
        <f>IF(E35=0,"",VLOOKUP(E35,Tabla_ArmasyEscudos,7,FALSE))</f>
        <v/>
      </c>
      <c r="E38" s="1327" t="str">
        <f>IFERROR(IF(E35=0,"",MAX(0,IF(Extensióndelauraalarma,10,0)+J38*2+VLOOKUP(E35,Tabla_ArmasyEscudos,10,FALSE)+IF(F36=0,0,VLOOKUP(F36,Tabla_ArmasEnormes,6,FALSE)))+IF(Tabla_Desvío,DES,0)),"-")</f>
        <v/>
      </c>
      <c r="F38" s="1327" t="str">
        <f>IF(E35=0,"",IF(Extensióndelauraalarma,5,0)+J38*2/5+VLOOKUP(E35,Tabla_ArmasyEscudos,11,FALSE)+IF(F36=0,0,VLOOKUP(F36,Tabla_ArmasEnormes,7,FALSE))+IF(FUE=0,0,VLOOKUP(FUE,Tabla_Fuerza,2))+IF(Ojos_de_la_Muerte,5,0))</f>
        <v/>
      </c>
      <c r="G38" s="1032" t="str">
        <f>IFERROR(IF(E35=0,"",IF(E35="Ophiucos",0,MAX(IF(OR(ISNUMBER(FIND("Virgo",E35)),ISNUMBER(FIND("Umbra",E35))),0,J38)*10,0))+VLOOKUP(E35,Tabla_ArmasyEscudos,12,FALSE)),"-")</f>
        <v/>
      </c>
      <c r="H38" s="5613" t="s">
        <v>8224</v>
      </c>
      <c r="I38" s="5614"/>
      <c r="J38" s="1366"/>
      <c r="K38" s="5615" t="str">
        <f ca="1">IFERROR(IF(ISNUMBER(SEARCH("Escudo",VLOOKUP(E35,Tabla_ArmasyEscudos,8,0))),"Turno esp: ","Turno base: ")&amp;VLOOKUP(E35,Tabla_ArmasyEscudos,3,FALSE)+IF(Tamaño&lt;VLOOKUP(F36,Tabla_ArmasEnormes,3,FALSE),IF(OR(F36="Enorme",F36="Gigante"),-40,0),0),"")</f>
        <v/>
      </c>
      <c r="L38" s="5616"/>
      <c r="M38" s="685"/>
      <c r="N38" s="959" t="str">
        <f>IF(P35=0,"",VLOOKUP(P35,Tabla_ArmasyEscudos,6,FALSE))</f>
        <v/>
      </c>
      <c r="O38" s="1327" t="str">
        <f>IF(P35=0,"",VLOOKUP(P35,Tabla_ArmasyEscudos,7,FALSE))</f>
        <v/>
      </c>
      <c r="P38" s="1327" t="str">
        <f>IFERROR(IF(P35=0,"",MAX(0,IF(Extensióndelauraalarma,10,0)+U38*2+VLOOKUP(P35,Tabla_ArmasyEscudos,10,FALSE)+IF(Q36=0,0,VLOOKUP(Q36,Tabla_ArmasEnormes,6,FALSE)))+IF(Tabla_Desvío,DES,0)),"-")</f>
        <v/>
      </c>
      <c r="Q38" s="1327" t="str">
        <f>IF(P35=0,"",IF(Extensióndelauraalarma,5,0)+U38*2/5+VLOOKUP(P35,Tabla_ArmasyEscudos,11,FALSE)+IF(Q36=0,0,VLOOKUP(Q36,Tabla_ArmasEnormes,7,FALSE))+IF(FUE=0,0,VLOOKUP(FUE,Tabla_Fuerza,2))+IF(Ojos_de_la_Muerte,5,0))</f>
        <v/>
      </c>
      <c r="R38" s="1032" t="str">
        <f>IFERROR(IF(P35=0,"",IF(P35="Ophiucos",0,MAX(IF(OR(ISNUMBER(FIND("Virgo",P35)),ISNUMBER(FIND("Umbra",P35))),0,U38)*10,0))+VLOOKUP(P35,Tabla_ArmasyEscudos,12,FALSE)),"-")</f>
        <v/>
      </c>
      <c r="S38" s="5613" t="s">
        <v>8224</v>
      </c>
      <c r="T38" s="5614"/>
      <c r="U38" s="1366"/>
      <c r="V38" s="5615" t="str">
        <f ca="1">IFERROR(IF(ISNUMBER(SEARCH("Escudo",VLOOKUP(P35,Tabla_ArmasyEscudos,8,0))),"Turno esp: ","Turno base: ")&amp;VLOOKUP(P35,Tabla_ArmasyEscudos,3,FALSE)+IFERROR(IF(Tamaño&lt;VLOOKUP(Q36,Tabla_ArmasEnormes,3,FALSE),-40,0),0),"")</f>
        <v/>
      </c>
      <c r="W38" s="5616"/>
      <c r="X38" s="685"/>
      <c r="Y38" s="9"/>
      <c r="Z38" s="9"/>
      <c r="AA38" s="1022"/>
      <c r="AB38" s="5451" t="str">
        <f>IF(PDs!$AD66=0,"",PDs!$AD66)</f>
        <v/>
      </c>
      <c r="AC38" s="5452"/>
      <c r="AD38" s="5452"/>
      <c r="AE38" s="5452"/>
      <c r="AF38" s="5465" t="str">
        <f t="shared" si="8"/>
        <v/>
      </c>
      <c r="AG38" s="5454"/>
      <c r="AH38" s="5454"/>
      <c r="AI38" s="5454"/>
      <c r="AJ38" s="5454"/>
      <c r="AK38" s="5454"/>
      <c r="AL38" s="5454"/>
      <c r="AM38" s="5454"/>
      <c r="AN38" s="5454"/>
      <c r="AO38" s="5454"/>
      <c r="AP38" s="5466"/>
      <c r="AQ38" s="1363">
        <f t="shared" si="9"/>
        <v>0</v>
      </c>
      <c r="AR38" s="1088"/>
      <c r="AS38" s="9"/>
      <c r="AT38" s="628">
        <v>9</v>
      </c>
      <c r="AU38" s="628" t="s">
        <v>8255</v>
      </c>
      <c r="AV38" s="2265"/>
      <c r="AW38" s="2265" t="str">
        <f>IF(COUNTIF($R$22:$T$25,Tablas!A$1&amp;". "&amp;AW30)&gt;0,"Hábil",IF(COUNTIF($U$22:$W$25,Tablas!A$1&amp;". "&amp;AW30)&gt;0,"Torpe","Única"))</f>
        <v>Única</v>
      </c>
      <c r="AX38" s="2265" t="str">
        <f>IF(COUNTIF($R$22:$T$25,Tablas!B$1&amp;". "&amp;AX30)&gt;0,"Hábil",IF(COUNTIF($U$22:$W$25,Tablas!B$1&amp;". "&amp;AX30)&gt;0,"Torpe","Única"))</f>
        <v>Única</v>
      </c>
      <c r="AY38" s="2265" t="str">
        <f>IF(COUNTIF($R$22:$T$25,Tablas!C$1&amp;". "&amp;AY30)&gt;0,"Hábil",IF(COUNTIF($U$22:$W$25,Tablas!C$1&amp;". "&amp;AY30)&gt;0,"Torpe","Única"))</f>
        <v>Única</v>
      </c>
      <c r="AZ38" s="2265" t="str">
        <f>IF(COUNTIF($R$22:$T$25,Tablas!D$1&amp;". "&amp;AZ30)&gt;0,"Hábil",IF(COUNTIF($U$22:$W$25,Tablas!D$1&amp;". "&amp;AZ30)&gt;0,"Torpe","Única"))</f>
        <v>Única</v>
      </c>
      <c r="BA38" s="2265" t="str">
        <f>IF(COUNTIF($R$22:$T$25,Tablas!E$1&amp;". "&amp;BA30)&gt;0,"Hábil",IF(COUNTIF($U$22:$W$25,Tablas!E$1&amp;". "&amp;BA30)&gt;0,"Torpe","Única"))</f>
        <v>Única</v>
      </c>
      <c r="BB38" s="2265" t="str">
        <f>IF(COUNTIF($R$22:$T$25,Tablas!F$1&amp;". "&amp;BB30)&gt;0,"Hábil",IF(COUNTIF($U$22:$W$25,Tablas!F$1&amp;". "&amp;BB30)&gt;0,"Torpe","Única"))</f>
        <v>Única</v>
      </c>
      <c r="BC38" s="2265" t="str">
        <f>IF(COUNTIF($R$22:$T$25,Tablas!G$1&amp;". "&amp;BC30)&gt;0,"Hábil",IF(COUNTIF($U$22:$W$25,Tablas!G$1&amp;". "&amp;BC30)&gt;0,"Torpe","Única"))</f>
        <v>Única</v>
      </c>
      <c r="BD38" s="2265" t="str">
        <f>IF(COUNTIF($R$22:$T$25,Tablas!H$1&amp;". "&amp;BD30)&gt;0,"Hábil",IF(COUNTIF($U$22:$W$25,Tablas!H$1&amp;". "&amp;BD30)&gt;0,"Torpe","Única"))</f>
        <v>Única</v>
      </c>
      <c r="BE38" s="2265" t="str">
        <f>IF(COUNTIF($R$22:$T$25,Tablas!I$1&amp;". "&amp;BE30)&gt;0,"Hábil",IF(COUNTIF($U$22:$W$25,Tablas!I$1&amp;". "&amp;BE30)&gt;0,"Torpe","Única"))</f>
        <v>Única</v>
      </c>
      <c r="BF38" s="2265" t="str">
        <f>IF(COUNTIF($R$22:$T$25,Tablas!J$1&amp;". "&amp;BF30)&gt;0,"Hábil",IF(COUNTIF($U$22:$W$25,Tablas!J$1&amp;". "&amp;BF30)&gt;0,"Torpe","Única"))</f>
        <v>Única</v>
      </c>
      <c r="BG38" s="628"/>
      <c r="BH38" s="530"/>
      <c r="BI38" s="530"/>
      <c r="BJ38" s="530"/>
      <c r="BK38" s="530"/>
      <c r="BL38" s="530"/>
      <c r="BM38" s="530"/>
      <c r="BN38" s="530"/>
    </row>
    <row r="39" spans="1:66" ht="12" customHeight="1" thickBot="1">
      <c r="A39" s="9"/>
      <c r="B39" s="1049"/>
      <c r="C39" s="5617" t="str">
        <f>IF(E35=0,"",E40)</f>
        <v/>
      </c>
      <c r="D39" s="5618"/>
      <c r="E39" s="5618"/>
      <c r="F39" s="5618"/>
      <c r="G39" s="5618"/>
      <c r="H39" s="5618"/>
      <c r="I39" s="1331"/>
      <c r="J39" s="1332" t="str">
        <f>IF(F36=0,IF(J38&lt;=0,"","TA defensor: -"&amp;J38/5),IF(Tamaño&lt;VLOOKUP(F36,Tabla_ArmasEnormes,2,FALSE),"Tam. excesivo",IF(J38&lt;=0,"","TA defensor: -"&amp;J38/5)))</f>
        <v/>
      </c>
      <c r="K39" s="5619" t="str">
        <f ca="1">IFERROR("FUE min: "&amp;VLOOKUP(E35,Tabla_ArmasyEscudos,IF(C35="A dos manos",5,4),FALSE)+IFERROR(VLOOKUP(F36,Tabla_ArmasEnormes,4,FALSE),0),"")</f>
        <v/>
      </c>
      <c r="L39" s="5620"/>
      <c r="M39" s="685"/>
      <c r="N39" s="5617" t="str">
        <f>IF(P35=0,"",P40)</f>
        <v/>
      </c>
      <c r="O39" s="5618"/>
      <c r="P39" s="5618"/>
      <c r="Q39" s="5618"/>
      <c r="R39" s="5618"/>
      <c r="S39" s="5618"/>
      <c r="T39" s="1331"/>
      <c r="U39" s="1332" t="str">
        <f>IF(Q36=0,IF(U38&lt;=0,"","TA defensor: -"&amp;U38/5),IF(Tamaño&lt;VLOOKUP(Q36,Tabla_ArmasEnormes,2,FALSE),"Tam. excesivo",IF(U38&lt;=0,"","TA defensor: -"&amp;U38/5)))</f>
        <v/>
      </c>
      <c r="V39" s="5619" t="str">
        <f ca="1">IFERROR("FUE min: "&amp;VLOOKUP(P35,Tabla_ArmasyEscudos,IF(N35="A dos manos",5,4),FALSE)+IFERROR(VLOOKUP(Q36,Tabla_ArmasEnormes,4,FALSE),0),"")</f>
        <v/>
      </c>
      <c r="W39" s="5620"/>
      <c r="X39" s="685"/>
      <c r="Y39" s="9"/>
      <c r="Z39" s="9"/>
      <c r="AA39" s="1022"/>
      <c r="AB39" s="5451" t="str">
        <f>IF(PDs!$AD67=0,"",PDs!$AD67)</f>
        <v/>
      </c>
      <c r="AC39" s="5452"/>
      <c r="AD39" s="5452"/>
      <c r="AE39" s="5452"/>
      <c r="AF39" s="5465" t="str">
        <f t="shared" si="8"/>
        <v/>
      </c>
      <c r="AG39" s="5454"/>
      <c r="AH39" s="5454"/>
      <c r="AI39" s="5454"/>
      <c r="AJ39" s="5454"/>
      <c r="AK39" s="5454"/>
      <c r="AL39" s="5454"/>
      <c r="AM39" s="5454"/>
      <c r="AN39" s="5454"/>
      <c r="AO39" s="5454"/>
      <c r="AP39" s="5466"/>
      <c r="AQ39" s="1363">
        <f t="shared" si="9"/>
        <v>0</v>
      </c>
      <c r="AR39" s="1088"/>
      <c r="AS39" s="9"/>
      <c r="AT39" s="628">
        <v>10</v>
      </c>
      <c r="AU39" s="628" t="s">
        <v>8235</v>
      </c>
      <c r="AV39" s="2265"/>
      <c r="AW39" s="2265" t="str">
        <f>IFERROR(LEFT(VLOOKUP(Tablas!A$1&amp;". "&amp;AW$30,$R$22:$W$25,4,FALSE),SEARCH(".",VLOOKUP(Tablas!A$1&amp;". "&amp;AW$30,$R$22:$W$25,4,FALSE))-1),"-")</f>
        <v>-</v>
      </c>
      <c r="AX39" s="2265" t="str">
        <f>IFERROR(LEFT(VLOOKUP(Tablas!B$1&amp;". "&amp;AX$30,$R$22:$W$25,4,FALSE),SEARCH(".",VLOOKUP(Tablas!B$1&amp;". "&amp;AX$30,$R$22:$W$25,4,FALSE))-1),"-")</f>
        <v>-</v>
      </c>
      <c r="AY39" s="2265" t="str">
        <f>IFERROR(LEFT(VLOOKUP(Tablas!C$1&amp;". "&amp;AY$30,$R$22:$W$25,4,FALSE),SEARCH(".",VLOOKUP(Tablas!C$1&amp;". "&amp;AY$30,$R$22:$W$25,4,FALSE))-1),"-")</f>
        <v>-</v>
      </c>
      <c r="AZ39" s="2265" t="str">
        <f>IFERROR(LEFT(VLOOKUP(Tablas!D$1&amp;". "&amp;AZ$30,$R$22:$W$25,4,FALSE),SEARCH(".",VLOOKUP(Tablas!D$1&amp;". "&amp;AZ$30,$R$22:$W$25,4,FALSE))-1),"-")</f>
        <v>-</v>
      </c>
      <c r="BA39" s="2265" t="str">
        <f>IFERROR(LEFT(VLOOKUP(Tablas!E$1&amp;". "&amp;BA$30,$R$22:$W$25,4,FALSE),SEARCH(".",VLOOKUP(Tablas!E$1&amp;". "&amp;BA$30,$R$22:$W$25,4,FALSE))-1),"-")</f>
        <v>-</v>
      </c>
      <c r="BB39" s="2265" t="str">
        <f>IFERROR(LEFT(VLOOKUP(Tablas!F$1&amp;". "&amp;BB$30,$R$22:$W$25,4,FALSE),SEARCH(".",VLOOKUP(Tablas!F$1&amp;". "&amp;BB$30,$R$22:$W$25,4,FALSE))-1),"-")</f>
        <v>-</v>
      </c>
      <c r="BC39" s="2265" t="str">
        <f>IFERROR(LEFT(VLOOKUP(Tablas!G$1&amp;". "&amp;BC$30,$R$22:$W$25,4,FALSE),SEARCH(".",VLOOKUP(Tablas!G$1&amp;". "&amp;BC$30,$R$22:$W$25,4,FALSE))-1),"-")</f>
        <v>-</v>
      </c>
      <c r="BD39" s="2265" t="str">
        <f>IFERROR(LEFT(VLOOKUP(Tablas!H$1&amp;". "&amp;BD$30,$R$22:$W$25,4,FALSE),SEARCH(".",VLOOKUP(Tablas!H$1&amp;". "&amp;BD$30,$R$22:$W$25,4,FALSE))-1),"-")</f>
        <v>-</v>
      </c>
      <c r="BE39" s="2265" t="str">
        <f>IFERROR(LEFT(VLOOKUP(Tablas!I$1&amp;". "&amp;BE$30,$R$22:$W$25,4,FALSE),SEARCH(".",VLOOKUP(Tablas!I$1&amp;". "&amp;BE$30,$R$22:$W$25,4,FALSE))-1),"-")</f>
        <v>-</v>
      </c>
      <c r="BF39" s="2265" t="str">
        <f>IFERROR(LEFT(VLOOKUP(Tablas!J$1&amp;". "&amp;BF$30,$R$22:$W$25,4,FALSE),SEARCH(".",VLOOKUP(Tablas!J$1&amp;". "&amp;BF$30,$R$22:$W$25,4,FALSE))-1),"-")</f>
        <v>-</v>
      </c>
      <c r="BG39" s="628"/>
      <c r="BH39" s="530"/>
      <c r="BI39" s="530"/>
      <c r="BJ39" s="530"/>
      <c r="BK39" s="530"/>
      <c r="BL39" s="530"/>
      <c r="BM39" s="530"/>
      <c r="BN39" s="530"/>
    </row>
    <row r="40" spans="1:66" ht="12" customHeight="1" thickBot="1">
      <c r="A40" s="9"/>
      <c r="B40" s="1049"/>
      <c r="C40" s="530" t="e">
        <f ca="1">VLOOKUP(E35,Tabla_ArmasyEscudos,19,FALSE)</f>
        <v>#N/A</v>
      </c>
      <c r="D40" s="530" t="e">
        <f ca="1">IF(ISNUMBER(SEARCH("XXX",C40)),SUBSTITUTE(C40,"XXX",MAX(0,VLOOKUP(E35,Tabla_ArmasyEscudos,17,FALSE)+IF(FUE&lt;3,-30,VLOOKUP(FUE,Tabla_AlcanceFUE,2)))),SUBSTITUTE(SUBSTITUTE(C40,"Arma natural a distancia disparada",F40),"Arma natural a distancia",F40))</f>
        <v>#N/A</v>
      </c>
      <c r="E40" s="530" t="e">
        <f ca="1">SUBSTITUTE(IF(VLOOKUP(E35,Tabla_ArmasyEscudos,17,FALSE)&lt;&gt;"-",D40,C40),"(FUE "&amp;G40&amp;")","(FUE "&amp;G40+J38/5&amp;")")</f>
        <v>#N/A</v>
      </c>
      <c r="F40"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0" s="530">
        <f ca="1">IFERROR(MID(C40,SEARCH("(FUE ",C40)+5,SEARCH(")",C40,SEARCH("(FUE ",C40))-SEARCH("(FUE ",C40)-5),0)</f>
        <v>0</v>
      </c>
      <c r="H40" s="530"/>
      <c r="M40" s="530"/>
      <c r="N40" s="530" t="e">
        <f ca="1">VLOOKUP(P35,Tabla_ArmasyEscudos,19,FALSE)</f>
        <v>#N/A</v>
      </c>
      <c r="O40" s="530" t="e">
        <f ca="1">IF(ISNUMBER(SEARCH("XXX",N40)),SUBSTITUTE(N40,"XXX",MAX(0,VLOOKUP(P35,Tabla_ArmasyEscudos,17,FALSE)+IF(FUE&lt;3,-30,VLOOKUP(FUE,Tabla_AlcanceFUE,2)))),SUBSTITUTE(SUBSTITUTE(N40,"Arma natural a distancia disparada",Q40),"Arma natural a distancia",Q40))</f>
        <v>#N/A</v>
      </c>
      <c r="P40" s="530" t="e">
        <f ca="1">SUBSTITUTE(IF(VLOOKUP(P35,Tabla_ArmasyEscudos,17,FALSE)&lt;&gt;"-",O40,N40),"(FUE "&amp;R40&amp;")","(FUE "&amp;R40+U38/5&amp;")")</f>
        <v>#N/A</v>
      </c>
      <c r="Q40"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0" s="530">
        <f ca="1">IFERROR(MID(N40,SEARCH("(FUE ",N40)+5,SEARCH(")",N40,SEARCH("(FUE ",N40))-SEARCH("(FUE ",N40)-5),0)</f>
        <v>0</v>
      </c>
      <c r="S40" s="530"/>
      <c r="X40" s="685"/>
      <c r="Y40" s="9"/>
      <c r="Z40" s="9"/>
      <c r="AA40" s="1022"/>
      <c r="AB40" s="5451" t="str">
        <f>IF(PDs!$AD68=0,"",PDs!$AD68)</f>
        <v/>
      </c>
      <c r="AC40" s="5452"/>
      <c r="AD40" s="5452"/>
      <c r="AE40" s="5452"/>
      <c r="AF40" s="5465" t="str">
        <f t="shared" si="8"/>
        <v/>
      </c>
      <c r="AG40" s="5454"/>
      <c r="AH40" s="5454"/>
      <c r="AI40" s="5454"/>
      <c r="AJ40" s="5454"/>
      <c r="AK40" s="5454"/>
      <c r="AL40" s="5454"/>
      <c r="AM40" s="5454"/>
      <c r="AN40" s="5454"/>
      <c r="AO40" s="5454"/>
      <c r="AP40" s="5466"/>
      <c r="AQ40" s="1363">
        <f t="shared" si="9"/>
        <v>0</v>
      </c>
      <c r="AR40" s="1088"/>
      <c r="AS40" s="9"/>
      <c r="AT40" s="628">
        <v>11</v>
      </c>
      <c r="AU40" s="628" t="s">
        <v>8256</v>
      </c>
      <c r="AV40" s="2265"/>
      <c r="AW40" s="2265" t="e" cm="1">
        <f t="array" aca="1" ref="AW40" ca="1">Turno_Nat_final+IF(ISNUMBER(SEARCH("Escudo",VLOOKUP(AW30,Tabla_ArmasyEscudos,8,0))),0,-20)+AW$31+VLOOKUP(AW$30,Tabla_ArmasyEscudos,3,FALSE)+IF(AW$33=0,0,IF(Tamaño&lt;VLOOKUP(AW$33,Tabla_ArmasEnormes,3,FALSE),-40,0))+INDEX(Personalización!$AA$7:$AJ$15,IF(ISEVEN(AW29),6,1),IF(ISEVEN(AW29),AW29-1,AW29))</f>
        <v>#N/A</v>
      </c>
      <c r="AX40" s="2265" t="e" cm="1">
        <f t="array" aca="1" ref="AX40" ca="1">Turno_Nat_final+IF(ISNUMBER(SEARCH("Escudo",VLOOKUP(AX30,Tabla_ArmasyEscudos,8,0))),0,-20)+AX$31+VLOOKUP(AX$30,Tabla_ArmasyEscudos,3,FALSE)+IF(AX$33=0,0,IF(Tamaño&lt;VLOOKUP(AX$33,Tabla_ArmasEnormes,3,FALSE),-40,0))+INDEX(Personalización!$AA$7:$AJ$15,IF(ISEVEN(AX29),6,1),IF(ISEVEN(AX29),AX29-1,AX29))</f>
        <v>#N/A</v>
      </c>
      <c r="AY40" s="2265" t="e" cm="1">
        <f t="array" aca="1" ref="AY40" ca="1">Turno_Nat_final+IF(ISNUMBER(SEARCH("Escudo",VLOOKUP(AY30,Tabla_ArmasyEscudos,8,0))),0,-20)+AY$31+VLOOKUP(AY$30,Tabla_ArmasyEscudos,3,FALSE)+IF(AY$33=0,0,IF(Tamaño&lt;VLOOKUP(AY$33,Tabla_ArmasEnormes,3,FALSE),-40,0))+INDEX(Personalización!$AA$7:$AJ$15,IF(ISEVEN(AY29),6,1),IF(ISEVEN(AY29),AY29-1,AY29))</f>
        <v>#N/A</v>
      </c>
      <c r="AZ40" s="2265" t="e" cm="1">
        <f t="array" aca="1" ref="AZ40" ca="1">Turno_Nat_final+IF(ISNUMBER(SEARCH("Escudo",VLOOKUP(AZ30,Tabla_ArmasyEscudos,8,0))),0,-20)+AZ$31+VLOOKUP(AZ$30,Tabla_ArmasyEscudos,3,FALSE)+IF(AZ$33=0,0,IF(Tamaño&lt;VLOOKUP(AZ$33,Tabla_ArmasEnormes,3,FALSE),-40,0))+INDEX(Personalización!$AA$7:$AJ$15,IF(ISEVEN(AZ29),6,1),IF(ISEVEN(AZ29),AZ29-1,AZ29))</f>
        <v>#N/A</v>
      </c>
      <c r="BA40" s="2265" t="e" cm="1">
        <f t="array" aca="1" ref="BA40" ca="1">Turno_Nat_final+IF(ISNUMBER(SEARCH("Escudo",VLOOKUP(BA30,Tabla_ArmasyEscudos,8,0))),0,-20)+BA$31+VLOOKUP(BA$30,Tabla_ArmasyEscudos,3,FALSE)+IF(BA$33=0,0,IF(Tamaño&lt;VLOOKUP(BA$33,Tabla_ArmasEnormes,3,FALSE),-40,0))+INDEX(Personalización!$AA$7:$AJ$15,IF(ISEVEN(BA29),6,1),IF(ISEVEN(BA29),BA29-1,BA29))</f>
        <v>#N/A</v>
      </c>
      <c r="BB40" s="2265" t="e" cm="1">
        <f t="array" aca="1" ref="BB40" ca="1">Turno_Nat_final+IF(ISNUMBER(SEARCH("Escudo",VLOOKUP(BB30,Tabla_ArmasyEscudos,8,0))),0,-20)+BB$31+VLOOKUP(BB$30,Tabla_ArmasyEscudos,3,FALSE)+IF(BB$33=0,0,IF(Tamaño&lt;VLOOKUP(BB$33,Tabla_ArmasEnormes,3,FALSE),-40,0))+INDEX(Personalización!$AA$7:$AJ$15,IF(ISEVEN(BB29),6,1),IF(ISEVEN(BB29),BB29-1,BB29))</f>
        <v>#N/A</v>
      </c>
      <c r="BC40" s="2265" t="e" cm="1">
        <f t="array" aca="1" ref="BC40" ca="1">Turno_Nat_final+IF(ISNUMBER(SEARCH("Escudo",VLOOKUP(BC30,Tabla_ArmasyEscudos,8,0))),0,-20)+BC$31+VLOOKUP(BC$30,Tabla_ArmasyEscudos,3,FALSE)+IF(BC$33=0,0,IF(Tamaño&lt;VLOOKUP(BC$33,Tabla_ArmasEnormes,3,FALSE),-40,0))+INDEX(Personalización!$AA$7:$AJ$15,IF(ISEVEN(BC29),6,1),IF(ISEVEN(BC29),BC29-1,BC29))</f>
        <v>#N/A</v>
      </c>
      <c r="BD40" s="2265" t="e" cm="1">
        <f t="array" aca="1" ref="BD40" ca="1">Turno_Nat_final+IF(ISNUMBER(SEARCH("Escudo",VLOOKUP(BD30,Tabla_ArmasyEscudos,8,0))),0,-20)+BD$31+VLOOKUP(BD$30,Tabla_ArmasyEscudos,3,FALSE)+IF(BD$33=0,0,IF(Tamaño&lt;VLOOKUP(BD$33,Tabla_ArmasEnormes,3,FALSE),-40,0))+INDEX(Personalización!$AA$7:$AJ$15,IF(ISEVEN(BD29),6,1),IF(ISEVEN(BD29),BD29-1,BD29))</f>
        <v>#N/A</v>
      </c>
      <c r="BE40" s="2265" t="e" cm="1">
        <f t="array" aca="1" ref="BE40" ca="1">Turno_Nat_final+IF(ISNUMBER(SEARCH("Escudo",VLOOKUP(BE30,Tabla_ArmasyEscudos,8,0))),0,-20)+BE$31+VLOOKUP(BE$30,Tabla_ArmasyEscudos,3,FALSE)+IF(BE$33=0,0,IF(Tamaño&lt;VLOOKUP(BE$33,Tabla_ArmasEnormes,3,FALSE),-40,0))+INDEX(Personalización!$AA$7:$AJ$15,IF(ISEVEN(BE29),6,1),IF(ISEVEN(BE29),BE29-1,BE29))</f>
        <v>#N/A</v>
      </c>
      <c r="BF40" s="2265" t="e" cm="1">
        <f t="array" aca="1" ref="BF40" ca="1">Turno_Nat_final+IF(ISNUMBER(SEARCH("Escudo",VLOOKUP(BF30,Tabla_ArmasyEscudos,8,0))),0,-20)+BF$31+VLOOKUP(BF$30,Tabla_ArmasyEscudos,3,FALSE)+IF(BF$33=0,0,IF(Tamaño&lt;VLOOKUP(BF$33,Tabla_ArmasEnormes,3,FALSE),-40,0))+INDEX(Personalización!$AA$7:$AJ$15,IF(ISEVEN(BF29),6,1),IF(ISEVEN(BF29),BF29-1,BF29))</f>
        <v>#N/A</v>
      </c>
      <c r="BG40" s="628"/>
      <c r="BH40" s="530"/>
      <c r="BI40" s="530"/>
      <c r="BJ40" s="530"/>
      <c r="BK40" s="530"/>
      <c r="BL40" s="530"/>
      <c r="BM40" s="530"/>
      <c r="BN40" s="530"/>
    </row>
    <row r="41" spans="1:66" ht="12" customHeight="1" thickBot="1">
      <c r="A41" s="9"/>
      <c r="B41" s="1049"/>
      <c r="C41" s="1335" t="s">
        <v>8230</v>
      </c>
      <c r="D41" s="1330" t="str">
        <f>E42&amp;IF(COUNTIF($R$22:$T$25,C41&amp;" "&amp;E42)&gt;0,IFERROR(" y"&amp;MID(VLOOKUP(C41&amp;" "&amp;E42,$R$22:$W$25,4,FALSE),SEARCH(".",VLOOKUP(C41&amp;" "&amp;E42,$R$22:$W$25,4,FALSE))+1,100),""),"")</f>
        <v/>
      </c>
      <c r="E41" s="1330"/>
      <c r="F41" s="1330"/>
      <c r="G41" s="1330"/>
      <c r="H41" s="1330"/>
      <c r="I41" s="1330"/>
      <c r="J41" s="1330"/>
      <c r="K41" s="1330"/>
      <c r="L41" s="1361" t="s">
        <v>8248</v>
      </c>
      <c r="M41" s="685"/>
      <c r="N41" s="1335" t="s">
        <v>8240</v>
      </c>
      <c r="O41" s="1330" t="str">
        <f>P42&amp;IF(COUNTIF($R$22:$T$25,N41&amp;" "&amp;P42)&gt;0,IFERROR(" y"&amp;MID(VLOOKUP(N41&amp;" "&amp;P42,$R$22:$W$25,4,FALSE),SEARCH(".",VLOOKUP(N41&amp;" "&amp;P42,$R$22:$W$25,4,FALSE))+1,100),""),"")</f>
        <v/>
      </c>
      <c r="P41" s="1330"/>
      <c r="Q41" s="1330"/>
      <c r="R41" s="1330"/>
      <c r="S41" s="1330"/>
      <c r="T41" s="1330"/>
      <c r="U41" s="1330"/>
      <c r="V41" s="1330"/>
      <c r="W41" s="1361" t="s">
        <v>8248</v>
      </c>
      <c r="X41" s="685"/>
      <c r="Y41" s="9"/>
      <c r="Z41" s="9"/>
      <c r="AA41" s="1022"/>
      <c r="AB41" s="5451" t="str">
        <f>IF(PDs!$AD69=0,"",PDs!$AD69)</f>
        <v/>
      </c>
      <c r="AC41" s="5452"/>
      <c r="AD41" s="5452"/>
      <c r="AE41" s="5452"/>
      <c r="AF41" s="5465" t="str">
        <f t="shared" si="8"/>
        <v/>
      </c>
      <c r="AG41" s="5454"/>
      <c r="AH41" s="5454"/>
      <c r="AI41" s="5454"/>
      <c r="AJ41" s="5454"/>
      <c r="AK41" s="5454"/>
      <c r="AL41" s="5454"/>
      <c r="AM41" s="5454"/>
      <c r="AN41" s="5454"/>
      <c r="AO41" s="5454"/>
      <c r="AP41" s="5466"/>
      <c r="AQ41" s="1363">
        <f t="shared" si="9"/>
        <v>0</v>
      </c>
      <c r="AR41" s="1088"/>
      <c r="AS41" s="9"/>
      <c r="AT41" s="628">
        <v>12</v>
      </c>
      <c r="AU41" s="628" t="s">
        <v>8237</v>
      </c>
      <c r="AV41" s="2265"/>
      <c r="AW41" s="2265" t="e" cm="1">
        <f t="array" aca="1" ref="AW41" ca="1">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265" t="e" cm="1">
        <f t="array" aca="1" ref="AX41" ca="1">IF(AX39="-",IF(AX38="Torpe","X",AX40),IF(ISNUMBER(SEARCH("Escudo",VLOOKUP(INDEX(Tabla_Combate,1,AX39),Tabla_ArmasyEscudos,8,0))),AX40+VLOOKUP(INDEX(Tabla_Combate,1,AX39),Tabla_ArmasyEscudos,3,FALSE)+IFERROR(IF(Tamaño&lt;VLOOKUP(INDEX(Tabla_Combate,4,AX39),Tabla_ArmasEnormes,3,FALSE),-40,0),0),MIN(AX40,INDEX(Tabla_Combate,$AT$40,AX39))+IF(OR(AX30=INDEX(Tabla_Combate,1,AX39),VLOOKUP(AX30,Tabla_ArmasyEscudos,21,FALSE)=VLOOKUP(INDEX(Tabla_Combate,1,AX39),Tabla_ArmasyEscudos,21,FALSE)),IF(VLOOKUP(AX30,Tabla_ArmasyEscudos,3,FALSE)&gt;=0,-10,-20),0)))</f>
        <v>#N/A</v>
      </c>
      <c r="AY41" s="2265" t="e" cm="1">
        <f t="array" aca="1" ref="AY41" ca="1">IF(AY39="-",IF(AY38="Torpe","X",AY40),IF(ISNUMBER(SEARCH("Escudo",VLOOKUP(INDEX(Tabla_Combate,1,AY39),Tabla_ArmasyEscudos,8,0))),AY40+VLOOKUP(INDEX(Tabla_Combate,1,AY39),Tabla_ArmasyEscudos,3,FALSE)+IFERROR(IF(Tamaño&lt;VLOOKUP(INDEX(Tabla_Combate,4,AY39),Tabla_ArmasEnormes,3,FALSE),-40,0),0),MIN(AY40,INDEX(Tabla_Combate,$AT$40,AY39))+IF(OR(AY30=INDEX(Tabla_Combate,1,AY39),VLOOKUP(AY30,Tabla_ArmasyEscudos,21,FALSE)=VLOOKUP(INDEX(Tabla_Combate,1,AY39),Tabla_ArmasyEscudos,21,FALSE)),IF(VLOOKUP(AY30,Tabla_ArmasyEscudos,3,FALSE)&gt;=0,-10,-20),0)))</f>
        <v>#N/A</v>
      </c>
      <c r="AZ41" s="2265" t="e" cm="1">
        <f t="array" aca="1" ref="AZ41" ca="1">IF(AZ39="-",IF(AZ38="Torpe","X",AZ40),IF(ISNUMBER(SEARCH("Escudo",VLOOKUP(INDEX(Tabla_Combate,1,AZ39),Tabla_ArmasyEscudos,8,0))),AZ40+VLOOKUP(INDEX(Tabla_Combate,1,AZ39),Tabla_ArmasyEscudos,3,FALSE)+IFERROR(IF(Tamaño&lt;VLOOKUP(INDEX(Tabla_Combate,4,AZ39),Tabla_ArmasEnormes,3,FALSE),-40,0),0),MIN(AZ40,INDEX(Tabla_Combate,$AT$40,AZ39))+IF(OR(AZ30=INDEX(Tabla_Combate,1,AZ39),VLOOKUP(AZ30,Tabla_ArmasyEscudos,21,FALSE)=VLOOKUP(INDEX(Tabla_Combate,1,AZ39),Tabla_ArmasyEscudos,21,FALSE)),IF(VLOOKUP(AZ30,Tabla_ArmasyEscudos,3,FALSE)&gt;=0,-10,-20),0)))</f>
        <v>#N/A</v>
      </c>
      <c r="BA41" s="2265" t="e" cm="1">
        <f t="array" aca="1" ref="BA41" ca="1">IF(BA39="-",IF(BA38="Torpe","X",BA40),IF(ISNUMBER(SEARCH("Escudo",VLOOKUP(INDEX(Tabla_Combate,1,BA39),Tabla_ArmasyEscudos,8,0))),BA40+VLOOKUP(INDEX(Tabla_Combate,1,BA39),Tabla_ArmasyEscudos,3,FALSE)+IFERROR(IF(Tamaño&lt;VLOOKUP(INDEX(Tabla_Combate,4,BA39),Tabla_ArmasEnormes,3,FALSE),-40,0),0),MIN(BA40,INDEX(Tabla_Combate,$AT$40,BA39))+IF(OR(BA30=INDEX(Tabla_Combate,1,BA39),VLOOKUP(BA30,Tabla_ArmasyEscudos,21,FALSE)=VLOOKUP(INDEX(Tabla_Combate,1,BA39),Tabla_ArmasyEscudos,21,FALSE)),IF(VLOOKUP(BA30,Tabla_ArmasyEscudos,3,FALSE)&gt;=0,-10,-20),0)))</f>
        <v>#N/A</v>
      </c>
      <c r="BB41" s="2265" t="e" cm="1">
        <f t="array" aca="1" ref="BB41" ca="1">IF(BB39="-",IF(BB38="Torpe","X",BB40),IF(ISNUMBER(SEARCH("Escudo",VLOOKUP(INDEX(Tabla_Combate,1,BB39),Tabla_ArmasyEscudos,8,0))),BB40+VLOOKUP(INDEX(Tabla_Combate,1,BB39),Tabla_ArmasyEscudos,3,FALSE)+IFERROR(IF(Tamaño&lt;VLOOKUP(INDEX(Tabla_Combate,4,BB39),Tabla_ArmasEnormes,3,FALSE),-40,0),0),MIN(BB40,INDEX(Tabla_Combate,$AT$40,BB39))+IF(OR(BB30=INDEX(Tabla_Combate,1,BB39),VLOOKUP(BB30,Tabla_ArmasyEscudos,21,FALSE)=VLOOKUP(INDEX(Tabla_Combate,1,BB39),Tabla_ArmasyEscudos,21,FALSE)),IF(VLOOKUP(BB30,Tabla_ArmasyEscudos,3,FALSE)&gt;=0,-10,-20),0)))</f>
        <v>#N/A</v>
      </c>
      <c r="BC41" s="2265" t="e" cm="1">
        <f t="array" aca="1" ref="BC41" ca="1">IF(BC39="-",IF(BC38="Torpe","X",BC40),IF(ISNUMBER(SEARCH("Escudo",VLOOKUP(INDEX(Tabla_Combate,1,BC39),Tabla_ArmasyEscudos,8,0))),BC40+VLOOKUP(INDEX(Tabla_Combate,1,BC39),Tabla_ArmasyEscudos,3,FALSE)+IFERROR(IF(Tamaño&lt;VLOOKUP(INDEX(Tabla_Combate,4,BC39),Tabla_ArmasEnormes,3,FALSE),-40,0),0),MIN(BC40,INDEX(Tabla_Combate,$AT$40,BC39))+IF(OR(BC30=INDEX(Tabla_Combate,1,BC39),VLOOKUP(BC30,Tabla_ArmasyEscudos,21,FALSE)=VLOOKUP(INDEX(Tabla_Combate,1,BC39),Tabla_ArmasyEscudos,21,FALSE)),IF(VLOOKUP(BC30,Tabla_ArmasyEscudos,3,FALSE)&gt;=0,-10,-20),0)))</f>
        <v>#N/A</v>
      </c>
      <c r="BD41" s="2265" t="e" cm="1">
        <f t="array" aca="1" ref="BD41" ca="1">IF(BD39="-",IF(BD38="Torpe","X",BD40),IF(ISNUMBER(SEARCH("Escudo",VLOOKUP(INDEX(Tabla_Combate,1,BD39),Tabla_ArmasyEscudos,8,0))),BD40+VLOOKUP(INDEX(Tabla_Combate,1,BD39),Tabla_ArmasyEscudos,3,FALSE)+IFERROR(IF(Tamaño&lt;VLOOKUP(INDEX(Tabla_Combate,4,BD39),Tabla_ArmasEnormes,3,FALSE),-40,0),0),MIN(BD40,INDEX(Tabla_Combate,$AT$40,BD39))+IF(OR(BD30=INDEX(Tabla_Combate,1,BD39),VLOOKUP(BD30,Tabla_ArmasyEscudos,21,FALSE)=VLOOKUP(INDEX(Tabla_Combate,1,BD39),Tabla_ArmasyEscudos,21,FALSE)),IF(VLOOKUP(BD30,Tabla_ArmasyEscudos,3,FALSE)&gt;=0,-10,-20),0)))</f>
        <v>#N/A</v>
      </c>
      <c r="BE41" s="2265" t="e" cm="1">
        <f t="array" aca="1" ref="BE41" ca="1">IF(BE39="-",IF(BE38="Torpe","X",BE40),IF(ISNUMBER(SEARCH("Escudo",VLOOKUP(INDEX(Tabla_Combate,1,BE39),Tabla_ArmasyEscudos,8,0))),BE40+VLOOKUP(INDEX(Tabla_Combate,1,BE39),Tabla_ArmasyEscudos,3,FALSE)+IFERROR(IF(Tamaño&lt;VLOOKUP(INDEX(Tabla_Combate,4,BE39),Tabla_ArmasEnormes,3,FALSE),-40,0),0),MIN(BE40,INDEX(Tabla_Combate,$AT$40,BE39))+IF(OR(BE30=INDEX(Tabla_Combate,1,BE39),VLOOKUP(BE30,Tabla_ArmasyEscudos,21,FALSE)=VLOOKUP(INDEX(Tabla_Combate,1,BE39),Tabla_ArmasyEscudos,21,FALSE)),IF(VLOOKUP(BE30,Tabla_ArmasyEscudos,3,FALSE)&gt;=0,-10,-20),0)))</f>
        <v>#N/A</v>
      </c>
      <c r="BF41" s="2265" t="e" cm="1">
        <f t="array" aca="1" ref="BF41" ca="1">IF(BF39="-",IF(BF38="Torpe","X",BF40),IF(ISNUMBER(SEARCH("Escudo",VLOOKUP(INDEX(Tabla_Combate,1,BF39),Tabla_ArmasyEscudos,8,0))),BF40+VLOOKUP(INDEX(Tabla_Combate,1,BF39),Tabla_ArmasyEscudos,3,FALSE)+IFERROR(IF(Tamaño&lt;VLOOKUP(INDEX(Tabla_Combate,4,BF39),Tabla_ArmasEnormes,3,FALSE),-40,0),0),MIN(BF40,INDEX(Tabla_Combate,$AT$40,BF39))+IF(OR(BF30=INDEX(Tabla_Combate,1,BF39),VLOOKUP(BF30,Tabla_ArmasyEscudos,21,FALSE)=VLOOKUP(INDEX(Tabla_Combate,1,BF39),Tabla_ArmasyEscudos,21,FALSE)),IF(VLOOKUP(BF30,Tabla_ArmasyEscudos,3,FALSE)&gt;=0,-10,-20),0)))</f>
        <v>#N/A</v>
      </c>
      <c r="BG41" s="628"/>
      <c r="BH41" s="530"/>
      <c r="BI41" s="530"/>
      <c r="BJ41" s="530"/>
      <c r="BK41" s="530"/>
      <c r="BL41" s="530"/>
      <c r="BM41" s="530"/>
      <c r="BN41" s="530"/>
    </row>
    <row r="42" spans="1:66" ht="12" customHeight="1">
      <c r="A42" s="9"/>
      <c r="B42" s="1049"/>
      <c r="C42" s="5506" t="s">
        <v>8222</v>
      </c>
      <c r="D42" s="5507"/>
      <c r="E42" s="5509"/>
      <c r="F42" s="5510"/>
      <c r="G42" s="5511"/>
      <c r="H42" s="1593" t="s">
        <v>1252</v>
      </c>
      <c r="I42" s="1594" t="s">
        <v>1423</v>
      </c>
      <c r="J42" s="5512" t="s">
        <v>1424</v>
      </c>
      <c r="K42" s="5512"/>
      <c r="L42" s="1595" t="s">
        <v>1425</v>
      </c>
      <c r="M42" s="1360" t="str">
        <f ca="1">IF(C42=INDEX(Lista_ManosArma,2),Lista_A2Manos,Lista_A1Mano)</f>
        <v>Tablas!$AF$654:$AF$796</v>
      </c>
      <c r="N42" s="5506" t="s">
        <v>8222</v>
      </c>
      <c r="O42" s="5507"/>
      <c r="P42" s="5509"/>
      <c r="Q42" s="5510"/>
      <c r="R42" s="5511"/>
      <c r="S42" s="1593" t="s">
        <v>1252</v>
      </c>
      <c r="T42" s="1594" t="s">
        <v>1423</v>
      </c>
      <c r="U42" s="5512" t="s">
        <v>1424</v>
      </c>
      <c r="V42" s="5512"/>
      <c r="W42" s="1595" t="s">
        <v>1425</v>
      </c>
      <c r="X42" s="1360" t="str">
        <f ca="1">IF(N42=INDEX(Lista_ManosArma,2),Lista_A2Manos,Lista_A1Mano)</f>
        <v>Tablas!$AF$654:$AF$796</v>
      </c>
      <c r="Y42" s="9"/>
      <c r="Z42" s="9"/>
      <c r="AA42" s="1022"/>
      <c r="AB42" s="5451" t="str">
        <f>IF(PDs!$AD70=0,"",PDs!$AD70)</f>
        <v/>
      </c>
      <c r="AC42" s="5452"/>
      <c r="AD42" s="5452"/>
      <c r="AE42" s="5452"/>
      <c r="AF42" s="5465" t="str">
        <f t="shared" si="8"/>
        <v/>
      </c>
      <c r="AG42" s="5454"/>
      <c r="AH42" s="5454"/>
      <c r="AI42" s="5454"/>
      <c r="AJ42" s="5454"/>
      <c r="AK42" s="5454"/>
      <c r="AL42" s="5454"/>
      <c r="AM42" s="5454"/>
      <c r="AN42" s="5454"/>
      <c r="AO42" s="5454"/>
      <c r="AP42" s="5466"/>
      <c r="AQ42" s="1363">
        <f t="shared" si="9"/>
        <v>0</v>
      </c>
      <c r="AR42" s="1088"/>
      <c r="AS42" s="9"/>
      <c r="AT42" s="628">
        <v>13</v>
      </c>
      <c r="AU42" s="628" t="s">
        <v>9831</v>
      </c>
      <c r="AV42" s="2265"/>
      <c r="AW42" s="2265" t="e" cm="1">
        <f t="array" aca="1" ref="AW42"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$1443&gt;0,Tablas!$G$285&gt;0),-10,-40),0)+IFERROR(VLOOKUP(AW30,Tablas!$AI$848:$AR$857,5,0),0)+INDEX(Personalización!$AA$7:$AJ$15,IF(ISEVEN(AW$29),7,2),IF(ISEVEN(AW$29),AW$29-1,AW$29))</f>
        <v>#N/A</v>
      </c>
      <c r="AX42" s="2265"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$1443&gt;0,Tablas!$G$285&gt;0),-10,-40),0)+IFERROR(VLOOKUP(AX30,Tablas!$AI$848:$AR$857,5,0),0)+INDEX(Personalización!$AA$7:$AJ$15,IF(ISEVEN(AX$29),7,2),IF(ISEVEN(AX$29),AX$29-1,AX$29))</f>
        <v>#N/A</v>
      </c>
      <c r="AY42" s="2265" t="e" cm="1">
        <f t="array" aca="1" ref="AY42"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$1443&gt;0,Tablas!$G$285&gt;0),-10,-40),0)+IFERROR(VLOOKUP(AY30,Tablas!$AI$848:$AR$857,5,0),0)+INDEX(Personalización!$AA$7:$AJ$15,IF(ISEVEN(AY$29),7,2),IF(ISEVEN(AY$29),AY$29-1,AY$29))</f>
        <v>#N/A</v>
      </c>
      <c r="AZ42" s="2265" t="e" cm="1">
        <f t="array" aca="1" ref="AZ42"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$1443&gt;0,Tablas!$G$285&gt;0),-10,-40),0)+IFERROR(VLOOKUP(AZ30,Tablas!$AI$848:$AR$857,5,0),0)+INDEX(Personalización!$AA$7:$AJ$15,IF(ISEVEN(AZ$29),7,2),IF(ISEVEN(AZ$29),AZ$29-1,AZ$29))</f>
        <v>#N/A</v>
      </c>
      <c r="BA42" s="2265" t="e" cm="1">
        <f t="array" aca="1" ref="BA42"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$1443&gt;0,Tablas!$G$285&gt;0),-10,-40),0)+IFERROR(VLOOKUP(BA30,Tablas!$AI$848:$AR$857,5,0),0)+INDEX(Personalización!$AA$7:$AJ$15,IF(ISEVEN(BA$29),7,2),IF(ISEVEN(BA$29),BA$29-1,BA$29))</f>
        <v>#N/A</v>
      </c>
      <c r="BB42" s="2265" t="e" cm="1">
        <f t="array" aca="1" ref="BB42"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$1443&gt;0,Tablas!$G$285&gt;0),-10,-40),0)+IFERROR(VLOOKUP(BB30,Tablas!$AI$848:$AR$857,5,0),0)+INDEX(Personalización!$AA$7:$AJ$15,IF(ISEVEN(BB$29),7,2),IF(ISEVEN(BB$29),BB$29-1,BB$29))</f>
        <v>#N/A</v>
      </c>
      <c r="BC42" s="2265" t="e" cm="1">
        <f t="array" aca="1" ref="BC42"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$1443&gt;0,Tablas!$G$285&gt;0),-10,-40),0)+IFERROR(VLOOKUP(BC30,Tablas!$AI$848:$AR$857,5,0),0)+INDEX(Personalización!$AA$7:$AJ$15,IF(ISEVEN(BC$29),7,2),IF(ISEVEN(BC$29),BC$29-1,BC$29))</f>
        <v>#N/A</v>
      </c>
      <c r="BD42" s="2265" t="e" cm="1">
        <f t="array" aca="1" ref="BD42"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$1443&gt;0,Tablas!$G$285&gt;0),-10,-40),0)+IFERROR(VLOOKUP(BD30,Tablas!$AI$848:$AR$857,5,0),0)+INDEX(Personalización!$AA$7:$AJ$15,IF(ISEVEN(BD$29),7,2),IF(ISEVEN(BD$29),BD$29-1,BD$29))</f>
        <v>#N/A</v>
      </c>
      <c r="BE42" s="2265" t="e" cm="1">
        <f t="array" aca="1" ref="BE42"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$1443&gt;0,Tablas!$G$285&gt;0),-10,-40),0)+IFERROR(VLOOKUP(BE30,Tablas!$AI$848:$AR$857,5,0),0)+INDEX(Personalización!$AA$7:$AJ$15,IF(ISEVEN(BE$29),7,2),IF(ISEVEN(BE$29),BE$29-1,BE$29))</f>
        <v>#N/A</v>
      </c>
      <c r="BF42" s="2265" t="e" cm="1">
        <f t="array" aca="1" ref="BF42"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$1443&gt;0,Tablas!$G$285&gt;0),-10,-40),0)+IFERROR(VLOOKUP(BF30,Tablas!$AI$848:$AR$857,5,0),0)+INDEX(Personalización!$AA$7:$AJ$15,IF(ISEVEN(BF$29),7,2),IF(ISEVEN(BF$29),BF$29-1,BF$29))</f>
        <v>#N/A</v>
      </c>
      <c r="BG42" s="628"/>
      <c r="BH42" s="530"/>
      <c r="BI42" s="530"/>
      <c r="BJ42" s="530"/>
      <c r="BK42" s="530"/>
      <c r="BL42" s="530"/>
      <c r="BM42" s="530"/>
      <c r="BN42" s="530"/>
    </row>
    <row r="43" spans="1:66" ht="12" customHeight="1">
      <c r="A43" s="9"/>
      <c r="B43" s="1049"/>
      <c r="C43" s="5504" t="str">
        <f>IF(E42=0,"",VLOOKUP(E42,Tabla_ArmasyEscudos,9,FALSE))</f>
        <v/>
      </c>
      <c r="D43" s="5505"/>
      <c r="E43" s="1596" t="s">
        <v>1435</v>
      </c>
      <c r="F43" s="5599" t="s">
        <v>1436</v>
      </c>
      <c r="G43" s="5600"/>
      <c r="H43" s="5601" cm="1">
        <f t="array" aca="1" ref="H43" ca="1">IFERROR(INDEX(Tabla_Combate,$AT$41,LEFT(C41,LEN(C41)-1)),0)</f>
        <v>0</v>
      </c>
      <c r="I43" s="5513" cm="1">
        <f t="array" aca="1" ref="I43" ca="1">IFERROR(INDEX(Tabla_Combate,$AT$42,LEFT(C41,LEN(C41)-1)),0)</f>
        <v>0</v>
      </c>
      <c r="J43" s="5515" cm="1">
        <f t="array" aca="1" ref="J43" ca="1">IF(K43="-",0,IF(K43="Par",INDEX(Tabla_Combate,$AT$43,LEFT(C41,LEN(C41)-1)),INDEX(Tabla_Combate,$AT$44,LEFT(C41,LEN(C41)-1))))</f>
        <v>0</v>
      </c>
      <c r="K43" s="4334" t="str" cm="1">
        <f t="array" aca="1" ref="K43" ca="1">IF(IFERROR(VLOOKUP(INDEX(Tabla_Combate,$AT$30,LEFT(C41,LEN(C41)-1)),Tablas!$AI$848:$AU$857,12,0),FALSE),"-",IFERROR(IF(INDEX(Tabla_Combate,$AT$43,LEFT(C41,LEN(C41)-1))&gt;INDEX(Tabla_Combate,$AT$44,LEFT(C41,LEN(C41)-1)),"Par","Esq"),"-"))</f>
        <v>-</v>
      </c>
      <c r="L43" s="5521" cm="1">
        <f t="array" aca="1" ref="L43" ca="1">IFERROR(INDEX(Tabla_Combate,$AT$46,LEFT(C41,LEN(C41)-1)),0)</f>
        <v>0</v>
      </c>
      <c r="M43" s="685"/>
      <c r="N43" s="5504" t="str">
        <f>IF(P42=0,"",VLOOKUP(P42,Tabla_ArmasyEscudos,9,FALSE))</f>
        <v/>
      </c>
      <c r="O43" s="5505"/>
      <c r="P43" s="1596" t="s">
        <v>1435</v>
      </c>
      <c r="Q43" s="5599" t="s">
        <v>1436</v>
      </c>
      <c r="R43" s="5600"/>
      <c r="S43" s="5601" cm="1">
        <f t="array" aca="1" ref="S43" ca="1">IFERROR(INDEX(Tabla_Combate,$AT$41,LEFT(N41,LEN(N41)-1)),0)</f>
        <v>0</v>
      </c>
      <c r="T43" s="5513" cm="1">
        <f t="array" aca="1" ref="T43" ca="1">IFERROR(INDEX(Tabla_Combate,$AT$42,LEFT(N41,LEN(N41)-1)),0)</f>
        <v>0</v>
      </c>
      <c r="U43" s="5515" cm="1">
        <f t="array" aca="1" ref="U43" ca="1">IF(V43="-",0,IF(V43="Par",INDEX(Tabla_Combate,$AT$43,LEFT(N41,LEN(N41)-1)),INDEX(Tabla_Combate,$AT$44,LEFT(N41,LEN(N41)-1))))</f>
        <v>0</v>
      </c>
      <c r="V43" s="4334" t="str" cm="1">
        <f t="array" aca="1" ref="V43" ca="1">IF(IFERROR(VLOOKUP(INDEX(Tabla_Combate,$AT$30,LEFT(N41,LEN(N41)-1)),Tablas!$AI$848:$AU$857,12,0),FALSE),"-",IFERROR(IF(INDEX(Tabla_Combate,$AT$43,LEFT(N41,LEN(N41)-1))&gt;INDEX(Tabla_Combate,$AT$44,LEFT(N41,LEN(N41)-1)),"Par","Esq"),"-"))</f>
        <v>-</v>
      </c>
      <c r="W43" s="5521" cm="1">
        <f t="array" aca="1" ref="W43" ca="1">IFERROR(INDEX(Tabla_Combate,$AT$46,LEFT(N41,LEN(N41)-1)),0)</f>
        <v>0</v>
      </c>
      <c r="X43" s="685"/>
      <c r="Y43" s="9"/>
      <c r="Z43" s="9"/>
      <c r="AA43" s="1022"/>
      <c r="AB43" s="5451" t="str">
        <f>IF(PDs!$AD71=0,"",PDs!$AD71)</f>
        <v/>
      </c>
      <c r="AC43" s="5452"/>
      <c r="AD43" s="5452"/>
      <c r="AE43" s="5452"/>
      <c r="AF43" s="5465" t="str">
        <f t="shared" si="8"/>
        <v/>
      </c>
      <c r="AG43" s="5454"/>
      <c r="AH43" s="5454"/>
      <c r="AI43" s="5454"/>
      <c r="AJ43" s="5454"/>
      <c r="AK43" s="5454"/>
      <c r="AL43" s="5454"/>
      <c r="AM43" s="5454"/>
      <c r="AN43" s="5454"/>
      <c r="AO43" s="5454"/>
      <c r="AP43" s="5466"/>
      <c r="AQ43" s="1363">
        <f t="shared" si="9"/>
        <v>0</v>
      </c>
      <c r="AR43" s="1088"/>
      <c r="AS43" s="9"/>
      <c r="AT43" s="628">
        <v>14</v>
      </c>
      <c r="AU43" s="628" t="s">
        <v>8258</v>
      </c>
      <c r="AV43" s="2265"/>
      <c r="AW43" s="2265" t="e" cm="1">
        <f t="array" aca="1" ref="AW43"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2265" t="e" cm="1">
        <f t="array" aca="1" ref="AX43"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2265" t="e" cm="1">
        <f t="array" aca="1" ref="AY43"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2265" t="e" cm="1">
        <f t="array" aca="1" ref="AZ43"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2265" t="e" cm="1">
        <f t="array" aca="1" ref="BA43"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2265" t="e" cm="1">
        <f t="array" aca="1" ref="BB43"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2265" t="e" cm="1">
        <f t="array" aca="1" ref="BC43"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2265" t="e" cm="1">
        <f t="array" aca="1" ref="BD43"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2265" t="e" cm="1">
        <f t="array" aca="1" ref="BE43"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2265" t="e" cm="1">
        <f t="array" aca="1" ref="BF43"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628"/>
      <c r="BH43" s="530"/>
      <c r="BI43" s="530"/>
      <c r="BJ43" s="530"/>
      <c r="BK43" s="530"/>
      <c r="BL43" s="530"/>
      <c r="BM43" s="530"/>
      <c r="BN43" s="530"/>
    </row>
    <row r="44" spans="1:66" ht="12" customHeight="1">
      <c r="A44" s="9"/>
      <c r="B44" s="1049"/>
      <c r="C44" s="958" t="s">
        <v>1427</v>
      </c>
      <c r="D44" s="71" t="s">
        <v>1428</v>
      </c>
      <c r="E44" s="71" t="s">
        <v>1416</v>
      </c>
      <c r="F44" s="71" t="s">
        <v>1429</v>
      </c>
      <c r="G44" s="71" t="s">
        <v>1417</v>
      </c>
      <c r="H44" s="5601"/>
      <c r="I44" s="5514"/>
      <c r="J44" s="5516"/>
      <c r="K44" s="5520"/>
      <c r="L44" s="5522"/>
      <c r="M44" s="685"/>
      <c r="N44" s="958" t="s">
        <v>1427</v>
      </c>
      <c r="O44" s="71" t="s">
        <v>1428</v>
      </c>
      <c r="P44" s="71" t="s">
        <v>1416</v>
      </c>
      <c r="Q44" s="71" t="s">
        <v>1429</v>
      </c>
      <c r="R44" s="71" t="s">
        <v>1417</v>
      </c>
      <c r="S44" s="5601"/>
      <c r="T44" s="5514"/>
      <c r="U44" s="5516"/>
      <c r="V44" s="5520"/>
      <c r="W44" s="5522"/>
      <c r="X44" s="685"/>
      <c r="Y44" s="9"/>
      <c r="Z44" s="9"/>
      <c r="AA44" s="1022"/>
      <c r="AB44" s="5451" t="str">
        <f>IF(PDs!$AD72=0,"",PDs!$AD72)</f>
        <v/>
      </c>
      <c r="AC44" s="5452"/>
      <c r="AD44" s="5452"/>
      <c r="AE44" s="5452"/>
      <c r="AF44" s="5465" t="str">
        <f t="shared" si="8"/>
        <v/>
      </c>
      <c r="AG44" s="5454"/>
      <c r="AH44" s="5454"/>
      <c r="AI44" s="5454"/>
      <c r="AJ44" s="5454"/>
      <c r="AK44" s="5454"/>
      <c r="AL44" s="5454"/>
      <c r="AM44" s="5454"/>
      <c r="AN44" s="5454"/>
      <c r="AO44" s="5454"/>
      <c r="AP44" s="5466"/>
      <c r="AQ44" s="1363">
        <f t="shared" si="9"/>
        <v>0</v>
      </c>
      <c r="AR44" s="1088"/>
      <c r="AS44" s="9"/>
      <c r="AT44" s="628">
        <v>15</v>
      </c>
      <c r="AU44" s="628" t="s">
        <v>8257</v>
      </c>
      <c r="AV44" s="2265"/>
      <c r="AW44" s="2265" t="e" cm="1">
        <f t="array" aca="1" ref="AW44" ca="1">HE_final-PDs!$X$27+MIN(50,PDs!$X$27+SUMPRODUCT(--ISNUMBER(SEARCH(AW30,ArmasAM)),ArmasAM_HE))+VLOOKUP(AW30,Tabla_ArmasyEscudos,14,FALSE)+INDEX(Personalización!$AA$7:$AJ$15,IF(ISEVEN(AW$29),8,3),IF(ISEVEN(AW$29),AW$29-1,AW$29))</f>
        <v>#N/A</v>
      </c>
      <c r="AX44" s="2265" t="e" cm="1">
        <f t="array" aca="1" ref="AX44" ca="1">HE_final-PDs!$X$27+MIN(50,PDs!$X$27+SUMPRODUCT(--ISNUMBER(SEARCH(AX30,ArmasAM)),ArmasAM_HE))+VLOOKUP(AX30,Tabla_ArmasyEscudos,14,FALSE)+INDEX(Personalización!$AA$7:$AJ$15,IF(ISEVEN(AX$29),8,3),IF(ISEVEN(AX$29),AX$29-1,AX$29))</f>
        <v>#N/A</v>
      </c>
      <c r="AY44" s="2265" t="e" cm="1">
        <f t="array" aca="1" ref="AY44" ca="1">HE_final-PDs!$X$27+MIN(50,PDs!$X$27+SUMPRODUCT(--ISNUMBER(SEARCH(AY30,ArmasAM)),ArmasAM_HE))+VLOOKUP(AY30,Tabla_ArmasyEscudos,14,FALSE)+INDEX(Personalización!$AA$7:$AJ$15,IF(ISEVEN(AY$29),8,3),IF(ISEVEN(AY$29),AY$29-1,AY$29))</f>
        <v>#N/A</v>
      </c>
      <c r="AZ44" s="2265" t="e" cm="1">
        <f t="array" aca="1" ref="AZ44" ca="1">HE_final-PDs!$X$27+MIN(50,PDs!$X$27+SUMPRODUCT(--ISNUMBER(SEARCH(AZ30,ArmasAM)),ArmasAM_HE))+VLOOKUP(AZ30,Tabla_ArmasyEscudos,14,FALSE)+INDEX(Personalización!$AA$7:$AJ$15,IF(ISEVEN(AZ$29),8,3),IF(ISEVEN(AZ$29),AZ$29-1,AZ$29))</f>
        <v>#N/A</v>
      </c>
      <c r="BA44" s="2265" t="e" cm="1">
        <f t="array" aca="1" ref="BA44" ca="1">HE_final-PDs!$X$27+MIN(50,PDs!$X$27+SUMPRODUCT(--ISNUMBER(SEARCH(BA30,ArmasAM)),ArmasAM_HE))+VLOOKUP(BA30,Tabla_ArmasyEscudos,14,FALSE)+INDEX(Personalización!$AA$7:$AJ$15,IF(ISEVEN(BA$29),8,3),IF(ISEVEN(BA$29),BA$29-1,BA$29))</f>
        <v>#N/A</v>
      </c>
      <c r="BB44" s="2265" t="e" cm="1">
        <f t="array" aca="1" ref="BB44" ca="1">HE_final-PDs!$X$27+MIN(50,PDs!$X$27+SUMPRODUCT(--ISNUMBER(SEARCH(BB30,ArmasAM)),ArmasAM_HE))+VLOOKUP(BB30,Tabla_ArmasyEscudos,14,FALSE)+INDEX(Personalización!$AA$7:$AJ$15,IF(ISEVEN(BB$29),8,3),IF(ISEVEN(BB$29),BB$29-1,BB$29))</f>
        <v>#N/A</v>
      </c>
      <c r="BC44" s="2265" t="e" cm="1">
        <f t="array" aca="1" ref="BC44" ca="1">HE_final-PDs!$X$27+MIN(50,PDs!$X$27+SUMPRODUCT(--ISNUMBER(SEARCH(BC30,ArmasAM)),ArmasAM_HE))+VLOOKUP(BC30,Tabla_ArmasyEscudos,14,FALSE)+INDEX(Personalización!$AA$7:$AJ$15,IF(ISEVEN(BC$29),8,3),IF(ISEVEN(BC$29),BC$29-1,BC$29))</f>
        <v>#N/A</v>
      </c>
      <c r="BD44" s="2265" t="e" cm="1">
        <f t="array" aca="1" ref="BD44" ca="1">HE_final-PDs!$X$27+MIN(50,PDs!$X$27+SUMPRODUCT(--ISNUMBER(SEARCH(BD30,ArmasAM)),ArmasAM_HE))+VLOOKUP(BD30,Tabla_ArmasyEscudos,14,FALSE)+INDEX(Personalización!$AA$7:$AJ$15,IF(ISEVEN(BD$29),8,3),IF(ISEVEN(BD$29),BD$29-1,BD$29))</f>
        <v>#N/A</v>
      </c>
      <c r="BE44" s="2265" t="e" cm="1">
        <f t="array" aca="1" ref="BE44" ca="1">HE_final-PDs!$X$27+MIN(50,PDs!$X$27+SUMPRODUCT(--ISNUMBER(SEARCH(BE30,ArmasAM)),ArmasAM_HE))+VLOOKUP(BE30,Tabla_ArmasyEscudos,14,FALSE)+INDEX(Personalización!$AA$7:$AJ$15,IF(ISEVEN(BE$29),8,3),IF(ISEVEN(BE$29),BE$29-1,BE$29))</f>
        <v>#N/A</v>
      </c>
      <c r="BF44" s="2265" t="e" cm="1">
        <f t="array" aca="1" ref="BF44" ca="1">HE_final-PDs!$X$27+MIN(50,PDs!$X$27+SUMPRODUCT(--ISNUMBER(SEARCH(BF30,ArmasAM)),ArmasAM_HE))+VLOOKUP(BF30,Tabla_ArmasyEscudos,14,FALSE)+INDEX(Personalización!$AA$7:$AJ$15,IF(ISEVEN(BF$29),8,3),IF(ISEVEN(BF$29),BF$29-1,BF$29))</f>
        <v>#N/A</v>
      </c>
      <c r="BG44" s="628"/>
      <c r="BH44" s="530"/>
      <c r="BI44" s="530"/>
      <c r="BJ44" s="530"/>
      <c r="BK44" s="530"/>
      <c r="BL44" s="530"/>
      <c r="BM44" s="530"/>
      <c r="BN44" s="530"/>
    </row>
    <row r="45" spans="1:66" ht="12" customHeight="1">
      <c r="A45" s="9"/>
      <c r="B45" s="1049"/>
      <c r="C45" s="959" t="str">
        <f>IF(E42=0,"",VLOOKUP(E42,Tabla_ArmasyEscudos,6,FALSE))</f>
        <v/>
      </c>
      <c r="D45" s="1327" t="str">
        <f>IF(E42=0,"",VLOOKUP(E42,Tabla_ArmasyEscudos,7,FALSE))</f>
        <v/>
      </c>
      <c r="E45" s="1327" t="str">
        <f>IFERROR(IF(E42=0,"",MAX(0,IF(Extensióndelauraalarma,10,0)+J45*2+VLOOKUP(E42,Tabla_ArmasyEscudos,10,FALSE)+IF(F43=0,0,VLOOKUP(F43,Tabla_ArmasEnormes,6,FALSE)))+IF(Tabla_Desvío,DES,0)),"-")</f>
        <v/>
      </c>
      <c r="F45" s="1327" t="str">
        <f>IF(E42=0,"",IF(Extensióndelauraalarma,5,0)+J45*2/5+VLOOKUP(E42,Tabla_ArmasyEscudos,11,FALSE)+IF(F43=0,0,VLOOKUP(F43,Tabla_ArmasEnormes,7,FALSE))+IF(FUE=0,0,VLOOKUP(FUE,Tabla_Fuerza,2))+IF(Ojos_de_la_Muerte,5,0))</f>
        <v/>
      </c>
      <c r="G45" s="1032" t="str">
        <f>IFERROR(IF(E42=0,"",IF(E42="Ophiucos",0,MAX(IF(OR(ISNUMBER(FIND("Virgo",E42)),ISNUMBER(FIND("Umbra",E42))),0,J45)*10,0))+VLOOKUP(E42,Tabla_ArmasyEscudos,12,FALSE)),"-")</f>
        <v/>
      </c>
      <c r="H45" s="5613" t="s">
        <v>8224</v>
      </c>
      <c r="I45" s="5614"/>
      <c r="J45" s="1366"/>
      <c r="K45" s="5615" t="str">
        <f ca="1">IFERROR(IF(ISNUMBER(SEARCH("Escudo",VLOOKUP(E42,Tabla_ArmasyEscudos,8,0))),"Turno esp: ","Turno base: ")&amp;VLOOKUP(E42,Tabla_ArmasyEscudos,3,FALSE)+IF(Tamaño&lt;VLOOKUP(F43,Tabla_ArmasEnormes,3,FALSE),IF(OR(F43="Enorme",F43="Gigante"),-40,0),0),"")</f>
        <v/>
      </c>
      <c r="L45" s="5616"/>
      <c r="M45" s="685"/>
      <c r="N45" s="959" t="str">
        <f>IF(P42=0,"",VLOOKUP(P42,Tabla_ArmasyEscudos,6,FALSE))</f>
        <v/>
      </c>
      <c r="O45" s="1327" t="str">
        <f>IF(P42=0,"",VLOOKUP(P42,Tabla_ArmasyEscudos,7,FALSE))</f>
        <v/>
      </c>
      <c r="P45" s="1327" t="str">
        <f>IFERROR(IF(P42=0,"",MAX(0,IF(Extensióndelauraalarma,10,0)+U45*2+VLOOKUP(P42,Tabla_ArmasyEscudos,10,FALSE)+IF(Q43=0,0,VLOOKUP(Q43,Tabla_ArmasEnormes,6,FALSE)))+IF(Tabla_Desvío,DES,0)),"-")</f>
        <v/>
      </c>
      <c r="Q45" s="1327" t="str">
        <f>IF(P42=0,"",IF(Extensióndelauraalarma,5,0)+U45*2/5+VLOOKUP(P42,Tabla_ArmasyEscudos,11,FALSE)+IF(Q43=0,0,VLOOKUP(Q43,Tabla_ArmasEnormes,7,FALSE))+IF(FUE=0,0,VLOOKUP(FUE,Tabla_Fuerza,2))+IF(Ojos_de_la_Muerte,5,0))</f>
        <v/>
      </c>
      <c r="R45" s="1032" t="str">
        <f>IFERROR(IF(P42=0,"",IF(P42="Ophiucos",0,MAX(IF(OR(ISNUMBER(FIND("Virgo",P42)),ISNUMBER(FIND("Umbra",P42))),0,U45)*10,0))+VLOOKUP(P42,Tabla_ArmasyEscudos,12,FALSE)),"-")</f>
        <v/>
      </c>
      <c r="S45" s="5613" t="s">
        <v>8224</v>
      </c>
      <c r="T45" s="5614"/>
      <c r="U45" s="1366"/>
      <c r="V45" s="5615" t="str">
        <f ca="1">IFERROR(IF(ISNUMBER(SEARCH("Escudo",VLOOKUP(P42,Tabla_ArmasyEscudos,8,0))),"Turno esp: ","Turno base: ")&amp;VLOOKUP(P42,Tabla_ArmasyEscudos,3,FALSE)+IF(Tamaño&lt;VLOOKUP(Q43,Tabla_ArmasEnormes,3,FALSE),IF(OR(Q43="Enorme",Q43="Gigante"),-40,0),0),"")</f>
        <v/>
      </c>
      <c r="W45" s="5616"/>
      <c r="X45" s="685"/>
      <c r="Y45" s="9"/>
      <c r="Z45" s="9"/>
      <c r="AA45" s="1022"/>
      <c r="AB45" s="5451" t="str">
        <f>IF(PDs!$AD73=0,"",PDs!$AD73)</f>
        <v/>
      </c>
      <c r="AC45" s="5452"/>
      <c r="AD45" s="5452"/>
      <c r="AE45" s="5452"/>
      <c r="AF45" s="5465" t="str">
        <f t="shared" si="8"/>
        <v/>
      </c>
      <c r="AG45" s="5454"/>
      <c r="AH45" s="5454"/>
      <c r="AI45" s="5454"/>
      <c r="AJ45" s="5454"/>
      <c r="AK45" s="5454"/>
      <c r="AL45" s="5454"/>
      <c r="AM45" s="5454"/>
      <c r="AN45" s="5454"/>
      <c r="AO45" s="5454"/>
      <c r="AP45" s="5466"/>
      <c r="AQ45" s="1363">
        <f t="shared" si="9"/>
        <v>0</v>
      </c>
      <c r="AR45" s="1088"/>
      <c r="AS45" s="9"/>
      <c r="AT45" s="628">
        <v>16</v>
      </c>
      <c r="AU45" s="628" t="s">
        <v>9959</v>
      </c>
      <c r="AW45" s="2265" t="e">
        <f t="shared" ref="AW45:BF45" ca="1" si="10">VLOOKUP(AW30,Tabla_ArmasyEscudos,18,FALSE)</f>
        <v>#N/A</v>
      </c>
      <c r="AX45" s="2265" t="e">
        <f t="shared" ca="1" si="10"/>
        <v>#N/A</v>
      </c>
      <c r="AY45" s="2265" t="e">
        <f t="shared" ca="1" si="10"/>
        <v>#N/A</v>
      </c>
      <c r="AZ45" s="2265" t="e">
        <f t="shared" ca="1" si="10"/>
        <v>#N/A</v>
      </c>
      <c r="BA45" s="2265" t="e">
        <f t="shared" ca="1" si="10"/>
        <v>#N/A</v>
      </c>
      <c r="BB45" s="2265" t="e">
        <f t="shared" ca="1" si="10"/>
        <v>#N/A</v>
      </c>
      <c r="BC45" s="2265" t="e">
        <f t="shared" ca="1" si="10"/>
        <v>#N/A</v>
      </c>
      <c r="BD45" s="2265" t="e">
        <f t="shared" ca="1" si="10"/>
        <v>#N/A</v>
      </c>
      <c r="BE45" s="2265" t="e">
        <f t="shared" ca="1" si="10"/>
        <v>#N/A</v>
      </c>
      <c r="BF45" s="2265" t="e">
        <f t="shared" ca="1" si="10"/>
        <v>#N/A</v>
      </c>
      <c r="BH45" s="530"/>
      <c r="BI45" s="530"/>
      <c r="BJ45" s="530"/>
      <c r="BK45" s="530"/>
      <c r="BL45" s="530"/>
      <c r="BM45" s="530"/>
      <c r="BN45" s="530"/>
    </row>
    <row r="46" spans="1:66" ht="12" customHeight="1" thickBot="1">
      <c r="A46" s="9"/>
      <c r="B46" s="1049"/>
      <c r="C46" s="5617" t="str">
        <f>IF(E42=0,"",E47)</f>
        <v/>
      </c>
      <c r="D46" s="5618"/>
      <c r="E46" s="5618"/>
      <c r="F46" s="5618"/>
      <c r="G46" s="5618"/>
      <c r="H46" s="5618"/>
      <c r="I46" s="1331"/>
      <c r="J46" s="1332" t="str">
        <f>IF(F43=0,IF(J45&lt;=0,"","TA defensor: -"&amp;J45/5),IF(Tamaño&lt;VLOOKUP(F43,Tabla_ArmasEnormes,2,FALSE),"Tam. excesivo",IF(J45&lt;=0,"","TA defensor: -"&amp;J45/5)))</f>
        <v/>
      </c>
      <c r="K46" s="5619" t="str">
        <f ca="1">IFERROR("FUE min: "&amp;VLOOKUP(E42,Tabla_ArmasyEscudos,IF(C42="A dos manos",5,4),FALSE)+IFERROR(VLOOKUP(F43,Tabla_ArmasEnormes,4,FALSE),0),"")</f>
        <v/>
      </c>
      <c r="L46" s="5620"/>
      <c r="M46" s="685"/>
      <c r="N46" s="5617" t="str">
        <f>IF(P42=0,"",P47)</f>
        <v/>
      </c>
      <c r="O46" s="5618"/>
      <c r="P46" s="5618"/>
      <c r="Q46" s="5618"/>
      <c r="R46" s="5618"/>
      <c r="S46" s="5618"/>
      <c r="T46" s="1331"/>
      <c r="U46" s="1332" t="str">
        <f>IF(Q43=0,IF(U45&lt;=0,"","TA defensor: -"&amp;U45/5),IF(Tamaño&lt;VLOOKUP(Q43,Tabla_ArmasEnormes,2,FALSE),"Tam. excesivo",IF(U45&lt;=0,"","TA defensor: -"&amp;U45/5)))</f>
        <v/>
      </c>
      <c r="V46" s="5619" t="str">
        <f ca="1">IFERROR("FUE min: "&amp;VLOOKUP(P42,Tabla_ArmasyEscudos,IF(N42="A dos manos",5,4),FALSE)+IFERROR(VLOOKUP(Q43,Tabla_ArmasEnormes,4,FALSE),0),"")</f>
        <v/>
      </c>
      <c r="W46" s="5620"/>
      <c r="X46" s="685"/>
      <c r="Y46" s="9"/>
      <c r="Z46" s="9"/>
      <c r="AA46" s="1022"/>
      <c r="AB46" s="5451" t="str">
        <f>IF(PDs!$AD74=0,"",PDs!$AD74)</f>
        <v/>
      </c>
      <c r="AC46" s="5452"/>
      <c r="AD46" s="5452"/>
      <c r="AE46" s="5452"/>
      <c r="AF46" s="5465" t="str">
        <f t="shared" si="8"/>
        <v/>
      </c>
      <c r="AG46" s="5454"/>
      <c r="AH46" s="5454"/>
      <c r="AI46" s="5454"/>
      <c r="AJ46" s="5454"/>
      <c r="AK46" s="5454"/>
      <c r="AL46" s="5454"/>
      <c r="AM46" s="5454"/>
      <c r="AN46" s="5454"/>
      <c r="AO46" s="5454"/>
      <c r="AP46" s="5466"/>
      <c r="AQ46" s="1363">
        <f t="shared" si="9"/>
        <v>0</v>
      </c>
      <c r="AR46" s="1088"/>
      <c r="AS46" s="9"/>
      <c r="AT46" s="628">
        <v>17</v>
      </c>
      <c r="AU46" s="628" t="s">
        <v>8290</v>
      </c>
      <c r="AV46" s="2265"/>
      <c r="AW46" s="2265" t="e" cm="1">
        <f t="array" aca="1" ref="AW46"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$1949+INDEX(Personalización!$AA$7:$AJ$15,IF(ISEVEN(AW$29),9,4),IF(ISEVEN(AW$29),AW$29-1,AW$29))</f>
        <v>#N/A</v>
      </c>
      <c r="AX46" s="2265" t="e" cm="1">
        <f t="array" aca="1" ref="AX46"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$1949+INDEX(Personalización!$AA$7:$AJ$15,IF(ISEVEN(AX$29),9,4),IF(ISEVEN(AX$29),AX$29-1,AX$29))</f>
        <v>#N/A</v>
      </c>
      <c r="AY46" s="2265" t="e" cm="1">
        <f t="array" aca="1" ref="AY46"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$1949+INDEX(Personalización!$AA$7:$AJ$15,IF(ISEVEN(AY$29),9,4),IF(ISEVEN(AY$29),AY$29-1,AY$29))</f>
        <v>#N/A</v>
      </c>
      <c r="AZ46" s="2265" t="e" cm="1">
        <f t="array" aca="1" ref="AZ46"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$1949+INDEX(Personalización!$AA$7:$AJ$15,IF(ISEVEN(AZ$29),9,4),IF(ISEVEN(AZ$29),AZ$29-1,AZ$29))</f>
        <v>#N/A</v>
      </c>
      <c r="BA46" s="2265" t="e" cm="1">
        <f t="array" aca="1" ref="BA46"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$1949+INDEX(Personalización!$AA$7:$AJ$15,IF(ISEVEN(BA$29),9,4),IF(ISEVEN(BA$29),BA$29-1,BA$29))</f>
        <v>#N/A</v>
      </c>
      <c r="BB46" s="2265" t="e" cm="1">
        <f t="array" aca="1" ref="BB46"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$1949+INDEX(Personalización!$AA$7:$AJ$15,IF(ISEVEN(BB$29),9,4),IF(ISEVEN(BB$29),BB$29-1,BB$29))</f>
        <v>#N/A</v>
      </c>
      <c r="BC46" s="2265" t="e" cm="1">
        <f t="array" aca="1" ref="BC46"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$1949+INDEX(Personalización!$AA$7:$AJ$15,IF(ISEVEN(BC$29),9,4),IF(ISEVEN(BC$29),BC$29-1,BC$29))</f>
        <v>#N/A</v>
      </c>
      <c r="BD46" s="2265" t="e" cm="1">
        <f t="array" aca="1" ref="BD46"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$1949+INDEX(Personalización!$AA$7:$AJ$15,IF(ISEVEN(BD$29),9,4),IF(ISEVEN(BD$29),BD$29-1,BD$29))</f>
        <v>#N/A</v>
      </c>
      <c r="BE46" s="2265" t="e" cm="1">
        <f t="array" aca="1" ref="BE46"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$1949+INDEX(Personalización!$AA$7:$AJ$15,IF(ISEVEN(BE$29),9,4),IF(ISEVEN(BE$29),BE$29-1,BE$29))</f>
        <v>#N/A</v>
      </c>
      <c r="BF46" s="2265" t="e" cm="1">
        <f t="array" aca="1" ref="BF46"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$1949+INDEX(Personalización!$AA$7:$AJ$15,IF(ISEVEN(BF$29),9,4),IF(ISEVEN(BF$29),BF$29-1,BF$29))</f>
        <v>#N/A</v>
      </c>
      <c r="BH46" s="530"/>
      <c r="BI46" s="530"/>
      <c r="BJ46" s="530"/>
      <c r="BK46" s="530"/>
      <c r="BL46" s="530"/>
      <c r="BM46" s="530"/>
      <c r="BN46" s="530"/>
    </row>
    <row r="47" spans="1:66" ht="12" customHeight="1" thickBot="1">
      <c r="A47" s="9"/>
      <c r="B47" s="1049"/>
      <c r="C47" s="530" t="e">
        <f ca="1">VLOOKUP(E42,Tabla_ArmasyEscudos,19,FALSE)</f>
        <v>#N/A</v>
      </c>
      <c r="D47" s="530" t="e">
        <f ca="1">IF(ISNUMBER(SEARCH("XXX",C47)),SUBSTITUTE(C47,"XXX",MAX(0,VLOOKUP(E42,Tabla_ArmasyEscudos,17,FALSE)+IF(FUE&lt;3,-30,VLOOKUP(FUE,Tabla_AlcanceFUE,2)))),SUBSTITUTE(SUBSTITUTE(C47,"Arma natural a distancia disparada",F47),"Arma natural a distancia",F47))</f>
        <v>#N/A</v>
      </c>
      <c r="E47" s="530" t="e">
        <f ca="1">SUBSTITUTE(IF(VLOOKUP(E42,Tabla_ArmasyEscudos,17,FALSE)&lt;&gt;"-",D47,C47),"(FUE "&amp;G47&amp;")","(FUE "&amp;G47+J45/5&amp;")")</f>
        <v>#N/A</v>
      </c>
      <c r="F47"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7" s="530">
        <f ca="1">IFERROR(MID(C47,SEARCH("(FUE ",C47)+5,SEARCH(")",C47,SEARCH("(FUE ",C47))-SEARCH("(FUE ",C47)-5),0)</f>
        <v>0</v>
      </c>
      <c r="H47" s="530"/>
      <c r="M47" s="530"/>
      <c r="N47" s="530" t="e">
        <f ca="1">VLOOKUP(P42,Tabla_ArmasyEscudos,19,FALSE)</f>
        <v>#N/A</v>
      </c>
      <c r="O47" s="530" t="e">
        <f ca="1">IF(ISNUMBER(SEARCH("XXX",N47)),SUBSTITUTE(N47,"XXX",MAX(0,VLOOKUP(P42,Tabla_ArmasyEscudos,17,FALSE)+IF(FUE&lt;3,-30,VLOOKUP(FUE,Tabla_AlcanceFUE,2)))),SUBSTITUTE(SUBSTITUTE(N47,"Arma natural a distancia disparada",Q47),"Arma natural a distancia",Q47))</f>
        <v>#N/A</v>
      </c>
      <c r="P47" s="530" t="e">
        <f ca="1">SUBSTITUTE(IF(VLOOKUP(P42,Tabla_ArmasyEscudos,17,FALSE)&lt;&gt;"-",O47,N47),"(FUE "&amp;R47&amp;")","(FUE "&amp;R47+U45/5&amp;")")</f>
        <v>#N/A</v>
      </c>
      <c r="Q47"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7" s="530">
        <f ca="1">IFERROR(MID(N47,SEARCH("(FUE ",N47)+5,SEARCH(")",N47,SEARCH("(FUE ",N47))-SEARCH("(FUE ",N47)-5),0)</f>
        <v>0</v>
      </c>
      <c r="S47" s="530"/>
      <c r="X47" s="685"/>
      <c r="Y47" s="9"/>
      <c r="Z47" s="9"/>
      <c r="AA47" s="1022"/>
      <c r="AB47" s="5451" t="str">
        <f>IF(PDs!$AD75=0,"",PDs!$AD75)</f>
        <v/>
      </c>
      <c r="AC47" s="5452"/>
      <c r="AD47" s="5452"/>
      <c r="AE47" s="5452"/>
      <c r="AF47" s="5465" t="str">
        <f t="shared" si="8"/>
        <v/>
      </c>
      <c r="AG47" s="5454"/>
      <c r="AH47" s="5454"/>
      <c r="AI47" s="5454"/>
      <c r="AJ47" s="5454"/>
      <c r="AK47" s="5454"/>
      <c r="AL47" s="5454"/>
      <c r="AM47" s="5454"/>
      <c r="AN47" s="5454"/>
      <c r="AO47" s="5454"/>
      <c r="AP47" s="5466"/>
      <c r="AQ47" s="1363">
        <f t="shared" si="9"/>
        <v>0</v>
      </c>
      <c r="AR47" s="1088"/>
      <c r="AS47" s="9"/>
      <c r="AT47" s="530"/>
      <c r="AU47" s="628" t="s">
        <v>8263</v>
      </c>
      <c r="AW47" s="3632" t="str">
        <f t="shared" ref="AW47:BF47" si="11">AW29&amp;". "&amp;IF(AW30=0,"",AW30)</f>
        <v xml:space="preserve">1. </v>
      </c>
      <c r="AX47" s="3632" t="str">
        <f t="shared" si="11"/>
        <v xml:space="preserve">2. </v>
      </c>
      <c r="AY47" s="3632" t="str">
        <f t="shared" si="11"/>
        <v xml:space="preserve">3. </v>
      </c>
      <c r="AZ47" s="3632" t="str">
        <f t="shared" si="11"/>
        <v xml:space="preserve">4. </v>
      </c>
      <c r="BA47" s="3632" t="str">
        <f t="shared" si="11"/>
        <v xml:space="preserve">5. </v>
      </c>
      <c r="BB47" s="3632" t="str">
        <f t="shared" si="11"/>
        <v xml:space="preserve">6. </v>
      </c>
      <c r="BC47" s="3632" t="str">
        <f t="shared" si="11"/>
        <v xml:space="preserve">7. </v>
      </c>
      <c r="BD47" s="3632" t="str">
        <f t="shared" si="11"/>
        <v xml:space="preserve">8. </v>
      </c>
      <c r="BE47" s="3632" t="str">
        <f t="shared" si="11"/>
        <v xml:space="preserve">9. </v>
      </c>
      <c r="BF47" s="3632" t="str">
        <f t="shared" si="11"/>
        <v xml:space="preserve">10. </v>
      </c>
      <c r="BG47" s="628" t="s">
        <v>8142</v>
      </c>
      <c r="BH47" s="530"/>
      <c r="BI47" s="530"/>
      <c r="BJ47" s="530"/>
      <c r="BK47" s="530"/>
      <c r="BL47" s="530"/>
      <c r="BM47" s="530"/>
      <c r="BN47" s="530"/>
    </row>
    <row r="48" spans="1:66" ht="12" customHeight="1" thickBot="1">
      <c r="A48" s="9"/>
      <c r="B48" s="1049"/>
      <c r="C48" s="1335" t="s">
        <v>8242</v>
      </c>
      <c r="D48" s="1330" t="str">
        <f>E49&amp;IF(COUNTIF($R$22:$T$25,C48&amp;" "&amp;E49)&gt;0,IFERROR(" y"&amp;MID(VLOOKUP(C48&amp;" "&amp;E49,$R$22:$W$25,4,FALSE),SEARCH(".",VLOOKUP(C48&amp;" "&amp;E49,$R$22:$W$25,4,FALSE))+1,100),""),"")</f>
        <v/>
      </c>
      <c r="E48" s="1330"/>
      <c r="F48" s="1330"/>
      <c r="G48" s="1330"/>
      <c r="H48" s="1330"/>
      <c r="I48" s="1330"/>
      <c r="J48" s="1330"/>
      <c r="K48" s="1330"/>
      <c r="L48" s="1361" t="s">
        <v>8249</v>
      </c>
      <c r="M48" s="685"/>
      <c r="N48" s="1335" t="s">
        <v>8239</v>
      </c>
      <c r="O48" s="1330" t="str">
        <f>P49&amp;IF(COUNTIF($R$22:$T$25,N48&amp;" "&amp;P49)&gt;0,IFERROR(" y"&amp;MID(VLOOKUP(N48&amp;" "&amp;P49,$R$22:$W$25,4,FALSE),SEARCH(".",VLOOKUP(N48&amp;" "&amp;P49,$R$22:$W$25,4,FALSE))+1,100),""),"")</f>
        <v/>
      </c>
      <c r="P48" s="1330"/>
      <c r="Q48" s="1330"/>
      <c r="R48" s="1330"/>
      <c r="S48" s="1330"/>
      <c r="T48" s="1330"/>
      <c r="U48" s="1330"/>
      <c r="V48" s="1330"/>
      <c r="W48" s="1361" t="s">
        <v>8249</v>
      </c>
      <c r="X48" s="685"/>
      <c r="Y48" s="9"/>
      <c r="Z48" s="9"/>
      <c r="AA48" s="1022"/>
      <c r="AB48" s="5451" t="str">
        <f>IF(PDs!$AD76=0,"",PDs!$AD76)</f>
        <v/>
      </c>
      <c r="AC48" s="5452"/>
      <c r="AD48" s="5452"/>
      <c r="AE48" s="5452"/>
      <c r="AF48" s="5465" t="str">
        <f t="shared" si="8"/>
        <v/>
      </c>
      <c r="AG48" s="5454"/>
      <c r="AH48" s="5454"/>
      <c r="AI48" s="5454"/>
      <c r="AJ48" s="5454"/>
      <c r="AK48" s="5454"/>
      <c r="AL48" s="5454"/>
      <c r="AM48" s="5454"/>
      <c r="AN48" s="5454"/>
      <c r="AO48" s="5454"/>
      <c r="AP48" s="5466"/>
      <c r="AQ48" s="1363">
        <f t="shared" si="9"/>
        <v>0</v>
      </c>
      <c r="AR48" s="1088"/>
      <c r="AS48" s="9"/>
      <c r="AT48" s="530"/>
      <c r="AU48" s="628" t="s">
        <v>8260</v>
      </c>
      <c r="AV48" s="628" t="str">
        <f>Turno_SinArmas_final&amp;" "&amp;IF(AND(Resumen!$AN$29="No",C20="Desarmado"),"Natural",$C$20)</f>
        <v>40 Desarmado</v>
      </c>
      <c r="AW48" s="628" t="str" cm="1">
        <f t="array" aca="1" ref="AW48" ca="1">IFERROR(IF(AW$38="Torpe","",IF(COUNTIF($AV48:AV48,"")=Tablas!A$1,"",", ")&amp;AW41&amp;" "&amp;AW$30&amp;IF(AW$31&lt;=0,""," +"&amp;AW$31)&amp;IF(AW$39="-",""," y "&amp;INDEX(Tabla_Combate,1,AW$39)&amp;IF(INDEX(Tabla_Combate,2,AW$39)&lt;=0,""," +"&amp;INDEX(Tabla_Combate,2,AW$39)))),"")</f>
        <v/>
      </c>
      <c r="AX48" s="628" t="str" cm="1">
        <f t="array" aca="1" ref="AX48" ca="1">IFERROR(IF(AX$38="Torpe","",IF(COUNTIF($AV48:AW48,"")=Tablas!B$1,"",", ")&amp;AX41&amp;" "&amp;AX$30&amp;IF(AX$31&lt;=0,""," +"&amp;AX$31)&amp;IF(AX$39="-",""," y "&amp;INDEX(Tabla_Combate,1,AX$39)&amp;IF(INDEX(Tabla_Combate,2,AX$39)&lt;=0,""," +"&amp;INDEX(Tabla_Combate,2,AX$39)))),"")</f>
        <v/>
      </c>
      <c r="AY48" s="628" t="str" cm="1">
        <f t="array" aca="1" ref="AY48" ca="1">IFERROR(IF(AY$38="Torpe","",IF(COUNTIF($AV48:AX48,"")=Tablas!C$1,"",", ")&amp;AY41&amp;" "&amp;AY$30&amp;IF(AY$31&lt;=0,""," +"&amp;AY$31)&amp;IF(AY$39="-",""," y "&amp;INDEX(Tabla_Combate,1,AY$39)&amp;IF(INDEX(Tabla_Combate,2,AY$39)&lt;=0,""," +"&amp;INDEX(Tabla_Combate,2,AY$39)))),"")</f>
        <v/>
      </c>
      <c r="AZ48" s="628" t="str" cm="1">
        <f t="array" aca="1" ref="AZ48" ca="1">IFERROR(IF(AZ$38="Torpe","",IF(COUNTIF($AV48:AY48,"")=Tablas!D$1,"",", ")&amp;AZ41&amp;" "&amp;AZ$30&amp;IF(AZ$31&lt;=0,""," +"&amp;AZ$31)&amp;IF(AZ$39="-",""," y "&amp;INDEX(Tabla_Combate,1,AZ$39)&amp;IF(INDEX(Tabla_Combate,2,AZ$39)&lt;=0,""," +"&amp;INDEX(Tabla_Combate,2,AZ$39)))),"")</f>
        <v/>
      </c>
      <c r="BA48" s="628" t="str" cm="1">
        <f t="array" aca="1" ref="BA48" ca="1">IFERROR(IF(BA$38="Torpe","",IF(COUNTIF($AV48:AZ48,"")=Tablas!E$1,"",", ")&amp;BA41&amp;" "&amp;BA$30&amp;IF(BA$31&lt;=0,""," +"&amp;BA$31)&amp;IF(BA$39="-",""," y "&amp;INDEX(Tabla_Combate,1,BA$39)&amp;IF(INDEX(Tabla_Combate,2,BA$39)&lt;=0,""," +"&amp;INDEX(Tabla_Combate,2,BA$39)))),"")</f>
        <v/>
      </c>
      <c r="BB48" s="628" t="str" cm="1">
        <f t="array" aca="1" ref="BB48" ca="1">IFERROR(IF(BB$38="Torpe","",IF(COUNTIF($AV48:BA48,"")=Tablas!F$1,"",", ")&amp;BB41&amp;" "&amp;BB$30&amp;IF(BB$31&lt;=0,""," +"&amp;BB$31)&amp;IF(BB$39="-",""," y "&amp;INDEX(Tabla_Combate,1,BB$39)&amp;IF(INDEX(Tabla_Combate,2,BB$39)&lt;=0,""," +"&amp;INDEX(Tabla_Combate,2,BB$39)))),"")</f>
        <v/>
      </c>
      <c r="BC48" s="628" t="str" cm="1">
        <f t="array" aca="1" ref="BC48" ca="1">IFERROR(IF(BC$38="Torpe","",IF(COUNTIF($AV48:BB48,"")=Tablas!G$1,"",", ")&amp;BC41&amp;" "&amp;BC$30&amp;IF(BC$31&lt;=0,""," +"&amp;BC$31)&amp;IF(BC$39="-",""," y "&amp;INDEX(Tabla_Combate,1,BC$39)&amp;IF(INDEX(Tabla_Combate,2,BC$39)&lt;=0,""," +"&amp;INDEX(Tabla_Combate,2,BC$39)))),"")</f>
        <v/>
      </c>
      <c r="BD48" s="628" t="str" cm="1">
        <f t="array" aca="1" ref="BD48" ca="1">IFERROR(IF(BD$38="Torpe","",IF(COUNTIF($AV48:BC48,"")=Tablas!H$1,"",", ")&amp;BD41&amp;" "&amp;BD$30&amp;IF(BD$31&lt;=0,""," +"&amp;BD$31)&amp;IF(BD$39="-",""," y "&amp;INDEX(Tabla_Combate,1,BD$39)&amp;IF(INDEX(Tabla_Combate,2,BD$39)&lt;=0,""," +"&amp;INDEX(Tabla_Combate,2,BD$39)))),"")</f>
        <v/>
      </c>
      <c r="BE48" s="628" t="str" cm="1">
        <f t="array" aca="1" ref="BE48" ca="1">IFERROR(IF(BE$38="Torpe","",IF(COUNTIF($AV48:BD48,"")=Tablas!I$1,"",", ")&amp;BE41&amp;" "&amp;BE$30&amp;IF(BE$31&lt;=0,""," +"&amp;BE$31)&amp;IF(BE$39="-",""," y "&amp;INDEX(Tabla_Combate,1,BE$39)&amp;IF(INDEX(Tabla_Combate,2,BE$39)&lt;=0,""," +"&amp;INDEX(Tabla_Combate,2,BE$39)))),"")</f>
        <v/>
      </c>
      <c r="BF48" s="628" t="str" cm="1">
        <f t="array" aca="1" ref="BF48" ca="1">IFERROR(IF(BF$38="Torpe","",IF(COUNTIF($AV48:BE48,"")=Tablas!J$1,"",", ")&amp;BF41&amp;" "&amp;BF$30&amp;IF(BF$31&lt;=0,""," +"&amp;BF$31)&amp;IF(BF$39="-",""," y "&amp;INDEX(Tabla_Combate,1,BF$39)&amp;IF(INDEX(Tabla_Combate,2,BF$39)&lt;=0,""," +"&amp;INDEX(Tabla_Combate,2,BF$39)))),"")</f>
        <v/>
      </c>
      <c r="BG48" s="628" t="str">
        <f>IF(Personalización!AT3&lt;&gt;"",IF(COUNTIF(Combate!AV48:BF48,"?*")&gt;0,", ","")&amp;IF(Personalización!AT3="","",Personalización!AT3),"")</f>
        <v/>
      </c>
      <c r="BH48" s="530"/>
      <c r="BI48" s="530"/>
      <c r="BJ48" s="530"/>
      <c r="BK48" s="530"/>
      <c r="BL48" s="530"/>
      <c r="BM48" s="530"/>
      <c r="BN48" s="530"/>
    </row>
    <row r="49" spans="1:66" ht="12" customHeight="1">
      <c r="A49" s="9"/>
      <c r="B49" s="1049"/>
      <c r="C49" s="5506" t="s">
        <v>8222</v>
      </c>
      <c r="D49" s="5507"/>
      <c r="E49" s="5509"/>
      <c r="F49" s="5510"/>
      <c r="G49" s="5511"/>
      <c r="H49" s="1593" t="s">
        <v>1252</v>
      </c>
      <c r="I49" s="1594" t="s">
        <v>1423</v>
      </c>
      <c r="J49" s="5512" t="s">
        <v>1424</v>
      </c>
      <c r="K49" s="5512"/>
      <c r="L49" s="1595" t="s">
        <v>1425</v>
      </c>
      <c r="M49" s="1360" t="str">
        <f ca="1">IF(C49=INDEX(Lista_ManosArma,2),Lista_ProyA2manos,Lista_ProyA1Mano)</f>
        <v>Tablas!$AP$654:$AP$669</v>
      </c>
      <c r="N49" s="5506" t="s">
        <v>8222</v>
      </c>
      <c r="O49" s="5507"/>
      <c r="P49" s="5509"/>
      <c r="Q49" s="5510"/>
      <c r="R49" s="5511"/>
      <c r="S49" s="1593" t="s">
        <v>1252</v>
      </c>
      <c r="T49" s="1594" t="s">
        <v>1423</v>
      </c>
      <c r="U49" s="5512" t="s">
        <v>1424</v>
      </c>
      <c r="V49" s="5512"/>
      <c r="W49" s="1595" t="s">
        <v>1425</v>
      </c>
      <c r="X49" s="1360" t="str">
        <f ca="1">IF(N49=INDEX(Lista_ManosArma,2),Lista_ProyA2manos,Lista_ProyA1Mano)</f>
        <v>Tablas!$AP$654:$AP$669</v>
      </c>
      <c r="Y49" s="9"/>
      <c r="Z49" s="9"/>
      <c r="AA49" s="1022"/>
      <c r="AB49" s="5621" t="str">
        <f>IF(PDs!$AD77=0,"",PDs!$AD77)</f>
        <v/>
      </c>
      <c r="AC49" s="5622"/>
      <c r="AD49" s="5622"/>
      <c r="AE49" s="5622"/>
      <c r="AF49" s="5623" t="str">
        <f t="shared" si="8"/>
        <v/>
      </c>
      <c r="AG49" s="5624"/>
      <c r="AH49" s="5624"/>
      <c r="AI49" s="5624"/>
      <c r="AJ49" s="5624"/>
      <c r="AK49" s="5624"/>
      <c r="AL49" s="5624"/>
      <c r="AM49" s="5624"/>
      <c r="AN49" s="5624"/>
      <c r="AO49" s="5624"/>
      <c r="AP49" s="5625"/>
      <c r="AQ49" s="945">
        <f t="shared" si="9"/>
        <v>0</v>
      </c>
      <c r="AR49" s="1088"/>
      <c r="AS49" s="9"/>
      <c r="AT49" s="530"/>
      <c r="AU49" s="628" t="s">
        <v>8261</v>
      </c>
      <c r="AV49" s="628" t="str">
        <f>IF(AND(Resumen!$AN$29="No",C20="Desarmado"),"",HA_SinArmas_final&amp;" "&amp;$C$20)</f>
        <v>-60 Desarmado</v>
      </c>
      <c r="AW49" s="628" t="str" cm="1">
        <f t="array" aca="1" ref="AW49" ca="1">IFERROR(IF(AW$38="Torpe","",IF(COUNTIF($AV49:AV49,"")=Tablas!A$1,"",", ")&amp;AW42&amp;" "&amp;AW$30&amp;IF(AW$31&lt;=0,""," +"&amp;AW$31)&amp;IF(AW$39="-",""," y "&amp;INDEX(Tabla_Combate,$AT$42,AW$39)&amp;" "&amp;INDEX(Tabla_Combate,1,AW$39)&amp;IF(INDEX(Tabla_Combate,2,AW$39)&lt;=0,""," +"&amp;INDEX(Tabla_Combate,2,AW$39)))),"")</f>
        <v/>
      </c>
      <c r="AX49" s="628" t="str" cm="1">
        <f t="array" aca="1" ref="AX49" ca="1">IFERROR(IF(AX$38="Torpe","",IF(COUNTIF($AV49:AW49,"")=Tablas!B$1,"",", ")&amp;AX42&amp;" "&amp;AX$30&amp;IF(AX$31&lt;=0,""," +"&amp;AX$31)&amp;IF(AX$39="-",""," y "&amp;INDEX(Tabla_Combate,$AT$42,AX$39)&amp;" "&amp;INDEX(Tabla_Combate,1,AX$39)&amp;IF(INDEX(Tabla_Combate,2,AX$39)&lt;=0,""," +"&amp;INDEX(Tabla_Combate,2,AX$39)))),"")</f>
        <v/>
      </c>
      <c r="AY49" s="628" t="str" cm="1">
        <f t="array" aca="1" ref="AY49" ca="1">IFERROR(IF(AY$38="Torpe","",IF(COUNTIF($AV49:AX49,"")=Tablas!C$1,"",", ")&amp;AY42&amp;" "&amp;AY$30&amp;IF(AY$31&lt;=0,""," +"&amp;AY$31)&amp;IF(AY$39="-",""," y "&amp;INDEX(Tabla_Combate,$AT$42,AY$39)&amp;" "&amp;INDEX(Tabla_Combate,1,AY$39)&amp;IF(INDEX(Tabla_Combate,2,AY$39)&lt;=0,""," +"&amp;INDEX(Tabla_Combate,2,AY$39)))),"")</f>
        <v/>
      </c>
      <c r="AZ49" s="628" t="str" cm="1">
        <f t="array" aca="1" ref="AZ49" ca="1">IFERROR(IF(AZ$38="Torpe","",IF(COUNTIF($AV49:AY49,"")=Tablas!D$1,"",", ")&amp;AZ42&amp;" "&amp;AZ$30&amp;IF(AZ$31&lt;=0,""," +"&amp;AZ$31)&amp;IF(AZ$39="-",""," y "&amp;INDEX(Tabla_Combate,$AT$42,AZ$39)&amp;" "&amp;INDEX(Tabla_Combate,1,AZ$39)&amp;IF(INDEX(Tabla_Combate,2,AZ$39)&lt;=0,""," +"&amp;INDEX(Tabla_Combate,2,AZ$39)))),"")</f>
        <v/>
      </c>
      <c r="BA49" s="628" t="str" cm="1">
        <f t="array" aca="1" ref="BA49" ca="1">IFERROR(IF(BA$38="Torpe","",IF(COUNTIF($AV49:AZ49,"")=Tablas!E$1,"",", ")&amp;BA42&amp;" "&amp;BA$30&amp;IF(BA$31&lt;=0,""," +"&amp;BA$31)&amp;IF(BA$39="-",""," y "&amp;INDEX(Tabla_Combate,$AT$42,BA$39)&amp;" "&amp;INDEX(Tabla_Combate,1,BA$39)&amp;IF(INDEX(Tabla_Combate,2,BA$39)&lt;=0,""," +"&amp;INDEX(Tabla_Combate,2,BA$39)))),"")</f>
        <v/>
      </c>
      <c r="BB49" s="628" t="str" cm="1">
        <f t="array" aca="1" ref="BB49" ca="1">IFERROR(IF(BB$38="Torpe","",IF(COUNTIF($AV49:BA49,"")=Tablas!F$1,"",", ")&amp;BB42&amp;" "&amp;BB$30&amp;IF(BB$31&lt;=0,""," +"&amp;BB$31)&amp;IF(BB$39="-",""," y "&amp;INDEX(Tabla_Combate,$AT$42,BB$39)&amp;" "&amp;INDEX(Tabla_Combate,1,BB$39)&amp;IF(INDEX(Tabla_Combate,2,BB$39)&lt;=0,""," +"&amp;INDEX(Tabla_Combate,2,BB$39)))),"")</f>
        <v/>
      </c>
      <c r="BC49" s="628" t="str" cm="1">
        <f t="array" aca="1" ref="BC49" ca="1">IFERROR(IF(BC$38="Torpe","",IF(COUNTIF($AV49:BB49,"")=Tablas!G$1,"",", ")&amp;BC42&amp;" "&amp;BC$30&amp;IF(BC$31&lt;=0,""," +"&amp;BC$31)&amp;IF(BC$39="-",""," y "&amp;INDEX(Tabla_Combate,$AT$42,BC$39)&amp;" "&amp;INDEX(Tabla_Combate,1,BC$39)&amp;IF(INDEX(Tabla_Combate,2,BC$39)&lt;=0,""," +"&amp;INDEX(Tabla_Combate,2,BC$39)))),"")</f>
        <v/>
      </c>
      <c r="BD49" s="628" t="str" cm="1">
        <f t="array" aca="1" ref="BD49" ca="1">IFERROR(IF(BD$38="Torpe","",IF(COUNTIF($AV49:BC49,"")=Tablas!H$1,"",", ")&amp;BD42&amp;" "&amp;BD$30&amp;IF(BD$31&lt;=0,""," +"&amp;BD$31)&amp;IF(BD$39="-",""," y "&amp;INDEX(Tabla_Combate,$AT$42,BD$39)&amp;" "&amp;INDEX(Tabla_Combate,1,BD$39)&amp;IF(INDEX(Tabla_Combate,2,BD$39)&lt;=0,""," +"&amp;INDEX(Tabla_Combate,2,BD$39)))),"")</f>
        <v/>
      </c>
      <c r="BE49" s="628" t="str" cm="1">
        <f t="array" aca="1" ref="BE49" ca="1">IFERROR(IF(BE$38="Torpe","",IF(COUNTIF($AV49:BD49,"")=Tablas!I$1,"",", ")&amp;BE42&amp;" "&amp;BE$30&amp;IF(BE$31&lt;=0,""," +"&amp;BE$31)&amp;IF(BE$39="-",""," y "&amp;INDEX(Tabla_Combate,$AT$42,BE$39)&amp;" "&amp;INDEX(Tabla_Combate,1,BE$39)&amp;IF(INDEX(Tabla_Combate,2,BE$39)&lt;=0,""," +"&amp;INDEX(Tabla_Combate,2,BE$39)))),"")</f>
        <v/>
      </c>
      <c r="BF49" s="628" t="str" cm="1">
        <f t="array" aca="1" ref="BF49" ca="1">IFERROR(IF(BF$38="Torpe","",IF(COUNTIF($AV49:BE49,"")=Tablas!J$1,"",", ")&amp;BF42&amp;" "&amp;BF$30&amp;IF(BF$31&lt;=0,""," +"&amp;BF$31)&amp;IF(BF$39="-",""," y "&amp;INDEX(Tabla_Combate,$AT$42,BF$39)&amp;" "&amp;INDEX(Tabla_Combate,1,BF$39)&amp;IF(INDEX(Tabla_Combate,2,BF$39)&lt;=0,""," +"&amp;INDEX(Tabla_Combate,2,BF$39)))),"")</f>
        <v/>
      </c>
      <c r="BG49" s="628" t="str">
        <f>IF(Personalización!AT4&lt;&gt;"",IF(COUNTIF(Combate!AV49:BF49,"?*")&gt;0,", ","")&amp;IF(Personalización!AT4="","",Personalización!AT4),"")</f>
        <v/>
      </c>
      <c r="BH49" s="530"/>
      <c r="BI49" s="530"/>
      <c r="BJ49" s="530"/>
      <c r="BK49" s="530"/>
      <c r="BL49" s="530"/>
      <c r="BM49" s="530"/>
      <c r="BN49" s="530"/>
    </row>
    <row r="50" spans="1:66" ht="12" customHeight="1">
      <c r="A50" s="9"/>
      <c r="B50" s="1049"/>
      <c r="C50" s="5636" t="s">
        <v>1439</v>
      </c>
      <c r="D50" s="5637"/>
      <c r="E50" s="5638"/>
      <c r="F50" s="5638"/>
      <c r="G50" s="5639"/>
      <c r="H50" s="5601" cm="1">
        <f t="array" aca="1" ref="H50" ca="1">IFERROR(INDEX(Tabla_Combate,$AT$41,LEFT(C48,LEN(C48)-1)),0)</f>
        <v>0</v>
      </c>
      <c r="I50" s="5513" cm="1">
        <f t="array" aca="1" ref="I50" ca="1">IFERROR(INDEX(Tabla_Combate,$AT$42,LEFT(C48,LEN(C48)-1)),0)</f>
        <v>0</v>
      </c>
      <c r="J50" s="5515" cm="1">
        <f t="array" aca="1" ref="J50" ca="1">IF(K50="-",0,IF(K50="Par",INDEX(Tabla_Combate,$AT$43,LEFT(C48,LEN(C48)-1)),INDEX(Tabla_Combate,$AT$44,LEFT(C48,LEN(C48)-1))))</f>
        <v>0</v>
      </c>
      <c r="K50" s="4334" t="str" cm="1">
        <f t="array" aca="1" ref="K50" ca="1">IFERROR(IF(INDEX(Tabla_Combate,$AT$43,LEFT(C48,LEN(C48)-1))&gt;INDEX(Tabla_Combate,$AT$44,LEFT(C48,LEN(C48)-1)),"Par","Esq"),"-")</f>
        <v>-</v>
      </c>
      <c r="L50" s="5521" cm="1">
        <f t="array" aca="1" ref="L50" ca="1">IFERROR(INDEX(Tabla_Combate,$AT$46,LEFT(C48,LEN(C48)-1)),0)</f>
        <v>0</v>
      </c>
      <c r="M50" s="685"/>
      <c r="N50" s="5636" t="s">
        <v>1439</v>
      </c>
      <c r="O50" s="5637"/>
      <c r="P50" s="5638"/>
      <c r="Q50" s="5638"/>
      <c r="R50" s="5639"/>
      <c r="S50" s="5601" cm="1">
        <f t="array" aca="1" ref="S50" ca="1">IFERROR(INDEX(Tabla_Combate,$AT$41,LEFT(N48,LEN(N48)-1)),0)</f>
        <v>0</v>
      </c>
      <c r="T50" s="5513" cm="1">
        <f t="array" aca="1" ref="T50" ca="1">IFERROR(INDEX(Tabla_Combate,$AT$42,LEFT(N48,LEN(N48)-1)),0)</f>
        <v>0</v>
      </c>
      <c r="U50" s="5515" cm="1">
        <f t="array" aca="1" ref="U50" ca="1">IF(V50="-",0,IF(V50="Par",INDEX(Tabla_Combate,$AT$43,LEFT(N48,LEN(N48)-1)),INDEX(Tabla_Combate,$AT$44,LEFT(N48,LEN(N48)-1))))</f>
        <v>0</v>
      </c>
      <c r="V50" s="4334" t="str" cm="1">
        <f t="array" aca="1" ref="V50" ca="1">IFERROR(IF(INDEX(Tabla_Combate,$AT$43,LEFT(N48,LEN(N48)-1))&gt;INDEX(Tabla_Combate,$AT$44,LEFT(N48,LEN(N48)-1)),"Par","Esq"),"-")</f>
        <v>-</v>
      </c>
      <c r="W50" s="5521" cm="1">
        <f t="array" aca="1" ref="W50" ca="1">IFERROR(INDEX(Tabla_Combate,$AT$46,LEFT(N48,LEN(N48)-1)),0)</f>
        <v>0</v>
      </c>
      <c r="X50" s="685"/>
      <c r="Y50" s="9"/>
      <c r="Z50" s="9"/>
      <c r="AA50" s="1022"/>
      <c r="AB50" s="5628" t="str">
        <f>IF(PDs!$E78=0,"",PDs!$E78)</f>
        <v/>
      </c>
      <c r="AC50" s="5628"/>
      <c r="AD50" s="5628"/>
      <c r="AE50" s="5628"/>
      <c r="AF50" s="5628"/>
      <c r="AG50" s="5628"/>
      <c r="AH50" s="5626" t="str">
        <f>IF($AB50="","",IF(PDs!$V78="FALTAN REQUISITOS",PDs!$V78,VLOOKUP(AB50,Tabla_AM_Armas,5,FALSE)))</f>
        <v/>
      </c>
      <c r="AI50" s="5626"/>
      <c r="AJ50" s="5626"/>
      <c r="AK50" s="5626"/>
      <c r="AL50" s="5626"/>
      <c r="AM50" s="5626"/>
      <c r="AN50" s="5626"/>
      <c r="AO50" s="5626"/>
      <c r="AP50" s="5626"/>
      <c r="AQ50" s="5626"/>
      <c r="AR50" s="1088"/>
      <c r="AS50" s="9"/>
      <c r="AT50" s="530"/>
      <c r="AU50" s="628" t="s">
        <v>8259</v>
      </c>
      <c r="AV50" s="628" t="str">
        <f ca="1">IF(AV$52="Par",AV$53,IF(AV$52="Esq",AV$54&amp;AW54&amp;AX54&amp;AY54&amp;AZ54&amp;BA54&amp;BB54&amp;BC54&amp;BD54&amp;BE54&amp;BF54&amp;IF(COUNTIF(AW54:BF54,"")=10,"",")"),""))</f>
        <v>0 Esquiva</v>
      </c>
      <c r="AW50" s="628" t="str">
        <f ca="1">IF(AW$52="Par",IF(COUNTIF($AV$53:AV$53,AW$53)&gt;0,"",AW$53),"")</f>
        <v/>
      </c>
      <c r="AX50" s="628" t="str">
        <f ca="1">IF(AX$52="Par",IF(COUNTIF($AV$53:AW$53,AX$53)&gt;0,"",AX$53),"")</f>
        <v/>
      </c>
      <c r="AY50" s="628" t="str">
        <f ca="1">IF(AY$52="Par",IF(COUNTIF($AV$53:AX$53,AY$53)&gt;0,"",AY$53),"")</f>
        <v/>
      </c>
      <c r="AZ50" s="628" t="str">
        <f ca="1">IF(AZ$52="Par",IF(COUNTIF($AV$53:AY$53,AZ$53)&gt;0,"",AZ$53),"")</f>
        <v/>
      </c>
      <c r="BA50" s="628" t="str">
        <f ca="1">IF(BA$52="Par",IF(COUNTIF($AV$53:AZ$53,BA$53)&gt;0,"",BA$53),"")</f>
        <v/>
      </c>
      <c r="BB50" s="628" t="str">
        <f ca="1">IF(BB$52="Par",IF(COUNTIF($AV$53:BA$53,BB$53)&gt;0,"",BB$53),"")</f>
        <v/>
      </c>
      <c r="BC50" s="628" t="str">
        <f ca="1">IF(BC$52="Par",IF(COUNTIF($AV$53:BB$53,BC$53)&gt;0,"",BC$53),"")</f>
        <v/>
      </c>
      <c r="BD50" s="628" t="str">
        <f ca="1">IF(BD$52="Par",IF(COUNTIF($AV$53:BC$53,BD$53)&gt;0,"",BD$53),"")</f>
        <v/>
      </c>
      <c r="BE50" s="628" t="str">
        <f ca="1">IF(BE$52="Par",IF(COUNTIF($AV$53:BD$53,BE$53)&gt;0,"",BE$53),"")</f>
        <v/>
      </c>
      <c r="BF50" s="628" t="str">
        <f ca="1">IF(BF$52="Par",IF(COUNTIF($AV$53:BE$53,BF$53)&gt;0,"",BF$53),"")</f>
        <v/>
      </c>
      <c r="BG50" s="628" t="str">
        <f>IF(Personalización!AT5&lt;&gt;"",IF(COUNTIF(Combate!AV50:BF50,"?*")&gt;0,", ","")&amp;IF(Personalización!AT5="","",Personalización!AT5),"")</f>
        <v/>
      </c>
      <c r="BH50" s="530"/>
      <c r="BI50" s="530"/>
      <c r="BJ50" s="530"/>
      <c r="BK50" s="530"/>
      <c r="BL50" s="530"/>
      <c r="BM50" s="530"/>
      <c r="BN50" s="530"/>
    </row>
    <row r="51" spans="1:66" ht="12" customHeight="1">
      <c r="A51" s="9"/>
      <c r="B51" s="1049"/>
      <c r="C51" s="5504" t="str">
        <f>IF(E49=0,"",VLOOKUP(E49,Tabla_ArmasyEscudos,9,FALSE))</f>
        <v/>
      </c>
      <c r="D51" s="5505"/>
      <c r="E51" s="1596" t="s">
        <v>1435</v>
      </c>
      <c r="F51" s="5599" t="s">
        <v>1436</v>
      </c>
      <c r="G51" s="5600"/>
      <c r="H51" s="5601"/>
      <c r="I51" s="5514"/>
      <c r="J51" s="5516"/>
      <c r="K51" s="5520"/>
      <c r="L51" s="5522"/>
      <c r="M51" s="685"/>
      <c r="N51" s="5504" t="str">
        <f>IF(P49=0,"",VLOOKUP(P49,Tabla_ArmasyEscudos,9,FALSE))</f>
        <v/>
      </c>
      <c r="O51" s="5505"/>
      <c r="P51" s="1596" t="s">
        <v>1435</v>
      </c>
      <c r="Q51" s="5599" t="s">
        <v>1436</v>
      </c>
      <c r="R51" s="5600"/>
      <c r="S51" s="5601"/>
      <c r="T51" s="5514"/>
      <c r="U51" s="5516"/>
      <c r="V51" s="5520"/>
      <c r="W51" s="5522"/>
      <c r="X51" s="685"/>
      <c r="Y51" s="9"/>
      <c r="Z51" s="9"/>
      <c r="AA51" s="1022"/>
      <c r="AB51" s="5629" t="str">
        <f>IF(PDs!$E79=0,"",PDs!$E79)</f>
        <v/>
      </c>
      <c r="AC51" s="5629"/>
      <c r="AD51" s="5629"/>
      <c r="AE51" s="5629"/>
      <c r="AF51" s="5629"/>
      <c r="AG51" s="5629"/>
      <c r="AH51" s="5444" t="str">
        <f>IF($AB51="","",IF(PDs!$V79="FALTAN REQUISITOS",PDs!$V79,VLOOKUP(AB51,Tabla_AM_Armas,5,FALSE)))</f>
        <v/>
      </c>
      <c r="AI51" s="5444"/>
      <c r="AJ51" s="5444"/>
      <c r="AK51" s="5444"/>
      <c r="AL51" s="5444"/>
      <c r="AM51" s="5444"/>
      <c r="AN51" s="5444"/>
      <c r="AO51" s="5444"/>
      <c r="AP51" s="5444"/>
      <c r="AQ51" s="5444"/>
      <c r="AR51" s="1088"/>
      <c r="AS51" s="9"/>
      <c r="AT51" s="530"/>
      <c r="AU51" s="628" t="s">
        <v>8262</v>
      </c>
      <c r="AV51" s="628" t="str">
        <f>IF(AND(Resumen!$AN$29="No",C20="Desarmado"),"",L21&amp;" "&amp;$C$20&amp;" ("&amp;C23&amp;IF(N21="","",", "&amp;N21)&amp;IF(N24="",""," / "&amp;N24)&amp;")")</f>
        <v>5 Desarmado (CON)</v>
      </c>
      <c r="AW51" s="628" t="str" cm="1">
        <f t="array" aca="1" ref="AW51" ca="1">IFERROR(IF(AW$38="Torpe","",IF(COUNTIF($AV51:AV51,"")=Tablas!A$1,"",", ")&amp;AW46&amp;" "&amp;AW$30&amp;IF(AW$31&lt;=0,""," +"&amp;AW$31)&amp;" "&amp;AW36&amp;IF(AW$39="-",""," y "&amp;INDEX(Tabla_Combate,$AT$46,AW$39)&amp;" "&amp;INDEX(Tabla_Combate,1,AW$39)&amp;IF(INDEX(Tabla_Combate,2,AW$39)&lt;=0,""," +"&amp;INDEX(Tabla_Combate,2,AW$39))&amp;" "&amp;INDEX(Tabla_Combate,7,AW$39))),"")</f>
        <v/>
      </c>
      <c r="AX51" s="628" t="str" cm="1">
        <f t="array" aca="1" ref="AX51" ca="1">IFERROR(IF(AX$38="Torpe","",IF(COUNTIF($AV51:AW51,"")=Tablas!B$1,"",", ")&amp;AX46&amp;" "&amp;AX$30&amp;IF(AX$31&lt;=0,""," +"&amp;AX$31)&amp;" "&amp;AX36&amp;IF(AX$39="-",""," y "&amp;INDEX(Tabla_Combate,$AT$46,AX$39)&amp;" "&amp;INDEX(Tabla_Combate,1,AX$39)&amp;IF(INDEX(Tabla_Combate,2,AX$39)&lt;=0,""," +"&amp;INDEX(Tabla_Combate,2,AX$39))&amp;" "&amp;INDEX(Tabla_Combate,7,AX$39))),"")</f>
        <v/>
      </c>
      <c r="AY51" s="628" t="str" cm="1">
        <f t="array" aca="1" ref="AY51" ca="1">IFERROR(IF(AY$38="Torpe","",IF(COUNTIF($AV51:AX51,"")=Tablas!C$1,"",", ")&amp;AY46&amp;" "&amp;AY$30&amp;IF(AY$31&lt;=0,""," +"&amp;AY$31)&amp;" "&amp;AY36&amp;IF(AY$39="-",""," y "&amp;INDEX(Tabla_Combate,$AT$46,AY$39)&amp;" "&amp;INDEX(Tabla_Combate,1,AY$39)&amp;IF(INDEX(Tabla_Combate,2,AY$39)&lt;=0,""," +"&amp;INDEX(Tabla_Combate,2,AY$39))&amp;" "&amp;INDEX(Tabla_Combate,7,AY$39))),"")</f>
        <v/>
      </c>
      <c r="AZ51" s="628" t="str" cm="1">
        <f t="array" aca="1" ref="AZ51" ca="1">IFERROR(IF(AZ$38="Torpe","",IF(COUNTIF($AV51:AY51,"")=Tablas!D$1,"",", ")&amp;AZ46&amp;" "&amp;AZ$30&amp;IF(AZ$31&lt;=0,""," +"&amp;AZ$31)&amp;" "&amp;AZ36&amp;IF(AZ$39="-",""," y "&amp;INDEX(Tabla_Combate,$AT$46,AZ$39)&amp;" "&amp;INDEX(Tabla_Combate,1,AZ$39)&amp;IF(INDEX(Tabla_Combate,2,AZ$39)&lt;=0,""," +"&amp;INDEX(Tabla_Combate,2,AZ$39))&amp;" "&amp;INDEX(Tabla_Combate,7,AZ$39))),"")</f>
        <v/>
      </c>
      <c r="BA51" s="628" t="str" cm="1">
        <f t="array" aca="1" ref="BA51" ca="1">IFERROR(IF(BA$38="Torpe","",IF(COUNTIF($AV51:AZ51,"")=Tablas!E$1,"",", ")&amp;BA46&amp;" "&amp;BA$30&amp;IF(BA$31&lt;=0,""," +"&amp;BA$31)&amp;" "&amp;BA36&amp;IF(BA$39="-",""," y "&amp;INDEX(Tabla_Combate,$AT$46,BA$39)&amp;" "&amp;INDEX(Tabla_Combate,1,BA$39)&amp;IF(INDEX(Tabla_Combate,2,BA$39)&lt;=0,""," +"&amp;INDEX(Tabla_Combate,2,BA$39))&amp;" "&amp;INDEX(Tabla_Combate,7,BA$39))),"")</f>
        <v/>
      </c>
      <c r="BB51" s="628" t="str" cm="1">
        <f t="array" aca="1" ref="BB51" ca="1">IFERROR(IF(BB$38="Torpe","",IF(COUNTIF($AV51:BA51,"")=Tablas!F$1,"",", ")&amp;BB46&amp;" "&amp;BB$30&amp;IF(BB$31&lt;=0,""," +"&amp;BB$31)&amp;" "&amp;BB36&amp;IF(BB$39="-",""," y "&amp;INDEX(Tabla_Combate,$AT$46,BB$39)&amp;" "&amp;INDEX(Tabla_Combate,1,BB$39)&amp;IF(INDEX(Tabla_Combate,2,BB$39)&lt;=0,""," +"&amp;INDEX(Tabla_Combate,2,BB$39))&amp;" "&amp;INDEX(Tabla_Combate,7,BB$39))),"")</f>
        <v/>
      </c>
      <c r="BC51" s="628" t="str" cm="1">
        <f t="array" aca="1" ref="BC51" ca="1">IFERROR(IF(BC$38="Torpe","",IF(COUNTIF($AV51:BB51,"")=Tablas!G$1,"",", ")&amp;BC46&amp;" "&amp;BC$30&amp;IF(BC$31&lt;=0,""," +"&amp;BC$31)&amp;" "&amp;BC36&amp;IF(BC$39="-",""," y "&amp;INDEX(Tabla_Combate,$AT$46,BC$39)&amp;" "&amp;INDEX(Tabla_Combate,1,BC$39)&amp;IF(INDEX(Tabla_Combate,2,BC$39)&lt;=0,""," +"&amp;INDEX(Tabla_Combate,2,BC$39))&amp;" "&amp;INDEX(Tabla_Combate,7,BC$39))),"")</f>
        <v/>
      </c>
      <c r="BD51" s="628" t="str" cm="1">
        <f t="array" aca="1" ref="BD51" ca="1">IFERROR(IF(BD$38="Torpe","",IF(COUNTIF($AV51:BC51,"")=Tablas!H$1,"",", ")&amp;BD46&amp;" "&amp;BD$30&amp;IF(BD$31&lt;=0,""," +"&amp;BD$31)&amp;" "&amp;BD36&amp;IF(BD$39="-",""," y "&amp;INDEX(Tabla_Combate,$AT$46,BD$39)&amp;" "&amp;INDEX(Tabla_Combate,1,BD$39)&amp;IF(INDEX(Tabla_Combate,2,BD$39)&lt;=0,""," +"&amp;INDEX(Tabla_Combate,2,BD$39))&amp;" "&amp;INDEX(Tabla_Combate,7,BD$39))),"")</f>
        <v/>
      </c>
      <c r="BE51" s="628" t="str" cm="1">
        <f t="array" aca="1" ref="BE51" ca="1">IFERROR(IF(BE$38="Torpe","",IF(COUNTIF($AV51:BD51,"")=Tablas!I$1,"",", ")&amp;BE46&amp;" "&amp;BE$30&amp;IF(BE$31&lt;=0,""," +"&amp;BE$31)&amp;" "&amp;BE36&amp;IF(BE$39="-",""," y "&amp;INDEX(Tabla_Combate,$AT$46,BE$39)&amp;" "&amp;INDEX(Tabla_Combate,1,BE$39)&amp;IF(INDEX(Tabla_Combate,2,BE$39)&lt;=0,""," +"&amp;INDEX(Tabla_Combate,2,BE$39))&amp;" "&amp;INDEX(Tabla_Combate,7,BE$39))),"")</f>
        <v/>
      </c>
      <c r="BF51" s="628" t="str" cm="1">
        <f t="array" aca="1" ref="BF51" ca="1">IFERROR(IF(BF$38="Torpe","",IF(COUNTIF($AV51:BE51,"")=Tablas!J$1,"",", ")&amp;BF46&amp;" "&amp;BF$30&amp;IF(BF$31&lt;=0,""," +"&amp;BF$31)&amp;" "&amp;BF36&amp;IF(BF$39="-",""," y "&amp;INDEX(Tabla_Combate,$AT$46,BF$39)&amp;" "&amp;INDEX(Tabla_Combate,1,BF$39)&amp;IF(INDEX(Tabla_Combate,2,BF$39)&lt;=0,""," +"&amp;INDEX(Tabla_Combate,2,BF$39))&amp;" "&amp;INDEX(Tabla_Combate,7,BF$39))),"")</f>
        <v/>
      </c>
      <c r="BG51" s="628" t="str">
        <f>IF(Personalización!AT6&lt;&gt;"",IF(COUNTIF(Combate!AV51:BF51,"?*")&gt;0,", ","")&amp;IF(Personalización!AT6="","",Personalización!AT6),"")</f>
        <v/>
      </c>
      <c r="BH51" s="530"/>
      <c r="BI51" s="530"/>
      <c r="BJ51" s="530"/>
      <c r="BK51" s="530"/>
      <c r="BL51" s="530"/>
      <c r="BM51" s="530"/>
      <c r="BN51" s="530"/>
    </row>
    <row r="52" spans="1:66" ht="12" customHeight="1" thickBot="1">
      <c r="A52" s="9"/>
      <c r="B52" s="1049"/>
      <c r="C52" s="1277" t="s">
        <v>1427</v>
      </c>
      <c r="D52" s="1278" t="s">
        <v>1428</v>
      </c>
      <c r="E52" s="1278" t="s">
        <v>1416</v>
      </c>
      <c r="F52" s="1278" t="s">
        <v>1429</v>
      </c>
      <c r="G52" s="261" t="s">
        <v>1417</v>
      </c>
      <c r="H52" s="5613" t="s">
        <v>8224</v>
      </c>
      <c r="I52" s="5614"/>
      <c r="J52" s="1366"/>
      <c r="K52" s="5630" t="str">
        <f>IF(Tablas!$G$512&gt;0,"-50 a puntería","")</f>
        <v/>
      </c>
      <c r="L52" s="5631"/>
      <c r="M52" s="685"/>
      <c r="N52" s="1277" t="s">
        <v>1427</v>
      </c>
      <c r="O52" s="1278" t="s">
        <v>1428</v>
      </c>
      <c r="P52" s="1278" t="s">
        <v>1416</v>
      </c>
      <c r="Q52" s="1278" t="s">
        <v>1429</v>
      </c>
      <c r="R52" s="261" t="s">
        <v>1417</v>
      </c>
      <c r="S52" s="5613" t="s">
        <v>8224</v>
      </c>
      <c r="T52" s="5614"/>
      <c r="U52" s="1366"/>
      <c r="V52" s="5630" t="str">
        <f>IF(Tablas!$G$512&gt;0,"-50 a puntería","")</f>
        <v/>
      </c>
      <c r="W52" s="5631"/>
      <c r="X52" s="685"/>
      <c r="Y52" s="9"/>
      <c r="Z52" s="9"/>
      <c r="AA52" s="1022"/>
      <c r="AB52" s="5627" t="str">
        <f>IF(PDs!$E80=0,"",PDs!$E80)</f>
        <v/>
      </c>
      <c r="AC52" s="5627"/>
      <c r="AD52" s="5627"/>
      <c r="AE52" s="5627"/>
      <c r="AF52" s="5627"/>
      <c r="AG52" s="5627"/>
      <c r="AH52" s="5508" t="str">
        <f>IF($AB52="","",IF(PDs!$V80="FALTAN REQUISITOS",PDs!$V80,VLOOKUP(AB52,Tabla_AM_Armas,5,FALSE)))</f>
        <v/>
      </c>
      <c r="AI52" s="5508"/>
      <c r="AJ52" s="5508"/>
      <c r="AK52" s="5508"/>
      <c r="AL52" s="5508"/>
      <c r="AM52" s="5508"/>
      <c r="AN52" s="5508"/>
      <c r="AO52" s="5508"/>
      <c r="AP52" s="5508"/>
      <c r="AQ52" s="5508"/>
      <c r="AR52" s="1088"/>
      <c r="AS52" s="9"/>
      <c r="AT52" s="530"/>
      <c r="AU52" s="628" t="s">
        <v>9616</v>
      </c>
      <c r="AV52" s="628" t="str">
        <f>Par_Esq</f>
        <v>Esq</v>
      </c>
      <c r="AW52" s="628" t="str">
        <f ca="1">$K$29</f>
        <v>-</v>
      </c>
      <c r="AX52" s="628" t="str">
        <f ca="1">$V$29</f>
        <v>-</v>
      </c>
      <c r="AY52" s="628" t="str">
        <f ca="1">$K$36</f>
        <v>-</v>
      </c>
      <c r="AZ52" s="628" t="str">
        <f ca="1">$V$36</f>
        <v>-</v>
      </c>
      <c r="BA52" s="628" t="str">
        <f ca="1">$K$43</f>
        <v>-</v>
      </c>
      <c r="BB52" s="628" t="str">
        <f ca="1">$V$43</f>
        <v>-</v>
      </c>
      <c r="BC52" s="628" t="str">
        <f ca="1">$K$50</f>
        <v>-</v>
      </c>
      <c r="BD52" s="628" t="str">
        <f ca="1">$V$50</f>
        <v>-</v>
      </c>
      <c r="BE52" s="628" t="str">
        <f ca="1">$K$59</f>
        <v>-</v>
      </c>
      <c r="BF52" s="628" t="str">
        <f ca="1">$V$59</f>
        <v>-</v>
      </c>
      <c r="BH52" s="530"/>
      <c r="BI52" s="530"/>
      <c r="BJ52" s="530"/>
      <c r="BK52" s="530"/>
      <c r="BL52" s="530"/>
      <c r="BM52" s="530"/>
      <c r="BN52" s="530"/>
    </row>
    <row r="53" spans="1:66" ht="12" customHeight="1" thickBot="1">
      <c r="A53" s="9"/>
      <c r="B53" s="1362"/>
      <c r="C53" s="959" t="str">
        <f>IF(E50=0,"",VLOOKUP(E50,Tabla_ArmasyEscudos,6,FALSE))</f>
        <v/>
      </c>
      <c r="D53" s="462" t="str">
        <f>IF(E50=0,"",VLOOKUP(E50,Tabla_ArmasyEscudos,7,FALSE))</f>
        <v/>
      </c>
      <c r="E53" s="159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598" t="str">
        <f>IF(E50=0,"",IF(Extensióndelauraalarma,5,0)+J53*2/5+VLOOKUP(E50,Tabla_ArmasyEscudos,11,FALSE)+IF(F51=0,0,VLOOKUP(F51,Tabla_ArmasEnormes,7,FALSE))+IFERROR(VLOOKUP(IF(F56=0,FUE,F56+TRUNC(J52/5,0)),Tabla_Fuerza,2),0)+IF(Ojos_de_la_Muerte,5,0))</f>
        <v/>
      </c>
      <c r="G53" s="1599" t="str">
        <f>IFERROR(IF(E49=0,"",MAX(J52*10,0)+VLOOKUP(E49,Tabla_ArmasyEscudos,12,FALSE)),"-")&amp;IF(OR(E50=0,E49="Armas naturales"),"","/"&amp;IFERROR(MAX(J53*10,0)+VLOOKUP(E50,Tabla_ArmasyEscudos,12,FALSE),"-"))</f>
        <v/>
      </c>
      <c r="H53" s="5632" t="s">
        <v>8238</v>
      </c>
      <c r="I53" s="5633"/>
      <c r="J53" s="1365"/>
      <c r="K53" s="5634" t="str">
        <f>IF(F51=0,IF(J53&lt;=0,"","TA defensor: -"&amp;J53/5),IF(Tamaño&lt;VLOOKUP(F51,Tabla_ArmasEnormes,2,FALSE),"Tam. excesivo",IF(J53&lt;=0,"","TA defensor: -"&amp;J53/5)))</f>
        <v/>
      </c>
      <c r="L53" s="5635"/>
      <c r="M53" s="685"/>
      <c r="N53" s="959" t="str">
        <f>IF(P50=0,"",VLOOKUP(P50,Tabla_ArmasyEscudos,6,FALSE))</f>
        <v/>
      </c>
      <c r="O53" s="462" t="str">
        <f>IF(P50=0,"",VLOOKUP(P50,Tabla_ArmasyEscudos,7,FALSE))</f>
        <v/>
      </c>
      <c r="P53" s="159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598" t="str">
        <f>IF(P50=0,"",IF(Extensióndelauraalarma,5,0)+U53*2/5+VLOOKUP(P50,Tabla_ArmasyEscudos,11,FALSE)+IF(Q51=0,0,VLOOKUP(Q51,Tabla_ArmasEnormes,7,FALSE))+IFERROR(VLOOKUP(IF(Q56=0,FUE,Q56+TRUNC(U52/5,0)),Tabla_Fuerza,2),0)+IF(Ojos_de_la_Muerte,5,0))</f>
        <v/>
      </c>
      <c r="R53" s="1599" t="str">
        <f>IFERROR(IF(P49=0,"",MAX(U52*10,0)+VLOOKUP(P49,Tabla_ArmasyEscudos,12,FALSE)),"-")&amp;IF(OR(P50=0,P49="Armas naturales"),"","/"&amp;IFERROR(MAX(U53*10,0)+VLOOKUP(P50,Tabla_ArmasyEscudos,12,FALSE),"-"))</f>
        <v/>
      </c>
      <c r="S53" s="5632" t="s">
        <v>8238</v>
      </c>
      <c r="T53" s="5633"/>
      <c r="U53" s="1365"/>
      <c r="V53" s="5634" t="str">
        <f>IF(Q51=0,IF(U53&lt;=0,"","TA defensor: -"&amp;U53/5),IF(Tamaño&lt;VLOOKUP(Q51,Tabla_ArmasEnormes,2,FALSE),"Tam. excesivo",IF(U53&lt;=0,"","TA defensor: -"&amp;U53/5)))</f>
        <v/>
      </c>
      <c r="W53" s="5635"/>
      <c r="X53" s="685"/>
      <c r="Y53" s="9"/>
      <c r="Z53" s="9"/>
      <c r="AA53" s="1022"/>
      <c r="AM53" s="21"/>
      <c r="AN53" s="21"/>
      <c r="AO53" s="21"/>
      <c r="AP53" s="21"/>
      <c r="AQ53" s="21"/>
      <c r="AR53" s="1088"/>
      <c r="AS53" s="9"/>
      <c r="AT53" s="530"/>
      <c r="AU53" s="628" t="s">
        <v>9617</v>
      </c>
      <c r="AV53" s="628" t="str">
        <f>IF(AND(Resumen!$AN$29="No",C20="Desarmado"),"",HD_SinArmas_final&amp;" "&amp;IF(C20="Artes Marciales","Artes Marciales (Parada)","Desarmado (Parada)"))</f>
        <v>0 Desarmado (Parada)</v>
      </c>
      <c r="AW53" s="628" t="str" cm="1">
        <f t="array" aca="1" ref="AW53" ca="1">IFERROR(IF(AW$38="Torpe","",IF(COUNTIF($AV49:AV49,"")=Tablas!A$1,"",", ")&amp;AW43&amp;" "&amp;AW$30&amp;IF(AW$31&lt;=0,""," +"&amp;AW$31)&amp;IF(AW$39="-",""," y "&amp;INDEX(Tabla_Combate,$AT$43,AW$39)&amp;" "&amp;INDEX(Tabla_Combate,1,AW$39)&amp;IF(INDEX(Tabla_Combate,2,AW$39)&lt;=0,""," +"&amp;INDEX(Tabla_Combate,2,AW$39)))),"")</f>
        <v/>
      </c>
      <c r="AX53" s="628" t="str" cm="1">
        <f t="array" aca="1" ref="AX53" ca="1">IFERROR(IF(AX$38="Torpe","",IF(COUNTIF($AV49:AW49,"")=Tablas!B$1,"",", ")&amp;AX43&amp;" "&amp;AX$30&amp;IF(AX$31&lt;=0,""," +"&amp;AX$31)&amp;IF(AX$39="-",""," y "&amp;INDEX(Tabla_Combate,$AT$43,AX$39)&amp;" "&amp;INDEX(Tabla_Combate,1,AX$39)&amp;IF(INDEX(Tabla_Combate,2,AX$39)&lt;=0,""," +"&amp;INDEX(Tabla_Combate,2,AX$39)))),"")</f>
        <v/>
      </c>
      <c r="AY53" s="628" t="str" cm="1">
        <f t="array" aca="1" ref="AY53" ca="1">IFERROR(IF(AY$38="Torpe","",IF(COUNTIF($AV49:AX49,"")=Tablas!C$1,"",", ")&amp;AY43&amp;" "&amp;AY$30&amp;IF(AY$31&lt;=0,""," +"&amp;AY$31)&amp;IF(AY$39="-",""," y "&amp;INDEX(Tabla_Combate,$AT$43,AY$39)&amp;" "&amp;INDEX(Tabla_Combate,1,AY$39)&amp;IF(INDEX(Tabla_Combate,2,AY$39)&lt;=0,""," +"&amp;INDEX(Tabla_Combate,2,AY$39)))),"")</f>
        <v/>
      </c>
      <c r="AZ53" s="628" t="str" cm="1">
        <f t="array" aca="1" ref="AZ53" ca="1">IFERROR(IF(AZ$38="Torpe","",IF(COUNTIF($AV49:AY49,"")=Tablas!D$1,"",", ")&amp;AZ43&amp;" "&amp;AZ$30&amp;IF(AZ$31&lt;=0,""," +"&amp;AZ$31)&amp;IF(AZ$39="-",""," y "&amp;INDEX(Tabla_Combate,$AT$43,AZ$39)&amp;" "&amp;INDEX(Tabla_Combate,1,AZ$39)&amp;IF(INDEX(Tabla_Combate,2,AZ$39)&lt;=0,""," +"&amp;INDEX(Tabla_Combate,2,AZ$39)))),"")</f>
        <v/>
      </c>
      <c r="BA53" s="628" t="str" cm="1">
        <f t="array" aca="1" ref="BA53" ca="1">IFERROR(IF(BA$38="Torpe","",IF(COUNTIF($AV49:AZ49,"")=Tablas!E$1,"",", ")&amp;BA43&amp;" "&amp;BA$30&amp;IF(BA$31&lt;=0,""," +"&amp;BA$31)&amp;IF(BA$39="-",""," y "&amp;INDEX(Tabla_Combate,$AT$43,BA$39)&amp;" "&amp;INDEX(Tabla_Combate,1,BA$39)&amp;IF(INDEX(Tabla_Combate,2,BA$39)&lt;=0,""," +"&amp;INDEX(Tabla_Combate,2,BA$39)))),"")</f>
        <v/>
      </c>
      <c r="BB53" s="628" t="str" cm="1">
        <f t="array" aca="1" ref="BB53" ca="1">IFERROR(IF(BB$38="Torpe","",IF(COUNTIF($AV49:BA49,"")=Tablas!F$1,"",", ")&amp;BB43&amp;" "&amp;BB$30&amp;IF(BB$31&lt;=0,""," +"&amp;BB$31)&amp;IF(BB$39="-",""," y "&amp;INDEX(Tabla_Combate,$AT$43,BB$39)&amp;" "&amp;INDEX(Tabla_Combate,1,BB$39)&amp;IF(INDEX(Tabla_Combate,2,BB$39)&lt;=0,""," +"&amp;INDEX(Tabla_Combate,2,BB$39)))),"")</f>
        <v/>
      </c>
      <c r="BC53" s="628" t="str" cm="1">
        <f t="array" aca="1" ref="BC53" ca="1">IFERROR(IF(BC$38="Torpe","",IF(COUNTIF($AV49:BB49,"")=Tablas!G$1,"",", ")&amp;BC43&amp;" "&amp;BC$30&amp;IF(BC$31&lt;=0,""," +"&amp;BC$31)&amp;IF(BC$39="-",""," y "&amp;INDEX(Tabla_Combate,$AT$43,BC$39)&amp;" "&amp;INDEX(Tabla_Combate,1,BC$39)&amp;IF(INDEX(Tabla_Combate,2,BC$39)&lt;=0,""," +"&amp;INDEX(Tabla_Combate,2,BC$39)))),"")</f>
        <v/>
      </c>
      <c r="BD53" s="628" t="str" cm="1">
        <f t="array" aca="1" ref="BD53" ca="1">IFERROR(IF(BD$38="Torpe","",IF(COUNTIF($AV49:BC49,"")=Tablas!H$1,"",", ")&amp;BD43&amp;" "&amp;BD$30&amp;IF(BD$31&lt;=0,""," +"&amp;BD$31)&amp;IF(BD$39="-",""," y "&amp;INDEX(Tabla_Combate,$AT$43,BD$39)&amp;" "&amp;INDEX(Tabla_Combate,1,BD$39)&amp;IF(INDEX(Tabla_Combate,2,BD$39)&lt;=0,""," +"&amp;INDEX(Tabla_Combate,2,BD$39)))),"")</f>
        <v/>
      </c>
      <c r="BE53" s="628" t="str" cm="1">
        <f t="array" aca="1" ref="BE53" ca="1">IFERROR(IF(BE$38="Torpe","",IF(COUNTIF($AV49:BD49,"")=Tablas!I$1,"",", ")&amp;BE43&amp;" "&amp;BE$30&amp;IF(BE$31&lt;=0,""," +"&amp;BE$31)&amp;IF(BE$39="-",""," y "&amp;INDEX(Tabla_Combate,$AT$43,BE$39)&amp;" "&amp;INDEX(Tabla_Combate,1,BE$39)&amp;IF(INDEX(Tabla_Combate,2,BE$39)&lt;=0,""," +"&amp;INDEX(Tabla_Combate,2,BE$39)))),"")</f>
        <v/>
      </c>
      <c r="BF53" s="628" t="str" cm="1">
        <f t="array" aca="1" ref="BF53" ca="1">IFERROR(IF(BF$38="Torpe","",IF(COUNTIF($AV49:BE49,"")=Tablas!J$1,"",", ")&amp;BF43&amp;" "&amp;BF$30&amp;IF(BF$31&lt;=0,""," +"&amp;BF$31)&amp;IF(BF$39="-",""," y "&amp;INDEX(Tabla_Combate,$AT$43,BF$39)&amp;" "&amp;INDEX(Tabla_Combate,1,BF$39)&amp;IF(INDEX(Tabla_Combate,2,BF$39)&lt;=0,""," +"&amp;INDEX(Tabla_Combate,2,BF$39)))),"")</f>
        <v/>
      </c>
      <c r="BH53" s="530"/>
      <c r="BI53" s="530"/>
      <c r="BJ53" s="530"/>
      <c r="BK53" s="530"/>
      <c r="BL53" s="530"/>
      <c r="BM53" s="530"/>
      <c r="BN53" s="530"/>
    </row>
    <row r="54" spans="1:66" ht="12" customHeight="1" thickBot="1">
      <c r="A54" s="9"/>
      <c r="B54" s="1049"/>
      <c r="C54" s="1277" t="s">
        <v>1440</v>
      </c>
      <c r="D54" s="1576" t="s">
        <v>1441</v>
      </c>
      <c r="E54" s="5640" t="str">
        <f>IF(E49=0,"",IF(E49="Armas naturales",D56,C56))</f>
        <v/>
      </c>
      <c r="F54" s="5641"/>
      <c r="G54" s="5641"/>
      <c r="H54" s="5641"/>
      <c r="I54" s="5641"/>
      <c r="J54" s="5642"/>
      <c r="K54" s="5615" t="str">
        <f ca="1">IFERROR("Turno base: "&amp;VLOOKUP(E49,Tabla_ArmasyEscudos,3,FALSE)+IF(Tamaño&lt;VLOOKUP(F51,Tabla_ArmasEnormes,3,FALSE),IF(OR(F51="Enorme",F51="Gigante"),-40,0),0),"")</f>
        <v/>
      </c>
      <c r="L54" s="5616"/>
      <c r="M54" s="685"/>
      <c r="N54" s="1277" t="s">
        <v>1440</v>
      </c>
      <c r="O54" s="1576" t="s">
        <v>1441</v>
      </c>
      <c r="P54" s="5640" t="str">
        <f>IF(P49=0,"",IF(P49="Armas naturales",O56,N56))</f>
        <v/>
      </c>
      <c r="Q54" s="5641"/>
      <c r="R54" s="5641"/>
      <c r="S54" s="5641"/>
      <c r="T54" s="5641"/>
      <c r="U54" s="5642"/>
      <c r="V54" s="5615" t="str">
        <f ca="1">IFERROR("Turno base: "&amp;VLOOKUP(P49,Tabla_ArmasyEscudos,3,FALSE)+IF(Tamaño&lt;VLOOKUP(Q51,Tabla_ArmasEnormes,3,FALSE),IF(OR(Q51="Enorme",Q51="Gigante"),-40,0),0),"")</f>
        <v/>
      </c>
      <c r="W54" s="5616"/>
      <c r="X54" s="1088"/>
      <c r="Y54" s="9"/>
      <c r="Z54" s="9"/>
      <c r="AA54" s="1022"/>
      <c r="AB54" s="4372" t="s">
        <v>1364</v>
      </c>
      <c r="AC54" s="4372"/>
      <c r="AD54" s="4372"/>
      <c r="AE54" s="4372"/>
      <c r="AF54" s="4372"/>
      <c r="AG54" s="4372"/>
      <c r="AH54" s="5447" t="s">
        <v>1408</v>
      </c>
      <c r="AI54" s="5447"/>
      <c r="AJ54" s="5447"/>
      <c r="AK54" s="5447"/>
      <c r="AL54" s="5447"/>
      <c r="AM54" s="5447"/>
      <c r="AN54" s="5447"/>
      <c r="AO54" s="5447"/>
      <c r="AP54" s="5447"/>
      <c r="AQ54" s="5447"/>
      <c r="AR54" s="1088"/>
      <c r="AS54" s="9"/>
      <c r="AT54" s="530"/>
      <c r="AU54" s="628" t="s">
        <v>9618</v>
      </c>
      <c r="AV54" s="628" t="str">
        <f>HE_final&amp;" Esquiva"&amp;IF(HE_SinArmas_final=HE_final,""," ("&amp;HE_SinArmas_final&amp;IF(C20="Artes Marciales"," con Artes Marciales"," Desarmado")&amp;")")</f>
        <v>0 Esquiva</v>
      </c>
      <c r="AW54" s="628" t="str">
        <f t="array" aca="1" ref="AW54" ca="1">IFERROR(IF(AW$44=HE_final,"",IF(SUMPRODUCT(--(ISNUMBER(SEARCH("(",$AV$54:AV$54))))=0," (",", ")&amp;AW$44&amp;" con "&amp;AW$30&amp;IF(AW$31&lt;=0,""," +"&amp;AW$31)),"")</f>
        <v/>
      </c>
      <c r="AX54" s="628" t="str">
        <f t="array" aca="1" ref="AX54" ca="1">IFERROR(IF(AX$44=HE_final,"",IF(SUMPRODUCT(--(ISNUMBER(SEARCH("(",$AV$54:AW$54))))=0," (",", ")&amp;AX$44&amp;" con "&amp;AX$30&amp;IF(AX$31&lt;=0,""," +"&amp;AX$31)),"")</f>
        <v/>
      </c>
      <c r="AY54" s="628" t="str">
        <f t="array" aca="1" ref="AY54" ca="1">IFERROR(IF(AY$44=HE_final,"",IF(SUMPRODUCT(--(ISNUMBER(SEARCH("(",$AV$54:AX$54))))=0," (",", ")&amp;AY$44&amp;" con "&amp;AY$30&amp;IF(AY$31&lt;=0,""," +"&amp;AY$31)),"")</f>
        <v/>
      </c>
      <c r="AZ54" s="628" t="str">
        <f t="array" aca="1" ref="AZ54" ca="1">IFERROR(IF(AZ$44=HE_final,"",IF(SUMPRODUCT(--(ISNUMBER(SEARCH("(",$AV$54:AY$54))))=0," (",", ")&amp;AZ$44&amp;" con "&amp;AZ$30&amp;IF(AZ$31&lt;=0,""," +"&amp;AZ$31)),"")</f>
        <v/>
      </c>
      <c r="BA54" s="628" t="str">
        <f t="array" aca="1" ref="BA54" ca="1">IFERROR(IF(BA$44=HE_final,"",IF(SUMPRODUCT(--(ISNUMBER(SEARCH("(",$AV$54:AZ$54))))=0," (",", ")&amp;BA$44&amp;" con "&amp;BA$30&amp;IF(BA$31&lt;=0,""," +"&amp;BA$31)),"")</f>
        <v/>
      </c>
      <c r="BB54" s="628" t="str">
        <f t="array" aca="1" ref="BB54" ca="1">IFERROR(IF(BB$44=HE_final,"",IF(SUMPRODUCT(--(ISNUMBER(SEARCH("(",$AV$54:BA$54))))=0," (",", ")&amp;BB$44&amp;" con "&amp;BB$30&amp;IF(BB$31&lt;=0,""," +"&amp;BB$31)),"")</f>
        <v/>
      </c>
      <c r="BC54" s="628" t="str">
        <f t="array" aca="1" ref="BC54" ca="1">IFERROR(IF(BC$44=HE_final,"",IF(SUMPRODUCT(--(ISNUMBER(SEARCH("(",$AV$54:BB$54))))=0," (",", ")&amp;BC$44&amp;" con "&amp;BC$30&amp;IF(BC$31&lt;=0,""," +"&amp;BC$31)),"")</f>
        <v/>
      </c>
      <c r="BD54" s="628" t="str">
        <f t="array" aca="1" ref="BD54" ca="1">IFERROR(IF(BD$44=HE_final,"",IF(SUMPRODUCT(--(ISNUMBER(SEARCH("(",$AV$54:BC$54))))=0," (",", ")&amp;BD$44&amp;" con "&amp;BD$30&amp;IF(BD$31&lt;=0,""," +"&amp;BD$31)),"")</f>
        <v/>
      </c>
      <c r="BE54" s="628" t="str">
        <f t="array" aca="1" ref="BE54" ca="1">IFERROR(IF(BE$44=HE_final,"",IF(SUMPRODUCT(--(ISNUMBER(SEARCH("(",$AV$54:BD$54))))=0," (",", ")&amp;BE$44&amp;" con "&amp;BE$30&amp;IF(BE$31&lt;=0,""," +"&amp;BE$31)),"")</f>
        <v/>
      </c>
      <c r="BF54" s="628" t="str">
        <f t="array" aca="1" ref="BF54" ca="1">IFERROR(IF(BF$44=HE_final,"",IF(SUMPRODUCT(--(ISNUMBER(SEARCH("(",$AV$54:BE$54))))=0," (",", ")&amp;BF$44&amp;" con "&amp;BF$30&amp;IF(BF$31&lt;=0,""," +"&amp;BF$31)),"")</f>
        <v/>
      </c>
      <c r="BH54" s="530"/>
      <c r="BI54" s="530"/>
      <c r="BJ54" s="530"/>
      <c r="BK54" s="530"/>
      <c r="BL54" s="530"/>
      <c r="BM54" s="530"/>
      <c r="BN54" s="530"/>
    </row>
    <row r="55" spans="1:66" ht="12" customHeight="1" thickBot="1">
      <c r="A55" s="9"/>
      <c r="B55" s="1049"/>
      <c r="C55" s="1358" t="str">
        <f>IF(E49=0,"",MAX(VLOOKUP(E49,Tabla_ArmasyEscudos,17,FALSE)+IF(F56=0,IF(FUE&lt;3,-30,VLOOKUP(MIN(IF(Zen_IP,20,IF(Inhumanidad_IP,13,10)),E56,FUE),Tabla_AlcanceFUE,2)),VLOOKUP(MIN(E56,F56+TRUNC(J52/5,0)),Tabla_AlcanceFUE,2)),0)*IF(AlcanceIncrementado,2,1))</f>
        <v/>
      </c>
      <c r="D55" s="1359" t="str">
        <f>IF(E49=0,"",VLOOKUP(E49,Tabla_ArmasyEscudos,16,FALSE))</f>
        <v/>
      </c>
      <c r="E55" s="5643" t="str">
        <f>IF(E50=0,"",VLOOKUP(E50,Tabla_ArmasyEscudos,19,FALSE))</f>
        <v/>
      </c>
      <c r="F55" s="5644"/>
      <c r="G55" s="5644"/>
      <c r="H55" s="5644"/>
      <c r="I55" s="5644"/>
      <c r="J55" s="5645"/>
      <c r="K55" s="5619" t="str">
        <f ca="1">IFERROR("FUE min: "&amp;VLOOKUP(E49,Tabla_ArmasyEscudos,IF(C49="A dos manos",5,4),FALSE)+IFERROR(VLOOKUP(F51,Tabla_ArmasEnormes,4,FALSE),0),"")</f>
        <v/>
      </c>
      <c r="L55" s="5620"/>
      <c r="M55" s="1088"/>
      <c r="N55" s="1358" t="str">
        <f>IF(P49=0,"",MAX(VLOOKUP(P49,Tabla_ArmasyEscudos,17,FALSE)+IF(Q56=0,IF(FUE&lt;3,-30,VLOOKUP(MIN(IF(Zen_IP,20,IF(Inhumanidad_IP,13,10)),P56,FUE),Tabla_AlcanceFUE,2)),VLOOKUP(MIN(P56,Q56+TRUNC(U52/5,0)),Tabla_AlcanceFUE,2)),0)*IF(AlcanceIncrementado,2,1))</f>
        <v/>
      </c>
      <c r="O55" s="1359" t="str">
        <f>IF(P49=0,"",VLOOKUP(P49,Tabla_ArmasyEscudos,16,FALSE))</f>
        <v/>
      </c>
      <c r="P55" s="5643" t="str">
        <f>IF(P50=0,"",VLOOKUP(P50,Tabla_ArmasyEscudos,19,FALSE))</f>
        <v/>
      </c>
      <c r="Q55" s="5644"/>
      <c r="R55" s="5644"/>
      <c r="S55" s="5644"/>
      <c r="T55" s="5644"/>
      <c r="U55" s="5645"/>
      <c r="V55" s="5619" t="str">
        <f ca="1">IFERROR("FUE min: "&amp;VLOOKUP(P49,Tabla_ArmasyEscudos,IF(N49="A dos manos",5,4),FALSE)+IFERROR(VLOOKUP(Q51,Tabla_ArmasEnormes,4,FALSE),0),"")</f>
        <v/>
      </c>
      <c r="W55" s="5620"/>
      <c r="X55" s="685"/>
      <c r="Y55" s="9"/>
      <c r="Z55" s="9"/>
      <c r="AA55" s="1022"/>
      <c r="AB55" s="5448" t="str">
        <f>IF(PDs!E81=0,"",PDs!E81)</f>
        <v/>
      </c>
      <c r="AC55" s="5449"/>
      <c r="AD55" s="5449"/>
      <c r="AE55" s="5449"/>
      <c r="AF55" s="5449"/>
      <c r="AG55" s="5450"/>
      <c r="AH55" s="5426" t="str">
        <f>IF(AB55="","",VLOOKUP(AB55,Tabla_ArsMagnus,6,FALSE))</f>
        <v/>
      </c>
      <c r="AI55" s="5427"/>
      <c r="AJ55" s="5427"/>
      <c r="AK55" s="5427"/>
      <c r="AL55" s="5427"/>
      <c r="AM55" s="5427"/>
      <c r="AN55" s="5427"/>
      <c r="AO55" s="5427"/>
      <c r="AP55" s="5427"/>
      <c r="AQ55" s="5428"/>
      <c r="AR55" s="1088"/>
      <c r="AS55" s="9"/>
      <c r="AT55" s="530"/>
      <c r="BH55" s="530"/>
      <c r="BI55" s="530"/>
      <c r="BJ55" s="530"/>
      <c r="BK55" s="530"/>
      <c r="BL55" s="530"/>
      <c r="BM55" s="530"/>
      <c r="BN55" s="530"/>
    </row>
    <row r="56" spans="1:66" ht="12" customHeight="1" thickBot="1">
      <c r="A56" s="9"/>
      <c r="B56" s="1049"/>
      <c r="C56" s="530" t="e">
        <f ca="1">VLOOKUP(E49,Tabla_ArmasyEscudos,19,FALSE)</f>
        <v>#N/A</v>
      </c>
      <c r="D56" s="530" t="str">
        <f>IF(Tablas!$R$1788&gt;0,C56,"Armas naturales a distancia no disponibles")</f>
        <v>Armas naturales a distancia no disponibles</v>
      </c>
      <c r="E56" s="530">
        <f>IF(J52&lt;0,10,IF(J52&gt;20,20,INDEX(Tablas!$L$23:$L$33,MATCH(J52,Tablas!$N$23:$N$33,0))))</f>
        <v>10</v>
      </c>
      <c r="F56" s="530" t="e" cm="1">
        <f t="array" aca="1" ref="F56" ca="1">INDEX($AW$45:$BF$45,1,SUBSTITUTE(C48,".",""))</f>
        <v>#N/A</v>
      </c>
      <c r="G56" s="530"/>
      <c r="M56" s="530"/>
      <c r="N56" s="530" t="e">
        <f ca="1">VLOOKUP(P49,Tabla_ArmasyEscudos,19,FALSE)</f>
        <v>#N/A</v>
      </c>
      <c r="O56" s="530" t="str">
        <f>IF(Tablas!$R$1788&gt;0,N56,"Armas naturales a distancia no disponibles")</f>
        <v>Armas naturales a distancia no disponibles</v>
      </c>
      <c r="P56" s="530">
        <f>IF(U52&lt;0,10,IF(U52&gt;20,20,INDEX(Tablas!$L$23:$L$33,MATCH(U52,Tablas!$N$23:$N$33,0))))</f>
        <v>10</v>
      </c>
      <c r="Q56" s="530" t="e" cm="1">
        <f t="array" aca="1" ref="Q56" ca="1">INDEX($AW$45:$BF$45,1,SUBSTITUTE(N48,".",""))</f>
        <v>#N/A</v>
      </c>
      <c r="X56" s="685"/>
      <c r="Y56" s="9"/>
      <c r="Z56" s="9"/>
      <c r="AA56" s="1022"/>
      <c r="AB56" s="5430"/>
      <c r="AC56" s="5431"/>
      <c r="AD56" s="5431"/>
      <c r="AE56" s="5431"/>
      <c r="AF56" s="5431"/>
      <c r="AG56" s="5432"/>
      <c r="AH56" s="4446"/>
      <c r="AI56" s="4447"/>
      <c r="AJ56" s="4447"/>
      <c r="AK56" s="4447"/>
      <c r="AL56" s="4447"/>
      <c r="AM56" s="4447"/>
      <c r="AN56" s="4447"/>
      <c r="AO56" s="4447"/>
      <c r="AP56" s="4447"/>
      <c r="AQ56" s="5429"/>
      <c r="AR56" s="1088"/>
      <c r="AS56" s="9"/>
      <c r="AT56" s="530"/>
      <c r="AU56" s="530" t="s">
        <v>8056</v>
      </c>
      <c r="AV56" s="826"/>
      <c r="AW56" s="826"/>
      <c r="AX56" s="826"/>
      <c r="AY56" s="3715"/>
      <c r="AZ56" s="826"/>
      <c r="BH56" s="530"/>
      <c r="BI56" s="530"/>
      <c r="BJ56" s="530"/>
      <c r="BK56" s="530"/>
      <c r="BL56" s="530"/>
      <c r="BM56" s="530"/>
      <c r="BN56" s="530"/>
    </row>
    <row r="57" spans="1:66" ht="12" customHeight="1" thickBot="1">
      <c r="A57" s="9"/>
      <c r="B57" s="1049"/>
      <c r="C57" s="1335" t="s">
        <v>8243</v>
      </c>
      <c r="D57" s="1330" t="str">
        <f>E58&amp;IF(COUNTIF($R$22:$T$25,C57&amp;" "&amp;E58)&gt;0,IFERROR(" y"&amp;MID(VLOOKUP(C57&amp;" "&amp;E58,$R$22:$W$25,4,FALSE),SEARCH(".",VLOOKUP(C57&amp;" "&amp;E58,$R$22:$W$25,4,FALSE))+1,100),""),"")</f>
        <v/>
      </c>
      <c r="E57" s="1330"/>
      <c r="F57" s="1330"/>
      <c r="G57" s="1330"/>
      <c r="H57" s="1330"/>
      <c r="I57" s="1330"/>
      <c r="J57" s="1330"/>
      <c r="K57" s="1330"/>
      <c r="L57" s="1361" t="s">
        <v>8249</v>
      </c>
      <c r="M57" s="685"/>
      <c r="N57" s="1335" t="s">
        <v>8241</v>
      </c>
      <c r="O57" s="1330" t="str">
        <f>P58&amp;IF(COUNTIF($R$22:$T$25,N57&amp;" "&amp;P58)&gt;0,IFERROR(" y"&amp;MID(VLOOKUP(N57&amp;" "&amp;P58,$R$22:$W$25,4,FALSE),SEARCH(".",VLOOKUP(N57&amp;" "&amp;P58,$R$22:$W$25,4,FALSE))+1,100),""),"")</f>
        <v/>
      </c>
      <c r="P57" s="1330"/>
      <c r="Q57" s="1330"/>
      <c r="R57" s="1330"/>
      <c r="S57" s="1330"/>
      <c r="T57" s="1330"/>
      <c r="U57" s="1330"/>
      <c r="V57" s="1330"/>
      <c r="W57" s="1361" t="s">
        <v>8249</v>
      </c>
      <c r="X57" s="685"/>
      <c r="Y57" s="9"/>
      <c r="Z57" s="9"/>
      <c r="AA57" s="1022"/>
      <c r="AB57" s="5478" t="str">
        <f>IF(PDs!E82=0,"",PDs!E82)</f>
        <v/>
      </c>
      <c r="AC57" s="5478"/>
      <c r="AD57" s="5478"/>
      <c r="AE57" s="5478"/>
      <c r="AF57" s="5478"/>
      <c r="AG57" s="5478"/>
      <c r="AH57" s="4448" t="str">
        <f>IF(AB57="","",VLOOKUP(AB57,Tabla_ArsMagnus,6,FALSE))</f>
        <v/>
      </c>
      <c r="AI57" s="4448"/>
      <c r="AJ57" s="4448"/>
      <c r="AK57" s="4448"/>
      <c r="AL57" s="4448"/>
      <c r="AM57" s="4448"/>
      <c r="AN57" s="4448"/>
      <c r="AO57" s="4448"/>
      <c r="AP57" s="4448"/>
      <c r="AQ57" s="4448"/>
      <c r="AR57" s="1088"/>
      <c r="AS57" s="9"/>
      <c r="AT57" s="530"/>
      <c r="AU57" s="530">
        <v>1</v>
      </c>
      <c r="AV57" s="826">
        <v>2</v>
      </c>
      <c r="AW57" s="826">
        <v>3</v>
      </c>
      <c r="AX57" s="826">
        <v>4</v>
      </c>
      <c r="AY57" s="826"/>
      <c r="AZ57" s="826"/>
      <c r="BH57" s="530"/>
      <c r="BI57" s="530"/>
      <c r="BJ57" s="530"/>
      <c r="BK57" s="530"/>
      <c r="BL57" s="530"/>
      <c r="BM57" s="530"/>
      <c r="BN57" s="530"/>
    </row>
    <row r="58" spans="1:66" ht="12" customHeight="1">
      <c r="A58" s="9"/>
      <c r="B58" s="1049"/>
      <c r="C58" s="5506" t="s">
        <v>8223</v>
      </c>
      <c r="D58" s="5507"/>
      <c r="E58" s="5509"/>
      <c r="F58" s="5510"/>
      <c r="G58" s="5511"/>
      <c r="H58" s="1593" t="s">
        <v>1252</v>
      </c>
      <c r="I58" s="1594" t="s">
        <v>1423</v>
      </c>
      <c r="J58" s="5512" t="s">
        <v>1424</v>
      </c>
      <c r="K58" s="5512"/>
      <c r="L58" s="1595" t="s">
        <v>1425</v>
      </c>
      <c r="M58" s="1360" t="str">
        <f ca="1">IF(C58=INDEX(Lista_ManosArma,2),Lista_ProyA2manos,Lista_ProyA1Mano)</f>
        <v>Tablas!$AU$654:$AU$674</v>
      </c>
      <c r="N58" s="5506" t="s">
        <v>8223</v>
      </c>
      <c r="O58" s="5507"/>
      <c r="P58" s="5509"/>
      <c r="Q58" s="5510"/>
      <c r="R58" s="5511"/>
      <c r="S58" s="1593" t="s">
        <v>1252</v>
      </c>
      <c r="T58" s="1594" t="s">
        <v>1423</v>
      </c>
      <c r="U58" s="5512" t="s">
        <v>1424</v>
      </c>
      <c r="V58" s="5512"/>
      <c r="W58" s="1595" t="s">
        <v>1425</v>
      </c>
      <c r="X58" s="1360" t="str">
        <f ca="1">IF(N58=INDEX(Lista_ManosArma,2),Lista_ProyA2manos,Lista_ProyA1Mano)</f>
        <v>Tablas!$AU$654:$AU$674</v>
      </c>
      <c r="Y58" s="9"/>
      <c r="Z58" s="9"/>
      <c r="AA58" s="1022"/>
      <c r="AB58" s="5478"/>
      <c r="AC58" s="5478"/>
      <c r="AD58" s="5478"/>
      <c r="AE58" s="5478"/>
      <c r="AF58" s="5478"/>
      <c r="AG58" s="5478"/>
      <c r="AH58" s="4448"/>
      <c r="AI58" s="4448"/>
      <c r="AJ58" s="4448"/>
      <c r="AK58" s="4448"/>
      <c r="AL58" s="4448"/>
      <c r="AM58" s="4448"/>
      <c r="AN58" s="4448"/>
      <c r="AO58" s="4448"/>
      <c r="AP58" s="4448"/>
      <c r="AQ58" s="4448"/>
      <c r="AR58" s="1088"/>
      <c r="AS58" s="9"/>
      <c r="AT58" s="530" t="s">
        <v>8211</v>
      </c>
      <c r="AU58" s="530" t="str">
        <f>IF(COUNTIF(Ki!$Y$32:$AJ$32,"Fuego")&gt;0,"CAL","-")</f>
        <v>-</v>
      </c>
      <c r="AV58" s="826" t="str">
        <f>IF(COUNTIF(Ki!$Y$32:$AJ$32,"Aire")&gt;0,"ELE","-")</f>
        <v>-</v>
      </c>
      <c r="AW58" s="826" t="str">
        <f>IF(COUNTIF(Ki!$Y$32:$AJ$32,"Agua")&gt;0,"FRI","-")</f>
        <v>-</v>
      </c>
      <c r="AX58" s="826" t="str">
        <f>IF(COUNTIF(Ki!$Y$32:$AJ$32,"Tierra")&gt;0,"CON","-")</f>
        <v>-</v>
      </c>
      <c r="AY58" s="826"/>
      <c r="AZ58" s="826"/>
      <c r="BH58" s="530"/>
      <c r="BI58" s="530"/>
      <c r="BJ58" s="530"/>
      <c r="BK58" s="530"/>
      <c r="BL58" s="530"/>
      <c r="BM58" s="530"/>
      <c r="BN58" s="530"/>
    </row>
    <row r="59" spans="1:66" ht="12" customHeight="1">
      <c r="A59" s="9"/>
      <c r="B59" s="1049"/>
      <c r="C59" s="5636" t="s">
        <v>1439</v>
      </c>
      <c r="D59" s="5637"/>
      <c r="E59" s="5638"/>
      <c r="F59" s="5638"/>
      <c r="G59" s="5639"/>
      <c r="H59" s="5601" cm="1">
        <f t="array" aca="1" ref="H59" ca="1">IFERROR(INDEX(Tabla_Combate,$AT$41,LEFT(C57,LEN(C57)-1)),0)</f>
        <v>0</v>
      </c>
      <c r="I59" s="5513" cm="1">
        <f t="array" aca="1" ref="I59" ca="1">IFERROR(INDEX(Tabla_Combate,$AT$42,LEFT(C57,LEN(C57)-1)),0)</f>
        <v>0</v>
      </c>
      <c r="J59" s="5515" cm="1">
        <f t="array" aca="1" ref="J59" ca="1">IF(K59="-",0,IF(K59="Par",INDEX(Tabla_Combate,$AT$43,LEFT(C57,LEN(C57)-1)),INDEX(Tabla_Combate,$AT$44,LEFT(C57,LEN(C57)-1))))</f>
        <v>0</v>
      </c>
      <c r="K59" s="4334" t="str" cm="1">
        <f t="array" aca="1" ref="K59" ca="1">IFERROR(IF(INDEX(Tabla_Combate,$AT$43,LEFT(C57,LEN(C57)-1))&gt;INDEX(Tabla_Combate,$AT$44,LEFT(C57,LEN(C57)-1)),"Par","Esq"),"-")</f>
        <v>-</v>
      </c>
      <c r="L59" s="5521" cm="1">
        <f t="array" aca="1" ref="L59" ca="1">IFERROR(INDEX(Tabla_Combate,$AT$46,LEFT(C57,LEN(C57)-1)),0)</f>
        <v>0</v>
      </c>
      <c r="M59" s="685"/>
      <c r="N59" s="5636" t="s">
        <v>1439</v>
      </c>
      <c r="O59" s="5637"/>
      <c r="P59" s="5638"/>
      <c r="Q59" s="5638"/>
      <c r="R59" s="5639"/>
      <c r="S59" s="5601" cm="1">
        <f t="array" aca="1" ref="S59" ca="1">IFERROR(INDEX(Tabla_Combate,$AT$41,LEFT(N57,LEN(N57)-1)),0)</f>
        <v>0</v>
      </c>
      <c r="T59" s="5513" cm="1">
        <f t="array" aca="1" ref="T59" ca="1">IFERROR(INDEX(Tabla_Combate,$AT$42,LEFT(N57,LEN(N57)-1)),0)</f>
        <v>0</v>
      </c>
      <c r="U59" s="5515" cm="1">
        <f t="array" aca="1" ref="U59" ca="1">IF(V59="-",0,IF(V59="Par",INDEX(Tabla_Combate,$AT$43,LEFT(N57,LEN(N57)-1)),INDEX(Tabla_Combate,$AT$44,LEFT(N57,LEN(N57)-1))))</f>
        <v>0</v>
      </c>
      <c r="V59" s="4334" t="str" cm="1">
        <f t="array" aca="1" ref="V59" ca="1">IFERROR(IF(INDEX(Tabla_Combate,$AT$43,LEFT(N57,LEN(N57)-1))&gt;INDEX(Tabla_Combate,$AT$44,LEFT(N57,LEN(N57)-1)),"Par","Esq"),"-")</f>
        <v>-</v>
      </c>
      <c r="W59" s="5521" cm="1">
        <f t="array" aca="1" ref="W59" ca="1">IFERROR(INDEX(Tabla_Combate,$AT$46,LEFT(N57,LEN(N57)-1)),0)</f>
        <v>0</v>
      </c>
      <c r="X59" s="685"/>
      <c r="Y59" s="9"/>
      <c r="Z59" s="9"/>
      <c r="AA59" s="1022"/>
      <c r="AB59" s="5478" t="str">
        <f>IF(PDs!E83=0,"",PDs!E83)</f>
        <v/>
      </c>
      <c r="AC59" s="5478"/>
      <c r="AD59" s="5478"/>
      <c r="AE59" s="5478"/>
      <c r="AF59" s="5478"/>
      <c r="AG59" s="5478"/>
      <c r="AH59" s="4448" t="str">
        <f>IF(AB59="","",VLOOKUP(AB59,Tabla_ArsMagnus,6,FALSE))</f>
        <v/>
      </c>
      <c r="AI59" s="4448"/>
      <c r="AJ59" s="4448"/>
      <c r="AK59" s="4448"/>
      <c r="AL59" s="4448"/>
      <c r="AM59" s="4448"/>
      <c r="AN59" s="4448"/>
      <c r="AO59" s="4448"/>
      <c r="AP59" s="4448"/>
      <c r="AQ59" s="4448"/>
      <c r="AR59" s="1088"/>
      <c r="AS59" s="9"/>
      <c r="AT59" s="530" t="s">
        <v>8060</v>
      </c>
      <c r="AU59" s="3716" t="b">
        <f>AU58&lt;&gt;"-"</f>
        <v>0</v>
      </c>
      <c r="AV59" s="3717" t="b">
        <f>AV58&lt;&gt;"-"</f>
        <v>0</v>
      </c>
      <c r="AW59" s="3717" t="b">
        <f>AW58&lt;&gt;"-"</f>
        <v>0</v>
      </c>
      <c r="AX59" s="3717" t="b">
        <f>AX58&lt;&gt;"-"</f>
        <v>0</v>
      </c>
      <c r="AY59" s="826"/>
      <c r="AZ59" s="826"/>
      <c r="BH59" s="530"/>
      <c r="BI59" s="530"/>
      <c r="BJ59" s="530"/>
      <c r="BK59" s="530"/>
      <c r="BL59" s="530"/>
      <c r="BM59" s="530"/>
      <c r="BN59" s="530"/>
    </row>
    <row r="60" spans="1:66" ht="12" customHeight="1">
      <c r="A60" s="9"/>
      <c r="B60" s="1049"/>
      <c r="C60" s="5504" t="str">
        <f>IF(E58=0,"",VLOOKUP(E58,Tabla_ArmasyEscudos,9,FALSE))</f>
        <v/>
      </c>
      <c r="D60" s="5505"/>
      <c r="E60" s="1596" t="s">
        <v>1435</v>
      </c>
      <c r="F60" s="5599" t="s">
        <v>1436</v>
      </c>
      <c r="G60" s="5600"/>
      <c r="H60" s="5601"/>
      <c r="I60" s="5514"/>
      <c r="J60" s="5516"/>
      <c r="K60" s="5520"/>
      <c r="L60" s="5522"/>
      <c r="M60" s="685"/>
      <c r="N60" s="5504" t="str">
        <f>IF(P58=0,"",VLOOKUP(P58,Tabla_ArmasyEscudos,9,FALSE))</f>
        <v/>
      </c>
      <c r="O60" s="5505"/>
      <c r="P60" s="1596" t="s">
        <v>1435</v>
      </c>
      <c r="Q60" s="5599" t="s">
        <v>1436</v>
      </c>
      <c r="R60" s="5600"/>
      <c r="S60" s="5601"/>
      <c r="T60" s="5514"/>
      <c r="U60" s="5516"/>
      <c r="V60" s="5520"/>
      <c r="W60" s="5522"/>
      <c r="X60" s="532"/>
      <c r="Y60" s="9"/>
      <c r="Z60" s="9"/>
      <c r="AA60" s="1022"/>
      <c r="AB60" s="5478"/>
      <c r="AC60" s="5478"/>
      <c r="AD60" s="5478"/>
      <c r="AE60" s="5478"/>
      <c r="AF60" s="5478"/>
      <c r="AG60" s="5478"/>
      <c r="AH60" s="4448"/>
      <c r="AI60" s="4448"/>
      <c r="AJ60" s="4448"/>
      <c r="AK60" s="4448"/>
      <c r="AL60" s="4448"/>
      <c r="AM60" s="4448"/>
      <c r="AN60" s="4448"/>
      <c r="AO60" s="4448"/>
      <c r="AP60" s="4448"/>
      <c r="AQ60" s="4448"/>
      <c r="AR60" s="1088"/>
      <c r="AS60" s="9"/>
      <c r="AT60" s="530" t="s">
        <v>3001</v>
      </c>
      <c r="AU60" s="3716"/>
      <c r="AV60" s="3717" t="b">
        <f>AND(AV59,AU59)</f>
        <v>0</v>
      </c>
      <c r="AW60" s="3717" t="b">
        <f>AND(AW59,OR(AU59,AV59))</f>
        <v>0</v>
      </c>
      <c r="AX60" s="3717" t="b">
        <f>AND(AX59,OR(AV59,AW59,AU59))</f>
        <v>0</v>
      </c>
      <c r="AY60" s="826"/>
      <c r="AZ60" s="826"/>
      <c r="BH60" s="530"/>
      <c r="BI60" s="530"/>
      <c r="BJ60" s="530"/>
      <c r="BK60" s="530"/>
      <c r="BL60" s="530"/>
      <c r="BM60" s="530"/>
      <c r="BN60" s="530"/>
    </row>
    <row r="61" spans="1:66" ht="12" customHeight="1">
      <c r="A61" s="9"/>
      <c r="B61" s="1049"/>
      <c r="C61" s="1277" t="s">
        <v>1427</v>
      </c>
      <c r="D61" s="1278" t="s">
        <v>1428</v>
      </c>
      <c r="E61" s="1278" t="s">
        <v>1416</v>
      </c>
      <c r="F61" s="1278" t="s">
        <v>1429</v>
      </c>
      <c r="G61" s="261" t="s">
        <v>1417</v>
      </c>
      <c r="H61" s="5613" t="s">
        <v>8224</v>
      </c>
      <c r="I61" s="5614"/>
      <c r="J61" s="1366"/>
      <c r="K61" s="5615" t="str">
        <f>IF(Tablas!$G$512&gt;0,"-50 a puntería","")</f>
        <v/>
      </c>
      <c r="L61" s="5616"/>
      <c r="M61" s="685"/>
      <c r="N61" s="1277" t="s">
        <v>1427</v>
      </c>
      <c r="O61" s="1278" t="s">
        <v>1428</v>
      </c>
      <c r="P61" s="1278" t="s">
        <v>1416</v>
      </c>
      <c r="Q61" s="1278" t="s">
        <v>1429</v>
      </c>
      <c r="R61" s="261" t="s">
        <v>1417</v>
      </c>
      <c r="S61" s="5613" t="s">
        <v>8224</v>
      </c>
      <c r="T61" s="5614"/>
      <c r="U61" s="1366"/>
      <c r="V61" s="5615" t="str">
        <f>IF(Tablas!$G$512&gt;0,"-50 a puntería","")</f>
        <v/>
      </c>
      <c r="W61" s="5616"/>
      <c r="X61" s="532"/>
      <c r="Y61" s="9"/>
      <c r="Z61" s="9"/>
      <c r="AA61" s="1022"/>
      <c r="AB61" s="5478" t="str">
        <f>IF(PDs!E84=0,"",PDs!E84)</f>
        <v/>
      </c>
      <c r="AC61" s="5478"/>
      <c r="AD61" s="5478"/>
      <c r="AE61" s="5478"/>
      <c r="AF61" s="5478"/>
      <c r="AG61" s="5478"/>
      <c r="AH61" s="4448" t="str">
        <f>IF(AB61="","",VLOOKUP(AB61,Tabla_ArsMagnus,6,FALSE))</f>
        <v/>
      </c>
      <c r="AI61" s="4448"/>
      <c r="AJ61" s="4448"/>
      <c r="AK61" s="4448"/>
      <c r="AL61" s="4448"/>
      <c r="AM61" s="4448"/>
      <c r="AN61" s="4448"/>
      <c r="AO61" s="4448"/>
      <c r="AP61" s="4448"/>
      <c r="AQ61" s="4448"/>
      <c r="AR61" s="1088"/>
      <c r="AS61" s="9"/>
      <c r="AT61" s="530"/>
      <c r="AY61" s="3711"/>
      <c r="BH61" s="530"/>
      <c r="BI61" s="530"/>
      <c r="BJ61" s="530"/>
      <c r="BK61" s="530"/>
      <c r="BL61" s="530"/>
      <c r="BM61" s="530"/>
      <c r="BN61" s="530"/>
    </row>
    <row r="62" spans="1:66" ht="12" customHeight="1">
      <c r="A62" s="9"/>
      <c r="B62" s="1049"/>
      <c r="C62" s="959" t="str">
        <f>IF(E59=0,"",VLOOKUP(E59,Tabla_ArmasyEscudos,6,FALSE))</f>
        <v/>
      </c>
      <c r="D62" s="462" t="str">
        <f>IF(E59=0,"",VLOOKUP(E59,Tabla_ArmasyEscudos,7,FALSE))</f>
        <v/>
      </c>
      <c r="E62" s="159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598" t="str">
        <f>IF(E59=0,"",IF(Extensióndelauraalarma,5,0)+J62*2/5+VLOOKUP(E59,Tabla_ArmasyEscudos,11,FALSE)+IF(F60=0,0,VLOOKUP(F60,Tabla_ArmasEnormes,7,FALSE))+IFERROR(VLOOKUP(IF(F65=0,FUE,F65+TRUNC(J61/5,0)),Tabla_Fuerza,2),0)+IF(Ojos_de_la_Muerte,5,0))</f>
        <v/>
      </c>
      <c r="G62" s="1599" t="str">
        <f>IFERROR(IF(E58=0,"",MAX(J61*10,0)+VLOOKUP(E58,Tabla_ArmasyEscudos,12,FALSE)),"-")&amp;IF(OR(E59=0,E58="Armas naturales"),"","/"&amp;IFERROR(MAX(J62*10,0)+VLOOKUP(E59,Tabla_ArmasyEscudos,12,FALSE),"-"))</f>
        <v/>
      </c>
      <c r="H62" s="5632" t="s">
        <v>8238</v>
      </c>
      <c r="I62" s="5633"/>
      <c r="J62" s="1365"/>
      <c r="K62" s="5634" t="str">
        <f>IF(F60=0,IF(J62&lt;=0,"","TA defensor: -"&amp;J62/5),IF(Tamaño&lt;VLOOKUP(F60,Tabla_ArmasEnormes,2,FALSE),"Tam. excesivo",IF(J62&lt;=0,"","TA defensor: -"&amp;J62/5)))</f>
        <v/>
      </c>
      <c r="L62" s="5635"/>
      <c r="M62" s="685"/>
      <c r="N62" s="959" t="str">
        <f>IF(P59=0,"",VLOOKUP(P59,Tabla_ArmasyEscudos,6,FALSE))</f>
        <v/>
      </c>
      <c r="O62" s="462" t="str">
        <f>IF(P59=0,"",VLOOKUP(P59,Tabla_ArmasyEscudos,7,FALSE))</f>
        <v/>
      </c>
      <c r="P62" s="159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598" t="str">
        <f>IF(P59=0,"",IF(Extensióndelauraalarma,5,0)+U62*2/5+VLOOKUP(P59,Tabla_ArmasyEscudos,11,FALSE)+IF(Q60=0,0,VLOOKUP(Q60,Tabla_ArmasEnormes,7,FALSE))+IFERROR(VLOOKUP(IF(Q65=0,FUE,Q65+TRUNC(U61/5,0)),Tabla_Fuerza,2),0)+IF(Ojos_de_la_Muerte,5,0))</f>
        <v/>
      </c>
      <c r="R62" s="1599" t="str">
        <f>IFERROR(IF(P58=0,"",MAX(U61*10,0)+VLOOKUP(P58,Tabla_ArmasyEscudos,12,FALSE)),"-")&amp;IF(OR(P59=0,P58="Armas naturales"),"","/"&amp;IFERROR(MAX(U62*10,0)+VLOOKUP(P59,Tabla_ArmasyEscudos,12,FALSE),"-"))</f>
        <v/>
      </c>
      <c r="S62" s="5632" t="s">
        <v>8238</v>
      </c>
      <c r="T62" s="5633"/>
      <c r="U62" s="1365"/>
      <c r="V62" s="5634" t="str">
        <f>IF(Q60=0,IF(U62&lt;=0,"","TA defensor: -"&amp;U62/5),IF(Tamaño&lt;VLOOKUP(Q60,Tabla_ArmasEnormes,2,FALSE),"Tam. excesivo",IF(U62&lt;=0,"","TA defensor: -"&amp;U62/5)))</f>
        <v/>
      </c>
      <c r="W62" s="5635"/>
      <c r="X62" s="532"/>
      <c r="Y62" s="9"/>
      <c r="Z62" s="9"/>
      <c r="AA62" s="1022"/>
      <c r="AB62" s="5478"/>
      <c r="AC62" s="5478"/>
      <c r="AD62" s="5478"/>
      <c r="AE62" s="5478"/>
      <c r="AF62" s="5478"/>
      <c r="AG62" s="5478"/>
      <c r="AH62" s="4448"/>
      <c r="AI62" s="4448"/>
      <c r="AJ62" s="4448"/>
      <c r="AK62" s="4448"/>
      <c r="AL62" s="4448"/>
      <c r="AM62" s="4448"/>
      <c r="AN62" s="4448"/>
      <c r="AO62" s="4448"/>
      <c r="AP62" s="4448"/>
      <c r="AQ62" s="4448"/>
      <c r="AR62" s="1088"/>
      <c r="AS62" s="9"/>
      <c r="AT62" s="530"/>
      <c r="AU62" s="530">
        <v>1</v>
      </c>
      <c r="AV62" s="530">
        <v>2</v>
      </c>
      <c r="AW62" s="530">
        <v>3</v>
      </c>
      <c r="AX62" s="530">
        <v>4</v>
      </c>
      <c r="AY62" s="530">
        <v>5</v>
      </c>
      <c r="AZ62" s="530">
        <v>6</v>
      </c>
      <c r="BH62" s="530"/>
      <c r="BI62" s="530"/>
      <c r="BJ62" s="530"/>
      <c r="BK62" s="530"/>
      <c r="BL62" s="530"/>
      <c r="BM62" s="530"/>
      <c r="BN62" s="530"/>
    </row>
    <row r="63" spans="1:66" ht="12" customHeight="1" thickBot="1">
      <c r="A63" s="9"/>
      <c r="B63" s="1049"/>
      <c r="C63" s="1277" t="s">
        <v>1440</v>
      </c>
      <c r="D63" s="1576" t="s">
        <v>1441</v>
      </c>
      <c r="E63" s="5640" t="str">
        <f>IF(E58=0,"",IF(E58="Armas naturales",D65,C65))</f>
        <v/>
      </c>
      <c r="F63" s="5641"/>
      <c r="G63" s="5641"/>
      <c r="H63" s="5641"/>
      <c r="I63" s="5641"/>
      <c r="J63" s="5642"/>
      <c r="K63" s="5615" t="str">
        <f ca="1">IFERROR("Turno base: "&amp;VLOOKUP(E58,Tabla_ArmasyEscudos,3,FALSE)+IF(Tamaño&lt;VLOOKUP(F60,Tabla_ArmasEnormes,3,FALSE),IF(OR(F60="Enorme",F60="Gigante"),-40,0),0),"")</f>
        <v/>
      </c>
      <c r="L63" s="5616"/>
      <c r="M63" s="685"/>
      <c r="N63" s="1277" t="s">
        <v>1440</v>
      </c>
      <c r="O63" s="1576" t="s">
        <v>1441</v>
      </c>
      <c r="P63" s="5640" t="str">
        <f>IF(P58=0,"",IF(P58="Armas naturales",O65,N65))</f>
        <v/>
      </c>
      <c r="Q63" s="5641"/>
      <c r="R63" s="5641"/>
      <c r="S63" s="5641"/>
      <c r="T63" s="5641"/>
      <c r="U63" s="5642"/>
      <c r="V63" s="5615" t="str">
        <f ca="1">IFERROR("Turno base: "&amp;VLOOKUP(P58,Tabla_ArmasyEscudos,3,FALSE)+IF(Tamaño&lt;VLOOKUP(Q60,Tabla_ArmasEnormes,3,FALSE),IF(OR(Q60="Enorme",Q60="Gigante"),-40,0),0),"")</f>
        <v/>
      </c>
      <c r="W63" s="5616"/>
      <c r="X63" s="1023"/>
      <c r="Y63" s="9"/>
      <c r="Z63" s="9"/>
      <c r="AA63" s="1022"/>
      <c r="AB63" s="5482" t="str">
        <f>IF(PDs!E85=0,"",PDs!E85)</f>
        <v/>
      </c>
      <c r="AC63" s="5482"/>
      <c r="AD63" s="5482"/>
      <c r="AE63" s="5482"/>
      <c r="AF63" s="5482"/>
      <c r="AG63" s="5482"/>
      <c r="AH63" s="5646" t="str">
        <f>IF(AB63="","",VLOOKUP(AB63,Tabla_ArsMagnus,6,FALSE))</f>
        <v/>
      </c>
      <c r="AI63" s="5646"/>
      <c r="AJ63" s="5646"/>
      <c r="AK63" s="5646"/>
      <c r="AL63" s="5646"/>
      <c r="AM63" s="5646"/>
      <c r="AN63" s="5646"/>
      <c r="AO63" s="5646"/>
      <c r="AP63" s="5646"/>
      <c r="AQ63" s="5646"/>
      <c r="AR63" s="1088"/>
      <c r="AS63" s="9"/>
      <c r="AT63" s="530" t="s">
        <v>8212</v>
      </c>
      <c r="AU63" s="530" t="str">
        <f>IF(OR(Tablas!Y917,Tablas!Y951),"PEN","-")</f>
        <v>-</v>
      </c>
      <c r="AV63" s="530" t="str">
        <f>IF(OR(Tablas!Y963,Tablas!R1499&gt;0),"FIL","-")</f>
        <v>-</v>
      </c>
      <c r="AW63" s="530" t="str">
        <f>IF(OR(Tablas!Y993,Tablas!Y994,Extrusióndevacío,Tablas!R1497),"ENE","-")</f>
        <v>-</v>
      </c>
      <c r="AX63" s="530" t="str">
        <f>IF(Tablas!R1498&gt;0,"CAL","-")</f>
        <v>-</v>
      </c>
      <c r="AY63" s="3711" t="str">
        <f>IF(Tablas!R1500&gt;0,"FRI","-")</f>
        <v>-</v>
      </c>
      <c r="AZ63" s="530" t="str">
        <f>IF(OR(Tablas!R1499&gt;0,Tablas!R1500&gt;0),"CON","-")</f>
        <v>-</v>
      </c>
      <c r="BH63" s="530"/>
      <c r="BI63" s="530"/>
      <c r="BJ63" s="530"/>
      <c r="BK63" s="530"/>
      <c r="BL63" s="530"/>
      <c r="BM63" s="530"/>
      <c r="BN63" s="530"/>
    </row>
    <row r="64" spans="1:66" ht="12" customHeight="1" thickBot="1">
      <c r="A64" s="9"/>
      <c r="B64" s="1049"/>
      <c r="C64" s="1358" t="str">
        <f>IF(E58=0,"",MAX(VLOOKUP(E58,Tabla_ArmasyEscudos,17,FALSE)+IF(F65=0,IF(FUE&lt;3,-30,VLOOKUP(MIN(IF(Zen_IP,20,IF(Inhumanidad_IP,13,10)),E65,FUE),Tabla_AlcanceFUE,2)),VLOOKUP(MIN(E65,F65+TRUNC(J61/5,0)),Tabla_AlcanceFUE,2)),0)*IF(AlcanceIncrementado,2,1))</f>
        <v/>
      </c>
      <c r="D64" s="1359" t="str">
        <f>IF(E58=0,"",VLOOKUP(E58,Tabla_ArmasyEscudos,16,FALSE))</f>
        <v/>
      </c>
      <c r="E64" s="5643" t="str">
        <f>IF(E59=0,"",VLOOKUP(E59,Tabla_ArmasyEscudos,19,FALSE))</f>
        <v/>
      </c>
      <c r="F64" s="5644"/>
      <c r="G64" s="5644"/>
      <c r="H64" s="5644"/>
      <c r="I64" s="5644"/>
      <c r="J64" s="5645"/>
      <c r="K64" s="5619" t="str">
        <f ca="1">IFERROR("FUE min: "&amp;VLOOKUP(E58,Tabla_ArmasyEscudos,IF(C58="A dos manos",5,4),FALSE)+IFERROR(VLOOKUP(F60,Tabla_ArmasEnormes,4,FALSE),0),"")</f>
        <v/>
      </c>
      <c r="L64" s="5620"/>
      <c r="M64" s="1088"/>
      <c r="N64" s="1358" t="str">
        <f>IF(P58=0,"",MAX(VLOOKUP(P58,Tabla_ArmasyEscudos,17,FALSE)+IF(Q65=0,IF(FUE&lt;3,-30,VLOOKUP(MIN(IF(Zen_IP,20,IF(Inhumanidad_IP,13,10)),P65,FUE),Tabla_AlcanceFUE,2)),VLOOKUP(MIN(P65,Q65+TRUNC(U61/5,0)),Tabla_AlcanceFUE,2)),0)*IF(AlcanceIncrementado,2,1))</f>
        <v/>
      </c>
      <c r="O64" s="1359" t="str">
        <f>IF(P58=0,"",VLOOKUP(P58,Tabla_ArmasyEscudos,16,FALSE))</f>
        <v/>
      </c>
      <c r="P64" s="5643" t="str">
        <f>IF(P59=0,"",VLOOKUP(P59,Tabla_ArmasyEscudos,19,FALSE))</f>
        <v/>
      </c>
      <c r="Q64" s="5644"/>
      <c r="R64" s="5644"/>
      <c r="S64" s="5644"/>
      <c r="T64" s="5644"/>
      <c r="U64" s="5645"/>
      <c r="V64" s="5619" t="str">
        <f ca="1">IFERROR("FUE min: "&amp;VLOOKUP(P58,Tabla_ArmasyEscudos,IF(N58="A dos manos",5,4),FALSE)+IFERROR(VLOOKUP(Q60,Tabla_ArmasEnormes,4,FALSE),0),"")</f>
        <v/>
      </c>
      <c r="W64" s="5620"/>
      <c r="X64" s="532"/>
      <c r="Y64" s="9"/>
      <c r="Z64" s="9"/>
      <c r="AA64" s="1022"/>
      <c r="AB64" s="5482"/>
      <c r="AC64" s="5482"/>
      <c r="AD64" s="5482"/>
      <c r="AE64" s="5482"/>
      <c r="AF64" s="5482"/>
      <c r="AG64" s="5482"/>
      <c r="AH64" s="5646"/>
      <c r="AI64" s="5646"/>
      <c r="AJ64" s="5646"/>
      <c r="AK64" s="5646"/>
      <c r="AL64" s="5646"/>
      <c r="AM64" s="5646"/>
      <c r="AN64" s="5646"/>
      <c r="AO64" s="5646"/>
      <c r="AP64" s="5646"/>
      <c r="AQ64" s="5646"/>
      <c r="AR64" s="1088"/>
      <c r="AS64" s="9"/>
      <c r="AT64" s="530" t="s">
        <v>8060</v>
      </c>
      <c r="AU64" s="3716" t="b">
        <f t="shared" ref="AU64:AZ64" si="12">AU63&lt;&gt;"-"</f>
        <v>0</v>
      </c>
      <c r="AV64" s="3716" t="b">
        <f t="shared" si="12"/>
        <v>0</v>
      </c>
      <c r="AW64" s="3716" t="b">
        <f t="shared" si="12"/>
        <v>0</v>
      </c>
      <c r="AX64" s="3716" t="b">
        <f t="shared" si="12"/>
        <v>0</v>
      </c>
      <c r="AY64" s="3716" t="b">
        <f t="shared" si="12"/>
        <v>0</v>
      </c>
      <c r="AZ64" s="3716" t="b">
        <f t="shared" si="12"/>
        <v>0</v>
      </c>
      <c r="BH64" s="530"/>
      <c r="BI64" s="530"/>
      <c r="BJ64" s="530"/>
      <c r="BK64" s="530"/>
      <c r="BL64" s="530"/>
      <c r="BM64" s="530"/>
      <c r="BN64" s="530"/>
    </row>
    <row r="65" spans="1:66" ht="12" customHeight="1" thickBot="1">
      <c r="A65" s="9"/>
      <c r="B65" s="1049"/>
      <c r="C65" s="530" t="e">
        <f ca="1">VLOOKUP(E58,Tabla_ArmasyEscudos,19,FALSE)</f>
        <v>#N/A</v>
      </c>
      <c r="D65" s="530" t="str">
        <f>IF(Tablas!$R$1788&gt;0,C65,"Armas naturales a distancia no disponibles")</f>
        <v>Armas naturales a distancia no disponibles</v>
      </c>
      <c r="E65" s="530">
        <f>IF(J61&lt;0,10,IF(J61&gt;20,20,INDEX(Tablas!$L$23:$L$33,MATCH(J61,Tablas!$N$23:$N$33,0))))</f>
        <v>10</v>
      </c>
      <c r="F65" s="530" t="e" cm="1">
        <f t="array" aca="1" ref="F65" ca="1">INDEX($AW$45:$BF$45,1,SUBSTITUTE(C57,".",""))</f>
        <v>#N/A</v>
      </c>
      <c r="G65" s="530"/>
      <c r="H65" s="530"/>
      <c r="I65" s="530"/>
      <c r="J65" s="530"/>
      <c r="K65" s="530"/>
      <c r="L65" s="530"/>
      <c r="M65" s="530"/>
      <c r="N65" s="530" t="e">
        <f ca="1">VLOOKUP(P58,Tabla_ArmasyEscudos,19,FALSE)</f>
        <v>#N/A</v>
      </c>
      <c r="O65" s="530" t="str">
        <f>IF(Tablas!$R$1788&gt;0,N65,"Armas naturales a distancia no disponibles")</f>
        <v>Armas naturales a distancia no disponibles</v>
      </c>
      <c r="P65" s="530">
        <f>IF(U61&lt;0,10,IF(U61&gt;20,20,INDEX(Tablas!$L$23:$L$33,MATCH(U61,Tablas!$N$23:$N$33,0))))</f>
        <v>10</v>
      </c>
      <c r="Q65" s="530" t="e" cm="1">
        <f t="array" aca="1" ref="Q65" ca="1">INDEX($AW$45:$BF$45,1,SUBSTITUTE(N57,".",""))</f>
        <v>#N/A</v>
      </c>
      <c r="X65" s="532"/>
      <c r="Y65" s="9"/>
      <c r="Z65" s="9"/>
      <c r="AA65" s="1022"/>
      <c r="AR65" s="1088"/>
      <c r="AS65" s="9"/>
      <c r="AT65" s="530" t="s">
        <v>3001</v>
      </c>
      <c r="AU65" s="3716"/>
      <c r="AV65" s="3716" t="b">
        <f>AND(AV64,AU64)</f>
        <v>0</v>
      </c>
      <c r="AW65" s="3716" t="b">
        <f>AND(AW64,OR(AU64,AV64))</f>
        <v>0</v>
      </c>
      <c r="AX65" s="3716" t="b">
        <f>AND(AX64,OR(AU64,AV64,AW64))</f>
        <v>0</v>
      </c>
      <c r="AY65" s="3718" t="b">
        <f>AND(AY64,OR(AU64,AV64,AW64,AX64))</f>
        <v>0</v>
      </c>
      <c r="AZ65" s="3716" t="b">
        <f>AND(AZ64,OR(AU64,AV64,AW64,AX64,AY64))</f>
        <v>0</v>
      </c>
      <c r="BH65" s="530"/>
      <c r="BI65" s="530"/>
      <c r="BJ65" s="530"/>
      <c r="BK65" s="530"/>
      <c r="BL65" s="530"/>
      <c r="BM65" s="530"/>
      <c r="BN65" s="530"/>
    </row>
    <row r="66" spans="1:66" ht="12" customHeight="1" thickBot="1">
      <c r="A66" s="9"/>
      <c r="B66" s="1049"/>
      <c r="X66" s="532"/>
      <c r="Y66" s="9"/>
      <c r="Z66" s="9"/>
      <c r="AA66" s="1022"/>
      <c r="AB66" s="4372" t="s">
        <v>10048</v>
      </c>
      <c r="AC66" s="4372"/>
      <c r="AD66" s="4372"/>
      <c r="AE66" s="4372"/>
      <c r="AF66" s="4372"/>
      <c r="AG66" s="4372"/>
      <c r="AH66" s="5447" t="s">
        <v>1408</v>
      </c>
      <c r="AI66" s="5447"/>
      <c r="AJ66" s="5447"/>
      <c r="AK66" s="5447"/>
      <c r="AL66" s="5447"/>
      <c r="AM66" s="5447"/>
      <c r="AN66" s="5447"/>
      <c r="AO66" s="5447"/>
      <c r="AP66" s="5447"/>
      <c r="AQ66" s="5447"/>
      <c r="AR66" s="1088"/>
      <c r="AS66" s="9"/>
      <c r="AT66" s="530"/>
      <c r="AU66" s="826"/>
      <c r="AV66" s="826"/>
      <c r="AW66" s="826"/>
      <c r="AZ66" s="3711"/>
      <c r="BH66" s="530"/>
      <c r="BI66" s="530"/>
      <c r="BJ66" s="530"/>
      <c r="BK66" s="530"/>
      <c r="BL66" s="530"/>
      <c r="BM66" s="530"/>
      <c r="BN66" s="530"/>
    </row>
    <row r="67" spans="1:66" ht="12" customHeight="1">
      <c r="A67" s="9"/>
      <c r="B67" s="1049"/>
      <c r="C67" s="5433" t="s">
        <v>9621</v>
      </c>
      <c r="D67" s="5434"/>
      <c r="E67" s="5434"/>
      <c r="F67" s="5434"/>
      <c r="G67" s="5434"/>
      <c r="H67" s="5434"/>
      <c r="I67" s="5434"/>
      <c r="J67" s="5434"/>
      <c r="K67" s="5434"/>
      <c r="L67" s="5434"/>
      <c r="M67" s="5434"/>
      <c r="N67" s="5434"/>
      <c r="O67" s="5434"/>
      <c r="P67" s="5434"/>
      <c r="Q67" s="5434"/>
      <c r="R67" s="5434"/>
      <c r="S67" s="5434"/>
      <c r="T67" s="5434"/>
      <c r="U67" s="5434"/>
      <c r="V67" s="5434"/>
      <c r="W67" s="5435"/>
      <c r="X67" s="532"/>
      <c r="Y67" s="9"/>
      <c r="Z67" s="9"/>
      <c r="AA67" s="1022"/>
      <c r="AB67" s="5448" t="str">
        <f>IF(PDs!E86=0,"",PDs!E86)</f>
        <v/>
      </c>
      <c r="AC67" s="5449"/>
      <c r="AD67" s="5449"/>
      <c r="AE67" s="5449"/>
      <c r="AF67" s="5449"/>
      <c r="AG67" s="5450"/>
      <c r="AH67" s="5426" t="str">
        <f>IF(AB67="","",VLOOKUP(AB67,Tabla_ArsInanimis,7,FALSE))</f>
        <v/>
      </c>
      <c r="AI67" s="5427"/>
      <c r="AJ67" s="5427"/>
      <c r="AK67" s="5427"/>
      <c r="AL67" s="5427"/>
      <c r="AM67" s="5427"/>
      <c r="AN67" s="5427"/>
      <c r="AO67" s="5427"/>
      <c r="AP67" s="5427"/>
      <c r="AQ67" s="5428"/>
      <c r="AR67" s="1088"/>
      <c r="AS67" s="9"/>
      <c r="AT67" s="530"/>
      <c r="AU67" s="826"/>
      <c r="AV67" s="826"/>
      <c r="AW67" s="826"/>
      <c r="AZ67" s="3711"/>
      <c r="BH67" s="530"/>
      <c r="BI67" s="530"/>
      <c r="BJ67" s="530"/>
      <c r="BK67" s="530"/>
      <c r="BL67" s="530"/>
      <c r="BM67" s="530"/>
      <c r="BN67" s="530"/>
    </row>
    <row r="68" spans="1:66" ht="12" customHeight="1">
      <c r="A68" s="9"/>
      <c r="B68" s="1049"/>
      <c r="C68" s="5436"/>
      <c r="D68" s="4577"/>
      <c r="E68" s="4577"/>
      <c r="F68" s="4577"/>
      <c r="G68" s="4577"/>
      <c r="H68" s="4577"/>
      <c r="I68" s="4577"/>
      <c r="J68" s="4577"/>
      <c r="K68" s="4577"/>
      <c r="L68" s="4577"/>
      <c r="M68" s="4577"/>
      <c r="N68" s="4577"/>
      <c r="O68" s="4577"/>
      <c r="P68" s="4577"/>
      <c r="Q68" s="4577"/>
      <c r="R68" s="4577"/>
      <c r="S68" s="4577"/>
      <c r="T68" s="4577"/>
      <c r="U68" s="4577"/>
      <c r="V68" s="4577"/>
      <c r="W68" s="5437"/>
      <c r="X68" s="532"/>
      <c r="Y68" s="9"/>
      <c r="Z68" s="9"/>
      <c r="AA68" s="1022"/>
      <c r="AB68" s="5430"/>
      <c r="AC68" s="5431"/>
      <c r="AD68" s="5431"/>
      <c r="AE68" s="5431"/>
      <c r="AF68" s="5431"/>
      <c r="AG68" s="5432"/>
      <c r="AH68" s="4446"/>
      <c r="AI68" s="4447"/>
      <c r="AJ68" s="4447"/>
      <c r="AK68" s="4447"/>
      <c r="AL68" s="4447"/>
      <c r="AM68" s="4447"/>
      <c r="AN68" s="4447"/>
      <c r="AO68" s="4447"/>
      <c r="AP68" s="4447"/>
      <c r="AQ68" s="5429"/>
      <c r="AR68" s="1088"/>
      <c r="AS68" s="9"/>
      <c r="AT68" s="530"/>
      <c r="BH68" s="530"/>
      <c r="BI68" s="530"/>
      <c r="BJ68" s="530"/>
      <c r="BK68" s="530"/>
      <c r="BL68" s="530"/>
      <c r="BM68" s="530"/>
      <c r="BN68" s="530"/>
    </row>
    <row r="69" spans="1:66" ht="12" customHeight="1">
      <c r="A69" s="9"/>
      <c r="B69" s="1049"/>
      <c r="C69" s="5436"/>
      <c r="D69" s="4577"/>
      <c r="E69" s="4577"/>
      <c r="F69" s="4577"/>
      <c r="G69" s="4577"/>
      <c r="H69" s="4577"/>
      <c r="I69" s="4577"/>
      <c r="J69" s="4577"/>
      <c r="K69" s="4577"/>
      <c r="L69" s="4577"/>
      <c r="M69" s="4577"/>
      <c r="N69" s="4577"/>
      <c r="O69" s="4577"/>
      <c r="P69" s="4577"/>
      <c r="Q69" s="4577"/>
      <c r="R69" s="4577"/>
      <c r="S69" s="4577"/>
      <c r="T69" s="4577"/>
      <c r="U69" s="4577"/>
      <c r="V69" s="4577"/>
      <c r="W69" s="5437"/>
      <c r="X69" s="532"/>
      <c r="Y69" s="9"/>
      <c r="Z69" s="9"/>
      <c r="AA69" s="1022"/>
      <c r="AB69" s="5430" t="str">
        <f>IF(PDs!E93=0,"",PDs!E93)</f>
        <v/>
      </c>
      <c r="AC69" s="5431"/>
      <c r="AD69" s="5431"/>
      <c r="AE69" s="5431"/>
      <c r="AF69" s="5431"/>
      <c r="AG69" s="5432"/>
      <c r="AH69" s="4448" t="str">
        <f>IF(AB69="","",VLOOKUP(AB69,Tabla_ArsInanimis,7,FALSE))</f>
        <v/>
      </c>
      <c r="AI69" s="4448"/>
      <c r="AJ69" s="4448"/>
      <c r="AK69" s="4448"/>
      <c r="AL69" s="4448"/>
      <c r="AM69" s="4448"/>
      <c r="AN69" s="4448"/>
      <c r="AO69" s="4448"/>
      <c r="AP69" s="4448"/>
      <c r="AQ69" s="4448"/>
      <c r="AR69" s="1088"/>
      <c r="AS69" s="9"/>
      <c r="AT69" s="530"/>
      <c r="BH69" s="530"/>
      <c r="BI69" s="530"/>
      <c r="BJ69" s="530"/>
      <c r="BK69" s="530"/>
      <c r="BL69" s="530"/>
      <c r="BM69" s="530"/>
      <c r="BN69" s="530"/>
    </row>
    <row r="70" spans="1:66" ht="12" customHeight="1">
      <c r="A70" s="9"/>
      <c r="B70" s="1049"/>
      <c r="C70" s="5436"/>
      <c r="D70" s="4577"/>
      <c r="E70" s="4577"/>
      <c r="F70" s="4577"/>
      <c r="G70" s="4577"/>
      <c r="H70" s="4577"/>
      <c r="I70" s="4577"/>
      <c r="J70" s="4577"/>
      <c r="K70" s="4577"/>
      <c r="L70" s="4577"/>
      <c r="M70" s="4577"/>
      <c r="N70" s="4577"/>
      <c r="O70" s="4577"/>
      <c r="P70" s="4577"/>
      <c r="Q70" s="4577"/>
      <c r="R70" s="4577"/>
      <c r="S70" s="4577"/>
      <c r="T70" s="4577"/>
      <c r="U70" s="4577"/>
      <c r="V70" s="4577"/>
      <c r="W70" s="5437"/>
      <c r="X70" s="532"/>
      <c r="Y70" s="9"/>
      <c r="Z70" s="9"/>
      <c r="AA70" s="1022"/>
      <c r="AB70" s="5430"/>
      <c r="AC70" s="5431"/>
      <c r="AD70" s="5431"/>
      <c r="AE70" s="5431"/>
      <c r="AF70" s="5431"/>
      <c r="AG70" s="5432"/>
      <c r="AH70" s="4448"/>
      <c r="AI70" s="4448"/>
      <c r="AJ70" s="4448"/>
      <c r="AK70" s="4448"/>
      <c r="AL70" s="4448"/>
      <c r="AM70" s="4448"/>
      <c r="AN70" s="4448"/>
      <c r="AO70" s="4448"/>
      <c r="AP70" s="4448"/>
      <c r="AQ70" s="4448"/>
      <c r="AR70" s="1088"/>
      <c r="AS70" s="9"/>
      <c r="AT70" s="530"/>
      <c r="BH70" s="530"/>
      <c r="BI70" s="530"/>
      <c r="BJ70" s="530"/>
      <c r="BK70" s="530"/>
      <c r="BL70" s="530"/>
      <c r="BM70" s="530"/>
      <c r="BN70" s="530"/>
    </row>
    <row r="71" spans="1:66" ht="12" customHeight="1">
      <c r="A71" s="9"/>
      <c r="B71" s="1049"/>
      <c r="C71" s="5436"/>
      <c r="D71" s="4577"/>
      <c r="E71" s="4577"/>
      <c r="F71" s="4577"/>
      <c r="G71" s="4577"/>
      <c r="H71" s="4577"/>
      <c r="I71" s="4577"/>
      <c r="J71" s="4577"/>
      <c r="K71" s="4577"/>
      <c r="L71" s="4577"/>
      <c r="M71" s="4577"/>
      <c r="N71" s="4577"/>
      <c r="O71" s="4577"/>
      <c r="P71" s="4577"/>
      <c r="Q71" s="4577"/>
      <c r="R71" s="4577"/>
      <c r="S71" s="4577"/>
      <c r="T71" s="4577"/>
      <c r="U71" s="4577"/>
      <c r="V71" s="4577"/>
      <c r="W71" s="5437"/>
      <c r="X71" s="532"/>
      <c r="Y71" s="9"/>
      <c r="Z71" s="9"/>
      <c r="AA71" s="1022"/>
      <c r="AB71" s="5430" t="str">
        <f>IF(PDs!E94=0,"",PDs!E94)</f>
        <v/>
      </c>
      <c r="AC71" s="5431"/>
      <c r="AD71" s="5431"/>
      <c r="AE71" s="5431"/>
      <c r="AF71" s="5431"/>
      <c r="AG71" s="5432"/>
      <c r="AH71" s="4448" t="str">
        <f>IF(AB71="","",VLOOKUP(AB71,Tabla_ArsInanimis,7,FALSE))</f>
        <v/>
      </c>
      <c r="AI71" s="4448"/>
      <c r="AJ71" s="4448"/>
      <c r="AK71" s="4448"/>
      <c r="AL71" s="4448"/>
      <c r="AM71" s="4448"/>
      <c r="AN71" s="4448"/>
      <c r="AO71" s="4448"/>
      <c r="AP71" s="4448"/>
      <c r="AQ71" s="4448"/>
      <c r="AR71" s="1088"/>
      <c r="AS71" s="9"/>
      <c r="AT71" s="530"/>
      <c r="BH71" s="530"/>
      <c r="BI71" s="530"/>
      <c r="BJ71" s="530"/>
      <c r="BK71" s="530"/>
      <c r="BL71" s="530"/>
      <c r="BM71" s="530"/>
      <c r="BN71" s="530"/>
    </row>
    <row r="72" spans="1:66" ht="12" customHeight="1">
      <c r="A72" s="9"/>
      <c r="B72" s="1049"/>
      <c r="C72" s="5436"/>
      <c r="D72" s="4577"/>
      <c r="E72" s="4577"/>
      <c r="F72" s="4577"/>
      <c r="G72" s="4577"/>
      <c r="H72" s="4577"/>
      <c r="I72" s="4577"/>
      <c r="J72" s="4577"/>
      <c r="K72" s="4577"/>
      <c r="L72" s="4577"/>
      <c r="M72" s="4577"/>
      <c r="N72" s="4577"/>
      <c r="O72" s="4577"/>
      <c r="P72" s="4577"/>
      <c r="Q72" s="4577"/>
      <c r="R72" s="4577"/>
      <c r="S72" s="4577"/>
      <c r="T72" s="4577"/>
      <c r="U72" s="4577"/>
      <c r="V72" s="4577"/>
      <c r="W72" s="5437"/>
      <c r="X72" s="532"/>
      <c r="Y72" s="9"/>
      <c r="Z72" s="9"/>
      <c r="AA72" s="1022"/>
      <c r="AB72" s="5430"/>
      <c r="AC72" s="5431"/>
      <c r="AD72" s="5431"/>
      <c r="AE72" s="5431"/>
      <c r="AF72" s="5431"/>
      <c r="AG72" s="5432"/>
      <c r="AH72" s="4448"/>
      <c r="AI72" s="4448"/>
      <c r="AJ72" s="4448"/>
      <c r="AK72" s="4448"/>
      <c r="AL72" s="4448"/>
      <c r="AM72" s="4448"/>
      <c r="AN72" s="4448"/>
      <c r="AO72" s="4448"/>
      <c r="AP72" s="4448"/>
      <c r="AQ72" s="4448"/>
      <c r="AR72" s="1088"/>
      <c r="AS72" s="9"/>
      <c r="AT72" s="530"/>
      <c r="BH72" s="530"/>
      <c r="BI72" s="530"/>
      <c r="BJ72" s="530"/>
      <c r="BK72" s="530"/>
      <c r="BL72" s="530"/>
      <c r="BM72" s="530"/>
      <c r="BN72" s="530"/>
    </row>
    <row r="73" spans="1:66" ht="12" customHeight="1">
      <c r="A73" s="9"/>
      <c r="B73" s="1049"/>
      <c r="C73" s="5436"/>
      <c r="D73" s="4577"/>
      <c r="E73" s="4577"/>
      <c r="F73" s="4577"/>
      <c r="G73" s="4577"/>
      <c r="H73" s="4577"/>
      <c r="I73" s="4577"/>
      <c r="J73" s="4577"/>
      <c r="K73" s="4577"/>
      <c r="L73" s="4577"/>
      <c r="M73" s="4577"/>
      <c r="N73" s="4577"/>
      <c r="O73" s="4577"/>
      <c r="P73" s="4577"/>
      <c r="Q73" s="4577"/>
      <c r="R73" s="4577"/>
      <c r="S73" s="4577"/>
      <c r="T73" s="4577"/>
      <c r="U73" s="4577"/>
      <c r="V73" s="4577"/>
      <c r="W73" s="5437"/>
      <c r="X73" s="532"/>
      <c r="Y73" s="9"/>
      <c r="Z73" s="9"/>
      <c r="AA73" s="1022"/>
      <c r="AB73" s="5430" t="str">
        <f>IF(PDs!E95=0,"",PDs!E95)</f>
        <v/>
      </c>
      <c r="AC73" s="5431"/>
      <c r="AD73" s="5431"/>
      <c r="AE73" s="5431"/>
      <c r="AF73" s="5431"/>
      <c r="AG73" s="5432"/>
      <c r="AH73" s="4448" t="str">
        <f>IF(AB73="","",VLOOKUP(AB73,Tabla_ArsInanimis,7,FALSE))</f>
        <v/>
      </c>
      <c r="AI73" s="4448"/>
      <c r="AJ73" s="4448"/>
      <c r="AK73" s="4448"/>
      <c r="AL73" s="4448"/>
      <c r="AM73" s="4448"/>
      <c r="AN73" s="4448"/>
      <c r="AO73" s="4448"/>
      <c r="AP73" s="4448"/>
      <c r="AQ73" s="4448"/>
      <c r="AR73" s="1088"/>
      <c r="AS73" s="9"/>
      <c r="AT73" s="3644"/>
      <c r="BH73" s="530"/>
      <c r="BI73" s="530"/>
      <c r="BJ73" s="530"/>
      <c r="BK73" s="530"/>
      <c r="BL73" s="530"/>
      <c r="BM73" s="530"/>
      <c r="BN73" s="530"/>
    </row>
    <row r="74" spans="1:66" ht="12" customHeight="1">
      <c r="A74" s="9"/>
      <c r="B74" s="1049"/>
      <c r="C74" s="5436"/>
      <c r="D74" s="4577"/>
      <c r="E74" s="4577"/>
      <c r="F74" s="4577"/>
      <c r="G74" s="4577"/>
      <c r="H74" s="4577"/>
      <c r="I74" s="4577"/>
      <c r="J74" s="4577"/>
      <c r="K74" s="4577"/>
      <c r="L74" s="4577"/>
      <c r="M74" s="4577"/>
      <c r="N74" s="4577"/>
      <c r="O74" s="4577"/>
      <c r="P74" s="4577"/>
      <c r="Q74" s="4577"/>
      <c r="R74" s="4577"/>
      <c r="S74" s="4577"/>
      <c r="T74" s="4577"/>
      <c r="U74" s="4577"/>
      <c r="V74" s="4577"/>
      <c r="W74" s="5437"/>
      <c r="X74" s="532"/>
      <c r="Y74" s="9"/>
      <c r="Z74" s="9"/>
      <c r="AA74" s="1022"/>
      <c r="AB74" s="5430"/>
      <c r="AC74" s="5431"/>
      <c r="AD74" s="5431"/>
      <c r="AE74" s="5431"/>
      <c r="AF74" s="5431"/>
      <c r="AG74" s="5432"/>
      <c r="AH74" s="4448"/>
      <c r="AI74" s="4448"/>
      <c r="AJ74" s="4448"/>
      <c r="AK74" s="4448"/>
      <c r="AL74" s="4448"/>
      <c r="AM74" s="4448"/>
      <c r="AN74" s="4448"/>
      <c r="AO74" s="4448"/>
      <c r="AP74" s="4448"/>
      <c r="AQ74" s="4448"/>
      <c r="AR74" s="1088"/>
      <c r="AS74" s="9"/>
      <c r="AT74" s="530"/>
      <c r="BH74" s="530"/>
      <c r="BI74" s="530"/>
      <c r="BJ74" s="530"/>
      <c r="BK74" s="530"/>
      <c r="BL74" s="530"/>
      <c r="BM74" s="530"/>
      <c r="BN74" s="530"/>
    </row>
    <row r="75" spans="1:66" ht="12" customHeight="1">
      <c r="A75" s="9"/>
      <c r="B75" s="1049"/>
      <c r="C75" s="5436"/>
      <c r="D75" s="4577"/>
      <c r="E75" s="4577"/>
      <c r="F75" s="4577"/>
      <c r="G75" s="4577"/>
      <c r="H75" s="4577"/>
      <c r="I75" s="4577"/>
      <c r="J75" s="4577"/>
      <c r="K75" s="4577"/>
      <c r="L75" s="4577"/>
      <c r="M75" s="4577"/>
      <c r="N75" s="4577"/>
      <c r="O75" s="4577"/>
      <c r="P75" s="4577"/>
      <c r="Q75" s="4577"/>
      <c r="R75" s="4577"/>
      <c r="S75" s="4577"/>
      <c r="T75" s="4577"/>
      <c r="U75" s="4577"/>
      <c r="V75" s="4577"/>
      <c r="W75" s="5437"/>
      <c r="X75" s="532"/>
      <c r="Y75" s="9"/>
      <c r="Z75" s="9"/>
      <c r="AA75" s="1022"/>
      <c r="AB75" s="5430" t="str">
        <f>IF(PDs!E96=0,"",PDs!E96)</f>
        <v/>
      </c>
      <c r="AC75" s="5431"/>
      <c r="AD75" s="5431"/>
      <c r="AE75" s="5431"/>
      <c r="AF75" s="5431"/>
      <c r="AG75" s="5432"/>
      <c r="AH75" s="5444" t="str">
        <f>IF(AB75="","",VLOOKUP(AB75,Tabla_ArsInanimis,7,FALSE))</f>
        <v/>
      </c>
      <c r="AI75" s="5429"/>
      <c r="AJ75" s="5429"/>
      <c r="AK75" s="5429"/>
      <c r="AL75" s="5429"/>
      <c r="AM75" s="5429"/>
      <c r="AN75" s="5429"/>
      <c r="AO75" s="5429"/>
      <c r="AP75" s="5429"/>
      <c r="AQ75" s="5429"/>
      <c r="AR75" s="1088"/>
      <c r="AS75" s="9"/>
      <c r="AT75" s="530"/>
      <c r="BH75" s="530"/>
      <c r="BI75" s="530"/>
      <c r="BJ75" s="530"/>
      <c r="BK75" s="530"/>
      <c r="BL75" s="530"/>
      <c r="BM75" s="530"/>
      <c r="BN75" s="530"/>
    </row>
    <row r="76" spans="1:66" ht="12" customHeight="1" thickBot="1">
      <c r="A76" s="9"/>
      <c r="B76" s="1049"/>
      <c r="C76" s="5436"/>
      <c r="D76" s="4577"/>
      <c r="E76" s="4577"/>
      <c r="F76" s="4577"/>
      <c r="G76" s="4577"/>
      <c r="H76" s="4577"/>
      <c r="I76" s="4577"/>
      <c r="J76" s="4577"/>
      <c r="K76" s="4577"/>
      <c r="L76" s="4577"/>
      <c r="M76" s="4577"/>
      <c r="N76" s="4577"/>
      <c r="O76" s="4577"/>
      <c r="P76" s="4577"/>
      <c r="Q76" s="4577"/>
      <c r="R76" s="4577"/>
      <c r="S76" s="4577"/>
      <c r="T76" s="4577"/>
      <c r="U76" s="4577"/>
      <c r="V76" s="4577"/>
      <c r="W76" s="5437"/>
      <c r="X76" s="532"/>
      <c r="Y76" s="9"/>
      <c r="Z76" s="9"/>
      <c r="AA76" s="1022"/>
      <c r="AB76" s="5441"/>
      <c r="AC76" s="5442"/>
      <c r="AD76" s="5442"/>
      <c r="AE76" s="5442"/>
      <c r="AF76" s="5442"/>
      <c r="AG76" s="5443"/>
      <c r="AH76" s="5445"/>
      <c r="AI76" s="5446"/>
      <c r="AJ76" s="5446"/>
      <c r="AK76" s="5446"/>
      <c r="AL76" s="5446"/>
      <c r="AM76" s="5446"/>
      <c r="AN76" s="5446"/>
      <c r="AO76" s="5446"/>
      <c r="AP76" s="5446"/>
      <c r="AQ76" s="5446"/>
      <c r="AR76" s="1088"/>
      <c r="AS76" s="9"/>
      <c r="AT76" s="530"/>
      <c r="BH76" s="530"/>
      <c r="BI76" s="530"/>
      <c r="BJ76" s="530"/>
      <c r="BK76" s="530"/>
      <c r="BL76" s="530"/>
      <c r="BM76" s="530"/>
      <c r="BN76" s="530"/>
    </row>
    <row r="77" spans="1:66" ht="12" customHeight="1" thickBot="1">
      <c r="A77" s="9"/>
      <c r="B77" s="1049"/>
      <c r="C77" s="5436"/>
      <c r="D77" s="4577"/>
      <c r="E77" s="4577"/>
      <c r="F77" s="4577"/>
      <c r="G77" s="4577"/>
      <c r="H77" s="4577"/>
      <c r="I77" s="4577"/>
      <c r="J77" s="4577"/>
      <c r="K77" s="4577"/>
      <c r="L77" s="4577"/>
      <c r="M77" s="4577"/>
      <c r="N77" s="4577"/>
      <c r="O77" s="4577"/>
      <c r="P77" s="4577"/>
      <c r="Q77" s="4577"/>
      <c r="R77" s="4577"/>
      <c r="S77" s="4577"/>
      <c r="T77" s="4577"/>
      <c r="U77" s="4577"/>
      <c r="V77" s="4577"/>
      <c r="W77" s="5437"/>
      <c r="X77" s="532"/>
      <c r="Y77" s="9"/>
      <c r="Z77" s="9"/>
      <c r="AA77" s="1022"/>
      <c r="AR77" s="1088"/>
      <c r="AS77" s="9"/>
      <c r="AT77" s="530"/>
      <c r="BH77" s="530"/>
      <c r="BI77" s="530"/>
      <c r="BJ77" s="530"/>
      <c r="BK77" s="530"/>
      <c r="BL77" s="530"/>
      <c r="BM77" s="530"/>
      <c r="BN77" s="530"/>
    </row>
    <row r="78" spans="1:66" ht="12" customHeight="1" thickBot="1">
      <c r="A78" s="9"/>
      <c r="B78" s="1049"/>
      <c r="C78" s="5436"/>
      <c r="D78" s="4577"/>
      <c r="E78" s="4577"/>
      <c r="F78" s="4577"/>
      <c r="G78" s="4577"/>
      <c r="H78" s="4577"/>
      <c r="I78" s="4577"/>
      <c r="J78" s="4577"/>
      <c r="K78" s="4577"/>
      <c r="L78" s="4577"/>
      <c r="M78" s="4577"/>
      <c r="N78" s="4577"/>
      <c r="O78" s="4577"/>
      <c r="P78" s="4577"/>
      <c r="Q78" s="4577"/>
      <c r="R78" s="4577"/>
      <c r="S78" s="4577"/>
      <c r="T78" s="4577"/>
      <c r="U78" s="4577"/>
      <c r="V78" s="4577"/>
      <c r="W78" s="5437"/>
      <c r="X78" s="532"/>
      <c r="Y78" s="9"/>
      <c r="Z78" s="9"/>
      <c r="AA78" s="443"/>
      <c r="AB78" s="4372" t="s">
        <v>10030</v>
      </c>
      <c r="AC78" s="4372"/>
      <c r="AD78" s="4372"/>
      <c r="AE78" s="4372"/>
      <c r="AF78" s="4372"/>
      <c r="AG78" s="4372"/>
      <c r="AH78" s="5447" t="s">
        <v>1408</v>
      </c>
      <c r="AI78" s="5447"/>
      <c r="AJ78" s="5447"/>
      <c r="AK78" s="5447"/>
      <c r="AL78" s="5447"/>
      <c r="AM78" s="5447"/>
      <c r="AN78" s="5447"/>
      <c r="AO78" s="5447"/>
      <c r="AP78" s="5447"/>
      <c r="AQ78" s="5447"/>
      <c r="AR78" s="1088"/>
      <c r="AS78" s="9"/>
      <c r="BB78" s="21"/>
      <c r="BC78" s="21"/>
      <c r="BD78" s="21"/>
      <c r="BE78" s="21"/>
      <c r="BF78" s="21"/>
      <c r="BG78" s="21"/>
    </row>
    <row r="79" spans="1:66" ht="12" customHeight="1">
      <c r="A79" s="9"/>
      <c r="B79" s="1049"/>
      <c r="C79" s="5436"/>
      <c r="D79" s="4577"/>
      <c r="E79" s="4577"/>
      <c r="F79" s="4577"/>
      <c r="G79" s="4577"/>
      <c r="H79" s="4577"/>
      <c r="I79" s="4577"/>
      <c r="J79" s="4577"/>
      <c r="K79" s="4577"/>
      <c r="L79" s="4577"/>
      <c r="M79" s="4577"/>
      <c r="N79" s="4577"/>
      <c r="O79" s="4577"/>
      <c r="P79" s="4577"/>
      <c r="Q79" s="4577"/>
      <c r="R79" s="4577"/>
      <c r="S79" s="4577"/>
      <c r="T79" s="4577"/>
      <c r="U79" s="4577"/>
      <c r="V79" s="4577"/>
      <c r="W79" s="5437"/>
      <c r="X79" s="532"/>
      <c r="Y79" s="9"/>
      <c r="Z79" s="9"/>
      <c r="AA79" s="443"/>
      <c r="AB79" s="5448" t="str">
        <f>IF(PDs!E91=0,"",PDs!E91)</f>
        <v/>
      </c>
      <c r="AC79" s="5449"/>
      <c r="AD79" s="5449"/>
      <c r="AE79" s="5449"/>
      <c r="AF79" s="5449"/>
      <c r="AG79" s="5450"/>
      <c r="AH79" s="5426" t="str">
        <f>IF(AB79="","",VLOOKUP(AB79,Tabla_ArsCognitiam,13,FALSE))</f>
        <v/>
      </c>
      <c r="AI79" s="5427"/>
      <c r="AJ79" s="5427"/>
      <c r="AK79" s="5427"/>
      <c r="AL79" s="5427"/>
      <c r="AM79" s="5427"/>
      <c r="AN79" s="5427"/>
      <c r="AO79" s="5427"/>
      <c r="AP79" s="5427"/>
      <c r="AQ79" s="5428"/>
      <c r="AR79" s="1088"/>
      <c r="AS79" s="9"/>
      <c r="BB79" s="21"/>
      <c r="BC79" s="21"/>
      <c r="BD79" s="21"/>
      <c r="BE79" s="21"/>
      <c r="BF79" s="21"/>
      <c r="BG79" s="21"/>
    </row>
    <row r="80" spans="1:66" ht="12" customHeight="1">
      <c r="A80" s="9"/>
      <c r="B80" s="1049"/>
      <c r="C80" s="5436"/>
      <c r="D80" s="4577"/>
      <c r="E80" s="4577"/>
      <c r="F80" s="4577"/>
      <c r="G80" s="4577"/>
      <c r="H80" s="4577"/>
      <c r="I80" s="4577"/>
      <c r="J80" s="4577"/>
      <c r="K80" s="4577"/>
      <c r="L80" s="4577"/>
      <c r="M80" s="4577"/>
      <c r="N80" s="4577"/>
      <c r="O80" s="4577"/>
      <c r="P80" s="4577"/>
      <c r="Q80" s="4577"/>
      <c r="R80" s="4577"/>
      <c r="S80" s="4577"/>
      <c r="T80" s="4577"/>
      <c r="U80" s="4577"/>
      <c r="V80" s="4577"/>
      <c r="W80" s="5437"/>
      <c r="X80" s="532"/>
      <c r="Y80" s="9"/>
      <c r="Z80" s="9"/>
      <c r="AA80" s="443"/>
      <c r="AB80" s="5430"/>
      <c r="AC80" s="5431"/>
      <c r="AD80" s="5431"/>
      <c r="AE80" s="5431"/>
      <c r="AF80" s="5431"/>
      <c r="AG80" s="5432"/>
      <c r="AH80" s="4446"/>
      <c r="AI80" s="4447"/>
      <c r="AJ80" s="4447"/>
      <c r="AK80" s="4447"/>
      <c r="AL80" s="4447"/>
      <c r="AM80" s="4447"/>
      <c r="AN80" s="4447"/>
      <c r="AO80" s="4447"/>
      <c r="AP80" s="4447"/>
      <c r="AQ80" s="5429"/>
      <c r="AR80" s="1088"/>
      <c r="AS80" s="9"/>
      <c r="BB80" s="21"/>
      <c r="BC80" s="21"/>
      <c r="BD80" s="21"/>
      <c r="BE80" s="21"/>
      <c r="BF80" s="21"/>
      <c r="BG80" s="21"/>
    </row>
    <row r="81" spans="1:59" ht="12" customHeight="1">
      <c r="A81" s="9"/>
      <c r="B81" s="1049"/>
      <c r="C81" s="5436"/>
      <c r="D81" s="4577"/>
      <c r="E81" s="4577"/>
      <c r="F81" s="4577"/>
      <c r="G81" s="4577"/>
      <c r="H81" s="4577"/>
      <c r="I81" s="4577"/>
      <c r="J81" s="4577"/>
      <c r="K81" s="4577"/>
      <c r="L81" s="4577"/>
      <c r="M81" s="4577"/>
      <c r="N81" s="4577"/>
      <c r="O81" s="4577"/>
      <c r="P81" s="4577"/>
      <c r="Q81" s="4577"/>
      <c r="R81" s="4577"/>
      <c r="S81" s="4577"/>
      <c r="T81" s="4577"/>
      <c r="U81" s="4577"/>
      <c r="V81" s="4577"/>
      <c r="W81" s="5437"/>
      <c r="X81" s="532"/>
      <c r="Y81" s="9"/>
      <c r="Z81" s="9"/>
      <c r="AA81" s="443"/>
      <c r="AB81" s="5430" t="str">
        <f>IF(PDs!E92=0,"",PDs!E92)</f>
        <v/>
      </c>
      <c r="AC81" s="5431"/>
      <c r="AD81" s="5431"/>
      <c r="AE81" s="5431"/>
      <c r="AF81" s="5431"/>
      <c r="AG81" s="5432"/>
      <c r="AH81" s="4448" t="str">
        <f>IF(AB81="","",VLOOKUP(AB81,Tabla_ArsCognitiam,13,FALSE))</f>
        <v/>
      </c>
      <c r="AI81" s="4448"/>
      <c r="AJ81" s="4448"/>
      <c r="AK81" s="4448"/>
      <c r="AL81" s="4448"/>
      <c r="AM81" s="4448"/>
      <c r="AN81" s="4448"/>
      <c r="AO81" s="4448"/>
      <c r="AP81" s="4448"/>
      <c r="AQ81" s="4448"/>
      <c r="AR81" s="1088"/>
      <c r="AS81" s="9"/>
      <c r="BB81" s="21"/>
      <c r="BC81" s="21"/>
      <c r="BD81" s="21"/>
      <c r="BE81" s="21"/>
      <c r="BF81" s="21"/>
      <c r="BG81" s="21"/>
    </row>
    <row r="82" spans="1:59" ht="12" customHeight="1">
      <c r="A82" s="9"/>
      <c r="B82" s="1049"/>
      <c r="C82" s="5436"/>
      <c r="D82" s="4577"/>
      <c r="E82" s="4577"/>
      <c r="F82" s="4577"/>
      <c r="G82" s="4577"/>
      <c r="H82" s="4577"/>
      <c r="I82" s="4577"/>
      <c r="J82" s="4577"/>
      <c r="K82" s="4577"/>
      <c r="L82" s="4577"/>
      <c r="M82" s="4577"/>
      <c r="N82" s="4577"/>
      <c r="O82" s="4577"/>
      <c r="P82" s="4577"/>
      <c r="Q82" s="4577"/>
      <c r="R82" s="4577"/>
      <c r="S82" s="4577"/>
      <c r="T82" s="4577"/>
      <c r="U82" s="4577"/>
      <c r="V82" s="4577"/>
      <c r="W82" s="5437"/>
      <c r="X82" s="532"/>
      <c r="Y82" s="9"/>
      <c r="Z82" s="9"/>
      <c r="AA82" s="443"/>
      <c r="AB82" s="5430"/>
      <c r="AC82" s="5431"/>
      <c r="AD82" s="5431"/>
      <c r="AE82" s="5431"/>
      <c r="AF82" s="5431"/>
      <c r="AG82" s="5432"/>
      <c r="AH82" s="4448"/>
      <c r="AI82" s="4448"/>
      <c r="AJ82" s="4448"/>
      <c r="AK82" s="4448"/>
      <c r="AL82" s="4448"/>
      <c r="AM82" s="4448"/>
      <c r="AN82" s="4448"/>
      <c r="AO82" s="4448"/>
      <c r="AP82" s="4448"/>
      <c r="AQ82" s="4448"/>
      <c r="AR82" s="1088"/>
      <c r="AS82" s="9"/>
      <c r="BB82" s="21"/>
      <c r="BC82" s="21"/>
      <c r="BD82" s="21"/>
      <c r="BE82" s="21"/>
      <c r="BF82" s="21"/>
      <c r="BG82" s="21"/>
    </row>
    <row r="83" spans="1:59" ht="12" customHeight="1">
      <c r="A83" s="9"/>
      <c r="B83" s="1049"/>
      <c r="C83" s="5436"/>
      <c r="D83" s="4577"/>
      <c r="E83" s="4577"/>
      <c r="F83" s="4577"/>
      <c r="G83" s="4577"/>
      <c r="H83" s="4577"/>
      <c r="I83" s="4577"/>
      <c r="J83" s="4577"/>
      <c r="K83" s="4577"/>
      <c r="L83" s="4577"/>
      <c r="M83" s="4577"/>
      <c r="N83" s="4577"/>
      <c r="O83" s="4577"/>
      <c r="P83" s="4577"/>
      <c r="Q83" s="4577"/>
      <c r="R83" s="4577"/>
      <c r="S83" s="4577"/>
      <c r="T83" s="4577"/>
      <c r="U83" s="4577"/>
      <c r="V83" s="4577"/>
      <c r="W83" s="5437"/>
      <c r="X83" s="532"/>
      <c r="Y83" s="9"/>
      <c r="Z83" s="9"/>
      <c r="AA83" s="443"/>
      <c r="AB83" s="5430" t="str">
        <f>IF(PDs!E93=0,"",PDs!E93)</f>
        <v/>
      </c>
      <c r="AC83" s="5431"/>
      <c r="AD83" s="5431"/>
      <c r="AE83" s="5431"/>
      <c r="AF83" s="5431"/>
      <c r="AG83" s="5432"/>
      <c r="AH83" s="4448" t="str">
        <f>IF(AB83="","",VLOOKUP(AB83,Tabla_ArsCognitiam,13,FALSE))</f>
        <v/>
      </c>
      <c r="AI83" s="4448"/>
      <c r="AJ83" s="4448"/>
      <c r="AK83" s="4448"/>
      <c r="AL83" s="4448"/>
      <c r="AM83" s="4448"/>
      <c r="AN83" s="4448"/>
      <c r="AO83" s="4448"/>
      <c r="AP83" s="4448"/>
      <c r="AQ83" s="4448"/>
      <c r="AR83" s="1088"/>
      <c r="AS83" s="9"/>
      <c r="BB83" s="21"/>
      <c r="BC83" s="21"/>
      <c r="BD83" s="21"/>
      <c r="BE83" s="21"/>
      <c r="BF83" s="21"/>
      <c r="BG83" s="21"/>
    </row>
    <row r="84" spans="1:59" ht="12" customHeight="1">
      <c r="A84" s="9"/>
      <c r="B84" s="1049"/>
      <c r="C84" s="5436"/>
      <c r="D84" s="4577"/>
      <c r="E84" s="4577"/>
      <c r="F84" s="4577"/>
      <c r="G84" s="4577"/>
      <c r="H84" s="4577"/>
      <c r="I84" s="4577"/>
      <c r="J84" s="4577"/>
      <c r="K84" s="4577"/>
      <c r="L84" s="4577"/>
      <c r="M84" s="4577"/>
      <c r="N84" s="4577"/>
      <c r="O84" s="4577"/>
      <c r="P84" s="4577"/>
      <c r="Q84" s="4577"/>
      <c r="R84" s="4577"/>
      <c r="S84" s="4577"/>
      <c r="T84" s="4577"/>
      <c r="U84" s="4577"/>
      <c r="V84" s="4577"/>
      <c r="W84" s="5437"/>
      <c r="X84" s="532"/>
      <c r="Y84" s="9"/>
      <c r="Z84" s="9"/>
      <c r="AA84" s="443"/>
      <c r="AB84" s="5430"/>
      <c r="AC84" s="5431"/>
      <c r="AD84" s="5431"/>
      <c r="AE84" s="5431"/>
      <c r="AF84" s="5431"/>
      <c r="AG84" s="5432"/>
      <c r="AH84" s="4448"/>
      <c r="AI84" s="4448"/>
      <c r="AJ84" s="4448"/>
      <c r="AK84" s="4448"/>
      <c r="AL84" s="4448"/>
      <c r="AM84" s="4448"/>
      <c r="AN84" s="4448"/>
      <c r="AO84" s="4448"/>
      <c r="AP84" s="4448"/>
      <c r="AQ84" s="4448"/>
      <c r="AR84" s="1088"/>
      <c r="AS84" s="9"/>
      <c r="BB84" s="21"/>
      <c r="BC84" s="21"/>
      <c r="BD84" s="21"/>
      <c r="BE84" s="21"/>
      <c r="BF84" s="21"/>
      <c r="BG84" s="21"/>
    </row>
    <row r="85" spans="1:59" ht="12" customHeight="1">
      <c r="A85" s="9"/>
      <c r="B85" s="1049"/>
      <c r="C85" s="5436"/>
      <c r="D85" s="4577"/>
      <c r="E85" s="4577"/>
      <c r="F85" s="4577"/>
      <c r="G85" s="4577"/>
      <c r="H85" s="4577"/>
      <c r="I85" s="4577"/>
      <c r="J85" s="4577"/>
      <c r="K85" s="4577"/>
      <c r="L85" s="4577"/>
      <c r="M85" s="4577"/>
      <c r="N85" s="4577"/>
      <c r="O85" s="4577"/>
      <c r="P85" s="4577"/>
      <c r="Q85" s="4577"/>
      <c r="R85" s="4577"/>
      <c r="S85" s="4577"/>
      <c r="T85" s="4577"/>
      <c r="U85" s="4577"/>
      <c r="V85" s="4577"/>
      <c r="W85" s="5437"/>
      <c r="X85" s="532"/>
      <c r="Y85" s="9"/>
      <c r="Z85" s="9"/>
      <c r="AA85" s="443"/>
      <c r="AB85" s="5430" t="str">
        <f>IF(PDs!E94=0,"",PDs!E94)</f>
        <v/>
      </c>
      <c r="AC85" s="5431"/>
      <c r="AD85" s="5431"/>
      <c r="AE85" s="5431"/>
      <c r="AF85" s="5431"/>
      <c r="AG85" s="5432"/>
      <c r="AH85" s="4448" t="str">
        <f>IF(AB85="","",VLOOKUP(AB85,Tabla_ArsCognitiam,13,FALSE))</f>
        <v/>
      </c>
      <c r="AI85" s="4448"/>
      <c r="AJ85" s="4448"/>
      <c r="AK85" s="4448"/>
      <c r="AL85" s="4448"/>
      <c r="AM85" s="4448"/>
      <c r="AN85" s="4448"/>
      <c r="AO85" s="4448"/>
      <c r="AP85" s="4448"/>
      <c r="AQ85" s="4448"/>
      <c r="AR85" s="1088"/>
      <c r="AS85" s="9"/>
      <c r="BB85" s="21"/>
      <c r="BC85" s="21"/>
      <c r="BD85" s="21"/>
      <c r="BE85" s="21"/>
      <c r="BF85" s="21"/>
      <c r="BG85" s="21"/>
    </row>
    <row r="86" spans="1:59" ht="12" customHeight="1">
      <c r="A86" s="9"/>
      <c r="B86" s="1049"/>
      <c r="C86" s="5436"/>
      <c r="D86" s="4577"/>
      <c r="E86" s="4577"/>
      <c r="F86" s="4577"/>
      <c r="G86" s="4577"/>
      <c r="H86" s="4577"/>
      <c r="I86" s="4577"/>
      <c r="J86" s="4577"/>
      <c r="K86" s="4577"/>
      <c r="L86" s="4577"/>
      <c r="M86" s="4577"/>
      <c r="N86" s="4577"/>
      <c r="O86" s="4577"/>
      <c r="P86" s="4577"/>
      <c r="Q86" s="4577"/>
      <c r="R86" s="4577"/>
      <c r="S86" s="4577"/>
      <c r="T86" s="4577"/>
      <c r="U86" s="4577"/>
      <c r="V86" s="4577"/>
      <c r="W86" s="5437"/>
      <c r="X86" s="532"/>
      <c r="Y86" s="9"/>
      <c r="Z86" s="9"/>
      <c r="AA86" s="443"/>
      <c r="AB86" s="5430"/>
      <c r="AC86" s="5431"/>
      <c r="AD86" s="5431"/>
      <c r="AE86" s="5431"/>
      <c r="AF86" s="5431"/>
      <c r="AG86" s="5432"/>
      <c r="AH86" s="4448"/>
      <c r="AI86" s="4448"/>
      <c r="AJ86" s="4448"/>
      <c r="AK86" s="4448"/>
      <c r="AL86" s="4448"/>
      <c r="AM86" s="4448"/>
      <c r="AN86" s="4448"/>
      <c r="AO86" s="4448"/>
      <c r="AP86" s="4448"/>
      <c r="AQ86" s="4448"/>
      <c r="AR86" s="1088"/>
      <c r="AS86" s="9"/>
      <c r="BB86" s="21"/>
      <c r="BC86" s="21"/>
      <c r="BD86" s="21"/>
      <c r="BE86" s="21"/>
      <c r="BF86" s="21"/>
      <c r="BG86" s="21"/>
    </row>
    <row r="87" spans="1:59" ht="12" customHeight="1">
      <c r="A87" s="9"/>
      <c r="B87" s="1049"/>
      <c r="C87" s="5436"/>
      <c r="D87" s="4577"/>
      <c r="E87" s="4577"/>
      <c r="F87" s="4577"/>
      <c r="G87" s="4577"/>
      <c r="H87" s="4577"/>
      <c r="I87" s="4577"/>
      <c r="J87" s="4577"/>
      <c r="K87" s="4577"/>
      <c r="L87" s="4577"/>
      <c r="M87" s="4577"/>
      <c r="N87" s="4577"/>
      <c r="O87" s="4577"/>
      <c r="P87" s="4577"/>
      <c r="Q87" s="4577"/>
      <c r="R87" s="4577"/>
      <c r="S87" s="4577"/>
      <c r="T87" s="4577"/>
      <c r="U87" s="4577"/>
      <c r="V87" s="4577"/>
      <c r="W87" s="5437"/>
      <c r="X87" s="532"/>
      <c r="Y87" s="9"/>
      <c r="Z87" s="9"/>
      <c r="AA87" s="443"/>
      <c r="AB87" s="5430" t="str">
        <f>IF(PDs!E95=0,"",PDs!E95)</f>
        <v/>
      </c>
      <c r="AC87" s="5431"/>
      <c r="AD87" s="5431"/>
      <c r="AE87" s="5431"/>
      <c r="AF87" s="5431"/>
      <c r="AG87" s="5432"/>
      <c r="AH87" s="5444" t="str">
        <f>IF(AB87="","",VLOOKUP(AB87,Tabla_ArsCognitiam,13,FALSE))</f>
        <v/>
      </c>
      <c r="AI87" s="5429"/>
      <c r="AJ87" s="5429"/>
      <c r="AK87" s="5429"/>
      <c r="AL87" s="5429"/>
      <c r="AM87" s="5429"/>
      <c r="AN87" s="5429"/>
      <c r="AO87" s="5429"/>
      <c r="AP87" s="5429"/>
      <c r="AQ87" s="5429"/>
      <c r="AR87" s="1088"/>
      <c r="AS87" s="9"/>
      <c r="BB87" s="21"/>
      <c r="BC87" s="21"/>
      <c r="BD87" s="21"/>
      <c r="BE87" s="21"/>
      <c r="BF87" s="21"/>
      <c r="BG87" s="21"/>
    </row>
    <row r="88" spans="1:59" ht="12" customHeight="1" thickBot="1">
      <c r="A88" s="9"/>
      <c r="B88" s="1049"/>
      <c r="C88" s="5436"/>
      <c r="D88" s="4577"/>
      <c r="E88" s="4577"/>
      <c r="F88" s="4577"/>
      <c r="G88" s="4577"/>
      <c r="H88" s="4577"/>
      <c r="I88" s="4577"/>
      <c r="J88" s="4577"/>
      <c r="K88" s="4577"/>
      <c r="L88" s="4577"/>
      <c r="M88" s="4577"/>
      <c r="N88" s="4577"/>
      <c r="O88" s="4577"/>
      <c r="P88" s="4577"/>
      <c r="Q88" s="4577"/>
      <c r="R88" s="4577"/>
      <c r="S88" s="4577"/>
      <c r="T88" s="4577"/>
      <c r="U88" s="4577"/>
      <c r="V88" s="4577"/>
      <c r="W88" s="5437"/>
      <c r="X88" s="532"/>
      <c r="Y88" s="9"/>
      <c r="Z88" s="9"/>
      <c r="AA88" s="443"/>
      <c r="AB88" s="5441"/>
      <c r="AC88" s="5442"/>
      <c r="AD88" s="5442"/>
      <c r="AE88" s="5442"/>
      <c r="AF88" s="5442"/>
      <c r="AG88" s="5443"/>
      <c r="AH88" s="5445"/>
      <c r="AI88" s="5446"/>
      <c r="AJ88" s="5446"/>
      <c r="AK88" s="5446"/>
      <c r="AL88" s="5446"/>
      <c r="AM88" s="5446"/>
      <c r="AN88" s="5446"/>
      <c r="AO88" s="5446"/>
      <c r="AP88" s="5446"/>
      <c r="AQ88" s="5446"/>
      <c r="AR88" s="1088"/>
      <c r="AS88" s="9"/>
      <c r="BB88" s="21"/>
      <c r="BC88" s="21"/>
      <c r="BD88" s="21"/>
      <c r="BE88" s="21"/>
      <c r="BF88" s="21"/>
      <c r="BG88" s="21"/>
    </row>
    <row r="89" spans="1:59" ht="12" customHeight="1" thickBot="1">
      <c r="A89" s="9"/>
      <c r="B89" s="1049"/>
      <c r="C89" s="5436"/>
      <c r="D89" s="4577"/>
      <c r="E89" s="4577"/>
      <c r="F89" s="4577"/>
      <c r="G89" s="4577"/>
      <c r="H89" s="4577"/>
      <c r="I89" s="4577"/>
      <c r="J89" s="4577"/>
      <c r="K89" s="4577"/>
      <c r="L89" s="4577"/>
      <c r="M89" s="4577"/>
      <c r="N89" s="4577"/>
      <c r="O89" s="4577"/>
      <c r="P89" s="4577"/>
      <c r="Q89" s="4577"/>
      <c r="R89" s="4577"/>
      <c r="S89" s="4577"/>
      <c r="T89" s="4577"/>
      <c r="U89" s="4577"/>
      <c r="V89" s="4577"/>
      <c r="W89" s="5437"/>
      <c r="X89" s="532"/>
      <c r="Y89" s="9"/>
      <c r="Z89" s="9"/>
      <c r="AA89" s="443"/>
      <c r="AR89" s="1088"/>
      <c r="AS89" s="1044"/>
      <c r="BB89" s="21"/>
      <c r="BC89" s="21"/>
      <c r="BD89" s="21"/>
      <c r="BE89" s="21"/>
      <c r="BF89" s="21"/>
      <c r="BG89" s="21"/>
    </row>
    <row r="90" spans="1:59" ht="12" customHeight="1" thickBot="1">
      <c r="A90" s="9"/>
      <c r="B90" s="1049"/>
      <c r="C90" s="5436"/>
      <c r="D90" s="4577"/>
      <c r="E90" s="4577"/>
      <c r="F90" s="4577"/>
      <c r="G90" s="4577"/>
      <c r="H90" s="4577"/>
      <c r="I90" s="4577"/>
      <c r="J90" s="4577"/>
      <c r="K90" s="4577"/>
      <c r="L90" s="4577"/>
      <c r="M90" s="4577"/>
      <c r="N90" s="4577"/>
      <c r="O90" s="4577"/>
      <c r="P90" s="4577"/>
      <c r="Q90" s="4577"/>
      <c r="R90" s="4577"/>
      <c r="S90" s="4577"/>
      <c r="T90" s="4577"/>
      <c r="U90" s="4577"/>
      <c r="V90" s="4577"/>
      <c r="W90" s="5437"/>
      <c r="X90" s="532"/>
      <c r="Y90" s="9"/>
      <c r="Z90" s="9"/>
      <c r="AA90" s="443"/>
      <c r="AB90" s="4422" t="s">
        <v>9141</v>
      </c>
      <c r="AC90" s="4423"/>
      <c r="AD90" s="4423"/>
      <c r="AE90" s="4423"/>
      <c r="AF90" s="4423"/>
      <c r="AG90" s="4423"/>
      <c r="AH90" s="4423"/>
      <c r="AI90" s="4423"/>
      <c r="AJ90" s="4423"/>
      <c r="AK90" s="4423"/>
      <c r="AL90" s="4423"/>
      <c r="AM90" s="4423"/>
      <c r="AN90" s="4423"/>
      <c r="AO90" s="4423"/>
      <c r="AP90" s="4423"/>
      <c r="AQ90" s="4424"/>
      <c r="AR90" s="1088"/>
      <c r="AS90" s="1044"/>
      <c r="BB90" s="21"/>
      <c r="BC90" s="21"/>
      <c r="BD90" s="21"/>
      <c r="BE90" s="21"/>
      <c r="BF90" s="21"/>
      <c r="BG90" s="21"/>
    </row>
    <row r="91" spans="1:59" ht="12" customHeight="1">
      <c r="A91" s="9"/>
      <c r="B91" s="1049"/>
      <c r="C91" s="5436"/>
      <c r="D91" s="4577"/>
      <c r="E91" s="4577"/>
      <c r="F91" s="4577"/>
      <c r="G91" s="4577"/>
      <c r="H91" s="4577"/>
      <c r="I91" s="4577"/>
      <c r="J91" s="4577"/>
      <c r="K91" s="4577"/>
      <c r="L91" s="4577"/>
      <c r="M91" s="4577"/>
      <c r="N91" s="4577"/>
      <c r="O91" s="4577"/>
      <c r="P91" s="4577"/>
      <c r="Q91" s="4577"/>
      <c r="R91" s="4577"/>
      <c r="S91" s="4577"/>
      <c r="T91" s="4577"/>
      <c r="U91" s="4577"/>
      <c r="V91" s="4577"/>
      <c r="W91" s="5437"/>
      <c r="X91" s="532"/>
      <c r="Y91" s="9"/>
      <c r="Z91" s="9"/>
      <c r="AA91" s="443"/>
      <c r="AB91" s="5341"/>
      <c r="AC91" s="5342"/>
      <c r="AD91" s="5342"/>
      <c r="AE91" s="5342"/>
      <c r="AF91" s="5342"/>
      <c r="AG91" s="5342"/>
      <c r="AH91" s="5342"/>
      <c r="AI91" s="5342"/>
      <c r="AJ91" s="5342"/>
      <c r="AK91" s="5342"/>
      <c r="AL91" s="5342"/>
      <c r="AM91" s="5342"/>
      <c r="AN91" s="5342"/>
      <c r="AO91" s="5342"/>
      <c r="AP91" s="5342"/>
      <c r="AQ91" s="5343"/>
      <c r="AR91" s="1088"/>
      <c r="AS91" s="1044"/>
      <c r="BB91" s="21"/>
      <c r="BC91" s="21"/>
      <c r="BD91" s="21"/>
      <c r="BE91" s="21"/>
      <c r="BF91" s="21"/>
      <c r="BG91" s="21"/>
    </row>
    <row r="92" spans="1:59" ht="12" customHeight="1">
      <c r="A92" s="9"/>
      <c r="B92" s="1049"/>
      <c r="C92" s="5436"/>
      <c r="D92" s="4577"/>
      <c r="E92" s="4577"/>
      <c r="F92" s="4577"/>
      <c r="G92" s="4577"/>
      <c r="H92" s="4577"/>
      <c r="I92" s="4577"/>
      <c r="J92" s="4577"/>
      <c r="K92" s="4577"/>
      <c r="L92" s="4577"/>
      <c r="M92" s="4577"/>
      <c r="N92" s="4577"/>
      <c r="O92" s="4577"/>
      <c r="P92" s="4577"/>
      <c r="Q92" s="4577"/>
      <c r="R92" s="4577"/>
      <c r="S92" s="4577"/>
      <c r="T92" s="4577"/>
      <c r="U92" s="4577"/>
      <c r="V92" s="4577"/>
      <c r="W92" s="5437"/>
      <c r="X92" s="532"/>
      <c r="Y92" s="9"/>
      <c r="Z92" s="9"/>
      <c r="AA92" s="443"/>
      <c r="AB92" s="5344"/>
      <c r="AC92" s="4577"/>
      <c r="AD92" s="4577"/>
      <c r="AE92" s="4577"/>
      <c r="AF92" s="4577"/>
      <c r="AG92" s="4577"/>
      <c r="AH92" s="4577"/>
      <c r="AI92" s="4577"/>
      <c r="AJ92" s="4577"/>
      <c r="AK92" s="4577"/>
      <c r="AL92" s="4577"/>
      <c r="AM92" s="4577"/>
      <c r="AN92" s="4577"/>
      <c r="AO92" s="4577"/>
      <c r="AP92" s="4577"/>
      <c r="AQ92" s="5345"/>
      <c r="AR92" s="1088"/>
      <c r="AS92" s="1044"/>
      <c r="BB92" s="21"/>
      <c r="BC92" s="21"/>
      <c r="BD92" s="21"/>
      <c r="BE92" s="21"/>
      <c r="BF92" s="21"/>
      <c r="BG92" s="21"/>
    </row>
    <row r="93" spans="1:59" ht="12" customHeight="1">
      <c r="A93" s="9"/>
      <c r="B93" s="1049"/>
      <c r="C93" s="5436"/>
      <c r="D93" s="4577"/>
      <c r="E93" s="4577"/>
      <c r="F93" s="4577"/>
      <c r="G93" s="4577"/>
      <c r="H93" s="4577"/>
      <c r="I93" s="4577"/>
      <c r="J93" s="4577"/>
      <c r="K93" s="4577"/>
      <c r="L93" s="4577"/>
      <c r="M93" s="4577"/>
      <c r="N93" s="4577"/>
      <c r="O93" s="4577"/>
      <c r="P93" s="4577"/>
      <c r="Q93" s="4577"/>
      <c r="R93" s="4577"/>
      <c r="S93" s="4577"/>
      <c r="T93" s="4577"/>
      <c r="U93" s="4577"/>
      <c r="V93" s="4577"/>
      <c r="W93" s="5437"/>
      <c r="X93" s="532"/>
      <c r="Y93" s="9"/>
      <c r="Z93" s="9"/>
      <c r="AA93" s="443"/>
      <c r="AB93" s="5344"/>
      <c r="AC93" s="4577"/>
      <c r="AD93" s="4577"/>
      <c r="AE93" s="4577"/>
      <c r="AF93" s="4577"/>
      <c r="AG93" s="4577"/>
      <c r="AH93" s="4577"/>
      <c r="AI93" s="4577"/>
      <c r="AJ93" s="4577"/>
      <c r="AK93" s="4577"/>
      <c r="AL93" s="4577"/>
      <c r="AM93" s="4577"/>
      <c r="AN93" s="4577"/>
      <c r="AO93" s="4577"/>
      <c r="AP93" s="4577"/>
      <c r="AQ93" s="5345"/>
      <c r="AR93" s="1088"/>
      <c r="AS93" s="1044"/>
      <c r="AU93" s="21"/>
      <c r="AV93" s="21"/>
      <c r="AW93" s="21"/>
      <c r="AX93" s="21"/>
      <c r="AY93" s="21"/>
      <c r="AZ93" s="21"/>
      <c r="BA93" s="21"/>
      <c r="BB93" s="21"/>
      <c r="BC93" s="21"/>
      <c r="BD93" s="21"/>
      <c r="BE93" s="21"/>
      <c r="BF93" s="21"/>
      <c r="BG93" s="21"/>
    </row>
    <row r="94" spans="1:59" ht="12" customHeight="1">
      <c r="A94" s="9"/>
      <c r="B94" s="1049"/>
      <c r="C94" s="5436"/>
      <c r="D94" s="4577"/>
      <c r="E94" s="4577"/>
      <c r="F94" s="4577"/>
      <c r="G94" s="4577"/>
      <c r="H94" s="4577"/>
      <c r="I94" s="4577"/>
      <c r="J94" s="4577"/>
      <c r="K94" s="4577"/>
      <c r="L94" s="4577"/>
      <c r="M94" s="4577"/>
      <c r="N94" s="4577"/>
      <c r="O94" s="4577"/>
      <c r="P94" s="4577"/>
      <c r="Q94" s="4577"/>
      <c r="R94" s="4577"/>
      <c r="S94" s="4577"/>
      <c r="T94" s="4577"/>
      <c r="U94" s="4577"/>
      <c r="V94" s="4577"/>
      <c r="W94" s="5437"/>
      <c r="X94" s="532"/>
      <c r="Y94" s="9"/>
      <c r="Z94" s="9"/>
      <c r="AA94" s="443"/>
      <c r="AB94" s="5344"/>
      <c r="AC94" s="4577"/>
      <c r="AD94" s="4577"/>
      <c r="AE94" s="4577"/>
      <c r="AF94" s="4577"/>
      <c r="AG94" s="4577"/>
      <c r="AH94" s="4577"/>
      <c r="AI94" s="4577"/>
      <c r="AJ94" s="4577"/>
      <c r="AK94" s="4577"/>
      <c r="AL94" s="4577"/>
      <c r="AM94" s="4577"/>
      <c r="AN94" s="4577"/>
      <c r="AO94" s="4577"/>
      <c r="AP94" s="4577"/>
      <c r="AQ94" s="5345"/>
      <c r="AR94" s="1088"/>
      <c r="AS94" s="1044"/>
      <c r="AU94" s="21"/>
      <c r="AV94" s="21"/>
      <c r="AW94" s="21"/>
      <c r="AX94" s="21"/>
      <c r="AY94" s="21"/>
      <c r="AZ94" s="21"/>
      <c r="BA94" s="21"/>
      <c r="BB94" s="21"/>
      <c r="BC94" s="21"/>
      <c r="BD94" s="21"/>
      <c r="BE94" s="21"/>
      <c r="BF94" s="21"/>
      <c r="BG94" s="21"/>
    </row>
    <row r="95" spans="1:59" ht="12" customHeight="1" thickBot="1">
      <c r="A95" s="9"/>
      <c r="B95" s="1049"/>
      <c r="C95" s="5438"/>
      <c r="D95" s="5439"/>
      <c r="E95" s="5439"/>
      <c r="F95" s="5439"/>
      <c r="G95" s="5439"/>
      <c r="H95" s="5439"/>
      <c r="I95" s="5439"/>
      <c r="J95" s="5439"/>
      <c r="K95" s="5439"/>
      <c r="L95" s="5439"/>
      <c r="M95" s="5439"/>
      <c r="N95" s="5439"/>
      <c r="O95" s="5439"/>
      <c r="P95" s="5439"/>
      <c r="Q95" s="5439"/>
      <c r="R95" s="5439"/>
      <c r="S95" s="5439"/>
      <c r="T95" s="5439"/>
      <c r="U95" s="5439"/>
      <c r="V95" s="5439"/>
      <c r="W95" s="5440"/>
      <c r="X95" s="532"/>
      <c r="Y95" s="9"/>
      <c r="Z95" s="9"/>
      <c r="AA95" s="443"/>
      <c r="AB95" s="5346"/>
      <c r="AC95" s="5347"/>
      <c r="AD95" s="5347"/>
      <c r="AE95" s="5347"/>
      <c r="AF95" s="5347"/>
      <c r="AG95" s="5347"/>
      <c r="AH95" s="5347"/>
      <c r="AI95" s="5347"/>
      <c r="AJ95" s="5347"/>
      <c r="AK95" s="5347"/>
      <c r="AL95" s="5347"/>
      <c r="AM95" s="5347"/>
      <c r="AN95" s="5347"/>
      <c r="AO95" s="5347"/>
      <c r="AP95" s="5347"/>
      <c r="AQ95" s="5348"/>
      <c r="AR95" s="1088"/>
      <c r="AS95" s="1044"/>
      <c r="AU95" s="21"/>
      <c r="AV95" s="21"/>
      <c r="AW95" s="21"/>
      <c r="AX95" s="21"/>
      <c r="AY95" s="21"/>
      <c r="AZ95" s="21"/>
      <c r="BA95" s="21"/>
      <c r="BB95" s="21"/>
      <c r="BC95" s="21"/>
      <c r="BD95" s="21"/>
      <c r="BE95" s="21"/>
      <c r="BF95" s="21"/>
      <c r="BG95" s="21"/>
    </row>
    <row r="96" spans="1:59" ht="12" customHeight="1" thickBot="1">
      <c r="A96" s="9"/>
      <c r="B96" s="1050"/>
      <c r="C96" s="723"/>
      <c r="D96" s="723"/>
      <c r="E96" s="723"/>
      <c r="F96" s="723"/>
      <c r="G96" s="723"/>
      <c r="H96" s="723"/>
      <c r="I96" s="1025"/>
      <c r="J96" s="1025"/>
      <c r="K96" s="1025"/>
      <c r="L96" s="1025"/>
      <c r="M96" s="1587"/>
      <c r="N96" s="1025"/>
      <c r="O96" s="1025"/>
      <c r="P96" s="1025"/>
      <c r="Q96" s="1025"/>
      <c r="R96" s="1025"/>
      <c r="S96" s="1025"/>
      <c r="T96" s="1025"/>
      <c r="U96" s="1025"/>
      <c r="V96" s="1025"/>
      <c r="W96" s="1025"/>
      <c r="X96" s="1026"/>
      <c r="Y96" s="9"/>
      <c r="Z96" s="9"/>
      <c r="AA96" s="1024"/>
      <c r="AB96" s="723"/>
      <c r="AC96" s="723"/>
      <c r="AD96" s="723"/>
      <c r="AE96" s="723"/>
      <c r="AF96" s="723"/>
      <c r="AG96" s="723"/>
      <c r="AH96" s="1025"/>
      <c r="AI96" s="1025"/>
      <c r="AJ96" s="1025"/>
      <c r="AK96" s="1025"/>
      <c r="AL96" s="1025"/>
      <c r="AM96" s="1025"/>
      <c r="AN96" s="1025"/>
      <c r="AO96" s="1025"/>
      <c r="AP96" s="1025"/>
      <c r="AQ96" s="1025"/>
      <c r="AR96" s="1089"/>
      <c r="AS96" s="9"/>
      <c r="AU96" s="21"/>
      <c r="AV96" s="21"/>
      <c r="AW96" s="21"/>
      <c r="AX96" s="21"/>
      <c r="AY96" s="21"/>
      <c r="AZ96" s="21"/>
      <c r="BA96" s="21"/>
      <c r="BB96" s="21"/>
      <c r="BC96" s="21"/>
      <c r="BD96" s="21"/>
      <c r="BE96" s="21"/>
      <c r="BF96" s="21"/>
      <c r="BG96" s="21"/>
    </row>
    <row r="97" spans="1:59" ht="12" customHeight="1">
      <c r="A97" s="9"/>
      <c r="B97" s="1044"/>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1044"/>
      <c r="AS97" s="9"/>
      <c r="AU97" s="21"/>
      <c r="AV97" s="21"/>
      <c r="AW97" s="21"/>
      <c r="AX97" s="21"/>
      <c r="AY97" s="21"/>
      <c r="AZ97" s="21"/>
      <c r="BA97" s="21"/>
      <c r="BB97" s="21"/>
      <c r="BC97" s="21"/>
      <c r="BD97" s="21"/>
      <c r="BE97" s="21"/>
      <c r="BF97" s="21"/>
      <c r="BG97" s="21"/>
    </row>
    <row r="98" spans="1:59" ht="12" customHeight="1">
      <c r="AU98" s="21"/>
      <c r="AV98" s="21"/>
      <c r="AW98" s="21"/>
      <c r="AX98" s="21"/>
      <c r="AY98" s="21"/>
      <c r="AZ98" s="21"/>
      <c r="BA98" s="21"/>
      <c r="BB98" s="21"/>
      <c r="BC98" s="21"/>
      <c r="BD98" s="21"/>
      <c r="BE98" s="21"/>
      <c r="BF98" s="21"/>
      <c r="BG98" s="21"/>
    </row>
    <row r="99" spans="1:59" ht="12" customHeight="1">
      <c r="AU99" s="21"/>
      <c r="AV99" s="21"/>
      <c r="AW99" s="21"/>
      <c r="AX99" s="21"/>
      <c r="AY99" s="21"/>
      <c r="AZ99" s="21"/>
      <c r="BA99" s="21"/>
      <c r="BB99" s="21"/>
      <c r="BC99" s="21"/>
      <c r="BD99" s="21"/>
      <c r="BE99" s="21"/>
      <c r="BF99" s="21"/>
      <c r="BG99" s="21"/>
    </row>
    <row r="100" spans="1:59" ht="12" customHeight="1">
      <c r="AU100" s="21"/>
      <c r="AV100" s="21"/>
      <c r="AW100" s="21"/>
      <c r="AX100" s="21"/>
      <c r="AY100" s="21"/>
      <c r="AZ100" s="21"/>
      <c r="BA100" s="21"/>
      <c r="BB100" s="21"/>
      <c r="BC100" s="21"/>
      <c r="BD100" s="21"/>
      <c r="BE100" s="21"/>
      <c r="BF100" s="21"/>
      <c r="BG100" s="21"/>
    </row>
    <row r="101" spans="1:59" ht="12" customHeight="1">
      <c r="AU101" s="21"/>
      <c r="AV101" s="21"/>
      <c r="AW101" s="21"/>
      <c r="AX101" s="21"/>
      <c r="AY101" s="21"/>
      <c r="AZ101" s="21"/>
      <c r="BA101" s="21"/>
      <c r="BB101" s="21"/>
      <c r="BC101" s="21"/>
      <c r="BD101" s="21"/>
      <c r="BE101" s="21"/>
      <c r="BF101" s="21"/>
      <c r="BG101" s="21"/>
    </row>
    <row r="102" spans="1:59" ht="12" customHeight="1">
      <c r="AU102" s="21"/>
      <c r="AV102" s="21"/>
      <c r="AW102" s="21"/>
      <c r="AX102" s="21"/>
      <c r="AY102" s="21"/>
      <c r="AZ102" s="21"/>
      <c r="BA102" s="21"/>
      <c r="BB102" s="21"/>
      <c r="BC102" s="21"/>
      <c r="BD102" s="21"/>
      <c r="BE102" s="21"/>
      <c r="BF102" s="21"/>
      <c r="BG102" s="21"/>
    </row>
    <row r="103" spans="1:59" ht="12" customHeight="1">
      <c r="AU103" s="21"/>
      <c r="AV103" s="21"/>
      <c r="AW103" s="21"/>
      <c r="AX103" s="21"/>
      <c r="AY103" s="21"/>
      <c r="AZ103" s="21"/>
      <c r="BA103" s="21"/>
      <c r="BB103" s="21"/>
      <c r="BC103" s="21"/>
      <c r="BD103" s="21"/>
      <c r="BE103" s="21"/>
      <c r="BF103" s="21"/>
      <c r="BG103" s="21"/>
    </row>
    <row r="104" spans="1:59" ht="12" customHeight="1">
      <c r="AU104" s="21"/>
      <c r="AV104" s="21"/>
      <c r="AW104" s="21"/>
      <c r="AX104" s="21"/>
      <c r="AY104" s="21"/>
      <c r="AZ104" s="21"/>
      <c r="BA104" s="21"/>
      <c r="BB104" s="21"/>
      <c r="BC104" s="21"/>
      <c r="BD104" s="21"/>
      <c r="BE104" s="21"/>
      <c r="BF104" s="21"/>
      <c r="BG104" s="21"/>
    </row>
    <row r="105" spans="1:59" ht="12" customHeight="1">
      <c r="AU105" s="21"/>
      <c r="AV105" s="21"/>
      <c r="AW105" s="21"/>
      <c r="AX105" s="21"/>
      <c r="AY105" s="21"/>
      <c r="AZ105" s="21"/>
      <c r="BA105" s="21"/>
      <c r="BB105" s="21"/>
      <c r="BC105" s="21"/>
      <c r="BD105" s="21"/>
      <c r="BE105" s="21"/>
      <c r="BF105" s="21"/>
      <c r="BG105" s="21"/>
    </row>
    <row r="106" spans="1:59" ht="12" customHeight="1">
      <c r="AU106" s="21"/>
      <c r="AV106" s="21"/>
      <c r="AW106" s="21"/>
      <c r="AX106" s="21"/>
      <c r="AY106" s="21"/>
      <c r="AZ106" s="21"/>
      <c r="BA106" s="21"/>
      <c r="BB106" s="21"/>
      <c r="BC106" s="21"/>
      <c r="BD106" s="21"/>
      <c r="BE106" s="21"/>
      <c r="BF106" s="21"/>
      <c r="BG106" s="21"/>
    </row>
    <row r="107" spans="1:59" ht="12" customHeight="1">
      <c r="AU107" s="21"/>
      <c r="AV107" s="21"/>
      <c r="AW107" s="21"/>
      <c r="AX107" s="21"/>
      <c r="AY107" s="21"/>
      <c r="AZ107" s="21"/>
      <c r="BA107" s="21"/>
      <c r="BB107" s="21"/>
      <c r="BC107" s="21"/>
      <c r="BD107" s="21"/>
      <c r="BE107" s="21"/>
      <c r="BF107" s="21"/>
      <c r="BG107" s="21"/>
    </row>
    <row r="108" spans="1:59" ht="12" customHeight="1">
      <c r="AU108" s="21"/>
      <c r="AV108" s="21"/>
      <c r="AW108" s="21"/>
      <c r="AX108" s="21"/>
      <c r="AY108" s="21"/>
      <c r="AZ108" s="21"/>
      <c r="BA108" s="21"/>
      <c r="BB108" s="21"/>
      <c r="BC108" s="21"/>
      <c r="BD108" s="21"/>
      <c r="BE108" s="21"/>
      <c r="BF108" s="21"/>
      <c r="BG108" s="21"/>
    </row>
    <row r="109" spans="1:59" ht="12" customHeight="1">
      <c r="AU109" s="21"/>
      <c r="AV109" s="21"/>
      <c r="AW109" s="21"/>
      <c r="AX109" s="21"/>
      <c r="AY109" s="21"/>
      <c r="AZ109" s="21"/>
      <c r="BA109" s="21"/>
      <c r="BB109" s="21"/>
      <c r="BC109" s="21"/>
      <c r="BD109" s="21"/>
      <c r="BE109" s="21"/>
      <c r="BF109" s="21"/>
      <c r="BG109" s="21"/>
    </row>
    <row r="110" spans="1:59" ht="12" customHeight="1">
      <c r="AU110" s="21"/>
      <c r="AV110" s="21"/>
      <c r="AW110" s="21"/>
      <c r="AX110" s="21"/>
      <c r="AY110" s="21"/>
      <c r="AZ110" s="21"/>
      <c r="BA110" s="21"/>
      <c r="BB110" s="21"/>
      <c r="BC110" s="21"/>
      <c r="BD110" s="21"/>
      <c r="BE110" s="21"/>
      <c r="BF110" s="21"/>
      <c r="BG110" s="21"/>
    </row>
    <row r="111" spans="1:59" ht="12" customHeight="1">
      <c r="AU111" s="21"/>
      <c r="AV111" s="21"/>
      <c r="AW111" s="21"/>
      <c r="AX111" s="21"/>
      <c r="AY111" s="21"/>
      <c r="AZ111" s="21"/>
      <c r="BA111" s="21"/>
      <c r="BB111" s="21"/>
      <c r="BC111" s="21"/>
      <c r="BD111" s="21"/>
      <c r="BE111" s="21"/>
      <c r="BF111" s="21"/>
      <c r="BG111" s="21"/>
    </row>
    <row r="112" spans="1:59" ht="12" customHeight="1">
      <c r="AU112" s="21"/>
      <c r="AV112" s="21"/>
      <c r="AW112" s="21"/>
      <c r="AX112" s="21"/>
      <c r="AY112" s="21"/>
      <c r="AZ112" s="21"/>
      <c r="BA112" s="21"/>
      <c r="BB112" s="21"/>
      <c r="BC112" s="21"/>
      <c r="BD112" s="21"/>
      <c r="BE112" s="21"/>
      <c r="BF112" s="21"/>
      <c r="BG112" s="21"/>
    </row>
    <row r="113" spans="47:59" ht="12" customHeight="1">
      <c r="AU113" s="21"/>
      <c r="AV113" s="21"/>
      <c r="AW113" s="21"/>
      <c r="AX113" s="21"/>
      <c r="AY113" s="21"/>
      <c r="AZ113" s="21"/>
      <c r="BA113" s="21"/>
      <c r="BB113" s="21"/>
      <c r="BC113" s="21"/>
      <c r="BD113" s="21"/>
      <c r="BE113" s="21"/>
      <c r="BF113" s="21"/>
      <c r="BG113" s="21"/>
    </row>
    <row r="114" spans="47:59" ht="12" customHeight="1">
      <c r="AU114" s="21"/>
      <c r="AV114" s="21"/>
      <c r="AW114" s="21"/>
      <c r="AX114" s="21"/>
      <c r="AY114" s="21"/>
      <c r="AZ114" s="21"/>
      <c r="BA114" s="21"/>
      <c r="BB114" s="21"/>
      <c r="BC114" s="21"/>
      <c r="BD114" s="21"/>
      <c r="BE114" s="21"/>
      <c r="BF114" s="21"/>
      <c r="BG114" s="21"/>
    </row>
    <row r="115" spans="47:59" ht="12" customHeight="1">
      <c r="AU115" s="21"/>
      <c r="AV115" s="21"/>
      <c r="AW115" s="21"/>
      <c r="AX115" s="21"/>
      <c r="AY115" s="21"/>
      <c r="AZ115" s="21"/>
      <c r="BA115" s="21"/>
      <c r="BB115" s="21"/>
      <c r="BC115" s="21"/>
      <c r="BD115" s="21"/>
      <c r="BE115" s="21"/>
      <c r="BF115" s="21"/>
      <c r="BG115" s="21"/>
    </row>
    <row r="116" spans="47:59" ht="12" customHeight="1">
      <c r="AU116" s="21"/>
      <c r="AV116" s="21"/>
      <c r="AW116" s="21"/>
      <c r="AX116" s="21"/>
      <c r="AY116" s="21"/>
      <c r="AZ116" s="21"/>
      <c r="BA116" s="21"/>
      <c r="BB116" s="21"/>
      <c r="BC116" s="21"/>
      <c r="BD116" s="21"/>
      <c r="BE116" s="21"/>
      <c r="BF116" s="21"/>
      <c r="BG116" s="21"/>
    </row>
  </sheetData>
  <sheetProtection sheet="1" selectLockedCells="1"/>
  <mergeCells count="387">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s>
  <phoneticPr fontId="9" type="noConversion"/>
  <conditionalFormatting sqref="AH57:AQ62 AF40:AF45">
    <cfRule type="cellIs" dxfId="2616" priority="228" stopIfTrue="1" operator="equal">
      <formula>0</formula>
    </cfRule>
  </conditionalFormatting>
  <conditionalFormatting sqref="I23:L23">
    <cfRule type="expression" dxfId="2615" priority="216" stopIfTrue="1">
      <formula>OR($E$20="Sin equipo",$E$20="")</formula>
    </cfRule>
  </conditionalFormatting>
  <conditionalFormatting sqref="C28">
    <cfRule type="expression" dxfId="2614" priority="6110" stopIfTrue="1">
      <formula>AND(C28="A dos manos",COUNTIF($R$22:$W$25,$C27&amp;" "&amp;$E28))</formula>
    </cfRule>
  </conditionalFormatting>
  <conditionalFormatting sqref="U22:W25">
    <cfRule type="expression" dxfId="2613" priority="6120" stopIfTrue="1">
      <formula>COUNTIF($R$22:$T$25,U22)&gt;0</formula>
    </cfRule>
    <cfRule type="expression" dxfId="2612" priority="6121" stopIfTrue="1">
      <formula>$R22=$U22</formula>
    </cfRule>
  </conditionalFormatting>
  <conditionalFormatting sqref="R22:T25">
    <cfRule type="expression" dxfId="2611" priority="6122" stopIfTrue="1">
      <formula>COUNTIF($R$22:$W$25,$R22)&gt;1</formula>
    </cfRule>
  </conditionalFormatting>
  <conditionalFormatting sqref="AD14:AD16 AF14:AF16">
    <cfRule type="cellIs" dxfId="2610" priority="185" stopIfTrue="1" operator="lessThan">
      <formula>0</formula>
    </cfRule>
    <cfRule type="cellIs" dxfId="2609" priority="186" stopIfTrue="1" operator="greaterThan">
      <formula>0</formula>
    </cfRule>
  </conditionalFormatting>
  <conditionalFormatting sqref="E63:J63">
    <cfRule type="containsText" dxfId="2608" priority="184" operator="containsText" text="Armas naturales a distancia no disponibles">
      <formula>NOT(ISERROR(SEARCH("Armas naturales a distancia no disponibles",E63)))</formula>
    </cfRule>
  </conditionalFormatting>
  <conditionalFormatting sqref="P63:U63">
    <cfRule type="containsText" dxfId="2607" priority="183" operator="containsText" text="Armas naturales a distancia no disponibles">
      <formula>NOT(ISERROR(SEARCH("Armas naturales a distancia no disponibles",P63)))</formula>
    </cfRule>
  </conditionalFormatting>
  <conditionalFormatting sqref="P54:U54">
    <cfRule type="containsText" dxfId="2606" priority="182" operator="containsText" text="Armas naturales a distancia no disponibles">
      <formula>NOT(ISERROR(SEARCH("Armas naturales a distancia no disponibles",P54)))</formula>
    </cfRule>
  </conditionalFormatting>
  <conditionalFormatting sqref="E54:J54">
    <cfRule type="containsText" dxfId="2605" priority="181" operator="containsText" text="Armas naturales a distancia no disponibles">
      <formula>NOT(ISERROR(SEARCH("Armas naturales a distancia no disponibles",E54)))</formula>
    </cfRule>
  </conditionalFormatting>
  <conditionalFormatting sqref="C32:H32">
    <cfRule type="containsText" dxfId="2604" priority="174" operator="containsText" text="Armas naturales cuerpo a cuerpo no disponibles">
      <formula>NOT(ISERROR(SEARCH("Armas naturales cuerpo a cuerpo no disponibles",C32)))</formula>
    </cfRule>
    <cfRule type="containsText" dxfId="2603" priority="180" operator="containsText" text="Armas naturales no disponibles">
      <formula>NOT(ISERROR(SEARCH("Armas naturales no disponibles",C32)))</formula>
    </cfRule>
  </conditionalFormatting>
  <conditionalFormatting sqref="C28:D28">
    <cfRule type="expression" dxfId="2602" priority="153" stopIfTrue="1">
      <formula>AND(E28&lt;&gt;"",NOT(COUNTIF(INDIRECT(M28),E28)&gt;0))</formula>
    </cfRule>
  </conditionalFormatting>
  <conditionalFormatting sqref="N28">
    <cfRule type="expression" dxfId="2601" priority="152" stopIfTrue="1">
      <formula>AND(N28="A dos manos",COUNTIF($R$22:$W$25,$N27&amp;" "&amp;$P28))</formula>
    </cfRule>
  </conditionalFormatting>
  <conditionalFormatting sqref="N28:O28">
    <cfRule type="expression" dxfId="2600" priority="148" stopIfTrue="1">
      <formula>AND(P28&lt;&gt;"",NOT(COUNTIF(INDIRECT(X28),P28)&gt;0))</formula>
    </cfRule>
  </conditionalFormatting>
  <conditionalFormatting sqref="C35">
    <cfRule type="expression" dxfId="2599" priority="147" stopIfTrue="1">
      <formula>AND(C35="A dos manos",COUNTIF($R$22:$W$25,$C34&amp;" "&amp;$E35))</formula>
    </cfRule>
  </conditionalFormatting>
  <conditionalFormatting sqref="C35:D35">
    <cfRule type="expression" dxfId="2598" priority="143" stopIfTrue="1">
      <formula>AND(E35&lt;&gt;"",NOT(COUNTIF(INDIRECT(M35),E35)&gt;0))</formula>
    </cfRule>
  </conditionalFormatting>
  <conditionalFormatting sqref="N35">
    <cfRule type="expression" dxfId="2597" priority="142" stopIfTrue="1">
      <formula>AND(N35="A dos manos",COUNTIF($R$22:$W$25,$N34&amp;" "&amp;$P35))</formula>
    </cfRule>
  </conditionalFormatting>
  <conditionalFormatting sqref="N35:O35">
    <cfRule type="expression" dxfId="2596" priority="138" stopIfTrue="1">
      <formula>AND(P35&lt;&gt;"",NOT(COUNTIF(INDIRECT(X35),P35)&gt;0))</formula>
    </cfRule>
  </conditionalFormatting>
  <conditionalFormatting sqref="C42">
    <cfRule type="expression" dxfId="2595" priority="137" stopIfTrue="1">
      <formula>AND(C42="A dos manos",COUNTIF($R$22:$W$25,$C41&amp;" "&amp;$E42))</formula>
    </cfRule>
  </conditionalFormatting>
  <conditionalFormatting sqref="C42:D42">
    <cfRule type="expression" dxfId="2594" priority="133" stopIfTrue="1">
      <formula>AND(E42&lt;&gt;"",NOT(COUNTIF(INDIRECT(M42),E42)&gt;0))</formula>
    </cfRule>
  </conditionalFormatting>
  <conditionalFormatting sqref="N42">
    <cfRule type="expression" dxfId="2593" priority="132" stopIfTrue="1">
      <formula>AND(N42="A dos manos",COUNTIF($R$22:$W$25,$N41&amp;" "&amp;$P42))</formula>
    </cfRule>
  </conditionalFormatting>
  <conditionalFormatting sqref="N42:O42">
    <cfRule type="expression" dxfId="2592" priority="128" stopIfTrue="1">
      <formula>AND(P42&lt;&gt;"",NOT(COUNTIF(INDIRECT(X42),P42)&gt;0))</formula>
    </cfRule>
  </conditionalFormatting>
  <conditionalFormatting sqref="C13:E13">
    <cfRule type="expression" dxfId="2591" priority="8832" stopIfTrue="1">
      <formula>AND($AX$19="Dura",$AX$18="Dura")</formula>
    </cfRule>
  </conditionalFormatting>
  <conditionalFormatting sqref="C14:E14">
    <cfRule type="expression" dxfId="2590" priority="8834" stopIfTrue="1">
      <formula>AND($AX$20="Dura",OR($AX$19="Dura",$AX$18="Dura"))</formula>
    </cfRule>
  </conditionalFormatting>
  <conditionalFormatting sqref="C49">
    <cfRule type="expression" dxfId="2589" priority="123" stopIfTrue="1">
      <formula>AND(C49="A dos manos",COUNTIF($R$22:$W$25,$C48&amp;" "&amp;$E49))</formula>
    </cfRule>
  </conditionalFormatting>
  <conditionalFormatting sqref="C49:D49">
    <cfRule type="expression" dxfId="2588" priority="122" stopIfTrue="1">
      <formula>AND(E49&lt;&gt;"",NOT(COUNTIF(INDIRECT(M49),E49)&gt;0))</formula>
    </cfRule>
  </conditionalFormatting>
  <conditionalFormatting sqref="N49">
    <cfRule type="expression" dxfId="2587" priority="121" stopIfTrue="1">
      <formula>AND(N49="A dos manos",COUNTIF($R$22:$W$25,$N48&amp;" "&amp;$P49))</formula>
    </cfRule>
  </conditionalFormatting>
  <conditionalFormatting sqref="N49:O49">
    <cfRule type="expression" dxfId="2586" priority="120" stopIfTrue="1">
      <formula>AND(P49&lt;&gt;"",NOT(COUNTIF(INDIRECT(X49),P49)&gt;0))</formula>
    </cfRule>
  </conditionalFormatting>
  <conditionalFormatting sqref="N58">
    <cfRule type="expression" dxfId="2585" priority="119" stopIfTrue="1">
      <formula>AND(N58="A dos manos",COUNTIF($R$22:$W$25,$N57&amp;" "&amp;$P58))</formula>
    </cfRule>
  </conditionalFormatting>
  <conditionalFormatting sqref="N58:O58">
    <cfRule type="expression" dxfId="2584" priority="118" stopIfTrue="1">
      <formula>AND(P58&lt;&gt;"",NOT(COUNTIF(INDIRECT(X58),P58)&gt;0))</formula>
    </cfRule>
  </conditionalFormatting>
  <conditionalFormatting sqref="C58">
    <cfRule type="expression" dxfId="2583" priority="117" stopIfTrue="1">
      <formula>AND(C58="A dos manos",COUNTIF($R$22:$W$25,$C57&amp;" "&amp;$E58))</formula>
    </cfRule>
  </conditionalFormatting>
  <conditionalFormatting sqref="C58:D58">
    <cfRule type="expression" dxfId="2582" priority="116" stopIfTrue="1">
      <formula>AND(E58&lt;&gt;"",NOT(COUNTIF(INDIRECT(M58),E58)&gt;0))</formula>
    </cfRule>
  </conditionalFormatting>
  <conditionalFormatting sqref="V39">
    <cfRule type="expression" dxfId="2581" priority="113" stopIfTrue="1">
      <formula>VALUE(RIGHT(V39,2))&gt;FUE</formula>
    </cfRule>
  </conditionalFormatting>
  <conditionalFormatting sqref="N32:S32">
    <cfRule type="containsText" dxfId="2580" priority="79" operator="containsText" text="Armas naturales cuerpo a cuerpo no disponibles">
      <formula>NOT(ISERROR(SEARCH("Armas naturales cuerpo a cuerpo no disponibles",N32)))</formula>
    </cfRule>
    <cfRule type="containsText" dxfId="2579" priority="80" operator="containsText" text="Armas naturales no disponibles">
      <formula>NOT(ISERROR(SEARCH("Armas naturales no disponibles",N32)))</formula>
    </cfRule>
  </conditionalFormatting>
  <conditionalFormatting sqref="C39:H39">
    <cfRule type="containsText" dxfId="2578" priority="67" operator="containsText" text="Armas naturales cuerpo a cuerpo no disponibles">
      <formula>NOT(ISERROR(SEARCH("Armas naturales cuerpo a cuerpo no disponibles",C39)))</formula>
    </cfRule>
    <cfRule type="containsText" dxfId="2577" priority="68" operator="containsText" text="Armas naturales no disponibles">
      <formula>NOT(ISERROR(SEARCH("Armas naturales no disponibles",C39)))</formula>
    </cfRule>
  </conditionalFormatting>
  <conditionalFormatting sqref="N39:S39">
    <cfRule type="containsText" dxfId="2576" priority="65" operator="containsText" text="Armas naturales cuerpo a cuerpo no disponibles">
      <formula>NOT(ISERROR(SEARCH("Armas naturales cuerpo a cuerpo no disponibles",N39)))</formula>
    </cfRule>
    <cfRule type="containsText" dxfId="2575" priority="66" operator="containsText" text="Armas naturales no disponibles">
      <formula>NOT(ISERROR(SEARCH("Armas naturales no disponibles",N39)))</formula>
    </cfRule>
  </conditionalFormatting>
  <conditionalFormatting sqref="C46:H46">
    <cfRule type="containsText" dxfId="2574" priority="63" operator="containsText" text="Armas naturales cuerpo a cuerpo no disponibles">
      <formula>NOT(ISERROR(SEARCH("Armas naturales cuerpo a cuerpo no disponibles",C46)))</formula>
    </cfRule>
    <cfRule type="containsText" dxfId="2573" priority="64" operator="containsText" text="Armas naturales no disponibles">
      <formula>NOT(ISERROR(SEARCH("Armas naturales no disponibles",C46)))</formula>
    </cfRule>
  </conditionalFormatting>
  <conditionalFormatting sqref="N46:S46">
    <cfRule type="containsText" dxfId="2572" priority="61" operator="containsText" text="Armas naturales cuerpo a cuerpo no disponibles">
      <formula>NOT(ISERROR(SEARCH("Armas naturales cuerpo a cuerpo no disponibles",N46)))</formula>
    </cfRule>
    <cfRule type="containsText" dxfId="2571" priority="62" operator="containsText" text="Armas naturales no disponibles">
      <formula>NOT(ISERROR(SEARCH("Armas naturales no disponibles",N46)))</formula>
    </cfRule>
  </conditionalFormatting>
  <conditionalFormatting sqref="J53">
    <cfRule type="expression" dxfId="2570" priority="49">
      <formula>E50="Munición natural"</formula>
    </cfRule>
  </conditionalFormatting>
  <conditionalFormatting sqref="U53">
    <cfRule type="expression" dxfId="2569" priority="48">
      <formula>P50="Munición natural"</formula>
    </cfRule>
  </conditionalFormatting>
  <conditionalFormatting sqref="U62">
    <cfRule type="expression" dxfId="2568" priority="47">
      <formula>P59="Munición natural"</formula>
    </cfRule>
  </conditionalFormatting>
  <conditionalFormatting sqref="J62">
    <cfRule type="expression" dxfId="2567" priority="46">
      <formula>E59="Munición natural"</formula>
    </cfRule>
  </conditionalFormatting>
  <conditionalFormatting sqref="V46">
    <cfRule type="expression" dxfId="2566" priority="42" stopIfTrue="1">
      <formula>VALUE(RIGHT(V46,2))&gt;FUE</formula>
    </cfRule>
  </conditionalFormatting>
  <conditionalFormatting sqref="V32">
    <cfRule type="expression" dxfId="2565" priority="41" stopIfTrue="1">
      <formula>VALUE(RIGHT(V32,2))&gt;FUE</formula>
    </cfRule>
  </conditionalFormatting>
  <conditionalFormatting sqref="K32">
    <cfRule type="expression" dxfId="2564" priority="40" stopIfTrue="1">
      <formula>VALUE(RIGHT(K32,2))&gt;FUE</formula>
    </cfRule>
  </conditionalFormatting>
  <conditionalFormatting sqref="K39">
    <cfRule type="expression" dxfId="2563" priority="39" stopIfTrue="1">
      <formula>VALUE(RIGHT(K39,2))&gt;FUE</formula>
    </cfRule>
  </conditionalFormatting>
  <conditionalFormatting sqref="K46">
    <cfRule type="expression" dxfId="2562" priority="38" stopIfTrue="1">
      <formula>VALUE(RIGHT(K46,2))&gt;FUE</formula>
    </cfRule>
  </conditionalFormatting>
  <conditionalFormatting sqref="F51:G51">
    <cfRule type="expression" dxfId="2561" priority="15">
      <formula>K53="Tam. excesivo"</formula>
    </cfRule>
  </conditionalFormatting>
  <conditionalFormatting sqref="Q51:R51">
    <cfRule type="expression" dxfId="2560" priority="14">
      <formula>V53="Tam. excesivo"</formula>
    </cfRule>
  </conditionalFormatting>
  <conditionalFormatting sqref="F60:G60">
    <cfRule type="expression" dxfId="2559" priority="13">
      <formula>K62="Tam. excesivo"</formula>
    </cfRule>
  </conditionalFormatting>
  <conditionalFormatting sqref="Q60:R60">
    <cfRule type="expression" dxfId="2558" priority="12">
      <formula>V62="Tam. excesivo"</formula>
    </cfRule>
  </conditionalFormatting>
  <conditionalFormatting sqref="F29:G29">
    <cfRule type="expression" dxfId="2557" priority="11">
      <formula>J32="Tam. excesivo"</formula>
    </cfRule>
  </conditionalFormatting>
  <conditionalFormatting sqref="Q29:R29">
    <cfRule type="expression" dxfId="2556" priority="10">
      <formula>U32="Tam. excesivo"</formula>
    </cfRule>
  </conditionalFormatting>
  <conditionalFormatting sqref="F36:G36">
    <cfRule type="expression" dxfId="2555" priority="9">
      <formula>J39="Tam. excesivo"</formula>
    </cfRule>
  </conditionalFormatting>
  <conditionalFormatting sqref="Q36:R36">
    <cfRule type="expression" dxfId="2554" priority="8">
      <formula>U39="Tam. excesivo"</formula>
    </cfRule>
  </conditionalFormatting>
  <conditionalFormatting sqref="F43:G43">
    <cfRule type="expression" dxfId="2553" priority="7">
      <formula>J46="Tam. excesivo"</formula>
    </cfRule>
  </conditionalFormatting>
  <conditionalFormatting sqref="Q43:R43">
    <cfRule type="expression" dxfId="2552" priority="6">
      <formula>U46="Tam. excesivo"</formula>
    </cfRule>
  </conditionalFormatting>
  <conditionalFormatting sqref="AH81:AQ88">
    <cfRule type="cellIs" dxfId="2551" priority="5" stopIfTrue="1" operator="equal">
      <formula>0</formula>
    </cfRule>
  </conditionalFormatting>
  <conditionalFormatting sqref="AH69:AQ76">
    <cfRule type="cellIs" dxfId="2550" priority="4" stopIfTrue="1" operator="equal">
      <formula>0</formula>
    </cfRule>
  </conditionalFormatting>
  <conditionalFormatting sqref="C18:G18">
    <cfRule type="expression" dxfId="2549" priority="2">
      <formula>$C$18&lt;&gt;""</formula>
    </cfRule>
  </conditionalFormatting>
  <conditionalFormatting sqref="H18:S18">
    <cfRule type="expression" dxfId="2548"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10399" id="{25252D59-84AE-47C7-B2CB-9D1713DCF24E}">
            <xm:f>OR(E28="Armas naturales",NOT(ISNA(VLOOKUP(E28,Tablas!$AI$848:$AI$857,1,FALSE))))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8"/>
  <sheetViews>
    <sheetView zoomScaleNormal="100" workbookViewId="0">
      <selection activeCell="Q65" sqref="Q12:Q65"/>
    </sheetView>
  </sheetViews>
  <sheetFormatPr baseColWidth="10" defaultColWidth="5.7109375" defaultRowHeight="12" customHeight="1"/>
  <cols>
    <col min="1" max="1" width="1.7109375" style="313" customWidth="1"/>
    <col min="2" max="2" width="5.7109375" style="607"/>
    <col min="3" max="3" width="5.7109375" style="313"/>
    <col min="4" max="4" width="5.7109375" style="313" customWidth="1"/>
    <col min="5" max="5" width="6" style="313" bestFit="1" customWidth="1"/>
    <col min="6" max="13" width="5.7109375" style="313"/>
    <col min="14" max="14" width="2.85546875" style="313" customWidth="1"/>
    <col min="15" max="15" width="9.5703125" style="313" customWidth="1"/>
    <col min="16" max="17" width="5.7109375" style="313"/>
    <col min="18" max="18" width="5.85546875" style="976" customWidth="1"/>
    <col min="19" max="20" width="1.7109375" style="806" customWidth="1"/>
    <col min="21" max="21" width="5.7109375" style="313"/>
    <col min="22" max="23" width="6.5703125" style="313" customWidth="1"/>
    <col min="24" max="25" width="7.140625" style="313" customWidth="1"/>
    <col min="26" max="26" width="6.5703125" style="313" customWidth="1"/>
    <col min="27" max="27" width="7.140625" style="313" customWidth="1"/>
    <col min="28" max="28" width="6.5703125" style="313" customWidth="1"/>
    <col min="29" max="29" width="4.28515625" style="313" customWidth="1"/>
    <col min="30" max="31" width="7.140625" style="313" customWidth="1"/>
    <col min="32" max="32" width="6.5703125" style="313" customWidth="1"/>
    <col min="33" max="33" width="7.140625" style="313" customWidth="1"/>
    <col min="34" max="36" width="6.5703125" style="313" customWidth="1"/>
    <col min="37" max="37" width="5.7109375" style="313"/>
    <col min="38" max="38" width="1.7109375" style="313" customWidth="1"/>
    <col min="39" max="39" width="5.7109375" style="1757"/>
    <col min="40" max="16384" width="5.7109375" style="313"/>
  </cols>
  <sheetData>
    <row r="1" spans="1:57" ht="12" customHeight="1" thickBot="1">
      <c r="A1" s="3997">
        <v>10</v>
      </c>
      <c r="B1" s="980"/>
      <c r="C1" s="360"/>
      <c r="D1" s="360"/>
      <c r="E1" s="360"/>
      <c r="F1" s="360"/>
      <c r="G1" s="360"/>
      <c r="H1" s="360"/>
      <c r="I1" s="360"/>
      <c r="J1" s="360"/>
      <c r="K1" s="360"/>
      <c r="L1" s="360"/>
      <c r="M1" s="360"/>
      <c r="N1" s="360"/>
      <c r="O1" s="360"/>
      <c r="P1" s="360"/>
      <c r="Q1" s="360"/>
      <c r="R1" s="971"/>
      <c r="S1" s="807"/>
      <c r="T1" s="807"/>
      <c r="U1" s="360"/>
      <c r="V1" s="360"/>
      <c r="W1" s="360"/>
      <c r="X1" s="360"/>
      <c r="Y1" s="360"/>
      <c r="Z1" s="360"/>
      <c r="AA1" s="360"/>
      <c r="AB1" s="360"/>
      <c r="AC1" s="360"/>
      <c r="AD1" s="360"/>
      <c r="AE1" s="360"/>
      <c r="AF1" s="360"/>
      <c r="AG1" s="360"/>
      <c r="AH1" s="360"/>
      <c r="AI1" s="360"/>
      <c r="AJ1" s="360"/>
      <c r="AK1" s="360"/>
      <c r="AL1" s="360"/>
      <c r="AM1" s="3300" t="s">
        <v>8292</v>
      </c>
      <c r="AN1" s="3301"/>
      <c r="AO1" s="3301"/>
      <c r="AP1" s="3301"/>
      <c r="AQ1" s="3301"/>
      <c r="AR1" s="3301"/>
      <c r="AS1" s="3301"/>
      <c r="AT1" s="3301"/>
      <c r="AU1" s="3301"/>
      <c r="AV1" s="3301"/>
      <c r="AW1" s="3301"/>
      <c r="AX1" s="3301"/>
      <c r="AY1" s="3301"/>
      <c r="AZ1" s="3301"/>
      <c r="BA1" s="3301"/>
      <c r="BB1" s="3301"/>
      <c r="BC1" s="3301"/>
      <c r="BD1" s="3301"/>
      <c r="BE1" s="3301"/>
    </row>
    <row r="2" spans="1:57" ht="12" customHeight="1" thickBot="1">
      <c r="A2" s="3997">
        <v>20</v>
      </c>
      <c r="B2" s="981"/>
      <c r="C2" s="362"/>
      <c r="D2" s="362"/>
      <c r="E2" s="362"/>
      <c r="F2" s="362"/>
      <c r="G2" s="362"/>
      <c r="H2" s="362"/>
      <c r="I2" s="362"/>
      <c r="J2" s="362"/>
      <c r="K2" s="362"/>
      <c r="L2" s="362"/>
      <c r="M2" s="362"/>
      <c r="N2" s="362"/>
      <c r="O2" s="362"/>
      <c r="P2" s="362"/>
      <c r="Q2" s="362"/>
      <c r="R2" s="972"/>
      <c r="S2" s="807"/>
      <c r="T2" s="807"/>
      <c r="U2" s="361"/>
      <c r="V2" s="362"/>
      <c r="W2" s="362"/>
      <c r="X2" s="362"/>
      <c r="Y2" s="362"/>
      <c r="Z2" s="362"/>
      <c r="AA2" s="362"/>
      <c r="AB2" s="362"/>
      <c r="AC2" s="362"/>
      <c r="AD2" s="362"/>
      <c r="AE2" s="362"/>
      <c r="AF2" s="362"/>
      <c r="AG2" s="362"/>
      <c r="AH2" s="362"/>
      <c r="AI2" s="362"/>
      <c r="AJ2" s="362"/>
      <c r="AK2" s="363"/>
      <c r="AL2" s="360"/>
      <c r="AM2" s="3300"/>
      <c r="AN2" s="3301"/>
      <c r="AO2" s="3301"/>
      <c r="AP2" s="3301"/>
      <c r="AQ2" s="3301"/>
      <c r="AR2" s="3301"/>
      <c r="AS2" s="3301"/>
      <c r="AT2" s="3301"/>
      <c r="AU2" s="3301"/>
      <c r="AV2" s="3301"/>
      <c r="AW2" s="3301"/>
      <c r="AX2" s="3301"/>
      <c r="AY2" s="3301"/>
      <c r="AZ2" s="3301"/>
      <c r="BA2" s="3301"/>
      <c r="BB2" s="3301"/>
      <c r="BC2" s="3301"/>
      <c r="BD2" s="3301"/>
      <c r="BE2" s="3301"/>
    </row>
    <row r="3" spans="1:57" ht="12" customHeight="1">
      <c r="A3" s="3997">
        <v>30</v>
      </c>
      <c r="B3" s="982"/>
      <c r="C3" s="5711" t="s">
        <v>9687</v>
      </c>
      <c r="D3" s="5712"/>
      <c r="E3" s="5712"/>
      <c r="F3" s="5712"/>
      <c r="G3" s="5712"/>
      <c r="H3" s="5712"/>
      <c r="I3" s="364"/>
      <c r="J3" s="364"/>
      <c r="K3" s="364"/>
      <c r="L3" s="364"/>
      <c r="M3" s="364"/>
      <c r="N3" s="364"/>
      <c r="O3" s="364"/>
      <c r="P3" s="364"/>
      <c r="Q3" s="365"/>
      <c r="R3" s="973"/>
      <c r="S3" s="807"/>
      <c r="T3" s="807"/>
      <c r="U3" s="262"/>
      <c r="V3" s="5711" t="s">
        <v>9687</v>
      </c>
      <c r="W3" s="5712"/>
      <c r="X3" s="5712"/>
      <c r="Y3" s="5712"/>
      <c r="Z3" s="5712"/>
      <c r="AA3" s="2337"/>
      <c r="AB3" s="364"/>
      <c r="AC3" s="364"/>
      <c r="AD3" s="364"/>
      <c r="AE3" s="364"/>
      <c r="AF3" s="364"/>
      <c r="AG3" s="364"/>
      <c r="AH3" s="364"/>
      <c r="AI3" s="364"/>
      <c r="AJ3" s="365"/>
      <c r="AK3" s="366"/>
      <c r="AL3" s="360"/>
      <c r="AM3" s="3300"/>
      <c r="AN3" s="3301"/>
      <c r="AO3" s="3301"/>
      <c r="AP3" s="3301"/>
      <c r="AQ3" s="3301"/>
      <c r="AR3" s="3301"/>
      <c r="AS3" s="3301"/>
      <c r="AT3" s="3301"/>
      <c r="AU3" s="3301"/>
      <c r="AV3" s="3301"/>
      <c r="AW3" s="3301"/>
      <c r="AX3" s="3301"/>
      <c r="AY3" s="3301"/>
      <c r="AZ3" s="3301"/>
      <c r="BA3" s="3301"/>
      <c r="BB3" s="3301"/>
      <c r="BC3" s="3301"/>
      <c r="BD3" s="3301"/>
      <c r="BE3" s="3301"/>
    </row>
    <row r="4" spans="1:57" ht="12" customHeight="1">
      <c r="A4" s="3997">
        <v>40</v>
      </c>
      <c r="B4" s="982"/>
      <c r="C4" s="5713"/>
      <c r="D4" s="5714"/>
      <c r="E4" s="5714"/>
      <c r="F4" s="5714"/>
      <c r="G4" s="5714"/>
      <c r="H4" s="5714"/>
      <c r="I4" s="311"/>
      <c r="J4" s="5717" t="s">
        <v>1184</v>
      </c>
      <c r="K4" s="5718"/>
      <c r="L4" s="4373" t="str">
        <f>IF(OR(General!$F$22="",General!$F$22=0),"",General!$F$22)</f>
        <v/>
      </c>
      <c r="M4" s="4373"/>
      <c r="N4" s="4373"/>
      <c r="O4" s="4373"/>
      <c r="P4" s="4373"/>
      <c r="Q4" s="331"/>
      <c r="R4" s="974"/>
      <c r="S4" s="807"/>
      <c r="T4" s="807"/>
      <c r="U4" s="262"/>
      <c r="V4" s="5713"/>
      <c r="W4" s="5714"/>
      <c r="X4" s="5714"/>
      <c r="Y4" s="5714"/>
      <c r="Z4" s="5714"/>
      <c r="AA4" s="2338"/>
      <c r="AB4" s="311"/>
      <c r="AC4" s="5717" t="s">
        <v>1184</v>
      </c>
      <c r="AD4" s="5718"/>
      <c r="AE4" s="4373" t="str">
        <f>IF(OR(General!$F$22="",General!$F$22=0),"",General!$F$22)</f>
        <v/>
      </c>
      <c r="AF4" s="4373"/>
      <c r="AG4" s="4373"/>
      <c r="AH4" s="4373"/>
      <c r="AI4" s="4373"/>
      <c r="AJ4" s="331"/>
      <c r="AK4" s="366"/>
      <c r="AL4" s="360"/>
      <c r="AM4" s="3300"/>
      <c r="AN4" s="3301"/>
      <c r="AO4" s="3301"/>
      <c r="AP4" s="3301"/>
      <c r="AQ4" s="3301"/>
      <c r="AR4" s="3301"/>
      <c r="AS4" s="3301"/>
      <c r="AT4" s="3301"/>
      <c r="AU4" s="3301"/>
      <c r="AV4" s="3301"/>
      <c r="AW4" s="3301"/>
      <c r="AX4" s="3301"/>
      <c r="AY4" s="3301"/>
      <c r="AZ4" s="3301"/>
      <c r="BA4" s="3301"/>
      <c r="BB4" s="3301"/>
      <c r="BC4" s="3301"/>
      <c r="BD4" s="3301"/>
      <c r="BE4" s="3301"/>
    </row>
    <row r="5" spans="1:57" ht="12" customHeight="1">
      <c r="A5" s="360"/>
      <c r="B5" s="982"/>
      <c r="C5" s="5713"/>
      <c r="D5" s="5714"/>
      <c r="E5" s="5714"/>
      <c r="F5" s="5714"/>
      <c r="G5" s="5714"/>
      <c r="H5" s="5714"/>
      <c r="I5" s="311"/>
      <c r="J5" s="5707" t="s">
        <v>1185</v>
      </c>
      <c r="K5" s="5708"/>
      <c r="L5" s="4738" t="str">
        <f>IF(LEN(PDs!$E$11)&lt;=General!$AO$5,PDs!$E$11,"… /"&amp;RIGHT(PDs!$E$11,General!$AO$5-FIND("/",RIGHT(PDs!$E$11,General!$AO$5))))</f>
        <v/>
      </c>
      <c r="M5" s="4738"/>
      <c r="N5" s="4738"/>
      <c r="O5" s="2003" t="s">
        <v>1186</v>
      </c>
      <c r="P5" s="2004" t="str">
        <f>Principal!$O$6</f>
        <v>1</v>
      </c>
      <c r="Q5" s="367"/>
      <c r="R5" s="974"/>
      <c r="S5" s="807"/>
      <c r="T5" s="807"/>
      <c r="U5" s="262"/>
      <c r="V5" s="5713"/>
      <c r="W5" s="5714"/>
      <c r="X5" s="5714"/>
      <c r="Y5" s="5714"/>
      <c r="Z5" s="5714"/>
      <c r="AA5" s="2338"/>
      <c r="AB5" s="311"/>
      <c r="AC5" s="5707" t="s">
        <v>1185</v>
      </c>
      <c r="AD5" s="5708"/>
      <c r="AE5" s="4738" t="str">
        <f>IF(LEN(PDs!$E$11)&lt;=General!$AO$5,PDs!$E$11,"… /"&amp;RIGHT(PDs!$E$11,General!$AO$5-FIND("/",RIGHT(PDs!$E$11,General!$AO$5))))</f>
        <v/>
      </c>
      <c r="AF5" s="4738"/>
      <c r="AG5" s="4738"/>
      <c r="AH5" s="2003" t="s">
        <v>1186</v>
      </c>
      <c r="AI5" s="2004" t="str">
        <f>Principal!$O$6</f>
        <v>1</v>
      </c>
      <c r="AJ5" s="367"/>
      <c r="AK5" s="366"/>
      <c r="AL5" s="360"/>
      <c r="AM5" s="3300"/>
      <c r="AN5" s="3301"/>
      <c r="AO5" s="3301"/>
      <c r="AP5" s="3301"/>
      <c r="AQ5" s="3301"/>
      <c r="AR5" s="3301"/>
      <c r="AS5" s="3301"/>
      <c r="AT5" s="3301"/>
      <c r="AU5" s="3301"/>
      <c r="AV5" s="3301"/>
      <c r="AW5" s="3301"/>
      <c r="AX5" s="3301"/>
      <c r="AY5" s="3301"/>
      <c r="AZ5" s="3301"/>
      <c r="BA5" s="3301"/>
      <c r="BB5" s="3301"/>
      <c r="BC5" s="3301"/>
      <c r="BD5" s="3301"/>
      <c r="BE5" s="3301"/>
    </row>
    <row r="6" spans="1:57" ht="12" customHeight="1">
      <c r="A6" s="360"/>
      <c r="B6" s="982"/>
      <c r="C6" s="5713"/>
      <c r="D6" s="5714"/>
      <c r="E6" s="5714"/>
      <c r="F6" s="5714"/>
      <c r="G6" s="5714"/>
      <c r="H6" s="5714"/>
      <c r="I6" s="311"/>
      <c r="J6" s="5709" t="s">
        <v>1442</v>
      </c>
      <c r="K6" s="5710"/>
      <c r="L6" s="5710"/>
      <c r="M6" s="5710"/>
      <c r="N6" s="5710"/>
      <c r="O6" s="5710"/>
      <c r="P6" s="5710"/>
      <c r="Q6" s="367"/>
      <c r="R6" s="974"/>
      <c r="S6" s="807"/>
      <c r="T6" s="807"/>
      <c r="U6" s="262"/>
      <c r="V6" s="5713"/>
      <c r="W6" s="5714"/>
      <c r="X6" s="5714"/>
      <c r="Y6" s="5714"/>
      <c r="Z6" s="5714"/>
      <c r="AA6" s="2338"/>
      <c r="AB6" s="311"/>
      <c r="AC6" s="5709" t="s">
        <v>8055</v>
      </c>
      <c r="AD6" s="5710"/>
      <c r="AE6" s="5710"/>
      <c r="AF6" s="5710"/>
      <c r="AG6" s="5710"/>
      <c r="AH6" s="5710"/>
      <c r="AI6" s="5710"/>
      <c r="AJ6" s="367"/>
      <c r="AK6" s="366"/>
      <c r="AL6" s="360"/>
      <c r="AM6" s="3300"/>
      <c r="AN6" s="3301"/>
      <c r="AO6" s="3301"/>
      <c r="AP6" s="3301"/>
      <c r="AQ6" s="3301"/>
      <c r="AR6" s="3301"/>
      <c r="AS6" s="3301"/>
      <c r="AT6" s="3301"/>
      <c r="AU6" s="3301"/>
      <c r="AV6" s="3301"/>
      <c r="AW6" s="3301"/>
      <c r="AX6" s="3301"/>
      <c r="AY6" s="3301"/>
      <c r="AZ6" s="3301"/>
      <c r="BA6" s="3301"/>
      <c r="BB6" s="3301"/>
      <c r="BC6" s="3301"/>
      <c r="BD6" s="3301"/>
      <c r="BE6" s="3301"/>
    </row>
    <row r="7" spans="1:57" ht="12" customHeight="1">
      <c r="A7" s="360"/>
      <c r="B7" s="982"/>
      <c r="C7" s="5713"/>
      <c r="D7" s="5714"/>
      <c r="E7" s="5714"/>
      <c r="F7" s="5714"/>
      <c r="G7" s="5714"/>
      <c r="H7" s="5714"/>
      <c r="I7" s="311"/>
      <c r="J7" s="5710"/>
      <c r="K7" s="5710"/>
      <c r="L7" s="5710"/>
      <c r="M7" s="5710"/>
      <c r="N7" s="5710"/>
      <c r="O7" s="5710"/>
      <c r="P7" s="5710"/>
      <c r="Q7" s="367"/>
      <c r="R7" s="974"/>
      <c r="S7" s="807"/>
      <c r="T7" s="807"/>
      <c r="U7" s="262"/>
      <c r="V7" s="5713"/>
      <c r="W7" s="5714"/>
      <c r="X7" s="5714"/>
      <c r="Y7" s="5714"/>
      <c r="Z7" s="5714"/>
      <c r="AA7" s="2338"/>
      <c r="AB7" s="311"/>
      <c r="AC7" s="5710"/>
      <c r="AD7" s="5710"/>
      <c r="AE7" s="5710"/>
      <c r="AF7" s="5710"/>
      <c r="AG7" s="5710"/>
      <c r="AH7" s="5710"/>
      <c r="AI7" s="5710"/>
      <c r="AJ7" s="367"/>
      <c r="AK7" s="366"/>
      <c r="AL7" s="360"/>
      <c r="AM7" s="3300"/>
      <c r="AN7" s="3301"/>
      <c r="AO7" s="3301"/>
      <c r="AP7" s="3301"/>
      <c r="AQ7" s="3301"/>
      <c r="AR7" s="3301"/>
      <c r="AS7" s="3301"/>
      <c r="AT7" s="3301"/>
      <c r="AU7" s="3301"/>
      <c r="AV7" s="3301"/>
      <c r="AW7" s="3301"/>
      <c r="AX7" s="3301"/>
      <c r="AY7" s="3301"/>
      <c r="AZ7" s="3301"/>
      <c r="BA7" s="3301"/>
      <c r="BB7" s="3301"/>
      <c r="BC7" s="3301"/>
      <c r="BD7" s="3301"/>
      <c r="BE7" s="3301"/>
    </row>
    <row r="8" spans="1:57" ht="12" customHeight="1" thickBot="1">
      <c r="A8" s="360"/>
      <c r="B8" s="982"/>
      <c r="C8" s="5715"/>
      <c r="D8" s="5716"/>
      <c r="E8" s="5716"/>
      <c r="F8" s="5716"/>
      <c r="G8" s="5716"/>
      <c r="H8" s="5716"/>
      <c r="I8" s="368"/>
      <c r="J8" s="368"/>
      <c r="K8" s="368"/>
      <c r="L8" s="368"/>
      <c r="M8" s="368"/>
      <c r="N8" s="368"/>
      <c r="O8" s="368"/>
      <c r="P8" s="368"/>
      <c r="Q8" s="369"/>
      <c r="R8" s="974"/>
      <c r="S8" s="807"/>
      <c r="T8" s="807"/>
      <c r="U8" s="262"/>
      <c r="V8" s="5715"/>
      <c r="W8" s="5716"/>
      <c r="X8" s="5716"/>
      <c r="Y8" s="5716"/>
      <c r="Z8" s="5716"/>
      <c r="AA8" s="2339"/>
      <c r="AB8" s="368"/>
      <c r="AC8" s="368"/>
      <c r="AD8" s="368"/>
      <c r="AE8" s="368"/>
      <c r="AF8" s="368"/>
      <c r="AG8" s="368"/>
      <c r="AH8" s="368"/>
      <c r="AI8" s="368"/>
      <c r="AJ8" s="369"/>
      <c r="AK8" s="366"/>
      <c r="AL8" s="360"/>
      <c r="AM8" s="3300"/>
      <c r="AN8" s="3301"/>
      <c r="AO8" s="3301"/>
      <c r="AP8" s="3301"/>
      <c r="AQ8" s="3301"/>
      <c r="AR8" s="3301"/>
      <c r="AS8" s="3301"/>
      <c r="AT8" s="3301"/>
      <c r="AU8" s="3301"/>
      <c r="AV8" s="3301"/>
      <c r="AW8" s="3301"/>
      <c r="AX8" s="3301"/>
      <c r="AY8" s="3301"/>
      <c r="AZ8" s="3301"/>
      <c r="BA8" s="3301"/>
      <c r="BB8" s="3301"/>
      <c r="BC8" s="3301"/>
      <c r="BD8" s="3301"/>
      <c r="BE8" s="3301"/>
    </row>
    <row r="9" spans="1:57" ht="12" customHeight="1" thickBot="1">
      <c r="A9" s="360"/>
      <c r="B9" s="982"/>
      <c r="R9" s="974"/>
      <c r="S9" s="807"/>
      <c r="T9" s="807"/>
      <c r="U9" s="262"/>
      <c r="V9" s="5672"/>
      <c r="W9" s="5672"/>
      <c r="X9" s="5672"/>
      <c r="Y9" s="5672"/>
      <c r="Z9" s="5672"/>
      <c r="AA9" s="5672"/>
      <c r="AB9" s="5672"/>
      <c r="AC9" s="5672"/>
      <c r="AD9" s="5672"/>
      <c r="AE9" s="5672"/>
      <c r="AF9" s="5672"/>
      <c r="AG9" s="5672"/>
      <c r="AH9" s="5672"/>
      <c r="AI9" s="5672"/>
      <c r="AJ9" s="5672"/>
      <c r="AK9" s="366"/>
      <c r="AL9" s="360"/>
      <c r="AM9" s="3300"/>
      <c r="AN9" s="3301"/>
      <c r="AO9" s="3301"/>
      <c r="AP9" s="3301"/>
      <c r="AQ9" s="3301"/>
      <c r="AR9" s="3301"/>
      <c r="AS9" s="3301"/>
      <c r="AT9" s="3301"/>
      <c r="AU9" s="3301"/>
      <c r="AV9" s="3301"/>
      <c r="AW9" s="3301"/>
      <c r="AX9" s="3301"/>
      <c r="AY9" s="3301"/>
      <c r="AZ9" s="3301"/>
      <c r="BA9" s="3301"/>
      <c r="BB9" s="3301"/>
      <c r="BC9" s="3301"/>
      <c r="BD9" s="3301"/>
      <c r="BE9" s="3301"/>
    </row>
    <row r="10" spans="1:57" ht="12" customHeight="1" thickBot="1">
      <c r="A10" s="360"/>
      <c r="B10" s="3773"/>
      <c r="C10" s="5687" t="s">
        <v>1444</v>
      </c>
      <c r="D10" s="5688"/>
      <c r="E10" s="5688"/>
      <c r="F10" s="5689"/>
      <c r="G10" s="3774"/>
      <c r="H10" s="3775" t="s">
        <v>7875</v>
      </c>
      <c r="I10" s="3776" t="s">
        <v>2422</v>
      </c>
      <c r="J10" s="977"/>
      <c r="K10" s="5673" t="s">
        <v>1445</v>
      </c>
      <c r="L10" s="5674"/>
      <c r="M10" s="5674"/>
      <c r="N10" s="5674"/>
      <c r="O10" s="5674"/>
      <c r="P10" s="5677">
        <f>IF(Q10=0,40,"-")</f>
        <v>40</v>
      </c>
      <c r="Q10" s="5679"/>
      <c r="R10" s="5737" t="b">
        <f>P10="-"</f>
        <v>0</v>
      </c>
      <c r="S10" s="807"/>
      <c r="T10" s="807"/>
      <c r="U10" s="262"/>
      <c r="V10" s="5681" t="s">
        <v>10553</v>
      </c>
      <c r="W10" s="5682"/>
      <c r="X10" s="5682"/>
      <c r="Y10" s="5683"/>
      <c r="Z10" s="400"/>
      <c r="AA10" s="5681" t="s">
        <v>1446</v>
      </c>
      <c r="AB10" s="5682"/>
      <c r="AC10" s="5682"/>
      <c r="AD10" s="5682"/>
      <c r="AE10" s="5682"/>
      <c r="AF10" s="5682"/>
      <c r="AG10" s="5682"/>
      <c r="AH10" s="5682"/>
      <c r="AI10" s="5682"/>
      <c r="AJ10" s="5683"/>
      <c r="AK10" s="366"/>
      <c r="AL10" s="360"/>
      <c r="AR10" s="3301"/>
      <c r="BC10" s="3301"/>
      <c r="BD10" s="3301"/>
      <c r="BE10" s="3301"/>
    </row>
    <row r="11" spans="1:57" ht="12" customHeight="1" thickBot="1">
      <c r="A11" s="360"/>
      <c r="B11" s="3773"/>
      <c r="C11" s="3777"/>
      <c r="D11" s="3778" t="s">
        <v>1447</v>
      </c>
      <c r="E11" s="3778" t="s">
        <v>8344</v>
      </c>
      <c r="F11" s="3779" t="s">
        <v>1448</v>
      </c>
      <c r="G11" s="5690" t="s">
        <v>1449</v>
      </c>
      <c r="H11" s="5691"/>
      <c r="I11" s="5692"/>
      <c r="J11" s="977"/>
      <c r="K11" s="5675"/>
      <c r="L11" s="5676"/>
      <c r="M11" s="5676"/>
      <c r="N11" s="5676"/>
      <c r="O11" s="5676"/>
      <c r="P11" s="5678"/>
      <c r="Q11" s="5680"/>
      <c r="R11" s="5737" t="b">
        <f>P11="-"</f>
        <v>0</v>
      </c>
      <c r="S11" s="807"/>
      <c r="T11" s="807"/>
      <c r="U11" s="262"/>
      <c r="V11" s="5732" t="s">
        <v>1450</v>
      </c>
      <c r="W11" s="5733"/>
      <c r="X11" s="5734"/>
      <c r="Y11" s="5701"/>
      <c r="Z11" s="400"/>
      <c r="AA11" s="5738" t="s">
        <v>1451</v>
      </c>
      <c r="AB11" s="5685"/>
      <c r="AC11" s="5739"/>
      <c r="AD11" s="5684" t="s">
        <v>1452</v>
      </c>
      <c r="AE11" s="5685"/>
      <c r="AF11" s="5685"/>
      <c r="AG11" s="5685"/>
      <c r="AH11" s="5685"/>
      <c r="AI11" s="5685"/>
      <c r="AJ11" s="5686"/>
      <c r="AK11" s="366"/>
      <c r="AL11" s="360"/>
      <c r="AR11" s="3301"/>
      <c r="BC11" s="3301"/>
      <c r="BD11" s="3301"/>
      <c r="BE11" s="3301"/>
    </row>
    <row r="12" spans="1:57" ht="12" customHeight="1">
      <c r="A12" s="360"/>
      <c r="B12" s="3773"/>
      <c r="C12" s="5693" t="s">
        <v>1233</v>
      </c>
      <c r="D12" s="5695">
        <f>PDs!$AA36</f>
        <v>0</v>
      </c>
      <c r="E12" s="5720">
        <f>IF(Tablas!$G$384,D12,CEILING(Ki!D12/2,1))</f>
        <v>0</v>
      </c>
      <c r="F12" s="5697" t="str">
        <f>IF(OR(Tablas!$G$387&gt;0,Tablas!$H$1708&gt;0,$I$10&lt;&gt;"No"),"-",PDs!$AA$30)</f>
        <v>-</v>
      </c>
      <c r="G12" s="5722"/>
      <c r="H12" s="5723"/>
      <c r="I12" s="5724"/>
      <c r="J12" s="977"/>
      <c r="K12" s="5699" t="s">
        <v>1453</v>
      </c>
      <c r="L12" s="5700"/>
      <c r="M12" s="5700"/>
      <c r="N12" s="5700"/>
      <c r="O12" s="5700"/>
      <c r="P12" s="1328">
        <f>IF(Q12=0,30,"-")</f>
        <v>30</v>
      </c>
      <c r="Q12" s="3780"/>
      <c r="R12" s="3781" t="b">
        <f>P12="-"</f>
        <v>0</v>
      </c>
      <c r="S12" s="807"/>
      <c r="T12" s="807"/>
      <c r="U12" s="262"/>
      <c r="V12" s="5664"/>
      <c r="W12" s="5665"/>
      <c r="X12" s="5735"/>
      <c r="Y12" s="5670"/>
      <c r="Z12" s="400"/>
      <c r="AA12" s="5704"/>
      <c r="AB12" s="5705"/>
      <c r="AC12" s="5706"/>
      <c r="AD12" s="4464"/>
      <c r="AE12" s="4465"/>
      <c r="AF12" s="4465"/>
      <c r="AG12" s="4465"/>
      <c r="AH12" s="4465"/>
      <c r="AI12" s="4465"/>
      <c r="AJ12" s="4466"/>
      <c r="AK12" s="366"/>
      <c r="AL12" s="360"/>
      <c r="AR12" s="3301"/>
      <c r="BC12" s="3301"/>
      <c r="BD12" s="3301"/>
      <c r="BE12" s="3301"/>
    </row>
    <row r="13" spans="1:57" ht="12" customHeight="1">
      <c r="A13" s="360"/>
      <c r="B13" s="3773"/>
      <c r="C13" s="5694"/>
      <c r="D13" s="5696"/>
      <c r="E13" s="5721"/>
      <c r="F13" s="5698"/>
      <c r="G13" s="5725"/>
      <c r="H13" s="5726"/>
      <c r="I13" s="5727"/>
      <c r="J13" s="977"/>
      <c r="K13" s="3782" t="s">
        <v>1454</v>
      </c>
      <c r="L13" s="5731" t="s">
        <v>1455</v>
      </c>
      <c r="M13" s="5731"/>
      <c r="N13" s="5731"/>
      <c r="O13" s="5731"/>
      <c r="P13" s="1328">
        <f>IF(Q13=0,20,"-")</f>
        <v>20</v>
      </c>
      <c r="Q13" s="1451"/>
      <c r="R13" s="3781" t="b">
        <f t="shared" ref="R13:R43" si="0">P13="-"</f>
        <v>0</v>
      </c>
      <c r="S13" s="807"/>
      <c r="T13" s="807"/>
      <c r="U13" s="262"/>
      <c r="V13" s="5664" t="s">
        <v>1456</v>
      </c>
      <c r="W13" s="5665"/>
      <c r="X13" s="5668"/>
      <c r="Y13" s="5670"/>
      <c r="Z13" s="329"/>
      <c r="AA13" s="5653"/>
      <c r="AB13" s="5654"/>
      <c r="AC13" s="5655"/>
      <c r="AD13" s="5656"/>
      <c r="AE13" s="5657"/>
      <c r="AF13" s="5657"/>
      <c r="AG13" s="5657"/>
      <c r="AH13" s="5657"/>
      <c r="AI13" s="5657"/>
      <c r="AJ13" s="5658"/>
      <c r="AK13" s="366"/>
      <c r="AL13" s="360"/>
      <c r="AR13" s="3301"/>
      <c r="BC13" s="3301"/>
      <c r="BD13" s="3301"/>
      <c r="BE13" s="3301"/>
    </row>
    <row r="14" spans="1:57" ht="12" customHeight="1">
      <c r="A14" s="360"/>
      <c r="B14" s="3773"/>
      <c r="C14" s="5702" t="s">
        <v>1357</v>
      </c>
      <c r="D14" s="5703">
        <f>PDs!$AA37</f>
        <v>0</v>
      </c>
      <c r="E14" s="5740">
        <f>IF(Tablas!$G$384,D14,CEILING(Ki!D14/2,1))</f>
        <v>0</v>
      </c>
      <c r="F14" s="5719" t="str">
        <f>IF(OR(Tablas!$G$387&gt;0,Tablas!$H$1708&gt;0,$I$10&lt;&gt;"No"),"-",PDs!$AA$31)</f>
        <v>-</v>
      </c>
      <c r="G14" s="5728"/>
      <c r="H14" s="5729"/>
      <c r="I14" s="5730"/>
      <c r="J14" s="977"/>
      <c r="K14" s="3782" t="s">
        <v>1457</v>
      </c>
      <c r="L14" s="401" t="s">
        <v>1458</v>
      </c>
      <c r="M14" s="5736" t="s">
        <v>1459</v>
      </c>
      <c r="N14" s="5736"/>
      <c r="O14" s="5736"/>
      <c r="P14" s="1328">
        <f>IF(Q14=0,10,"-")</f>
        <v>10</v>
      </c>
      <c r="Q14" s="1451"/>
      <c r="R14" s="3781" t="b">
        <f t="shared" si="0"/>
        <v>0</v>
      </c>
      <c r="S14" s="807"/>
      <c r="T14" s="807"/>
      <c r="U14" s="262"/>
      <c r="V14" s="5664"/>
      <c r="W14" s="5665"/>
      <c r="X14" s="5735"/>
      <c r="Y14" s="5670"/>
      <c r="Z14" s="390"/>
      <c r="AA14" s="5653"/>
      <c r="AB14" s="5654"/>
      <c r="AC14" s="5655"/>
      <c r="AD14" s="5656"/>
      <c r="AE14" s="5657"/>
      <c r="AF14" s="5657"/>
      <c r="AG14" s="5657"/>
      <c r="AH14" s="5657"/>
      <c r="AI14" s="5657"/>
      <c r="AJ14" s="5658"/>
      <c r="AK14" s="366"/>
      <c r="AL14" s="360"/>
      <c r="AR14" s="3301"/>
      <c r="BC14" s="3301"/>
      <c r="BD14" s="3301"/>
      <c r="BE14" s="3301"/>
    </row>
    <row r="15" spans="1:57" ht="12" customHeight="1">
      <c r="A15" s="360"/>
      <c r="B15" s="3773"/>
      <c r="C15" s="5702"/>
      <c r="D15" s="5703"/>
      <c r="E15" s="5740"/>
      <c r="F15" s="5719"/>
      <c r="G15" s="5728"/>
      <c r="H15" s="5729"/>
      <c r="I15" s="5730"/>
      <c r="J15" s="977"/>
      <c r="K15" s="3782" t="s">
        <v>1454</v>
      </c>
      <c r="L15" s="5736" t="s">
        <v>1460</v>
      </c>
      <c r="M15" s="5736"/>
      <c r="N15" s="5736"/>
      <c r="O15" s="5736"/>
      <c r="P15" s="1328">
        <f>IF(Q15=0,40,"-")</f>
        <v>40</v>
      </c>
      <c r="Q15" s="1451"/>
      <c r="R15" s="3781" t="b">
        <f t="shared" si="0"/>
        <v>0</v>
      </c>
      <c r="S15" s="807"/>
      <c r="T15" s="807"/>
      <c r="U15" s="262"/>
      <c r="V15" s="5664" t="s">
        <v>1461</v>
      </c>
      <c r="W15" s="5665"/>
      <c r="X15" s="5668"/>
      <c r="Y15" s="5670"/>
      <c r="Z15" s="402"/>
      <c r="AA15" s="5653"/>
      <c r="AB15" s="5654"/>
      <c r="AC15" s="5655"/>
      <c r="AD15" s="5656"/>
      <c r="AE15" s="5657"/>
      <c r="AF15" s="5657"/>
      <c r="AG15" s="5657"/>
      <c r="AH15" s="5657"/>
      <c r="AI15" s="5657"/>
      <c r="AJ15" s="5658"/>
      <c r="AK15" s="366"/>
      <c r="AL15" s="360"/>
      <c r="BC15" s="3301"/>
      <c r="BD15" s="3301"/>
      <c r="BE15" s="3301"/>
    </row>
    <row r="16" spans="1:57" ht="12" customHeight="1">
      <c r="A16" s="360"/>
      <c r="B16" s="3773"/>
      <c r="C16" s="5694" t="s">
        <v>1238</v>
      </c>
      <c r="D16" s="5696">
        <f>PDs!$AA38</f>
        <v>0</v>
      </c>
      <c r="E16" s="5741">
        <f>IF(Tablas!$G$384,D16,CEILING(Ki!D16/2,1))</f>
        <v>0</v>
      </c>
      <c r="F16" s="5698" t="str">
        <f>IF(OR(Tablas!$G$387&gt;0,Tablas!$H$1708&gt;0,$I$10&lt;&gt;"No"),"-",PDs!$AA$32)</f>
        <v>-</v>
      </c>
      <c r="G16" s="5725"/>
      <c r="H16" s="5726"/>
      <c r="I16" s="5727"/>
      <c r="J16" s="977"/>
      <c r="K16" s="3782" t="s">
        <v>1454</v>
      </c>
      <c r="L16" s="5736" t="s">
        <v>1462</v>
      </c>
      <c r="M16" s="5736"/>
      <c r="N16" s="5736"/>
      <c r="O16" s="5736"/>
      <c r="P16" s="1328">
        <f>IF(Q16=0,10,"-")</f>
        <v>10</v>
      </c>
      <c r="Q16" s="1451"/>
      <c r="R16" s="3781" t="b">
        <f t="shared" si="0"/>
        <v>0</v>
      </c>
      <c r="S16" s="807"/>
      <c r="T16" s="807"/>
      <c r="U16" s="262"/>
      <c r="V16" s="5664"/>
      <c r="W16" s="5665"/>
      <c r="X16" s="5735"/>
      <c r="Y16" s="5670"/>
      <c r="Z16" s="402"/>
      <c r="AA16" s="5653"/>
      <c r="AB16" s="5654"/>
      <c r="AC16" s="5655"/>
      <c r="AD16" s="5656"/>
      <c r="AE16" s="5657"/>
      <c r="AF16" s="5657"/>
      <c r="AG16" s="5657"/>
      <c r="AH16" s="5657"/>
      <c r="AI16" s="5657"/>
      <c r="AJ16" s="5658"/>
      <c r="AK16" s="366"/>
      <c r="AL16" s="360"/>
      <c r="BC16" s="3301"/>
      <c r="BD16" s="3301"/>
      <c r="BE16" s="3301"/>
    </row>
    <row r="17" spans="1:57" ht="12" customHeight="1">
      <c r="A17" s="360"/>
      <c r="B17" s="3773"/>
      <c r="C17" s="5694"/>
      <c r="D17" s="5696"/>
      <c r="E17" s="5741"/>
      <c r="F17" s="5698"/>
      <c r="G17" s="5725"/>
      <c r="H17" s="5726"/>
      <c r="I17" s="5727"/>
      <c r="J17" s="977"/>
      <c r="K17" s="3782" t="s">
        <v>1457</v>
      </c>
      <c r="L17" s="403" t="s">
        <v>1454</v>
      </c>
      <c r="M17" s="5736" t="s">
        <v>11788</v>
      </c>
      <c r="N17" s="5736"/>
      <c r="O17" s="5736"/>
      <c r="P17" s="1328">
        <f>IF(Q17=0,10,"-")</f>
        <v>10</v>
      </c>
      <c r="Q17" s="1451"/>
      <c r="R17" s="3781" t="b">
        <f t="shared" ref="R17:R23" si="1">P18="-"</f>
        <v>0</v>
      </c>
      <c r="S17" s="807"/>
      <c r="T17" s="807"/>
      <c r="U17" s="262"/>
      <c r="V17" s="5664" t="s">
        <v>1464</v>
      </c>
      <c r="W17" s="5665"/>
      <c r="X17" s="5668"/>
      <c r="Y17" s="5670"/>
      <c r="Z17" s="404"/>
      <c r="AA17" s="5653"/>
      <c r="AB17" s="5654"/>
      <c r="AC17" s="5655"/>
      <c r="AD17" s="5656"/>
      <c r="AE17" s="5657"/>
      <c r="AF17" s="5657"/>
      <c r="AG17" s="5657"/>
      <c r="AH17" s="5657"/>
      <c r="AI17" s="5657"/>
      <c r="AJ17" s="5658"/>
      <c r="AK17" s="366"/>
      <c r="AL17" s="360"/>
      <c r="BC17" s="3301"/>
      <c r="BD17" s="3301"/>
      <c r="BE17" s="3301"/>
    </row>
    <row r="18" spans="1:57" ht="12" customHeight="1">
      <c r="A18" s="360"/>
      <c r="B18" s="3773"/>
      <c r="C18" s="5702" t="s">
        <v>1243</v>
      </c>
      <c r="D18" s="5703">
        <f>PDs!$AA39</f>
        <v>0</v>
      </c>
      <c r="E18" s="5740">
        <f>IF(Tablas!$G$384,D18,CEILING(Ki!D18/2,1))</f>
        <v>0</v>
      </c>
      <c r="F18" s="5719" t="str">
        <f>IF(OR(Tablas!$G$387&gt;0,Tablas!$H$1708&gt;0,$I$10&lt;&gt;"No"),"-",PDs!$AA$33)</f>
        <v>-</v>
      </c>
      <c r="G18" s="5728"/>
      <c r="H18" s="5729"/>
      <c r="I18" s="5730"/>
      <c r="J18" s="977"/>
      <c r="K18" s="3782" t="s">
        <v>1457</v>
      </c>
      <c r="L18" s="403" t="s">
        <v>1454</v>
      </c>
      <c r="M18" s="5731" t="s">
        <v>1463</v>
      </c>
      <c r="N18" s="5731"/>
      <c r="O18" s="5731"/>
      <c r="P18" s="1328">
        <f>IF(Q18=0,30,"-")</f>
        <v>30</v>
      </c>
      <c r="Q18" s="1451"/>
      <c r="R18" s="3781" t="b">
        <f t="shared" si="1"/>
        <v>0</v>
      </c>
      <c r="S18" s="807"/>
      <c r="T18" s="807"/>
      <c r="U18" s="262"/>
      <c r="V18" s="5664"/>
      <c r="W18" s="5665"/>
      <c r="X18" s="5735"/>
      <c r="Y18" s="5670"/>
      <c r="Z18" s="405"/>
      <c r="AA18" s="5653"/>
      <c r="AB18" s="5654"/>
      <c r="AC18" s="5655"/>
      <c r="AD18" s="5656"/>
      <c r="AE18" s="5657"/>
      <c r="AF18" s="5657"/>
      <c r="AG18" s="5657"/>
      <c r="AH18" s="5657"/>
      <c r="AI18" s="5657"/>
      <c r="AJ18" s="5658"/>
      <c r="AK18" s="366"/>
      <c r="AL18" s="360"/>
      <c r="BA18" s="3301"/>
      <c r="BB18" s="3301"/>
      <c r="BC18" s="3301"/>
      <c r="BD18" s="3301"/>
      <c r="BE18" s="3301"/>
    </row>
    <row r="19" spans="1:57" ht="12" customHeight="1">
      <c r="A19" s="360"/>
      <c r="B19" s="3773"/>
      <c r="C19" s="5702"/>
      <c r="D19" s="5703"/>
      <c r="E19" s="5740"/>
      <c r="F19" s="5719"/>
      <c r="G19" s="5728"/>
      <c r="H19" s="5729"/>
      <c r="I19" s="5730"/>
      <c r="J19" s="977"/>
      <c r="K19" s="3782" t="s">
        <v>1457</v>
      </c>
      <c r="L19" s="403" t="s">
        <v>1457</v>
      </c>
      <c r="M19" s="403" t="s">
        <v>1465</v>
      </c>
      <c r="N19" s="5844" t="s">
        <v>1466</v>
      </c>
      <c r="O19" s="5844"/>
      <c r="P19" s="1328">
        <f>IF(Q19=0,20,"-")</f>
        <v>20</v>
      </c>
      <c r="Q19" s="1451"/>
      <c r="R19" s="3781" t="b">
        <f t="shared" si="1"/>
        <v>0</v>
      </c>
      <c r="S19" s="807"/>
      <c r="T19" s="807"/>
      <c r="U19" s="262"/>
      <c r="V19" s="5664" t="s">
        <v>1468</v>
      </c>
      <c r="W19" s="5665"/>
      <c r="X19" s="5668"/>
      <c r="Y19" s="5670"/>
      <c r="Z19" s="405"/>
      <c r="AA19" s="5653"/>
      <c r="AB19" s="5654"/>
      <c r="AC19" s="5655"/>
      <c r="AD19" s="5656"/>
      <c r="AE19" s="5657"/>
      <c r="AF19" s="5657"/>
      <c r="AG19" s="5657"/>
      <c r="AH19" s="5657"/>
      <c r="AI19" s="5657"/>
      <c r="AJ19" s="5658"/>
      <c r="AK19" s="366"/>
      <c r="AL19" s="360"/>
      <c r="BA19" s="3301"/>
      <c r="BB19" s="3301"/>
      <c r="BC19" s="3301"/>
      <c r="BD19" s="3301"/>
      <c r="BE19" s="3301"/>
    </row>
    <row r="20" spans="1:57" ht="12" customHeight="1" thickBot="1">
      <c r="A20" s="360"/>
      <c r="B20" s="3773"/>
      <c r="C20" s="5694" t="s">
        <v>1250</v>
      </c>
      <c r="D20" s="5696">
        <f>PDs!$AA40</f>
        <v>0</v>
      </c>
      <c r="E20" s="5741">
        <f>IF(Tablas!$G$384,D20,CEILING(Ki!D20/2,1))</f>
        <v>0</v>
      </c>
      <c r="F20" s="5698" t="str">
        <f>IF(OR(Tablas!$G$387&gt;0,Tablas!$H$1708&gt;0,$I$10&lt;&gt;"No"),"-",PDs!$AA$34)</f>
        <v>-</v>
      </c>
      <c r="G20" s="5725"/>
      <c r="H20" s="5726"/>
      <c r="I20" s="5727"/>
      <c r="J20" s="977"/>
      <c r="K20" s="3782" t="s">
        <v>1457</v>
      </c>
      <c r="L20" s="403" t="s">
        <v>1465</v>
      </c>
      <c r="M20" s="5731" t="s">
        <v>1467</v>
      </c>
      <c r="N20" s="5731"/>
      <c r="O20" s="5731"/>
      <c r="P20" s="1328">
        <f>IF(Q20=0,20,"-")</f>
        <v>20</v>
      </c>
      <c r="Q20" s="1451"/>
      <c r="R20" s="3781" t="b">
        <f t="shared" si="1"/>
        <v>0</v>
      </c>
      <c r="S20" s="807"/>
      <c r="T20" s="807"/>
      <c r="U20" s="262"/>
      <c r="V20" s="5666"/>
      <c r="W20" s="5667"/>
      <c r="X20" s="5669"/>
      <c r="Y20" s="5671"/>
      <c r="Z20" s="405"/>
      <c r="AA20" s="5653"/>
      <c r="AB20" s="5654"/>
      <c r="AC20" s="5655"/>
      <c r="AD20" s="5656"/>
      <c r="AE20" s="5657"/>
      <c r="AF20" s="5657"/>
      <c r="AG20" s="5657"/>
      <c r="AH20" s="5657"/>
      <c r="AI20" s="5657"/>
      <c r="AJ20" s="5658"/>
      <c r="AK20" s="366"/>
      <c r="AL20" s="360"/>
      <c r="BA20" s="3301"/>
      <c r="BB20" s="3301"/>
      <c r="BC20" s="3301"/>
      <c r="BD20" s="3301"/>
      <c r="BE20" s="3301"/>
    </row>
    <row r="21" spans="1:57" ht="12" customHeight="1" thickBot="1">
      <c r="A21" s="360"/>
      <c r="B21" s="3773"/>
      <c r="C21" s="5694"/>
      <c r="D21" s="5696"/>
      <c r="E21" s="5741"/>
      <c r="F21" s="5698"/>
      <c r="G21" s="5725"/>
      <c r="H21" s="5726"/>
      <c r="I21" s="5727"/>
      <c r="J21" s="977"/>
      <c r="K21" s="3782" t="s">
        <v>1457</v>
      </c>
      <c r="L21" s="403"/>
      <c r="M21" s="403" t="s">
        <v>1454</v>
      </c>
      <c r="N21" s="5736" t="s">
        <v>1469</v>
      </c>
      <c r="O21" s="5736"/>
      <c r="P21" s="1328">
        <f>IF(Q21=0,20,"-")</f>
        <v>20</v>
      </c>
      <c r="Q21" s="1451"/>
      <c r="R21" s="3781" t="b">
        <f t="shared" si="1"/>
        <v>0</v>
      </c>
      <c r="S21" s="807"/>
      <c r="T21" s="807"/>
      <c r="U21" s="262"/>
      <c r="AA21" s="5653"/>
      <c r="AB21" s="5654"/>
      <c r="AC21" s="5655"/>
      <c r="AD21" s="5656"/>
      <c r="AE21" s="5657"/>
      <c r="AF21" s="5657"/>
      <c r="AG21" s="5657"/>
      <c r="AH21" s="5657"/>
      <c r="AI21" s="5657"/>
      <c r="AJ21" s="5658"/>
      <c r="AK21" s="366"/>
      <c r="AL21" s="360"/>
      <c r="AM21" s="3300"/>
      <c r="AN21" s="3301"/>
      <c r="AO21" s="3301"/>
      <c r="AP21" s="3301"/>
      <c r="BA21" s="3301"/>
      <c r="BB21" s="3301"/>
      <c r="BC21" s="3301"/>
      <c r="BD21" s="3301"/>
      <c r="BE21" s="3301"/>
    </row>
    <row r="22" spans="1:57" ht="12" customHeight="1">
      <c r="A22" s="360"/>
      <c r="B22" s="3773"/>
      <c r="C22" s="5702" t="s">
        <v>1251</v>
      </c>
      <c r="D22" s="5703">
        <f>PDs!$AA41</f>
        <v>0</v>
      </c>
      <c r="E22" s="5740">
        <f>IF(Tablas!$G$384,D22,CEILING(Ki!D22/2,1))</f>
        <v>0</v>
      </c>
      <c r="F22" s="5719" t="str">
        <f>IF(OR(Tablas!$G$387&gt;0,Tablas!$H$1708&gt;0,$I$10&lt;&gt;"No"),"-",PDs!$AA$35)</f>
        <v>-</v>
      </c>
      <c r="G22" s="5728"/>
      <c r="H22" s="5729"/>
      <c r="I22" s="5730"/>
      <c r="J22" s="977"/>
      <c r="K22" s="3782" t="s">
        <v>1457</v>
      </c>
      <c r="L22" s="403"/>
      <c r="M22" s="403" t="s">
        <v>1457</v>
      </c>
      <c r="N22" s="401" t="s">
        <v>1465</v>
      </c>
      <c r="O22" s="4299" t="s">
        <v>14152</v>
      </c>
      <c r="P22" s="1328">
        <f>IF(Q22=0,30,"-")</f>
        <v>30</v>
      </c>
      <c r="Q22" s="1451"/>
      <c r="R22" s="3781" t="b">
        <f t="shared" si="1"/>
        <v>0</v>
      </c>
      <c r="S22" s="807"/>
      <c r="T22" s="807"/>
      <c r="U22" s="262"/>
      <c r="V22" s="5681" t="s">
        <v>10552</v>
      </c>
      <c r="W22" s="5682"/>
      <c r="X22" s="5682"/>
      <c r="Y22" s="5683"/>
      <c r="AA22" s="5653"/>
      <c r="AB22" s="5654"/>
      <c r="AC22" s="5655"/>
      <c r="AD22" s="5656"/>
      <c r="AE22" s="5657"/>
      <c r="AF22" s="5657"/>
      <c r="AG22" s="5657"/>
      <c r="AH22" s="5657"/>
      <c r="AI22" s="5657"/>
      <c r="AJ22" s="5658"/>
      <c r="AK22" s="366"/>
      <c r="AL22" s="360"/>
      <c r="AM22" s="3300"/>
      <c r="AN22" s="3301"/>
      <c r="AO22" s="3301"/>
      <c r="AP22" s="3301"/>
      <c r="BA22" s="3301"/>
      <c r="BB22" s="3301"/>
      <c r="BC22" s="3301"/>
      <c r="BD22" s="3301"/>
      <c r="BE22" s="3301"/>
    </row>
    <row r="23" spans="1:57" ht="12" customHeight="1">
      <c r="A23" s="360"/>
      <c r="B23" s="3773"/>
      <c r="C23" s="5748"/>
      <c r="D23" s="5749"/>
      <c r="E23" s="5751"/>
      <c r="F23" s="5750"/>
      <c r="G23" s="5752"/>
      <c r="H23" s="5753"/>
      <c r="I23" s="5754"/>
      <c r="J23" s="977"/>
      <c r="K23" s="3782" t="s">
        <v>1457</v>
      </c>
      <c r="L23" s="403"/>
      <c r="M23" s="403" t="s">
        <v>1465</v>
      </c>
      <c r="N23" s="5736" t="s">
        <v>1470</v>
      </c>
      <c r="O23" s="5736"/>
      <c r="P23" s="1328">
        <f>IF(Q23=0,20,"-")</f>
        <v>20</v>
      </c>
      <c r="Q23" s="1451"/>
      <c r="R23" s="3781" t="b">
        <f t="shared" si="1"/>
        <v>0</v>
      </c>
      <c r="S23" s="807"/>
      <c r="T23" s="807"/>
      <c r="U23" s="407"/>
      <c r="V23" s="5732" t="s">
        <v>55</v>
      </c>
      <c r="W23" s="5733"/>
      <c r="X23" s="5734"/>
      <c r="Y23" s="5701"/>
      <c r="AA23" s="5653"/>
      <c r="AB23" s="5654"/>
      <c r="AC23" s="5655"/>
      <c r="AD23" s="5656"/>
      <c r="AE23" s="5657"/>
      <c r="AF23" s="5657"/>
      <c r="AG23" s="5657"/>
      <c r="AH23" s="5657"/>
      <c r="AI23" s="5657"/>
      <c r="AJ23" s="5658"/>
      <c r="AK23" s="366"/>
      <c r="AL23" s="360"/>
      <c r="AM23" s="3300"/>
      <c r="AN23" s="3301"/>
      <c r="AO23" s="3301"/>
      <c r="AP23" s="3301"/>
      <c r="BA23" s="3301"/>
      <c r="BB23" s="3301"/>
      <c r="BC23" s="3301"/>
      <c r="BD23" s="3301"/>
      <c r="BE23" s="3301"/>
    </row>
    <row r="24" spans="1:57" ht="12" customHeight="1">
      <c r="A24" s="360"/>
      <c r="B24" s="3773"/>
      <c r="C24" s="3783" t="s">
        <v>2660</v>
      </c>
      <c r="D24" s="5695">
        <f>D12+D14+D16+D18+D20+D22</f>
        <v>0</v>
      </c>
      <c r="E24" s="5720">
        <f>E12+E14+E16+E18+E20+E22</f>
        <v>0</v>
      </c>
      <c r="F24" s="5697">
        <f>IF(OR(Tablas!$G$387&gt;0,Tablas!$H$1708&gt;0),((PDs!W34*6)+(PDs!V30+PDs!V31+PDs!V32+PDs!V33+PDs!V34+PDs!V35)),SUM(PDs!$AA$30:$AA$35))</f>
        <v>0</v>
      </c>
      <c r="G24" s="5770" t="str">
        <f>IF(I10&lt;&gt;"no","Con Unificación del Ki no se unifican las acumulaciones","")</f>
        <v>Con Unificación del Ki no se unifican las acumulaciones</v>
      </c>
      <c r="H24" s="5770"/>
      <c r="I24" s="5771"/>
      <c r="J24" s="977"/>
      <c r="K24" s="3782" t="s">
        <v>1457</v>
      </c>
      <c r="L24" s="403"/>
      <c r="M24" s="406"/>
      <c r="N24" s="401" t="s">
        <v>1465</v>
      </c>
      <c r="O24" s="4299" t="s">
        <v>14153</v>
      </c>
      <c r="P24" s="1328">
        <f>IF(Q24=0,30,"-")</f>
        <v>30</v>
      </c>
      <c r="Q24" s="1451"/>
      <c r="R24" s="3781" t="b">
        <f>P17="-"</f>
        <v>0</v>
      </c>
      <c r="S24" s="807"/>
      <c r="T24" s="807"/>
      <c r="U24" s="407"/>
      <c r="V24" s="5664"/>
      <c r="W24" s="5665"/>
      <c r="X24" s="5735"/>
      <c r="Y24" s="5670"/>
      <c r="AA24" s="5653"/>
      <c r="AB24" s="5654"/>
      <c r="AC24" s="5655"/>
      <c r="AD24" s="5656"/>
      <c r="AE24" s="5657"/>
      <c r="AF24" s="5657"/>
      <c r="AG24" s="5657"/>
      <c r="AH24" s="5657"/>
      <c r="AI24" s="5657"/>
      <c r="AJ24" s="5658"/>
      <c r="AK24" s="366"/>
      <c r="AL24" s="360"/>
      <c r="AM24" s="3943" t="s">
        <v>8829</v>
      </c>
      <c r="AN24" s="607"/>
      <c r="AO24" s="3301"/>
      <c r="AP24" s="3301"/>
      <c r="BA24" s="3301"/>
      <c r="BB24" s="3301"/>
      <c r="BC24" s="3301"/>
      <c r="BD24" s="3301"/>
      <c r="BE24" s="3301"/>
    </row>
    <row r="25" spans="1:57" ht="12" customHeight="1" thickBot="1">
      <c r="A25" s="360"/>
      <c r="B25" s="3773"/>
      <c r="C25" s="3784" t="s">
        <v>1209</v>
      </c>
      <c r="D25" s="5768"/>
      <c r="E25" s="5774"/>
      <c r="F25" s="5769"/>
      <c r="G25" s="5772"/>
      <c r="H25" s="5772"/>
      <c r="I25" s="5773"/>
      <c r="J25" s="977"/>
      <c r="K25" s="3782" t="s">
        <v>1454</v>
      </c>
      <c r="L25" s="5736" t="s">
        <v>1471</v>
      </c>
      <c r="M25" s="5736"/>
      <c r="N25" s="5736"/>
      <c r="O25" s="5736"/>
      <c r="P25" s="1328">
        <f>IF(Q25=0,50,"-")</f>
        <v>50</v>
      </c>
      <c r="Q25" s="1451"/>
      <c r="R25" s="3781" t="b">
        <f t="shared" si="0"/>
        <v>0</v>
      </c>
      <c r="S25" s="807"/>
      <c r="T25" s="807"/>
      <c r="U25" s="407">
        <f>IF(V40=0,0,1)</f>
        <v>0</v>
      </c>
      <c r="V25" s="5664" t="s">
        <v>1563</v>
      </c>
      <c r="W25" s="5665"/>
      <c r="X25" s="5668"/>
      <c r="Y25" s="5670"/>
      <c r="AA25" s="5653"/>
      <c r="AB25" s="5654"/>
      <c r="AC25" s="5655"/>
      <c r="AD25" s="5656"/>
      <c r="AE25" s="5657"/>
      <c r="AF25" s="5657"/>
      <c r="AG25" s="5657"/>
      <c r="AH25" s="5657"/>
      <c r="AI25" s="5657"/>
      <c r="AJ25" s="5658"/>
      <c r="AK25" s="366"/>
      <c r="AL25" s="360"/>
      <c r="AM25" s="3943" t="s">
        <v>1225</v>
      </c>
      <c r="AN25" s="607" t="s">
        <v>3001</v>
      </c>
      <c r="AO25" s="3301"/>
      <c r="AP25" s="3301"/>
      <c r="BA25" s="3301"/>
      <c r="BB25" s="3301"/>
      <c r="BC25" s="3301"/>
      <c r="BD25" s="3301"/>
      <c r="BE25" s="3301"/>
    </row>
    <row r="26" spans="1:57" ht="12" customHeight="1" thickBot="1">
      <c r="A26" s="360"/>
      <c r="B26" s="3773"/>
      <c r="J26" s="977"/>
      <c r="K26" s="3782" t="s">
        <v>1465</v>
      </c>
      <c r="L26" s="5736" t="s">
        <v>1472</v>
      </c>
      <c r="M26" s="5736"/>
      <c r="N26" s="5736"/>
      <c r="O26" s="5736"/>
      <c r="P26" s="1328">
        <f>IF(Q26=0,20,"-")</f>
        <v>20</v>
      </c>
      <c r="Q26" s="1451"/>
      <c r="R26" s="3781" t="b">
        <f t="shared" si="0"/>
        <v>0</v>
      </c>
      <c r="S26" s="807"/>
      <c r="T26" s="807"/>
      <c r="U26" s="407"/>
      <c r="V26" s="5664"/>
      <c r="W26" s="5665"/>
      <c r="X26" s="5735"/>
      <c r="Y26" s="5670"/>
      <c r="AA26" s="5653"/>
      <c r="AB26" s="5654"/>
      <c r="AC26" s="5655"/>
      <c r="AD26" s="5656"/>
      <c r="AE26" s="5657"/>
      <c r="AF26" s="5657"/>
      <c r="AG26" s="5657"/>
      <c r="AH26" s="5657"/>
      <c r="AI26" s="5657"/>
      <c r="AJ26" s="5658"/>
      <c r="AK26" s="366"/>
      <c r="AL26" s="360"/>
      <c r="AM26" s="3300" t="str">
        <f>IF(V40="","",V40&amp;" ("&amp;V41&amp;"), ")&amp;IF(V48="","",V48&amp;" ("&amp;V49&amp;"), ")&amp;IF(V56="","",V56&amp;" ("&amp;V57&amp;"), ")&amp;IF(V64="","",V64&amp;" ("&amp;V65&amp;"), ")&amp;IF(V72="","",V72&amp;" ("&amp;V73&amp;"), ")&amp;IF(AD40="","",AD40&amp;" ("&amp;AD41&amp;"), ")&amp;IF(AD48="","",AD48&amp;" ("&amp;AD49&amp;"), ")&amp;IF(AD56="","",AD56&amp;" ("&amp;AD57&amp;"), ")&amp;IF(AD64="","",AD64&amp;" ("&amp;AD65&amp;"), ")&amp;IF(AD72="","",AD72&amp;" ("&amp;AD73&amp;"), ")</f>
        <v/>
      </c>
      <c r="AN26" s="3301" t="str">
        <f>IFERROR(LEFT(AM26,LEN(AM26)-2),"")</f>
        <v/>
      </c>
      <c r="AO26" s="3301"/>
      <c r="AP26" s="3301"/>
      <c r="AQ26" s="3301"/>
      <c r="AR26" s="3301"/>
      <c r="AS26" s="3301"/>
      <c r="AT26" s="3301"/>
      <c r="AU26" s="3301"/>
      <c r="AV26" s="3301"/>
      <c r="AW26" s="3301"/>
      <c r="AX26" s="3301"/>
      <c r="AY26" s="3301"/>
      <c r="AZ26" s="3301"/>
      <c r="BA26" s="3301"/>
      <c r="BB26" s="3301"/>
      <c r="BC26" s="3301"/>
      <c r="BD26" s="3301"/>
      <c r="BE26" s="3301"/>
    </row>
    <row r="27" spans="1:57" ht="12" customHeight="1" thickBot="1">
      <c r="A27" s="360"/>
      <c r="B27" s="3773"/>
      <c r="C27" s="5659" t="s">
        <v>1473</v>
      </c>
      <c r="D27" s="5660"/>
      <c r="E27" s="5660"/>
      <c r="F27" s="5661"/>
      <c r="H27" s="5687" t="s">
        <v>1474</v>
      </c>
      <c r="I27" s="5689"/>
      <c r="J27" s="977"/>
      <c r="K27" s="5699" t="s">
        <v>1475</v>
      </c>
      <c r="L27" s="5764"/>
      <c r="M27" s="5764"/>
      <c r="N27" s="5764"/>
      <c r="O27" s="5764"/>
      <c r="P27" s="1328">
        <f>IF(Q27=0,10,"-")</f>
        <v>10</v>
      </c>
      <c r="Q27" s="1451"/>
      <c r="R27" s="3781" t="b">
        <f t="shared" si="0"/>
        <v>0</v>
      </c>
      <c r="S27" s="807"/>
      <c r="T27" s="807"/>
      <c r="U27" s="407">
        <f>IF(V42=0,0,1)</f>
        <v>1</v>
      </c>
      <c r="V27" s="5664" t="s">
        <v>49</v>
      </c>
      <c r="W27" s="5665"/>
      <c r="X27" s="5668"/>
      <c r="Y27" s="5670"/>
      <c r="AA27" s="5653"/>
      <c r="AB27" s="5654"/>
      <c r="AC27" s="5655"/>
      <c r="AD27" s="5656"/>
      <c r="AE27" s="5657"/>
      <c r="AF27" s="5657"/>
      <c r="AG27" s="5657"/>
      <c r="AH27" s="5657"/>
      <c r="AI27" s="5657"/>
      <c r="AJ27" s="5658"/>
      <c r="AK27" s="366"/>
      <c r="AL27" s="360"/>
      <c r="AM27" s="3300"/>
      <c r="AN27" s="3301"/>
      <c r="AO27" s="3301"/>
      <c r="AP27" s="3301"/>
      <c r="AQ27" s="3301"/>
      <c r="AR27" s="3301"/>
      <c r="AS27" s="3301"/>
      <c r="AT27" s="3301"/>
      <c r="AU27" s="3301"/>
      <c r="AV27" s="3301"/>
      <c r="AW27" s="3301"/>
      <c r="AX27" s="3301"/>
      <c r="AY27" s="3301"/>
      <c r="AZ27" s="3301"/>
      <c r="BA27" s="3301"/>
      <c r="BB27" s="3301"/>
      <c r="BC27" s="3301"/>
      <c r="BD27" s="3301"/>
      <c r="BE27" s="3301"/>
    </row>
    <row r="28" spans="1:57" ht="12" customHeight="1">
      <c r="A28" s="360"/>
      <c r="B28" s="3773"/>
      <c r="C28" s="5788" t="s">
        <v>1476</v>
      </c>
      <c r="D28" s="5789"/>
      <c r="E28" s="5790" t="s">
        <v>1477</v>
      </c>
      <c r="F28" s="5791"/>
      <c r="G28" s="1052" t="e">
        <f>Tablas!#REF!</f>
        <v>#REF!</v>
      </c>
      <c r="H28" s="5792"/>
      <c r="I28" s="5793"/>
      <c r="J28" s="977"/>
      <c r="K28" s="3782" t="s">
        <v>1465</v>
      </c>
      <c r="L28" s="5736" t="s">
        <v>1478</v>
      </c>
      <c r="M28" s="5736"/>
      <c r="N28" s="5736"/>
      <c r="O28" s="5736"/>
      <c r="P28" s="1328">
        <f>IF(Q28=0,20,"-")</f>
        <v>20</v>
      </c>
      <c r="Q28" s="1451"/>
      <c r="R28" s="3781" t="b">
        <f t="shared" si="0"/>
        <v>0</v>
      </c>
      <c r="S28" s="807"/>
      <c r="T28" s="807"/>
      <c r="U28" s="407"/>
      <c r="V28" s="5664"/>
      <c r="W28" s="5665"/>
      <c r="X28" s="5735"/>
      <c r="Y28" s="5670"/>
      <c r="AA28" s="5653"/>
      <c r="AB28" s="5654"/>
      <c r="AC28" s="5655"/>
      <c r="AD28" s="5656"/>
      <c r="AE28" s="5657"/>
      <c r="AF28" s="5657"/>
      <c r="AG28" s="5657"/>
      <c r="AH28" s="5657"/>
      <c r="AI28" s="5657"/>
      <c r="AJ28" s="5658"/>
      <c r="AK28" s="366"/>
      <c r="AL28" s="360"/>
      <c r="AM28" s="3300"/>
      <c r="AN28" s="3301"/>
      <c r="AO28" s="3301"/>
      <c r="AP28" s="3301"/>
      <c r="AQ28" s="3301"/>
      <c r="AR28" s="3301"/>
      <c r="AS28" s="3301"/>
      <c r="AT28" s="3301"/>
      <c r="AU28" s="3301"/>
      <c r="AV28" s="3301"/>
      <c r="AW28" s="3301"/>
      <c r="AX28" s="3301"/>
      <c r="AY28" s="3301"/>
      <c r="AZ28" s="3301"/>
      <c r="BA28" s="3301"/>
      <c r="BB28" s="3301"/>
      <c r="BC28" s="3301"/>
      <c r="BD28" s="3301"/>
      <c r="BE28" s="3301"/>
    </row>
    <row r="29" spans="1:57" ht="12" customHeight="1">
      <c r="A29" s="360"/>
      <c r="B29" s="3773"/>
      <c r="C29" s="5782">
        <f>CM_final</f>
        <v>0</v>
      </c>
      <c r="D29" s="5783"/>
      <c r="E29" s="5783">
        <f>SUM(Q10:Q66)+SUM(I43:I88)+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41+AB49+AB57+AB65+AB73+AJ41+AJ49+AJ57+AJ65+AJ73+AB81+AJ81</f>
        <v>0</v>
      </c>
      <c r="F29" s="5786"/>
      <c r="H29" s="5777"/>
      <c r="I29" s="5778"/>
      <c r="J29" s="977"/>
      <c r="K29" s="3785"/>
      <c r="L29" s="403" t="s">
        <v>1454</v>
      </c>
      <c r="M29" s="5736" t="s">
        <v>1479</v>
      </c>
      <c r="N29" s="5736"/>
      <c r="O29" s="5736"/>
      <c r="P29" s="1328">
        <f>IF(Q29=0,10,"-")</f>
        <v>10</v>
      </c>
      <c r="Q29" s="1451"/>
      <c r="R29" s="3781" t="b">
        <f t="shared" si="0"/>
        <v>0</v>
      </c>
      <c r="S29" s="807"/>
      <c r="T29" s="807"/>
      <c r="U29" s="407">
        <f>IF(V44=0,0,1)</f>
        <v>0</v>
      </c>
      <c r="V29" s="5664" t="s">
        <v>10551</v>
      </c>
      <c r="W29" s="5665"/>
      <c r="X29" s="5668"/>
      <c r="Y29" s="5670"/>
      <c r="AA29" s="5653"/>
      <c r="AB29" s="5654"/>
      <c r="AC29" s="5655"/>
      <c r="AD29" s="5656"/>
      <c r="AE29" s="5657"/>
      <c r="AF29" s="5657"/>
      <c r="AG29" s="5657"/>
      <c r="AH29" s="5657"/>
      <c r="AI29" s="5657"/>
      <c r="AJ29" s="5658"/>
      <c r="AK29" s="366"/>
      <c r="AL29" s="360"/>
      <c r="AM29" s="3300"/>
      <c r="AN29" s="3301"/>
      <c r="AO29" s="3301"/>
      <c r="AP29" s="3301"/>
      <c r="AQ29" s="3301"/>
      <c r="AR29" s="3301"/>
      <c r="AS29" s="3301"/>
      <c r="AT29" s="3301"/>
      <c r="AU29" s="3301"/>
      <c r="AV29" s="3301"/>
      <c r="AW29" s="3301"/>
      <c r="AX29" s="3301"/>
      <c r="AY29" s="3301"/>
      <c r="AZ29" s="3301"/>
      <c r="BA29" s="3301"/>
      <c r="BB29" s="3301"/>
      <c r="BC29" s="3301"/>
      <c r="BD29" s="3301"/>
      <c r="BE29" s="3301"/>
    </row>
    <row r="30" spans="1:57" ht="12" customHeight="1" thickBot="1">
      <c r="A30" s="360"/>
      <c r="B30" s="3773"/>
      <c r="C30" s="5784"/>
      <c r="D30" s="5785"/>
      <c r="E30" s="5785"/>
      <c r="F30" s="5787"/>
      <c r="H30" s="5775"/>
      <c r="I30" s="5776"/>
      <c r="J30" s="977"/>
      <c r="K30" s="3785"/>
      <c r="L30" s="403" t="s">
        <v>1457</v>
      </c>
      <c r="M30" s="403" t="s">
        <v>1465</v>
      </c>
      <c r="N30" s="1329" t="s">
        <v>7871</v>
      </c>
      <c r="O30" s="1329"/>
      <c r="P30" s="1328">
        <f>IF(Q30=0,20,"-")</f>
        <v>20</v>
      </c>
      <c r="Q30" s="1451"/>
      <c r="R30" s="3781" t="b">
        <f t="shared" si="0"/>
        <v>0</v>
      </c>
      <c r="S30" s="807"/>
      <c r="T30" s="807"/>
      <c r="U30" s="407"/>
      <c r="V30" s="5666"/>
      <c r="W30" s="5667"/>
      <c r="X30" s="5669"/>
      <c r="Y30" s="5671"/>
      <c r="AA30" s="5765"/>
      <c r="AB30" s="5766"/>
      <c r="AC30" s="5767"/>
      <c r="AD30" s="5745"/>
      <c r="AE30" s="5746"/>
      <c r="AF30" s="5746"/>
      <c r="AG30" s="5746"/>
      <c r="AH30" s="5746"/>
      <c r="AI30" s="5746"/>
      <c r="AJ30" s="5747"/>
      <c r="AK30" s="366"/>
      <c r="AL30" s="360"/>
      <c r="AM30" s="3300"/>
      <c r="AN30" s="3301"/>
      <c r="AO30" s="3301"/>
      <c r="AP30" s="3301"/>
      <c r="AQ30" s="3301"/>
      <c r="AR30" s="3301"/>
      <c r="AS30" s="3301"/>
      <c r="AT30" s="3301"/>
      <c r="AU30" s="3301"/>
      <c r="AV30" s="3301"/>
      <c r="AW30" s="3301"/>
      <c r="AX30" s="3301"/>
      <c r="AY30" s="3301"/>
      <c r="AZ30" s="3301"/>
      <c r="BA30" s="3301"/>
      <c r="BB30" s="3301"/>
      <c r="BC30" s="3301"/>
      <c r="BD30" s="3301"/>
      <c r="BE30" s="3301"/>
    </row>
    <row r="31" spans="1:57" ht="12" customHeight="1" thickBot="1">
      <c r="A31" s="360"/>
      <c r="B31" s="3773"/>
      <c r="C31" s="5794" t="str">
        <f>IF(E29&gt;C29,"Exceso de CM",IF(Tablas!$X$21,IF(E29&gt;C29*VLOOKUP(Nivel_Sobrenatural,Tablas!$S$9:$X$12,4,FALSE),"Exceso de CM inicial",""),""))</f>
        <v/>
      </c>
      <c r="D31" s="5795"/>
      <c r="E31" s="5795"/>
      <c r="F31" s="5796"/>
      <c r="H31" s="5775"/>
      <c r="I31" s="5776"/>
      <c r="J31" s="977"/>
      <c r="K31" s="3785"/>
      <c r="L31" s="403" t="s">
        <v>1465</v>
      </c>
      <c r="M31" s="5736" t="s">
        <v>1480</v>
      </c>
      <c r="N31" s="5736"/>
      <c r="O31" s="5736"/>
      <c r="P31" s="1328">
        <f>IF(Q31=0,20,"-")</f>
        <v>20</v>
      </c>
      <c r="Q31" s="1451"/>
      <c r="R31" s="3781" t="b">
        <f t="shared" si="0"/>
        <v>0</v>
      </c>
      <c r="S31" s="807"/>
      <c r="T31" s="807"/>
      <c r="U31" s="407">
        <f>IF(V46=0,0,1)</f>
        <v>0</v>
      </c>
      <c r="AK31" s="366"/>
      <c r="AL31" s="360"/>
      <c r="AM31" s="3300"/>
      <c r="AN31" s="3301"/>
      <c r="AO31" s="3301"/>
      <c r="AP31" s="3301"/>
      <c r="AQ31" s="3301"/>
      <c r="AR31" s="3301"/>
      <c r="AS31" s="3301"/>
      <c r="AT31" s="3301"/>
      <c r="AU31" s="3301"/>
      <c r="AV31" s="3301"/>
      <c r="AW31" s="3301"/>
      <c r="AX31" s="3301"/>
      <c r="AY31" s="3301"/>
      <c r="AZ31" s="3301"/>
      <c r="BA31" s="3301"/>
      <c r="BB31" s="3301"/>
      <c r="BC31" s="3301"/>
      <c r="BD31" s="3301"/>
      <c r="BE31" s="3301"/>
    </row>
    <row r="32" spans="1:57" ht="12" customHeight="1" thickBot="1">
      <c r="A32" s="360"/>
      <c r="B32" s="3773"/>
      <c r="H32" s="5777"/>
      <c r="I32" s="5778"/>
      <c r="J32" s="977"/>
      <c r="K32" s="5699" t="s">
        <v>1481</v>
      </c>
      <c r="L32" s="5700"/>
      <c r="M32" s="5700"/>
      <c r="N32" s="5700"/>
      <c r="O32" s="5700"/>
      <c r="P32" s="1328">
        <f>IF(Q32=0,10,"-")</f>
        <v>10</v>
      </c>
      <c r="Q32" s="1451"/>
      <c r="R32" s="3781" t="b">
        <f t="shared" si="0"/>
        <v>0</v>
      </c>
      <c r="S32" s="807"/>
      <c r="T32" s="807"/>
      <c r="U32" s="407"/>
      <c r="V32" s="5659" t="s">
        <v>1490</v>
      </c>
      <c r="W32" s="5662"/>
      <c r="X32" s="5663"/>
      <c r="Y32" s="5742"/>
      <c r="Z32" s="5743"/>
      <c r="AA32" s="5744"/>
      <c r="AB32" s="5743"/>
      <c r="AC32" s="5744"/>
      <c r="AD32" s="5743"/>
      <c r="AE32" s="5744"/>
      <c r="AF32" s="5743"/>
      <c r="AG32" s="5744"/>
      <c r="AH32" s="5743"/>
      <c r="AI32" s="5744"/>
      <c r="AJ32" s="5758"/>
      <c r="AK32" s="366"/>
      <c r="AL32" s="360"/>
      <c r="AM32" s="3300"/>
      <c r="AN32" s="3301"/>
      <c r="AO32" s="3301"/>
      <c r="AP32" s="3301"/>
      <c r="AQ32" s="3301"/>
      <c r="AR32" s="3301"/>
      <c r="AS32" s="3301"/>
      <c r="AT32" s="3301"/>
      <c r="AU32" s="3301"/>
      <c r="AV32" s="3301"/>
      <c r="AW32" s="3301"/>
      <c r="AX32" s="3301"/>
      <c r="AY32" s="3301"/>
      <c r="AZ32" s="3301"/>
      <c r="BA32" s="3301"/>
      <c r="BB32" s="3301"/>
      <c r="BC32" s="3301"/>
      <c r="BD32" s="3301"/>
      <c r="BE32" s="3301"/>
    </row>
    <row r="33" spans="1:57" ht="12" customHeight="1" thickBot="1">
      <c r="A33" s="360"/>
      <c r="B33" s="3773"/>
      <c r="C33" s="5779" t="s">
        <v>1482</v>
      </c>
      <c r="D33" s="5780"/>
      <c r="E33" s="5780"/>
      <c r="F33" s="5781"/>
      <c r="H33" s="5777"/>
      <c r="I33" s="5778"/>
      <c r="J33" s="977"/>
      <c r="K33" s="3782" t="s">
        <v>1454</v>
      </c>
      <c r="L33" s="5764" t="s">
        <v>1483</v>
      </c>
      <c r="M33" s="5700"/>
      <c r="N33" s="5700"/>
      <c r="O33" s="5700"/>
      <c r="P33" s="1328">
        <f t="shared" ref="P33:P40" si="2">IF(Q33=0,10,"-")</f>
        <v>10</v>
      </c>
      <c r="Q33" s="1451"/>
      <c r="R33" s="3781" t="b">
        <f t="shared" si="0"/>
        <v>0</v>
      </c>
      <c r="S33" s="807"/>
      <c r="T33" s="807"/>
      <c r="U33" s="407">
        <f>IF(V48=0,0,1)</f>
        <v>0</v>
      </c>
      <c r="AK33" s="366"/>
      <c r="AL33" s="360"/>
      <c r="AM33" s="3300"/>
      <c r="AN33" s="3301"/>
      <c r="AO33" s="3301"/>
      <c r="AP33" s="3301"/>
      <c r="AQ33" s="3301"/>
      <c r="AR33" s="3301"/>
      <c r="AS33" s="3301"/>
      <c r="AT33" s="3301"/>
      <c r="AU33" s="3301"/>
      <c r="AV33" s="3301"/>
      <c r="AW33" s="3301"/>
      <c r="AX33" s="3301"/>
      <c r="AY33" s="3301"/>
      <c r="AZ33" s="3301"/>
      <c r="BA33" s="3301"/>
      <c r="BB33" s="3301"/>
      <c r="BC33" s="3301"/>
      <c r="BD33" s="3301"/>
      <c r="BE33" s="3301"/>
    </row>
    <row r="34" spans="1:57" ht="12" customHeight="1" thickBot="1">
      <c r="A34" s="360"/>
      <c r="B34" s="3773"/>
      <c r="C34" s="5803" t="s">
        <v>1235</v>
      </c>
      <c r="D34" s="5804"/>
      <c r="E34" s="3786" t="s">
        <v>1277</v>
      </c>
      <c r="F34" s="3787" t="s">
        <v>1209</v>
      </c>
      <c r="H34" s="5775"/>
      <c r="I34" s="5776"/>
      <c r="J34" s="977"/>
      <c r="K34" s="3782" t="s">
        <v>1484</v>
      </c>
      <c r="L34" s="403" t="s">
        <v>1465</v>
      </c>
      <c r="M34" s="5764" t="s">
        <v>1485</v>
      </c>
      <c r="N34" s="5764"/>
      <c r="O34" s="5764"/>
      <c r="P34" s="1328">
        <f t="shared" si="2"/>
        <v>10</v>
      </c>
      <c r="Q34" s="1451"/>
      <c r="R34" s="3781" t="b">
        <f t="shared" si="0"/>
        <v>0</v>
      </c>
      <c r="S34" s="807"/>
      <c r="T34" s="807"/>
      <c r="U34" s="407">
        <f>IF(V49=0,0,1)</f>
        <v>1</v>
      </c>
      <c r="V34" s="5659" t="s">
        <v>12414</v>
      </c>
      <c r="W34" s="5660"/>
      <c r="X34" s="5661"/>
      <c r="Z34" s="5659" t="s">
        <v>12415</v>
      </c>
      <c r="AA34" s="5662"/>
      <c r="AB34" s="5663"/>
      <c r="AD34" s="5659" t="s">
        <v>12416</v>
      </c>
      <c r="AE34" s="5662"/>
      <c r="AF34" s="5663"/>
      <c r="AH34" s="5659" t="s">
        <v>12417</v>
      </c>
      <c r="AI34" s="5662"/>
      <c r="AJ34" s="5663"/>
      <c r="AK34" s="366"/>
      <c r="AL34" s="360"/>
      <c r="AM34" s="3300"/>
      <c r="AN34" s="3301"/>
      <c r="AO34" s="3301"/>
      <c r="AP34" s="3301"/>
      <c r="AQ34" s="3301"/>
      <c r="AR34" s="3301"/>
      <c r="AS34" s="3301"/>
      <c r="AT34" s="3301"/>
      <c r="AU34" s="3301"/>
      <c r="AV34" s="3301"/>
      <c r="AW34" s="3301"/>
      <c r="AX34" s="3301"/>
      <c r="AY34" s="3301"/>
      <c r="AZ34" s="3301"/>
      <c r="BA34" s="3301"/>
      <c r="BB34" s="3301"/>
      <c r="BC34" s="3301"/>
      <c r="BD34" s="3301"/>
      <c r="BE34" s="3301"/>
    </row>
    <row r="35" spans="1:57" ht="12" customHeight="1">
      <c r="A35" s="360"/>
      <c r="B35" s="3773"/>
      <c r="C35" s="5797" t="s">
        <v>1486</v>
      </c>
      <c r="D35" s="5798"/>
      <c r="E35" s="1971"/>
      <c r="F35" s="3788" t="str">
        <f>IF(Ki!P13="-",TRUNC((Ki!C29+Advertir_final)/2+E35+Tablas!$CL$230+IF(Tablas!$G$391&gt;0,10*PDs!$R$17,0),0),"-")</f>
        <v>-</v>
      </c>
      <c r="H35" s="5775"/>
      <c r="I35" s="5776"/>
      <c r="J35" s="978"/>
      <c r="K35" s="3782" t="s">
        <v>1484</v>
      </c>
      <c r="L35" s="360"/>
      <c r="M35" s="403" t="s">
        <v>1465</v>
      </c>
      <c r="N35" s="5799" t="s">
        <v>1487</v>
      </c>
      <c r="O35" s="5799"/>
      <c r="P35" s="1328">
        <f t="shared" si="2"/>
        <v>10</v>
      </c>
      <c r="Q35" s="1451"/>
      <c r="R35" s="3781" t="b">
        <f t="shared" si="0"/>
        <v>0</v>
      </c>
      <c r="S35" s="807"/>
      <c r="T35" s="807"/>
      <c r="U35" s="407">
        <f>IF(V50=0,0,1)</f>
        <v>1</v>
      </c>
      <c r="V35" s="5649" t="s">
        <v>12419</v>
      </c>
      <c r="W35" s="5650"/>
      <c r="X35" s="3949" t="str">
        <f>IF(I50&lt;&gt;30,"-",VLOOKUP($D$24,Tablas!$AS$1115:$AU$1142,2,0))</f>
        <v>-</v>
      </c>
      <c r="Z35" s="5649" t="s">
        <v>12419</v>
      </c>
      <c r="AA35" s="5650"/>
      <c r="AB35" s="3949" t="str">
        <f>IF(I48&lt;&gt;30,"-",VLOOKUP($D$24,Tablas!$AO$1115:$AQ$1142,2,0))</f>
        <v>-</v>
      </c>
      <c r="AD35" s="5649" t="s">
        <v>12419</v>
      </c>
      <c r="AE35" s="5650"/>
      <c r="AF35" s="3949" t="str">
        <f>IF(I52&lt;&gt;30,"-",VLOOKUP($D$24,Tablas!AW1115:AY1142,2,0))</f>
        <v>-</v>
      </c>
      <c r="AH35" s="5649" t="s">
        <v>12418</v>
      </c>
      <c r="AI35" s="5650"/>
      <c r="AJ35" s="5647" t="str">
        <f>IF(I54&lt;&gt;30,"-",VLOOKUP($D$24,Tablas!BA1115:BB1142,2,0))</f>
        <v>-</v>
      </c>
      <c r="AK35" s="366"/>
      <c r="AL35" s="360"/>
      <c r="AM35" s="3300"/>
      <c r="AN35" s="3301"/>
      <c r="AO35" s="3301"/>
      <c r="AP35" s="3301"/>
      <c r="AQ35" s="3301"/>
      <c r="AR35" s="3301"/>
      <c r="AS35" s="3301"/>
      <c r="AT35" s="3301"/>
      <c r="AU35" s="3301"/>
      <c r="AV35" s="3301"/>
      <c r="AW35" s="3301"/>
      <c r="AX35" s="3301"/>
      <c r="AY35" s="3301"/>
      <c r="AZ35" s="3301"/>
      <c r="BA35" s="3301"/>
      <c r="BB35" s="3301"/>
      <c r="BC35" s="3301"/>
      <c r="BD35" s="3301"/>
      <c r="BE35" s="3301"/>
    </row>
    <row r="36" spans="1:57" ht="12" customHeight="1" thickBot="1">
      <c r="A36" s="360"/>
      <c r="B36" s="3773"/>
      <c r="C36" s="5797" t="s">
        <v>1488</v>
      </c>
      <c r="D36" s="5798"/>
      <c r="E36" s="1972"/>
      <c r="F36" s="3789" t="str">
        <f>IF(OcultacióndelKi,TRUNC((Ocultarse_final+Ki!$C$29)/2+E36+IF(Raza="D'Anjayni",50,0)+IF(Nephilim="Nephilim D'Anjayni",30,0)+Tablas!$CM$230+IF(Tablas!$G$386&gt;0,10*PDs!$R$17,0),0),"-")</f>
        <v>-</v>
      </c>
      <c r="H36" s="5777"/>
      <c r="I36" s="5778"/>
      <c r="J36" s="978"/>
      <c r="K36" s="3782" t="s">
        <v>1454</v>
      </c>
      <c r="L36" s="5764" t="s">
        <v>1489</v>
      </c>
      <c r="M36" s="5700"/>
      <c r="N36" s="5700"/>
      <c r="O36" s="5700"/>
      <c r="P36" s="1328">
        <f t="shared" si="2"/>
        <v>10</v>
      </c>
      <c r="Q36" s="1451"/>
      <c r="R36" s="3781" t="b">
        <f t="shared" si="0"/>
        <v>0</v>
      </c>
      <c r="S36" s="807"/>
      <c r="T36" s="807"/>
      <c r="U36" s="407">
        <f>IF(V51=0,0,1)</f>
        <v>0</v>
      </c>
      <c r="V36" s="5651" t="s">
        <v>12420</v>
      </c>
      <c r="W36" s="5652"/>
      <c r="X36" s="3950" t="str">
        <f>IF(I51&lt;&gt;20,"-",VLOOKUP($D$24,Tablas!$AS$1115:$AU$1142,3,0))</f>
        <v>-</v>
      </c>
      <c r="Z36" s="5651" t="s">
        <v>12420</v>
      </c>
      <c r="AA36" s="5652"/>
      <c r="AB36" s="3950" t="str">
        <f>IF(I49&lt;&gt;20,"-",VLOOKUP($D$24,Tablas!$AO$1115:$AQ$1142,3,0))</f>
        <v>-</v>
      </c>
      <c r="AD36" s="5651" t="s">
        <v>12420</v>
      </c>
      <c r="AE36" s="5652"/>
      <c r="AF36" s="3950" t="str">
        <f>IF(I53&lt;&gt;20,"-",VLOOKUP($D$24,Tablas!AW1115:AY1142,3,0))</f>
        <v>-</v>
      </c>
      <c r="AH36" s="5651"/>
      <c r="AI36" s="5652"/>
      <c r="AJ36" s="5648"/>
      <c r="AK36" s="366"/>
      <c r="AL36" s="360"/>
      <c r="AM36" s="3300"/>
      <c r="AN36" s="3301"/>
      <c r="AO36" s="3301"/>
      <c r="AP36" s="3301"/>
      <c r="AQ36" s="3301"/>
      <c r="AR36" s="3301"/>
      <c r="AS36" s="3301"/>
      <c r="AT36" s="3301"/>
      <c r="AU36" s="3301"/>
      <c r="AV36" s="3301"/>
      <c r="AW36" s="3301"/>
      <c r="AX36" s="3301"/>
      <c r="AY36" s="3301"/>
      <c r="AZ36" s="3301"/>
      <c r="BA36" s="3301"/>
      <c r="BB36" s="3301"/>
      <c r="BC36" s="3301"/>
      <c r="BD36" s="3301"/>
      <c r="BE36" s="3301"/>
    </row>
    <row r="37" spans="1:57" ht="12" customHeight="1" thickBot="1">
      <c r="A37" s="360"/>
      <c r="B37" s="3773"/>
      <c r="C37" s="5813"/>
      <c r="D37" s="5814"/>
      <c r="E37" s="5814"/>
      <c r="F37" s="5815"/>
      <c r="H37" s="5816"/>
      <c r="I37" s="5817"/>
      <c r="J37" s="978"/>
      <c r="K37" s="3782" t="s">
        <v>1484</v>
      </c>
      <c r="L37" s="403" t="s">
        <v>1454</v>
      </c>
      <c r="M37" s="5764" t="s">
        <v>1490</v>
      </c>
      <c r="N37" s="5764"/>
      <c r="O37" s="5764"/>
      <c r="P37" s="1328">
        <f t="shared" si="2"/>
        <v>10</v>
      </c>
      <c r="Q37" s="1451"/>
      <c r="R37" s="3781" t="b">
        <f t="shared" si="0"/>
        <v>0</v>
      </c>
      <c r="S37" s="807"/>
      <c r="T37" s="807"/>
      <c r="U37" s="407">
        <f>IF(V52=0,0,1)</f>
        <v>0</v>
      </c>
      <c r="AK37" s="366"/>
      <c r="AL37" s="360"/>
      <c r="AM37" s="3300"/>
      <c r="AN37" s="3301"/>
      <c r="AO37" s="3301"/>
      <c r="AP37" s="3301"/>
      <c r="AQ37" s="3301"/>
      <c r="AR37" s="3301"/>
      <c r="AS37" s="3301"/>
      <c r="AT37" s="3301"/>
      <c r="AU37" s="3301"/>
      <c r="AV37" s="3301"/>
      <c r="AW37" s="3301"/>
      <c r="AX37" s="3301"/>
      <c r="AY37" s="3301"/>
      <c r="AZ37" s="3301"/>
      <c r="BA37" s="3301"/>
      <c r="BB37" s="3301"/>
      <c r="BC37" s="3301"/>
      <c r="BD37" s="3301"/>
      <c r="BE37" s="3301"/>
    </row>
    <row r="38" spans="1:57" ht="12" customHeight="1" thickBot="1">
      <c r="A38" s="360"/>
      <c r="B38" s="3773"/>
      <c r="J38" s="978"/>
      <c r="K38" s="3782" t="s">
        <v>1484</v>
      </c>
      <c r="L38" s="403" t="s">
        <v>1454</v>
      </c>
      <c r="M38" s="5764" t="s">
        <v>1491</v>
      </c>
      <c r="N38" s="5764"/>
      <c r="O38" s="5764"/>
      <c r="P38" s="1328">
        <f t="shared" si="2"/>
        <v>10</v>
      </c>
      <c r="Q38" s="1451"/>
      <c r="R38" s="3781" t="b">
        <f t="shared" si="0"/>
        <v>0</v>
      </c>
      <c r="S38" s="807"/>
      <c r="T38" s="807"/>
      <c r="U38" s="407"/>
      <c r="V38" s="5659" t="s">
        <v>1443</v>
      </c>
      <c r="W38" s="5662"/>
      <c r="X38" s="5662"/>
      <c r="Y38" s="5662"/>
      <c r="Z38" s="5662"/>
      <c r="AA38" s="5662"/>
      <c r="AB38" s="5662"/>
      <c r="AC38" s="5662"/>
      <c r="AD38" s="5662"/>
      <c r="AE38" s="5662"/>
      <c r="AF38" s="5662"/>
      <c r="AG38" s="5662"/>
      <c r="AH38" s="5662"/>
      <c r="AI38" s="5662"/>
      <c r="AJ38" s="5663"/>
      <c r="AK38" s="366"/>
      <c r="AL38" s="360"/>
      <c r="AM38" s="3300"/>
      <c r="AN38" s="3301"/>
      <c r="AO38" s="3301"/>
      <c r="AP38" s="3301"/>
      <c r="AQ38" s="3301"/>
      <c r="AR38" s="3301"/>
      <c r="AS38" s="3301"/>
      <c r="AT38" s="3301"/>
      <c r="AU38" s="3301"/>
      <c r="AV38" s="3301"/>
      <c r="AW38" s="3301"/>
      <c r="AX38" s="3301"/>
      <c r="AY38" s="3301"/>
      <c r="AZ38" s="3301"/>
      <c r="BA38" s="3301"/>
      <c r="BB38" s="3301"/>
      <c r="BC38" s="3301"/>
      <c r="BD38" s="3301"/>
      <c r="BE38" s="3301"/>
    </row>
    <row r="39" spans="1:57" ht="12" customHeight="1" thickBot="1">
      <c r="A39" s="360"/>
      <c r="B39" s="3773"/>
      <c r="C39" s="5805" t="s">
        <v>1492</v>
      </c>
      <c r="D39" s="5806"/>
      <c r="E39" s="5806"/>
      <c r="F39" s="5807"/>
      <c r="G39" s="5808" t="s">
        <v>1493</v>
      </c>
      <c r="H39" s="5809"/>
      <c r="I39" s="3790">
        <f>IF(Tablas!$G$392&gt;0,2,1)-IF(Ki!C40="",0,1)-IF(Ki!C41="",0,1)</f>
        <v>1</v>
      </c>
      <c r="J39" s="978"/>
      <c r="K39" s="3782" t="s">
        <v>1484</v>
      </c>
      <c r="L39" s="403" t="s">
        <v>1454</v>
      </c>
      <c r="M39" s="5764" t="str">
        <f>"Alcance incrementado"</f>
        <v>Alcance incrementado</v>
      </c>
      <c r="N39" s="5764"/>
      <c r="O39" s="5764"/>
      <c r="P39" s="1328">
        <f t="shared" si="2"/>
        <v>10</v>
      </c>
      <c r="Q39" s="1451"/>
      <c r="R39" s="3781" t="b">
        <f t="shared" si="0"/>
        <v>0</v>
      </c>
      <c r="S39" s="807"/>
      <c r="T39" s="807"/>
      <c r="U39" s="407">
        <f>IF(V50=0,0,1)</f>
        <v>1</v>
      </c>
      <c r="AK39" s="366"/>
      <c r="AL39" s="360"/>
      <c r="AM39" s="3300"/>
      <c r="AN39" s="3301"/>
      <c r="AO39" s="3301"/>
      <c r="AP39" s="3301"/>
      <c r="AQ39" s="3301"/>
      <c r="AR39" s="3301"/>
      <c r="AS39" s="3301"/>
      <c r="AT39" s="3301"/>
      <c r="AU39" s="3301"/>
      <c r="AV39" s="3301"/>
      <c r="AW39" s="3301"/>
      <c r="AX39" s="3301"/>
      <c r="AY39" s="3301"/>
      <c r="AZ39" s="3301"/>
      <c r="BA39" s="3301"/>
      <c r="BB39" s="3301"/>
      <c r="BC39" s="3301"/>
      <c r="BD39" s="3301"/>
      <c r="BE39" s="3301"/>
    </row>
    <row r="40" spans="1:57" ht="12" customHeight="1">
      <c r="A40" s="360"/>
      <c r="B40" s="3773"/>
      <c r="C40" s="5800"/>
      <c r="D40" s="5801"/>
      <c r="E40" s="5801"/>
      <c r="F40" s="5801"/>
      <c r="G40" s="5801"/>
      <c r="H40" s="5802"/>
      <c r="I40" s="3791" t="str">
        <f>IF(C40=0,"",VLOOKUP(C40,Tablas!$D$1165:$M$1171,2))</f>
        <v/>
      </c>
      <c r="J40" s="978"/>
      <c r="K40" s="3782" t="s">
        <v>1484</v>
      </c>
      <c r="L40" s="403" t="s">
        <v>1465</v>
      </c>
      <c r="M40" s="5764" t="s">
        <v>1494</v>
      </c>
      <c r="N40" s="5764"/>
      <c r="O40" s="5764"/>
      <c r="P40" s="1328">
        <f t="shared" si="2"/>
        <v>10</v>
      </c>
      <c r="Q40" s="1451"/>
      <c r="R40" s="3781" t="b">
        <f t="shared" si="0"/>
        <v>0</v>
      </c>
      <c r="S40" s="807"/>
      <c r="T40" s="807"/>
      <c r="U40" s="407"/>
      <c r="V40" s="5761"/>
      <c r="W40" s="5762"/>
      <c r="X40" s="5762"/>
      <c r="Y40" s="5762"/>
      <c r="Z40" s="5762"/>
      <c r="AA40" s="5763"/>
      <c r="AB40" s="1758" t="s">
        <v>1359</v>
      </c>
      <c r="AD40" s="5761"/>
      <c r="AE40" s="5762"/>
      <c r="AF40" s="5762"/>
      <c r="AG40" s="5762"/>
      <c r="AH40" s="5762"/>
      <c r="AI40" s="5763"/>
      <c r="AJ40" s="1758" t="s">
        <v>1359</v>
      </c>
      <c r="AK40" s="366"/>
      <c r="AL40" s="360"/>
      <c r="AM40" s="3300"/>
      <c r="AN40" s="3301"/>
      <c r="AO40" s="3301"/>
      <c r="AP40" s="3301"/>
      <c r="AQ40" s="3301"/>
      <c r="AR40" s="3301"/>
      <c r="AS40" s="3301"/>
      <c r="AT40" s="3301"/>
      <c r="AU40" s="3301"/>
      <c r="AV40" s="3301"/>
      <c r="AW40" s="3301"/>
      <c r="AX40" s="3301"/>
      <c r="AY40" s="3301"/>
      <c r="AZ40" s="3301"/>
      <c r="BA40" s="3301"/>
      <c r="BB40" s="3301"/>
      <c r="BC40" s="3301"/>
      <c r="BD40" s="3301"/>
      <c r="BE40" s="3301"/>
    </row>
    <row r="41" spans="1:57" ht="12" customHeight="1" thickBot="1">
      <c r="A41" s="360"/>
      <c r="B41" s="3773"/>
      <c r="C41" s="5818"/>
      <c r="D41" s="5819"/>
      <c r="E41" s="5819"/>
      <c r="F41" s="5819"/>
      <c r="G41" s="5819"/>
      <c r="H41" s="5820"/>
      <c r="I41" s="3792" t="str">
        <f>IF(C41=0,"",VLOOKUP(C41,Tablas!$D$1165:$M$1171,2))</f>
        <v/>
      </c>
      <c r="J41" s="978"/>
      <c r="K41" s="3782" t="s">
        <v>1454</v>
      </c>
      <c r="L41" s="5764" t="s">
        <v>1495</v>
      </c>
      <c r="M41" s="5700"/>
      <c r="N41" s="5700"/>
      <c r="O41" s="5700"/>
      <c r="P41" s="1328">
        <f>IF(Q41=0,20,"-")</f>
        <v>20</v>
      </c>
      <c r="Q41" s="1451"/>
      <c r="R41" s="3781" t="b">
        <f t="shared" si="0"/>
        <v>0</v>
      </c>
      <c r="S41" s="807"/>
      <c r="T41" s="807"/>
      <c r="U41" s="407">
        <f>IF(V52=0,0,1)</f>
        <v>0</v>
      </c>
      <c r="V41" s="5759" t="str">
        <f>IF(V40="","",VLOOKUP(V40,'Tablas Técnicas'!$C$686:$H$935,6,FALSE))</f>
        <v/>
      </c>
      <c r="W41" s="5760"/>
      <c r="X41" s="5760"/>
      <c r="Y41" s="5760"/>
      <c r="Z41" s="1745" t="s">
        <v>1186</v>
      </c>
      <c r="AA41" s="1585" t="str">
        <f>IF(V40="","",VLOOKUP(V40,'Tablas Técnicas'!$C$686:$H$935,3,FALSE))</f>
        <v/>
      </c>
      <c r="AB41" s="1759">
        <f>IF(V40="",0,VLOOKUP(V40,'Tablas Técnicas'!$C$686:$H$935,5,FALSE))</f>
        <v>0</v>
      </c>
      <c r="AD41" s="5759" t="str">
        <f>IF(AD40="","",VLOOKUP(AD40,'Tablas Técnicas'!$C$686:$H$935,6,FALSE))</f>
        <v/>
      </c>
      <c r="AE41" s="5760"/>
      <c r="AF41" s="5760"/>
      <c r="AG41" s="5760"/>
      <c r="AH41" s="1745" t="s">
        <v>1186</v>
      </c>
      <c r="AI41" s="1585" t="str">
        <f>IF(AD40="","",VLOOKUP(AD40,'Tablas Técnicas'!$C$686:$H$935,3,FALSE))</f>
        <v/>
      </c>
      <c r="AJ41" s="1759">
        <f>IF(AD40="",0,VLOOKUP(AD40,'Tablas Técnicas'!$C$686:$H$935,5,FALSE))</f>
        <v>0</v>
      </c>
      <c r="AK41" s="366"/>
      <c r="AL41" s="360"/>
      <c r="AM41" s="3300"/>
      <c r="AN41" s="3301"/>
      <c r="AO41" s="3301"/>
      <c r="AP41" s="3301"/>
      <c r="AQ41" s="3301"/>
      <c r="AR41" s="3301"/>
      <c r="AS41" s="3301"/>
      <c r="AT41" s="3301"/>
      <c r="AU41" s="3301"/>
      <c r="AV41" s="3301"/>
      <c r="AW41" s="3301"/>
      <c r="AX41" s="3301"/>
      <c r="AY41" s="3301"/>
      <c r="AZ41" s="3301"/>
      <c r="BA41" s="3301"/>
      <c r="BB41" s="3301"/>
      <c r="BC41" s="3301"/>
      <c r="BD41" s="3301"/>
      <c r="BE41" s="3301"/>
    </row>
    <row r="42" spans="1:57" ht="12" customHeight="1" thickBot="1">
      <c r="A42" s="360"/>
      <c r="B42" s="3773"/>
      <c r="J42" s="979"/>
      <c r="K42" s="3782" t="s">
        <v>1454</v>
      </c>
      <c r="L42" s="5764" t="s">
        <v>1496</v>
      </c>
      <c r="M42" s="5700"/>
      <c r="N42" s="5700"/>
      <c r="O42" s="5700"/>
      <c r="P42" s="1328">
        <f>IF(Q42=0,30,"-")</f>
        <v>30</v>
      </c>
      <c r="Q42" s="1451"/>
      <c r="R42" s="3781" t="b">
        <f t="shared" si="0"/>
        <v>0</v>
      </c>
      <c r="S42" s="807"/>
      <c r="T42" s="807"/>
      <c r="U42" s="407"/>
      <c r="V42" s="5755" t="str">
        <f>IFERROR(VLOOKUP(V40,'Tablas Técnicas'!$C$686:$I$935,7,FALSE),"")</f>
        <v/>
      </c>
      <c r="W42" s="5756"/>
      <c r="X42" s="5756"/>
      <c r="Y42" s="5756"/>
      <c r="Z42" s="5756"/>
      <c r="AA42" s="5756"/>
      <c r="AB42" s="5757"/>
      <c r="AD42" s="5755" t="str">
        <f>IFERROR(VLOOKUP(AD40,'Tablas Técnicas'!$C$686:$I$935,7,FALSE),"")</f>
        <v/>
      </c>
      <c r="AE42" s="5756"/>
      <c r="AF42" s="5756"/>
      <c r="AG42" s="5756"/>
      <c r="AH42" s="5756"/>
      <c r="AI42" s="5756"/>
      <c r="AJ42" s="5757"/>
      <c r="AK42" s="366"/>
      <c r="AL42" s="360"/>
      <c r="AM42" s="3300"/>
      <c r="AN42" s="3301"/>
      <c r="AO42" s="3301"/>
      <c r="AP42" s="3301"/>
      <c r="AQ42" s="3301"/>
      <c r="AR42" s="3301"/>
      <c r="AS42" s="3301"/>
      <c r="AT42" s="3301"/>
      <c r="AU42" s="3301"/>
      <c r="AV42" s="3301"/>
      <c r="AW42" s="3301"/>
      <c r="AX42" s="3301"/>
      <c r="AY42" s="3301"/>
      <c r="AZ42" s="3301"/>
      <c r="BA42" s="3301"/>
      <c r="BB42" s="3301"/>
      <c r="BC42" s="3301"/>
      <c r="BD42" s="3301"/>
      <c r="BE42" s="3301"/>
    </row>
    <row r="43" spans="1:57" ht="12" customHeight="1">
      <c r="A43" s="360"/>
      <c r="B43" s="3773"/>
      <c r="C43" s="5673" t="s">
        <v>1497</v>
      </c>
      <c r="D43" s="5674"/>
      <c r="E43" s="5674"/>
      <c r="F43" s="5674"/>
      <c r="G43" s="5674"/>
      <c r="H43" s="5677">
        <f>IF(I43=0,70,"-")</f>
        <v>70</v>
      </c>
      <c r="I43" s="5679"/>
      <c r="J43" s="979"/>
      <c r="K43" s="3782" t="s">
        <v>1465</v>
      </c>
      <c r="L43" s="5764" t="s">
        <v>1498</v>
      </c>
      <c r="M43" s="5700"/>
      <c r="N43" s="5700"/>
      <c r="O43" s="5700"/>
      <c r="P43" s="1328">
        <f>IF(Q43=0,10,"-")</f>
        <v>10</v>
      </c>
      <c r="Q43" s="1451"/>
      <c r="R43" s="3781" t="b">
        <f t="shared" si="0"/>
        <v>0</v>
      </c>
      <c r="S43" s="807"/>
      <c r="T43" s="807"/>
      <c r="U43" s="407">
        <f>IF(V54=0,0,1)</f>
        <v>0</v>
      </c>
      <c r="V43" s="5755"/>
      <c r="W43" s="5756"/>
      <c r="X43" s="5756"/>
      <c r="Y43" s="5756"/>
      <c r="Z43" s="5756"/>
      <c r="AA43" s="5756"/>
      <c r="AB43" s="5757"/>
      <c r="AD43" s="5755"/>
      <c r="AE43" s="5756"/>
      <c r="AF43" s="5756"/>
      <c r="AG43" s="5756"/>
      <c r="AH43" s="5756"/>
      <c r="AI43" s="5756"/>
      <c r="AJ43" s="5757"/>
      <c r="AK43" s="366"/>
      <c r="AL43" s="360"/>
      <c r="AM43" s="3300"/>
      <c r="AN43" s="3301"/>
      <c r="AO43" s="3301"/>
      <c r="AP43" s="3301"/>
      <c r="AQ43" s="3301"/>
      <c r="AR43" s="3301"/>
      <c r="AS43" s="3301"/>
      <c r="AT43" s="3301"/>
      <c r="AU43" s="3301"/>
      <c r="AV43" s="3301"/>
      <c r="AW43" s="3301"/>
      <c r="AX43" s="3301"/>
      <c r="AY43" s="3301"/>
      <c r="AZ43" s="3301"/>
      <c r="BA43" s="3301"/>
      <c r="BB43" s="3301"/>
      <c r="BC43" s="3301"/>
      <c r="BD43" s="3301"/>
      <c r="BE43" s="3301"/>
    </row>
    <row r="44" spans="1:57" ht="12" customHeight="1" thickBot="1">
      <c r="A44" s="360"/>
      <c r="B44" s="3773"/>
      <c r="C44" s="5675"/>
      <c r="D44" s="5676"/>
      <c r="E44" s="5676"/>
      <c r="F44" s="5676"/>
      <c r="G44" s="5676"/>
      <c r="H44" s="5678"/>
      <c r="I44" s="5680"/>
      <c r="J44" s="979"/>
      <c r="K44" s="3785"/>
      <c r="L44" s="403" t="s">
        <v>1465</v>
      </c>
      <c r="M44" s="5764" t="s">
        <v>11789</v>
      </c>
      <c r="N44" s="5764"/>
      <c r="O44" s="5764"/>
      <c r="P44" s="1328">
        <f>IF(Q44=0,10,"-")</f>
        <v>10</v>
      </c>
      <c r="Q44" s="1451"/>
      <c r="R44" s="3781" t="b">
        <f>P45="-"</f>
        <v>0</v>
      </c>
      <c r="S44" s="807"/>
      <c r="T44" s="807"/>
      <c r="U44" s="407"/>
      <c r="V44" s="5755"/>
      <c r="W44" s="5756"/>
      <c r="X44" s="5756"/>
      <c r="Y44" s="5756"/>
      <c r="Z44" s="5756"/>
      <c r="AA44" s="5756"/>
      <c r="AB44" s="5757"/>
      <c r="AD44" s="5755"/>
      <c r="AE44" s="5756"/>
      <c r="AF44" s="5756"/>
      <c r="AG44" s="5756"/>
      <c r="AH44" s="5756"/>
      <c r="AI44" s="5756"/>
      <c r="AJ44" s="5757"/>
      <c r="AK44" s="366"/>
      <c r="AL44" s="360"/>
      <c r="AM44" s="3300"/>
      <c r="AN44" s="3301"/>
      <c r="AO44" s="3301"/>
      <c r="AP44" s="3301"/>
      <c r="AQ44" s="3301"/>
      <c r="AR44" s="3301"/>
      <c r="AS44" s="3301"/>
      <c r="AT44" s="3301"/>
      <c r="AU44" s="3301"/>
      <c r="AV44" s="3301"/>
      <c r="AW44" s="3301"/>
      <c r="AX44" s="3301"/>
      <c r="AY44" s="3301"/>
      <c r="AZ44" s="3301"/>
      <c r="BA44" s="3301"/>
      <c r="BB44" s="3301"/>
      <c r="BC44" s="3301"/>
      <c r="BD44" s="3301"/>
      <c r="BE44" s="3301"/>
    </row>
    <row r="45" spans="1:57" ht="12" customHeight="1">
      <c r="A45" s="360"/>
      <c r="B45" s="975" t="b">
        <f>H45="-"</f>
        <v>0</v>
      </c>
      <c r="C45" s="5699" t="s">
        <v>1500</v>
      </c>
      <c r="D45" s="5700"/>
      <c r="E45" s="5700"/>
      <c r="F45" s="5700"/>
      <c r="G45" s="5700"/>
      <c r="H45" s="1328">
        <f>IF(I45=0,20,"-")</f>
        <v>20</v>
      </c>
      <c r="I45" s="3780"/>
      <c r="K45" s="5699" t="s">
        <v>1499</v>
      </c>
      <c r="L45" s="5700"/>
      <c r="M45" s="5700"/>
      <c r="N45" s="5700"/>
      <c r="O45" s="5700"/>
      <c r="P45" s="1328">
        <f t="shared" ref="P45:P49" si="3">IF(Q45=0,10,"-")</f>
        <v>10</v>
      </c>
      <c r="Q45" s="1451"/>
      <c r="R45" s="3781" t="b">
        <f>P46="-"</f>
        <v>0</v>
      </c>
      <c r="S45" s="807"/>
      <c r="T45" s="807"/>
      <c r="U45" s="407">
        <f>IF(V56=0,0,1)</f>
        <v>0</v>
      </c>
      <c r="V45" s="5755" t="str">
        <f>IFERROR(IF(VLOOKUP(V40,'Tablas Técnicas'!$C$686:$J$935,8,FALSE)="","",VLOOKUP(V40,'Tablas Técnicas'!$C$686:$J$935,8,FALSE)),"")</f>
        <v/>
      </c>
      <c r="W45" s="5756"/>
      <c r="X45" s="5756"/>
      <c r="Y45" s="5756"/>
      <c r="Z45" s="5756"/>
      <c r="AA45" s="5756"/>
      <c r="AB45" s="5757"/>
      <c r="AD45" s="5755" t="str">
        <f>IFERROR(IF(VLOOKUP(AD40,'Tablas Técnicas'!$C$686:$J$935,8,FALSE)="","",VLOOKUP(AD40,'Tablas Técnicas'!$C$686:$J$935,8,FALSE)),"")</f>
        <v/>
      </c>
      <c r="AE45" s="5756"/>
      <c r="AF45" s="5756"/>
      <c r="AG45" s="5756"/>
      <c r="AH45" s="5756"/>
      <c r="AI45" s="5756"/>
      <c r="AJ45" s="5757"/>
      <c r="AK45" s="366"/>
      <c r="AL45" s="360"/>
      <c r="AM45" s="3300"/>
      <c r="AN45" s="3301"/>
      <c r="AO45" s="3301"/>
      <c r="AP45" s="3301"/>
      <c r="AQ45" s="3301"/>
      <c r="AR45" s="3301"/>
      <c r="AS45" s="3301"/>
      <c r="AT45" s="3301"/>
      <c r="AU45" s="3301"/>
      <c r="AV45" s="3301"/>
      <c r="AW45" s="3301"/>
      <c r="AX45" s="3301"/>
      <c r="AY45" s="3301"/>
      <c r="AZ45" s="3301"/>
      <c r="BA45" s="3301"/>
      <c r="BB45" s="3301"/>
      <c r="BC45" s="3301"/>
      <c r="BD45" s="3301"/>
      <c r="BE45" s="3301"/>
    </row>
    <row r="46" spans="1:57" ht="12" customHeight="1" thickBot="1">
      <c r="A46" s="360"/>
      <c r="B46" s="975" t="b">
        <f>H46="-"</f>
        <v>0</v>
      </c>
      <c r="C46" s="3782" t="s">
        <v>1465</v>
      </c>
      <c r="D46" s="5764" t="s">
        <v>1502</v>
      </c>
      <c r="E46" s="5700"/>
      <c r="F46" s="5700"/>
      <c r="G46" s="5700"/>
      <c r="H46" s="1328">
        <f>IF(I46=0,30,"-")</f>
        <v>30</v>
      </c>
      <c r="I46" s="1451"/>
      <c r="K46" s="3782" t="s">
        <v>1454</v>
      </c>
      <c r="L46" s="5764" t="s">
        <v>1501</v>
      </c>
      <c r="M46" s="5700"/>
      <c r="N46" s="5700"/>
      <c r="O46" s="5700"/>
      <c r="P46" s="1328">
        <f t="shared" si="3"/>
        <v>10</v>
      </c>
      <c r="Q46" s="1451"/>
      <c r="R46" s="3781" t="b">
        <f>P47="-"</f>
        <v>0</v>
      </c>
      <c r="S46" s="807"/>
      <c r="T46" s="807"/>
      <c r="U46" s="407"/>
      <c r="V46" s="5810"/>
      <c r="W46" s="5811"/>
      <c r="X46" s="5811"/>
      <c r="Y46" s="5811"/>
      <c r="Z46" s="5811"/>
      <c r="AA46" s="5811"/>
      <c r="AB46" s="5812"/>
      <c r="AD46" s="5810"/>
      <c r="AE46" s="5811"/>
      <c r="AF46" s="5811"/>
      <c r="AG46" s="5811"/>
      <c r="AH46" s="5811"/>
      <c r="AI46" s="5811"/>
      <c r="AJ46" s="5812"/>
      <c r="AK46" s="366"/>
      <c r="AL46" s="360"/>
      <c r="AM46" s="3300"/>
      <c r="AN46" s="3301"/>
      <c r="AO46" s="3301"/>
      <c r="AP46" s="3301"/>
      <c r="AQ46" s="3301"/>
      <c r="AR46" s="3301"/>
      <c r="AS46" s="3301"/>
      <c r="AT46" s="3301"/>
      <c r="AU46" s="3301"/>
      <c r="AV46" s="3301"/>
      <c r="AW46" s="3301"/>
      <c r="AX46" s="3301"/>
      <c r="AY46" s="3301"/>
      <c r="AZ46" s="3301"/>
      <c r="BA46" s="3301"/>
      <c r="BB46" s="3301"/>
      <c r="BC46" s="3301"/>
      <c r="BD46" s="3301"/>
      <c r="BE46" s="3301"/>
    </row>
    <row r="47" spans="1:57" ht="12" customHeight="1" thickBot="1">
      <c r="A47" s="360"/>
      <c r="B47" s="975" t="b">
        <f t="shared" ref="B47:B54" si="4">H48="-"</f>
        <v>0</v>
      </c>
      <c r="C47" s="3782" t="s">
        <v>1465</v>
      </c>
      <c r="D47" s="5821" t="s">
        <v>10005</v>
      </c>
      <c r="E47" s="5821"/>
      <c r="F47" s="5821"/>
      <c r="G47" s="5821"/>
      <c r="H47" s="1328">
        <f>IF(I47=0,30,"-")</f>
        <v>30</v>
      </c>
      <c r="I47" s="1451"/>
      <c r="K47" s="3782" t="s">
        <v>1484</v>
      </c>
      <c r="L47" s="403" t="s">
        <v>1454</v>
      </c>
      <c r="M47" s="5764" t="s">
        <v>1503</v>
      </c>
      <c r="N47" s="5764"/>
      <c r="O47" s="5764"/>
      <c r="P47" s="1328">
        <f t="shared" si="3"/>
        <v>10</v>
      </c>
      <c r="Q47" s="1451"/>
      <c r="R47" s="3781" t="b">
        <f>P48="-"</f>
        <v>0</v>
      </c>
      <c r="S47" s="807"/>
      <c r="T47" s="807"/>
      <c r="U47" s="407">
        <f>IF(V58=0,0,1)</f>
        <v>1</v>
      </c>
      <c r="V47" s="1753"/>
      <c r="W47" s="1753"/>
      <c r="X47" s="1753"/>
      <c r="Y47" s="1753"/>
      <c r="Z47" s="1754"/>
      <c r="AA47" s="1755"/>
      <c r="AB47" s="1756"/>
      <c r="AD47" s="1753"/>
      <c r="AE47" s="1753"/>
      <c r="AF47" s="1753"/>
      <c r="AG47" s="1753"/>
      <c r="AH47" s="1754"/>
      <c r="AI47" s="1755"/>
      <c r="AJ47" s="1756"/>
      <c r="AK47" s="366"/>
      <c r="AL47" s="360"/>
      <c r="AM47" s="3300"/>
      <c r="AN47" s="3301"/>
      <c r="AO47" s="3301"/>
      <c r="AP47" s="3301"/>
      <c r="AQ47" s="3301"/>
      <c r="AR47" s="3301"/>
      <c r="AS47" s="3301"/>
      <c r="AT47" s="3301"/>
      <c r="AU47" s="3301"/>
      <c r="AV47" s="3301"/>
      <c r="AW47" s="3301"/>
      <c r="AX47" s="3301"/>
      <c r="AY47" s="3301"/>
      <c r="AZ47" s="3301"/>
      <c r="BA47" s="3301"/>
      <c r="BB47" s="3301"/>
      <c r="BC47" s="3301"/>
      <c r="BD47" s="3301"/>
      <c r="BE47" s="3301"/>
    </row>
    <row r="48" spans="1:57" ht="12" customHeight="1">
      <c r="A48" s="360"/>
      <c r="B48" s="975" t="b">
        <f t="shared" si="4"/>
        <v>0</v>
      </c>
      <c r="C48" s="5699" t="s">
        <v>1504</v>
      </c>
      <c r="D48" s="5764"/>
      <c r="E48" s="5764"/>
      <c r="F48" s="5764"/>
      <c r="G48" s="5764"/>
      <c r="H48" s="1328">
        <f>IF(I48=0,30,"-")</f>
        <v>30</v>
      </c>
      <c r="I48" s="1451"/>
      <c r="K48" s="3782" t="s">
        <v>1484</v>
      </c>
      <c r="L48" s="403" t="s">
        <v>1465</v>
      </c>
      <c r="M48" s="5764" t="s">
        <v>1505</v>
      </c>
      <c r="N48" s="5764"/>
      <c r="O48" s="5764"/>
      <c r="P48" s="1328">
        <f t="shared" si="3"/>
        <v>10</v>
      </c>
      <c r="Q48" s="1451"/>
      <c r="R48" s="3781" t="b">
        <f>P49="-"</f>
        <v>0</v>
      </c>
      <c r="S48" s="807"/>
      <c r="T48" s="807"/>
      <c r="U48" s="407"/>
      <c r="V48" s="5761"/>
      <c r="W48" s="5762"/>
      <c r="X48" s="5762"/>
      <c r="Y48" s="5762"/>
      <c r="Z48" s="5762"/>
      <c r="AA48" s="5763"/>
      <c r="AB48" s="1758" t="s">
        <v>1359</v>
      </c>
      <c r="AD48" s="5761"/>
      <c r="AE48" s="5762"/>
      <c r="AF48" s="5762"/>
      <c r="AG48" s="5762"/>
      <c r="AH48" s="5762"/>
      <c r="AI48" s="5763"/>
      <c r="AJ48" s="1758" t="s">
        <v>1359</v>
      </c>
      <c r="AK48" s="366"/>
      <c r="AL48" s="360"/>
      <c r="AM48" s="3300"/>
      <c r="AN48" s="3301"/>
      <c r="AO48" s="3301"/>
      <c r="AP48" s="3301"/>
      <c r="AQ48" s="3301"/>
      <c r="AR48" s="3301"/>
      <c r="AS48" s="3301"/>
      <c r="AT48" s="3301"/>
      <c r="AU48" s="3301"/>
      <c r="AV48" s="3301"/>
      <c r="AW48" s="3301"/>
      <c r="AX48" s="3301"/>
      <c r="AY48" s="3301"/>
      <c r="AZ48" s="3301"/>
      <c r="BA48" s="3301"/>
      <c r="BB48" s="3301"/>
      <c r="BC48" s="3301"/>
      <c r="BD48" s="3301"/>
      <c r="BE48" s="3301"/>
    </row>
    <row r="49" spans="1:57" ht="12" customHeight="1">
      <c r="A49" s="360"/>
      <c r="B49" s="975" t="b">
        <f t="shared" si="4"/>
        <v>0</v>
      </c>
      <c r="C49" s="3782" t="s">
        <v>1465</v>
      </c>
      <c r="D49" s="5764" t="s">
        <v>1506</v>
      </c>
      <c r="E49" s="5764"/>
      <c r="F49" s="5764"/>
      <c r="G49" s="5764"/>
      <c r="H49" s="1328">
        <f>IF(I49=0,20,"-")</f>
        <v>20</v>
      </c>
      <c r="I49" s="1451"/>
      <c r="K49" s="3782" t="s">
        <v>1454</v>
      </c>
      <c r="L49" s="5764" t="s">
        <v>1507</v>
      </c>
      <c r="M49" s="5700"/>
      <c r="N49" s="5700"/>
      <c r="O49" s="5700"/>
      <c r="P49" s="1328">
        <f t="shared" si="3"/>
        <v>10</v>
      </c>
      <c r="Q49" s="1451"/>
      <c r="R49" s="3781" t="b">
        <f t="shared" ref="R49:R65" si="5">P51="-"</f>
        <v>0</v>
      </c>
      <c r="S49" s="807"/>
      <c r="T49" s="807"/>
      <c r="U49" s="407">
        <f>IF(V60=0,0,1)</f>
        <v>0</v>
      </c>
      <c r="V49" s="5759" t="str">
        <f>IF(V48="","",VLOOKUP(V48,'Tablas Técnicas'!$C$686:$H$935,6,FALSE))</f>
        <v/>
      </c>
      <c r="W49" s="5760"/>
      <c r="X49" s="5760"/>
      <c r="Y49" s="5760"/>
      <c r="Z49" s="1745" t="s">
        <v>1186</v>
      </c>
      <c r="AA49" s="1585" t="str">
        <f>IF(V48="","",VLOOKUP(V48,'Tablas Técnicas'!$C$686:$H$935,3,FALSE))</f>
        <v/>
      </c>
      <c r="AB49" s="1759">
        <f>IF(V48="",0,VLOOKUP(V48,'Tablas Técnicas'!$C$686:$H$935,5,FALSE))</f>
        <v>0</v>
      </c>
      <c r="AD49" s="5759" t="str">
        <f>IF(AD48="","",VLOOKUP(AD48,'Tablas Técnicas'!$C$686:$H$935,6,FALSE))</f>
        <v/>
      </c>
      <c r="AE49" s="5760"/>
      <c r="AF49" s="5760"/>
      <c r="AG49" s="5760"/>
      <c r="AH49" s="1745" t="s">
        <v>1186</v>
      </c>
      <c r="AI49" s="1585" t="str">
        <f>IF(AD48="","",VLOOKUP(AD48,'Tablas Técnicas'!$C$686:$H$935,3,FALSE))</f>
        <v/>
      </c>
      <c r="AJ49" s="1759">
        <f>IF(AD48="",0,VLOOKUP(AD48,'Tablas Técnicas'!$C$686:$H$935,5,FALSE))</f>
        <v>0</v>
      </c>
      <c r="AK49" s="366"/>
      <c r="AL49" s="360"/>
      <c r="AM49" s="3300"/>
      <c r="AN49" s="3301"/>
      <c r="AO49" s="3301"/>
      <c r="AP49" s="3301"/>
      <c r="AQ49" s="3301"/>
      <c r="AR49" s="3301"/>
      <c r="AS49" s="3301"/>
      <c r="AT49" s="3301"/>
      <c r="AU49" s="3301"/>
      <c r="AV49" s="3301"/>
      <c r="AW49" s="3301"/>
      <c r="AX49" s="3301"/>
      <c r="AY49" s="3301"/>
      <c r="AZ49" s="3301"/>
      <c r="BA49" s="3301"/>
      <c r="BB49" s="3301"/>
      <c r="BC49" s="3301"/>
      <c r="BD49" s="3301"/>
      <c r="BE49" s="3301"/>
    </row>
    <row r="50" spans="1:57" ht="12" customHeight="1">
      <c r="A50" s="360"/>
      <c r="B50" s="975" t="b">
        <f t="shared" si="4"/>
        <v>0</v>
      </c>
      <c r="C50" s="5699" t="s">
        <v>1508</v>
      </c>
      <c r="D50" s="5764"/>
      <c r="E50" s="5764"/>
      <c r="F50" s="5764"/>
      <c r="G50" s="5764"/>
      <c r="H50" s="1328">
        <f>IF(I50=0,30,"-")</f>
        <v>30</v>
      </c>
      <c r="I50" s="1451"/>
      <c r="K50" s="3782" t="s">
        <v>1465</v>
      </c>
      <c r="L50" s="5764" t="s">
        <v>11790</v>
      </c>
      <c r="M50" s="5700"/>
      <c r="N50" s="5700"/>
      <c r="O50" s="5700"/>
      <c r="P50" s="1328">
        <f>IF(Q50=0,20,"-")</f>
        <v>20</v>
      </c>
      <c r="Q50" s="1451"/>
      <c r="R50" s="3781" t="b">
        <f t="shared" si="5"/>
        <v>0</v>
      </c>
      <c r="S50" s="807"/>
      <c r="T50" s="807"/>
      <c r="U50" s="407"/>
      <c r="V50" s="5755" t="str">
        <f>IFERROR(VLOOKUP(V48,'Tablas Técnicas'!$C$686:$I$935,7,FALSE),"")</f>
        <v/>
      </c>
      <c r="W50" s="5756"/>
      <c r="X50" s="5756"/>
      <c r="Y50" s="5756"/>
      <c r="Z50" s="5756"/>
      <c r="AA50" s="5756"/>
      <c r="AB50" s="5757"/>
      <c r="AD50" s="5755" t="str">
        <f>IFERROR(VLOOKUP(AD48,'Tablas Técnicas'!$C$686:$I$935,7,FALSE),"")</f>
        <v/>
      </c>
      <c r="AE50" s="5756"/>
      <c r="AF50" s="5756"/>
      <c r="AG50" s="5756"/>
      <c r="AH50" s="5756"/>
      <c r="AI50" s="5756"/>
      <c r="AJ50" s="5757"/>
      <c r="AK50" s="366"/>
      <c r="AL50" s="360"/>
      <c r="AM50" s="3300"/>
      <c r="AN50" s="3301"/>
      <c r="AO50" s="3301"/>
      <c r="AP50" s="3301"/>
      <c r="AQ50" s="3301"/>
      <c r="AR50" s="3301"/>
      <c r="AS50" s="3301"/>
      <c r="AT50" s="3301"/>
      <c r="AU50" s="3301"/>
      <c r="AV50" s="3301"/>
      <c r="AW50" s="3301"/>
      <c r="AX50" s="3301"/>
      <c r="AY50" s="3301"/>
      <c r="AZ50" s="3301"/>
      <c r="BA50" s="3301"/>
      <c r="BB50" s="3301"/>
      <c r="BC50" s="3301"/>
      <c r="BD50" s="3301"/>
      <c r="BE50" s="3301"/>
    </row>
    <row r="51" spans="1:57" ht="12" customHeight="1">
      <c r="A51" s="360"/>
      <c r="B51" s="975" t="b">
        <f t="shared" si="4"/>
        <v>0</v>
      </c>
      <c r="C51" s="3782" t="s">
        <v>1465</v>
      </c>
      <c r="D51" s="5764" t="s">
        <v>1510</v>
      </c>
      <c r="E51" s="5764"/>
      <c r="F51" s="5764"/>
      <c r="G51" s="5764"/>
      <c r="H51" s="1328">
        <f>IF(I51=0,20,"-")</f>
        <v>20</v>
      </c>
      <c r="I51" s="1451"/>
      <c r="K51" s="5699" t="s">
        <v>1509</v>
      </c>
      <c r="L51" s="5700"/>
      <c r="M51" s="5700"/>
      <c r="N51" s="5700"/>
      <c r="O51" s="5700"/>
      <c r="P51" s="1328">
        <f>IF(Q51=0,10,"-")</f>
        <v>10</v>
      </c>
      <c r="Q51" s="1451"/>
      <c r="R51" s="3781" t="b">
        <f t="shared" si="5"/>
        <v>0</v>
      </c>
      <c r="S51" s="807"/>
      <c r="T51" s="807"/>
      <c r="U51" s="407">
        <f>IF(V62=0,0,1)</f>
        <v>0</v>
      </c>
      <c r="V51" s="5755"/>
      <c r="W51" s="5756"/>
      <c r="X51" s="5756"/>
      <c r="Y51" s="5756"/>
      <c r="Z51" s="5756"/>
      <c r="AA51" s="5756"/>
      <c r="AB51" s="5757"/>
      <c r="AD51" s="5755"/>
      <c r="AE51" s="5756"/>
      <c r="AF51" s="5756"/>
      <c r="AG51" s="5756"/>
      <c r="AH51" s="5756"/>
      <c r="AI51" s="5756"/>
      <c r="AJ51" s="5757"/>
      <c r="AK51" s="366"/>
      <c r="AL51" s="360"/>
      <c r="AM51" s="3300"/>
      <c r="AN51" s="3301"/>
      <c r="AO51" s="3301"/>
      <c r="AP51" s="3301"/>
      <c r="AQ51" s="3301"/>
      <c r="AR51" s="3301"/>
      <c r="AS51" s="3301"/>
      <c r="AT51" s="3301"/>
      <c r="AU51" s="3301"/>
      <c r="AV51" s="3301"/>
      <c r="AW51" s="3301"/>
      <c r="AX51" s="3301"/>
      <c r="AY51" s="3301"/>
      <c r="AZ51" s="3301"/>
      <c r="BA51" s="3301"/>
      <c r="BB51" s="3301"/>
      <c r="BC51" s="3301"/>
      <c r="BD51" s="3301"/>
      <c r="BE51" s="3301"/>
    </row>
    <row r="52" spans="1:57" ht="12" customHeight="1">
      <c r="A52" s="360"/>
      <c r="B52" s="975" t="b">
        <f t="shared" si="4"/>
        <v>0</v>
      </c>
      <c r="C52" s="5699" t="s">
        <v>1512</v>
      </c>
      <c r="D52" s="5764"/>
      <c r="E52" s="5764"/>
      <c r="F52" s="5764"/>
      <c r="G52" s="5764"/>
      <c r="H52" s="1328">
        <f>IF(I52=0,30,"-")</f>
        <v>30</v>
      </c>
      <c r="I52" s="1451"/>
      <c r="K52" s="3782" t="s">
        <v>1454</v>
      </c>
      <c r="L52" s="5764" t="s">
        <v>1511</v>
      </c>
      <c r="M52" s="5700"/>
      <c r="N52" s="5700"/>
      <c r="O52" s="5700"/>
      <c r="P52" s="1328">
        <f>IF(AND(Q52=0,NOT(Raza="D'Anjayni"),NOT(Nephilim="Nephilim D'Anjayni")),10,"-")</f>
        <v>10</v>
      </c>
      <c r="Q52" s="1451"/>
      <c r="R52" s="3781" t="b">
        <f t="shared" si="5"/>
        <v>0</v>
      </c>
      <c r="S52" s="807"/>
      <c r="T52" s="807"/>
      <c r="U52" s="407"/>
      <c r="V52" s="5755"/>
      <c r="W52" s="5756"/>
      <c r="X52" s="5756"/>
      <c r="Y52" s="5756"/>
      <c r="Z52" s="5756"/>
      <c r="AA52" s="5756"/>
      <c r="AB52" s="5757"/>
      <c r="AD52" s="5755"/>
      <c r="AE52" s="5756"/>
      <c r="AF52" s="5756"/>
      <c r="AG52" s="5756"/>
      <c r="AH52" s="5756"/>
      <c r="AI52" s="5756"/>
      <c r="AJ52" s="5757"/>
      <c r="AK52" s="366"/>
      <c r="AL52" s="360"/>
      <c r="AM52" s="3300"/>
      <c r="AN52" s="3301"/>
      <c r="AO52" s="3301"/>
      <c r="AP52" s="3301"/>
      <c r="AQ52" s="3301"/>
      <c r="AR52" s="3301"/>
      <c r="AS52" s="3301"/>
      <c r="AT52" s="3301"/>
      <c r="AU52" s="3301"/>
      <c r="AV52" s="3301"/>
      <c r="AW52" s="3301"/>
      <c r="AX52" s="3301"/>
      <c r="AY52" s="3301"/>
      <c r="AZ52" s="3301"/>
      <c r="BA52" s="3301"/>
      <c r="BB52" s="3301"/>
      <c r="BC52" s="3301"/>
      <c r="BD52" s="3301"/>
      <c r="BE52" s="3301"/>
    </row>
    <row r="53" spans="1:57" ht="12" customHeight="1">
      <c r="A53" s="360"/>
      <c r="B53" s="975" t="b">
        <f t="shared" si="4"/>
        <v>0</v>
      </c>
      <c r="C53" s="3782" t="s">
        <v>1465</v>
      </c>
      <c r="D53" s="5764" t="s">
        <v>1514</v>
      </c>
      <c r="E53" s="5764"/>
      <c r="F53" s="5764"/>
      <c r="G53" s="5764"/>
      <c r="H53" s="1328">
        <f>IF(I53=0,20,"-")</f>
        <v>20</v>
      </c>
      <c r="I53" s="1451"/>
      <c r="K53" s="3782" t="s">
        <v>1484</v>
      </c>
      <c r="L53" s="403" t="s">
        <v>1454</v>
      </c>
      <c r="M53" s="5764" t="s">
        <v>1513</v>
      </c>
      <c r="N53" s="5764"/>
      <c r="O53" s="5764"/>
      <c r="P53" s="1328">
        <f>IF(Q53=0,10,"-")</f>
        <v>10</v>
      </c>
      <c r="Q53" s="1451"/>
      <c r="R53" s="3781" t="b">
        <f t="shared" si="5"/>
        <v>0</v>
      </c>
      <c r="S53" s="807"/>
      <c r="T53" s="807"/>
      <c r="U53" s="407">
        <f>IF(V64=0,0,1)</f>
        <v>0</v>
      </c>
      <c r="V53" s="5755" t="str">
        <f>IFERROR(IF(VLOOKUP(V48,'Tablas Técnicas'!$C$686:$J$935,8,FALSE)="","",VLOOKUP(V48,'Tablas Técnicas'!$C$686:$J$935,8,FALSE)),"")</f>
        <v/>
      </c>
      <c r="W53" s="5756"/>
      <c r="X53" s="5756"/>
      <c r="Y53" s="5756"/>
      <c r="Z53" s="5756"/>
      <c r="AA53" s="5756"/>
      <c r="AB53" s="5757"/>
      <c r="AD53" s="5755" t="str">
        <f>IFERROR(IF(VLOOKUP(AD48,'Tablas Técnicas'!$C$686:$J$935,8,FALSE)="","",VLOOKUP(AD48,'Tablas Técnicas'!$C$686:$J$935,8,FALSE)),"")</f>
        <v/>
      </c>
      <c r="AE53" s="5756"/>
      <c r="AF53" s="5756"/>
      <c r="AG53" s="5756"/>
      <c r="AH53" s="5756"/>
      <c r="AI53" s="5756"/>
      <c r="AJ53" s="5757"/>
      <c r="AK53" s="366"/>
      <c r="AL53" s="360"/>
      <c r="AM53" s="3300"/>
      <c r="AN53" s="3301"/>
      <c r="AO53" s="3301"/>
      <c r="AP53" s="3301"/>
      <c r="AQ53" s="3301"/>
      <c r="AR53" s="3301"/>
      <c r="AS53" s="3301"/>
      <c r="AT53" s="3301"/>
      <c r="AU53" s="3301"/>
      <c r="AV53" s="3301"/>
      <c r="AW53" s="3301"/>
      <c r="AX53" s="3301"/>
      <c r="AY53" s="3301"/>
      <c r="AZ53" s="3301"/>
      <c r="BA53" s="3301"/>
      <c r="BB53" s="3301"/>
      <c r="BC53" s="3301"/>
      <c r="BD53" s="3301"/>
      <c r="BE53" s="3301"/>
    </row>
    <row r="54" spans="1:57" ht="12" customHeight="1" thickBot="1">
      <c r="A54" s="360"/>
      <c r="B54" s="975" t="b">
        <f t="shared" si="4"/>
        <v>0</v>
      </c>
      <c r="C54" s="5699" t="s">
        <v>1516</v>
      </c>
      <c r="D54" s="5700"/>
      <c r="E54" s="5700"/>
      <c r="F54" s="5700"/>
      <c r="G54" s="5700"/>
      <c r="H54" s="1328">
        <f>IF(I54=0,30,"-")</f>
        <v>30</v>
      </c>
      <c r="I54" s="1451"/>
      <c r="J54" s="2269"/>
      <c r="K54" s="3782" t="s">
        <v>1484</v>
      </c>
      <c r="L54" s="403" t="s">
        <v>1465</v>
      </c>
      <c r="M54" s="5764" t="s">
        <v>1515</v>
      </c>
      <c r="N54" s="5764"/>
      <c r="O54" s="5764"/>
      <c r="P54" s="1328">
        <f>IF(Q54=0,10,"-")</f>
        <v>10</v>
      </c>
      <c r="Q54" s="1451"/>
      <c r="R54" s="3781" t="b">
        <f t="shared" si="5"/>
        <v>0</v>
      </c>
      <c r="S54" s="807"/>
      <c r="T54" s="807"/>
      <c r="U54" s="407"/>
      <c r="V54" s="5810"/>
      <c r="W54" s="5811"/>
      <c r="X54" s="5811"/>
      <c r="Y54" s="5811"/>
      <c r="Z54" s="5811"/>
      <c r="AA54" s="5811"/>
      <c r="AB54" s="5812"/>
      <c r="AD54" s="5810"/>
      <c r="AE54" s="5811"/>
      <c r="AF54" s="5811"/>
      <c r="AG54" s="5811"/>
      <c r="AH54" s="5811"/>
      <c r="AI54" s="5811"/>
      <c r="AJ54" s="5812"/>
      <c r="AK54" s="366"/>
      <c r="AL54" s="360"/>
      <c r="AM54" s="3300"/>
      <c r="AN54" s="3301"/>
      <c r="AO54" s="3301"/>
      <c r="AP54" s="3301"/>
      <c r="AQ54" s="3301"/>
      <c r="AR54" s="3301"/>
      <c r="AS54" s="3301"/>
      <c r="AT54" s="3301"/>
      <c r="AU54" s="3301"/>
      <c r="AV54" s="3301"/>
      <c r="AW54" s="3301"/>
      <c r="AX54" s="3301"/>
      <c r="AY54" s="3301"/>
      <c r="AZ54" s="3301"/>
      <c r="BA54" s="3301"/>
      <c r="BB54" s="3301"/>
      <c r="BC54" s="3301"/>
      <c r="BD54" s="3301"/>
      <c r="BE54" s="3301"/>
    </row>
    <row r="55" spans="1:57" ht="12" customHeight="1" thickBot="1">
      <c r="A55" s="360"/>
      <c r="B55" s="975" t="b">
        <f>H57="-"</f>
        <v>0</v>
      </c>
      <c r="C55" s="5699" t="s">
        <v>1518</v>
      </c>
      <c r="D55" s="5700"/>
      <c r="E55" s="5700"/>
      <c r="F55" s="5700"/>
      <c r="G55" s="5700"/>
      <c r="H55" s="1328">
        <f>IF(I55=0,30,"-")</f>
        <v>30</v>
      </c>
      <c r="I55" s="1451"/>
      <c r="K55" s="3782" t="s">
        <v>1454</v>
      </c>
      <c r="L55" s="5764" t="s">
        <v>1517</v>
      </c>
      <c r="M55" s="5700"/>
      <c r="N55" s="5700"/>
      <c r="O55" s="5700"/>
      <c r="P55" s="1328">
        <f>IF(Q55=0,10,"-")</f>
        <v>10</v>
      </c>
      <c r="Q55" s="1451"/>
      <c r="R55" s="3781" t="b">
        <f t="shared" si="5"/>
        <v>0</v>
      </c>
      <c r="S55" s="807"/>
      <c r="T55" s="807"/>
      <c r="U55" s="407">
        <f>IF(V66=0,0,1)</f>
        <v>1</v>
      </c>
      <c r="V55" s="1753"/>
      <c r="W55" s="1753"/>
      <c r="X55" s="1753"/>
      <c r="Y55" s="1753"/>
      <c r="Z55" s="1754"/>
      <c r="AA55" s="1755"/>
      <c r="AB55" s="1756"/>
      <c r="AD55" s="1753"/>
      <c r="AE55" s="1753"/>
      <c r="AF55" s="1753"/>
      <c r="AG55" s="1753"/>
      <c r="AH55" s="1754"/>
      <c r="AI55" s="1755"/>
      <c r="AJ55" s="1756"/>
      <c r="AK55" s="366"/>
      <c r="AL55" s="360"/>
      <c r="AM55" s="3300"/>
      <c r="AN55" s="3301"/>
      <c r="AO55" s="3301"/>
      <c r="AP55" s="3301"/>
      <c r="AQ55" s="3301"/>
      <c r="AR55" s="3301"/>
      <c r="AS55" s="3301"/>
      <c r="AT55" s="3301"/>
      <c r="AU55" s="3301"/>
      <c r="AV55" s="3301"/>
      <c r="AW55" s="3301"/>
      <c r="AX55" s="3301"/>
      <c r="AY55" s="3301"/>
      <c r="AZ55" s="3301"/>
      <c r="BA55" s="3301"/>
      <c r="BB55" s="3301"/>
      <c r="BC55" s="3301"/>
      <c r="BD55" s="3301"/>
      <c r="BE55" s="3301"/>
    </row>
    <row r="56" spans="1:57" ht="12" customHeight="1">
      <c r="A56" s="360"/>
      <c r="B56" s="975" t="b">
        <f>H58="-"</f>
        <v>0</v>
      </c>
      <c r="C56" s="3782" t="s">
        <v>1454</v>
      </c>
      <c r="D56" s="5764" t="s">
        <v>10004</v>
      </c>
      <c r="E56" s="5700"/>
      <c r="F56" s="5700"/>
      <c r="G56" s="5700"/>
      <c r="H56" s="1328">
        <f>IF(I56=0,20,"-")</f>
        <v>20</v>
      </c>
      <c r="I56" s="1451"/>
      <c r="K56" s="3782" t="s">
        <v>1484</v>
      </c>
      <c r="L56" s="403" t="s">
        <v>1454</v>
      </c>
      <c r="M56" s="5764" t="s">
        <v>1519</v>
      </c>
      <c r="N56" s="5764"/>
      <c r="O56" s="5764"/>
      <c r="P56" s="1328">
        <f>IF(Q56=0,20,"-")</f>
        <v>20</v>
      </c>
      <c r="Q56" s="1451"/>
      <c r="R56" s="3781" t="b">
        <f t="shared" si="5"/>
        <v>0</v>
      </c>
      <c r="S56" s="807"/>
      <c r="T56" s="807"/>
      <c r="U56" s="407"/>
      <c r="V56" s="5761"/>
      <c r="W56" s="5762"/>
      <c r="X56" s="5762"/>
      <c r="Y56" s="5762"/>
      <c r="Z56" s="5762"/>
      <c r="AA56" s="5763"/>
      <c r="AB56" s="1758" t="s">
        <v>1359</v>
      </c>
      <c r="AD56" s="5761"/>
      <c r="AE56" s="5762"/>
      <c r="AF56" s="5762"/>
      <c r="AG56" s="5762"/>
      <c r="AH56" s="5762"/>
      <c r="AI56" s="5763"/>
      <c r="AJ56" s="1758" t="s">
        <v>1359</v>
      </c>
      <c r="AK56" s="366"/>
      <c r="AL56" s="360"/>
      <c r="AM56" s="3300"/>
      <c r="AN56" s="3301"/>
      <c r="AO56" s="3301"/>
      <c r="AP56" s="3301"/>
      <c r="AQ56" s="3301"/>
      <c r="AR56" s="3301"/>
      <c r="AS56" s="3301"/>
      <c r="AT56" s="3301"/>
      <c r="AU56" s="3301"/>
      <c r="AV56" s="3301"/>
      <c r="AW56" s="3301"/>
      <c r="AX56" s="3301"/>
      <c r="AY56" s="3301"/>
      <c r="AZ56" s="3301"/>
      <c r="BA56" s="3301"/>
      <c r="BB56" s="3301"/>
      <c r="BC56" s="3301"/>
      <c r="BD56" s="3301"/>
      <c r="BE56" s="3301"/>
    </row>
    <row r="57" spans="1:57" ht="12" customHeight="1">
      <c r="A57" s="360"/>
      <c r="B57" s="975" t="b">
        <f>H59="-"</f>
        <v>0</v>
      </c>
      <c r="C57" s="3782" t="s">
        <v>1454</v>
      </c>
      <c r="D57" s="5764" t="s">
        <v>1520</v>
      </c>
      <c r="E57" s="5700"/>
      <c r="F57" s="5700"/>
      <c r="G57" s="5700"/>
      <c r="H57" s="1328">
        <f>IF(I57=0,30,"-")</f>
        <v>30</v>
      </c>
      <c r="I57" s="1451"/>
      <c r="K57" s="3782" t="s">
        <v>1484</v>
      </c>
      <c r="L57" s="403" t="s">
        <v>1454</v>
      </c>
      <c r="M57" s="5764" t="s">
        <v>1521</v>
      </c>
      <c r="N57" s="5764"/>
      <c r="O57" s="5764"/>
      <c r="P57" s="1328">
        <f>IF(Q57=0,20,"-")</f>
        <v>20</v>
      </c>
      <c r="Q57" s="1451"/>
      <c r="R57" s="3781" t="b">
        <f t="shared" si="5"/>
        <v>0</v>
      </c>
      <c r="S57" s="807"/>
      <c r="T57" s="807"/>
      <c r="U57" s="407">
        <f>IF(V68=0,0,1)</f>
        <v>0</v>
      </c>
      <c r="V57" s="5759" t="str">
        <f>IF(V56="","",VLOOKUP(V56,'Tablas Técnicas'!$C$686:$H$935,6,FALSE))</f>
        <v/>
      </c>
      <c r="W57" s="5760"/>
      <c r="X57" s="5760"/>
      <c r="Y57" s="5760"/>
      <c r="Z57" s="1745" t="s">
        <v>1186</v>
      </c>
      <c r="AA57" s="1585" t="str">
        <f>IF(V56="","",VLOOKUP(V56,'Tablas Técnicas'!$C$686:$H$935,3,FALSE))</f>
        <v/>
      </c>
      <c r="AB57" s="1759">
        <f>IF(V56="",0,VLOOKUP(V56,'Tablas Técnicas'!$C$686:$H$935,5,FALSE))</f>
        <v>0</v>
      </c>
      <c r="AD57" s="5759" t="str">
        <f>IF(AD56="","",VLOOKUP(AD56,'Tablas Técnicas'!$C$686:$H$935,6,FALSE))</f>
        <v/>
      </c>
      <c r="AE57" s="5760"/>
      <c r="AF57" s="5760"/>
      <c r="AG57" s="5760"/>
      <c r="AH57" s="1745" t="s">
        <v>1186</v>
      </c>
      <c r="AI57" s="1585" t="str">
        <f>IF(AD56="","",VLOOKUP(AD56,'Tablas Técnicas'!$C$686:$H$935,3,FALSE))</f>
        <v/>
      </c>
      <c r="AJ57" s="1759">
        <f>IF(AD56="",0,VLOOKUP(AD56,'Tablas Técnicas'!$C$686:$H$935,5,FALSE))</f>
        <v>0</v>
      </c>
      <c r="AK57" s="366"/>
      <c r="AL57" s="360"/>
      <c r="AM57" s="3300"/>
      <c r="AN57" s="3301"/>
      <c r="AO57" s="3301"/>
      <c r="AP57" s="3301"/>
      <c r="AQ57" s="3301"/>
      <c r="AR57" s="3301"/>
      <c r="AS57" s="3301"/>
      <c r="AT57" s="3301"/>
      <c r="AU57" s="3301"/>
      <c r="AV57" s="3301"/>
      <c r="AW57" s="3301"/>
      <c r="AX57" s="3301"/>
      <c r="AY57" s="3301"/>
      <c r="AZ57" s="3301"/>
      <c r="BA57" s="3301"/>
      <c r="BB57" s="3301"/>
      <c r="BC57" s="3301"/>
      <c r="BD57" s="3301"/>
      <c r="BE57" s="3301"/>
    </row>
    <row r="58" spans="1:57" ht="12" customHeight="1">
      <c r="A58" s="360"/>
      <c r="B58" s="975" t="b">
        <f>H60="-"</f>
        <v>0</v>
      </c>
      <c r="C58" s="5699" t="s">
        <v>1522</v>
      </c>
      <c r="D58" s="5700"/>
      <c r="E58" s="5700"/>
      <c r="F58" s="5700"/>
      <c r="G58" s="5700"/>
      <c r="H58" s="1328">
        <f>IF(I58=0,10,"-")</f>
        <v>10</v>
      </c>
      <c r="I58" s="1451"/>
      <c r="K58" s="3782" t="s">
        <v>1484</v>
      </c>
      <c r="L58" s="403" t="s">
        <v>1465</v>
      </c>
      <c r="M58" s="5764" t="s">
        <v>1523</v>
      </c>
      <c r="N58" s="5764"/>
      <c r="O58" s="5764"/>
      <c r="P58" s="1328">
        <f>IF(Q58=0,20,"-")</f>
        <v>20</v>
      </c>
      <c r="Q58" s="1451"/>
      <c r="R58" s="3781" t="b">
        <f t="shared" si="5"/>
        <v>0</v>
      </c>
      <c r="S58" s="807"/>
      <c r="T58" s="807"/>
      <c r="U58" s="407"/>
      <c r="V58" s="5755" t="str">
        <f>IFERROR(VLOOKUP(V56,'Tablas Técnicas'!$C$686:$I$935,7,FALSE),"")</f>
        <v/>
      </c>
      <c r="W58" s="5756"/>
      <c r="X58" s="5756"/>
      <c r="Y58" s="5756"/>
      <c r="Z58" s="5756"/>
      <c r="AA58" s="5756"/>
      <c r="AB58" s="5757"/>
      <c r="AD58" s="5755" t="str">
        <f>IFERROR(VLOOKUP(AD56,'Tablas Técnicas'!$C$686:$I$935,7,FALSE),"")</f>
        <v/>
      </c>
      <c r="AE58" s="5756"/>
      <c r="AF58" s="5756"/>
      <c r="AG58" s="5756"/>
      <c r="AH58" s="5756"/>
      <c r="AI58" s="5756"/>
      <c r="AJ58" s="5757"/>
      <c r="AK58" s="366"/>
      <c r="AL58" s="360"/>
      <c r="AM58" s="3300"/>
      <c r="AN58" s="3301"/>
      <c r="AO58" s="3301"/>
      <c r="AP58" s="3301"/>
      <c r="AQ58" s="3301"/>
      <c r="AR58" s="3301"/>
      <c r="AS58" s="3301"/>
      <c r="AT58" s="3301"/>
      <c r="AU58" s="3301"/>
      <c r="AV58" s="3301"/>
      <c r="AW58" s="3301"/>
      <c r="AX58" s="3301"/>
      <c r="AY58" s="3301"/>
      <c r="AZ58" s="3301"/>
      <c r="BA58" s="3301"/>
      <c r="BB58" s="3301"/>
      <c r="BC58" s="3301"/>
      <c r="BD58" s="3301"/>
      <c r="BE58" s="3301"/>
    </row>
    <row r="59" spans="1:57" ht="12" customHeight="1">
      <c r="A59" s="360"/>
      <c r="B59" s="975" t="b">
        <f>H64="-"</f>
        <v>0</v>
      </c>
      <c r="C59" s="3782" t="s">
        <v>1454</v>
      </c>
      <c r="D59" s="5764" t="s">
        <v>1524</v>
      </c>
      <c r="E59" s="5700"/>
      <c r="F59" s="5700"/>
      <c r="G59" s="5700"/>
      <c r="H59" s="1328">
        <f>IF(I59=0,10,"-")</f>
        <v>10</v>
      </c>
      <c r="I59" s="1451"/>
      <c r="K59" s="3782" t="s">
        <v>1454</v>
      </c>
      <c r="L59" s="5764" t="s">
        <v>1525</v>
      </c>
      <c r="M59" s="5700"/>
      <c r="N59" s="5700"/>
      <c r="O59" s="5700"/>
      <c r="P59" s="1328">
        <f>IF(Q59=0,20,"-")</f>
        <v>20</v>
      </c>
      <c r="Q59" s="1451"/>
      <c r="R59" s="3781" t="b">
        <f t="shared" si="5"/>
        <v>0</v>
      </c>
      <c r="S59" s="807"/>
      <c r="T59" s="807"/>
      <c r="U59" s="407">
        <f>IF(V70=0,0,1)</f>
        <v>0</v>
      </c>
      <c r="V59" s="5755"/>
      <c r="W59" s="5756"/>
      <c r="X59" s="5756"/>
      <c r="Y59" s="5756"/>
      <c r="Z59" s="5756"/>
      <c r="AA59" s="5756"/>
      <c r="AB59" s="5757"/>
      <c r="AD59" s="5755"/>
      <c r="AE59" s="5756"/>
      <c r="AF59" s="5756"/>
      <c r="AG59" s="5756"/>
      <c r="AH59" s="5756"/>
      <c r="AI59" s="5756"/>
      <c r="AJ59" s="5757"/>
      <c r="AK59" s="366"/>
      <c r="AL59" s="360"/>
      <c r="AM59" s="3300"/>
      <c r="AN59" s="3301"/>
      <c r="AO59" s="3301"/>
      <c r="AP59" s="3301"/>
      <c r="AQ59" s="3301"/>
      <c r="AR59" s="3301"/>
      <c r="AS59" s="3301"/>
      <c r="AT59" s="3301"/>
      <c r="AU59" s="3301"/>
      <c r="AV59" s="3301"/>
      <c r="AW59" s="3301"/>
      <c r="AX59" s="3301"/>
      <c r="AY59" s="3301"/>
      <c r="AZ59" s="3301"/>
      <c r="BA59" s="3301"/>
      <c r="BB59" s="3301"/>
      <c r="BC59" s="3301"/>
      <c r="BD59" s="3301"/>
      <c r="BE59" s="3301"/>
    </row>
    <row r="60" spans="1:57" ht="12" customHeight="1">
      <c r="A60" s="360"/>
      <c r="B60" s="975" t="b">
        <f>H65="-"</f>
        <v>0</v>
      </c>
      <c r="C60" s="3782" t="s">
        <v>1454</v>
      </c>
      <c r="D60" s="5764" t="s">
        <v>1526</v>
      </c>
      <c r="E60" s="5700"/>
      <c r="F60" s="5700"/>
      <c r="G60" s="5700"/>
      <c r="H60" s="1328">
        <f>IF(I60=0,20,"-")</f>
        <v>20</v>
      </c>
      <c r="I60" s="1451"/>
      <c r="K60" s="3782" t="s">
        <v>1484</v>
      </c>
      <c r="L60" s="403" t="s">
        <v>1465</v>
      </c>
      <c r="M60" s="5764" t="s">
        <v>1527</v>
      </c>
      <c r="N60" s="5764"/>
      <c r="O60" s="5764"/>
      <c r="P60" s="1328">
        <f>IF(Q60=0,20,"-")</f>
        <v>20</v>
      </c>
      <c r="Q60" s="1451"/>
      <c r="R60" s="3781" t="b">
        <f t="shared" si="5"/>
        <v>0</v>
      </c>
      <c r="S60" s="807"/>
      <c r="T60" s="807"/>
      <c r="U60" s="407"/>
      <c r="V60" s="5755"/>
      <c r="W60" s="5756"/>
      <c r="X60" s="5756"/>
      <c r="Y60" s="5756"/>
      <c r="Z60" s="5756"/>
      <c r="AA60" s="5756"/>
      <c r="AB60" s="5757"/>
      <c r="AD60" s="5755"/>
      <c r="AE60" s="5756"/>
      <c r="AF60" s="5756"/>
      <c r="AG60" s="5756"/>
      <c r="AH60" s="5756"/>
      <c r="AI60" s="5756"/>
      <c r="AJ60" s="5757"/>
      <c r="AK60" s="366"/>
      <c r="AL60" s="360"/>
      <c r="AM60" s="3300"/>
      <c r="AN60" s="3301"/>
      <c r="AO60" s="3301"/>
      <c r="AP60" s="3301"/>
      <c r="AQ60" s="3301"/>
      <c r="AR60" s="3301"/>
      <c r="AS60" s="3301"/>
      <c r="AT60" s="3301"/>
      <c r="AU60" s="3301"/>
      <c r="AV60" s="3301"/>
      <c r="AW60" s="3301"/>
      <c r="AX60" s="3301"/>
      <c r="AY60" s="3301"/>
      <c r="AZ60" s="3301"/>
      <c r="BA60" s="3301"/>
      <c r="BB60" s="3301"/>
      <c r="BC60" s="3301"/>
      <c r="BD60" s="3301"/>
      <c r="BE60" s="3301"/>
    </row>
    <row r="61" spans="1:57" ht="12" customHeight="1">
      <c r="A61" s="360"/>
      <c r="B61" s="975" t="b">
        <f>H66="-"</f>
        <v>0</v>
      </c>
      <c r="C61" s="3782" t="s">
        <v>1484</v>
      </c>
      <c r="D61" s="403" t="s">
        <v>1465</v>
      </c>
      <c r="E61" s="5764" t="s">
        <v>11791</v>
      </c>
      <c r="F61" s="5764"/>
      <c r="G61" s="5764"/>
      <c r="H61" s="1328">
        <f>IF(I60=0,30,"-")</f>
        <v>30</v>
      </c>
      <c r="I61" s="1451"/>
      <c r="K61" s="3782" t="s">
        <v>1484</v>
      </c>
      <c r="L61" s="403"/>
      <c r="M61" s="403" t="s">
        <v>1465</v>
      </c>
      <c r="N61" s="1329" t="s">
        <v>1529</v>
      </c>
      <c r="O61" s="1329"/>
      <c r="P61" s="1328">
        <f>IF(Q61=0,10,"-")</f>
        <v>10</v>
      </c>
      <c r="Q61" s="1451"/>
      <c r="R61" s="3781" t="b">
        <f t="shared" si="5"/>
        <v>0</v>
      </c>
      <c r="S61" s="807"/>
      <c r="T61" s="807"/>
      <c r="U61" s="407">
        <f>IF(V72=0,0,1)</f>
        <v>0</v>
      </c>
      <c r="V61" s="5755" t="str">
        <f>IFERROR(IF(VLOOKUP(V56,'Tablas Técnicas'!$C$686:$J$935,8,FALSE)="","",VLOOKUP(V56,'Tablas Técnicas'!$C$686:$J$935,8,FALSE)),"")</f>
        <v/>
      </c>
      <c r="W61" s="5756"/>
      <c r="X61" s="5756"/>
      <c r="Y61" s="5756"/>
      <c r="Z61" s="5756"/>
      <c r="AA61" s="5756"/>
      <c r="AB61" s="5757"/>
      <c r="AD61" s="5755" t="str">
        <f>IFERROR(IF(VLOOKUP(AD56,'Tablas Técnicas'!$C$686:$J$935,8,FALSE)="","",VLOOKUP(AD56,'Tablas Técnicas'!$C$686:$J$935,8,FALSE)),"")</f>
        <v/>
      </c>
      <c r="AE61" s="5756"/>
      <c r="AF61" s="5756"/>
      <c r="AG61" s="5756"/>
      <c r="AH61" s="5756"/>
      <c r="AI61" s="5756"/>
      <c r="AJ61" s="5757"/>
      <c r="AK61" s="366"/>
      <c r="AL61" s="360"/>
      <c r="AM61" s="3300"/>
      <c r="AN61" s="3301"/>
      <c r="AO61" s="3301"/>
      <c r="AP61" s="3301"/>
      <c r="AQ61" s="3301"/>
      <c r="AR61" s="3301"/>
      <c r="AS61" s="3301"/>
      <c r="AT61" s="3301"/>
      <c r="AU61" s="3301"/>
      <c r="AV61" s="3301"/>
      <c r="AW61" s="3301"/>
      <c r="AX61" s="3301"/>
      <c r="AY61" s="3301"/>
      <c r="AZ61" s="3301"/>
      <c r="BA61" s="3301"/>
      <c r="BB61" s="3301"/>
      <c r="BC61" s="3301"/>
      <c r="BD61" s="3301"/>
      <c r="BE61" s="3301"/>
    </row>
    <row r="62" spans="1:57" ht="12" customHeight="1" thickBot="1">
      <c r="A62" s="360"/>
      <c r="B62" s="975" t="b">
        <f>H68="-"</f>
        <v>0</v>
      </c>
      <c r="C62" s="3782" t="s">
        <v>1454</v>
      </c>
      <c r="D62" s="5764" t="s">
        <v>10003</v>
      </c>
      <c r="E62" s="5700"/>
      <c r="F62" s="5700"/>
      <c r="G62" s="5700"/>
      <c r="H62" s="1328">
        <f>IF(I62=0,10,"-")</f>
        <v>10</v>
      </c>
      <c r="I62" s="1451"/>
      <c r="K62" s="3782" t="s">
        <v>1465</v>
      </c>
      <c r="L62" s="5764" t="s">
        <v>1531</v>
      </c>
      <c r="M62" s="5764"/>
      <c r="N62" s="5764"/>
      <c r="O62" s="5764"/>
      <c r="P62" s="1328">
        <f>IF(Q62=0,20,"-")</f>
        <v>20</v>
      </c>
      <c r="Q62" s="1451"/>
      <c r="R62" s="3781" t="b">
        <f t="shared" si="5"/>
        <v>0</v>
      </c>
      <c r="S62" s="807"/>
      <c r="T62" s="807"/>
      <c r="U62" s="407"/>
      <c r="V62" s="5810"/>
      <c r="W62" s="5811"/>
      <c r="X62" s="5811"/>
      <c r="Y62" s="5811"/>
      <c r="Z62" s="5811"/>
      <c r="AA62" s="5811"/>
      <c r="AB62" s="5812"/>
      <c r="AD62" s="5810"/>
      <c r="AE62" s="5811"/>
      <c r="AF62" s="5811"/>
      <c r="AG62" s="5811"/>
      <c r="AH62" s="5811"/>
      <c r="AI62" s="5811"/>
      <c r="AJ62" s="5812"/>
      <c r="AK62" s="366"/>
      <c r="AL62" s="360"/>
      <c r="AM62" s="3300"/>
      <c r="AN62" s="3301"/>
      <c r="AO62" s="3301"/>
      <c r="AP62" s="3301"/>
      <c r="AQ62" s="3301"/>
      <c r="AR62" s="3301"/>
      <c r="AS62" s="3301"/>
      <c r="AT62" s="3301"/>
      <c r="AU62" s="3301"/>
      <c r="AV62" s="3301"/>
      <c r="AW62" s="3301"/>
      <c r="AX62" s="3301"/>
      <c r="AY62" s="3301"/>
      <c r="AZ62" s="3301"/>
      <c r="BA62" s="3301"/>
      <c r="BB62" s="3301"/>
      <c r="BC62" s="3301"/>
      <c r="BD62" s="3301"/>
      <c r="BE62" s="3301"/>
    </row>
    <row r="63" spans="1:57" ht="12" customHeight="1" thickBot="1">
      <c r="A63" s="360"/>
      <c r="B63" s="3793">
        <f>IF(COUNTIF(HabilidadesEsenciales_Adquiridas,"Inhumanidad")+COUNTIF(Principal!V30:AE35,"Inhumanidad")&gt;0,1,0)</f>
        <v>0</v>
      </c>
      <c r="C63" s="3782" t="s">
        <v>1484</v>
      </c>
      <c r="D63" s="403" t="s">
        <v>1465</v>
      </c>
      <c r="E63" s="5764" t="s">
        <v>318</v>
      </c>
      <c r="F63" s="5764"/>
      <c r="G63" s="5764"/>
      <c r="H63" s="1328">
        <f>IF(I63=0,30,"-")</f>
        <v>30</v>
      </c>
      <c r="I63" s="1451"/>
      <c r="K63" s="3785"/>
      <c r="L63" s="403" t="s">
        <v>1465</v>
      </c>
      <c r="M63" s="5764" t="s">
        <v>1533</v>
      </c>
      <c r="N63" s="5764"/>
      <c r="O63" s="5764"/>
      <c r="P63" s="1328">
        <f>IF(Q63=0,20,"-")</f>
        <v>20</v>
      </c>
      <c r="Q63" s="1451"/>
      <c r="R63" s="3781" t="b">
        <f t="shared" si="5"/>
        <v>0</v>
      </c>
      <c r="S63" s="807"/>
      <c r="T63" s="807"/>
      <c r="U63" s="407">
        <f>IF(V74=0,0,1)</f>
        <v>1</v>
      </c>
      <c r="V63" s="1753"/>
      <c r="W63" s="1753"/>
      <c r="X63" s="1753"/>
      <c r="Y63" s="1753"/>
      <c r="Z63" s="1754"/>
      <c r="AA63" s="1755"/>
      <c r="AB63" s="1756"/>
      <c r="AD63" s="1753"/>
      <c r="AE63" s="1753"/>
      <c r="AF63" s="1753"/>
      <c r="AG63" s="1753"/>
      <c r="AH63" s="1754"/>
      <c r="AI63" s="1755"/>
      <c r="AJ63" s="1756"/>
      <c r="AK63" s="366"/>
      <c r="AL63" s="360"/>
      <c r="AM63" s="3300"/>
      <c r="AN63" s="3301"/>
      <c r="AO63" s="3301"/>
      <c r="AP63" s="3301"/>
      <c r="AQ63" s="3301"/>
      <c r="AR63" s="3301"/>
      <c r="AS63" s="3301"/>
      <c r="AT63" s="3301"/>
      <c r="AU63" s="3301"/>
      <c r="AV63" s="3301"/>
      <c r="AW63" s="3301"/>
      <c r="AX63" s="3301"/>
      <c r="AY63" s="3301"/>
      <c r="AZ63" s="3301"/>
      <c r="BA63" s="3301"/>
      <c r="BB63" s="3301"/>
      <c r="BC63" s="3301"/>
      <c r="BD63" s="3301"/>
      <c r="BE63" s="3301"/>
    </row>
    <row r="64" spans="1:57" ht="12" customHeight="1">
      <c r="A64" s="360"/>
      <c r="B64" s="3793">
        <f>IF(COUNTIF(HabilidadesEsenciales_Adquiridas,"Zen")+COUNTIF(Principal!V30:AE35,"Zen")&gt;0,1,0)</f>
        <v>0</v>
      </c>
      <c r="C64" s="3782" t="s">
        <v>1465</v>
      </c>
      <c r="D64" s="5764" t="s">
        <v>1528</v>
      </c>
      <c r="E64" s="5700"/>
      <c r="F64" s="5700"/>
      <c r="G64" s="5700"/>
      <c r="H64" s="1328">
        <f>IF(I64=0,20,"-")</f>
        <v>20</v>
      </c>
      <c r="I64" s="1451"/>
      <c r="K64" s="5699" t="s">
        <v>1535</v>
      </c>
      <c r="L64" s="5700"/>
      <c r="M64" s="5700"/>
      <c r="N64" s="5700"/>
      <c r="O64" s="5700"/>
      <c r="P64" s="1328">
        <f>IF(Q64=0,50,"-")</f>
        <v>50</v>
      </c>
      <c r="Q64" s="1451"/>
      <c r="R64" s="3781" t="b">
        <f t="shared" si="5"/>
        <v>0</v>
      </c>
      <c r="S64" s="807"/>
      <c r="T64" s="807"/>
      <c r="U64" s="407"/>
      <c r="V64" s="5761"/>
      <c r="W64" s="5762"/>
      <c r="X64" s="5762"/>
      <c r="Y64" s="5762"/>
      <c r="Z64" s="5762"/>
      <c r="AA64" s="5763"/>
      <c r="AB64" s="1758" t="s">
        <v>1359</v>
      </c>
      <c r="AD64" s="5761"/>
      <c r="AE64" s="5762"/>
      <c r="AF64" s="5762"/>
      <c r="AG64" s="5762"/>
      <c r="AH64" s="5762"/>
      <c r="AI64" s="5763"/>
      <c r="AJ64" s="1758" t="s">
        <v>1359</v>
      </c>
      <c r="AK64" s="366"/>
      <c r="AL64" s="360"/>
      <c r="AM64" s="3300"/>
      <c r="AN64" s="3301"/>
      <c r="AO64" s="3301"/>
      <c r="AP64" s="3301"/>
      <c r="AQ64" s="3301"/>
      <c r="AR64" s="3301"/>
      <c r="AS64" s="3301"/>
      <c r="AT64" s="3301"/>
      <c r="AU64" s="3301"/>
      <c r="AV64" s="3301"/>
      <c r="AW64" s="3301"/>
      <c r="AX64" s="3301"/>
      <c r="AY64" s="3301"/>
      <c r="AZ64" s="3301"/>
      <c r="BA64" s="3301"/>
      <c r="BB64" s="3301"/>
      <c r="BC64" s="3301"/>
      <c r="BD64" s="3301"/>
      <c r="BE64" s="3301"/>
    </row>
    <row r="65" spans="1:57" ht="12" customHeight="1">
      <c r="A65" s="360"/>
      <c r="B65" s="3793"/>
      <c r="C65" s="3794"/>
      <c r="D65" s="403" t="s">
        <v>1465</v>
      </c>
      <c r="E65" s="5764" t="s">
        <v>1530</v>
      </c>
      <c r="F65" s="5764"/>
      <c r="G65" s="5764"/>
      <c r="H65" s="1328">
        <f>IF(I65=0,40,"-")</f>
        <v>40</v>
      </c>
      <c r="I65" s="1451"/>
      <c r="J65" s="304"/>
      <c r="K65" s="5699" t="s">
        <v>1536</v>
      </c>
      <c r="L65" s="5764"/>
      <c r="M65" s="5764"/>
      <c r="N65" s="5764"/>
      <c r="O65" s="5764"/>
      <c r="P65" s="1328">
        <f>IF(Q65=0,30,"-")</f>
        <v>30</v>
      </c>
      <c r="Q65" s="1451"/>
      <c r="R65" s="3781" t="b">
        <f t="shared" si="5"/>
        <v>0</v>
      </c>
      <c r="S65" s="807"/>
      <c r="T65" s="807"/>
      <c r="U65" s="407">
        <f>IF(V76=0,0,1)</f>
        <v>0</v>
      </c>
      <c r="V65" s="5759" t="str">
        <f>IF(V64="","",VLOOKUP(V64,'Tablas Técnicas'!$C$686:$H$935,6,FALSE))</f>
        <v/>
      </c>
      <c r="W65" s="5760"/>
      <c r="X65" s="5760"/>
      <c r="Y65" s="5760"/>
      <c r="Z65" s="1745" t="s">
        <v>1186</v>
      </c>
      <c r="AA65" s="1585" t="str">
        <f>IF(V64="","",VLOOKUP(V64,'Tablas Técnicas'!$C$686:$H$935,3,FALSE))</f>
        <v/>
      </c>
      <c r="AB65" s="1759">
        <f>IF(V64="",0,VLOOKUP(V64,'Tablas Técnicas'!$C$686:$H$935,5,FALSE))</f>
        <v>0</v>
      </c>
      <c r="AD65" s="5759" t="str">
        <f>IF(AD64="","",VLOOKUP(AD64,'Tablas Técnicas'!$C$686:$H$935,6,FALSE))</f>
        <v/>
      </c>
      <c r="AE65" s="5760"/>
      <c r="AF65" s="5760"/>
      <c r="AG65" s="5760"/>
      <c r="AH65" s="1745" t="s">
        <v>1186</v>
      </c>
      <c r="AI65" s="1585" t="str">
        <f>IF(AD64="","",VLOOKUP(AD64,'Tablas Técnicas'!$C$686:$H$935,3,FALSE))</f>
        <v/>
      </c>
      <c r="AJ65" s="1759">
        <f>IF(AD64="",0,VLOOKUP(AD64,'Tablas Técnicas'!$C$686:$H$935,5,FALSE))</f>
        <v>0</v>
      </c>
      <c r="AK65" s="366"/>
      <c r="AL65" s="360"/>
      <c r="AM65" s="3300"/>
      <c r="AN65" s="3301"/>
      <c r="AO65" s="3301"/>
      <c r="AP65" s="3301"/>
      <c r="AQ65" s="3301"/>
      <c r="AR65" s="3301"/>
      <c r="AS65" s="3301"/>
      <c r="AT65" s="3301"/>
      <c r="AU65" s="3301"/>
      <c r="AV65" s="3301"/>
      <c r="AW65" s="3301"/>
      <c r="AX65" s="3301"/>
      <c r="AY65" s="3301"/>
      <c r="AZ65" s="3301"/>
      <c r="BA65" s="3301"/>
      <c r="BB65" s="3301"/>
      <c r="BC65" s="3301"/>
      <c r="BD65" s="3301"/>
      <c r="BE65" s="3301"/>
    </row>
    <row r="66" spans="1:57" ht="12" customHeight="1" thickBot="1">
      <c r="A66" s="360"/>
      <c r="B66" s="3793"/>
      <c r="C66" s="5699" t="s">
        <v>1532</v>
      </c>
      <c r="D66" s="5700"/>
      <c r="E66" s="5700"/>
      <c r="F66" s="5700"/>
      <c r="G66" s="5700"/>
      <c r="H66" s="1328">
        <f>IF(I66=0,30,"-")</f>
        <v>30</v>
      </c>
      <c r="I66" s="1451"/>
      <c r="J66" s="304"/>
      <c r="K66" s="3795" t="s">
        <v>1465</v>
      </c>
      <c r="L66" s="5822" t="s">
        <v>1537</v>
      </c>
      <c r="M66" s="5822"/>
      <c r="N66" s="5822"/>
      <c r="O66" s="5822"/>
      <c r="P66" s="3796">
        <f>IF(Q66=0,50,"-")</f>
        <v>50</v>
      </c>
      <c r="Q66" s="3797"/>
      <c r="R66" s="3781" t="e">
        <f>#REF!="-"</f>
        <v>#REF!</v>
      </c>
      <c r="S66" s="807"/>
      <c r="T66" s="807"/>
      <c r="U66" s="407"/>
      <c r="V66" s="5755" t="str">
        <f>IFERROR(VLOOKUP(V64,'Tablas Técnicas'!$C$686:$I$935,7,FALSE),"")</f>
        <v/>
      </c>
      <c r="W66" s="5756"/>
      <c r="X66" s="5756"/>
      <c r="Y66" s="5756"/>
      <c r="Z66" s="5756"/>
      <c r="AA66" s="5756"/>
      <c r="AB66" s="5757"/>
      <c r="AD66" s="5755" t="str">
        <f>IFERROR(VLOOKUP(AD64,'Tablas Técnicas'!$C$686:$I$935,7,FALSE),"")</f>
        <v/>
      </c>
      <c r="AE66" s="5756"/>
      <c r="AF66" s="5756"/>
      <c r="AG66" s="5756"/>
      <c r="AH66" s="5756"/>
      <c r="AI66" s="5756"/>
      <c r="AJ66" s="5757"/>
      <c r="AK66" s="366"/>
      <c r="AL66" s="360"/>
      <c r="AM66" s="3300"/>
      <c r="AN66" s="3301"/>
      <c r="AO66" s="3301"/>
      <c r="AP66" s="3301"/>
      <c r="AQ66" s="3301"/>
      <c r="AR66" s="3301"/>
      <c r="AS66" s="3301"/>
      <c r="AT66" s="3301"/>
      <c r="AU66" s="3301"/>
      <c r="AV66" s="3301"/>
      <c r="AW66" s="3301"/>
      <c r="AX66" s="3301"/>
      <c r="AY66" s="3301"/>
      <c r="AZ66" s="3301"/>
      <c r="BA66" s="3301"/>
      <c r="BB66" s="3301"/>
      <c r="BC66" s="3301"/>
      <c r="BD66" s="3301"/>
      <c r="BE66" s="3301"/>
    </row>
    <row r="67" spans="1:57" ht="12" customHeight="1" thickBot="1">
      <c r="A67" s="360"/>
      <c r="B67" s="3793"/>
      <c r="C67" s="3782" t="s">
        <v>1465</v>
      </c>
      <c r="D67" s="5764" t="s">
        <v>12441</v>
      </c>
      <c r="E67" s="5700"/>
      <c r="F67" s="5700"/>
      <c r="G67" s="5700"/>
      <c r="H67" s="1328">
        <f>IF(I67=0,20,"-")</f>
        <v>20</v>
      </c>
      <c r="I67" s="1451"/>
      <c r="J67" s="304"/>
      <c r="R67" s="3781"/>
      <c r="S67" s="807"/>
      <c r="T67" s="807"/>
      <c r="U67" s="407">
        <f>IF(V78=0,0,1)</f>
        <v>0</v>
      </c>
      <c r="V67" s="5755"/>
      <c r="W67" s="5756"/>
      <c r="X67" s="5756"/>
      <c r="Y67" s="5756"/>
      <c r="Z67" s="5756"/>
      <c r="AA67" s="5756"/>
      <c r="AB67" s="5757"/>
      <c r="AD67" s="5755"/>
      <c r="AE67" s="5756"/>
      <c r="AF67" s="5756"/>
      <c r="AG67" s="5756"/>
      <c r="AH67" s="5756"/>
      <c r="AI67" s="5756"/>
      <c r="AJ67" s="5757"/>
      <c r="AK67" s="366"/>
      <c r="AL67" s="360"/>
      <c r="AM67" s="3300"/>
      <c r="AN67" s="3301"/>
      <c r="AO67" s="3301"/>
      <c r="AP67" s="3301"/>
      <c r="AQ67" s="3301"/>
      <c r="AR67" s="3301"/>
      <c r="AS67" s="3301"/>
      <c r="AT67" s="3301"/>
      <c r="AU67" s="3301"/>
      <c r="AV67" s="3301"/>
      <c r="AW67" s="3301"/>
      <c r="AX67" s="3301"/>
      <c r="AY67" s="3301"/>
      <c r="AZ67" s="3301"/>
      <c r="BA67" s="3301"/>
      <c r="BB67" s="3301"/>
      <c r="BC67" s="3301"/>
      <c r="BD67" s="3301"/>
      <c r="BE67" s="3301"/>
    </row>
    <row r="68" spans="1:57" ht="12" customHeight="1">
      <c r="A68" s="360"/>
      <c r="B68" s="3793"/>
      <c r="C68" s="5699" t="s">
        <v>1534</v>
      </c>
      <c r="D68" s="5700"/>
      <c r="E68" s="5700"/>
      <c r="F68" s="5700"/>
      <c r="G68" s="5700"/>
      <c r="H68" s="1328">
        <f>IF(I68=0,10,"-")</f>
        <v>10</v>
      </c>
      <c r="I68" s="1451"/>
      <c r="J68" s="304"/>
      <c r="K68" s="5832" t="s">
        <v>11792</v>
      </c>
      <c r="L68" s="5833"/>
      <c r="M68" s="5833"/>
      <c r="N68" s="5833"/>
      <c r="O68" s="5836" t="s">
        <v>1365</v>
      </c>
      <c r="P68" s="5837"/>
      <c r="Q68" s="5840">
        <f>CM_final</f>
        <v>0</v>
      </c>
      <c r="R68" s="3781"/>
      <c r="S68" s="807"/>
      <c r="T68" s="807"/>
      <c r="U68" s="409"/>
      <c r="V68" s="5755"/>
      <c r="W68" s="5756"/>
      <c r="X68" s="5756"/>
      <c r="Y68" s="5756"/>
      <c r="Z68" s="5756"/>
      <c r="AA68" s="5756"/>
      <c r="AB68" s="5757"/>
      <c r="AD68" s="5755"/>
      <c r="AE68" s="5756"/>
      <c r="AF68" s="5756"/>
      <c r="AG68" s="5756"/>
      <c r="AH68" s="5756"/>
      <c r="AI68" s="5756"/>
      <c r="AJ68" s="5757"/>
      <c r="AK68" s="366"/>
      <c r="AL68" s="360"/>
      <c r="AM68" s="3300"/>
      <c r="AN68" s="3301"/>
      <c r="AO68" s="3301"/>
      <c r="AP68" s="3301"/>
      <c r="AQ68" s="3301"/>
      <c r="AR68" s="3301"/>
      <c r="AS68" s="3301"/>
      <c r="AT68" s="3301"/>
      <c r="AU68" s="3301"/>
      <c r="AV68" s="3301"/>
      <c r="AW68" s="3301"/>
      <c r="AX68" s="3301"/>
      <c r="AY68" s="3301"/>
      <c r="AZ68" s="3301"/>
      <c r="BA68" s="3301"/>
      <c r="BB68" s="3301"/>
      <c r="BC68" s="3301"/>
      <c r="BD68" s="3301"/>
      <c r="BE68" s="3301"/>
    </row>
    <row r="69" spans="1:57" ht="12" customHeight="1">
      <c r="A69" s="360"/>
      <c r="B69" s="3793"/>
      <c r="C69" s="3782" t="s">
        <v>1465</v>
      </c>
      <c r="D69" s="5764" t="s">
        <v>12444</v>
      </c>
      <c r="E69" s="5764"/>
      <c r="F69" s="5764"/>
      <c r="G69" s="5764"/>
      <c r="H69" s="1328">
        <f>IF(I69=0,10,"-")</f>
        <v>10</v>
      </c>
      <c r="I69" s="1451"/>
      <c r="J69" s="304"/>
      <c r="K69" s="5834"/>
      <c r="L69" s="5835"/>
      <c r="M69" s="5835"/>
      <c r="N69" s="5835"/>
      <c r="O69" s="5838"/>
      <c r="P69" s="5839"/>
      <c r="Q69" s="5841"/>
      <c r="R69" s="3781"/>
      <c r="S69" s="807"/>
      <c r="T69" s="807"/>
      <c r="U69" s="409"/>
      <c r="V69" s="5755" t="str">
        <f>IFERROR(IF(VLOOKUP(V64,'Tablas Técnicas'!$C$686:$J$935,8,FALSE)="","",VLOOKUP(V64,'Tablas Técnicas'!$C$686:$J$935,8,FALSE)),"")</f>
        <v/>
      </c>
      <c r="W69" s="5756"/>
      <c r="X69" s="5756"/>
      <c r="Y69" s="5756"/>
      <c r="Z69" s="5756"/>
      <c r="AA69" s="5756"/>
      <c r="AB69" s="5757"/>
      <c r="AD69" s="5755" t="str">
        <f>IFERROR(IF(VLOOKUP(AD64,'Tablas Técnicas'!$C$686:$J$935,8,FALSE)="","",VLOOKUP(AD64,'Tablas Técnicas'!$C$686:$J$935,8,FALSE)),"")</f>
        <v/>
      </c>
      <c r="AE69" s="5756"/>
      <c r="AF69" s="5756"/>
      <c r="AG69" s="5756"/>
      <c r="AH69" s="5756"/>
      <c r="AI69" s="5756"/>
      <c r="AJ69" s="5757"/>
      <c r="AK69" s="366"/>
      <c r="AL69" s="360"/>
      <c r="AM69" s="3300"/>
      <c r="AN69" s="3301"/>
      <c r="AO69" s="3301"/>
      <c r="AP69" s="3301"/>
      <c r="AQ69" s="3301"/>
      <c r="AR69" s="3301"/>
      <c r="AS69" s="3301"/>
      <c r="AT69" s="3301"/>
      <c r="AU69" s="3301"/>
      <c r="AV69" s="3301"/>
      <c r="AW69" s="3301"/>
      <c r="AX69" s="3301"/>
      <c r="AY69" s="3301"/>
      <c r="AZ69" s="3301"/>
      <c r="BA69" s="3301"/>
      <c r="BB69" s="3301"/>
      <c r="BC69" s="3301"/>
      <c r="BD69" s="3301"/>
      <c r="BE69" s="3301"/>
    </row>
    <row r="70" spans="1:57" ht="12" customHeight="1" thickBot="1">
      <c r="A70" s="360"/>
      <c r="B70" s="3793"/>
      <c r="C70" s="5699" t="s">
        <v>10002</v>
      </c>
      <c r="D70" s="5700"/>
      <c r="E70" s="5700"/>
      <c r="F70" s="5700"/>
      <c r="G70" s="5700"/>
      <c r="H70" s="1328">
        <f>IF(I70=0,10,"-")</f>
        <v>10</v>
      </c>
      <c r="I70" s="1451"/>
      <c r="J70" s="304"/>
      <c r="K70" s="5842" t="s">
        <v>11793</v>
      </c>
      <c r="L70" s="5843"/>
      <c r="M70" s="5843"/>
      <c r="N70" s="5843"/>
      <c r="O70" s="5843"/>
      <c r="P70" s="5843"/>
      <c r="Q70" s="3798">
        <v>300</v>
      </c>
      <c r="R70" s="3781"/>
      <c r="S70" s="807"/>
      <c r="T70" s="807"/>
      <c r="U70" s="409"/>
      <c r="V70" s="5810"/>
      <c r="W70" s="5811"/>
      <c r="X70" s="5811"/>
      <c r="Y70" s="5811"/>
      <c r="Z70" s="5811"/>
      <c r="AA70" s="5811"/>
      <c r="AB70" s="5812"/>
      <c r="AD70" s="5810"/>
      <c r="AE70" s="5811"/>
      <c r="AF70" s="5811"/>
      <c r="AG70" s="5811"/>
      <c r="AH70" s="5811"/>
      <c r="AI70" s="5811"/>
      <c r="AJ70" s="5812"/>
      <c r="AK70" s="366"/>
      <c r="AL70" s="360"/>
      <c r="AM70" s="3300"/>
      <c r="AN70" s="3301"/>
      <c r="AO70" s="3301"/>
      <c r="AP70" s="3301"/>
      <c r="AQ70" s="3301"/>
      <c r="AR70" s="3301"/>
      <c r="AS70" s="3301"/>
      <c r="AT70" s="3301"/>
      <c r="AU70" s="3301"/>
      <c r="AV70" s="3301"/>
      <c r="AW70" s="3301"/>
      <c r="AX70" s="3301"/>
      <c r="AY70" s="3301"/>
      <c r="AZ70" s="3301"/>
      <c r="BA70" s="3301"/>
      <c r="BB70" s="3301"/>
      <c r="BC70" s="3301"/>
      <c r="BD70" s="3301"/>
      <c r="BE70" s="3301"/>
    </row>
    <row r="71" spans="1:57" ht="12" customHeight="1" thickBot="1">
      <c r="A71" s="360"/>
      <c r="B71" s="3793"/>
      <c r="C71" s="3782" t="s">
        <v>1465</v>
      </c>
      <c r="D71" s="5764" t="s">
        <v>12442</v>
      </c>
      <c r="E71" s="5764"/>
      <c r="F71" s="5764"/>
      <c r="G71" s="5764"/>
      <c r="H71" s="1328">
        <f>IF(I71=0,10,"-")</f>
        <v>10</v>
      </c>
      <c r="I71" s="1451"/>
      <c r="J71" s="304"/>
      <c r="K71" s="5845" t="s">
        <v>11794</v>
      </c>
      <c r="L71" s="5846"/>
      <c r="M71" s="5846"/>
      <c r="N71" s="5846"/>
      <c r="O71" s="5846"/>
      <c r="P71" s="5846"/>
      <c r="Q71" s="3799">
        <v>400</v>
      </c>
      <c r="R71" s="3781"/>
      <c r="S71" s="807"/>
      <c r="T71" s="807"/>
      <c r="U71" s="409"/>
      <c r="V71" s="1753"/>
      <c r="W71" s="1753"/>
      <c r="X71" s="1753"/>
      <c r="Y71" s="1753"/>
      <c r="Z71" s="1754"/>
      <c r="AA71" s="1755"/>
      <c r="AB71" s="1756"/>
      <c r="AD71" s="1753"/>
      <c r="AE71" s="1753"/>
      <c r="AF71" s="1753"/>
      <c r="AG71" s="1753"/>
      <c r="AH71" s="1754"/>
      <c r="AI71" s="1755"/>
      <c r="AJ71" s="1756"/>
      <c r="AK71" s="366"/>
      <c r="AL71" s="360"/>
      <c r="AM71" s="3300"/>
      <c r="AN71" s="3301"/>
      <c r="AO71" s="3301"/>
      <c r="AP71" s="3301"/>
      <c r="AQ71" s="3301"/>
      <c r="AR71" s="3301"/>
      <c r="AS71" s="3301"/>
      <c r="AT71" s="3301"/>
      <c r="AU71" s="3301"/>
      <c r="AV71" s="3301"/>
      <c r="AW71" s="3301"/>
      <c r="AX71" s="3301"/>
      <c r="AY71" s="3301"/>
      <c r="AZ71" s="3301"/>
      <c r="BA71" s="3301"/>
      <c r="BB71" s="3301"/>
      <c r="BC71" s="3301"/>
      <c r="BD71" s="3301"/>
      <c r="BE71" s="3301"/>
    </row>
    <row r="72" spans="1:57" ht="12" customHeight="1" thickBot="1">
      <c r="A72" s="360"/>
      <c r="B72" s="3793"/>
      <c r="C72" s="3794"/>
      <c r="D72" s="403" t="s">
        <v>1454</v>
      </c>
      <c r="E72" s="5764" t="s">
        <v>12443</v>
      </c>
      <c r="F72" s="5764"/>
      <c r="G72" s="5764"/>
      <c r="H72" s="1328">
        <f>IF(I72=0,10,"-")</f>
        <v>10</v>
      </c>
      <c r="I72" s="1451"/>
      <c r="J72" s="304"/>
      <c r="K72" s="5847" t="s">
        <v>11795</v>
      </c>
      <c r="L72" s="5848"/>
      <c r="M72" s="5848"/>
      <c r="N72" s="5848"/>
      <c r="O72" s="5848"/>
      <c r="P72" s="5848"/>
      <c r="Q72" s="3800">
        <v>500</v>
      </c>
      <c r="R72" s="3781"/>
      <c r="S72" s="807"/>
      <c r="T72" s="807"/>
      <c r="U72" s="409"/>
      <c r="V72" s="5761"/>
      <c r="W72" s="5762"/>
      <c r="X72" s="5762"/>
      <c r="Y72" s="5762"/>
      <c r="Z72" s="5762"/>
      <c r="AA72" s="5763"/>
      <c r="AB72" s="1758" t="s">
        <v>1359</v>
      </c>
      <c r="AD72" s="5761"/>
      <c r="AE72" s="5762"/>
      <c r="AF72" s="5762"/>
      <c r="AG72" s="5762"/>
      <c r="AH72" s="5762"/>
      <c r="AI72" s="5763"/>
      <c r="AJ72" s="1758" t="s">
        <v>1359</v>
      </c>
      <c r="AK72" s="366"/>
      <c r="AL72" s="360"/>
      <c r="AM72" s="3300"/>
      <c r="AN72" s="3301"/>
      <c r="AO72" s="3301"/>
      <c r="AP72" s="3301"/>
      <c r="AQ72" s="3301"/>
      <c r="AR72" s="3301"/>
      <c r="AS72" s="3301"/>
      <c r="AT72" s="3301"/>
      <c r="AU72" s="3301"/>
      <c r="AV72" s="3301"/>
      <c r="AW72" s="3301"/>
      <c r="AX72" s="3301"/>
      <c r="AY72" s="3301"/>
      <c r="AZ72" s="3301"/>
      <c r="BA72" s="3301"/>
      <c r="BB72" s="3301"/>
      <c r="BC72" s="3301"/>
      <c r="BD72" s="3301"/>
      <c r="BE72" s="3301"/>
    </row>
    <row r="73" spans="1:57" ht="12" customHeight="1">
      <c r="A73" s="360"/>
      <c r="B73" s="3793"/>
      <c r="C73" s="3794"/>
      <c r="D73" s="403" t="s">
        <v>1465</v>
      </c>
      <c r="E73" s="5764" t="s">
        <v>10006</v>
      </c>
      <c r="F73" s="5764"/>
      <c r="G73" s="5764"/>
      <c r="H73" s="1328">
        <f>IF(I73=0,40,"-")</f>
        <v>40</v>
      </c>
      <c r="I73" s="1451"/>
      <c r="R73" s="3781"/>
      <c r="S73" s="807"/>
      <c r="T73" s="807"/>
      <c r="U73" s="409"/>
      <c r="V73" s="5759" t="str">
        <f>IF(V72="","",VLOOKUP(V72,'Tablas Técnicas'!$C$686:$H$935,6,FALSE))</f>
        <v/>
      </c>
      <c r="W73" s="5760"/>
      <c r="X73" s="5760"/>
      <c r="Y73" s="5760"/>
      <c r="Z73" s="1745" t="s">
        <v>1186</v>
      </c>
      <c r="AA73" s="1585" t="str">
        <f>IF(V72="","",VLOOKUP(V72,'Tablas Técnicas'!$C$686:$H$935,3,FALSE))</f>
        <v/>
      </c>
      <c r="AB73" s="1759">
        <f>IF(V72="",0,VLOOKUP(V72,'Tablas Técnicas'!$C$686:$H$935,5,FALSE))</f>
        <v>0</v>
      </c>
      <c r="AD73" s="5759" t="str">
        <f>IF(AD72="","",VLOOKUP(AD72,'Tablas Técnicas'!$C$686:$H$935,6,FALSE))</f>
        <v/>
      </c>
      <c r="AE73" s="5760"/>
      <c r="AF73" s="5760"/>
      <c r="AG73" s="5760"/>
      <c r="AH73" s="1745" t="s">
        <v>1186</v>
      </c>
      <c r="AI73" s="1585" t="str">
        <f>IF(AD72="","",VLOOKUP(AD72,'Tablas Técnicas'!$C$686:$H$935,3,FALSE))</f>
        <v/>
      </c>
      <c r="AJ73" s="1759">
        <f>IF(AD72="",0,VLOOKUP(AD72,'Tablas Técnicas'!$C$686:$H$935,5,FALSE))</f>
        <v>0</v>
      </c>
      <c r="AK73" s="366"/>
      <c r="AL73" s="360"/>
      <c r="AM73" s="3300"/>
      <c r="AN73" s="3301"/>
      <c r="AO73" s="3301"/>
      <c r="AP73" s="3301"/>
      <c r="AQ73" s="3301"/>
      <c r="AR73" s="3301"/>
      <c r="AS73" s="3301"/>
      <c r="AT73" s="3301"/>
      <c r="AU73" s="3301"/>
      <c r="AV73" s="3301"/>
      <c r="AW73" s="3301"/>
      <c r="AX73" s="3301"/>
      <c r="AY73" s="3301"/>
      <c r="AZ73" s="3301"/>
      <c r="BA73" s="3301"/>
      <c r="BB73" s="3301"/>
      <c r="BC73" s="3301"/>
      <c r="BD73" s="3301"/>
      <c r="BE73" s="3301"/>
    </row>
    <row r="74" spans="1:57" ht="12" customHeight="1">
      <c r="A74" s="360"/>
      <c r="B74" s="3793"/>
      <c r="C74" s="5699" t="s">
        <v>1536</v>
      </c>
      <c r="D74" s="5700"/>
      <c r="E74" s="5700"/>
      <c r="F74" s="5700"/>
      <c r="G74" s="5700"/>
      <c r="H74" s="1328">
        <f>IF(I74=0,20,"-")</f>
        <v>20</v>
      </c>
      <c r="I74" s="1451"/>
      <c r="R74" s="3781"/>
      <c r="S74" s="807"/>
      <c r="T74" s="807"/>
      <c r="U74" s="409"/>
      <c r="V74" s="5755" t="str">
        <f>IFERROR(VLOOKUP(V72,'Tablas Técnicas'!$C$686:$I$935,7,FALSE),"")</f>
        <v/>
      </c>
      <c r="W74" s="5756"/>
      <c r="X74" s="5756"/>
      <c r="Y74" s="5756"/>
      <c r="Z74" s="5756"/>
      <c r="AA74" s="5756"/>
      <c r="AB74" s="5757"/>
      <c r="AD74" s="5755" t="str">
        <f>IFERROR(VLOOKUP(AD72,'Tablas Técnicas'!$C$686:$I$935,7,FALSE),"")</f>
        <v/>
      </c>
      <c r="AE74" s="5756"/>
      <c r="AF74" s="5756"/>
      <c r="AG74" s="5756"/>
      <c r="AH74" s="5756"/>
      <c r="AI74" s="5756"/>
      <c r="AJ74" s="5757"/>
      <c r="AK74" s="366"/>
      <c r="AL74" s="360"/>
      <c r="AM74" s="3300"/>
      <c r="AN74" s="3301"/>
      <c r="AO74" s="3301"/>
      <c r="AP74" s="3301"/>
      <c r="AQ74" s="3301"/>
      <c r="AR74" s="3301"/>
      <c r="AS74" s="3301"/>
      <c r="AT74" s="3301"/>
      <c r="AU74" s="3301"/>
      <c r="AV74" s="3301"/>
      <c r="AW74" s="3301"/>
      <c r="AX74" s="3301"/>
      <c r="AY74" s="3301"/>
      <c r="AZ74" s="3301"/>
      <c r="BA74" s="3301"/>
      <c r="BB74" s="3301"/>
      <c r="BC74" s="3301"/>
      <c r="BD74" s="3301"/>
      <c r="BE74" s="3301"/>
    </row>
    <row r="75" spans="1:57" ht="12" customHeight="1" thickBot="1">
      <c r="A75" s="360"/>
      <c r="B75" s="3793"/>
      <c r="C75" s="3795" t="s">
        <v>1465</v>
      </c>
      <c r="D75" s="5822" t="s">
        <v>1537</v>
      </c>
      <c r="E75" s="5849"/>
      <c r="F75" s="5849"/>
      <c r="G75" s="5849"/>
      <c r="H75" s="3796">
        <f>IF(I75=0,40,"-")</f>
        <v>40</v>
      </c>
      <c r="I75" s="3797"/>
      <c r="R75" s="3781"/>
      <c r="S75" s="807"/>
      <c r="T75" s="807"/>
      <c r="U75" s="409"/>
      <c r="V75" s="5755"/>
      <c r="W75" s="5756"/>
      <c r="X75" s="5756"/>
      <c r="Y75" s="5756"/>
      <c r="Z75" s="5756"/>
      <c r="AA75" s="5756"/>
      <c r="AB75" s="5757"/>
      <c r="AD75" s="5755"/>
      <c r="AE75" s="5756"/>
      <c r="AF75" s="5756"/>
      <c r="AG75" s="5756"/>
      <c r="AH75" s="5756"/>
      <c r="AI75" s="5756"/>
      <c r="AJ75" s="5757"/>
      <c r="AK75" s="366"/>
      <c r="AL75" s="360"/>
      <c r="AM75" s="3300"/>
      <c r="AN75" s="3301"/>
      <c r="AO75" s="3301"/>
      <c r="AP75" s="3301"/>
      <c r="AQ75" s="3301"/>
      <c r="AR75" s="3301"/>
      <c r="AS75" s="3301"/>
      <c r="AT75" s="3301"/>
      <c r="AU75" s="3301"/>
      <c r="AV75" s="3301"/>
      <c r="AW75" s="3301"/>
      <c r="AX75" s="3301"/>
      <c r="AY75" s="3301"/>
      <c r="AZ75" s="3301"/>
      <c r="BA75" s="3301"/>
      <c r="BB75" s="3301"/>
      <c r="BC75" s="3301"/>
      <c r="BD75" s="3301"/>
      <c r="BE75" s="3301"/>
    </row>
    <row r="76" spans="1:57" ht="12" customHeight="1" thickBot="1">
      <c r="A76" s="360"/>
      <c r="B76" s="3793"/>
      <c r="R76" s="3781"/>
      <c r="S76" s="807"/>
      <c r="T76" s="807"/>
      <c r="U76" s="409"/>
      <c r="V76" s="5755"/>
      <c r="W76" s="5756"/>
      <c r="X76" s="5756"/>
      <c r="Y76" s="5756"/>
      <c r="Z76" s="5756"/>
      <c r="AA76" s="5756"/>
      <c r="AB76" s="5757"/>
      <c r="AD76" s="5755"/>
      <c r="AE76" s="5756"/>
      <c r="AF76" s="5756"/>
      <c r="AG76" s="5756"/>
      <c r="AH76" s="5756"/>
      <c r="AI76" s="5756"/>
      <c r="AJ76" s="5757"/>
      <c r="AK76" s="366"/>
      <c r="AL76" s="360"/>
      <c r="AM76" s="3300"/>
      <c r="AN76" s="3301"/>
      <c r="AO76" s="3301"/>
      <c r="AP76" s="3301"/>
      <c r="AQ76" s="3301"/>
      <c r="AR76" s="3301"/>
      <c r="AS76" s="3301"/>
      <c r="AT76" s="3301"/>
      <c r="AU76" s="3301"/>
      <c r="AV76" s="3301"/>
      <c r="AW76" s="3301"/>
      <c r="AX76" s="3301"/>
      <c r="AY76" s="3301"/>
      <c r="AZ76" s="3301"/>
      <c r="BA76" s="3301"/>
      <c r="BB76" s="3301"/>
      <c r="BC76" s="3301"/>
      <c r="BD76" s="3301"/>
      <c r="BE76" s="3301"/>
    </row>
    <row r="77" spans="1:57" ht="12" customHeight="1" thickBot="1">
      <c r="A77" s="360"/>
      <c r="B77" s="3793"/>
      <c r="C77" s="4422" t="s">
        <v>9144</v>
      </c>
      <c r="D77" s="5850"/>
      <c r="E77" s="5850"/>
      <c r="F77" s="5850"/>
      <c r="G77" s="5850"/>
      <c r="H77" s="5850"/>
      <c r="I77" s="5850"/>
      <c r="J77" s="5850"/>
      <c r="K77" s="5850"/>
      <c r="L77" s="5850"/>
      <c r="M77" s="5850"/>
      <c r="N77" s="5850"/>
      <c r="O77" s="5850"/>
      <c r="P77" s="5850"/>
      <c r="Q77" s="5851"/>
      <c r="R77" s="3781"/>
      <c r="S77" s="807"/>
      <c r="T77" s="807"/>
      <c r="U77" s="409"/>
      <c r="V77" s="5755" t="str">
        <f>IFERROR(IF(VLOOKUP(V72,'Tablas Técnicas'!$C$686:$J$935,8,FALSE)="","",VLOOKUP(V72,'Tablas Técnicas'!$C$686:$J$935,8,FALSE)),"")</f>
        <v/>
      </c>
      <c r="W77" s="5756"/>
      <c r="X77" s="5756"/>
      <c r="Y77" s="5756"/>
      <c r="Z77" s="5756"/>
      <c r="AA77" s="5756"/>
      <c r="AB77" s="5757"/>
      <c r="AD77" s="5755" t="str">
        <f>IFERROR(IF(VLOOKUP(AD72,'Tablas Técnicas'!$C$686:$J$935,8,FALSE)="","",VLOOKUP(AD72,'Tablas Técnicas'!$C$686:$J$935,8,FALSE)),"")</f>
        <v/>
      </c>
      <c r="AE77" s="5756"/>
      <c r="AF77" s="5756"/>
      <c r="AG77" s="5756"/>
      <c r="AH77" s="5756"/>
      <c r="AI77" s="5756"/>
      <c r="AJ77" s="5757"/>
      <c r="AK77" s="366"/>
      <c r="AL77" s="360"/>
    </row>
    <row r="78" spans="1:57" ht="12" customHeight="1" thickBot="1">
      <c r="A78" s="360"/>
      <c r="B78" s="3793"/>
      <c r="C78" s="5823"/>
      <c r="D78" s="5824"/>
      <c r="E78" s="5824"/>
      <c r="F78" s="5824"/>
      <c r="G78" s="5824"/>
      <c r="H78" s="5824"/>
      <c r="I78" s="5824"/>
      <c r="J78" s="5824"/>
      <c r="K78" s="5824"/>
      <c r="L78" s="5824"/>
      <c r="M78" s="5824"/>
      <c r="N78" s="5824"/>
      <c r="O78" s="5824"/>
      <c r="P78" s="5824"/>
      <c r="Q78" s="5825"/>
      <c r="R78" s="3781"/>
      <c r="S78" s="807"/>
      <c r="T78" s="807"/>
      <c r="U78" s="409"/>
      <c r="V78" s="5810"/>
      <c r="W78" s="5811"/>
      <c r="X78" s="5811"/>
      <c r="Y78" s="5811"/>
      <c r="Z78" s="5811"/>
      <c r="AA78" s="5811"/>
      <c r="AB78" s="5812"/>
      <c r="AD78" s="5810"/>
      <c r="AE78" s="5811"/>
      <c r="AF78" s="5811"/>
      <c r="AG78" s="5811"/>
      <c r="AH78" s="5811"/>
      <c r="AI78" s="5811"/>
      <c r="AJ78" s="5812"/>
      <c r="AK78" s="366"/>
      <c r="AL78" s="360"/>
    </row>
    <row r="79" spans="1:57" ht="12" customHeight="1" thickBot="1">
      <c r="A79" s="360"/>
      <c r="B79" s="3793"/>
      <c r="C79" s="5826"/>
      <c r="D79" s="5827"/>
      <c r="E79" s="5827"/>
      <c r="F79" s="5827"/>
      <c r="G79" s="5827"/>
      <c r="H79" s="5827"/>
      <c r="I79" s="5827"/>
      <c r="J79" s="5827"/>
      <c r="K79" s="5827"/>
      <c r="L79" s="5827"/>
      <c r="M79" s="5827"/>
      <c r="N79" s="5827"/>
      <c r="O79" s="5827"/>
      <c r="P79" s="5827"/>
      <c r="Q79" s="5828"/>
      <c r="R79" s="3781"/>
      <c r="S79" s="807"/>
      <c r="T79" s="807"/>
      <c r="U79" s="409"/>
      <c r="V79" s="1927"/>
      <c r="W79" s="1927"/>
      <c r="X79" s="1927"/>
      <c r="Y79" s="1927"/>
      <c r="Z79" s="1927"/>
      <c r="AA79" s="1927"/>
      <c r="AB79" s="1927"/>
      <c r="AC79" s="304"/>
      <c r="AD79" s="1927"/>
      <c r="AE79" s="1927"/>
      <c r="AF79" s="1927"/>
      <c r="AG79" s="1927"/>
      <c r="AH79" s="1927"/>
      <c r="AI79" s="1927"/>
      <c r="AJ79" s="1927"/>
      <c r="AK79" s="366"/>
      <c r="AL79" s="360"/>
    </row>
    <row r="80" spans="1:57" ht="12" customHeight="1">
      <c r="A80" s="360"/>
      <c r="B80" s="3793"/>
      <c r="C80" s="5826"/>
      <c r="D80" s="5827"/>
      <c r="E80" s="5827"/>
      <c r="F80" s="5827"/>
      <c r="G80" s="5827"/>
      <c r="H80" s="5827"/>
      <c r="I80" s="5827"/>
      <c r="J80" s="5827"/>
      <c r="K80" s="5827"/>
      <c r="L80" s="5827"/>
      <c r="M80" s="5827"/>
      <c r="N80" s="5827"/>
      <c r="O80" s="5827"/>
      <c r="P80" s="5827"/>
      <c r="Q80" s="5828"/>
      <c r="R80" s="3781"/>
      <c r="S80" s="807"/>
      <c r="T80" s="807"/>
      <c r="U80" s="409"/>
      <c r="V80" s="5761"/>
      <c r="W80" s="5762"/>
      <c r="X80" s="5762"/>
      <c r="Y80" s="5762"/>
      <c r="Z80" s="5762"/>
      <c r="AA80" s="5763"/>
      <c r="AB80" s="1758" t="s">
        <v>1359</v>
      </c>
      <c r="AD80" s="5761"/>
      <c r="AE80" s="5762"/>
      <c r="AF80" s="5762"/>
      <c r="AG80" s="5762"/>
      <c r="AH80" s="5762"/>
      <c r="AI80" s="5763"/>
      <c r="AJ80" s="1758" t="s">
        <v>1359</v>
      </c>
      <c r="AK80" s="366"/>
      <c r="AL80" s="360"/>
    </row>
    <row r="81" spans="1:38" ht="12" customHeight="1">
      <c r="A81" s="360"/>
      <c r="B81" s="3793"/>
      <c r="C81" s="5826"/>
      <c r="D81" s="5827"/>
      <c r="E81" s="5827"/>
      <c r="F81" s="5827"/>
      <c r="G81" s="5827"/>
      <c r="H81" s="5827"/>
      <c r="I81" s="5827"/>
      <c r="J81" s="5827"/>
      <c r="K81" s="5827"/>
      <c r="L81" s="5827"/>
      <c r="M81" s="5827"/>
      <c r="N81" s="5827"/>
      <c r="O81" s="5827"/>
      <c r="P81" s="5827"/>
      <c r="Q81" s="5828"/>
      <c r="R81" s="3781"/>
      <c r="S81" s="807"/>
      <c r="T81" s="807"/>
      <c r="U81" s="409"/>
      <c r="V81" s="5759" t="str">
        <f>IF(V80="","",VLOOKUP(V80,'Tablas Técnicas'!$C$686:$H$935,6,FALSE))</f>
        <v/>
      </c>
      <c r="W81" s="5760"/>
      <c r="X81" s="5760"/>
      <c r="Y81" s="5760"/>
      <c r="Z81" s="1745" t="s">
        <v>1186</v>
      </c>
      <c r="AA81" s="1585" t="str">
        <f>IF(V80="","",VLOOKUP(V80,'Tablas Técnicas'!$C$686:$H$935,3,FALSE))</f>
        <v/>
      </c>
      <c r="AB81" s="1759">
        <f>IF(V80="",0,VLOOKUP(V80,'Tablas Técnicas'!$C$686:$H$935,5,FALSE))</f>
        <v>0</v>
      </c>
      <c r="AD81" s="5759" t="str">
        <f>IF(AD80="","",VLOOKUP(AD80,'Tablas Técnicas'!$C$686:$H$935,6,FALSE))</f>
        <v/>
      </c>
      <c r="AE81" s="5760"/>
      <c r="AF81" s="5760"/>
      <c r="AG81" s="5760"/>
      <c r="AH81" s="1745" t="s">
        <v>1186</v>
      </c>
      <c r="AI81" s="1585" t="str">
        <f>IF(AD80="","",VLOOKUP(AD80,'Tablas Técnicas'!$C$686:$H$935,3,FALSE))</f>
        <v/>
      </c>
      <c r="AJ81" s="1759">
        <f>IF(AD80="",0,VLOOKUP(AD80,'Tablas Técnicas'!$C$686:$H$935,5,FALSE))</f>
        <v>0</v>
      </c>
      <c r="AK81" s="366"/>
      <c r="AL81" s="360"/>
    </row>
    <row r="82" spans="1:38" ht="12" customHeight="1">
      <c r="A82" s="360"/>
      <c r="B82" s="3793"/>
      <c r="C82" s="5826"/>
      <c r="D82" s="5827"/>
      <c r="E82" s="5827"/>
      <c r="F82" s="5827"/>
      <c r="G82" s="5827"/>
      <c r="H82" s="5827"/>
      <c r="I82" s="5827"/>
      <c r="J82" s="5827"/>
      <c r="K82" s="5827"/>
      <c r="L82" s="5827"/>
      <c r="M82" s="5827"/>
      <c r="N82" s="5827"/>
      <c r="O82" s="5827"/>
      <c r="P82" s="5827"/>
      <c r="Q82" s="5828"/>
      <c r="R82" s="3781"/>
      <c r="S82" s="807"/>
      <c r="T82" s="807"/>
      <c r="U82" s="409"/>
      <c r="V82" s="5755" t="str">
        <f>IFERROR(VLOOKUP(V80,'Tablas Técnicas'!$C$686:$I$935,7,FALSE),"")</f>
        <v/>
      </c>
      <c r="W82" s="5756"/>
      <c r="X82" s="5756"/>
      <c r="Y82" s="5756"/>
      <c r="Z82" s="5756"/>
      <c r="AA82" s="5756"/>
      <c r="AB82" s="5757"/>
      <c r="AD82" s="5755" t="str">
        <f>IFERROR(VLOOKUP(AD80,'Tablas Técnicas'!$C$686:$I$935,7,FALSE),"")</f>
        <v/>
      </c>
      <c r="AE82" s="5756"/>
      <c r="AF82" s="5756"/>
      <c r="AG82" s="5756"/>
      <c r="AH82" s="5756"/>
      <c r="AI82" s="5756"/>
      <c r="AJ82" s="5757"/>
      <c r="AK82" s="366"/>
      <c r="AL82" s="360"/>
    </row>
    <row r="83" spans="1:38" ht="12" customHeight="1">
      <c r="A83" s="360"/>
      <c r="B83" s="3793"/>
      <c r="C83" s="5826"/>
      <c r="D83" s="5827"/>
      <c r="E83" s="5827"/>
      <c r="F83" s="5827"/>
      <c r="G83" s="5827"/>
      <c r="H83" s="5827"/>
      <c r="I83" s="5827"/>
      <c r="J83" s="5827"/>
      <c r="K83" s="5827"/>
      <c r="L83" s="5827"/>
      <c r="M83" s="5827"/>
      <c r="N83" s="5827"/>
      <c r="O83" s="5827"/>
      <c r="P83" s="5827"/>
      <c r="Q83" s="5828"/>
      <c r="R83" s="3781"/>
      <c r="S83" s="807"/>
      <c r="T83" s="807"/>
      <c r="U83" s="409"/>
      <c r="V83" s="5755"/>
      <c r="W83" s="5756"/>
      <c r="X83" s="5756"/>
      <c r="Y83" s="5756"/>
      <c r="Z83" s="5756"/>
      <c r="AA83" s="5756"/>
      <c r="AB83" s="5757"/>
      <c r="AD83" s="5755"/>
      <c r="AE83" s="5756"/>
      <c r="AF83" s="5756"/>
      <c r="AG83" s="5756"/>
      <c r="AH83" s="5756"/>
      <c r="AI83" s="5756"/>
      <c r="AJ83" s="5757"/>
      <c r="AK83" s="366"/>
      <c r="AL83" s="360"/>
    </row>
    <row r="84" spans="1:38" ht="12" customHeight="1">
      <c r="A84" s="360"/>
      <c r="B84" s="3793"/>
      <c r="C84" s="5826"/>
      <c r="D84" s="5827"/>
      <c r="E84" s="5827"/>
      <c r="F84" s="5827"/>
      <c r="G84" s="5827"/>
      <c r="H84" s="5827"/>
      <c r="I84" s="5827"/>
      <c r="J84" s="5827"/>
      <c r="K84" s="5827"/>
      <c r="L84" s="5827"/>
      <c r="M84" s="5827"/>
      <c r="N84" s="5827"/>
      <c r="O84" s="5827"/>
      <c r="P84" s="5827"/>
      <c r="Q84" s="5828"/>
      <c r="R84" s="3781"/>
      <c r="S84" s="807"/>
      <c r="T84" s="807"/>
      <c r="U84" s="409"/>
      <c r="V84" s="5755"/>
      <c r="W84" s="5756"/>
      <c r="X84" s="5756"/>
      <c r="Y84" s="5756"/>
      <c r="Z84" s="5756"/>
      <c r="AA84" s="5756"/>
      <c r="AB84" s="5757"/>
      <c r="AD84" s="5755"/>
      <c r="AE84" s="5756"/>
      <c r="AF84" s="5756"/>
      <c r="AG84" s="5756"/>
      <c r="AH84" s="5756"/>
      <c r="AI84" s="5756"/>
      <c r="AJ84" s="5757"/>
      <c r="AK84" s="366"/>
      <c r="AL84" s="360"/>
    </row>
    <row r="85" spans="1:38" ht="12" customHeight="1">
      <c r="A85" s="360"/>
      <c r="B85" s="3793"/>
      <c r="C85" s="5826"/>
      <c r="D85" s="5827"/>
      <c r="E85" s="5827"/>
      <c r="F85" s="5827"/>
      <c r="G85" s="5827"/>
      <c r="H85" s="5827"/>
      <c r="I85" s="5827"/>
      <c r="J85" s="5827"/>
      <c r="K85" s="5827"/>
      <c r="L85" s="5827"/>
      <c r="M85" s="5827"/>
      <c r="N85" s="5827"/>
      <c r="O85" s="5827"/>
      <c r="P85" s="5827"/>
      <c r="Q85" s="5828"/>
      <c r="R85" s="3781"/>
      <c r="S85" s="807"/>
      <c r="T85" s="807"/>
      <c r="U85" s="409"/>
      <c r="V85" s="5755" t="str">
        <f>IFERROR(IF(VLOOKUP(V80,'Tablas Técnicas'!$C$686:$J$935,8,FALSE)="","",VLOOKUP(V80,'Tablas Técnicas'!$C$686:$J$935,8,FALSE)),"")</f>
        <v/>
      </c>
      <c r="W85" s="5756"/>
      <c r="X85" s="5756"/>
      <c r="Y85" s="5756"/>
      <c r="Z85" s="5756"/>
      <c r="AA85" s="5756"/>
      <c r="AB85" s="5757"/>
      <c r="AD85" s="5755" t="str">
        <f>IFERROR(IF(VLOOKUP(AD80,'Tablas Técnicas'!$C$686:$J$935,8,FALSE)="","",VLOOKUP(AD80,'Tablas Técnicas'!$C$686:$J$935,8,FALSE)),"")</f>
        <v/>
      </c>
      <c r="AE85" s="5756"/>
      <c r="AF85" s="5756"/>
      <c r="AG85" s="5756"/>
      <c r="AH85" s="5756"/>
      <c r="AI85" s="5756"/>
      <c r="AJ85" s="5757"/>
      <c r="AK85" s="366"/>
      <c r="AL85" s="360"/>
    </row>
    <row r="86" spans="1:38" ht="12" customHeight="1" thickBot="1">
      <c r="A86" s="360"/>
      <c r="B86" s="3793"/>
      <c r="C86" s="5829"/>
      <c r="D86" s="5830"/>
      <c r="E86" s="5830"/>
      <c r="F86" s="5830"/>
      <c r="G86" s="5830"/>
      <c r="H86" s="5830"/>
      <c r="I86" s="5830"/>
      <c r="J86" s="5830"/>
      <c r="K86" s="5830"/>
      <c r="L86" s="5830"/>
      <c r="M86" s="5830"/>
      <c r="N86" s="5830"/>
      <c r="O86" s="5830"/>
      <c r="P86" s="5830"/>
      <c r="Q86" s="5831"/>
      <c r="R86" s="3781"/>
      <c r="S86" s="807"/>
      <c r="T86" s="807"/>
      <c r="U86" s="409"/>
      <c r="V86" s="5810"/>
      <c r="W86" s="5811"/>
      <c r="X86" s="5811"/>
      <c r="Y86" s="5811"/>
      <c r="Z86" s="5811"/>
      <c r="AA86" s="5811"/>
      <c r="AB86" s="5812"/>
      <c r="AD86" s="5810"/>
      <c r="AE86" s="5811"/>
      <c r="AF86" s="5811"/>
      <c r="AG86" s="5811"/>
      <c r="AH86" s="5811"/>
      <c r="AI86" s="5811"/>
      <c r="AJ86" s="5812"/>
      <c r="AK86" s="366"/>
      <c r="AL86" s="360"/>
    </row>
    <row r="87" spans="1:38" ht="12" customHeight="1" thickBot="1">
      <c r="A87" s="360"/>
      <c r="B87" s="3801"/>
      <c r="C87" s="3802"/>
      <c r="D87" s="3802"/>
      <c r="E87" s="3802"/>
      <c r="F87" s="3802"/>
      <c r="G87" s="3802"/>
      <c r="H87" s="3802"/>
      <c r="I87" s="3802"/>
      <c r="J87" s="3802"/>
      <c r="K87" s="3802"/>
      <c r="L87" s="3802"/>
      <c r="M87" s="3802"/>
      <c r="N87" s="3802"/>
      <c r="O87" s="3802"/>
      <c r="P87" s="3802"/>
      <c r="Q87" s="3802"/>
      <c r="R87" s="3803"/>
      <c r="S87" s="807"/>
      <c r="T87" s="807"/>
      <c r="U87" s="263"/>
      <c r="V87" s="388"/>
      <c r="W87" s="388"/>
      <c r="X87" s="388"/>
      <c r="Y87" s="388"/>
      <c r="Z87" s="388"/>
      <c r="AA87" s="388"/>
      <c r="AB87" s="388"/>
      <c r="AC87" s="388"/>
      <c r="AD87" s="388"/>
      <c r="AE87" s="388"/>
      <c r="AF87" s="388"/>
      <c r="AG87" s="388"/>
      <c r="AH87" s="388"/>
      <c r="AI87" s="388"/>
      <c r="AJ87" s="388"/>
      <c r="AK87" s="389"/>
      <c r="AL87" s="360"/>
    </row>
    <row r="88" spans="1:38" ht="12" customHeight="1">
      <c r="A88" s="360"/>
      <c r="B88" s="980"/>
      <c r="C88" s="360"/>
      <c r="D88" s="360"/>
      <c r="E88" s="360"/>
      <c r="F88" s="360"/>
      <c r="G88" s="360"/>
      <c r="H88" s="360"/>
      <c r="I88" s="360"/>
      <c r="J88" s="360"/>
      <c r="K88" s="360"/>
      <c r="L88" s="360"/>
      <c r="M88" s="360"/>
      <c r="N88" s="360"/>
      <c r="O88" s="360"/>
      <c r="P88" s="360"/>
      <c r="Q88" s="360"/>
      <c r="R88" s="971"/>
      <c r="S88" s="807"/>
      <c r="T88" s="807"/>
      <c r="U88" s="360"/>
      <c r="V88" s="360"/>
      <c r="W88" s="360"/>
      <c r="X88" s="360"/>
      <c r="Y88" s="360"/>
      <c r="Z88" s="360"/>
      <c r="AA88" s="360"/>
      <c r="AB88" s="360"/>
      <c r="AC88" s="360"/>
      <c r="AD88" s="360"/>
      <c r="AE88" s="360"/>
      <c r="AF88" s="360"/>
      <c r="AG88" s="360"/>
      <c r="AH88" s="360"/>
      <c r="AI88" s="360"/>
      <c r="AJ88" s="360"/>
      <c r="AK88" s="360"/>
      <c r="AL88" s="360"/>
    </row>
  </sheetData>
  <sheetProtection sheet="1" selectLockedCells="1"/>
  <protectedRanges>
    <protectedRange sqref="Z15 AB12:AB30 AJ12:AJ30" name="Técnicas_1"/>
    <protectedRange sqref="L4 AE4" name="Nombre_1_1_1"/>
    <protectedRange sqref="P5 AI5" name="Nivel_1_1"/>
    <protectedRange sqref="AA41:AB41 AA43:AB43 W42:Y42 AA45:AB45 W44:Y44 AA47:AB47 W46:Y46 AA55:AB55 AA63:AB63 AA71:AB71 AI47:AJ47 AI55:AJ55 AI63:AJ63 AI71:AJ71 W40:Y40 AI41:AJ41 AI43:AJ43 AE42:AG42 AI45:AJ45 AE44:AG44 AE46:AG46 AE40:AG40 AA49:AB49 AA51:AB51 W50:Y50 AA53:AB53 W52:Y52 W54:Y54 W48:Y48 AI49:AJ49 AI51:AJ51 AE50:AG50 AI53:AJ53 AE52:AG52 AE54:AG54 AE48:AG48 AA57:AB57 AA59:AB59 W58:Y58 AA61:AB61 W60:Y60 W62:Y62 W56:Y56 AI57:AJ57 AI59:AJ59 AE58:AG58 AI61:AJ61 AE60:AG60 AE62:AG62 AE56:AG56 AA65:AB65 AA67:AB67 W66:Y66 AA69:AB69 W68:Y68 W70:Y70 W64:Y64 AI65:AJ65 AI67:AJ67 AE66:AG66 AI69:AJ69 AE68:AG68 AE70:AG70 AE64:AG64 AA73:AB73 AA75:AB75 W74:Y74 AA77:AB77 W76:Y76 W72:Y72 AI73:AJ73 AI75:AJ75 AE74:AG74 AI77:AJ77 AE76:AG76 AE72:AG72 AA81:AB81 AA83:AB83 W82:Y82 AA85:AB85 W84:Y84 W86:Y86 W78:Y80 AI81:AJ81 AI83:AJ83 AE82:AG82 AI85:AJ85 AE84:AG84 AE86:AG86 AE78:AG80" name="Conjuros_1"/>
    <protectedRange sqref="Q10 I43 I77 Q12:Q66 I45:I75 Q77:Q86" name="Poderes Ki_1"/>
  </protectedRanges>
  <mergeCells count="310">
    <mergeCell ref="C70:G70"/>
    <mergeCell ref="K71:P71"/>
    <mergeCell ref="D71:G71"/>
    <mergeCell ref="K72:P72"/>
    <mergeCell ref="E72:G72"/>
    <mergeCell ref="E73:G73"/>
    <mergeCell ref="C74:G74"/>
    <mergeCell ref="D75:G75"/>
    <mergeCell ref="C77:Q77"/>
    <mergeCell ref="C78:Q86"/>
    <mergeCell ref="D67:G67"/>
    <mergeCell ref="K68:N69"/>
    <mergeCell ref="O68:P69"/>
    <mergeCell ref="Q68:Q69"/>
    <mergeCell ref="C68:G68"/>
    <mergeCell ref="D69:G69"/>
    <mergeCell ref="K70:P70"/>
    <mergeCell ref="M18:O18"/>
    <mergeCell ref="N19:O19"/>
    <mergeCell ref="M20:O20"/>
    <mergeCell ref="M44:O44"/>
    <mergeCell ref="K45:O45"/>
    <mergeCell ref="L46:O46"/>
    <mergeCell ref="M48:O48"/>
    <mergeCell ref="L49:O49"/>
    <mergeCell ref="K51:O51"/>
    <mergeCell ref="L52:O52"/>
    <mergeCell ref="M53:O53"/>
    <mergeCell ref="L55:O55"/>
    <mergeCell ref="M57:O57"/>
    <mergeCell ref="L59:O59"/>
    <mergeCell ref="M60:O60"/>
    <mergeCell ref="E61:G61"/>
    <mergeCell ref="E63:G63"/>
    <mergeCell ref="V65:Y65"/>
    <mergeCell ref="M63:O63"/>
    <mergeCell ref="K64:O64"/>
    <mergeCell ref="K65:O65"/>
    <mergeCell ref="E65:G65"/>
    <mergeCell ref="L66:O66"/>
    <mergeCell ref="C66:G66"/>
    <mergeCell ref="V61:AB62"/>
    <mergeCell ref="L62:O62"/>
    <mergeCell ref="AD80:AI80"/>
    <mergeCell ref="AD81:AG81"/>
    <mergeCell ref="AD82:AJ84"/>
    <mergeCell ref="V69:AB70"/>
    <mergeCell ref="AD69:AJ70"/>
    <mergeCell ref="AD65:AG65"/>
    <mergeCell ref="V66:AB68"/>
    <mergeCell ref="AD66:AJ68"/>
    <mergeCell ref="V80:AA80"/>
    <mergeCell ref="V81:Y81"/>
    <mergeCell ref="V82:AB84"/>
    <mergeCell ref="V74:AB76"/>
    <mergeCell ref="AD74:AJ76"/>
    <mergeCell ref="V85:AB86"/>
    <mergeCell ref="V64:AA64"/>
    <mergeCell ref="AD64:AI64"/>
    <mergeCell ref="AD85:AJ86"/>
    <mergeCell ref="V77:AB78"/>
    <mergeCell ref="AD77:AJ78"/>
    <mergeCell ref="C55:G55"/>
    <mergeCell ref="M54:O54"/>
    <mergeCell ref="V58:AB60"/>
    <mergeCell ref="AD58:AJ60"/>
    <mergeCell ref="M56:O56"/>
    <mergeCell ref="D64:G64"/>
    <mergeCell ref="AD61:AJ62"/>
    <mergeCell ref="C58:G58"/>
    <mergeCell ref="D57:G57"/>
    <mergeCell ref="D56:G56"/>
    <mergeCell ref="D62:G62"/>
    <mergeCell ref="AD73:AG73"/>
    <mergeCell ref="D60:G60"/>
    <mergeCell ref="M58:O58"/>
    <mergeCell ref="V73:Y73"/>
    <mergeCell ref="D59:G59"/>
    <mergeCell ref="V72:AA72"/>
    <mergeCell ref="AD72:AI72"/>
    <mergeCell ref="L42:O42"/>
    <mergeCell ref="C41:H41"/>
    <mergeCell ref="C43:G44"/>
    <mergeCell ref="H43:H44"/>
    <mergeCell ref="I43:I44"/>
    <mergeCell ref="C54:G54"/>
    <mergeCell ref="AD57:AG57"/>
    <mergeCell ref="C52:G52"/>
    <mergeCell ref="L41:O41"/>
    <mergeCell ref="V57:Y57"/>
    <mergeCell ref="D51:G51"/>
    <mergeCell ref="L50:O50"/>
    <mergeCell ref="V56:AA56"/>
    <mergeCell ref="L43:O43"/>
    <mergeCell ref="AD56:AI56"/>
    <mergeCell ref="C50:G50"/>
    <mergeCell ref="D47:G47"/>
    <mergeCell ref="AD48:AI48"/>
    <mergeCell ref="D53:G53"/>
    <mergeCell ref="C34:D34"/>
    <mergeCell ref="H34:I34"/>
    <mergeCell ref="M34:O34"/>
    <mergeCell ref="C39:F39"/>
    <mergeCell ref="G39:H39"/>
    <mergeCell ref="M39:O39"/>
    <mergeCell ref="V53:AB54"/>
    <mergeCell ref="AD53:AJ54"/>
    <mergeCell ref="D49:G49"/>
    <mergeCell ref="C48:G48"/>
    <mergeCell ref="M47:O47"/>
    <mergeCell ref="V48:AA48"/>
    <mergeCell ref="AD50:AJ52"/>
    <mergeCell ref="V45:AB46"/>
    <mergeCell ref="V50:AB52"/>
    <mergeCell ref="AD49:AG49"/>
    <mergeCell ref="V49:Y49"/>
    <mergeCell ref="D46:G46"/>
    <mergeCell ref="C45:G45"/>
    <mergeCell ref="AD42:AJ44"/>
    <mergeCell ref="AD45:AJ46"/>
    <mergeCell ref="C37:F37"/>
    <mergeCell ref="H37:I37"/>
    <mergeCell ref="M37:O37"/>
    <mergeCell ref="C35:D35"/>
    <mergeCell ref="H35:I35"/>
    <mergeCell ref="N35:O35"/>
    <mergeCell ref="H36:I36"/>
    <mergeCell ref="L36:O36"/>
    <mergeCell ref="C36:D36"/>
    <mergeCell ref="C40:H40"/>
    <mergeCell ref="M40:O40"/>
    <mergeCell ref="M38:O38"/>
    <mergeCell ref="D24:D25"/>
    <mergeCell ref="F24:F25"/>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V38:AJ38"/>
    <mergeCell ref="V42:AB44"/>
    <mergeCell ref="L28:O28"/>
    <mergeCell ref="AA28:AC28"/>
    <mergeCell ref="AD28:AJ28"/>
    <mergeCell ref="AA29:AC29"/>
    <mergeCell ref="AD29:AJ29"/>
    <mergeCell ref="AI32:AJ32"/>
    <mergeCell ref="L26:O26"/>
    <mergeCell ref="V41:Y41"/>
    <mergeCell ref="M29:O29"/>
    <mergeCell ref="AD40:AI40"/>
    <mergeCell ref="K32:O32"/>
    <mergeCell ref="L33:O33"/>
    <mergeCell ref="AD27:AJ27"/>
    <mergeCell ref="V27:W28"/>
    <mergeCell ref="X27:X28"/>
    <mergeCell ref="Y27:Y28"/>
    <mergeCell ref="AA30:AC30"/>
    <mergeCell ref="AE32:AF32"/>
    <mergeCell ref="AG32:AH32"/>
    <mergeCell ref="K27:O27"/>
    <mergeCell ref="V40:AA40"/>
    <mergeCell ref="AD41:AG41"/>
    <mergeCell ref="C22:C23"/>
    <mergeCell ref="D22:D23"/>
    <mergeCell ref="F22:F23"/>
    <mergeCell ref="C20:C21"/>
    <mergeCell ref="D20:D21"/>
    <mergeCell ref="F20:F21"/>
    <mergeCell ref="E20:E21"/>
    <mergeCell ref="E22:E23"/>
    <mergeCell ref="N23:O23"/>
    <mergeCell ref="G20:I21"/>
    <mergeCell ref="G22:I23"/>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AA16:AC16"/>
    <mergeCell ref="AD16:AJ16"/>
    <mergeCell ref="C18:C19"/>
    <mergeCell ref="D18:D19"/>
    <mergeCell ref="F18:F19"/>
    <mergeCell ref="Y17:Y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AD17:AJ17"/>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V9:AJ9"/>
    <mergeCell ref="K10:O11"/>
    <mergeCell ref="P10:P11"/>
    <mergeCell ref="Q10:Q11"/>
    <mergeCell ref="V10:Y10"/>
    <mergeCell ref="AA10:AJ10"/>
    <mergeCell ref="AD11:AJ11"/>
    <mergeCell ref="C10:F10"/>
    <mergeCell ref="G11:I11"/>
    <mergeCell ref="AJ35:AJ36"/>
    <mergeCell ref="V35:W35"/>
    <mergeCell ref="V36:W36"/>
    <mergeCell ref="Z35:AA35"/>
    <mergeCell ref="Z36:AA36"/>
    <mergeCell ref="AD35:AE35"/>
    <mergeCell ref="AD36:AE36"/>
    <mergeCell ref="AH35:AI36"/>
    <mergeCell ref="AA18:AC18"/>
    <mergeCell ref="AD18:AJ18"/>
    <mergeCell ref="AA20:AC20"/>
    <mergeCell ref="AD20:AJ20"/>
    <mergeCell ref="AA21:AC21"/>
    <mergeCell ref="AD21:AJ21"/>
    <mergeCell ref="AA22:AC22"/>
    <mergeCell ref="AD22:AJ22"/>
    <mergeCell ref="V34:X34"/>
    <mergeCell ref="Z34:AB34"/>
    <mergeCell ref="AD34:AF34"/>
    <mergeCell ref="AH34:AJ34"/>
    <mergeCell ref="V19:W20"/>
    <mergeCell ref="X19:X20"/>
    <mergeCell ref="Y19:Y20"/>
    <mergeCell ref="V32:X32"/>
  </mergeCells>
  <phoneticPr fontId="9" type="noConversion"/>
  <conditionalFormatting sqref="Y11:Y20 Y23:Y30">
    <cfRule type="expression" dxfId="2545" priority="264" stopIfTrue="1">
      <formula>X11=0</formula>
    </cfRule>
  </conditionalFormatting>
  <conditionalFormatting sqref="AI32:AJ32">
    <cfRule type="expression" dxfId="2544" priority="171">
      <formula>$Q$37=60</formula>
    </cfRule>
  </conditionalFormatting>
  <conditionalFormatting sqref="AG32:AH32">
    <cfRule type="expression" dxfId="2543" priority="170">
      <formula>$Q$37&gt;=50</formula>
    </cfRule>
  </conditionalFormatting>
  <conditionalFormatting sqref="AE32:AF32">
    <cfRule type="expression" dxfId="2542" priority="169">
      <formula>$Q$37&gt;=40</formula>
    </cfRule>
  </conditionalFormatting>
  <conditionalFormatting sqref="AC32:AD32">
    <cfRule type="expression" dxfId="2541" priority="168">
      <formula>$Q$37&gt;=30</formula>
    </cfRule>
  </conditionalFormatting>
  <conditionalFormatting sqref="AA32:AB32">
    <cfRule type="expression" dxfId="2540" priority="167">
      <formula>$Q$37&gt;=20</formula>
    </cfRule>
  </conditionalFormatting>
  <conditionalFormatting sqref="Y32:Z32">
    <cfRule type="expression" dxfId="2539" priority="166">
      <formula>$Q$37&gt;=10</formula>
    </cfRule>
  </conditionalFormatting>
  <conditionalFormatting sqref="V40">
    <cfRule type="expression" dxfId="2538" priority="162">
      <formula>LEN(V40)&gt;50</formula>
    </cfRule>
  </conditionalFormatting>
  <conditionalFormatting sqref="H29:I37">
    <cfRule type="expression" dxfId="2537" priority="111" stopIfTrue="1">
      <formula>H28=0</formula>
    </cfRule>
  </conditionalFormatting>
  <conditionalFormatting sqref="C58:G58">
    <cfRule type="expression" dxfId="2536" priority="109" stopIfTrue="1">
      <formula>AND(NOT($H$43="-"),$H$58="-")</formula>
    </cfRule>
    <cfRule type="expression" dxfId="2535" priority="110" stopIfTrue="1">
      <formula>$H$58="-"</formula>
    </cfRule>
  </conditionalFormatting>
  <conditionalFormatting sqref="D59:G59">
    <cfRule type="expression" dxfId="2534" priority="108" stopIfTrue="1">
      <formula>AND(NOT($H$58="-"),$H$59="-")</formula>
    </cfRule>
  </conditionalFormatting>
  <conditionalFormatting sqref="D60:G60">
    <cfRule type="expression" dxfId="2533" priority="106" stopIfTrue="1">
      <formula>AND(NOT($H$58="-"),$H$60="-")</formula>
    </cfRule>
    <cfRule type="expression" dxfId="2532" priority="107" stopIfTrue="1">
      <formula>$H$60="-"</formula>
    </cfRule>
  </conditionalFormatting>
  <conditionalFormatting sqref="H28:I28">
    <cfRule type="expression" dxfId="2531" priority="105" stopIfTrue="1">
      <formula>$G$28=0</formula>
    </cfRule>
  </conditionalFormatting>
  <conditionalFormatting sqref="K12:O12">
    <cfRule type="expression" dxfId="2530" priority="104" stopIfTrue="1">
      <formula>AND(NOT($P$10="-"),$P$12="-")</formula>
    </cfRule>
  </conditionalFormatting>
  <conditionalFormatting sqref="L13:O13">
    <cfRule type="expression" dxfId="2529" priority="102" stopIfTrue="1">
      <formula>AND(NOT($P$12="-"),$P$13="-")</formula>
    </cfRule>
    <cfRule type="expression" dxfId="2528" priority="103" stopIfTrue="1">
      <formula>$P$13="-"</formula>
    </cfRule>
  </conditionalFormatting>
  <conditionalFormatting sqref="M14:O14">
    <cfRule type="expression" dxfId="2527" priority="101" stopIfTrue="1">
      <formula>AND(NOT($P$13="-"),$P$14="-")</formula>
    </cfRule>
  </conditionalFormatting>
  <conditionalFormatting sqref="L15:O15">
    <cfRule type="expression" dxfId="2526" priority="100" stopIfTrue="1">
      <formula>AND(NOT($P$12="-"),$P$15="-")</formula>
    </cfRule>
  </conditionalFormatting>
  <conditionalFormatting sqref="L16:O16">
    <cfRule type="expression" dxfId="2525" priority="98" stopIfTrue="1">
      <formula>AND(NOT($P$12="-"),$P$16="-")</formula>
    </cfRule>
    <cfRule type="expression" dxfId="2524" priority="99" stopIfTrue="1">
      <formula>$P$16="-"</formula>
    </cfRule>
  </conditionalFormatting>
  <conditionalFormatting sqref="M18:O18">
    <cfRule type="expression" dxfId="2523" priority="97" stopIfTrue="1">
      <formula>AND(NOT($P$16="-"),$P$18="-")</formula>
    </cfRule>
  </conditionalFormatting>
  <conditionalFormatting sqref="N19:O19">
    <cfRule type="expression" dxfId="2522" priority="96" stopIfTrue="1">
      <formula>AND(NOT($P$18="-"),$P$19="-")</formula>
    </cfRule>
  </conditionalFormatting>
  <conditionalFormatting sqref="M20:O20">
    <cfRule type="expression" dxfId="2521" priority="95" stopIfTrue="1">
      <formula>AND(NOT($P$16="-"),$P$20="-")</formula>
    </cfRule>
  </conditionalFormatting>
  <conditionalFormatting sqref="N21:O21">
    <cfRule type="expression" dxfId="2520" priority="94" stopIfTrue="1">
      <formula>AND(NOT($P$20="-"),$P$21="-")</formula>
    </cfRule>
  </conditionalFormatting>
  <conditionalFormatting sqref="N22:O22">
    <cfRule type="expression" dxfId="2519" priority="93" stopIfTrue="1">
      <formula>AND(NOT($P$21="-"),$P$22="-")</formula>
    </cfRule>
  </conditionalFormatting>
  <conditionalFormatting sqref="N23:O23">
    <cfRule type="expression" dxfId="2518" priority="92" stopIfTrue="1">
      <formula>AND(NOT($P$20="-"),$P$23="-")</formula>
    </cfRule>
  </conditionalFormatting>
  <conditionalFormatting sqref="N24:O24">
    <cfRule type="expression" dxfId="2517" priority="91" stopIfTrue="1">
      <formula>AND(NOT($P$23="-"),$P$24="-")</formula>
    </cfRule>
  </conditionalFormatting>
  <conditionalFormatting sqref="M17:O17">
    <cfRule type="expression" dxfId="2516" priority="90" stopIfTrue="1">
      <formula>AND(NOT($P$16="-"),$P$17="-")</formula>
    </cfRule>
  </conditionalFormatting>
  <conditionalFormatting sqref="L25:O25">
    <cfRule type="expression" dxfId="2515" priority="89" stopIfTrue="1">
      <formula>AND(NOT($P$12="-"),$P$25="-")</formula>
    </cfRule>
  </conditionalFormatting>
  <conditionalFormatting sqref="L26:O26">
    <cfRule type="expression" dxfId="2514" priority="88" stopIfTrue="1">
      <formula>AND(NOT($P$12="-"),$P$26="-")</formula>
    </cfRule>
  </conditionalFormatting>
  <conditionalFormatting sqref="K27:O27">
    <cfRule type="expression" dxfId="2513" priority="87" stopIfTrue="1">
      <formula>AND(NOT($P$10="-"),$P$27="-")</formula>
    </cfRule>
  </conditionalFormatting>
  <conditionalFormatting sqref="L28:O28">
    <cfRule type="expression" dxfId="2512" priority="86" stopIfTrue="1">
      <formula>AND(NOT($P$27="-"),$P$28="-")</formula>
    </cfRule>
  </conditionalFormatting>
  <conditionalFormatting sqref="M29:O29">
    <cfRule type="expression" dxfId="2511" priority="85" stopIfTrue="1">
      <formula>AND(NOT($P$28="-"),$P$29="-")</formula>
    </cfRule>
  </conditionalFormatting>
  <conditionalFormatting sqref="N30:O30">
    <cfRule type="expression" dxfId="2510" priority="84" stopIfTrue="1">
      <formula>AND(NOT($P$28="-"),$P$30="-")</formula>
    </cfRule>
  </conditionalFormatting>
  <conditionalFormatting sqref="M31:O31">
    <cfRule type="expression" dxfId="2509" priority="28" stopIfTrue="1">
      <formula>AND(NOT($P$28="-"),$P$31="-")</formula>
    </cfRule>
    <cfRule type="expression" dxfId="2508" priority="83">
      <formula>$P$31="-"</formula>
    </cfRule>
  </conditionalFormatting>
  <conditionalFormatting sqref="K32:O32">
    <cfRule type="expression" dxfId="2507" priority="82" stopIfTrue="1">
      <formula>AND(NOT($P$10="-"),$P$32="-")</formula>
    </cfRule>
  </conditionalFormatting>
  <conditionalFormatting sqref="L33:O33">
    <cfRule type="expression" dxfId="2506" priority="80" stopIfTrue="1">
      <formula>AND(NOT($P$32="-"),$P$33="-")</formula>
    </cfRule>
    <cfRule type="expression" dxfId="2505" priority="81" stopIfTrue="1">
      <formula>$P$33="-"</formula>
    </cfRule>
  </conditionalFormatting>
  <conditionalFormatting sqref="M37:O37">
    <cfRule type="expression" dxfId="2504" priority="27" stopIfTrue="1">
      <formula>AND(NOT($P$36="-"),$P$37="-")</formula>
    </cfRule>
    <cfRule type="expression" dxfId="2503" priority="79">
      <formula>$P$37="-"</formula>
    </cfRule>
  </conditionalFormatting>
  <conditionalFormatting sqref="M38:O38">
    <cfRule type="expression" dxfId="2502" priority="77" stopIfTrue="1">
      <formula>AND(NOT($P$36="-"),$P$38="-")</formula>
    </cfRule>
    <cfRule type="expression" dxfId="2501" priority="78" stopIfTrue="1">
      <formula>$P$38="-"</formula>
    </cfRule>
  </conditionalFormatting>
  <conditionalFormatting sqref="M40:O40">
    <cfRule type="expression" dxfId="2500" priority="75" stopIfTrue="1">
      <formula>AND(NOT($P$36="-"),$P$40="-")</formula>
    </cfRule>
    <cfRule type="expression" dxfId="2499" priority="76" stopIfTrue="1">
      <formula>$P$40="-"</formula>
    </cfRule>
  </conditionalFormatting>
  <conditionalFormatting sqref="L41:O41">
    <cfRule type="expression" dxfId="2498" priority="74" stopIfTrue="1">
      <formula>AND(NOT($P$32="-"),$P$41="-")</formula>
    </cfRule>
  </conditionalFormatting>
  <conditionalFormatting sqref="L42:O42">
    <cfRule type="expression" dxfId="2497" priority="73" stopIfTrue="1">
      <formula>AND(NOT($P$32="-"),$P$42="-")</formula>
    </cfRule>
  </conditionalFormatting>
  <conditionalFormatting sqref="L43:O43">
    <cfRule type="expression" dxfId="2496" priority="72" stopIfTrue="1">
      <formula>AND(NOT($P$32="-"),$P$43="-")</formula>
    </cfRule>
  </conditionalFormatting>
  <conditionalFormatting sqref="K45:O45">
    <cfRule type="expression" dxfId="2495" priority="71" stopIfTrue="1">
      <formula>AND(NOT($P$10="-"),$P$45="-")</formula>
    </cfRule>
  </conditionalFormatting>
  <conditionalFormatting sqref="L46:O46">
    <cfRule type="expression" dxfId="2494" priority="70" stopIfTrue="1">
      <formula>AND(NOT($P$45="-"),$P$46="-")</formula>
    </cfRule>
  </conditionalFormatting>
  <conditionalFormatting sqref="M47:O47">
    <cfRule type="expression" dxfId="2493" priority="69" stopIfTrue="1">
      <formula>AND(NOT($P$46="-"),$P$47="-")</formula>
    </cfRule>
  </conditionalFormatting>
  <conditionalFormatting sqref="M48:O48">
    <cfRule type="expression" dxfId="2492" priority="68" stopIfTrue="1">
      <formula>AND(NOT($P$46="-"),$P$48="-")</formula>
    </cfRule>
  </conditionalFormatting>
  <conditionalFormatting sqref="L49:O49">
    <cfRule type="expression" dxfId="2491" priority="67" stopIfTrue="1">
      <formula>AND(NOT($P$45="-"),$P$49="-")</formula>
    </cfRule>
  </conditionalFormatting>
  <conditionalFormatting sqref="K51:O51">
    <cfRule type="expression" dxfId="2490" priority="66" stopIfTrue="1">
      <formula>AND(NOT($P$10="-"),$P$51="-")</formula>
    </cfRule>
  </conditionalFormatting>
  <conditionalFormatting sqref="L52:O52">
    <cfRule type="expression" dxfId="2489" priority="26" stopIfTrue="1">
      <formula>AND(NOT($P$51="-"),Raza&lt;&gt;"D'Anjayni",Nephilim&lt;&gt;"Nephilim D'Anjayni",$P$52="-")</formula>
    </cfRule>
    <cfRule type="expression" dxfId="2488" priority="65">
      <formula>$P$52="-"</formula>
    </cfRule>
  </conditionalFormatting>
  <conditionalFormatting sqref="M53:O54">
    <cfRule type="expression" dxfId="2487" priority="64" stopIfTrue="1">
      <formula>AND(NOT(OcultacióndelKi),$P53="-")</formula>
    </cfRule>
  </conditionalFormatting>
  <conditionalFormatting sqref="L55:O55">
    <cfRule type="expression" dxfId="2486" priority="63" stopIfTrue="1">
      <formula>AND(NOT($P$51="-"),$P$55="-")</formula>
    </cfRule>
  </conditionalFormatting>
  <conditionalFormatting sqref="M56:O56">
    <cfRule type="expression" dxfId="2485" priority="62" stopIfTrue="1">
      <formula>AND(NOT($P$55="-"),$P$56="-")</formula>
    </cfRule>
  </conditionalFormatting>
  <conditionalFormatting sqref="M57:O57">
    <cfRule type="expression" dxfId="2484" priority="61" stopIfTrue="1">
      <formula>AND(NOT($P$55="-"),$P$57="-")</formula>
    </cfRule>
  </conditionalFormatting>
  <conditionalFormatting sqref="M58:O58">
    <cfRule type="expression" dxfId="2483" priority="60" stopIfTrue="1">
      <formula>AND(NOT($P$55="-"),$P$58="-")</formula>
    </cfRule>
  </conditionalFormatting>
  <conditionalFormatting sqref="L59:O59">
    <cfRule type="expression" dxfId="2482" priority="58" stopIfTrue="1">
      <formula>AND(NOT($P$51="-"),$P$59="-")</formula>
    </cfRule>
    <cfRule type="expression" dxfId="2481" priority="59" stopIfTrue="1">
      <formula>$P$59="-"</formula>
    </cfRule>
  </conditionalFormatting>
  <conditionalFormatting sqref="M60:O60">
    <cfRule type="expression" dxfId="2480" priority="57" stopIfTrue="1">
      <formula>AND(NOT($P$59="-"),$P$60="-")</formula>
    </cfRule>
  </conditionalFormatting>
  <conditionalFormatting sqref="N61:O61">
    <cfRule type="expression" dxfId="2479" priority="56" stopIfTrue="1">
      <formula>AND(NOT($P$59="-"),$P$61="-")</formula>
    </cfRule>
  </conditionalFormatting>
  <conditionalFormatting sqref="L62:O62">
    <cfRule type="expression" dxfId="2478" priority="55" stopIfTrue="1">
      <formula>AND(NOT($P$51="-"),$P$62="-")</formula>
    </cfRule>
  </conditionalFormatting>
  <conditionalFormatting sqref="M63:O63">
    <cfRule type="expression" dxfId="2477" priority="54" stopIfTrue="1">
      <formula>AND(NOT($P$62="-"),$P$63="-")</formula>
    </cfRule>
  </conditionalFormatting>
  <conditionalFormatting sqref="K64:O64">
    <cfRule type="expression" dxfId="2476" priority="53" stopIfTrue="1">
      <formula>AND(NOT($P$10="-"),$P$64="-")</formula>
    </cfRule>
  </conditionalFormatting>
  <conditionalFormatting sqref="C45:G45">
    <cfRule type="expression" dxfId="2475" priority="52" stopIfTrue="1">
      <formula>AND(NOT($H$43="-"),$H$45="-")</formula>
    </cfRule>
  </conditionalFormatting>
  <conditionalFormatting sqref="D46:G46">
    <cfRule type="expression" dxfId="2474" priority="51" stopIfTrue="1">
      <formula>AND(NOT($H$45="-"),$H$46="-")</formula>
    </cfRule>
  </conditionalFormatting>
  <conditionalFormatting sqref="C48:G48">
    <cfRule type="expression" dxfId="2473" priority="50" stopIfTrue="1">
      <formula>AND(NOT($H$43="-"),$H$48="-")</formula>
    </cfRule>
  </conditionalFormatting>
  <conditionalFormatting sqref="D71:G71 D49:G49 D69:G69">
    <cfRule type="expression" dxfId="2472" priority="49" stopIfTrue="1">
      <formula>AND(NOT($H$70="-"),$H$71="-")</formula>
    </cfRule>
  </conditionalFormatting>
  <conditionalFormatting sqref="C50:G50">
    <cfRule type="expression" dxfId="2471" priority="48" stopIfTrue="1">
      <formula>AND(NOT($H$43="-"),$H$50="-")</formula>
    </cfRule>
  </conditionalFormatting>
  <conditionalFormatting sqref="D51:G51">
    <cfRule type="expression" dxfId="2470" priority="47" stopIfTrue="1">
      <formula>AND(NOT($H$50="-"),$H$51="-")</formula>
    </cfRule>
  </conditionalFormatting>
  <conditionalFormatting sqref="C52:G52">
    <cfRule type="expression" dxfId="2469" priority="46" stopIfTrue="1">
      <formula>AND(NOT($H$43="-"),$H$52="-")</formula>
    </cfRule>
  </conditionalFormatting>
  <conditionalFormatting sqref="D53:G53">
    <cfRule type="expression" dxfId="2468" priority="45" stopIfTrue="1">
      <formula>AND(NOT($H$52="-"),$H$53="-")</formula>
    </cfRule>
  </conditionalFormatting>
  <conditionalFormatting sqref="C54:G54">
    <cfRule type="expression" dxfId="2467" priority="44" stopIfTrue="1">
      <formula>AND(NOT($H$43="-"),$H$54="-")</formula>
    </cfRule>
  </conditionalFormatting>
  <conditionalFormatting sqref="C55:G55">
    <cfRule type="expression" dxfId="2466" priority="43" stopIfTrue="1">
      <formula>AND(NOT($H$43="-"),$H$55="-")</formula>
    </cfRule>
  </conditionalFormatting>
  <conditionalFormatting sqref="D64:G64">
    <cfRule type="expression" dxfId="2465" priority="42" stopIfTrue="1">
      <formula>AND(NOT($H$58="-"),$H$64="-")</formula>
    </cfRule>
  </conditionalFormatting>
  <conditionalFormatting sqref="E65:G65 E73:G73 E61:G61">
    <cfRule type="expression" dxfId="2464" priority="41" stopIfTrue="1">
      <formula>AND(NOT($H$64="-"),$H$65="-")</formula>
    </cfRule>
  </conditionalFormatting>
  <conditionalFormatting sqref="I39">
    <cfRule type="cellIs" dxfId="2463" priority="40" stopIfTrue="1" operator="lessThan">
      <formula>0</formula>
    </cfRule>
  </conditionalFormatting>
  <conditionalFormatting sqref="C66:G66">
    <cfRule type="expression" dxfId="2462" priority="39" stopIfTrue="1">
      <formula>AND(NOT($H$43="-"),$H$66="-")</formula>
    </cfRule>
  </conditionalFormatting>
  <conditionalFormatting sqref="C68:G68 C70:G70">
    <cfRule type="expression" dxfId="2461" priority="38" stopIfTrue="1">
      <formula>AND(NOT($H$43="-"),$H$68="-")</formula>
    </cfRule>
  </conditionalFormatting>
  <conditionalFormatting sqref="E29:F30">
    <cfRule type="cellIs" dxfId="2460" priority="37" stopIfTrue="1" operator="greaterThan">
      <formula>$C$29</formula>
    </cfRule>
  </conditionalFormatting>
  <conditionalFormatting sqref="M34:O34">
    <cfRule type="expression" dxfId="2459" priority="36" stopIfTrue="1">
      <formula>AND(NOT($P$33="-"),$P$34="-")</formula>
    </cfRule>
  </conditionalFormatting>
  <conditionalFormatting sqref="N35:O35">
    <cfRule type="expression" dxfId="2458" priority="34" stopIfTrue="1">
      <formula>AND(NOT($P$34="-"),$P$35="-")</formula>
    </cfRule>
    <cfRule type="expression" dxfId="2457" priority="35" stopIfTrue="1">
      <formula>$P$35="-"</formula>
    </cfRule>
  </conditionalFormatting>
  <conditionalFormatting sqref="L36:O36">
    <cfRule type="expression" dxfId="2456" priority="32" stopIfTrue="1">
      <formula>AND(NOT($P$32="-"),$P$36="-")</formula>
    </cfRule>
    <cfRule type="expression" dxfId="2455" priority="33" stopIfTrue="1">
      <formula>AND($P$36="-",$M$39="Alcance incrementado")</formula>
    </cfRule>
  </conditionalFormatting>
  <conditionalFormatting sqref="M39:O39">
    <cfRule type="expression" dxfId="2454" priority="30" stopIfTrue="1">
      <formula>AND(NOT($P$36="-"),$P$39="-")</formula>
    </cfRule>
    <cfRule type="expression" dxfId="2453" priority="31" stopIfTrue="1">
      <formula>AND($P$39="-",$M$39="Aura incrementada")</formula>
    </cfRule>
  </conditionalFormatting>
  <conditionalFormatting sqref="D57:G57">
    <cfRule type="expression" dxfId="2452" priority="29" stopIfTrue="1">
      <formula>AND(OR(NOT($H$55="-"),NOT($H$58="-")),$H$57="-")</formula>
    </cfRule>
  </conditionalFormatting>
  <conditionalFormatting sqref="K65:O65">
    <cfRule type="expression" dxfId="2451" priority="112" stopIfTrue="1">
      <formula>AND(NOT($P$10="-"),$P$65="-",NOT($B$63=1))</formula>
    </cfRule>
    <cfRule type="expression" dxfId="2450" priority="113" stopIfTrue="1">
      <formula>$P$65="-"</formula>
    </cfRule>
  </conditionalFormatting>
  <conditionalFormatting sqref="C74:G74">
    <cfRule type="expression" dxfId="2449" priority="114" stopIfTrue="1">
      <formula>AND(NOT($H$43="-"),$H$74="-",NOT($B$63=1))</formula>
    </cfRule>
    <cfRule type="expression" dxfId="2448" priority="115" stopIfTrue="1">
      <formula>$H$74="-"</formula>
    </cfRule>
  </conditionalFormatting>
  <conditionalFormatting sqref="D75:G75">
    <cfRule type="expression" dxfId="2447" priority="116" stopIfTrue="1">
      <formula>AND(NOT($H$74="-"),$H$75="-",NOT($B$64=1))</formula>
    </cfRule>
    <cfRule type="expression" dxfId="2446" priority="117" stopIfTrue="1">
      <formula>$H$75="-"</formula>
    </cfRule>
  </conditionalFormatting>
  <conditionalFormatting sqref="D62:G62">
    <cfRule type="expression" dxfId="2445" priority="25" stopIfTrue="1">
      <formula>AND(NOT($H$58="-"),$H$62="-")</formula>
    </cfRule>
  </conditionalFormatting>
  <conditionalFormatting sqref="D56:G56">
    <cfRule type="expression" dxfId="2444" priority="24" stopIfTrue="1">
      <formula>AND(NOT($H$55="-"),$H$56="-")</formula>
    </cfRule>
  </conditionalFormatting>
  <conditionalFormatting sqref="D67:G67">
    <cfRule type="expression" dxfId="2443" priority="23" stopIfTrue="1">
      <formula>AND(NOT($H$66="-"),$H$67="-")</formula>
    </cfRule>
  </conditionalFormatting>
  <conditionalFormatting sqref="E72:G72">
    <cfRule type="expression" dxfId="2442" priority="22" stopIfTrue="1">
      <formula>AND(NOT($H$71="-"),$H$72="-")</formula>
    </cfRule>
  </conditionalFormatting>
  <conditionalFormatting sqref="D47:G47">
    <cfRule type="expression" dxfId="2441" priority="21">
      <formula>AND(NOT($H$45="-"),$H$47="-")</formula>
    </cfRule>
  </conditionalFormatting>
  <conditionalFormatting sqref="E73:G73">
    <cfRule type="expression" dxfId="2440" priority="20">
      <formula>AND(NOT($H$71="-"),$H$73="-")</formula>
    </cfRule>
  </conditionalFormatting>
  <conditionalFormatting sqref="K70:Q70">
    <cfRule type="expression" dxfId="2439" priority="19">
      <formula>$Q$68&gt;299</formula>
    </cfRule>
  </conditionalFormatting>
  <conditionalFormatting sqref="K71:Q71">
    <cfRule type="expression" dxfId="2438" priority="18">
      <formula>$Q$68&gt;399</formula>
    </cfRule>
  </conditionalFormatting>
  <conditionalFormatting sqref="K72:Q72">
    <cfRule type="expression" dxfId="2437" priority="17">
      <formula>$Q$68&gt;499</formula>
    </cfRule>
  </conditionalFormatting>
  <conditionalFormatting sqref="L66:O66">
    <cfRule type="expression" dxfId="2436" priority="118" stopIfTrue="1">
      <formula>AND(NOT($P$65="-"),$P$66="-",NOT($B$64=1))</formula>
    </cfRule>
    <cfRule type="expression" dxfId="2435" priority="119" stopIfTrue="1">
      <formula>$P$66="-"</formula>
    </cfRule>
  </conditionalFormatting>
  <conditionalFormatting sqref="M44:O44">
    <cfRule type="expression" dxfId="2434" priority="15" stopIfTrue="1">
      <formula>AND(NOT($P$43="-"),$P$44="-")</formula>
    </cfRule>
    <cfRule type="expression" dxfId="2433" priority="16" stopIfTrue="1">
      <formula>$P$40="-"</formula>
    </cfRule>
  </conditionalFormatting>
  <conditionalFormatting sqref="L50:O50">
    <cfRule type="expression" dxfId="2432" priority="14" stopIfTrue="1">
      <formula>AND(NOT($P$45="-"),$P$50="-")</formula>
    </cfRule>
  </conditionalFormatting>
  <conditionalFormatting sqref="E63:G63">
    <cfRule type="expression" dxfId="2431" priority="12" stopIfTrue="1">
      <formula>AND(NOT($H$62="-"),$H$63="-")</formula>
    </cfRule>
  </conditionalFormatting>
  <conditionalFormatting sqref="AD40">
    <cfRule type="expression" dxfId="2430" priority="11">
      <formula>LEN(AD40)&gt;50</formula>
    </cfRule>
  </conditionalFormatting>
  <conditionalFormatting sqref="V48">
    <cfRule type="expression" dxfId="2429" priority="10">
      <formula>LEN(V48)&gt;50</formula>
    </cfRule>
  </conditionalFormatting>
  <conditionalFormatting sqref="AD48">
    <cfRule type="expression" dxfId="2428" priority="9">
      <formula>LEN(AD48)&gt;50</formula>
    </cfRule>
  </conditionalFormatting>
  <conditionalFormatting sqref="V56">
    <cfRule type="expression" dxfId="2427" priority="8">
      <formula>LEN(V56)&gt;50</formula>
    </cfRule>
  </conditionalFormatting>
  <conditionalFormatting sqref="AD56">
    <cfRule type="expression" dxfId="2426" priority="7">
      <formula>LEN(AD56)&gt;50</formula>
    </cfRule>
  </conditionalFormatting>
  <conditionalFormatting sqref="V64">
    <cfRule type="expression" dxfId="2425" priority="6">
      <formula>LEN(V64)&gt;50</formula>
    </cfRule>
  </conditionalFormatting>
  <conditionalFormatting sqref="AD64">
    <cfRule type="expression" dxfId="2424" priority="5">
      <formula>LEN(AD64)&gt;50</formula>
    </cfRule>
  </conditionalFormatting>
  <conditionalFormatting sqref="V72">
    <cfRule type="expression" dxfId="2423" priority="4">
      <formula>LEN(V72)&gt;50</formula>
    </cfRule>
  </conditionalFormatting>
  <conditionalFormatting sqref="AD72">
    <cfRule type="expression" dxfId="2422" priority="3">
      <formula>LEN(AD72)&gt;50</formula>
    </cfRule>
  </conditionalFormatting>
  <conditionalFormatting sqref="V80">
    <cfRule type="expression" dxfId="2421" priority="2">
      <formula>LEN(V80)&gt;50</formula>
    </cfRule>
  </conditionalFormatting>
  <conditionalFormatting sqref="AD80">
    <cfRule type="expression" dxfId="2420" priority="1">
      <formula>LEN(AD80)&gt;50</formula>
    </cfRule>
  </conditionalFormatting>
  <dataValidations count="29">
    <dataValidation type="list" allowBlank="1" showInputMessage="1" showErrorMessage="1" sqref="I66 I52 I50 Q65 Q42 Q22 I63 Q18 Q12 I54:I55 I57 I46:I48 I61 Q24" xr:uid="{480A16DC-D075-4E86-8967-092CBE98C9EF}">
      <formula1>"30"</formula1>
    </dataValidation>
    <dataValidation type="list" allowBlank="1" showInputMessage="1" showErrorMessage="1" sqref="Q14 I58:I59 Q61 Q43:Q49 Q32:Q36 Q29 Q27 I68:I72 I62 Q16:Q17 Q51:Q55 Q38 Q40" xr:uid="{0FDF49EA-A157-4979-94F8-519BAEC09846}">
      <formula1>"10"</formula1>
    </dataValidation>
    <dataValidation type="list" allowBlank="1" showInputMessage="1" showErrorMessage="1" sqref="Q28 Q26 I56 Q19 Q13 I45 I74 I53 I51 I49 Q62:Q63 Q56:Q60 Q41 Q30:Q31 I67 I60 I64 Q50 Q20 Q21 Q23" xr:uid="{1BE1237B-2591-4F97-A9E2-E0C5E0B96B92}">
      <formula1>"20"</formula1>
    </dataValidation>
    <dataValidation type="list" allowBlank="1" showInputMessage="1" showErrorMessage="1" sqref="Q64 Q25 Q66" xr:uid="{B0D30D00-37DE-451E-8A05-6085C7B391E0}">
      <formula1>"50"</formula1>
    </dataValidation>
    <dataValidation type="list" allowBlank="1" showInputMessage="1" showErrorMessage="1" sqref="Q15 I65 I75 I73" xr:uid="{EAADCB85-1895-4180-BF8F-6E9669E4AEF7}">
      <formula1>"40"</formula1>
    </dataValidation>
    <dataValidation type="list" allowBlank="1" showInputMessage="1" showErrorMessage="1" sqref="Q37" xr:uid="{CDB0E04E-6543-46C5-986A-DCE8731A8E96}">
      <formula1>"10,20,30,40,50,60"</formula1>
    </dataValidation>
    <dataValidation type="list" allowBlank="1" showInputMessage="1" showErrorMessage="1" sqref="I43:I44" xr:uid="{32CFC35D-CACE-4D23-BD53-896594B058FF}">
      <formula1>"70"</formula1>
    </dataValidation>
    <dataValidation type="list" allowBlank="1" showInputMessage="1" showErrorMessage="1" sqref="H28:I28" xr:uid="{CB6F47A5-D2C7-46AA-9973-3CD2E22A13DA}">
      <formula1>"Ejad"</formula1>
    </dataValidation>
    <dataValidation type="list" allowBlank="1" showInputMessage="1" showErrorMessage="1" sqref="H29:I29" xr:uid="{6C253EBC-3D1C-40BC-9345-E00919056673}">
      <formula1>"Shenayim"</formula1>
    </dataValidation>
    <dataValidation type="list" allowBlank="1" showInputMessage="1" showErrorMessage="1" sqref="H30:I30" xr:uid="{4D8375E0-1494-488E-B359-626A1E0CCBE0}">
      <formula1>"Shelosh"</formula1>
    </dataValidation>
    <dataValidation type="list" allowBlank="1" showInputMessage="1" showErrorMessage="1" sqref="H31:I31" xr:uid="{E4C634B4-14D2-4C5C-B97F-6A4D9BA45457}">
      <formula1>"Arvah"</formula1>
    </dataValidation>
    <dataValidation type="list" allowBlank="1" showInputMessage="1" showErrorMessage="1" sqref="H32:I32" xr:uid="{832687EB-DD66-4E68-B09C-A76BEB777A4B}">
      <formula1>"Hamesh"</formula1>
    </dataValidation>
    <dataValidation type="list" allowBlank="1" showInputMessage="1" showErrorMessage="1" sqref="H33:I33" xr:uid="{34399E1C-DBC2-45AC-8334-8B0BF4767CFA}">
      <formula1>"Shesh"</formula1>
    </dataValidation>
    <dataValidation type="list" allowBlank="1" showInputMessage="1" showErrorMessage="1" sqref="H34:I34" xr:uid="{BEADDDDB-6603-4D91-8CE8-1E373171324D}">
      <formula1>"Sheva"</formula1>
    </dataValidation>
    <dataValidation type="list" allowBlank="1" showInputMessage="1" showErrorMessage="1" sqref="H35:I35" xr:uid="{281637D6-CEBD-4A6C-8424-31FA4BF18DFA}">
      <formula1>"Shemone"</formula1>
    </dataValidation>
    <dataValidation type="list" allowBlank="1" showInputMessage="1" showErrorMessage="1" sqref="H36:I36" xr:uid="{90D873E5-4FCD-44F9-9C37-86894333E326}">
      <formula1>"Tisha"</formula1>
    </dataValidation>
    <dataValidation type="list" allowBlank="1" showInputMessage="1" showErrorMessage="1" sqref="H37:I37" xr:uid="{8510FEB3-DCD8-4B3B-A151-CF43994E547A}">
      <formula1>"Eser"</formula1>
    </dataValidation>
    <dataValidation type="list" operator="equal" allowBlank="1" showInputMessage="1" showErrorMessage="1" sqref="Q10:Q11" xr:uid="{5578063A-7D88-43B8-A988-CD30EDDDA687}">
      <formula1>"40"</formula1>
    </dataValidation>
    <dataValidation type="list" allowBlank="1" showInputMessage="1" showErrorMessage="1" sqref="C40:H41" xr:uid="{D171C395-14C1-45FE-9E9F-EF36F85F9A9F}">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3927AFA0-F14A-474F-9B82-1792714E79EE}">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 type="list" allowBlank="1" showInputMessage="1" showErrorMessage="1" sqref="Q39" xr:uid="{54A30B97-54F1-42BB-81B6-9D200F72C780}">
      <formula1>$A$1:$A$4</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57CD1B1-44AA-4E6E-9F45-A5A38C8CC97E}">
          <x14:formula1>
            <xm:f>'Tablas Técnicas'!$C$686:$C$935</xm:f>
          </x14:formula1>
          <xm:sqref>V40:AA40 V72:AA72 AD72:AI72 AD40:AI40 V48:AA48 AD48:AI48 V56:AA56 AD56:AI56 V64:AA64 AD64:AI64 V80:AA80 AD80:AI80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BR354"/>
  <sheetViews>
    <sheetView zoomScaleNormal="100" zoomScaleSheetLayoutView="100" workbookViewId="0">
      <selection activeCell="D12" sqref="D12:N13"/>
    </sheetView>
  </sheetViews>
  <sheetFormatPr baseColWidth="10" defaultColWidth="5.7109375" defaultRowHeight="12.2" customHeight="1"/>
  <cols>
    <col min="1" max="1" width="2.7109375" style="1716" customWidth="1"/>
    <col min="2" max="2" width="3" style="1868" customWidth="1"/>
    <col min="3" max="3" width="5.7109375" style="1716" customWidth="1"/>
    <col min="4" max="4" width="5.7109375" style="1718" customWidth="1"/>
    <col min="5" max="25" width="5.7109375" style="1716" customWidth="1"/>
    <col min="26" max="26" width="6" style="1716" bestFit="1" customWidth="1"/>
    <col min="27" max="33" width="5.7109375" style="1716" customWidth="1"/>
    <col min="34" max="34" width="3" style="1868" customWidth="1"/>
    <col min="35" max="35" width="2.7109375" style="1714" customWidth="1"/>
    <col min="36" max="42" width="5.7109375" style="1714" customWidth="1"/>
    <col min="43" max="43" width="5.7109375" style="1715" customWidth="1"/>
    <col min="44" max="49" width="5.7109375" style="1716" customWidth="1"/>
    <col min="50" max="50" width="5" style="1716" customWidth="1"/>
    <col min="51" max="51" width="5.7109375" style="1714" customWidth="1"/>
    <col min="52" max="16384" width="5.7109375" style="1716"/>
  </cols>
  <sheetData>
    <row r="1" spans="1:70" ht="12.2" customHeight="1" thickBot="1">
      <c r="A1" s="1712"/>
      <c r="B1" s="1864"/>
      <c r="C1" s="1712"/>
      <c r="D1" s="1712"/>
      <c r="E1" s="1713"/>
      <c r="F1" s="1712"/>
      <c r="G1" s="1712"/>
      <c r="H1" s="1712"/>
      <c r="I1" s="1712"/>
      <c r="J1" s="1712"/>
      <c r="K1" s="1712"/>
      <c r="L1" s="1712"/>
      <c r="M1" s="1712"/>
      <c r="N1" s="1712"/>
      <c r="O1" s="1712"/>
      <c r="P1" s="1712"/>
      <c r="Q1" s="1712"/>
      <c r="R1" s="1712"/>
      <c r="S1" s="1712"/>
      <c r="T1" s="1712"/>
      <c r="U1" s="1712"/>
      <c r="V1" s="1712"/>
      <c r="W1" s="1712"/>
      <c r="X1" s="1712"/>
      <c r="Y1" s="1712"/>
      <c r="Z1" s="1712"/>
      <c r="AA1" s="1712"/>
      <c r="AB1" s="1712"/>
      <c r="AC1" s="1712"/>
      <c r="AD1" s="1712"/>
      <c r="AE1" s="1712"/>
      <c r="AF1" s="1712"/>
      <c r="AG1" s="1712"/>
      <c r="AH1" s="1864"/>
      <c r="AI1" s="1712"/>
      <c r="AJ1" s="3986" t="s">
        <v>8292</v>
      </c>
      <c r="AK1" s="3986"/>
      <c r="AL1" s="3986"/>
      <c r="AM1" s="3986"/>
      <c r="AN1" s="3986"/>
      <c r="AO1" s="3986"/>
      <c r="AP1" s="3986"/>
      <c r="AQ1" s="3986"/>
      <c r="AR1" s="3987"/>
      <c r="AS1" s="3987"/>
      <c r="AT1" s="3987"/>
      <c r="AU1" s="1868"/>
      <c r="AV1" s="1868"/>
      <c r="AW1" s="1868"/>
      <c r="AX1" s="1868"/>
      <c r="AY1" s="3986"/>
      <c r="AZ1" s="1868"/>
      <c r="BA1" s="1868"/>
      <c r="BB1" s="1868"/>
      <c r="BC1" s="1868"/>
      <c r="BD1" s="1868"/>
      <c r="BE1" s="1868"/>
      <c r="BF1" s="1868"/>
      <c r="BG1" s="1868"/>
      <c r="BH1" s="1868"/>
      <c r="BI1" s="1868"/>
      <c r="BJ1" s="1868"/>
      <c r="BK1" s="1868"/>
      <c r="BL1" s="1868"/>
      <c r="BM1" s="1868"/>
      <c r="BN1" s="1868"/>
      <c r="BO1" s="1868"/>
      <c r="BP1" s="1868"/>
      <c r="BQ1" s="1868"/>
      <c r="BR1" s="1868"/>
    </row>
    <row r="2" spans="1:70" ht="12.2" customHeight="1" thickBot="1">
      <c r="A2" s="1935"/>
      <c r="B2" s="1865"/>
      <c r="C2" s="1811"/>
      <c r="D2" s="1811"/>
      <c r="E2" s="1717"/>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942"/>
      <c r="AI2" s="1712"/>
      <c r="AJ2" s="3988" t="s">
        <v>8840</v>
      </c>
      <c r="AK2" s="3986"/>
      <c r="AL2" s="3986"/>
      <c r="AM2" s="3986"/>
      <c r="AN2" s="3986"/>
      <c r="AO2" s="3986"/>
      <c r="AP2" s="3986"/>
      <c r="AQ2" s="3986"/>
      <c r="AR2" s="3987"/>
      <c r="AS2" s="3987"/>
      <c r="AT2" s="3987"/>
      <c r="AU2" s="1868"/>
      <c r="AV2" s="1868"/>
      <c r="AW2" s="1868"/>
      <c r="AX2" s="1868"/>
      <c r="AY2" s="3986"/>
      <c r="AZ2" s="1868"/>
      <c r="BA2" s="1868"/>
      <c r="BB2" s="1868"/>
      <c r="BC2" s="1868"/>
      <c r="BD2" s="1868"/>
      <c r="BE2" s="1868"/>
      <c r="BF2" s="1868"/>
      <c r="BG2" s="1868"/>
      <c r="BH2" s="1868"/>
      <c r="BI2" s="1868"/>
      <c r="BJ2" s="1868"/>
      <c r="BK2" s="1868"/>
      <c r="BL2" s="1868"/>
      <c r="BM2" s="1868"/>
      <c r="BN2" s="1868"/>
      <c r="BO2" s="1868"/>
      <c r="BP2" s="1868"/>
      <c r="BQ2" s="1868"/>
      <c r="BR2" s="1868"/>
    </row>
    <row r="3" spans="1:70" ht="12.2" customHeight="1">
      <c r="A3" s="1935"/>
      <c r="B3" s="1866"/>
      <c r="C3" s="5711" t="s">
        <v>9687</v>
      </c>
      <c r="D3" s="5712"/>
      <c r="E3" s="5712"/>
      <c r="F3" s="5712"/>
      <c r="G3" s="5712"/>
      <c r="H3" s="5712"/>
      <c r="I3" s="364"/>
      <c r="J3" s="364"/>
      <c r="K3" s="364"/>
      <c r="L3" s="364"/>
      <c r="M3" s="364"/>
      <c r="N3" s="364"/>
      <c r="O3" s="364"/>
      <c r="P3" s="364"/>
      <c r="Q3" s="364"/>
      <c r="R3" s="364"/>
      <c r="S3" s="364"/>
      <c r="T3" s="364"/>
      <c r="U3" s="364"/>
      <c r="V3" s="364"/>
      <c r="W3" s="364"/>
      <c r="X3" s="364"/>
      <c r="Y3" s="364"/>
      <c r="Z3" s="364"/>
      <c r="AA3" s="364"/>
      <c r="AB3" s="364"/>
      <c r="AC3" s="364"/>
      <c r="AD3" s="2260"/>
      <c r="AE3" s="5886"/>
      <c r="AF3" s="5886"/>
      <c r="AG3" s="5887"/>
      <c r="AH3" s="1943"/>
      <c r="AI3" s="1712"/>
      <c r="AJ3" s="3986" t="s">
        <v>1315</v>
      </c>
      <c r="AK3" s="3986"/>
      <c r="AL3" s="3986"/>
      <c r="AM3" s="3986"/>
      <c r="AN3" s="3986"/>
      <c r="AO3" s="3986"/>
      <c r="AP3" s="3986"/>
      <c r="AQ3" s="3986"/>
      <c r="AR3" s="3987"/>
      <c r="AS3" s="3987"/>
      <c r="AT3" s="3987"/>
      <c r="AU3" s="1868"/>
      <c r="AV3" s="1868"/>
      <c r="AW3" s="1868"/>
      <c r="AX3" s="1868"/>
      <c r="AY3" s="3986"/>
      <c r="AZ3" s="1868"/>
      <c r="BA3" s="1868"/>
      <c r="BB3" s="1868"/>
      <c r="BC3" s="1868"/>
      <c r="BD3" s="1868"/>
      <c r="BE3" s="1868"/>
      <c r="BF3" s="1868"/>
      <c r="BG3" s="1868"/>
      <c r="BH3" s="1868"/>
      <c r="BI3" s="1868"/>
      <c r="BJ3" s="1868"/>
      <c r="BK3" s="1868"/>
      <c r="BL3" s="1868"/>
      <c r="BM3" s="1868"/>
      <c r="BN3" s="1868"/>
      <c r="BO3" s="1868"/>
      <c r="BP3" s="1868"/>
      <c r="BQ3" s="1868"/>
      <c r="BR3" s="1868"/>
    </row>
    <row r="4" spans="1:70" ht="12.2" customHeight="1">
      <c r="A4" s="1935"/>
      <c r="B4" s="1866"/>
      <c r="C4" s="5713"/>
      <c r="D4" s="5714"/>
      <c r="E4" s="5714"/>
      <c r="F4" s="5714"/>
      <c r="G4" s="5714"/>
      <c r="H4" s="5714"/>
      <c r="I4" s="311"/>
      <c r="J4" s="4754" t="s">
        <v>1184</v>
      </c>
      <c r="K4" s="4754"/>
      <c r="L4" s="5892" t="str">
        <f>IF(OR(General!$F$22="",General!$F$22=0),"",General!$F$22)</f>
        <v/>
      </c>
      <c r="M4" s="5892"/>
      <c r="N4" s="5892"/>
      <c r="O4" s="5892"/>
      <c r="P4" s="5892"/>
      <c r="Q4" s="5892"/>
      <c r="R4" s="5893" t="s">
        <v>9625</v>
      </c>
      <c r="S4" s="5893"/>
      <c r="T4" s="5893"/>
      <c r="U4" s="5893"/>
      <c r="V4" s="2166"/>
      <c r="W4" s="2166"/>
      <c r="X4" s="5709" t="s">
        <v>9101</v>
      </c>
      <c r="Y4" s="5709"/>
      <c r="Z4" s="5709"/>
      <c r="AA4" s="5709"/>
      <c r="AB4" s="5709"/>
      <c r="AC4" s="5709"/>
      <c r="AD4" s="2166"/>
      <c r="AE4" s="5888"/>
      <c r="AF4" s="5888"/>
      <c r="AG4" s="5889"/>
      <c r="AH4" s="1943"/>
      <c r="AI4" s="1712"/>
      <c r="AJ4" s="3986" t="s">
        <v>5385</v>
      </c>
      <c r="AK4" s="3986"/>
      <c r="AL4" s="3986"/>
      <c r="AM4" s="3986"/>
      <c r="AN4" s="3986"/>
      <c r="AO4" s="3986"/>
      <c r="AP4" s="3986"/>
      <c r="AQ4" s="3987"/>
      <c r="AR4" s="1868"/>
      <c r="AS4" s="1868"/>
      <c r="AT4" s="1868"/>
      <c r="AU4" s="1868"/>
      <c r="AV4" s="1868"/>
      <c r="AW4" s="1868"/>
      <c r="AX4" s="1868"/>
      <c r="AY4" s="3986"/>
      <c r="AZ4" s="1868"/>
      <c r="BA4" s="1868"/>
      <c r="BB4" s="1868"/>
      <c r="BC4" s="1868"/>
      <c r="BD4" s="1868"/>
      <c r="BE4" s="1868"/>
      <c r="BF4" s="1868"/>
      <c r="BG4" s="1868"/>
      <c r="BH4" s="1868"/>
      <c r="BI4" s="1868"/>
      <c r="BJ4" s="1868"/>
      <c r="BK4" s="1868"/>
      <c r="BL4" s="1868"/>
      <c r="BM4" s="1868"/>
      <c r="BN4" s="1868"/>
      <c r="BO4" s="1868"/>
      <c r="BP4" s="1868"/>
      <c r="BQ4" s="1868"/>
      <c r="BR4" s="1868"/>
    </row>
    <row r="5" spans="1:70" ht="12.2" customHeight="1">
      <c r="A5" s="1935"/>
      <c r="B5" s="1866"/>
      <c r="C5" s="5713"/>
      <c r="D5" s="5714"/>
      <c r="E5" s="5714"/>
      <c r="F5" s="5714"/>
      <c r="G5" s="5714"/>
      <c r="H5" s="5714"/>
      <c r="I5" s="311"/>
      <c r="J5" s="5535" t="s">
        <v>1185</v>
      </c>
      <c r="K5" s="5535"/>
      <c r="L5" s="4738" t="str">
        <f>IF(LEN(PDs!$E$11)&lt;=General!$AO$5,PDs!$E$11,"… /"&amp;RIGHT(PDs!$E$11,General!$AO$5-FIND("/",RIGHT(PDs!$E$11,General!$AO$5))))</f>
        <v/>
      </c>
      <c r="M5" s="4738"/>
      <c r="N5" s="4738"/>
      <c r="O5" s="1998" t="s">
        <v>1186</v>
      </c>
      <c r="P5" s="1993" t="str">
        <f>Principal!$O$6</f>
        <v>1</v>
      </c>
      <c r="Q5" s="1712"/>
      <c r="R5" s="6018" t="str">
        <f>Ki!C12&amp;" "&amp;Ki!D12&amp;" "&amp;Ki!C14&amp;" "&amp;Ki!D14&amp;" "&amp;Ki!C16&amp;" "&amp;Ki!D16&amp;"
"&amp;Ki!C18&amp;" "&amp;Ki!D18&amp;" "&amp;Ki!C20&amp;" "&amp;Ki!D20&amp;" "&amp;Ki!C22&amp;" "&amp;Ki!D22</f>
        <v>AGI 0 CON 0 DES 0
FUE 0 POD 0 VOL 0</v>
      </c>
      <c r="S5" s="6018"/>
      <c r="T5" s="6018"/>
      <c r="U5" s="6018"/>
      <c r="V5" s="2166"/>
      <c r="W5" s="2166"/>
      <c r="X5" s="5879"/>
      <c r="Y5" s="5879"/>
      <c r="Z5" s="5879"/>
      <c r="AA5" s="5879"/>
      <c r="AB5" s="5879"/>
      <c r="AC5" s="5879"/>
      <c r="AD5" s="1712"/>
      <c r="AE5" s="5888"/>
      <c r="AF5" s="5888"/>
      <c r="AG5" s="5889"/>
      <c r="AH5" s="1943"/>
      <c r="AI5" s="1712"/>
      <c r="AJ5" s="3986" t="s">
        <v>8385</v>
      </c>
      <c r="AK5" s="3986"/>
      <c r="AL5" s="3986"/>
      <c r="AM5" s="3986"/>
      <c r="AN5" s="3986"/>
      <c r="AO5" s="3986"/>
      <c r="AP5" s="3986"/>
      <c r="AQ5" s="3987"/>
      <c r="AR5" s="1868"/>
      <c r="AS5" s="1868"/>
      <c r="AT5" s="1868"/>
      <c r="AU5" s="1868"/>
      <c r="AV5" s="1868"/>
      <c r="AW5" s="1868"/>
      <c r="AX5" s="1868"/>
      <c r="AY5" s="3986"/>
      <c r="AZ5" s="1868"/>
      <c r="BA5" s="1868"/>
      <c r="BB5" s="1868"/>
      <c r="BC5" s="1868"/>
      <c r="BD5" s="1868"/>
      <c r="BE5" s="1868"/>
      <c r="BF5" s="1868"/>
      <c r="BG5" s="1868"/>
      <c r="BH5" s="1868"/>
      <c r="BI5" s="1868"/>
      <c r="BJ5" s="1868"/>
      <c r="BK5" s="1868"/>
      <c r="BL5" s="1868"/>
      <c r="BM5" s="1868"/>
      <c r="BN5" s="1868"/>
      <c r="BO5" s="1868"/>
      <c r="BP5" s="1868"/>
      <c r="BQ5" s="1868"/>
      <c r="BR5" s="1868"/>
    </row>
    <row r="6" spans="1:70" ht="12.2" customHeight="1">
      <c r="A6" s="1935"/>
      <c r="B6" s="1866"/>
      <c r="C6" s="5713"/>
      <c r="D6" s="5714"/>
      <c r="E6" s="5714"/>
      <c r="F6" s="5714"/>
      <c r="G6" s="5714"/>
      <c r="H6" s="5714"/>
      <c r="I6" s="311"/>
      <c r="J6" s="5709" t="s">
        <v>3020</v>
      </c>
      <c r="K6" s="5710"/>
      <c r="L6" s="5710"/>
      <c r="M6" s="5710"/>
      <c r="N6" s="5710"/>
      <c r="O6" s="5710"/>
      <c r="P6" s="5710"/>
      <c r="Q6" s="1712"/>
      <c r="R6" s="6018"/>
      <c r="S6" s="6018"/>
      <c r="T6" s="6018"/>
      <c r="U6" s="6018"/>
      <c r="V6" s="2166"/>
      <c r="W6" s="5880"/>
      <c r="X6" s="5881"/>
      <c r="Y6" s="5881"/>
      <c r="Z6" s="5881"/>
      <c r="AA6" s="5881"/>
      <c r="AB6" s="5881"/>
      <c r="AC6" s="5881"/>
      <c r="AD6" s="5882"/>
      <c r="AE6" s="5888"/>
      <c r="AF6" s="5888"/>
      <c r="AG6" s="5889"/>
      <c r="AH6" s="1943"/>
      <c r="AI6" s="1712"/>
      <c r="AJ6" s="3986" t="s">
        <v>8388</v>
      </c>
      <c r="AK6" s="3986"/>
      <c r="AL6" s="3986"/>
      <c r="AM6" s="3986"/>
      <c r="AN6" s="3986"/>
      <c r="AO6" s="3986"/>
      <c r="AP6" s="3986"/>
      <c r="AQ6" s="3987"/>
      <c r="AR6" s="1868"/>
      <c r="AS6" s="1868"/>
      <c r="AT6" s="1868"/>
      <c r="AU6" s="1868"/>
      <c r="AV6" s="1868"/>
      <c r="AW6" s="1868"/>
      <c r="AX6" s="1868"/>
      <c r="AY6" s="3986"/>
      <c r="AZ6" s="1868"/>
      <c r="BA6" s="1868"/>
      <c r="BB6" s="1868"/>
      <c r="BC6" s="1868"/>
      <c r="BD6" s="1868"/>
      <c r="BE6" s="1868"/>
      <c r="BF6" s="1868"/>
      <c r="BG6" s="1868"/>
      <c r="BH6" s="1868"/>
      <c r="BI6" s="1868"/>
      <c r="BJ6" s="1868"/>
      <c r="BK6" s="1868"/>
      <c r="BL6" s="1868"/>
      <c r="BM6" s="1868"/>
      <c r="BN6" s="1868"/>
      <c r="BO6" s="1868"/>
      <c r="BP6" s="1868"/>
      <c r="BQ6" s="1868"/>
      <c r="BR6" s="1868"/>
    </row>
    <row r="7" spans="1:70" ht="12.2" customHeight="1">
      <c r="A7" s="1935"/>
      <c r="B7" s="1866"/>
      <c r="C7" s="5713"/>
      <c r="D7" s="5714"/>
      <c r="E7" s="5714"/>
      <c r="F7" s="5714"/>
      <c r="G7" s="5714"/>
      <c r="H7" s="5714"/>
      <c r="I7" s="311"/>
      <c r="J7" s="5710"/>
      <c r="K7" s="5710"/>
      <c r="L7" s="5710"/>
      <c r="M7" s="5710"/>
      <c r="N7" s="5710"/>
      <c r="O7" s="5710"/>
      <c r="P7" s="5710"/>
      <c r="Q7" s="2166"/>
      <c r="R7" s="6018"/>
      <c r="S7" s="6018"/>
      <c r="T7" s="6018"/>
      <c r="U7" s="6018"/>
      <c r="V7" s="2166"/>
      <c r="W7" s="5883"/>
      <c r="X7" s="5884"/>
      <c r="Y7" s="5884"/>
      <c r="Z7" s="5884"/>
      <c r="AA7" s="5884"/>
      <c r="AB7" s="5884"/>
      <c r="AC7" s="5884"/>
      <c r="AD7" s="5885"/>
      <c r="AE7" s="5888"/>
      <c r="AF7" s="5888"/>
      <c r="AG7" s="5889"/>
      <c r="AH7" s="1943"/>
      <c r="AI7" s="1712"/>
      <c r="AJ7" s="3662"/>
      <c r="AK7" s="3986"/>
      <c r="AL7" s="3986"/>
      <c r="AM7" s="3986"/>
      <c r="AN7" s="3986"/>
      <c r="AO7" s="3986"/>
      <c r="AP7" s="3986"/>
      <c r="AQ7" s="3987"/>
      <c r="AR7" s="1868"/>
      <c r="AS7" s="1868"/>
      <c r="AT7" s="1868"/>
      <c r="AU7" s="1868"/>
      <c r="AV7" s="1868"/>
      <c r="AW7" s="1868"/>
      <c r="AX7" s="1868"/>
      <c r="AY7" s="3986"/>
      <c r="AZ7" s="1868"/>
      <c r="BA7" s="1868"/>
      <c r="BB7" s="1868"/>
      <c r="BC7" s="1868"/>
      <c r="BD7" s="1868"/>
      <c r="BE7" s="1868"/>
      <c r="BF7" s="1868"/>
      <c r="BG7" s="1868"/>
      <c r="BH7" s="1868"/>
      <c r="BI7" s="1868"/>
      <c r="BJ7" s="1868"/>
      <c r="BK7" s="1868"/>
      <c r="BL7" s="1868"/>
      <c r="BM7" s="1868"/>
      <c r="BN7" s="1868"/>
      <c r="BO7" s="1868"/>
      <c r="BP7" s="1868"/>
      <c r="BQ7" s="1868"/>
      <c r="BR7" s="1868"/>
    </row>
    <row r="8" spans="1:70" ht="12.2" customHeight="1" thickBot="1">
      <c r="A8" s="1935"/>
      <c r="B8" s="1866"/>
      <c r="C8" s="5715"/>
      <c r="D8" s="5716"/>
      <c r="E8" s="5716"/>
      <c r="F8" s="5716"/>
      <c r="G8" s="5716"/>
      <c r="H8" s="5716"/>
      <c r="I8" s="368"/>
      <c r="J8" s="368"/>
      <c r="K8" s="368"/>
      <c r="L8" s="368"/>
      <c r="M8" s="368"/>
      <c r="N8" s="368"/>
      <c r="O8" s="368"/>
      <c r="P8" s="368"/>
      <c r="Q8" s="368"/>
      <c r="R8" s="368"/>
      <c r="S8" s="368"/>
      <c r="T8" s="368"/>
      <c r="U8" s="368"/>
      <c r="V8" s="368"/>
      <c r="W8" s="368"/>
      <c r="X8" s="368"/>
      <c r="Y8" s="368"/>
      <c r="Z8" s="368"/>
      <c r="AA8" s="368"/>
      <c r="AB8" s="368"/>
      <c r="AC8" s="368"/>
      <c r="AD8" s="2261"/>
      <c r="AE8" s="5890"/>
      <c r="AF8" s="5890"/>
      <c r="AG8" s="5891"/>
      <c r="AH8" s="1943"/>
      <c r="AI8" s="1712"/>
      <c r="AJ8" s="3988" t="s">
        <v>2640</v>
      </c>
      <c r="AK8" s="3986"/>
      <c r="AL8" s="3986"/>
      <c r="AM8" s="3986"/>
      <c r="AN8" s="3986"/>
      <c r="AO8" s="3986"/>
      <c r="AP8" s="3986"/>
      <c r="AQ8" s="3987"/>
      <c r="AR8" s="1868"/>
      <c r="AS8" s="1868"/>
      <c r="AT8" s="1868"/>
      <c r="AU8" s="1868"/>
      <c r="AV8" s="1868"/>
      <c r="AW8" s="1868"/>
      <c r="AX8" s="1868"/>
      <c r="AY8" s="3986"/>
      <c r="AZ8" s="1868"/>
      <c r="BA8" s="1868"/>
      <c r="BB8" s="1868"/>
      <c r="BC8" s="1868"/>
      <c r="BD8" s="1868"/>
      <c r="BE8" s="1868"/>
      <c r="BF8" s="1868"/>
      <c r="BG8" s="1868"/>
      <c r="BH8" s="1868"/>
      <c r="BI8" s="1868"/>
      <c r="BJ8" s="1868"/>
      <c r="BK8" s="1868"/>
      <c r="BL8" s="1868"/>
      <c r="BM8" s="1868"/>
      <c r="BN8" s="1868"/>
      <c r="BO8" s="1868"/>
      <c r="BP8" s="1868"/>
      <c r="BQ8" s="1868"/>
      <c r="BR8" s="1868"/>
    </row>
    <row r="9" spans="1:70" ht="12.2" customHeight="1">
      <c r="A9" s="1935"/>
      <c r="B9" s="1866">
        <v>0</v>
      </c>
      <c r="D9" s="1716"/>
      <c r="E9" s="1718"/>
      <c r="AH9" s="1943"/>
      <c r="AI9" s="1712"/>
      <c r="AJ9" s="3986" t="s">
        <v>8356</v>
      </c>
      <c r="AK9" s="3986"/>
      <c r="AL9" s="3986"/>
      <c r="AM9" s="3986"/>
      <c r="AN9" s="3986"/>
      <c r="AO9" s="3986"/>
      <c r="AP9" s="3986"/>
      <c r="AQ9" s="3987"/>
      <c r="AR9" s="1868"/>
      <c r="AS9" s="1868"/>
      <c r="AT9" s="1868"/>
      <c r="AU9" s="1868"/>
      <c r="AV9" s="1868"/>
      <c r="AW9" s="1868"/>
      <c r="AX9" s="1868"/>
      <c r="AY9" s="3986"/>
      <c r="AZ9" s="1868"/>
      <c r="BA9" s="1868"/>
      <c r="BB9" s="1868"/>
      <c r="BC9" s="1868"/>
      <c r="BD9" s="1868"/>
      <c r="BE9" s="1868"/>
      <c r="BF9" s="1868"/>
      <c r="BG9" s="1868"/>
      <c r="BH9" s="1868"/>
      <c r="BI9" s="1868"/>
      <c r="BJ9" s="1868"/>
      <c r="BK9" s="1868"/>
      <c r="BL9" s="1868"/>
      <c r="BM9" s="1868"/>
      <c r="BN9" s="1868"/>
      <c r="BO9" s="1868"/>
      <c r="BP9" s="1868"/>
      <c r="BQ9" s="1868"/>
      <c r="BR9" s="1868"/>
    </row>
    <row r="10" spans="1:70" ht="12.2" customHeight="1">
      <c r="A10" s="1935"/>
      <c r="B10" s="1866"/>
      <c r="C10" s="1815"/>
      <c r="D10" s="1815"/>
      <c r="E10" s="1815"/>
      <c r="F10" s="1815"/>
      <c r="G10" s="2172"/>
      <c r="H10" s="1815"/>
      <c r="I10" s="1815"/>
      <c r="J10" s="1815"/>
      <c r="K10" s="1815"/>
      <c r="L10" s="1815"/>
      <c r="M10" s="1815"/>
      <c r="N10" s="1815"/>
      <c r="O10" s="1815"/>
      <c r="P10" s="1815"/>
      <c r="Q10" s="1815"/>
      <c r="R10" s="1815"/>
      <c r="S10" s="1815"/>
      <c r="T10" s="1815"/>
      <c r="U10" s="1815"/>
      <c r="V10" s="1815"/>
      <c r="W10" s="1815"/>
      <c r="X10" s="1815"/>
      <c r="Y10" s="1815"/>
      <c r="Z10" s="1815"/>
      <c r="AA10" s="1815"/>
      <c r="AB10" s="1815"/>
      <c r="AC10" s="1815"/>
      <c r="AD10" s="1815"/>
      <c r="AE10" s="1815"/>
      <c r="AF10" s="1815"/>
      <c r="AG10" s="1815"/>
      <c r="AH10" s="1943"/>
      <c r="AI10" s="1712"/>
      <c r="AJ10" s="3986" t="s">
        <v>483</v>
      </c>
      <c r="AK10" s="3986"/>
      <c r="AL10" s="3986"/>
      <c r="AM10" s="3986"/>
      <c r="AN10" s="3986"/>
      <c r="AO10" s="3986"/>
      <c r="AP10" s="3986"/>
      <c r="AQ10" s="3986"/>
      <c r="AR10" s="3986"/>
      <c r="AS10" s="3986"/>
      <c r="AT10" s="3986"/>
      <c r="AU10" s="3986"/>
      <c r="AV10" s="3986"/>
      <c r="AW10" s="1868"/>
      <c r="AX10" s="1868"/>
      <c r="AY10" s="3986"/>
      <c r="AZ10" s="1868"/>
      <c r="BA10" s="1868"/>
      <c r="BB10" s="1868"/>
      <c r="BC10" s="1868"/>
      <c r="BD10" s="1868"/>
      <c r="BE10" s="1868"/>
      <c r="BF10" s="1868"/>
      <c r="BG10" s="1868"/>
      <c r="BH10" s="1868"/>
      <c r="BI10" s="1868"/>
      <c r="BJ10" s="1868"/>
      <c r="BK10" s="1868"/>
      <c r="BL10" s="1868"/>
      <c r="BM10" s="1868"/>
      <c r="BN10" s="1868"/>
      <c r="BO10" s="1868"/>
      <c r="BP10" s="1868"/>
      <c r="BQ10" s="1868"/>
      <c r="BR10" s="1868"/>
    </row>
    <row r="11" spans="1:70" ht="12.2" customHeight="1" thickBot="1">
      <c r="A11" s="1935"/>
      <c r="B11" s="1866"/>
      <c r="C11" s="1806"/>
      <c r="D11" s="1806"/>
      <c r="E11" s="1806"/>
      <c r="F11" s="1806"/>
      <c r="G11" s="1806"/>
      <c r="H11" s="1806"/>
      <c r="I11" s="1806"/>
      <c r="J11" s="1806"/>
      <c r="K11" s="1806"/>
      <c r="L11" s="1806"/>
      <c r="M11" s="1806"/>
      <c r="N11" s="1806"/>
      <c r="O11" s="1806"/>
      <c r="P11" s="1806"/>
      <c r="Q11" s="1806"/>
      <c r="R11" s="1806"/>
      <c r="S11" s="1806"/>
      <c r="T11" s="1806"/>
      <c r="U11" s="1806"/>
      <c r="V11" s="1806"/>
      <c r="W11" s="1806"/>
      <c r="X11" s="1806"/>
      <c r="Y11" s="1806"/>
      <c r="Z11" s="1806"/>
      <c r="AA11" s="1806"/>
      <c r="AB11" s="1806"/>
      <c r="AC11" s="1806"/>
      <c r="AD11" s="1806"/>
      <c r="AE11" s="1806"/>
      <c r="AF11" s="1806"/>
      <c r="AG11" s="1806"/>
      <c r="AH11" s="1943"/>
      <c r="AI11" s="1712"/>
      <c r="AJ11" s="5935"/>
      <c r="AK11" s="5935"/>
      <c r="AL11" s="5935"/>
      <c r="AM11" s="5935"/>
      <c r="AN11" s="5935"/>
      <c r="AO11" s="5935"/>
      <c r="AP11" s="5935"/>
      <c r="AQ11" s="5935"/>
      <c r="AR11" s="5935"/>
      <c r="AS11" s="5935"/>
      <c r="AT11" s="5935"/>
      <c r="AU11" s="5935"/>
      <c r="AV11" s="5935"/>
      <c r="AW11" s="5935"/>
      <c r="AX11" s="5935"/>
      <c r="AY11" s="5935"/>
      <c r="AZ11" s="1868"/>
      <c r="BA11" s="1868"/>
      <c r="BB11" s="1868"/>
      <c r="BC11" s="1868"/>
      <c r="BD11" s="1868"/>
      <c r="BE11" s="1868"/>
      <c r="BF11" s="1868"/>
      <c r="BG11" s="1868"/>
      <c r="BH11" s="1868"/>
      <c r="BI11" s="1868"/>
      <c r="BJ11" s="1868"/>
      <c r="BK11" s="1868"/>
      <c r="BL11" s="1868"/>
      <c r="BM11" s="1868"/>
      <c r="BN11" s="1868"/>
      <c r="BO11" s="1868"/>
      <c r="BP11" s="1868"/>
      <c r="BQ11" s="1868"/>
      <c r="BR11" s="1868"/>
    </row>
    <row r="12" spans="1:70" ht="12.2" customHeight="1">
      <c r="A12" s="1935"/>
      <c r="B12" s="1866">
        <v>1</v>
      </c>
      <c r="C12" s="6008" t="str">
        <f>"Técnica "&amp;B12</f>
        <v>Técnica 1</v>
      </c>
      <c r="D12" s="5974" t="s">
        <v>8267</v>
      </c>
      <c r="E12" s="5975"/>
      <c r="F12" s="5975"/>
      <c r="G12" s="5975"/>
      <c r="H12" s="5975"/>
      <c r="I12" s="5975"/>
      <c r="J12" s="5975"/>
      <c r="K12" s="5975"/>
      <c r="L12" s="5975"/>
      <c r="M12" s="5975"/>
      <c r="N12" s="5976"/>
      <c r="O12" s="5971" t="s">
        <v>1186</v>
      </c>
      <c r="P12" s="5973">
        <v>1</v>
      </c>
      <c r="Q12" s="5916" t="s">
        <v>8350</v>
      </c>
      <c r="R12" s="5967"/>
      <c r="S12" s="5969" t="s">
        <v>1241</v>
      </c>
      <c r="T12" s="5917" t="s">
        <v>1365</v>
      </c>
      <c r="U12" s="5897">
        <f>MAX(IF(P12=3,60,IF(P12=2,40,20)),MIN(SUM(N16:N23)-10*Y21+AC21+IF(S12="Sí",10*P12,0)+IF(COUNTIF(K16:M20,"Mantenido")&gt;0,P12*10)+MAX(IF(COUNTIF(K50:M54,"Sostenimiento Menor"),20+IF(P46=2,0,10),IF(COUNTIF(K50:M54,"Sostenimiento Mayor"),30+IF(P46=2,0,10))))))</f>
        <v>20</v>
      </c>
      <c r="V12" s="5916" t="s">
        <v>8351</v>
      </c>
      <c r="W12" s="5917"/>
      <c r="X12" s="5920" t="str">
        <f>IFERROR(LEFT(AK28&amp;AL28&amp;AM28&amp;AN28&amp;AO28&amp;AP28,LEN(AK28&amp;AL28&amp;AM28&amp;AN28&amp;AO28&amp;AP28)-2),"")</f>
        <v/>
      </c>
      <c r="Y12" s="5920"/>
      <c r="Z12" s="5920"/>
      <c r="AA12" s="5920"/>
      <c r="AB12" s="5920"/>
      <c r="AC12" s="5920"/>
      <c r="AD12" s="5920"/>
      <c r="AE12" s="5920"/>
      <c r="AF12" s="5920"/>
      <c r="AG12" s="5921"/>
      <c r="AH12" s="1943"/>
      <c r="AI12" s="6011"/>
      <c r="AJ12" s="3989" t="s">
        <v>8878</v>
      </c>
      <c r="AK12" s="3989"/>
      <c r="AL12" s="3989"/>
      <c r="AM12" s="3989"/>
      <c r="AN12" s="3989"/>
      <c r="AO12" s="3989"/>
      <c r="AP12" s="3989"/>
      <c r="AQ12" s="3989"/>
      <c r="AR12" s="3989"/>
      <c r="AS12" s="3986"/>
      <c r="AT12" s="3986"/>
      <c r="AU12" s="3986"/>
      <c r="AV12" s="3986"/>
      <c r="AW12" s="1868"/>
      <c r="AX12" s="1868"/>
      <c r="AY12" s="3986"/>
      <c r="AZ12" s="1868"/>
      <c r="BA12" s="1868"/>
      <c r="BB12" s="1868"/>
      <c r="BC12" s="1868"/>
      <c r="BD12" s="1868"/>
      <c r="BE12" s="1868"/>
      <c r="BF12" s="1868"/>
      <c r="BG12" s="1868"/>
      <c r="BH12" s="1868"/>
      <c r="BI12" s="1868"/>
      <c r="BJ12" s="1868"/>
      <c r="BK12" s="1868"/>
      <c r="BL12" s="1868"/>
      <c r="BM12" s="1868"/>
      <c r="BN12" s="1868"/>
      <c r="BO12" s="1868"/>
      <c r="BP12" s="1868"/>
      <c r="BQ12" s="1868"/>
      <c r="BR12" s="1868"/>
    </row>
    <row r="13" spans="1:70" ht="12.2" customHeight="1">
      <c r="A13" s="1935"/>
      <c r="B13" s="1866">
        <v>1</v>
      </c>
      <c r="C13" s="6009"/>
      <c r="D13" s="5977"/>
      <c r="E13" s="5992"/>
      <c r="F13" s="5992"/>
      <c r="G13" s="5992"/>
      <c r="H13" s="5992"/>
      <c r="I13" s="5992"/>
      <c r="J13" s="5992"/>
      <c r="K13" s="5992"/>
      <c r="L13" s="5992"/>
      <c r="M13" s="5992"/>
      <c r="N13" s="5993"/>
      <c r="O13" s="5972"/>
      <c r="P13" s="5970"/>
      <c r="Q13" s="5918"/>
      <c r="R13" s="5968"/>
      <c r="S13" s="5970"/>
      <c r="T13" s="5919"/>
      <c r="U13" s="5898"/>
      <c r="V13" s="5918"/>
      <c r="W13" s="5919"/>
      <c r="X13" s="5922"/>
      <c r="Y13" s="5922"/>
      <c r="Z13" s="5922"/>
      <c r="AA13" s="5922"/>
      <c r="AB13" s="5922"/>
      <c r="AC13" s="5922"/>
      <c r="AD13" s="5922"/>
      <c r="AE13" s="5922"/>
      <c r="AF13" s="5922"/>
      <c r="AG13" s="5923"/>
      <c r="AH13" s="1943"/>
      <c r="AI13" s="6011"/>
      <c r="AJ13" s="3989"/>
      <c r="AK13" s="3989" t="s">
        <v>8879</v>
      </c>
      <c r="AL13" s="3989" t="s">
        <v>12546</v>
      </c>
      <c r="AM13" s="3990"/>
      <c r="AN13" s="3990"/>
      <c r="AO13" s="3990"/>
      <c r="AP13" s="3990"/>
      <c r="AQ13" s="3990"/>
      <c r="AR13" s="3989"/>
      <c r="AS13" s="3986"/>
      <c r="AT13" s="3986"/>
      <c r="AU13" s="3986"/>
      <c r="AV13" s="3986"/>
      <c r="AW13" s="1868"/>
      <c r="AX13" s="5935" t="s">
        <v>8848</v>
      </c>
      <c r="AY13" s="5935"/>
      <c r="AZ13" s="1868"/>
      <c r="BA13" s="1868"/>
      <c r="BB13" s="1868"/>
      <c r="BC13" s="1868"/>
      <c r="BD13" s="1868"/>
      <c r="BE13" s="1868"/>
      <c r="BF13" s="1868"/>
      <c r="BG13" s="1868"/>
      <c r="BH13" s="1868"/>
      <c r="BI13" s="1868"/>
      <c r="BJ13" s="1868"/>
      <c r="BK13" s="1868"/>
      <c r="BL13" s="1868"/>
      <c r="BM13" s="1868"/>
      <c r="BN13" s="1868"/>
      <c r="BO13" s="1868"/>
      <c r="BP13" s="1868"/>
      <c r="BQ13" s="1868"/>
      <c r="BR13" s="1868"/>
    </row>
    <row r="14" spans="1:70" ht="12.2" customHeight="1">
      <c r="A14" s="1935"/>
      <c r="B14" s="1866">
        <v>1</v>
      </c>
      <c r="C14" s="6009"/>
      <c r="D14" s="5873" t="s">
        <v>2662</v>
      </c>
      <c r="E14" s="5874"/>
      <c r="F14" s="5874"/>
      <c r="G14" s="5874"/>
      <c r="H14" s="5874"/>
      <c r="I14" s="5874"/>
      <c r="J14" s="5874"/>
      <c r="K14" s="5924" t="s">
        <v>9170</v>
      </c>
      <c r="L14" s="5924"/>
      <c r="M14" s="5924"/>
      <c r="N14" s="5874" t="s">
        <v>1359</v>
      </c>
      <c r="O14" s="5924" t="s">
        <v>2660</v>
      </c>
      <c r="P14" s="5924" t="s">
        <v>8352</v>
      </c>
      <c r="Q14" s="5874" t="s">
        <v>1224</v>
      </c>
      <c r="R14" s="5874"/>
      <c r="S14" s="5874"/>
      <c r="T14" s="5874"/>
      <c r="U14" s="5874"/>
      <c r="V14" s="5876" t="s">
        <v>1233</v>
      </c>
      <c r="W14" s="5855"/>
      <c r="X14" s="5876" t="s">
        <v>1357</v>
      </c>
      <c r="Y14" s="5980"/>
      <c r="Z14" s="5855" t="s">
        <v>1238</v>
      </c>
      <c r="AA14" s="5855"/>
      <c r="AB14" s="5876" t="s">
        <v>1243</v>
      </c>
      <c r="AC14" s="5980"/>
      <c r="AD14" s="5855" t="s">
        <v>1250</v>
      </c>
      <c r="AE14" s="5855"/>
      <c r="AF14" s="5876" t="s">
        <v>1251</v>
      </c>
      <c r="AG14" s="5856"/>
      <c r="AH14" s="1943"/>
      <c r="AI14" s="6011"/>
      <c r="AJ14" s="3986"/>
      <c r="AK14" s="3986"/>
      <c r="AL14" s="3986" t="s">
        <v>9149</v>
      </c>
      <c r="AM14" s="3986"/>
      <c r="AN14" s="3986"/>
      <c r="AO14" s="3986"/>
      <c r="AP14" s="3986"/>
      <c r="AQ14" s="3986"/>
      <c r="AR14" s="1868"/>
      <c r="AS14" s="1868" t="s">
        <v>8868</v>
      </c>
      <c r="AT14" s="1868" t="s">
        <v>8869</v>
      </c>
      <c r="AU14" s="3986" t="s">
        <v>8857</v>
      </c>
      <c r="AV14" s="3986" t="s">
        <v>8858</v>
      </c>
      <c r="AW14" s="1868" t="s">
        <v>1359</v>
      </c>
      <c r="AX14" s="1868" t="s">
        <v>8354</v>
      </c>
      <c r="AY14" s="3986" t="s">
        <v>8355</v>
      </c>
      <c r="AZ14" s="1868"/>
      <c r="BA14" s="1868"/>
      <c r="BB14" s="1868"/>
      <c r="BC14" s="1868"/>
      <c r="BD14" s="1868"/>
      <c r="BE14" s="1868"/>
      <c r="BF14" s="1868"/>
      <c r="BG14" s="1868"/>
      <c r="BH14" s="1868"/>
      <c r="BI14" s="1868"/>
      <c r="BJ14" s="1868"/>
      <c r="BK14" s="1868"/>
      <c r="BL14" s="1868"/>
      <c r="BM14" s="1868"/>
      <c r="BN14" s="1868"/>
      <c r="BO14" s="1868"/>
      <c r="BP14" s="1868"/>
      <c r="BQ14" s="1868"/>
      <c r="BR14" s="1868"/>
    </row>
    <row r="15" spans="1:70" ht="12.2" customHeight="1">
      <c r="A15" s="1935"/>
      <c r="B15" s="1866">
        <v>1</v>
      </c>
      <c r="C15" s="6009"/>
      <c r="D15" s="5989"/>
      <c r="E15" s="5990"/>
      <c r="F15" s="5990"/>
      <c r="G15" s="5990"/>
      <c r="H15" s="5990"/>
      <c r="I15" s="5990"/>
      <c r="J15" s="5990"/>
      <c r="K15" s="5925"/>
      <c r="L15" s="5925"/>
      <c r="M15" s="5925"/>
      <c r="N15" s="5877"/>
      <c r="O15" s="5925"/>
      <c r="P15" s="5991"/>
      <c r="Q15" s="5877"/>
      <c r="R15" s="5877"/>
      <c r="S15" s="5877"/>
      <c r="T15" s="5877"/>
      <c r="U15" s="5877"/>
      <c r="V15" s="2167" t="s">
        <v>8847</v>
      </c>
      <c r="W15" s="2168" t="s">
        <v>2666</v>
      </c>
      <c r="X15" s="2167" t="s">
        <v>8847</v>
      </c>
      <c r="Y15" s="2168" t="s">
        <v>2666</v>
      </c>
      <c r="Z15" s="2167" t="s">
        <v>8847</v>
      </c>
      <c r="AA15" s="2168" t="s">
        <v>2666</v>
      </c>
      <c r="AB15" s="2167" t="s">
        <v>8847</v>
      </c>
      <c r="AC15" s="2168" t="s">
        <v>2666</v>
      </c>
      <c r="AD15" s="2167" t="s">
        <v>8847</v>
      </c>
      <c r="AE15" s="2168" t="s">
        <v>2666</v>
      </c>
      <c r="AF15" s="2167" t="s">
        <v>8847</v>
      </c>
      <c r="AG15" s="2169" t="s">
        <v>2666</v>
      </c>
      <c r="AH15" s="1943"/>
      <c r="AI15" s="6011"/>
      <c r="AJ15" s="3986"/>
      <c r="AK15" s="3986" t="s">
        <v>8849</v>
      </c>
      <c r="AL15" s="3986">
        <v>1</v>
      </c>
      <c r="AM15" s="3986">
        <v>2</v>
      </c>
      <c r="AN15" s="3986">
        <v>3</v>
      </c>
      <c r="AO15" s="3986">
        <v>4</v>
      </c>
      <c r="AP15" s="3986">
        <v>5</v>
      </c>
      <c r="AQ15" s="3986">
        <v>6</v>
      </c>
      <c r="AR15" s="3986">
        <v>7</v>
      </c>
      <c r="AS15" s="1868"/>
      <c r="AT15" s="3986" t="s">
        <v>8880</v>
      </c>
      <c r="AU15" s="1868"/>
      <c r="AV15" s="1868"/>
      <c r="AW15" s="1868" t="s">
        <v>8880</v>
      </c>
      <c r="AX15" s="1868"/>
      <c r="AY15" s="3986"/>
      <c r="AZ15" s="1868"/>
      <c r="BA15" s="1868"/>
      <c r="BB15" s="1868"/>
      <c r="BC15" s="1868"/>
      <c r="BD15" s="1868"/>
      <c r="BE15" s="1868"/>
      <c r="BF15" s="1868"/>
      <c r="BG15" s="1868"/>
      <c r="BH15" s="1868"/>
      <c r="BI15" s="1868"/>
      <c r="BJ15" s="1868"/>
      <c r="BK15" s="1868"/>
      <c r="BL15" s="1868"/>
      <c r="BM15" s="1868"/>
      <c r="BN15" s="1868"/>
      <c r="BO15" s="1868"/>
      <c r="BP15" s="1868"/>
      <c r="BQ15" s="1868"/>
      <c r="BR15" s="1868"/>
    </row>
    <row r="16" spans="1:70" ht="12.2" customHeight="1">
      <c r="A16" s="1935"/>
      <c r="B16" s="1866">
        <v>1</v>
      </c>
      <c r="C16" s="6009"/>
      <c r="D16" s="5981" t="s">
        <v>8356</v>
      </c>
      <c r="E16" s="5982"/>
      <c r="F16" s="5929"/>
      <c r="G16" s="5930"/>
      <c r="H16" s="5930"/>
      <c r="I16" s="5930"/>
      <c r="J16" s="5931"/>
      <c r="K16" s="5932" t="s">
        <v>1315</v>
      </c>
      <c r="L16" s="5933"/>
      <c r="M16" s="5934"/>
      <c r="N16" s="1871">
        <f>IF(AW16&gt;0,IF(VLOOKUP(F16,'Tablas Técnicas'!$O$9:$X$88,10,0),MAX(5,AW16-5),AW16),0)</f>
        <v>0</v>
      </c>
      <c r="O16" s="1871" t="str">
        <f>AS16&amp;" / "&amp;AT16</f>
        <v>0 / 0</v>
      </c>
      <c r="P16" s="1871" t="str">
        <f t="array" ref="P16">W16+Y16+AA16+AC16+AE16+AG16&amp;" / "&amp;IF(K16&lt;&gt;"Mantenido",0,SUM(IF($AL16:$AR16='Tablas Técnicas'!$L$10:$L$644,'Tablas Técnicas'!$H$10:$H$644,0)))</f>
        <v>0 / 0</v>
      </c>
      <c r="Q16" s="5983" t="str">
        <f>IFERROR(VLOOKUP(F16,'Tablas Técnicas'!$O$9:$T$88,5,FALSE),"")</f>
        <v/>
      </c>
      <c r="R16" s="5983"/>
      <c r="S16" s="5983"/>
      <c r="T16" s="5983"/>
      <c r="U16" s="5983"/>
      <c r="V16" s="1822"/>
      <c r="W16" s="1823"/>
      <c r="X16" s="1822"/>
      <c r="Y16" s="1824"/>
      <c r="Z16" s="1825"/>
      <c r="AA16" s="1823"/>
      <c r="AB16" s="1822"/>
      <c r="AC16" s="1824"/>
      <c r="AD16" s="1825"/>
      <c r="AE16" s="1823"/>
      <c r="AF16" s="1822"/>
      <c r="AG16" s="1826"/>
      <c r="AH16" s="1943"/>
      <c r="AI16" s="6011"/>
      <c r="AJ16" s="3986">
        <v>1</v>
      </c>
      <c r="AK16" s="3986">
        <f>P12</f>
        <v>1</v>
      </c>
      <c r="AL16" s="3986" t="str">
        <f>IF(AND(ISNUMBER(MATCH($F16,'Tablas Técnicas'!$L$10:$L$644,0)),INDEX($D29:$D35,Tablas!A$1)="",COUNTIF(AM16:$AS16,$F16)=0),$F16,IF(INDEX($D29:$D35,Tablas!A$1)="","",$F16&amp;INDEX($D29:$D35,Tablas!A$1)))</f>
        <v/>
      </c>
      <c r="AM16" s="3986" t="str">
        <f>IF(AND(ISNUMBER(MATCH($F16,'Tablas Técnicas'!$L$10:$L$644,0)),INDEX($D29:$D35,Tablas!B$1)="",COUNTIF(AN16:$AS16,$F16)=0),$F16,IF(INDEX($D29:$D35,Tablas!B$1)="","",$F16&amp;INDEX($D29:$D35,Tablas!B$1)))</f>
        <v/>
      </c>
      <c r="AN16" s="3986" t="str">
        <f>IF(AND(ISNUMBER(MATCH($F16,'Tablas Técnicas'!$L$10:$L$644,0)),INDEX($D29:$D35,Tablas!C$1)="",COUNTIF(AO16:$AS16,$F16)=0),$F16,IF(INDEX($D29:$D35,Tablas!C$1)="","",$F16&amp;INDEX($D29:$D35,Tablas!C$1)))</f>
        <v/>
      </c>
      <c r="AO16" s="3986" t="str">
        <f>IF(AND(ISNUMBER(MATCH($F16,'Tablas Técnicas'!$L$10:$L$644,0)),INDEX($D29:$D35,Tablas!D$1)="",COUNTIF(AP16:$AS16,$F16)=0),$F16,IF(INDEX($D29:$D35,Tablas!D$1)="","",$F16&amp;INDEX($D29:$D35,Tablas!D$1)))</f>
        <v/>
      </c>
      <c r="AP16" s="3986" t="str">
        <f>IF(AND(ISNUMBER(MATCH($F16,'Tablas Técnicas'!$L$10:$L$644,0)),INDEX($D29:$D35,Tablas!E$1)="",COUNTIF(AQ16:$AS16,$F16)=0),$F16,IF(INDEX($D29:$D35,Tablas!E$1)="","",$F16&amp;INDEX($D29:$D35,Tablas!E$1)))</f>
        <v/>
      </c>
      <c r="AQ16" s="3986" t="str">
        <f>IF(AND(ISNUMBER(MATCH($F16,'Tablas Técnicas'!$L$10:$L$644,0)),INDEX($D29:$D35,Tablas!F$1)="",COUNTIF(AR16:$AS16,$F16)=0),$F16,IF(INDEX($D29:$D35,Tablas!F$1)="","",$F16&amp;INDEX($D29:$D35,Tablas!F$1)))</f>
        <v/>
      </c>
      <c r="AR16" s="3986" t="str">
        <f>IF(AND(ISNUMBER(MATCH($F16,'Tablas Técnicas'!$L$10:$L$644,0)),INDEX($D29:$D35,Tablas!G$1)="",COUNTIF(AS16:$AS16,$F16)=0),$F16,IF(INDEX($D29:$D35,Tablas!G$1)="","",$F16&amp;INDEX($D29:$D35,Tablas!G$1)))</f>
        <v/>
      </c>
      <c r="AS16" s="1868">
        <f>V16+X16+Z16+AB16+AD16+AF16</f>
        <v>0</v>
      </c>
      <c r="AT16" s="1868">
        <f t="array" ref="AT16">SUM(IF($AL16:$AR16='Tablas Técnicas'!$L$10:$L$644,IF(D16="Primario",'Tablas Técnicas'!$E$10:$E$644,'Tablas Técnicas'!$F$10:$F$644)+IF(K16="Sostenimiento menor",'Tablas Técnicas'!$I$10:$I$644,IF(K16="sostenimiento mayor",'Tablas Técnicas'!$J$10:$J$644,0)),0),0)+VALUE(RIGHT(P16,2))+AU16+AV16</f>
        <v>0</v>
      </c>
      <c r="AU16" s="1868">
        <f>IFERROR(IF(V16=0,0,VALUE(MID(Q16,SEARCH("AGI",Q16)+4,1))),0)+IFERROR(IF(X16=0,0,VALUE(MID(Q16,SEARCH("CON",Q16)+4,1))),0)+IFERROR(IF(Z16=0,0,VALUE(MID(Q16,SEARCH("DES",Q16)+4,1))),0)+IFERROR(IF(AB16=0,0,VALUE(MID(Q16,SEARCH("FUE",Q16)+4,1))),0)+IFERROR(IF(AD16=0,0,VALUE(MID(Q16,SEARCH("POD",Q16)+4,1))),0)+IFERROR(IF(AF16=0,0,VALUE(MID(Q16,SEARCH("VOL",Q16)+4,1))),0)</f>
        <v>0</v>
      </c>
      <c r="AV16" s="1868">
        <f>(COUNTIF(AL16:AR16,"*Estado añadido:*")-1)*COUNTIF(AL16:AR16,"*Estado añadido:*")</f>
        <v>0</v>
      </c>
      <c r="AW16" s="1868">
        <f t="array" ref="AW16">SUM(IF($AL16:$AR16='Tablas Técnicas'!$L$10:$L$644,'Tablas Técnicas'!$G$10:$G$644,0))</f>
        <v>0</v>
      </c>
      <c r="AX16" s="3986" t="str">
        <f>IF(F16="","",F16&amp;" ("&amp;IF(AL16="","",SUBSTITUTE(AL16,F16,"")&amp;", ")&amp;IF(AM16="","",SUBSTITUTE(AM16,F16,"")&amp;", ")&amp;IF(AN16="","",SUBSTITUTE(AN16,F16,"")&amp;", ")&amp;IF(AO16="","",SUBSTITUTE(AO16,F16,"")&amp;", ")&amp;IF(AP16="","",SUBSTITUTE(AP16,F16,"")&amp;", ")&amp;IF(AQ16="","",SUBSTITUTE(AQ16,F16,"")&amp;", ")&amp;IF(AR16="","",SUBSTITUTE(AR16,F16,"")&amp;", ")&amp;IF(OR(K16="",K16="-"),"",K16&amp;", "))</f>
        <v/>
      </c>
      <c r="AY16" s="3986" t="str">
        <f>IFERROR(LEFT(AX16,LEN(AX16)-2)&amp;"), ","")</f>
        <v/>
      </c>
      <c r="AZ16" s="1868"/>
      <c r="BA16" s="1868"/>
      <c r="BB16" s="1868"/>
      <c r="BC16" s="1868"/>
      <c r="BD16" s="1868"/>
      <c r="BE16" s="1868"/>
      <c r="BF16" s="1868"/>
      <c r="BG16" s="1868"/>
      <c r="BH16" s="1868"/>
      <c r="BI16" s="1868"/>
      <c r="BJ16" s="1868"/>
      <c r="BK16" s="1868"/>
      <c r="BL16" s="1868"/>
      <c r="BM16" s="1868"/>
      <c r="BN16" s="1868"/>
      <c r="BO16" s="1868"/>
      <c r="BP16" s="1868"/>
      <c r="BQ16" s="1868"/>
      <c r="BR16" s="1868"/>
    </row>
    <row r="17" spans="1:70" ht="12.2" customHeight="1">
      <c r="A17" s="1935"/>
      <c r="B17" s="1866">
        <v>1</v>
      </c>
      <c r="C17" s="6009"/>
      <c r="D17" s="5906" t="s">
        <v>483</v>
      </c>
      <c r="E17" s="5907"/>
      <c r="F17" s="5984"/>
      <c r="G17" s="5985"/>
      <c r="H17" s="5985"/>
      <c r="I17" s="5985"/>
      <c r="J17" s="5902"/>
      <c r="K17" s="5986" t="s">
        <v>1315</v>
      </c>
      <c r="L17" s="5987"/>
      <c r="M17" s="5988"/>
      <c r="N17" s="1716">
        <f>IF(AW17&gt;0,IF(VLOOKUP(F17,'Tablas Técnicas'!$O$9:$X$88,10,0),MAX(5,AW17-5),AW17),0)</f>
        <v>0</v>
      </c>
      <c r="O17" s="1716" t="str">
        <f>AS17&amp;" / "&amp;AT17</f>
        <v>0 / 0</v>
      </c>
      <c r="P17" s="1716" t="str">
        <f t="array" ref="P17">W17+Y17+AA17+AC17+AE17+AG17&amp;" / "&amp;IF(K17&lt;&gt;"Mantenido",0,SUM(IF($AL17:$AR17='Tablas Técnicas'!$L$10:$L$644,'Tablas Técnicas'!$H$10:$H$644,0)))</f>
        <v>0 / 0</v>
      </c>
      <c r="Q17" s="5908" t="str">
        <f>IFERROR(VLOOKUP(F17,'Tablas Técnicas'!$O$9:$T$88,5,FALSE),"")</f>
        <v/>
      </c>
      <c r="R17" s="5908"/>
      <c r="S17" s="5908"/>
      <c r="T17" s="5908"/>
      <c r="U17" s="5908"/>
      <c r="V17" s="1827"/>
      <c r="W17" s="1828"/>
      <c r="X17" s="1827"/>
      <c r="Y17" s="1829"/>
      <c r="Z17" s="1830"/>
      <c r="AA17" s="1828"/>
      <c r="AB17" s="1827"/>
      <c r="AC17" s="1829"/>
      <c r="AD17" s="1830"/>
      <c r="AE17" s="1828"/>
      <c r="AF17" s="1827"/>
      <c r="AG17" s="1831"/>
      <c r="AH17" s="1943"/>
      <c r="AI17" s="6011"/>
      <c r="AJ17" s="3986">
        <v>2</v>
      </c>
      <c r="AK17" s="3986">
        <f>P12</f>
        <v>1</v>
      </c>
      <c r="AL17" s="3986" t="str">
        <f>IF(AND(ISNUMBER(MATCH($F17,'Tablas Técnicas'!$L$10:$L$644,0)),INDEX($J29:$J35,Tablas!A$1)="",COUNTIF(AM17:$AS17,$F17)=0),$F17,IF(INDEX($J29:$J35,Tablas!A$1)="","",$F17&amp;INDEX($J29:$J35,Tablas!A$1)))</f>
        <v/>
      </c>
      <c r="AM17" s="3986" t="str">
        <f>IF(AND(ISNUMBER(MATCH($F17,'Tablas Técnicas'!$L$10:$L$644,0)),INDEX($J29:$J35,Tablas!B$1)="",COUNTIF(AN17:$AS17,$F17)=0),$F17,IF(INDEX($J29:$J35,Tablas!B$1)="","",$F17&amp;INDEX($J29:$J35,Tablas!B$1)))</f>
        <v/>
      </c>
      <c r="AN17" s="3986" t="str">
        <f>IF(AND(ISNUMBER(MATCH($F17,'Tablas Técnicas'!$L$10:$L$644,0)),INDEX($J29:$J35,Tablas!C$1)="",COUNTIF(AO17:$AS17,$F17)=0),$F17,IF(INDEX($J29:$J35,Tablas!C$1)="","",$F17&amp;INDEX($J29:$J35,Tablas!C$1)))</f>
        <v/>
      </c>
      <c r="AO17" s="3986" t="str">
        <f>IF(AND(ISNUMBER(MATCH($F17,'Tablas Técnicas'!$L$10:$L$644,0)),INDEX($J29:$J35,Tablas!D$1)="",COUNTIF(AP17:$AS17,$F17)=0),$F17,IF(INDEX($J29:$J35,Tablas!D$1)="","",$F17&amp;INDEX($J29:$J35,Tablas!D$1)))</f>
        <v/>
      </c>
      <c r="AP17" s="3986" t="str">
        <f>IF(AND(ISNUMBER(MATCH($F17,'Tablas Técnicas'!$L$10:$L$644,0)),INDEX($J29:$J35,Tablas!E$1)="",COUNTIF(AQ17:$AS17,$F17)=0),$F17,IF(INDEX($J29:$J35,Tablas!E$1)="","",$F17&amp;INDEX($J29:$J35,Tablas!E$1)))</f>
        <v/>
      </c>
      <c r="AQ17" s="3986" t="str">
        <f>IF(AND(ISNUMBER(MATCH($F17,'Tablas Técnicas'!$L$10:$L$644,0)),INDEX($J29:$J35,Tablas!F$1)="",COUNTIF(AR17:$AS17,$F17)=0),$F17,IF(INDEX($J29:$J35,Tablas!F$1)="","",$F17&amp;INDEX($J29:$J35,Tablas!F$1)))</f>
        <v/>
      </c>
      <c r="AR17" s="3986" t="str">
        <f>IF(AND(ISNUMBER(MATCH($F17,'Tablas Técnicas'!$L$10:$L$644,0)),INDEX($J29:$J35,Tablas!G$1)="",COUNTIF(AS17:$AS17,$F17)=0),$F17,IF(INDEX($J29:$J35,Tablas!G$1)="","",$F17&amp;INDEX($J29:$J35,Tablas!G$1)))</f>
        <v/>
      </c>
      <c r="AS17" s="1868">
        <f>V17+X17+Z17+AB17+AD17+AF17</f>
        <v>0</v>
      </c>
      <c r="AT17" s="1868">
        <f t="array" ref="AT17">SUM(IF($AL17:$AR17='Tablas Técnicas'!$L$10:$L$644,IF(D17="Primario",'Tablas Técnicas'!$E$10:$E$644,'Tablas Técnicas'!$F$10:$F$644)+IF(K17="Sostenimiento menor",'Tablas Técnicas'!$I$10:$I$644,IF(K17="sostenimiento mayor",'Tablas Técnicas'!$J$10:$J$644,0)),0),0)+VALUE(RIGHT(P17,2))+AU17+AV17</f>
        <v>0</v>
      </c>
      <c r="AU17" s="1868">
        <f>IFERROR(IF(V17=0,0,VALUE(MID(Q17,SEARCH("AGI",Q17)+4,1))),0)+IFERROR(IF(X17=0,0,VALUE(MID(Q17,SEARCH("CON",Q17)+4,1))),0)+IFERROR(IF(Z17=0,0,VALUE(MID(Q17,SEARCH("DES",Q17)+4,1))),0)+IFERROR(IF(AB17=0,0,VALUE(MID(Q17,SEARCH("FUE",Q17)+4,1))),0)+IFERROR(IF(AD17=0,0,VALUE(MID(Q17,SEARCH("POD",Q17)+4,1))),0)+IFERROR(IF(AF17=0,0,VALUE(MID(Q17,SEARCH("VOL",Q17)+4,1))),0)</f>
        <v>0</v>
      </c>
      <c r="AV17" s="1868">
        <f>(COUNTIF(AL17:AR17,"*Estado añadido:*")-1)*COUNTIF(AL17:AR17,"*Estado añadido:*")</f>
        <v>0</v>
      </c>
      <c r="AW17" s="1868">
        <f t="array" ref="AW17">SUM(IF($AL17:$AR17='Tablas Técnicas'!$L$10:$L$644,'Tablas Técnicas'!$G$10:$G$644,0))</f>
        <v>0</v>
      </c>
      <c r="AX17" s="3986" t="str">
        <f>IF(F17="","",F17&amp;" ("&amp;IF(AL17="","",SUBSTITUTE(AL17,F17,"")&amp;", ")&amp;IF(AM17="","",SUBSTITUTE(AM17,F17,"")&amp;", ")&amp;IF(AN17="","",SUBSTITUTE(AN17,F17,"")&amp;", ")&amp;IF(AO17="","",SUBSTITUTE(AO17,F17,"")&amp;", ")&amp;IF(AP17="","",SUBSTITUTE(AP17,F17,"")&amp;", ")&amp;IF(AQ17="","",SUBSTITUTE(AQ17,F17,"")&amp;", ")&amp;IF(AR17="","",SUBSTITUTE(AR17,F17,"")&amp;", ")&amp;IF(OR(K17="",K17="-"),"",K17&amp;", "))</f>
        <v/>
      </c>
      <c r="AY17" s="3986" t="str">
        <f>IFERROR(LEFT(AX17,LEN(AX17)-2)&amp;"), ","")</f>
        <v/>
      </c>
      <c r="AZ17" s="1868"/>
      <c r="BA17" s="1868"/>
      <c r="BB17" s="1868"/>
      <c r="BC17" s="1868"/>
      <c r="BD17" s="1868"/>
      <c r="BE17" s="1868"/>
      <c r="BF17" s="1868"/>
      <c r="BG17" s="1868"/>
      <c r="BH17" s="1868"/>
      <c r="BI17" s="1868"/>
      <c r="BJ17" s="1868"/>
      <c r="BK17" s="1868"/>
      <c r="BL17" s="1868"/>
      <c r="BM17" s="1868"/>
      <c r="BN17" s="1868"/>
      <c r="BO17" s="1868"/>
      <c r="BP17" s="1868"/>
      <c r="BQ17" s="1868"/>
      <c r="BR17" s="1868"/>
    </row>
    <row r="18" spans="1:70" ht="12.2" customHeight="1">
      <c r="A18" s="1935"/>
      <c r="B18" s="1866">
        <v>1</v>
      </c>
      <c r="C18" s="6009"/>
      <c r="D18" s="6000" t="s">
        <v>483</v>
      </c>
      <c r="E18" s="6001"/>
      <c r="F18" s="5899"/>
      <c r="G18" s="5900"/>
      <c r="H18" s="5900"/>
      <c r="I18" s="5900"/>
      <c r="J18" s="5901"/>
      <c r="K18" s="5997" t="s">
        <v>1315</v>
      </c>
      <c r="L18" s="5998"/>
      <c r="M18" s="5999"/>
      <c r="N18" s="1712">
        <f>IF(AW18&gt;0,IF(VLOOKUP(F18,'Tablas Técnicas'!$O$9:$X$88,10,0),MAX(5,AW18-5),AW18),0)</f>
        <v>0</v>
      </c>
      <c r="O18" s="1712" t="str">
        <f>AS18&amp;" / "&amp;AT18</f>
        <v>0 / 0</v>
      </c>
      <c r="P18" s="1712" t="str">
        <f t="array" ref="P18">W18+Y18+AA18+AC18+AE18+AG18&amp;" / "&amp;IF(K18&lt;&gt;"Mantenido",0,SUM(IF($AL18:$AR18='Tablas Técnicas'!$L$10:$L$644,'Tablas Técnicas'!$H$10:$H$644,0)))</f>
        <v>0 / 0</v>
      </c>
      <c r="Q18" s="6002" t="str">
        <f>IFERROR(VLOOKUP(F18,'Tablas Técnicas'!$O$9:$T$88,5,FALSE),"")</f>
        <v/>
      </c>
      <c r="R18" s="6002"/>
      <c r="S18" s="6002"/>
      <c r="T18" s="6002"/>
      <c r="U18" s="6002"/>
      <c r="V18" s="1832"/>
      <c r="W18" s="1833"/>
      <c r="X18" s="1832"/>
      <c r="Y18" s="1834"/>
      <c r="Z18" s="1835"/>
      <c r="AA18" s="1833"/>
      <c r="AB18" s="1832"/>
      <c r="AC18" s="1834"/>
      <c r="AD18" s="1835"/>
      <c r="AE18" s="1833"/>
      <c r="AF18" s="1832"/>
      <c r="AG18" s="1836"/>
      <c r="AH18" s="1943"/>
      <c r="AI18" s="6011"/>
      <c r="AJ18" s="3986">
        <v>3</v>
      </c>
      <c r="AK18" s="3986">
        <f>P12</f>
        <v>1</v>
      </c>
      <c r="AL18" s="3986" t="str">
        <f>IF(AND(ISNUMBER(MATCH($F18,'Tablas Técnicas'!$L$10:$L$644,0)),INDEX($P29:$P35,Tablas!A$1)="",COUNTIF(AM18:$AS18,$F18)=0),$F18,IF(INDEX($P29:$P35,Tablas!A$1)="","",$F18&amp;INDEX($P29:$P35,Tablas!A$1)))</f>
        <v/>
      </c>
      <c r="AM18" s="3986" t="str">
        <f>IF(AND(ISNUMBER(MATCH($F18,'Tablas Técnicas'!$L$10:$L$644,0)),INDEX($P29:$P35,Tablas!B$1)="",COUNTIF(AN18:$AS18,$F18)=0),$F18,IF(INDEX($P29:$P35,Tablas!B$1)="","",$F18&amp;INDEX($P29:$P35,Tablas!B$1)))</f>
        <v/>
      </c>
      <c r="AN18" s="3986" t="str">
        <f>IF(AND(ISNUMBER(MATCH($F18,'Tablas Técnicas'!$L$10:$L$644,0)),INDEX($P29:$P35,Tablas!C$1)="",COUNTIF(AO18:$AS18,$F18)=0),$F18,IF(INDEX($P29:$P35,Tablas!C$1)="","",$F18&amp;INDEX($P29:$P35,Tablas!C$1)))</f>
        <v/>
      </c>
      <c r="AO18" s="3986" t="str">
        <f>IF(AND(ISNUMBER(MATCH($F18,'Tablas Técnicas'!$L$10:$L$644,0)),INDEX($P29:$P35,Tablas!D$1)="",COUNTIF(AP18:$AS18,$F18)=0),$F18,IF(INDEX($P29:$P35,Tablas!D$1)="","",$F18&amp;INDEX($P29:$P35,Tablas!D$1)))</f>
        <v/>
      </c>
      <c r="AP18" s="3986" t="str">
        <f>IF(AND(ISNUMBER(MATCH($F18,'Tablas Técnicas'!$L$10:$L$644,0)),INDEX($P29:$P35,Tablas!E$1)="",COUNTIF(AQ18:$AS18,$F18)=0),$F18,IF(INDEX($P29:$P35,Tablas!E$1)="","",$F18&amp;INDEX($P29:$P35,Tablas!E$1)))</f>
        <v/>
      </c>
      <c r="AQ18" s="3986" t="str">
        <f>IF(AND(ISNUMBER(MATCH($F18,'Tablas Técnicas'!$L$10:$L$644,0)),INDEX($P29:$P35,Tablas!F$1)="",COUNTIF(AR18:$AS18,$F18)=0),$F18,IF(INDEX($P29:$P35,Tablas!F$1)="","",$F18&amp;INDEX($P29:$P35,Tablas!F$1)))</f>
        <v/>
      </c>
      <c r="AR18" s="3986" t="str">
        <f>IF(AND(ISNUMBER(MATCH($F18,'Tablas Técnicas'!$L$10:$L$644,0)),INDEX($P29:$P35,Tablas!G$1)="",COUNTIF(AS18:$AS18,$F18)=0),$F18,IF(INDEX($P29:$P35,Tablas!G$1)="","",$F18&amp;INDEX($P29:$P35,Tablas!G$1)))</f>
        <v/>
      </c>
      <c r="AS18" s="1868">
        <f>V18+X18+Z18+AB18+AD18+AF18</f>
        <v>0</v>
      </c>
      <c r="AT18" s="1868">
        <f t="array" ref="AT18">SUM(IF($AL18:$AR18='Tablas Técnicas'!$L$10:$L$644,IF(D18="Primario",'Tablas Técnicas'!$E$10:$E$644,'Tablas Técnicas'!$F$10:$F$644)+IF(K18="Sostenimiento menor",'Tablas Técnicas'!$I$10:$I$644,IF(K18="sostenimiento mayor",'Tablas Técnicas'!$J$10:$J$644,0)),0),0)+VALUE(RIGHT(P18,2))+AU18+AV18</f>
        <v>0</v>
      </c>
      <c r="AU18" s="1868">
        <f>IFERROR(IF(V18=0,0,VALUE(MID(Q18,SEARCH("AGI",Q18)+4,1))),0)+IFERROR(IF(X18=0,0,VALUE(MID(Q18,SEARCH("CON",Q18)+4,1))),0)+IFERROR(IF(Z18=0,0,VALUE(MID(Q18,SEARCH("DES",Q18)+4,1))),0)+IFERROR(IF(AB18=0,0,VALUE(MID(Q18,SEARCH("FUE",Q18)+4,1))),0)+IFERROR(IF(AD18=0,0,VALUE(MID(Q18,SEARCH("POD",Q18)+4,1))),0)+IFERROR(IF(AF18=0,0,VALUE(MID(Q18,SEARCH("VOL",Q18)+4,1))),0)</f>
        <v>0</v>
      </c>
      <c r="AV18" s="1868">
        <f>(COUNTIF(AL18:AR18,"*Estado añadido:*")-1)*COUNTIF(AL18:AR18,"*Estado añadido:*")</f>
        <v>0</v>
      </c>
      <c r="AW18" s="1868">
        <f t="array" ref="AW18">SUM(IF($AL18:$AR18='Tablas Técnicas'!$L$10:$L$644,'Tablas Técnicas'!$G$10:$G$644,0))</f>
        <v>0</v>
      </c>
      <c r="AX18" s="3986" t="str">
        <f>IF(F18="","",F18&amp;" ("&amp;IF(AL18="","",SUBSTITUTE(AL18,F18,"")&amp;", ")&amp;IF(AM18="","",SUBSTITUTE(AM18,F18,"")&amp;", ")&amp;IF(AN18="","",SUBSTITUTE(AN18,F18,"")&amp;", ")&amp;IF(AO18="","",SUBSTITUTE(AO18,F18,"")&amp;", ")&amp;IF(AP18="","",SUBSTITUTE(AP18,F18,"")&amp;", ")&amp;IF(AQ18="","",SUBSTITUTE(AQ18,F18,"")&amp;", ")&amp;IF(AR18="","",SUBSTITUTE(AR18,F18,"")&amp;", ")&amp;IF(OR(K18="",K18="-"),"",K18&amp;", "))</f>
        <v/>
      </c>
      <c r="AY18" s="3986" t="str">
        <f>IFERROR(LEFT(AX18,LEN(AX18)-2)&amp;"), ","")</f>
        <v/>
      </c>
      <c r="AZ18" s="1868"/>
      <c r="BA18" s="1868"/>
      <c r="BB18" s="1868"/>
      <c r="BC18" s="1868"/>
      <c r="BD18" s="1868"/>
      <c r="BE18" s="1868"/>
      <c r="BF18" s="1868"/>
      <c r="BG18" s="1868"/>
      <c r="BH18" s="1868"/>
      <c r="BI18" s="1868"/>
      <c r="BJ18" s="1868"/>
      <c r="BK18" s="1868"/>
      <c r="BL18" s="1868"/>
      <c r="BM18" s="1868"/>
      <c r="BN18" s="1868"/>
      <c r="BO18" s="1868"/>
      <c r="BP18" s="1868"/>
      <c r="BQ18" s="1868"/>
      <c r="BR18" s="1868"/>
    </row>
    <row r="19" spans="1:70" ht="12.2" customHeight="1">
      <c r="A19" s="1935"/>
      <c r="B19" s="1866">
        <v>1</v>
      </c>
      <c r="C19" s="6009"/>
      <c r="D19" s="5906" t="s">
        <v>483</v>
      </c>
      <c r="E19" s="5907"/>
      <c r="F19" s="5984"/>
      <c r="G19" s="5985"/>
      <c r="H19" s="5985"/>
      <c r="I19" s="5985"/>
      <c r="J19" s="5902"/>
      <c r="K19" s="5986" t="s">
        <v>1315</v>
      </c>
      <c r="L19" s="5987"/>
      <c r="M19" s="5988"/>
      <c r="N19" s="1716">
        <f>IF(AW19&gt;0,IF(VLOOKUP(F19,'Tablas Técnicas'!$O$9:$X$88,10,0),MAX(5,AW19-5),AW19),0)</f>
        <v>0</v>
      </c>
      <c r="O19" s="1716" t="str">
        <f>AS19&amp;" / "&amp;AT19</f>
        <v>0 / 0</v>
      </c>
      <c r="P19" s="1716" t="str">
        <f t="array" ref="P19">W19+Y19+AA19+AC19+AE19+AG19&amp;" / "&amp;IF(K19&lt;&gt;"Mantenido",0,SUM(IF($AL19:$AR19='Tablas Técnicas'!$L$10:$L$644,'Tablas Técnicas'!$H$10:$H$644,0)))</f>
        <v>0 / 0</v>
      </c>
      <c r="Q19" s="5908" t="str">
        <f>IFERROR(VLOOKUP(F19,'Tablas Técnicas'!$O$9:$T$88,5,FALSE),"")</f>
        <v/>
      </c>
      <c r="R19" s="5908"/>
      <c r="S19" s="5908"/>
      <c r="T19" s="5908"/>
      <c r="U19" s="5908"/>
      <c r="V19" s="1827"/>
      <c r="W19" s="1828"/>
      <c r="X19" s="1827"/>
      <c r="Y19" s="1829"/>
      <c r="Z19" s="1830"/>
      <c r="AA19" s="1828"/>
      <c r="AB19" s="1827"/>
      <c r="AC19" s="1829"/>
      <c r="AD19" s="1830"/>
      <c r="AE19" s="1828"/>
      <c r="AF19" s="1827"/>
      <c r="AG19" s="1831"/>
      <c r="AH19" s="1943"/>
      <c r="AI19" s="6011"/>
      <c r="AJ19" s="3986">
        <v>4</v>
      </c>
      <c r="AK19" s="3986">
        <f>P12</f>
        <v>1</v>
      </c>
      <c r="AL19" s="3986" t="str">
        <f>IF(AND(ISNUMBER(MATCH($F19,'Tablas Técnicas'!$L$10:$L$644,0)),INDEX($V29:$V35,Tablas!A$1)="",COUNTIF(AM19:$AS19,$F19)=0),$F19,IF(INDEX($V29:$V35,Tablas!A$1)="","",$F19&amp;INDEX($V29:$V35,Tablas!A$1)))</f>
        <v/>
      </c>
      <c r="AM19" s="3986" t="str">
        <f>IF(AND(ISNUMBER(MATCH($F19,'Tablas Técnicas'!$L$10:$L$644,0)),INDEX($V29:$V35,Tablas!B$1)="",COUNTIF(AN19:$AS19,$F19)=0),$F19,IF(INDEX($V29:$V35,Tablas!B$1)="","",$F19&amp;INDEX($V29:$V35,Tablas!B$1)))</f>
        <v/>
      </c>
      <c r="AN19" s="3986" t="str">
        <f>IF(AND(ISNUMBER(MATCH($F19,'Tablas Técnicas'!$L$10:$L$644,0)),INDEX($V29:$V35,Tablas!C$1)="",COUNTIF(AO19:$AS19,$F19)=0),$F19,IF(INDEX($V29:$V35,Tablas!C$1)="","",$F19&amp;INDEX($V29:$V35,Tablas!C$1)))</f>
        <v/>
      </c>
      <c r="AO19" s="3986" t="str">
        <f>IF(AND(ISNUMBER(MATCH($F19,'Tablas Técnicas'!$L$10:$L$644,0)),INDEX($V29:$V35,Tablas!D$1)="",COUNTIF(AP19:$AS19,$F19)=0),$F19,IF(INDEX($V29:$V35,Tablas!D$1)="","",$F19&amp;INDEX($V29:$V35,Tablas!D$1)))</f>
        <v/>
      </c>
      <c r="AP19" s="3986" t="str">
        <f>IF(AND(ISNUMBER(MATCH($F19,'Tablas Técnicas'!$L$10:$L$644,0)),INDEX($V29:$V35,Tablas!E$1)="",COUNTIF(AQ19:$AS19,$F19)=0),$F19,IF(INDEX($V29:$V35,Tablas!E$1)="","",$F19&amp;INDEX($V29:$V35,Tablas!E$1)))</f>
        <v/>
      </c>
      <c r="AQ19" s="3986" t="str">
        <f>IF(AND(ISNUMBER(MATCH($F19,'Tablas Técnicas'!$L$10:$L$644,0)),INDEX($V29:$V35,Tablas!F$1)="",COUNTIF(AR19:$AS19,$F19)=0),$F19,IF(INDEX($V29:$V35,Tablas!F$1)="","",$F19&amp;INDEX($V29:$V35,Tablas!F$1)))</f>
        <v/>
      </c>
      <c r="AR19" s="3986" t="str">
        <f>IF(AND(ISNUMBER(MATCH($F19,'Tablas Técnicas'!$L$10:$L$644,0)),INDEX($V29:$V35,Tablas!G$1)="",COUNTIF(AS19:$AS19,$F19)=0),$F19,IF(INDEX($V29:$V35,Tablas!G$1)="","",$F19&amp;INDEX($V29:$V35,Tablas!G$1)))</f>
        <v/>
      </c>
      <c r="AS19" s="1868">
        <f>V19+X19+Z19+AB19+AD19+AF19</f>
        <v>0</v>
      </c>
      <c r="AT19" s="1868">
        <f t="array" ref="AT19">SUM(IF($AL19:$AR19='Tablas Técnicas'!$L$10:$L$644,IF(D19="Primario",'Tablas Técnicas'!$E$10:$E$644,'Tablas Técnicas'!$F$10:$F$644)+IF(K19="Sostenimiento menor",'Tablas Técnicas'!$I$10:$I$644,IF(K19="sostenimiento mayor",'Tablas Técnicas'!$J$10:$J$644,0)),0),0)+VALUE(RIGHT(P19,2))+AU19+AV19</f>
        <v>0</v>
      </c>
      <c r="AU19" s="1868">
        <f>IFERROR(IF(V19=0,0,VALUE(MID(Q19,SEARCH("AGI",Q19)+4,1))),0)+IFERROR(IF(X19=0,0,VALUE(MID(Q19,SEARCH("CON",Q19)+4,1))),0)+IFERROR(IF(Z19=0,0,VALUE(MID(Q19,SEARCH("DES",Q19)+4,1))),0)+IFERROR(IF(AB19=0,0,VALUE(MID(Q19,SEARCH("FUE",Q19)+4,1))),0)+IFERROR(IF(AD19=0,0,VALUE(MID(Q19,SEARCH("POD",Q19)+4,1))),0)+IFERROR(IF(AF19=0,0,VALUE(MID(Q19,SEARCH("VOL",Q19)+4,1))),0)</f>
        <v>0</v>
      </c>
      <c r="AV19" s="1868">
        <f>(COUNTIF(AL19:AR19,"*Estado añadido:*")-1)*COUNTIF(AL19:AR19,"*Estado añadido:*")</f>
        <v>0</v>
      </c>
      <c r="AW19" s="1868">
        <f t="array" ref="AW19">SUM(IF($AL19:$AR19='Tablas Técnicas'!$L$10:$L$644,'Tablas Técnicas'!$G$10:$G$644,0))</f>
        <v>0</v>
      </c>
      <c r="AX19" s="3986" t="str">
        <f>IF(F19="","",F19&amp;" ("&amp;IF(AL19="","",SUBSTITUTE(AL19,F19,"")&amp;", ")&amp;IF(AM19="","",SUBSTITUTE(AM19,F19,"")&amp;", ")&amp;IF(AN19="","",SUBSTITUTE(AN19,F19,"")&amp;", ")&amp;IF(AO19="","",SUBSTITUTE(AO19,F19,"")&amp;", ")&amp;IF(AP19="","",SUBSTITUTE(AP19,F19,"")&amp;", ")&amp;IF(AQ19="","",SUBSTITUTE(AQ19,F19,"")&amp;", ")&amp;IF(AR19="","",SUBSTITUTE(AR19,F19,"")&amp;", ")&amp;IF(OR(K19="",K19="-"),"",K19&amp;", "))</f>
        <v/>
      </c>
      <c r="AY19" s="3986" t="str">
        <f>IFERROR(LEFT(AX19,LEN(AX19)-2)&amp;"), ","")</f>
        <v/>
      </c>
      <c r="AZ19" s="1868"/>
      <c r="BA19" s="1868"/>
      <c r="BB19" s="1868"/>
      <c r="BC19" s="1868"/>
      <c r="BD19" s="1868"/>
      <c r="BE19" s="1868"/>
      <c r="BF19" s="1868"/>
      <c r="BG19" s="1868"/>
      <c r="BH19" s="1868"/>
      <c r="BI19" s="1868"/>
      <c r="BJ19" s="1868"/>
      <c r="BK19" s="1868"/>
      <c r="BL19" s="1868"/>
      <c r="BM19" s="1868"/>
      <c r="BN19" s="1868"/>
      <c r="BO19" s="1868"/>
      <c r="BP19" s="1868"/>
      <c r="BQ19" s="1868"/>
      <c r="BR19" s="1868"/>
    </row>
    <row r="20" spans="1:70" ht="12.2" customHeight="1" thickBot="1">
      <c r="A20" s="1935"/>
      <c r="B20" s="1866">
        <v>1</v>
      </c>
      <c r="C20" s="6009"/>
      <c r="D20" s="5909" t="s">
        <v>483</v>
      </c>
      <c r="E20" s="5910"/>
      <c r="F20" s="6005"/>
      <c r="G20" s="6006"/>
      <c r="H20" s="6006"/>
      <c r="I20" s="6006"/>
      <c r="J20" s="6007"/>
      <c r="K20" s="5994" t="s">
        <v>1315</v>
      </c>
      <c r="L20" s="5995"/>
      <c r="M20" s="5996"/>
      <c r="N20" s="2170">
        <f>IF(AW20&gt;0,IF(VLOOKUP(F20,'Tablas Técnicas'!$O$9:$X$88,10,0),MAX(5,AW20-5),AW20),0)</f>
        <v>0</v>
      </c>
      <c r="O20" s="2170" t="str">
        <f>AS20&amp;" / "&amp;AT20</f>
        <v>0 / 0</v>
      </c>
      <c r="P20" s="2170" t="str">
        <f t="array" ref="P20">W20+Y20+AA20+AC20+AE20+AG20&amp;" / "&amp;IF(K20&lt;&gt;"Mantenido",0,SUM(IF($AL20:$AR20='Tablas Técnicas'!$L$10:$L$644,'Tablas Técnicas'!$H$10:$H$644,0)))</f>
        <v>0 / 0</v>
      </c>
      <c r="Q20" s="5913" t="str">
        <f>IFERROR(VLOOKUP(F20,'Tablas Técnicas'!$O$9:$T$88,5,FALSE),"")</f>
        <v/>
      </c>
      <c r="R20" s="5913"/>
      <c r="S20" s="5913"/>
      <c r="T20" s="5913"/>
      <c r="U20" s="5913"/>
      <c r="V20" s="1837"/>
      <c r="W20" s="1838"/>
      <c r="X20" s="1837"/>
      <c r="Y20" s="1839"/>
      <c r="Z20" s="1840"/>
      <c r="AA20" s="1838"/>
      <c r="AB20" s="1837"/>
      <c r="AC20" s="1839"/>
      <c r="AD20" s="1840"/>
      <c r="AE20" s="1838"/>
      <c r="AF20" s="1837"/>
      <c r="AG20" s="1841"/>
      <c r="AH20" s="1943"/>
      <c r="AI20" s="6011"/>
      <c r="AJ20" s="3986">
        <v>5</v>
      </c>
      <c r="AK20" s="3986">
        <f>P12</f>
        <v>1</v>
      </c>
      <c r="AL20" s="3986" t="str">
        <f>IF(AND(ISNUMBER(MATCH($F20,'Tablas Técnicas'!$L$10:$L$644,0)),INDEX($AB29:$AB35,Tablas!A$1)="",COUNTIF(AM20:$AS20,$F20)=0),$F20,IF(INDEX($AB29:$AB35,Tablas!A$1)="","",$F20&amp;INDEX($AB29:$AB35,Tablas!A$1)))</f>
        <v/>
      </c>
      <c r="AM20" s="3986" t="str">
        <f>IF(AND(ISNUMBER(MATCH($F20,'Tablas Técnicas'!$L$10:$L$644,0)),INDEX($AB29:$AB35,Tablas!B$1)="",COUNTIF(AN20:$AS20,$F20)=0),$F20,IF(INDEX($AB29:$AB35,Tablas!B$1)="","",$F20&amp;INDEX($AB29:$AB35,Tablas!B$1)))</f>
        <v/>
      </c>
      <c r="AN20" s="3986" t="str">
        <f>IF(AND(ISNUMBER(MATCH($F20,'Tablas Técnicas'!$L$10:$L$644,0)),INDEX($AB29:$AB35,Tablas!C$1)="",COUNTIF(AO20:$AS20,$F20)=0),$F20,IF(INDEX($AB29:$AB35,Tablas!C$1)="","",$F20&amp;INDEX($AB29:$AB35,Tablas!C$1)))</f>
        <v/>
      </c>
      <c r="AO20" s="3986" t="str">
        <f>IF(AND(ISNUMBER(MATCH($F20,'Tablas Técnicas'!$L$10:$L$644,0)),INDEX($AB29:$AB35,Tablas!D$1)="",COUNTIF(AP20:$AS20,$F20)=0),$F20,IF(INDEX($AB29:$AB35,Tablas!D$1)="","",$F20&amp;INDEX($AB29:$AB35,Tablas!D$1)))</f>
        <v/>
      </c>
      <c r="AP20" s="3986" t="str">
        <f>IF(AND(ISNUMBER(MATCH($F20,'Tablas Técnicas'!$L$10:$L$644,0)),INDEX($AB29:$AB35,Tablas!E$1)="",COUNTIF(AQ20:$AS20,$F20)=0),$F20,IF(INDEX($AB29:$AB35,Tablas!E$1)="","",$F20&amp;INDEX($AB29:$AB35,Tablas!E$1)))</f>
        <v/>
      </c>
      <c r="AQ20" s="3986" t="str">
        <f>IF(AND(ISNUMBER(MATCH($F20,'Tablas Técnicas'!$L$10:$L$644,0)),INDEX($AB29:$AB35,Tablas!F$1)="",COUNTIF(AR20:$AS20,$F20)=0),$F20,IF(INDEX($AB29:$AB35,Tablas!F$1)="","",$F20&amp;INDEX($AB29:$AB35,Tablas!F$1)))</f>
        <v/>
      </c>
      <c r="AR20" s="3986" t="str">
        <f>IF(AND(ISNUMBER(MATCH($F20,'Tablas Técnicas'!$L$10:$L$644,0)),INDEX($AB29:$AB35,Tablas!G$1)="",COUNTIF(AS20:$AS20,$F20)=0),$F20,IF(INDEX($AB29:$AB35,Tablas!G$1)="","",$F20&amp;INDEX($AB29:$AB35,Tablas!G$1)))</f>
        <v/>
      </c>
      <c r="AS20" s="1868">
        <f>V20+X20+Z20+AB20+AD20+AF20</f>
        <v>0</v>
      </c>
      <c r="AT20" s="1868">
        <f t="array" ref="AT20">SUM(IF($AL20:$AR20='Tablas Técnicas'!$L$10:$L$644,IF(D20="Primario",'Tablas Técnicas'!$E$10:$E$644,'Tablas Técnicas'!$F$10:$F$644)+IF(K20="Sostenimiento menor",'Tablas Técnicas'!$I$10:$I$644,IF(K20="sostenimiento mayor",'Tablas Técnicas'!$J$10:$J$644,0)),0),0)+VALUE(RIGHT(P20,2))+AU20+AV20</f>
        <v>0</v>
      </c>
      <c r="AU20" s="1868">
        <f>IFERROR(IF(V20=0,0,VALUE(MID(Q20,SEARCH("AGI",Q20)+4,1))),0)+IFERROR(IF(X20=0,0,VALUE(MID(Q20,SEARCH("CON",Q20)+4,1))),0)+IFERROR(IF(Z20=0,0,VALUE(MID(Q20,SEARCH("DES",Q20)+4,1))),0)+IFERROR(IF(AB20=0,0,VALUE(MID(Q20,SEARCH("FUE",Q20)+4,1))),0)+IFERROR(IF(AD20=0,0,VALUE(MID(Q20,SEARCH("POD",Q20)+4,1))),0)+IFERROR(IF(AF20=0,0,VALUE(MID(Q20,SEARCH("VOL",Q20)+4,1))),0)</f>
        <v>0</v>
      </c>
      <c r="AV20" s="1868">
        <f>(COUNTIF(AL20:AR20,"*Estado añadido:*")-1)*COUNTIF(AL20:AR20,"*Estado añadido:*")</f>
        <v>0</v>
      </c>
      <c r="AW20" s="1868">
        <f t="array" ref="AW20">SUM(IF($AL20:$AR20='Tablas Técnicas'!$L$10:$L$644,'Tablas Técnicas'!$G$10:$G$644,0))</f>
        <v>0</v>
      </c>
      <c r="AX20" s="3986" t="str">
        <f>IF(F20="","",F20&amp;" ("&amp;IF(AL20="","",SUBSTITUTE(AL20,F20,"")&amp;", ")&amp;IF(AM20="","",SUBSTITUTE(AM20,F20,"")&amp;", ")&amp;IF(AN20="","",SUBSTITUTE(AN20,F20,"")&amp;", ")&amp;IF(AO20="","",SUBSTITUTE(AO20,F20,"")&amp;", ")&amp;IF(AP20="","",SUBSTITUTE(AP20,F20,"")&amp;", ")&amp;IF(AQ20="","",SUBSTITUTE(AQ20,F20,"")&amp;", ")&amp;IF(AR20="","",SUBSTITUTE(AR20,F20,"")&amp;", ")&amp;IF(OR(K20="",K20="-"),"",K20&amp;", "))</f>
        <v/>
      </c>
      <c r="AY20" s="3986" t="str">
        <f>IFERROR(LEFT(AX20,LEN(AX20)-2)&amp;"), ","")</f>
        <v/>
      </c>
      <c r="AZ20" s="1868"/>
      <c r="BA20" s="1868"/>
      <c r="BB20" s="1868"/>
      <c r="BC20" s="1868"/>
      <c r="BD20" s="1868"/>
      <c r="BE20" s="1868"/>
      <c r="BF20" s="1868"/>
      <c r="BG20" s="1868"/>
      <c r="BH20" s="1868"/>
      <c r="BI20" s="1868"/>
      <c r="BJ20" s="1868"/>
      <c r="BK20" s="1868"/>
      <c r="BL20" s="1868"/>
      <c r="BM20" s="1868"/>
      <c r="BN20" s="1868"/>
      <c r="BO20" s="1868"/>
      <c r="BP20" s="1868"/>
      <c r="BQ20" s="1868"/>
      <c r="BR20" s="1868"/>
    </row>
    <row r="21" spans="1:70" ht="12.2" customHeight="1">
      <c r="A21" s="1935"/>
      <c r="B21" s="1866">
        <v>1</v>
      </c>
      <c r="C21" s="6009"/>
      <c r="D21" s="5961" t="s">
        <v>2657</v>
      </c>
      <c r="E21" s="5962"/>
      <c r="F21" s="5957"/>
      <c r="G21" s="5958"/>
      <c r="H21" s="5958"/>
      <c r="I21" s="5958"/>
      <c r="J21" s="5959"/>
      <c r="K21" s="5931"/>
      <c r="L21" s="5937"/>
      <c r="M21" s="5938"/>
      <c r="N21" s="4286" t="str">
        <f>IFERROR(INDEX('Tablas Técnicas'!$Q$152:$Q$267,MATCH(F21&amp;K21,'Tablas Técnicas'!$S$152:$S$267,0)),"")</f>
        <v/>
      </c>
      <c r="O21" s="5939"/>
      <c r="P21" s="5940"/>
      <c r="Q21" s="5941"/>
      <c r="R21" s="5940"/>
      <c r="S21" s="4287" t="str">
        <f>IFERROR("Nivel: "&amp;MAX(1,INDEX('Tablas Técnicas'!$R$152:$R$267,MATCH(F21&amp;K21,'Tablas Técnicas'!$S$152:$S$267,0))),"")</f>
        <v/>
      </c>
      <c r="T21" s="4288"/>
      <c r="U21" s="4289" t="str">
        <f>IFERROR("("&amp;VLOOKUP(F21,'Tablas Técnicas'!$O$117:$Q$146,3,FALSE)&amp;")","")</f>
        <v/>
      </c>
      <c r="V21" s="5857" t="s">
        <v>9159</v>
      </c>
      <c r="W21" s="5858"/>
      <c r="X21" s="5859"/>
      <c r="Y21" s="2171">
        <v>0</v>
      </c>
      <c r="Z21" s="5914" t="s">
        <v>8361</v>
      </c>
      <c r="AA21" s="5861"/>
      <c r="AB21" s="5862"/>
      <c r="AC21" s="2171">
        <v>0</v>
      </c>
      <c r="AD21" s="5915" t="str">
        <f>"Ki sin repartir: "&amp;AL29-AL30&amp;IF(AM29=0,""," ("&amp;AM29-AM30&amp;")")</f>
        <v>Ki sin repartir: 0</v>
      </c>
      <c r="AE21" s="5895"/>
      <c r="AF21" s="5895"/>
      <c r="AG21" s="5896"/>
      <c r="AH21" s="1943"/>
      <c r="AI21" s="6011"/>
      <c r="AJ21" s="3986">
        <v>1</v>
      </c>
      <c r="AK21" s="3986">
        <f>P12</f>
        <v>1</v>
      </c>
      <c r="AL21" s="3986" t="e">
        <f>VLOOKUP(F21,'Tablas Técnicas'!$O$117:$Q$146,2,FALSE)</f>
        <v>#N/A</v>
      </c>
      <c r="AM21" s="3986"/>
      <c r="AN21" s="3987"/>
      <c r="AO21" s="3986"/>
      <c r="AP21" s="3986"/>
      <c r="AQ21" s="3987"/>
      <c r="AR21" s="3986"/>
      <c r="AS21" s="3986"/>
      <c r="AT21" s="3986"/>
      <c r="AU21" s="3986"/>
      <c r="AV21" s="3986"/>
      <c r="AW21" s="1868"/>
      <c r="AX21" s="1868"/>
      <c r="AY21" s="3986" t="str">
        <f>IF(F21="","",F21&amp;IF(K21="",""," ("&amp;IF(F21="Atadura Elemental",O21&amp;IF(Q21="","",", "&amp;Q21),K21)&amp;")")&amp;", ")</f>
        <v/>
      </c>
      <c r="AZ21" s="1868"/>
      <c r="BA21" s="1868"/>
      <c r="BB21" s="1868"/>
      <c r="BC21" s="1868"/>
      <c r="BD21" s="1868"/>
      <c r="BE21" s="1868"/>
      <c r="BF21" s="1868"/>
      <c r="BG21" s="1868"/>
      <c r="BH21" s="1868"/>
      <c r="BI21" s="1868"/>
      <c r="BJ21" s="1868"/>
      <c r="BK21" s="1868"/>
      <c r="BL21" s="1868"/>
      <c r="BM21" s="1868"/>
      <c r="BN21" s="1868"/>
      <c r="BO21" s="1868"/>
      <c r="BP21" s="1868"/>
      <c r="BQ21" s="1868"/>
      <c r="BR21" s="1868"/>
    </row>
    <row r="22" spans="1:70" ht="12.2" customHeight="1">
      <c r="A22" s="1935"/>
      <c r="B22" s="1866">
        <v>1</v>
      </c>
      <c r="C22" s="6009"/>
      <c r="D22" s="5963"/>
      <c r="E22" s="5964"/>
      <c r="F22" s="5942"/>
      <c r="G22" s="5943"/>
      <c r="H22" s="5943"/>
      <c r="I22" s="5943"/>
      <c r="J22" s="5944"/>
      <c r="K22" s="5902"/>
      <c r="L22" s="5903"/>
      <c r="M22" s="5904"/>
      <c r="N22" s="1720" t="str">
        <f>IFERROR(INDEX('Tablas Técnicas'!$Q$152:$Q$267,MATCH(F22&amp;K22,'Tablas Técnicas'!$S$152:$S$267,0)),"")</f>
        <v/>
      </c>
      <c r="O22" s="5945"/>
      <c r="P22" s="5946"/>
      <c r="Q22" s="5947"/>
      <c r="R22" s="5946"/>
      <c r="S22" s="1716" t="str">
        <f>IFERROR("Nivel: "&amp;MAX(1,INDEX('Tablas Técnicas'!$R$152:$R$267,MATCH(F22&amp;K22,'Tablas Técnicas'!$S$152:$S$267,0))),"")</f>
        <v/>
      </c>
      <c r="T22" s="2172"/>
      <c r="U22" s="1715" t="str">
        <f>IFERROR("("&amp;VLOOKUP(F22,'Tablas Técnicas'!$O$117:$Q$146,3,FALSE)&amp;")","")</f>
        <v/>
      </c>
      <c r="V22" s="5854" t="str">
        <f>"Mod. "&amp;V14</f>
        <v>Mod. AGI</v>
      </c>
      <c r="W22" s="5855"/>
      <c r="X22" s="5854" t="str">
        <f>"Mod. "&amp;X14</f>
        <v>Mod. CON</v>
      </c>
      <c r="Y22" s="5855"/>
      <c r="Z22" s="5854" t="str">
        <f>"Mod. "&amp;Z14</f>
        <v>Mod. DES</v>
      </c>
      <c r="AA22" s="5855"/>
      <c r="AB22" s="5854" t="str">
        <f>"Mod. "&amp;AB14</f>
        <v>Mod. FUE</v>
      </c>
      <c r="AC22" s="5855"/>
      <c r="AD22" s="5854" t="str">
        <f>"Mod. "&amp;AD14</f>
        <v>Mod. POD</v>
      </c>
      <c r="AE22" s="5855"/>
      <c r="AF22" s="5854" t="str">
        <f>"Mod. "&amp;AF14</f>
        <v>Mod. VOL</v>
      </c>
      <c r="AG22" s="5856"/>
      <c r="AH22" s="1943"/>
      <c r="AI22" s="6011"/>
      <c r="AJ22" s="3986">
        <v>2</v>
      </c>
      <c r="AK22" s="3986">
        <f>P12</f>
        <v>1</v>
      </c>
      <c r="AL22" s="3986" t="e">
        <f>VLOOKUP(F22,'Tablas Técnicas'!$O$117:$Q$146,2,FALSE)</f>
        <v>#N/A</v>
      </c>
      <c r="AM22" s="3986"/>
      <c r="AN22" s="3987"/>
      <c r="AO22" s="3986"/>
      <c r="AP22" s="3986"/>
      <c r="AQ22" s="3987"/>
      <c r="AR22" s="3986"/>
      <c r="AS22" s="3986"/>
      <c r="AT22" s="3986"/>
      <c r="AU22" s="3986"/>
      <c r="AV22" s="3986"/>
      <c r="AW22" s="1868"/>
      <c r="AX22" s="1868"/>
      <c r="AY22" s="3986" t="str">
        <f>IF(F22="","",F22&amp;IF(K22="",""," ("&amp;IF(F22="Atadura Elemental",O22&amp;IF(Q22="","",", "&amp;Q22),K22)&amp;")")&amp;", ")</f>
        <v/>
      </c>
      <c r="AZ22" s="1868"/>
      <c r="BA22" s="1868"/>
      <c r="BB22" s="1868"/>
      <c r="BC22" s="1868"/>
      <c r="BD22" s="1868"/>
      <c r="BE22" s="1868"/>
      <c r="BF22" s="1868"/>
      <c r="BG22" s="1868"/>
      <c r="BH22" s="1868"/>
      <c r="BI22" s="1868"/>
      <c r="BJ22" s="1868"/>
      <c r="BK22" s="1868"/>
      <c r="BL22" s="1868"/>
      <c r="BM22" s="1868"/>
      <c r="BN22" s="1868"/>
      <c r="BO22" s="1868"/>
      <c r="BP22" s="1868"/>
      <c r="BQ22" s="1868"/>
      <c r="BR22" s="1868"/>
    </row>
    <row r="23" spans="1:70" ht="12.2" customHeight="1" thickBot="1">
      <c r="A23" s="1935"/>
      <c r="B23" s="1866">
        <v>1</v>
      </c>
      <c r="C23" s="6009"/>
      <c r="D23" s="6003"/>
      <c r="E23" s="6004"/>
      <c r="F23" s="5948"/>
      <c r="G23" s="5949"/>
      <c r="H23" s="5949"/>
      <c r="I23" s="5949"/>
      <c r="J23" s="5950"/>
      <c r="K23" s="5951"/>
      <c r="L23" s="5952"/>
      <c r="M23" s="5953"/>
      <c r="N23" s="4290" t="str">
        <f>IFERROR(INDEX('Tablas Técnicas'!$Q$152:$Q$267,MATCH(F23&amp;K23,'Tablas Técnicas'!$S$152:$S$267,0)),"")</f>
        <v/>
      </c>
      <c r="O23" s="5954"/>
      <c r="P23" s="5955"/>
      <c r="Q23" s="5956"/>
      <c r="R23" s="5955"/>
      <c r="S23" s="4291" t="str">
        <f>IFERROR("Nivel: "&amp;MAX(1,INDEX('Tablas Técnicas'!$R$152:$R$267,MATCH(F23&amp;K23,'Tablas Técnicas'!$S$152:$S$267,0))),"")</f>
        <v/>
      </c>
      <c r="T23" s="4292"/>
      <c r="U23" s="1807" t="str">
        <f>IFERROR("("&amp;VLOOKUP(F23,'Tablas Técnicas'!$O$117:$Q$146,3,FALSE)&amp;")","")</f>
        <v/>
      </c>
      <c r="V23" s="5864"/>
      <c r="W23" s="5863"/>
      <c r="X23" s="5863"/>
      <c r="Y23" s="5863"/>
      <c r="Z23" s="5863"/>
      <c r="AA23" s="5863"/>
      <c r="AB23" s="5863"/>
      <c r="AC23" s="5863"/>
      <c r="AD23" s="5863"/>
      <c r="AE23" s="5863"/>
      <c r="AF23" s="5863"/>
      <c r="AG23" s="5905"/>
      <c r="AH23" s="1943"/>
      <c r="AI23" s="6011"/>
      <c r="AJ23" s="3986">
        <v>3</v>
      </c>
      <c r="AK23" s="3986">
        <f>P12</f>
        <v>1</v>
      </c>
      <c r="AL23" s="3986" t="e">
        <f>VLOOKUP(F23,'Tablas Técnicas'!$O$117:$Q$146,2,FALSE)</f>
        <v>#N/A</v>
      </c>
      <c r="AM23" s="3986"/>
      <c r="AN23" s="3987"/>
      <c r="AO23" s="3986"/>
      <c r="AP23" s="3986"/>
      <c r="AQ23" s="3987"/>
      <c r="AR23" s="1868"/>
      <c r="AS23" s="1868"/>
      <c r="AT23" s="1868"/>
      <c r="AU23" s="1868"/>
      <c r="AV23" s="1868"/>
      <c r="AW23" s="1868"/>
      <c r="AX23" s="1868"/>
      <c r="AY23" s="3986" t="str">
        <f>IF(F23="","",F23&amp;IF(K23="",""," ("&amp;IF(F23="Atadura Elemental",O23&amp;IF(Q23="","",", "&amp;Q23),K23)&amp;")")&amp;", ")</f>
        <v/>
      </c>
      <c r="AZ23" s="1868"/>
      <c r="BA23" s="1868"/>
      <c r="BB23" s="1868"/>
      <c r="BC23" s="1868"/>
      <c r="BD23" s="1868"/>
      <c r="BE23" s="1868"/>
      <c r="BF23" s="1868"/>
      <c r="BG23" s="1868"/>
      <c r="BH23" s="1868"/>
      <c r="BI23" s="1868"/>
      <c r="BJ23" s="1868"/>
      <c r="BK23" s="1868"/>
      <c r="BL23" s="1868"/>
      <c r="BM23" s="1868"/>
      <c r="BN23" s="1868"/>
      <c r="BO23" s="1868"/>
      <c r="BP23" s="1868"/>
      <c r="BQ23" s="1868"/>
      <c r="BR23" s="1868"/>
    </row>
    <row r="24" spans="1:70" ht="12.2" customHeight="1">
      <c r="A24" s="1935"/>
      <c r="B24" s="1866">
        <v>1</v>
      </c>
      <c r="C24" s="6009"/>
      <c r="D24" s="5873" t="s">
        <v>8842</v>
      </c>
      <c r="E24" s="5874"/>
      <c r="F24" s="5874"/>
      <c r="G24" s="5874"/>
      <c r="H24" s="5874"/>
      <c r="I24" s="5874"/>
      <c r="J24" s="5874"/>
      <c r="K24" s="5874"/>
      <c r="L24" s="5874"/>
      <c r="M24" s="5874"/>
      <c r="N24" s="5874"/>
      <c r="O24" s="5874"/>
      <c r="P24" s="5874"/>
      <c r="Q24" s="5874"/>
      <c r="R24" s="5874"/>
      <c r="S24" s="5874"/>
      <c r="T24" s="5874"/>
      <c r="U24" s="5874"/>
      <c r="V24" s="5877"/>
      <c r="W24" s="5877"/>
      <c r="X24" s="5877"/>
      <c r="Y24" s="5877"/>
      <c r="Z24" s="5877"/>
      <c r="AA24" s="5877"/>
      <c r="AB24" s="5877"/>
      <c r="AC24" s="5877"/>
      <c r="AD24" s="5877"/>
      <c r="AE24" s="5877"/>
      <c r="AF24" s="5877"/>
      <c r="AG24" s="5878"/>
      <c r="AH24" s="1943"/>
      <c r="AI24" s="6011"/>
      <c r="AJ24" s="3986"/>
      <c r="AK24" s="3986"/>
      <c r="AL24" s="3986"/>
      <c r="AM24" s="3986"/>
      <c r="AN24" s="3987" t="s">
        <v>8362</v>
      </c>
      <c r="AO24" s="3986" t="e">
        <f>LEFT(AY16&amp;AY17&amp;AY18&amp;AY19&amp;AY20,LEN(AY16&amp;AY17&amp;AY18&amp;AY19&amp;AY20)-2)</f>
        <v>#VALUE!</v>
      </c>
      <c r="AP24" s="3986"/>
      <c r="AQ24" s="3987"/>
      <c r="AR24" s="1868"/>
      <c r="AS24" s="1868"/>
      <c r="AT24" s="1868"/>
      <c r="AU24" s="3987"/>
      <c r="AV24" s="3987"/>
      <c r="AW24" s="1868"/>
      <c r="AX24" s="1868"/>
      <c r="AY24" s="3986"/>
      <c r="AZ24" s="1868"/>
      <c r="BA24" s="1868"/>
      <c r="BB24" s="1868"/>
      <c r="BC24" s="1868"/>
      <c r="BD24" s="1868"/>
      <c r="BE24" s="1868"/>
      <c r="BF24" s="1868"/>
      <c r="BG24" s="1868"/>
      <c r="BH24" s="1868"/>
      <c r="BI24" s="1868"/>
      <c r="BJ24" s="1868"/>
      <c r="BK24" s="1868"/>
      <c r="BL24" s="1868"/>
      <c r="BM24" s="1868"/>
      <c r="BN24" s="1868"/>
      <c r="BO24" s="1868"/>
      <c r="BP24" s="1868"/>
      <c r="BQ24" s="1868"/>
      <c r="BR24" s="1868"/>
    </row>
    <row r="25" spans="1:70" ht="12.2" customHeight="1">
      <c r="A25" s="1935"/>
      <c r="B25" s="1866">
        <v>1</v>
      </c>
      <c r="C25" s="6009"/>
      <c r="D25" s="5865" t="str">
        <f>IF(F16="","",F16)</f>
        <v/>
      </c>
      <c r="E25" s="5866"/>
      <c r="F25" s="5866"/>
      <c r="G25" s="5866"/>
      <c r="H25" s="5866"/>
      <c r="I25" s="5867"/>
      <c r="J25" s="5865" t="str">
        <f>IF(F17="","",F17)</f>
        <v/>
      </c>
      <c r="K25" s="5866"/>
      <c r="L25" s="5866"/>
      <c r="M25" s="5866"/>
      <c r="N25" s="5866"/>
      <c r="O25" s="5867"/>
      <c r="P25" s="5866" t="str">
        <f>IF(F18="","",F18)</f>
        <v/>
      </c>
      <c r="Q25" s="5866"/>
      <c r="R25" s="5866"/>
      <c r="S25" s="5866"/>
      <c r="T25" s="5866"/>
      <c r="U25" s="5867"/>
      <c r="V25" s="5865" t="str">
        <f>IF(F19="","",F19)</f>
        <v/>
      </c>
      <c r="W25" s="5866"/>
      <c r="X25" s="5866"/>
      <c r="Y25" s="5866"/>
      <c r="Z25" s="5866"/>
      <c r="AA25" s="5867"/>
      <c r="AB25" s="5866" t="str">
        <f>IF(F20="","",F20)</f>
        <v/>
      </c>
      <c r="AC25" s="5866"/>
      <c r="AD25" s="5866"/>
      <c r="AE25" s="5866"/>
      <c r="AF25" s="5866"/>
      <c r="AG25" s="5928"/>
      <c r="AH25" s="1943"/>
      <c r="AI25" s="6011"/>
      <c r="AJ25" s="3986"/>
      <c r="AK25" s="3986"/>
      <c r="AL25" s="3986"/>
      <c r="AM25" s="3986"/>
      <c r="AN25" s="3987" t="s">
        <v>8363</v>
      </c>
      <c r="AO25" s="3986" t="e">
        <f>LEFT(AY21&amp;AY22&amp;AY23,LEN(AY21&amp;AY22&amp;AY23)-2)</f>
        <v>#VALUE!</v>
      </c>
      <c r="AP25" s="3986"/>
      <c r="AQ25" s="3987"/>
      <c r="AR25" s="1868"/>
      <c r="AS25" s="1868"/>
      <c r="AT25" s="1868"/>
      <c r="AU25" s="3987"/>
      <c r="AV25" s="3987"/>
      <c r="AW25" s="1868"/>
      <c r="AX25" s="1868"/>
      <c r="AY25" s="3986"/>
      <c r="AZ25" s="1868"/>
      <c r="BA25" s="1868"/>
      <c r="BB25" s="1868"/>
      <c r="BC25" s="1868"/>
      <c r="BD25" s="1868"/>
      <c r="BE25" s="1868"/>
      <c r="BF25" s="1868"/>
      <c r="BG25" s="1868"/>
      <c r="BH25" s="1868"/>
      <c r="BI25" s="1868"/>
      <c r="BJ25" s="1868"/>
      <c r="BK25" s="1868"/>
      <c r="BL25" s="1868"/>
      <c r="BM25" s="1868"/>
      <c r="BN25" s="1868"/>
      <c r="BO25" s="1868"/>
      <c r="BP25" s="1868"/>
      <c r="BQ25" s="1868"/>
      <c r="BR25" s="1868"/>
    </row>
    <row r="26" spans="1:70" ht="12.2" customHeight="1">
      <c r="A26" s="1935"/>
      <c r="B26" s="1866">
        <v>1</v>
      </c>
      <c r="C26" s="6009"/>
      <c r="D26" s="1812" t="s">
        <v>1690</v>
      </c>
      <c r="E26" s="1712" t="str">
        <f>IFERROR(VLOOKUP(D25,'Tablas Técnicas'!$O$9:$T$88,3,FALSE),"")</f>
        <v/>
      </c>
      <c r="F26" s="1809"/>
      <c r="G26" s="1808"/>
      <c r="H26" s="1808" t="s">
        <v>1223</v>
      </c>
      <c r="I26" s="1712" t="str">
        <f>IFERROR(VLOOKUP(D25,'Tablas Técnicas'!$O$9:$T$88,4,FALSE),"")</f>
        <v/>
      </c>
      <c r="J26" s="1812" t="s">
        <v>1690</v>
      </c>
      <c r="K26" s="1712" t="str">
        <f>IFERROR(VLOOKUP(J25,'Tablas Técnicas'!$O$9:$T$88,3,FALSE),"")</f>
        <v/>
      </c>
      <c r="L26" s="1809"/>
      <c r="M26" s="1808"/>
      <c r="N26" s="1808" t="s">
        <v>1223</v>
      </c>
      <c r="O26" s="1721" t="str">
        <f>IFERROR(VLOOKUP(J25,'Tablas Técnicas'!$O$9:$T$88,4,FALSE),"")</f>
        <v/>
      </c>
      <c r="P26" s="1808" t="s">
        <v>1690</v>
      </c>
      <c r="Q26" s="1712" t="str">
        <f>IFERROR(VLOOKUP(P25,'Tablas Técnicas'!$O$9:$T$88,3,FALSE),"")</f>
        <v/>
      </c>
      <c r="R26" s="1809"/>
      <c r="S26" s="1808"/>
      <c r="T26" s="1808" t="s">
        <v>1223</v>
      </c>
      <c r="U26" s="1712" t="str">
        <f>IFERROR(VLOOKUP(P25,'Tablas Técnicas'!$O$9:$T$88,4,FALSE),"")</f>
        <v/>
      </c>
      <c r="V26" s="1812" t="s">
        <v>1690</v>
      </c>
      <c r="W26" s="1712" t="str">
        <f>IFERROR(VLOOKUP(V25,'Tablas Técnicas'!$O$9:$T$88,3,FALSE),"")</f>
        <v/>
      </c>
      <c r="X26" s="1809"/>
      <c r="Y26" s="1808"/>
      <c r="Z26" s="1808" t="s">
        <v>1223</v>
      </c>
      <c r="AA26" s="1721" t="str">
        <f>IFERROR(VLOOKUP(V25,'Tablas Técnicas'!$O$9:$T$88,4,FALSE),"")</f>
        <v/>
      </c>
      <c r="AB26" s="1808" t="s">
        <v>1690</v>
      </c>
      <c r="AC26" s="1712" t="str">
        <f>IFERROR(VLOOKUP(AB25,'Tablas Técnicas'!$O$9:$T$88,3,FALSE),"")</f>
        <v/>
      </c>
      <c r="AD26" s="1809"/>
      <c r="AE26" s="1808"/>
      <c r="AF26" s="1808" t="s">
        <v>1223</v>
      </c>
      <c r="AG26" s="1722" t="str">
        <f>IFERROR(VLOOKUP(AB25,'Tablas Técnicas'!$O$9:$T$88,4,FALSE),"")</f>
        <v/>
      </c>
      <c r="AH26" s="1943"/>
      <c r="AI26" s="6011"/>
      <c r="AJ26" s="3986"/>
      <c r="AK26" s="3986"/>
      <c r="AL26" s="3986"/>
      <c r="AM26" s="3986"/>
      <c r="AN26" s="3987"/>
      <c r="AO26" s="3986"/>
      <c r="AP26" s="3986"/>
      <c r="AQ26" s="3987"/>
      <c r="AR26" s="1868"/>
      <c r="AS26" s="1868"/>
      <c r="AT26" s="1868"/>
      <c r="AU26" s="1868"/>
      <c r="AV26" s="1868"/>
      <c r="AW26" s="1868"/>
      <c r="AX26" s="1868"/>
      <c r="AY26" s="3986"/>
      <c r="AZ26" s="1868"/>
      <c r="BA26" s="1868"/>
      <c r="BB26" s="1868"/>
      <c r="BC26" s="1868"/>
      <c r="BD26" s="1868"/>
      <c r="BE26" s="1868"/>
      <c r="BF26" s="1868"/>
      <c r="BG26" s="1868"/>
      <c r="BH26" s="1868"/>
      <c r="BI26" s="1868"/>
      <c r="BJ26" s="1868"/>
      <c r="BK26" s="1868"/>
      <c r="BL26" s="1868"/>
      <c r="BM26" s="1868"/>
      <c r="BN26" s="1868"/>
      <c r="BO26" s="1868"/>
      <c r="BP26" s="1868"/>
      <c r="BQ26" s="1868"/>
      <c r="BR26" s="1868"/>
    </row>
    <row r="27" spans="1:70" ht="12.2" customHeight="1">
      <c r="A27" s="1935"/>
      <c r="B27" s="1866">
        <v>1</v>
      </c>
      <c r="C27" s="6009"/>
      <c r="D27" s="1813" t="s">
        <v>8364</v>
      </c>
      <c r="E27" s="1808"/>
      <c r="F27" s="1809"/>
      <c r="G27" s="1810"/>
      <c r="H27" s="1810"/>
      <c r="I27" s="1807" t="str">
        <f>IFERROR(IF(D25="Ataque Elemental",IF(NOT(ISNA(VLOOKUP(D29,'Tablas Técnicas'!$O$100:$O$105,1,0))),D29,"Variable"),VLOOKUP(D25,'Tablas Técnicas'!$O$9:$W$88,9,FALSE)),"")</f>
        <v/>
      </c>
      <c r="J27" s="2173" t="s">
        <v>8364</v>
      </c>
      <c r="K27" s="2174"/>
      <c r="L27" s="2175"/>
      <c r="M27" s="2176"/>
      <c r="N27" s="2176"/>
      <c r="O27" s="2177" t="str">
        <f>IFERROR(IF(J25="Ataque Elemental",IF(NOT(ISNA(VLOOKUP(J29,'Tablas Técnicas'!$O$100:$O$105,1,0))),J29,"Variable"),VLOOKUP(J25,'Tablas Técnicas'!$O$9:$W$88,9,FALSE)),"")</f>
        <v/>
      </c>
      <c r="P27" s="2178" t="s">
        <v>8364</v>
      </c>
      <c r="Q27" s="2174"/>
      <c r="R27" s="2175"/>
      <c r="S27" s="2176"/>
      <c r="T27" s="2176"/>
      <c r="U27" s="1807" t="str">
        <f>IFERROR(IF(P25="Ataque Elemental",IF(NOT(ISNA(VLOOKUP(P29,'Tablas Técnicas'!$O$100:$O$105,1,0))),P29,"Variable"),VLOOKUP(P25,'Tablas Técnicas'!$O$9:$W$88,9,FALSE)),"")</f>
        <v/>
      </c>
      <c r="V27" s="2173" t="s">
        <v>8364</v>
      </c>
      <c r="W27" s="2174"/>
      <c r="X27" s="2175"/>
      <c r="Y27" s="2176"/>
      <c r="Z27" s="2176"/>
      <c r="AA27" s="2177" t="str">
        <f>IFERROR(IF(V25="Ataque Elemental",IF(NOT(ISNA(VLOOKUP(V29,'Tablas Técnicas'!$O$100:$O$105,1,0))),V29,"Variable"),VLOOKUP(V25,'Tablas Técnicas'!$O$9:$W$88,9,FALSE)),"")</f>
        <v/>
      </c>
      <c r="AB27" s="2178" t="s">
        <v>8364</v>
      </c>
      <c r="AC27" s="2174"/>
      <c r="AD27" s="2175"/>
      <c r="AE27" s="2176"/>
      <c r="AF27" s="2176"/>
      <c r="AG27" s="1818" t="str">
        <f>IFERROR(IF(AB25="Ataque Elemental",IF(NOT(ISNA(VLOOKUP(AB29,'Tablas Técnicas'!$O$100:$O$105,1,0))),AB29,"Variable"),VLOOKUP(AB25,'Tablas Técnicas'!$O$9:$W$88,9,FALSE)),"")</f>
        <v/>
      </c>
      <c r="AH27" s="1943"/>
      <c r="AI27" s="6011"/>
      <c r="AJ27" s="3986"/>
      <c r="AK27" s="1868" t="s">
        <v>1233</v>
      </c>
      <c r="AL27" s="1868" t="s">
        <v>1357</v>
      </c>
      <c r="AM27" s="1868" t="s">
        <v>1238</v>
      </c>
      <c r="AN27" s="1868" t="s">
        <v>1243</v>
      </c>
      <c r="AO27" s="1868" t="s">
        <v>1250</v>
      </c>
      <c r="AP27" s="1868" t="s">
        <v>1251</v>
      </c>
      <c r="AQ27" s="3987"/>
      <c r="AR27" s="1868"/>
      <c r="AS27" s="1868"/>
      <c r="AT27" s="1868"/>
      <c r="AU27" s="1868"/>
      <c r="AV27" s="1868"/>
      <c r="AW27" s="1868"/>
      <c r="AX27" s="1868"/>
      <c r="AY27" s="3986"/>
      <c r="AZ27" s="1868"/>
      <c r="BA27" s="1868"/>
      <c r="BB27" s="1868"/>
      <c r="BC27" s="1868"/>
      <c r="BD27" s="1868"/>
      <c r="BE27" s="1868"/>
      <c r="BF27" s="1868"/>
      <c r="BG27" s="1868"/>
      <c r="BH27" s="1868"/>
      <c r="BI27" s="1868"/>
      <c r="BJ27" s="1868"/>
      <c r="BK27" s="1868"/>
      <c r="BL27" s="1868"/>
      <c r="BM27" s="1868"/>
      <c r="BN27" s="1868"/>
      <c r="BO27" s="1868"/>
      <c r="BP27" s="1868"/>
      <c r="BQ27" s="1868"/>
      <c r="BR27" s="1868"/>
    </row>
    <row r="28" spans="1:70" ht="12.2" customHeight="1">
      <c r="A28" s="1935"/>
      <c r="B28" s="1866">
        <v>1</v>
      </c>
      <c r="C28" s="6009"/>
      <c r="D28" s="5865" t="s">
        <v>2665</v>
      </c>
      <c r="E28" s="5866"/>
      <c r="F28" s="5866"/>
      <c r="G28" s="5866"/>
      <c r="H28" s="5867"/>
      <c r="I28" s="1725" t="s">
        <v>1262</v>
      </c>
      <c r="J28" s="5865" t="s">
        <v>2665</v>
      </c>
      <c r="K28" s="5866"/>
      <c r="L28" s="5866"/>
      <c r="M28" s="5866"/>
      <c r="N28" s="5867"/>
      <c r="O28" s="1726" t="s">
        <v>1262</v>
      </c>
      <c r="P28" s="5865" t="s">
        <v>2665</v>
      </c>
      <c r="Q28" s="5866"/>
      <c r="R28" s="5866"/>
      <c r="S28" s="5866"/>
      <c r="T28" s="5867"/>
      <c r="U28" s="1726" t="s">
        <v>1262</v>
      </c>
      <c r="V28" s="5865"/>
      <c r="W28" s="5866"/>
      <c r="X28" s="5866"/>
      <c r="Y28" s="5866"/>
      <c r="Z28" s="5867"/>
      <c r="AA28" s="1726" t="s">
        <v>1262</v>
      </c>
      <c r="AB28" s="5865" t="s">
        <v>2665</v>
      </c>
      <c r="AC28" s="5866"/>
      <c r="AD28" s="5866"/>
      <c r="AE28" s="5866"/>
      <c r="AF28" s="5867"/>
      <c r="AG28" s="1727" t="s">
        <v>1262</v>
      </c>
      <c r="AH28" s="1943"/>
      <c r="AI28" s="6011"/>
      <c r="AJ28" s="3989" t="s">
        <v>8879</v>
      </c>
      <c r="AK28" s="3986" t="str">
        <f>IF(V14="","",IF(SUM(V16:V20)=0,"",V14&amp;" "&amp;SUM(V16:V20)+V23&amp;IF(SUM(W16:W20)=0,""," ("&amp;SUM(W16:W20)&amp;")")&amp;", "))</f>
        <v/>
      </c>
      <c r="AL28" s="3986" t="str">
        <f>IF(X14="","",IF(SUM(X16:X20)=0,"",X14&amp;" "&amp;SUM(X16:X20)+X23&amp;IF(SUM(Y16:Y20)=0,""," ("&amp;SUM(Y16:Y20)&amp;")")&amp;", "))</f>
        <v/>
      </c>
      <c r="AM28" s="3986" t="str">
        <f>IF(Z14="","",IF(SUM(Z16:Z20)=0,"",Z14&amp;" "&amp;SUM(Z16:Z20)+Z23&amp;IF(SUM(AA16:AA20)=0,""," ("&amp;SUM(AA16:AA20)&amp;")")&amp;", "))</f>
        <v/>
      </c>
      <c r="AN28" s="3986" t="str">
        <f>IF(AB14="","",IF(SUM(AB16:AB20)=0,"",AB14&amp;" "&amp;SUM(AB16:AB20)+AB23&amp;IF(SUM(AC16:AC20)=0,""," ("&amp;SUM(AC16:AC20)&amp;")")&amp;", "))</f>
        <v/>
      </c>
      <c r="AO28" s="3986" t="str">
        <f>IF(AD14="","",IF(SUM(AD16:AD20)=0,"",AD14&amp;" "&amp;SUM(AD16:AD20)+AD23&amp;IF(SUM(AE16:AE20)=0,""," ("&amp;SUM(AE16:AE20)&amp;")")&amp;", "))</f>
        <v/>
      </c>
      <c r="AP28" s="3986" t="str">
        <f>IF(AF14="","",IF(SUM(AF16:AF20)=0,"",AF14&amp;" "&amp;SUM(AF16:AF20)+AF23&amp;IF(SUM(AG16:AG20)=0,""," ("&amp;SUM(AG16:AG20)&amp;")")&amp;", "))</f>
        <v/>
      </c>
      <c r="AQ28" s="3986"/>
      <c r="AR28" s="3986"/>
      <c r="AS28" s="3986"/>
      <c r="AT28" s="3986"/>
      <c r="AU28" s="3986"/>
      <c r="AV28" s="3986"/>
      <c r="AW28" s="3986"/>
      <c r="AX28" s="3986"/>
      <c r="AY28" s="3986"/>
      <c r="AZ28" s="1868"/>
      <c r="BA28" s="1868"/>
      <c r="BB28" s="1868"/>
      <c r="BC28" s="1868"/>
      <c r="BD28" s="1868"/>
      <c r="BE28" s="1868"/>
      <c r="BF28" s="1868"/>
      <c r="BG28" s="1868"/>
      <c r="BH28" s="1868"/>
      <c r="BI28" s="1868"/>
      <c r="BJ28" s="1868"/>
      <c r="BK28" s="1868"/>
      <c r="BL28" s="1868"/>
      <c r="BM28" s="1868"/>
      <c r="BN28" s="1868"/>
      <c r="BO28" s="1868"/>
      <c r="BP28" s="1868"/>
      <c r="BQ28" s="1868"/>
      <c r="BR28" s="1868"/>
    </row>
    <row r="29" spans="1:70" ht="12.2" customHeight="1">
      <c r="A29" s="1935"/>
      <c r="B29" s="1866">
        <v>1</v>
      </c>
      <c r="C29" s="6009"/>
      <c r="D29" s="5911"/>
      <c r="E29" s="5853"/>
      <c r="F29" s="5853"/>
      <c r="G29" s="5853"/>
      <c r="H29" s="5853"/>
      <c r="I29" s="1728" t="str">
        <f>IF(OR(D25="",D29=""),"",MAX(1,SUMPRODUCT(--(INDEX('Tablas Técnicas'!$C$10:$L$644,,1)=D25),--(INDEX('Tablas Técnicas'!$C$10:$L$644,,2)=D29),INDEX('Tablas Técnicas'!$C$10:$L$644,,9))))</f>
        <v/>
      </c>
      <c r="J29" s="5852"/>
      <c r="K29" s="5853"/>
      <c r="L29" s="5853"/>
      <c r="M29" s="5853"/>
      <c r="N29" s="5853"/>
      <c r="O29" s="1728" t="str">
        <f>IF(OR(J25="",J29=""),"",MAX(1,SUMPRODUCT(--(INDEX('Tablas Técnicas'!$C$10:$L$644,,1)=J25),--(INDEX('Tablas Técnicas'!$C$10:$L$644,,2)=J29),INDEX('Tablas Técnicas'!$C$10:$L$644,,9))))</f>
        <v/>
      </c>
      <c r="P29" s="5852"/>
      <c r="Q29" s="5853"/>
      <c r="R29" s="5853"/>
      <c r="S29" s="5853"/>
      <c r="T29" s="5853"/>
      <c r="U29" s="1728" t="str">
        <f>IF(OR(P25="",P29=""),"",MAX(1,SUMPRODUCT(--(INDEX('Tablas Técnicas'!$C$10:$L$644,,1)=P25),--(INDEX('Tablas Técnicas'!$C$10:$L$644,,2)=P29),INDEX('Tablas Técnicas'!$C$10:$L$644,,9))))</f>
        <v/>
      </c>
      <c r="V29" s="5852"/>
      <c r="W29" s="5853"/>
      <c r="X29" s="5853"/>
      <c r="Y29" s="5853"/>
      <c r="Z29" s="5853"/>
      <c r="AA29" s="1728" t="str">
        <f>IF(OR(V25="",V29=""),"",MAX(1,SUMPRODUCT(--(INDEX('Tablas Técnicas'!$C$10:$L$644,,1)=V25),--(INDEX('Tablas Técnicas'!$C$10:$L$644,,2)=V29),INDEX('Tablas Técnicas'!$C$10:$L$644,,9))))</f>
        <v/>
      </c>
      <c r="AB29" s="5852"/>
      <c r="AC29" s="5853"/>
      <c r="AD29" s="5853"/>
      <c r="AE29" s="5853"/>
      <c r="AF29" s="5853"/>
      <c r="AG29" s="1729" t="str">
        <f>IF(OR(AB25="",AB29=""),"",MAX(1,SUMPRODUCT(--(INDEX('Tablas Técnicas'!$C$10:$L$644,,1)=AB25),--(INDEX('Tablas Técnicas'!$C$10:$L$644,,2)=AB29),INDEX('Tablas Técnicas'!$C$10:$L$644,,9))))</f>
        <v/>
      </c>
      <c r="AH29" s="1943">
        <f>P12</f>
        <v>1</v>
      </c>
      <c r="AI29" s="6011"/>
      <c r="AJ29" s="3986" t="s">
        <v>8843</v>
      </c>
      <c r="AK29" s="3986"/>
      <c r="AL29" s="3986">
        <f>MAX(0,SUM(AT16:AT20)+ABS($AC21*2/5))+IF(AM38,0,Y21)+IF(S12="Sí",2*P12,0)</f>
        <v>0</v>
      </c>
      <c r="AM29" s="3986">
        <f t="array" ref="AM29">IF(ISNUMBER(SEARCH("Mantenido",K16&amp;K17&amp;K18&amp;K19&amp;K20)),MAX(0,SUM(VALUE(RIGHT($P16:$P20,2)))),0)</f>
        <v>0</v>
      </c>
      <c r="AN29" s="1868"/>
      <c r="AO29" s="1868"/>
      <c r="AP29" s="1815"/>
      <c r="AQ29" s="1815"/>
      <c r="AR29" s="1815"/>
      <c r="AS29" s="1815"/>
      <c r="AT29" s="1815"/>
      <c r="AU29" s="1815"/>
      <c r="AV29" s="1815"/>
      <c r="AW29" s="1815"/>
      <c r="AX29" s="1815"/>
      <c r="AY29" s="3986"/>
      <c r="AZ29" s="1868"/>
      <c r="BA29" s="1868"/>
      <c r="BB29" s="1868"/>
      <c r="BC29" s="1868"/>
      <c r="BD29" s="1868"/>
      <c r="BE29" s="1868"/>
      <c r="BF29" s="1868"/>
      <c r="BG29" s="1868"/>
      <c r="BH29" s="1868"/>
      <c r="BI29" s="1868"/>
      <c r="BJ29" s="1868"/>
      <c r="BK29" s="1868"/>
      <c r="BL29" s="1868"/>
      <c r="BM29" s="1868"/>
      <c r="BN29" s="1868"/>
      <c r="BO29" s="1868"/>
      <c r="BP29" s="1868"/>
      <c r="BQ29" s="1868"/>
      <c r="BR29" s="1868"/>
    </row>
    <row r="30" spans="1:70" ht="12.2" customHeight="1">
      <c r="A30" s="1935"/>
      <c r="B30" s="1866">
        <v>1</v>
      </c>
      <c r="C30" s="6009"/>
      <c r="D30" s="5871"/>
      <c r="E30" s="5872"/>
      <c r="F30" s="5872"/>
      <c r="G30" s="5872"/>
      <c r="H30" s="5872"/>
      <c r="I30" s="1730" t="str">
        <f>IF(OR(D25="",D30=""),"",MAX(1,SUMPRODUCT(--(INDEX('Tablas Técnicas'!$C$10:$L$644,,1)=D25),--(INDEX('Tablas Técnicas'!$C$10:$L$644,,2)=D30),INDEX('Tablas Técnicas'!$C$10:$L$644,,9))))</f>
        <v/>
      </c>
      <c r="J30" s="5871"/>
      <c r="K30" s="5872"/>
      <c r="L30" s="5872"/>
      <c r="M30" s="5872"/>
      <c r="N30" s="5872"/>
      <c r="O30" s="1730" t="str">
        <f>IF(OR(J25="",J30=""),"",MAX(1,SUMPRODUCT(--(INDEX('Tablas Técnicas'!$C$10:$L$644,,1)=J25),--(INDEX('Tablas Técnicas'!$C$10:$L$644,,2)=J30),INDEX('Tablas Técnicas'!$C$10:$L$644,,9))))</f>
        <v/>
      </c>
      <c r="P30" s="5871"/>
      <c r="Q30" s="5872"/>
      <c r="R30" s="5872"/>
      <c r="S30" s="5872"/>
      <c r="T30" s="5872"/>
      <c r="U30" s="1730" t="str">
        <f>IF(OR(P25="",P30=""),"",MAX(1,SUMPRODUCT(--(INDEX('Tablas Técnicas'!$C$10:$L$644,,1)=P25),--(INDEX('Tablas Técnicas'!$C$10:$L$644,,2)=P30),INDEX('Tablas Técnicas'!$C$10:$L$644,,9))))</f>
        <v/>
      </c>
      <c r="V30" s="5871"/>
      <c r="W30" s="5872"/>
      <c r="X30" s="5872"/>
      <c r="Y30" s="5872"/>
      <c r="Z30" s="5872"/>
      <c r="AA30" s="1730" t="str">
        <f>IF(OR(V25="",V30=""),"",MAX(1,SUMPRODUCT(--(INDEX('Tablas Técnicas'!$C$10:$L$644,,1)=V25),--(INDEX('Tablas Técnicas'!$C$10:$L$644,,2)=V30),INDEX('Tablas Técnicas'!$C$10:$L$644,,9))))</f>
        <v/>
      </c>
      <c r="AB30" s="5871"/>
      <c r="AC30" s="5872"/>
      <c r="AD30" s="5872"/>
      <c r="AE30" s="5872"/>
      <c r="AF30" s="5872"/>
      <c r="AG30" s="1731" t="str">
        <f>IF(OR(AB25="",AB30=""),"",MAX(1,SUMPRODUCT(--(INDEX('Tablas Técnicas'!$C$10:$L$644,,1)=AB25),--(INDEX('Tablas Técnicas'!$C$10:$L$644,,2)=AB30),INDEX('Tablas Técnicas'!$C$10:$L$644,,9))))</f>
        <v/>
      </c>
      <c r="AH30" s="1943">
        <f>P12</f>
        <v>1</v>
      </c>
      <c r="AI30" s="6011"/>
      <c r="AJ30" s="3986" t="s">
        <v>8366</v>
      </c>
      <c r="AK30" s="3986"/>
      <c r="AL30" s="3986">
        <f>SUM(V16:V20,X16:X20,Z16:Z20,AB16:AB20,AD16:AD20,AF16:AF20)+SUM(V23:AG23)</f>
        <v>0</v>
      </c>
      <c r="AM30" s="3986">
        <f>SUM(W16:W20,Y16:Y20,AA16:AA20,AC16:AC20,AE16:AE20,AG16:AG20)</f>
        <v>0</v>
      </c>
      <c r="AN30" s="3986"/>
      <c r="AO30" s="3986"/>
      <c r="AP30" s="3986"/>
      <c r="AQ30" s="3986"/>
      <c r="AR30" s="3986"/>
      <c r="AS30" s="3986"/>
      <c r="AT30" s="3986"/>
      <c r="AU30" s="3986"/>
      <c r="AV30" s="3986"/>
      <c r="AW30" s="1868"/>
      <c r="AX30" s="3986"/>
      <c r="AY30" s="3986"/>
      <c r="AZ30" s="1868"/>
      <c r="BA30" s="1868"/>
      <c r="BB30" s="1868"/>
      <c r="BC30" s="1868"/>
      <c r="BD30" s="1868"/>
      <c r="BE30" s="1868"/>
      <c r="BF30" s="1868"/>
      <c r="BG30" s="1868"/>
      <c r="BH30" s="1868"/>
      <c r="BI30" s="1868"/>
      <c r="BJ30" s="1868"/>
      <c r="BK30" s="1868"/>
      <c r="BL30" s="1868"/>
      <c r="BM30" s="1868"/>
      <c r="BN30" s="1868"/>
      <c r="BO30" s="1868"/>
      <c r="BP30" s="1868"/>
      <c r="BQ30" s="1868"/>
      <c r="BR30" s="1868"/>
    </row>
    <row r="31" spans="1:70" ht="12.2" customHeight="1">
      <c r="A31" s="1935"/>
      <c r="B31" s="1866">
        <v>1</v>
      </c>
      <c r="C31" s="6009"/>
      <c r="D31" s="5871"/>
      <c r="E31" s="5872"/>
      <c r="F31" s="5872"/>
      <c r="G31" s="5872"/>
      <c r="H31" s="5872"/>
      <c r="I31" s="1730" t="str">
        <f>IF(OR(D25="",D31=""),"",MAX(1,SUMPRODUCT(--(INDEX('Tablas Técnicas'!$C$10:$L$644,,1)=D25),--(INDEX('Tablas Técnicas'!$C$10:$L$644,,2)=D31),INDEX('Tablas Técnicas'!$C$10:$L$644,,9))))</f>
        <v/>
      </c>
      <c r="J31" s="5871"/>
      <c r="K31" s="5872"/>
      <c r="L31" s="5872"/>
      <c r="M31" s="5872"/>
      <c r="N31" s="5872"/>
      <c r="O31" s="1730" t="str">
        <f>IF(OR(J25="",J31=""),"",MAX(1,SUMPRODUCT(--(INDEX('Tablas Técnicas'!$C$10:$L$644,,1)=J25),--(INDEX('Tablas Técnicas'!$C$10:$L$644,,2)=J31),INDEX('Tablas Técnicas'!$C$10:$L$644,,9))))</f>
        <v/>
      </c>
      <c r="P31" s="5871"/>
      <c r="Q31" s="5872"/>
      <c r="R31" s="5872"/>
      <c r="S31" s="5872"/>
      <c r="T31" s="5872"/>
      <c r="U31" s="1730" t="str">
        <f>IF(OR(P25="",P31=""),"",MAX(1,SUMPRODUCT(--(INDEX('Tablas Técnicas'!$C$10:$L$644,,1)=P25),--(INDEX('Tablas Técnicas'!$C$10:$L$644,,2)=P31),INDEX('Tablas Técnicas'!$C$10:$L$644,,9))))</f>
        <v/>
      </c>
      <c r="V31" s="5871"/>
      <c r="W31" s="5872"/>
      <c r="X31" s="5872"/>
      <c r="Y31" s="5872"/>
      <c r="Z31" s="5872"/>
      <c r="AA31" s="1730" t="str">
        <f>IF(OR(V25="",V31=""),"",MAX(1,SUMPRODUCT(--(INDEX('Tablas Técnicas'!$C$10:$L$644,,1)=V25),--(INDEX('Tablas Técnicas'!$C$10:$L$644,,2)=V31),INDEX('Tablas Técnicas'!$C$10:$L$644,,9))))</f>
        <v/>
      </c>
      <c r="AB31" s="5871"/>
      <c r="AC31" s="5872"/>
      <c r="AD31" s="5872"/>
      <c r="AE31" s="5872"/>
      <c r="AF31" s="5872"/>
      <c r="AG31" s="1731" t="str">
        <f>IF(OR(AB25="",AB31=""),"",MAX(1,SUMPRODUCT(--(INDEX('Tablas Técnicas'!$C$10:$L$644,,1)=AB25),--(INDEX('Tablas Técnicas'!$C$10:$L$644,,2)=AB31),INDEX('Tablas Técnicas'!$C$10:$L$644,,9))))</f>
        <v/>
      </c>
      <c r="AH31" s="1943">
        <f>P12</f>
        <v>1</v>
      </c>
      <c r="AI31" s="6011"/>
      <c r="AJ31" s="3986"/>
      <c r="AK31" s="3986"/>
      <c r="AL31" s="3986"/>
      <c r="AM31" s="3986"/>
      <c r="AN31" s="3986"/>
      <c r="AO31" s="3986"/>
      <c r="AP31" s="3986"/>
      <c r="AQ31" s="3986"/>
      <c r="AR31" s="3986"/>
      <c r="AS31" s="3986"/>
      <c r="AT31" s="3986"/>
      <c r="AU31" s="3986"/>
      <c r="AV31" s="3986"/>
      <c r="AW31" s="1868"/>
      <c r="AX31" s="1868"/>
      <c r="AY31" s="3986"/>
      <c r="AZ31" s="1868"/>
      <c r="BA31" s="1868"/>
      <c r="BB31" s="1868"/>
      <c r="BC31" s="1868"/>
      <c r="BD31" s="1868"/>
      <c r="BE31" s="1868"/>
      <c r="BF31" s="1868"/>
      <c r="BG31" s="1868"/>
      <c r="BH31" s="1868"/>
      <c r="BI31" s="1868"/>
      <c r="BJ31" s="1868"/>
      <c r="BK31" s="1868"/>
      <c r="BL31" s="1868"/>
      <c r="BM31" s="1868"/>
      <c r="BN31" s="1868"/>
      <c r="BO31" s="1868"/>
      <c r="BP31" s="1868"/>
      <c r="BQ31" s="1868"/>
      <c r="BR31" s="1868"/>
    </row>
    <row r="32" spans="1:70" ht="12.2" customHeight="1">
      <c r="A32" s="1935"/>
      <c r="B32" s="1866">
        <v>1</v>
      </c>
      <c r="C32" s="6009"/>
      <c r="D32" s="5871"/>
      <c r="E32" s="5872"/>
      <c r="F32" s="5872"/>
      <c r="G32" s="5872"/>
      <c r="H32" s="5872"/>
      <c r="I32" s="1730" t="str">
        <f>IF(OR(D25="",D32=""),"",MAX(1,SUMPRODUCT(--(INDEX('Tablas Técnicas'!$C$10:$L$644,,1)=D25),--(INDEX('Tablas Técnicas'!$C$10:$L$644,,2)=D32),INDEX('Tablas Técnicas'!$C$10:$L$644,,9))))</f>
        <v/>
      </c>
      <c r="J32" s="5871"/>
      <c r="K32" s="5872"/>
      <c r="L32" s="5872"/>
      <c r="M32" s="5872"/>
      <c r="N32" s="5872"/>
      <c r="O32" s="1730" t="str">
        <f>IF(OR(J25="",J32=""),"",MAX(1,SUMPRODUCT(--(INDEX('Tablas Técnicas'!$C$10:$L$644,,1)=J25),--(INDEX('Tablas Técnicas'!$C$10:$L$644,,2)=J32),INDEX('Tablas Técnicas'!$C$10:$L$644,,9))))</f>
        <v/>
      </c>
      <c r="P32" s="5871"/>
      <c r="Q32" s="5872"/>
      <c r="R32" s="5872"/>
      <c r="S32" s="5872"/>
      <c r="T32" s="5872"/>
      <c r="U32" s="1730" t="str">
        <f>IF(OR(P25="",P32=""),"",MAX(1,SUMPRODUCT(--(INDEX('Tablas Técnicas'!$C$10:$L$644,,1)=P25),--(INDEX('Tablas Técnicas'!$C$10:$L$644,,2)=P32),INDEX('Tablas Técnicas'!$C$10:$L$644,,9))))</f>
        <v/>
      </c>
      <c r="V32" s="5871"/>
      <c r="W32" s="5872"/>
      <c r="X32" s="5872"/>
      <c r="Y32" s="5872"/>
      <c r="Z32" s="5872"/>
      <c r="AA32" s="1730" t="str">
        <f>IF(OR(V25="",V32=""),"",MAX(1,SUMPRODUCT(--(INDEX('Tablas Técnicas'!$C$10:$L$644,,1)=V25),--(INDEX('Tablas Técnicas'!$C$10:$L$644,,2)=V32),INDEX('Tablas Técnicas'!$C$10:$L$644,,9))))</f>
        <v/>
      </c>
      <c r="AB32" s="5871"/>
      <c r="AC32" s="5872"/>
      <c r="AD32" s="5872"/>
      <c r="AE32" s="5872"/>
      <c r="AF32" s="5872"/>
      <c r="AG32" s="1731" t="str">
        <f>IF(OR(AB25="",AB32=""),"",MAX(1,SUMPRODUCT(--(INDEX('Tablas Técnicas'!$C$10:$L$644,,1)=AB25),--(INDEX('Tablas Técnicas'!$C$10:$L$644,,2)=AB32),INDEX('Tablas Técnicas'!$C$10:$L$644,,9))))</f>
        <v/>
      </c>
      <c r="AH32" s="1943">
        <f>P12</f>
        <v>1</v>
      </c>
      <c r="AI32" s="6011"/>
      <c r="AJ32" s="3986" t="s">
        <v>8367</v>
      </c>
      <c r="AK32" s="3986"/>
      <c r="AL32" s="3986"/>
      <c r="AM32" s="3986"/>
      <c r="AN32" s="3986"/>
      <c r="AO32" s="3986"/>
      <c r="AP32" s="3986"/>
      <c r="AQ32" s="3987"/>
      <c r="AR32" s="1868"/>
      <c r="AS32" s="1868"/>
      <c r="AT32" s="1868"/>
      <c r="AU32" s="1868"/>
      <c r="AV32" s="1868"/>
      <c r="AW32" s="1868"/>
      <c r="AX32" s="1868"/>
      <c r="AY32" s="3986"/>
      <c r="AZ32" s="1868"/>
      <c r="BA32" s="1868"/>
      <c r="BB32" s="1868"/>
      <c r="BC32" s="1868"/>
      <c r="BD32" s="1868"/>
      <c r="BE32" s="1868"/>
      <c r="BF32" s="1868"/>
      <c r="BG32" s="1868"/>
      <c r="BH32" s="1868"/>
      <c r="BI32" s="1868"/>
      <c r="BJ32" s="1868"/>
      <c r="BK32" s="1868"/>
      <c r="BL32" s="1868"/>
      <c r="BM32" s="1868"/>
      <c r="BN32" s="1868"/>
      <c r="BO32" s="1868"/>
      <c r="BP32" s="1868"/>
      <c r="BQ32" s="1868"/>
      <c r="BR32" s="1868"/>
    </row>
    <row r="33" spans="1:70" ht="12.2" customHeight="1">
      <c r="A33" s="1935"/>
      <c r="B33" s="1866">
        <v>1</v>
      </c>
      <c r="C33" s="6009"/>
      <c r="D33" s="5871"/>
      <c r="E33" s="5872"/>
      <c r="F33" s="5872"/>
      <c r="G33" s="5872"/>
      <c r="H33" s="5872"/>
      <c r="I33" s="1730" t="str">
        <f>IF(OR(D25="",D33=""),"",MAX(1,SUMPRODUCT(--(INDEX('Tablas Técnicas'!$C$10:$L$644,,1)=D25),--(INDEX('Tablas Técnicas'!$C$10:$L$644,,2)=D33),INDEX('Tablas Técnicas'!$C$10:$L$644,,9))))</f>
        <v/>
      </c>
      <c r="J33" s="5871"/>
      <c r="K33" s="5872"/>
      <c r="L33" s="5872"/>
      <c r="M33" s="5872"/>
      <c r="N33" s="5872"/>
      <c r="O33" s="1730" t="str">
        <f>IF(OR(J25="",J33=""),"",MAX(1,SUMPRODUCT(--(INDEX('Tablas Técnicas'!$C$10:$L$644,,1)=J25),--(INDEX('Tablas Técnicas'!$C$10:$L$644,,2)=J33),INDEX('Tablas Técnicas'!$C$10:$L$644,,9))))</f>
        <v/>
      </c>
      <c r="P33" s="5871"/>
      <c r="Q33" s="5872"/>
      <c r="R33" s="5872"/>
      <c r="S33" s="5872"/>
      <c r="T33" s="5872"/>
      <c r="U33" s="1730" t="str">
        <f>IF(OR(P25="",P33=""),"",MAX(1,SUMPRODUCT(--(INDEX('Tablas Técnicas'!$C$10:$L$644,,1)=P25),--(INDEX('Tablas Técnicas'!$C$10:$L$644,,2)=P33),INDEX('Tablas Técnicas'!$C$10:$L$644,,9))))</f>
        <v/>
      </c>
      <c r="V33" s="5871"/>
      <c r="W33" s="5872"/>
      <c r="X33" s="5872"/>
      <c r="Y33" s="5872"/>
      <c r="Z33" s="5872"/>
      <c r="AA33" s="1730" t="str">
        <f>IF(OR(V25="",V33=""),"",MAX(1,SUMPRODUCT(--(INDEX('Tablas Técnicas'!$C$10:$L$644,,1)=V25),--(INDEX('Tablas Técnicas'!$C$10:$L$644,,2)=V33),INDEX('Tablas Técnicas'!$C$10:$L$644,,9))))</f>
        <v/>
      </c>
      <c r="AB33" s="5871"/>
      <c r="AC33" s="5872"/>
      <c r="AD33" s="5872"/>
      <c r="AE33" s="5872"/>
      <c r="AF33" s="5872"/>
      <c r="AG33" s="1731" t="str">
        <f>IF(OR(AB25="",AB33=""),"",MAX(1,SUMPRODUCT(--(INDEX('Tablas Técnicas'!$C$10:$L$644,,1)=AB25),--(INDEX('Tablas Técnicas'!$C$10:$L$644,,2)=AB33),INDEX('Tablas Técnicas'!$C$10:$L$644,,9))))</f>
        <v/>
      </c>
      <c r="AH33" s="1943">
        <f>P12</f>
        <v>1</v>
      </c>
      <c r="AI33" s="6011"/>
      <c r="AJ33" s="3986" t="s">
        <v>9502</v>
      </c>
      <c r="AK33" s="3986"/>
      <c r="AL33" s="3986"/>
      <c r="AM33" s="3986" t="b">
        <f>U12&gt;IF(P12=3,200,IF(P12=2,100,50))</f>
        <v>0</v>
      </c>
      <c r="AN33" s="3986"/>
      <c r="AO33" s="3986"/>
      <c r="AP33" s="3986"/>
      <c r="AQ33" s="3986"/>
      <c r="AR33" s="1868"/>
      <c r="AS33" s="1868"/>
      <c r="AT33" s="1868"/>
      <c r="AU33" s="1868"/>
      <c r="AV33" s="1868"/>
      <c r="AW33" s="1868"/>
      <c r="AX33" s="1868"/>
      <c r="AY33" s="3986"/>
      <c r="AZ33" s="1868"/>
      <c r="BA33" s="1868"/>
      <c r="BB33" s="1868"/>
      <c r="BC33" s="1868"/>
      <c r="BD33" s="1868"/>
      <c r="BE33" s="1868"/>
      <c r="BF33" s="1868"/>
      <c r="BG33" s="1868"/>
      <c r="BH33" s="1868"/>
      <c r="BI33" s="1868"/>
      <c r="BJ33" s="1868"/>
      <c r="BK33" s="1868"/>
      <c r="BL33" s="1868"/>
      <c r="BM33" s="1868"/>
      <c r="BN33" s="1868"/>
      <c r="BO33" s="1868"/>
      <c r="BP33" s="1868"/>
      <c r="BQ33" s="1868"/>
      <c r="BR33" s="1868"/>
    </row>
    <row r="34" spans="1:70" ht="12.2" customHeight="1">
      <c r="A34" s="1935"/>
      <c r="B34" s="1866">
        <v>1</v>
      </c>
      <c r="C34" s="6009"/>
      <c r="D34" s="5871"/>
      <c r="E34" s="5872"/>
      <c r="F34" s="5872"/>
      <c r="G34" s="5872"/>
      <c r="H34" s="5872"/>
      <c r="I34" s="1730" t="str">
        <f>IF(OR(D25="",D34=""),"",MAX(1,SUMPRODUCT(--(INDEX('Tablas Técnicas'!$C$10:$L$644,,1)=D25),--(INDEX('Tablas Técnicas'!$C$10:$L$644,,2)=D34),INDEX('Tablas Técnicas'!$C$10:$L$644,,9))))</f>
        <v/>
      </c>
      <c r="J34" s="5871"/>
      <c r="K34" s="5872"/>
      <c r="L34" s="5872"/>
      <c r="M34" s="5872"/>
      <c r="N34" s="5872"/>
      <c r="O34" s="1730" t="str">
        <f>IF(OR(J25="",J34=""),"",MAX(1,SUMPRODUCT(--(INDEX('Tablas Técnicas'!$C$10:$L$644,,1)=J25),--(INDEX('Tablas Técnicas'!$C$10:$L$644,,2)=J34),INDEX('Tablas Técnicas'!$C$10:$L$644,,9))))</f>
        <v/>
      </c>
      <c r="P34" s="5871"/>
      <c r="Q34" s="5872"/>
      <c r="R34" s="5872"/>
      <c r="S34" s="5872"/>
      <c r="T34" s="5872"/>
      <c r="U34" s="1730" t="str">
        <f>IF(OR(P25="",P34=""),"",MAX(1,SUMPRODUCT(--(INDEX('Tablas Técnicas'!$C$10:$L$644,,1)=P25),--(INDEX('Tablas Técnicas'!$C$10:$L$644,,2)=P34),INDEX('Tablas Técnicas'!$C$10:$L$644,,9))))</f>
        <v/>
      </c>
      <c r="V34" s="5871"/>
      <c r="W34" s="5872"/>
      <c r="X34" s="5872"/>
      <c r="Y34" s="5872"/>
      <c r="Z34" s="5872"/>
      <c r="AA34" s="1730" t="str">
        <f>IF(OR(V25="",V34=""),"",MAX(1,SUMPRODUCT(--(INDEX('Tablas Técnicas'!$C$10:$L$644,,1)=V25),--(INDEX('Tablas Técnicas'!$C$10:$L$644,,2)=V34),INDEX('Tablas Técnicas'!$C$10:$L$644,,9))))</f>
        <v/>
      </c>
      <c r="AB34" s="5871"/>
      <c r="AC34" s="5872"/>
      <c r="AD34" s="5872"/>
      <c r="AE34" s="5872"/>
      <c r="AF34" s="5872"/>
      <c r="AG34" s="1731" t="str">
        <f>IF(OR(AB25="",AB34=""),"",MAX(1,SUMPRODUCT(--(INDEX('Tablas Técnicas'!$C$10:$L$644,,1)=AB25),--(INDEX('Tablas Técnicas'!$C$10:$L$644,,2)=AB34),INDEX('Tablas Técnicas'!$C$10:$L$644,,9))))</f>
        <v/>
      </c>
      <c r="AH34" s="1943">
        <f>P12</f>
        <v>1</v>
      </c>
      <c r="AI34" s="6011"/>
      <c r="AJ34" s="3986" t="s">
        <v>8368</v>
      </c>
      <c r="AK34" s="3986"/>
      <c r="AL34" s="3986"/>
      <c r="AM34" s="3986" t="b">
        <f t="array" ref="AM34">MAX(I29:I35,O29:O35,U29:U35,AA29:AA35,AG29:AG35,RIGHT(S21:S23,1))&gt;P12</f>
        <v>0</v>
      </c>
      <c r="AN34" s="3986"/>
      <c r="AO34" s="3986"/>
      <c r="AP34" s="3986"/>
      <c r="AQ34" s="3987"/>
      <c r="AR34" s="1868"/>
      <c r="AS34" s="1868"/>
      <c r="AT34" s="1868"/>
      <c r="AU34" s="1868"/>
      <c r="AV34" s="1868"/>
      <c r="AW34" s="1868"/>
      <c r="AX34" s="1868"/>
      <c r="AY34" s="3986"/>
      <c r="AZ34" s="1868"/>
      <c r="BA34" s="1868"/>
      <c r="BB34" s="1868"/>
      <c r="BC34" s="1868"/>
      <c r="BD34" s="1868"/>
      <c r="BE34" s="1868"/>
      <c r="BF34" s="1868"/>
      <c r="BG34" s="1868"/>
      <c r="BH34" s="1868"/>
      <c r="BI34" s="1868"/>
      <c r="BJ34" s="1868"/>
      <c r="BK34" s="1868"/>
      <c r="BL34" s="1868"/>
      <c r="BM34" s="1868"/>
      <c r="BN34" s="1868"/>
      <c r="BO34" s="1868"/>
      <c r="BP34" s="1868"/>
      <c r="BQ34" s="1868"/>
      <c r="BR34" s="1868"/>
    </row>
    <row r="35" spans="1:70" ht="12.2" customHeight="1">
      <c r="A35" s="1935"/>
      <c r="B35" s="1866">
        <v>1</v>
      </c>
      <c r="C35" s="6009"/>
      <c r="D35" s="5926"/>
      <c r="E35" s="5927"/>
      <c r="F35" s="5927"/>
      <c r="G35" s="5927"/>
      <c r="H35" s="5927"/>
      <c r="I35" s="1732" t="str">
        <f>IF(OR(D25="",D35=""),"",MAX(1,SUMPRODUCT(--(INDEX('Tablas Técnicas'!$C$10:$L$644,,1)=D25),--(INDEX('Tablas Técnicas'!$C$10:$L$644,,2)=D35),INDEX('Tablas Técnicas'!$C$10:$L$644,,9))))</f>
        <v/>
      </c>
      <c r="J35" s="5926"/>
      <c r="K35" s="5927"/>
      <c r="L35" s="5927"/>
      <c r="M35" s="5927"/>
      <c r="N35" s="5927"/>
      <c r="O35" s="1732" t="str">
        <f>IF(OR(J25="",J35=""),"",MAX(1,SUMPRODUCT(--(INDEX('Tablas Técnicas'!$C$10:$L$644,,1)=J25),--(INDEX('Tablas Técnicas'!$C$10:$L$644,,2)=J35),INDEX('Tablas Técnicas'!$C$10:$L$644,,9))))</f>
        <v/>
      </c>
      <c r="P35" s="5926"/>
      <c r="Q35" s="5927"/>
      <c r="R35" s="5927"/>
      <c r="S35" s="5927"/>
      <c r="T35" s="5927"/>
      <c r="U35" s="1732" t="str">
        <f>IF(OR(P25="",P35=""),"",MAX(1,SUMPRODUCT(--(INDEX('Tablas Técnicas'!$C$10:$L$644,,1)=P25),--(INDEX('Tablas Técnicas'!$C$10:$L$644,,2)=P35),INDEX('Tablas Técnicas'!$C$10:$L$644,,9))))</f>
        <v/>
      </c>
      <c r="V35" s="5926"/>
      <c r="W35" s="5927"/>
      <c r="X35" s="5927"/>
      <c r="Y35" s="5927"/>
      <c r="Z35" s="5927"/>
      <c r="AA35" s="1732" t="str">
        <f>IF(OR(V25="",V35=""),"",MAX(1,SUMPRODUCT(--(INDEX('Tablas Técnicas'!$C$10:$L$644,,1)=V25),--(INDEX('Tablas Técnicas'!$C$10:$L$644,,2)=V35),INDEX('Tablas Técnicas'!$C$10:$L$644,,9))))</f>
        <v/>
      </c>
      <c r="AB35" s="5926"/>
      <c r="AC35" s="5927"/>
      <c r="AD35" s="5927"/>
      <c r="AE35" s="5927"/>
      <c r="AF35" s="5927"/>
      <c r="AG35" s="1733" t="str">
        <f>IF(OR(AB25="",AB35=""),"",MAX(1,SUMPRODUCT(--(INDEX('Tablas Técnicas'!$C$10:$L$644,,1)=AB25),--(INDEX('Tablas Técnicas'!$C$10:$L$644,,2)=AB35),INDEX('Tablas Técnicas'!$C$10:$L$644,,9))))</f>
        <v/>
      </c>
      <c r="AH35" s="1943">
        <f>P12</f>
        <v>1</v>
      </c>
      <c r="AI35" s="6011"/>
      <c r="AJ35" s="3986" t="s">
        <v>8860</v>
      </c>
      <c r="AK35" s="3986"/>
      <c r="AL35" s="3986"/>
      <c r="AM35" s="3986" t="b">
        <f>AND(COUNTIF(K16:M20,"Mantenido"),OR(COUNTIF(K16:M20,"Sostenimiento Menor"),COUNTIF(K16:M20,"Sostenimiento Mayor")))</f>
        <v>0</v>
      </c>
      <c r="AN35" s="3987"/>
      <c r="AO35" s="3986"/>
      <c r="AP35" s="3986"/>
      <c r="AQ35" s="3986"/>
      <c r="AR35" s="3986"/>
      <c r="AS35" s="3986"/>
      <c r="AT35" s="3986"/>
      <c r="AU35" s="1868"/>
      <c r="AV35" s="1868"/>
      <c r="AW35" s="1868"/>
      <c r="AX35" s="1868"/>
      <c r="AY35" s="3986"/>
      <c r="AZ35" s="1868"/>
      <c r="BA35" s="1868"/>
      <c r="BB35" s="1868"/>
      <c r="BC35" s="1868"/>
      <c r="BD35" s="1868"/>
      <c r="BE35" s="1868"/>
      <c r="BF35" s="1868"/>
      <c r="BG35" s="1868"/>
      <c r="BH35" s="1868"/>
      <c r="BI35" s="1868"/>
      <c r="BJ35" s="1868"/>
      <c r="BK35" s="1868"/>
      <c r="BL35" s="1868"/>
      <c r="BM35" s="1868"/>
      <c r="BN35" s="1868"/>
      <c r="BO35" s="1868"/>
      <c r="BP35" s="1868"/>
      <c r="BQ35" s="1868"/>
      <c r="BR35" s="1868"/>
    </row>
    <row r="36" spans="1:70" ht="12.2" customHeight="1">
      <c r="A36" s="1935"/>
      <c r="B36" s="1866">
        <v>1</v>
      </c>
      <c r="C36" s="6009"/>
      <c r="D36" s="5873" t="s">
        <v>1408</v>
      </c>
      <c r="E36" s="5874"/>
      <c r="F36" s="5874"/>
      <c r="G36" s="5874"/>
      <c r="H36" s="5874"/>
      <c r="I36" s="5874"/>
      <c r="J36" s="5874"/>
      <c r="K36" s="5874"/>
      <c r="L36" s="5874"/>
      <c r="M36" s="5874"/>
      <c r="N36" s="5874"/>
      <c r="O36" s="5874"/>
      <c r="P36" s="5874"/>
      <c r="Q36" s="5874"/>
      <c r="R36" s="5874"/>
      <c r="S36" s="5874"/>
      <c r="T36" s="5874"/>
      <c r="U36" s="5874"/>
      <c r="V36" s="5874"/>
      <c r="W36" s="5874"/>
      <c r="X36" s="5874"/>
      <c r="Y36" s="5874"/>
      <c r="Z36" s="5874"/>
      <c r="AA36" s="5874"/>
      <c r="AB36" s="5874"/>
      <c r="AC36" s="5874"/>
      <c r="AD36" s="5874"/>
      <c r="AE36" s="5874"/>
      <c r="AF36" s="5874"/>
      <c r="AG36" s="5875"/>
      <c r="AH36" s="1943"/>
      <c r="AI36" s="6011"/>
      <c r="AJ36" s="3986" t="s">
        <v>8859</v>
      </c>
      <c r="AK36" s="3986"/>
      <c r="AL36" s="3986"/>
      <c r="AM36" s="3986" t="b">
        <f>OR(AND(ISNUMBER(SEARCH("Sostenimiento",K16)),OR(P12=1,MAX(I29:I35)=3)),AND(ISNUMBER(SEARCH("Sostenimiento",K17)),OR(P12=1,MAX(O29:O35)=3)),AND(ISNUMBER(SEARCH("Sostenimiento",K18)),OR(P12=1,MAX(U29:U35)=3)),AND(ISNUMBER(SEARCH("Sostenimiento",K19)),OR(P12=1,MAX(AA29:AA35)=3)),AND(ISNUMBER(SEARCH("Sostenimiento",K20)),OR(P12=1,MAX(AG29:AG35)=3)))</f>
        <v>0</v>
      </c>
      <c r="AN36" s="3986"/>
      <c r="AO36" s="3986"/>
      <c r="AP36" s="3986"/>
      <c r="AQ36" s="3987"/>
      <c r="AR36" s="3986"/>
      <c r="AS36" s="3986"/>
      <c r="AT36" s="3986"/>
      <c r="AU36" s="1868"/>
      <c r="AV36" s="1868"/>
      <c r="AW36" s="1868"/>
      <c r="AX36" s="1868"/>
      <c r="AY36" s="3986"/>
      <c r="AZ36" s="1868"/>
      <c r="BA36" s="1868"/>
      <c r="BB36" s="1868"/>
      <c r="BC36" s="1868"/>
      <c r="BD36" s="1868"/>
      <c r="BE36" s="1868"/>
      <c r="BF36" s="1868"/>
      <c r="BG36" s="1868"/>
      <c r="BH36" s="1868"/>
      <c r="BI36" s="1868"/>
      <c r="BJ36" s="1868"/>
      <c r="BK36" s="1868"/>
      <c r="BL36" s="1868"/>
      <c r="BM36" s="1868"/>
      <c r="BN36" s="1868"/>
      <c r="BO36" s="1868"/>
      <c r="BP36" s="1868"/>
      <c r="BQ36" s="1868"/>
      <c r="BR36" s="1868"/>
    </row>
    <row r="37" spans="1:70" ht="12.2" customHeight="1">
      <c r="A37" s="1935"/>
      <c r="B37" s="1866">
        <v>1</v>
      </c>
      <c r="C37" s="6009"/>
      <c r="D37" s="5868"/>
      <c r="E37" s="5869"/>
      <c r="F37" s="5869"/>
      <c r="G37" s="5869"/>
      <c r="H37" s="5869"/>
      <c r="I37" s="5869"/>
      <c r="J37" s="5869"/>
      <c r="K37" s="5869"/>
      <c r="L37" s="5869"/>
      <c r="M37" s="5869"/>
      <c r="N37" s="5869"/>
      <c r="O37" s="5869"/>
      <c r="P37" s="5869"/>
      <c r="Q37" s="5869"/>
      <c r="R37" s="5869"/>
      <c r="S37" s="5869"/>
      <c r="T37" s="5869"/>
      <c r="U37" s="5869"/>
      <c r="V37" s="5869"/>
      <c r="W37" s="5869"/>
      <c r="X37" s="5869"/>
      <c r="Y37" s="5869"/>
      <c r="Z37" s="5869"/>
      <c r="AA37" s="5869"/>
      <c r="AB37" s="5869"/>
      <c r="AC37" s="5869"/>
      <c r="AD37" s="5869"/>
      <c r="AE37" s="5869"/>
      <c r="AF37" s="5869"/>
      <c r="AG37" s="5870"/>
      <c r="AH37" s="1943"/>
      <c r="AI37" s="6011"/>
      <c r="AJ37" s="3986" t="s">
        <v>8867</v>
      </c>
      <c r="AK37" s="3986"/>
      <c r="AL37" s="3986"/>
      <c r="AM37" s="398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986"/>
      <c r="AO37" s="3986"/>
      <c r="AP37" s="3986"/>
      <c r="AQ37" s="3987"/>
      <c r="AR37" s="3986"/>
      <c r="AS37" s="3986"/>
      <c r="AT37" s="3986"/>
      <c r="AU37" s="1868"/>
      <c r="AV37" s="1868"/>
      <c r="AW37" s="1868"/>
      <c r="AX37" s="1868"/>
      <c r="AY37" s="3986"/>
      <c r="AZ37" s="1868"/>
      <c r="BA37" s="1868"/>
      <c r="BB37" s="1868"/>
      <c r="BC37" s="1868"/>
      <c r="BD37" s="1868"/>
      <c r="BE37" s="1868"/>
      <c r="BF37" s="1868"/>
      <c r="BG37" s="1868"/>
      <c r="BH37" s="1868"/>
      <c r="BI37" s="1868"/>
      <c r="BJ37" s="1868"/>
      <c r="BK37" s="1868"/>
      <c r="BL37" s="1868"/>
      <c r="BM37" s="1868"/>
      <c r="BN37" s="1868"/>
      <c r="BO37" s="1868"/>
      <c r="BP37" s="1868"/>
      <c r="BQ37" s="1868"/>
      <c r="BR37" s="1868"/>
    </row>
    <row r="38" spans="1:70" ht="12.2" customHeight="1">
      <c r="A38" s="1935"/>
      <c r="B38" s="1866">
        <v>1</v>
      </c>
      <c r="C38" s="6009"/>
      <c r="D38" s="5868"/>
      <c r="E38" s="5869"/>
      <c r="F38" s="5869"/>
      <c r="G38" s="5869"/>
      <c r="H38" s="5869"/>
      <c r="I38" s="5869"/>
      <c r="J38" s="5869"/>
      <c r="K38" s="5869"/>
      <c r="L38" s="5869"/>
      <c r="M38" s="5869"/>
      <c r="N38" s="5869"/>
      <c r="O38" s="5869"/>
      <c r="P38" s="5869"/>
      <c r="Q38" s="5869"/>
      <c r="R38" s="5869"/>
      <c r="S38" s="5869"/>
      <c r="T38" s="5869"/>
      <c r="U38" s="5869"/>
      <c r="V38" s="5869"/>
      <c r="W38" s="5869"/>
      <c r="X38" s="5869"/>
      <c r="Y38" s="5869"/>
      <c r="Z38" s="5869"/>
      <c r="AA38" s="5869"/>
      <c r="AB38" s="5869"/>
      <c r="AC38" s="5869"/>
      <c r="AD38" s="5869"/>
      <c r="AE38" s="5869"/>
      <c r="AF38" s="5869"/>
      <c r="AG38" s="5870"/>
      <c r="AH38" s="1943"/>
      <c r="AI38" s="6011"/>
      <c r="AJ38" s="3986" t="s">
        <v>8846</v>
      </c>
      <c r="AK38" s="3986"/>
      <c r="AL38" s="3986"/>
      <c r="AM38" s="3986" t="b">
        <f>AND((IF(SUM(V16:V20)&gt;0,1,0)+IF(SUM(X16:X20)&gt;0,1,0)+IF(SUM(Z16:Z20)&gt;0,1,0)+IF(SUM(AB16:AB20)&gt;0,1,0)+IF(SUM(AD16:AD20,)&gt;0,1,0)+IF(SUM(AF16:AF20)&gt;0,1,0))&lt;3,OR(V23&lt;0,X23&lt;0,Z23&lt;0,AB23&lt;0,AD23&lt;0,AF23&lt;0,Y21&lt;0))</f>
        <v>0</v>
      </c>
      <c r="AN38" s="3986"/>
      <c r="AO38" s="3986"/>
      <c r="AP38" s="3986"/>
      <c r="AQ38" s="3987"/>
      <c r="AR38" s="3986"/>
      <c r="AS38" s="3986"/>
      <c r="AT38" s="3986"/>
      <c r="AU38" s="1868"/>
      <c r="AV38" s="1868"/>
      <c r="AW38" s="1868"/>
      <c r="AX38" s="1868"/>
      <c r="AY38" s="3986"/>
      <c r="AZ38" s="1868"/>
      <c r="BA38" s="1868"/>
      <c r="BB38" s="1868"/>
      <c r="BC38" s="1868"/>
      <c r="BD38" s="1868"/>
      <c r="BE38" s="1868"/>
      <c r="BF38" s="1868"/>
      <c r="BG38" s="1868"/>
      <c r="BH38" s="1868"/>
      <c r="BI38" s="1868"/>
      <c r="BJ38" s="1868"/>
      <c r="BK38" s="1868"/>
      <c r="BL38" s="1868"/>
      <c r="BM38" s="1868"/>
      <c r="BN38" s="1868"/>
      <c r="BO38" s="1868"/>
      <c r="BP38" s="1868"/>
      <c r="BQ38" s="1868"/>
      <c r="BR38" s="1868"/>
    </row>
    <row r="39" spans="1:70" ht="12.2" customHeight="1">
      <c r="A39" s="1935"/>
      <c r="B39" s="1866">
        <v>1</v>
      </c>
      <c r="C39" s="6009"/>
      <c r="D39" s="5868"/>
      <c r="E39" s="5869"/>
      <c r="F39" s="5869"/>
      <c r="G39" s="5869"/>
      <c r="H39" s="5869"/>
      <c r="I39" s="5869"/>
      <c r="J39" s="5869"/>
      <c r="K39" s="5869"/>
      <c r="L39" s="5869"/>
      <c r="M39" s="5869"/>
      <c r="N39" s="5869"/>
      <c r="O39" s="5869"/>
      <c r="P39" s="5869"/>
      <c r="Q39" s="5869"/>
      <c r="R39" s="5869"/>
      <c r="S39" s="5869"/>
      <c r="T39" s="5869"/>
      <c r="U39" s="5869"/>
      <c r="V39" s="5869"/>
      <c r="W39" s="5869"/>
      <c r="X39" s="5869"/>
      <c r="Y39" s="5869"/>
      <c r="Z39" s="5869"/>
      <c r="AA39" s="5869"/>
      <c r="AB39" s="5869"/>
      <c r="AC39" s="5869"/>
      <c r="AD39" s="5869"/>
      <c r="AE39" s="5869"/>
      <c r="AF39" s="5869"/>
      <c r="AG39" s="5870"/>
      <c r="AH39" s="1943"/>
      <c r="AI39" s="6011"/>
      <c r="AJ39" s="3986" t="s">
        <v>8861</v>
      </c>
      <c r="AK39" s="3986"/>
      <c r="AL39" s="3986"/>
      <c r="AM39" s="3986" t="b">
        <f>OR(-V23&gt;TRUNC(SUM(V16:V20)/2),-X23&gt;TRUNC(SUM(X16:X20)/2),-Z23&gt;TRUNC(SUM(Z16:Z20)/2),-AB23&gt;TRUNC(SUM(AB16:AB20)/2),-AD23&gt;TRUNC(SUM(AD16:AD20)/2),-AF23&gt;TRUNC(SUM(AF16:AF20)/2))</f>
        <v>0</v>
      </c>
      <c r="AN39" s="3986"/>
      <c r="AO39" s="3986"/>
      <c r="AP39" s="3986"/>
      <c r="AQ39" s="3987"/>
      <c r="AR39" s="3986"/>
      <c r="AS39" s="3986"/>
      <c r="AT39" s="3986"/>
      <c r="AU39" s="1868"/>
      <c r="AV39" s="1868"/>
      <c r="AW39" s="1868"/>
      <c r="AX39" s="1868"/>
      <c r="AY39" s="3986"/>
      <c r="AZ39" s="1868"/>
      <c r="BA39" s="1868"/>
      <c r="BB39" s="1868"/>
      <c r="BC39" s="1868"/>
      <c r="BD39" s="1868"/>
      <c r="BE39" s="1868"/>
      <c r="BF39" s="1868"/>
      <c r="BG39" s="1868"/>
      <c r="BH39" s="1868"/>
      <c r="BI39" s="1868"/>
      <c r="BJ39" s="1868"/>
      <c r="BK39" s="1868"/>
      <c r="BL39" s="1868"/>
      <c r="BM39" s="1868"/>
      <c r="BN39" s="1868"/>
      <c r="BO39" s="1868"/>
      <c r="BP39" s="1868"/>
      <c r="BQ39" s="1868"/>
      <c r="BR39" s="1868"/>
    </row>
    <row r="40" spans="1:70" ht="12.2" customHeight="1">
      <c r="A40" s="1935"/>
      <c r="B40" s="1866">
        <v>1</v>
      </c>
      <c r="C40" s="6009"/>
      <c r="D40" s="5868"/>
      <c r="E40" s="5869"/>
      <c r="F40" s="5869"/>
      <c r="G40" s="5869"/>
      <c r="H40" s="5869"/>
      <c r="I40" s="5869"/>
      <c r="J40" s="5869"/>
      <c r="K40" s="5869"/>
      <c r="L40" s="5869"/>
      <c r="M40" s="5869"/>
      <c r="N40" s="5869"/>
      <c r="O40" s="5869"/>
      <c r="P40" s="5869"/>
      <c r="Q40" s="5869"/>
      <c r="R40" s="5869"/>
      <c r="S40" s="5869"/>
      <c r="T40" s="5869"/>
      <c r="U40" s="5869"/>
      <c r="V40" s="5869"/>
      <c r="W40" s="5869"/>
      <c r="X40" s="5869"/>
      <c r="Y40" s="5869"/>
      <c r="Z40" s="5869"/>
      <c r="AA40" s="5869"/>
      <c r="AB40" s="5869"/>
      <c r="AC40" s="5869"/>
      <c r="AD40" s="5869"/>
      <c r="AE40" s="5869"/>
      <c r="AF40" s="5869"/>
      <c r="AG40" s="5870"/>
      <c r="AH40" s="1943"/>
      <c r="AI40" s="6011"/>
      <c r="AJ40" s="3986" t="s">
        <v>8862</v>
      </c>
      <c r="AK40" s="3986"/>
      <c r="AL40" s="3986"/>
      <c r="AM40" s="3986" t="b">
        <f>COUNTIF(D16:E20,"Primario")&gt;1</f>
        <v>0</v>
      </c>
      <c r="AN40" s="3986"/>
      <c r="AO40" s="3986"/>
      <c r="AP40" s="3986"/>
      <c r="AQ40" s="3987"/>
      <c r="AR40" s="3987"/>
      <c r="AS40" s="3987"/>
      <c r="AT40" s="3987"/>
      <c r="AU40" s="1868"/>
      <c r="AV40" s="1868"/>
      <c r="AW40" s="1868"/>
      <c r="AX40" s="3986"/>
      <c r="AY40" s="3986"/>
      <c r="AZ40" s="1868"/>
      <c r="BA40" s="1868"/>
      <c r="BB40" s="1868"/>
      <c r="BC40" s="1868"/>
      <c r="BD40" s="1868"/>
      <c r="BE40" s="1868"/>
      <c r="BF40" s="1868"/>
      <c r="BG40" s="1868"/>
      <c r="BH40" s="1868"/>
      <c r="BI40" s="1868"/>
      <c r="BJ40" s="1868"/>
      <c r="BK40" s="1868"/>
      <c r="BL40" s="1868"/>
      <c r="BM40" s="1868"/>
      <c r="BN40" s="1868"/>
      <c r="BO40" s="1868"/>
      <c r="BP40" s="1868"/>
      <c r="BQ40" s="1868"/>
      <c r="BR40" s="1868"/>
    </row>
    <row r="41" spans="1:70" ht="12.2" customHeight="1">
      <c r="A41" s="1935"/>
      <c r="B41" s="1866">
        <v>1</v>
      </c>
      <c r="C41" s="6009"/>
      <c r="D41" s="5868"/>
      <c r="E41" s="5869"/>
      <c r="F41" s="5869"/>
      <c r="G41" s="5869"/>
      <c r="H41" s="5869"/>
      <c r="I41" s="5869"/>
      <c r="J41" s="5869"/>
      <c r="K41" s="5869"/>
      <c r="L41" s="5869"/>
      <c r="M41" s="5869"/>
      <c r="N41" s="5869"/>
      <c r="O41" s="5869"/>
      <c r="P41" s="5869"/>
      <c r="Q41" s="5869"/>
      <c r="R41" s="5869"/>
      <c r="S41" s="5869"/>
      <c r="T41" s="5869"/>
      <c r="U41" s="5869"/>
      <c r="V41" s="5869"/>
      <c r="W41" s="5869"/>
      <c r="X41" s="5869"/>
      <c r="Y41" s="5869"/>
      <c r="Z41" s="5869"/>
      <c r="AA41" s="5869"/>
      <c r="AB41" s="5869"/>
      <c r="AC41" s="5869"/>
      <c r="AD41" s="5869"/>
      <c r="AE41" s="5869"/>
      <c r="AF41" s="5869"/>
      <c r="AG41" s="5870"/>
      <c r="AH41" s="1943"/>
      <c r="AI41" s="6011"/>
      <c r="AJ41" s="3986" t="s">
        <v>8845</v>
      </c>
      <c r="AK41" s="3986"/>
      <c r="AL41" s="3986"/>
      <c r="AM41" s="3986" t="b">
        <f>SUM(V23:AG23)&lt;&gt;Y21+ABS(AC21)*2/5+IF(S12="Sí",3*P12,0)</f>
        <v>0</v>
      </c>
      <c r="AN41" s="3986"/>
      <c r="AO41" s="3986"/>
      <c r="AP41" s="3986"/>
      <c r="AQ41" s="3987"/>
      <c r="AR41" s="3987"/>
      <c r="AS41" s="3987"/>
      <c r="AT41" s="3987"/>
      <c r="AU41" s="1868"/>
      <c r="AV41" s="1868"/>
      <c r="AW41" s="1868"/>
      <c r="AX41" s="3986"/>
      <c r="AY41" s="3986"/>
      <c r="AZ41" s="1868"/>
      <c r="BA41" s="1868"/>
      <c r="BB41" s="1868"/>
      <c r="BC41" s="1868"/>
      <c r="BD41" s="1868"/>
      <c r="BE41" s="1868"/>
      <c r="BF41" s="1868"/>
      <c r="BG41" s="1868"/>
      <c r="BH41" s="1868"/>
      <c r="BI41" s="1868"/>
      <c r="BJ41" s="1868"/>
      <c r="BK41" s="1868"/>
      <c r="BL41" s="1868"/>
      <c r="BM41" s="1868"/>
      <c r="BN41" s="1868"/>
      <c r="BO41" s="1868"/>
      <c r="BP41" s="1868"/>
      <c r="BQ41" s="1868"/>
      <c r="BR41" s="1868"/>
    </row>
    <row r="42" spans="1:70" ht="12.2" customHeight="1">
      <c r="A42" s="1935"/>
      <c r="B42" s="1866">
        <v>1</v>
      </c>
      <c r="C42" s="6009"/>
      <c r="D42" s="5868"/>
      <c r="E42" s="5869"/>
      <c r="F42" s="5869"/>
      <c r="G42" s="5869"/>
      <c r="H42" s="5869"/>
      <c r="I42" s="5869"/>
      <c r="J42" s="5869"/>
      <c r="K42" s="5869"/>
      <c r="L42" s="5869"/>
      <c r="M42" s="5869"/>
      <c r="N42" s="5869"/>
      <c r="O42" s="5869"/>
      <c r="P42" s="5869"/>
      <c r="Q42" s="5869"/>
      <c r="R42" s="5869"/>
      <c r="S42" s="5869"/>
      <c r="T42" s="5869"/>
      <c r="U42" s="5869"/>
      <c r="V42" s="5869"/>
      <c r="W42" s="5869"/>
      <c r="X42" s="5869"/>
      <c r="Y42" s="5869"/>
      <c r="Z42" s="5869"/>
      <c r="AA42" s="5869"/>
      <c r="AB42" s="5869"/>
      <c r="AC42" s="5869"/>
      <c r="AD42" s="5869"/>
      <c r="AE42" s="5869"/>
      <c r="AF42" s="5869"/>
      <c r="AG42" s="5870"/>
      <c r="AH42" s="1943"/>
      <c r="AI42" s="6011"/>
      <c r="AJ42" s="3986" t="s">
        <v>8844</v>
      </c>
      <c r="AK42" s="3986"/>
      <c r="AL42" s="3986"/>
      <c r="AM42" s="3986" t="b">
        <f>AL29-AL30+AM29-AM30&lt;&gt;0</f>
        <v>0</v>
      </c>
      <c r="AN42" s="1868"/>
      <c r="AO42" s="1868"/>
      <c r="AP42" s="1868"/>
      <c r="AQ42" s="1868"/>
      <c r="AR42" s="3987"/>
      <c r="AS42" s="3987"/>
      <c r="AT42" s="3987"/>
      <c r="AU42" s="1868"/>
      <c r="AV42" s="1868"/>
      <c r="AW42" s="1868"/>
      <c r="AX42" s="3986"/>
      <c r="AY42" s="3986"/>
      <c r="AZ42" s="1868"/>
      <c r="BA42" s="1868"/>
      <c r="BB42" s="1868"/>
      <c r="BC42" s="1868"/>
      <c r="BD42" s="1868"/>
      <c r="BE42" s="1868"/>
      <c r="BF42" s="1868"/>
      <c r="BG42" s="1868"/>
      <c r="BH42" s="1868"/>
      <c r="BI42" s="1868"/>
      <c r="BJ42" s="1868"/>
      <c r="BK42" s="1868"/>
      <c r="BL42" s="1868"/>
      <c r="BM42" s="1868"/>
      <c r="BN42" s="1868"/>
      <c r="BO42" s="1868"/>
      <c r="BP42" s="1868"/>
      <c r="BQ42" s="1868"/>
      <c r="BR42" s="1868"/>
    </row>
    <row r="43" spans="1:70" ht="12.2" customHeight="1" thickBot="1">
      <c r="A43" s="1935"/>
      <c r="B43" s="1866"/>
      <c r="C43" s="6010"/>
      <c r="D43" s="601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6013"/>
      <c r="F43" s="6013"/>
      <c r="G43" s="6013"/>
      <c r="H43" s="6013"/>
      <c r="I43" s="6013"/>
      <c r="J43" s="6013"/>
      <c r="K43" s="6013"/>
      <c r="L43" s="6013"/>
      <c r="M43" s="6013"/>
      <c r="N43" s="6013"/>
      <c r="O43" s="6013"/>
      <c r="P43" s="6013"/>
      <c r="Q43" s="6013"/>
      <c r="R43" s="6013"/>
      <c r="S43" s="6013"/>
      <c r="T43" s="6013"/>
      <c r="U43" s="6013"/>
      <c r="V43" s="6013"/>
      <c r="W43" s="6013"/>
      <c r="X43" s="6013"/>
      <c r="Y43" s="6013"/>
      <c r="Z43" s="6013"/>
      <c r="AA43" s="6013"/>
      <c r="AB43" s="6013"/>
      <c r="AC43" s="6013"/>
      <c r="AD43" s="6013"/>
      <c r="AE43" s="6013"/>
      <c r="AF43" s="6013"/>
      <c r="AG43" s="6014"/>
      <c r="AH43" s="1943"/>
      <c r="AI43" s="6011"/>
      <c r="AJ43" s="3986" t="s">
        <v>8881</v>
      </c>
      <c r="AK43" s="1868"/>
      <c r="AL43" s="1868"/>
      <c r="AM43" s="1868" t="b">
        <f>ABS(SUM(N21:N23))&gt;(SUM(N16:N20)-10*Y21+AC21+IF(S12="Sí",10*P12,0)+IF(COUNTIF(K16:M20,"Mantenido")&gt;0,P12*10)+MAX(IF(COUNTIF(K16:M20,"Sostenimiento Menor")&gt;0,P12*20)+IF(COUNTIF(K16:M20,"Sostenimiento Mayor")&gt;0,P12*30)))/2</f>
        <v>0</v>
      </c>
      <c r="AN43" s="3986"/>
      <c r="AO43" s="3986"/>
      <c r="AP43" s="3986"/>
      <c r="AQ43" s="3986"/>
      <c r="AR43" s="3987"/>
      <c r="AS43" s="3987"/>
      <c r="AT43" s="3987"/>
      <c r="AU43" s="1868"/>
      <c r="AV43" s="1868"/>
      <c r="AW43" s="1868"/>
      <c r="AX43" s="3986"/>
      <c r="AY43" s="3986"/>
      <c r="AZ43" s="1868"/>
      <c r="BA43" s="1868"/>
      <c r="BB43" s="1868"/>
      <c r="BC43" s="1868"/>
      <c r="BD43" s="1868"/>
      <c r="BE43" s="1868"/>
      <c r="BF43" s="1868"/>
      <c r="BG43" s="1868"/>
      <c r="BH43" s="1868"/>
      <c r="BI43" s="1868"/>
      <c r="BJ43" s="1868"/>
      <c r="BK43" s="1868"/>
      <c r="BL43" s="1868"/>
      <c r="BM43" s="1868"/>
      <c r="BN43" s="1868"/>
      <c r="BO43" s="1868"/>
      <c r="BP43" s="1868"/>
      <c r="BQ43" s="1868"/>
      <c r="BR43" s="1868"/>
    </row>
    <row r="44" spans="1:70" ht="12.2" customHeight="1">
      <c r="A44" s="1935"/>
      <c r="B44" s="1866"/>
      <c r="C44" s="5935"/>
      <c r="D44" s="5935" t="str">
        <f>IFERROR(VLOOKUP(D25,'Tablas Técnicas'!$O$9:$T$88,2,FALSE),"")</f>
        <v/>
      </c>
      <c r="E44" s="5935"/>
      <c r="F44" s="5935"/>
      <c r="G44" s="5935"/>
      <c r="H44" s="5935"/>
      <c r="I44" s="5935"/>
      <c r="J44" s="5935" t="str">
        <f>IFERROR(VLOOKUP(J25,'Tablas Técnicas'!$O$9:$T$88,2,FALSE),"")</f>
        <v/>
      </c>
      <c r="K44" s="5935"/>
      <c r="L44" s="5935"/>
      <c r="M44" s="5935"/>
      <c r="N44" s="5935"/>
      <c r="O44" s="5935"/>
      <c r="P44" s="5935" t="str">
        <f>IFERROR(VLOOKUP(P25,'Tablas Técnicas'!$O$9:$T$88,2,FALSE),"")</f>
        <v/>
      </c>
      <c r="Q44" s="5935"/>
      <c r="R44" s="5935"/>
      <c r="S44" s="5935"/>
      <c r="T44" s="5935"/>
      <c r="U44" s="5935"/>
      <c r="V44" s="5935" t="str">
        <f>IFERROR(VLOOKUP(V25,'Tablas Técnicas'!$O$9:$T$88,2,FALSE),"")</f>
        <v/>
      </c>
      <c r="W44" s="5935"/>
      <c r="X44" s="5935"/>
      <c r="Y44" s="5935"/>
      <c r="Z44" s="5935"/>
      <c r="AA44" s="5935"/>
      <c r="AB44" s="5935" t="str">
        <f>IFERROR(VLOOKUP(AB25,'Tablas Técnicas'!$O$9:$T$88,2,FALSE),"")</f>
        <v/>
      </c>
      <c r="AC44" s="5935"/>
      <c r="AD44" s="5935"/>
      <c r="AE44" s="5935"/>
      <c r="AF44" s="5935"/>
      <c r="AG44" s="5935"/>
      <c r="AH44" s="1943"/>
      <c r="AI44" s="1921"/>
      <c r="AJ44" s="3986"/>
      <c r="AK44" s="3986"/>
      <c r="AL44" s="3986"/>
      <c r="AM44" s="3986"/>
      <c r="AN44" s="3986"/>
      <c r="AO44" s="3986"/>
      <c r="AP44" s="3986"/>
      <c r="AQ44" s="3986"/>
      <c r="AR44" s="3987"/>
      <c r="AS44" s="3987"/>
      <c r="AT44" s="3987"/>
      <c r="AU44" s="1868"/>
      <c r="AV44" s="1868"/>
      <c r="AW44" s="1868"/>
      <c r="AX44" s="1868"/>
      <c r="AY44" s="3986"/>
      <c r="AZ44" s="1868"/>
      <c r="BA44" s="1868"/>
      <c r="BB44" s="1868"/>
      <c r="BC44" s="1868"/>
      <c r="BD44" s="1868"/>
      <c r="BE44" s="1868"/>
      <c r="BF44" s="1868"/>
      <c r="BG44" s="1868"/>
      <c r="BH44" s="1868"/>
      <c r="BI44" s="1868"/>
      <c r="BJ44" s="1868"/>
      <c r="BK44" s="1868"/>
      <c r="BL44" s="1868"/>
      <c r="BM44" s="1868"/>
      <c r="BN44" s="1868"/>
      <c r="BO44" s="1868"/>
      <c r="BP44" s="1868"/>
      <c r="BQ44" s="1868"/>
      <c r="BR44" s="1868"/>
    </row>
    <row r="45" spans="1:70" ht="12.2" customHeight="1" thickBot="1">
      <c r="A45" s="1935"/>
      <c r="B45" s="1866"/>
      <c r="C45" s="5935"/>
      <c r="D45" s="2024"/>
      <c r="E45" s="1868"/>
      <c r="F45" s="1868"/>
      <c r="G45" s="1868"/>
      <c r="H45" s="1868"/>
      <c r="I45" s="1868"/>
      <c r="J45" s="1868"/>
      <c r="K45" s="1868"/>
      <c r="L45" s="1868"/>
      <c r="M45" s="1868"/>
      <c r="N45" s="1868"/>
      <c r="O45" s="1868"/>
      <c r="P45" s="1868"/>
      <c r="Q45" s="1868"/>
      <c r="R45" s="1868"/>
      <c r="S45" s="1868"/>
      <c r="T45" s="1868"/>
      <c r="W45" s="2025"/>
      <c r="X45" s="2025"/>
      <c r="Y45" s="2025"/>
      <c r="Z45" s="2025"/>
      <c r="AA45" s="2025"/>
      <c r="AB45" s="2025"/>
      <c r="AC45" s="2025"/>
      <c r="AD45" s="2025"/>
      <c r="AE45" s="2025"/>
      <c r="AF45" s="1868"/>
      <c r="AG45" s="1868"/>
      <c r="AH45" s="1943"/>
      <c r="AI45" s="1712"/>
      <c r="AJ45" s="3991"/>
      <c r="AK45" s="3991"/>
      <c r="AL45" s="3991"/>
      <c r="AM45" s="3991"/>
      <c r="AN45" s="3991"/>
      <c r="AO45" s="3991"/>
      <c r="AP45" s="3986"/>
      <c r="AQ45" s="3987"/>
      <c r="AR45" s="1868"/>
      <c r="AS45" s="1868"/>
      <c r="AT45" s="1868"/>
      <c r="AU45" s="1868"/>
      <c r="AV45" s="1868"/>
      <c r="AW45" s="1868"/>
      <c r="AX45" s="1868"/>
      <c r="AY45" s="3992"/>
      <c r="AZ45" s="1868"/>
      <c r="BA45" s="1868"/>
      <c r="BB45" s="1868"/>
      <c r="BC45" s="1868"/>
      <c r="BD45" s="1868"/>
      <c r="BE45" s="1868"/>
      <c r="BF45" s="1868"/>
      <c r="BG45" s="1868"/>
      <c r="BH45" s="1868"/>
      <c r="BI45" s="1868"/>
      <c r="BJ45" s="1868"/>
      <c r="BK45" s="1868"/>
      <c r="BL45" s="1868"/>
      <c r="BM45" s="1868"/>
      <c r="BN45" s="1868"/>
      <c r="BO45" s="1868"/>
      <c r="BP45" s="1868"/>
      <c r="BQ45" s="1868"/>
      <c r="BR45" s="1868"/>
    </row>
    <row r="46" spans="1:70" ht="12.2" customHeight="1">
      <c r="A46" s="1935"/>
      <c r="B46" s="1866">
        <f t="shared" ref="B46:B76" si="0">1+B12</f>
        <v>2</v>
      </c>
      <c r="C46" s="6008" t="str">
        <f>"Técnica "&amp;B46</f>
        <v>Técnica 2</v>
      </c>
      <c r="D46" s="5974" t="s">
        <v>8267</v>
      </c>
      <c r="E46" s="5975"/>
      <c r="F46" s="5975"/>
      <c r="G46" s="5975"/>
      <c r="H46" s="5975"/>
      <c r="I46" s="5975"/>
      <c r="J46" s="5975"/>
      <c r="K46" s="5975"/>
      <c r="L46" s="5975"/>
      <c r="M46" s="5975"/>
      <c r="N46" s="5976"/>
      <c r="O46" s="5971" t="s">
        <v>1186</v>
      </c>
      <c r="P46" s="5973">
        <v>1</v>
      </c>
      <c r="Q46" s="5916" t="s">
        <v>8350</v>
      </c>
      <c r="R46" s="5967"/>
      <c r="S46" s="5969" t="s">
        <v>1241</v>
      </c>
      <c r="T46" s="5917" t="s">
        <v>1365</v>
      </c>
      <c r="U46" s="5897">
        <f>MAX(IF(P46=3,60,IF(P46=2,40,20)),MIN(SUM(N50:N57)-10*Y55+AC55+IF(S46="Sí",10*P46,0)+IF(COUNTIF(K50:M54,"Mantenido")&gt;0,P46*10)+MAX(IF(COUNTIF(K84:M88,"Sostenimiento Menor"),20+IF(P80=2,0,10),IF(COUNTIF(K84:M88,"Sostenimiento Mayor"),30+IF(P80=2,0,10))))))</f>
        <v>20</v>
      </c>
      <c r="V46" s="5916" t="s">
        <v>8351</v>
      </c>
      <c r="W46" s="5917"/>
      <c r="X46" s="5920" t="str">
        <f>IFERROR(LEFT(AK62&amp;AL62&amp;AM62&amp;AN62&amp;AO62&amp;AP62,LEN(AK62&amp;AL62&amp;AM62&amp;AN62&amp;AO62&amp;AP62)-2),"")</f>
        <v/>
      </c>
      <c r="Y46" s="5920"/>
      <c r="Z46" s="5920"/>
      <c r="AA46" s="5920"/>
      <c r="AB46" s="5920"/>
      <c r="AC46" s="5920"/>
      <c r="AD46" s="5920"/>
      <c r="AE46" s="5920"/>
      <c r="AF46" s="5920"/>
      <c r="AG46" s="5921"/>
      <c r="AH46" s="1943"/>
      <c r="AI46" s="6011"/>
      <c r="AJ46" s="3989" t="s">
        <v>8878</v>
      </c>
      <c r="AK46" s="3989"/>
      <c r="AL46" s="3989"/>
      <c r="AM46" s="3989"/>
      <c r="AN46" s="3989"/>
      <c r="AO46" s="3989"/>
      <c r="AP46" s="3989"/>
      <c r="AQ46" s="3989"/>
      <c r="AR46" s="3989"/>
      <c r="AS46" s="3986"/>
      <c r="AT46" s="3986"/>
      <c r="AU46" s="3986"/>
      <c r="AV46" s="3986"/>
      <c r="AW46" s="1868"/>
      <c r="AX46" s="1868"/>
      <c r="AY46" s="3986"/>
      <c r="AZ46" s="1868"/>
      <c r="BA46" s="1868"/>
      <c r="BB46" s="1868"/>
      <c r="BC46" s="1868"/>
      <c r="BD46" s="1868"/>
      <c r="BE46" s="1868"/>
      <c r="BF46" s="1868"/>
      <c r="BG46" s="1868"/>
      <c r="BH46" s="1868"/>
      <c r="BI46" s="1868"/>
      <c r="BJ46" s="1868"/>
      <c r="BK46" s="1868"/>
      <c r="BL46" s="1868"/>
      <c r="BM46" s="1868"/>
      <c r="BN46" s="1868"/>
      <c r="BO46" s="1868"/>
      <c r="BP46" s="1868"/>
      <c r="BQ46" s="1868"/>
      <c r="BR46" s="1868"/>
    </row>
    <row r="47" spans="1:70" ht="12.2" customHeight="1">
      <c r="A47" s="1935"/>
      <c r="B47" s="1866">
        <f t="shared" si="0"/>
        <v>2</v>
      </c>
      <c r="C47" s="6009"/>
      <c r="D47" s="5977"/>
      <c r="E47" s="5992"/>
      <c r="F47" s="5992"/>
      <c r="G47" s="5992"/>
      <c r="H47" s="5992"/>
      <c r="I47" s="5992"/>
      <c r="J47" s="5992"/>
      <c r="K47" s="5992"/>
      <c r="L47" s="5992"/>
      <c r="M47" s="5992"/>
      <c r="N47" s="5993"/>
      <c r="O47" s="5972"/>
      <c r="P47" s="5970"/>
      <c r="Q47" s="5918"/>
      <c r="R47" s="5968"/>
      <c r="S47" s="5970"/>
      <c r="T47" s="5919"/>
      <c r="U47" s="5898"/>
      <c r="V47" s="5918"/>
      <c r="W47" s="5919"/>
      <c r="X47" s="5922"/>
      <c r="Y47" s="5922"/>
      <c r="Z47" s="5922"/>
      <c r="AA47" s="5922"/>
      <c r="AB47" s="5922"/>
      <c r="AC47" s="5922"/>
      <c r="AD47" s="5922"/>
      <c r="AE47" s="5922"/>
      <c r="AF47" s="5922"/>
      <c r="AG47" s="5923"/>
      <c r="AH47" s="1943"/>
      <c r="AI47" s="6011"/>
      <c r="AJ47" s="3989"/>
      <c r="AK47" s="3989" t="s">
        <v>8879</v>
      </c>
      <c r="AL47" s="3989" t="s">
        <v>12546</v>
      </c>
      <c r="AM47" s="3990"/>
      <c r="AN47" s="3990"/>
      <c r="AO47" s="3990"/>
      <c r="AP47" s="3990"/>
      <c r="AQ47" s="3990"/>
      <c r="AR47" s="3989"/>
      <c r="AS47" s="3986"/>
      <c r="AT47" s="3986"/>
      <c r="AU47" s="3986"/>
      <c r="AV47" s="3986"/>
      <c r="AW47" s="1868"/>
      <c r="AX47" s="5935" t="s">
        <v>8848</v>
      </c>
      <c r="AY47" s="5935"/>
      <c r="AZ47" s="1868"/>
      <c r="BA47" s="1868"/>
      <c r="BB47" s="1868"/>
      <c r="BC47" s="1868"/>
      <c r="BD47" s="1868"/>
      <c r="BE47" s="1868"/>
      <c r="BF47" s="1868"/>
      <c r="BG47" s="1868"/>
      <c r="BH47" s="1868"/>
      <c r="BI47" s="1868"/>
      <c r="BJ47" s="1868"/>
      <c r="BK47" s="1868"/>
      <c r="BL47" s="1868"/>
      <c r="BM47" s="1868"/>
      <c r="BN47" s="1868"/>
      <c r="BO47" s="1868"/>
      <c r="BP47" s="1868"/>
      <c r="BQ47" s="1868"/>
      <c r="BR47" s="1868"/>
    </row>
    <row r="48" spans="1:70" ht="12.2" customHeight="1">
      <c r="A48" s="1935"/>
      <c r="B48" s="1866">
        <f t="shared" si="0"/>
        <v>2</v>
      </c>
      <c r="C48" s="6009"/>
      <c r="D48" s="5873" t="s">
        <v>2662</v>
      </c>
      <c r="E48" s="5874"/>
      <c r="F48" s="5874"/>
      <c r="G48" s="5874"/>
      <c r="H48" s="5874"/>
      <c r="I48" s="5874"/>
      <c r="J48" s="5874"/>
      <c r="K48" s="5924" t="s">
        <v>9170</v>
      </c>
      <c r="L48" s="5924"/>
      <c r="M48" s="5924"/>
      <c r="N48" s="5874" t="s">
        <v>1359</v>
      </c>
      <c r="O48" s="5924" t="s">
        <v>2660</v>
      </c>
      <c r="P48" s="5924" t="s">
        <v>8352</v>
      </c>
      <c r="Q48" s="5874" t="s">
        <v>1224</v>
      </c>
      <c r="R48" s="5874"/>
      <c r="S48" s="5874"/>
      <c r="T48" s="5874"/>
      <c r="U48" s="5874"/>
      <c r="V48" s="5876" t="s">
        <v>1233</v>
      </c>
      <c r="W48" s="5855"/>
      <c r="X48" s="5876" t="s">
        <v>1357</v>
      </c>
      <c r="Y48" s="5980"/>
      <c r="Z48" s="5855" t="s">
        <v>1238</v>
      </c>
      <c r="AA48" s="5855"/>
      <c r="AB48" s="5876" t="s">
        <v>1243</v>
      </c>
      <c r="AC48" s="5980"/>
      <c r="AD48" s="5855" t="s">
        <v>1250</v>
      </c>
      <c r="AE48" s="5855"/>
      <c r="AF48" s="5876" t="s">
        <v>1251</v>
      </c>
      <c r="AG48" s="5856"/>
      <c r="AH48" s="1943"/>
      <c r="AI48" s="6011"/>
      <c r="AJ48" s="3986"/>
      <c r="AK48" s="3986"/>
      <c r="AL48" s="3986" t="s">
        <v>9149</v>
      </c>
      <c r="AM48" s="3986"/>
      <c r="AN48" s="3986"/>
      <c r="AO48" s="3986"/>
      <c r="AP48" s="3986"/>
      <c r="AQ48" s="3986"/>
      <c r="AR48" s="1868"/>
      <c r="AS48" s="1868" t="s">
        <v>8868</v>
      </c>
      <c r="AT48" s="1868" t="s">
        <v>8869</v>
      </c>
      <c r="AU48" s="3986" t="s">
        <v>8857</v>
      </c>
      <c r="AV48" s="3986" t="s">
        <v>8858</v>
      </c>
      <c r="AW48" s="1868" t="s">
        <v>1359</v>
      </c>
      <c r="AX48" s="1868" t="s">
        <v>8354</v>
      </c>
      <c r="AY48" s="3986" t="s">
        <v>8355</v>
      </c>
      <c r="AZ48" s="1868"/>
      <c r="BA48" s="1868"/>
      <c r="BB48" s="1868"/>
      <c r="BC48" s="1868"/>
      <c r="BD48" s="1868"/>
      <c r="BE48" s="1868"/>
      <c r="BF48" s="1868"/>
      <c r="BG48" s="1868"/>
      <c r="BH48" s="1868"/>
      <c r="BI48" s="1868"/>
      <c r="BJ48" s="1868"/>
      <c r="BK48" s="1868"/>
      <c r="BL48" s="1868"/>
      <c r="BM48" s="1868"/>
      <c r="BN48" s="1868"/>
      <c r="BO48" s="1868"/>
      <c r="BP48" s="1868"/>
      <c r="BQ48" s="1868"/>
      <c r="BR48" s="1868"/>
    </row>
    <row r="49" spans="1:70" ht="12.2" customHeight="1">
      <c r="A49" s="1935"/>
      <c r="B49" s="1866">
        <f t="shared" si="0"/>
        <v>2</v>
      </c>
      <c r="C49" s="6009"/>
      <c r="D49" s="5989"/>
      <c r="E49" s="5990"/>
      <c r="F49" s="5990"/>
      <c r="G49" s="5990"/>
      <c r="H49" s="5990"/>
      <c r="I49" s="5990"/>
      <c r="J49" s="5990"/>
      <c r="K49" s="5925"/>
      <c r="L49" s="5925"/>
      <c r="M49" s="5925"/>
      <c r="N49" s="5877"/>
      <c r="O49" s="5925"/>
      <c r="P49" s="5991"/>
      <c r="Q49" s="5877"/>
      <c r="R49" s="5877"/>
      <c r="S49" s="5877"/>
      <c r="T49" s="5877"/>
      <c r="U49" s="5877"/>
      <c r="V49" s="2167" t="s">
        <v>8847</v>
      </c>
      <c r="W49" s="2168" t="s">
        <v>2666</v>
      </c>
      <c r="X49" s="2167" t="s">
        <v>8847</v>
      </c>
      <c r="Y49" s="2168" t="s">
        <v>2666</v>
      </c>
      <c r="Z49" s="2167" t="s">
        <v>8847</v>
      </c>
      <c r="AA49" s="2168" t="s">
        <v>2666</v>
      </c>
      <c r="AB49" s="2167" t="s">
        <v>8847</v>
      </c>
      <c r="AC49" s="2168" t="s">
        <v>2666</v>
      </c>
      <c r="AD49" s="2167" t="s">
        <v>8847</v>
      </c>
      <c r="AE49" s="2168" t="s">
        <v>2666</v>
      </c>
      <c r="AF49" s="2167" t="s">
        <v>8847</v>
      </c>
      <c r="AG49" s="2169" t="s">
        <v>2666</v>
      </c>
      <c r="AH49" s="1943"/>
      <c r="AI49" s="6011"/>
      <c r="AJ49" s="3986"/>
      <c r="AK49" s="3986" t="s">
        <v>8849</v>
      </c>
      <c r="AL49" s="3986">
        <v>1</v>
      </c>
      <c r="AM49" s="3986">
        <v>2</v>
      </c>
      <c r="AN49" s="3986">
        <v>3</v>
      </c>
      <c r="AO49" s="3986">
        <v>4</v>
      </c>
      <c r="AP49" s="3986">
        <v>5</v>
      </c>
      <c r="AQ49" s="3986">
        <v>6</v>
      </c>
      <c r="AR49" s="3986">
        <v>7</v>
      </c>
      <c r="AS49" s="1868"/>
      <c r="AT49" s="3986" t="s">
        <v>8880</v>
      </c>
      <c r="AU49" s="1868"/>
      <c r="AV49" s="1868"/>
      <c r="AW49" s="1868" t="s">
        <v>8880</v>
      </c>
      <c r="AX49" s="1868"/>
      <c r="AY49" s="3986"/>
      <c r="AZ49" s="1868"/>
      <c r="BA49" s="1868"/>
      <c r="BB49" s="1868"/>
      <c r="BC49" s="1868"/>
      <c r="BD49" s="1868"/>
      <c r="BE49" s="1868"/>
      <c r="BF49" s="1868"/>
      <c r="BG49" s="1868"/>
      <c r="BH49" s="1868"/>
      <c r="BI49" s="1868"/>
      <c r="BJ49" s="1868"/>
      <c r="BK49" s="1868"/>
      <c r="BL49" s="1868"/>
      <c r="BM49" s="1868"/>
      <c r="BN49" s="1868"/>
      <c r="BO49" s="1868"/>
      <c r="BP49" s="1868"/>
      <c r="BQ49" s="1868"/>
      <c r="BR49" s="1868"/>
    </row>
    <row r="50" spans="1:70" ht="12.2" customHeight="1">
      <c r="A50" s="1935"/>
      <c r="B50" s="1866">
        <f t="shared" si="0"/>
        <v>2</v>
      </c>
      <c r="C50" s="6009"/>
      <c r="D50" s="5981" t="s">
        <v>8356</v>
      </c>
      <c r="E50" s="5982"/>
      <c r="F50" s="5929"/>
      <c r="G50" s="5930"/>
      <c r="H50" s="5930"/>
      <c r="I50" s="5930"/>
      <c r="J50" s="5931"/>
      <c r="K50" s="5932" t="s">
        <v>1315</v>
      </c>
      <c r="L50" s="5933"/>
      <c r="M50" s="5934"/>
      <c r="N50" s="1871">
        <f>IF(AW50&gt;0,IF(VLOOKUP(F50,'Tablas Técnicas'!$O$9:$X$88,10,0),MAX(5,AW50-5),AW50),0)</f>
        <v>0</v>
      </c>
      <c r="O50" s="1871" t="str">
        <f>AS50&amp;" / "&amp;AT50</f>
        <v>0 / 0</v>
      </c>
      <c r="P50" s="1871" t="str">
        <f t="array" ref="P50">W50+Y50+AA50+AC50+AE50+AG50&amp;" / "&amp;IF(K50&lt;&gt;"Mantenido",0,SUM(IF($AL50:$AR50='Tablas Técnicas'!$L$10:$L$644,'Tablas Técnicas'!$H$10:$H$644,0)))</f>
        <v>0 / 0</v>
      </c>
      <c r="Q50" s="5983" t="str">
        <f>IFERROR(VLOOKUP(F50,'Tablas Técnicas'!$O$9:$T$88,5,FALSE),"")</f>
        <v/>
      </c>
      <c r="R50" s="5983"/>
      <c r="S50" s="5983"/>
      <c r="T50" s="5983"/>
      <c r="U50" s="5983"/>
      <c r="V50" s="1822"/>
      <c r="W50" s="1823"/>
      <c r="X50" s="1822"/>
      <c r="Y50" s="1824"/>
      <c r="Z50" s="1825"/>
      <c r="AA50" s="1823"/>
      <c r="AB50" s="1822"/>
      <c r="AC50" s="1824"/>
      <c r="AD50" s="1825"/>
      <c r="AE50" s="1823"/>
      <c r="AF50" s="1822"/>
      <c r="AG50" s="1826"/>
      <c r="AH50" s="1943"/>
      <c r="AI50" s="6011"/>
      <c r="AJ50" s="3986">
        <v>1</v>
      </c>
      <c r="AK50" s="3986">
        <f>P46</f>
        <v>1</v>
      </c>
      <c r="AL50" s="3986" t="str">
        <f>IF(AND(ISNUMBER(MATCH($F50,'Tablas Técnicas'!$L$10:$L$644,0)),INDEX($D63:$D69,Tablas!A$1)="",COUNTIF(AM50:$AS50,$F50)=0),$F50,IF(INDEX($D63:$D69,Tablas!A$1)="","",$F50&amp;INDEX($D63:$D69,Tablas!A$1)))</f>
        <v/>
      </c>
      <c r="AM50" s="3986" t="str">
        <f>IF(AND(ISNUMBER(MATCH($F50,'Tablas Técnicas'!$L$10:$L$644,0)),INDEX($D63:$D69,Tablas!B$1)="",COUNTIF(AN50:$AS50,$F50)=0),$F50,IF(INDEX($D63:$D69,Tablas!B$1)="","",$F50&amp;INDEX($D63:$D69,Tablas!B$1)))</f>
        <v/>
      </c>
      <c r="AN50" s="3986" t="str">
        <f>IF(AND(ISNUMBER(MATCH($F50,'Tablas Técnicas'!$L$10:$L$644,0)),INDEX($D63:$D69,Tablas!C$1)="",COUNTIF(AO50:$AS50,$F50)=0),$F50,IF(INDEX($D63:$D69,Tablas!C$1)="","",$F50&amp;INDEX($D63:$D69,Tablas!C$1)))</f>
        <v/>
      </c>
      <c r="AO50" s="3986" t="str">
        <f>IF(AND(ISNUMBER(MATCH($F50,'Tablas Técnicas'!$L$10:$L$644,0)),INDEX($D63:$D69,Tablas!D$1)="",COUNTIF(AP50:$AS50,$F50)=0),$F50,IF(INDEX($D63:$D69,Tablas!D$1)="","",$F50&amp;INDEX($D63:$D69,Tablas!D$1)))</f>
        <v/>
      </c>
      <c r="AP50" s="3986" t="str">
        <f>IF(AND(ISNUMBER(MATCH($F50,'Tablas Técnicas'!$L$10:$L$644,0)),INDEX($D63:$D69,Tablas!E$1)="",COUNTIF(AQ50:$AS50,$F50)=0),$F50,IF(INDEX($D63:$D69,Tablas!E$1)="","",$F50&amp;INDEX($D63:$D69,Tablas!E$1)))</f>
        <v/>
      </c>
      <c r="AQ50" s="3986" t="str">
        <f>IF(AND(ISNUMBER(MATCH($F50,'Tablas Técnicas'!$L$10:$L$644,0)),INDEX($D63:$D69,Tablas!F$1)="",COUNTIF(AR50:$AS50,$F50)=0),$F50,IF(INDEX($D63:$D69,Tablas!F$1)="","",$F50&amp;INDEX($D63:$D69,Tablas!F$1)))</f>
        <v/>
      </c>
      <c r="AR50" s="3986" t="str">
        <f>IF(AND(ISNUMBER(MATCH($F50,'Tablas Técnicas'!$L$10:$L$644,0)),INDEX($D63:$D69,Tablas!G$1)="",COUNTIF(AS50:$AS50,$F50)=0),$F50,IF(INDEX($D63:$D69,Tablas!G$1)="","",$F50&amp;INDEX($D63:$D69,Tablas!G$1)))</f>
        <v/>
      </c>
      <c r="AS50" s="1868">
        <f>V50+X50+Z50+AB50+AD50+AF50</f>
        <v>0</v>
      </c>
      <c r="AT50" s="1868">
        <f t="array" ref="AT50">SUM(IF($AL50:$AR50='Tablas Técnicas'!$L$10:$L$644,IF(D50="Primario",'Tablas Técnicas'!$E$10:$E$644,'Tablas Técnicas'!$F$10:$F$644)+IF(K50="Sostenimiento menor",'Tablas Técnicas'!$I$10:$I$644,IF(K50="sostenimiento mayor",'Tablas Técnicas'!$J$10:$J$644,0)),0),0)+VALUE(RIGHT(P50,2))+AU50+AV50</f>
        <v>0</v>
      </c>
      <c r="AU50" s="1868">
        <f>IFERROR(IF(V50=0,0,VALUE(MID(Q50,SEARCH("AGI",Q50)+4,1))),0)+IFERROR(IF(X50=0,0,VALUE(MID(Q50,SEARCH("CON",Q50)+4,1))),0)+IFERROR(IF(Z50=0,0,VALUE(MID(Q50,SEARCH("DES",Q50)+4,1))),0)+IFERROR(IF(AB50=0,0,VALUE(MID(Q50,SEARCH("FUE",Q50)+4,1))),0)+IFERROR(IF(AD50=0,0,VALUE(MID(Q50,SEARCH("POD",Q50)+4,1))),0)+IFERROR(IF(AF50=0,0,VALUE(MID(Q50,SEARCH("VOL",Q50)+4,1))),0)</f>
        <v>0</v>
      </c>
      <c r="AV50" s="1868">
        <f>(COUNTIF(AL50:AR50,"*Estado añadido:*")-1)*COUNTIF(AL50:AR50,"*Estado añadido:*")</f>
        <v>0</v>
      </c>
      <c r="AW50" s="1868">
        <f t="array" ref="AW50">SUM(IF($AL50:$AR50='Tablas Técnicas'!$L$10:$L$644,'Tablas Técnicas'!$G$10:$G$644,0))</f>
        <v>0</v>
      </c>
      <c r="AX50" s="3986" t="str">
        <f>IF(F50="","",F50&amp;" ("&amp;IF(AL50="","",SUBSTITUTE(AL50,F50,"")&amp;", ")&amp;IF(AM50="","",SUBSTITUTE(AM50,F50,"")&amp;", ")&amp;IF(AN50="","",SUBSTITUTE(AN50,F50,"")&amp;", ")&amp;IF(AO50="","",SUBSTITUTE(AO50,F50,"")&amp;", ")&amp;IF(AP50="","",SUBSTITUTE(AP50,F50,"")&amp;", ")&amp;IF(AQ50="","",SUBSTITUTE(AQ50,F50,"")&amp;", ")&amp;IF(AR50="","",SUBSTITUTE(AR50,F50,"")&amp;", ")&amp;IF(OR(K50="",K50="-"),"",K50&amp;", "))</f>
        <v/>
      </c>
      <c r="AY50" s="3986" t="str">
        <f>IFERROR(LEFT(AX50,LEN(AX50)-2)&amp;"), ","")</f>
        <v/>
      </c>
      <c r="AZ50" s="1868"/>
      <c r="BA50" s="1868"/>
      <c r="BB50" s="1868"/>
      <c r="BC50" s="1868"/>
      <c r="BD50" s="1868"/>
      <c r="BE50" s="1868"/>
      <c r="BF50" s="1868"/>
      <c r="BG50" s="1868"/>
      <c r="BH50" s="1868"/>
      <c r="BI50" s="1868"/>
      <c r="BJ50" s="1868"/>
      <c r="BK50" s="1868"/>
      <c r="BL50" s="1868"/>
      <c r="BM50" s="1868"/>
      <c r="BN50" s="1868"/>
      <c r="BO50" s="1868"/>
      <c r="BP50" s="1868"/>
      <c r="BQ50" s="1868"/>
      <c r="BR50" s="1868"/>
    </row>
    <row r="51" spans="1:70" ht="12.2" customHeight="1">
      <c r="A51" s="1935"/>
      <c r="B51" s="1866">
        <f t="shared" si="0"/>
        <v>2</v>
      </c>
      <c r="C51" s="6009"/>
      <c r="D51" s="5906" t="s">
        <v>483</v>
      </c>
      <c r="E51" s="5907"/>
      <c r="F51" s="5984"/>
      <c r="G51" s="5985"/>
      <c r="H51" s="5985"/>
      <c r="I51" s="5985"/>
      <c r="J51" s="5902"/>
      <c r="K51" s="5986" t="s">
        <v>1315</v>
      </c>
      <c r="L51" s="5987"/>
      <c r="M51" s="5988"/>
      <c r="N51" s="1716">
        <f>IF(AW51&gt;0,IF(VLOOKUP(F51,'Tablas Técnicas'!$O$9:$X$88,10,0),MAX(5,AW51-5),AW51),0)</f>
        <v>0</v>
      </c>
      <c r="O51" s="1716" t="str">
        <f>AS51&amp;" / "&amp;AT51</f>
        <v>0 / 0</v>
      </c>
      <c r="P51" s="1716" t="str">
        <f t="array" ref="P51">W51+Y51+AA51+AC51+AE51+AG51&amp;" / "&amp;IF(K51&lt;&gt;"Mantenido",0,SUM(IF($AL51:$AR51='Tablas Técnicas'!$L$10:$L$644,'Tablas Técnicas'!$H$10:$H$644,0)))</f>
        <v>0 / 0</v>
      </c>
      <c r="Q51" s="5908" t="str">
        <f>IFERROR(VLOOKUP(F51,'Tablas Técnicas'!$O$9:$T$88,5,FALSE),"")</f>
        <v/>
      </c>
      <c r="R51" s="5908"/>
      <c r="S51" s="5908"/>
      <c r="T51" s="5908"/>
      <c r="U51" s="5908"/>
      <c r="V51" s="1827"/>
      <c r="W51" s="1828"/>
      <c r="X51" s="1827"/>
      <c r="Y51" s="1829"/>
      <c r="Z51" s="1830"/>
      <c r="AA51" s="1828"/>
      <c r="AB51" s="1827"/>
      <c r="AC51" s="1829"/>
      <c r="AD51" s="1830"/>
      <c r="AE51" s="1828"/>
      <c r="AF51" s="1827"/>
      <c r="AG51" s="1831"/>
      <c r="AH51" s="1943"/>
      <c r="AI51" s="6011"/>
      <c r="AJ51" s="3986">
        <v>2</v>
      </c>
      <c r="AK51" s="3986">
        <f>P46</f>
        <v>1</v>
      </c>
      <c r="AL51" s="3986" t="str">
        <f>IF(AND(ISNUMBER(MATCH($F51,'Tablas Técnicas'!$L$10:$L$644,0)),INDEX($J63:$J69,Tablas!A$1)="",COUNTIF(AM51:$AS51,$F51)=0),$F51,IF(INDEX($J63:$J69,Tablas!A$1)="","",$F51&amp;INDEX($J63:$J69,Tablas!A$1)))</f>
        <v/>
      </c>
      <c r="AM51" s="3986" t="str">
        <f>IF(AND(ISNUMBER(MATCH($F51,'Tablas Técnicas'!$L$10:$L$644,0)),INDEX($J63:$J69,Tablas!B$1)="",COUNTIF(AN51:$AS51,$F51)=0),$F51,IF(INDEX($J63:$J69,Tablas!B$1)="","",$F51&amp;INDEX($J63:$J69,Tablas!B$1)))</f>
        <v/>
      </c>
      <c r="AN51" s="3986" t="str">
        <f>IF(AND(ISNUMBER(MATCH($F51,'Tablas Técnicas'!$L$10:$L$644,0)),INDEX($J63:$J69,Tablas!C$1)="",COUNTIF(AO51:$AS51,$F51)=0),$F51,IF(INDEX($J63:$J69,Tablas!C$1)="","",$F51&amp;INDEX($J63:$J69,Tablas!C$1)))</f>
        <v/>
      </c>
      <c r="AO51" s="3986" t="str">
        <f>IF(AND(ISNUMBER(MATCH($F51,'Tablas Técnicas'!$L$10:$L$644,0)),INDEX($J63:$J69,Tablas!D$1)="",COUNTIF(AP51:$AS51,$F51)=0),$F51,IF(INDEX($J63:$J69,Tablas!D$1)="","",$F51&amp;INDEX($J63:$J69,Tablas!D$1)))</f>
        <v/>
      </c>
      <c r="AP51" s="3986" t="str">
        <f>IF(AND(ISNUMBER(MATCH($F51,'Tablas Técnicas'!$L$10:$L$644,0)),INDEX($J63:$J69,Tablas!E$1)="",COUNTIF(AQ51:$AS51,$F51)=0),$F51,IF(INDEX($J63:$J69,Tablas!E$1)="","",$F51&amp;INDEX($J63:$J69,Tablas!E$1)))</f>
        <v/>
      </c>
      <c r="AQ51" s="3986" t="str">
        <f>IF(AND(ISNUMBER(MATCH($F51,'Tablas Técnicas'!$L$10:$L$644,0)),INDEX($J63:$J69,Tablas!F$1)="",COUNTIF(AR51:$AS51,$F51)=0),$F51,IF(INDEX($J63:$J69,Tablas!F$1)="","",$F51&amp;INDEX($J63:$J69,Tablas!F$1)))</f>
        <v/>
      </c>
      <c r="AR51" s="3986" t="str">
        <f>IF(AND(ISNUMBER(MATCH($F51,'Tablas Técnicas'!$L$10:$L$644,0)),INDEX($J63:$J69,Tablas!G$1)="",COUNTIF(AS51:$AS51,$F51)=0),$F51,IF(INDEX($J63:$J69,Tablas!G$1)="","",$F51&amp;INDEX($J63:$J69,Tablas!G$1)))</f>
        <v/>
      </c>
      <c r="AS51" s="1868">
        <f>V51+X51+Z51+AB51+AD51+AF51</f>
        <v>0</v>
      </c>
      <c r="AT51" s="1868">
        <f t="array" ref="AT51">SUM(IF($AL51:$AR51='Tablas Técnicas'!$L$10:$L$644,IF(D51="Primario",'Tablas Técnicas'!$E$10:$E$644,'Tablas Técnicas'!$F$10:$F$644)+IF(K51="Sostenimiento menor",'Tablas Técnicas'!$I$10:$I$644,IF(K51="sostenimiento mayor",'Tablas Técnicas'!$J$10:$J$644,0)),0),0)+VALUE(RIGHT(P51,2))+AU51+AV51</f>
        <v>0</v>
      </c>
      <c r="AU51" s="1868">
        <f>IFERROR(IF(V51=0,0,VALUE(MID(Q51,SEARCH("AGI",Q51)+4,1))),0)+IFERROR(IF(X51=0,0,VALUE(MID(Q51,SEARCH("CON",Q51)+4,1))),0)+IFERROR(IF(Z51=0,0,VALUE(MID(Q51,SEARCH("DES",Q51)+4,1))),0)+IFERROR(IF(AB51=0,0,VALUE(MID(Q51,SEARCH("FUE",Q51)+4,1))),0)+IFERROR(IF(AD51=0,0,VALUE(MID(Q51,SEARCH("POD",Q51)+4,1))),0)+IFERROR(IF(AF51=0,0,VALUE(MID(Q51,SEARCH("VOL",Q51)+4,1))),0)</f>
        <v>0</v>
      </c>
      <c r="AV51" s="1868">
        <f>(COUNTIF(AL51:AR51,"*Estado añadido:*")-1)*COUNTIF(AL51:AR51,"*Estado añadido:*")</f>
        <v>0</v>
      </c>
      <c r="AW51" s="1868">
        <f t="array" ref="AW51">SUM(IF($AL51:$AR51='Tablas Técnicas'!$L$10:$L$644,'Tablas Técnicas'!$G$10:$G$644,0))</f>
        <v>0</v>
      </c>
      <c r="AX51" s="3986" t="str">
        <f>IF(F51="","",F51&amp;" ("&amp;IF(AL51="","",SUBSTITUTE(AL51,F51,"")&amp;", ")&amp;IF(AM51="","",SUBSTITUTE(AM51,F51,"")&amp;", ")&amp;IF(AN51="","",SUBSTITUTE(AN51,F51,"")&amp;", ")&amp;IF(AO51="","",SUBSTITUTE(AO51,F51,"")&amp;", ")&amp;IF(AP51="","",SUBSTITUTE(AP51,F51,"")&amp;", ")&amp;IF(AQ51="","",SUBSTITUTE(AQ51,F51,"")&amp;", ")&amp;IF(AR51="","",SUBSTITUTE(AR51,F51,"")&amp;", ")&amp;IF(OR(K51="",K51="-"),"",K51&amp;", "))</f>
        <v/>
      </c>
      <c r="AY51" s="3986" t="str">
        <f>IFERROR(LEFT(AX51,LEN(AX51)-2)&amp;"), ","")</f>
        <v/>
      </c>
      <c r="AZ51" s="1868"/>
      <c r="BA51" s="1868"/>
      <c r="BB51" s="1868"/>
      <c r="BC51" s="1868"/>
      <c r="BD51" s="1868"/>
      <c r="BE51" s="1868"/>
      <c r="BF51" s="1868"/>
      <c r="BG51" s="1868"/>
      <c r="BH51" s="1868"/>
      <c r="BI51" s="1868"/>
      <c r="BJ51" s="1868"/>
      <c r="BK51" s="1868"/>
      <c r="BL51" s="1868"/>
      <c r="BM51" s="1868"/>
      <c r="BN51" s="1868"/>
      <c r="BO51" s="1868"/>
      <c r="BP51" s="1868"/>
      <c r="BQ51" s="1868"/>
      <c r="BR51" s="1868"/>
    </row>
    <row r="52" spans="1:70" ht="12.2" customHeight="1">
      <c r="A52" s="1935"/>
      <c r="B52" s="1866">
        <f t="shared" si="0"/>
        <v>2</v>
      </c>
      <c r="C52" s="6009"/>
      <c r="D52" s="6000" t="s">
        <v>483</v>
      </c>
      <c r="E52" s="6001"/>
      <c r="F52" s="5899"/>
      <c r="G52" s="5900"/>
      <c r="H52" s="5900"/>
      <c r="I52" s="5900"/>
      <c r="J52" s="5901"/>
      <c r="K52" s="5997" t="s">
        <v>1315</v>
      </c>
      <c r="L52" s="5998"/>
      <c r="M52" s="5999"/>
      <c r="N52" s="1712">
        <f>IF(AW52&gt;0,IF(VLOOKUP(F52,'Tablas Técnicas'!$O$9:$X$88,10,0),MAX(5,AW52-5),AW52),0)</f>
        <v>0</v>
      </c>
      <c r="O52" s="1712" t="str">
        <f>AS52&amp;" / "&amp;AT52</f>
        <v>0 / 0</v>
      </c>
      <c r="P52" s="1712" t="str">
        <f t="array" ref="P52">W52+Y52+AA52+AC52+AE52+AG52&amp;" / "&amp;IF(K52&lt;&gt;"Mantenido",0,SUM(IF($AL52:$AR52='Tablas Técnicas'!$L$10:$L$644,'Tablas Técnicas'!$H$10:$H$644,0)))</f>
        <v>0 / 0</v>
      </c>
      <c r="Q52" s="6002" t="str">
        <f>IFERROR(VLOOKUP(F52,'Tablas Técnicas'!$O$9:$T$88,5,FALSE),"")</f>
        <v/>
      </c>
      <c r="R52" s="6002"/>
      <c r="S52" s="6002"/>
      <c r="T52" s="6002"/>
      <c r="U52" s="6002"/>
      <c r="V52" s="1832"/>
      <c r="W52" s="1833"/>
      <c r="X52" s="1832"/>
      <c r="Y52" s="1834"/>
      <c r="Z52" s="1835"/>
      <c r="AA52" s="1833"/>
      <c r="AB52" s="1832"/>
      <c r="AC52" s="1834"/>
      <c r="AD52" s="1835"/>
      <c r="AE52" s="1833"/>
      <c r="AF52" s="1832"/>
      <c r="AG52" s="1836"/>
      <c r="AH52" s="1943"/>
      <c r="AI52" s="6011"/>
      <c r="AJ52" s="3986">
        <v>3</v>
      </c>
      <c r="AK52" s="3986">
        <f>P46</f>
        <v>1</v>
      </c>
      <c r="AL52" s="3986" t="str">
        <f>IF(AND(ISNUMBER(MATCH($F52,'Tablas Técnicas'!$L$10:$L$644,0)),INDEX($P63:$P69,Tablas!A$1)="",COUNTIF(AM52:$AS52,$F52)=0),$F52,IF(INDEX($P63:$P69,Tablas!A$1)="","",$F52&amp;INDEX($P63:$P69,Tablas!A$1)))</f>
        <v/>
      </c>
      <c r="AM52" s="3986" t="str">
        <f>IF(AND(ISNUMBER(MATCH($F52,'Tablas Técnicas'!$L$10:$L$644,0)),INDEX($P63:$P69,Tablas!B$1)="",COUNTIF(AN52:$AS52,$F52)=0),$F52,IF(INDEX($P63:$P69,Tablas!B$1)="","",$F52&amp;INDEX($P63:$P69,Tablas!B$1)))</f>
        <v/>
      </c>
      <c r="AN52" s="3986" t="str">
        <f>IF(AND(ISNUMBER(MATCH($F52,'Tablas Técnicas'!$L$10:$L$644,0)),INDEX($P63:$P69,Tablas!C$1)="",COUNTIF(AO52:$AS52,$F52)=0),$F52,IF(INDEX($P63:$P69,Tablas!C$1)="","",$F52&amp;INDEX($P63:$P69,Tablas!C$1)))</f>
        <v/>
      </c>
      <c r="AO52" s="3986" t="str">
        <f>IF(AND(ISNUMBER(MATCH($F52,'Tablas Técnicas'!$L$10:$L$644,0)),INDEX($P63:$P69,Tablas!D$1)="",COUNTIF(AP52:$AS52,$F52)=0),$F52,IF(INDEX($P63:$P69,Tablas!D$1)="","",$F52&amp;INDEX($P63:$P69,Tablas!D$1)))</f>
        <v/>
      </c>
      <c r="AP52" s="3986" t="str">
        <f>IF(AND(ISNUMBER(MATCH($F52,'Tablas Técnicas'!$L$10:$L$644,0)),INDEX($P63:$P69,Tablas!E$1)="",COUNTIF(AQ52:$AS52,$F52)=0),$F52,IF(INDEX($P63:$P69,Tablas!E$1)="","",$F52&amp;INDEX($P63:$P69,Tablas!E$1)))</f>
        <v/>
      </c>
      <c r="AQ52" s="3986" t="str">
        <f>IF(AND(ISNUMBER(MATCH($F52,'Tablas Técnicas'!$L$10:$L$644,0)),INDEX($P63:$P69,Tablas!F$1)="",COUNTIF(AR52:$AS52,$F52)=0),$F52,IF(INDEX($P63:$P69,Tablas!F$1)="","",$F52&amp;INDEX($P63:$P69,Tablas!F$1)))</f>
        <v/>
      </c>
      <c r="AR52" s="3986" t="str">
        <f>IF(AND(ISNUMBER(MATCH($F52,'Tablas Técnicas'!$L$10:$L$644,0)),INDEX($P63:$P69,Tablas!G$1)="",COUNTIF(AS52:$AS52,$F52)=0),$F52,IF(INDEX($P63:$P69,Tablas!G$1)="","",$F52&amp;INDEX($P63:$P69,Tablas!G$1)))</f>
        <v/>
      </c>
      <c r="AS52" s="1868">
        <f>V52+X52+Z52+AB52+AD52+AF52</f>
        <v>0</v>
      </c>
      <c r="AT52" s="1868">
        <f t="array" ref="AT52">SUM(IF($AL52:$AR52='Tablas Técnicas'!$L$10:$L$644,IF(D52="Primario",'Tablas Técnicas'!$E$10:$E$644,'Tablas Técnicas'!$F$10:$F$644)+IF(K52="Sostenimiento menor",'Tablas Técnicas'!$I$10:$I$644,IF(K52="sostenimiento mayor",'Tablas Técnicas'!$J$10:$J$644,0)),0),0)+VALUE(RIGHT(P52,2))+AU52+AV52</f>
        <v>0</v>
      </c>
      <c r="AU52" s="1868">
        <f>IFERROR(IF(V52=0,0,VALUE(MID(Q52,SEARCH("AGI",Q52)+4,1))),0)+IFERROR(IF(X52=0,0,VALUE(MID(Q52,SEARCH("CON",Q52)+4,1))),0)+IFERROR(IF(Z52=0,0,VALUE(MID(Q52,SEARCH("DES",Q52)+4,1))),0)+IFERROR(IF(AB52=0,0,VALUE(MID(Q52,SEARCH("FUE",Q52)+4,1))),0)+IFERROR(IF(AD52=0,0,VALUE(MID(Q52,SEARCH("POD",Q52)+4,1))),0)+IFERROR(IF(AF52=0,0,VALUE(MID(Q52,SEARCH("VOL",Q52)+4,1))),0)</f>
        <v>0</v>
      </c>
      <c r="AV52" s="1868">
        <f>(COUNTIF(AL52:AR52,"*Estado añadido:*")-1)*COUNTIF(AL52:AR52,"*Estado añadido:*")</f>
        <v>0</v>
      </c>
      <c r="AW52" s="1868">
        <f t="array" ref="AW52">SUM(IF($AL52:$AR52='Tablas Técnicas'!$L$10:$L$644,'Tablas Técnicas'!$G$10:$G$644,0))</f>
        <v>0</v>
      </c>
      <c r="AX52" s="3986" t="str">
        <f>IF(F52="","",F52&amp;" ("&amp;IF(AL52="","",SUBSTITUTE(AL52,F52,"")&amp;", ")&amp;IF(AM52="","",SUBSTITUTE(AM52,F52,"")&amp;", ")&amp;IF(AN52="","",SUBSTITUTE(AN52,F52,"")&amp;", ")&amp;IF(AO52="","",SUBSTITUTE(AO52,F52,"")&amp;", ")&amp;IF(AP52="","",SUBSTITUTE(AP52,F52,"")&amp;", ")&amp;IF(AQ52="","",SUBSTITUTE(AQ52,F52,"")&amp;", ")&amp;IF(AR52="","",SUBSTITUTE(AR52,F52,"")&amp;", ")&amp;IF(OR(K52="",K52="-"),"",K52&amp;", "))</f>
        <v/>
      </c>
      <c r="AY52" s="3986" t="str">
        <f>IFERROR(LEFT(AX52,LEN(AX52)-2)&amp;"), ","")</f>
        <v/>
      </c>
      <c r="AZ52" s="1868"/>
      <c r="BA52" s="1868"/>
      <c r="BB52" s="1868"/>
      <c r="BC52" s="1868"/>
      <c r="BD52" s="1868"/>
      <c r="BE52" s="1868"/>
      <c r="BF52" s="1868"/>
      <c r="BG52" s="1868"/>
      <c r="BH52" s="1868"/>
      <c r="BI52" s="1868"/>
      <c r="BJ52" s="1868"/>
      <c r="BK52" s="1868"/>
      <c r="BL52" s="1868"/>
      <c r="BM52" s="1868"/>
      <c r="BN52" s="1868"/>
      <c r="BO52" s="1868"/>
      <c r="BP52" s="1868"/>
      <c r="BQ52" s="1868"/>
      <c r="BR52" s="1868"/>
    </row>
    <row r="53" spans="1:70" ht="12.2" customHeight="1">
      <c r="A53" s="1935"/>
      <c r="B53" s="1866">
        <f t="shared" si="0"/>
        <v>2</v>
      </c>
      <c r="C53" s="6009"/>
      <c r="D53" s="5906" t="s">
        <v>483</v>
      </c>
      <c r="E53" s="5907"/>
      <c r="F53" s="5984"/>
      <c r="G53" s="5985"/>
      <c r="H53" s="5985"/>
      <c r="I53" s="5985"/>
      <c r="J53" s="5902"/>
      <c r="K53" s="5986" t="s">
        <v>1315</v>
      </c>
      <c r="L53" s="5987"/>
      <c r="M53" s="5988"/>
      <c r="N53" s="1716">
        <f>IF(AW53&gt;0,IF(VLOOKUP(F53,'Tablas Técnicas'!$O$9:$X$88,10,0),MAX(5,AW53-5),AW53),0)</f>
        <v>0</v>
      </c>
      <c r="O53" s="1716" t="str">
        <f>AS53&amp;" / "&amp;AT53</f>
        <v>0 / 0</v>
      </c>
      <c r="P53" s="1716" t="str">
        <f t="array" ref="P53">W53+Y53+AA53+AC53+AE53+AG53&amp;" / "&amp;IF(K53&lt;&gt;"Mantenido",0,SUM(IF($AL53:$AR53='Tablas Técnicas'!$L$10:$L$644,'Tablas Técnicas'!$H$10:$H$644,0)))</f>
        <v>0 / 0</v>
      </c>
      <c r="Q53" s="5908" t="str">
        <f>IFERROR(VLOOKUP(F53,'Tablas Técnicas'!$O$9:$T$88,5,FALSE),"")</f>
        <v/>
      </c>
      <c r="R53" s="5908"/>
      <c r="S53" s="5908"/>
      <c r="T53" s="5908"/>
      <c r="U53" s="5908"/>
      <c r="V53" s="1827"/>
      <c r="W53" s="1828"/>
      <c r="X53" s="1827"/>
      <c r="Y53" s="1829"/>
      <c r="Z53" s="1830"/>
      <c r="AA53" s="1828"/>
      <c r="AB53" s="1827"/>
      <c r="AC53" s="1829"/>
      <c r="AD53" s="1830"/>
      <c r="AE53" s="1828"/>
      <c r="AF53" s="1827"/>
      <c r="AG53" s="1831"/>
      <c r="AH53" s="1943"/>
      <c r="AI53" s="6011"/>
      <c r="AJ53" s="3986">
        <v>4</v>
      </c>
      <c r="AK53" s="3986">
        <f>P46</f>
        <v>1</v>
      </c>
      <c r="AL53" s="3986" t="str">
        <f>IF(AND(ISNUMBER(MATCH($F53,'Tablas Técnicas'!$L$10:$L$644,0)),INDEX($V63:$V69,Tablas!A$1)="",COUNTIF(AM53:$AS53,$F53)=0),$F53,IF(INDEX($V63:$V69,Tablas!A$1)="","",$F53&amp;INDEX($V63:$V69,Tablas!A$1)))</f>
        <v/>
      </c>
      <c r="AM53" s="3986" t="str">
        <f>IF(AND(ISNUMBER(MATCH($F53,'Tablas Técnicas'!$L$10:$L$644,0)),INDEX($V63:$V69,Tablas!B$1)="",COUNTIF(AN53:$AS53,$F53)=0),$F53,IF(INDEX($V63:$V69,Tablas!B$1)="","",$F53&amp;INDEX($V63:$V69,Tablas!B$1)))</f>
        <v/>
      </c>
      <c r="AN53" s="3986" t="str">
        <f>IF(AND(ISNUMBER(MATCH($F53,'Tablas Técnicas'!$L$10:$L$644,0)),INDEX($V63:$V69,Tablas!C$1)="",COUNTIF(AO53:$AS53,$F53)=0),$F53,IF(INDEX($V63:$V69,Tablas!C$1)="","",$F53&amp;INDEX($V63:$V69,Tablas!C$1)))</f>
        <v/>
      </c>
      <c r="AO53" s="3986" t="str">
        <f>IF(AND(ISNUMBER(MATCH($F53,'Tablas Técnicas'!$L$10:$L$644,0)),INDEX($V63:$V69,Tablas!D$1)="",COUNTIF(AP53:$AS53,$F53)=0),$F53,IF(INDEX($V63:$V69,Tablas!D$1)="","",$F53&amp;INDEX($V63:$V69,Tablas!D$1)))</f>
        <v/>
      </c>
      <c r="AP53" s="3986" t="str">
        <f>IF(AND(ISNUMBER(MATCH($F53,'Tablas Técnicas'!$L$10:$L$644,0)),INDEX($V63:$V69,Tablas!E$1)="",COUNTIF(AQ53:$AS53,$F53)=0),$F53,IF(INDEX($V63:$V69,Tablas!E$1)="","",$F53&amp;INDEX($V63:$V69,Tablas!E$1)))</f>
        <v/>
      </c>
      <c r="AQ53" s="3986" t="str">
        <f>IF(AND(ISNUMBER(MATCH($F53,'Tablas Técnicas'!$L$10:$L$644,0)),INDEX($V63:$V69,Tablas!F$1)="",COUNTIF(AR53:$AS53,$F53)=0),$F53,IF(INDEX($V63:$V69,Tablas!F$1)="","",$F53&amp;INDEX($V63:$V69,Tablas!F$1)))</f>
        <v/>
      </c>
      <c r="AR53" s="3986" t="str">
        <f>IF(AND(ISNUMBER(MATCH($F53,'Tablas Técnicas'!$L$10:$L$644,0)),INDEX($V63:$V69,Tablas!G$1)="",COUNTIF(AS53:$AS53,$F53)=0),$F53,IF(INDEX($V63:$V69,Tablas!G$1)="","",$F53&amp;INDEX($V63:$V69,Tablas!G$1)))</f>
        <v/>
      </c>
      <c r="AS53" s="1868">
        <f>V53+X53+Z53+AB53+AD53+AF53</f>
        <v>0</v>
      </c>
      <c r="AT53" s="1868">
        <f t="array" ref="AT53">SUM(IF($AL53:$AR53='Tablas Técnicas'!$L$10:$L$644,IF(D53="Primario",'Tablas Técnicas'!$E$10:$E$644,'Tablas Técnicas'!$F$10:$F$644)+IF(K53="Sostenimiento menor",'Tablas Técnicas'!$I$10:$I$644,IF(K53="sostenimiento mayor",'Tablas Técnicas'!$J$10:$J$644,0)),0),0)+VALUE(RIGHT(P53,2))+AU53+AV53</f>
        <v>0</v>
      </c>
      <c r="AU53" s="1868">
        <f>IFERROR(IF(V53=0,0,VALUE(MID(Q53,SEARCH("AGI",Q53)+4,1))),0)+IFERROR(IF(X53=0,0,VALUE(MID(Q53,SEARCH("CON",Q53)+4,1))),0)+IFERROR(IF(Z53=0,0,VALUE(MID(Q53,SEARCH("DES",Q53)+4,1))),0)+IFERROR(IF(AB53=0,0,VALUE(MID(Q53,SEARCH("FUE",Q53)+4,1))),0)+IFERROR(IF(AD53=0,0,VALUE(MID(Q53,SEARCH("POD",Q53)+4,1))),0)+IFERROR(IF(AF53=0,0,VALUE(MID(Q53,SEARCH("VOL",Q53)+4,1))),0)</f>
        <v>0</v>
      </c>
      <c r="AV53" s="1868">
        <f>(COUNTIF(AL53:AR53,"*Estado añadido:*")-1)*COUNTIF(AL53:AR53,"*Estado añadido:*")</f>
        <v>0</v>
      </c>
      <c r="AW53" s="1868">
        <f t="array" ref="AW53">SUM(IF($AL53:$AR53='Tablas Técnicas'!$L$10:$L$644,'Tablas Técnicas'!$G$10:$G$644,0))</f>
        <v>0</v>
      </c>
      <c r="AX53" s="3986" t="str">
        <f>IF(F53="","",F53&amp;" ("&amp;IF(AL53="","",SUBSTITUTE(AL53,F53,"")&amp;", ")&amp;IF(AM53="","",SUBSTITUTE(AM53,F53,"")&amp;", ")&amp;IF(AN53="","",SUBSTITUTE(AN53,F53,"")&amp;", ")&amp;IF(AO53="","",SUBSTITUTE(AO53,F53,"")&amp;", ")&amp;IF(AP53="","",SUBSTITUTE(AP53,F53,"")&amp;", ")&amp;IF(AQ53="","",SUBSTITUTE(AQ53,F53,"")&amp;", ")&amp;IF(AR53="","",SUBSTITUTE(AR53,F53,"")&amp;", ")&amp;IF(OR(K53="",K53="-"),"",K53&amp;", "))</f>
        <v/>
      </c>
      <c r="AY53" s="3986" t="str">
        <f>IFERROR(LEFT(AX53,LEN(AX53)-2)&amp;"), ","")</f>
        <v/>
      </c>
      <c r="AZ53" s="1868"/>
      <c r="BA53" s="1868"/>
      <c r="BB53" s="1868"/>
      <c r="BC53" s="1868"/>
      <c r="BD53" s="1868"/>
      <c r="BE53" s="1868"/>
      <c r="BF53" s="1868"/>
      <c r="BG53" s="1868"/>
      <c r="BH53" s="1868"/>
      <c r="BI53" s="1868"/>
      <c r="BJ53" s="1868"/>
      <c r="BK53" s="1868"/>
      <c r="BL53" s="1868"/>
      <c r="BM53" s="1868"/>
      <c r="BN53" s="1868"/>
      <c r="BO53" s="1868"/>
      <c r="BP53" s="1868"/>
      <c r="BQ53" s="1868"/>
      <c r="BR53" s="1868"/>
    </row>
    <row r="54" spans="1:70" ht="12.2" customHeight="1" thickBot="1">
      <c r="A54" s="1935"/>
      <c r="B54" s="1866">
        <f t="shared" si="0"/>
        <v>2</v>
      </c>
      <c r="C54" s="6009"/>
      <c r="D54" s="5909" t="s">
        <v>483</v>
      </c>
      <c r="E54" s="5910"/>
      <c r="F54" s="6005"/>
      <c r="G54" s="6006"/>
      <c r="H54" s="6006"/>
      <c r="I54" s="6006"/>
      <c r="J54" s="6007"/>
      <c r="K54" s="5994" t="s">
        <v>1315</v>
      </c>
      <c r="L54" s="5995"/>
      <c r="M54" s="5996"/>
      <c r="N54" s="2170">
        <f>IF(AW54&gt;0,IF(VLOOKUP(F54,'Tablas Técnicas'!$O$9:$X$88,10,0),MAX(5,AW54-5),AW54),0)</f>
        <v>0</v>
      </c>
      <c r="O54" s="2170" t="str">
        <f>AS54&amp;" / "&amp;AT54</f>
        <v>0 / 0</v>
      </c>
      <c r="P54" s="2170" t="str">
        <f t="array" ref="P54">W54+Y54+AA54+AC54+AE54+AG54&amp;" / "&amp;IF(K54&lt;&gt;"Mantenido",0,SUM(IF($AL54:$AR54='Tablas Técnicas'!$L$10:$L$644,'Tablas Técnicas'!$H$10:$H$644,0)))</f>
        <v>0 / 0</v>
      </c>
      <c r="Q54" s="5913" t="str">
        <f>IFERROR(VLOOKUP(F54,'Tablas Técnicas'!$O$9:$T$88,5,FALSE),"")</f>
        <v/>
      </c>
      <c r="R54" s="5913"/>
      <c r="S54" s="5913"/>
      <c r="T54" s="5913"/>
      <c r="U54" s="5913"/>
      <c r="V54" s="1837"/>
      <c r="W54" s="1838"/>
      <c r="X54" s="1837"/>
      <c r="Y54" s="1839"/>
      <c r="Z54" s="1840"/>
      <c r="AA54" s="1838"/>
      <c r="AB54" s="1837"/>
      <c r="AC54" s="1839"/>
      <c r="AD54" s="1840"/>
      <c r="AE54" s="1838"/>
      <c r="AF54" s="1837"/>
      <c r="AG54" s="1841"/>
      <c r="AH54" s="1943"/>
      <c r="AI54" s="6011"/>
      <c r="AJ54" s="3986">
        <v>5</v>
      </c>
      <c r="AK54" s="3986">
        <f>P46</f>
        <v>1</v>
      </c>
      <c r="AL54" s="3986" t="str">
        <f>IF(AND(ISNUMBER(MATCH($F54,'Tablas Técnicas'!$L$10:$L$644,0)),INDEX($AB63:$AB69,Tablas!A$1)="",COUNTIF(AM54:$AS54,$F54)=0),$F54,IF(INDEX($AB63:$AB69,Tablas!A$1)="","",$F54&amp;INDEX($AB63:$AB69,Tablas!A$1)))</f>
        <v/>
      </c>
      <c r="AM54" s="3986" t="str">
        <f>IF(AND(ISNUMBER(MATCH($F54,'Tablas Técnicas'!$L$10:$L$644,0)),INDEX($AB63:$AB69,Tablas!B$1)="",COUNTIF(AN54:$AS54,$F54)=0),$F54,IF(INDEX($AB63:$AB69,Tablas!B$1)="","",$F54&amp;INDEX($AB63:$AB69,Tablas!B$1)))</f>
        <v/>
      </c>
      <c r="AN54" s="3986" t="str">
        <f>IF(AND(ISNUMBER(MATCH($F54,'Tablas Técnicas'!$L$10:$L$644,0)),INDEX($AB63:$AB69,Tablas!C$1)="",COUNTIF(AO54:$AS54,$F54)=0),$F54,IF(INDEX($AB63:$AB69,Tablas!C$1)="","",$F54&amp;INDEX($AB63:$AB69,Tablas!C$1)))</f>
        <v/>
      </c>
      <c r="AO54" s="3986" t="str">
        <f>IF(AND(ISNUMBER(MATCH($F54,'Tablas Técnicas'!$L$10:$L$644,0)),INDEX($AB63:$AB69,Tablas!D$1)="",COUNTIF(AP54:$AS54,$F54)=0),$F54,IF(INDEX($AB63:$AB69,Tablas!D$1)="","",$F54&amp;INDEX($AB63:$AB69,Tablas!D$1)))</f>
        <v/>
      </c>
      <c r="AP54" s="3986" t="str">
        <f>IF(AND(ISNUMBER(MATCH($F54,'Tablas Técnicas'!$L$10:$L$644,0)),INDEX($AB63:$AB69,Tablas!E$1)="",COUNTIF(AQ54:$AS54,$F54)=0),$F54,IF(INDEX($AB63:$AB69,Tablas!E$1)="","",$F54&amp;INDEX($AB63:$AB69,Tablas!E$1)))</f>
        <v/>
      </c>
      <c r="AQ54" s="3986" t="str">
        <f>IF(AND(ISNUMBER(MATCH($F54,'Tablas Técnicas'!$L$10:$L$644,0)),INDEX($AB63:$AB69,Tablas!F$1)="",COUNTIF(AR54:$AS54,$F54)=0),$F54,IF(INDEX($AB63:$AB69,Tablas!F$1)="","",$F54&amp;INDEX($AB63:$AB69,Tablas!F$1)))</f>
        <v/>
      </c>
      <c r="AR54" s="3986" t="str">
        <f>IF(AND(ISNUMBER(MATCH($F54,'Tablas Técnicas'!$L$10:$L$644,0)),INDEX($AB63:$AB69,Tablas!G$1)="",COUNTIF(AS54:$AS54,$F54)=0),$F54,IF(INDEX($AB63:$AB69,Tablas!G$1)="","",$F54&amp;INDEX($AB63:$AB69,Tablas!G$1)))</f>
        <v/>
      </c>
      <c r="AS54" s="1868">
        <f>V54+X54+Z54+AB54+AD54+AF54</f>
        <v>0</v>
      </c>
      <c r="AT54" s="1868">
        <f t="array" ref="AT54">SUM(IF($AL54:$AR54='Tablas Técnicas'!$L$10:$L$644,IF(D54="Primario",'Tablas Técnicas'!$E$10:$E$644,'Tablas Técnicas'!$F$10:$F$644)+IF(K54="Sostenimiento menor",'Tablas Técnicas'!$I$10:$I$644,IF(K54="sostenimiento mayor",'Tablas Técnicas'!$J$10:$J$644,0)),0),0)+VALUE(RIGHT(P54,2))+AU54+AV54</f>
        <v>0</v>
      </c>
      <c r="AU54" s="1868">
        <f>IFERROR(IF(V54=0,0,VALUE(MID(Q54,SEARCH("AGI",Q54)+4,1))),0)+IFERROR(IF(X54=0,0,VALUE(MID(Q54,SEARCH("CON",Q54)+4,1))),0)+IFERROR(IF(Z54=0,0,VALUE(MID(Q54,SEARCH("DES",Q54)+4,1))),0)+IFERROR(IF(AB54=0,0,VALUE(MID(Q54,SEARCH("FUE",Q54)+4,1))),0)+IFERROR(IF(AD54=0,0,VALUE(MID(Q54,SEARCH("POD",Q54)+4,1))),0)+IFERROR(IF(AF54=0,0,VALUE(MID(Q54,SEARCH("VOL",Q54)+4,1))),0)</f>
        <v>0</v>
      </c>
      <c r="AV54" s="1868">
        <f>(COUNTIF(AL54:AR54,"*Estado añadido:*")-1)*COUNTIF(AL54:AR54,"*Estado añadido:*")</f>
        <v>0</v>
      </c>
      <c r="AW54" s="1868">
        <f t="array" ref="AW54">SUM(IF($AL54:$AR54='Tablas Técnicas'!$L$10:$L$644,'Tablas Técnicas'!$G$10:$G$644,0))</f>
        <v>0</v>
      </c>
      <c r="AX54" s="3986" t="str">
        <f>IF(F54="","",F54&amp;" ("&amp;IF(AL54="","",SUBSTITUTE(AL54,F54,"")&amp;", ")&amp;IF(AM54="","",SUBSTITUTE(AM54,F54,"")&amp;", ")&amp;IF(AN54="","",SUBSTITUTE(AN54,F54,"")&amp;", ")&amp;IF(AO54="","",SUBSTITUTE(AO54,F54,"")&amp;", ")&amp;IF(AP54="","",SUBSTITUTE(AP54,F54,"")&amp;", ")&amp;IF(AQ54="","",SUBSTITUTE(AQ54,F54,"")&amp;", ")&amp;IF(AR54="","",SUBSTITUTE(AR54,F54,"")&amp;", ")&amp;IF(OR(K54="",K54="-"),"",K54&amp;", "))</f>
        <v/>
      </c>
      <c r="AY54" s="3986" t="str">
        <f>IFERROR(LEFT(AX54,LEN(AX54)-2)&amp;"), ","")</f>
        <v/>
      </c>
      <c r="AZ54" s="1868"/>
      <c r="BA54" s="1868"/>
      <c r="BB54" s="1868"/>
      <c r="BC54" s="1868"/>
      <c r="BD54" s="1868"/>
      <c r="BE54" s="1868"/>
      <c r="BF54" s="1868"/>
      <c r="BG54" s="1868"/>
      <c r="BH54" s="1868"/>
      <c r="BI54" s="1868"/>
      <c r="BJ54" s="1868"/>
      <c r="BK54" s="1868"/>
      <c r="BL54" s="1868"/>
      <c r="BM54" s="1868"/>
      <c r="BN54" s="1868"/>
      <c r="BO54" s="1868"/>
      <c r="BP54" s="1868"/>
      <c r="BQ54" s="1868"/>
      <c r="BR54" s="1868"/>
    </row>
    <row r="55" spans="1:70" ht="12.2" customHeight="1">
      <c r="A55" s="1935"/>
      <c r="B55" s="1866">
        <f t="shared" si="0"/>
        <v>2</v>
      </c>
      <c r="C55" s="6009"/>
      <c r="D55" s="5961" t="s">
        <v>2657</v>
      </c>
      <c r="E55" s="5962"/>
      <c r="F55" s="5957"/>
      <c r="G55" s="5958"/>
      <c r="H55" s="5958"/>
      <c r="I55" s="5958"/>
      <c r="J55" s="5959"/>
      <c r="K55" s="5931"/>
      <c r="L55" s="5937"/>
      <c r="M55" s="5938"/>
      <c r="N55" s="4286" t="str">
        <f>IFERROR(INDEX('Tablas Técnicas'!$Q$152:$Q$267,MATCH(F55&amp;K55,'Tablas Técnicas'!$S$152:$S$267,0)),"")</f>
        <v/>
      </c>
      <c r="O55" s="5939"/>
      <c r="P55" s="5940"/>
      <c r="Q55" s="5941"/>
      <c r="R55" s="5940"/>
      <c r="S55" s="4287" t="str">
        <f>IFERROR("Nivel: "&amp;MAX(1,INDEX('Tablas Técnicas'!$R$152:$R$267,MATCH(F55&amp;K55,'Tablas Técnicas'!$S$152:$S$267,0))),"")</f>
        <v/>
      </c>
      <c r="T55" s="4288"/>
      <c r="U55" s="4289" t="str">
        <f>IFERROR("("&amp;VLOOKUP(F55,'Tablas Técnicas'!$O$117:$Q$146,3,FALSE)&amp;")","")</f>
        <v/>
      </c>
      <c r="V55" s="5857" t="s">
        <v>9159</v>
      </c>
      <c r="W55" s="5858"/>
      <c r="X55" s="5859"/>
      <c r="Y55" s="2171">
        <v>0</v>
      </c>
      <c r="Z55" s="5914" t="s">
        <v>8361</v>
      </c>
      <c r="AA55" s="5861"/>
      <c r="AB55" s="5862"/>
      <c r="AC55" s="2171">
        <v>0</v>
      </c>
      <c r="AD55" s="5915" t="str">
        <f>"Ki sin repartir: "&amp;AL63-AL64&amp;IF(AM63=0,""," ("&amp;AM63-AM64&amp;")")</f>
        <v>Ki sin repartir: 0</v>
      </c>
      <c r="AE55" s="5895"/>
      <c r="AF55" s="5895"/>
      <c r="AG55" s="5896"/>
      <c r="AH55" s="1943"/>
      <c r="AI55" s="6011"/>
      <c r="AJ55" s="3986">
        <v>1</v>
      </c>
      <c r="AK55" s="3986">
        <f>P46</f>
        <v>1</v>
      </c>
      <c r="AL55" s="3986" t="e">
        <f>VLOOKUP(F55,'Tablas Técnicas'!$O$117:$Q$146,2,FALSE)</f>
        <v>#N/A</v>
      </c>
      <c r="AM55" s="3986"/>
      <c r="AN55" s="3987"/>
      <c r="AO55" s="3986"/>
      <c r="AP55" s="3986"/>
      <c r="AQ55" s="3987"/>
      <c r="AR55" s="3986"/>
      <c r="AS55" s="3986"/>
      <c r="AT55" s="3986"/>
      <c r="AU55" s="3986"/>
      <c r="AV55" s="3986"/>
      <c r="AW55" s="1868"/>
      <c r="AX55" s="1868"/>
      <c r="AY55" s="3986" t="str">
        <f>IF(F55="","",F55&amp;IF(K55="",""," ("&amp;IF(F55="Atadura Elemental",O55&amp;IF(Q55="","",", "&amp;Q55),K55)&amp;")")&amp;", ")</f>
        <v/>
      </c>
      <c r="AZ55" s="1868"/>
      <c r="BA55" s="1868"/>
      <c r="BB55" s="1868"/>
      <c r="BC55" s="1868"/>
      <c r="BD55" s="1868"/>
      <c r="BE55" s="1868"/>
      <c r="BF55" s="1868"/>
      <c r="BG55" s="1868"/>
      <c r="BH55" s="1868"/>
      <c r="BI55" s="1868"/>
      <c r="BJ55" s="1868"/>
      <c r="BK55" s="1868"/>
      <c r="BL55" s="1868"/>
      <c r="BM55" s="1868"/>
      <c r="BN55" s="1868"/>
      <c r="BO55" s="1868"/>
      <c r="BP55" s="1868"/>
      <c r="BQ55" s="1868"/>
      <c r="BR55" s="1868"/>
    </row>
    <row r="56" spans="1:70" ht="12.2" customHeight="1">
      <c r="A56" s="1935"/>
      <c r="B56" s="1866">
        <f t="shared" si="0"/>
        <v>2</v>
      </c>
      <c r="C56" s="6009"/>
      <c r="D56" s="5963"/>
      <c r="E56" s="5964"/>
      <c r="F56" s="5942"/>
      <c r="G56" s="5943"/>
      <c r="H56" s="5943"/>
      <c r="I56" s="5943"/>
      <c r="J56" s="5944"/>
      <c r="K56" s="5902"/>
      <c r="L56" s="5903"/>
      <c r="M56" s="5904"/>
      <c r="N56" s="1720" t="str">
        <f>IFERROR(INDEX('Tablas Técnicas'!$Q$152:$Q$267,MATCH(F56&amp;K56,'Tablas Técnicas'!$S$152:$S$267,0)),"")</f>
        <v/>
      </c>
      <c r="O56" s="5945"/>
      <c r="P56" s="5946"/>
      <c r="Q56" s="5947"/>
      <c r="R56" s="5946"/>
      <c r="S56" s="1716" t="str">
        <f>IFERROR("Nivel: "&amp;MAX(1,INDEX('Tablas Técnicas'!$R$152:$R$267,MATCH(F56&amp;K56,'Tablas Técnicas'!$S$152:$S$267,0))),"")</f>
        <v/>
      </c>
      <c r="T56" s="2172"/>
      <c r="U56" s="1715" t="str">
        <f>IFERROR("("&amp;VLOOKUP(F56,'Tablas Técnicas'!$O$117:$Q$146,3,FALSE)&amp;")","")</f>
        <v/>
      </c>
      <c r="V56" s="5854" t="str">
        <f>"Mod. "&amp;V48</f>
        <v>Mod. AGI</v>
      </c>
      <c r="W56" s="5855"/>
      <c r="X56" s="5854" t="str">
        <f>"Mod. "&amp;X48</f>
        <v>Mod. CON</v>
      </c>
      <c r="Y56" s="5855"/>
      <c r="Z56" s="5854" t="str">
        <f>"Mod. "&amp;Z48</f>
        <v>Mod. DES</v>
      </c>
      <c r="AA56" s="5855"/>
      <c r="AB56" s="5854" t="str">
        <f>"Mod. "&amp;AB48</f>
        <v>Mod. FUE</v>
      </c>
      <c r="AC56" s="5855"/>
      <c r="AD56" s="5854" t="str">
        <f>"Mod. "&amp;AD48</f>
        <v>Mod. POD</v>
      </c>
      <c r="AE56" s="5855"/>
      <c r="AF56" s="5854" t="str">
        <f>"Mod. "&amp;AF48</f>
        <v>Mod. VOL</v>
      </c>
      <c r="AG56" s="5856"/>
      <c r="AH56" s="1943"/>
      <c r="AI56" s="6011"/>
      <c r="AJ56" s="3986">
        <v>2</v>
      </c>
      <c r="AK56" s="3986">
        <f>P46</f>
        <v>1</v>
      </c>
      <c r="AL56" s="3986" t="e">
        <f>VLOOKUP(F56,'Tablas Técnicas'!$O$117:$Q$146,2,FALSE)</f>
        <v>#N/A</v>
      </c>
      <c r="AM56" s="3986"/>
      <c r="AN56" s="3987"/>
      <c r="AO56" s="3986"/>
      <c r="AP56" s="3986"/>
      <c r="AQ56" s="3987"/>
      <c r="AR56" s="3986"/>
      <c r="AS56" s="3986"/>
      <c r="AT56" s="3986"/>
      <c r="AU56" s="3986"/>
      <c r="AV56" s="3986"/>
      <c r="AW56" s="1868"/>
      <c r="AX56" s="1868"/>
      <c r="AY56" s="3986" t="str">
        <f>IF(F56="","",F56&amp;IF(K56="",""," ("&amp;IF(F56="Atadura Elemental",O56&amp;IF(Q56="","",", "&amp;Q56),K56)&amp;")")&amp;", ")</f>
        <v/>
      </c>
      <c r="AZ56" s="1868"/>
      <c r="BA56" s="1868"/>
      <c r="BB56" s="1868"/>
      <c r="BC56" s="1868"/>
      <c r="BD56" s="1868"/>
      <c r="BE56" s="1868"/>
      <c r="BF56" s="1868"/>
      <c r="BG56" s="1868"/>
      <c r="BH56" s="1868"/>
      <c r="BI56" s="1868"/>
      <c r="BJ56" s="1868"/>
      <c r="BK56" s="1868"/>
      <c r="BL56" s="1868"/>
      <c r="BM56" s="1868"/>
      <c r="BN56" s="1868"/>
      <c r="BO56" s="1868"/>
      <c r="BP56" s="1868"/>
      <c r="BQ56" s="1868"/>
      <c r="BR56" s="1868"/>
    </row>
    <row r="57" spans="1:70" ht="12.2" customHeight="1" thickBot="1">
      <c r="A57" s="1935"/>
      <c r="B57" s="1866">
        <f t="shared" si="0"/>
        <v>2</v>
      </c>
      <c r="C57" s="6009"/>
      <c r="D57" s="6003"/>
      <c r="E57" s="6004"/>
      <c r="F57" s="5948"/>
      <c r="G57" s="5949"/>
      <c r="H57" s="5949"/>
      <c r="I57" s="5949"/>
      <c r="J57" s="5950"/>
      <c r="K57" s="5951"/>
      <c r="L57" s="5952"/>
      <c r="M57" s="5953"/>
      <c r="N57" s="4290" t="str">
        <f>IFERROR(INDEX('Tablas Técnicas'!$Q$152:$Q$267,MATCH(F57&amp;K57,'Tablas Técnicas'!$S$152:$S$267,0)),"")</f>
        <v/>
      </c>
      <c r="O57" s="5954"/>
      <c r="P57" s="5955"/>
      <c r="Q57" s="5956"/>
      <c r="R57" s="5955"/>
      <c r="S57" s="4291" t="str">
        <f>IFERROR("Nivel: "&amp;MAX(1,INDEX('Tablas Técnicas'!$R$152:$R$267,MATCH(F57&amp;K57,'Tablas Técnicas'!$S$152:$S$267,0))),"")</f>
        <v/>
      </c>
      <c r="T57" s="4292"/>
      <c r="U57" s="1807" t="str">
        <f>IFERROR("("&amp;VLOOKUP(F57,'Tablas Técnicas'!$O$117:$Q$146,3,FALSE)&amp;")","")</f>
        <v/>
      </c>
      <c r="V57" s="5864"/>
      <c r="W57" s="5863"/>
      <c r="X57" s="5863"/>
      <c r="Y57" s="5863"/>
      <c r="Z57" s="5863"/>
      <c r="AA57" s="5863"/>
      <c r="AB57" s="5863"/>
      <c r="AC57" s="5863"/>
      <c r="AD57" s="5863"/>
      <c r="AE57" s="5863"/>
      <c r="AF57" s="5863"/>
      <c r="AG57" s="5905"/>
      <c r="AH57" s="1943"/>
      <c r="AI57" s="6011"/>
      <c r="AJ57" s="3986">
        <v>3</v>
      </c>
      <c r="AK57" s="3986">
        <f>P46</f>
        <v>1</v>
      </c>
      <c r="AL57" s="3986" t="e">
        <f>VLOOKUP(F57,'Tablas Técnicas'!$O$117:$Q$146,2,FALSE)</f>
        <v>#N/A</v>
      </c>
      <c r="AM57" s="3986"/>
      <c r="AN57" s="3987"/>
      <c r="AO57" s="3986"/>
      <c r="AP57" s="3986"/>
      <c r="AQ57" s="3987"/>
      <c r="AR57" s="1868"/>
      <c r="AS57" s="1868"/>
      <c r="AT57" s="1868"/>
      <c r="AU57" s="1868"/>
      <c r="AV57" s="1868"/>
      <c r="AW57" s="1868"/>
      <c r="AX57" s="1868"/>
      <c r="AY57" s="3986" t="str">
        <f>IF(F57="","",F57&amp;IF(K57="",""," ("&amp;IF(F57="Atadura Elemental",O57&amp;IF(Q57="","",", "&amp;Q57),K57)&amp;")")&amp;", ")</f>
        <v/>
      </c>
      <c r="AZ57" s="1868"/>
      <c r="BA57" s="1868"/>
      <c r="BB57" s="1868"/>
      <c r="BC57" s="1868"/>
      <c r="BD57" s="1868"/>
      <c r="BE57" s="1868"/>
      <c r="BF57" s="1868"/>
      <c r="BG57" s="1868"/>
      <c r="BH57" s="1868"/>
      <c r="BI57" s="1868"/>
      <c r="BJ57" s="1868"/>
      <c r="BK57" s="1868"/>
      <c r="BL57" s="1868"/>
      <c r="BM57" s="1868"/>
      <c r="BN57" s="1868"/>
      <c r="BO57" s="1868"/>
      <c r="BP57" s="1868"/>
      <c r="BQ57" s="1868"/>
      <c r="BR57" s="1868"/>
    </row>
    <row r="58" spans="1:70" ht="12.2" customHeight="1">
      <c r="A58" s="1935"/>
      <c r="B58" s="1866">
        <f t="shared" si="0"/>
        <v>2</v>
      </c>
      <c r="C58" s="6009"/>
      <c r="D58" s="5873" t="s">
        <v>8842</v>
      </c>
      <c r="E58" s="5874"/>
      <c r="F58" s="5874"/>
      <c r="G58" s="5874"/>
      <c r="H58" s="5874"/>
      <c r="I58" s="5874"/>
      <c r="J58" s="5874"/>
      <c r="K58" s="5874"/>
      <c r="L58" s="5874"/>
      <c r="M58" s="5874"/>
      <c r="N58" s="5874"/>
      <c r="O58" s="5874"/>
      <c r="P58" s="5874"/>
      <c r="Q58" s="5874"/>
      <c r="R58" s="5874"/>
      <c r="S58" s="5874"/>
      <c r="T58" s="5874"/>
      <c r="U58" s="5874"/>
      <c r="V58" s="5877"/>
      <c r="W58" s="5877"/>
      <c r="X58" s="5877"/>
      <c r="Y58" s="5877"/>
      <c r="Z58" s="5877"/>
      <c r="AA58" s="5877"/>
      <c r="AB58" s="5877"/>
      <c r="AC58" s="5877"/>
      <c r="AD58" s="5877"/>
      <c r="AE58" s="5877"/>
      <c r="AF58" s="5877"/>
      <c r="AG58" s="5878"/>
      <c r="AH58" s="1943"/>
      <c r="AI58" s="6011"/>
      <c r="AJ58" s="3986"/>
      <c r="AK58" s="3986"/>
      <c r="AL58" s="3986"/>
      <c r="AM58" s="3986"/>
      <c r="AN58" s="3987" t="s">
        <v>8362</v>
      </c>
      <c r="AO58" s="3986" t="e">
        <f>LEFT(AY50&amp;AY51&amp;AY52&amp;AY53&amp;AY54,LEN(AY50&amp;AY51&amp;AY52&amp;AY53&amp;AY54)-2)</f>
        <v>#VALUE!</v>
      </c>
      <c r="AP58" s="3986"/>
      <c r="AQ58" s="3987"/>
      <c r="AR58" s="1868"/>
      <c r="AS58" s="1868"/>
      <c r="AT58" s="1868"/>
      <c r="AU58" s="3987"/>
      <c r="AV58" s="3987"/>
      <c r="AW58" s="1868"/>
      <c r="AX58" s="1868"/>
      <c r="AY58" s="3986"/>
      <c r="AZ58" s="1868"/>
      <c r="BA58" s="1868"/>
      <c r="BB58" s="1868"/>
      <c r="BC58" s="1868"/>
      <c r="BD58" s="1868"/>
      <c r="BE58" s="1868"/>
      <c r="BF58" s="1868"/>
      <c r="BG58" s="1868"/>
      <c r="BH58" s="1868"/>
      <c r="BI58" s="1868"/>
      <c r="BJ58" s="1868"/>
      <c r="BK58" s="1868"/>
      <c r="BL58" s="1868"/>
      <c r="BM58" s="1868"/>
      <c r="BN58" s="1868"/>
      <c r="BO58" s="1868"/>
      <c r="BP58" s="1868"/>
      <c r="BQ58" s="1868"/>
      <c r="BR58" s="1868"/>
    </row>
    <row r="59" spans="1:70" ht="12.2" customHeight="1">
      <c r="A59" s="1935"/>
      <c r="B59" s="1866">
        <f t="shared" si="0"/>
        <v>2</v>
      </c>
      <c r="C59" s="6009"/>
      <c r="D59" s="5865" t="str">
        <f>IF(F50="","",F50)</f>
        <v/>
      </c>
      <c r="E59" s="5866"/>
      <c r="F59" s="5866"/>
      <c r="G59" s="5866"/>
      <c r="H59" s="5866"/>
      <c r="I59" s="5867"/>
      <c r="J59" s="5865" t="str">
        <f>IF(F51="","",F51)</f>
        <v/>
      </c>
      <c r="K59" s="5866"/>
      <c r="L59" s="5866"/>
      <c r="M59" s="5866"/>
      <c r="N59" s="5866"/>
      <c r="O59" s="5867"/>
      <c r="P59" s="5866" t="str">
        <f>IF(F52="","",F52)</f>
        <v/>
      </c>
      <c r="Q59" s="5866"/>
      <c r="R59" s="5866"/>
      <c r="S59" s="5866"/>
      <c r="T59" s="5866"/>
      <c r="U59" s="5867"/>
      <c r="V59" s="5865" t="str">
        <f>IF(F53="","",F53)</f>
        <v/>
      </c>
      <c r="W59" s="5866"/>
      <c r="X59" s="5866"/>
      <c r="Y59" s="5866"/>
      <c r="Z59" s="5866"/>
      <c r="AA59" s="5867"/>
      <c r="AB59" s="5866" t="str">
        <f>IF(F54="","",F54)</f>
        <v/>
      </c>
      <c r="AC59" s="5866"/>
      <c r="AD59" s="5866"/>
      <c r="AE59" s="5866"/>
      <c r="AF59" s="5866"/>
      <c r="AG59" s="5928"/>
      <c r="AH59" s="1943"/>
      <c r="AI59" s="6011"/>
      <c r="AJ59" s="3986"/>
      <c r="AK59" s="3986"/>
      <c r="AL59" s="3986"/>
      <c r="AM59" s="3986"/>
      <c r="AN59" s="3987" t="s">
        <v>8363</v>
      </c>
      <c r="AO59" s="3986" t="e">
        <f>LEFT(AY55&amp;AY56&amp;AY57,LEN(AY55&amp;AY56&amp;AY57)-2)</f>
        <v>#VALUE!</v>
      </c>
      <c r="AP59" s="3986"/>
      <c r="AQ59" s="3987"/>
      <c r="AR59" s="1868"/>
      <c r="AS59" s="1868"/>
      <c r="AT59" s="1868"/>
      <c r="AU59" s="3987"/>
      <c r="AV59" s="3987"/>
      <c r="AW59" s="1868"/>
      <c r="AX59" s="1868"/>
      <c r="AY59" s="3986"/>
      <c r="AZ59" s="1868"/>
      <c r="BA59" s="1868"/>
      <c r="BB59" s="1868"/>
      <c r="BC59" s="1868"/>
      <c r="BD59" s="1868"/>
      <c r="BE59" s="1868"/>
      <c r="BF59" s="1868"/>
      <c r="BG59" s="1868"/>
      <c r="BH59" s="1868"/>
      <c r="BI59" s="1868"/>
      <c r="BJ59" s="1868"/>
      <c r="BK59" s="1868"/>
      <c r="BL59" s="1868"/>
      <c r="BM59" s="1868"/>
      <c r="BN59" s="1868"/>
      <c r="BO59" s="1868"/>
      <c r="BP59" s="1868"/>
      <c r="BQ59" s="1868"/>
      <c r="BR59" s="1868"/>
    </row>
    <row r="60" spans="1:70" ht="12.2" customHeight="1">
      <c r="A60" s="1935"/>
      <c r="B60" s="1866">
        <f t="shared" si="0"/>
        <v>2</v>
      </c>
      <c r="C60" s="6009"/>
      <c r="D60" s="1812" t="s">
        <v>1690</v>
      </c>
      <c r="E60" s="1712" t="str">
        <f>IFERROR(VLOOKUP(D59,'Tablas Técnicas'!$O$9:$T$88,3,FALSE),"")</f>
        <v/>
      </c>
      <c r="F60" s="1809"/>
      <c r="G60" s="1808"/>
      <c r="H60" s="1808" t="s">
        <v>1223</v>
      </c>
      <c r="I60" s="1712" t="str">
        <f>IFERROR(VLOOKUP(D59,'Tablas Técnicas'!$O$9:$T$88,4,FALSE),"")</f>
        <v/>
      </c>
      <c r="J60" s="1812" t="s">
        <v>1690</v>
      </c>
      <c r="K60" s="1712" t="str">
        <f>IFERROR(VLOOKUP(J59,'Tablas Técnicas'!$O$9:$T$88,3,FALSE),"")</f>
        <v/>
      </c>
      <c r="L60" s="1809"/>
      <c r="M60" s="1808"/>
      <c r="N60" s="1808" t="s">
        <v>1223</v>
      </c>
      <c r="O60" s="1721" t="str">
        <f>IFERROR(VLOOKUP(J59,'Tablas Técnicas'!$O$9:$T$88,4,FALSE),"")</f>
        <v/>
      </c>
      <c r="P60" s="1808" t="s">
        <v>1690</v>
      </c>
      <c r="Q60" s="1712" t="str">
        <f>IFERROR(VLOOKUP(P59,'Tablas Técnicas'!$O$9:$T$88,3,FALSE),"")</f>
        <v/>
      </c>
      <c r="R60" s="1809"/>
      <c r="S60" s="1808"/>
      <c r="T60" s="1808" t="s">
        <v>1223</v>
      </c>
      <c r="U60" s="1712" t="str">
        <f>IFERROR(VLOOKUP(P59,'Tablas Técnicas'!$O$9:$T$88,4,FALSE),"")</f>
        <v/>
      </c>
      <c r="V60" s="1812" t="s">
        <v>1690</v>
      </c>
      <c r="W60" s="1712" t="str">
        <f>IFERROR(VLOOKUP(V59,'Tablas Técnicas'!$O$9:$T$88,3,FALSE),"")</f>
        <v/>
      </c>
      <c r="X60" s="1809"/>
      <c r="Y60" s="1808"/>
      <c r="Z60" s="1808" t="s">
        <v>1223</v>
      </c>
      <c r="AA60" s="1721" t="str">
        <f>IFERROR(VLOOKUP(V59,'Tablas Técnicas'!$O$9:$T$88,4,FALSE),"")</f>
        <v/>
      </c>
      <c r="AB60" s="1808" t="s">
        <v>1690</v>
      </c>
      <c r="AC60" s="1712" t="str">
        <f>IFERROR(VLOOKUP(AB59,'Tablas Técnicas'!$O$9:$T$88,3,FALSE),"")</f>
        <v/>
      </c>
      <c r="AD60" s="1809"/>
      <c r="AE60" s="1808"/>
      <c r="AF60" s="1808" t="s">
        <v>1223</v>
      </c>
      <c r="AG60" s="1722" t="str">
        <f>IFERROR(VLOOKUP(AB59,'Tablas Técnicas'!$O$9:$T$88,4,FALSE),"")</f>
        <v/>
      </c>
      <c r="AH60" s="1943"/>
      <c r="AI60" s="6011"/>
      <c r="AJ60" s="3986"/>
      <c r="AK60" s="3986"/>
      <c r="AL60" s="3986"/>
      <c r="AM60" s="3986"/>
      <c r="AN60" s="3987"/>
      <c r="AO60" s="3986"/>
      <c r="AP60" s="3986"/>
      <c r="AQ60" s="3987"/>
      <c r="AR60" s="1868"/>
      <c r="AS60" s="1868"/>
      <c r="AT60" s="1868"/>
      <c r="AU60" s="1868"/>
      <c r="AV60" s="1868"/>
      <c r="AW60" s="1868"/>
      <c r="AX60" s="1868"/>
      <c r="AY60" s="3986"/>
      <c r="AZ60" s="1868"/>
      <c r="BA60" s="1868"/>
      <c r="BB60" s="1868"/>
      <c r="BC60" s="1868"/>
      <c r="BD60" s="1868"/>
      <c r="BE60" s="1868"/>
      <c r="BF60" s="1868"/>
      <c r="BG60" s="1868"/>
      <c r="BH60" s="1868"/>
      <c r="BI60" s="1868"/>
      <c r="BJ60" s="1868"/>
      <c r="BK60" s="1868"/>
      <c r="BL60" s="1868"/>
      <c r="BM60" s="1868"/>
      <c r="BN60" s="1868"/>
      <c r="BO60" s="1868"/>
      <c r="BP60" s="1868"/>
      <c r="BQ60" s="1868"/>
      <c r="BR60" s="1868"/>
    </row>
    <row r="61" spans="1:70" ht="12.2" customHeight="1">
      <c r="A61" s="1935"/>
      <c r="B61" s="1866">
        <f t="shared" si="0"/>
        <v>2</v>
      </c>
      <c r="C61" s="6009"/>
      <c r="D61" s="1813" t="s">
        <v>8364</v>
      </c>
      <c r="E61" s="1808"/>
      <c r="F61" s="1809"/>
      <c r="G61" s="1810"/>
      <c r="H61" s="1810"/>
      <c r="I61" s="1807" t="str">
        <f>IFERROR(IF(D59="Ataque Elemental",IF(NOT(ISNA(VLOOKUP(D63,'Tablas Técnicas'!$O$100:$O$105,1,0))),D63,"Variable"),VLOOKUP(D59,'Tablas Técnicas'!$O$9:$W$88,9,FALSE)),"")</f>
        <v/>
      </c>
      <c r="J61" s="2173" t="s">
        <v>8364</v>
      </c>
      <c r="K61" s="2174"/>
      <c r="L61" s="2175"/>
      <c r="M61" s="2176"/>
      <c r="N61" s="2176"/>
      <c r="O61" s="2177" t="str">
        <f>IFERROR(IF(J59="Ataque Elemental",IF(NOT(ISNA(VLOOKUP(J63,'Tablas Técnicas'!$O$100:$O$105,1,0))),J63,"Variable"),VLOOKUP(J59,'Tablas Técnicas'!$O$9:$W$88,9,FALSE)),"")</f>
        <v/>
      </c>
      <c r="P61" s="2178" t="s">
        <v>8364</v>
      </c>
      <c r="Q61" s="2174"/>
      <c r="R61" s="2175"/>
      <c r="S61" s="2176"/>
      <c r="T61" s="2176"/>
      <c r="U61" s="1807" t="str">
        <f>IFERROR(IF(P59="Ataque Elemental",IF(NOT(ISNA(VLOOKUP(P63,'Tablas Técnicas'!$O$100:$O$105,1,0))),P63,"Variable"),VLOOKUP(P59,'Tablas Técnicas'!$O$9:$W$88,9,FALSE)),"")</f>
        <v/>
      </c>
      <c r="V61" s="2173" t="s">
        <v>8364</v>
      </c>
      <c r="W61" s="2174"/>
      <c r="X61" s="2175"/>
      <c r="Y61" s="2176"/>
      <c r="Z61" s="2176"/>
      <c r="AA61" s="2177" t="str">
        <f>IFERROR(IF(V59="Ataque Elemental",IF(NOT(ISNA(VLOOKUP(V63,'Tablas Técnicas'!$O$100:$O$105,1,0))),V63,"Variable"),VLOOKUP(V59,'Tablas Técnicas'!$O$9:$W$88,9,FALSE)),"")</f>
        <v/>
      </c>
      <c r="AB61" s="2178" t="s">
        <v>8364</v>
      </c>
      <c r="AC61" s="2174"/>
      <c r="AD61" s="2175"/>
      <c r="AE61" s="2176"/>
      <c r="AF61" s="2176"/>
      <c r="AG61" s="1818" t="str">
        <f>IFERROR(IF(AB59="Ataque Elemental",IF(NOT(ISNA(VLOOKUP(AB63,'Tablas Técnicas'!$O$100:$O$105,1,0))),AB63,"Variable"),VLOOKUP(AB59,'Tablas Técnicas'!$O$9:$W$88,9,FALSE)),"")</f>
        <v/>
      </c>
      <c r="AH61" s="1943"/>
      <c r="AI61" s="6011"/>
      <c r="AJ61" s="3986"/>
      <c r="AK61" s="1868" t="s">
        <v>1233</v>
      </c>
      <c r="AL61" s="1868" t="s">
        <v>1357</v>
      </c>
      <c r="AM61" s="1868" t="s">
        <v>1238</v>
      </c>
      <c r="AN61" s="1868" t="s">
        <v>1243</v>
      </c>
      <c r="AO61" s="1868" t="s">
        <v>1250</v>
      </c>
      <c r="AP61" s="1868" t="s">
        <v>1251</v>
      </c>
      <c r="AQ61" s="3987"/>
      <c r="AR61" s="1868"/>
      <c r="AS61" s="1868"/>
      <c r="AT61" s="1868"/>
      <c r="AU61" s="1868"/>
      <c r="AV61" s="1868"/>
      <c r="AW61" s="1868"/>
      <c r="AX61" s="1868"/>
      <c r="AY61" s="3986"/>
      <c r="AZ61" s="1868"/>
      <c r="BA61" s="1868"/>
      <c r="BB61" s="1868"/>
      <c r="BC61" s="1868"/>
      <c r="BD61" s="1868"/>
      <c r="BE61" s="1868"/>
      <c r="BF61" s="1868"/>
      <c r="BG61" s="1868"/>
      <c r="BH61" s="1868"/>
      <c r="BI61" s="1868"/>
      <c r="BJ61" s="1868"/>
      <c r="BK61" s="1868"/>
      <c r="BL61" s="1868"/>
      <c r="BM61" s="1868"/>
      <c r="BN61" s="1868"/>
      <c r="BO61" s="1868"/>
      <c r="BP61" s="1868"/>
      <c r="BQ61" s="1868"/>
      <c r="BR61" s="1868"/>
    </row>
    <row r="62" spans="1:70" ht="12.2" customHeight="1">
      <c r="A62" s="1935"/>
      <c r="B62" s="1866">
        <f t="shared" si="0"/>
        <v>2</v>
      </c>
      <c r="C62" s="6009"/>
      <c r="D62" s="5865" t="s">
        <v>2665</v>
      </c>
      <c r="E62" s="5866"/>
      <c r="F62" s="5866"/>
      <c r="G62" s="5866"/>
      <c r="H62" s="5867"/>
      <c r="I62" s="1725" t="s">
        <v>1262</v>
      </c>
      <c r="J62" s="5865" t="s">
        <v>2665</v>
      </c>
      <c r="K62" s="5866"/>
      <c r="L62" s="5866"/>
      <c r="M62" s="5866"/>
      <c r="N62" s="5867"/>
      <c r="O62" s="1726" t="s">
        <v>1262</v>
      </c>
      <c r="P62" s="5865" t="s">
        <v>2665</v>
      </c>
      <c r="Q62" s="5866"/>
      <c r="R62" s="5866"/>
      <c r="S62" s="5866"/>
      <c r="T62" s="5867"/>
      <c r="U62" s="1726" t="s">
        <v>1262</v>
      </c>
      <c r="V62" s="5865"/>
      <c r="W62" s="5866"/>
      <c r="X62" s="5866"/>
      <c r="Y62" s="5866"/>
      <c r="Z62" s="5867"/>
      <c r="AA62" s="1726" t="s">
        <v>1262</v>
      </c>
      <c r="AB62" s="5865" t="s">
        <v>2665</v>
      </c>
      <c r="AC62" s="5866"/>
      <c r="AD62" s="5866"/>
      <c r="AE62" s="5866"/>
      <c r="AF62" s="5867"/>
      <c r="AG62" s="1727" t="s">
        <v>1262</v>
      </c>
      <c r="AH62" s="1943"/>
      <c r="AI62" s="6011"/>
      <c r="AJ62" s="3989" t="s">
        <v>8879</v>
      </c>
      <c r="AK62" s="3986" t="str">
        <f>IF(V48="","",IF(SUM(V50:V54)=0,"",V48&amp;" "&amp;SUM(V50:V54)+V57&amp;IF(SUM(W50:W54)=0,""," ("&amp;SUM(W50:W54)&amp;")")&amp;", "))</f>
        <v/>
      </c>
      <c r="AL62" s="3986" t="str">
        <f>IF(X48="","",IF(SUM(X50:X54)=0,"",X48&amp;" "&amp;SUM(X50:X54)+X57&amp;IF(SUM(Y50:Y54)=0,""," ("&amp;SUM(Y50:Y54)&amp;")")&amp;", "))</f>
        <v/>
      </c>
      <c r="AM62" s="3986" t="str">
        <f>IF(Z48="","",IF(SUM(Z50:Z54)=0,"",Z48&amp;" "&amp;SUM(Z50:Z54)+Z57&amp;IF(SUM(AA50:AA54)=0,""," ("&amp;SUM(AA50:AA54)&amp;")")&amp;", "))</f>
        <v/>
      </c>
      <c r="AN62" s="3986" t="str">
        <f>IF(AB48="","",IF(SUM(AB50:AB54)=0,"",AB48&amp;" "&amp;SUM(AB50:AB54)+AB57&amp;IF(SUM(AC50:AC54)=0,""," ("&amp;SUM(AC50:AC54)&amp;")")&amp;", "))</f>
        <v/>
      </c>
      <c r="AO62" s="3986" t="str">
        <f>IF(AD48="","",IF(SUM(AD50:AD54)=0,"",AD48&amp;" "&amp;SUM(AD50:AD54)+AD57&amp;IF(SUM(AE50:AE54)=0,""," ("&amp;SUM(AE50:AE54)&amp;")")&amp;", "))</f>
        <v/>
      </c>
      <c r="AP62" s="3986" t="str">
        <f>IF(AF48="","",IF(SUM(AF50:AF54)=0,"",AF48&amp;" "&amp;SUM(AF50:AF54)+AF57&amp;IF(SUM(AG50:AG54)=0,""," ("&amp;SUM(AG50:AG54)&amp;")")&amp;", "))</f>
        <v/>
      </c>
      <c r="AQ62" s="3986"/>
      <c r="AR62" s="3986"/>
      <c r="AS62" s="3986"/>
      <c r="AT62" s="3986"/>
      <c r="AU62" s="3986"/>
      <c r="AV62" s="3986"/>
      <c r="AW62" s="3986"/>
      <c r="AX62" s="3986"/>
      <c r="AY62" s="3986"/>
      <c r="AZ62" s="1868"/>
      <c r="BA62" s="1868"/>
      <c r="BB62" s="1868"/>
      <c r="BC62" s="1868"/>
      <c r="BD62" s="1868"/>
      <c r="BE62" s="1868"/>
      <c r="BF62" s="1868"/>
      <c r="BG62" s="1868"/>
      <c r="BH62" s="1868"/>
      <c r="BI62" s="1868"/>
      <c r="BJ62" s="1868"/>
      <c r="BK62" s="1868"/>
      <c r="BL62" s="1868"/>
      <c r="BM62" s="1868"/>
      <c r="BN62" s="1868"/>
      <c r="BO62" s="1868"/>
      <c r="BP62" s="1868"/>
      <c r="BQ62" s="1868"/>
      <c r="BR62" s="1868"/>
    </row>
    <row r="63" spans="1:70" ht="12.2" customHeight="1">
      <c r="A63" s="1935"/>
      <c r="B63" s="1866">
        <f t="shared" si="0"/>
        <v>2</v>
      </c>
      <c r="C63" s="6009"/>
      <c r="D63" s="5911"/>
      <c r="E63" s="5853"/>
      <c r="F63" s="5853"/>
      <c r="G63" s="5853"/>
      <c r="H63" s="5853"/>
      <c r="I63" s="1728" t="str">
        <f>IF(OR(D59="",D63=""),"",MAX(1,SUMPRODUCT(--(INDEX('Tablas Técnicas'!$C$10:$L$644,,1)=D59),--(INDEX('Tablas Técnicas'!$C$10:$L$644,,2)=D63),INDEX('Tablas Técnicas'!$C$10:$L$644,,9))))</f>
        <v/>
      </c>
      <c r="J63" s="5852"/>
      <c r="K63" s="5853"/>
      <c r="L63" s="5853"/>
      <c r="M63" s="5853"/>
      <c r="N63" s="5853"/>
      <c r="O63" s="1728" t="str">
        <f>IF(OR(J59="",J63=""),"",MAX(1,SUMPRODUCT(--(INDEX('Tablas Técnicas'!$C$10:$L$644,,1)=J59),--(INDEX('Tablas Técnicas'!$C$10:$L$644,,2)=J63),INDEX('Tablas Técnicas'!$C$10:$L$644,,9))))</f>
        <v/>
      </c>
      <c r="P63" s="5852"/>
      <c r="Q63" s="5853"/>
      <c r="R63" s="5853"/>
      <c r="S63" s="5853"/>
      <c r="T63" s="5853"/>
      <c r="U63" s="1728" t="str">
        <f>IF(OR(P59="",P63=""),"",MAX(1,SUMPRODUCT(--(INDEX('Tablas Técnicas'!$C$10:$L$644,,1)=P59),--(INDEX('Tablas Técnicas'!$C$10:$L$644,,2)=P63),INDEX('Tablas Técnicas'!$C$10:$L$644,,9))))</f>
        <v/>
      </c>
      <c r="V63" s="5852"/>
      <c r="W63" s="5853"/>
      <c r="X63" s="5853"/>
      <c r="Y63" s="5853"/>
      <c r="Z63" s="5853"/>
      <c r="AA63" s="1728" t="str">
        <f>IF(OR(V59="",V63=""),"",MAX(1,SUMPRODUCT(--(INDEX('Tablas Técnicas'!$C$10:$L$644,,1)=V59),--(INDEX('Tablas Técnicas'!$C$10:$L$644,,2)=V63),INDEX('Tablas Técnicas'!$C$10:$L$644,,9))))</f>
        <v/>
      </c>
      <c r="AB63" s="5852"/>
      <c r="AC63" s="5853"/>
      <c r="AD63" s="5853"/>
      <c r="AE63" s="5853"/>
      <c r="AF63" s="5853"/>
      <c r="AG63" s="1729" t="str">
        <f>IF(OR(AB59="",AB63=""),"",MAX(1,SUMPRODUCT(--(INDEX('Tablas Técnicas'!$C$10:$L$644,,1)=AB59),--(INDEX('Tablas Técnicas'!$C$10:$L$644,,2)=AB63),INDEX('Tablas Técnicas'!$C$10:$L$644,,9))))</f>
        <v/>
      </c>
      <c r="AH63" s="1943">
        <f>P46</f>
        <v>1</v>
      </c>
      <c r="AI63" s="6011"/>
      <c r="AJ63" s="3986" t="s">
        <v>8843</v>
      </c>
      <c r="AK63" s="3986"/>
      <c r="AL63" s="3986">
        <f>MAX(0,SUM(AT50:AT54)+ABS($AC55*2/5))+IF(AM72,0,Y55)+IF(S46="Sí",2*P46,0)</f>
        <v>0</v>
      </c>
      <c r="AM63" s="3986">
        <f t="array" ref="AM63">IF(ISNUMBER(SEARCH("Mantenido",K50&amp;K51&amp;K52&amp;K53&amp;K54)),MAX(0,SUM(VALUE(RIGHT($P50:$P54,2)))),0)</f>
        <v>0</v>
      </c>
      <c r="AN63" s="1868"/>
      <c r="AO63" s="1868"/>
      <c r="AP63" s="1815"/>
      <c r="AQ63" s="1815"/>
      <c r="AR63" s="1815"/>
      <c r="AS63" s="1815"/>
      <c r="AT63" s="1815"/>
      <c r="AU63" s="1815"/>
      <c r="AV63" s="1815"/>
      <c r="AW63" s="1815"/>
      <c r="AX63" s="1815"/>
      <c r="AY63" s="3986"/>
      <c r="AZ63" s="1868"/>
      <c r="BA63" s="1868"/>
      <c r="BB63" s="1868"/>
      <c r="BC63" s="1868"/>
      <c r="BD63" s="1868"/>
      <c r="BE63" s="1868"/>
      <c r="BF63" s="1868"/>
      <c r="BG63" s="1868"/>
      <c r="BH63" s="1868"/>
      <c r="BI63" s="1868"/>
      <c r="BJ63" s="1868"/>
      <c r="BK63" s="1868"/>
      <c r="BL63" s="1868"/>
      <c r="BM63" s="1868"/>
      <c r="BN63" s="1868"/>
      <c r="BO63" s="1868"/>
      <c r="BP63" s="1868"/>
      <c r="BQ63" s="1868"/>
      <c r="BR63" s="1868"/>
    </row>
    <row r="64" spans="1:70" ht="12.2" customHeight="1">
      <c r="A64" s="1935"/>
      <c r="B64" s="1866">
        <f t="shared" si="0"/>
        <v>2</v>
      </c>
      <c r="C64" s="6009"/>
      <c r="D64" s="5871"/>
      <c r="E64" s="5872"/>
      <c r="F64" s="5872"/>
      <c r="G64" s="5872"/>
      <c r="H64" s="5872"/>
      <c r="I64" s="1730" t="str">
        <f>IF(OR(D59="",D64=""),"",MAX(1,SUMPRODUCT(--(INDEX('Tablas Técnicas'!$C$10:$L$644,,1)=D59),--(INDEX('Tablas Técnicas'!$C$10:$L$644,,2)=D64),INDEX('Tablas Técnicas'!$C$10:$L$644,,9))))</f>
        <v/>
      </c>
      <c r="J64" s="5871"/>
      <c r="K64" s="5872"/>
      <c r="L64" s="5872"/>
      <c r="M64" s="5872"/>
      <c r="N64" s="5872"/>
      <c r="O64" s="1730" t="str">
        <f>IF(OR(J59="",J64=""),"",MAX(1,SUMPRODUCT(--(INDEX('Tablas Técnicas'!$C$10:$L$644,,1)=J59),--(INDEX('Tablas Técnicas'!$C$10:$L$644,,2)=J64),INDEX('Tablas Técnicas'!$C$10:$L$644,,9))))</f>
        <v/>
      </c>
      <c r="P64" s="5871"/>
      <c r="Q64" s="5872"/>
      <c r="R64" s="5872"/>
      <c r="S64" s="5872"/>
      <c r="T64" s="5872"/>
      <c r="U64" s="1730" t="str">
        <f>IF(OR(P59="",P64=""),"",MAX(1,SUMPRODUCT(--(INDEX('Tablas Técnicas'!$C$10:$L$644,,1)=P59),--(INDEX('Tablas Técnicas'!$C$10:$L$644,,2)=P64),INDEX('Tablas Técnicas'!$C$10:$L$644,,9))))</f>
        <v/>
      </c>
      <c r="V64" s="5871"/>
      <c r="W64" s="5872"/>
      <c r="X64" s="5872"/>
      <c r="Y64" s="5872"/>
      <c r="Z64" s="5872"/>
      <c r="AA64" s="1730" t="str">
        <f>IF(OR(V59="",V64=""),"",MAX(1,SUMPRODUCT(--(INDEX('Tablas Técnicas'!$C$10:$L$644,,1)=V59),--(INDEX('Tablas Técnicas'!$C$10:$L$644,,2)=V64),INDEX('Tablas Técnicas'!$C$10:$L$644,,9))))</f>
        <v/>
      </c>
      <c r="AB64" s="5871"/>
      <c r="AC64" s="5872"/>
      <c r="AD64" s="5872"/>
      <c r="AE64" s="5872"/>
      <c r="AF64" s="5872"/>
      <c r="AG64" s="1731" t="str">
        <f>IF(OR(AB59="",AB64=""),"",MAX(1,SUMPRODUCT(--(INDEX('Tablas Técnicas'!$C$10:$L$644,,1)=AB59),--(INDEX('Tablas Técnicas'!$C$10:$L$644,,2)=AB64),INDEX('Tablas Técnicas'!$C$10:$L$644,,9))))</f>
        <v/>
      </c>
      <c r="AH64" s="1943">
        <f>P46</f>
        <v>1</v>
      </c>
      <c r="AI64" s="6011"/>
      <c r="AJ64" s="3986" t="s">
        <v>8366</v>
      </c>
      <c r="AK64" s="3986"/>
      <c r="AL64" s="3986">
        <f>SUM(V50:V54,X50:X54,Z50:Z54,AB50:AB54,AD50:AD54,AF50:AF54)+SUM(V57:AG57)</f>
        <v>0</v>
      </c>
      <c r="AM64" s="3986">
        <f>SUM(W50:W54,Y50:Y54,AA50:AA54,AC50:AC54,AE50:AE54,AG50:AG54)</f>
        <v>0</v>
      </c>
      <c r="AN64" s="3986"/>
      <c r="AO64" s="3986"/>
      <c r="AP64" s="3986"/>
      <c r="AQ64" s="3986"/>
      <c r="AR64" s="3986"/>
      <c r="AS64" s="3986"/>
      <c r="AT64" s="3986"/>
      <c r="AU64" s="3986"/>
      <c r="AV64" s="3986"/>
      <c r="AW64" s="1868"/>
      <c r="AX64" s="3986"/>
      <c r="AY64" s="3986"/>
      <c r="AZ64" s="1868"/>
      <c r="BA64" s="1868"/>
      <c r="BB64" s="1868"/>
      <c r="BC64" s="1868"/>
      <c r="BD64" s="1868"/>
      <c r="BE64" s="1868"/>
      <c r="BF64" s="1868"/>
      <c r="BG64" s="1868"/>
      <c r="BH64" s="1868"/>
      <c r="BI64" s="1868"/>
      <c r="BJ64" s="1868"/>
      <c r="BK64" s="1868"/>
      <c r="BL64" s="1868"/>
      <c r="BM64" s="1868"/>
      <c r="BN64" s="1868"/>
      <c r="BO64" s="1868"/>
      <c r="BP64" s="1868"/>
      <c r="BQ64" s="1868"/>
      <c r="BR64" s="1868"/>
    </row>
    <row r="65" spans="1:70" ht="12.2" customHeight="1">
      <c r="A65" s="1935"/>
      <c r="B65" s="1866">
        <f t="shared" si="0"/>
        <v>2</v>
      </c>
      <c r="C65" s="6009"/>
      <c r="D65" s="5871"/>
      <c r="E65" s="5872"/>
      <c r="F65" s="5872"/>
      <c r="G65" s="5872"/>
      <c r="H65" s="5872"/>
      <c r="I65" s="1730" t="str">
        <f>IF(OR(D59="",D65=""),"",MAX(1,SUMPRODUCT(--(INDEX('Tablas Técnicas'!$C$10:$L$644,,1)=D59),--(INDEX('Tablas Técnicas'!$C$10:$L$644,,2)=D65),INDEX('Tablas Técnicas'!$C$10:$L$644,,9))))</f>
        <v/>
      </c>
      <c r="J65" s="5871"/>
      <c r="K65" s="5872"/>
      <c r="L65" s="5872"/>
      <c r="M65" s="5872"/>
      <c r="N65" s="5872"/>
      <c r="O65" s="1730" t="str">
        <f>IF(OR(J59="",J65=""),"",MAX(1,SUMPRODUCT(--(INDEX('Tablas Técnicas'!$C$10:$L$644,,1)=J59),--(INDEX('Tablas Técnicas'!$C$10:$L$644,,2)=J65),INDEX('Tablas Técnicas'!$C$10:$L$644,,9))))</f>
        <v/>
      </c>
      <c r="P65" s="5871"/>
      <c r="Q65" s="5872"/>
      <c r="R65" s="5872"/>
      <c r="S65" s="5872"/>
      <c r="T65" s="5872"/>
      <c r="U65" s="1730" t="str">
        <f>IF(OR(P59="",P65=""),"",MAX(1,SUMPRODUCT(--(INDEX('Tablas Técnicas'!$C$10:$L$644,,1)=P59),--(INDEX('Tablas Técnicas'!$C$10:$L$644,,2)=P65),INDEX('Tablas Técnicas'!$C$10:$L$644,,9))))</f>
        <v/>
      </c>
      <c r="V65" s="5871"/>
      <c r="W65" s="5872"/>
      <c r="X65" s="5872"/>
      <c r="Y65" s="5872"/>
      <c r="Z65" s="5872"/>
      <c r="AA65" s="1730" t="str">
        <f>IF(OR(V59="",V65=""),"",MAX(1,SUMPRODUCT(--(INDEX('Tablas Técnicas'!$C$10:$L$644,,1)=V59),--(INDEX('Tablas Técnicas'!$C$10:$L$644,,2)=V65),INDEX('Tablas Técnicas'!$C$10:$L$644,,9))))</f>
        <v/>
      </c>
      <c r="AB65" s="5871"/>
      <c r="AC65" s="5872"/>
      <c r="AD65" s="5872"/>
      <c r="AE65" s="5872"/>
      <c r="AF65" s="5872"/>
      <c r="AG65" s="1731" t="str">
        <f>IF(OR(AB59="",AB65=""),"",MAX(1,SUMPRODUCT(--(INDEX('Tablas Técnicas'!$C$10:$L$644,,1)=AB59),--(INDEX('Tablas Técnicas'!$C$10:$L$644,,2)=AB65),INDEX('Tablas Técnicas'!$C$10:$L$644,,9))))</f>
        <v/>
      </c>
      <c r="AH65" s="1943">
        <f>P46</f>
        <v>1</v>
      </c>
      <c r="AI65" s="6011"/>
      <c r="AJ65" s="3986"/>
      <c r="AK65" s="3986"/>
      <c r="AL65" s="3986"/>
      <c r="AM65" s="3986"/>
      <c r="AN65" s="3986"/>
      <c r="AO65" s="3986"/>
      <c r="AP65" s="3986"/>
      <c r="AQ65" s="3986"/>
      <c r="AR65" s="3986"/>
      <c r="AS65" s="3986"/>
      <c r="AT65" s="3986"/>
      <c r="AU65" s="3986"/>
      <c r="AV65" s="3986"/>
      <c r="AW65" s="1868"/>
      <c r="AX65" s="1868"/>
      <c r="AY65" s="3986"/>
      <c r="AZ65" s="1868"/>
      <c r="BA65" s="1868"/>
      <c r="BB65" s="1868"/>
      <c r="BC65" s="1868"/>
      <c r="BD65" s="1868"/>
      <c r="BE65" s="1868"/>
      <c r="BF65" s="1868"/>
      <c r="BG65" s="1868"/>
      <c r="BH65" s="1868"/>
      <c r="BI65" s="1868"/>
      <c r="BJ65" s="1868"/>
      <c r="BK65" s="1868"/>
      <c r="BL65" s="1868"/>
      <c r="BM65" s="1868"/>
      <c r="BN65" s="1868"/>
      <c r="BO65" s="1868"/>
      <c r="BP65" s="1868"/>
      <c r="BQ65" s="1868"/>
      <c r="BR65" s="1868"/>
    </row>
    <row r="66" spans="1:70" ht="12.2" customHeight="1">
      <c r="A66" s="1935"/>
      <c r="B66" s="1866">
        <f t="shared" si="0"/>
        <v>2</v>
      </c>
      <c r="C66" s="6009"/>
      <c r="D66" s="5871"/>
      <c r="E66" s="5872"/>
      <c r="F66" s="5872"/>
      <c r="G66" s="5872"/>
      <c r="H66" s="5872"/>
      <c r="I66" s="1730" t="str">
        <f>IF(OR(D59="",D66=""),"",MAX(1,SUMPRODUCT(--(INDEX('Tablas Técnicas'!$C$10:$L$644,,1)=D59),--(INDEX('Tablas Técnicas'!$C$10:$L$644,,2)=D66),INDEX('Tablas Técnicas'!$C$10:$L$644,,9))))</f>
        <v/>
      </c>
      <c r="J66" s="5871"/>
      <c r="K66" s="5872"/>
      <c r="L66" s="5872"/>
      <c r="M66" s="5872"/>
      <c r="N66" s="5872"/>
      <c r="O66" s="1730" t="str">
        <f>IF(OR(J59="",J66=""),"",MAX(1,SUMPRODUCT(--(INDEX('Tablas Técnicas'!$C$10:$L$644,,1)=J59),--(INDEX('Tablas Técnicas'!$C$10:$L$644,,2)=J66),INDEX('Tablas Técnicas'!$C$10:$L$644,,9))))</f>
        <v/>
      </c>
      <c r="P66" s="5871"/>
      <c r="Q66" s="5872"/>
      <c r="R66" s="5872"/>
      <c r="S66" s="5872"/>
      <c r="T66" s="5872"/>
      <c r="U66" s="1730" t="str">
        <f>IF(OR(P59="",P66=""),"",MAX(1,SUMPRODUCT(--(INDEX('Tablas Técnicas'!$C$10:$L$644,,1)=P59),--(INDEX('Tablas Técnicas'!$C$10:$L$644,,2)=P66),INDEX('Tablas Técnicas'!$C$10:$L$644,,9))))</f>
        <v/>
      </c>
      <c r="V66" s="5871"/>
      <c r="W66" s="5872"/>
      <c r="X66" s="5872"/>
      <c r="Y66" s="5872"/>
      <c r="Z66" s="5872"/>
      <c r="AA66" s="1730" t="str">
        <f>IF(OR(V59="",V66=""),"",MAX(1,SUMPRODUCT(--(INDEX('Tablas Técnicas'!$C$10:$L$644,,1)=V59),--(INDEX('Tablas Técnicas'!$C$10:$L$644,,2)=V66),INDEX('Tablas Técnicas'!$C$10:$L$644,,9))))</f>
        <v/>
      </c>
      <c r="AB66" s="5871"/>
      <c r="AC66" s="5872"/>
      <c r="AD66" s="5872"/>
      <c r="AE66" s="5872"/>
      <c r="AF66" s="5872"/>
      <c r="AG66" s="1731" t="str">
        <f>IF(OR(AB59="",AB66=""),"",MAX(1,SUMPRODUCT(--(INDEX('Tablas Técnicas'!$C$10:$L$644,,1)=AB59),--(INDEX('Tablas Técnicas'!$C$10:$L$644,,2)=AB66),INDEX('Tablas Técnicas'!$C$10:$L$644,,9))))</f>
        <v/>
      </c>
      <c r="AH66" s="1943">
        <f>P46</f>
        <v>1</v>
      </c>
      <c r="AI66" s="6011"/>
      <c r="AJ66" s="3986" t="s">
        <v>8367</v>
      </c>
      <c r="AK66" s="3986"/>
      <c r="AL66" s="3986"/>
      <c r="AM66" s="3986"/>
      <c r="AN66" s="3986"/>
      <c r="AO66" s="3986"/>
      <c r="AP66" s="3986"/>
      <c r="AQ66" s="3987"/>
      <c r="AR66" s="1868"/>
      <c r="AS66" s="1868"/>
      <c r="AT66" s="1868"/>
      <c r="AU66" s="1868"/>
      <c r="AV66" s="1868"/>
      <c r="AW66" s="1868"/>
      <c r="AX66" s="1868"/>
      <c r="AY66" s="3986"/>
      <c r="AZ66" s="1868"/>
      <c r="BA66" s="1868"/>
      <c r="BB66" s="1868"/>
      <c r="BC66" s="1868"/>
      <c r="BD66" s="1868"/>
      <c r="BE66" s="1868"/>
      <c r="BF66" s="1868"/>
      <c r="BG66" s="1868"/>
      <c r="BH66" s="1868"/>
      <c r="BI66" s="1868"/>
      <c r="BJ66" s="1868"/>
      <c r="BK66" s="1868"/>
      <c r="BL66" s="1868"/>
      <c r="BM66" s="1868"/>
      <c r="BN66" s="1868"/>
      <c r="BO66" s="1868"/>
      <c r="BP66" s="1868"/>
      <c r="BQ66" s="1868"/>
      <c r="BR66" s="1868"/>
    </row>
    <row r="67" spans="1:70" ht="12.2" customHeight="1">
      <c r="A67" s="1935"/>
      <c r="B67" s="1866">
        <f t="shared" si="0"/>
        <v>2</v>
      </c>
      <c r="C67" s="6009"/>
      <c r="D67" s="5871"/>
      <c r="E67" s="5872"/>
      <c r="F67" s="5872"/>
      <c r="G67" s="5872"/>
      <c r="H67" s="5872"/>
      <c r="I67" s="1730" t="str">
        <f>IF(OR(D59="",D67=""),"",MAX(1,SUMPRODUCT(--(INDEX('Tablas Técnicas'!$C$10:$L$644,,1)=D59),--(INDEX('Tablas Técnicas'!$C$10:$L$644,,2)=D67),INDEX('Tablas Técnicas'!$C$10:$L$644,,9))))</f>
        <v/>
      </c>
      <c r="J67" s="5871"/>
      <c r="K67" s="5872"/>
      <c r="L67" s="5872"/>
      <c r="M67" s="5872"/>
      <c r="N67" s="5872"/>
      <c r="O67" s="1730" t="str">
        <f>IF(OR(J59="",J67=""),"",MAX(1,SUMPRODUCT(--(INDEX('Tablas Técnicas'!$C$10:$L$644,,1)=J59),--(INDEX('Tablas Técnicas'!$C$10:$L$644,,2)=J67),INDEX('Tablas Técnicas'!$C$10:$L$644,,9))))</f>
        <v/>
      </c>
      <c r="P67" s="5871"/>
      <c r="Q67" s="5872"/>
      <c r="R67" s="5872"/>
      <c r="S67" s="5872"/>
      <c r="T67" s="5872"/>
      <c r="U67" s="1730" t="str">
        <f>IF(OR(P59="",P67=""),"",MAX(1,SUMPRODUCT(--(INDEX('Tablas Técnicas'!$C$10:$L$644,,1)=P59),--(INDEX('Tablas Técnicas'!$C$10:$L$644,,2)=P67),INDEX('Tablas Técnicas'!$C$10:$L$644,,9))))</f>
        <v/>
      </c>
      <c r="V67" s="5871"/>
      <c r="W67" s="5872"/>
      <c r="X67" s="5872"/>
      <c r="Y67" s="5872"/>
      <c r="Z67" s="5872"/>
      <c r="AA67" s="1730" t="str">
        <f>IF(OR(V59="",V67=""),"",MAX(1,SUMPRODUCT(--(INDEX('Tablas Técnicas'!$C$10:$L$644,,1)=V59),--(INDEX('Tablas Técnicas'!$C$10:$L$644,,2)=V67),INDEX('Tablas Técnicas'!$C$10:$L$644,,9))))</f>
        <v/>
      </c>
      <c r="AB67" s="5871"/>
      <c r="AC67" s="5872"/>
      <c r="AD67" s="5872"/>
      <c r="AE67" s="5872"/>
      <c r="AF67" s="5872"/>
      <c r="AG67" s="1731" t="str">
        <f>IF(OR(AB59="",AB67=""),"",MAX(1,SUMPRODUCT(--(INDEX('Tablas Técnicas'!$C$10:$L$644,,1)=AB59),--(INDEX('Tablas Técnicas'!$C$10:$L$644,,2)=AB67),INDEX('Tablas Técnicas'!$C$10:$L$644,,9))))</f>
        <v/>
      </c>
      <c r="AH67" s="1943">
        <f>P46</f>
        <v>1</v>
      </c>
      <c r="AI67" s="6011"/>
      <c r="AJ67" s="3986" t="s">
        <v>9502</v>
      </c>
      <c r="AK67" s="3986"/>
      <c r="AL67" s="3986"/>
      <c r="AM67" s="3986" t="b">
        <f>U46&gt;IF(P46=3,200,IF(P46=2,100,50))</f>
        <v>0</v>
      </c>
      <c r="AN67" s="3986"/>
      <c r="AO67" s="3986"/>
      <c r="AP67" s="3986"/>
      <c r="AQ67" s="3986"/>
      <c r="AR67" s="1868"/>
      <c r="AS67" s="1868"/>
      <c r="AT67" s="1868"/>
      <c r="AU67" s="1868"/>
      <c r="AV67" s="1868"/>
      <c r="AW67" s="1868"/>
      <c r="AX67" s="1868"/>
      <c r="AY67" s="3986"/>
      <c r="AZ67" s="1868"/>
      <c r="BA67" s="1868"/>
      <c r="BB67" s="1868"/>
      <c r="BC67" s="1868"/>
      <c r="BD67" s="1868"/>
      <c r="BE67" s="1868"/>
      <c r="BF67" s="1868"/>
      <c r="BG67" s="1868"/>
      <c r="BH67" s="1868"/>
      <c r="BI67" s="1868"/>
      <c r="BJ67" s="1868"/>
      <c r="BK67" s="1868"/>
      <c r="BL67" s="1868"/>
      <c r="BM67" s="1868"/>
      <c r="BN67" s="1868"/>
      <c r="BO67" s="1868"/>
      <c r="BP67" s="1868"/>
      <c r="BQ67" s="1868"/>
      <c r="BR67" s="1868"/>
    </row>
    <row r="68" spans="1:70" ht="12.2" customHeight="1">
      <c r="A68" s="1935"/>
      <c r="B68" s="1866">
        <f t="shared" si="0"/>
        <v>2</v>
      </c>
      <c r="C68" s="6009"/>
      <c r="D68" s="5871"/>
      <c r="E68" s="5872"/>
      <c r="F68" s="5872"/>
      <c r="G68" s="5872"/>
      <c r="H68" s="5872"/>
      <c r="I68" s="1730" t="str">
        <f>IF(OR(D59="",D68=""),"",MAX(1,SUMPRODUCT(--(INDEX('Tablas Técnicas'!$C$10:$L$644,,1)=D59),--(INDEX('Tablas Técnicas'!$C$10:$L$644,,2)=D68),INDEX('Tablas Técnicas'!$C$10:$L$644,,9))))</f>
        <v/>
      </c>
      <c r="J68" s="5871"/>
      <c r="K68" s="5872"/>
      <c r="L68" s="5872"/>
      <c r="M68" s="5872"/>
      <c r="N68" s="5872"/>
      <c r="O68" s="1730" t="str">
        <f>IF(OR(J59="",J68=""),"",MAX(1,SUMPRODUCT(--(INDEX('Tablas Técnicas'!$C$10:$L$644,,1)=J59),--(INDEX('Tablas Técnicas'!$C$10:$L$644,,2)=J68),INDEX('Tablas Técnicas'!$C$10:$L$644,,9))))</f>
        <v/>
      </c>
      <c r="P68" s="5871"/>
      <c r="Q68" s="5872"/>
      <c r="R68" s="5872"/>
      <c r="S68" s="5872"/>
      <c r="T68" s="5872"/>
      <c r="U68" s="1730" t="str">
        <f>IF(OR(P59="",P68=""),"",MAX(1,SUMPRODUCT(--(INDEX('Tablas Técnicas'!$C$10:$L$644,,1)=P59),--(INDEX('Tablas Técnicas'!$C$10:$L$644,,2)=P68),INDEX('Tablas Técnicas'!$C$10:$L$644,,9))))</f>
        <v/>
      </c>
      <c r="V68" s="5871"/>
      <c r="W68" s="5872"/>
      <c r="X68" s="5872"/>
      <c r="Y68" s="5872"/>
      <c r="Z68" s="5872"/>
      <c r="AA68" s="1730" t="str">
        <f>IF(OR(V59="",V68=""),"",MAX(1,SUMPRODUCT(--(INDEX('Tablas Técnicas'!$C$10:$L$644,,1)=V59),--(INDEX('Tablas Técnicas'!$C$10:$L$644,,2)=V68),INDEX('Tablas Técnicas'!$C$10:$L$644,,9))))</f>
        <v/>
      </c>
      <c r="AB68" s="5871"/>
      <c r="AC68" s="5872"/>
      <c r="AD68" s="5872"/>
      <c r="AE68" s="5872"/>
      <c r="AF68" s="5872"/>
      <c r="AG68" s="1731" t="str">
        <f>IF(OR(AB59="",AB68=""),"",MAX(1,SUMPRODUCT(--(INDEX('Tablas Técnicas'!$C$10:$L$644,,1)=AB59),--(INDEX('Tablas Técnicas'!$C$10:$L$644,,2)=AB68),INDEX('Tablas Técnicas'!$C$10:$L$644,,9))))</f>
        <v/>
      </c>
      <c r="AH68" s="1943">
        <f>P46</f>
        <v>1</v>
      </c>
      <c r="AI68" s="6011"/>
      <c r="AJ68" s="3986" t="s">
        <v>8368</v>
      </c>
      <c r="AK68" s="3986"/>
      <c r="AL68" s="3986"/>
      <c r="AM68" s="3986" t="b">
        <f t="array" ref="AM68">MAX(I63:I69,O63:O69,U63:U69,AA63:AA69,AG63:AG69,RIGHT(S55:S57,1))&gt;P46</f>
        <v>0</v>
      </c>
      <c r="AN68" s="3986"/>
      <c r="AO68" s="3986"/>
      <c r="AP68" s="3986"/>
      <c r="AQ68" s="3987"/>
      <c r="AR68" s="1868"/>
      <c r="AS68" s="1868"/>
      <c r="AT68" s="1868"/>
      <c r="AU68" s="1868"/>
      <c r="AV68" s="1868"/>
      <c r="AW68" s="1868"/>
      <c r="AX68" s="1868"/>
      <c r="AY68" s="3986"/>
      <c r="AZ68" s="1868"/>
      <c r="BA68" s="1868"/>
      <c r="BB68" s="1868"/>
      <c r="BC68" s="1868"/>
      <c r="BD68" s="1868"/>
      <c r="BE68" s="1868"/>
      <c r="BF68" s="1868"/>
      <c r="BG68" s="1868"/>
      <c r="BH68" s="1868"/>
      <c r="BI68" s="1868"/>
      <c r="BJ68" s="1868"/>
      <c r="BK68" s="1868"/>
      <c r="BL68" s="1868"/>
      <c r="BM68" s="1868"/>
      <c r="BN68" s="1868"/>
      <c r="BO68" s="1868"/>
      <c r="BP68" s="1868"/>
      <c r="BQ68" s="1868"/>
      <c r="BR68" s="1868"/>
    </row>
    <row r="69" spans="1:70" ht="12.2" customHeight="1">
      <c r="A69" s="1935"/>
      <c r="B69" s="1866">
        <f t="shared" si="0"/>
        <v>2</v>
      </c>
      <c r="C69" s="6009"/>
      <c r="D69" s="5926"/>
      <c r="E69" s="5927"/>
      <c r="F69" s="5927"/>
      <c r="G69" s="5927"/>
      <c r="H69" s="5927"/>
      <c r="I69" s="1732" t="str">
        <f>IF(OR(D59="",D69=""),"",MAX(1,SUMPRODUCT(--(INDEX('Tablas Técnicas'!$C$10:$L$644,,1)=D59),--(INDEX('Tablas Técnicas'!$C$10:$L$644,,2)=D69),INDEX('Tablas Técnicas'!$C$10:$L$644,,9))))</f>
        <v/>
      </c>
      <c r="J69" s="5926"/>
      <c r="K69" s="5927"/>
      <c r="L69" s="5927"/>
      <c r="M69" s="5927"/>
      <c r="N69" s="5927"/>
      <c r="O69" s="1732" t="str">
        <f>IF(OR(J59="",J69=""),"",MAX(1,SUMPRODUCT(--(INDEX('Tablas Técnicas'!$C$10:$L$644,,1)=J59),--(INDEX('Tablas Técnicas'!$C$10:$L$644,,2)=J69),INDEX('Tablas Técnicas'!$C$10:$L$644,,9))))</f>
        <v/>
      </c>
      <c r="P69" s="5926"/>
      <c r="Q69" s="5927"/>
      <c r="R69" s="5927"/>
      <c r="S69" s="5927"/>
      <c r="T69" s="5927"/>
      <c r="U69" s="1732" t="str">
        <f>IF(OR(P59="",P69=""),"",MAX(1,SUMPRODUCT(--(INDEX('Tablas Técnicas'!$C$10:$L$644,,1)=P59),--(INDEX('Tablas Técnicas'!$C$10:$L$644,,2)=P69),INDEX('Tablas Técnicas'!$C$10:$L$644,,9))))</f>
        <v/>
      </c>
      <c r="V69" s="5926"/>
      <c r="W69" s="5927"/>
      <c r="X69" s="5927"/>
      <c r="Y69" s="5927"/>
      <c r="Z69" s="5927"/>
      <c r="AA69" s="1732" t="str">
        <f>IF(OR(V59="",V69=""),"",MAX(1,SUMPRODUCT(--(INDEX('Tablas Técnicas'!$C$10:$L$644,,1)=V59),--(INDEX('Tablas Técnicas'!$C$10:$L$644,,2)=V69),INDEX('Tablas Técnicas'!$C$10:$L$644,,9))))</f>
        <v/>
      </c>
      <c r="AB69" s="5926"/>
      <c r="AC69" s="5927"/>
      <c r="AD69" s="5927"/>
      <c r="AE69" s="5927"/>
      <c r="AF69" s="5927"/>
      <c r="AG69" s="1733" t="str">
        <f>IF(OR(AB59="",AB69=""),"",MAX(1,SUMPRODUCT(--(INDEX('Tablas Técnicas'!$C$10:$L$644,,1)=AB59),--(INDEX('Tablas Técnicas'!$C$10:$L$644,,2)=AB69),INDEX('Tablas Técnicas'!$C$10:$L$644,,9))))</f>
        <v/>
      </c>
      <c r="AH69" s="1943">
        <f>P46</f>
        <v>1</v>
      </c>
      <c r="AI69" s="6011"/>
      <c r="AJ69" s="3986" t="s">
        <v>8860</v>
      </c>
      <c r="AK69" s="3986"/>
      <c r="AL69" s="3986"/>
      <c r="AM69" s="3986" t="b">
        <f>AND(COUNTIF(K50:M54,"Mantenido"),OR(COUNTIF(K50:M54,"Sostenimiento Menor"),COUNTIF(K50:M54,"Sostenimiento Mayor")))</f>
        <v>0</v>
      </c>
      <c r="AN69" s="3987"/>
      <c r="AO69" s="3986"/>
      <c r="AP69" s="3986"/>
      <c r="AQ69" s="3986"/>
      <c r="AR69" s="3986"/>
      <c r="AS69" s="3986"/>
      <c r="AT69" s="3986"/>
      <c r="AU69" s="1868"/>
      <c r="AV69" s="1868"/>
      <c r="AW69" s="1868"/>
      <c r="AX69" s="1868"/>
      <c r="AY69" s="3986"/>
      <c r="AZ69" s="1868"/>
      <c r="BA69" s="1868"/>
      <c r="BB69" s="1868"/>
      <c r="BC69" s="1868"/>
      <c r="BD69" s="1868"/>
      <c r="BE69" s="1868"/>
      <c r="BF69" s="1868"/>
      <c r="BG69" s="1868"/>
      <c r="BH69" s="1868"/>
      <c r="BI69" s="1868"/>
      <c r="BJ69" s="1868"/>
      <c r="BK69" s="1868"/>
      <c r="BL69" s="1868"/>
      <c r="BM69" s="1868"/>
      <c r="BN69" s="1868"/>
      <c r="BO69" s="1868"/>
      <c r="BP69" s="1868"/>
      <c r="BQ69" s="1868"/>
      <c r="BR69" s="1868"/>
    </row>
    <row r="70" spans="1:70" ht="12.2" customHeight="1">
      <c r="A70" s="1935"/>
      <c r="B70" s="1866">
        <f t="shared" si="0"/>
        <v>2</v>
      </c>
      <c r="C70" s="6009"/>
      <c r="D70" s="5873" t="s">
        <v>1408</v>
      </c>
      <c r="E70" s="5874"/>
      <c r="F70" s="5874"/>
      <c r="G70" s="5874"/>
      <c r="H70" s="5874"/>
      <c r="I70" s="5874"/>
      <c r="J70" s="5874"/>
      <c r="K70" s="5874"/>
      <c r="L70" s="5874"/>
      <c r="M70" s="5874"/>
      <c r="N70" s="5874"/>
      <c r="O70" s="5874"/>
      <c r="P70" s="5874"/>
      <c r="Q70" s="5874"/>
      <c r="R70" s="5874"/>
      <c r="S70" s="5874"/>
      <c r="T70" s="5874"/>
      <c r="U70" s="5874"/>
      <c r="V70" s="5874"/>
      <c r="W70" s="5874"/>
      <c r="X70" s="5874"/>
      <c r="Y70" s="5874"/>
      <c r="Z70" s="5874"/>
      <c r="AA70" s="5874"/>
      <c r="AB70" s="5874"/>
      <c r="AC70" s="5874"/>
      <c r="AD70" s="5874"/>
      <c r="AE70" s="5874"/>
      <c r="AF70" s="5874"/>
      <c r="AG70" s="5875"/>
      <c r="AH70" s="1943"/>
      <c r="AI70" s="6011"/>
      <c r="AJ70" s="3986" t="s">
        <v>8859</v>
      </c>
      <c r="AK70" s="3986"/>
      <c r="AL70" s="3986"/>
      <c r="AM70" s="3986" t="b">
        <f>OR(AND(ISNUMBER(SEARCH("Sostenimiento",K50)),OR(P46=1,MAX(I63:I69)=3)),AND(ISNUMBER(SEARCH("Sostenimiento",K51)),OR(P46=1,MAX(O63:O69)=3)),AND(ISNUMBER(SEARCH("Sostenimiento",K52)),OR(P46=1,MAX(U63:U69)=3)),AND(ISNUMBER(SEARCH("Sostenimiento",K53)),OR(P46=1,MAX(AA63:AA69)=3)),AND(ISNUMBER(SEARCH("Sostenimiento",K54)),OR(P46=1,MAX(AG63:AG69)=3)))</f>
        <v>0</v>
      </c>
      <c r="AN70" s="3986"/>
      <c r="AO70" s="3986"/>
      <c r="AP70" s="3986"/>
      <c r="AQ70" s="3987"/>
      <c r="AR70" s="3986"/>
      <c r="AS70" s="3986"/>
      <c r="AT70" s="3986"/>
      <c r="AU70" s="1868"/>
      <c r="AV70" s="1868"/>
      <c r="AW70" s="1868"/>
      <c r="AX70" s="1868"/>
      <c r="AY70" s="3986"/>
      <c r="AZ70" s="1868"/>
      <c r="BA70" s="1868"/>
      <c r="BB70" s="1868"/>
      <c r="BC70" s="1868"/>
      <c r="BD70" s="1868"/>
      <c r="BE70" s="1868"/>
      <c r="BF70" s="1868"/>
      <c r="BG70" s="1868"/>
      <c r="BH70" s="1868"/>
      <c r="BI70" s="1868"/>
      <c r="BJ70" s="1868"/>
      <c r="BK70" s="1868"/>
      <c r="BL70" s="1868"/>
      <c r="BM70" s="1868"/>
      <c r="BN70" s="1868"/>
      <c r="BO70" s="1868"/>
      <c r="BP70" s="1868"/>
      <c r="BQ70" s="1868"/>
      <c r="BR70" s="1868"/>
    </row>
    <row r="71" spans="1:70" ht="12.2" customHeight="1">
      <c r="A71" s="1935"/>
      <c r="B71" s="1866">
        <f t="shared" si="0"/>
        <v>2</v>
      </c>
      <c r="C71" s="6009"/>
      <c r="D71" s="5868"/>
      <c r="E71" s="5869"/>
      <c r="F71" s="5869"/>
      <c r="G71" s="5869"/>
      <c r="H71" s="5869"/>
      <c r="I71" s="5869"/>
      <c r="J71" s="5869"/>
      <c r="K71" s="5869"/>
      <c r="L71" s="5869"/>
      <c r="M71" s="5869"/>
      <c r="N71" s="5869"/>
      <c r="O71" s="5869"/>
      <c r="P71" s="5869"/>
      <c r="Q71" s="5869"/>
      <c r="R71" s="5869"/>
      <c r="S71" s="5869"/>
      <c r="T71" s="5869"/>
      <c r="U71" s="5869"/>
      <c r="V71" s="5869"/>
      <c r="W71" s="5869"/>
      <c r="X71" s="5869"/>
      <c r="Y71" s="5869"/>
      <c r="Z71" s="5869"/>
      <c r="AA71" s="5869"/>
      <c r="AB71" s="5869"/>
      <c r="AC71" s="5869"/>
      <c r="AD71" s="5869"/>
      <c r="AE71" s="5869"/>
      <c r="AF71" s="5869"/>
      <c r="AG71" s="5870"/>
      <c r="AH71" s="1943"/>
      <c r="AI71" s="6011"/>
      <c r="AJ71" s="3986" t="s">
        <v>8867</v>
      </c>
      <c r="AK71" s="3986"/>
      <c r="AL71" s="3986"/>
      <c r="AM71" s="398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986"/>
      <c r="AO71" s="3986"/>
      <c r="AP71" s="3986"/>
      <c r="AQ71" s="3987"/>
      <c r="AR71" s="3986"/>
      <c r="AS71" s="3986"/>
      <c r="AT71" s="3986"/>
      <c r="AU71" s="1868"/>
      <c r="AV71" s="1868"/>
      <c r="AW71" s="1868"/>
      <c r="AX71" s="1868"/>
      <c r="AY71" s="3986"/>
      <c r="AZ71" s="1868"/>
      <c r="BA71" s="1868"/>
      <c r="BB71" s="1868"/>
      <c r="BC71" s="1868"/>
      <c r="BD71" s="1868"/>
      <c r="BE71" s="1868"/>
      <c r="BF71" s="1868"/>
      <c r="BG71" s="1868"/>
      <c r="BH71" s="1868"/>
      <c r="BI71" s="1868"/>
      <c r="BJ71" s="1868"/>
      <c r="BK71" s="1868"/>
      <c r="BL71" s="1868"/>
      <c r="BM71" s="1868"/>
      <c r="BN71" s="1868"/>
      <c r="BO71" s="1868"/>
      <c r="BP71" s="1868"/>
      <c r="BQ71" s="1868"/>
      <c r="BR71" s="1868"/>
    </row>
    <row r="72" spans="1:70" ht="12.2" customHeight="1">
      <c r="A72" s="1935"/>
      <c r="B72" s="1866">
        <f t="shared" si="0"/>
        <v>2</v>
      </c>
      <c r="C72" s="6009"/>
      <c r="D72" s="5868"/>
      <c r="E72" s="5869"/>
      <c r="F72" s="5869"/>
      <c r="G72" s="5869"/>
      <c r="H72" s="5869"/>
      <c r="I72" s="5869"/>
      <c r="J72" s="5869"/>
      <c r="K72" s="5869"/>
      <c r="L72" s="5869"/>
      <c r="M72" s="5869"/>
      <c r="N72" s="5869"/>
      <c r="O72" s="5869"/>
      <c r="P72" s="5869"/>
      <c r="Q72" s="5869"/>
      <c r="R72" s="5869"/>
      <c r="S72" s="5869"/>
      <c r="T72" s="5869"/>
      <c r="U72" s="5869"/>
      <c r="V72" s="5869"/>
      <c r="W72" s="5869"/>
      <c r="X72" s="5869"/>
      <c r="Y72" s="5869"/>
      <c r="Z72" s="5869"/>
      <c r="AA72" s="5869"/>
      <c r="AB72" s="5869"/>
      <c r="AC72" s="5869"/>
      <c r="AD72" s="5869"/>
      <c r="AE72" s="5869"/>
      <c r="AF72" s="5869"/>
      <c r="AG72" s="5870"/>
      <c r="AH72" s="1943"/>
      <c r="AI72" s="6011"/>
      <c r="AJ72" s="3986" t="s">
        <v>8846</v>
      </c>
      <c r="AK72" s="3986"/>
      <c r="AL72" s="3986"/>
      <c r="AM72" s="3986" t="b">
        <f>AND((IF(SUM(V50:V54)&gt;0,1,0)+IF(SUM(X50:X54)&gt;0,1,0)+IF(SUM(Z50:Z54)&gt;0,1,0)+IF(SUM(AB50:AB54)&gt;0,1,0)+IF(SUM(AD50:AD54,)&gt;0,1,0)+IF(SUM(AF50:AF54)&gt;0,1,0))&lt;3,OR(V57&lt;0,X57&lt;0,Z57&lt;0,AB57&lt;0,AD57&lt;0,AF57&lt;0,Y55&lt;0))</f>
        <v>0</v>
      </c>
      <c r="AN72" s="3986"/>
      <c r="AO72" s="3986"/>
      <c r="AP72" s="3986"/>
      <c r="AQ72" s="3987"/>
      <c r="AR72" s="3986"/>
      <c r="AS72" s="3986"/>
      <c r="AT72" s="3986"/>
      <c r="AU72" s="1868"/>
      <c r="AV72" s="1868"/>
      <c r="AW72" s="1868"/>
      <c r="AX72" s="1868"/>
      <c r="AY72" s="3986"/>
      <c r="AZ72" s="1868"/>
      <c r="BA72" s="1868"/>
      <c r="BB72" s="1868"/>
      <c r="BC72" s="1868"/>
      <c r="BD72" s="1868"/>
      <c r="BE72" s="1868"/>
      <c r="BF72" s="1868"/>
      <c r="BG72" s="1868"/>
      <c r="BH72" s="1868"/>
      <c r="BI72" s="1868"/>
      <c r="BJ72" s="1868"/>
      <c r="BK72" s="1868"/>
      <c r="BL72" s="1868"/>
      <c r="BM72" s="1868"/>
      <c r="BN72" s="1868"/>
      <c r="BO72" s="1868"/>
      <c r="BP72" s="1868"/>
      <c r="BQ72" s="1868"/>
      <c r="BR72" s="1868"/>
    </row>
    <row r="73" spans="1:70" ht="12.2" customHeight="1">
      <c r="A73" s="1935"/>
      <c r="B73" s="1866">
        <f t="shared" si="0"/>
        <v>2</v>
      </c>
      <c r="C73" s="6009"/>
      <c r="D73" s="5868"/>
      <c r="E73" s="5869"/>
      <c r="F73" s="5869"/>
      <c r="G73" s="5869"/>
      <c r="H73" s="5869"/>
      <c r="I73" s="5869"/>
      <c r="J73" s="5869"/>
      <c r="K73" s="5869"/>
      <c r="L73" s="5869"/>
      <c r="M73" s="5869"/>
      <c r="N73" s="5869"/>
      <c r="O73" s="5869"/>
      <c r="P73" s="5869"/>
      <c r="Q73" s="5869"/>
      <c r="R73" s="5869"/>
      <c r="S73" s="5869"/>
      <c r="T73" s="5869"/>
      <c r="U73" s="5869"/>
      <c r="V73" s="5869"/>
      <c r="W73" s="5869"/>
      <c r="X73" s="5869"/>
      <c r="Y73" s="5869"/>
      <c r="Z73" s="5869"/>
      <c r="AA73" s="5869"/>
      <c r="AB73" s="5869"/>
      <c r="AC73" s="5869"/>
      <c r="AD73" s="5869"/>
      <c r="AE73" s="5869"/>
      <c r="AF73" s="5869"/>
      <c r="AG73" s="5870"/>
      <c r="AH73" s="1943"/>
      <c r="AI73" s="6011"/>
      <c r="AJ73" s="3986" t="s">
        <v>8861</v>
      </c>
      <c r="AK73" s="3986"/>
      <c r="AL73" s="3986"/>
      <c r="AM73" s="3986" t="b">
        <f>OR(-V57&gt;TRUNC(SUM(V50:V54)/2),-X57&gt;TRUNC(SUM(X50:X54)/2),-Z57&gt;TRUNC(SUM(Z50:Z54)/2),-AB57&gt;TRUNC(SUM(AB50:AB54)/2),-AD57&gt;TRUNC(SUM(AD50:AD54)/2),-AF57&gt;TRUNC(SUM(AF50:AF54)/2))</f>
        <v>0</v>
      </c>
      <c r="AN73" s="3986"/>
      <c r="AO73" s="3986"/>
      <c r="AP73" s="3986"/>
      <c r="AQ73" s="3987"/>
      <c r="AR73" s="3986"/>
      <c r="AS73" s="3986"/>
      <c r="AT73" s="3986"/>
      <c r="AU73" s="1868"/>
      <c r="AV73" s="1868"/>
      <c r="AW73" s="1868"/>
      <c r="AX73" s="1868"/>
      <c r="AY73" s="3986"/>
      <c r="AZ73" s="1868"/>
      <c r="BA73" s="1868"/>
      <c r="BB73" s="1868"/>
      <c r="BC73" s="1868"/>
      <c r="BD73" s="1868"/>
      <c r="BE73" s="1868"/>
      <c r="BF73" s="1868"/>
      <c r="BG73" s="1868"/>
      <c r="BH73" s="1868"/>
      <c r="BI73" s="1868"/>
      <c r="BJ73" s="1868"/>
      <c r="BK73" s="1868"/>
      <c r="BL73" s="1868"/>
      <c r="BM73" s="1868"/>
      <c r="BN73" s="1868"/>
      <c r="BO73" s="1868"/>
      <c r="BP73" s="1868"/>
      <c r="BQ73" s="1868"/>
      <c r="BR73" s="1868"/>
    </row>
    <row r="74" spans="1:70" ht="12.2" customHeight="1">
      <c r="A74" s="1935"/>
      <c r="B74" s="1866">
        <f t="shared" si="0"/>
        <v>2</v>
      </c>
      <c r="C74" s="6009"/>
      <c r="D74" s="5868"/>
      <c r="E74" s="5869"/>
      <c r="F74" s="5869"/>
      <c r="G74" s="5869"/>
      <c r="H74" s="5869"/>
      <c r="I74" s="5869"/>
      <c r="J74" s="5869"/>
      <c r="K74" s="5869"/>
      <c r="L74" s="5869"/>
      <c r="M74" s="5869"/>
      <c r="N74" s="5869"/>
      <c r="O74" s="5869"/>
      <c r="P74" s="5869"/>
      <c r="Q74" s="5869"/>
      <c r="R74" s="5869"/>
      <c r="S74" s="5869"/>
      <c r="T74" s="5869"/>
      <c r="U74" s="5869"/>
      <c r="V74" s="5869"/>
      <c r="W74" s="5869"/>
      <c r="X74" s="5869"/>
      <c r="Y74" s="5869"/>
      <c r="Z74" s="5869"/>
      <c r="AA74" s="5869"/>
      <c r="AB74" s="5869"/>
      <c r="AC74" s="5869"/>
      <c r="AD74" s="5869"/>
      <c r="AE74" s="5869"/>
      <c r="AF74" s="5869"/>
      <c r="AG74" s="5870"/>
      <c r="AH74" s="1943"/>
      <c r="AI74" s="6011"/>
      <c r="AJ74" s="3986" t="s">
        <v>8862</v>
      </c>
      <c r="AK74" s="3986"/>
      <c r="AL74" s="3986"/>
      <c r="AM74" s="3986" t="b">
        <f>COUNTIF(D50:E54,"Primario")&gt;1</f>
        <v>0</v>
      </c>
      <c r="AN74" s="3986"/>
      <c r="AO74" s="3986"/>
      <c r="AP74" s="3986"/>
      <c r="AQ74" s="3987"/>
      <c r="AR74" s="3987"/>
      <c r="AS74" s="3987"/>
      <c r="AT74" s="3987"/>
      <c r="AU74" s="1868"/>
      <c r="AV74" s="1868"/>
      <c r="AW74" s="1868"/>
      <c r="AX74" s="3986"/>
      <c r="AY74" s="3986"/>
      <c r="AZ74" s="1868"/>
      <c r="BA74" s="1868"/>
      <c r="BB74" s="1868"/>
      <c r="BC74" s="1868"/>
      <c r="BD74" s="1868"/>
      <c r="BE74" s="1868"/>
      <c r="BF74" s="1868"/>
      <c r="BG74" s="1868"/>
      <c r="BH74" s="1868"/>
      <c r="BI74" s="1868"/>
      <c r="BJ74" s="1868"/>
      <c r="BK74" s="1868"/>
      <c r="BL74" s="1868"/>
      <c r="BM74" s="1868"/>
      <c r="BN74" s="1868"/>
      <c r="BO74" s="1868"/>
      <c r="BP74" s="1868"/>
      <c r="BQ74" s="1868"/>
      <c r="BR74" s="1868"/>
    </row>
    <row r="75" spans="1:70" ht="12.2" customHeight="1">
      <c r="A75" s="1935"/>
      <c r="B75" s="1866">
        <f t="shared" si="0"/>
        <v>2</v>
      </c>
      <c r="C75" s="6009"/>
      <c r="D75" s="5868"/>
      <c r="E75" s="5869"/>
      <c r="F75" s="5869"/>
      <c r="G75" s="5869"/>
      <c r="H75" s="5869"/>
      <c r="I75" s="5869"/>
      <c r="J75" s="5869"/>
      <c r="K75" s="5869"/>
      <c r="L75" s="5869"/>
      <c r="M75" s="5869"/>
      <c r="N75" s="5869"/>
      <c r="O75" s="5869"/>
      <c r="P75" s="5869"/>
      <c r="Q75" s="5869"/>
      <c r="R75" s="5869"/>
      <c r="S75" s="5869"/>
      <c r="T75" s="5869"/>
      <c r="U75" s="5869"/>
      <c r="V75" s="5869"/>
      <c r="W75" s="5869"/>
      <c r="X75" s="5869"/>
      <c r="Y75" s="5869"/>
      <c r="Z75" s="5869"/>
      <c r="AA75" s="5869"/>
      <c r="AB75" s="5869"/>
      <c r="AC75" s="5869"/>
      <c r="AD75" s="5869"/>
      <c r="AE75" s="5869"/>
      <c r="AF75" s="5869"/>
      <c r="AG75" s="5870"/>
      <c r="AH75" s="1943"/>
      <c r="AI75" s="6011"/>
      <c r="AJ75" s="3986" t="s">
        <v>8845</v>
      </c>
      <c r="AK75" s="3986"/>
      <c r="AL75" s="3986"/>
      <c r="AM75" s="3986" t="b">
        <f>SUM(V57:AG57)&lt;&gt;Y55+ABS(AC55)*2/5+IF(S46="Sí",3*P46,0)</f>
        <v>0</v>
      </c>
      <c r="AN75" s="3986"/>
      <c r="AO75" s="3986"/>
      <c r="AP75" s="3986"/>
      <c r="AQ75" s="3987"/>
      <c r="AR75" s="3987"/>
      <c r="AS75" s="3987"/>
      <c r="AT75" s="3987"/>
      <c r="AU75" s="1868"/>
      <c r="AV75" s="1868"/>
      <c r="AW75" s="1868"/>
      <c r="AX75" s="3986"/>
      <c r="AY75" s="3986"/>
      <c r="AZ75" s="1868"/>
      <c r="BA75" s="1868"/>
      <c r="BB75" s="1868"/>
      <c r="BC75" s="1868"/>
      <c r="BD75" s="1868"/>
      <c r="BE75" s="1868"/>
      <c r="BF75" s="1868"/>
      <c r="BG75" s="1868"/>
      <c r="BH75" s="1868"/>
      <c r="BI75" s="1868"/>
      <c r="BJ75" s="1868"/>
      <c r="BK75" s="1868"/>
      <c r="BL75" s="1868"/>
      <c r="BM75" s="1868"/>
      <c r="BN75" s="1868"/>
      <c r="BO75" s="1868"/>
      <c r="BP75" s="1868"/>
      <c r="BQ75" s="1868"/>
      <c r="BR75" s="1868"/>
    </row>
    <row r="76" spans="1:70" ht="12.2" customHeight="1">
      <c r="A76" s="1935"/>
      <c r="B76" s="1866">
        <f t="shared" si="0"/>
        <v>2</v>
      </c>
      <c r="C76" s="6009"/>
      <c r="D76" s="5868"/>
      <c r="E76" s="5869"/>
      <c r="F76" s="5869"/>
      <c r="G76" s="5869"/>
      <c r="H76" s="5869"/>
      <c r="I76" s="5869"/>
      <c r="J76" s="5869"/>
      <c r="K76" s="5869"/>
      <c r="L76" s="5869"/>
      <c r="M76" s="5869"/>
      <c r="N76" s="5869"/>
      <c r="O76" s="5869"/>
      <c r="P76" s="5869"/>
      <c r="Q76" s="5869"/>
      <c r="R76" s="5869"/>
      <c r="S76" s="5869"/>
      <c r="T76" s="5869"/>
      <c r="U76" s="5869"/>
      <c r="V76" s="5869"/>
      <c r="W76" s="5869"/>
      <c r="X76" s="5869"/>
      <c r="Y76" s="5869"/>
      <c r="Z76" s="5869"/>
      <c r="AA76" s="5869"/>
      <c r="AB76" s="5869"/>
      <c r="AC76" s="5869"/>
      <c r="AD76" s="5869"/>
      <c r="AE76" s="5869"/>
      <c r="AF76" s="5869"/>
      <c r="AG76" s="5870"/>
      <c r="AH76" s="1943"/>
      <c r="AI76" s="6011"/>
      <c r="AJ76" s="3986" t="s">
        <v>8844</v>
      </c>
      <c r="AK76" s="3986"/>
      <c r="AL76" s="3986"/>
      <c r="AM76" s="3986" t="b">
        <f>AL63-AL64+AM63-AM64&lt;&gt;0</f>
        <v>0</v>
      </c>
      <c r="AN76" s="1868"/>
      <c r="AO76" s="1868"/>
      <c r="AP76" s="1868"/>
      <c r="AQ76" s="1868"/>
      <c r="AR76" s="3987"/>
      <c r="AS76" s="3987"/>
      <c r="AT76" s="3987"/>
      <c r="AU76" s="1868"/>
      <c r="AV76" s="1868"/>
      <c r="AW76" s="1868"/>
      <c r="AX76" s="3986"/>
      <c r="AY76" s="3986"/>
      <c r="AZ76" s="1868"/>
      <c r="BA76" s="1868"/>
      <c r="BB76" s="1868"/>
      <c r="BC76" s="1868"/>
      <c r="BD76" s="1868"/>
      <c r="BE76" s="1868"/>
      <c r="BF76" s="1868"/>
      <c r="BG76" s="1868"/>
      <c r="BH76" s="1868"/>
      <c r="BI76" s="1868"/>
      <c r="BJ76" s="1868"/>
      <c r="BK76" s="1868"/>
      <c r="BL76" s="1868"/>
      <c r="BM76" s="1868"/>
      <c r="BN76" s="1868"/>
      <c r="BO76" s="1868"/>
      <c r="BP76" s="1868"/>
      <c r="BQ76" s="1868"/>
      <c r="BR76" s="1868"/>
    </row>
    <row r="77" spans="1:70" ht="12.2" customHeight="1" thickBot="1">
      <c r="A77" s="1935"/>
      <c r="B77" s="1866"/>
      <c r="C77" s="6010"/>
      <c r="D77" s="601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6013"/>
      <c r="F77" s="6013"/>
      <c r="G77" s="6013"/>
      <c r="H77" s="6013"/>
      <c r="I77" s="6013"/>
      <c r="J77" s="6013"/>
      <c r="K77" s="6013"/>
      <c r="L77" s="6013"/>
      <c r="M77" s="6013"/>
      <c r="N77" s="6013"/>
      <c r="O77" s="6013"/>
      <c r="P77" s="6013"/>
      <c r="Q77" s="6013"/>
      <c r="R77" s="6013"/>
      <c r="S77" s="6013"/>
      <c r="T77" s="6013"/>
      <c r="U77" s="6013"/>
      <c r="V77" s="6013"/>
      <c r="W77" s="6013"/>
      <c r="X77" s="6013"/>
      <c r="Y77" s="6013"/>
      <c r="Z77" s="6013"/>
      <c r="AA77" s="6013"/>
      <c r="AB77" s="6013"/>
      <c r="AC77" s="6013"/>
      <c r="AD77" s="6013"/>
      <c r="AE77" s="6013"/>
      <c r="AF77" s="6013"/>
      <c r="AG77" s="6014"/>
      <c r="AH77" s="1943"/>
      <c r="AI77" s="6011"/>
      <c r="AJ77" s="3986" t="s">
        <v>8881</v>
      </c>
      <c r="AK77" s="1868"/>
      <c r="AL77" s="1868"/>
      <c r="AM77" s="1868" t="b">
        <f>ABS(SUM(N55:N57))&gt;(SUM(N50:N54)-10*Y55+AC55+IF(S46="Sí",10*P46,0)+IF(COUNTIF(K50:M54,"Mantenido")&gt;0,P46*10)+MAX(IF(COUNTIF(K50:M54,"Sostenimiento Menor")&gt;0,P46*20)+IF(COUNTIF(K50:M54,"Sostenimiento Mayor")&gt;0,P46*30)))/2</f>
        <v>0</v>
      </c>
      <c r="AN77" s="3986"/>
      <c r="AO77" s="3986"/>
      <c r="AP77" s="3986"/>
      <c r="AQ77" s="3986"/>
      <c r="AR77" s="3987"/>
      <c r="AS77" s="3987"/>
      <c r="AT77" s="3987"/>
      <c r="AU77" s="1868"/>
      <c r="AV77" s="1868"/>
      <c r="AW77" s="1868"/>
      <c r="AX77" s="3986"/>
      <c r="AY77" s="3986"/>
      <c r="AZ77" s="1868"/>
      <c r="BA77" s="1868"/>
      <c r="BB77" s="1868"/>
      <c r="BC77" s="1868"/>
      <c r="BD77" s="1868"/>
      <c r="BE77" s="1868"/>
      <c r="BF77" s="1868"/>
      <c r="BG77" s="1868"/>
      <c r="BH77" s="1868"/>
      <c r="BI77" s="1868"/>
      <c r="BJ77" s="1868"/>
      <c r="BK77" s="1868"/>
      <c r="BL77" s="1868"/>
      <c r="BM77" s="1868"/>
      <c r="BN77" s="1868"/>
      <c r="BO77" s="1868"/>
      <c r="BP77" s="1868"/>
      <c r="BQ77" s="1868"/>
      <c r="BR77" s="1868"/>
    </row>
    <row r="78" spans="1:70" ht="12.2" customHeight="1">
      <c r="A78" s="1935"/>
      <c r="B78" s="1866"/>
      <c r="C78" s="5912"/>
      <c r="D78" s="5912" t="str">
        <f>IFERROR(VLOOKUP(D59,'Tablas Técnicas'!$O$9:$T$88,2,FALSE),"")</f>
        <v/>
      </c>
      <c r="E78" s="5912"/>
      <c r="F78" s="5912"/>
      <c r="G78" s="5912"/>
      <c r="H78" s="5912"/>
      <c r="I78" s="5912"/>
      <c r="J78" s="5912" t="str">
        <f>IFERROR(VLOOKUP(J59,'Tablas Técnicas'!$O$9:$T$88,2,FALSE),"")</f>
        <v/>
      </c>
      <c r="K78" s="5912"/>
      <c r="L78" s="5912"/>
      <c r="M78" s="5912"/>
      <c r="N78" s="5912"/>
      <c r="O78" s="5912"/>
      <c r="P78" s="5912" t="str">
        <f>IFERROR(VLOOKUP(P59,'Tablas Técnicas'!$O$9:$T$88,2,FALSE),"")</f>
        <v/>
      </c>
      <c r="Q78" s="5912"/>
      <c r="R78" s="5912"/>
      <c r="S78" s="5912"/>
      <c r="T78" s="5912"/>
      <c r="U78" s="5912"/>
      <c r="V78" s="5912" t="str">
        <f>IFERROR(VLOOKUP(V59,'Tablas Técnicas'!$O$9:$T$88,2,FALSE),"")</f>
        <v/>
      </c>
      <c r="W78" s="5912"/>
      <c r="X78" s="5912"/>
      <c r="Y78" s="5912"/>
      <c r="Z78" s="5912"/>
      <c r="AA78" s="5912"/>
      <c r="AB78" s="5912" t="str">
        <f>IFERROR(VLOOKUP(AB59,'Tablas Técnicas'!$O$9:$T$88,2,FALSE),"")</f>
        <v/>
      </c>
      <c r="AC78" s="5912"/>
      <c r="AD78" s="5912"/>
      <c r="AE78" s="5912"/>
      <c r="AF78" s="5912"/>
      <c r="AG78" s="5912"/>
      <c r="AH78" s="1943"/>
      <c r="AI78" s="1712"/>
      <c r="AJ78" s="3986"/>
      <c r="AK78" s="3986"/>
      <c r="AL78" s="3986"/>
      <c r="AM78" s="3986"/>
      <c r="AN78" s="3986"/>
      <c r="AO78" s="3986"/>
      <c r="AP78" s="3986"/>
      <c r="AQ78" s="3986"/>
      <c r="AR78" s="3987"/>
      <c r="AS78" s="3987"/>
      <c r="AT78" s="3987"/>
      <c r="AU78" s="1868"/>
      <c r="AV78" s="1868"/>
      <c r="AW78" s="1868"/>
      <c r="AX78" s="1868"/>
      <c r="AY78" s="3986"/>
      <c r="AZ78" s="1868"/>
      <c r="BA78" s="1868"/>
      <c r="BB78" s="1868"/>
      <c r="BC78" s="1868"/>
      <c r="BD78" s="1868"/>
      <c r="BE78" s="1868"/>
      <c r="BF78" s="1868"/>
      <c r="BG78" s="1868"/>
      <c r="BH78" s="1868"/>
      <c r="BI78" s="1868"/>
      <c r="BJ78" s="1868"/>
      <c r="BK78" s="1868"/>
      <c r="BL78" s="1868"/>
      <c r="BM78" s="1868"/>
      <c r="BN78" s="1868"/>
      <c r="BO78" s="1868"/>
      <c r="BP78" s="1868"/>
      <c r="BQ78" s="1868"/>
      <c r="BR78" s="1868"/>
    </row>
    <row r="79" spans="1:70" ht="12.2" customHeight="1" thickBot="1">
      <c r="A79" s="1935"/>
      <c r="B79" s="1866"/>
      <c r="C79" s="5936"/>
      <c r="D79" s="2024"/>
      <c r="E79" s="1868"/>
      <c r="F79" s="1868"/>
      <c r="G79" s="1868"/>
      <c r="H79" s="1868"/>
      <c r="I79" s="1868"/>
      <c r="J79" s="1868"/>
      <c r="K79" s="1868"/>
      <c r="L79" s="1868"/>
      <c r="M79" s="1868"/>
      <c r="N79" s="1868"/>
      <c r="O79" s="1868"/>
      <c r="P79" s="1868"/>
      <c r="Q79" s="1868"/>
      <c r="R79" s="1868"/>
      <c r="S79" s="1868"/>
      <c r="T79" s="1868"/>
      <c r="U79" s="1868"/>
      <c r="V79" s="2025"/>
      <c r="W79" s="2025"/>
      <c r="X79" s="2025"/>
      <c r="Y79" s="2025"/>
      <c r="Z79" s="2025"/>
      <c r="AA79" s="2025"/>
      <c r="AB79" s="2025"/>
      <c r="AC79" s="2025"/>
      <c r="AD79" s="2025"/>
      <c r="AE79" s="2025"/>
      <c r="AF79" s="1868"/>
      <c r="AG79" s="1868"/>
      <c r="AH79" s="1943"/>
      <c r="AI79" s="1712"/>
      <c r="AJ79" s="3991"/>
      <c r="AK79" s="3991"/>
      <c r="AL79" s="3991"/>
      <c r="AM79" s="3991"/>
      <c r="AN79" s="3991"/>
      <c r="AO79" s="3991"/>
      <c r="AP79" s="3986"/>
      <c r="AQ79" s="3987"/>
      <c r="AR79" s="1868"/>
      <c r="AS79" s="1868"/>
      <c r="AT79" s="1868"/>
      <c r="AU79" s="1868"/>
      <c r="AV79" s="1868"/>
      <c r="AW79" s="1868"/>
      <c r="AX79" s="1868"/>
      <c r="AY79" s="3992"/>
      <c r="AZ79" s="1868"/>
      <c r="BA79" s="1868"/>
      <c r="BB79" s="1868"/>
      <c r="BC79" s="1868"/>
      <c r="BD79" s="1868"/>
      <c r="BE79" s="1868"/>
      <c r="BF79" s="1868"/>
      <c r="BG79" s="1868"/>
      <c r="BH79" s="1868"/>
      <c r="BI79" s="1868"/>
      <c r="BJ79" s="1868"/>
      <c r="BK79" s="1868"/>
      <c r="BL79" s="1868"/>
      <c r="BM79" s="1868"/>
      <c r="BN79" s="1868"/>
      <c r="BO79" s="1868"/>
      <c r="BP79" s="1868"/>
      <c r="BQ79" s="1868"/>
      <c r="BR79" s="1868"/>
    </row>
    <row r="80" spans="1:70" ht="12.2" customHeight="1">
      <c r="A80" s="1935"/>
      <c r="B80" s="1866">
        <f t="shared" ref="B80:B110" si="1">1+B46</f>
        <v>3</v>
      </c>
      <c r="C80" s="6008" t="str">
        <f>"Técnica "&amp;B80</f>
        <v>Técnica 3</v>
      </c>
      <c r="D80" s="5974" t="s">
        <v>8267</v>
      </c>
      <c r="E80" s="5975"/>
      <c r="F80" s="5975"/>
      <c r="G80" s="5975"/>
      <c r="H80" s="5975"/>
      <c r="I80" s="5975"/>
      <c r="J80" s="5975"/>
      <c r="K80" s="5975"/>
      <c r="L80" s="5975"/>
      <c r="M80" s="5975"/>
      <c r="N80" s="5976"/>
      <c r="O80" s="5971" t="s">
        <v>1186</v>
      </c>
      <c r="P80" s="5973">
        <v>1</v>
      </c>
      <c r="Q80" s="5916" t="s">
        <v>8350</v>
      </c>
      <c r="R80" s="5967"/>
      <c r="S80" s="5969" t="s">
        <v>1241</v>
      </c>
      <c r="T80" s="5917" t="s">
        <v>1365</v>
      </c>
      <c r="U80" s="5897">
        <f>MAX(IF(P80=3,60,IF(P80=2,40,20)),MIN(SUM(N84:N91)-10*Y89+AC89+IF(S80="Sí",10*P80,0)+IF(COUNTIF(K84:M88,"Mantenido")&gt;0,P80*10)+MAX(IF(COUNTIF(K118:M122,"Sostenimiento Menor"),20+IF(P114=2,0,10),IF(COUNTIF(K118:M122,"Sostenimiento Mayor"),30+IF(P114=2,0,10))))))</f>
        <v>20</v>
      </c>
      <c r="V80" s="5916" t="s">
        <v>8351</v>
      </c>
      <c r="W80" s="5917"/>
      <c r="X80" s="5920" t="str">
        <f>IFERROR(LEFT(AK96&amp;AL96&amp;AM96&amp;AN96&amp;AO96&amp;AP96,LEN(AK96&amp;AL96&amp;AM96&amp;AN96&amp;AO96&amp;AP96)-2),"")</f>
        <v/>
      </c>
      <c r="Y80" s="5920"/>
      <c r="Z80" s="5920"/>
      <c r="AA80" s="5920"/>
      <c r="AB80" s="5920"/>
      <c r="AC80" s="5920"/>
      <c r="AD80" s="5920"/>
      <c r="AE80" s="5920"/>
      <c r="AF80" s="5920"/>
      <c r="AG80" s="5921"/>
      <c r="AH80" s="1943"/>
      <c r="AI80" s="6011"/>
      <c r="AJ80" s="3989" t="s">
        <v>8878</v>
      </c>
      <c r="AK80" s="3989"/>
      <c r="AL80" s="3989"/>
      <c r="AM80" s="3989"/>
      <c r="AN80" s="3989"/>
      <c r="AO80" s="3989"/>
      <c r="AP80" s="3989"/>
      <c r="AQ80" s="3989"/>
      <c r="AR80" s="3989"/>
      <c r="AS80" s="3986"/>
      <c r="AT80" s="3986"/>
      <c r="AU80" s="3986"/>
      <c r="AV80" s="3986"/>
      <c r="AW80" s="1868"/>
      <c r="AX80" s="1868"/>
      <c r="AY80" s="3986"/>
      <c r="AZ80" s="1868"/>
      <c r="BA80" s="1868"/>
      <c r="BB80" s="1868"/>
      <c r="BC80" s="1868"/>
      <c r="BD80" s="1868"/>
      <c r="BE80" s="1868"/>
      <c r="BF80" s="1868"/>
      <c r="BG80" s="1868"/>
      <c r="BH80" s="1868"/>
      <c r="BI80" s="1868"/>
      <c r="BJ80" s="1868"/>
      <c r="BK80" s="1868"/>
      <c r="BL80" s="1868"/>
      <c r="BM80" s="1868"/>
      <c r="BN80" s="1868"/>
      <c r="BO80" s="1868"/>
      <c r="BP80" s="1868"/>
      <c r="BQ80" s="1868"/>
      <c r="BR80" s="1868"/>
    </row>
    <row r="81" spans="1:70" ht="12.2" customHeight="1">
      <c r="A81" s="1935"/>
      <c r="B81" s="1866">
        <f t="shared" si="1"/>
        <v>3</v>
      </c>
      <c r="C81" s="6009"/>
      <c r="D81" s="5977"/>
      <c r="E81" s="5992"/>
      <c r="F81" s="5992"/>
      <c r="G81" s="5992"/>
      <c r="H81" s="5992"/>
      <c r="I81" s="5992"/>
      <c r="J81" s="5992"/>
      <c r="K81" s="5992"/>
      <c r="L81" s="5992"/>
      <c r="M81" s="5992"/>
      <c r="N81" s="5993"/>
      <c r="O81" s="5972"/>
      <c r="P81" s="5970"/>
      <c r="Q81" s="5918"/>
      <c r="R81" s="5968"/>
      <c r="S81" s="5970"/>
      <c r="T81" s="5919"/>
      <c r="U81" s="5898"/>
      <c r="V81" s="5918"/>
      <c r="W81" s="5919"/>
      <c r="X81" s="5922"/>
      <c r="Y81" s="5922"/>
      <c r="Z81" s="5922"/>
      <c r="AA81" s="5922"/>
      <c r="AB81" s="5922"/>
      <c r="AC81" s="5922"/>
      <c r="AD81" s="5922"/>
      <c r="AE81" s="5922"/>
      <c r="AF81" s="5922"/>
      <c r="AG81" s="5923"/>
      <c r="AH81" s="1943"/>
      <c r="AI81" s="6011"/>
      <c r="AJ81" s="3989"/>
      <c r="AK81" s="3989" t="s">
        <v>8879</v>
      </c>
      <c r="AL81" s="3989" t="s">
        <v>12546</v>
      </c>
      <c r="AM81" s="3990"/>
      <c r="AN81" s="3990"/>
      <c r="AO81" s="3990"/>
      <c r="AP81" s="3990"/>
      <c r="AQ81" s="3990"/>
      <c r="AR81" s="3989"/>
      <c r="AS81" s="3986"/>
      <c r="AT81" s="3986"/>
      <c r="AU81" s="3986"/>
      <c r="AV81" s="3986"/>
      <c r="AW81" s="1868"/>
      <c r="AX81" s="5935" t="s">
        <v>8848</v>
      </c>
      <c r="AY81" s="5935"/>
      <c r="AZ81" s="1868"/>
      <c r="BA81" s="1868"/>
      <c r="BB81" s="1868"/>
      <c r="BC81" s="1868"/>
      <c r="BD81" s="1868"/>
      <c r="BE81" s="1868"/>
      <c r="BF81" s="1868"/>
      <c r="BG81" s="1868"/>
      <c r="BH81" s="1868"/>
      <c r="BI81" s="1868"/>
      <c r="BJ81" s="1868"/>
      <c r="BK81" s="1868"/>
      <c r="BL81" s="1868"/>
      <c r="BM81" s="1868"/>
      <c r="BN81" s="1868"/>
      <c r="BO81" s="1868"/>
      <c r="BP81" s="1868"/>
      <c r="BQ81" s="1868"/>
      <c r="BR81" s="1868"/>
    </row>
    <row r="82" spans="1:70" ht="12.2" customHeight="1">
      <c r="A82" s="1935"/>
      <c r="B82" s="1866">
        <f t="shared" si="1"/>
        <v>3</v>
      </c>
      <c r="C82" s="6009"/>
      <c r="D82" s="5873" t="s">
        <v>2662</v>
      </c>
      <c r="E82" s="5874"/>
      <c r="F82" s="5874"/>
      <c r="G82" s="5874"/>
      <c r="H82" s="5874"/>
      <c r="I82" s="5874"/>
      <c r="J82" s="5874"/>
      <c r="K82" s="5924" t="s">
        <v>9170</v>
      </c>
      <c r="L82" s="5924"/>
      <c r="M82" s="5924"/>
      <c r="N82" s="5874" t="s">
        <v>1359</v>
      </c>
      <c r="O82" s="5924" t="s">
        <v>2660</v>
      </c>
      <c r="P82" s="5924" t="s">
        <v>8352</v>
      </c>
      <c r="Q82" s="5874" t="s">
        <v>1224</v>
      </c>
      <c r="R82" s="5874"/>
      <c r="S82" s="5874"/>
      <c r="T82" s="5874"/>
      <c r="U82" s="5874"/>
      <c r="V82" s="5876" t="s">
        <v>1233</v>
      </c>
      <c r="W82" s="5855"/>
      <c r="X82" s="5876" t="s">
        <v>1357</v>
      </c>
      <c r="Y82" s="5980"/>
      <c r="Z82" s="5855" t="s">
        <v>1238</v>
      </c>
      <c r="AA82" s="5855"/>
      <c r="AB82" s="5876" t="s">
        <v>1243</v>
      </c>
      <c r="AC82" s="5980"/>
      <c r="AD82" s="5855" t="s">
        <v>1250</v>
      </c>
      <c r="AE82" s="5855"/>
      <c r="AF82" s="5876" t="s">
        <v>1251</v>
      </c>
      <c r="AG82" s="5856"/>
      <c r="AH82" s="1943"/>
      <c r="AI82" s="6011"/>
      <c r="AJ82" s="3986"/>
      <c r="AK82" s="3986"/>
      <c r="AL82" s="3986" t="s">
        <v>9149</v>
      </c>
      <c r="AM82" s="3986"/>
      <c r="AN82" s="3986"/>
      <c r="AO82" s="3986"/>
      <c r="AP82" s="3986"/>
      <c r="AQ82" s="3986"/>
      <c r="AR82" s="1868"/>
      <c r="AS82" s="1868" t="s">
        <v>8868</v>
      </c>
      <c r="AT82" s="1868" t="s">
        <v>8869</v>
      </c>
      <c r="AU82" s="3986" t="s">
        <v>8857</v>
      </c>
      <c r="AV82" s="3986" t="s">
        <v>8858</v>
      </c>
      <c r="AW82" s="1868" t="s">
        <v>1359</v>
      </c>
      <c r="AX82" s="1868" t="s">
        <v>8354</v>
      </c>
      <c r="AY82" s="3986" t="s">
        <v>8355</v>
      </c>
      <c r="AZ82" s="1868"/>
      <c r="BA82" s="1868"/>
      <c r="BB82" s="1868"/>
      <c r="BC82" s="1868"/>
      <c r="BD82" s="1868"/>
      <c r="BE82" s="1868"/>
      <c r="BF82" s="1868"/>
      <c r="BG82" s="1868"/>
      <c r="BH82" s="1868"/>
      <c r="BI82" s="1868"/>
      <c r="BJ82" s="1868"/>
      <c r="BK82" s="1868"/>
      <c r="BL82" s="1868"/>
      <c r="BM82" s="1868"/>
      <c r="BN82" s="1868"/>
      <c r="BO82" s="1868"/>
      <c r="BP82" s="1868"/>
      <c r="BQ82" s="1868"/>
      <c r="BR82" s="1868"/>
    </row>
    <row r="83" spans="1:70" ht="12.2" customHeight="1">
      <c r="A83" s="1935"/>
      <c r="B83" s="1866">
        <f t="shared" si="1"/>
        <v>3</v>
      </c>
      <c r="C83" s="6009"/>
      <c r="D83" s="5989"/>
      <c r="E83" s="5990"/>
      <c r="F83" s="5990"/>
      <c r="G83" s="5990"/>
      <c r="H83" s="5990"/>
      <c r="I83" s="5990"/>
      <c r="J83" s="5990"/>
      <c r="K83" s="5925"/>
      <c r="L83" s="5925"/>
      <c r="M83" s="5925"/>
      <c r="N83" s="5877"/>
      <c r="O83" s="5925"/>
      <c r="P83" s="5991"/>
      <c r="Q83" s="5877"/>
      <c r="R83" s="5877"/>
      <c r="S83" s="5877"/>
      <c r="T83" s="5877"/>
      <c r="U83" s="5877"/>
      <c r="V83" s="2167" t="s">
        <v>8847</v>
      </c>
      <c r="W83" s="2168" t="s">
        <v>2666</v>
      </c>
      <c r="X83" s="2167" t="s">
        <v>8847</v>
      </c>
      <c r="Y83" s="2168" t="s">
        <v>2666</v>
      </c>
      <c r="Z83" s="2167" t="s">
        <v>8847</v>
      </c>
      <c r="AA83" s="2168" t="s">
        <v>2666</v>
      </c>
      <c r="AB83" s="2167" t="s">
        <v>8847</v>
      </c>
      <c r="AC83" s="2168" t="s">
        <v>2666</v>
      </c>
      <c r="AD83" s="2167" t="s">
        <v>8847</v>
      </c>
      <c r="AE83" s="2168" t="s">
        <v>2666</v>
      </c>
      <c r="AF83" s="2167" t="s">
        <v>8847</v>
      </c>
      <c r="AG83" s="2169" t="s">
        <v>2666</v>
      </c>
      <c r="AH83" s="1943"/>
      <c r="AI83" s="6011"/>
      <c r="AJ83" s="3986"/>
      <c r="AK83" s="3986" t="s">
        <v>8849</v>
      </c>
      <c r="AL83" s="3986">
        <v>1</v>
      </c>
      <c r="AM83" s="3986">
        <v>2</v>
      </c>
      <c r="AN83" s="3986">
        <v>3</v>
      </c>
      <c r="AO83" s="3986">
        <v>4</v>
      </c>
      <c r="AP83" s="3986">
        <v>5</v>
      </c>
      <c r="AQ83" s="3986">
        <v>6</v>
      </c>
      <c r="AR83" s="3986">
        <v>7</v>
      </c>
      <c r="AS83" s="1868"/>
      <c r="AT83" s="3986" t="s">
        <v>8880</v>
      </c>
      <c r="AU83" s="1868"/>
      <c r="AV83" s="1868"/>
      <c r="AW83" s="1868" t="s">
        <v>8880</v>
      </c>
      <c r="AX83" s="1868"/>
      <c r="AY83" s="3986"/>
      <c r="AZ83" s="1868"/>
      <c r="BA83" s="1868"/>
      <c r="BB83" s="1868"/>
      <c r="BC83" s="1868"/>
      <c r="BD83" s="1868"/>
      <c r="BE83" s="1868"/>
      <c r="BF83" s="1868"/>
      <c r="BG83" s="1868"/>
      <c r="BH83" s="1868"/>
      <c r="BI83" s="1868"/>
      <c r="BJ83" s="1868"/>
      <c r="BK83" s="1868"/>
      <c r="BL83" s="1868"/>
      <c r="BM83" s="1868"/>
      <c r="BN83" s="1868"/>
      <c r="BO83" s="1868"/>
      <c r="BP83" s="1868"/>
      <c r="BQ83" s="1868"/>
      <c r="BR83" s="1868"/>
    </row>
    <row r="84" spans="1:70" ht="12.2" customHeight="1">
      <c r="A84" s="1935"/>
      <c r="B84" s="1866">
        <f t="shared" si="1"/>
        <v>3</v>
      </c>
      <c r="C84" s="6009"/>
      <c r="D84" s="5981" t="s">
        <v>8356</v>
      </c>
      <c r="E84" s="5982"/>
      <c r="F84" s="5929"/>
      <c r="G84" s="5930"/>
      <c r="H84" s="5930"/>
      <c r="I84" s="5930"/>
      <c r="J84" s="5931"/>
      <c r="K84" s="5932" t="s">
        <v>1315</v>
      </c>
      <c r="L84" s="5933"/>
      <c r="M84" s="5934"/>
      <c r="N84" s="1871">
        <f>IF(AW84&gt;0,IF(VLOOKUP(F84,'Tablas Técnicas'!$O$9:$X$88,10,0),MAX(5,AW84-5),AW84),0)</f>
        <v>0</v>
      </c>
      <c r="O84" s="1871" t="str">
        <f>AS84&amp;" / "&amp;AT84</f>
        <v>0 / 0</v>
      </c>
      <c r="P84" s="1871" t="str">
        <f t="array" ref="P84">W84+Y84+AA84+AC84+AE84+AG84&amp;" / "&amp;IF(K84&lt;&gt;"Mantenido",0,SUM(IF($AL84:$AR84='Tablas Técnicas'!$L$10:$L$644,'Tablas Técnicas'!$H$10:$H$644,0)))</f>
        <v>0 / 0</v>
      </c>
      <c r="Q84" s="5983" t="str">
        <f>IFERROR(VLOOKUP(F84,'Tablas Técnicas'!$O$9:$T$88,5,FALSE),"")</f>
        <v/>
      </c>
      <c r="R84" s="5983"/>
      <c r="S84" s="5983"/>
      <c r="T84" s="5983"/>
      <c r="U84" s="5983"/>
      <c r="V84" s="1822"/>
      <c r="W84" s="1823"/>
      <c r="X84" s="1822"/>
      <c r="Y84" s="1824"/>
      <c r="Z84" s="1825"/>
      <c r="AA84" s="1823"/>
      <c r="AB84" s="1822"/>
      <c r="AC84" s="1824"/>
      <c r="AD84" s="1825"/>
      <c r="AE84" s="1823"/>
      <c r="AF84" s="1822"/>
      <c r="AG84" s="1826"/>
      <c r="AH84" s="1943"/>
      <c r="AI84" s="6011"/>
      <c r="AJ84" s="3986">
        <v>1</v>
      </c>
      <c r="AK84" s="3986">
        <f>P80</f>
        <v>1</v>
      </c>
      <c r="AL84" s="3986" t="str">
        <f>IF(AND(ISNUMBER(MATCH($F84,'Tablas Técnicas'!$L$10:$L$644,0)),INDEX($D97:$D103,Tablas!A$1)="",COUNTIF(AM84:$AS84,$F84)=0),$F84,IF(INDEX($D97:$D103,Tablas!A$1)="","",$F84&amp;INDEX($D97:$D103,Tablas!A$1)))</f>
        <v/>
      </c>
      <c r="AM84" s="3986" t="str">
        <f>IF(AND(ISNUMBER(MATCH($F84,'Tablas Técnicas'!$L$10:$L$644,0)),INDEX($D97:$D103,Tablas!B$1)="",COUNTIF(AN84:$AS84,$F84)=0),$F84,IF(INDEX($D97:$D103,Tablas!B$1)="","",$F84&amp;INDEX($D97:$D103,Tablas!B$1)))</f>
        <v/>
      </c>
      <c r="AN84" s="3986" t="str">
        <f>IF(AND(ISNUMBER(MATCH($F84,'Tablas Técnicas'!$L$10:$L$644,0)),INDEX($D97:$D103,Tablas!C$1)="",COUNTIF(AO84:$AS84,$F84)=0),$F84,IF(INDEX($D97:$D103,Tablas!C$1)="","",$F84&amp;INDEX($D97:$D103,Tablas!C$1)))</f>
        <v/>
      </c>
      <c r="AO84" s="3986" t="str">
        <f>IF(AND(ISNUMBER(MATCH($F84,'Tablas Técnicas'!$L$10:$L$644,0)),INDEX($D97:$D103,Tablas!D$1)="",COUNTIF(AP84:$AS84,$F84)=0),$F84,IF(INDEX($D97:$D103,Tablas!D$1)="","",$F84&amp;INDEX($D97:$D103,Tablas!D$1)))</f>
        <v/>
      </c>
      <c r="AP84" s="3986" t="str">
        <f>IF(AND(ISNUMBER(MATCH($F84,'Tablas Técnicas'!$L$10:$L$644,0)),INDEX($D97:$D103,Tablas!E$1)="",COUNTIF(AQ84:$AS84,$F84)=0),$F84,IF(INDEX($D97:$D103,Tablas!E$1)="","",$F84&amp;INDEX($D97:$D103,Tablas!E$1)))</f>
        <v/>
      </c>
      <c r="AQ84" s="3986" t="str">
        <f>IF(AND(ISNUMBER(MATCH($F84,'Tablas Técnicas'!$L$10:$L$644,0)),INDEX($D97:$D103,Tablas!F$1)="",COUNTIF(AR84:$AS84,$F84)=0),$F84,IF(INDEX($D97:$D103,Tablas!F$1)="","",$F84&amp;INDEX($D97:$D103,Tablas!F$1)))</f>
        <v/>
      </c>
      <c r="AR84" s="3986" t="str">
        <f>IF(AND(ISNUMBER(MATCH($F84,'Tablas Técnicas'!$L$10:$L$644,0)),INDEX($D97:$D103,Tablas!G$1)="",COUNTIF(AS84:$AS84,$F84)=0),$F84,IF(INDEX($D97:$D103,Tablas!G$1)="","",$F84&amp;INDEX($D97:$D103,Tablas!G$1)))</f>
        <v/>
      </c>
      <c r="AS84" s="1868">
        <f>V84+X84+Z84+AB84+AD84+AF84</f>
        <v>0</v>
      </c>
      <c r="AT84" s="1868">
        <f t="array" ref="AT84">SUM(IF($AL84:$AR84='Tablas Técnicas'!$L$10:$L$644,IF(D84="Primario",'Tablas Técnicas'!$E$10:$E$644,'Tablas Técnicas'!$F$10:$F$644)+IF(K84="Sostenimiento menor",'Tablas Técnicas'!$I$10:$I$644,IF(K84="sostenimiento mayor",'Tablas Técnicas'!$J$10:$J$644,0)),0),0)+VALUE(RIGHT(P84,2))+AU84+AV84</f>
        <v>0</v>
      </c>
      <c r="AU84" s="1868">
        <f>IFERROR(IF(V84=0,0,VALUE(MID(Q84,SEARCH("AGI",Q84)+4,1))),0)+IFERROR(IF(X84=0,0,VALUE(MID(Q84,SEARCH("CON",Q84)+4,1))),0)+IFERROR(IF(Z84=0,0,VALUE(MID(Q84,SEARCH("DES",Q84)+4,1))),0)+IFERROR(IF(AB84=0,0,VALUE(MID(Q84,SEARCH("FUE",Q84)+4,1))),0)+IFERROR(IF(AD84=0,0,VALUE(MID(Q84,SEARCH("POD",Q84)+4,1))),0)+IFERROR(IF(AF84=0,0,VALUE(MID(Q84,SEARCH("VOL",Q84)+4,1))),0)</f>
        <v>0</v>
      </c>
      <c r="AV84" s="1868">
        <f>(COUNTIF(AL84:AR84,"*Estado añadido:*")-1)*COUNTIF(AL84:AR84,"*Estado añadido:*")</f>
        <v>0</v>
      </c>
      <c r="AW84" s="1868">
        <f t="array" ref="AW84">SUM(IF($AL84:$AR84='Tablas Técnicas'!$L$10:$L$644,'Tablas Técnicas'!$G$10:$G$644,0))</f>
        <v>0</v>
      </c>
      <c r="AX84" s="3986" t="str">
        <f>IF(F84="","",F84&amp;" ("&amp;IF(AL84="","",SUBSTITUTE(AL84,F84,"")&amp;", ")&amp;IF(AM84="","",SUBSTITUTE(AM84,F84,"")&amp;", ")&amp;IF(AN84="","",SUBSTITUTE(AN84,F84,"")&amp;", ")&amp;IF(AO84="","",SUBSTITUTE(AO84,F84,"")&amp;", ")&amp;IF(AP84="","",SUBSTITUTE(AP84,F84,"")&amp;", ")&amp;IF(AQ84="","",SUBSTITUTE(AQ84,F84,"")&amp;", ")&amp;IF(AR84="","",SUBSTITUTE(AR84,F84,"")&amp;", ")&amp;IF(OR(K84="",K84="-"),"",K84&amp;", "))</f>
        <v/>
      </c>
      <c r="AY84" s="3986" t="str">
        <f>IFERROR(LEFT(AX84,LEN(AX84)-2)&amp;"), ","")</f>
        <v/>
      </c>
      <c r="AZ84" s="1868"/>
      <c r="BA84" s="1868"/>
      <c r="BB84" s="1868"/>
      <c r="BC84" s="1868"/>
      <c r="BD84" s="1868"/>
      <c r="BE84" s="1868"/>
      <c r="BF84" s="1868"/>
      <c r="BG84" s="1868"/>
      <c r="BH84" s="1868"/>
      <c r="BI84" s="1868"/>
      <c r="BJ84" s="1868"/>
      <c r="BK84" s="1868"/>
      <c r="BL84" s="1868"/>
      <c r="BM84" s="1868"/>
      <c r="BN84" s="1868"/>
      <c r="BO84" s="1868"/>
      <c r="BP84" s="1868"/>
      <c r="BQ84" s="1868"/>
      <c r="BR84" s="1868"/>
    </row>
    <row r="85" spans="1:70" ht="12.2" customHeight="1">
      <c r="A85" s="1935"/>
      <c r="B85" s="1866">
        <f t="shared" si="1"/>
        <v>3</v>
      </c>
      <c r="C85" s="6009"/>
      <c r="D85" s="5906" t="s">
        <v>483</v>
      </c>
      <c r="E85" s="5907"/>
      <c r="F85" s="5984"/>
      <c r="G85" s="5985"/>
      <c r="H85" s="5985"/>
      <c r="I85" s="5985"/>
      <c r="J85" s="5902"/>
      <c r="K85" s="5986" t="s">
        <v>1315</v>
      </c>
      <c r="L85" s="5987"/>
      <c r="M85" s="5988"/>
      <c r="N85" s="1716">
        <f>IF(AW85&gt;0,IF(VLOOKUP(F85,'Tablas Técnicas'!$O$9:$X$88,10,0),MAX(5,AW85-5),AW85),0)</f>
        <v>0</v>
      </c>
      <c r="O85" s="1716" t="str">
        <f>AS85&amp;" / "&amp;AT85</f>
        <v>0 / 0</v>
      </c>
      <c r="P85" s="1716" t="str">
        <f t="array" ref="P85">W85+Y85+AA85+AC85+AE85+AG85&amp;" / "&amp;IF(K85&lt;&gt;"Mantenido",0,SUM(IF($AL85:$AR85='Tablas Técnicas'!$L$10:$L$644,'Tablas Técnicas'!$H$10:$H$644,0)))</f>
        <v>0 / 0</v>
      </c>
      <c r="Q85" s="5908" t="str">
        <f>IFERROR(VLOOKUP(F85,'Tablas Técnicas'!$O$9:$T$88,5,FALSE),"")</f>
        <v/>
      </c>
      <c r="R85" s="5908"/>
      <c r="S85" s="5908"/>
      <c r="T85" s="5908"/>
      <c r="U85" s="5908"/>
      <c r="V85" s="1827"/>
      <c r="W85" s="1828"/>
      <c r="X85" s="1827"/>
      <c r="Y85" s="1829"/>
      <c r="Z85" s="1830"/>
      <c r="AA85" s="1828"/>
      <c r="AB85" s="1827"/>
      <c r="AC85" s="1829"/>
      <c r="AD85" s="1830"/>
      <c r="AE85" s="1828"/>
      <c r="AF85" s="1827"/>
      <c r="AG85" s="1831"/>
      <c r="AH85" s="1943"/>
      <c r="AI85" s="6011"/>
      <c r="AJ85" s="3986">
        <v>2</v>
      </c>
      <c r="AK85" s="3986">
        <f>P80</f>
        <v>1</v>
      </c>
      <c r="AL85" s="3986" t="str">
        <f>IF(AND(ISNUMBER(MATCH($F85,'Tablas Técnicas'!$L$10:$L$644,0)),INDEX($J97:$J103,Tablas!A$1)="",COUNTIF(AM85:$AS85,$F85)=0),$F85,IF(INDEX($J97:$J103,Tablas!A$1)="","",$F85&amp;INDEX($J97:$J103,Tablas!A$1)))</f>
        <v/>
      </c>
      <c r="AM85" s="3986" t="str">
        <f>IF(AND(ISNUMBER(MATCH($F85,'Tablas Técnicas'!$L$10:$L$644,0)),INDEX($J97:$J103,Tablas!B$1)="",COUNTIF(AN85:$AS85,$F85)=0),$F85,IF(INDEX($J97:$J103,Tablas!B$1)="","",$F85&amp;INDEX($J97:$J103,Tablas!B$1)))</f>
        <v/>
      </c>
      <c r="AN85" s="3986" t="str">
        <f>IF(AND(ISNUMBER(MATCH($F85,'Tablas Técnicas'!$L$10:$L$644,0)),INDEX($J97:$J103,Tablas!C$1)="",COUNTIF(AO85:$AS85,$F85)=0),$F85,IF(INDEX($J97:$J103,Tablas!C$1)="","",$F85&amp;INDEX($J97:$J103,Tablas!C$1)))</f>
        <v/>
      </c>
      <c r="AO85" s="3986" t="str">
        <f>IF(AND(ISNUMBER(MATCH($F85,'Tablas Técnicas'!$L$10:$L$644,0)),INDEX($J97:$J103,Tablas!D$1)="",COUNTIF(AP85:$AS85,$F85)=0),$F85,IF(INDEX($J97:$J103,Tablas!D$1)="","",$F85&amp;INDEX($J97:$J103,Tablas!D$1)))</f>
        <v/>
      </c>
      <c r="AP85" s="3986" t="str">
        <f>IF(AND(ISNUMBER(MATCH($F85,'Tablas Técnicas'!$L$10:$L$644,0)),INDEX($J97:$J103,Tablas!E$1)="",COUNTIF(AQ85:$AS85,$F85)=0),$F85,IF(INDEX($J97:$J103,Tablas!E$1)="","",$F85&amp;INDEX($J97:$J103,Tablas!E$1)))</f>
        <v/>
      </c>
      <c r="AQ85" s="3986" t="str">
        <f>IF(AND(ISNUMBER(MATCH($F85,'Tablas Técnicas'!$L$10:$L$644,0)),INDEX($J97:$J103,Tablas!F$1)="",COUNTIF(AR85:$AS85,$F85)=0),$F85,IF(INDEX($J97:$J103,Tablas!F$1)="","",$F85&amp;INDEX($J97:$J103,Tablas!F$1)))</f>
        <v/>
      </c>
      <c r="AR85" s="3986" t="str">
        <f>IF(AND(ISNUMBER(MATCH($F85,'Tablas Técnicas'!$L$10:$L$644,0)),INDEX($J97:$J103,Tablas!G$1)="",COUNTIF(AS85:$AS85,$F85)=0),$F85,IF(INDEX($J97:$J103,Tablas!G$1)="","",$F85&amp;INDEX($J97:$J103,Tablas!G$1)))</f>
        <v/>
      </c>
      <c r="AS85" s="1868">
        <f>V85+X85+Z85+AB85+AD85+AF85</f>
        <v>0</v>
      </c>
      <c r="AT85" s="1868">
        <f t="array" ref="AT85">SUM(IF($AL85:$AR85='Tablas Técnicas'!$L$10:$L$644,IF(D85="Primario",'Tablas Técnicas'!$E$10:$E$644,'Tablas Técnicas'!$F$10:$F$644)+IF(K85="Sostenimiento menor",'Tablas Técnicas'!$I$10:$I$644,IF(K85="sostenimiento mayor",'Tablas Técnicas'!$J$10:$J$644,0)),0),0)+VALUE(RIGHT(P85,2))+AU85+AV85</f>
        <v>0</v>
      </c>
      <c r="AU85" s="1868">
        <f>IFERROR(IF(V85=0,0,VALUE(MID(Q85,SEARCH("AGI",Q85)+4,1))),0)+IFERROR(IF(X85=0,0,VALUE(MID(Q85,SEARCH("CON",Q85)+4,1))),0)+IFERROR(IF(Z85=0,0,VALUE(MID(Q85,SEARCH("DES",Q85)+4,1))),0)+IFERROR(IF(AB85=0,0,VALUE(MID(Q85,SEARCH("FUE",Q85)+4,1))),0)+IFERROR(IF(AD85=0,0,VALUE(MID(Q85,SEARCH("POD",Q85)+4,1))),0)+IFERROR(IF(AF85=0,0,VALUE(MID(Q85,SEARCH("VOL",Q85)+4,1))),0)</f>
        <v>0</v>
      </c>
      <c r="AV85" s="1868">
        <f>(COUNTIF(AL85:AR85,"*Estado añadido:*")-1)*COUNTIF(AL85:AR85,"*Estado añadido:*")</f>
        <v>0</v>
      </c>
      <c r="AW85" s="1868">
        <f t="array" ref="AW85">SUM(IF($AL85:$AR85='Tablas Técnicas'!$L$10:$L$644,'Tablas Técnicas'!$G$10:$G$644,0))</f>
        <v>0</v>
      </c>
      <c r="AX85" s="3986" t="str">
        <f>IF(F85="","",F85&amp;" ("&amp;IF(AL85="","",SUBSTITUTE(AL85,F85,"")&amp;", ")&amp;IF(AM85="","",SUBSTITUTE(AM85,F85,"")&amp;", ")&amp;IF(AN85="","",SUBSTITUTE(AN85,F85,"")&amp;", ")&amp;IF(AO85="","",SUBSTITUTE(AO85,F85,"")&amp;", ")&amp;IF(AP85="","",SUBSTITUTE(AP85,F85,"")&amp;", ")&amp;IF(AQ85="","",SUBSTITUTE(AQ85,F85,"")&amp;", ")&amp;IF(AR85="","",SUBSTITUTE(AR85,F85,"")&amp;", ")&amp;IF(OR(K85="",K85="-"),"",K85&amp;", "))</f>
        <v/>
      </c>
      <c r="AY85" s="3986" t="str">
        <f>IFERROR(LEFT(AX85,LEN(AX85)-2)&amp;"), ","")</f>
        <v/>
      </c>
      <c r="AZ85" s="1868"/>
      <c r="BA85" s="1868"/>
      <c r="BB85" s="1868"/>
      <c r="BC85" s="1868"/>
      <c r="BD85" s="1868"/>
      <c r="BE85" s="1868"/>
      <c r="BF85" s="1868"/>
      <c r="BG85" s="1868"/>
      <c r="BH85" s="1868"/>
      <c r="BI85" s="1868"/>
      <c r="BJ85" s="1868"/>
      <c r="BK85" s="1868"/>
      <c r="BL85" s="1868"/>
      <c r="BM85" s="1868"/>
      <c r="BN85" s="1868"/>
      <c r="BO85" s="1868"/>
      <c r="BP85" s="1868"/>
      <c r="BQ85" s="1868"/>
      <c r="BR85" s="1868"/>
    </row>
    <row r="86" spans="1:70" ht="12.2" customHeight="1">
      <c r="A86" s="1935"/>
      <c r="B86" s="1866">
        <f t="shared" si="1"/>
        <v>3</v>
      </c>
      <c r="C86" s="6009"/>
      <c r="D86" s="6000" t="s">
        <v>483</v>
      </c>
      <c r="E86" s="6001"/>
      <c r="F86" s="5899"/>
      <c r="G86" s="5900"/>
      <c r="H86" s="5900"/>
      <c r="I86" s="5900"/>
      <c r="J86" s="5901"/>
      <c r="K86" s="5997" t="s">
        <v>1315</v>
      </c>
      <c r="L86" s="5998"/>
      <c r="M86" s="5999"/>
      <c r="N86" s="1712">
        <f>IF(AW86&gt;0,IF(VLOOKUP(F86,'Tablas Técnicas'!$O$9:$X$88,10,0),MAX(5,AW86-5),AW86),0)</f>
        <v>0</v>
      </c>
      <c r="O86" s="1712" t="str">
        <f>AS86&amp;" / "&amp;AT86</f>
        <v>0 / 0</v>
      </c>
      <c r="P86" s="1712" t="str">
        <f t="array" ref="P86">W86+Y86+AA86+AC86+AE86+AG86&amp;" / "&amp;IF(K86&lt;&gt;"Mantenido",0,SUM(IF($AL86:$AR86='Tablas Técnicas'!$L$10:$L$644,'Tablas Técnicas'!$H$10:$H$644,0)))</f>
        <v>0 / 0</v>
      </c>
      <c r="Q86" s="6002" t="str">
        <f>IFERROR(VLOOKUP(F86,'Tablas Técnicas'!$O$9:$T$88,5,FALSE),"")</f>
        <v/>
      </c>
      <c r="R86" s="6002"/>
      <c r="S86" s="6002"/>
      <c r="T86" s="6002"/>
      <c r="U86" s="6002"/>
      <c r="V86" s="1832"/>
      <c r="W86" s="1833"/>
      <c r="X86" s="1832"/>
      <c r="Y86" s="1834"/>
      <c r="Z86" s="1835"/>
      <c r="AA86" s="1833"/>
      <c r="AB86" s="1832"/>
      <c r="AC86" s="1834"/>
      <c r="AD86" s="1835"/>
      <c r="AE86" s="1833"/>
      <c r="AF86" s="1832"/>
      <c r="AG86" s="1836"/>
      <c r="AH86" s="1943"/>
      <c r="AI86" s="6011"/>
      <c r="AJ86" s="3986">
        <v>3</v>
      </c>
      <c r="AK86" s="3986">
        <f>P80</f>
        <v>1</v>
      </c>
      <c r="AL86" s="3986" t="str">
        <f>IF(AND(ISNUMBER(MATCH($F86,'Tablas Técnicas'!$L$10:$L$644,0)),INDEX($P97:$P103,Tablas!A$1)="",COUNTIF(AM86:$AS86,$F86)=0),$F86,IF(INDEX($P97:$P103,Tablas!A$1)="","",$F86&amp;INDEX($P97:$P103,Tablas!A$1)))</f>
        <v/>
      </c>
      <c r="AM86" s="3986" t="str">
        <f>IF(AND(ISNUMBER(MATCH($F86,'Tablas Técnicas'!$L$10:$L$644,0)),INDEX($P97:$P103,Tablas!B$1)="",COUNTIF(AN86:$AS86,$F86)=0),$F86,IF(INDEX($P97:$P103,Tablas!B$1)="","",$F86&amp;INDEX($P97:$P103,Tablas!B$1)))</f>
        <v/>
      </c>
      <c r="AN86" s="3986" t="str">
        <f>IF(AND(ISNUMBER(MATCH($F86,'Tablas Técnicas'!$L$10:$L$644,0)),INDEX($P97:$P103,Tablas!C$1)="",COUNTIF(AO86:$AS86,$F86)=0),$F86,IF(INDEX($P97:$P103,Tablas!C$1)="","",$F86&amp;INDEX($P97:$P103,Tablas!C$1)))</f>
        <v/>
      </c>
      <c r="AO86" s="3986" t="str">
        <f>IF(AND(ISNUMBER(MATCH($F86,'Tablas Técnicas'!$L$10:$L$644,0)),INDEX($P97:$P103,Tablas!D$1)="",COUNTIF(AP86:$AS86,$F86)=0),$F86,IF(INDEX($P97:$P103,Tablas!D$1)="","",$F86&amp;INDEX($P97:$P103,Tablas!D$1)))</f>
        <v/>
      </c>
      <c r="AP86" s="3986" t="str">
        <f>IF(AND(ISNUMBER(MATCH($F86,'Tablas Técnicas'!$L$10:$L$644,0)),INDEX($P97:$P103,Tablas!E$1)="",COUNTIF(AQ86:$AS86,$F86)=0),$F86,IF(INDEX($P97:$P103,Tablas!E$1)="","",$F86&amp;INDEX($P97:$P103,Tablas!E$1)))</f>
        <v/>
      </c>
      <c r="AQ86" s="3986" t="str">
        <f>IF(AND(ISNUMBER(MATCH($F86,'Tablas Técnicas'!$L$10:$L$644,0)),INDEX($P97:$P103,Tablas!F$1)="",COUNTIF(AR86:$AS86,$F86)=0),$F86,IF(INDEX($P97:$P103,Tablas!F$1)="","",$F86&amp;INDEX($P97:$P103,Tablas!F$1)))</f>
        <v/>
      </c>
      <c r="AR86" s="3986" t="str">
        <f>IF(AND(ISNUMBER(MATCH($F86,'Tablas Técnicas'!$L$10:$L$644,0)),INDEX($P97:$P103,Tablas!G$1)="",COUNTIF(AS86:$AS86,$F86)=0),$F86,IF(INDEX($P97:$P103,Tablas!G$1)="","",$F86&amp;INDEX($P97:$P103,Tablas!G$1)))</f>
        <v/>
      </c>
      <c r="AS86" s="1868">
        <f>V86+X86+Z86+AB86+AD86+AF86</f>
        <v>0</v>
      </c>
      <c r="AT86" s="1868">
        <f t="array" ref="AT86">SUM(IF($AL86:$AR86='Tablas Técnicas'!$L$10:$L$644,IF(D86="Primario",'Tablas Técnicas'!$E$10:$E$644,'Tablas Técnicas'!$F$10:$F$644)+IF(K86="Sostenimiento menor",'Tablas Técnicas'!$I$10:$I$644,IF(K86="sostenimiento mayor",'Tablas Técnicas'!$J$10:$J$644,0)),0),0)+VALUE(RIGHT(P86,2))+AU86+AV86</f>
        <v>0</v>
      </c>
      <c r="AU86" s="1868">
        <f>IFERROR(IF(V86=0,0,VALUE(MID(Q86,SEARCH("AGI",Q86)+4,1))),0)+IFERROR(IF(X86=0,0,VALUE(MID(Q86,SEARCH("CON",Q86)+4,1))),0)+IFERROR(IF(Z86=0,0,VALUE(MID(Q86,SEARCH("DES",Q86)+4,1))),0)+IFERROR(IF(AB86=0,0,VALUE(MID(Q86,SEARCH("FUE",Q86)+4,1))),0)+IFERROR(IF(AD86=0,0,VALUE(MID(Q86,SEARCH("POD",Q86)+4,1))),0)+IFERROR(IF(AF86=0,0,VALUE(MID(Q86,SEARCH("VOL",Q86)+4,1))),0)</f>
        <v>0</v>
      </c>
      <c r="AV86" s="1868">
        <f>(COUNTIF(AL86:AR86,"*Estado añadido:*")-1)*COUNTIF(AL86:AR86,"*Estado añadido:*")</f>
        <v>0</v>
      </c>
      <c r="AW86" s="1868">
        <f t="array" ref="AW86">SUM(IF($AL86:$AR86='Tablas Técnicas'!$L$10:$L$644,'Tablas Técnicas'!$G$10:$G$644,0))</f>
        <v>0</v>
      </c>
      <c r="AX86" s="3986" t="str">
        <f>IF(F86="","",F86&amp;" ("&amp;IF(AL86="","",SUBSTITUTE(AL86,F86,"")&amp;", ")&amp;IF(AM86="","",SUBSTITUTE(AM86,F86,"")&amp;", ")&amp;IF(AN86="","",SUBSTITUTE(AN86,F86,"")&amp;", ")&amp;IF(AO86="","",SUBSTITUTE(AO86,F86,"")&amp;", ")&amp;IF(AP86="","",SUBSTITUTE(AP86,F86,"")&amp;", ")&amp;IF(AQ86="","",SUBSTITUTE(AQ86,F86,"")&amp;", ")&amp;IF(AR86="","",SUBSTITUTE(AR86,F86,"")&amp;", ")&amp;IF(OR(K86="",K86="-"),"",K86&amp;", "))</f>
        <v/>
      </c>
      <c r="AY86" s="3986" t="str">
        <f>IFERROR(LEFT(AX86,LEN(AX86)-2)&amp;"), ","")</f>
        <v/>
      </c>
      <c r="AZ86" s="1868"/>
      <c r="BA86" s="1868"/>
      <c r="BB86" s="1868"/>
      <c r="BC86" s="1868"/>
      <c r="BD86" s="1868"/>
      <c r="BE86" s="1868"/>
      <c r="BF86" s="1868"/>
      <c r="BG86" s="1868"/>
      <c r="BH86" s="1868"/>
      <c r="BI86" s="1868"/>
      <c r="BJ86" s="1868"/>
      <c r="BK86" s="1868"/>
      <c r="BL86" s="1868"/>
      <c r="BM86" s="1868"/>
      <c r="BN86" s="1868"/>
      <c r="BO86" s="1868"/>
      <c r="BP86" s="1868"/>
      <c r="BQ86" s="1868"/>
      <c r="BR86" s="1868"/>
    </row>
    <row r="87" spans="1:70" ht="12.2" customHeight="1">
      <c r="A87" s="1935"/>
      <c r="B87" s="1866">
        <f t="shared" si="1"/>
        <v>3</v>
      </c>
      <c r="C87" s="6009"/>
      <c r="D87" s="5906" t="s">
        <v>483</v>
      </c>
      <c r="E87" s="5907"/>
      <c r="F87" s="5984"/>
      <c r="G87" s="5985"/>
      <c r="H87" s="5985"/>
      <c r="I87" s="5985"/>
      <c r="J87" s="5902"/>
      <c r="K87" s="5986" t="s">
        <v>1315</v>
      </c>
      <c r="L87" s="5987"/>
      <c r="M87" s="5988"/>
      <c r="N87" s="1716">
        <f>IF(AW87&gt;0,IF(VLOOKUP(F87,'Tablas Técnicas'!$O$9:$X$88,10,0),MAX(5,AW87-5),AW87),0)</f>
        <v>0</v>
      </c>
      <c r="O87" s="1716" t="str">
        <f>AS87&amp;" / "&amp;AT87</f>
        <v>0 / 0</v>
      </c>
      <c r="P87" s="1716" t="str">
        <f t="array" ref="P87">W87+Y87+AA87+AC87+AE87+AG87&amp;" / "&amp;IF(K87&lt;&gt;"Mantenido",0,SUM(IF($AL87:$AR87='Tablas Técnicas'!$L$10:$L$644,'Tablas Técnicas'!$H$10:$H$644,0)))</f>
        <v>0 / 0</v>
      </c>
      <c r="Q87" s="5908" t="str">
        <f>IFERROR(VLOOKUP(F87,'Tablas Técnicas'!$O$9:$T$88,5,FALSE),"")</f>
        <v/>
      </c>
      <c r="R87" s="5908"/>
      <c r="S87" s="5908"/>
      <c r="T87" s="5908"/>
      <c r="U87" s="5908"/>
      <c r="V87" s="1827"/>
      <c r="W87" s="1828"/>
      <c r="X87" s="1827"/>
      <c r="Y87" s="1829"/>
      <c r="Z87" s="1830"/>
      <c r="AA87" s="1828"/>
      <c r="AB87" s="1827"/>
      <c r="AC87" s="1829"/>
      <c r="AD87" s="1830"/>
      <c r="AE87" s="1828"/>
      <c r="AF87" s="1827"/>
      <c r="AG87" s="1831"/>
      <c r="AH87" s="1943"/>
      <c r="AI87" s="6011"/>
      <c r="AJ87" s="3986">
        <v>4</v>
      </c>
      <c r="AK87" s="3986">
        <f>P80</f>
        <v>1</v>
      </c>
      <c r="AL87" s="3986" t="str">
        <f>IF(AND(ISNUMBER(MATCH($F87,'Tablas Técnicas'!$L$10:$L$644,0)),INDEX($V97:$V103,Tablas!A$1)="",COUNTIF(AM87:$AS87,$F87)=0),$F87,IF(INDEX($V97:$V103,Tablas!A$1)="","",$F87&amp;INDEX($V97:$V103,Tablas!A$1)))</f>
        <v/>
      </c>
      <c r="AM87" s="3986" t="str">
        <f>IF(AND(ISNUMBER(MATCH($F87,'Tablas Técnicas'!$L$10:$L$644,0)),INDEX($V97:$V103,Tablas!B$1)="",COUNTIF(AN87:$AS87,$F87)=0),$F87,IF(INDEX($V97:$V103,Tablas!B$1)="","",$F87&amp;INDEX($V97:$V103,Tablas!B$1)))</f>
        <v/>
      </c>
      <c r="AN87" s="3986" t="str">
        <f>IF(AND(ISNUMBER(MATCH($F87,'Tablas Técnicas'!$L$10:$L$644,0)),INDEX($V97:$V103,Tablas!C$1)="",COUNTIF(AO87:$AS87,$F87)=0),$F87,IF(INDEX($V97:$V103,Tablas!C$1)="","",$F87&amp;INDEX($V97:$V103,Tablas!C$1)))</f>
        <v/>
      </c>
      <c r="AO87" s="3986" t="str">
        <f>IF(AND(ISNUMBER(MATCH($F87,'Tablas Técnicas'!$L$10:$L$644,0)),INDEX($V97:$V103,Tablas!D$1)="",COUNTIF(AP87:$AS87,$F87)=0),$F87,IF(INDEX($V97:$V103,Tablas!D$1)="","",$F87&amp;INDEX($V97:$V103,Tablas!D$1)))</f>
        <v/>
      </c>
      <c r="AP87" s="3986" t="str">
        <f>IF(AND(ISNUMBER(MATCH($F87,'Tablas Técnicas'!$L$10:$L$644,0)),INDEX($V97:$V103,Tablas!E$1)="",COUNTIF(AQ87:$AS87,$F87)=0),$F87,IF(INDEX($V97:$V103,Tablas!E$1)="","",$F87&amp;INDEX($V97:$V103,Tablas!E$1)))</f>
        <v/>
      </c>
      <c r="AQ87" s="3986" t="str">
        <f>IF(AND(ISNUMBER(MATCH($F87,'Tablas Técnicas'!$L$10:$L$644,0)),INDEX($V97:$V103,Tablas!F$1)="",COUNTIF(AR87:$AS87,$F87)=0),$F87,IF(INDEX($V97:$V103,Tablas!F$1)="","",$F87&amp;INDEX($V97:$V103,Tablas!F$1)))</f>
        <v/>
      </c>
      <c r="AR87" s="3986" t="str">
        <f>IF(AND(ISNUMBER(MATCH($F87,'Tablas Técnicas'!$L$10:$L$644,0)),INDEX($V97:$V103,Tablas!G$1)="",COUNTIF(AS87:$AS87,$F87)=0),$F87,IF(INDEX($V97:$V103,Tablas!G$1)="","",$F87&amp;INDEX($V97:$V103,Tablas!G$1)))</f>
        <v/>
      </c>
      <c r="AS87" s="1868">
        <f>V87+X87+Z87+AB87+AD87+AF87</f>
        <v>0</v>
      </c>
      <c r="AT87" s="1868">
        <f t="array" ref="AT87">SUM(IF($AL87:$AR87='Tablas Técnicas'!$L$10:$L$644,IF(D87="Primario",'Tablas Técnicas'!$E$10:$E$644,'Tablas Técnicas'!$F$10:$F$644)+IF(K87="Sostenimiento menor",'Tablas Técnicas'!$I$10:$I$644,IF(K87="sostenimiento mayor",'Tablas Técnicas'!$J$10:$J$644,0)),0),0)+VALUE(RIGHT(P87,2))+AU87+AV87</f>
        <v>0</v>
      </c>
      <c r="AU87" s="1868">
        <f>IFERROR(IF(V87=0,0,VALUE(MID(Q87,SEARCH("AGI",Q87)+4,1))),0)+IFERROR(IF(X87=0,0,VALUE(MID(Q87,SEARCH("CON",Q87)+4,1))),0)+IFERROR(IF(Z87=0,0,VALUE(MID(Q87,SEARCH("DES",Q87)+4,1))),0)+IFERROR(IF(AB87=0,0,VALUE(MID(Q87,SEARCH("FUE",Q87)+4,1))),0)+IFERROR(IF(AD87=0,0,VALUE(MID(Q87,SEARCH("POD",Q87)+4,1))),0)+IFERROR(IF(AF87=0,0,VALUE(MID(Q87,SEARCH("VOL",Q87)+4,1))),0)</f>
        <v>0</v>
      </c>
      <c r="AV87" s="1868">
        <f>(COUNTIF(AL87:AR87,"*Estado añadido:*")-1)*COUNTIF(AL87:AR87,"*Estado añadido:*")</f>
        <v>0</v>
      </c>
      <c r="AW87" s="1868">
        <f t="array" ref="AW87">SUM(IF($AL87:$AR87='Tablas Técnicas'!$L$10:$L$644,'Tablas Técnicas'!$G$10:$G$644,0))</f>
        <v>0</v>
      </c>
      <c r="AX87" s="3986" t="str">
        <f>IF(F87="","",F87&amp;" ("&amp;IF(AL87="","",SUBSTITUTE(AL87,F87,"")&amp;", ")&amp;IF(AM87="","",SUBSTITUTE(AM87,F87,"")&amp;", ")&amp;IF(AN87="","",SUBSTITUTE(AN87,F87,"")&amp;", ")&amp;IF(AO87="","",SUBSTITUTE(AO87,F87,"")&amp;", ")&amp;IF(AP87="","",SUBSTITUTE(AP87,F87,"")&amp;", ")&amp;IF(AQ87="","",SUBSTITUTE(AQ87,F87,"")&amp;", ")&amp;IF(AR87="","",SUBSTITUTE(AR87,F87,"")&amp;", ")&amp;IF(OR(K87="",K87="-"),"",K87&amp;", "))</f>
        <v/>
      </c>
      <c r="AY87" s="3986" t="str">
        <f>IFERROR(LEFT(AX87,LEN(AX87)-2)&amp;"), ","")</f>
        <v/>
      </c>
      <c r="AZ87" s="1868"/>
      <c r="BA87" s="1868"/>
      <c r="BB87" s="1868"/>
      <c r="BC87" s="1868"/>
      <c r="BD87" s="1868"/>
      <c r="BE87" s="1868"/>
      <c r="BF87" s="1868"/>
      <c r="BG87" s="1868"/>
      <c r="BH87" s="1868"/>
      <c r="BI87" s="1868"/>
      <c r="BJ87" s="1868"/>
      <c r="BK87" s="1868"/>
      <c r="BL87" s="1868"/>
      <c r="BM87" s="1868"/>
      <c r="BN87" s="1868"/>
      <c r="BO87" s="1868"/>
      <c r="BP87" s="1868"/>
      <c r="BQ87" s="1868"/>
      <c r="BR87" s="1868"/>
    </row>
    <row r="88" spans="1:70" ht="12.2" customHeight="1" thickBot="1">
      <c r="A88" s="1935"/>
      <c r="B88" s="1866">
        <f t="shared" si="1"/>
        <v>3</v>
      </c>
      <c r="C88" s="6009"/>
      <c r="D88" s="5909" t="s">
        <v>483</v>
      </c>
      <c r="E88" s="5910"/>
      <c r="F88" s="6005"/>
      <c r="G88" s="6006"/>
      <c r="H88" s="6006"/>
      <c r="I88" s="6006"/>
      <c r="J88" s="6007"/>
      <c r="K88" s="5994" t="s">
        <v>1315</v>
      </c>
      <c r="L88" s="5995"/>
      <c r="M88" s="5996"/>
      <c r="N88" s="2170">
        <f>IF(AW88&gt;0,IF(VLOOKUP(F88,'Tablas Técnicas'!$O$9:$X$88,10,0),MAX(5,AW88-5),AW88),0)</f>
        <v>0</v>
      </c>
      <c r="O88" s="2170" t="str">
        <f>AS88&amp;" / "&amp;AT88</f>
        <v>0 / 0</v>
      </c>
      <c r="P88" s="2170" t="str">
        <f t="array" ref="P88">W88+Y88+AA88+AC88+AE88+AG88&amp;" / "&amp;IF(K88&lt;&gt;"Mantenido",0,SUM(IF($AL88:$AR88='Tablas Técnicas'!$L$10:$L$644,'Tablas Técnicas'!$H$10:$H$644,0)))</f>
        <v>0 / 0</v>
      </c>
      <c r="Q88" s="5913" t="str">
        <f>IFERROR(VLOOKUP(F88,'Tablas Técnicas'!$O$9:$T$88,5,FALSE),"")</f>
        <v/>
      </c>
      <c r="R88" s="5913"/>
      <c r="S88" s="5913"/>
      <c r="T88" s="5913"/>
      <c r="U88" s="5913"/>
      <c r="V88" s="1837"/>
      <c r="W88" s="1838"/>
      <c r="X88" s="1837"/>
      <c r="Y88" s="1839"/>
      <c r="Z88" s="1840"/>
      <c r="AA88" s="1838"/>
      <c r="AB88" s="1837"/>
      <c r="AC88" s="1839"/>
      <c r="AD88" s="1840"/>
      <c r="AE88" s="1838"/>
      <c r="AF88" s="1837"/>
      <c r="AG88" s="1841"/>
      <c r="AH88" s="1943"/>
      <c r="AI88" s="6011"/>
      <c r="AJ88" s="3986">
        <v>5</v>
      </c>
      <c r="AK88" s="3986">
        <f>P80</f>
        <v>1</v>
      </c>
      <c r="AL88" s="3986" t="str">
        <f>IF(AND(ISNUMBER(MATCH($F88,'Tablas Técnicas'!$L$10:$L$644,0)),INDEX($AB97:$AB103,Tablas!A$1)="",COUNTIF(AM88:$AS88,$F88)=0),$F88,IF(INDEX($AB97:$AB103,Tablas!A$1)="","",$F88&amp;INDEX($AB97:$AB103,Tablas!A$1)))</f>
        <v/>
      </c>
      <c r="AM88" s="3986" t="str">
        <f>IF(AND(ISNUMBER(MATCH($F88,'Tablas Técnicas'!$L$10:$L$644,0)),INDEX($AB97:$AB103,Tablas!B$1)="",COUNTIF(AN88:$AS88,$F88)=0),$F88,IF(INDEX($AB97:$AB103,Tablas!B$1)="","",$F88&amp;INDEX($AB97:$AB103,Tablas!B$1)))</f>
        <v/>
      </c>
      <c r="AN88" s="3986" t="str">
        <f>IF(AND(ISNUMBER(MATCH($F88,'Tablas Técnicas'!$L$10:$L$644,0)),INDEX($AB97:$AB103,Tablas!C$1)="",COUNTIF(AO88:$AS88,$F88)=0),$F88,IF(INDEX($AB97:$AB103,Tablas!C$1)="","",$F88&amp;INDEX($AB97:$AB103,Tablas!C$1)))</f>
        <v/>
      </c>
      <c r="AO88" s="3986" t="str">
        <f>IF(AND(ISNUMBER(MATCH($F88,'Tablas Técnicas'!$L$10:$L$644,0)),INDEX($AB97:$AB103,Tablas!D$1)="",COUNTIF(AP88:$AS88,$F88)=0),$F88,IF(INDEX($AB97:$AB103,Tablas!D$1)="","",$F88&amp;INDEX($AB97:$AB103,Tablas!D$1)))</f>
        <v/>
      </c>
      <c r="AP88" s="3986" t="str">
        <f>IF(AND(ISNUMBER(MATCH($F88,'Tablas Técnicas'!$L$10:$L$644,0)),INDEX($AB97:$AB103,Tablas!E$1)="",COUNTIF(AQ88:$AS88,$F88)=0),$F88,IF(INDEX($AB97:$AB103,Tablas!E$1)="","",$F88&amp;INDEX($AB97:$AB103,Tablas!E$1)))</f>
        <v/>
      </c>
      <c r="AQ88" s="3986" t="str">
        <f>IF(AND(ISNUMBER(MATCH($F88,'Tablas Técnicas'!$L$10:$L$644,0)),INDEX($AB97:$AB103,Tablas!F$1)="",COUNTIF(AR88:$AS88,$F88)=0),$F88,IF(INDEX($AB97:$AB103,Tablas!F$1)="","",$F88&amp;INDEX($AB97:$AB103,Tablas!F$1)))</f>
        <v/>
      </c>
      <c r="AR88" s="3986" t="str">
        <f>IF(AND(ISNUMBER(MATCH($F88,'Tablas Técnicas'!$L$10:$L$644,0)),INDEX($AB97:$AB103,Tablas!G$1)="",COUNTIF(AS88:$AS88,$F88)=0),$F88,IF(INDEX($AB97:$AB103,Tablas!G$1)="","",$F88&amp;INDEX($AB97:$AB103,Tablas!G$1)))</f>
        <v/>
      </c>
      <c r="AS88" s="1868">
        <f>V88+X88+Z88+AB88+AD88+AF88</f>
        <v>0</v>
      </c>
      <c r="AT88" s="1868">
        <f t="array" ref="AT88">SUM(IF($AL88:$AR88='Tablas Técnicas'!$L$10:$L$644,IF(D88="Primario",'Tablas Técnicas'!$E$10:$E$644,'Tablas Técnicas'!$F$10:$F$644)+IF(K88="Sostenimiento menor",'Tablas Técnicas'!$I$10:$I$644,IF(K88="sostenimiento mayor",'Tablas Técnicas'!$J$10:$J$644,0)),0),0)+VALUE(RIGHT(P88,2))+AU88+AV88</f>
        <v>0</v>
      </c>
      <c r="AU88" s="1868">
        <f>IFERROR(IF(V88=0,0,VALUE(MID(Q88,SEARCH("AGI",Q88)+4,1))),0)+IFERROR(IF(X88=0,0,VALUE(MID(Q88,SEARCH("CON",Q88)+4,1))),0)+IFERROR(IF(Z88=0,0,VALUE(MID(Q88,SEARCH("DES",Q88)+4,1))),0)+IFERROR(IF(AB88=0,0,VALUE(MID(Q88,SEARCH("FUE",Q88)+4,1))),0)+IFERROR(IF(AD88=0,0,VALUE(MID(Q88,SEARCH("POD",Q88)+4,1))),0)+IFERROR(IF(AF88=0,0,VALUE(MID(Q88,SEARCH("VOL",Q88)+4,1))),0)</f>
        <v>0</v>
      </c>
      <c r="AV88" s="1868">
        <f>(COUNTIF(AL88:AR88,"*Estado añadido:*")-1)*COUNTIF(AL88:AR88,"*Estado añadido:*")</f>
        <v>0</v>
      </c>
      <c r="AW88" s="1868">
        <f t="array" ref="AW88">SUM(IF($AL88:$AR88='Tablas Técnicas'!$L$10:$L$644,'Tablas Técnicas'!$G$10:$G$644,0))</f>
        <v>0</v>
      </c>
      <c r="AX88" s="3986" t="str">
        <f>IF(F88="","",F88&amp;" ("&amp;IF(AL88="","",SUBSTITUTE(AL88,F88,"")&amp;", ")&amp;IF(AM88="","",SUBSTITUTE(AM88,F88,"")&amp;", ")&amp;IF(AN88="","",SUBSTITUTE(AN88,F88,"")&amp;", ")&amp;IF(AO88="","",SUBSTITUTE(AO88,F88,"")&amp;", ")&amp;IF(AP88="","",SUBSTITUTE(AP88,F88,"")&amp;", ")&amp;IF(AQ88="","",SUBSTITUTE(AQ88,F88,"")&amp;", ")&amp;IF(AR88="","",SUBSTITUTE(AR88,F88,"")&amp;", ")&amp;IF(OR(K88="",K88="-"),"",K88&amp;", "))</f>
        <v/>
      </c>
      <c r="AY88" s="3986" t="str">
        <f>IFERROR(LEFT(AX88,LEN(AX88)-2)&amp;"), ","")</f>
        <v/>
      </c>
      <c r="AZ88" s="1868"/>
      <c r="BA88" s="1868"/>
      <c r="BB88" s="1868"/>
      <c r="BC88" s="1868"/>
      <c r="BD88" s="1868"/>
      <c r="BE88" s="1868"/>
      <c r="BF88" s="1868"/>
      <c r="BG88" s="1868"/>
      <c r="BH88" s="1868"/>
      <c r="BI88" s="1868"/>
      <c r="BJ88" s="1868"/>
      <c r="BK88" s="1868"/>
      <c r="BL88" s="1868"/>
      <c r="BM88" s="1868"/>
      <c r="BN88" s="1868"/>
      <c r="BO88" s="1868"/>
      <c r="BP88" s="1868"/>
      <c r="BQ88" s="1868"/>
      <c r="BR88" s="1868"/>
    </row>
    <row r="89" spans="1:70" ht="12.2" customHeight="1">
      <c r="A89" s="1935"/>
      <c r="B89" s="1866">
        <f t="shared" si="1"/>
        <v>3</v>
      </c>
      <c r="C89" s="6009"/>
      <c r="D89" s="5961" t="s">
        <v>2657</v>
      </c>
      <c r="E89" s="5962"/>
      <c r="F89" s="5957"/>
      <c r="G89" s="5958"/>
      <c r="H89" s="5958"/>
      <c r="I89" s="5958"/>
      <c r="J89" s="5959"/>
      <c r="K89" s="5931"/>
      <c r="L89" s="5937"/>
      <c r="M89" s="5938"/>
      <c r="N89" s="4286" t="str">
        <f>IFERROR(INDEX('Tablas Técnicas'!$Q$152:$Q$267,MATCH(F89&amp;K89,'Tablas Técnicas'!$S$152:$S$267,0)),"")</f>
        <v/>
      </c>
      <c r="O89" s="5939"/>
      <c r="P89" s="5940"/>
      <c r="Q89" s="5941"/>
      <c r="R89" s="5940"/>
      <c r="S89" s="4287" t="str">
        <f>IFERROR("Nivel: "&amp;MAX(1,INDEX('Tablas Técnicas'!$R$152:$R$267,MATCH(F89&amp;K89,'Tablas Técnicas'!$S$152:$S$267,0))),"")</f>
        <v/>
      </c>
      <c r="T89" s="4288"/>
      <c r="U89" s="4289" t="str">
        <f>IFERROR("("&amp;VLOOKUP(F89,'Tablas Técnicas'!$O$117:$Q$146,3,FALSE)&amp;")","")</f>
        <v/>
      </c>
      <c r="V89" s="5857" t="s">
        <v>9159</v>
      </c>
      <c r="W89" s="5858"/>
      <c r="X89" s="5859"/>
      <c r="Y89" s="2171">
        <v>0</v>
      </c>
      <c r="Z89" s="5914" t="s">
        <v>8361</v>
      </c>
      <c r="AA89" s="5861"/>
      <c r="AB89" s="5862"/>
      <c r="AC89" s="2171">
        <v>0</v>
      </c>
      <c r="AD89" s="5915" t="str">
        <f>"Ki sin repartir: "&amp;AL97-AL98&amp;IF(AM97=0,""," ("&amp;AM97-AM98&amp;")")</f>
        <v>Ki sin repartir: 0</v>
      </c>
      <c r="AE89" s="5895"/>
      <c r="AF89" s="5895"/>
      <c r="AG89" s="5896"/>
      <c r="AH89" s="1943"/>
      <c r="AI89" s="6011"/>
      <c r="AJ89" s="3986">
        <v>1</v>
      </c>
      <c r="AK89" s="3986">
        <f>P80</f>
        <v>1</v>
      </c>
      <c r="AL89" s="3986" t="e">
        <f>VLOOKUP(F89,'Tablas Técnicas'!$O$117:$Q$146,2,FALSE)</f>
        <v>#N/A</v>
      </c>
      <c r="AM89" s="3986"/>
      <c r="AN89" s="3987"/>
      <c r="AO89" s="3986"/>
      <c r="AP89" s="3986"/>
      <c r="AQ89" s="3987"/>
      <c r="AR89" s="3986"/>
      <c r="AS89" s="3986"/>
      <c r="AT89" s="3986"/>
      <c r="AU89" s="3986"/>
      <c r="AV89" s="3986"/>
      <c r="AW89" s="1868"/>
      <c r="AX89" s="1868"/>
      <c r="AY89" s="3986" t="str">
        <f>IF(F89="","",F89&amp;IF(K89="",""," ("&amp;IF(F89="Atadura Elemental",O89&amp;IF(Q89="","",", "&amp;Q89),K89)&amp;")")&amp;", ")</f>
        <v/>
      </c>
      <c r="AZ89" s="1868"/>
      <c r="BA89" s="1868"/>
      <c r="BB89" s="1868"/>
      <c r="BC89" s="1868"/>
      <c r="BD89" s="1868"/>
      <c r="BE89" s="1868"/>
      <c r="BF89" s="1868"/>
      <c r="BG89" s="1868"/>
      <c r="BH89" s="1868"/>
      <c r="BI89" s="1868"/>
      <c r="BJ89" s="1868"/>
      <c r="BK89" s="1868"/>
      <c r="BL89" s="1868"/>
      <c r="BM89" s="1868"/>
      <c r="BN89" s="1868"/>
      <c r="BO89" s="1868"/>
      <c r="BP89" s="1868"/>
      <c r="BQ89" s="1868"/>
      <c r="BR89" s="1868"/>
    </row>
    <row r="90" spans="1:70" ht="12.2" customHeight="1">
      <c r="A90" s="1935"/>
      <c r="B90" s="1866">
        <f t="shared" si="1"/>
        <v>3</v>
      </c>
      <c r="C90" s="6009"/>
      <c r="D90" s="5963"/>
      <c r="E90" s="5964"/>
      <c r="F90" s="5942"/>
      <c r="G90" s="5943"/>
      <c r="H90" s="5943"/>
      <c r="I90" s="5943"/>
      <c r="J90" s="5944"/>
      <c r="K90" s="5902"/>
      <c r="L90" s="5903"/>
      <c r="M90" s="5904"/>
      <c r="N90" s="1720" t="str">
        <f>IFERROR(INDEX('Tablas Técnicas'!$Q$152:$Q$267,MATCH(F90&amp;K90,'Tablas Técnicas'!$S$152:$S$267,0)),"")</f>
        <v/>
      </c>
      <c r="O90" s="5945"/>
      <c r="P90" s="5946"/>
      <c r="Q90" s="5947"/>
      <c r="R90" s="5946"/>
      <c r="S90" s="1716" t="str">
        <f>IFERROR("Nivel: "&amp;MAX(1,INDEX('Tablas Técnicas'!$R$152:$R$267,MATCH(F90&amp;K90,'Tablas Técnicas'!$S$152:$S$267,0))),"")</f>
        <v/>
      </c>
      <c r="T90" s="2172"/>
      <c r="U90" s="1715" t="str">
        <f>IFERROR("("&amp;VLOOKUP(F90,'Tablas Técnicas'!$O$117:$Q$146,3,FALSE)&amp;")","")</f>
        <v/>
      </c>
      <c r="V90" s="5854" t="str">
        <f>"Mod. "&amp;V82</f>
        <v>Mod. AGI</v>
      </c>
      <c r="W90" s="5855"/>
      <c r="X90" s="5854" t="str">
        <f>"Mod. "&amp;X82</f>
        <v>Mod. CON</v>
      </c>
      <c r="Y90" s="5855"/>
      <c r="Z90" s="5854" t="str">
        <f>"Mod. "&amp;Z82</f>
        <v>Mod. DES</v>
      </c>
      <c r="AA90" s="5855"/>
      <c r="AB90" s="5854" t="str">
        <f>"Mod. "&amp;AB82</f>
        <v>Mod. FUE</v>
      </c>
      <c r="AC90" s="5855"/>
      <c r="AD90" s="5854" t="str">
        <f>"Mod. "&amp;AD82</f>
        <v>Mod. POD</v>
      </c>
      <c r="AE90" s="5855"/>
      <c r="AF90" s="5854" t="str">
        <f>"Mod. "&amp;AF82</f>
        <v>Mod. VOL</v>
      </c>
      <c r="AG90" s="5856"/>
      <c r="AH90" s="1943"/>
      <c r="AI90" s="6011"/>
      <c r="AJ90" s="3986">
        <v>2</v>
      </c>
      <c r="AK90" s="3986">
        <f>P80</f>
        <v>1</v>
      </c>
      <c r="AL90" s="3986" t="e">
        <f>VLOOKUP(F90,'Tablas Técnicas'!$O$117:$Q$146,2,FALSE)</f>
        <v>#N/A</v>
      </c>
      <c r="AM90" s="3986"/>
      <c r="AN90" s="3987"/>
      <c r="AO90" s="3986"/>
      <c r="AP90" s="3986"/>
      <c r="AQ90" s="3987"/>
      <c r="AR90" s="3986"/>
      <c r="AS90" s="3986"/>
      <c r="AT90" s="3986"/>
      <c r="AU90" s="3986"/>
      <c r="AV90" s="3986"/>
      <c r="AW90" s="1868"/>
      <c r="AX90" s="1868"/>
      <c r="AY90" s="3986" t="str">
        <f>IF(F90="","",F90&amp;IF(K90="",""," ("&amp;IF(F90="Atadura Elemental",O90&amp;IF(Q90="","",", "&amp;Q90),K90)&amp;")")&amp;", ")</f>
        <v/>
      </c>
      <c r="AZ90" s="1868"/>
      <c r="BA90" s="1868"/>
      <c r="BB90" s="1868"/>
      <c r="BC90" s="1868"/>
      <c r="BD90" s="1868"/>
      <c r="BE90" s="1868"/>
      <c r="BF90" s="1868"/>
      <c r="BG90" s="1868"/>
      <c r="BH90" s="1868"/>
      <c r="BI90" s="1868"/>
      <c r="BJ90" s="1868"/>
      <c r="BK90" s="1868"/>
      <c r="BL90" s="1868"/>
      <c r="BM90" s="1868"/>
      <c r="BN90" s="1868"/>
      <c r="BO90" s="1868"/>
      <c r="BP90" s="1868"/>
      <c r="BQ90" s="1868"/>
      <c r="BR90" s="1868"/>
    </row>
    <row r="91" spans="1:70" ht="12.2" customHeight="1" thickBot="1">
      <c r="A91" s="1935"/>
      <c r="B91" s="1866">
        <f t="shared" si="1"/>
        <v>3</v>
      </c>
      <c r="C91" s="6009"/>
      <c r="D91" s="6003"/>
      <c r="E91" s="6004"/>
      <c r="F91" s="5948"/>
      <c r="G91" s="5949"/>
      <c r="H91" s="5949"/>
      <c r="I91" s="5949"/>
      <c r="J91" s="5950"/>
      <c r="K91" s="5951"/>
      <c r="L91" s="5952"/>
      <c r="M91" s="5953"/>
      <c r="N91" s="4290" t="str">
        <f>IFERROR(INDEX('Tablas Técnicas'!$Q$152:$Q$267,MATCH(F91&amp;K91,'Tablas Técnicas'!$S$152:$S$267,0)),"")</f>
        <v/>
      </c>
      <c r="O91" s="5954"/>
      <c r="P91" s="5955"/>
      <c r="Q91" s="5956"/>
      <c r="R91" s="5955"/>
      <c r="S91" s="4291" t="str">
        <f>IFERROR("Nivel: "&amp;MAX(1,INDEX('Tablas Técnicas'!$R$152:$R$267,MATCH(F91&amp;K91,'Tablas Técnicas'!$S$152:$S$267,0))),"")</f>
        <v/>
      </c>
      <c r="T91" s="4292"/>
      <c r="U91" s="1807" t="str">
        <f>IFERROR("("&amp;VLOOKUP(F91,'Tablas Técnicas'!$O$117:$Q$146,3,FALSE)&amp;")","")</f>
        <v/>
      </c>
      <c r="V91" s="5864"/>
      <c r="W91" s="5863"/>
      <c r="X91" s="5863"/>
      <c r="Y91" s="5863"/>
      <c r="Z91" s="5863"/>
      <c r="AA91" s="5863"/>
      <c r="AB91" s="5863"/>
      <c r="AC91" s="5863"/>
      <c r="AD91" s="5863"/>
      <c r="AE91" s="5863"/>
      <c r="AF91" s="5863"/>
      <c r="AG91" s="5905"/>
      <c r="AH91" s="1943"/>
      <c r="AI91" s="6011"/>
      <c r="AJ91" s="3986">
        <v>3</v>
      </c>
      <c r="AK91" s="3986">
        <f>P80</f>
        <v>1</v>
      </c>
      <c r="AL91" s="3986" t="e">
        <f>VLOOKUP(F91,'Tablas Técnicas'!$O$117:$Q$146,2,FALSE)</f>
        <v>#N/A</v>
      </c>
      <c r="AM91" s="3986"/>
      <c r="AN91" s="3987"/>
      <c r="AO91" s="3986"/>
      <c r="AP91" s="3986"/>
      <c r="AQ91" s="3987"/>
      <c r="AR91" s="1868"/>
      <c r="AS91" s="1868"/>
      <c r="AT91" s="1868"/>
      <c r="AU91" s="1868"/>
      <c r="AV91" s="1868"/>
      <c r="AW91" s="1868"/>
      <c r="AX91" s="1868"/>
      <c r="AY91" s="3986" t="str">
        <f>IF(F91="","",F91&amp;IF(K91="",""," ("&amp;IF(F91="Atadura Elemental",O91&amp;IF(Q91="","",", "&amp;Q91),K91)&amp;")")&amp;", ")</f>
        <v/>
      </c>
      <c r="AZ91" s="1868"/>
      <c r="BA91" s="1868"/>
      <c r="BB91" s="1868"/>
      <c r="BC91" s="1868"/>
      <c r="BD91" s="1868"/>
      <c r="BE91" s="1868"/>
      <c r="BF91" s="1868"/>
      <c r="BG91" s="1868"/>
      <c r="BH91" s="1868"/>
      <c r="BI91" s="1868"/>
      <c r="BJ91" s="1868"/>
      <c r="BK91" s="1868"/>
      <c r="BL91" s="1868"/>
      <c r="BM91" s="1868"/>
      <c r="BN91" s="1868"/>
      <c r="BO91" s="1868"/>
      <c r="BP91" s="1868"/>
      <c r="BQ91" s="1868"/>
      <c r="BR91" s="1868"/>
    </row>
    <row r="92" spans="1:70" ht="12.2" customHeight="1">
      <c r="A92" s="1935"/>
      <c r="B92" s="1866">
        <f t="shared" si="1"/>
        <v>3</v>
      </c>
      <c r="C92" s="6009"/>
      <c r="D92" s="5873" t="s">
        <v>8842</v>
      </c>
      <c r="E92" s="5874"/>
      <c r="F92" s="5874"/>
      <c r="G92" s="5874"/>
      <c r="H92" s="5874"/>
      <c r="I92" s="5874"/>
      <c r="J92" s="5874"/>
      <c r="K92" s="5874"/>
      <c r="L92" s="5874"/>
      <c r="M92" s="5874"/>
      <c r="N92" s="5874"/>
      <c r="O92" s="5874"/>
      <c r="P92" s="5874"/>
      <c r="Q92" s="5874"/>
      <c r="R92" s="5874"/>
      <c r="S92" s="5874"/>
      <c r="T92" s="5874"/>
      <c r="U92" s="5874"/>
      <c r="V92" s="5877"/>
      <c r="W92" s="5877"/>
      <c r="X92" s="5877"/>
      <c r="Y92" s="5877"/>
      <c r="Z92" s="5877"/>
      <c r="AA92" s="5877"/>
      <c r="AB92" s="5877"/>
      <c r="AC92" s="5877"/>
      <c r="AD92" s="5877"/>
      <c r="AE92" s="5877"/>
      <c r="AF92" s="5877"/>
      <c r="AG92" s="5878"/>
      <c r="AH92" s="1943"/>
      <c r="AI92" s="6011"/>
      <c r="AJ92" s="3986"/>
      <c r="AK92" s="3986"/>
      <c r="AL92" s="3986"/>
      <c r="AM92" s="3986"/>
      <c r="AN92" s="3987" t="s">
        <v>8362</v>
      </c>
      <c r="AO92" s="3986" t="e">
        <f>LEFT(AY84&amp;AY85&amp;AY86&amp;AY87&amp;AY88,LEN(AY84&amp;AY85&amp;AY86&amp;AY87&amp;AY88)-2)</f>
        <v>#VALUE!</v>
      </c>
      <c r="AP92" s="3986"/>
      <c r="AQ92" s="3987"/>
      <c r="AR92" s="1868"/>
      <c r="AS92" s="1868"/>
      <c r="AT92" s="1868"/>
      <c r="AU92" s="3987"/>
      <c r="AV92" s="3987"/>
      <c r="AW92" s="1868"/>
      <c r="AX92" s="1868"/>
      <c r="AY92" s="3986"/>
      <c r="AZ92" s="1868"/>
      <c r="BA92" s="1868"/>
      <c r="BB92" s="1868"/>
      <c r="BC92" s="1868"/>
      <c r="BD92" s="1868"/>
      <c r="BE92" s="1868"/>
      <c r="BF92" s="1868"/>
      <c r="BG92" s="1868"/>
      <c r="BH92" s="1868"/>
      <c r="BI92" s="1868"/>
      <c r="BJ92" s="1868"/>
      <c r="BK92" s="1868"/>
      <c r="BL92" s="1868"/>
      <c r="BM92" s="1868"/>
      <c r="BN92" s="1868"/>
      <c r="BO92" s="1868"/>
      <c r="BP92" s="1868"/>
      <c r="BQ92" s="1868"/>
      <c r="BR92" s="1868"/>
    </row>
    <row r="93" spans="1:70" ht="12.2" customHeight="1">
      <c r="A93" s="1935"/>
      <c r="B93" s="1866">
        <f t="shared" si="1"/>
        <v>3</v>
      </c>
      <c r="C93" s="6009"/>
      <c r="D93" s="5865" t="str">
        <f>IF(F84="","",F84)</f>
        <v/>
      </c>
      <c r="E93" s="5866"/>
      <c r="F93" s="5866"/>
      <c r="G93" s="5866"/>
      <c r="H93" s="5866"/>
      <c r="I93" s="5867"/>
      <c r="J93" s="5865" t="str">
        <f>IF(F85="","",F85)</f>
        <v/>
      </c>
      <c r="K93" s="5866"/>
      <c r="L93" s="5866"/>
      <c r="M93" s="5866"/>
      <c r="N93" s="5866"/>
      <c r="O93" s="5867"/>
      <c r="P93" s="5866" t="str">
        <f>IF(F86="","",F86)</f>
        <v/>
      </c>
      <c r="Q93" s="5866"/>
      <c r="R93" s="5866"/>
      <c r="S93" s="5866"/>
      <c r="T93" s="5866"/>
      <c r="U93" s="5867"/>
      <c r="V93" s="5865" t="str">
        <f>IF(F87="","",F87)</f>
        <v/>
      </c>
      <c r="W93" s="5866"/>
      <c r="X93" s="5866"/>
      <c r="Y93" s="5866"/>
      <c r="Z93" s="5866"/>
      <c r="AA93" s="5867"/>
      <c r="AB93" s="5866" t="str">
        <f>IF(F88="","",F88)</f>
        <v/>
      </c>
      <c r="AC93" s="5866"/>
      <c r="AD93" s="5866"/>
      <c r="AE93" s="5866"/>
      <c r="AF93" s="5866"/>
      <c r="AG93" s="5928"/>
      <c r="AH93" s="1943"/>
      <c r="AI93" s="6011"/>
      <c r="AJ93" s="3986"/>
      <c r="AK93" s="3986"/>
      <c r="AL93" s="3986"/>
      <c r="AM93" s="3986"/>
      <c r="AN93" s="3987" t="s">
        <v>8363</v>
      </c>
      <c r="AO93" s="3986" t="e">
        <f>LEFT(AY89&amp;AY90&amp;AY91,LEN(AY89&amp;AY90&amp;AY91)-2)</f>
        <v>#VALUE!</v>
      </c>
      <c r="AP93" s="3986"/>
      <c r="AQ93" s="3987"/>
      <c r="AR93" s="1868"/>
      <c r="AS93" s="1868"/>
      <c r="AT93" s="1868"/>
      <c r="AU93" s="3987"/>
      <c r="AV93" s="3987"/>
      <c r="AW93" s="1868"/>
      <c r="AX93" s="1868"/>
      <c r="AY93" s="3986"/>
      <c r="AZ93" s="1868"/>
      <c r="BA93" s="1868"/>
      <c r="BB93" s="1868"/>
      <c r="BC93" s="1868"/>
      <c r="BD93" s="1868"/>
      <c r="BE93" s="1868"/>
      <c r="BF93" s="1868"/>
      <c r="BG93" s="1868"/>
      <c r="BH93" s="1868"/>
      <c r="BI93" s="1868"/>
      <c r="BJ93" s="1868"/>
      <c r="BK93" s="1868"/>
      <c r="BL93" s="1868"/>
      <c r="BM93" s="1868"/>
      <c r="BN93" s="1868"/>
      <c r="BO93" s="1868"/>
      <c r="BP93" s="1868"/>
      <c r="BQ93" s="1868"/>
      <c r="BR93" s="1868"/>
    </row>
    <row r="94" spans="1:70" ht="12.2" customHeight="1">
      <c r="A94" s="1935"/>
      <c r="B94" s="1866">
        <f t="shared" si="1"/>
        <v>3</v>
      </c>
      <c r="C94" s="6009"/>
      <c r="D94" s="1812" t="s">
        <v>1690</v>
      </c>
      <c r="E94" s="1712" t="str">
        <f>IFERROR(VLOOKUP(D93,'Tablas Técnicas'!$O$9:$T$88,3,FALSE),"")</f>
        <v/>
      </c>
      <c r="F94" s="1809"/>
      <c r="G94" s="1808"/>
      <c r="H94" s="1808" t="s">
        <v>1223</v>
      </c>
      <c r="I94" s="1712" t="str">
        <f>IFERROR(VLOOKUP(D93,'Tablas Técnicas'!$O$9:$T$88,4,FALSE),"")</f>
        <v/>
      </c>
      <c r="J94" s="1812" t="s">
        <v>1690</v>
      </c>
      <c r="K94" s="1712" t="str">
        <f>IFERROR(VLOOKUP(J93,'Tablas Técnicas'!$O$9:$T$88,3,FALSE),"")</f>
        <v/>
      </c>
      <c r="L94" s="1809"/>
      <c r="M94" s="1808"/>
      <c r="N94" s="1808" t="s">
        <v>1223</v>
      </c>
      <c r="O94" s="1721" t="str">
        <f>IFERROR(VLOOKUP(J93,'Tablas Técnicas'!$O$9:$T$88,4,FALSE),"")</f>
        <v/>
      </c>
      <c r="P94" s="1808" t="s">
        <v>1690</v>
      </c>
      <c r="Q94" s="1712" t="str">
        <f>IFERROR(VLOOKUP(P93,'Tablas Técnicas'!$O$9:$T$88,3,FALSE),"")</f>
        <v/>
      </c>
      <c r="R94" s="1809"/>
      <c r="S94" s="1808"/>
      <c r="T94" s="1808" t="s">
        <v>1223</v>
      </c>
      <c r="U94" s="1712" t="str">
        <f>IFERROR(VLOOKUP(P93,'Tablas Técnicas'!$O$9:$T$88,4,FALSE),"")</f>
        <v/>
      </c>
      <c r="V94" s="1812" t="s">
        <v>1690</v>
      </c>
      <c r="W94" s="1712" t="str">
        <f>IFERROR(VLOOKUP(V93,'Tablas Técnicas'!$O$9:$T$88,3,FALSE),"")</f>
        <v/>
      </c>
      <c r="X94" s="1809"/>
      <c r="Y94" s="1808"/>
      <c r="Z94" s="1808" t="s">
        <v>1223</v>
      </c>
      <c r="AA94" s="1721" t="str">
        <f>IFERROR(VLOOKUP(V93,'Tablas Técnicas'!$O$9:$T$88,4,FALSE),"")</f>
        <v/>
      </c>
      <c r="AB94" s="1808" t="s">
        <v>1690</v>
      </c>
      <c r="AC94" s="1712" t="str">
        <f>IFERROR(VLOOKUP(AB93,'Tablas Técnicas'!$O$9:$T$88,3,FALSE),"")</f>
        <v/>
      </c>
      <c r="AD94" s="1809"/>
      <c r="AE94" s="1808"/>
      <c r="AF94" s="1808" t="s">
        <v>1223</v>
      </c>
      <c r="AG94" s="1722" t="str">
        <f>IFERROR(VLOOKUP(AB93,'Tablas Técnicas'!$O$9:$T$88,4,FALSE),"")</f>
        <v/>
      </c>
      <c r="AH94" s="1943"/>
      <c r="AI94" s="6011"/>
      <c r="AJ94" s="3986"/>
      <c r="AK94" s="3986"/>
      <c r="AL94" s="3986"/>
      <c r="AM94" s="3986"/>
      <c r="AN94" s="3987"/>
      <c r="AO94" s="3986"/>
      <c r="AP94" s="3986"/>
      <c r="AQ94" s="3987"/>
      <c r="AR94" s="1868"/>
      <c r="AS94" s="1868"/>
      <c r="AT94" s="1868"/>
      <c r="AU94" s="1868"/>
      <c r="AV94" s="1868"/>
      <c r="AW94" s="1868"/>
      <c r="AX94" s="1868"/>
      <c r="AY94" s="3986"/>
      <c r="AZ94" s="1868"/>
      <c r="BA94" s="1868"/>
      <c r="BB94" s="1868"/>
      <c r="BC94" s="1868"/>
      <c r="BD94" s="1868"/>
      <c r="BE94" s="1868"/>
      <c r="BF94" s="1868"/>
      <c r="BG94" s="1868"/>
      <c r="BH94" s="1868"/>
      <c r="BI94" s="1868"/>
      <c r="BJ94" s="1868"/>
      <c r="BK94" s="1868"/>
      <c r="BL94" s="1868"/>
      <c r="BM94" s="1868"/>
      <c r="BN94" s="1868"/>
      <c r="BO94" s="1868"/>
      <c r="BP94" s="1868"/>
      <c r="BQ94" s="1868"/>
      <c r="BR94" s="1868"/>
    </row>
    <row r="95" spans="1:70" ht="12.2" customHeight="1">
      <c r="A95" s="1935"/>
      <c r="B95" s="1866">
        <f t="shared" si="1"/>
        <v>3</v>
      </c>
      <c r="C95" s="6009"/>
      <c r="D95" s="1813" t="s">
        <v>8364</v>
      </c>
      <c r="E95" s="1808"/>
      <c r="F95" s="1809"/>
      <c r="G95" s="1810"/>
      <c r="H95" s="1810"/>
      <c r="I95" s="1807" t="str">
        <f>IFERROR(IF(D93="Ataque Elemental",IF(NOT(ISNA(VLOOKUP(D97,'Tablas Técnicas'!$O$100:$O$105,1,0))),D97,"Variable"),VLOOKUP(D93,'Tablas Técnicas'!$O$9:$W$88,9,FALSE)),"")</f>
        <v/>
      </c>
      <c r="J95" s="2173" t="s">
        <v>8364</v>
      </c>
      <c r="K95" s="2174"/>
      <c r="L95" s="2175"/>
      <c r="M95" s="2176"/>
      <c r="N95" s="2176"/>
      <c r="O95" s="2177" t="str">
        <f>IFERROR(IF(J93="Ataque Elemental",IF(NOT(ISNA(VLOOKUP(J97,'Tablas Técnicas'!$O$100:$O$105,1,0))),J97,"Variable"),VLOOKUP(J93,'Tablas Técnicas'!$O$9:$W$88,9,FALSE)),"")</f>
        <v/>
      </c>
      <c r="P95" s="2178" t="s">
        <v>8364</v>
      </c>
      <c r="Q95" s="2174"/>
      <c r="R95" s="2175"/>
      <c r="S95" s="2176"/>
      <c r="T95" s="2176"/>
      <c r="U95" s="1807" t="str">
        <f>IFERROR(IF(P93="Ataque Elemental",IF(NOT(ISNA(VLOOKUP(P97,'Tablas Técnicas'!$O$100:$O$105,1,0))),P97,"Variable"),VLOOKUP(P93,'Tablas Técnicas'!$O$9:$W$88,9,FALSE)),"")</f>
        <v/>
      </c>
      <c r="V95" s="2173" t="s">
        <v>8364</v>
      </c>
      <c r="W95" s="2174"/>
      <c r="X95" s="2175"/>
      <c r="Y95" s="2176"/>
      <c r="Z95" s="2176"/>
      <c r="AA95" s="2177" t="str">
        <f>IFERROR(IF(V93="Ataque Elemental",IF(NOT(ISNA(VLOOKUP(V97,'Tablas Técnicas'!$O$100:$O$105,1,0))),V97,"Variable"),VLOOKUP(V93,'Tablas Técnicas'!$O$9:$W$88,9,FALSE)),"")</f>
        <v/>
      </c>
      <c r="AB95" s="2178" t="s">
        <v>8364</v>
      </c>
      <c r="AC95" s="2174"/>
      <c r="AD95" s="2175"/>
      <c r="AE95" s="2176"/>
      <c r="AF95" s="2176"/>
      <c r="AG95" s="1818" t="str">
        <f>IFERROR(IF(AB93="Ataque Elemental",IF(NOT(ISNA(VLOOKUP(AB97,'Tablas Técnicas'!$O$100:$O$105,1,0))),AB97,"Variable"),VLOOKUP(AB93,'Tablas Técnicas'!$O$9:$W$88,9,FALSE)),"")</f>
        <v/>
      </c>
      <c r="AH95" s="1943"/>
      <c r="AI95" s="6011"/>
      <c r="AJ95" s="3986"/>
      <c r="AK95" s="1868" t="s">
        <v>1233</v>
      </c>
      <c r="AL95" s="1868" t="s">
        <v>1357</v>
      </c>
      <c r="AM95" s="1868" t="s">
        <v>1238</v>
      </c>
      <c r="AN95" s="1868" t="s">
        <v>1243</v>
      </c>
      <c r="AO95" s="1868" t="s">
        <v>1250</v>
      </c>
      <c r="AP95" s="1868" t="s">
        <v>1251</v>
      </c>
      <c r="AQ95" s="3987"/>
      <c r="AR95" s="1868"/>
      <c r="AS95" s="1868"/>
      <c r="AT95" s="1868"/>
      <c r="AU95" s="1868"/>
      <c r="AV95" s="1868"/>
      <c r="AW95" s="1868"/>
      <c r="AX95" s="1868"/>
      <c r="AY95" s="3986"/>
      <c r="AZ95" s="1868"/>
      <c r="BA95" s="1868"/>
      <c r="BB95" s="1868"/>
      <c r="BC95" s="1868"/>
      <c r="BD95" s="1868"/>
      <c r="BE95" s="1868"/>
      <c r="BF95" s="1868"/>
      <c r="BG95" s="1868"/>
      <c r="BH95" s="1868"/>
      <c r="BI95" s="1868"/>
      <c r="BJ95" s="1868"/>
      <c r="BK95" s="1868"/>
      <c r="BL95" s="1868"/>
      <c r="BM95" s="1868"/>
      <c r="BN95" s="1868"/>
      <c r="BO95" s="1868"/>
      <c r="BP95" s="1868"/>
      <c r="BQ95" s="1868"/>
      <c r="BR95" s="1868"/>
    </row>
    <row r="96" spans="1:70" ht="12.2" customHeight="1">
      <c r="A96" s="1935"/>
      <c r="B96" s="1866">
        <f t="shared" si="1"/>
        <v>3</v>
      </c>
      <c r="C96" s="6009"/>
      <c r="D96" s="5865" t="s">
        <v>2665</v>
      </c>
      <c r="E96" s="5866"/>
      <c r="F96" s="5866"/>
      <c r="G96" s="5866"/>
      <c r="H96" s="5867"/>
      <c r="I96" s="1725" t="s">
        <v>1262</v>
      </c>
      <c r="J96" s="5865" t="s">
        <v>2665</v>
      </c>
      <c r="K96" s="5866"/>
      <c r="L96" s="5866"/>
      <c r="M96" s="5866"/>
      <c r="N96" s="5867"/>
      <c r="O96" s="1726" t="s">
        <v>1262</v>
      </c>
      <c r="P96" s="5865" t="s">
        <v>2665</v>
      </c>
      <c r="Q96" s="5866"/>
      <c r="R96" s="5866"/>
      <c r="S96" s="5866"/>
      <c r="T96" s="5867"/>
      <c r="U96" s="1726" t="s">
        <v>1262</v>
      </c>
      <c r="V96" s="5865"/>
      <c r="W96" s="5866"/>
      <c r="X96" s="5866"/>
      <c r="Y96" s="5866"/>
      <c r="Z96" s="5867"/>
      <c r="AA96" s="1726" t="s">
        <v>1262</v>
      </c>
      <c r="AB96" s="5865" t="s">
        <v>2665</v>
      </c>
      <c r="AC96" s="5866"/>
      <c r="AD96" s="5866"/>
      <c r="AE96" s="5866"/>
      <c r="AF96" s="5867"/>
      <c r="AG96" s="1727" t="s">
        <v>1262</v>
      </c>
      <c r="AH96" s="1943"/>
      <c r="AI96" s="6011"/>
      <c r="AJ96" s="3989" t="s">
        <v>8879</v>
      </c>
      <c r="AK96" s="3986" t="str">
        <f>IF(V82="","",IF(SUM(V84:V88)=0,"",V82&amp;" "&amp;SUM(V84:V88)+V91&amp;IF(SUM(W84:W88)=0,""," ("&amp;SUM(W84:W88)&amp;")")&amp;", "))</f>
        <v/>
      </c>
      <c r="AL96" s="3986" t="str">
        <f>IF(X82="","",IF(SUM(X84:X88)=0,"",X82&amp;" "&amp;SUM(X84:X88)+X91&amp;IF(SUM(Y84:Y88)=0,""," ("&amp;SUM(Y84:Y88)&amp;")")&amp;", "))</f>
        <v/>
      </c>
      <c r="AM96" s="3986" t="str">
        <f>IF(Z82="","",IF(SUM(Z84:Z88)=0,"",Z82&amp;" "&amp;SUM(Z84:Z88)+Z91&amp;IF(SUM(AA84:AA88)=0,""," ("&amp;SUM(AA84:AA88)&amp;")")&amp;", "))</f>
        <v/>
      </c>
      <c r="AN96" s="3986" t="str">
        <f>IF(AB82="","",IF(SUM(AB84:AB88)=0,"",AB82&amp;" "&amp;SUM(AB84:AB88)+AB91&amp;IF(SUM(AC84:AC88)=0,""," ("&amp;SUM(AC84:AC88)&amp;")")&amp;", "))</f>
        <v/>
      </c>
      <c r="AO96" s="3986" t="str">
        <f>IF(AD82="","",IF(SUM(AD84:AD88)=0,"",AD82&amp;" "&amp;SUM(AD84:AD88)+AD91&amp;IF(SUM(AE84:AE88)=0,""," ("&amp;SUM(AE84:AE88)&amp;")")&amp;", "))</f>
        <v/>
      </c>
      <c r="AP96" s="3986" t="str">
        <f>IF(AF82="","",IF(SUM(AF84:AF88)=0,"",AF82&amp;" "&amp;SUM(AF84:AF88)+AF91&amp;IF(SUM(AG84:AG88)=0,""," ("&amp;SUM(AG84:AG88)&amp;")")&amp;", "))</f>
        <v/>
      </c>
      <c r="AQ96" s="3986"/>
      <c r="AR96" s="3986"/>
      <c r="AS96" s="3986"/>
      <c r="AT96" s="3986"/>
      <c r="AU96" s="3986"/>
      <c r="AV96" s="3986"/>
      <c r="AW96" s="3986"/>
      <c r="AX96" s="3986"/>
      <c r="AY96" s="3986"/>
      <c r="AZ96" s="1868"/>
      <c r="BA96" s="1868"/>
      <c r="BB96" s="1868"/>
      <c r="BC96" s="1868"/>
      <c r="BD96" s="1868"/>
      <c r="BE96" s="1868"/>
      <c r="BF96" s="1868"/>
      <c r="BG96" s="1868"/>
      <c r="BH96" s="1868"/>
      <c r="BI96" s="1868"/>
      <c r="BJ96" s="1868"/>
      <c r="BK96" s="1868"/>
      <c r="BL96" s="1868"/>
      <c r="BM96" s="1868"/>
      <c r="BN96" s="1868"/>
      <c r="BO96" s="1868"/>
      <c r="BP96" s="1868"/>
      <c r="BQ96" s="1868"/>
      <c r="BR96" s="1868"/>
    </row>
    <row r="97" spans="1:70" ht="12.2" customHeight="1">
      <c r="A97" s="1935"/>
      <c r="B97" s="1866">
        <f t="shared" si="1"/>
        <v>3</v>
      </c>
      <c r="C97" s="6009"/>
      <c r="D97" s="5911"/>
      <c r="E97" s="5853"/>
      <c r="F97" s="5853"/>
      <c r="G97" s="5853"/>
      <c r="H97" s="5853"/>
      <c r="I97" s="1728" t="str">
        <f>IF(OR(D93="",D97=""),"",MAX(1,SUMPRODUCT(--(INDEX('Tablas Técnicas'!$C$10:$L$644,,1)=D93),--(INDEX('Tablas Técnicas'!$C$10:$L$644,,2)=D97),INDEX('Tablas Técnicas'!$C$10:$L$644,,9))))</f>
        <v/>
      </c>
      <c r="J97" s="5852"/>
      <c r="K97" s="5853"/>
      <c r="L97" s="5853"/>
      <c r="M97" s="5853"/>
      <c r="N97" s="5853"/>
      <c r="O97" s="1728" t="str">
        <f>IF(OR(J93="",J97=""),"",MAX(1,SUMPRODUCT(--(INDEX('Tablas Técnicas'!$C$10:$L$644,,1)=J93),--(INDEX('Tablas Técnicas'!$C$10:$L$644,,2)=J97),INDEX('Tablas Técnicas'!$C$10:$L$644,,9))))</f>
        <v/>
      </c>
      <c r="P97" s="5852"/>
      <c r="Q97" s="5853"/>
      <c r="R97" s="5853"/>
      <c r="S97" s="5853"/>
      <c r="T97" s="5853"/>
      <c r="U97" s="1728" t="str">
        <f>IF(OR(P93="",P97=""),"",MAX(1,SUMPRODUCT(--(INDEX('Tablas Técnicas'!$C$10:$L$644,,1)=P93),--(INDEX('Tablas Técnicas'!$C$10:$L$644,,2)=P97),INDEX('Tablas Técnicas'!$C$10:$L$644,,9))))</f>
        <v/>
      </c>
      <c r="V97" s="5852"/>
      <c r="W97" s="5853"/>
      <c r="X97" s="5853"/>
      <c r="Y97" s="5853"/>
      <c r="Z97" s="5853"/>
      <c r="AA97" s="1728" t="str">
        <f>IF(OR(V93="",V97=""),"",MAX(1,SUMPRODUCT(--(INDEX('Tablas Técnicas'!$C$10:$L$644,,1)=V93),--(INDEX('Tablas Técnicas'!$C$10:$L$644,,2)=V97),INDEX('Tablas Técnicas'!$C$10:$L$644,,9))))</f>
        <v/>
      </c>
      <c r="AB97" s="5852"/>
      <c r="AC97" s="5853"/>
      <c r="AD97" s="5853"/>
      <c r="AE97" s="5853"/>
      <c r="AF97" s="5853"/>
      <c r="AG97" s="1729" t="str">
        <f>IF(OR(AB93="",AB97=""),"",MAX(1,SUMPRODUCT(--(INDEX('Tablas Técnicas'!$C$10:$L$644,,1)=AB93),--(INDEX('Tablas Técnicas'!$C$10:$L$644,,2)=AB97),INDEX('Tablas Técnicas'!$C$10:$L$644,,9))))</f>
        <v/>
      </c>
      <c r="AH97" s="1943">
        <f>P80</f>
        <v>1</v>
      </c>
      <c r="AI97" s="6011"/>
      <c r="AJ97" s="3986" t="s">
        <v>8843</v>
      </c>
      <c r="AK97" s="3986"/>
      <c r="AL97" s="3986">
        <f>MAX(0,SUM(AT84:AT88)+ABS($AC89*2/5))+IF(AM106,0,Y89)+IF(S80="Sí",2*P80,0)</f>
        <v>0</v>
      </c>
      <c r="AM97" s="3986">
        <f t="array" ref="AM97">IF(ISNUMBER(SEARCH("Mantenido",K84&amp;K85&amp;K86&amp;K87&amp;K88)),MAX(0,SUM(VALUE(RIGHT($P84:$P88,2)))),0)</f>
        <v>0</v>
      </c>
      <c r="AN97" s="1868"/>
      <c r="AO97" s="1868"/>
      <c r="AP97" s="1815"/>
      <c r="AQ97" s="1815"/>
      <c r="AR97" s="1815"/>
      <c r="AS97" s="1815"/>
      <c r="AT97" s="1815"/>
      <c r="AU97" s="1815"/>
      <c r="AV97" s="1815"/>
      <c r="AW97" s="1815"/>
      <c r="AX97" s="1815"/>
      <c r="AY97" s="3986"/>
      <c r="AZ97" s="1868"/>
      <c r="BA97" s="1868"/>
      <c r="BB97" s="1868"/>
      <c r="BC97" s="1868"/>
      <c r="BD97" s="1868"/>
      <c r="BE97" s="1868"/>
      <c r="BF97" s="1868"/>
      <c r="BG97" s="1868"/>
      <c r="BH97" s="1868"/>
      <c r="BI97" s="1868"/>
      <c r="BJ97" s="1868"/>
      <c r="BK97" s="1868"/>
      <c r="BL97" s="1868"/>
      <c r="BM97" s="1868"/>
      <c r="BN97" s="1868"/>
      <c r="BO97" s="1868"/>
      <c r="BP97" s="1868"/>
      <c r="BQ97" s="1868"/>
      <c r="BR97" s="1868"/>
    </row>
    <row r="98" spans="1:70" ht="12.2" customHeight="1">
      <c r="A98" s="1935"/>
      <c r="B98" s="1866">
        <f t="shared" si="1"/>
        <v>3</v>
      </c>
      <c r="C98" s="6009"/>
      <c r="D98" s="5871"/>
      <c r="E98" s="5872"/>
      <c r="F98" s="5872"/>
      <c r="G98" s="5872"/>
      <c r="H98" s="5872"/>
      <c r="I98" s="1730" t="str">
        <f>IF(OR(D93="",D98=""),"",MAX(1,SUMPRODUCT(--(INDEX('Tablas Técnicas'!$C$10:$L$644,,1)=D93),--(INDEX('Tablas Técnicas'!$C$10:$L$644,,2)=D98),INDEX('Tablas Técnicas'!$C$10:$L$644,,9))))</f>
        <v/>
      </c>
      <c r="J98" s="5871"/>
      <c r="K98" s="5872"/>
      <c r="L98" s="5872"/>
      <c r="M98" s="5872"/>
      <c r="N98" s="5872"/>
      <c r="O98" s="1730" t="str">
        <f>IF(OR(J93="",J98=""),"",MAX(1,SUMPRODUCT(--(INDEX('Tablas Técnicas'!$C$10:$L$644,,1)=J93),--(INDEX('Tablas Técnicas'!$C$10:$L$644,,2)=J98),INDEX('Tablas Técnicas'!$C$10:$L$644,,9))))</f>
        <v/>
      </c>
      <c r="P98" s="5871"/>
      <c r="Q98" s="5872"/>
      <c r="R98" s="5872"/>
      <c r="S98" s="5872"/>
      <c r="T98" s="5872"/>
      <c r="U98" s="1730" t="str">
        <f>IF(OR(P93="",P98=""),"",MAX(1,SUMPRODUCT(--(INDEX('Tablas Técnicas'!$C$10:$L$644,,1)=P93),--(INDEX('Tablas Técnicas'!$C$10:$L$644,,2)=P98),INDEX('Tablas Técnicas'!$C$10:$L$644,,9))))</f>
        <v/>
      </c>
      <c r="V98" s="5871"/>
      <c r="W98" s="5872"/>
      <c r="X98" s="5872"/>
      <c r="Y98" s="5872"/>
      <c r="Z98" s="5872"/>
      <c r="AA98" s="1730" t="str">
        <f>IF(OR(V93="",V98=""),"",MAX(1,SUMPRODUCT(--(INDEX('Tablas Técnicas'!$C$10:$L$644,,1)=V93),--(INDEX('Tablas Técnicas'!$C$10:$L$644,,2)=V98),INDEX('Tablas Técnicas'!$C$10:$L$644,,9))))</f>
        <v/>
      </c>
      <c r="AB98" s="5871"/>
      <c r="AC98" s="5872"/>
      <c r="AD98" s="5872"/>
      <c r="AE98" s="5872"/>
      <c r="AF98" s="5872"/>
      <c r="AG98" s="1731" t="str">
        <f>IF(OR(AB93="",AB98=""),"",MAX(1,SUMPRODUCT(--(INDEX('Tablas Técnicas'!$C$10:$L$644,,1)=AB93),--(INDEX('Tablas Técnicas'!$C$10:$L$644,,2)=AB98),INDEX('Tablas Técnicas'!$C$10:$L$644,,9))))</f>
        <v/>
      </c>
      <c r="AH98" s="1943">
        <f>P80</f>
        <v>1</v>
      </c>
      <c r="AI98" s="6011"/>
      <c r="AJ98" s="3986" t="s">
        <v>8366</v>
      </c>
      <c r="AK98" s="3986"/>
      <c r="AL98" s="3986">
        <f>SUM(V84:V88,X84:X88,Z84:Z88,AB84:AB88,AD84:AD88,AF84:AF88)+SUM(V91:AG91)</f>
        <v>0</v>
      </c>
      <c r="AM98" s="3986">
        <f>SUM(W84:W88,Y84:Y88,AA84:AA88,AC84:AC88,AE84:AE88,AG84:AG88)</f>
        <v>0</v>
      </c>
      <c r="AN98" s="3986"/>
      <c r="AO98" s="3986"/>
      <c r="AP98" s="3986"/>
      <c r="AQ98" s="3986"/>
      <c r="AR98" s="3986"/>
      <c r="AS98" s="3986"/>
      <c r="AT98" s="3986"/>
      <c r="AU98" s="3986"/>
      <c r="AV98" s="3986"/>
      <c r="AW98" s="1868"/>
      <c r="AX98" s="3986"/>
      <c r="AY98" s="3986"/>
      <c r="AZ98" s="1868"/>
      <c r="BA98" s="1868"/>
      <c r="BB98" s="1868"/>
      <c r="BC98" s="1868"/>
      <c r="BD98" s="1868"/>
      <c r="BE98" s="1868"/>
      <c r="BF98" s="1868"/>
      <c r="BG98" s="1868"/>
      <c r="BH98" s="1868"/>
      <c r="BI98" s="1868"/>
      <c r="BJ98" s="1868"/>
      <c r="BK98" s="1868"/>
      <c r="BL98" s="1868"/>
      <c r="BM98" s="1868"/>
      <c r="BN98" s="1868"/>
      <c r="BO98" s="1868"/>
      <c r="BP98" s="1868"/>
      <c r="BQ98" s="1868"/>
      <c r="BR98" s="1868"/>
    </row>
    <row r="99" spans="1:70" ht="12.2" customHeight="1">
      <c r="A99" s="1935"/>
      <c r="B99" s="1866">
        <f t="shared" si="1"/>
        <v>3</v>
      </c>
      <c r="C99" s="6009"/>
      <c r="D99" s="5871"/>
      <c r="E99" s="5872"/>
      <c r="F99" s="5872"/>
      <c r="G99" s="5872"/>
      <c r="H99" s="5872"/>
      <c r="I99" s="1730" t="str">
        <f>IF(OR(D93="",D99=""),"",MAX(1,SUMPRODUCT(--(INDEX('Tablas Técnicas'!$C$10:$L$644,,1)=D93),--(INDEX('Tablas Técnicas'!$C$10:$L$644,,2)=D99),INDEX('Tablas Técnicas'!$C$10:$L$644,,9))))</f>
        <v/>
      </c>
      <c r="J99" s="5871"/>
      <c r="K99" s="5872"/>
      <c r="L99" s="5872"/>
      <c r="M99" s="5872"/>
      <c r="N99" s="5872"/>
      <c r="O99" s="1730" t="str">
        <f>IF(OR(J93="",J99=""),"",MAX(1,SUMPRODUCT(--(INDEX('Tablas Técnicas'!$C$10:$L$644,,1)=J93),--(INDEX('Tablas Técnicas'!$C$10:$L$644,,2)=J99),INDEX('Tablas Técnicas'!$C$10:$L$644,,9))))</f>
        <v/>
      </c>
      <c r="P99" s="5871"/>
      <c r="Q99" s="5872"/>
      <c r="R99" s="5872"/>
      <c r="S99" s="5872"/>
      <c r="T99" s="5872"/>
      <c r="U99" s="1730" t="str">
        <f>IF(OR(P93="",P99=""),"",MAX(1,SUMPRODUCT(--(INDEX('Tablas Técnicas'!$C$10:$L$644,,1)=P93),--(INDEX('Tablas Técnicas'!$C$10:$L$644,,2)=P99),INDEX('Tablas Técnicas'!$C$10:$L$644,,9))))</f>
        <v/>
      </c>
      <c r="V99" s="5871"/>
      <c r="W99" s="5872"/>
      <c r="X99" s="5872"/>
      <c r="Y99" s="5872"/>
      <c r="Z99" s="5872"/>
      <c r="AA99" s="1730" t="str">
        <f>IF(OR(V93="",V99=""),"",MAX(1,SUMPRODUCT(--(INDEX('Tablas Técnicas'!$C$10:$L$644,,1)=V93),--(INDEX('Tablas Técnicas'!$C$10:$L$644,,2)=V99),INDEX('Tablas Técnicas'!$C$10:$L$644,,9))))</f>
        <v/>
      </c>
      <c r="AB99" s="5871"/>
      <c r="AC99" s="5872"/>
      <c r="AD99" s="5872"/>
      <c r="AE99" s="5872"/>
      <c r="AF99" s="5872"/>
      <c r="AG99" s="1731" t="str">
        <f>IF(OR(AB93="",AB99=""),"",MAX(1,SUMPRODUCT(--(INDEX('Tablas Técnicas'!$C$10:$L$644,,1)=AB93),--(INDEX('Tablas Técnicas'!$C$10:$L$644,,2)=AB99),INDEX('Tablas Técnicas'!$C$10:$L$644,,9))))</f>
        <v/>
      </c>
      <c r="AH99" s="1943">
        <f>P80</f>
        <v>1</v>
      </c>
      <c r="AI99" s="6011"/>
      <c r="AJ99" s="3986"/>
      <c r="AK99" s="3986"/>
      <c r="AL99" s="3986"/>
      <c r="AM99" s="3986"/>
      <c r="AN99" s="3986"/>
      <c r="AO99" s="3986"/>
      <c r="AP99" s="3986"/>
      <c r="AQ99" s="3986"/>
      <c r="AR99" s="3986"/>
      <c r="AS99" s="3986"/>
      <c r="AT99" s="3986"/>
      <c r="AU99" s="3986"/>
      <c r="AV99" s="3986"/>
      <c r="AW99" s="1868"/>
      <c r="AX99" s="1868"/>
      <c r="AY99" s="3986"/>
      <c r="AZ99" s="1868"/>
      <c r="BA99" s="1868"/>
      <c r="BB99" s="1868"/>
      <c r="BC99" s="1868"/>
      <c r="BD99" s="1868"/>
      <c r="BE99" s="1868"/>
      <c r="BF99" s="1868"/>
      <c r="BG99" s="1868"/>
      <c r="BH99" s="1868"/>
      <c r="BI99" s="1868"/>
      <c r="BJ99" s="1868"/>
      <c r="BK99" s="1868"/>
      <c r="BL99" s="1868"/>
      <c r="BM99" s="1868"/>
      <c r="BN99" s="1868"/>
      <c r="BO99" s="1868"/>
      <c r="BP99" s="1868"/>
      <c r="BQ99" s="1868"/>
      <c r="BR99" s="1868"/>
    </row>
    <row r="100" spans="1:70" ht="12.2" customHeight="1">
      <c r="A100" s="1935"/>
      <c r="B100" s="1866">
        <f t="shared" si="1"/>
        <v>3</v>
      </c>
      <c r="C100" s="6009"/>
      <c r="D100" s="5871"/>
      <c r="E100" s="5872"/>
      <c r="F100" s="5872"/>
      <c r="G100" s="5872"/>
      <c r="H100" s="5872"/>
      <c r="I100" s="1730" t="str">
        <f>IF(OR(D93="",D100=""),"",MAX(1,SUMPRODUCT(--(INDEX('Tablas Técnicas'!$C$10:$L$644,,1)=D93),--(INDEX('Tablas Técnicas'!$C$10:$L$644,,2)=D100),INDEX('Tablas Técnicas'!$C$10:$L$644,,9))))</f>
        <v/>
      </c>
      <c r="J100" s="5871"/>
      <c r="K100" s="5872"/>
      <c r="L100" s="5872"/>
      <c r="M100" s="5872"/>
      <c r="N100" s="5872"/>
      <c r="O100" s="1730" t="str">
        <f>IF(OR(J93="",J100=""),"",MAX(1,SUMPRODUCT(--(INDEX('Tablas Técnicas'!$C$10:$L$644,,1)=J93),--(INDEX('Tablas Técnicas'!$C$10:$L$644,,2)=J100),INDEX('Tablas Técnicas'!$C$10:$L$644,,9))))</f>
        <v/>
      </c>
      <c r="P100" s="5871"/>
      <c r="Q100" s="5872"/>
      <c r="R100" s="5872"/>
      <c r="S100" s="5872"/>
      <c r="T100" s="5872"/>
      <c r="U100" s="1730" t="str">
        <f>IF(OR(P93="",P100=""),"",MAX(1,SUMPRODUCT(--(INDEX('Tablas Técnicas'!$C$10:$L$644,,1)=P93),--(INDEX('Tablas Técnicas'!$C$10:$L$644,,2)=P100),INDEX('Tablas Técnicas'!$C$10:$L$644,,9))))</f>
        <v/>
      </c>
      <c r="V100" s="5871"/>
      <c r="W100" s="5872"/>
      <c r="X100" s="5872"/>
      <c r="Y100" s="5872"/>
      <c r="Z100" s="5872"/>
      <c r="AA100" s="1730" t="str">
        <f>IF(OR(V93="",V100=""),"",MAX(1,SUMPRODUCT(--(INDEX('Tablas Técnicas'!$C$10:$L$644,,1)=V93),--(INDEX('Tablas Técnicas'!$C$10:$L$644,,2)=V100),INDEX('Tablas Técnicas'!$C$10:$L$644,,9))))</f>
        <v/>
      </c>
      <c r="AB100" s="5871"/>
      <c r="AC100" s="5872"/>
      <c r="AD100" s="5872"/>
      <c r="AE100" s="5872"/>
      <c r="AF100" s="5872"/>
      <c r="AG100" s="1731" t="str">
        <f>IF(OR(AB93="",AB100=""),"",MAX(1,SUMPRODUCT(--(INDEX('Tablas Técnicas'!$C$10:$L$644,,1)=AB93),--(INDEX('Tablas Técnicas'!$C$10:$L$644,,2)=AB100),INDEX('Tablas Técnicas'!$C$10:$L$644,,9))))</f>
        <v/>
      </c>
      <c r="AH100" s="1943">
        <f>P80</f>
        <v>1</v>
      </c>
      <c r="AI100" s="6011"/>
      <c r="AJ100" s="3986" t="s">
        <v>8367</v>
      </c>
      <c r="AK100" s="3986"/>
      <c r="AL100" s="3986"/>
      <c r="AM100" s="3986"/>
      <c r="AN100" s="3986"/>
      <c r="AO100" s="3986"/>
      <c r="AP100" s="3986"/>
      <c r="AQ100" s="3987"/>
      <c r="AR100" s="1868"/>
      <c r="AS100" s="1868"/>
      <c r="AT100" s="1868"/>
      <c r="AU100" s="1868"/>
      <c r="AV100" s="1868"/>
      <c r="AW100" s="1868"/>
      <c r="AX100" s="1868"/>
      <c r="AY100" s="3986"/>
      <c r="AZ100" s="1868"/>
      <c r="BA100" s="1868"/>
      <c r="BB100" s="1868"/>
      <c r="BC100" s="1868"/>
      <c r="BD100" s="1868"/>
      <c r="BE100" s="1868"/>
      <c r="BF100" s="1868"/>
      <c r="BG100" s="1868"/>
      <c r="BH100" s="1868"/>
      <c r="BI100" s="1868"/>
      <c r="BJ100" s="1868"/>
      <c r="BK100" s="1868"/>
      <c r="BL100" s="1868"/>
      <c r="BM100" s="1868"/>
      <c r="BN100" s="1868"/>
      <c r="BO100" s="1868"/>
      <c r="BP100" s="1868"/>
      <c r="BQ100" s="1868"/>
      <c r="BR100" s="1868"/>
    </row>
    <row r="101" spans="1:70" ht="12.2" customHeight="1">
      <c r="A101" s="1935"/>
      <c r="B101" s="1866">
        <f t="shared" si="1"/>
        <v>3</v>
      </c>
      <c r="C101" s="6009"/>
      <c r="D101" s="5871"/>
      <c r="E101" s="5872"/>
      <c r="F101" s="5872"/>
      <c r="G101" s="5872"/>
      <c r="H101" s="5872"/>
      <c r="I101" s="1730" t="str">
        <f>IF(OR(D93="",D101=""),"",MAX(1,SUMPRODUCT(--(INDEX('Tablas Técnicas'!$C$10:$L$644,,1)=D93),--(INDEX('Tablas Técnicas'!$C$10:$L$644,,2)=D101),INDEX('Tablas Técnicas'!$C$10:$L$644,,9))))</f>
        <v/>
      </c>
      <c r="J101" s="5871"/>
      <c r="K101" s="5872"/>
      <c r="L101" s="5872"/>
      <c r="M101" s="5872"/>
      <c r="N101" s="5872"/>
      <c r="O101" s="1730" t="str">
        <f>IF(OR(J93="",J101=""),"",MAX(1,SUMPRODUCT(--(INDEX('Tablas Técnicas'!$C$10:$L$644,,1)=J93),--(INDEX('Tablas Técnicas'!$C$10:$L$644,,2)=J101),INDEX('Tablas Técnicas'!$C$10:$L$644,,9))))</f>
        <v/>
      </c>
      <c r="P101" s="5871"/>
      <c r="Q101" s="5872"/>
      <c r="R101" s="5872"/>
      <c r="S101" s="5872"/>
      <c r="T101" s="5872"/>
      <c r="U101" s="1730" t="str">
        <f>IF(OR(P93="",P101=""),"",MAX(1,SUMPRODUCT(--(INDEX('Tablas Técnicas'!$C$10:$L$644,,1)=P93),--(INDEX('Tablas Técnicas'!$C$10:$L$644,,2)=P101),INDEX('Tablas Técnicas'!$C$10:$L$644,,9))))</f>
        <v/>
      </c>
      <c r="V101" s="5871"/>
      <c r="W101" s="5872"/>
      <c r="X101" s="5872"/>
      <c r="Y101" s="5872"/>
      <c r="Z101" s="5872"/>
      <c r="AA101" s="1730" t="str">
        <f>IF(OR(V93="",V101=""),"",MAX(1,SUMPRODUCT(--(INDEX('Tablas Técnicas'!$C$10:$L$644,,1)=V93),--(INDEX('Tablas Técnicas'!$C$10:$L$644,,2)=V101),INDEX('Tablas Técnicas'!$C$10:$L$644,,9))))</f>
        <v/>
      </c>
      <c r="AB101" s="5871"/>
      <c r="AC101" s="5872"/>
      <c r="AD101" s="5872"/>
      <c r="AE101" s="5872"/>
      <c r="AF101" s="5872"/>
      <c r="AG101" s="1731" t="str">
        <f>IF(OR(AB93="",AB101=""),"",MAX(1,SUMPRODUCT(--(INDEX('Tablas Técnicas'!$C$10:$L$644,,1)=AB93),--(INDEX('Tablas Técnicas'!$C$10:$L$644,,2)=AB101),INDEX('Tablas Técnicas'!$C$10:$L$644,,9))))</f>
        <v/>
      </c>
      <c r="AH101" s="1943">
        <f>P80</f>
        <v>1</v>
      </c>
      <c r="AI101" s="6011"/>
      <c r="AJ101" s="3986" t="s">
        <v>9502</v>
      </c>
      <c r="AK101" s="3986"/>
      <c r="AL101" s="3986"/>
      <c r="AM101" s="3986" t="b">
        <f>U80&gt;IF(P80=3,200,IF(P80=2,100,50))</f>
        <v>0</v>
      </c>
      <c r="AN101" s="3986"/>
      <c r="AO101" s="3986"/>
      <c r="AP101" s="3986"/>
      <c r="AQ101" s="3986"/>
      <c r="AR101" s="1868"/>
      <c r="AS101" s="1868"/>
      <c r="AT101" s="1868"/>
      <c r="AU101" s="1868"/>
      <c r="AV101" s="1868"/>
      <c r="AW101" s="1868"/>
      <c r="AX101" s="1868"/>
      <c r="AY101" s="3986"/>
      <c r="AZ101" s="1868"/>
      <c r="BA101" s="1868"/>
      <c r="BB101" s="1868"/>
      <c r="BC101" s="1868"/>
      <c r="BD101" s="1868"/>
      <c r="BE101" s="1868"/>
      <c r="BF101" s="1868"/>
      <c r="BG101" s="1868"/>
      <c r="BH101" s="1868"/>
      <c r="BI101" s="1868"/>
      <c r="BJ101" s="1868"/>
      <c r="BK101" s="1868"/>
      <c r="BL101" s="1868"/>
      <c r="BM101" s="1868"/>
      <c r="BN101" s="1868"/>
      <c r="BO101" s="1868"/>
      <c r="BP101" s="1868"/>
      <c r="BQ101" s="1868"/>
      <c r="BR101" s="1868"/>
    </row>
    <row r="102" spans="1:70" ht="12.2" customHeight="1">
      <c r="A102" s="1935"/>
      <c r="B102" s="1866">
        <f t="shared" si="1"/>
        <v>3</v>
      </c>
      <c r="C102" s="6009"/>
      <c r="D102" s="5871"/>
      <c r="E102" s="5872"/>
      <c r="F102" s="5872"/>
      <c r="G102" s="5872"/>
      <c r="H102" s="5872"/>
      <c r="I102" s="1730" t="str">
        <f>IF(OR(D93="",D102=""),"",MAX(1,SUMPRODUCT(--(INDEX('Tablas Técnicas'!$C$10:$L$644,,1)=D93),--(INDEX('Tablas Técnicas'!$C$10:$L$644,,2)=D102),INDEX('Tablas Técnicas'!$C$10:$L$644,,9))))</f>
        <v/>
      </c>
      <c r="J102" s="5871"/>
      <c r="K102" s="5872"/>
      <c r="L102" s="5872"/>
      <c r="M102" s="5872"/>
      <c r="N102" s="5872"/>
      <c r="O102" s="1730" t="str">
        <f>IF(OR(J93="",J102=""),"",MAX(1,SUMPRODUCT(--(INDEX('Tablas Técnicas'!$C$10:$L$644,,1)=J93),--(INDEX('Tablas Técnicas'!$C$10:$L$644,,2)=J102),INDEX('Tablas Técnicas'!$C$10:$L$644,,9))))</f>
        <v/>
      </c>
      <c r="P102" s="5871"/>
      <c r="Q102" s="5872"/>
      <c r="R102" s="5872"/>
      <c r="S102" s="5872"/>
      <c r="T102" s="5872"/>
      <c r="U102" s="1730" t="str">
        <f>IF(OR(P93="",P102=""),"",MAX(1,SUMPRODUCT(--(INDEX('Tablas Técnicas'!$C$10:$L$644,,1)=P93),--(INDEX('Tablas Técnicas'!$C$10:$L$644,,2)=P102),INDEX('Tablas Técnicas'!$C$10:$L$644,,9))))</f>
        <v/>
      </c>
      <c r="V102" s="5871"/>
      <c r="W102" s="5872"/>
      <c r="X102" s="5872"/>
      <c r="Y102" s="5872"/>
      <c r="Z102" s="5872"/>
      <c r="AA102" s="1730" t="str">
        <f>IF(OR(V93="",V102=""),"",MAX(1,SUMPRODUCT(--(INDEX('Tablas Técnicas'!$C$10:$L$644,,1)=V93),--(INDEX('Tablas Técnicas'!$C$10:$L$644,,2)=V102),INDEX('Tablas Técnicas'!$C$10:$L$644,,9))))</f>
        <v/>
      </c>
      <c r="AB102" s="5871"/>
      <c r="AC102" s="5872"/>
      <c r="AD102" s="5872"/>
      <c r="AE102" s="5872"/>
      <c r="AF102" s="5872"/>
      <c r="AG102" s="1731" t="str">
        <f>IF(OR(AB93="",AB102=""),"",MAX(1,SUMPRODUCT(--(INDEX('Tablas Técnicas'!$C$10:$L$644,,1)=AB93),--(INDEX('Tablas Técnicas'!$C$10:$L$644,,2)=AB102),INDEX('Tablas Técnicas'!$C$10:$L$644,,9))))</f>
        <v/>
      </c>
      <c r="AH102" s="1943">
        <f>P80</f>
        <v>1</v>
      </c>
      <c r="AI102" s="6011"/>
      <c r="AJ102" s="3986" t="s">
        <v>8368</v>
      </c>
      <c r="AK102" s="3986"/>
      <c r="AL102" s="3986"/>
      <c r="AM102" s="3986" t="b">
        <f t="array" ref="AM102">MAX(I97:I103,O97:O103,U97:U103,AA97:AA103,AG97:AG103,RIGHT(S89:S91,1))&gt;P80</f>
        <v>0</v>
      </c>
      <c r="AN102" s="3986"/>
      <c r="AO102" s="3986"/>
      <c r="AP102" s="3986"/>
      <c r="AQ102" s="3987"/>
      <c r="AR102" s="1868"/>
      <c r="AS102" s="1868"/>
      <c r="AT102" s="1868"/>
      <c r="AU102" s="1868"/>
      <c r="AV102" s="1868"/>
      <c r="AW102" s="1868"/>
      <c r="AX102" s="1868"/>
      <c r="AY102" s="3986"/>
      <c r="AZ102" s="1868"/>
      <c r="BA102" s="1868"/>
      <c r="BB102" s="1868"/>
      <c r="BC102" s="1868"/>
      <c r="BD102" s="1868"/>
      <c r="BE102" s="1868"/>
      <c r="BF102" s="1868"/>
      <c r="BG102" s="1868"/>
      <c r="BH102" s="1868"/>
      <c r="BI102" s="1868"/>
      <c r="BJ102" s="1868"/>
      <c r="BK102" s="1868"/>
      <c r="BL102" s="1868"/>
      <c r="BM102" s="1868"/>
      <c r="BN102" s="1868"/>
      <c r="BO102" s="1868"/>
      <c r="BP102" s="1868"/>
      <c r="BQ102" s="1868"/>
      <c r="BR102" s="1868"/>
    </row>
    <row r="103" spans="1:70" ht="12.2" customHeight="1">
      <c r="A103" s="1935"/>
      <c r="B103" s="1866">
        <f t="shared" si="1"/>
        <v>3</v>
      </c>
      <c r="C103" s="6009"/>
      <c r="D103" s="5926"/>
      <c r="E103" s="5927"/>
      <c r="F103" s="5927"/>
      <c r="G103" s="5927"/>
      <c r="H103" s="5927"/>
      <c r="I103" s="1732" t="str">
        <f>IF(OR(D93="",D103=""),"",MAX(1,SUMPRODUCT(--(INDEX('Tablas Técnicas'!$C$10:$L$644,,1)=D93),--(INDEX('Tablas Técnicas'!$C$10:$L$644,,2)=D103),INDEX('Tablas Técnicas'!$C$10:$L$644,,9))))</f>
        <v/>
      </c>
      <c r="J103" s="5926"/>
      <c r="K103" s="5927"/>
      <c r="L103" s="5927"/>
      <c r="M103" s="5927"/>
      <c r="N103" s="5927"/>
      <c r="O103" s="1732" t="str">
        <f>IF(OR(J93="",J103=""),"",MAX(1,SUMPRODUCT(--(INDEX('Tablas Técnicas'!$C$10:$L$644,,1)=J93),--(INDEX('Tablas Técnicas'!$C$10:$L$644,,2)=J103),INDEX('Tablas Técnicas'!$C$10:$L$644,,9))))</f>
        <v/>
      </c>
      <c r="P103" s="5926"/>
      <c r="Q103" s="5927"/>
      <c r="R103" s="5927"/>
      <c r="S103" s="5927"/>
      <c r="T103" s="5927"/>
      <c r="U103" s="1732" t="str">
        <f>IF(OR(P93="",P103=""),"",MAX(1,SUMPRODUCT(--(INDEX('Tablas Técnicas'!$C$10:$L$644,,1)=P93),--(INDEX('Tablas Técnicas'!$C$10:$L$644,,2)=P103),INDEX('Tablas Técnicas'!$C$10:$L$644,,9))))</f>
        <v/>
      </c>
      <c r="V103" s="5926"/>
      <c r="W103" s="5927"/>
      <c r="X103" s="5927"/>
      <c r="Y103" s="5927"/>
      <c r="Z103" s="5927"/>
      <c r="AA103" s="1732" t="str">
        <f>IF(OR(V93="",V103=""),"",MAX(1,SUMPRODUCT(--(INDEX('Tablas Técnicas'!$C$10:$L$644,,1)=V93),--(INDEX('Tablas Técnicas'!$C$10:$L$644,,2)=V103),INDEX('Tablas Técnicas'!$C$10:$L$644,,9))))</f>
        <v/>
      </c>
      <c r="AB103" s="5926"/>
      <c r="AC103" s="5927"/>
      <c r="AD103" s="5927"/>
      <c r="AE103" s="5927"/>
      <c r="AF103" s="5927"/>
      <c r="AG103" s="1733" t="str">
        <f>IF(OR(AB93="",AB103=""),"",MAX(1,SUMPRODUCT(--(INDEX('Tablas Técnicas'!$C$10:$L$644,,1)=AB93),--(INDEX('Tablas Técnicas'!$C$10:$L$644,,2)=AB103),INDEX('Tablas Técnicas'!$C$10:$L$644,,9))))</f>
        <v/>
      </c>
      <c r="AH103" s="1943">
        <f>P80</f>
        <v>1</v>
      </c>
      <c r="AI103" s="6011"/>
      <c r="AJ103" s="3986" t="s">
        <v>8860</v>
      </c>
      <c r="AK103" s="3986"/>
      <c r="AL103" s="3986"/>
      <c r="AM103" s="3986" t="b">
        <f>AND(COUNTIF(K84:M88,"Mantenido"),OR(COUNTIF(K84:M88,"Sostenimiento Menor"),COUNTIF(K84:M88,"Sostenimiento Mayor")))</f>
        <v>0</v>
      </c>
      <c r="AN103" s="3987"/>
      <c r="AO103" s="3986"/>
      <c r="AP103" s="3986"/>
      <c r="AQ103" s="3986"/>
      <c r="AR103" s="3986"/>
      <c r="AS103" s="3986"/>
      <c r="AT103" s="3986"/>
      <c r="AU103" s="1868"/>
      <c r="AV103" s="1868"/>
      <c r="AW103" s="1868"/>
      <c r="AX103" s="1868"/>
      <c r="AY103" s="3986"/>
      <c r="AZ103" s="1868"/>
      <c r="BA103" s="1868"/>
      <c r="BB103" s="1868"/>
      <c r="BC103" s="1868"/>
      <c r="BD103" s="1868"/>
      <c r="BE103" s="1868"/>
      <c r="BF103" s="1868"/>
      <c r="BG103" s="1868"/>
      <c r="BH103" s="1868"/>
      <c r="BI103" s="1868"/>
      <c r="BJ103" s="1868"/>
      <c r="BK103" s="1868"/>
      <c r="BL103" s="1868"/>
      <c r="BM103" s="1868"/>
      <c r="BN103" s="1868"/>
      <c r="BO103" s="1868"/>
      <c r="BP103" s="1868"/>
      <c r="BQ103" s="1868"/>
      <c r="BR103" s="1868"/>
    </row>
    <row r="104" spans="1:70" ht="12.2" customHeight="1">
      <c r="A104" s="1935"/>
      <c r="B104" s="1866">
        <f t="shared" si="1"/>
        <v>3</v>
      </c>
      <c r="C104" s="6009"/>
      <c r="D104" s="5873" t="s">
        <v>1408</v>
      </c>
      <c r="E104" s="5874"/>
      <c r="F104" s="5874"/>
      <c r="G104" s="5874"/>
      <c r="H104" s="5874"/>
      <c r="I104" s="5874"/>
      <c r="J104" s="5874"/>
      <c r="K104" s="5874"/>
      <c r="L104" s="5874"/>
      <c r="M104" s="5874"/>
      <c r="N104" s="5874"/>
      <c r="O104" s="5874"/>
      <c r="P104" s="5874"/>
      <c r="Q104" s="5874"/>
      <c r="R104" s="5874"/>
      <c r="S104" s="5874"/>
      <c r="T104" s="5874"/>
      <c r="U104" s="5874"/>
      <c r="V104" s="5874"/>
      <c r="W104" s="5874"/>
      <c r="X104" s="5874"/>
      <c r="Y104" s="5874"/>
      <c r="Z104" s="5874"/>
      <c r="AA104" s="5874"/>
      <c r="AB104" s="5874"/>
      <c r="AC104" s="5874"/>
      <c r="AD104" s="5874"/>
      <c r="AE104" s="5874"/>
      <c r="AF104" s="5874"/>
      <c r="AG104" s="5875"/>
      <c r="AH104" s="1943"/>
      <c r="AI104" s="6011"/>
      <c r="AJ104" s="3986" t="s">
        <v>8859</v>
      </c>
      <c r="AK104" s="3986"/>
      <c r="AL104" s="3986"/>
      <c r="AM104" s="398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986"/>
      <c r="AO104" s="3986"/>
      <c r="AP104" s="3986"/>
      <c r="AQ104" s="3987"/>
      <c r="AR104" s="3986"/>
      <c r="AS104" s="3986"/>
      <c r="AT104" s="3986"/>
      <c r="AU104" s="1868"/>
      <c r="AV104" s="1868"/>
      <c r="AW104" s="1868"/>
      <c r="AX104" s="1868"/>
      <c r="AY104" s="3986"/>
      <c r="AZ104" s="1868"/>
      <c r="BA104" s="1868"/>
      <c r="BB104" s="1868"/>
      <c r="BC104" s="1868"/>
      <c r="BD104" s="1868"/>
      <c r="BE104" s="1868"/>
      <c r="BF104" s="1868"/>
      <c r="BG104" s="1868"/>
      <c r="BH104" s="1868"/>
      <c r="BI104" s="1868"/>
      <c r="BJ104" s="1868"/>
      <c r="BK104" s="1868"/>
      <c r="BL104" s="1868"/>
      <c r="BM104" s="1868"/>
      <c r="BN104" s="1868"/>
      <c r="BO104" s="1868"/>
      <c r="BP104" s="1868"/>
      <c r="BQ104" s="1868"/>
      <c r="BR104" s="1868"/>
    </row>
    <row r="105" spans="1:70" ht="12.2" customHeight="1">
      <c r="A105" s="1935"/>
      <c r="B105" s="1866">
        <f t="shared" si="1"/>
        <v>3</v>
      </c>
      <c r="C105" s="6009"/>
      <c r="D105" s="5868"/>
      <c r="E105" s="5869"/>
      <c r="F105" s="5869"/>
      <c r="G105" s="5869"/>
      <c r="H105" s="5869"/>
      <c r="I105" s="5869"/>
      <c r="J105" s="5869"/>
      <c r="K105" s="5869"/>
      <c r="L105" s="5869"/>
      <c r="M105" s="5869"/>
      <c r="N105" s="5869"/>
      <c r="O105" s="5869"/>
      <c r="P105" s="5869"/>
      <c r="Q105" s="5869"/>
      <c r="R105" s="5869"/>
      <c r="S105" s="5869"/>
      <c r="T105" s="5869"/>
      <c r="U105" s="5869"/>
      <c r="V105" s="5869"/>
      <c r="W105" s="5869"/>
      <c r="X105" s="5869"/>
      <c r="Y105" s="5869"/>
      <c r="Z105" s="5869"/>
      <c r="AA105" s="5869"/>
      <c r="AB105" s="5869"/>
      <c r="AC105" s="5869"/>
      <c r="AD105" s="5869"/>
      <c r="AE105" s="5869"/>
      <c r="AF105" s="5869"/>
      <c r="AG105" s="5870"/>
      <c r="AH105" s="1943"/>
      <c r="AI105" s="6011"/>
      <c r="AJ105" s="3986" t="s">
        <v>8867</v>
      </c>
      <c r="AK105" s="3986"/>
      <c r="AL105" s="3986"/>
      <c r="AM105" s="398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986"/>
      <c r="AO105" s="3986"/>
      <c r="AP105" s="3986"/>
      <c r="AQ105" s="3987"/>
      <c r="AR105" s="3986"/>
      <c r="AS105" s="3986"/>
      <c r="AT105" s="3986"/>
      <c r="AU105" s="1868"/>
      <c r="AV105" s="1868"/>
      <c r="AW105" s="1868"/>
      <c r="AX105" s="1868"/>
      <c r="AY105" s="3986"/>
      <c r="AZ105" s="1868"/>
      <c r="BA105" s="1868"/>
      <c r="BB105" s="1868"/>
      <c r="BC105" s="1868"/>
      <c r="BD105" s="1868"/>
      <c r="BE105" s="1868"/>
      <c r="BF105" s="1868"/>
      <c r="BG105" s="1868"/>
      <c r="BH105" s="1868"/>
      <c r="BI105" s="1868"/>
      <c r="BJ105" s="1868"/>
      <c r="BK105" s="1868"/>
      <c r="BL105" s="1868"/>
      <c r="BM105" s="1868"/>
      <c r="BN105" s="1868"/>
      <c r="BO105" s="1868"/>
      <c r="BP105" s="1868"/>
      <c r="BQ105" s="1868"/>
      <c r="BR105" s="1868"/>
    </row>
    <row r="106" spans="1:70" ht="12.2" customHeight="1">
      <c r="A106" s="1935"/>
      <c r="B106" s="1866">
        <f t="shared" si="1"/>
        <v>3</v>
      </c>
      <c r="C106" s="6009"/>
      <c r="D106" s="5868"/>
      <c r="E106" s="5869"/>
      <c r="F106" s="5869"/>
      <c r="G106" s="5869"/>
      <c r="H106" s="5869"/>
      <c r="I106" s="5869"/>
      <c r="J106" s="5869"/>
      <c r="K106" s="5869"/>
      <c r="L106" s="5869"/>
      <c r="M106" s="5869"/>
      <c r="N106" s="5869"/>
      <c r="O106" s="5869"/>
      <c r="P106" s="5869"/>
      <c r="Q106" s="5869"/>
      <c r="R106" s="5869"/>
      <c r="S106" s="5869"/>
      <c r="T106" s="5869"/>
      <c r="U106" s="5869"/>
      <c r="V106" s="5869"/>
      <c r="W106" s="5869"/>
      <c r="X106" s="5869"/>
      <c r="Y106" s="5869"/>
      <c r="Z106" s="5869"/>
      <c r="AA106" s="5869"/>
      <c r="AB106" s="5869"/>
      <c r="AC106" s="5869"/>
      <c r="AD106" s="5869"/>
      <c r="AE106" s="5869"/>
      <c r="AF106" s="5869"/>
      <c r="AG106" s="5870"/>
      <c r="AH106" s="1943"/>
      <c r="AI106" s="6011"/>
      <c r="AJ106" s="3986" t="s">
        <v>8846</v>
      </c>
      <c r="AK106" s="3986"/>
      <c r="AL106" s="3986"/>
      <c r="AM106" s="3986" t="b">
        <f>AND((IF(SUM(V84:V88)&gt;0,1,0)+IF(SUM(X84:X88)&gt;0,1,0)+IF(SUM(Z84:Z88)&gt;0,1,0)+IF(SUM(AB84:AB88)&gt;0,1,0)+IF(SUM(AD84:AD88,)&gt;0,1,0)+IF(SUM(AF84:AF88)&gt;0,1,0))&lt;3,OR(V91&lt;0,X91&lt;0,Z91&lt;0,AB91&lt;0,AD91&lt;0,AF91&lt;0,Y89&lt;0))</f>
        <v>0</v>
      </c>
      <c r="AN106" s="3986"/>
      <c r="AO106" s="3986"/>
      <c r="AP106" s="3986"/>
      <c r="AQ106" s="3987"/>
      <c r="AR106" s="3986"/>
      <c r="AS106" s="3986"/>
      <c r="AT106" s="3986"/>
      <c r="AU106" s="1868"/>
      <c r="AV106" s="1868"/>
      <c r="AW106" s="1868"/>
      <c r="AX106" s="1868"/>
      <c r="AY106" s="3986"/>
      <c r="AZ106" s="1868"/>
      <c r="BA106" s="1868"/>
      <c r="BB106" s="1868"/>
      <c r="BC106" s="1868"/>
      <c r="BD106" s="1868"/>
      <c r="BE106" s="1868"/>
      <c r="BF106" s="1868"/>
      <c r="BG106" s="1868"/>
      <c r="BH106" s="1868"/>
      <c r="BI106" s="1868"/>
      <c r="BJ106" s="1868"/>
      <c r="BK106" s="1868"/>
      <c r="BL106" s="1868"/>
      <c r="BM106" s="1868"/>
      <c r="BN106" s="1868"/>
      <c r="BO106" s="1868"/>
      <c r="BP106" s="1868"/>
      <c r="BQ106" s="1868"/>
      <c r="BR106" s="1868"/>
    </row>
    <row r="107" spans="1:70" ht="12.2" customHeight="1">
      <c r="A107" s="1935"/>
      <c r="B107" s="1866">
        <f t="shared" si="1"/>
        <v>3</v>
      </c>
      <c r="C107" s="6009"/>
      <c r="D107" s="5868"/>
      <c r="E107" s="5869"/>
      <c r="F107" s="5869"/>
      <c r="G107" s="5869"/>
      <c r="H107" s="5869"/>
      <c r="I107" s="5869"/>
      <c r="J107" s="5869"/>
      <c r="K107" s="5869"/>
      <c r="L107" s="5869"/>
      <c r="M107" s="5869"/>
      <c r="N107" s="5869"/>
      <c r="O107" s="5869"/>
      <c r="P107" s="5869"/>
      <c r="Q107" s="5869"/>
      <c r="R107" s="5869"/>
      <c r="S107" s="5869"/>
      <c r="T107" s="5869"/>
      <c r="U107" s="5869"/>
      <c r="V107" s="5869"/>
      <c r="W107" s="5869"/>
      <c r="X107" s="5869"/>
      <c r="Y107" s="5869"/>
      <c r="Z107" s="5869"/>
      <c r="AA107" s="5869"/>
      <c r="AB107" s="5869"/>
      <c r="AC107" s="5869"/>
      <c r="AD107" s="5869"/>
      <c r="AE107" s="5869"/>
      <c r="AF107" s="5869"/>
      <c r="AG107" s="5870"/>
      <c r="AH107" s="1943"/>
      <c r="AI107" s="6011"/>
      <c r="AJ107" s="3986" t="s">
        <v>8861</v>
      </c>
      <c r="AK107" s="3986"/>
      <c r="AL107" s="3986"/>
      <c r="AM107" s="3986" t="b">
        <f>OR(-V91&gt;TRUNC(SUM(V84:V88)/2),-X91&gt;TRUNC(SUM(X84:X88)/2),-Z91&gt;TRUNC(SUM(Z84:Z88)/2),-AB91&gt;TRUNC(SUM(AB84:AB88)/2),-AD91&gt;TRUNC(SUM(AD84:AD88)/2),-AF91&gt;TRUNC(SUM(AF84:AF88)/2))</f>
        <v>0</v>
      </c>
      <c r="AN107" s="3986"/>
      <c r="AO107" s="3986"/>
      <c r="AP107" s="3986"/>
      <c r="AQ107" s="3987"/>
      <c r="AR107" s="3986"/>
      <c r="AS107" s="3986"/>
      <c r="AT107" s="3986"/>
      <c r="AU107" s="1868"/>
      <c r="AV107" s="1868"/>
      <c r="AW107" s="1868"/>
      <c r="AX107" s="1868"/>
      <c r="AY107" s="3986"/>
      <c r="AZ107" s="1868"/>
      <c r="BA107" s="1868"/>
      <c r="BB107" s="1868"/>
      <c r="BC107" s="1868"/>
      <c r="BD107" s="1868"/>
      <c r="BE107" s="1868"/>
      <c r="BF107" s="1868"/>
      <c r="BG107" s="1868"/>
      <c r="BH107" s="1868"/>
      <c r="BI107" s="1868"/>
      <c r="BJ107" s="1868"/>
      <c r="BK107" s="1868"/>
      <c r="BL107" s="1868"/>
      <c r="BM107" s="1868"/>
      <c r="BN107" s="1868"/>
      <c r="BO107" s="1868"/>
      <c r="BP107" s="1868"/>
      <c r="BQ107" s="1868"/>
      <c r="BR107" s="1868"/>
    </row>
    <row r="108" spans="1:70" ht="12.2" customHeight="1">
      <c r="A108" s="1935"/>
      <c r="B108" s="1866">
        <f t="shared" si="1"/>
        <v>3</v>
      </c>
      <c r="C108" s="6009"/>
      <c r="D108" s="5868"/>
      <c r="E108" s="5869"/>
      <c r="F108" s="5869"/>
      <c r="G108" s="5869"/>
      <c r="H108" s="5869"/>
      <c r="I108" s="5869"/>
      <c r="J108" s="5869"/>
      <c r="K108" s="5869"/>
      <c r="L108" s="5869"/>
      <c r="M108" s="5869"/>
      <c r="N108" s="5869"/>
      <c r="O108" s="5869"/>
      <c r="P108" s="5869"/>
      <c r="Q108" s="5869"/>
      <c r="R108" s="5869"/>
      <c r="S108" s="5869"/>
      <c r="T108" s="5869"/>
      <c r="U108" s="5869"/>
      <c r="V108" s="5869"/>
      <c r="W108" s="5869"/>
      <c r="X108" s="5869"/>
      <c r="Y108" s="5869"/>
      <c r="Z108" s="5869"/>
      <c r="AA108" s="5869"/>
      <c r="AB108" s="5869"/>
      <c r="AC108" s="5869"/>
      <c r="AD108" s="5869"/>
      <c r="AE108" s="5869"/>
      <c r="AF108" s="5869"/>
      <c r="AG108" s="5870"/>
      <c r="AH108" s="1943"/>
      <c r="AI108" s="6011"/>
      <c r="AJ108" s="3986" t="s">
        <v>8862</v>
      </c>
      <c r="AK108" s="3986"/>
      <c r="AL108" s="3986"/>
      <c r="AM108" s="3986" t="b">
        <f>COUNTIF(D84:E88,"Primario")&gt;1</f>
        <v>0</v>
      </c>
      <c r="AN108" s="3986"/>
      <c r="AO108" s="3986"/>
      <c r="AP108" s="3986"/>
      <c r="AQ108" s="3987"/>
      <c r="AR108" s="3987"/>
      <c r="AS108" s="3987"/>
      <c r="AT108" s="3987"/>
      <c r="AU108" s="1868"/>
      <c r="AV108" s="1868"/>
      <c r="AW108" s="1868"/>
      <c r="AX108" s="3986"/>
      <c r="AY108" s="3986"/>
      <c r="AZ108" s="1868"/>
      <c r="BA108" s="1868"/>
      <c r="BB108" s="1868"/>
      <c r="BC108" s="1868"/>
      <c r="BD108" s="1868"/>
      <c r="BE108" s="1868"/>
      <c r="BF108" s="1868"/>
      <c r="BG108" s="1868"/>
      <c r="BH108" s="1868"/>
      <c r="BI108" s="1868"/>
      <c r="BJ108" s="1868"/>
      <c r="BK108" s="1868"/>
      <c r="BL108" s="1868"/>
      <c r="BM108" s="1868"/>
      <c r="BN108" s="1868"/>
      <c r="BO108" s="1868"/>
      <c r="BP108" s="1868"/>
      <c r="BQ108" s="1868"/>
      <c r="BR108" s="1868"/>
    </row>
    <row r="109" spans="1:70" ht="12.2" customHeight="1">
      <c r="A109" s="1935"/>
      <c r="B109" s="1866">
        <f t="shared" si="1"/>
        <v>3</v>
      </c>
      <c r="C109" s="6009"/>
      <c r="D109" s="5868"/>
      <c r="E109" s="5869"/>
      <c r="F109" s="5869"/>
      <c r="G109" s="5869"/>
      <c r="H109" s="5869"/>
      <c r="I109" s="5869"/>
      <c r="J109" s="5869"/>
      <c r="K109" s="5869"/>
      <c r="L109" s="5869"/>
      <c r="M109" s="5869"/>
      <c r="N109" s="5869"/>
      <c r="O109" s="5869"/>
      <c r="P109" s="5869"/>
      <c r="Q109" s="5869"/>
      <c r="R109" s="5869"/>
      <c r="S109" s="5869"/>
      <c r="T109" s="5869"/>
      <c r="U109" s="5869"/>
      <c r="V109" s="5869"/>
      <c r="W109" s="5869"/>
      <c r="X109" s="5869"/>
      <c r="Y109" s="5869"/>
      <c r="Z109" s="5869"/>
      <c r="AA109" s="5869"/>
      <c r="AB109" s="5869"/>
      <c r="AC109" s="5869"/>
      <c r="AD109" s="5869"/>
      <c r="AE109" s="5869"/>
      <c r="AF109" s="5869"/>
      <c r="AG109" s="5870"/>
      <c r="AH109" s="1943"/>
      <c r="AI109" s="6011"/>
      <c r="AJ109" s="3986" t="s">
        <v>8845</v>
      </c>
      <c r="AK109" s="3986"/>
      <c r="AL109" s="3986"/>
      <c r="AM109" s="3986" t="b">
        <f>SUM(V91:AG91)&lt;&gt;Y89+ABS(AC89)*2/5+IF(S80="Sí",3*P80,0)</f>
        <v>0</v>
      </c>
      <c r="AN109" s="3986"/>
      <c r="AO109" s="3986"/>
      <c r="AP109" s="3986"/>
      <c r="AQ109" s="3987"/>
      <c r="AR109" s="3987"/>
      <c r="AS109" s="3987"/>
      <c r="AT109" s="3987"/>
      <c r="AU109" s="1868"/>
      <c r="AV109" s="1868"/>
      <c r="AW109" s="1868"/>
      <c r="AX109" s="3986"/>
      <c r="AY109" s="3986"/>
      <c r="AZ109" s="1868"/>
      <c r="BA109" s="1868"/>
      <c r="BB109" s="1868"/>
      <c r="BC109" s="1868"/>
      <c r="BD109" s="1868"/>
      <c r="BE109" s="1868"/>
      <c r="BF109" s="1868"/>
      <c r="BG109" s="1868"/>
      <c r="BH109" s="1868"/>
      <c r="BI109" s="1868"/>
      <c r="BJ109" s="1868"/>
      <c r="BK109" s="1868"/>
      <c r="BL109" s="1868"/>
      <c r="BM109" s="1868"/>
      <c r="BN109" s="1868"/>
      <c r="BO109" s="1868"/>
      <c r="BP109" s="1868"/>
      <c r="BQ109" s="1868"/>
      <c r="BR109" s="1868"/>
    </row>
    <row r="110" spans="1:70" ht="12.2" customHeight="1">
      <c r="A110" s="1935"/>
      <c r="B110" s="1866">
        <f t="shared" si="1"/>
        <v>3</v>
      </c>
      <c r="C110" s="6009"/>
      <c r="D110" s="5868"/>
      <c r="E110" s="5869"/>
      <c r="F110" s="5869"/>
      <c r="G110" s="5869"/>
      <c r="H110" s="5869"/>
      <c r="I110" s="5869"/>
      <c r="J110" s="5869"/>
      <c r="K110" s="5869"/>
      <c r="L110" s="5869"/>
      <c r="M110" s="5869"/>
      <c r="N110" s="5869"/>
      <c r="O110" s="5869"/>
      <c r="P110" s="5869"/>
      <c r="Q110" s="5869"/>
      <c r="R110" s="5869"/>
      <c r="S110" s="5869"/>
      <c r="T110" s="5869"/>
      <c r="U110" s="5869"/>
      <c r="V110" s="5869"/>
      <c r="W110" s="5869"/>
      <c r="X110" s="5869"/>
      <c r="Y110" s="5869"/>
      <c r="Z110" s="5869"/>
      <c r="AA110" s="5869"/>
      <c r="AB110" s="5869"/>
      <c r="AC110" s="5869"/>
      <c r="AD110" s="5869"/>
      <c r="AE110" s="5869"/>
      <c r="AF110" s="5869"/>
      <c r="AG110" s="5870"/>
      <c r="AH110" s="1943"/>
      <c r="AI110" s="6011"/>
      <c r="AJ110" s="3986" t="s">
        <v>8844</v>
      </c>
      <c r="AK110" s="3986"/>
      <c r="AL110" s="3986"/>
      <c r="AM110" s="3986" t="b">
        <f>AL97-AL98+AM97-AM98&lt;&gt;0</f>
        <v>0</v>
      </c>
      <c r="AN110" s="1868"/>
      <c r="AO110" s="1868"/>
      <c r="AP110" s="1868"/>
      <c r="AQ110" s="1868"/>
      <c r="AR110" s="3987"/>
      <c r="AS110" s="3987"/>
      <c r="AT110" s="3987"/>
      <c r="AU110" s="1868"/>
      <c r="AV110" s="1868"/>
      <c r="AW110" s="1868"/>
      <c r="AX110" s="3986"/>
      <c r="AY110" s="3986"/>
      <c r="AZ110" s="1868"/>
      <c r="BA110" s="1868"/>
      <c r="BB110" s="1868"/>
      <c r="BC110" s="1868"/>
      <c r="BD110" s="1868"/>
      <c r="BE110" s="1868"/>
      <c r="BF110" s="1868"/>
      <c r="BG110" s="1868"/>
      <c r="BH110" s="1868"/>
      <c r="BI110" s="1868"/>
      <c r="BJ110" s="1868"/>
      <c r="BK110" s="1868"/>
      <c r="BL110" s="1868"/>
      <c r="BM110" s="1868"/>
      <c r="BN110" s="1868"/>
      <c r="BO110" s="1868"/>
      <c r="BP110" s="1868"/>
      <c r="BQ110" s="1868"/>
      <c r="BR110" s="1868"/>
    </row>
    <row r="111" spans="1:70" ht="12.2" customHeight="1" thickBot="1">
      <c r="A111" s="1935"/>
      <c r="B111" s="1866"/>
      <c r="C111" s="6010"/>
      <c r="D111" s="601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6013"/>
      <c r="F111" s="6013"/>
      <c r="G111" s="6013"/>
      <c r="H111" s="6013"/>
      <c r="I111" s="6013"/>
      <c r="J111" s="6013"/>
      <c r="K111" s="6013"/>
      <c r="L111" s="6013"/>
      <c r="M111" s="6013"/>
      <c r="N111" s="6013"/>
      <c r="O111" s="6013"/>
      <c r="P111" s="6013"/>
      <c r="Q111" s="6013"/>
      <c r="R111" s="6013"/>
      <c r="S111" s="6013"/>
      <c r="T111" s="6013"/>
      <c r="U111" s="6013"/>
      <c r="V111" s="6013"/>
      <c r="W111" s="6013"/>
      <c r="X111" s="6013"/>
      <c r="Y111" s="6013"/>
      <c r="Z111" s="6013"/>
      <c r="AA111" s="6013"/>
      <c r="AB111" s="6013"/>
      <c r="AC111" s="6013"/>
      <c r="AD111" s="6013"/>
      <c r="AE111" s="6013"/>
      <c r="AF111" s="6013"/>
      <c r="AG111" s="6014"/>
      <c r="AH111" s="1943"/>
      <c r="AI111" s="6011"/>
      <c r="AJ111" s="3986" t="s">
        <v>8881</v>
      </c>
      <c r="AK111" s="1868"/>
      <c r="AL111" s="1868"/>
      <c r="AM111" s="1868" t="b">
        <f>ABS(SUM(N89:N91))&gt;(SUM(N84:N88)-10*Y89+AC89+IF(S80="Sí",10*P80,0)+IF(COUNTIF(K84:M88,"Mantenido")&gt;0,P80*10)+MAX(IF(COUNTIF(K84:M88,"Sostenimiento Menor")&gt;0,P80*20)+IF(COUNTIF(K84:M88,"Sostenimiento Mayor")&gt;0,P80*30)))/2</f>
        <v>0</v>
      </c>
      <c r="AN111" s="3986"/>
      <c r="AO111" s="3986"/>
      <c r="AP111" s="3986"/>
      <c r="AQ111" s="3986"/>
      <c r="AR111" s="3987"/>
      <c r="AS111" s="3987"/>
      <c r="AT111" s="3987"/>
      <c r="AU111" s="1868"/>
      <c r="AV111" s="1868"/>
      <c r="AW111" s="1868"/>
      <c r="AX111" s="3986"/>
      <c r="AY111" s="3986"/>
      <c r="AZ111" s="1868"/>
      <c r="BA111" s="1868"/>
      <c r="BB111" s="1868"/>
      <c r="BC111" s="1868"/>
      <c r="BD111" s="1868"/>
      <c r="BE111" s="1868"/>
      <c r="BF111" s="1868"/>
      <c r="BG111" s="1868"/>
      <c r="BH111" s="1868"/>
      <c r="BI111" s="1868"/>
      <c r="BJ111" s="1868"/>
      <c r="BK111" s="1868"/>
      <c r="BL111" s="1868"/>
      <c r="BM111" s="1868"/>
      <c r="BN111" s="1868"/>
      <c r="BO111" s="1868"/>
      <c r="BP111" s="1868"/>
      <c r="BQ111" s="1868"/>
      <c r="BR111" s="1868"/>
    </row>
    <row r="112" spans="1:70" ht="12.2" customHeight="1">
      <c r="A112" s="1935"/>
      <c r="B112" s="1866"/>
      <c r="C112" s="5935"/>
      <c r="D112" s="5935" t="str">
        <f>IFERROR(VLOOKUP(D93,'Tablas Técnicas'!$O$9:$T$88,2,FALSE),"")</f>
        <v/>
      </c>
      <c r="E112" s="5935"/>
      <c r="F112" s="5935"/>
      <c r="G112" s="5935"/>
      <c r="H112" s="5935"/>
      <c r="I112" s="5935"/>
      <c r="J112" s="5935" t="str">
        <f>IFERROR(VLOOKUP(J93,'Tablas Técnicas'!$O$9:$T$88,2,FALSE),"")</f>
        <v/>
      </c>
      <c r="K112" s="5935"/>
      <c r="L112" s="5935"/>
      <c r="M112" s="5935"/>
      <c r="N112" s="5935"/>
      <c r="O112" s="5935"/>
      <c r="P112" s="5935" t="str">
        <f>IFERROR(VLOOKUP(P93,'Tablas Técnicas'!$O$9:$T$88,2,FALSE),"")</f>
        <v/>
      </c>
      <c r="Q112" s="5935"/>
      <c r="R112" s="5935"/>
      <c r="S112" s="5935"/>
      <c r="T112" s="5935"/>
      <c r="U112" s="5935"/>
      <c r="V112" s="5935" t="str">
        <f>IFERROR(VLOOKUP(V93,'Tablas Técnicas'!$O$9:$T$88,2,FALSE),"")</f>
        <v/>
      </c>
      <c r="W112" s="5935"/>
      <c r="X112" s="5935"/>
      <c r="Y112" s="5935"/>
      <c r="Z112" s="5935"/>
      <c r="AA112" s="5935"/>
      <c r="AB112" s="5935" t="str">
        <f>IFERROR(VLOOKUP(AB93,'Tablas Técnicas'!$O$9:$T$88,2,FALSE),"")</f>
        <v/>
      </c>
      <c r="AC112" s="5935"/>
      <c r="AD112" s="5935"/>
      <c r="AE112" s="5935"/>
      <c r="AF112" s="5935"/>
      <c r="AG112" s="5935"/>
      <c r="AH112" s="1943"/>
      <c r="AI112" s="1712"/>
      <c r="AJ112" s="3986"/>
      <c r="AK112" s="3986"/>
      <c r="AL112" s="3986"/>
      <c r="AM112" s="3986"/>
      <c r="AN112" s="3986"/>
      <c r="AO112" s="3986"/>
      <c r="AP112" s="3986"/>
      <c r="AQ112" s="3986"/>
      <c r="AR112" s="3987"/>
      <c r="AS112" s="3987"/>
      <c r="AT112" s="3987"/>
      <c r="AU112" s="1868"/>
      <c r="AV112" s="1868"/>
      <c r="AW112" s="1868"/>
      <c r="AX112" s="1868"/>
      <c r="AY112" s="3986"/>
      <c r="AZ112" s="1868"/>
      <c r="BA112" s="1868"/>
      <c r="BB112" s="1868"/>
      <c r="BC112" s="1868"/>
      <c r="BD112" s="1868"/>
      <c r="BE112" s="1868"/>
      <c r="BF112" s="1868"/>
      <c r="BG112" s="1868"/>
      <c r="BH112" s="1868"/>
      <c r="BI112" s="1868"/>
      <c r="BJ112" s="1868"/>
      <c r="BK112" s="1868"/>
      <c r="BL112" s="1868"/>
      <c r="BM112" s="1868"/>
      <c r="BN112" s="1868"/>
      <c r="BO112" s="1868"/>
      <c r="BP112" s="1868"/>
      <c r="BQ112" s="1868"/>
      <c r="BR112" s="1868"/>
    </row>
    <row r="113" spans="1:70" ht="12.2" customHeight="1" thickBot="1">
      <c r="A113" s="1935"/>
      <c r="B113" s="1866"/>
      <c r="C113" s="5935"/>
      <c r="D113" s="2024"/>
      <c r="E113" s="1868"/>
      <c r="F113" s="1868"/>
      <c r="G113" s="1868"/>
      <c r="H113" s="1868"/>
      <c r="I113" s="1868"/>
      <c r="J113" s="1868"/>
      <c r="K113" s="1868"/>
      <c r="L113" s="1868"/>
      <c r="M113" s="1868"/>
      <c r="N113" s="1868"/>
      <c r="O113" s="1868"/>
      <c r="P113" s="1868"/>
      <c r="Q113" s="1868"/>
      <c r="R113" s="1868"/>
      <c r="S113" s="1868"/>
      <c r="T113" s="1868"/>
      <c r="U113" s="1868"/>
      <c r="V113" s="2025"/>
      <c r="W113" s="2025"/>
      <c r="X113" s="2025"/>
      <c r="Y113" s="2025"/>
      <c r="Z113" s="2025"/>
      <c r="AA113" s="2025"/>
      <c r="AB113" s="2025"/>
      <c r="AC113" s="2025"/>
      <c r="AD113" s="2025"/>
      <c r="AE113" s="2025"/>
      <c r="AF113" s="1868"/>
      <c r="AG113" s="1868"/>
      <c r="AH113" s="1943"/>
      <c r="AI113" s="1712"/>
      <c r="AJ113" s="3991"/>
      <c r="AK113" s="3991"/>
      <c r="AL113" s="3991"/>
      <c r="AM113" s="3991"/>
      <c r="AN113" s="3991"/>
      <c r="AO113" s="3991"/>
      <c r="AP113" s="3986"/>
      <c r="AQ113" s="3987"/>
      <c r="AR113" s="1868"/>
      <c r="AS113" s="1868"/>
      <c r="AT113" s="1868"/>
      <c r="AU113" s="1868"/>
      <c r="AV113" s="1868"/>
      <c r="AW113" s="1868"/>
      <c r="AX113" s="1868"/>
      <c r="AY113" s="3992"/>
      <c r="AZ113" s="1868"/>
      <c r="BA113" s="1868"/>
      <c r="BB113" s="1868"/>
      <c r="BC113" s="1868"/>
      <c r="BD113" s="1868"/>
      <c r="BE113" s="1868"/>
      <c r="BF113" s="1868"/>
      <c r="BG113" s="1868"/>
      <c r="BH113" s="1868"/>
      <c r="BI113" s="1868"/>
      <c r="BJ113" s="1868"/>
      <c r="BK113" s="1868"/>
      <c r="BL113" s="1868"/>
      <c r="BM113" s="1868"/>
      <c r="BN113" s="1868"/>
      <c r="BO113" s="1868"/>
      <c r="BP113" s="1868"/>
      <c r="BQ113" s="1868"/>
      <c r="BR113" s="1868"/>
    </row>
    <row r="114" spans="1:70" ht="12.2" customHeight="1">
      <c r="A114" s="1935"/>
      <c r="B114" s="1866">
        <f t="shared" ref="B114:B144" si="2">1+B80</f>
        <v>4</v>
      </c>
      <c r="C114" s="6008" t="str">
        <f>"Técnica "&amp;B114</f>
        <v>Técnica 4</v>
      </c>
      <c r="D114" s="5974" t="s">
        <v>8267</v>
      </c>
      <c r="E114" s="5975"/>
      <c r="F114" s="5975"/>
      <c r="G114" s="5975"/>
      <c r="H114" s="5975"/>
      <c r="I114" s="5975"/>
      <c r="J114" s="5975"/>
      <c r="K114" s="5975"/>
      <c r="L114" s="5975"/>
      <c r="M114" s="5975"/>
      <c r="N114" s="5976"/>
      <c r="O114" s="5971" t="s">
        <v>1186</v>
      </c>
      <c r="P114" s="5973">
        <v>1</v>
      </c>
      <c r="Q114" s="5916" t="s">
        <v>8350</v>
      </c>
      <c r="R114" s="5967"/>
      <c r="S114" s="5969" t="s">
        <v>1241</v>
      </c>
      <c r="T114" s="5917" t="s">
        <v>1365</v>
      </c>
      <c r="U114" s="5897">
        <f>MAX(IF(P114=3,60,IF(P114=2,40,20)),MIN(SUM(N118:N125)-10*Y123+AC123+IF(S114="Sí",10*P114,0)+IF(COUNTIF(K118:M122,"Mantenido")&gt;0,P114*10)+MAX(IF(COUNTIF(K152:M156,"Sostenimiento Menor"),20+IF(P148=2,0,10),IF(COUNTIF(K152:M156,"Sostenimiento Mayor"),30+IF(P148=2,0,10))))))</f>
        <v>20</v>
      </c>
      <c r="V114" s="5916" t="s">
        <v>8351</v>
      </c>
      <c r="W114" s="5917"/>
      <c r="X114" s="5920" t="str">
        <f>IFERROR(LEFT(AK130&amp;AL130&amp;AM130&amp;AN130&amp;AO130&amp;AP130,LEN(AK130&amp;AL130&amp;AM130&amp;AN130&amp;AO130&amp;AP130)-2),"")</f>
        <v/>
      </c>
      <c r="Y114" s="5920"/>
      <c r="Z114" s="5920"/>
      <c r="AA114" s="5920"/>
      <c r="AB114" s="5920"/>
      <c r="AC114" s="5920"/>
      <c r="AD114" s="5920"/>
      <c r="AE114" s="5920"/>
      <c r="AF114" s="5920"/>
      <c r="AG114" s="5921"/>
      <c r="AH114" s="1943"/>
      <c r="AI114" s="6011"/>
      <c r="AJ114" s="3989" t="s">
        <v>8878</v>
      </c>
      <c r="AK114" s="3989"/>
      <c r="AL114" s="3989"/>
      <c r="AM114" s="3989"/>
      <c r="AN114" s="3989"/>
      <c r="AO114" s="3989"/>
      <c r="AP114" s="3989"/>
      <c r="AQ114" s="3989"/>
      <c r="AR114" s="3989"/>
      <c r="AS114" s="3986"/>
      <c r="AT114" s="3986"/>
      <c r="AU114" s="3986"/>
      <c r="AV114" s="3986"/>
      <c r="AW114" s="1868"/>
      <c r="AX114" s="1868"/>
      <c r="AY114" s="3986"/>
      <c r="AZ114" s="1868"/>
      <c r="BA114" s="1868"/>
      <c r="BB114" s="1868"/>
      <c r="BC114" s="1868"/>
      <c r="BD114" s="1868"/>
      <c r="BE114" s="1868"/>
      <c r="BF114" s="1868"/>
      <c r="BG114" s="1868"/>
      <c r="BH114" s="1868"/>
      <c r="BI114" s="1868"/>
      <c r="BJ114" s="1868"/>
      <c r="BK114" s="1868"/>
      <c r="BL114" s="1868"/>
      <c r="BM114" s="1868"/>
      <c r="BN114" s="1868"/>
      <c r="BO114" s="1868"/>
      <c r="BP114" s="1868"/>
      <c r="BQ114" s="1868"/>
      <c r="BR114" s="1868"/>
    </row>
    <row r="115" spans="1:70" ht="12.2" customHeight="1">
      <c r="A115" s="1935"/>
      <c r="B115" s="1866">
        <f t="shared" si="2"/>
        <v>4</v>
      </c>
      <c r="C115" s="6009"/>
      <c r="D115" s="5977"/>
      <c r="E115" s="5992"/>
      <c r="F115" s="5992"/>
      <c r="G115" s="5992"/>
      <c r="H115" s="5992"/>
      <c r="I115" s="5992"/>
      <c r="J115" s="5992"/>
      <c r="K115" s="5992"/>
      <c r="L115" s="5992"/>
      <c r="M115" s="5992"/>
      <c r="N115" s="5993"/>
      <c r="O115" s="5972"/>
      <c r="P115" s="5970"/>
      <c r="Q115" s="5918"/>
      <c r="R115" s="5968"/>
      <c r="S115" s="5970"/>
      <c r="T115" s="5919"/>
      <c r="U115" s="5898"/>
      <c r="V115" s="5918"/>
      <c r="W115" s="5919"/>
      <c r="X115" s="5922"/>
      <c r="Y115" s="5922"/>
      <c r="Z115" s="5922"/>
      <c r="AA115" s="5922"/>
      <c r="AB115" s="5922"/>
      <c r="AC115" s="5922"/>
      <c r="AD115" s="5922"/>
      <c r="AE115" s="5922"/>
      <c r="AF115" s="5922"/>
      <c r="AG115" s="5923"/>
      <c r="AH115" s="1943"/>
      <c r="AI115" s="6011"/>
      <c r="AJ115" s="3989"/>
      <c r="AK115" s="3989" t="s">
        <v>8879</v>
      </c>
      <c r="AL115" s="3989" t="s">
        <v>12546</v>
      </c>
      <c r="AM115" s="3990"/>
      <c r="AN115" s="3990"/>
      <c r="AO115" s="3990"/>
      <c r="AP115" s="3990"/>
      <c r="AQ115" s="3990"/>
      <c r="AR115" s="3989"/>
      <c r="AS115" s="3986"/>
      <c r="AT115" s="3986"/>
      <c r="AU115" s="3986"/>
      <c r="AV115" s="3986"/>
      <c r="AW115" s="1868"/>
      <c r="AX115" s="5935" t="s">
        <v>8848</v>
      </c>
      <c r="AY115" s="5935"/>
      <c r="AZ115" s="1868"/>
      <c r="BA115" s="1868"/>
      <c r="BB115" s="1868"/>
      <c r="BC115" s="1868"/>
      <c r="BD115" s="1868"/>
      <c r="BE115" s="1868"/>
      <c r="BF115" s="1868"/>
      <c r="BG115" s="1868"/>
      <c r="BH115" s="1868"/>
      <c r="BI115" s="1868"/>
      <c r="BJ115" s="1868"/>
      <c r="BK115" s="1868"/>
      <c r="BL115" s="1868"/>
      <c r="BM115" s="1868"/>
      <c r="BN115" s="1868"/>
      <c r="BO115" s="1868"/>
      <c r="BP115" s="1868"/>
      <c r="BQ115" s="1868"/>
      <c r="BR115" s="1868"/>
    </row>
    <row r="116" spans="1:70" ht="12.2" customHeight="1">
      <c r="A116" s="1935"/>
      <c r="B116" s="1866">
        <f t="shared" si="2"/>
        <v>4</v>
      </c>
      <c r="C116" s="6009"/>
      <c r="D116" s="5873" t="s">
        <v>2662</v>
      </c>
      <c r="E116" s="5874"/>
      <c r="F116" s="5874"/>
      <c r="G116" s="5874"/>
      <c r="H116" s="5874"/>
      <c r="I116" s="5874"/>
      <c r="J116" s="5874"/>
      <c r="K116" s="5924" t="s">
        <v>9170</v>
      </c>
      <c r="L116" s="5924"/>
      <c r="M116" s="5924"/>
      <c r="N116" s="5874" t="s">
        <v>1359</v>
      </c>
      <c r="O116" s="5924" t="s">
        <v>2660</v>
      </c>
      <c r="P116" s="5924" t="s">
        <v>8352</v>
      </c>
      <c r="Q116" s="5874" t="s">
        <v>1224</v>
      </c>
      <c r="R116" s="5874"/>
      <c r="S116" s="5874"/>
      <c r="T116" s="5874"/>
      <c r="U116" s="5874"/>
      <c r="V116" s="5876" t="s">
        <v>1233</v>
      </c>
      <c r="W116" s="5855"/>
      <c r="X116" s="5876" t="s">
        <v>1357</v>
      </c>
      <c r="Y116" s="5980"/>
      <c r="Z116" s="5855" t="s">
        <v>1238</v>
      </c>
      <c r="AA116" s="5855"/>
      <c r="AB116" s="5876" t="s">
        <v>1243</v>
      </c>
      <c r="AC116" s="5980"/>
      <c r="AD116" s="5855" t="s">
        <v>1250</v>
      </c>
      <c r="AE116" s="5855"/>
      <c r="AF116" s="5876" t="s">
        <v>1251</v>
      </c>
      <c r="AG116" s="5856"/>
      <c r="AH116" s="1943"/>
      <c r="AI116" s="6011"/>
      <c r="AJ116" s="3986"/>
      <c r="AK116" s="3986"/>
      <c r="AL116" s="3986" t="s">
        <v>9149</v>
      </c>
      <c r="AM116" s="3986"/>
      <c r="AN116" s="3986"/>
      <c r="AO116" s="3986"/>
      <c r="AP116" s="3986"/>
      <c r="AQ116" s="3986"/>
      <c r="AR116" s="1868"/>
      <c r="AS116" s="1868" t="s">
        <v>8868</v>
      </c>
      <c r="AT116" s="1868" t="s">
        <v>8869</v>
      </c>
      <c r="AU116" s="3986" t="s">
        <v>8857</v>
      </c>
      <c r="AV116" s="3986" t="s">
        <v>8858</v>
      </c>
      <c r="AW116" s="1868" t="s">
        <v>1359</v>
      </c>
      <c r="AX116" s="1868" t="s">
        <v>8354</v>
      </c>
      <c r="AY116" s="3986" t="s">
        <v>8355</v>
      </c>
      <c r="AZ116" s="1868"/>
      <c r="BA116" s="1868"/>
      <c r="BB116" s="1868"/>
      <c r="BC116" s="1868"/>
      <c r="BD116" s="1868"/>
      <c r="BE116" s="1868"/>
      <c r="BF116" s="1868"/>
      <c r="BG116" s="1868"/>
      <c r="BH116" s="1868"/>
      <c r="BI116" s="1868"/>
      <c r="BJ116" s="1868"/>
      <c r="BK116" s="1868"/>
      <c r="BL116" s="1868"/>
      <c r="BM116" s="1868"/>
      <c r="BN116" s="1868"/>
      <c r="BO116" s="1868"/>
      <c r="BP116" s="1868"/>
      <c r="BQ116" s="1868"/>
      <c r="BR116" s="1868"/>
    </row>
    <row r="117" spans="1:70" ht="12.2" customHeight="1">
      <c r="A117" s="1935"/>
      <c r="B117" s="1866">
        <f t="shared" si="2"/>
        <v>4</v>
      </c>
      <c r="C117" s="6009"/>
      <c r="D117" s="5989"/>
      <c r="E117" s="5990"/>
      <c r="F117" s="5990"/>
      <c r="G117" s="5990"/>
      <c r="H117" s="5990"/>
      <c r="I117" s="5990"/>
      <c r="J117" s="5990"/>
      <c r="K117" s="5925"/>
      <c r="L117" s="5925"/>
      <c r="M117" s="5925"/>
      <c r="N117" s="5877"/>
      <c r="O117" s="5925"/>
      <c r="P117" s="5991"/>
      <c r="Q117" s="5877"/>
      <c r="R117" s="5877"/>
      <c r="S117" s="5877"/>
      <c r="T117" s="5877"/>
      <c r="U117" s="5877"/>
      <c r="V117" s="2167" t="s">
        <v>8847</v>
      </c>
      <c r="W117" s="2168" t="s">
        <v>2666</v>
      </c>
      <c r="X117" s="2167" t="s">
        <v>8847</v>
      </c>
      <c r="Y117" s="2168" t="s">
        <v>2666</v>
      </c>
      <c r="Z117" s="2167" t="s">
        <v>8847</v>
      </c>
      <c r="AA117" s="2168" t="s">
        <v>2666</v>
      </c>
      <c r="AB117" s="2167" t="s">
        <v>8847</v>
      </c>
      <c r="AC117" s="2168" t="s">
        <v>2666</v>
      </c>
      <c r="AD117" s="2167" t="s">
        <v>8847</v>
      </c>
      <c r="AE117" s="2168" t="s">
        <v>2666</v>
      </c>
      <c r="AF117" s="2167" t="s">
        <v>8847</v>
      </c>
      <c r="AG117" s="2169" t="s">
        <v>2666</v>
      </c>
      <c r="AH117" s="1943"/>
      <c r="AI117" s="6011"/>
      <c r="AJ117" s="3986"/>
      <c r="AK117" s="3986" t="s">
        <v>8849</v>
      </c>
      <c r="AL117" s="3986">
        <v>1</v>
      </c>
      <c r="AM117" s="3986">
        <v>2</v>
      </c>
      <c r="AN117" s="3986">
        <v>3</v>
      </c>
      <c r="AO117" s="3986">
        <v>4</v>
      </c>
      <c r="AP117" s="3986">
        <v>5</v>
      </c>
      <c r="AQ117" s="3986">
        <v>6</v>
      </c>
      <c r="AR117" s="3986">
        <v>7</v>
      </c>
      <c r="AS117" s="1868"/>
      <c r="AT117" s="3986" t="s">
        <v>8880</v>
      </c>
      <c r="AU117" s="1868"/>
      <c r="AV117" s="1868"/>
      <c r="AW117" s="1868" t="s">
        <v>8880</v>
      </c>
      <c r="AX117" s="1868"/>
      <c r="AY117" s="3986"/>
      <c r="AZ117" s="1868"/>
      <c r="BA117" s="1868"/>
      <c r="BB117" s="1868"/>
      <c r="BC117" s="1868"/>
      <c r="BD117" s="1868"/>
      <c r="BE117" s="1868"/>
      <c r="BF117" s="1868"/>
      <c r="BG117" s="1868"/>
      <c r="BH117" s="1868"/>
      <c r="BI117" s="1868"/>
      <c r="BJ117" s="1868"/>
      <c r="BK117" s="1868"/>
      <c r="BL117" s="1868"/>
      <c r="BM117" s="1868"/>
      <c r="BN117" s="1868"/>
      <c r="BO117" s="1868"/>
      <c r="BP117" s="1868"/>
      <c r="BQ117" s="1868"/>
      <c r="BR117" s="1868"/>
    </row>
    <row r="118" spans="1:70" ht="12.2" customHeight="1">
      <c r="A118" s="1935"/>
      <c r="B118" s="1866">
        <f t="shared" si="2"/>
        <v>4</v>
      </c>
      <c r="C118" s="6009"/>
      <c r="D118" s="5981" t="s">
        <v>8356</v>
      </c>
      <c r="E118" s="5982"/>
      <c r="F118" s="5929"/>
      <c r="G118" s="5930"/>
      <c r="H118" s="5930"/>
      <c r="I118" s="5930"/>
      <c r="J118" s="5931"/>
      <c r="K118" s="5932" t="s">
        <v>1315</v>
      </c>
      <c r="L118" s="5933"/>
      <c r="M118" s="5934"/>
      <c r="N118" s="1871">
        <f>IF(AW118&gt;0,IF(VLOOKUP(F118,'Tablas Técnicas'!$O$9:$X$88,10,0),MAX(5,AW118-5),AW118),0)</f>
        <v>0</v>
      </c>
      <c r="O118" s="1871" t="str">
        <f>AS118&amp;" / "&amp;AT118</f>
        <v>0 / 0</v>
      </c>
      <c r="P118" s="1871" t="str">
        <f t="array" ref="P118">W118+Y118+AA118+AC118+AE118+AG118&amp;" / "&amp;IF(K118&lt;&gt;"Mantenido",0,SUM(IF($AL118:$AR118='Tablas Técnicas'!$L$10:$L$644,'Tablas Técnicas'!$H$10:$H$644,0)))</f>
        <v>0 / 0</v>
      </c>
      <c r="Q118" s="5983" t="str">
        <f>IFERROR(VLOOKUP(F118,'Tablas Técnicas'!$O$9:$T$88,5,FALSE),"")</f>
        <v/>
      </c>
      <c r="R118" s="5983"/>
      <c r="S118" s="5983"/>
      <c r="T118" s="5983"/>
      <c r="U118" s="5983"/>
      <c r="V118" s="1822"/>
      <c r="W118" s="1823"/>
      <c r="X118" s="1822"/>
      <c r="Y118" s="1824"/>
      <c r="Z118" s="1825"/>
      <c r="AA118" s="1823"/>
      <c r="AB118" s="1822"/>
      <c r="AC118" s="1824"/>
      <c r="AD118" s="1825"/>
      <c r="AE118" s="1823"/>
      <c r="AF118" s="1822"/>
      <c r="AG118" s="1826"/>
      <c r="AH118" s="1943"/>
      <c r="AI118" s="6011"/>
      <c r="AJ118" s="3986">
        <v>1</v>
      </c>
      <c r="AK118" s="3986">
        <f>P114</f>
        <v>1</v>
      </c>
      <c r="AL118" s="3986" t="str">
        <f>IF(AND(ISNUMBER(MATCH($F118,'Tablas Técnicas'!$L$10:$L$644,0)),INDEX($D131:$D137,Tablas!A$1)="",COUNTIF(AM118:$AS118,$F118)=0),$F118,IF(INDEX($D131:$D137,Tablas!A$1)="","",$F118&amp;INDEX($D131:$D137,Tablas!A$1)))</f>
        <v/>
      </c>
      <c r="AM118" s="3986" t="str">
        <f>IF(AND(ISNUMBER(MATCH($F118,'Tablas Técnicas'!$L$10:$L$644,0)),INDEX($D131:$D137,Tablas!B$1)="",COUNTIF(AN118:$AS118,$F118)=0),$F118,IF(INDEX($D131:$D137,Tablas!B$1)="","",$F118&amp;INDEX($D131:$D137,Tablas!B$1)))</f>
        <v/>
      </c>
      <c r="AN118" s="3986" t="str">
        <f>IF(AND(ISNUMBER(MATCH($F118,'Tablas Técnicas'!$L$10:$L$644,0)),INDEX($D131:$D137,Tablas!C$1)="",COUNTIF(AO118:$AS118,$F118)=0),$F118,IF(INDEX($D131:$D137,Tablas!C$1)="","",$F118&amp;INDEX($D131:$D137,Tablas!C$1)))</f>
        <v/>
      </c>
      <c r="AO118" s="3986" t="str">
        <f>IF(AND(ISNUMBER(MATCH($F118,'Tablas Técnicas'!$L$10:$L$644,0)),INDEX($D131:$D137,Tablas!D$1)="",COUNTIF(AP118:$AS118,$F118)=0),$F118,IF(INDEX($D131:$D137,Tablas!D$1)="","",$F118&amp;INDEX($D131:$D137,Tablas!D$1)))</f>
        <v/>
      </c>
      <c r="AP118" s="3986" t="str">
        <f>IF(AND(ISNUMBER(MATCH($F118,'Tablas Técnicas'!$L$10:$L$644,0)),INDEX($D131:$D137,Tablas!E$1)="",COUNTIF(AQ118:$AS118,$F118)=0),$F118,IF(INDEX($D131:$D137,Tablas!E$1)="","",$F118&amp;INDEX($D131:$D137,Tablas!E$1)))</f>
        <v/>
      </c>
      <c r="AQ118" s="3986" t="str">
        <f>IF(AND(ISNUMBER(MATCH($F118,'Tablas Técnicas'!$L$10:$L$644,0)),INDEX($D131:$D137,Tablas!F$1)="",COUNTIF(AR118:$AS118,$F118)=0),$F118,IF(INDEX($D131:$D137,Tablas!F$1)="","",$F118&amp;INDEX($D131:$D137,Tablas!F$1)))</f>
        <v/>
      </c>
      <c r="AR118" s="3986" t="str">
        <f>IF(AND(ISNUMBER(MATCH($F118,'Tablas Técnicas'!$L$10:$L$644,0)),INDEX($D131:$D137,Tablas!G$1)="",COUNTIF(AS118:$AS118,$F118)=0),$F118,IF(INDEX($D131:$D137,Tablas!G$1)="","",$F118&amp;INDEX($D131:$D137,Tablas!G$1)))</f>
        <v/>
      </c>
      <c r="AS118" s="1868">
        <f>V118+X118+Z118+AB118+AD118+AF118</f>
        <v>0</v>
      </c>
      <c r="AT118" s="1868">
        <f t="array" ref="AT118">SUM(IF($AL118:$AR118='Tablas Técnicas'!$L$10:$L$644,IF(D118="Primario",'Tablas Técnicas'!$E$10:$E$644,'Tablas Técnicas'!$F$10:$F$644)+IF(K118="Sostenimiento menor",'Tablas Técnicas'!$I$10:$I$644,IF(K118="sostenimiento mayor",'Tablas Técnicas'!$J$10:$J$644,0)),0),0)+VALUE(RIGHT(P118,2))+AU118+AV118</f>
        <v>0</v>
      </c>
      <c r="AU118" s="186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1868">
        <f>(COUNTIF(AL118:AR118,"*Estado añadido:*")-1)*COUNTIF(AL118:AR118,"*Estado añadido:*")</f>
        <v>0</v>
      </c>
      <c r="AW118" s="1868">
        <f t="array" ref="AW118">SUM(IF($AL118:$AR118='Tablas Técnicas'!$L$10:$L$644,'Tablas Técnicas'!$G$10:$G$644,0))</f>
        <v>0</v>
      </c>
      <c r="AX118" s="398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986" t="str">
        <f>IFERROR(LEFT(AX118,LEN(AX118)-2)&amp;"), ","")</f>
        <v/>
      </c>
      <c r="AZ118" s="1868"/>
      <c r="BA118" s="1868"/>
      <c r="BB118" s="1868"/>
      <c r="BC118" s="1868"/>
      <c r="BD118" s="1868"/>
      <c r="BE118" s="1868"/>
      <c r="BF118" s="1868"/>
      <c r="BG118" s="1868"/>
      <c r="BH118" s="1868"/>
      <c r="BI118" s="1868"/>
      <c r="BJ118" s="1868"/>
      <c r="BK118" s="1868"/>
      <c r="BL118" s="1868"/>
      <c r="BM118" s="1868"/>
      <c r="BN118" s="1868"/>
      <c r="BO118" s="1868"/>
      <c r="BP118" s="1868"/>
      <c r="BQ118" s="1868"/>
      <c r="BR118" s="1868"/>
    </row>
    <row r="119" spans="1:70" ht="12.2" customHeight="1">
      <c r="A119" s="1935"/>
      <c r="B119" s="1866">
        <f t="shared" si="2"/>
        <v>4</v>
      </c>
      <c r="C119" s="6009"/>
      <c r="D119" s="5906" t="s">
        <v>483</v>
      </c>
      <c r="E119" s="5907"/>
      <c r="F119" s="5984"/>
      <c r="G119" s="5985"/>
      <c r="H119" s="5985"/>
      <c r="I119" s="5985"/>
      <c r="J119" s="5902"/>
      <c r="K119" s="5986" t="s">
        <v>1315</v>
      </c>
      <c r="L119" s="5987"/>
      <c r="M119" s="5988"/>
      <c r="N119" s="1716">
        <f>IF(AW119&gt;0,IF(VLOOKUP(F119,'Tablas Técnicas'!$O$9:$X$88,10,0),MAX(5,AW119-5),AW119),0)</f>
        <v>0</v>
      </c>
      <c r="O119" s="1716" t="str">
        <f>AS119&amp;" / "&amp;AT119</f>
        <v>0 / 0</v>
      </c>
      <c r="P119" s="1716" t="str">
        <f t="array" ref="P119">W119+Y119+AA119+AC119+AE119+AG119&amp;" / "&amp;IF(K119&lt;&gt;"Mantenido",0,SUM(IF($AL119:$AR119='Tablas Técnicas'!$L$10:$L$644,'Tablas Técnicas'!$H$10:$H$644,0)))</f>
        <v>0 / 0</v>
      </c>
      <c r="Q119" s="5908" t="str">
        <f>IFERROR(VLOOKUP(F119,'Tablas Técnicas'!$O$9:$T$88,5,FALSE),"")</f>
        <v/>
      </c>
      <c r="R119" s="5908"/>
      <c r="S119" s="5908"/>
      <c r="T119" s="5908"/>
      <c r="U119" s="5908"/>
      <c r="V119" s="1827"/>
      <c r="W119" s="1828"/>
      <c r="X119" s="1827"/>
      <c r="Y119" s="1829"/>
      <c r="Z119" s="1830"/>
      <c r="AA119" s="1828"/>
      <c r="AB119" s="1827"/>
      <c r="AC119" s="1829"/>
      <c r="AD119" s="1830"/>
      <c r="AE119" s="1828"/>
      <c r="AF119" s="1827"/>
      <c r="AG119" s="1831"/>
      <c r="AH119" s="1943"/>
      <c r="AI119" s="6011"/>
      <c r="AJ119" s="3986">
        <v>2</v>
      </c>
      <c r="AK119" s="3986">
        <f>P114</f>
        <v>1</v>
      </c>
      <c r="AL119" s="3986" t="str">
        <f>IF(AND(ISNUMBER(MATCH($F119,'Tablas Técnicas'!$L$10:$L$644,0)),INDEX($J131:$J137,Tablas!A$1)="",COUNTIF(AM119:$AS119,$F119)=0),$F119,IF(INDEX($J131:$J137,Tablas!A$1)="","",$F119&amp;INDEX($J131:$J137,Tablas!A$1)))</f>
        <v/>
      </c>
      <c r="AM119" s="3986" t="str">
        <f>IF(AND(ISNUMBER(MATCH($F119,'Tablas Técnicas'!$L$10:$L$644,0)),INDEX($J131:$J137,Tablas!B$1)="",COUNTIF(AN119:$AS119,$F119)=0),$F119,IF(INDEX($J131:$J137,Tablas!B$1)="","",$F119&amp;INDEX($J131:$J137,Tablas!B$1)))</f>
        <v/>
      </c>
      <c r="AN119" s="3986" t="str">
        <f>IF(AND(ISNUMBER(MATCH($F119,'Tablas Técnicas'!$L$10:$L$644,0)),INDEX($J131:$J137,Tablas!C$1)="",COUNTIF(AO119:$AS119,$F119)=0),$F119,IF(INDEX($J131:$J137,Tablas!C$1)="","",$F119&amp;INDEX($J131:$J137,Tablas!C$1)))</f>
        <v/>
      </c>
      <c r="AO119" s="3986" t="str">
        <f>IF(AND(ISNUMBER(MATCH($F119,'Tablas Técnicas'!$L$10:$L$644,0)),INDEX($J131:$J137,Tablas!D$1)="",COUNTIF(AP119:$AS119,$F119)=0),$F119,IF(INDEX($J131:$J137,Tablas!D$1)="","",$F119&amp;INDEX($J131:$J137,Tablas!D$1)))</f>
        <v/>
      </c>
      <c r="AP119" s="3986" t="str">
        <f>IF(AND(ISNUMBER(MATCH($F119,'Tablas Técnicas'!$L$10:$L$644,0)),INDEX($J131:$J137,Tablas!E$1)="",COUNTIF(AQ119:$AS119,$F119)=0),$F119,IF(INDEX($J131:$J137,Tablas!E$1)="","",$F119&amp;INDEX($J131:$J137,Tablas!E$1)))</f>
        <v/>
      </c>
      <c r="AQ119" s="3986" t="str">
        <f>IF(AND(ISNUMBER(MATCH($F119,'Tablas Técnicas'!$L$10:$L$644,0)),INDEX($J131:$J137,Tablas!F$1)="",COUNTIF(AR119:$AS119,$F119)=0),$F119,IF(INDEX($J131:$J137,Tablas!F$1)="","",$F119&amp;INDEX($J131:$J137,Tablas!F$1)))</f>
        <v/>
      </c>
      <c r="AR119" s="3986" t="str">
        <f>IF(AND(ISNUMBER(MATCH($F119,'Tablas Técnicas'!$L$10:$L$644,0)),INDEX($J131:$J137,Tablas!G$1)="",COUNTIF(AS119:$AS119,$F119)=0),$F119,IF(INDEX($J131:$J137,Tablas!G$1)="","",$F119&amp;INDEX($J131:$J137,Tablas!G$1)))</f>
        <v/>
      </c>
      <c r="AS119" s="1868">
        <f>V119+X119+Z119+AB119+AD119+AF119</f>
        <v>0</v>
      </c>
      <c r="AT119" s="1868">
        <f t="array" ref="AT119">SUM(IF($AL119:$AR119='Tablas Técnicas'!$L$10:$L$644,IF(D119="Primario",'Tablas Técnicas'!$E$10:$E$644,'Tablas Técnicas'!$F$10:$F$644)+IF(K119="Sostenimiento menor",'Tablas Técnicas'!$I$10:$I$644,IF(K119="sostenimiento mayor",'Tablas Técnicas'!$J$10:$J$644,0)),0),0)+VALUE(RIGHT(P119,2))+AU119+AV119</f>
        <v>0</v>
      </c>
      <c r="AU119" s="186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1868">
        <f>(COUNTIF(AL119:AR119,"*Estado añadido:*")-1)*COUNTIF(AL119:AR119,"*Estado añadido:*")</f>
        <v>0</v>
      </c>
      <c r="AW119" s="1868">
        <f t="array" ref="AW119">SUM(IF($AL119:$AR119='Tablas Técnicas'!$L$10:$L$644,'Tablas Técnicas'!$G$10:$G$644,0))</f>
        <v>0</v>
      </c>
      <c r="AX119" s="3986"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986" t="str">
        <f>IFERROR(LEFT(AX119,LEN(AX119)-2)&amp;"), ","")</f>
        <v/>
      </c>
      <c r="AZ119" s="1868"/>
      <c r="BA119" s="1868"/>
      <c r="BB119" s="1868"/>
      <c r="BC119" s="1868"/>
      <c r="BD119" s="1868"/>
      <c r="BE119" s="1868"/>
      <c r="BF119" s="1868"/>
      <c r="BG119" s="1868"/>
      <c r="BH119" s="1868"/>
      <c r="BI119" s="1868"/>
      <c r="BJ119" s="1868"/>
      <c r="BK119" s="1868"/>
      <c r="BL119" s="1868"/>
      <c r="BM119" s="1868"/>
      <c r="BN119" s="1868"/>
      <c r="BO119" s="1868"/>
      <c r="BP119" s="1868"/>
      <c r="BQ119" s="1868"/>
      <c r="BR119" s="1868"/>
    </row>
    <row r="120" spans="1:70" ht="12.2" customHeight="1">
      <c r="A120" s="1935"/>
      <c r="B120" s="1866">
        <f t="shared" si="2"/>
        <v>4</v>
      </c>
      <c r="C120" s="6009"/>
      <c r="D120" s="6000" t="s">
        <v>483</v>
      </c>
      <c r="E120" s="6001"/>
      <c r="F120" s="5899"/>
      <c r="G120" s="5900"/>
      <c r="H120" s="5900"/>
      <c r="I120" s="5900"/>
      <c r="J120" s="5901"/>
      <c r="K120" s="5997" t="s">
        <v>1315</v>
      </c>
      <c r="L120" s="5998"/>
      <c r="M120" s="5999"/>
      <c r="N120" s="1712">
        <f>IF(AW120&gt;0,IF(VLOOKUP(F120,'Tablas Técnicas'!$O$9:$X$88,10,0),MAX(5,AW120-5),AW120),0)</f>
        <v>0</v>
      </c>
      <c r="O120" s="1712" t="str">
        <f>AS120&amp;" / "&amp;AT120</f>
        <v>0 / 0</v>
      </c>
      <c r="P120" s="1712" t="str">
        <f t="array" ref="P120">W120+Y120+AA120+AC120+AE120+AG120&amp;" / "&amp;IF(K120&lt;&gt;"Mantenido",0,SUM(IF($AL120:$AR120='Tablas Técnicas'!$L$10:$L$644,'Tablas Técnicas'!$H$10:$H$644,0)))</f>
        <v>0 / 0</v>
      </c>
      <c r="Q120" s="6002" t="str">
        <f>IFERROR(VLOOKUP(F120,'Tablas Técnicas'!$O$9:$T$88,5,FALSE),"")</f>
        <v/>
      </c>
      <c r="R120" s="6002"/>
      <c r="S120" s="6002"/>
      <c r="T120" s="6002"/>
      <c r="U120" s="6002"/>
      <c r="V120" s="1832"/>
      <c r="W120" s="1833"/>
      <c r="X120" s="1832"/>
      <c r="Y120" s="1834"/>
      <c r="Z120" s="1835"/>
      <c r="AA120" s="1833"/>
      <c r="AB120" s="1832"/>
      <c r="AC120" s="1834"/>
      <c r="AD120" s="1835"/>
      <c r="AE120" s="1833"/>
      <c r="AF120" s="1832"/>
      <c r="AG120" s="1836"/>
      <c r="AH120" s="1943"/>
      <c r="AI120" s="6011"/>
      <c r="AJ120" s="3986">
        <v>3</v>
      </c>
      <c r="AK120" s="3986">
        <f>P114</f>
        <v>1</v>
      </c>
      <c r="AL120" s="3986" t="str">
        <f>IF(AND(ISNUMBER(MATCH($F120,'Tablas Técnicas'!$L$10:$L$644,0)),INDEX($P131:$P137,Tablas!A$1)="",COUNTIF(AM120:$AS120,$F120)=0),$F120,IF(INDEX($P131:$P137,Tablas!A$1)="","",$F120&amp;INDEX($P131:$P137,Tablas!A$1)))</f>
        <v/>
      </c>
      <c r="AM120" s="3986" t="str">
        <f>IF(AND(ISNUMBER(MATCH($F120,'Tablas Técnicas'!$L$10:$L$644,0)),INDEX($P131:$P137,Tablas!B$1)="",COUNTIF(AN120:$AS120,$F120)=0),$F120,IF(INDEX($P131:$P137,Tablas!B$1)="","",$F120&amp;INDEX($P131:$P137,Tablas!B$1)))</f>
        <v/>
      </c>
      <c r="AN120" s="3986" t="str">
        <f>IF(AND(ISNUMBER(MATCH($F120,'Tablas Técnicas'!$L$10:$L$644,0)),INDEX($P131:$P137,Tablas!C$1)="",COUNTIF(AO120:$AS120,$F120)=0),$F120,IF(INDEX($P131:$P137,Tablas!C$1)="","",$F120&amp;INDEX($P131:$P137,Tablas!C$1)))</f>
        <v/>
      </c>
      <c r="AO120" s="3986" t="str">
        <f>IF(AND(ISNUMBER(MATCH($F120,'Tablas Técnicas'!$L$10:$L$644,0)),INDEX($P131:$P137,Tablas!D$1)="",COUNTIF(AP120:$AS120,$F120)=0),$F120,IF(INDEX($P131:$P137,Tablas!D$1)="","",$F120&amp;INDEX($P131:$P137,Tablas!D$1)))</f>
        <v/>
      </c>
      <c r="AP120" s="3986" t="str">
        <f>IF(AND(ISNUMBER(MATCH($F120,'Tablas Técnicas'!$L$10:$L$644,0)),INDEX($P131:$P137,Tablas!E$1)="",COUNTIF(AQ120:$AS120,$F120)=0),$F120,IF(INDEX($P131:$P137,Tablas!E$1)="","",$F120&amp;INDEX($P131:$P137,Tablas!E$1)))</f>
        <v/>
      </c>
      <c r="AQ120" s="3986" t="str">
        <f>IF(AND(ISNUMBER(MATCH($F120,'Tablas Técnicas'!$L$10:$L$644,0)),INDEX($P131:$P137,Tablas!F$1)="",COUNTIF(AR120:$AS120,$F120)=0),$F120,IF(INDEX($P131:$P137,Tablas!F$1)="","",$F120&amp;INDEX($P131:$P137,Tablas!F$1)))</f>
        <v/>
      </c>
      <c r="AR120" s="3986" t="str">
        <f>IF(AND(ISNUMBER(MATCH($F120,'Tablas Técnicas'!$L$10:$L$644,0)),INDEX($P131:$P137,Tablas!G$1)="",COUNTIF(AS120:$AS120,$F120)=0),$F120,IF(INDEX($P131:$P137,Tablas!G$1)="","",$F120&amp;INDEX($P131:$P137,Tablas!G$1)))</f>
        <v/>
      </c>
      <c r="AS120" s="1868">
        <f>V120+X120+Z120+AB120+AD120+AF120</f>
        <v>0</v>
      </c>
      <c r="AT120" s="1868">
        <f t="array" ref="AT120">SUM(IF($AL120:$AR120='Tablas Técnicas'!$L$10:$L$644,IF(D120="Primario",'Tablas Técnicas'!$E$10:$E$644,'Tablas Técnicas'!$F$10:$F$644)+IF(K120="Sostenimiento menor",'Tablas Técnicas'!$I$10:$I$644,IF(K120="sostenimiento mayor",'Tablas Técnicas'!$J$10:$J$644,0)),0),0)+VALUE(RIGHT(P120,2))+AU120+AV120</f>
        <v>0</v>
      </c>
      <c r="AU120" s="186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1868">
        <f>(COUNTIF(AL120:AR120,"*Estado añadido:*")-1)*COUNTIF(AL120:AR120,"*Estado añadido:*")</f>
        <v>0</v>
      </c>
      <c r="AW120" s="1868">
        <f t="array" ref="AW120">SUM(IF($AL120:$AR120='Tablas Técnicas'!$L$10:$L$644,'Tablas Técnicas'!$G$10:$G$644,0))</f>
        <v>0</v>
      </c>
      <c r="AX120" s="3986"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986" t="str">
        <f>IFERROR(LEFT(AX120,LEN(AX120)-2)&amp;"), ","")</f>
        <v/>
      </c>
      <c r="AZ120" s="1868"/>
      <c r="BA120" s="1868"/>
      <c r="BB120" s="1868"/>
      <c r="BC120" s="1868"/>
      <c r="BD120" s="1868"/>
      <c r="BE120" s="1868"/>
      <c r="BF120" s="1868"/>
      <c r="BG120" s="1868"/>
      <c r="BH120" s="1868"/>
      <c r="BI120" s="1868"/>
      <c r="BJ120" s="1868"/>
      <c r="BK120" s="1868"/>
      <c r="BL120" s="1868"/>
      <c r="BM120" s="1868"/>
      <c r="BN120" s="1868"/>
      <c r="BO120" s="1868"/>
      <c r="BP120" s="1868"/>
      <c r="BQ120" s="1868"/>
      <c r="BR120" s="1868"/>
    </row>
    <row r="121" spans="1:70" ht="12.2" customHeight="1">
      <c r="A121" s="1935"/>
      <c r="B121" s="1866">
        <f t="shared" si="2"/>
        <v>4</v>
      </c>
      <c r="C121" s="6009"/>
      <c r="D121" s="5906" t="s">
        <v>483</v>
      </c>
      <c r="E121" s="5907"/>
      <c r="F121" s="5984"/>
      <c r="G121" s="5985"/>
      <c r="H121" s="5985"/>
      <c r="I121" s="5985"/>
      <c r="J121" s="5902"/>
      <c r="K121" s="5986" t="s">
        <v>1315</v>
      </c>
      <c r="L121" s="5987"/>
      <c r="M121" s="5988"/>
      <c r="N121" s="1716">
        <f>IF(AW121&gt;0,IF(VLOOKUP(F121,'Tablas Técnicas'!$O$9:$X$88,10,0),MAX(5,AW121-5),AW121),0)</f>
        <v>0</v>
      </c>
      <c r="O121" s="1716" t="str">
        <f>AS121&amp;" / "&amp;AT121</f>
        <v>0 / 0</v>
      </c>
      <c r="P121" s="1716" t="str">
        <f t="array" ref="P121">W121+Y121+AA121+AC121+AE121+AG121&amp;" / "&amp;IF(K121&lt;&gt;"Mantenido",0,SUM(IF($AL121:$AR121='Tablas Técnicas'!$L$10:$L$644,'Tablas Técnicas'!$H$10:$H$644,0)))</f>
        <v>0 / 0</v>
      </c>
      <c r="Q121" s="5908" t="str">
        <f>IFERROR(VLOOKUP(F121,'Tablas Técnicas'!$O$9:$T$88,5,FALSE),"")</f>
        <v/>
      </c>
      <c r="R121" s="5908"/>
      <c r="S121" s="5908"/>
      <c r="T121" s="5908"/>
      <c r="U121" s="5908"/>
      <c r="V121" s="1827"/>
      <c r="W121" s="1828"/>
      <c r="X121" s="1827"/>
      <c r="Y121" s="1829"/>
      <c r="Z121" s="1830"/>
      <c r="AA121" s="1828"/>
      <c r="AB121" s="1827"/>
      <c r="AC121" s="1829"/>
      <c r="AD121" s="1830"/>
      <c r="AE121" s="1828"/>
      <c r="AF121" s="1827"/>
      <c r="AG121" s="1831"/>
      <c r="AH121" s="1943"/>
      <c r="AI121" s="6011"/>
      <c r="AJ121" s="3986">
        <v>4</v>
      </c>
      <c r="AK121" s="3986">
        <f>P114</f>
        <v>1</v>
      </c>
      <c r="AL121" s="3986" t="str">
        <f>IF(AND(ISNUMBER(MATCH($F121,'Tablas Técnicas'!$L$10:$L$644,0)),INDEX($V131:$V137,Tablas!A$1)="",COUNTIF(AM121:$AS121,$F121)=0),$F121,IF(INDEX($V131:$V137,Tablas!A$1)="","",$F121&amp;INDEX($V131:$V137,Tablas!A$1)))</f>
        <v/>
      </c>
      <c r="AM121" s="3986" t="str">
        <f>IF(AND(ISNUMBER(MATCH($F121,'Tablas Técnicas'!$L$10:$L$644,0)),INDEX($V131:$V137,Tablas!B$1)="",COUNTIF(AN121:$AS121,$F121)=0),$F121,IF(INDEX($V131:$V137,Tablas!B$1)="","",$F121&amp;INDEX($V131:$V137,Tablas!B$1)))</f>
        <v/>
      </c>
      <c r="AN121" s="3986" t="str">
        <f>IF(AND(ISNUMBER(MATCH($F121,'Tablas Técnicas'!$L$10:$L$644,0)),INDEX($V131:$V137,Tablas!C$1)="",COUNTIF(AO121:$AS121,$F121)=0),$F121,IF(INDEX($V131:$V137,Tablas!C$1)="","",$F121&amp;INDEX($V131:$V137,Tablas!C$1)))</f>
        <v/>
      </c>
      <c r="AO121" s="3986" t="str">
        <f>IF(AND(ISNUMBER(MATCH($F121,'Tablas Técnicas'!$L$10:$L$644,0)),INDEX($V131:$V137,Tablas!D$1)="",COUNTIF(AP121:$AS121,$F121)=0),$F121,IF(INDEX($V131:$V137,Tablas!D$1)="","",$F121&amp;INDEX($V131:$V137,Tablas!D$1)))</f>
        <v/>
      </c>
      <c r="AP121" s="3986" t="str">
        <f>IF(AND(ISNUMBER(MATCH($F121,'Tablas Técnicas'!$L$10:$L$644,0)),INDEX($V131:$V137,Tablas!E$1)="",COUNTIF(AQ121:$AS121,$F121)=0),$F121,IF(INDEX($V131:$V137,Tablas!E$1)="","",$F121&amp;INDEX($V131:$V137,Tablas!E$1)))</f>
        <v/>
      </c>
      <c r="AQ121" s="3986" t="str">
        <f>IF(AND(ISNUMBER(MATCH($F121,'Tablas Técnicas'!$L$10:$L$644,0)),INDEX($V131:$V137,Tablas!F$1)="",COUNTIF(AR121:$AS121,$F121)=0),$F121,IF(INDEX($V131:$V137,Tablas!F$1)="","",$F121&amp;INDEX($V131:$V137,Tablas!F$1)))</f>
        <v/>
      </c>
      <c r="AR121" s="3986" t="str">
        <f>IF(AND(ISNUMBER(MATCH($F121,'Tablas Técnicas'!$L$10:$L$644,0)),INDEX($V131:$V137,Tablas!G$1)="",COUNTIF(AS121:$AS121,$F121)=0),$F121,IF(INDEX($V131:$V137,Tablas!G$1)="","",$F121&amp;INDEX($V131:$V137,Tablas!G$1)))</f>
        <v/>
      </c>
      <c r="AS121" s="1868">
        <f>V121+X121+Z121+AB121+AD121+AF121</f>
        <v>0</v>
      </c>
      <c r="AT121" s="1868">
        <f t="array" ref="AT121">SUM(IF($AL121:$AR121='Tablas Técnicas'!$L$10:$L$644,IF(D121="Primario",'Tablas Técnicas'!$E$10:$E$644,'Tablas Técnicas'!$F$10:$F$644)+IF(K121="Sostenimiento menor",'Tablas Técnicas'!$I$10:$I$644,IF(K121="sostenimiento mayor",'Tablas Técnicas'!$J$10:$J$644,0)),0),0)+VALUE(RIGHT(P121,2))+AU121+AV121</f>
        <v>0</v>
      </c>
      <c r="AU121" s="186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1868">
        <f>(COUNTIF(AL121:AR121,"*Estado añadido:*")-1)*COUNTIF(AL121:AR121,"*Estado añadido:*")</f>
        <v>0</v>
      </c>
      <c r="AW121" s="1868">
        <f t="array" ref="AW121">SUM(IF($AL121:$AR121='Tablas Técnicas'!$L$10:$L$644,'Tablas Técnicas'!$G$10:$G$644,0))</f>
        <v>0</v>
      </c>
      <c r="AX121" s="3986"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986" t="str">
        <f>IFERROR(LEFT(AX121,LEN(AX121)-2)&amp;"), ","")</f>
        <v/>
      </c>
      <c r="AZ121" s="1868"/>
      <c r="BA121" s="1868"/>
      <c r="BB121" s="1868"/>
      <c r="BC121" s="1868"/>
      <c r="BD121" s="1868"/>
      <c r="BE121" s="1868"/>
      <c r="BF121" s="1868"/>
      <c r="BG121" s="1868"/>
      <c r="BH121" s="1868"/>
      <c r="BI121" s="1868"/>
      <c r="BJ121" s="1868"/>
      <c r="BK121" s="1868"/>
      <c r="BL121" s="1868"/>
      <c r="BM121" s="1868"/>
      <c r="BN121" s="1868"/>
      <c r="BO121" s="1868"/>
      <c r="BP121" s="1868"/>
      <c r="BQ121" s="1868"/>
      <c r="BR121" s="1868"/>
    </row>
    <row r="122" spans="1:70" ht="12.2" customHeight="1" thickBot="1">
      <c r="A122" s="1935"/>
      <c r="B122" s="1866">
        <f t="shared" si="2"/>
        <v>4</v>
      </c>
      <c r="C122" s="6009"/>
      <c r="D122" s="5909" t="s">
        <v>483</v>
      </c>
      <c r="E122" s="5910"/>
      <c r="F122" s="6005"/>
      <c r="G122" s="6006"/>
      <c r="H122" s="6006"/>
      <c r="I122" s="6006"/>
      <c r="J122" s="6007"/>
      <c r="K122" s="5994" t="s">
        <v>1315</v>
      </c>
      <c r="L122" s="5995"/>
      <c r="M122" s="5996"/>
      <c r="N122" s="2170">
        <f>IF(AW122&gt;0,IF(VLOOKUP(F122,'Tablas Técnicas'!$O$9:$X$88,10,0),MAX(5,AW122-5),AW122),0)</f>
        <v>0</v>
      </c>
      <c r="O122" s="2170" t="str">
        <f>AS122&amp;" / "&amp;AT122</f>
        <v>0 / 0</v>
      </c>
      <c r="P122" s="2170" t="str">
        <f t="array" ref="P122">W122+Y122+AA122+AC122+AE122+AG122&amp;" / "&amp;IF(K122&lt;&gt;"Mantenido",0,SUM(IF($AL122:$AR122='Tablas Técnicas'!$L$10:$L$644,'Tablas Técnicas'!$H$10:$H$644,0)))</f>
        <v>0 / 0</v>
      </c>
      <c r="Q122" s="5913" t="str">
        <f>IFERROR(VLOOKUP(F122,'Tablas Técnicas'!$O$9:$T$88,5,FALSE),"")</f>
        <v/>
      </c>
      <c r="R122" s="5913"/>
      <c r="S122" s="5913"/>
      <c r="T122" s="5913"/>
      <c r="U122" s="5913"/>
      <c r="V122" s="1837"/>
      <c r="W122" s="1838"/>
      <c r="X122" s="1837"/>
      <c r="Y122" s="1839"/>
      <c r="Z122" s="1840"/>
      <c r="AA122" s="1838"/>
      <c r="AB122" s="1837"/>
      <c r="AC122" s="1839"/>
      <c r="AD122" s="1840"/>
      <c r="AE122" s="1838"/>
      <c r="AF122" s="1837"/>
      <c r="AG122" s="1841"/>
      <c r="AH122" s="1943"/>
      <c r="AI122" s="6011"/>
      <c r="AJ122" s="3986">
        <v>5</v>
      </c>
      <c r="AK122" s="3986">
        <f>P114</f>
        <v>1</v>
      </c>
      <c r="AL122" s="3986" t="str">
        <f>IF(AND(ISNUMBER(MATCH($F122,'Tablas Técnicas'!$L$10:$L$644,0)),INDEX($AB131:$AB137,Tablas!A$1)="",COUNTIF(AM122:$AS122,$F122)=0),$F122,IF(INDEX($AB131:$AB137,Tablas!A$1)="","",$F122&amp;INDEX($AB131:$AB137,Tablas!A$1)))</f>
        <v/>
      </c>
      <c r="AM122" s="3986" t="str">
        <f>IF(AND(ISNUMBER(MATCH($F122,'Tablas Técnicas'!$L$10:$L$644,0)),INDEX($AB131:$AB137,Tablas!B$1)="",COUNTIF(AN122:$AS122,$F122)=0),$F122,IF(INDEX($AB131:$AB137,Tablas!B$1)="","",$F122&amp;INDEX($AB131:$AB137,Tablas!B$1)))</f>
        <v/>
      </c>
      <c r="AN122" s="3986" t="str">
        <f>IF(AND(ISNUMBER(MATCH($F122,'Tablas Técnicas'!$L$10:$L$644,0)),INDEX($AB131:$AB137,Tablas!C$1)="",COUNTIF(AO122:$AS122,$F122)=0),$F122,IF(INDEX($AB131:$AB137,Tablas!C$1)="","",$F122&amp;INDEX($AB131:$AB137,Tablas!C$1)))</f>
        <v/>
      </c>
      <c r="AO122" s="3986" t="str">
        <f>IF(AND(ISNUMBER(MATCH($F122,'Tablas Técnicas'!$L$10:$L$644,0)),INDEX($AB131:$AB137,Tablas!D$1)="",COUNTIF(AP122:$AS122,$F122)=0),$F122,IF(INDEX($AB131:$AB137,Tablas!D$1)="","",$F122&amp;INDEX($AB131:$AB137,Tablas!D$1)))</f>
        <v/>
      </c>
      <c r="AP122" s="3986" t="str">
        <f>IF(AND(ISNUMBER(MATCH($F122,'Tablas Técnicas'!$L$10:$L$644,0)),INDEX($AB131:$AB137,Tablas!E$1)="",COUNTIF(AQ122:$AS122,$F122)=0),$F122,IF(INDEX($AB131:$AB137,Tablas!E$1)="","",$F122&amp;INDEX($AB131:$AB137,Tablas!E$1)))</f>
        <v/>
      </c>
      <c r="AQ122" s="3986" t="str">
        <f>IF(AND(ISNUMBER(MATCH($F122,'Tablas Técnicas'!$L$10:$L$644,0)),INDEX($AB131:$AB137,Tablas!F$1)="",COUNTIF(AR122:$AS122,$F122)=0),$F122,IF(INDEX($AB131:$AB137,Tablas!F$1)="","",$F122&amp;INDEX($AB131:$AB137,Tablas!F$1)))</f>
        <v/>
      </c>
      <c r="AR122" s="3986" t="str">
        <f>IF(AND(ISNUMBER(MATCH($F122,'Tablas Técnicas'!$L$10:$L$644,0)),INDEX($AB131:$AB137,Tablas!G$1)="",COUNTIF(AS122:$AS122,$F122)=0),$F122,IF(INDEX($AB131:$AB137,Tablas!G$1)="","",$F122&amp;INDEX($AB131:$AB137,Tablas!G$1)))</f>
        <v/>
      </c>
      <c r="AS122" s="1868">
        <f>V122+X122+Z122+AB122+AD122+AF122</f>
        <v>0</v>
      </c>
      <c r="AT122" s="1868">
        <f t="array" ref="AT122">SUM(IF($AL122:$AR122='Tablas Técnicas'!$L$10:$L$644,IF(D122="Primario",'Tablas Técnicas'!$E$10:$E$644,'Tablas Técnicas'!$F$10:$F$644)+IF(K122="Sostenimiento menor",'Tablas Técnicas'!$I$10:$I$644,IF(K122="sostenimiento mayor",'Tablas Técnicas'!$J$10:$J$644,0)),0),0)+VALUE(RIGHT(P122,2))+AU122+AV122</f>
        <v>0</v>
      </c>
      <c r="AU122" s="186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1868">
        <f>(COUNTIF(AL122:AR122,"*Estado añadido:*")-1)*COUNTIF(AL122:AR122,"*Estado añadido:*")</f>
        <v>0</v>
      </c>
      <c r="AW122" s="1868">
        <f t="array" ref="AW122">SUM(IF($AL122:$AR122='Tablas Técnicas'!$L$10:$L$644,'Tablas Técnicas'!$G$10:$G$644,0))</f>
        <v>0</v>
      </c>
      <c r="AX122" s="3986"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986" t="str">
        <f>IFERROR(LEFT(AX122,LEN(AX122)-2)&amp;"), ","")</f>
        <v/>
      </c>
      <c r="AZ122" s="1868"/>
      <c r="BA122" s="1868"/>
      <c r="BB122" s="1868"/>
      <c r="BC122" s="1868"/>
      <c r="BD122" s="1868"/>
      <c r="BE122" s="1868"/>
      <c r="BF122" s="1868"/>
      <c r="BG122" s="1868"/>
      <c r="BH122" s="1868"/>
      <c r="BI122" s="1868"/>
      <c r="BJ122" s="1868"/>
      <c r="BK122" s="1868"/>
      <c r="BL122" s="1868"/>
      <c r="BM122" s="1868"/>
      <c r="BN122" s="1868"/>
      <c r="BO122" s="1868"/>
      <c r="BP122" s="1868"/>
      <c r="BQ122" s="1868"/>
      <c r="BR122" s="1868"/>
    </row>
    <row r="123" spans="1:70" ht="12.2" customHeight="1">
      <c r="A123" s="1935"/>
      <c r="B123" s="1866">
        <f t="shared" si="2"/>
        <v>4</v>
      </c>
      <c r="C123" s="6009"/>
      <c r="D123" s="5961" t="s">
        <v>2657</v>
      </c>
      <c r="E123" s="5962"/>
      <c r="F123" s="5957"/>
      <c r="G123" s="5958"/>
      <c r="H123" s="5958"/>
      <c r="I123" s="5958"/>
      <c r="J123" s="5959"/>
      <c r="K123" s="5931"/>
      <c r="L123" s="5937"/>
      <c r="M123" s="5938"/>
      <c r="N123" s="4286" t="str">
        <f>IFERROR(INDEX('Tablas Técnicas'!$Q$152:$Q$267,MATCH(F123&amp;K123,'Tablas Técnicas'!$S$152:$S$267,0)),"")</f>
        <v/>
      </c>
      <c r="O123" s="5939"/>
      <c r="P123" s="5940"/>
      <c r="Q123" s="5941"/>
      <c r="R123" s="5940"/>
      <c r="S123" s="4287" t="str">
        <f>IFERROR("Nivel: "&amp;MAX(1,INDEX('Tablas Técnicas'!$R$152:$R$267,MATCH(F123&amp;K123,'Tablas Técnicas'!$S$152:$S$267,0))),"")</f>
        <v/>
      </c>
      <c r="T123" s="4288"/>
      <c r="U123" s="4289" t="str">
        <f>IFERROR("("&amp;VLOOKUP(F123,'Tablas Técnicas'!$O$117:$Q$146,3,FALSE)&amp;")","")</f>
        <v/>
      </c>
      <c r="V123" s="5857" t="s">
        <v>9159</v>
      </c>
      <c r="W123" s="5858"/>
      <c r="X123" s="5859"/>
      <c r="Y123" s="2171">
        <v>0</v>
      </c>
      <c r="Z123" s="5914" t="s">
        <v>8361</v>
      </c>
      <c r="AA123" s="5861"/>
      <c r="AB123" s="5862"/>
      <c r="AC123" s="2171">
        <v>0</v>
      </c>
      <c r="AD123" s="5915" t="str">
        <f>"Ki sin repartir: "&amp;AL131-AL132&amp;IF(AM131=0,""," ("&amp;AM131-AM132&amp;")")</f>
        <v>Ki sin repartir: 0</v>
      </c>
      <c r="AE123" s="5895"/>
      <c r="AF123" s="5895"/>
      <c r="AG123" s="5896"/>
      <c r="AH123" s="1943"/>
      <c r="AI123" s="6011"/>
      <c r="AJ123" s="3986">
        <v>1</v>
      </c>
      <c r="AK123" s="3986">
        <f>P114</f>
        <v>1</v>
      </c>
      <c r="AL123" s="3986" t="e">
        <f>VLOOKUP(F123,'Tablas Técnicas'!$O$117:$Q$146,2,FALSE)</f>
        <v>#N/A</v>
      </c>
      <c r="AM123" s="3986"/>
      <c r="AN123" s="3987"/>
      <c r="AO123" s="3986"/>
      <c r="AP123" s="3986"/>
      <c r="AQ123" s="3987"/>
      <c r="AR123" s="3986"/>
      <c r="AS123" s="3986"/>
      <c r="AT123" s="3986"/>
      <c r="AU123" s="3986"/>
      <c r="AV123" s="3986"/>
      <c r="AW123" s="1868"/>
      <c r="AX123" s="1868"/>
      <c r="AY123" s="3986" t="str">
        <f>IF(F123="","",F123&amp;IF(K123="",""," ("&amp;IF(F123="Atadura Elemental",O123&amp;IF(Q123="","",", "&amp;Q123),K123)&amp;")")&amp;", ")</f>
        <v/>
      </c>
      <c r="AZ123" s="1868"/>
      <c r="BA123" s="1868"/>
      <c r="BB123" s="1868"/>
      <c r="BC123" s="1868"/>
      <c r="BD123" s="1868"/>
      <c r="BE123" s="1868"/>
      <c r="BF123" s="1868"/>
      <c r="BG123" s="1868"/>
      <c r="BH123" s="1868"/>
      <c r="BI123" s="1868"/>
      <c r="BJ123" s="1868"/>
      <c r="BK123" s="1868"/>
      <c r="BL123" s="1868"/>
      <c r="BM123" s="1868"/>
      <c r="BN123" s="1868"/>
      <c r="BO123" s="1868"/>
      <c r="BP123" s="1868"/>
      <c r="BQ123" s="1868"/>
      <c r="BR123" s="1868"/>
    </row>
    <row r="124" spans="1:70" ht="12.2" customHeight="1">
      <c r="A124" s="1935"/>
      <c r="B124" s="1866">
        <f t="shared" si="2"/>
        <v>4</v>
      </c>
      <c r="C124" s="6009"/>
      <c r="D124" s="5963"/>
      <c r="E124" s="5964"/>
      <c r="F124" s="5942"/>
      <c r="G124" s="5943"/>
      <c r="H124" s="5943"/>
      <c r="I124" s="5943"/>
      <c r="J124" s="5944"/>
      <c r="K124" s="5902"/>
      <c r="L124" s="5903"/>
      <c r="M124" s="5904"/>
      <c r="N124" s="1720" t="str">
        <f>IFERROR(INDEX('Tablas Técnicas'!$Q$152:$Q$267,MATCH(F124&amp;K124,'Tablas Técnicas'!$S$152:$S$267,0)),"")</f>
        <v/>
      </c>
      <c r="O124" s="5945"/>
      <c r="P124" s="5946"/>
      <c r="Q124" s="5947"/>
      <c r="R124" s="5946"/>
      <c r="S124" s="1716" t="str">
        <f>IFERROR("Nivel: "&amp;MAX(1,INDEX('Tablas Técnicas'!$R$152:$R$267,MATCH(F124&amp;K124,'Tablas Técnicas'!$S$152:$S$267,0))),"")</f>
        <v/>
      </c>
      <c r="T124" s="2172"/>
      <c r="U124" s="1715" t="str">
        <f>IFERROR("("&amp;VLOOKUP(F124,'Tablas Técnicas'!$O$117:$Q$146,3,FALSE)&amp;")","")</f>
        <v/>
      </c>
      <c r="V124" s="5854" t="str">
        <f>"Mod. "&amp;V116</f>
        <v>Mod. AGI</v>
      </c>
      <c r="W124" s="5855"/>
      <c r="X124" s="5854" t="str">
        <f>"Mod. "&amp;X116</f>
        <v>Mod. CON</v>
      </c>
      <c r="Y124" s="5855"/>
      <c r="Z124" s="5854" t="str">
        <f>"Mod. "&amp;Z116</f>
        <v>Mod. DES</v>
      </c>
      <c r="AA124" s="5855"/>
      <c r="AB124" s="5854" t="str">
        <f>"Mod. "&amp;AB116</f>
        <v>Mod. FUE</v>
      </c>
      <c r="AC124" s="5855"/>
      <c r="AD124" s="5854" t="str">
        <f>"Mod. "&amp;AD116</f>
        <v>Mod. POD</v>
      </c>
      <c r="AE124" s="5855"/>
      <c r="AF124" s="5854" t="str">
        <f>"Mod. "&amp;AF116</f>
        <v>Mod. VOL</v>
      </c>
      <c r="AG124" s="5856"/>
      <c r="AH124" s="1943"/>
      <c r="AI124" s="6011"/>
      <c r="AJ124" s="3986">
        <v>2</v>
      </c>
      <c r="AK124" s="3986">
        <f>P114</f>
        <v>1</v>
      </c>
      <c r="AL124" s="3986" t="e">
        <f>VLOOKUP(F124,'Tablas Técnicas'!$O$117:$Q$146,2,FALSE)</f>
        <v>#N/A</v>
      </c>
      <c r="AM124" s="3986"/>
      <c r="AN124" s="3987"/>
      <c r="AO124" s="3986"/>
      <c r="AP124" s="3986"/>
      <c r="AQ124" s="3987"/>
      <c r="AR124" s="3986"/>
      <c r="AS124" s="3986"/>
      <c r="AT124" s="3986"/>
      <c r="AU124" s="3986"/>
      <c r="AV124" s="3986"/>
      <c r="AW124" s="1868"/>
      <c r="AX124" s="1868"/>
      <c r="AY124" s="3986" t="str">
        <f>IF(F124="","",F124&amp;IF(K124="",""," ("&amp;IF(F124="Atadura Elemental",O124&amp;IF(Q124="","",", "&amp;Q124),K124)&amp;")")&amp;", ")</f>
        <v/>
      </c>
      <c r="AZ124" s="1868"/>
      <c r="BA124" s="1868"/>
      <c r="BB124" s="1868"/>
      <c r="BC124" s="1868"/>
      <c r="BD124" s="1868"/>
      <c r="BE124" s="1868"/>
      <c r="BF124" s="1868"/>
      <c r="BG124" s="1868"/>
      <c r="BH124" s="1868"/>
      <c r="BI124" s="1868"/>
      <c r="BJ124" s="1868"/>
      <c r="BK124" s="1868"/>
      <c r="BL124" s="1868"/>
      <c r="BM124" s="1868"/>
      <c r="BN124" s="1868"/>
      <c r="BO124" s="1868"/>
      <c r="BP124" s="1868"/>
      <c r="BQ124" s="1868"/>
      <c r="BR124" s="1868"/>
    </row>
    <row r="125" spans="1:70" ht="12.2" customHeight="1" thickBot="1">
      <c r="A125" s="1935"/>
      <c r="B125" s="1866">
        <f t="shared" si="2"/>
        <v>4</v>
      </c>
      <c r="C125" s="6009"/>
      <c r="D125" s="6003"/>
      <c r="E125" s="6004"/>
      <c r="F125" s="5948"/>
      <c r="G125" s="5949"/>
      <c r="H125" s="5949"/>
      <c r="I125" s="5949"/>
      <c r="J125" s="5950"/>
      <c r="K125" s="5951"/>
      <c r="L125" s="5952"/>
      <c r="M125" s="5953"/>
      <c r="N125" s="4290" t="str">
        <f>IFERROR(INDEX('Tablas Técnicas'!$Q$152:$Q$267,MATCH(F125&amp;K125,'Tablas Técnicas'!$S$152:$S$267,0)),"")</f>
        <v/>
      </c>
      <c r="O125" s="5954"/>
      <c r="P125" s="5955"/>
      <c r="Q125" s="5956"/>
      <c r="R125" s="5955"/>
      <c r="S125" s="4291" t="str">
        <f>IFERROR("Nivel: "&amp;MAX(1,INDEX('Tablas Técnicas'!$R$152:$R$267,MATCH(F125&amp;K125,'Tablas Técnicas'!$S$152:$S$267,0))),"")</f>
        <v/>
      </c>
      <c r="T125" s="4292"/>
      <c r="U125" s="1807" t="str">
        <f>IFERROR("("&amp;VLOOKUP(F125,'Tablas Técnicas'!$O$117:$Q$146,3,FALSE)&amp;")","")</f>
        <v/>
      </c>
      <c r="V125" s="5864"/>
      <c r="W125" s="5863"/>
      <c r="X125" s="5863"/>
      <c r="Y125" s="5863"/>
      <c r="Z125" s="5863"/>
      <c r="AA125" s="5863"/>
      <c r="AB125" s="5863"/>
      <c r="AC125" s="5863"/>
      <c r="AD125" s="5863"/>
      <c r="AE125" s="5863"/>
      <c r="AF125" s="5863"/>
      <c r="AG125" s="5905"/>
      <c r="AH125" s="1943"/>
      <c r="AI125" s="6011"/>
      <c r="AJ125" s="3986">
        <v>3</v>
      </c>
      <c r="AK125" s="3986">
        <f>P114</f>
        <v>1</v>
      </c>
      <c r="AL125" s="3986" t="e">
        <f>VLOOKUP(F125,'Tablas Técnicas'!$O$117:$Q$146,2,FALSE)</f>
        <v>#N/A</v>
      </c>
      <c r="AM125" s="3986"/>
      <c r="AN125" s="3987"/>
      <c r="AO125" s="3986"/>
      <c r="AP125" s="3986"/>
      <c r="AQ125" s="3987"/>
      <c r="AR125" s="1868"/>
      <c r="AS125" s="1868"/>
      <c r="AT125" s="1868"/>
      <c r="AU125" s="1868"/>
      <c r="AV125" s="1868"/>
      <c r="AW125" s="1868"/>
      <c r="AX125" s="1868"/>
      <c r="AY125" s="3986" t="str">
        <f>IF(F125="","",F125&amp;IF(K125="",""," ("&amp;IF(F125="Atadura Elemental",O125&amp;IF(Q125="","",", "&amp;Q125),K125)&amp;")")&amp;", ")</f>
        <v/>
      </c>
      <c r="AZ125" s="1868"/>
      <c r="BA125" s="1868"/>
      <c r="BB125" s="1868"/>
      <c r="BC125" s="1868"/>
      <c r="BD125" s="1868"/>
      <c r="BE125" s="1868"/>
      <c r="BF125" s="1868"/>
      <c r="BG125" s="1868"/>
      <c r="BH125" s="1868"/>
      <c r="BI125" s="1868"/>
      <c r="BJ125" s="1868"/>
      <c r="BK125" s="1868"/>
      <c r="BL125" s="1868"/>
      <c r="BM125" s="1868"/>
      <c r="BN125" s="1868"/>
      <c r="BO125" s="1868"/>
      <c r="BP125" s="1868"/>
      <c r="BQ125" s="1868"/>
      <c r="BR125" s="1868"/>
    </row>
    <row r="126" spans="1:70" ht="12.2" customHeight="1">
      <c r="A126" s="1935"/>
      <c r="B126" s="1866">
        <f t="shared" si="2"/>
        <v>4</v>
      </c>
      <c r="C126" s="6009"/>
      <c r="D126" s="5873" t="s">
        <v>8842</v>
      </c>
      <c r="E126" s="5874"/>
      <c r="F126" s="5874"/>
      <c r="G126" s="5874"/>
      <c r="H126" s="5874"/>
      <c r="I126" s="5874"/>
      <c r="J126" s="5874"/>
      <c r="K126" s="5874"/>
      <c r="L126" s="5874"/>
      <c r="M126" s="5874"/>
      <c r="N126" s="5874"/>
      <c r="O126" s="5874"/>
      <c r="P126" s="5874"/>
      <c r="Q126" s="5874"/>
      <c r="R126" s="5874"/>
      <c r="S126" s="5874"/>
      <c r="T126" s="5874"/>
      <c r="U126" s="5874"/>
      <c r="V126" s="5877"/>
      <c r="W126" s="5877"/>
      <c r="X126" s="5877"/>
      <c r="Y126" s="5877"/>
      <c r="Z126" s="5877"/>
      <c r="AA126" s="5877"/>
      <c r="AB126" s="5877"/>
      <c r="AC126" s="5877"/>
      <c r="AD126" s="5877"/>
      <c r="AE126" s="5877"/>
      <c r="AF126" s="5877"/>
      <c r="AG126" s="5878"/>
      <c r="AH126" s="1943"/>
      <c r="AI126" s="6011"/>
      <c r="AJ126" s="3986"/>
      <c r="AK126" s="3986"/>
      <c r="AL126" s="3986"/>
      <c r="AM126" s="3986"/>
      <c r="AN126" s="3987" t="s">
        <v>8362</v>
      </c>
      <c r="AO126" s="3986" t="e">
        <f>LEFT(AY118&amp;AY119&amp;AY120&amp;AY121&amp;AY122,LEN(AY118&amp;AY119&amp;AY120&amp;AY121&amp;AY122)-2)</f>
        <v>#VALUE!</v>
      </c>
      <c r="AP126" s="3986"/>
      <c r="AQ126" s="3987"/>
      <c r="AR126" s="1868"/>
      <c r="AS126" s="1868"/>
      <c r="AT126" s="1868"/>
      <c r="AU126" s="3987"/>
      <c r="AV126" s="3987"/>
      <c r="AW126" s="1868"/>
      <c r="AX126" s="1868"/>
      <c r="AY126" s="3986"/>
      <c r="AZ126" s="1868"/>
      <c r="BA126" s="1868"/>
      <c r="BB126" s="1868"/>
      <c r="BC126" s="1868"/>
      <c r="BD126" s="1868"/>
      <c r="BE126" s="1868"/>
      <c r="BF126" s="1868"/>
      <c r="BG126" s="1868"/>
      <c r="BH126" s="1868"/>
      <c r="BI126" s="1868"/>
      <c r="BJ126" s="1868"/>
      <c r="BK126" s="1868"/>
      <c r="BL126" s="1868"/>
      <c r="BM126" s="1868"/>
      <c r="BN126" s="1868"/>
      <c r="BO126" s="1868"/>
      <c r="BP126" s="1868"/>
      <c r="BQ126" s="1868"/>
      <c r="BR126" s="1868"/>
    </row>
    <row r="127" spans="1:70" ht="12.2" customHeight="1">
      <c r="A127" s="1935"/>
      <c r="B127" s="1866">
        <f t="shared" si="2"/>
        <v>4</v>
      </c>
      <c r="C127" s="6009"/>
      <c r="D127" s="5865" t="str">
        <f>IF(F118="","",F118)</f>
        <v/>
      </c>
      <c r="E127" s="5866"/>
      <c r="F127" s="5866"/>
      <c r="G127" s="5866"/>
      <c r="H127" s="5866"/>
      <c r="I127" s="5867"/>
      <c r="J127" s="5865" t="str">
        <f>IF(F119="","",F119)</f>
        <v/>
      </c>
      <c r="K127" s="5866"/>
      <c r="L127" s="5866"/>
      <c r="M127" s="5866"/>
      <c r="N127" s="5866"/>
      <c r="O127" s="5867"/>
      <c r="P127" s="5866" t="str">
        <f>IF(F120="","",F120)</f>
        <v/>
      </c>
      <c r="Q127" s="5866"/>
      <c r="R127" s="5866"/>
      <c r="S127" s="5866"/>
      <c r="T127" s="5866"/>
      <c r="U127" s="5867"/>
      <c r="V127" s="5865" t="str">
        <f>IF(F121="","",F121)</f>
        <v/>
      </c>
      <c r="W127" s="5866"/>
      <c r="X127" s="5866"/>
      <c r="Y127" s="5866"/>
      <c r="Z127" s="5866"/>
      <c r="AA127" s="5867"/>
      <c r="AB127" s="5866" t="str">
        <f>IF(F122="","",F122)</f>
        <v/>
      </c>
      <c r="AC127" s="5866"/>
      <c r="AD127" s="5866"/>
      <c r="AE127" s="5866"/>
      <c r="AF127" s="5866"/>
      <c r="AG127" s="5928"/>
      <c r="AH127" s="1943"/>
      <c r="AI127" s="6011"/>
      <c r="AJ127" s="3986"/>
      <c r="AK127" s="3986"/>
      <c r="AL127" s="3986"/>
      <c r="AM127" s="3986"/>
      <c r="AN127" s="3987" t="s">
        <v>8363</v>
      </c>
      <c r="AO127" s="3986" t="e">
        <f>LEFT(AY123&amp;AY124&amp;AY125,LEN(AY123&amp;AY124&amp;AY125)-2)</f>
        <v>#VALUE!</v>
      </c>
      <c r="AP127" s="3986"/>
      <c r="AQ127" s="3987"/>
      <c r="AR127" s="1868"/>
      <c r="AS127" s="1868"/>
      <c r="AT127" s="1868"/>
      <c r="AU127" s="3987"/>
      <c r="AV127" s="3987"/>
      <c r="AW127" s="1868"/>
      <c r="AX127" s="1868"/>
      <c r="AY127" s="3986"/>
      <c r="AZ127" s="1868"/>
      <c r="BA127" s="1868"/>
      <c r="BB127" s="1868"/>
      <c r="BC127" s="1868"/>
      <c r="BD127" s="1868"/>
      <c r="BE127" s="1868"/>
      <c r="BF127" s="1868"/>
      <c r="BG127" s="1868"/>
      <c r="BH127" s="1868"/>
      <c r="BI127" s="1868"/>
      <c r="BJ127" s="1868"/>
      <c r="BK127" s="1868"/>
      <c r="BL127" s="1868"/>
      <c r="BM127" s="1868"/>
      <c r="BN127" s="1868"/>
      <c r="BO127" s="1868"/>
      <c r="BP127" s="1868"/>
      <c r="BQ127" s="1868"/>
      <c r="BR127" s="1868"/>
    </row>
    <row r="128" spans="1:70" ht="12.2" customHeight="1">
      <c r="A128" s="1935"/>
      <c r="B128" s="1866">
        <f t="shared" si="2"/>
        <v>4</v>
      </c>
      <c r="C128" s="6009"/>
      <c r="D128" s="1812" t="s">
        <v>1690</v>
      </c>
      <c r="E128" s="1712" t="str">
        <f>IFERROR(VLOOKUP(D127,'Tablas Técnicas'!$O$9:$T$88,3,FALSE),"")</f>
        <v/>
      </c>
      <c r="F128" s="1809"/>
      <c r="G128" s="1808"/>
      <c r="H128" s="1808" t="s">
        <v>1223</v>
      </c>
      <c r="I128" s="1712" t="str">
        <f>IFERROR(VLOOKUP(D127,'Tablas Técnicas'!$O$9:$T$88,4,FALSE),"")</f>
        <v/>
      </c>
      <c r="J128" s="1812" t="s">
        <v>1690</v>
      </c>
      <c r="K128" s="1712" t="str">
        <f>IFERROR(VLOOKUP(J127,'Tablas Técnicas'!$O$9:$T$88,3,FALSE),"")</f>
        <v/>
      </c>
      <c r="L128" s="1809"/>
      <c r="M128" s="1808"/>
      <c r="N128" s="1808" t="s">
        <v>1223</v>
      </c>
      <c r="O128" s="1721" t="str">
        <f>IFERROR(VLOOKUP(J127,'Tablas Técnicas'!$O$9:$T$88,4,FALSE),"")</f>
        <v/>
      </c>
      <c r="P128" s="1808" t="s">
        <v>1690</v>
      </c>
      <c r="Q128" s="1712" t="str">
        <f>IFERROR(VLOOKUP(P127,'Tablas Técnicas'!$O$9:$T$88,3,FALSE),"")</f>
        <v/>
      </c>
      <c r="R128" s="1809"/>
      <c r="S128" s="1808"/>
      <c r="T128" s="1808" t="s">
        <v>1223</v>
      </c>
      <c r="U128" s="1712" t="str">
        <f>IFERROR(VLOOKUP(P127,'Tablas Técnicas'!$O$9:$T$88,4,FALSE),"")</f>
        <v/>
      </c>
      <c r="V128" s="1812" t="s">
        <v>1690</v>
      </c>
      <c r="W128" s="1712" t="str">
        <f>IFERROR(VLOOKUP(V127,'Tablas Técnicas'!$O$9:$T$88,3,FALSE),"")</f>
        <v/>
      </c>
      <c r="X128" s="1809"/>
      <c r="Y128" s="1808"/>
      <c r="Z128" s="1808" t="s">
        <v>1223</v>
      </c>
      <c r="AA128" s="1721" t="str">
        <f>IFERROR(VLOOKUP(V127,'Tablas Técnicas'!$O$9:$T$88,4,FALSE),"")</f>
        <v/>
      </c>
      <c r="AB128" s="1808" t="s">
        <v>1690</v>
      </c>
      <c r="AC128" s="1712" t="str">
        <f>IFERROR(VLOOKUP(AB127,'Tablas Técnicas'!$O$9:$T$88,3,FALSE),"")</f>
        <v/>
      </c>
      <c r="AD128" s="1809"/>
      <c r="AE128" s="1808"/>
      <c r="AF128" s="1808" t="s">
        <v>1223</v>
      </c>
      <c r="AG128" s="1722" t="str">
        <f>IFERROR(VLOOKUP(AB127,'Tablas Técnicas'!$O$9:$T$88,4,FALSE),"")</f>
        <v/>
      </c>
      <c r="AH128" s="1943"/>
      <c r="AI128" s="6011"/>
      <c r="AJ128" s="3986"/>
      <c r="AK128" s="3986"/>
      <c r="AL128" s="3986"/>
      <c r="AM128" s="3986"/>
      <c r="AN128" s="3987"/>
      <c r="AO128" s="3986"/>
      <c r="AP128" s="3986"/>
      <c r="AQ128" s="3987"/>
      <c r="AR128" s="1868"/>
      <c r="AS128" s="1868"/>
      <c r="AT128" s="1868"/>
      <c r="AU128" s="1868"/>
      <c r="AV128" s="1868"/>
      <c r="AW128" s="1868"/>
      <c r="AX128" s="1868"/>
      <c r="AY128" s="3986"/>
      <c r="AZ128" s="1868"/>
      <c r="BA128" s="1868"/>
      <c r="BB128" s="1868"/>
      <c r="BC128" s="1868"/>
      <c r="BD128" s="1868"/>
      <c r="BE128" s="1868"/>
      <c r="BF128" s="1868"/>
      <c r="BG128" s="1868"/>
      <c r="BH128" s="1868"/>
      <c r="BI128" s="1868"/>
      <c r="BJ128" s="1868"/>
      <c r="BK128" s="1868"/>
      <c r="BL128" s="1868"/>
      <c r="BM128" s="1868"/>
      <c r="BN128" s="1868"/>
      <c r="BO128" s="1868"/>
      <c r="BP128" s="1868"/>
      <c r="BQ128" s="1868"/>
      <c r="BR128" s="1868"/>
    </row>
    <row r="129" spans="1:70" ht="12.2" customHeight="1">
      <c r="A129" s="1935"/>
      <c r="B129" s="1866">
        <f t="shared" si="2"/>
        <v>4</v>
      </c>
      <c r="C129" s="6009"/>
      <c r="D129" s="1813" t="s">
        <v>8364</v>
      </c>
      <c r="E129" s="1808"/>
      <c r="F129" s="1809"/>
      <c r="G129" s="1810"/>
      <c r="H129" s="1810"/>
      <c r="I129" s="1807" t="str">
        <f>IFERROR(IF(D127="Ataque Elemental",IF(NOT(ISNA(VLOOKUP(D131,'Tablas Técnicas'!$O$100:$O$105,1,0))),D131,"Variable"),VLOOKUP(D127,'Tablas Técnicas'!$O$9:$W$88,9,FALSE)),"")</f>
        <v/>
      </c>
      <c r="J129" s="2173" t="s">
        <v>8364</v>
      </c>
      <c r="K129" s="2174"/>
      <c r="L129" s="2175"/>
      <c r="M129" s="2176"/>
      <c r="N129" s="2176"/>
      <c r="O129" s="2177" t="str">
        <f>IFERROR(IF(J127="Ataque Elemental",IF(NOT(ISNA(VLOOKUP(J131,'Tablas Técnicas'!$O$100:$O$105,1,0))),J131,"Variable"),VLOOKUP(J127,'Tablas Técnicas'!$O$9:$W$88,9,FALSE)),"")</f>
        <v/>
      </c>
      <c r="P129" s="2178" t="s">
        <v>8364</v>
      </c>
      <c r="Q129" s="2174"/>
      <c r="R129" s="2175"/>
      <c r="S129" s="2176"/>
      <c r="T129" s="2176"/>
      <c r="U129" s="1807" t="str">
        <f>IFERROR(IF(P127="Ataque Elemental",IF(NOT(ISNA(VLOOKUP(P131,'Tablas Técnicas'!$O$100:$O$105,1,0))),P131,"Variable"),VLOOKUP(P127,'Tablas Técnicas'!$O$9:$W$88,9,FALSE)),"")</f>
        <v/>
      </c>
      <c r="V129" s="2173" t="s">
        <v>8364</v>
      </c>
      <c r="W129" s="2174"/>
      <c r="X129" s="2175"/>
      <c r="Y129" s="2176"/>
      <c r="Z129" s="2176"/>
      <c r="AA129" s="2177" t="str">
        <f>IFERROR(IF(V127="Ataque Elemental",IF(NOT(ISNA(VLOOKUP(V131,'Tablas Técnicas'!$O$100:$O$105,1,0))),V131,"Variable"),VLOOKUP(V127,'Tablas Técnicas'!$O$9:$W$88,9,FALSE)),"")</f>
        <v/>
      </c>
      <c r="AB129" s="2178" t="s">
        <v>8364</v>
      </c>
      <c r="AC129" s="2174"/>
      <c r="AD129" s="2175"/>
      <c r="AE129" s="2176"/>
      <c r="AF129" s="2176"/>
      <c r="AG129" s="1818" t="str">
        <f>IFERROR(IF(AB127="Ataque Elemental",IF(NOT(ISNA(VLOOKUP(AB131,'Tablas Técnicas'!$O$100:$O$105,1,0))),AB131,"Variable"),VLOOKUP(AB127,'Tablas Técnicas'!$O$9:$W$88,9,FALSE)),"")</f>
        <v/>
      </c>
      <c r="AH129" s="1943"/>
      <c r="AI129" s="6011"/>
      <c r="AJ129" s="3986"/>
      <c r="AK129" s="1868" t="s">
        <v>1233</v>
      </c>
      <c r="AL129" s="1868" t="s">
        <v>1357</v>
      </c>
      <c r="AM129" s="1868" t="s">
        <v>1238</v>
      </c>
      <c r="AN129" s="1868" t="s">
        <v>1243</v>
      </c>
      <c r="AO129" s="1868" t="s">
        <v>1250</v>
      </c>
      <c r="AP129" s="1868" t="s">
        <v>1251</v>
      </c>
      <c r="AQ129" s="3987"/>
      <c r="AR129" s="1868"/>
      <c r="AS129" s="1868"/>
      <c r="AT129" s="1868"/>
      <c r="AU129" s="1868"/>
      <c r="AV129" s="1868"/>
      <c r="AW129" s="1868"/>
      <c r="AX129" s="1868"/>
      <c r="AY129" s="3986"/>
      <c r="AZ129" s="1868"/>
      <c r="BA129" s="1868"/>
      <c r="BB129" s="1868"/>
      <c r="BC129" s="1868"/>
      <c r="BD129" s="1868"/>
      <c r="BE129" s="1868"/>
      <c r="BF129" s="1868"/>
      <c r="BG129" s="1868"/>
      <c r="BH129" s="1868"/>
      <c r="BI129" s="1868"/>
      <c r="BJ129" s="1868"/>
      <c r="BK129" s="1868"/>
      <c r="BL129" s="1868"/>
      <c r="BM129" s="1868"/>
      <c r="BN129" s="1868"/>
      <c r="BO129" s="1868"/>
      <c r="BP129" s="1868"/>
      <c r="BQ129" s="1868"/>
      <c r="BR129" s="1868"/>
    </row>
    <row r="130" spans="1:70" ht="12.2" customHeight="1">
      <c r="A130" s="1935"/>
      <c r="B130" s="1866">
        <f t="shared" si="2"/>
        <v>4</v>
      </c>
      <c r="C130" s="6009"/>
      <c r="D130" s="5865" t="s">
        <v>2665</v>
      </c>
      <c r="E130" s="5866"/>
      <c r="F130" s="5866"/>
      <c r="G130" s="5866"/>
      <c r="H130" s="5867"/>
      <c r="I130" s="1725" t="s">
        <v>1262</v>
      </c>
      <c r="J130" s="5865" t="s">
        <v>2665</v>
      </c>
      <c r="K130" s="5866"/>
      <c r="L130" s="5866"/>
      <c r="M130" s="5866"/>
      <c r="N130" s="5867"/>
      <c r="O130" s="1726" t="s">
        <v>1262</v>
      </c>
      <c r="P130" s="5865" t="s">
        <v>2665</v>
      </c>
      <c r="Q130" s="5866"/>
      <c r="R130" s="5866"/>
      <c r="S130" s="5866"/>
      <c r="T130" s="5867"/>
      <c r="U130" s="1726" t="s">
        <v>1262</v>
      </c>
      <c r="V130" s="5865"/>
      <c r="W130" s="5866"/>
      <c r="X130" s="5866"/>
      <c r="Y130" s="5866"/>
      <c r="Z130" s="5867"/>
      <c r="AA130" s="1726" t="s">
        <v>1262</v>
      </c>
      <c r="AB130" s="5865" t="s">
        <v>2665</v>
      </c>
      <c r="AC130" s="5866"/>
      <c r="AD130" s="5866"/>
      <c r="AE130" s="5866"/>
      <c r="AF130" s="5867"/>
      <c r="AG130" s="1727" t="s">
        <v>1262</v>
      </c>
      <c r="AH130" s="1943"/>
      <c r="AI130" s="6011"/>
      <c r="AJ130" s="3989" t="s">
        <v>8879</v>
      </c>
      <c r="AK130" s="3986" t="str">
        <f>IF(V116="","",IF(SUM(V118:V122)=0,"",V116&amp;" "&amp;SUM(V118:V122)+V125&amp;IF(SUM(W118:W122)=0,""," ("&amp;SUM(W118:W122)&amp;")")&amp;", "))</f>
        <v/>
      </c>
      <c r="AL130" s="3986" t="str">
        <f>IF(X116="","",IF(SUM(X118:X122)=0,"",X116&amp;" "&amp;SUM(X118:X122)+X125&amp;IF(SUM(Y118:Y122)=0,""," ("&amp;SUM(Y118:Y122)&amp;")")&amp;", "))</f>
        <v/>
      </c>
      <c r="AM130" s="3986" t="str">
        <f>IF(Z116="","",IF(SUM(Z118:Z122)=0,"",Z116&amp;" "&amp;SUM(Z118:Z122)+Z125&amp;IF(SUM(AA118:AA122)=0,""," ("&amp;SUM(AA118:AA122)&amp;")")&amp;", "))</f>
        <v/>
      </c>
      <c r="AN130" s="3986" t="str">
        <f>IF(AB116="","",IF(SUM(AB118:AB122)=0,"",AB116&amp;" "&amp;SUM(AB118:AB122)+AB125&amp;IF(SUM(AC118:AC122)=0,""," ("&amp;SUM(AC118:AC122)&amp;")")&amp;", "))</f>
        <v/>
      </c>
      <c r="AO130" s="3986" t="str">
        <f>IF(AD116="","",IF(SUM(AD118:AD122)=0,"",AD116&amp;" "&amp;SUM(AD118:AD122)+AD125&amp;IF(SUM(AE118:AE122)=0,""," ("&amp;SUM(AE118:AE122)&amp;")")&amp;", "))</f>
        <v/>
      </c>
      <c r="AP130" s="3986" t="str">
        <f>IF(AF116="","",IF(SUM(AF118:AF122)=0,"",AF116&amp;" "&amp;SUM(AF118:AF122)+AF125&amp;IF(SUM(AG118:AG122)=0,""," ("&amp;SUM(AG118:AG122)&amp;")")&amp;", "))</f>
        <v/>
      </c>
      <c r="AQ130" s="3986"/>
      <c r="AR130" s="3986"/>
      <c r="AS130" s="3986"/>
      <c r="AT130" s="3986"/>
      <c r="AU130" s="3986"/>
      <c r="AV130" s="3986"/>
      <c r="AW130" s="3986"/>
      <c r="AX130" s="3986"/>
      <c r="AY130" s="3986"/>
      <c r="AZ130" s="1868"/>
      <c r="BA130" s="1868"/>
      <c r="BB130" s="1868"/>
      <c r="BC130" s="1868"/>
      <c r="BD130" s="1868"/>
      <c r="BE130" s="1868"/>
      <c r="BF130" s="1868"/>
      <c r="BG130" s="1868"/>
      <c r="BH130" s="1868"/>
      <c r="BI130" s="1868"/>
      <c r="BJ130" s="1868"/>
      <c r="BK130" s="1868"/>
      <c r="BL130" s="1868"/>
      <c r="BM130" s="1868"/>
      <c r="BN130" s="1868"/>
      <c r="BO130" s="1868"/>
      <c r="BP130" s="1868"/>
      <c r="BQ130" s="1868"/>
      <c r="BR130" s="1868"/>
    </row>
    <row r="131" spans="1:70" ht="12.2" customHeight="1">
      <c r="A131" s="1935"/>
      <c r="B131" s="1866">
        <f t="shared" si="2"/>
        <v>4</v>
      </c>
      <c r="C131" s="6009"/>
      <c r="D131" s="5911"/>
      <c r="E131" s="5853"/>
      <c r="F131" s="5853"/>
      <c r="G131" s="5853"/>
      <c r="H131" s="5853"/>
      <c r="I131" s="1728" t="str">
        <f>IF(OR(D127="",D131=""),"",MAX(1,SUMPRODUCT(--(INDEX('Tablas Técnicas'!$C$10:$L$644,,1)=D127),--(INDEX('Tablas Técnicas'!$C$10:$L$644,,2)=D131),INDEX('Tablas Técnicas'!$C$10:$L$644,,9))))</f>
        <v/>
      </c>
      <c r="J131" s="5852"/>
      <c r="K131" s="5853"/>
      <c r="L131" s="5853"/>
      <c r="M131" s="5853"/>
      <c r="N131" s="5853"/>
      <c r="O131" s="1728" t="str">
        <f>IF(OR(J127="",J131=""),"",MAX(1,SUMPRODUCT(--(INDEX('Tablas Técnicas'!$C$10:$L$644,,1)=J127),--(INDEX('Tablas Técnicas'!$C$10:$L$644,,2)=J131),INDEX('Tablas Técnicas'!$C$10:$L$644,,9))))</f>
        <v/>
      </c>
      <c r="P131" s="5852"/>
      <c r="Q131" s="5853"/>
      <c r="R131" s="5853"/>
      <c r="S131" s="5853"/>
      <c r="T131" s="5853"/>
      <c r="U131" s="1728" t="str">
        <f>IF(OR(P127="",P131=""),"",MAX(1,SUMPRODUCT(--(INDEX('Tablas Técnicas'!$C$10:$L$644,,1)=P127),--(INDEX('Tablas Técnicas'!$C$10:$L$644,,2)=P131),INDEX('Tablas Técnicas'!$C$10:$L$644,,9))))</f>
        <v/>
      </c>
      <c r="V131" s="5852"/>
      <c r="W131" s="5853"/>
      <c r="X131" s="5853"/>
      <c r="Y131" s="5853"/>
      <c r="Z131" s="5853"/>
      <c r="AA131" s="1728" t="str">
        <f>IF(OR(V127="",V131=""),"",MAX(1,SUMPRODUCT(--(INDEX('Tablas Técnicas'!$C$10:$L$644,,1)=V127),--(INDEX('Tablas Técnicas'!$C$10:$L$644,,2)=V131),INDEX('Tablas Técnicas'!$C$10:$L$644,,9))))</f>
        <v/>
      </c>
      <c r="AB131" s="5852"/>
      <c r="AC131" s="5853"/>
      <c r="AD131" s="5853"/>
      <c r="AE131" s="5853"/>
      <c r="AF131" s="5853"/>
      <c r="AG131" s="1729" t="str">
        <f>IF(OR(AB127="",AB131=""),"",MAX(1,SUMPRODUCT(--(INDEX('Tablas Técnicas'!$C$10:$L$644,,1)=AB127),--(INDEX('Tablas Técnicas'!$C$10:$L$644,,2)=AB131),INDEX('Tablas Técnicas'!$C$10:$L$644,,9))))</f>
        <v/>
      </c>
      <c r="AH131" s="1943">
        <f>P114</f>
        <v>1</v>
      </c>
      <c r="AI131" s="6011"/>
      <c r="AJ131" s="3986" t="s">
        <v>8843</v>
      </c>
      <c r="AK131" s="3986"/>
      <c r="AL131" s="3986">
        <f>MAX(0,SUM(AT118:AT122)+ABS($AC123*2/5))+IF(AM140,0,Y123)+IF(S114="Sí",2*P114,0)</f>
        <v>0</v>
      </c>
      <c r="AM131" s="3986">
        <f t="array" ref="AM131">IF(ISNUMBER(SEARCH("Mantenido",K118&amp;K119&amp;K120&amp;K121&amp;K122)),MAX(0,SUM(VALUE(RIGHT($P118:$P122,2)))),0)</f>
        <v>0</v>
      </c>
      <c r="AN131" s="1868"/>
      <c r="AO131" s="1868"/>
      <c r="AP131" s="1815"/>
      <c r="AQ131" s="1815"/>
      <c r="AR131" s="1815"/>
      <c r="AS131" s="1815"/>
      <c r="AT131" s="1815"/>
      <c r="AU131" s="1815"/>
      <c r="AV131" s="1815"/>
      <c r="AW131" s="1815"/>
      <c r="AX131" s="1815"/>
      <c r="AY131" s="3986"/>
      <c r="AZ131" s="1868"/>
      <c r="BA131" s="1868"/>
      <c r="BB131" s="1868"/>
      <c r="BC131" s="1868"/>
      <c r="BD131" s="1868"/>
      <c r="BE131" s="1868"/>
      <c r="BF131" s="1868"/>
      <c r="BG131" s="1868"/>
      <c r="BH131" s="1868"/>
      <c r="BI131" s="1868"/>
      <c r="BJ131" s="1868"/>
      <c r="BK131" s="1868"/>
      <c r="BL131" s="1868"/>
      <c r="BM131" s="1868"/>
      <c r="BN131" s="1868"/>
      <c r="BO131" s="1868"/>
      <c r="BP131" s="1868"/>
      <c r="BQ131" s="1868"/>
      <c r="BR131" s="1868"/>
    </row>
    <row r="132" spans="1:70" ht="12.2" customHeight="1">
      <c r="A132" s="1935"/>
      <c r="B132" s="1866">
        <f t="shared" si="2"/>
        <v>4</v>
      </c>
      <c r="C132" s="6009"/>
      <c r="D132" s="5871"/>
      <c r="E132" s="5872"/>
      <c r="F132" s="5872"/>
      <c r="G132" s="5872"/>
      <c r="H132" s="5872"/>
      <c r="I132" s="1730" t="str">
        <f>IF(OR(D127="",D132=""),"",MAX(1,SUMPRODUCT(--(INDEX('Tablas Técnicas'!$C$10:$L$644,,1)=D127),--(INDEX('Tablas Técnicas'!$C$10:$L$644,,2)=D132),INDEX('Tablas Técnicas'!$C$10:$L$644,,9))))</f>
        <v/>
      </c>
      <c r="J132" s="5871"/>
      <c r="K132" s="5872"/>
      <c r="L132" s="5872"/>
      <c r="M132" s="5872"/>
      <c r="N132" s="5872"/>
      <c r="O132" s="1730" t="str">
        <f>IF(OR(J127="",J132=""),"",MAX(1,SUMPRODUCT(--(INDEX('Tablas Técnicas'!$C$10:$L$644,,1)=J127),--(INDEX('Tablas Técnicas'!$C$10:$L$644,,2)=J132),INDEX('Tablas Técnicas'!$C$10:$L$644,,9))))</f>
        <v/>
      </c>
      <c r="P132" s="5871"/>
      <c r="Q132" s="5872"/>
      <c r="R132" s="5872"/>
      <c r="S132" s="5872"/>
      <c r="T132" s="5872"/>
      <c r="U132" s="1730" t="str">
        <f>IF(OR(P127="",P132=""),"",MAX(1,SUMPRODUCT(--(INDEX('Tablas Técnicas'!$C$10:$L$644,,1)=P127),--(INDEX('Tablas Técnicas'!$C$10:$L$644,,2)=P132),INDEX('Tablas Técnicas'!$C$10:$L$644,,9))))</f>
        <v/>
      </c>
      <c r="V132" s="5871"/>
      <c r="W132" s="5872"/>
      <c r="X132" s="5872"/>
      <c r="Y132" s="5872"/>
      <c r="Z132" s="5872"/>
      <c r="AA132" s="1730" t="str">
        <f>IF(OR(V127="",V132=""),"",MAX(1,SUMPRODUCT(--(INDEX('Tablas Técnicas'!$C$10:$L$644,,1)=V127),--(INDEX('Tablas Técnicas'!$C$10:$L$644,,2)=V132),INDEX('Tablas Técnicas'!$C$10:$L$644,,9))))</f>
        <v/>
      </c>
      <c r="AB132" s="5871"/>
      <c r="AC132" s="5872"/>
      <c r="AD132" s="5872"/>
      <c r="AE132" s="5872"/>
      <c r="AF132" s="5872"/>
      <c r="AG132" s="1731" t="str">
        <f>IF(OR(AB127="",AB132=""),"",MAX(1,SUMPRODUCT(--(INDEX('Tablas Técnicas'!$C$10:$L$644,,1)=AB127),--(INDEX('Tablas Técnicas'!$C$10:$L$644,,2)=AB132),INDEX('Tablas Técnicas'!$C$10:$L$644,,9))))</f>
        <v/>
      </c>
      <c r="AH132" s="1943">
        <f>P114</f>
        <v>1</v>
      </c>
      <c r="AI132" s="6011"/>
      <c r="AJ132" s="3986" t="s">
        <v>8366</v>
      </c>
      <c r="AK132" s="3986"/>
      <c r="AL132" s="3986">
        <f>SUM(V118:V122,X118:X122,Z118:Z122,AB118:AB122,AD118:AD122,AF118:AF122)+SUM(V125:AG125)</f>
        <v>0</v>
      </c>
      <c r="AM132" s="3986">
        <f>SUM(W118:W122,Y118:Y122,AA118:AA122,AC118:AC122,AE118:AE122,AG118:AG122)</f>
        <v>0</v>
      </c>
      <c r="AN132" s="3986"/>
      <c r="AO132" s="3986"/>
      <c r="AP132" s="3986"/>
      <c r="AQ132" s="3986"/>
      <c r="AR132" s="3986"/>
      <c r="AS132" s="3986"/>
      <c r="AT132" s="3986"/>
      <c r="AU132" s="3986"/>
      <c r="AV132" s="3986"/>
      <c r="AW132" s="1868"/>
      <c r="AX132" s="3986"/>
      <c r="AY132" s="3986"/>
      <c r="AZ132" s="1868"/>
      <c r="BA132" s="1868"/>
      <c r="BB132" s="1868"/>
      <c r="BC132" s="1868"/>
      <c r="BD132" s="1868"/>
      <c r="BE132" s="1868"/>
      <c r="BF132" s="1868"/>
      <c r="BG132" s="1868"/>
      <c r="BH132" s="1868"/>
      <c r="BI132" s="1868"/>
      <c r="BJ132" s="1868"/>
      <c r="BK132" s="1868"/>
      <c r="BL132" s="1868"/>
      <c r="BM132" s="1868"/>
      <c r="BN132" s="1868"/>
      <c r="BO132" s="1868"/>
      <c r="BP132" s="1868"/>
      <c r="BQ132" s="1868"/>
      <c r="BR132" s="1868"/>
    </row>
    <row r="133" spans="1:70" ht="12.2" customHeight="1">
      <c r="A133" s="1935"/>
      <c r="B133" s="1866">
        <f t="shared" si="2"/>
        <v>4</v>
      </c>
      <c r="C133" s="6009"/>
      <c r="D133" s="5871"/>
      <c r="E133" s="5872"/>
      <c r="F133" s="5872"/>
      <c r="G133" s="5872"/>
      <c r="H133" s="5872"/>
      <c r="I133" s="1730" t="str">
        <f>IF(OR(D127="",D133=""),"",MAX(1,SUMPRODUCT(--(INDEX('Tablas Técnicas'!$C$10:$L$644,,1)=D127),--(INDEX('Tablas Técnicas'!$C$10:$L$644,,2)=D133),INDEX('Tablas Técnicas'!$C$10:$L$644,,9))))</f>
        <v/>
      </c>
      <c r="J133" s="5871"/>
      <c r="K133" s="5872"/>
      <c r="L133" s="5872"/>
      <c r="M133" s="5872"/>
      <c r="N133" s="5872"/>
      <c r="O133" s="1730" t="str">
        <f>IF(OR(J127="",J133=""),"",MAX(1,SUMPRODUCT(--(INDEX('Tablas Técnicas'!$C$10:$L$644,,1)=J127),--(INDEX('Tablas Técnicas'!$C$10:$L$644,,2)=J133),INDEX('Tablas Técnicas'!$C$10:$L$644,,9))))</f>
        <v/>
      </c>
      <c r="P133" s="5871"/>
      <c r="Q133" s="5872"/>
      <c r="R133" s="5872"/>
      <c r="S133" s="5872"/>
      <c r="T133" s="5872"/>
      <c r="U133" s="1730" t="str">
        <f>IF(OR(P127="",P133=""),"",MAX(1,SUMPRODUCT(--(INDEX('Tablas Técnicas'!$C$10:$L$644,,1)=P127),--(INDEX('Tablas Técnicas'!$C$10:$L$644,,2)=P133),INDEX('Tablas Técnicas'!$C$10:$L$644,,9))))</f>
        <v/>
      </c>
      <c r="V133" s="5871"/>
      <c r="W133" s="5872"/>
      <c r="X133" s="5872"/>
      <c r="Y133" s="5872"/>
      <c r="Z133" s="5872"/>
      <c r="AA133" s="1730" t="str">
        <f>IF(OR(V127="",V133=""),"",MAX(1,SUMPRODUCT(--(INDEX('Tablas Técnicas'!$C$10:$L$644,,1)=V127),--(INDEX('Tablas Técnicas'!$C$10:$L$644,,2)=V133),INDEX('Tablas Técnicas'!$C$10:$L$644,,9))))</f>
        <v/>
      </c>
      <c r="AB133" s="5871"/>
      <c r="AC133" s="5872"/>
      <c r="AD133" s="5872"/>
      <c r="AE133" s="5872"/>
      <c r="AF133" s="5872"/>
      <c r="AG133" s="1731" t="str">
        <f>IF(OR(AB127="",AB133=""),"",MAX(1,SUMPRODUCT(--(INDEX('Tablas Técnicas'!$C$10:$L$644,,1)=AB127),--(INDEX('Tablas Técnicas'!$C$10:$L$644,,2)=AB133),INDEX('Tablas Técnicas'!$C$10:$L$644,,9))))</f>
        <v/>
      </c>
      <c r="AH133" s="1943">
        <f>P114</f>
        <v>1</v>
      </c>
      <c r="AI133" s="6011"/>
      <c r="AJ133" s="3986"/>
      <c r="AK133" s="3986"/>
      <c r="AL133" s="3986"/>
      <c r="AM133" s="3986"/>
      <c r="AN133" s="3986"/>
      <c r="AO133" s="3986"/>
      <c r="AP133" s="3986"/>
      <c r="AQ133" s="3986"/>
      <c r="AR133" s="3986"/>
      <c r="AS133" s="3986"/>
      <c r="AT133" s="3986"/>
      <c r="AU133" s="3986"/>
      <c r="AV133" s="3986"/>
      <c r="AW133" s="1868"/>
      <c r="AX133" s="1868"/>
      <c r="AY133" s="3986"/>
      <c r="AZ133" s="1868"/>
      <c r="BA133" s="1868"/>
      <c r="BB133" s="1868"/>
      <c r="BC133" s="1868"/>
      <c r="BD133" s="1868"/>
      <c r="BE133" s="1868"/>
      <c r="BF133" s="1868"/>
      <c r="BG133" s="1868"/>
      <c r="BH133" s="1868"/>
      <c r="BI133" s="1868"/>
      <c r="BJ133" s="1868"/>
      <c r="BK133" s="1868"/>
      <c r="BL133" s="1868"/>
      <c r="BM133" s="1868"/>
      <c r="BN133" s="1868"/>
      <c r="BO133" s="1868"/>
      <c r="BP133" s="1868"/>
      <c r="BQ133" s="1868"/>
      <c r="BR133" s="1868"/>
    </row>
    <row r="134" spans="1:70" ht="12.2" customHeight="1">
      <c r="A134" s="1935"/>
      <c r="B134" s="1866">
        <f t="shared" si="2"/>
        <v>4</v>
      </c>
      <c r="C134" s="6009"/>
      <c r="D134" s="5871"/>
      <c r="E134" s="5872"/>
      <c r="F134" s="5872"/>
      <c r="G134" s="5872"/>
      <c r="H134" s="5872"/>
      <c r="I134" s="1730" t="str">
        <f>IF(OR(D127="",D134=""),"",MAX(1,SUMPRODUCT(--(INDEX('Tablas Técnicas'!$C$10:$L$644,,1)=D127),--(INDEX('Tablas Técnicas'!$C$10:$L$644,,2)=D134),INDEX('Tablas Técnicas'!$C$10:$L$644,,9))))</f>
        <v/>
      </c>
      <c r="J134" s="5871"/>
      <c r="K134" s="5872"/>
      <c r="L134" s="5872"/>
      <c r="M134" s="5872"/>
      <c r="N134" s="5872"/>
      <c r="O134" s="1730" t="str">
        <f>IF(OR(J127="",J134=""),"",MAX(1,SUMPRODUCT(--(INDEX('Tablas Técnicas'!$C$10:$L$644,,1)=J127),--(INDEX('Tablas Técnicas'!$C$10:$L$644,,2)=J134),INDEX('Tablas Técnicas'!$C$10:$L$644,,9))))</f>
        <v/>
      </c>
      <c r="P134" s="5871"/>
      <c r="Q134" s="5872"/>
      <c r="R134" s="5872"/>
      <c r="S134" s="5872"/>
      <c r="T134" s="5872"/>
      <c r="U134" s="1730" t="str">
        <f>IF(OR(P127="",P134=""),"",MAX(1,SUMPRODUCT(--(INDEX('Tablas Técnicas'!$C$10:$L$644,,1)=P127),--(INDEX('Tablas Técnicas'!$C$10:$L$644,,2)=P134),INDEX('Tablas Técnicas'!$C$10:$L$644,,9))))</f>
        <v/>
      </c>
      <c r="V134" s="5871"/>
      <c r="W134" s="5872"/>
      <c r="X134" s="5872"/>
      <c r="Y134" s="5872"/>
      <c r="Z134" s="5872"/>
      <c r="AA134" s="1730" t="str">
        <f>IF(OR(V127="",V134=""),"",MAX(1,SUMPRODUCT(--(INDEX('Tablas Técnicas'!$C$10:$L$644,,1)=V127),--(INDEX('Tablas Técnicas'!$C$10:$L$644,,2)=V134),INDEX('Tablas Técnicas'!$C$10:$L$644,,9))))</f>
        <v/>
      </c>
      <c r="AB134" s="5871"/>
      <c r="AC134" s="5872"/>
      <c r="AD134" s="5872"/>
      <c r="AE134" s="5872"/>
      <c r="AF134" s="5872"/>
      <c r="AG134" s="1731" t="str">
        <f>IF(OR(AB127="",AB134=""),"",MAX(1,SUMPRODUCT(--(INDEX('Tablas Técnicas'!$C$10:$L$644,,1)=AB127),--(INDEX('Tablas Técnicas'!$C$10:$L$644,,2)=AB134),INDEX('Tablas Técnicas'!$C$10:$L$644,,9))))</f>
        <v/>
      </c>
      <c r="AH134" s="1943">
        <f>P114</f>
        <v>1</v>
      </c>
      <c r="AI134" s="6011"/>
      <c r="AJ134" s="3986" t="s">
        <v>8367</v>
      </c>
      <c r="AK134" s="3986"/>
      <c r="AL134" s="3986"/>
      <c r="AM134" s="3986"/>
      <c r="AN134" s="3986"/>
      <c r="AO134" s="3986"/>
      <c r="AP134" s="3986"/>
      <c r="AQ134" s="3987"/>
      <c r="AR134" s="1868"/>
      <c r="AS134" s="1868"/>
      <c r="AT134" s="1868"/>
      <c r="AU134" s="1868"/>
      <c r="AV134" s="1868"/>
      <c r="AW134" s="1868"/>
      <c r="AX134" s="1868"/>
      <c r="AY134" s="3986"/>
      <c r="AZ134" s="1868"/>
      <c r="BA134" s="1868"/>
      <c r="BB134" s="1868"/>
      <c r="BC134" s="1868"/>
      <c r="BD134" s="1868"/>
      <c r="BE134" s="1868"/>
      <c r="BF134" s="1868"/>
      <c r="BG134" s="1868"/>
      <c r="BH134" s="1868"/>
      <c r="BI134" s="1868"/>
      <c r="BJ134" s="1868"/>
      <c r="BK134" s="1868"/>
      <c r="BL134" s="1868"/>
      <c r="BM134" s="1868"/>
      <c r="BN134" s="1868"/>
      <c r="BO134" s="1868"/>
      <c r="BP134" s="1868"/>
      <c r="BQ134" s="1868"/>
      <c r="BR134" s="1868"/>
    </row>
    <row r="135" spans="1:70" ht="12.2" customHeight="1">
      <c r="A135" s="1935"/>
      <c r="B135" s="1866">
        <f t="shared" si="2"/>
        <v>4</v>
      </c>
      <c r="C135" s="6009"/>
      <c r="D135" s="5871"/>
      <c r="E135" s="5872"/>
      <c r="F135" s="5872"/>
      <c r="G135" s="5872"/>
      <c r="H135" s="5872"/>
      <c r="I135" s="1730" t="str">
        <f>IF(OR(D127="",D135=""),"",MAX(1,SUMPRODUCT(--(INDEX('Tablas Técnicas'!$C$10:$L$644,,1)=D127),--(INDEX('Tablas Técnicas'!$C$10:$L$644,,2)=D135),INDEX('Tablas Técnicas'!$C$10:$L$644,,9))))</f>
        <v/>
      </c>
      <c r="J135" s="5871"/>
      <c r="K135" s="5872"/>
      <c r="L135" s="5872"/>
      <c r="M135" s="5872"/>
      <c r="N135" s="5872"/>
      <c r="O135" s="1730" t="str">
        <f>IF(OR(J127="",J135=""),"",MAX(1,SUMPRODUCT(--(INDEX('Tablas Técnicas'!$C$10:$L$644,,1)=J127),--(INDEX('Tablas Técnicas'!$C$10:$L$644,,2)=J135),INDEX('Tablas Técnicas'!$C$10:$L$644,,9))))</f>
        <v/>
      </c>
      <c r="P135" s="5871"/>
      <c r="Q135" s="5872"/>
      <c r="R135" s="5872"/>
      <c r="S135" s="5872"/>
      <c r="T135" s="5872"/>
      <c r="U135" s="1730" t="str">
        <f>IF(OR(P127="",P135=""),"",MAX(1,SUMPRODUCT(--(INDEX('Tablas Técnicas'!$C$10:$L$644,,1)=P127),--(INDEX('Tablas Técnicas'!$C$10:$L$644,,2)=P135),INDEX('Tablas Técnicas'!$C$10:$L$644,,9))))</f>
        <v/>
      </c>
      <c r="V135" s="5871"/>
      <c r="W135" s="5872"/>
      <c r="X135" s="5872"/>
      <c r="Y135" s="5872"/>
      <c r="Z135" s="5872"/>
      <c r="AA135" s="1730" t="str">
        <f>IF(OR(V127="",V135=""),"",MAX(1,SUMPRODUCT(--(INDEX('Tablas Técnicas'!$C$10:$L$644,,1)=V127),--(INDEX('Tablas Técnicas'!$C$10:$L$644,,2)=V135),INDEX('Tablas Técnicas'!$C$10:$L$644,,9))))</f>
        <v/>
      </c>
      <c r="AB135" s="5871"/>
      <c r="AC135" s="5872"/>
      <c r="AD135" s="5872"/>
      <c r="AE135" s="5872"/>
      <c r="AF135" s="5872"/>
      <c r="AG135" s="1731" t="str">
        <f>IF(OR(AB127="",AB135=""),"",MAX(1,SUMPRODUCT(--(INDEX('Tablas Técnicas'!$C$10:$L$644,,1)=AB127),--(INDEX('Tablas Técnicas'!$C$10:$L$644,,2)=AB135),INDEX('Tablas Técnicas'!$C$10:$L$644,,9))))</f>
        <v/>
      </c>
      <c r="AH135" s="1943">
        <f>P114</f>
        <v>1</v>
      </c>
      <c r="AI135" s="6011"/>
      <c r="AJ135" s="3986" t="s">
        <v>9502</v>
      </c>
      <c r="AK135" s="3986"/>
      <c r="AL135" s="3986"/>
      <c r="AM135" s="3986" t="b">
        <f>U114&gt;IF(P114=3,200,IF(P114=2,100,50))</f>
        <v>0</v>
      </c>
      <c r="AN135" s="3986"/>
      <c r="AO135" s="3986"/>
      <c r="AP135" s="3986"/>
      <c r="AQ135" s="3986"/>
      <c r="AR135" s="1868"/>
      <c r="AS135" s="1868"/>
      <c r="AT135" s="1868"/>
      <c r="AU135" s="1868"/>
      <c r="AV135" s="1868"/>
      <c r="AW135" s="1868"/>
      <c r="AX135" s="1868"/>
      <c r="AY135" s="3986"/>
      <c r="AZ135" s="1868"/>
      <c r="BA135" s="1868"/>
      <c r="BB135" s="1868"/>
      <c r="BC135" s="1868"/>
      <c r="BD135" s="1868"/>
      <c r="BE135" s="1868"/>
      <c r="BF135" s="1868"/>
      <c r="BG135" s="1868"/>
      <c r="BH135" s="1868"/>
      <c r="BI135" s="1868"/>
      <c r="BJ135" s="1868"/>
      <c r="BK135" s="1868"/>
      <c r="BL135" s="1868"/>
      <c r="BM135" s="1868"/>
      <c r="BN135" s="1868"/>
      <c r="BO135" s="1868"/>
      <c r="BP135" s="1868"/>
      <c r="BQ135" s="1868"/>
      <c r="BR135" s="1868"/>
    </row>
    <row r="136" spans="1:70" ht="12.2" customHeight="1">
      <c r="A136" s="1935"/>
      <c r="B136" s="1866">
        <f t="shared" si="2"/>
        <v>4</v>
      </c>
      <c r="C136" s="6009"/>
      <c r="D136" s="5871"/>
      <c r="E136" s="5872"/>
      <c r="F136" s="5872"/>
      <c r="G136" s="5872"/>
      <c r="H136" s="5872"/>
      <c r="I136" s="1730" t="str">
        <f>IF(OR(D127="",D136=""),"",MAX(1,SUMPRODUCT(--(INDEX('Tablas Técnicas'!$C$10:$L$644,,1)=D127),--(INDEX('Tablas Técnicas'!$C$10:$L$644,,2)=D136),INDEX('Tablas Técnicas'!$C$10:$L$644,,9))))</f>
        <v/>
      </c>
      <c r="J136" s="5871"/>
      <c r="K136" s="5872"/>
      <c r="L136" s="5872"/>
      <c r="M136" s="5872"/>
      <c r="N136" s="5872"/>
      <c r="O136" s="1730" t="str">
        <f>IF(OR(J127="",J136=""),"",MAX(1,SUMPRODUCT(--(INDEX('Tablas Técnicas'!$C$10:$L$644,,1)=J127),--(INDEX('Tablas Técnicas'!$C$10:$L$644,,2)=J136),INDEX('Tablas Técnicas'!$C$10:$L$644,,9))))</f>
        <v/>
      </c>
      <c r="P136" s="5871"/>
      <c r="Q136" s="5872"/>
      <c r="R136" s="5872"/>
      <c r="S136" s="5872"/>
      <c r="T136" s="5872"/>
      <c r="U136" s="1730" t="str">
        <f>IF(OR(P127="",P136=""),"",MAX(1,SUMPRODUCT(--(INDEX('Tablas Técnicas'!$C$10:$L$644,,1)=P127),--(INDEX('Tablas Técnicas'!$C$10:$L$644,,2)=P136),INDEX('Tablas Técnicas'!$C$10:$L$644,,9))))</f>
        <v/>
      </c>
      <c r="V136" s="5871"/>
      <c r="W136" s="5872"/>
      <c r="X136" s="5872"/>
      <c r="Y136" s="5872"/>
      <c r="Z136" s="5872"/>
      <c r="AA136" s="1730" t="str">
        <f>IF(OR(V127="",V136=""),"",MAX(1,SUMPRODUCT(--(INDEX('Tablas Técnicas'!$C$10:$L$644,,1)=V127),--(INDEX('Tablas Técnicas'!$C$10:$L$644,,2)=V136),INDEX('Tablas Técnicas'!$C$10:$L$644,,9))))</f>
        <v/>
      </c>
      <c r="AB136" s="5871"/>
      <c r="AC136" s="5872"/>
      <c r="AD136" s="5872"/>
      <c r="AE136" s="5872"/>
      <c r="AF136" s="5872"/>
      <c r="AG136" s="1731" t="str">
        <f>IF(OR(AB127="",AB136=""),"",MAX(1,SUMPRODUCT(--(INDEX('Tablas Técnicas'!$C$10:$L$644,,1)=AB127),--(INDEX('Tablas Técnicas'!$C$10:$L$644,,2)=AB136),INDEX('Tablas Técnicas'!$C$10:$L$644,,9))))</f>
        <v/>
      </c>
      <c r="AH136" s="1943">
        <f>P114</f>
        <v>1</v>
      </c>
      <c r="AI136" s="6011"/>
      <c r="AJ136" s="3986" t="s">
        <v>8368</v>
      </c>
      <c r="AK136" s="3986"/>
      <c r="AL136" s="3986"/>
      <c r="AM136" s="3986" t="b">
        <f t="array" ref="AM136">MAX(I131:I137,O131:O137,U131:U137,AA131:AA137,AG131:AG137,RIGHT(S123:S125,1))&gt;P114</f>
        <v>0</v>
      </c>
      <c r="AN136" s="3986"/>
      <c r="AO136" s="3986"/>
      <c r="AP136" s="3986"/>
      <c r="AQ136" s="3987"/>
      <c r="AR136" s="1868"/>
      <c r="AS136" s="1868"/>
      <c r="AT136" s="1868"/>
      <c r="AU136" s="1868"/>
      <c r="AV136" s="1868"/>
      <c r="AW136" s="1868"/>
      <c r="AX136" s="1868"/>
      <c r="AY136" s="3986"/>
      <c r="AZ136" s="1868"/>
      <c r="BA136" s="1868"/>
      <c r="BB136" s="1868"/>
      <c r="BC136" s="1868"/>
      <c r="BD136" s="1868"/>
      <c r="BE136" s="1868"/>
      <c r="BF136" s="1868"/>
      <c r="BG136" s="1868"/>
      <c r="BH136" s="1868"/>
      <c r="BI136" s="1868"/>
      <c r="BJ136" s="1868"/>
      <c r="BK136" s="1868"/>
      <c r="BL136" s="1868"/>
      <c r="BM136" s="1868"/>
      <c r="BN136" s="1868"/>
      <c r="BO136" s="1868"/>
      <c r="BP136" s="1868"/>
      <c r="BQ136" s="1868"/>
      <c r="BR136" s="1868"/>
    </row>
    <row r="137" spans="1:70" ht="12.2" customHeight="1">
      <c r="A137" s="1935"/>
      <c r="B137" s="1866">
        <f t="shared" si="2"/>
        <v>4</v>
      </c>
      <c r="C137" s="6009"/>
      <c r="D137" s="5926"/>
      <c r="E137" s="5927"/>
      <c r="F137" s="5927"/>
      <c r="G137" s="5927"/>
      <c r="H137" s="5927"/>
      <c r="I137" s="1732" t="str">
        <f>IF(OR(D127="",D137=""),"",MAX(1,SUMPRODUCT(--(INDEX('Tablas Técnicas'!$C$10:$L$644,,1)=D127),--(INDEX('Tablas Técnicas'!$C$10:$L$644,,2)=D137),INDEX('Tablas Técnicas'!$C$10:$L$644,,9))))</f>
        <v/>
      </c>
      <c r="J137" s="5926"/>
      <c r="K137" s="5927"/>
      <c r="L137" s="5927"/>
      <c r="M137" s="5927"/>
      <c r="N137" s="5927"/>
      <c r="O137" s="1732" t="str">
        <f>IF(OR(J127="",J137=""),"",MAX(1,SUMPRODUCT(--(INDEX('Tablas Técnicas'!$C$10:$L$644,,1)=J127),--(INDEX('Tablas Técnicas'!$C$10:$L$644,,2)=J137),INDEX('Tablas Técnicas'!$C$10:$L$644,,9))))</f>
        <v/>
      </c>
      <c r="P137" s="5926"/>
      <c r="Q137" s="5927"/>
      <c r="R137" s="5927"/>
      <c r="S137" s="5927"/>
      <c r="T137" s="5927"/>
      <c r="U137" s="1732" t="str">
        <f>IF(OR(P127="",P137=""),"",MAX(1,SUMPRODUCT(--(INDEX('Tablas Técnicas'!$C$10:$L$644,,1)=P127),--(INDEX('Tablas Técnicas'!$C$10:$L$644,,2)=P137),INDEX('Tablas Técnicas'!$C$10:$L$644,,9))))</f>
        <v/>
      </c>
      <c r="V137" s="5926"/>
      <c r="W137" s="5927"/>
      <c r="X137" s="5927"/>
      <c r="Y137" s="5927"/>
      <c r="Z137" s="5927"/>
      <c r="AA137" s="1732" t="str">
        <f>IF(OR(V127="",V137=""),"",MAX(1,SUMPRODUCT(--(INDEX('Tablas Técnicas'!$C$10:$L$644,,1)=V127),--(INDEX('Tablas Técnicas'!$C$10:$L$644,,2)=V137),INDEX('Tablas Técnicas'!$C$10:$L$644,,9))))</f>
        <v/>
      </c>
      <c r="AB137" s="5926"/>
      <c r="AC137" s="5927"/>
      <c r="AD137" s="5927"/>
      <c r="AE137" s="5927"/>
      <c r="AF137" s="5927"/>
      <c r="AG137" s="1733" t="str">
        <f>IF(OR(AB127="",AB137=""),"",MAX(1,SUMPRODUCT(--(INDEX('Tablas Técnicas'!$C$10:$L$644,,1)=AB127),--(INDEX('Tablas Técnicas'!$C$10:$L$644,,2)=AB137),INDEX('Tablas Técnicas'!$C$10:$L$644,,9))))</f>
        <v/>
      </c>
      <c r="AH137" s="1943">
        <f>P114</f>
        <v>1</v>
      </c>
      <c r="AI137" s="6011"/>
      <c r="AJ137" s="3986" t="s">
        <v>8860</v>
      </c>
      <c r="AK137" s="3986"/>
      <c r="AL137" s="3986"/>
      <c r="AM137" s="3986" t="b">
        <f>AND(COUNTIF(K118:M122,"Mantenido"),OR(COUNTIF(K118:M122,"Sostenimiento Menor"),COUNTIF(K118:M122,"Sostenimiento Mayor")))</f>
        <v>0</v>
      </c>
      <c r="AN137" s="3987"/>
      <c r="AO137" s="3986"/>
      <c r="AP137" s="3986"/>
      <c r="AQ137" s="3986"/>
      <c r="AR137" s="3986"/>
      <c r="AS137" s="3986"/>
      <c r="AT137" s="3986"/>
      <c r="AU137" s="1868"/>
      <c r="AV137" s="1868"/>
      <c r="AW137" s="1868"/>
      <c r="AX137" s="1868"/>
      <c r="AY137" s="3986"/>
      <c r="AZ137" s="1868"/>
      <c r="BA137" s="1868"/>
      <c r="BB137" s="1868"/>
      <c r="BC137" s="1868"/>
      <c r="BD137" s="1868"/>
      <c r="BE137" s="1868"/>
      <c r="BF137" s="1868"/>
      <c r="BG137" s="1868"/>
      <c r="BH137" s="1868"/>
      <c r="BI137" s="1868"/>
      <c r="BJ137" s="1868"/>
      <c r="BK137" s="1868"/>
      <c r="BL137" s="1868"/>
      <c r="BM137" s="1868"/>
      <c r="BN137" s="1868"/>
      <c r="BO137" s="1868"/>
      <c r="BP137" s="1868"/>
      <c r="BQ137" s="1868"/>
      <c r="BR137" s="1868"/>
    </row>
    <row r="138" spans="1:70" ht="12.2" customHeight="1">
      <c r="A138" s="1935"/>
      <c r="B138" s="1866">
        <f t="shared" si="2"/>
        <v>4</v>
      </c>
      <c r="C138" s="6009"/>
      <c r="D138" s="5873" t="s">
        <v>1408</v>
      </c>
      <c r="E138" s="5874"/>
      <c r="F138" s="5874"/>
      <c r="G138" s="5874"/>
      <c r="H138" s="5874"/>
      <c r="I138" s="5874"/>
      <c r="J138" s="5874"/>
      <c r="K138" s="5874"/>
      <c r="L138" s="5874"/>
      <c r="M138" s="5874"/>
      <c r="N138" s="5874"/>
      <c r="O138" s="5874"/>
      <c r="P138" s="5874"/>
      <c r="Q138" s="5874"/>
      <c r="R138" s="5874"/>
      <c r="S138" s="5874"/>
      <c r="T138" s="5874"/>
      <c r="U138" s="5874"/>
      <c r="V138" s="5874"/>
      <c r="W138" s="5874"/>
      <c r="X138" s="5874"/>
      <c r="Y138" s="5874"/>
      <c r="Z138" s="5874"/>
      <c r="AA138" s="5874"/>
      <c r="AB138" s="5874"/>
      <c r="AC138" s="5874"/>
      <c r="AD138" s="5874"/>
      <c r="AE138" s="5874"/>
      <c r="AF138" s="5874"/>
      <c r="AG138" s="5875"/>
      <c r="AH138" s="1943"/>
      <c r="AI138" s="6011"/>
      <c r="AJ138" s="3986" t="s">
        <v>8859</v>
      </c>
      <c r="AK138" s="3986"/>
      <c r="AL138" s="3986"/>
      <c r="AM138" s="398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986"/>
      <c r="AO138" s="3986"/>
      <c r="AP138" s="3986"/>
      <c r="AQ138" s="3987"/>
      <c r="AR138" s="3986"/>
      <c r="AS138" s="3986"/>
      <c r="AT138" s="3986"/>
      <c r="AU138" s="1868"/>
      <c r="AV138" s="1868"/>
      <c r="AW138" s="1868"/>
      <c r="AX138" s="1868"/>
      <c r="AY138" s="3986"/>
      <c r="AZ138" s="1868"/>
      <c r="BA138" s="1868"/>
      <c r="BB138" s="1868"/>
      <c r="BC138" s="1868"/>
      <c r="BD138" s="1868"/>
      <c r="BE138" s="1868"/>
      <c r="BF138" s="1868"/>
      <c r="BG138" s="1868"/>
      <c r="BH138" s="1868"/>
      <c r="BI138" s="1868"/>
      <c r="BJ138" s="1868"/>
      <c r="BK138" s="1868"/>
      <c r="BL138" s="1868"/>
      <c r="BM138" s="1868"/>
      <c r="BN138" s="1868"/>
      <c r="BO138" s="1868"/>
      <c r="BP138" s="1868"/>
      <c r="BQ138" s="1868"/>
      <c r="BR138" s="1868"/>
    </row>
    <row r="139" spans="1:70" ht="12.2" customHeight="1">
      <c r="A139" s="1935"/>
      <c r="B139" s="1866">
        <f t="shared" si="2"/>
        <v>4</v>
      </c>
      <c r="C139" s="6009"/>
      <c r="D139" s="5868"/>
      <c r="E139" s="5869"/>
      <c r="F139" s="5869"/>
      <c r="G139" s="5869"/>
      <c r="H139" s="5869"/>
      <c r="I139" s="5869"/>
      <c r="J139" s="5869"/>
      <c r="K139" s="5869"/>
      <c r="L139" s="5869"/>
      <c r="M139" s="5869"/>
      <c r="N139" s="5869"/>
      <c r="O139" s="5869"/>
      <c r="P139" s="5869"/>
      <c r="Q139" s="5869"/>
      <c r="R139" s="5869"/>
      <c r="S139" s="5869"/>
      <c r="T139" s="5869"/>
      <c r="U139" s="5869"/>
      <c r="V139" s="5869"/>
      <c r="W139" s="5869"/>
      <c r="X139" s="5869"/>
      <c r="Y139" s="5869"/>
      <c r="Z139" s="5869"/>
      <c r="AA139" s="5869"/>
      <c r="AB139" s="5869"/>
      <c r="AC139" s="5869"/>
      <c r="AD139" s="5869"/>
      <c r="AE139" s="5869"/>
      <c r="AF139" s="5869"/>
      <c r="AG139" s="5870"/>
      <c r="AH139" s="1943"/>
      <c r="AI139" s="6011"/>
      <c r="AJ139" s="3986" t="s">
        <v>8867</v>
      </c>
      <c r="AK139" s="3986"/>
      <c r="AL139" s="3986"/>
      <c r="AM139" s="398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986"/>
      <c r="AO139" s="3986"/>
      <c r="AP139" s="3986"/>
      <c r="AQ139" s="3987"/>
      <c r="AR139" s="3986"/>
      <c r="AS139" s="3986"/>
      <c r="AT139" s="3986"/>
      <c r="AU139" s="1868"/>
      <c r="AV139" s="1868"/>
      <c r="AW139" s="1868"/>
      <c r="AX139" s="1868"/>
      <c r="AY139" s="3986"/>
      <c r="AZ139" s="1868"/>
      <c r="BA139" s="1868"/>
      <c r="BB139" s="1868"/>
      <c r="BC139" s="1868"/>
      <c r="BD139" s="1868"/>
      <c r="BE139" s="1868"/>
      <c r="BF139" s="1868"/>
      <c r="BG139" s="1868"/>
      <c r="BH139" s="1868"/>
      <c r="BI139" s="1868"/>
      <c r="BJ139" s="1868"/>
      <c r="BK139" s="1868"/>
      <c r="BL139" s="1868"/>
      <c r="BM139" s="1868"/>
      <c r="BN139" s="1868"/>
      <c r="BO139" s="1868"/>
      <c r="BP139" s="1868"/>
      <c r="BQ139" s="1868"/>
      <c r="BR139" s="1868"/>
    </row>
    <row r="140" spans="1:70" ht="12.2" customHeight="1">
      <c r="A140" s="1935"/>
      <c r="B140" s="1866">
        <f t="shared" si="2"/>
        <v>4</v>
      </c>
      <c r="C140" s="6009"/>
      <c r="D140" s="5868"/>
      <c r="E140" s="5869"/>
      <c r="F140" s="5869"/>
      <c r="G140" s="5869"/>
      <c r="H140" s="5869"/>
      <c r="I140" s="5869"/>
      <c r="J140" s="5869"/>
      <c r="K140" s="5869"/>
      <c r="L140" s="5869"/>
      <c r="M140" s="5869"/>
      <c r="N140" s="5869"/>
      <c r="O140" s="5869"/>
      <c r="P140" s="5869"/>
      <c r="Q140" s="5869"/>
      <c r="R140" s="5869"/>
      <c r="S140" s="5869"/>
      <c r="T140" s="5869"/>
      <c r="U140" s="5869"/>
      <c r="V140" s="5869"/>
      <c r="W140" s="5869"/>
      <c r="X140" s="5869"/>
      <c r="Y140" s="5869"/>
      <c r="Z140" s="5869"/>
      <c r="AA140" s="5869"/>
      <c r="AB140" s="5869"/>
      <c r="AC140" s="5869"/>
      <c r="AD140" s="5869"/>
      <c r="AE140" s="5869"/>
      <c r="AF140" s="5869"/>
      <c r="AG140" s="5870"/>
      <c r="AH140" s="1943"/>
      <c r="AI140" s="6011"/>
      <c r="AJ140" s="3986" t="s">
        <v>8846</v>
      </c>
      <c r="AK140" s="3986"/>
      <c r="AL140" s="3986"/>
      <c r="AM140" s="3986" t="b">
        <f>AND((IF(SUM(V118:V122)&gt;0,1,0)+IF(SUM(X118:X122)&gt;0,1,0)+IF(SUM(Z118:Z122)&gt;0,1,0)+IF(SUM(AB118:AB122)&gt;0,1,0)+IF(SUM(AD118:AD122,)&gt;0,1,0)+IF(SUM(AF118:AF122)&gt;0,1,0))&lt;3,OR(V125&lt;0,X125&lt;0,Z125&lt;0,AB125&lt;0,AD125&lt;0,AF125&lt;0,Y123&lt;0))</f>
        <v>0</v>
      </c>
      <c r="AN140" s="3986"/>
      <c r="AO140" s="3986"/>
      <c r="AP140" s="3986"/>
      <c r="AQ140" s="3987"/>
      <c r="AR140" s="3986"/>
      <c r="AS140" s="3986"/>
      <c r="AT140" s="3986"/>
      <c r="AU140" s="1868"/>
      <c r="AV140" s="1868"/>
      <c r="AW140" s="1868"/>
      <c r="AX140" s="1868"/>
      <c r="AY140" s="3986"/>
      <c r="AZ140" s="1868"/>
      <c r="BA140" s="1868"/>
      <c r="BB140" s="1868"/>
      <c r="BC140" s="1868"/>
      <c r="BD140" s="1868"/>
      <c r="BE140" s="1868"/>
      <c r="BF140" s="1868"/>
      <c r="BG140" s="1868"/>
      <c r="BH140" s="1868"/>
      <c r="BI140" s="1868"/>
      <c r="BJ140" s="1868"/>
      <c r="BK140" s="1868"/>
      <c r="BL140" s="1868"/>
      <c r="BM140" s="1868"/>
      <c r="BN140" s="1868"/>
      <c r="BO140" s="1868"/>
      <c r="BP140" s="1868"/>
      <c r="BQ140" s="1868"/>
      <c r="BR140" s="1868"/>
    </row>
    <row r="141" spans="1:70" ht="12.2" customHeight="1">
      <c r="A141" s="1935"/>
      <c r="B141" s="1866">
        <f t="shared" si="2"/>
        <v>4</v>
      </c>
      <c r="C141" s="6009"/>
      <c r="D141" s="5868"/>
      <c r="E141" s="5869"/>
      <c r="F141" s="5869"/>
      <c r="G141" s="5869"/>
      <c r="H141" s="5869"/>
      <c r="I141" s="5869"/>
      <c r="J141" s="5869"/>
      <c r="K141" s="5869"/>
      <c r="L141" s="5869"/>
      <c r="M141" s="5869"/>
      <c r="N141" s="5869"/>
      <c r="O141" s="5869"/>
      <c r="P141" s="5869"/>
      <c r="Q141" s="5869"/>
      <c r="R141" s="5869"/>
      <c r="S141" s="5869"/>
      <c r="T141" s="5869"/>
      <c r="U141" s="5869"/>
      <c r="V141" s="5869"/>
      <c r="W141" s="5869"/>
      <c r="X141" s="5869"/>
      <c r="Y141" s="5869"/>
      <c r="Z141" s="5869"/>
      <c r="AA141" s="5869"/>
      <c r="AB141" s="5869"/>
      <c r="AC141" s="5869"/>
      <c r="AD141" s="5869"/>
      <c r="AE141" s="5869"/>
      <c r="AF141" s="5869"/>
      <c r="AG141" s="5870"/>
      <c r="AH141" s="1943"/>
      <c r="AI141" s="6011"/>
      <c r="AJ141" s="3986" t="s">
        <v>8861</v>
      </c>
      <c r="AK141" s="3986"/>
      <c r="AL141" s="3986"/>
      <c r="AM141" s="3986" t="b">
        <f>OR(-V125&gt;TRUNC(SUM(V118:V122)/2),-X125&gt;TRUNC(SUM(X118:X122)/2),-Z125&gt;TRUNC(SUM(Z118:Z122)/2),-AB125&gt;TRUNC(SUM(AB118:AB122)/2),-AD125&gt;TRUNC(SUM(AD118:AD122)/2),-AF125&gt;TRUNC(SUM(AF118:AF122)/2))</f>
        <v>0</v>
      </c>
      <c r="AN141" s="3986"/>
      <c r="AO141" s="3986"/>
      <c r="AP141" s="3986"/>
      <c r="AQ141" s="3987"/>
      <c r="AR141" s="3986"/>
      <c r="AS141" s="3986"/>
      <c r="AT141" s="3986"/>
      <c r="AU141" s="1868"/>
      <c r="AV141" s="1868"/>
      <c r="AW141" s="1868"/>
      <c r="AX141" s="1868"/>
      <c r="AY141" s="3986"/>
      <c r="AZ141" s="1868"/>
      <c r="BA141" s="1868"/>
      <c r="BB141" s="1868"/>
      <c r="BC141" s="1868"/>
      <c r="BD141" s="1868"/>
      <c r="BE141" s="1868"/>
      <c r="BF141" s="1868"/>
      <c r="BG141" s="1868"/>
      <c r="BH141" s="1868"/>
      <c r="BI141" s="1868"/>
      <c r="BJ141" s="1868"/>
      <c r="BK141" s="1868"/>
      <c r="BL141" s="1868"/>
      <c r="BM141" s="1868"/>
      <c r="BN141" s="1868"/>
      <c r="BO141" s="1868"/>
      <c r="BP141" s="1868"/>
      <c r="BQ141" s="1868"/>
      <c r="BR141" s="1868"/>
    </row>
    <row r="142" spans="1:70" ht="12.2" customHeight="1">
      <c r="A142" s="1935"/>
      <c r="B142" s="1866">
        <f t="shared" si="2"/>
        <v>4</v>
      </c>
      <c r="C142" s="6009"/>
      <c r="D142" s="5868"/>
      <c r="E142" s="5869"/>
      <c r="F142" s="5869"/>
      <c r="G142" s="5869"/>
      <c r="H142" s="5869"/>
      <c r="I142" s="5869"/>
      <c r="J142" s="5869"/>
      <c r="K142" s="5869"/>
      <c r="L142" s="5869"/>
      <c r="M142" s="5869"/>
      <c r="N142" s="5869"/>
      <c r="O142" s="5869"/>
      <c r="P142" s="5869"/>
      <c r="Q142" s="5869"/>
      <c r="R142" s="5869"/>
      <c r="S142" s="5869"/>
      <c r="T142" s="5869"/>
      <c r="U142" s="5869"/>
      <c r="V142" s="5869"/>
      <c r="W142" s="5869"/>
      <c r="X142" s="5869"/>
      <c r="Y142" s="5869"/>
      <c r="Z142" s="5869"/>
      <c r="AA142" s="5869"/>
      <c r="AB142" s="5869"/>
      <c r="AC142" s="5869"/>
      <c r="AD142" s="5869"/>
      <c r="AE142" s="5869"/>
      <c r="AF142" s="5869"/>
      <c r="AG142" s="5870"/>
      <c r="AH142" s="1943"/>
      <c r="AI142" s="6011"/>
      <c r="AJ142" s="3986" t="s">
        <v>8862</v>
      </c>
      <c r="AK142" s="3986"/>
      <c r="AL142" s="3986"/>
      <c r="AM142" s="3986" t="b">
        <f>COUNTIF(D118:E122,"Primario")&gt;1</f>
        <v>0</v>
      </c>
      <c r="AN142" s="3986"/>
      <c r="AO142" s="3986"/>
      <c r="AP142" s="3986"/>
      <c r="AQ142" s="3987"/>
      <c r="AR142" s="3987"/>
      <c r="AS142" s="3987"/>
      <c r="AT142" s="3987"/>
      <c r="AU142" s="1868"/>
      <c r="AV142" s="1868"/>
      <c r="AW142" s="1868"/>
      <c r="AX142" s="3986"/>
      <c r="AY142" s="3986"/>
      <c r="AZ142" s="1868"/>
      <c r="BA142" s="1868"/>
      <c r="BB142" s="1868"/>
      <c r="BC142" s="1868"/>
      <c r="BD142" s="1868"/>
      <c r="BE142" s="1868"/>
      <c r="BF142" s="1868"/>
      <c r="BG142" s="1868"/>
      <c r="BH142" s="1868"/>
      <c r="BI142" s="1868"/>
      <c r="BJ142" s="1868"/>
      <c r="BK142" s="1868"/>
      <c r="BL142" s="1868"/>
      <c r="BM142" s="1868"/>
      <c r="BN142" s="1868"/>
      <c r="BO142" s="1868"/>
      <c r="BP142" s="1868"/>
      <c r="BQ142" s="1868"/>
      <c r="BR142" s="1868"/>
    </row>
    <row r="143" spans="1:70" ht="12.2" customHeight="1">
      <c r="A143" s="1935"/>
      <c r="B143" s="1866">
        <f t="shared" si="2"/>
        <v>4</v>
      </c>
      <c r="C143" s="6009"/>
      <c r="D143" s="5868"/>
      <c r="E143" s="5869"/>
      <c r="F143" s="5869"/>
      <c r="G143" s="5869"/>
      <c r="H143" s="5869"/>
      <c r="I143" s="5869"/>
      <c r="J143" s="5869"/>
      <c r="K143" s="5869"/>
      <c r="L143" s="5869"/>
      <c r="M143" s="5869"/>
      <c r="N143" s="5869"/>
      <c r="O143" s="5869"/>
      <c r="P143" s="5869"/>
      <c r="Q143" s="5869"/>
      <c r="R143" s="5869"/>
      <c r="S143" s="5869"/>
      <c r="T143" s="5869"/>
      <c r="U143" s="5869"/>
      <c r="V143" s="5869"/>
      <c r="W143" s="5869"/>
      <c r="X143" s="5869"/>
      <c r="Y143" s="5869"/>
      <c r="Z143" s="5869"/>
      <c r="AA143" s="5869"/>
      <c r="AB143" s="5869"/>
      <c r="AC143" s="5869"/>
      <c r="AD143" s="5869"/>
      <c r="AE143" s="5869"/>
      <c r="AF143" s="5869"/>
      <c r="AG143" s="5870"/>
      <c r="AH143" s="1943"/>
      <c r="AI143" s="6011"/>
      <c r="AJ143" s="3986" t="s">
        <v>8845</v>
      </c>
      <c r="AK143" s="3986"/>
      <c r="AL143" s="3986"/>
      <c r="AM143" s="3986" t="b">
        <f>SUM(V125:AG125)&lt;&gt;Y123+ABS(AC123)*2/5+IF(S114="Sí",3*P114,0)</f>
        <v>0</v>
      </c>
      <c r="AN143" s="3986"/>
      <c r="AO143" s="3986"/>
      <c r="AP143" s="3986"/>
      <c r="AQ143" s="3987"/>
      <c r="AR143" s="3987"/>
      <c r="AS143" s="3987"/>
      <c r="AT143" s="3987"/>
      <c r="AU143" s="1868"/>
      <c r="AV143" s="1868"/>
      <c r="AW143" s="1868"/>
      <c r="AX143" s="3986"/>
      <c r="AY143" s="3986"/>
      <c r="AZ143" s="1868"/>
      <c r="BA143" s="1868"/>
      <c r="BB143" s="1868"/>
      <c r="BC143" s="1868"/>
      <c r="BD143" s="1868"/>
      <c r="BE143" s="1868"/>
      <c r="BF143" s="1868"/>
      <c r="BG143" s="1868"/>
      <c r="BH143" s="1868"/>
      <c r="BI143" s="1868"/>
      <c r="BJ143" s="1868"/>
      <c r="BK143" s="1868"/>
      <c r="BL143" s="1868"/>
      <c r="BM143" s="1868"/>
      <c r="BN143" s="1868"/>
      <c r="BO143" s="1868"/>
      <c r="BP143" s="1868"/>
      <c r="BQ143" s="1868"/>
      <c r="BR143" s="1868"/>
    </row>
    <row r="144" spans="1:70" ht="12.2" customHeight="1">
      <c r="A144" s="1935"/>
      <c r="B144" s="1866">
        <f t="shared" si="2"/>
        <v>4</v>
      </c>
      <c r="C144" s="6009"/>
      <c r="D144" s="5868"/>
      <c r="E144" s="5869"/>
      <c r="F144" s="5869"/>
      <c r="G144" s="5869"/>
      <c r="H144" s="5869"/>
      <c r="I144" s="5869"/>
      <c r="J144" s="5869"/>
      <c r="K144" s="5869"/>
      <c r="L144" s="5869"/>
      <c r="M144" s="5869"/>
      <c r="N144" s="5869"/>
      <c r="O144" s="5869"/>
      <c r="P144" s="5869"/>
      <c r="Q144" s="5869"/>
      <c r="R144" s="5869"/>
      <c r="S144" s="5869"/>
      <c r="T144" s="5869"/>
      <c r="U144" s="5869"/>
      <c r="V144" s="5869"/>
      <c r="W144" s="5869"/>
      <c r="X144" s="5869"/>
      <c r="Y144" s="5869"/>
      <c r="Z144" s="5869"/>
      <c r="AA144" s="5869"/>
      <c r="AB144" s="5869"/>
      <c r="AC144" s="5869"/>
      <c r="AD144" s="5869"/>
      <c r="AE144" s="5869"/>
      <c r="AF144" s="5869"/>
      <c r="AG144" s="5870"/>
      <c r="AH144" s="1943"/>
      <c r="AI144" s="6011"/>
      <c r="AJ144" s="3986" t="s">
        <v>8844</v>
      </c>
      <c r="AK144" s="3986"/>
      <c r="AL144" s="3986"/>
      <c r="AM144" s="3986" t="b">
        <f>AL131-AL132+AM131-AM132&lt;&gt;0</f>
        <v>0</v>
      </c>
      <c r="AN144" s="1868"/>
      <c r="AO144" s="1868"/>
      <c r="AP144" s="1868"/>
      <c r="AQ144" s="1868"/>
      <c r="AR144" s="3987"/>
      <c r="AS144" s="3987"/>
      <c r="AT144" s="3987"/>
      <c r="AU144" s="1868"/>
      <c r="AV144" s="1868"/>
      <c r="AW144" s="1868"/>
      <c r="AX144" s="3986"/>
      <c r="AY144" s="3986"/>
      <c r="AZ144" s="1868"/>
      <c r="BA144" s="1868"/>
      <c r="BB144" s="1868"/>
      <c r="BC144" s="1868"/>
      <c r="BD144" s="1868"/>
      <c r="BE144" s="1868"/>
      <c r="BF144" s="1868"/>
      <c r="BG144" s="1868"/>
      <c r="BH144" s="1868"/>
      <c r="BI144" s="1868"/>
      <c r="BJ144" s="1868"/>
      <c r="BK144" s="1868"/>
      <c r="BL144" s="1868"/>
      <c r="BM144" s="1868"/>
      <c r="BN144" s="1868"/>
      <c r="BO144" s="1868"/>
      <c r="BP144" s="1868"/>
      <c r="BQ144" s="1868"/>
      <c r="BR144" s="1868"/>
    </row>
    <row r="145" spans="1:70" ht="12.2" customHeight="1" thickBot="1">
      <c r="A145" s="1935"/>
      <c r="B145" s="1866"/>
      <c r="C145" s="6010"/>
      <c r="D145" s="601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6013"/>
      <c r="F145" s="6013"/>
      <c r="G145" s="6013"/>
      <c r="H145" s="6013"/>
      <c r="I145" s="6013"/>
      <c r="J145" s="6013"/>
      <c r="K145" s="6013"/>
      <c r="L145" s="6013"/>
      <c r="M145" s="6013"/>
      <c r="N145" s="6013"/>
      <c r="O145" s="6013"/>
      <c r="P145" s="6013"/>
      <c r="Q145" s="6013"/>
      <c r="R145" s="6013"/>
      <c r="S145" s="6013"/>
      <c r="T145" s="6013"/>
      <c r="U145" s="6013"/>
      <c r="V145" s="6013"/>
      <c r="W145" s="6013"/>
      <c r="X145" s="6013"/>
      <c r="Y145" s="6013"/>
      <c r="Z145" s="6013"/>
      <c r="AA145" s="6013"/>
      <c r="AB145" s="6013"/>
      <c r="AC145" s="6013"/>
      <c r="AD145" s="6013"/>
      <c r="AE145" s="6013"/>
      <c r="AF145" s="6013"/>
      <c r="AG145" s="6014"/>
      <c r="AH145" s="1943"/>
      <c r="AI145" s="6011"/>
      <c r="AJ145" s="3986" t="s">
        <v>8881</v>
      </c>
      <c r="AK145" s="1868"/>
      <c r="AL145" s="1868"/>
      <c r="AM145" s="1868" t="b">
        <f>ABS(SUM(N123:N125))&gt;(SUM(N118:N122)-10*Y123+AC123+IF(S114="Sí",10*P114,0)+IF(COUNTIF(K118:M122,"Mantenido")&gt;0,P114*10)+MAX(IF(COUNTIF(K118:M122,"Sostenimiento Menor")&gt;0,P114*20)+IF(COUNTIF(K118:M122,"Sostenimiento Mayor")&gt;0,P114*30)))/2</f>
        <v>0</v>
      </c>
      <c r="AN145" s="3986"/>
      <c r="AO145" s="3986"/>
      <c r="AP145" s="3986"/>
      <c r="AQ145" s="3986"/>
      <c r="AR145" s="3987"/>
      <c r="AS145" s="3987"/>
      <c r="AT145" s="3987"/>
      <c r="AU145" s="1868"/>
      <c r="AV145" s="1868"/>
      <c r="AW145" s="1868"/>
      <c r="AX145" s="3986"/>
      <c r="AY145" s="3986"/>
      <c r="AZ145" s="1868"/>
      <c r="BA145" s="1868"/>
      <c r="BB145" s="1868"/>
      <c r="BC145" s="1868"/>
      <c r="BD145" s="1868"/>
      <c r="BE145" s="1868"/>
      <c r="BF145" s="1868"/>
      <c r="BG145" s="1868"/>
      <c r="BH145" s="1868"/>
      <c r="BI145" s="1868"/>
      <c r="BJ145" s="1868"/>
      <c r="BK145" s="1868"/>
      <c r="BL145" s="1868"/>
      <c r="BM145" s="1868"/>
      <c r="BN145" s="1868"/>
      <c r="BO145" s="1868"/>
      <c r="BP145" s="1868"/>
      <c r="BQ145" s="1868"/>
      <c r="BR145" s="1868"/>
    </row>
    <row r="146" spans="1:70" ht="12.2" customHeight="1">
      <c r="A146" s="1935"/>
      <c r="B146" s="1866"/>
      <c r="C146" s="5935"/>
      <c r="D146" s="5935" t="str">
        <f>IFERROR(VLOOKUP(D127,'Tablas Técnicas'!$O$9:$T$88,2,FALSE),"")</f>
        <v/>
      </c>
      <c r="E146" s="5935"/>
      <c r="F146" s="5935"/>
      <c r="G146" s="5935"/>
      <c r="H146" s="5935"/>
      <c r="I146" s="5935"/>
      <c r="J146" s="5935" t="str">
        <f>IFERROR(VLOOKUP(J127,'Tablas Técnicas'!$O$9:$T$88,2,FALSE),"")</f>
        <v/>
      </c>
      <c r="K146" s="5935"/>
      <c r="L146" s="5935"/>
      <c r="M146" s="5935"/>
      <c r="N146" s="5935"/>
      <c r="O146" s="5935"/>
      <c r="P146" s="5935" t="str">
        <f>IFERROR(VLOOKUP(P127,'Tablas Técnicas'!$O$9:$T$88,2,FALSE),"")</f>
        <v/>
      </c>
      <c r="Q146" s="5935"/>
      <c r="R146" s="5935"/>
      <c r="S146" s="5935"/>
      <c r="T146" s="5935"/>
      <c r="U146" s="5935"/>
      <c r="V146" s="5935" t="str">
        <f>IFERROR(VLOOKUP(V127,'Tablas Técnicas'!$O$9:$T$88,2,FALSE),"")</f>
        <v/>
      </c>
      <c r="W146" s="5935"/>
      <c r="X146" s="5935"/>
      <c r="Y146" s="5935"/>
      <c r="Z146" s="5935"/>
      <c r="AA146" s="5935"/>
      <c r="AB146" s="5935" t="str">
        <f>IFERROR(VLOOKUP(AB127,'Tablas Técnicas'!$O$9:$T$88,2,FALSE),"")</f>
        <v/>
      </c>
      <c r="AC146" s="5935"/>
      <c r="AD146" s="5935"/>
      <c r="AE146" s="5935"/>
      <c r="AF146" s="5935"/>
      <c r="AG146" s="5935"/>
      <c r="AH146" s="1943"/>
      <c r="AI146" s="1712"/>
      <c r="AJ146" s="3986"/>
      <c r="AK146" s="3986"/>
      <c r="AL146" s="3986"/>
      <c r="AM146" s="3986"/>
      <c r="AN146" s="3986"/>
      <c r="AO146" s="3986"/>
      <c r="AP146" s="3986"/>
      <c r="AQ146" s="3986"/>
      <c r="AR146" s="3987"/>
      <c r="AS146" s="3987"/>
      <c r="AT146" s="3987"/>
      <c r="AU146" s="1868"/>
      <c r="AV146" s="1868"/>
      <c r="AW146" s="1868"/>
      <c r="AX146" s="1868"/>
      <c r="AY146" s="3986"/>
      <c r="AZ146" s="1868"/>
      <c r="BA146" s="1868"/>
      <c r="BB146" s="1868"/>
      <c r="BC146" s="1868"/>
      <c r="BD146" s="1868"/>
      <c r="BE146" s="1868"/>
      <c r="BF146" s="1868"/>
      <c r="BG146" s="1868"/>
      <c r="BH146" s="1868"/>
      <c r="BI146" s="1868"/>
      <c r="BJ146" s="1868"/>
      <c r="BK146" s="1868"/>
      <c r="BL146" s="1868"/>
      <c r="BM146" s="1868"/>
      <c r="BN146" s="1868"/>
      <c r="BO146" s="1868"/>
      <c r="BP146" s="1868"/>
      <c r="BQ146" s="1868"/>
      <c r="BR146" s="1868"/>
    </row>
    <row r="147" spans="1:70" ht="12.2" customHeight="1" thickBot="1">
      <c r="A147" s="1935"/>
      <c r="B147" s="1866"/>
      <c r="C147" s="5935"/>
      <c r="D147" s="2024"/>
      <c r="E147" s="1868"/>
      <c r="F147" s="1868"/>
      <c r="G147" s="1868"/>
      <c r="H147" s="1868"/>
      <c r="I147" s="1868"/>
      <c r="J147" s="1868"/>
      <c r="K147" s="1868"/>
      <c r="L147" s="1868"/>
      <c r="M147" s="1868"/>
      <c r="N147" s="1868"/>
      <c r="O147" s="1868"/>
      <c r="P147" s="1868"/>
      <c r="Q147" s="1868"/>
      <c r="R147" s="1868"/>
      <c r="S147" s="1868"/>
      <c r="T147" s="1868"/>
      <c r="U147" s="1868"/>
      <c r="V147" s="2025"/>
      <c r="W147" s="2025"/>
      <c r="X147" s="2025"/>
      <c r="Y147" s="2025"/>
      <c r="Z147" s="2025"/>
      <c r="AA147" s="2025"/>
      <c r="AB147" s="2025"/>
      <c r="AC147" s="2025"/>
      <c r="AD147" s="2025"/>
      <c r="AE147" s="2025"/>
      <c r="AF147" s="1868"/>
      <c r="AG147" s="1868"/>
      <c r="AH147" s="1943"/>
      <c r="AI147" s="1712"/>
      <c r="AJ147" s="3991"/>
      <c r="AK147" s="3991"/>
      <c r="AL147" s="3991"/>
      <c r="AM147" s="3991"/>
      <c r="AN147" s="3991"/>
      <c r="AO147" s="3991"/>
      <c r="AP147" s="3986"/>
      <c r="AQ147" s="3987"/>
      <c r="AR147" s="1868"/>
      <c r="AS147" s="1868"/>
      <c r="AT147" s="1868"/>
      <c r="AU147" s="1868"/>
      <c r="AV147" s="1868"/>
      <c r="AW147" s="1868"/>
      <c r="AX147" s="1868"/>
      <c r="AY147" s="3992"/>
      <c r="AZ147" s="1868"/>
      <c r="BA147" s="1868"/>
      <c r="BB147" s="1868"/>
      <c r="BC147" s="1868"/>
      <c r="BD147" s="1868"/>
      <c r="BE147" s="1868"/>
      <c r="BF147" s="1868"/>
      <c r="BG147" s="1868"/>
      <c r="BH147" s="1868"/>
      <c r="BI147" s="1868"/>
      <c r="BJ147" s="1868"/>
      <c r="BK147" s="1868"/>
      <c r="BL147" s="1868"/>
      <c r="BM147" s="1868"/>
      <c r="BN147" s="1868"/>
      <c r="BO147" s="1868"/>
      <c r="BP147" s="1868"/>
      <c r="BQ147" s="1868"/>
      <c r="BR147" s="1868"/>
    </row>
    <row r="148" spans="1:70" ht="12.2" customHeight="1">
      <c r="A148" s="1935"/>
      <c r="B148" s="1866">
        <f t="shared" ref="B148:B178" si="3">1+B114</f>
        <v>5</v>
      </c>
      <c r="C148" s="6008" t="str">
        <f>"Técnica "&amp;B148</f>
        <v>Técnica 5</v>
      </c>
      <c r="D148" s="5974" t="s">
        <v>8267</v>
      </c>
      <c r="E148" s="5975"/>
      <c r="F148" s="5975"/>
      <c r="G148" s="5975"/>
      <c r="H148" s="5975"/>
      <c r="I148" s="5975"/>
      <c r="J148" s="5975"/>
      <c r="K148" s="5975"/>
      <c r="L148" s="5975"/>
      <c r="M148" s="5975"/>
      <c r="N148" s="5976"/>
      <c r="O148" s="5971" t="s">
        <v>1186</v>
      </c>
      <c r="P148" s="5973">
        <v>1</v>
      </c>
      <c r="Q148" s="5916" t="s">
        <v>8350</v>
      </c>
      <c r="R148" s="5967"/>
      <c r="S148" s="5969" t="s">
        <v>1241</v>
      </c>
      <c r="T148" s="5917" t="s">
        <v>1365</v>
      </c>
      <c r="U148" s="5897">
        <f>MAX(IF(P148=3,60,IF(P148=2,40,20)),MIN(SUM(N152:N159)-10*Y157+AC157+IF(S148="Sí",10*P148,0)+IF(COUNTIF(K152:M156,"Mantenido")&gt;0,P148*10)+MAX(IF(COUNTIF(K186:M190,"Sostenimiento Menor"),20+IF(P182=2,0,10),IF(COUNTIF(K186:M190,"Sostenimiento Mayor"),30+IF(P182=2,0,10))))))</f>
        <v>20</v>
      </c>
      <c r="V148" s="5916" t="s">
        <v>8351</v>
      </c>
      <c r="W148" s="5917"/>
      <c r="X148" s="5920" t="str">
        <f>IFERROR(LEFT(AK164&amp;AL164&amp;AM164&amp;AN164&amp;AO164&amp;AP164,LEN(AK164&amp;AL164&amp;AM164&amp;AN164&amp;AO164&amp;AP164)-2),"")</f>
        <v/>
      </c>
      <c r="Y148" s="5920"/>
      <c r="Z148" s="5920"/>
      <c r="AA148" s="5920"/>
      <c r="AB148" s="5920"/>
      <c r="AC148" s="5920"/>
      <c r="AD148" s="5920"/>
      <c r="AE148" s="5920"/>
      <c r="AF148" s="5920"/>
      <c r="AG148" s="5921"/>
      <c r="AH148" s="1943"/>
      <c r="AI148" s="6011"/>
      <c r="AJ148" s="3989" t="s">
        <v>8878</v>
      </c>
      <c r="AK148" s="3989"/>
      <c r="AL148" s="3989"/>
      <c r="AM148" s="3989"/>
      <c r="AN148" s="3989"/>
      <c r="AO148" s="3989"/>
      <c r="AP148" s="3989"/>
      <c r="AQ148" s="3989"/>
      <c r="AR148" s="3989"/>
      <c r="AS148" s="3986"/>
      <c r="AT148" s="3986"/>
      <c r="AU148" s="3986"/>
      <c r="AV148" s="3986"/>
      <c r="AW148" s="1868"/>
      <c r="AX148" s="1868"/>
      <c r="AY148" s="3986"/>
      <c r="AZ148" s="1868"/>
      <c r="BA148" s="1868"/>
      <c r="BB148" s="1868"/>
      <c r="BC148" s="1868"/>
      <c r="BD148" s="1868"/>
      <c r="BE148" s="1868"/>
      <c r="BF148" s="1868"/>
      <c r="BG148" s="1868"/>
      <c r="BH148" s="1868"/>
      <c r="BI148" s="1868"/>
      <c r="BJ148" s="1868"/>
      <c r="BK148" s="1868"/>
      <c r="BL148" s="1868"/>
      <c r="BM148" s="1868"/>
      <c r="BN148" s="1868"/>
      <c r="BO148" s="1868"/>
      <c r="BP148" s="1868"/>
      <c r="BQ148" s="1868"/>
      <c r="BR148" s="1868"/>
    </row>
    <row r="149" spans="1:70" ht="12.2" customHeight="1">
      <c r="A149" s="1935"/>
      <c r="B149" s="1866">
        <f t="shared" si="3"/>
        <v>5</v>
      </c>
      <c r="C149" s="6009"/>
      <c r="D149" s="5977"/>
      <c r="E149" s="5992"/>
      <c r="F149" s="5992"/>
      <c r="G149" s="5992"/>
      <c r="H149" s="5992"/>
      <c r="I149" s="5992"/>
      <c r="J149" s="5992"/>
      <c r="K149" s="5992"/>
      <c r="L149" s="5992"/>
      <c r="M149" s="5992"/>
      <c r="N149" s="5993"/>
      <c r="O149" s="5972"/>
      <c r="P149" s="5970"/>
      <c r="Q149" s="5918"/>
      <c r="R149" s="5968"/>
      <c r="S149" s="5970"/>
      <c r="T149" s="5919"/>
      <c r="U149" s="5898"/>
      <c r="V149" s="5918"/>
      <c r="W149" s="5919"/>
      <c r="X149" s="5922"/>
      <c r="Y149" s="5922"/>
      <c r="Z149" s="5922"/>
      <c r="AA149" s="5922"/>
      <c r="AB149" s="5922"/>
      <c r="AC149" s="5922"/>
      <c r="AD149" s="5922"/>
      <c r="AE149" s="5922"/>
      <c r="AF149" s="5922"/>
      <c r="AG149" s="5923"/>
      <c r="AH149" s="1943"/>
      <c r="AI149" s="6011"/>
      <c r="AJ149" s="3989"/>
      <c r="AK149" s="3989" t="s">
        <v>8879</v>
      </c>
      <c r="AL149" s="3989" t="s">
        <v>12546</v>
      </c>
      <c r="AM149" s="3990"/>
      <c r="AN149" s="3990"/>
      <c r="AO149" s="3990"/>
      <c r="AP149" s="3990"/>
      <c r="AQ149" s="3990"/>
      <c r="AR149" s="3989"/>
      <c r="AS149" s="3986"/>
      <c r="AT149" s="3986"/>
      <c r="AU149" s="3986"/>
      <c r="AV149" s="3986"/>
      <c r="AW149" s="1868"/>
      <c r="AX149" s="5935" t="s">
        <v>8848</v>
      </c>
      <c r="AY149" s="5935"/>
      <c r="AZ149" s="1868"/>
      <c r="BA149" s="1868"/>
      <c r="BB149" s="1868"/>
      <c r="BC149" s="1868"/>
      <c r="BD149" s="1868"/>
      <c r="BE149" s="1868"/>
      <c r="BF149" s="1868"/>
      <c r="BG149" s="1868"/>
      <c r="BH149" s="1868"/>
      <c r="BI149" s="1868"/>
      <c r="BJ149" s="1868"/>
      <c r="BK149" s="1868"/>
      <c r="BL149" s="1868"/>
      <c r="BM149" s="1868"/>
      <c r="BN149" s="1868"/>
      <c r="BO149" s="1868"/>
      <c r="BP149" s="1868"/>
      <c r="BQ149" s="1868"/>
      <c r="BR149" s="1868"/>
    </row>
    <row r="150" spans="1:70" ht="12.2" customHeight="1">
      <c r="A150" s="1935"/>
      <c r="B150" s="1866">
        <f t="shared" si="3"/>
        <v>5</v>
      </c>
      <c r="C150" s="6009"/>
      <c r="D150" s="5873" t="s">
        <v>2662</v>
      </c>
      <c r="E150" s="5874"/>
      <c r="F150" s="5874"/>
      <c r="G150" s="5874"/>
      <c r="H150" s="5874"/>
      <c r="I150" s="5874"/>
      <c r="J150" s="5874"/>
      <c r="K150" s="5924" t="s">
        <v>9170</v>
      </c>
      <c r="L150" s="5924"/>
      <c r="M150" s="5924"/>
      <c r="N150" s="5874" t="s">
        <v>1359</v>
      </c>
      <c r="O150" s="5924" t="s">
        <v>2660</v>
      </c>
      <c r="P150" s="5924" t="s">
        <v>8352</v>
      </c>
      <c r="Q150" s="5874" t="s">
        <v>1224</v>
      </c>
      <c r="R150" s="5874"/>
      <c r="S150" s="5874"/>
      <c r="T150" s="5874"/>
      <c r="U150" s="5874"/>
      <c r="V150" s="5876" t="s">
        <v>1233</v>
      </c>
      <c r="W150" s="5855"/>
      <c r="X150" s="5876" t="s">
        <v>1357</v>
      </c>
      <c r="Y150" s="5980"/>
      <c r="Z150" s="5855" t="s">
        <v>1238</v>
      </c>
      <c r="AA150" s="5855"/>
      <c r="AB150" s="5876" t="s">
        <v>1243</v>
      </c>
      <c r="AC150" s="5980"/>
      <c r="AD150" s="5855" t="s">
        <v>1250</v>
      </c>
      <c r="AE150" s="5855"/>
      <c r="AF150" s="5876" t="s">
        <v>1251</v>
      </c>
      <c r="AG150" s="5856"/>
      <c r="AH150" s="1943"/>
      <c r="AI150" s="6011"/>
      <c r="AJ150" s="3986"/>
      <c r="AK150" s="3986"/>
      <c r="AL150" s="3986" t="s">
        <v>9149</v>
      </c>
      <c r="AM150" s="3986"/>
      <c r="AN150" s="3986"/>
      <c r="AO150" s="3986"/>
      <c r="AP150" s="3986"/>
      <c r="AQ150" s="3986"/>
      <c r="AR150" s="1868"/>
      <c r="AS150" s="1868" t="s">
        <v>8868</v>
      </c>
      <c r="AT150" s="1868" t="s">
        <v>8869</v>
      </c>
      <c r="AU150" s="3986" t="s">
        <v>8857</v>
      </c>
      <c r="AV150" s="3986" t="s">
        <v>8858</v>
      </c>
      <c r="AW150" s="1868" t="s">
        <v>1359</v>
      </c>
      <c r="AX150" s="1868" t="s">
        <v>8354</v>
      </c>
      <c r="AY150" s="3986" t="s">
        <v>8355</v>
      </c>
      <c r="AZ150" s="1868"/>
      <c r="BA150" s="1868"/>
      <c r="BB150" s="1868"/>
      <c r="BC150" s="1868"/>
      <c r="BD150" s="1868"/>
      <c r="BE150" s="1868"/>
      <c r="BF150" s="1868"/>
      <c r="BG150" s="1868"/>
      <c r="BH150" s="1868"/>
      <c r="BI150" s="1868"/>
      <c r="BJ150" s="1868"/>
      <c r="BK150" s="1868"/>
      <c r="BL150" s="1868"/>
      <c r="BM150" s="1868"/>
      <c r="BN150" s="1868"/>
      <c r="BO150" s="1868"/>
      <c r="BP150" s="1868"/>
      <c r="BQ150" s="1868"/>
      <c r="BR150" s="1868"/>
    </row>
    <row r="151" spans="1:70" ht="12.2" customHeight="1">
      <c r="A151" s="1935"/>
      <c r="B151" s="1866">
        <f t="shared" si="3"/>
        <v>5</v>
      </c>
      <c r="C151" s="6009"/>
      <c r="D151" s="5989"/>
      <c r="E151" s="5990"/>
      <c r="F151" s="5990"/>
      <c r="G151" s="5990"/>
      <c r="H151" s="5990"/>
      <c r="I151" s="5990"/>
      <c r="J151" s="5990"/>
      <c r="K151" s="5925"/>
      <c r="L151" s="5925"/>
      <c r="M151" s="5925"/>
      <c r="N151" s="5877"/>
      <c r="O151" s="5925"/>
      <c r="P151" s="5991"/>
      <c r="Q151" s="5877"/>
      <c r="R151" s="5877"/>
      <c r="S151" s="5877"/>
      <c r="T151" s="5877"/>
      <c r="U151" s="5877"/>
      <c r="V151" s="2167" t="s">
        <v>8847</v>
      </c>
      <c r="W151" s="2168" t="s">
        <v>2666</v>
      </c>
      <c r="X151" s="2167" t="s">
        <v>8847</v>
      </c>
      <c r="Y151" s="2168" t="s">
        <v>2666</v>
      </c>
      <c r="Z151" s="2167" t="s">
        <v>8847</v>
      </c>
      <c r="AA151" s="2168" t="s">
        <v>2666</v>
      </c>
      <c r="AB151" s="2167" t="s">
        <v>8847</v>
      </c>
      <c r="AC151" s="2168" t="s">
        <v>2666</v>
      </c>
      <c r="AD151" s="2167" t="s">
        <v>8847</v>
      </c>
      <c r="AE151" s="2168" t="s">
        <v>2666</v>
      </c>
      <c r="AF151" s="2167" t="s">
        <v>8847</v>
      </c>
      <c r="AG151" s="2169" t="s">
        <v>2666</v>
      </c>
      <c r="AH151" s="1943"/>
      <c r="AI151" s="6011"/>
      <c r="AJ151" s="3986"/>
      <c r="AK151" s="3986" t="s">
        <v>8849</v>
      </c>
      <c r="AL151" s="3986">
        <v>1</v>
      </c>
      <c r="AM151" s="3986">
        <v>2</v>
      </c>
      <c r="AN151" s="3986">
        <v>3</v>
      </c>
      <c r="AO151" s="3986">
        <v>4</v>
      </c>
      <c r="AP151" s="3986">
        <v>5</v>
      </c>
      <c r="AQ151" s="3986">
        <v>6</v>
      </c>
      <c r="AR151" s="3986">
        <v>7</v>
      </c>
      <c r="AS151" s="1868"/>
      <c r="AT151" s="3986" t="s">
        <v>8880</v>
      </c>
      <c r="AU151" s="1868"/>
      <c r="AV151" s="1868"/>
      <c r="AW151" s="1868" t="s">
        <v>8880</v>
      </c>
      <c r="AX151" s="1868"/>
      <c r="AY151" s="3986"/>
      <c r="AZ151" s="1868"/>
      <c r="BA151" s="1868"/>
      <c r="BB151" s="1868"/>
      <c r="BC151" s="1868"/>
      <c r="BD151" s="1868"/>
      <c r="BE151" s="1868"/>
      <c r="BF151" s="1868"/>
      <c r="BG151" s="1868"/>
      <c r="BH151" s="1868"/>
      <c r="BI151" s="1868"/>
      <c r="BJ151" s="1868"/>
      <c r="BK151" s="1868"/>
      <c r="BL151" s="1868"/>
      <c r="BM151" s="1868"/>
      <c r="BN151" s="1868"/>
      <c r="BO151" s="1868"/>
      <c r="BP151" s="1868"/>
      <c r="BQ151" s="1868"/>
      <c r="BR151" s="1868"/>
    </row>
    <row r="152" spans="1:70" ht="12.2" customHeight="1">
      <c r="A152" s="1935"/>
      <c r="B152" s="1866">
        <f t="shared" si="3"/>
        <v>5</v>
      </c>
      <c r="C152" s="6009"/>
      <c r="D152" s="5981" t="s">
        <v>8356</v>
      </c>
      <c r="E152" s="5982"/>
      <c r="F152" s="5929"/>
      <c r="G152" s="5930"/>
      <c r="H152" s="5930"/>
      <c r="I152" s="5930"/>
      <c r="J152" s="5931"/>
      <c r="K152" s="5932" t="s">
        <v>1315</v>
      </c>
      <c r="L152" s="5933"/>
      <c r="M152" s="5934"/>
      <c r="N152" s="1871">
        <f>IF(AW152&gt;0,IF(VLOOKUP(F152,'Tablas Técnicas'!$O$9:$X$88,10,0),MAX(5,AW152-5),AW152),0)</f>
        <v>0</v>
      </c>
      <c r="O152" s="1871" t="str">
        <f>AS152&amp;" / "&amp;AT152</f>
        <v>0 / 0</v>
      </c>
      <c r="P152" s="1871" t="str">
        <f t="array" ref="P152">W152+Y152+AA152+AC152+AE152+AG152&amp;" / "&amp;IF(K152&lt;&gt;"Mantenido",0,SUM(IF($AL152:$AR152='Tablas Técnicas'!$L$10:$L$644,'Tablas Técnicas'!$H$10:$H$644,0)))</f>
        <v>0 / 0</v>
      </c>
      <c r="Q152" s="5983" t="str">
        <f>IFERROR(VLOOKUP(F152,'Tablas Técnicas'!$O$9:$T$88,5,FALSE),"")</f>
        <v/>
      </c>
      <c r="R152" s="5983"/>
      <c r="S152" s="5983"/>
      <c r="T152" s="5983"/>
      <c r="U152" s="5983"/>
      <c r="V152" s="1822"/>
      <c r="W152" s="1823"/>
      <c r="X152" s="1822"/>
      <c r="Y152" s="1824"/>
      <c r="Z152" s="1825"/>
      <c r="AA152" s="1823"/>
      <c r="AB152" s="1822"/>
      <c r="AC152" s="1824"/>
      <c r="AD152" s="1825"/>
      <c r="AE152" s="1823"/>
      <c r="AF152" s="1822"/>
      <c r="AG152" s="1826"/>
      <c r="AH152" s="1943"/>
      <c r="AI152" s="6011"/>
      <c r="AJ152" s="3986">
        <v>1</v>
      </c>
      <c r="AK152" s="3986">
        <f>P148</f>
        <v>1</v>
      </c>
      <c r="AL152" s="3986" t="str">
        <f>IF(AND(ISNUMBER(MATCH($F152,'Tablas Técnicas'!$L$10:$L$644,0)),INDEX($D165:$D171,Tablas!A$1)="",COUNTIF(AM152:$AS152,$F152)=0),$F152,IF(INDEX($D165:$D171,Tablas!A$1)="","",$F152&amp;INDEX($D165:$D171,Tablas!A$1)))</f>
        <v/>
      </c>
      <c r="AM152" s="3986" t="str">
        <f>IF(AND(ISNUMBER(MATCH($F152,'Tablas Técnicas'!$L$10:$L$644,0)),INDEX($D165:$D171,Tablas!B$1)="",COUNTIF(AN152:$AS152,$F152)=0),$F152,IF(INDEX($D165:$D171,Tablas!B$1)="","",$F152&amp;INDEX($D165:$D171,Tablas!B$1)))</f>
        <v/>
      </c>
      <c r="AN152" s="3986" t="str">
        <f>IF(AND(ISNUMBER(MATCH($F152,'Tablas Técnicas'!$L$10:$L$644,0)),INDEX($D165:$D171,Tablas!C$1)="",COUNTIF(AO152:$AS152,$F152)=0),$F152,IF(INDEX($D165:$D171,Tablas!C$1)="","",$F152&amp;INDEX($D165:$D171,Tablas!C$1)))</f>
        <v/>
      </c>
      <c r="AO152" s="3986" t="str">
        <f>IF(AND(ISNUMBER(MATCH($F152,'Tablas Técnicas'!$L$10:$L$644,0)),INDEX($D165:$D171,Tablas!D$1)="",COUNTIF(AP152:$AS152,$F152)=0),$F152,IF(INDEX($D165:$D171,Tablas!D$1)="","",$F152&amp;INDEX($D165:$D171,Tablas!D$1)))</f>
        <v/>
      </c>
      <c r="AP152" s="3986" t="str">
        <f>IF(AND(ISNUMBER(MATCH($F152,'Tablas Técnicas'!$L$10:$L$644,0)),INDEX($D165:$D171,Tablas!E$1)="",COUNTIF(AQ152:$AS152,$F152)=0),$F152,IF(INDEX($D165:$D171,Tablas!E$1)="","",$F152&amp;INDEX($D165:$D171,Tablas!E$1)))</f>
        <v/>
      </c>
      <c r="AQ152" s="3986" t="str">
        <f>IF(AND(ISNUMBER(MATCH($F152,'Tablas Técnicas'!$L$10:$L$644,0)),INDEX($D165:$D171,Tablas!F$1)="",COUNTIF(AR152:$AS152,$F152)=0),$F152,IF(INDEX($D165:$D171,Tablas!F$1)="","",$F152&amp;INDEX($D165:$D171,Tablas!F$1)))</f>
        <v/>
      </c>
      <c r="AR152" s="3986" t="str">
        <f>IF(AND(ISNUMBER(MATCH($F152,'Tablas Técnicas'!$L$10:$L$644,0)),INDEX($D165:$D171,Tablas!G$1)="",COUNTIF(AS152:$AS152,$F152)=0),$F152,IF(INDEX($D165:$D171,Tablas!G$1)="","",$F152&amp;INDEX($D165:$D171,Tablas!G$1)))</f>
        <v/>
      </c>
      <c r="AS152" s="1868">
        <f>V152+X152+Z152+AB152+AD152+AF152</f>
        <v>0</v>
      </c>
      <c r="AT152" s="1868">
        <f t="array" ref="AT152">SUM(IF($AL152:$AR152='Tablas Técnicas'!$L$10:$L$644,IF(D152="Primario",'Tablas Técnicas'!$E$10:$E$644,'Tablas Técnicas'!$F$10:$F$644)+IF(K152="Sostenimiento menor",'Tablas Técnicas'!$I$10:$I$644,IF(K152="sostenimiento mayor",'Tablas Técnicas'!$J$10:$J$644,0)),0),0)+VALUE(RIGHT(P152,2))+AU152+AV152</f>
        <v>0</v>
      </c>
      <c r="AU152" s="186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1868">
        <f>(COUNTIF(AL152:AR152,"*Estado añadido:*")-1)*COUNTIF(AL152:AR152,"*Estado añadido:*")</f>
        <v>0</v>
      </c>
      <c r="AW152" s="1868">
        <f t="array" ref="AW152">SUM(IF($AL152:$AR152='Tablas Técnicas'!$L$10:$L$644,'Tablas Técnicas'!$G$10:$G$644,0))</f>
        <v>0</v>
      </c>
      <c r="AX152" s="398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986" t="str">
        <f>IFERROR(LEFT(AX152,LEN(AX152)-2)&amp;"), ","")</f>
        <v/>
      </c>
      <c r="AZ152" s="1868"/>
      <c r="BA152" s="1868"/>
      <c r="BB152" s="1868"/>
      <c r="BC152" s="1868"/>
      <c r="BD152" s="1868"/>
      <c r="BE152" s="1868"/>
      <c r="BF152" s="1868"/>
      <c r="BG152" s="1868"/>
      <c r="BH152" s="1868"/>
      <c r="BI152" s="1868"/>
      <c r="BJ152" s="1868"/>
      <c r="BK152" s="1868"/>
      <c r="BL152" s="1868"/>
      <c r="BM152" s="1868"/>
      <c r="BN152" s="1868"/>
      <c r="BO152" s="1868"/>
      <c r="BP152" s="1868"/>
      <c r="BQ152" s="1868"/>
      <c r="BR152" s="1868"/>
    </row>
    <row r="153" spans="1:70" ht="12.2" customHeight="1">
      <c r="A153" s="1935"/>
      <c r="B153" s="1866">
        <f t="shared" si="3"/>
        <v>5</v>
      </c>
      <c r="C153" s="6009"/>
      <c r="D153" s="5906" t="s">
        <v>483</v>
      </c>
      <c r="E153" s="5907"/>
      <c r="F153" s="5984"/>
      <c r="G153" s="5985"/>
      <c r="H153" s="5985"/>
      <c r="I153" s="5985"/>
      <c r="J153" s="5902"/>
      <c r="K153" s="5986" t="s">
        <v>1315</v>
      </c>
      <c r="L153" s="5987"/>
      <c r="M153" s="5988"/>
      <c r="N153" s="1716">
        <f>IF(AW153&gt;0,IF(VLOOKUP(F153,'Tablas Técnicas'!$O$9:$X$88,10,0),MAX(5,AW153-5),AW153),0)</f>
        <v>0</v>
      </c>
      <c r="O153" s="1716" t="str">
        <f>AS153&amp;" / "&amp;AT153</f>
        <v>0 / 0</v>
      </c>
      <c r="P153" s="1716" t="str">
        <f t="array" ref="P153">W153+Y153+AA153+AC153+AE153+AG153&amp;" / "&amp;IF(K153&lt;&gt;"Mantenido",0,SUM(IF($AL153:$AR153='Tablas Técnicas'!$L$10:$L$644,'Tablas Técnicas'!$H$10:$H$644,0)))</f>
        <v>0 / 0</v>
      </c>
      <c r="Q153" s="5908" t="str">
        <f>IFERROR(VLOOKUP(F153,'Tablas Técnicas'!$O$9:$T$88,5,FALSE),"")</f>
        <v/>
      </c>
      <c r="R153" s="5908"/>
      <c r="S153" s="5908"/>
      <c r="T153" s="5908"/>
      <c r="U153" s="5908"/>
      <c r="V153" s="1827"/>
      <c r="W153" s="1828"/>
      <c r="X153" s="1827"/>
      <c r="Y153" s="1829"/>
      <c r="Z153" s="1830"/>
      <c r="AA153" s="1828"/>
      <c r="AB153" s="1827"/>
      <c r="AC153" s="1829"/>
      <c r="AD153" s="1830"/>
      <c r="AE153" s="1828"/>
      <c r="AF153" s="1827"/>
      <c r="AG153" s="1831"/>
      <c r="AH153" s="1943"/>
      <c r="AI153" s="6011"/>
      <c r="AJ153" s="3986">
        <v>2</v>
      </c>
      <c r="AK153" s="3986">
        <f>P148</f>
        <v>1</v>
      </c>
      <c r="AL153" s="3986" t="str">
        <f>IF(AND(ISNUMBER(MATCH($F153,'Tablas Técnicas'!$L$10:$L$644,0)),INDEX($J165:$J171,Tablas!A$1)="",COUNTIF(AM153:$AS153,$F153)=0),$F153,IF(INDEX($J165:$J171,Tablas!A$1)="","",$F153&amp;INDEX($J165:$J171,Tablas!A$1)))</f>
        <v/>
      </c>
      <c r="AM153" s="3986" t="str">
        <f>IF(AND(ISNUMBER(MATCH($F153,'Tablas Técnicas'!$L$10:$L$644,0)),INDEX($J165:$J171,Tablas!B$1)="",COUNTIF(AN153:$AS153,$F153)=0),$F153,IF(INDEX($J165:$J171,Tablas!B$1)="","",$F153&amp;INDEX($J165:$J171,Tablas!B$1)))</f>
        <v/>
      </c>
      <c r="AN153" s="3986" t="str">
        <f>IF(AND(ISNUMBER(MATCH($F153,'Tablas Técnicas'!$L$10:$L$644,0)),INDEX($J165:$J171,Tablas!C$1)="",COUNTIF(AO153:$AS153,$F153)=0),$F153,IF(INDEX($J165:$J171,Tablas!C$1)="","",$F153&amp;INDEX($J165:$J171,Tablas!C$1)))</f>
        <v/>
      </c>
      <c r="AO153" s="3986" t="str">
        <f>IF(AND(ISNUMBER(MATCH($F153,'Tablas Técnicas'!$L$10:$L$644,0)),INDEX($J165:$J171,Tablas!D$1)="",COUNTIF(AP153:$AS153,$F153)=0),$F153,IF(INDEX($J165:$J171,Tablas!D$1)="","",$F153&amp;INDEX($J165:$J171,Tablas!D$1)))</f>
        <v/>
      </c>
      <c r="AP153" s="3986" t="str">
        <f>IF(AND(ISNUMBER(MATCH($F153,'Tablas Técnicas'!$L$10:$L$644,0)),INDEX($J165:$J171,Tablas!E$1)="",COUNTIF(AQ153:$AS153,$F153)=0),$F153,IF(INDEX($J165:$J171,Tablas!E$1)="","",$F153&amp;INDEX($J165:$J171,Tablas!E$1)))</f>
        <v/>
      </c>
      <c r="AQ153" s="3986" t="str">
        <f>IF(AND(ISNUMBER(MATCH($F153,'Tablas Técnicas'!$L$10:$L$644,0)),INDEX($J165:$J171,Tablas!F$1)="",COUNTIF(AR153:$AS153,$F153)=0),$F153,IF(INDEX($J165:$J171,Tablas!F$1)="","",$F153&amp;INDEX($J165:$J171,Tablas!F$1)))</f>
        <v/>
      </c>
      <c r="AR153" s="3986" t="str">
        <f>IF(AND(ISNUMBER(MATCH($F153,'Tablas Técnicas'!$L$10:$L$644,0)),INDEX($J165:$J171,Tablas!G$1)="",COUNTIF(AS153:$AS153,$F153)=0),$F153,IF(INDEX($J165:$J171,Tablas!G$1)="","",$F153&amp;INDEX($J165:$J171,Tablas!G$1)))</f>
        <v/>
      </c>
      <c r="AS153" s="1868">
        <f>V153+X153+Z153+AB153+AD153+AF153</f>
        <v>0</v>
      </c>
      <c r="AT153" s="1868">
        <f t="array" ref="AT153">SUM(IF($AL153:$AR153='Tablas Técnicas'!$L$10:$L$644,IF(D153="Primario",'Tablas Técnicas'!$E$10:$E$644,'Tablas Técnicas'!$F$10:$F$644)+IF(K153="Sostenimiento menor",'Tablas Técnicas'!$I$10:$I$644,IF(K153="sostenimiento mayor",'Tablas Técnicas'!$J$10:$J$644,0)),0),0)+VALUE(RIGHT(P153,2))+AU153+AV153</f>
        <v>0</v>
      </c>
      <c r="AU153" s="186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1868">
        <f>(COUNTIF(AL153:AR153,"*Estado añadido:*")-1)*COUNTIF(AL153:AR153,"*Estado añadido:*")</f>
        <v>0</v>
      </c>
      <c r="AW153" s="1868">
        <f t="array" ref="AW153">SUM(IF($AL153:$AR153='Tablas Técnicas'!$L$10:$L$644,'Tablas Técnicas'!$G$10:$G$644,0))</f>
        <v>0</v>
      </c>
      <c r="AX153" s="3986"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986" t="str">
        <f>IFERROR(LEFT(AX153,LEN(AX153)-2)&amp;"), ","")</f>
        <v/>
      </c>
      <c r="AZ153" s="1868"/>
      <c r="BA153" s="1868"/>
      <c r="BB153" s="1868"/>
      <c r="BC153" s="1868"/>
      <c r="BD153" s="1868"/>
      <c r="BE153" s="1868"/>
      <c r="BF153" s="1868"/>
      <c r="BG153" s="1868"/>
      <c r="BH153" s="1868"/>
      <c r="BI153" s="1868"/>
      <c r="BJ153" s="1868"/>
      <c r="BK153" s="1868"/>
      <c r="BL153" s="1868"/>
      <c r="BM153" s="1868"/>
      <c r="BN153" s="1868"/>
      <c r="BO153" s="1868"/>
      <c r="BP153" s="1868"/>
      <c r="BQ153" s="1868"/>
      <c r="BR153" s="1868"/>
    </row>
    <row r="154" spans="1:70" ht="12.2" customHeight="1">
      <c r="A154" s="1935"/>
      <c r="B154" s="1866">
        <f t="shared" si="3"/>
        <v>5</v>
      </c>
      <c r="C154" s="6009"/>
      <c r="D154" s="6000" t="s">
        <v>483</v>
      </c>
      <c r="E154" s="6001"/>
      <c r="F154" s="5899"/>
      <c r="G154" s="5900"/>
      <c r="H154" s="5900"/>
      <c r="I154" s="5900"/>
      <c r="J154" s="5901"/>
      <c r="K154" s="5997" t="s">
        <v>1315</v>
      </c>
      <c r="L154" s="5998"/>
      <c r="M154" s="5999"/>
      <c r="N154" s="1712">
        <f>IF(AW154&gt;0,IF(VLOOKUP(F154,'Tablas Técnicas'!$O$9:$X$88,10,0),MAX(5,AW154-5),AW154),0)</f>
        <v>0</v>
      </c>
      <c r="O154" s="1712" t="str">
        <f>AS154&amp;" / "&amp;AT154</f>
        <v>0 / 0</v>
      </c>
      <c r="P154" s="1712" t="str">
        <f t="array" ref="P154">W154+Y154+AA154+AC154+AE154+AG154&amp;" / "&amp;IF(K154&lt;&gt;"Mantenido",0,SUM(IF($AL154:$AR154='Tablas Técnicas'!$L$10:$L$644,'Tablas Técnicas'!$H$10:$H$644,0)))</f>
        <v>0 / 0</v>
      </c>
      <c r="Q154" s="6002" t="str">
        <f>IFERROR(VLOOKUP(F154,'Tablas Técnicas'!$O$9:$T$88,5,FALSE),"")</f>
        <v/>
      </c>
      <c r="R154" s="6002"/>
      <c r="S154" s="6002"/>
      <c r="T154" s="6002"/>
      <c r="U154" s="6002"/>
      <c r="V154" s="1832"/>
      <c r="W154" s="1833"/>
      <c r="X154" s="1832"/>
      <c r="Y154" s="1834"/>
      <c r="Z154" s="1835"/>
      <c r="AA154" s="1833"/>
      <c r="AB154" s="1832"/>
      <c r="AC154" s="1834"/>
      <c r="AD154" s="1835"/>
      <c r="AE154" s="1833"/>
      <c r="AF154" s="1832"/>
      <c r="AG154" s="1836"/>
      <c r="AH154" s="1943"/>
      <c r="AI154" s="6011"/>
      <c r="AJ154" s="3986">
        <v>3</v>
      </c>
      <c r="AK154" s="3986">
        <f>P148</f>
        <v>1</v>
      </c>
      <c r="AL154" s="3986" t="str">
        <f>IF(AND(ISNUMBER(MATCH($F154,'Tablas Técnicas'!$L$10:$L$644,0)),INDEX($P165:$P171,Tablas!A$1)="",COUNTIF(AM154:$AS154,$F154)=0),$F154,IF(INDEX($P165:$P171,Tablas!A$1)="","",$F154&amp;INDEX($P165:$P171,Tablas!A$1)))</f>
        <v/>
      </c>
      <c r="AM154" s="3986" t="str">
        <f>IF(AND(ISNUMBER(MATCH($F154,'Tablas Técnicas'!$L$10:$L$644,0)),INDEX($P165:$P171,Tablas!B$1)="",COUNTIF(AN154:$AS154,$F154)=0),$F154,IF(INDEX($P165:$P171,Tablas!B$1)="","",$F154&amp;INDEX($P165:$P171,Tablas!B$1)))</f>
        <v/>
      </c>
      <c r="AN154" s="3986" t="str">
        <f>IF(AND(ISNUMBER(MATCH($F154,'Tablas Técnicas'!$L$10:$L$644,0)),INDEX($P165:$P171,Tablas!C$1)="",COUNTIF(AO154:$AS154,$F154)=0),$F154,IF(INDEX($P165:$P171,Tablas!C$1)="","",$F154&amp;INDEX($P165:$P171,Tablas!C$1)))</f>
        <v/>
      </c>
      <c r="AO154" s="3986" t="str">
        <f>IF(AND(ISNUMBER(MATCH($F154,'Tablas Técnicas'!$L$10:$L$644,0)),INDEX($P165:$P171,Tablas!D$1)="",COUNTIF(AP154:$AS154,$F154)=0),$F154,IF(INDEX($P165:$P171,Tablas!D$1)="","",$F154&amp;INDEX($P165:$P171,Tablas!D$1)))</f>
        <v/>
      </c>
      <c r="AP154" s="3986" t="str">
        <f>IF(AND(ISNUMBER(MATCH($F154,'Tablas Técnicas'!$L$10:$L$644,0)),INDEX($P165:$P171,Tablas!E$1)="",COUNTIF(AQ154:$AS154,$F154)=0),$F154,IF(INDEX($P165:$P171,Tablas!E$1)="","",$F154&amp;INDEX($P165:$P171,Tablas!E$1)))</f>
        <v/>
      </c>
      <c r="AQ154" s="3986" t="str">
        <f>IF(AND(ISNUMBER(MATCH($F154,'Tablas Técnicas'!$L$10:$L$644,0)),INDEX($P165:$P171,Tablas!F$1)="",COUNTIF(AR154:$AS154,$F154)=0),$F154,IF(INDEX($P165:$P171,Tablas!F$1)="","",$F154&amp;INDEX($P165:$P171,Tablas!F$1)))</f>
        <v/>
      </c>
      <c r="AR154" s="3986" t="str">
        <f>IF(AND(ISNUMBER(MATCH($F154,'Tablas Técnicas'!$L$10:$L$644,0)),INDEX($P165:$P171,Tablas!G$1)="",COUNTIF(AS154:$AS154,$F154)=0),$F154,IF(INDEX($P165:$P171,Tablas!G$1)="","",$F154&amp;INDEX($P165:$P171,Tablas!G$1)))</f>
        <v/>
      </c>
      <c r="AS154" s="1868">
        <f>V154+X154+Z154+AB154+AD154+AF154</f>
        <v>0</v>
      </c>
      <c r="AT154" s="1868">
        <f t="array" ref="AT154">SUM(IF($AL154:$AR154='Tablas Técnicas'!$L$10:$L$644,IF(D154="Primario",'Tablas Técnicas'!$E$10:$E$644,'Tablas Técnicas'!$F$10:$F$644)+IF(K154="Sostenimiento menor",'Tablas Técnicas'!$I$10:$I$644,IF(K154="sostenimiento mayor",'Tablas Técnicas'!$J$10:$J$644,0)),0),0)+VALUE(RIGHT(P154,2))+AU154+AV154</f>
        <v>0</v>
      </c>
      <c r="AU154" s="186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1868">
        <f>(COUNTIF(AL154:AR154,"*Estado añadido:*")-1)*COUNTIF(AL154:AR154,"*Estado añadido:*")</f>
        <v>0</v>
      </c>
      <c r="AW154" s="1868">
        <f t="array" ref="AW154">SUM(IF($AL154:$AR154='Tablas Técnicas'!$L$10:$L$644,'Tablas Técnicas'!$G$10:$G$644,0))</f>
        <v>0</v>
      </c>
      <c r="AX154" s="3986"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986" t="str">
        <f>IFERROR(LEFT(AX154,LEN(AX154)-2)&amp;"), ","")</f>
        <v/>
      </c>
      <c r="AZ154" s="1868"/>
      <c r="BA154" s="1868"/>
      <c r="BB154" s="1868"/>
      <c r="BC154" s="1868"/>
      <c r="BD154" s="1868"/>
      <c r="BE154" s="1868"/>
      <c r="BF154" s="1868"/>
      <c r="BG154" s="1868"/>
      <c r="BH154" s="1868"/>
      <c r="BI154" s="1868"/>
      <c r="BJ154" s="1868"/>
      <c r="BK154" s="1868"/>
      <c r="BL154" s="1868"/>
      <c r="BM154" s="1868"/>
      <c r="BN154" s="1868"/>
      <c r="BO154" s="1868"/>
      <c r="BP154" s="1868"/>
      <c r="BQ154" s="1868"/>
      <c r="BR154" s="1868"/>
    </row>
    <row r="155" spans="1:70" ht="12.2" customHeight="1">
      <c r="A155" s="1935"/>
      <c r="B155" s="1866">
        <f t="shared" si="3"/>
        <v>5</v>
      </c>
      <c r="C155" s="6009"/>
      <c r="D155" s="5906" t="s">
        <v>483</v>
      </c>
      <c r="E155" s="5907"/>
      <c r="F155" s="5984"/>
      <c r="G155" s="5985"/>
      <c r="H155" s="5985"/>
      <c r="I155" s="5985"/>
      <c r="J155" s="5902"/>
      <c r="K155" s="5986" t="s">
        <v>1315</v>
      </c>
      <c r="L155" s="5987"/>
      <c r="M155" s="5988"/>
      <c r="N155" s="1716">
        <f>IF(AW155&gt;0,IF(VLOOKUP(F155,'Tablas Técnicas'!$O$9:$X$88,10,0),MAX(5,AW155-5),AW155),0)</f>
        <v>0</v>
      </c>
      <c r="O155" s="1716" t="str">
        <f>AS155&amp;" / "&amp;AT155</f>
        <v>0 / 0</v>
      </c>
      <c r="P155" s="1716" t="str">
        <f t="array" ref="P155">W155+Y155+AA155+AC155+AE155+AG155&amp;" / "&amp;IF(K155&lt;&gt;"Mantenido",0,SUM(IF($AL155:$AR155='Tablas Técnicas'!$L$10:$L$644,'Tablas Técnicas'!$H$10:$H$644,0)))</f>
        <v>0 / 0</v>
      </c>
      <c r="Q155" s="5908" t="str">
        <f>IFERROR(VLOOKUP(F155,'Tablas Técnicas'!$O$9:$T$88,5,FALSE),"")</f>
        <v/>
      </c>
      <c r="R155" s="5908"/>
      <c r="S155" s="5908"/>
      <c r="T155" s="5908"/>
      <c r="U155" s="5908"/>
      <c r="V155" s="1827"/>
      <c r="W155" s="1828"/>
      <c r="X155" s="1827"/>
      <c r="Y155" s="1829"/>
      <c r="Z155" s="1830"/>
      <c r="AA155" s="1828"/>
      <c r="AB155" s="1827"/>
      <c r="AC155" s="1829"/>
      <c r="AD155" s="1830"/>
      <c r="AE155" s="1828"/>
      <c r="AF155" s="1827"/>
      <c r="AG155" s="1831"/>
      <c r="AH155" s="1943"/>
      <c r="AI155" s="6011"/>
      <c r="AJ155" s="3986">
        <v>4</v>
      </c>
      <c r="AK155" s="3986">
        <f>P148</f>
        <v>1</v>
      </c>
      <c r="AL155" s="3986" t="str">
        <f>IF(AND(ISNUMBER(MATCH($F155,'Tablas Técnicas'!$L$10:$L$644,0)),INDEX($V165:$V171,Tablas!A$1)="",COUNTIF(AM155:$AS155,$F155)=0),$F155,IF(INDEX($V165:$V171,Tablas!A$1)="","",$F155&amp;INDEX($V165:$V171,Tablas!A$1)))</f>
        <v/>
      </c>
      <c r="AM155" s="3986" t="str">
        <f>IF(AND(ISNUMBER(MATCH($F155,'Tablas Técnicas'!$L$10:$L$644,0)),INDEX($V165:$V171,Tablas!B$1)="",COUNTIF(AN155:$AS155,$F155)=0),$F155,IF(INDEX($V165:$V171,Tablas!B$1)="","",$F155&amp;INDEX($V165:$V171,Tablas!B$1)))</f>
        <v/>
      </c>
      <c r="AN155" s="3986" t="str">
        <f>IF(AND(ISNUMBER(MATCH($F155,'Tablas Técnicas'!$L$10:$L$644,0)),INDEX($V165:$V171,Tablas!C$1)="",COUNTIF(AO155:$AS155,$F155)=0),$F155,IF(INDEX($V165:$V171,Tablas!C$1)="","",$F155&amp;INDEX($V165:$V171,Tablas!C$1)))</f>
        <v/>
      </c>
      <c r="AO155" s="3986" t="str">
        <f>IF(AND(ISNUMBER(MATCH($F155,'Tablas Técnicas'!$L$10:$L$644,0)),INDEX($V165:$V171,Tablas!D$1)="",COUNTIF(AP155:$AS155,$F155)=0),$F155,IF(INDEX($V165:$V171,Tablas!D$1)="","",$F155&amp;INDEX($V165:$V171,Tablas!D$1)))</f>
        <v/>
      </c>
      <c r="AP155" s="3986" t="str">
        <f>IF(AND(ISNUMBER(MATCH($F155,'Tablas Técnicas'!$L$10:$L$644,0)),INDEX($V165:$V171,Tablas!E$1)="",COUNTIF(AQ155:$AS155,$F155)=0),$F155,IF(INDEX($V165:$V171,Tablas!E$1)="","",$F155&amp;INDEX($V165:$V171,Tablas!E$1)))</f>
        <v/>
      </c>
      <c r="AQ155" s="3986" t="str">
        <f>IF(AND(ISNUMBER(MATCH($F155,'Tablas Técnicas'!$L$10:$L$644,0)),INDEX($V165:$V171,Tablas!F$1)="",COUNTIF(AR155:$AS155,$F155)=0),$F155,IF(INDEX($V165:$V171,Tablas!F$1)="","",$F155&amp;INDEX($V165:$V171,Tablas!F$1)))</f>
        <v/>
      </c>
      <c r="AR155" s="3986" t="str">
        <f>IF(AND(ISNUMBER(MATCH($F155,'Tablas Técnicas'!$L$10:$L$644,0)),INDEX($V165:$V171,Tablas!G$1)="",COUNTIF(AS155:$AS155,$F155)=0),$F155,IF(INDEX($V165:$V171,Tablas!G$1)="","",$F155&amp;INDEX($V165:$V171,Tablas!G$1)))</f>
        <v/>
      </c>
      <c r="AS155" s="1868">
        <f>V155+X155+Z155+AB155+AD155+AF155</f>
        <v>0</v>
      </c>
      <c r="AT155" s="1868">
        <f t="array" ref="AT155">SUM(IF($AL155:$AR155='Tablas Técnicas'!$L$10:$L$644,IF(D155="Primario",'Tablas Técnicas'!$E$10:$E$644,'Tablas Técnicas'!$F$10:$F$644)+IF(K155="Sostenimiento menor",'Tablas Técnicas'!$I$10:$I$644,IF(K155="sostenimiento mayor",'Tablas Técnicas'!$J$10:$J$644,0)),0),0)+VALUE(RIGHT(P155,2))+AU155+AV155</f>
        <v>0</v>
      </c>
      <c r="AU155" s="186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1868">
        <f>(COUNTIF(AL155:AR155,"*Estado añadido:*")-1)*COUNTIF(AL155:AR155,"*Estado añadido:*")</f>
        <v>0</v>
      </c>
      <c r="AW155" s="1868">
        <f t="array" ref="AW155">SUM(IF($AL155:$AR155='Tablas Técnicas'!$L$10:$L$644,'Tablas Técnicas'!$G$10:$G$644,0))</f>
        <v>0</v>
      </c>
      <c r="AX155" s="3986"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986" t="str">
        <f>IFERROR(LEFT(AX155,LEN(AX155)-2)&amp;"), ","")</f>
        <v/>
      </c>
      <c r="AZ155" s="1868"/>
      <c r="BA155" s="1868"/>
      <c r="BB155" s="1868"/>
      <c r="BC155" s="1868"/>
      <c r="BD155" s="1868"/>
      <c r="BE155" s="1868"/>
      <c r="BF155" s="1868"/>
      <c r="BG155" s="1868"/>
      <c r="BH155" s="1868"/>
      <c r="BI155" s="1868"/>
      <c r="BJ155" s="1868"/>
      <c r="BK155" s="1868"/>
      <c r="BL155" s="1868"/>
      <c r="BM155" s="1868"/>
      <c r="BN155" s="1868"/>
      <c r="BO155" s="1868"/>
      <c r="BP155" s="1868"/>
      <c r="BQ155" s="1868"/>
      <c r="BR155" s="1868"/>
    </row>
    <row r="156" spans="1:70" ht="12.2" customHeight="1" thickBot="1">
      <c r="A156" s="1935"/>
      <c r="B156" s="1866">
        <f t="shared" si="3"/>
        <v>5</v>
      </c>
      <c r="C156" s="6009"/>
      <c r="D156" s="5909" t="s">
        <v>483</v>
      </c>
      <c r="E156" s="5910"/>
      <c r="F156" s="6005"/>
      <c r="G156" s="6006"/>
      <c r="H156" s="6006"/>
      <c r="I156" s="6006"/>
      <c r="J156" s="6007"/>
      <c r="K156" s="5994" t="s">
        <v>1315</v>
      </c>
      <c r="L156" s="5995"/>
      <c r="M156" s="5996"/>
      <c r="N156" s="2170">
        <f>IF(AW156&gt;0,IF(VLOOKUP(F156,'Tablas Técnicas'!$O$9:$X$88,10,0),MAX(5,AW156-5),AW156),0)</f>
        <v>0</v>
      </c>
      <c r="O156" s="2170" t="str">
        <f>AS156&amp;" / "&amp;AT156</f>
        <v>0 / 0</v>
      </c>
      <c r="P156" s="2170" t="str">
        <f t="array" ref="P156">W156+Y156+AA156+AC156+AE156+AG156&amp;" / "&amp;IF(K156&lt;&gt;"Mantenido",0,SUM(IF($AL156:$AR156='Tablas Técnicas'!$L$10:$L$644,'Tablas Técnicas'!$H$10:$H$644,0)))</f>
        <v>0 / 0</v>
      </c>
      <c r="Q156" s="5913" t="str">
        <f>IFERROR(VLOOKUP(F156,'Tablas Técnicas'!$O$9:$T$88,5,FALSE),"")</f>
        <v/>
      </c>
      <c r="R156" s="5913"/>
      <c r="S156" s="5913"/>
      <c r="T156" s="5913"/>
      <c r="U156" s="5913"/>
      <c r="V156" s="1837"/>
      <c r="W156" s="1838"/>
      <c r="X156" s="1837"/>
      <c r="Y156" s="1839"/>
      <c r="Z156" s="1840"/>
      <c r="AA156" s="1838"/>
      <c r="AB156" s="1837"/>
      <c r="AC156" s="1839"/>
      <c r="AD156" s="1840"/>
      <c r="AE156" s="1838"/>
      <c r="AF156" s="1837"/>
      <c r="AG156" s="1841"/>
      <c r="AH156" s="1943"/>
      <c r="AI156" s="6011"/>
      <c r="AJ156" s="3986">
        <v>5</v>
      </c>
      <c r="AK156" s="3986">
        <f>P148</f>
        <v>1</v>
      </c>
      <c r="AL156" s="3986" t="str">
        <f>IF(AND(ISNUMBER(MATCH($F156,'Tablas Técnicas'!$L$10:$L$644,0)),INDEX($AB165:$AB171,Tablas!A$1)="",COUNTIF(AM156:$AS156,$F156)=0),$F156,IF(INDEX($AB165:$AB171,Tablas!A$1)="","",$F156&amp;INDEX($AB165:$AB171,Tablas!A$1)))</f>
        <v/>
      </c>
      <c r="AM156" s="3986" t="str">
        <f>IF(AND(ISNUMBER(MATCH($F156,'Tablas Técnicas'!$L$10:$L$644,0)),INDEX($AB165:$AB171,Tablas!B$1)="",COUNTIF(AN156:$AS156,$F156)=0),$F156,IF(INDEX($AB165:$AB171,Tablas!B$1)="","",$F156&amp;INDEX($AB165:$AB171,Tablas!B$1)))</f>
        <v/>
      </c>
      <c r="AN156" s="3986" t="str">
        <f>IF(AND(ISNUMBER(MATCH($F156,'Tablas Técnicas'!$L$10:$L$644,0)),INDEX($AB165:$AB171,Tablas!C$1)="",COUNTIF(AO156:$AS156,$F156)=0),$F156,IF(INDEX($AB165:$AB171,Tablas!C$1)="","",$F156&amp;INDEX($AB165:$AB171,Tablas!C$1)))</f>
        <v/>
      </c>
      <c r="AO156" s="3986" t="str">
        <f>IF(AND(ISNUMBER(MATCH($F156,'Tablas Técnicas'!$L$10:$L$644,0)),INDEX($AB165:$AB171,Tablas!D$1)="",COUNTIF(AP156:$AS156,$F156)=0),$F156,IF(INDEX($AB165:$AB171,Tablas!D$1)="","",$F156&amp;INDEX($AB165:$AB171,Tablas!D$1)))</f>
        <v/>
      </c>
      <c r="AP156" s="3986" t="str">
        <f>IF(AND(ISNUMBER(MATCH($F156,'Tablas Técnicas'!$L$10:$L$644,0)),INDEX($AB165:$AB171,Tablas!E$1)="",COUNTIF(AQ156:$AS156,$F156)=0),$F156,IF(INDEX($AB165:$AB171,Tablas!E$1)="","",$F156&amp;INDEX($AB165:$AB171,Tablas!E$1)))</f>
        <v/>
      </c>
      <c r="AQ156" s="3986" t="str">
        <f>IF(AND(ISNUMBER(MATCH($F156,'Tablas Técnicas'!$L$10:$L$644,0)),INDEX($AB165:$AB171,Tablas!F$1)="",COUNTIF(AR156:$AS156,$F156)=0),$F156,IF(INDEX($AB165:$AB171,Tablas!F$1)="","",$F156&amp;INDEX($AB165:$AB171,Tablas!F$1)))</f>
        <v/>
      </c>
      <c r="AR156" s="3986" t="str">
        <f>IF(AND(ISNUMBER(MATCH($F156,'Tablas Técnicas'!$L$10:$L$644,0)),INDEX($AB165:$AB171,Tablas!G$1)="",COUNTIF(AS156:$AS156,$F156)=0),$F156,IF(INDEX($AB165:$AB171,Tablas!G$1)="","",$F156&amp;INDEX($AB165:$AB171,Tablas!G$1)))</f>
        <v/>
      </c>
      <c r="AS156" s="1868">
        <f>V156+X156+Z156+AB156+AD156+AF156</f>
        <v>0</v>
      </c>
      <c r="AT156" s="1868">
        <f t="array" ref="AT156">SUM(IF($AL156:$AR156='Tablas Técnicas'!$L$10:$L$644,IF(D156="Primario",'Tablas Técnicas'!$E$10:$E$644,'Tablas Técnicas'!$F$10:$F$644)+IF(K156="Sostenimiento menor",'Tablas Técnicas'!$I$10:$I$644,IF(K156="sostenimiento mayor",'Tablas Técnicas'!$J$10:$J$644,0)),0),0)+VALUE(RIGHT(P156,2))+AU156+AV156</f>
        <v>0</v>
      </c>
      <c r="AU156" s="186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1868">
        <f>(COUNTIF(AL156:AR156,"*Estado añadido:*")-1)*COUNTIF(AL156:AR156,"*Estado añadido:*")</f>
        <v>0</v>
      </c>
      <c r="AW156" s="1868">
        <f t="array" ref="AW156">SUM(IF($AL156:$AR156='Tablas Técnicas'!$L$10:$L$644,'Tablas Técnicas'!$G$10:$G$644,0))</f>
        <v>0</v>
      </c>
      <c r="AX156" s="3986"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986" t="str">
        <f>IFERROR(LEFT(AX156,LEN(AX156)-2)&amp;"), ","")</f>
        <v/>
      </c>
      <c r="AZ156" s="1868"/>
      <c r="BA156" s="1868"/>
      <c r="BB156" s="1868"/>
      <c r="BC156" s="1868"/>
      <c r="BD156" s="1868"/>
      <c r="BE156" s="1868"/>
      <c r="BF156" s="1868"/>
      <c r="BG156" s="1868"/>
      <c r="BH156" s="1868"/>
      <c r="BI156" s="1868"/>
      <c r="BJ156" s="1868"/>
      <c r="BK156" s="1868"/>
      <c r="BL156" s="1868"/>
      <c r="BM156" s="1868"/>
      <c r="BN156" s="1868"/>
      <c r="BO156" s="1868"/>
      <c r="BP156" s="1868"/>
      <c r="BQ156" s="1868"/>
      <c r="BR156" s="1868"/>
    </row>
    <row r="157" spans="1:70" ht="12.2" customHeight="1">
      <c r="A157" s="1935"/>
      <c r="B157" s="1866">
        <f t="shared" si="3"/>
        <v>5</v>
      </c>
      <c r="C157" s="6009"/>
      <c r="D157" s="5961" t="s">
        <v>2657</v>
      </c>
      <c r="E157" s="5962"/>
      <c r="F157" s="5957"/>
      <c r="G157" s="5958"/>
      <c r="H157" s="5958"/>
      <c r="I157" s="5958"/>
      <c r="J157" s="5959"/>
      <c r="K157" s="5931"/>
      <c r="L157" s="5937"/>
      <c r="M157" s="5938"/>
      <c r="N157" s="4286" t="str">
        <f>IFERROR(INDEX('Tablas Técnicas'!$Q$152:$Q$267,MATCH(F157&amp;K157,'Tablas Técnicas'!$S$152:$S$267,0)),"")</f>
        <v/>
      </c>
      <c r="O157" s="5939"/>
      <c r="P157" s="5940"/>
      <c r="Q157" s="5941"/>
      <c r="R157" s="5940"/>
      <c r="S157" s="4287" t="str">
        <f>IFERROR("Nivel: "&amp;MAX(1,INDEX('Tablas Técnicas'!$R$152:$R$267,MATCH(F157&amp;K157,'Tablas Técnicas'!$S$152:$S$267,0))),"")</f>
        <v/>
      </c>
      <c r="T157" s="4288"/>
      <c r="U157" s="4289" t="str">
        <f>IFERROR("("&amp;VLOOKUP(F157,'Tablas Técnicas'!$O$117:$Q$146,3,FALSE)&amp;")","")</f>
        <v/>
      </c>
      <c r="V157" s="5857" t="s">
        <v>9159</v>
      </c>
      <c r="W157" s="5858"/>
      <c r="X157" s="5859"/>
      <c r="Y157" s="2171">
        <v>0</v>
      </c>
      <c r="Z157" s="5914" t="s">
        <v>8361</v>
      </c>
      <c r="AA157" s="5861"/>
      <c r="AB157" s="5862"/>
      <c r="AC157" s="2171">
        <v>0</v>
      </c>
      <c r="AD157" s="5915" t="str">
        <f>"Ki sin repartir: "&amp;AL165-AL166&amp;IF(AM165=0,""," ("&amp;AM165-AM166&amp;")")</f>
        <v>Ki sin repartir: 0</v>
      </c>
      <c r="AE157" s="5895"/>
      <c r="AF157" s="5895"/>
      <c r="AG157" s="5896"/>
      <c r="AH157" s="1943"/>
      <c r="AI157" s="6011"/>
      <c r="AJ157" s="3986">
        <v>1</v>
      </c>
      <c r="AK157" s="3986">
        <f>P148</f>
        <v>1</v>
      </c>
      <c r="AL157" s="3986" t="e">
        <f>VLOOKUP(F157,'Tablas Técnicas'!$O$117:$Q$146,2,FALSE)</f>
        <v>#N/A</v>
      </c>
      <c r="AM157" s="3986"/>
      <c r="AN157" s="3987"/>
      <c r="AO157" s="3986"/>
      <c r="AP157" s="3986"/>
      <c r="AQ157" s="3987"/>
      <c r="AR157" s="3986"/>
      <c r="AS157" s="3986"/>
      <c r="AT157" s="3986"/>
      <c r="AU157" s="3986"/>
      <c r="AV157" s="3986"/>
      <c r="AW157" s="1868"/>
      <c r="AX157" s="1868"/>
      <c r="AY157" s="3986" t="str">
        <f>IF(F157="","",F157&amp;IF(K157="",""," ("&amp;IF(F157="Atadura Elemental",O157&amp;IF(Q157="","",", "&amp;Q157),K157)&amp;")")&amp;", ")</f>
        <v/>
      </c>
      <c r="AZ157" s="1868"/>
      <c r="BA157" s="1868"/>
      <c r="BB157" s="1868"/>
      <c r="BC157" s="1868"/>
      <c r="BD157" s="1868"/>
      <c r="BE157" s="1868"/>
      <c r="BF157" s="1868"/>
      <c r="BG157" s="1868"/>
      <c r="BH157" s="1868"/>
      <c r="BI157" s="1868"/>
      <c r="BJ157" s="1868"/>
      <c r="BK157" s="1868"/>
      <c r="BL157" s="1868"/>
      <c r="BM157" s="1868"/>
      <c r="BN157" s="1868"/>
      <c r="BO157" s="1868"/>
      <c r="BP157" s="1868"/>
      <c r="BQ157" s="1868"/>
      <c r="BR157" s="1868"/>
    </row>
    <row r="158" spans="1:70" ht="12.2" customHeight="1">
      <c r="A158" s="1935"/>
      <c r="B158" s="1866">
        <f t="shared" si="3"/>
        <v>5</v>
      </c>
      <c r="C158" s="6009"/>
      <c r="D158" s="5963"/>
      <c r="E158" s="5964"/>
      <c r="F158" s="5942"/>
      <c r="G158" s="5943"/>
      <c r="H158" s="5943"/>
      <c r="I158" s="5943"/>
      <c r="J158" s="5944"/>
      <c r="K158" s="5902"/>
      <c r="L158" s="5903"/>
      <c r="M158" s="5904"/>
      <c r="N158" s="1720" t="str">
        <f>IFERROR(INDEX('Tablas Técnicas'!$Q$152:$Q$267,MATCH(F158&amp;K158,'Tablas Técnicas'!$S$152:$S$267,0)),"")</f>
        <v/>
      </c>
      <c r="O158" s="5945"/>
      <c r="P158" s="5946"/>
      <c r="Q158" s="5947"/>
      <c r="R158" s="5946"/>
      <c r="S158" s="1716" t="str">
        <f>IFERROR("Nivel: "&amp;MAX(1,INDEX('Tablas Técnicas'!$R$152:$R$267,MATCH(F158&amp;K158,'Tablas Técnicas'!$S$152:$S$267,0))),"")</f>
        <v/>
      </c>
      <c r="T158" s="2172"/>
      <c r="U158" s="1715" t="str">
        <f>IFERROR("("&amp;VLOOKUP(F158,'Tablas Técnicas'!$O$117:$Q$146,3,FALSE)&amp;")","")</f>
        <v/>
      </c>
      <c r="V158" s="5854" t="str">
        <f>"Mod. "&amp;V150</f>
        <v>Mod. AGI</v>
      </c>
      <c r="W158" s="5855"/>
      <c r="X158" s="5854" t="str">
        <f>"Mod. "&amp;X150</f>
        <v>Mod. CON</v>
      </c>
      <c r="Y158" s="5855"/>
      <c r="Z158" s="5854" t="str">
        <f>"Mod. "&amp;Z150</f>
        <v>Mod. DES</v>
      </c>
      <c r="AA158" s="5855"/>
      <c r="AB158" s="5854" t="str">
        <f>"Mod. "&amp;AB150</f>
        <v>Mod. FUE</v>
      </c>
      <c r="AC158" s="5855"/>
      <c r="AD158" s="5854" t="str">
        <f>"Mod. "&amp;AD150</f>
        <v>Mod. POD</v>
      </c>
      <c r="AE158" s="5855"/>
      <c r="AF158" s="5854" t="str">
        <f>"Mod. "&amp;AF150</f>
        <v>Mod. VOL</v>
      </c>
      <c r="AG158" s="5856"/>
      <c r="AH158" s="1943"/>
      <c r="AI158" s="6011"/>
      <c r="AJ158" s="3986">
        <v>2</v>
      </c>
      <c r="AK158" s="3986">
        <f>P148</f>
        <v>1</v>
      </c>
      <c r="AL158" s="3986" t="e">
        <f>VLOOKUP(F158,'Tablas Técnicas'!$O$117:$Q$146,2,FALSE)</f>
        <v>#N/A</v>
      </c>
      <c r="AM158" s="3986"/>
      <c r="AN158" s="3987"/>
      <c r="AO158" s="3986"/>
      <c r="AP158" s="3986"/>
      <c r="AQ158" s="3987"/>
      <c r="AR158" s="3986"/>
      <c r="AS158" s="3986"/>
      <c r="AT158" s="3986"/>
      <c r="AU158" s="3986"/>
      <c r="AV158" s="3986"/>
      <c r="AW158" s="1868"/>
      <c r="AX158" s="1868"/>
      <c r="AY158" s="3986" t="str">
        <f>IF(F158="","",F158&amp;IF(K158="",""," ("&amp;IF(F158="Atadura Elemental",O158&amp;IF(Q158="","",", "&amp;Q158),K158)&amp;")")&amp;", ")</f>
        <v/>
      </c>
      <c r="AZ158" s="1868"/>
      <c r="BA158" s="1868"/>
      <c r="BB158" s="1868"/>
      <c r="BC158" s="1868"/>
      <c r="BD158" s="1868"/>
      <c r="BE158" s="1868"/>
      <c r="BF158" s="1868"/>
      <c r="BG158" s="1868"/>
      <c r="BH158" s="1868"/>
      <c r="BI158" s="1868"/>
      <c r="BJ158" s="1868"/>
      <c r="BK158" s="1868"/>
      <c r="BL158" s="1868"/>
      <c r="BM158" s="1868"/>
      <c r="BN158" s="1868"/>
      <c r="BO158" s="1868"/>
      <c r="BP158" s="1868"/>
      <c r="BQ158" s="1868"/>
      <c r="BR158" s="1868"/>
    </row>
    <row r="159" spans="1:70" ht="12.2" customHeight="1" thickBot="1">
      <c r="A159" s="1935"/>
      <c r="B159" s="1866">
        <f t="shared" si="3"/>
        <v>5</v>
      </c>
      <c r="C159" s="6009"/>
      <c r="D159" s="6003"/>
      <c r="E159" s="6004"/>
      <c r="F159" s="5948"/>
      <c r="G159" s="5949"/>
      <c r="H159" s="5949"/>
      <c r="I159" s="5949"/>
      <c r="J159" s="5950"/>
      <c r="K159" s="5951"/>
      <c r="L159" s="5952"/>
      <c r="M159" s="5953"/>
      <c r="N159" s="4290" t="str">
        <f>IFERROR(INDEX('Tablas Técnicas'!$Q$152:$Q$267,MATCH(F159&amp;K159,'Tablas Técnicas'!$S$152:$S$267,0)),"")</f>
        <v/>
      </c>
      <c r="O159" s="5954"/>
      <c r="P159" s="5955"/>
      <c r="Q159" s="5956"/>
      <c r="R159" s="5955"/>
      <c r="S159" s="4291" t="str">
        <f>IFERROR("Nivel: "&amp;MAX(1,INDEX('Tablas Técnicas'!$R$152:$R$267,MATCH(F159&amp;K159,'Tablas Técnicas'!$S$152:$S$267,0))),"")</f>
        <v/>
      </c>
      <c r="T159" s="4292"/>
      <c r="U159" s="1807" t="str">
        <f>IFERROR("("&amp;VLOOKUP(F159,'Tablas Técnicas'!$O$117:$Q$146,3,FALSE)&amp;")","")</f>
        <v/>
      </c>
      <c r="V159" s="5864"/>
      <c r="W159" s="5863"/>
      <c r="X159" s="5863"/>
      <c r="Y159" s="5863"/>
      <c r="Z159" s="5863"/>
      <c r="AA159" s="5863"/>
      <c r="AB159" s="5863"/>
      <c r="AC159" s="5863"/>
      <c r="AD159" s="5863"/>
      <c r="AE159" s="5863"/>
      <c r="AF159" s="5863"/>
      <c r="AG159" s="5905"/>
      <c r="AH159" s="1943"/>
      <c r="AI159" s="6011"/>
      <c r="AJ159" s="3986">
        <v>3</v>
      </c>
      <c r="AK159" s="3986">
        <f>P148</f>
        <v>1</v>
      </c>
      <c r="AL159" s="3986" t="e">
        <f>VLOOKUP(F159,'Tablas Técnicas'!$O$117:$Q$146,2,FALSE)</f>
        <v>#N/A</v>
      </c>
      <c r="AM159" s="3986"/>
      <c r="AN159" s="3987"/>
      <c r="AO159" s="3986"/>
      <c r="AP159" s="3986"/>
      <c r="AQ159" s="3987"/>
      <c r="AR159" s="1868"/>
      <c r="AS159" s="1868"/>
      <c r="AT159" s="1868"/>
      <c r="AU159" s="1868"/>
      <c r="AV159" s="1868"/>
      <c r="AW159" s="1868"/>
      <c r="AX159" s="1868"/>
      <c r="AY159" s="3986" t="str">
        <f>IF(F159="","",F159&amp;IF(K159="",""," ("&amp;IF(F159="Atadura Elemental",O159&amp;IF(Q159="","",", "&amp;Q159),K159)&amp;")")&amp;", ")</f>
        <v/>
      </c>
      <c r="AZ159" s="1868"/>
      <c r="BA159" s="1868"/>
      <c r="BB159" s="1868"/>
      <c r="BC159" s="1868"/>
      <c r="BD159" s="1868"/>
      <c r="BE159" s="1868"/>
      <c r="BF159" s="1868"/>
      <c r="BG159" s="1868"/>
      <c r="BH159" s="1868"/>
      <c r="BI159" s="1868"/>
      <c r="BJ159" s="1868"/>
      <c r="BK159" s="1868"/>
      <c r="BL159" s="1868"/>
      <c r="BM159" s="1868"/>
      <c r="BN159" s="1868"/>
      <c r="BO159" s="1868"/>
      <c r="BP159" s="1868"/>
      <c r="BQ159" s="1868"/>
      <c r="BR159" s="1868"/>
    </row>
    <row r="160" spans="1:70" ht="12.2" customHeight="1">
      <c r="A160" s="1935"/>
      <c r="B160" s="1866">
        <f t="shared" si="3"/>
        <v>5</v>
      </c>
      <c r="C160" s="6009"/>
      <c r="D160" s="5873" t="s">
        <v>8842</v>
      </c>
      <c r="E160" s="5874"/>
      <c r="F160" s="5874"/>
      <c r="G160" s="5874"/>
      <c r="H160" s="5874"/>
      <c r="I160" s="5874"/>
      <c r="J160" s="5874"/>
      <c r="K160" s="5874"/>
      <c r="L160" s="5874"/>
      <c r="M160" s="5874"/>
      <c r="N160" s="5874"/>
      <c r="O160" s="5874"/>
      <c r="P160" s="5874"/>
      <c r="Q160" s="5874"/>
      <c r="R160" s="5874"/>
      <c r="S160" s="5874"/>
      <c r="T160" s="5874"/>
      <c r="U160" s="5874"/>
      <c r="V160" s="5877"/>
      <c r="W160" s="5877"/>
      <c r="X160" s="5877"/>
      <c r="Y160" s="5877"/>
      <c r="Z160" s="5877"/>
      <c r="AA160" s="5877"/>
      <c r="AB160" s="5877"/>
      <c r="AC160" s="5877"/>
      <c r="AD160" s="5877"/>
      <c r="AE160" s="5877"/>
      <c r="AF160" s="5877"/>
      <c r="AG160" s="5878"/>
      <c r="AH160" s="1943"/>
      <c r="AI160" s="6011"/>
      <c r="AJ160" s="3986"/>
      <c r="AK160" s="3986"/>
      <c r="AL160" s="3986"/>
      <c r="AM160" s="3986"/>
      <c r="AN160" s="3987" t="s">
        <v>8362</v>
      </c>
      <c r="AO160" s="3986" t="e">
        <f>LEFT(AY152&amp;AY153&amp;AY154&amp;AY155&amp;AY156,LEN(AY152&amp;AY153&amp;AY154&amp;AY155&amp;AY156)-2)</f>
        <v>#VALUE!</v>
      </c>
      <c r="AP160" s="3986"/>
      <c r="AQ160" s="3987"/>
      <c r="AR160" s="1868"/>
      <c r="AS160" s="1868"/>
      <c r="AT160" s="1868"/>
      <c r="AU160" s="3987"/>
      <c r="AV160" s="3987"/>
      <c r="AW160" s="1868"/>
      <c r="AX160" s="1868"/>
      <c r="AY160" s="3986"/>
      <c r="AZ160" s="1868"/>
      <c r="BA160" s="1868"/>
      <c r="BB160" s="1868"/>
      <c r="BC160" s="1868"/>
      <c r="BD160" s="1868"/>
      <c r="BE160" s="1868"/>
      <c r="BF160" s="1868"/>
      <c r="BG160" s="1868"/>
      <c r="BH160" s="1868"/>
      <c r="BI160" s="1868"/>
      <c r="BJ160" s="1868"/>
      <c r="BK160" s="1868"/>
      <c r="BL160" s="1868"/>
      <c r="BM160" s="1868"/>
      <c r="BN160" s="1868"/>
      <c r="BO160" s="1868"/>
      <c r="BP160" s="1868"/>
      <c r="BQ160" s="1868"/>
      <c r="BR160" s="1868"/>
    </row>
    <row r="161" spans="1:70" ht="12.2" customHeight="1">
      <c r="A161" s="1935"/>
      <c r="B161" s="1866">
        <f t="shared" si="3"/>
        <v>5</v>
      </c>
      <c r="C161" s="6009"/>
      <c r="D161" s="5865" t="str">
        <f>IF(F152="","",F152)</f>
        <v/>
      </c>
      <c r="E161" s="5866"/>
      <c r="F161" s="5866"/>
      <c r="G161" s="5866"/>
      <c r="H161" s="5866"/>
      <c r="I161" s="5867"/>
      <c r="J161" s="5865" t="str">
        <f>IF(F153="","",F153)</f>
        <v/>
      </c>
      <c r="K161" s="5866"/>
      <c r="L161" s="5866"/>
      <c r="M161" s="5866"/>
      <c r="N161" s="5866"/>
      <c r="O161" s="5867"/>
      <c r="P161" s="5866" t="str">
        <f>IF(F154="","",F154)</f>
        <v/>
      </c>
      <c r="Q161" s="5866"/>
      <c r="R161" s="5866"/>
      <c r="S161" s="5866"/>
      <c r="T161" s="5866"/>
      <c r="U161" s="5867"/>
      <c r="V161" s="5865" t="str">
        <f>IF(F155="","",F155)</f>
        <v/>
      </c>
      <c r="W161" s="5866"/>
      <c r="X161" s="5866"/>
      <c r="Y161" s="5866"/>
      <c r="Z161" s="5866"/>
      <c r="AA161" s="5867"/>
      <c r="AB161" s="5866" t="str">
        <f>IF(F156="","",F156)</f>
        <v/>
      </c>
      <c r="AC161" s="5866"/>
      <c r="AD161" s="5866"/>
      <c r="AE161" s="5866"/>
      <c r="AF161" s="5866"/>
      <c r="AG161" s="5928"/>
      <c r="AH161" s="1943"/>
      <c r="AI161" s="6011"/>
      <c r="AJ161" s="3986"/>
      <c r="AK161" s="3986"/>
      <c r="AL161" s="3986"/>
      <c r="AM161" s="3986"/>
      <c r="AN161" s="3987" t="s">
        <v>8363</v>
      </c>
      <c r="AO161" s="3986" t="e">
        <f>LEFT(AY157&amp;AY158&amp;AY159,LEN(AY157&amp;AY158&amp;AY159)-2)</f>
        <v>#VALUE!</v>
      </c>
      <c r="AP161" s="3986"/>
      <c r="AQ161" s="3987"/>
      <c r="AR161" s="1868"/>
      <c r="AS161" s="1868"/>
      <c r="AT161" s="1868"/>
      <c r="AU161" s="3987"/>
      <c r="AV161" s="3987"/>
      <c r="AW161" s="1868"/>
      <c r="AX161" s="1868"/>
      <c r="AY161" s="3986"/>
      <c r="AZ161" s="1868"/>
      <c r="BA161" s="1868"/>
      <c r="BB161" s="1868"/>
      <c r="BC161" s="1868"/>
      <c r="BD161" s="1868"/>
      <c r="BE161" s="1868"/>
      <c r="BF161" s="1868"/>
      <c r="BG161" s="1868"/>
      <c r="BH161" s="1868"/>
      <c r="BI161" s="1868"/>
      <c r="BJ161" s="1868"/>
      <c r="BK161" s="1868"/>
      <c r="BL161" s="1868"/>
      <c r="BM161" s="1868"/>
      <c r="BN161" s="1868"/>
      <c r="BO161" s="1868"/>
      <c r="BP161" s="1868"/>
      <c r="BQ161" s="1868"/>
      <c r="BR161" s="1868"/>
    </row>
    <row r="162" spans="1:70" ht="12.2" customHeight="1">
      <c r="A162" s="1935"/>
      <c r="B162" s="1866">
        <f t="shared" si="3"/>
        <v>5</v>
      </c>
      <c r="C162" s="6009"/>
      <c r="D162" s="1812" t="s">
        <v>1690</v>
      </c>
      <c r="E162" s="1712" t="str">
        <f>IFERROR(VLOOKUP(D161,'Tablas Técnicas'!$O$9:$T$88,3,FALSE),"")</f>
        <v/>
      </c>
      <c r="F162" s="1809"/>
      <c r="G162" s="1808"/>
      <c r="H162" s="1808" t="s">
        <v>1223</v>
      </c>
      <c r="I162" s="1712" t="str">
        <f>IFERROR(VLOOKUP(D161,'Tablas Técnicas'!$O$9:$T$88,4,FALSE),"")</f>
        <v/>
      </c>
      <c r="J162" s="1812" t="s">
        <v>1690</v>
      </c>
      <c r="K162" s="1712" t="str">
        <f>IFERROR(VLOOKUP(J161,'Tablas Técnicas'!$O$9:$T$88,3,FALSE),"")</f>
        <v/>
      </c>
      <c r="L162" s="1809"/>
      <c r="M162" s="1808"/>
      <c r="N162" s="1808" t="s">
        <v>1223</v>
      </c>
      <c r="O162" s="1721" t="str">
        <f>IFERROR(VLOOKUP(J161,'Tablas Técnicas'!$O$9:$T$88,4,FALSE),"")</f>
        <v/>
      </c>
      <c r="P162" s="1808" t="s">
        <v>1690</v>
      </c>
      <c r="Q162" s="1712" t="str">
        <f>IFERROR(VLOOKUP(P161,'Tablas Técnicas'!$O$9:$T$88,3,FALSE),"")</f>
        <v/>
      </c>
      <c r="R162" s="1809"/>
      <c r="S162" s="1808"/>
      <c r="T162" s="1808" t="s">
        <v>1223</v>
      </c>
      <c r="U162" s="1712" t="str">
        <f>IFERROR(VLOOKUP(P161,'Tablas Técnicas'!$O$9:$T$88,4,FALSE),"")</f>
        <v/>
      </c>
      <c r="V162" s="1812" t="s">
        <v>1690</v>
      </c>
      <c r="W162" s="1712" t="str">
        <f>IFERROR(VLOOKUP(V161,'Tablas Técnicas'!$O$9:$T$88,3,FALSE),"")</f>
        <v/>
      </c>
      <c r="X162" s="1809"/>
      <c r="Y162" s="1808"/>
      <c r="Z162" s="1808" t="s">
        <v>1223</v>
      </c>
      <c r="AA162" s="1721" t="str">
        <f>IFERROR(VLOOKUP(V161,'Tablas Técnicas'!$O$9:$T$88,4,FALSE),"")</f>
        <v/>
      </c>
      <c r="AB162" s="1808" t="s">
        <v>1690</v>
      </c>
      <c r="AC162" s="1712" t="str">
        <f>IFERROR(VLOOKUP(AB161,'Tablas Técnicas'!$O$9:$T$88,3,FALSE),"")</f>
        <v/>
      </c>
      <c r="AD162" s="1809"/>
      <c r="AE162" s="1808"/>
      <c r="AF162" s="1808" t="s">
        <v>1223</v>
      </c>
      <c r="AG162" s="1722" t="str">
        <f>IFERROR(VLOOKUP(AB161,'Tablas Técnicas'!$O$9:$T$88,4,FALSE),"")</f>
        <v/>
      </c>
      <c r="AH162" s="1943"/>
      <c r="AI162" s="6011"/>
      <c r="AJ162" s="3986"/>
      <c r="AK162" s="3986"/>
      <c r="AL162" s="3986"/>
      <c r="AM162" s="3986"/>
      <c r="AN162" s="3987"/>
      <c r="AO162" s="3986"/>
      <c r="AP162" s="3986"/>
      <c r="AQ162" s="3987"/>
      <c r="AR162" s="1868"/>
      <c r="AS162" s="1868"/>
      <c r="AT162" s="1868"/>
      <c r="AU162" s="1868"/>
      <c r="AV162" s="1868"/>
      <c r="AW162" s="1868"/>
      <c r="AX162" s="1868"/>
      <c r="AY162" s="3986"/>
      <c r="AZ162" s="1868"/>
      <c r="BA162" s="1868"/>
      <c r="BB162" s="1868"/>
      <c r="BC162" s="1868"/>
      <c r="BD162" s="1868"/>
      <c r="BE162" s="1868"/>
      <c r="BF162" s="1868"/>
      <c r="BG162" s="1868"/>
      <c r="BH162" s="1868"/>
      <c r="BI162" s="1868"/>
      <c r="BJ162" s="1868"/>
      <c r="BK162" s="1868"/>
      <c r="BL162" s="1868"/>
      <c r="BM162" s="1868"/>
      <c r="BN162" s="1868"/>
      <c r="BO162" s="1868"/>
      <c r="BP162" s="1868"/>
      <c r="BQ162" s="1868"/>
      <c r="BR162" s="1868"/>
    </row>
    <row r="163" spans="1:70" ht="12.2" customHeight="1">
      <c r="A163" s="1935"/>
      <c r="B163" s="1866">
        <f t="shared" si="3"/>
        <v>5</v>
      </c>
      <c r="C163" s="6009"/>
      <c r="D163" s="1813" t="s">
        <v>8364</v>
      </c>
      <c r="E163" s="1808"/>
      <c r="F163" s="1809"/>
      <c r="G163" s="1810"/>
      <c r="H163" s="1810"/>
      <c r="I163" s="1807" t="str">
        <f>IFERROR(IF(D161="Ataque Elemental",IF(NOT(ISNA(VLOOKUP(D165,'Tablas Técnicas'!$O$100:$O$105,1,0))),D165,"Variable"),VLOOKUP(D161,'Tablas Técnicas'!$O$9:$W$88,9,FALSE)),"")</f>
        <v/>
      </c>
      <c r="J163" s="2173" t="s">
        <v>8364</v>
      </c>
      <c r="K163" s="2174"/>
      <c r="L163" s="2175"/>
      <c r="M163" s="2176"/>
      <c r="N163" s="2176"/>
      <c r="O163" s="2177" t="str">
        <f>IFERROR(IF(J161="Ataque Elemental",IF(NOT(ISNA(VLOOKUP(J165,'Tablas Técnicas'!$O$100:$O$105,1,0))),J165,"Variable"),VLOOKUP(J161,'Tablas Técnicas'!$O$9:$W$88,9,FALSE)),"")</f>
        <v/>
      </c>
      <c r="P163" s="2178" t="s">
        <v>8364</v>
      </c>
      <c r="Q163" s="2174"/>
      <c r="R163" s="2175"/>
      <c r="S163" s="2176"/>
      <c r="T163" s="2176"/>
      <c r="U163" s="1807" t="str">
        <f>IFERROR(IF(P161="Ataque Elemental",IF(NOT(ISNA(VLOOKUP(P165,'Tablas Técnicas'!$O$100:$O$105,1,0))),P165,"Variable"),VLOOKUP(P161,'Tablas Técnicas'!$O$9:$W$88,9,FALSE)),"")</f>
        <v/>
      </c>
      <c r="V163" s="2173" t="s">
        <v>8364</v>
      </c>
      <c r="W163" s="2174"/>
      <c r="X163" s="2175"/>
      <c r="Y163" s="2176"/>
      <c r="Z163" s="2176"/>
      <c r="AA163" s="2177" t="str">
        <f>IFERROR(IF(V161="Ataque Elemental",IF(NOT(ISNA(VLOOKUP(V165,'Tablas Técnicas'!$O$100:$O$105,1,0))),V165,"Variable"),VLOOKUP(V161,'Tablas Técnicas'!$O$9:$W$88,9,FALSE)),"")</f>
        <v/>
      </c>
      <c r="AB163" s="2178" t="s">
        <v>8364</v>
      </c>
      <c r="AC163" s="2174"/>
      <c r="AD163" s="2175"/>
      <c r="AE163" s="2176"/>
      <c r="AF163" s="2176"/>
      <c r="AG163" s="1818" t="str">
        <f>IFERROR(IF(AB161="Ataque Elemental",IF(NOT(ISNA(VLOOKUP(AB165,'Tablas Técnicas'!$O$100:$O$105,1,0))),AB165,"Variable"),VLOOKUP(AB161,'Tablas Técnicas'!$O$9:$W$88,9,FALSE)),"")</f>
        <v/>
      </c>
      <c r="AH163" s="1943"/>
      <c r="AI163" s="6011"/>
      <c r="AJ163" s="3986"/>
      <c r="AK163" s="1868" t="s">
        <v>1233</v>
      </c>
      <c r="AL163" s="1868" t="s">
        <v>1357</v>
      </c>
      <c r="AM163" s="1868" t="s">
        <v>1238</v>
      </c>
      <c r="AN163" s="1868" t="s">
        <v>1243</v>
      </c>
      <c r="AO163" s="1868" t="s">
        <v>1250</v>
      </c>
      <c r="AP163" s="1868" t="s">
        <v>1251</v>
      </c>
      <c r="AQ163" s="3987"/>
      <c r="AR163" s="1868"/>
      <c r="AS163" s="1868"/>
      <c r="AT163" s="1868"/>
      <c r="AU163" s="1868"/>
      <c r="AV163" s="1868"/>
      <c r="AW163" s="1868"/>
      <c r="AX163" s="1868"/>
      <c r="AY163" s="3986"/>
      <c r="AZ163" s="1868"/>
      <c r="BA163" s="1868"/>
      <c r="BB163" s="1868"/>
      <c r="BC163" s="1868"/>
      <c r="BD163" s="1868"/>
      <c r="BE163" s="1868"/>
      <c r="BF163" s="1868"/>
      <c r="BG163" s="1868"/>
      <c r="BH163" s="1868"/>
      <c r="BI163" s="1868"/>
      <c r="BJ163" s="1868"/>
      <c r="BK163" s="1868"/>
      <c r="BL163" s="1868"/>
      <c r="BM163" s="1868"/>
      <c r="BN163" s="1868"/>
      <c r="BO163" s="1868"/>
      <c r="BP163" s="1868"/>
      <c r="BQ163" s="1868"/>
      <c r="BR163" s="1868"/>
    </row>
    <row r="164" spans="1:70" ht="12.2" customHeight="1">
      <c r="A164" s="1935"/>
      <c r="B164" s="1866">
        <f t="shared" si="3"/>
        <v>5</v>
      </c>
      <c r="C164" s="6009"/>
      <c r="D164" s="5865" t="s">
        <v>2665</v>
      </c>
      <c r="E164" s="5866"/>
      <c r="F164" s="5866"/>
      <c r="G164" s="5866"/>
      <c r="H164" s="5867"/>
      <c r="I164" s="1725" t="s">
        <v>1262</v>
      </c>
      <c r="J164" s="5865" t="s">
        <v>2665</v>
      </c>
      <c r="K164" s="5866"/>
      <c r="L164" s="5866"/>
      <c r="M164" s="5866"/>
      <c r="N164" s="5867"/>
      <c r="O164" s="1726" t="s">
        <v>1262</v>
      </c>
      <c r="P164" s="5865" t="s">
        <v>2665</v>
      </c>
      <c r="Q164" s="5866"/>
      <c r="R164" s="5866"/>
      <c r="S164" s="5866"/>
      <c r="T164" s="5867"/>
      <c r="U164" s="1726" t="s">
        <v>1262</v>
      </c>
      <c r="V164" s="5865"/>
      <c r="W164" s="5866"/>
      <c r="X164" s="5866"/>
      <c r="Y164" s="5866"/>
      <c r="Z164" s="5867"/>
      <c r="AA164" s="1726" t="s">
        <v>1262</v>
      </c>
      <c r="AB164" s="5865" t="s">
        <v>2665</v>
      </c>
      <c r="AC164" s="5866"/>
      <c r="AD164" s="5866"/>
      <c r="AE164" s="5866"/>
      <c r="AF164" s="5867"/>
      <c r="AG164" s="1727" t="s">
        <v>1262</v>
      </c>
      <c r="AH164" s="1943"/>
      <c r="AI164" s="6011"/>
      <c r="AJ164" s="3989" t="s">
        <v>8879</v>
      </c>
      <c r="AK164" s="3986" t="str">
        <f>IF(V150="","",IF(SUM(V152:V156)=0,"",V150&amp;" "&amp;SUM(V152:V156)+V159&amp;IF(SUM(W152:W156)=0,""," ("&amp;SUM(W152:W156)&amp;")")&amp;", "))</f>
        <v/>
      </c>
      <c r="AL164" s="3986" t="str">
        <f>IF(X150="","",IF(SUM(X152:X156)=0,"",X150&amp;" "&amp;SUM(X152:X156)+X159&amp;IF(SUM(Y152:Y156)=0,""," ("&amp;SUM(Y152:Y156)&amp;")")&amp;", "))</f>
        <v/>
      </c>
      <c r="AM164" s="3986" t="str">
        <f>IF(Z150="","",IF(SUM(Z152:Z156)=0,"",Z150&amp;" "&amp;SUM(Z152:Z156)+Z159&amp;IF(SUM(AA152:AA156)=0,""," ("&amp;SUM(AA152:AA156)&amp;")")&amp;", "))</f>
        <v/>
      </c>
      <c r="AN164" s="3986" t="str">
        <f>IF(AB150="","",IF(SUM(AB152:AB156)=0,"",AB150&amp;" "&amp;SUM(AB152:AB156)+AB159&amp;IF(SUM(AC152:AC156)=0,""," ("&amp;SUM(AC152:AC156)&amp;")")&amp;", "))</f>
        <v/>
      </c>
      <c r="AO164" s="3986" t="str">
        <f>IF(AD150="","",IF(SUM(AD152:AD156)=0,"",AD150&amp;" "&amp;SUM(AD152:AD156)+AD159&amp;IF(SUM(AE152:AE156)=0,""," ("&amp;SUM(AE152:AE156)&amp;")")&amp;", "))</f>
        <v/>
      </c>
      <c r="AP164" s="3986" t="str">
        <f>IF(AF150="","",IF(SUM(AF152:AF156)=0,"",AF150&amp;" "&amp;SUM(AF152:AF156)+AF159&amp;IF(SUM(AG152:AG156)=0,""," ("&amp;SUM(AG152:AG156)&amp;")")&amp;", "))</f>
        <v/>
      </c>
      <c r="AQ164" s="3986"/>
      <c r="AR164" s="3986"/>
      <c r="AS164" s="3986"/>
      <c r="AT164" s="3986"/>
      <c r="AU164" s="3986"/>
      <c r="AV164" s="3986"/>
      <c r="AW164" s="3986"/>
      <c r="AX164" s="3986"/>
      <c r="AY164" s="3986"/>
      <c r="AZ164" s="1868"/>
      <c r="BA164" s="1868"/>
      <c r="BB164" s="1868"/>
      <c r="BC164" s="1868"/>
      <c r="BD164" s="1868"/>
      <c r="BE164" s="1868"/>
      <c r="BF164" s="1868"/>
      <c r="BG164" s="1868"/>
      <c r="BH164" s="1868"/>
      <c r="BI164" s="1868"/>
      <c r="BJ164" s="1868"/>
      <c r="BK164" s="1868"/>
      <c r="BL164" s="1868"/>
      <c r="BM164" s="1868"/>
      <c r="BN164" s="1868"/>
      <c r="BO164" s="1868"/>
      <c r="BP164" s="1868"/>
      <c r="BQ164" s="1868"/>
      <c r="BR164" s="1868"/>
    </row>
    <row r="165" spans="1:70" ht="12.2" customHeight="1">
      <c r="A165" s="1935"/>
      <c r="B165" s="1866">
        <f t="shared" si="3"/>
        <v>5</v>
      </c>
      <c r="C165" s="6009"/>
      <c r="D165" s="5911"/>
      <c r="E165" s="5853"/>
      <c r="F165" s="5853"/>
      <c r="G165" s="5853"/>
      <c r="H165" s="5853"/>
      <c r="I165" s="1728" t="str">
        <f>IF(OR(D161="",D165=""),"",MAX(1,SUMPRODUCT(--(INDEX('Tablas Técnicas'!$C$10:$L$644,,1)=D161),--(INDEX('Tablas Técnicas'!$C$10:$L$644,,2)=D165),INDEX('Tablas Técnicas'!$C$10:$L$644,,9))))</f>
        <v/>
      </c>
      <c r="J165" s="5852"/>
      <c r="K165" s="5853"/>
      <c r="L165" s="5853"/>
      <c r="M165" s="5853"/>
      <c r="N165" s="5853"/>
      <c r="O165" s="1728" t="str">
        <f>IF(OR(J161="",J165=""),"",MAX(1,SUMPRODUCT(--(INDEX('Tablas Técnicas'!$C$10:$L$644,,1)=J161),--(INDEX('Tablas Técnicas'!$C$10:$L$644,,2)=J165),INDEX('Tablas Técnicas'!$C$10:$L$644,,9))))</f>
        <v/>
      </c>
      <c r="P165" s="5852"/>
      <c r="Q165" s="5853"/>
      <c r="R165" s="5853"/>
      <c r="S165" s="5853"/>
      <c r="T165" s="5853"/>
      <c r="U165" s="1728" t="str">
        <f>IF(OR(P161="",P165=""),"",MAX(1,SUMPRODUCT(--(INDEX('Tablas Técnicas'!$C$10:$L$644,,1)=P161),--(INDEX('Tablas Técnicas'!$C$10:$L$644,,2)=P165),INDEX('Tablas Técnicas'!$C$10:$L$644,,9))))</f>
        <v/>
      </c>
      <c r="V165" s="5852"/>
      <c r="W165" s="5853"/>
      <c r="X165" s="5853"/>
      <c r="Y165" s="5853"/>
      <c r="Z165" s="5853"/>
      <c r="AA165" s="1728" t="str">
        <f>IF(OR(V161="",V165=""),"",MAX(1,SUMPRODUCT(--(INDEX('Tablas Técnicas'!$C$10:$L$644,,1)=V161),--(INDEX('Tablas Técnicas'!$C$10:$L$644,,2)=V165),INDEX('Tablas Técnicas'!$C$10:$L$644,,9))))</f>
        <v/>
      </c>
      <c r="AB165" s="5852"/>
      <c r="AC165" s="5853"/>
      <c r="AD165" s="5853"/>
      <c r="AE165" s="5853"/>
      <c r="AF165" s="5853"/>
      <c r="AG165" s="1729" t="str">
        <f>IF(OR(AB161="",AB165=""),"",MAX(1,SUMPRODUCT(--(INDEX('Tablas Técnicas'!$C$10:$L$644,,1)=AB161),--(INDEX('Tablas Técnicas'!$C$10:$L$644,,2)=AB165),INDEX('Tablas Técnicas'!$C$10:$L$644,,9))))</f>
        <v/>
      </c>
      <c r="AH165" s="1943">
        <f>P148</f>
        <v>1</v>
      </c>
      <c r="AI165" s="6011"/>
      <c r="AJ165" s="3986" t="s">
        <v>8843</v>
      </c>
      <c r="AK165" s="3986"/>
      <c r="AL165" s="3986">
        <f>MAX(0,SUM(AT152:AT156)+ABS($AC157*2/5))+IF(AM174,0,Y157)+IF(S148="Sí",2*P148,0)</f>
        <v>0</v>
      </c>
      <c r="AM165" s="3986">
        <f t="array" ref="AM165">IF(ISNUMBER(SEARCH("Mantenido",K152&amp;K153&amp;K154&amp;K155&amp;K156)),MAX(0,SUM(VALUE(RIGHT($P152:$P156,2)))),0)</f>
        <v>0</v>
      </c>
      <c r="AN165" s="1868"/>
      <c r="AO165" s="1868"/>
      <c r="AP165" s="1815"/>
      <c r="AQ165" s="1815"/>
      <c r="AR165" s="1815"/>
      <c r="AS165" s="1815"/>
      <c r="AT165" s="1815"/>
      <c r="AU165" s="1815"/>
      <c r="AV165" s="1815"/>
      <c r="AW165" s="1815"/>
      <c r="AX165" s="1815"/>
      <c r="AY165" s="3986"/>
      <c r="AZ165" s="1868"/>
      <c r="BA165" s="1868"/>
      <c r="BB165" s="1868"/>
      <c r="BC165" s="1868"/>
      <c r="BD165" s="1868"/>
      <c r="BE165" s="1868"/>
      <c r="BF165" s="1868"/>
      <c r="BG165" s="1868"/>
      <c r="BH165" s="1868"/>
      <c r="BI165" s="1868"/>
      <c r="BJ165" s="1868"/>
      <c r="BK165" s="1868"/>
      <c r="BL165" s="1868"/>
      <c r="BM165" s="1868"/>
      <c r="BN165" s="1868"/>
      <c r="BO165" s="1868"/>
      <c r="BP165" s="1868"/>
      <c r="BQ165" s="1868"/>
      <c r="BR165" s="1868"/>
    </row>
    <row r="166" spans="1:70" ht="12.2" customHeight="1">
      <c r="A166" s="1935"/>
      <c r="B166" s="1866">
        <f t="shared" si="3"/>
        <v>5</v>
      </c>
      <c r="C166" s="6009"/>
      <c r="D166" s="5871"/>
      <c r="E166" s="5872"/>
      <c r="F166" s="5872"/>
      <c r="G166" s="5872"/>
      <c r="H166" s="5872"/>
      <c r="I166" s="1730" t="str">
        <f>IF(OR(D161="",D166=""),"",MAX(1,SUMPRODUCT(--(INDEX('Tablas Técnicas'!$C$10:$L$644,,1)=D161),--(INDEX('Tablas Técnicas'!$C$10:$L$644,,2)=D166),INDEX('Tablas Técnicas'!$C$10:$L$644,,9))))</f>
        <v/>
      </c>
      <c r="J166" s="5871"/>
      <c r="K166" s="5872"/>
      <c r="L166" s="5872"/>
      <c r="M166" s="5872"/>
      <c r="N166" s="5872"/>
      <c r="O166" s="1730" t="str">
        <f>IF(OR(J161="",J166=""),"",MAX(1,SUMPRODUCT(--(INDEX('Tablas Técnicas'!$C$10:$L$644,,1)=J161),--(INDEX('Tablas Técnicas'!$C$10:$L$644,,2)=J166),INDEX('Tablas Técnicas'!$C$10:$L$644,,9))))</f>
        <v/>
      </c>
      <c r="P166" s="5871"/>
      <c r="Q166" s="5872"/>
      <c r="R166" s="5872"/>
      <c r="S166" s="5872"/>
      <c r="T166" s="5872"/>
      <c r="U166" s="1730" t="str">
        <f>IF(OR(P161="",P166=""),"",MAX(1,SUMPRODUCT(--(INDEX('Tablas Técnicas'!$C$10:$L$644,,1)=P161),--(INDEX('Tablas Técnicas'!$C$10:$L$644,,2)=P166),INDEX('Tablas Técnicas'!$C$10:$L$644,,9))))</f>
        <v/>
      </c>
      <c r="V166" s="5871"/>
      <c r="W166" s="5872"/>
      <c r="X166" s="5872"/>
      <c r="Y166" s="5872"/>
      <c r="Z166" s="5872"/>
      <c r="AA166" s="1730" t="str">
        <f>IF(OR(V161="",V166=""),"",MAX(1,SUMPRODUCT(--(INDEX('Tablas Técnicas'!$C$10:$L$644,,1)=V161),--(INDEX('Tablas Técnicas'!$C$10:$L$644,,2)=V166),INDEX('Tablas Técnicas'!$C$10:$L$644,,9))))</f>
        <v/>
      </c>
      <c r="AB166" s="5871"/>
      <c r="AC166" s="5872"/>
      <c r="AD166" s="5872"/>
      <c r="AE166" s="5872"/>
      <c r="AF166" s="5872"/>
      <c r="AG166" s="1731" t="str">
        <f>IF(OR(AB161="",AB166=""),"",MAX(1,SUMPRODUCT(--(INDEX('Tablas Técnicas'!$C$10:$L$644,,1)=AB161),--(INDEX('Tablas Técnicas'!$C$10:$L$644,,2)=AB166),INDEX('Tablas Técnicas'!$C$10:$L$644,,9))))</f>
        <v/>
      </c>
      <c r="AH166" s="1943">
        <f>P148</f>
        <v>1</v>
      </c>
      <c r="AI166" s="6011"/>
      <c r="AJ166" s="3986" t="s">
        <v>8366</v>
      </c>
      <c r="AK166" s="3986"/>
      <c r="AL166" s="3986">
        <f>SUM(V152:V156,X152:X156,Z152:Z156,AB152:AB156,AD152:AD156,AF152:AF156)+SUM(V159:AG159)</f>
        <v>0</v>
      </c>
      <c r="AM166" s="3986">
        <f>SUM(W152:W156,Y152:Y156,AA152:AA156,AC152:AC156,AE152:AE156,AG152:AG156)</f>
        <v>0</v>
      </c>
      <c r="AN166" s="3986"/>
      <c r="AO166" s="3986"/>
      <c r="AP166" s="3986"/>
      <c r="AQ166" s="3986"/>
      <c r="AR166" s="3986"/>
      <c r="AS166" s="3986"/>
      <c r="AT166" s="3986"/>
      <c r="AU166" s="3986"/>
      <c r="AV166" s="3986"/>
      <c r="AW166" s="1868"/>
      <c r="AX166" s="3986"/>
      <c r="AY166" s="3986"/>
      <c r="AZ166" s="1868"/>
      <c r="BA166" s="1868"/>
      <c r="BB166" s="1868"/>
      <c r="BC166" s="1868"/>
      <c r="BD166" s="1868"/>
      <c r="BE166" s="1868"/>
      <c r="BF166" s="1868"/>
      <c r="BG166" s="1868"/>
      <c r="BH166" s="1868"/>
      <c r="BI166" s="1868"/>
      <c r="BJ166" s="1868"/>
      <c r="BK166" s="1868"/>
      <c r="BL166" s="1868"/>
      <c r="BM166" s="1868"/>
      <c r="BN166" s="1868"/>
      <c r="BO166" s="1868"/>
      <c r="BP166" s="1868"/>
      <c r="BQ166" s="1868"/>
      <c r="BR166" s="1868"/>
    </row>
    <row r="167" spans="1:70" ht="12.2" customHeight="1">
      <c r="A167" s="1935"/>
      <c r="B167" s="1866">
        <f t="shared" si="3"/>
        <v>5</v>
      </c>
      <c r="C167" s="6009"/>
      <c r="D167" s="5871"/>
      <c r="E167" s="5872"/>
      <c r="F167" s="5872"/>
      <c r="G167" s="5872"/>
      <c r="H167" s="5872"/>
      <c r="I167" s="1730" t="str">
        <f>IF(OR(D161="",D167=""),"",MAX(1,SUMPRODUCT(--(INDEX('Tablas Técnicas'!$C$10:$L$644,,1)=D161),--(INDEX('Tablas Técnicas'!$C$10:$L$644,,2)=D167),INDEX('Tablas Técnicas'!$C$10:$L$644,,9))))</f>
        <v/>
      </c>
      <c r="J167" s="5871"/>
      <c r="K167" s="5872"/>
      <c r="L167" s="5872"/>
      <c r="M167" s="5872"/>
      <c r="N167" s="5872"/>
      <c r="O167" s="1730" t="str">
        <f>IF(OR(J161="",J167=""),"",MAX(1,SUMPRODUCT(--(INDEX('Tablas Técnicas'!$C$10:$L$644,,1)=J161),--(INDEX('Tablas Técnicas'!$C$10:$L$644,,2)=J167),INDEX('Tablas Técnicas'!$C$10:$L$644,,9))))</f>
        <v/>
      </c>
      <c r="P167" s="5871"/>
      <c r="Q167" s="5872"/>
      <c r="R167" s="5872"/>
      <c r="S167" s="5872"/>
      <c r="T167" s="5872"/>
      <c r="U167" s="1730" t="str">
        <f>IF(OR(P161="",P167=""),"",MAX(1,SUMPRODUCT(--(INDEX('Tablas Técnicas'!$C$10:$L$644,,1)=P161),--(INDEX('Tablas Técnicas'!$C$10:$L$644,,2)=P167),INDEX('Tablas Técnicas'!$C$10:$L$644,,9))))</f>
        <v/>
      </c>
      <c r="V167" s="5871"/>
      <c r="W167" s="5872"/>
      <c r="X167" s="5872"/>
      <c r="Y167" s="5872"/>
      <c r="Z167" s="5872"/>
      <c r="AA167" s="1730" t="str">
        <f>IF(OR(V161="",V167=""),"",MAX(1,SUMPRODUCT(--(INDEX('Tablas Técnicas'!$C$10:$L$644,,1)=V161),--(INDEX('Tablas Técnicas'!$C$10:$L$644,,2)=V167),INDEX('Tablas Técnicas'!$C$10:$L$644,,9))))</f>
        <v/>
      </c>
      <c r="AB167" s="5871"/>
      <c r="AC167" s="5872"/>
      <c r="AD167" s="5872"/>
      <c r="AE167" s="5872"/>
      <c r="AF167" s="5872"/>
      <c r="AG167" s="1731" t="str">
        <f>IF(OR(AB161="",AB167=""),"",MAX(1,SUMPRODUCT(--(INDEX('Tablas Técnicas'!$C$10:$L$644,,1)=AB161),--(INDEX('Tablas Técnicas'!$C$10:$L$644,,2)=AB167),INDEX('Tablas Técnicas'!$C$10:$L$644,,9))))</f>
        <v/>
      </c>
      <c r="AH167" s="1943">
        <f>P148</f>
        <v>1</v>
      </c>
      <c r="AI167" s="6011"/>
      <c r="AJ167" s="3986"/>
      <c r="AK167" s="3986"/>
      <c r="AL167" s="3986"/>
      <c r="AM167" s="3986"/>
      <c r="AN167" s="3986"/>
      <c r="AO167" s="3986"/>
      <c r="AP167" s="3986"/>
      <c r="AQ167" s="3986"/>
      <c r="AR167" s="3986"/>
      <c r="AS167" s="3986"/>
      <c r="AT167" s="3986"/>
      <c r="AU167" s="3986"/>
      <c r="AV167" s="3986"/>
      <c r="AW167" s="1868"/>
      <c r="AX167" s="1868"/>
      <c r="AY167" s="3986"/>
      <c r="AZ167" s="1868"/>
      <c r="BA167" s="1868"/>
      <c r="BB167" s="1868"/>
      <c r="BC167" s="1868"/>
      <c r="BD167" s="1868"/>
      <c r="BE167" s="1868"/>
      <c r="BF167" s="1868"/>
      <c r="BG167" s="1868"/>
      <c r="BH167" s="1868"/>
      <c r="BI167" s="1868"/>
      <c r="BJ167" s="1868"/>
      <c r="BK167" s="1868"/>
      <c r="BL167" s="1868"/>
      <c r="BM167" s="1868"/>
      <c r="BN167" s="1868"/>
      <c r="BO167" s="1868"/>
      <c r="BP167" s="1868"/>
      <c r="BQ167" s="1868"/>
      <c r="BR167" s="1868"/>
    </row>
    <row r="168" spans="1:70" ht="12.2" customHeight="1">
      <c r="A168" s="1935"/>
      <c r="B168" s="1866">
        <f t="shared" si="3"/>
        <v>5</v>
      </c>
      <c r="C168" s="6009"/>
      <c r="D168" s="5871"/>
      <c r="E168" s="5872"/>
      <c r="F168" s="5872"/>
      <c r="G168" s="5872"/>
      <c r="H168" s="5872"/>
      <c r="I168" s="1730" t="str">
        <f>IF(OR(D161="",D168=""),"",MAX(1,SUMPRODUCT(--(INDEX('Tablas Técnicas'!$C$10:$L$644,,1)=D161),--(INDEX('Tablas Técnicas'!$C$10:$L$644,,2)=D168),INDEX('Tablas Técnicas'!$C$10:$L$644,,9))))</f>
        <v/>
      </c>
      <c r="J168" s="5871"/>
      <c r="K168" s="5872"/>
      <c r="L168" s="5872"/>
      <c r="M168" s="5872"/>
      <c r="N168" s="5872"/>
      <c r="O168" s="1730" t="str">
        <f>IF(OR(J161="",J168=""),"",MAX(1,SUMPRODUCT(--(INDEX('Tablas Técnicas'!$C$10:$L$644,,1)=J161),--(INDEX('Tablas Técnicas'!$C$10:$L$644,,2)=J168),INDEX('Tablas Técnicas'!$C$10:$L$644,,9))))</f>
        <v/>
      </c>
      <c r="P168" s="5871"/>
      <c r="Q168" s="5872"/>
      <c r="R168" s="5872"/>
      <c r="S168" s="5872"/>
      <c r="T168" s="5872"/>
      <c r="U168" s="1730" t="str">
        <f>IF(OR(P161="",P168=""),"",MAX(1,SUMPRODUCT(--(INDEX('Tablas Técnicas'!$C$10:$L$644,,1)=P161),--(INDEX('Tablas Técnicas'!$C$10:$L$644,,2)=P168),INDEX('Tablas Técnicas'!$C$10:$L$644,,9))))</f>
        <v/>
      </c>
      <c r="V168" s="5871"/>
      <c r="W168" s="5872"/>
      <c r="X168" s="5872"/>
      <c r="Y168" s="5872"/>
      <c r="Z168" s="5872"/>
      <c r="AA168" s="1730" t="str">
        <f>IF(OR(V161="",V168=""),"",MAX(1,SUMPRODUCT(--(INDEX('Tablas Técnicas'!$C$10:$L$644,,1)=V161),--(INDEX('Tablas Técnicas'!$C$10:$L$644,,2)=V168),INDEX('Tablas Técnicas'!$C$10:$L$644,,9))))</f>
        <v/>
      </c>
      <c r="AB168" s="5871"/>
      <c r="AC168" s="5872"/>
      <c r="AD168" s="5872"/>
      <c r="AE168" s="5872"/>
      <c r="AF168" s="5872"/>
      <c r="AG168" s="1731" t="str">
        <f>IF(OR(AB161="",AB168=""),"",MAX(1,SUMPRODUCT(--(INDEX('Tablas Técnicas'!$C$10:$L$644,,1)=AB161),--(INDEX('Tablas Técnicas'!$C$10:$L$644,,2)=AB168),INDEX('Tablas Técnicas'!$C$10:$L$644,,9))))</f>
        <v/>
      </c>
      <c r="AH168" s="1943">
        <f>P148</f>
        <v>1</v>
      </c>
      <c r="AI168" s="6011"/>
      <c r="AJ168" s="3986" t="s">
        <v>8367</v>
      </c>
      <c r="AK168" s="3986"/>
      <c r="AL168" s="3986"/>
      <c r="AM168" s="3986"/>
      <c r="AN168" s="3986"/>
      <c r="AO168" s="3986"/>
      <c r="AP168" s="3986"/>
      <c r="AQ168" s="3987"/>
      <c r="AR168" s="1868"/>
      <c r="AS168" s="1868"/>
      <c r="AT168" s="1868"/>
      <c r="AU168" s="1868"/>
      <c r="AV168" s="1868"/>
      <c r="AW168" s="1868"/>
      <c r="AX168" s="1868"/>
      <c r="AY168" s="3986"/>
      <c r="AZ168" s="1868"/>
      <c r="BA168" s="1868"/>
      <c r="BB168" s="1868"/>
      <c r="BC168" s="1868"/>
      <c r="BD168" s="1868"/>
      <c r="BE168" s="1868"/>
      <c r="BF168" s="1868"/>
      <c r="BG168" s="1868"/>
      <c r="BH168" s="1868"/>
      <c r="BI168" s="1868"/>
      <c r="BJ168" s="1868"/>
      <c r="BK168" s="1868"/>
      <c r="BL168" s="1868"/>
      <c r="BM168" s="1868"/>
      <c r="BN168" s="1868"/>
      <c r="BO168" s="1868"/>
      <c r="BP168" s="1868"/>
      <c r="BQ168" s="1868"/>
      <c r="BR168" s="1868"/>
    </row>
    <row r="169" spans="1:70" ht="12.2" customHeight="1">
      <c r="A169" s="1935"/>
      <c r="B169" s="1866">
        <f t="shared" si="3"/>
        <v>5</v>
      </c>
      <c r="C169" s="6009"/>
      <c r="D169" s="5871"/>
      <c r="E169" s="5872"/>
      <c r="F169" s="5872"/>
      <c r="G169" s="5872"/>
      <c r="H169" s="5872"/>
      <c r="I169" s="1730" t="str">
        <f>IF(OR(D161="",D169=""),"",MAX(1,SUMPRODUCT(--(INDEX('Tablas Técnicas'!$C$10:$L$644,,1)=D161),--(INDEX('Tablas Técnicas'!$C$10:$L$644,,2)=D169),INDEX('Tablas Técnicas'!$C$10:$L$644,,9))))</f>
        <v/>
      </c>
      <c r="J169" s="5871"/>
      <c r="K169" s="5872"/>
      <c r="L169" s="5872"/>
      <c r="M169" s="5872"/>
      <c r="N169" s="5872"/>
      <c r="O169" s="1730" t="str">
        <f>IF(OR(J161="",J169=""),"",MAX(1,SUMPRODUCT(--(INDEX('Tablas Técnicas'!$C$10:$L$644,,1)=J161),--(INDEX('Tablas Técnicas'!$C$10:$L$644,,2)=J169),INDEX('Tablas Técnicas'!$C$10:$L$644,,9))))</f>
        <v/>
      </c>
      <c r="P169" s="5871"/>
      <c r="Q169" s="5872"/>
      <c r="R169" s="5872"/>
      <c r="S169" s="5872"/>
      <c r="T169" s="5872"/>
      <c r="U169" s="1730" t="str">
        <f>IF(OR(P161="",P169=""),"",MAX(1,SUMPRODUCT(--(INDEX('Tablas Técnicas'!$C$10:$L$644,,1)=P161),--(INDEX('Tablas Técnicas'!$C$10:$L$644,,2)=P169),INDEX('Tablas Técnicas'!$C$10:$L$644,,9))))</f>
        <v/>
      </c>
      <c r="V169" s="5871"/>
      <c r="W169" s="5872"/>
      <c r="X169" s="5872"/>
      <c r="Y169" s="5872"/>
      <c r="Z169" s="5872"/>
      <c r="AA169" s="1730" t="str">
        <f>IF(OR(V161="",V169=""),"",MAX(1,SUMPRODUCT(--(INDEX('Tablas Técnicas'!$C$10:$L$644,,1)=V161),--(INDEX('Tablas Técnicas'!$C$10:$L$644,,2)=V169),INDEX('Tablas Técnicas'!$C$10:$L$644,,9))))</f>
        <v/>
      </c>
      <c r="AB169" s="5871"/>
      <c r="AC169" s="5872"/>
      <c r="AD169" s="5872"/>
      <c r="AE169" s="5872"/>
      <c r="AF169" s="5872"/>
      <c r="AG169" s="1731" t="str">
        <f>IF(OR(AB161="",AB169=""),"",MAX(1,SUMPRODUCT(--(INDEX('Tablas Técnicas'!$C$10:$L$644,,1)=AB161),--(INDEX('Tablas Técnicas'!$C$10:$L$644,,2)=AB169),INDEX('Tablas Técnicas'!$C$10:$L$644,,9))))</f>
        <v/>
      </c>
      <c r="AH169" s="1943">
        <f>P148</f>
        <v>1</v>
      </c>
      <c r="AI169" s="6011"/>
      <c r="AJ169" s="3986" t="s">
        <v>9502</v>
      </c>
      <c r="AK169" s="3986"/>
      <c r="AL169" s="3986"/>
      <c r="AM169" s="3986" t="b">
        <f>U148&gt;IF(P148=3,200,IF(P148=2,100,50))</f>
        <v>0</v>
      </c>
      <c r="AN169" s="3986"/>
      <c r="AO169" s="3986"/>
      <c r="AP169" s="3986"/>
      <c r="AQ169" s="3986"/>
      <c r="AR169" s="1868"/>
      <c r="AS169" s="1868"/>
      <c r="AT169" s="1868"/>
      <c r="AU169" s="1868"/>
      <c r="AV169" s="1868"/>
      <c r="AW169" s="1868"/>
      <c r="AX169" s="1868"/>
      <c r="AY169" s="3986"/>
      <c r="AZ169" s="1868"/>
      <c r="BA169" s="1868"/>
      <c r="BB169" s="1868"/>
      <c r="BC169" s="1868"/>
      <c r="BD169" s="1868"/>
      <c r="BE169" s="1868"/>
      <c r="BF169" s="1868"/>
      <c r="BG169" s="1868"/>
      <c r="BH169" s="1868"/>
      <c r="BI169" s="1868"/>
      <c r="BJ169" s="1868"/>
      <c r="BK169" s="1868"/>
      <c r="BL169" s="1868"/>
      <c r="BM169" s="1868"/>
      <c r="BN169" s="1868"/>
      <c r="BO169" s="1868"/>
      <c r="BP169" s="1868"/>
      <c r="BQ169" s="1868"/>
      <c r="BR169" s="1868"/>
    </row>
    <row r="170" spans="1:70" ht="12.2" customHeight="1">
      <c r="A170" s="1935"/>
      <c r="B170" s="1866">
        <f t="shared" si="3"/>
        <v>5</v>
      </c>
      <c r="C170" s="6009"/>
      <c r="D170" s="5871"/>
      <c r="E170" s="5872"/>
      <c r="F170" s="5872"/>
      <c r="G170" s="5872"/>
      <c r="H170" s="5872"/>
      <c r="I170" s="1730" t="str">
        <f>IF(OR(D161="",D170=""),"",MAX(1,SUMPRODUCT(--(INDEX('Tablas Técnicas'!$C$10:$L$644,,1)=D161),--(INDEX('Tablas Técnicas'!$C$10:$L$644,,2)=D170),INDEX('Tablas Técnicas'!$C$10:$L$644,,9))))</f>
        <v/>
      </c>
      <c r="J170" s="5871"/>
      <c r="K170" s="5872"/>
      <c r="L170" s="5872"/>
      <c r="M170" s="5872"/>
      <c r="N170" s="5872"/>
      <c r="O170" s="1730" t="str">
        <f>IF(OR(J161="",J170=""),"",MAX(1,SUMPRODUCT(--(INDEX('Tablas Técnicas'!$C$10:$L$644,,1)=J161),--(INDEX('Tablas Técnicas'!$C$10:$L$644,,2)=J170),INDEX('Tablas Técnicas'!$C$10:$L$644,,9))))</f>
        <v/>
      </c>
      <c r="P170" s="5871"/>
      <c r="Q170" s="5872"/>
      <c r="R170" s="5872"/>
      <c r="S170" s="5872"/>
      <c r="T170" s="5872"/>
      <c r="U170" s="1730" t="str">
        <f>IF(OR(P161="",P170=""),"",MAX(1,SUMPRODUCT(--(INDEX('Tablas Técnicas'!$C$10:$L$644,,1)=P161),--(INDEX('Tablas Técnicas'!$C$10:$L$644,,2)=P170),INDEX('Tablas Técnicas'!$C$10:$L$644,,9))))</f>
        <v/>
      </c>
      <c r="V170" s="5871"/>
      <c r="W170" s="5872"/>
      <c r="X170" s="5872"/>
      <c r="Y170" s="5872"/>
      <c r="Z170" s="5872"/>
      <c r="AA170" s="1730" t="str">
        <f>IF(OR(V161="",V170=""),"",MAX(1,SUMPRODUCT(--(INDEX('Tablas Técnicas'!$C$10:$L$644,,1)=V161),--(INDEX('Tablas Técnicas'!$C$10:$L$644,,2)=V170),INDEX('Tablas Técnicas'!$C$10:$L$644,,9))))</f>
        <v/>
      </c>
      <c r="AB170" s="5871"/>
      <c r="AC170" s="5872"/>
      <c r="AD170" s="5872"/>
      <c r="AE170" s="5872"/>
      <c r="AF170" s="5872"/>
      <c r="AG170" s="1731" t="str">
        <f>IF(OR(AB161="",AB170=""),"",MAX(1,SUMPRODUCT(--(INDEX('Tablas Técnicas'!$C$10:$L$644,,1)=AB161),--(INDEX('Tablas Técnicas'!$C$10:$L$644,,2)=AB170),INDEX('Tablas Técnicas'!$C$10:$L$644,,9))))</f>
        <v/>
      </c>
      <c r="AH170" s="1943">
        <f>P148</f>
        <v>1</v>
      </c>
      <c r="AI170" s="6011"/>
      <c r="AJ170" s="3986" t="s">
        <v>8368</v>
      </c>
      <c r="AK170" s="3986"/>
      <c r="AL170" s="3986"/>
      <c r="AM170" s="3986" t="b">
        <f t="array" ref="AM170">MAX(I165:I171,O165:O171,U165:U171,AA165:AA171,AG165:AG171,RIGHT(S157:S159,1))&gt;P148</f>
        <v>0</v>
      </c>
      <c r="AN170" s="3986"/>
      <c r="AO170" s="3986"/>
      <c r="AP170" s="3986"/>
      <c r="AQ170" s="3987"/>
      <c r="AR170" s="1868"/>
      <c r="AS170" s="1868"/>
      <c r="AT170" s="1868"/>
      <c r="AU170" s="1868"/>
      <c r="AV170" s="1868"/>
      <c r="AW170" s="1868"/>
      <c r="AX170" s="1868"/>
      <c r="AY170" s="3986"/>
      <c r="AZ170" s="1868"/>
      <c r="BA170" s="1868"/>
      <c r="BB170" s="1868"/>
      <c r="BC170" s="1868"/>
      <c r="BD170" s="1868"/>
      <c r="BE170" s="1868"/>
      <c r="BF170" s="1868"/>
      <c r="BG170" s="1868"/>
      <c r="BH170" s="1868"/>
      <c r="BI170" s="1868"/>
      <c r="BJ170" s="1868"/>
      <c r="BK170" s="1868"/>
      <c r="BL170" s="1868"/>
      <c r="BM170" s="1868"/>
      <c r="BN170" s="1868"/>
      <c r="BO170" s="1868"/>
      <c r="BP170" s="1868"/>
      <c r="BQ170" s="1868"/>
      <c r="BR170" s="1868"/>
    </row>
    <row r="171" spans="1:70" ht="12.2" customHeight="1">
      <c r="A171" s="1935"/>
      <c r="B171" s="1866">
        <f t="shared" si="3"/>
        <v>5</v>
      </c>
      <c r="C171" s="6009"/>
      <c r="D171" s="5926"/>
      <c r="E171" s="5927"/>
      <c r="F171" s="5927"/>
      <c r="G171" s="5927"/>
      <c r="H171" s="5927"/>
      <c r="I171" s="1732" t="str">
        <f>IF(OR(D161="",D171=""),"",MAX(1,SUMPRODUCT(--(INDEX('Tablas Técnicas'!$C$10:$L$644,,1)=D161),--(INDEX('Tablas Técnicas'!$C$10:$L$644,,2)=D171),INDEX('Tablas Técnicas'!$C$10:$L$644,,9))))</f>
        <v/>
      </c>
      <c r="J171" s="5926"/>
      <c r="K171" s="5927"/>
      <c r="L171" s="5927"/>
      <c r="M171" s="5927"/>
      <c r="N171" s="5927"/>
      <c r="O171" s="1732" t="str">
        <f>IF(OR(J161="",J171=""),"",MAX(1,SUMPRODUCT(--(INDEX('Tablas Técnicas'!$C$10:$L$644,,1)=J161),--(INDEX('Tablas Técnicas'!$C$10:$L$644,,2)=J171),INDEX('Tablas Técnicas'!$C$10:$L$644,,9))))</f>
        <v/>
      </c>
      <c r="P171" s="5926"/>
      <c r="Q171" s="5927"/>
      <c r="R171" s="5927"/>
      <c r="S171" s="5927"/>
      <c r="T171" s="5927"/>
      <c r="U171" s="1732" t="str">
        <f>IF(OR(P161="",P171=""),"",MAX(1,SUMPRODUCT(--(INDEX('Tablas Técnicas'!$C$10:$L$644,,1)=P161),--(INDEX('Tablas Técnicas'!$C$10:$L$644,,2)=P171),INDEX('Tablas Técnicas'!$C$10:$L$644,,9))))</f>
        <v/>
      </c>
      <c r="V171" s="5926"/>
      <c r="W171" s="5927"/>
      <c r="X171" s="5927"/>
      <c r="Y171" s="5927"/>
      <c r="Z171" s="5927"/>
      <c r="AA171" s="1732" t="str">
        <f>IF(OR(V161="",V171=""),"",MAX(1,SUMPRODUCT(--(INDEX('Tablas Técnicas'!$C$10:$L$644,,1)=V161),--(INDEX('Tablas Técnicas'!$C$10:$L$644,,2)=V171),INDEX('Tablas Técnicas'!$C$10:$L$644,,9))))</f>
        <v/>
      </c>
      <c r="AB171" s="5926"/>
      <c r="AC171" s="5927"/>
      <c r="AD171" s="5927"/>
      <c r="AE171" s="5927"/>
      <c r="AF171" s="5927"/>
      <c r="AG171" s="1733" t="str">
        <f>IF(OR(AB161="",AB171=""),"",MAX(1,SUMPRODUCT(--(INDEX('Tablas Técnicas'!$C$10:$L$644,,1)=AB161),--(INDEX('Tablas Técnicas'!$C$10:$L$644,,2)=AB171),INDEX('Tablas Técnicas'!$C$10:$L$644,,9))))</f>
        <v/>
      </c>
      <c r="AH171" s="1943">
        <f>P148</f>
        <v>1</v>
      </c>
      <c r="AI171" s="6011"/>
      <c r="AJ171" s="3986" t="s">
        <v>8860</v>
      </c>
      <c r="AK171" s="3986"/>
      <c r="AL171" s="3986"/>
      <c r="AM171" s="3986" t="b">
        <f>AND(COUNTIF(K152:M156,"Mantenido"),OR(COUNTIF(K152:M156,"Sostenimiento Menor"),COUNTIF(K152:M156,"Sostenimiento Mayor")))</f>
        <v>0</v>
      </c>
      <c r="AN171" s="3987"/>
      <c r="AO171" s="3986"/>
      <c r="AP171" s="3986"/>
      <c r="AQ171" s="3986"/>
      <c r="AR171" s="3986"/>
      <c r="AS171" s="3986"/>
      <c r="AT171" s="3986"/>
      <c r="AU171" s="1868"/>
      <c r="AV171" s="1868"/>
      <c r="AW171" s="1868"/>
      <c r="AX171" s="1868"/>
      <c r="AY171" s="3986"/>
      <c r="AZ171" s="1868"/>
      <c r="BA171" s="1868"/>
      <c r="BB171" s="1868"/>
      <c r="BC171" s="1868"/>
      <c r="BD171" s="1868"/>
      <c r="BE171" s="1868"/>
      <c r="BF171" s="1868"/>
      <c r="BG171" s="1868"/>
      <c r="BH171" s="1868"/>
      <c r="BI171" s="1868"/>
      <c r="BJ171" s="1868"/>
      <c r="BK171" s="1868"/>
      <c r="BL171" s="1868"/>
      <c r="BM171" s="1868"/>
      <c r="BN171" s="1868"/>
      <c r="BO171" s="1868"/>
      <c r="BP171" s="1868"/>
      <c r="BQ171" s="1868"/>
      <c r="BR171" s="1868"/>
    </row>
    <row r="172" spans="1:70" ht="12.2" customHeight="1">
      <c r="A172" s="1935"/>
      <c r="B172" s="1866">
        <f t="shared" si="3"/>
        <v>5</v>
      </c>
      <c r="C172" s="6009"/>
      <c r="D172" s="5873" t="s">
        <v>1408</v>
      </c>
      <c r="E172" s="5874"/>
      <c r="F172" s="5874"/>
      <c r="G172" s="5874"/>
      <c r="H172" s="5874"/>
      <c r="I172" s="5874"/>
      <c r="J172" s="5874"/>
      <c r="K172" s="5874"/>
      <c r="L172" s="5874"/>
      <c r="M172" s="5874"/>
      <c r="N172" s="5874"/>
      <c r="O172" s="5874"/>
      <c r="P172" s="5874"/>
      <c r="Q172" s="5874"/>
      <c r="R172" s="5874"/>
      <c r="S172" s="5874"/>
      <c r="T172" s="5874"/>
      <c r="U172" s="5874"/>
      <c r="V172" s="5874"/>
      <c r="W172" s="5874"/>
      <c r="X172" s="5874"/>
      <c r="Y172" s="5874"/>
      <c r="Z172" s="5874"/>
      <c r="AA172" s="5874"/>
      <c r="AB172" s="5874"/>
      <c r="AC172" s="5874"/>
      <c r="AD172" s="5874"/>
      <c r="AE172" s="5874"/>
      <c r="AF172" s="5874"/>
      <c r="AG172" s="5875"/>
      <c r="AH172" s="1943"/>
      <c r="AI172" s="6011"/>
      <c r="AJ172" s="3986" t="s">
        <v>8859</v>
      </c>
      <c r="AK172" s="3986"/>
      <c r="AL172" s="3986"/>
      <c r="AM172" s="398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986"/>
      <c r="AO172" s="3986"/>
      <c r="AP172" s="3986"/>
      <c r="AQ172" s="3987"/>
      <c r="AR172" s="3986"/>
      <c r="AS172" s="3986"/>
      <c r="AT172" s="3986"/>
      <c r="AU172" s="1868"/>
      <c r="AV172" s="1868"/>
      <c r="AW172" s="1868"/>
      <c r="AX172" s="1868"/>
      <c r="AY172" s="3986"/>
      <c r="AZ172" s="1868"/>
      <c r="BA172" s="1868"/>
      <c r="BB172" s="1868"/>
      <c r="BC172" s="1868"/>
      <c r="BD172" s="1868"/>
      <c r="BE172" s="1868"/>
      <c r="BF172" s="1868"/>
      <c r="BG172" s="1868"/>
      <c r="BH172" s="1868"/>
      <c r="BI172" s="1868"/>
      <c r="BJ172" s="1868"/>
      <c r="BK172" s="1868"/>
      <c r="BL172" s="1868"/>
      <c r="BM172" s="1868"/>
      <c r="BN172" s="1868"/>
      <c r="BO172" s="1868"/>
      <c r="BP172" s="1868"/>
      <c r="BQ172" s="1868"/>
      <c r="BR172" s="1868"/>
    </row>
    <row r="173" spans="1:70" ht="12.2" customHeight="1">
      <c r="A173" s="1935"/>
      <c r="B173" s="1866">
        <f t="shared" si="3"/>
        <v>5</v>
      </c>
      <c r="C173" s="6009"/>
      <c r="D173" s="5868"/>
      <c r="E173" s="5869"/>
      <c r="F173" s="5869"/>
      <c r="G173" s="5869"/>
      <c r="H173" s="5869"/>
      <c r="I173" s="5869"/>
      <c r="J173" s="5869"/>
      <c r="K173" s="5869"/>
      <c r="L173" s="5869"/>
      <c r="M173" s="5869"/>
      <c r="N173" s="5869"/>
      <c r="O173" s="5869"/>
      <c r="P173" s="5869"/>
      <c r="Q173" s="5869"/>
      <c r="R173" s="5869"/>
      <c r="S173" s="5869"/>
      <c r="T173" s="5869"/>
      <c r="U173" s="5869"/>
      <c r="V173" s="5869"/>
      <c r="W173" s="5869"/>
      <c r="X173" s="5869"/>
      <c r="Y173" s="5869"/>
      <c r="Z173" s="5869"/>
      <c r="AA173" s="5869"/>
      <c r="AB173" s="5869"/>
      <c r="AC173" s="5869"/>
      <c r="AD173" s="5869"/>
      <c r="AE173" s="5869"/>
      <c r="AF173" s="5869"/>
      <c r="AG173" s="5870"/>
      <c r="AH173" s="1943"/>
      <c r="AI173" s="6011"/>
      <c r="AJ173" s="3986" t="s">
        <v>8867</v>
      </c>
      <c r="AK173" s="3986"/>
      <c r="AL173" s="3986"/>
      <c r="AM173" s="398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986"/>
      <c r="AO173" s="3986"/>
      <c r="AP173" s="3986"/>
      <c r="AQ173" s="3987"/>
      <c r="AR173" s="3986"/>
      <c r="AS173" s="3986"/>
      <c r="AT173" s="3986"/>
      <c r="AU173" s="1868"/>
      <c r="AV173" s="1868"/>
      <c r="AW173" s="1868"/>
      <c r="AX173" s="1868"/>
      <c r="AY173" s="3986"/>
      <c r="AZ173" s="1868"/>
      <c r="BA173" s="1868"/>
      <c r="BB173" s="1868"/>
      <c r="BC173" s="1868"/>
      <c r="BD173" s="1868"/>
      <c r="BE173" s="1868"/>
      <c r="BF173" s="1868"/>
      <c r="BG173" s="1868"/>
      <c r="BH173" s="1868"/>
      <c r="BI173" s="1868"/>
      <c r="BJ173" s="1868"/>
      <c r="BK173" s="1868"/>
      <c r="BL173" s="1868"/>
      <c r="BM173" s="1868"/>
      <c r="BN173" s="1868"/>
      <c r="BO173" s="1868"/>
      <c r="BP173" s="1868"/>
      <c r="BQ173" s="1868"/>
      <c r="BR173" s="1868"/>
    </row>
    <row r="174" spans="1:70" ht="12.2" customHeight="1">
      <c r="A174" s="1935"/>
      <c r="B174" s="1866">
        <f t="shared" si="3"/>
        <v>5</v>
      </c>
      <c r="C174" s="6009"/>
      <c r="D174" s="5868"/>
      <c r="E174" s="5869"/>
      <c r="F174" s="5869"/>
      <c r="G174" s="5869"/>
      <c r="H174" s="5869"/>
      <c r="I174" s="5869"/>
      <c r="J174" s="5869"/>
      <c r="K174" s="5869"/>
      <c r="L174" s="5869"/>
      <c r="M174" s="5869"/>
      <c r="N174" s="5869"/>
      <c r="O174" s="5869"/>
      <c r="P174" s="5869"/>
      <c r="Q174" s="5869"/>
      <c r="R174" s="5869"/>
      <c r="S174" s="5869"/>
      <c r="T174" s="5869"/>
      <c r="U174" s="5869"/>
      <c r="V174" s="5869"/>
      <c r="W174" s="5869"/>
      <c r="X174" s="5869"/>
      <c r="Y174" s="5869"/>
      <c r="Z174" s="5869"/>
      <c r="AA174" s="5869"/>
      <c r="AB174" s="5869"/>
      <c r="AC174" s="5869"/>
      <c r="AD174" s="5869"/>
      <c r="AE174" s="5869"/>
      <c r="AF174" s="5869"/>
      <c r="AG174" s="5870"/>
      <c r="AH174" s="1943"/>
      <c r="AI174" s="6011"/>
      <c r="AJ174" s="3986" t="s">
        <v>8846</v>
      </c>
      <c r="AK174" s="3986"/>
      <c r="AL174" s="3986"/>
      <c r="AM174" s="3986" t="b">
        <f>AND((IF(SUM(V152:V156)&gt;0,1,0)+IF(SUM(X152:X156)&gt;0,1,0)+IF(SUM(Z152:Z156)&gt;0,1,0)+IF(SUM(AB152:AB156)&gt;0,1,0)+IF(SUM(AD152:AD156,)&gt;0,1,0)+IF(SUM(AF152:AF156)&gt;0,1,0))&lt;3,OR(V159&lt;0,X159&lt;0,Z159&lt;0,AB159&lt;0,AD159&lt;0,AF159&lt;0,Y157&lt;0))</f>
        <v>0</v>
      </c>
      <c r="AN174" s="3986"/>
      <c r="AO174" s="3986"/>
      <c r="AP174" s="3986"/>
      <c r="AQ174" s="3987"/>
      <c r="AR174" s="3986"/>
      <c r="AS174" s="3986"/>
      <c r="AT174" s="3986"/>
      <c r="AU174" s="1868"/>
      <c r="AV174" s="1868"/>
      <c r="AW174" s="1868"/>
      <c r="AX174" s="1868"/>
      <c r="AY174" s="3986"/>
      <c r="AZ174" s="1868"/>
      <c r="BA174" s="1868"/>
      <c r="BB174" s="1868"/>
      <c r="BC174" s="1868"/>
      <c r="BD174" s="1868"/>
      <c r="BE174" s="1868"/>
      <c r="BF174" s="1868"/>
      <c r="BG174" s="1868"/>
      <c r="BH174" s="1868"/>
      <c r="BI174" s="1868"/>
      <c r="BJ174" s="1868"/>
      <c r="BK174" s="1868"/>
      <c r="BL174" s="1868"/>
      <c r="BM174" s="1868"/>
      <c r="BN174" s="1868"/>
      <c r="BO174" s="1868"/>
      <c r="BP174" s="1868"/>
      <c r="BQ174" s="1868"/>
      <c r="BR174" s="1868"/>
    </row>
    <row r="175" spans="1:70" ht="12.2" customHeight="1">
      <c r="A175" s="1935"/>
      <c r="B175" s="1866">
        <f t="shared" si="3"/>
        <v>5</v>
      </c>
      <c r="C175" s="6009"/>
      <c r="D175" s="5868"/>
      <c r="E175" s="5869"/>
      <c r="F175" s="5869"/>
      <c r="G175" s="5869"/>
      <c r="H175" s="5869"/>
      <c r="I175" s="5869"/>
      <c r="J175" s="5869"/>
      <c r="K175" s="5869"/>
      <c r="L175" s="5869"/>
      <c r="M175" s="5869"/>
      <c r="N175" s="5869"/>
      <c r="O175" s="5869"/>
      <c r="P175" s="5869"/>
      <c r="Q175" s="5869"/>
      <c r="R175" s="5869"/>
      <c r="S175" s="5869"/>
      <c r="T175" s="5869"/>
      <c r="U175" s="5869"/>
      <c r="V175" s="5869"/>
      <c r="W175" s="5869"/>
      <c r="X175" s="5869"/>
      <c r="Y175" s="5869"/>
      <c r="Z175" s="5869"/>
      <c r="AA175" s="5869"/>
      <c r="AB175" s="5869"/>
      <c r="AC175" s="5869"/>
      <c r="AD175" s="5869"/>
      <c r="AE175" s="5869"/>
      <c r="AF175" s="5869"/>
      <c r="AG175" s="5870"/>
      <c r="AH175" s="1943"/>
      <c r="AI175" s="6011"/>
      <c r="AJ175" s="3986" t="s">
        <v>8861</v>
      </c>
      <c r="AK175" s="3986"/>
      <c r="AL175" s="3986"/>
      <c r="AM175" s="3986" t="b">
        <f>OR(-V159&gt;TRUNC(SUM(V152:V156)/2),-X159&gt;TRUNC(SUM(X152:X156)/2),-Z159&gt;TRUNC(SUM(Z152:Z156)/2),-AB159&gt;TRUNC(SUM(AB152:AB156)/2),-AD159&gt;TRUNC(SUM(AD152:AD156)/2),-AF159&gt;TRUNC(SUM(AF152:AF156)/2))</f>
        <v>0</v>
      </c>
      <c r="AN175" s="3986"/>
      <c r="AO175" s="3986"/>
      <c r="AP175" s="3986"/>
      <c r="AQ175" s="3987"/>
      <c r="AR175" s="3986"/>
      <c r="AS175" s="3986"/>
      <c r="AT175" s="3986"/>
      <c r="AU175" s="1868"/>
      <c r="AV175" s="1868"/>
      <c r="AW175" s="1868"/>
      <c r="AX175" s="1868"/>
      <c r="AY175" s="3986"/>
      <c r="AZ175" s="1868"/>
      <c r="BA175" s="1868"/>
      <c r="BB175" s="1868"/>
      <c r="BC175" s="1868"/>
      <c r="BD175" s="1868"/>
      <c r="BE175" s="1868"/>
      <c r="BF175" s="1868"/>
      <c r="BG175" s="1868"/>
      <c r="BH175" s="1868"/>
      <c r="BI175" s="1868"/>
      <c r="BJ175" s="1868"/>
      <c r="BK175" s="1868"/>
      <c r="BL175" s="1868"/>
      <c r="BM175" s="1868"/>
      <c r="BN175" s="1868"/>
      <c r="BO175" s="1868"/>
      <c r="BP175" s="1868"/>
      <c r="BQ175" s="1868"/>
      <c r="BR175" s="1868"/>
    </row>
    <row r="176" spans="1:70" ht="12.2" customHeight="1">
      <c r="A176" s="1935"/>
      <c r="B176" s="1866">
        <f t="shared" si="3"/>
        <v>5</v>
      </c>
      <c r="C176" s="6009"/>
      <c r="D176" s="5868"/>
      <c r="E176" s="5869"/>
      <c r="F176" s="5869"/>
      <c r="G176" s="5869"/>
      <c r="H176" s="5869"/>
      <c r="I176" s="5869"/>
      <c r="J176" s="5869"/>
      <c r="K176" s="5869"/>
      <c r="L176" s="5869"/>
      <c r="M176" s="5869"/>
      <c r="N176" s="5869"/>
      <c r="O176" s="5869"/>
      <c r="P176" s="5869"/>
      <c r="Q176" s="5869"/>
      <c r="R176" s="5869"/>
      <c r="S176" s="5869"/>
      <c r="T176" s="5869"/>
      <c r="U176" s="5869"/>
      <c r="V176" s="5869"/>
      <c r="W176" s="5869"/>
      <c r="X176" s="5869"/>
      <c r="Y176" s="5869"/>
      <c r="Z176" s="5869"/>
      <c r="AA176" s="5869"/>
      <c r="AB176" s="5869"/>
      <c r="AC176" s="5869"/>
      <c r="AD176" s="5869"/>
      <c r="AE176" s="5869"/>
      <c r="AF176" s="5869"/>
      <c r="AG176" s="5870"/>
      <c r="AH176" s="1943"/>
      <c r="AI176" s="6011"/>
      <c r="AJ176" s="3986" t="s">
        <v>8862</v>
      </c>
      <c r="AK176" s="3986"/>
      <c r="AL176" s="3986"/>
      <c r="AM176" s="3986" t="b">
        <f>COUNTIF(D152:E156,"Primario")&gt;1</f>
        <v>0</v>
      </c>
      <c r="AN176" s="3986"/>
      <c r="AO176" s="3986"/>
      <c r="AP176" s="3986"/>
      <c r="AQ176" s="3987"/>
      <c r="AR176" s="3987"/>
      <c r="AS176" s="3987"/>
      <c r="AT176" s="3987"/>
      <c r="AU176" s="1868"/>
      <c r="AV176" s="1868"/>
      <c r="AW176" s="1868"/>
      <c r="AX176" s="3986"/>
      <c r="AY176" s="3986"/>
      <c r="AZ176" s="1868"/>
      <c r="BA176" s="1868"/>
      <c r="BB176" s="1868"/>
      <c r="BC176" s="1868"/>
      <c r="BD176" s="1868"/>
      <c r="BE176" s="1868"/>
      <c r="BF176" s="1868"/>
      <c r="BG176" s="1868"/>
      <c r="BH176" s="1868"/>
      <c r="BI176" s="1868"/>
      <c r="BJ176" s="1868"/>
      <c r="BK176" s="1868"/>
      <c r="BL176" s="1868"/>
      <c r="BM176" s="1868"/>
      <c r="BN176" s="1868"/>
      <c r="BO176" s="1868"/>
      <c r="BP176" s="1868"/>
      <c r="BQ176" s="1868"/>
      <c r="BR176" s="1868"/>
    </row>
    <row r="177" spans="1:70" ht="12.2" customHeight="1">
      <c r="A177" s="1935"/>
      <c r="B177" s="1866">
        <f t="shared" si="3"/>
        <v>5</v>
      </c>
      <c r="C177" s="6009"/>
      <c r="D177" s="5868"/>
      <c r="E177" s="5869"/>
      <c r="F177" s="5869"/>
      <c r="G177" s="5869"/>
      <c r="H177" s="5869"/>
      <c r="I177" s="5869"/>
      <c r="J177" s="5869"/>
      <c r="K177" s="5869"/>
      <c r="L177" s="5869"/>
      <c r="M177" s="5869"/>
      <c r="N177" s="5869"/>
      <c r="O177" s="5869"/>
      <c r="P177" s="5869"/>
      <c r="Q177" s="5869"/>
      <c r="R177" s="5869"/>
      <c r="S177" s="5869"/>
      <c r="T177" s="5869"/>
      <c r="U177" s="5869"/>
      <c r="V177" s="5869"/>
      <c r="W177" s="5869"/>
      <c r="X177" s="5869"/>
      <c r="Y177" s="5869"/>
      <c r="Z177" s="5869"/>
      <c r="AA177" s="5869"/>
      <c r="AB177" s="5869"/>
      <c r="AC177" s="5869"/>
      <c r="AD177" s="5869"/>
      <c r="AE177" s="5869"/>
      <c r="AF177" s="5869"/>
      <c r="AG177" s="5870"/>
      <c r="AH177" s="1943"/>
      <c r="AI177" s="6011"/>
      <c r="AJ177" s="3986" t="s">
        <v>8845</v>
      </c>
      <c r="AK177" s="3986"/>
      <c r="AL177" s="3986"/>
      <c r="AM177" s="3986" t="b">
        <f>SUM(V159:AG159)&lt;&gt;Y157+ABS(AC157)*2/5+IF(S148="Sí",3*P148,0)</f>
        <v>0</v>
      </c>
      <c r="AN177" s="3986"/>
      <c r="AO177" s="3986"/>
      <c r="AP177" s="3986"/>
      <c r="AQ177" s="3987"/>
      <c r="AR177" s="3987"/>
      <c r="AS177" s="3987"/>
      <c r="AT177" s="3987"/>
      <c r="AU177" s="1868"/>
      <c r="AV177" s="1868"/>
      <c r="AW177" s="1868"/>
      <c r="AX177" s="3986"/>
      <c r="AY177" s="3986"/>
      <c r="AZ177" s="1868"/>
      <c r="BA177" s="1868"/>
      <c r="BB177" s="1868"/>
      <c r="BC177" s="1868"/>
      <c r="BD177" s="1868"/>
      <c r="BE177" s="1868"/>
      <c r="BF177" s="1868"/>
      <c r="BG177" s="1868"/>
      <c r="BH177" s="1868"/>
      <c r="BI177" s="1868"/>
      <c r="BJ177" s="1868"/>
      <c r="BK177" s="1868"/>
      <c r="BL177" s="1868"/>
      <c r="BM177" s="1868"/>
      <c r="BN177" s="1868"/>
      <c r="BO177" s="1868"/>
      <c r="BP177" s="1868"/>
      <c r="BQ177" s="1868"/>
      <c r="BR177" s="1868"/>
    </row>
    <row r="178" spans="1:70" ht="12.2" customHeight="1">
      <c r="A178" s="1935"/>
      <c r="B178" s="1866">
        <f t="shared" si="3"/>
        <v>5</v>
      </c>
      <c r="C178" s="6009"/>
      <c r="D178" s="5868"/>
      <c r="E178" s="5869"/>
      <c r="F178" s="5869"/>
      <c r="G178" s="5869"/>
      <c r="H178" s="5869"/>
      <c r="I178" s="5869"/>
      <c r="J178" s="5869"/>
      <c r="K178" s="5869"/>
      <c r="L178" s="5869"/>
      <c r="M178" s="5869"/>
      <c r="N178" s="5869"/>
      <c r="O178" s="5869"/>
      <c r="P178" s="5869"/>
      <c r="Q178" s="5869"/>
      <c r="R178" s="5869"/>
      <c r="S178" s="5869"/>
      <c r="T178" s="5869"/>
      <c r="U178" s="5869"/>
      <c r="V178" s="5869"/>
      <c r="W178" s="5869"/>
      <c r="X178" s="5869"/>
      <c r="Y178" s="5869"/>
      <c r="Z178" s="5869"/>
      <c r="AA178" s="5869"/>
      <c r="AB178" s="5869"/>
      <c r="AC178" s="5869"/>
      <c r="AD178" s="5869"/>
      <c r="AE178" s="5869"/>
      <c r="AF178" s="5869"/>
      <c r="AG178" s="5870"/>
      <c r="AH178" s="1943"/>
      <c r="AI178" s="6011"/>
      <c r="AJ178" s="3986" t="s">
        <v>8844</v>
      </c>
      <c r="AK178" s="3986"/>
      <c r="AL178" s="3986"/>
      <c r="AM178" s="3986" t="b">
        <f>AL165-AL166+AM165-AM166&lt;&gt;0</f>
        <v>0</v>
      </c>
      <c r="AN178" s="1868"/>
      <c r="AO178" s="1868"/>
      <c r="AP178" s="1868"/>
      <c r="AQ178" s="1868"/>
      <c r="AR178" s="3987"/>
      <c r="AS178" s="3987"/>
      <c r="AT178" s="3987"/>
      <c r="AU178" s="1868"/>
      <c r="AV178" s="1868"/>
      <c r="AW178" s="1868"/>
      <c r="AX178" s="3986"/>
      <c r="AY178" s="3986"/>
      <c r="AZ178" s="1868"/>
      <c r="BA178" s="1868"/>
      <c r="BB178" s="1868"/>
      <c r="BC178" s="1868"/>
      <c r="BD178" s="1868"/>
      <c r="BE178" s="1868"/>
      <c r="BF178" s="1868"/>
      <c r="BG178" s="1868"/>
      <c r="BH178" s="1868"/>
      <c r="BI178" s="1868"/>
      <c r="BJ178" s="1868"/>
      <c r="BK178" s="1868"/>
      <c r="BL178" s="1868"/>
      <c r="BM178" s="1868"/>
      <c r="BN178" s="1868"/>
      <c r="BO178" s="1868"/>
      <c r="BP178" s="1868"/>
      <c r="BQ178" s="1868"/>
      <c r="BR178" s="1868"/>
    </row>
    <row r="179" spans="1:70" ht="12.2" customHeight="1" thickBot="1">
      <c r="A179" s="1935"/>
      <c r="B179" s="1866"/>
      <c r="C179" s="6010"/>
      <c r="D179" s="601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6013"/>
      <c r="F179" s="6013"/>
      <c r="G179" s="6013"/>
      <c r="H179" s="6013"/>
      <c r="I179" s="6013"/>
      <c r="J179" s="6013"/>
      <c r="K179" s="6013"/>
      <c r="L179" s="6013"/>
      <c r="M179" s="6013"/>
      <c r="N179" s="6013"/>
      <c r="O179" s="6013"/>
      <c r="P179" s="6013"/>
      <c r="Q179" s="6013"/>
      <c r="R179" s="6013"/>
      <c r="S179" s="6013"/>
      <c r="T179" s="6013"/>
      <c r="U179" s="6013"/>
      <c r="V179" s="6013"/>
      <c r="W179" s="6013"/>
      <c r="X179" s="6013"/>
      <c r="Y179" s="6013"/>
      <c r="Z179" s="6013"/>
      <c r="AA179" s="6013"/>
      <c r="AB179" s="6013"/>
      <c r="AC179" s="6013"/>
      <c r="AD179" s="6013"/>
      <c r="AE179" s="6013"/>
      <c r="AF179" s="6013"/>
      <c r="AG179" s="6014"/>
      <c r="AH179" s="1943"/>
      <c r="AI179" s="6011"/>
      <c r="AJ179" s="3986" t="s">
        <v>8881</v>
      </c>
      <c r="AK179" s="1868"/>
      <c r="AL179" s="1868"/>
      <c r="AM179" s="1868" t="b">
        <f>ABS(SUM(N157:N159))&gt;(SUM(N152:N156)-10*Y157+AC157+IF(S148="Sí",10*P148,0)+IF(COUNTIF(K152:M156,"Mantenido")&gt;0,P148*10)+MAX(IF(COUNTIF(K152:M156,"Sostenimiento Menor")&gt;0,P148*20)+IF(COUNTIF(K152:M156,"Sostenimiento Mayor")&gt;0,P148*30)))/2</f>
        <v>0</v>
      </c>
      <c r="AN179" s="3986"/>
      <c r="AO179" s="3986"/>
      <c r="AP179" s="3986"/>
      <c r="AQ179" s="3986"/>
      <c r="AR179" s="3987"/>
      <c r="AS179" s="3987"/>
      <c r="AT179" s="3987"/>
      <c r="AU179" s="1868"/>
      <c r="AV179" s="1868"/>
      <c r="AW179" s="1868"/>
      <c r="AX179" s="3986"/>
      <c r="AY179" s="3986"/>
      <c r="AZ179" s="1868"/>
      <c r="BA179" s="1868"/>
      <c r="BB179" s="1868"/>
      <c r="BC179" s="1868"/>
      <c r="BD179" s="1868"/>
      <c r="BE179" s="1868"/>
      <c r="BF179" s="1868"/>
      <c r="BG179" s="1868"/>
      <c r="BH179" s="1868"/>
      <c r="BI179" s="1868"/>
      <c r="BJ179" s="1868"/>
      <c r="BK179" s="1868"/>
      <c r="BL179" s="1868"/>
      <c r="BM179" s="1868"/>
      <c r="BN179" s="1868"/>
      <c r="BO179" s="1868"/>
      <c r="BP179" s="1868"/>
      <c r="BQ179" s="1868"/>
      <c r="BR179" s="1868"/>
    </row>
    <row r="180" spans="1:70" ht="12.2" customHeight="1">
      <c r="A180" s="1935"/>
      <c r="B180" s="1866"/>
      <c r="C180" s="5912"/>
      <c r="D180" s="5935" t="str">
        <f>IFERROR(VLOOKUP(D161,'Tablas Técnicas'!$O$9:$T$88,2,FALSE),"")</f>
        <v/>
      </c>
      <c r="E180" s="5935"/>
      <c r="F180" s="5935"/>
      <c r="G180" s="5935"/>
      <c r="H180" s="5935"/>
      <c r="I180" s="5935"/>
      <c r="J180" s="5935" t="str">
        <f>IFERROR(VLOOKUP(J161,'Tablas Técnicas'!$O$9:$T$88,2,FALSE),"")</f>
        <v/>
      </c>
      <c r="K180" s="5935"/>
      <c r="L180" s="5935"/>
      <c r="M180" s="5935"/>
      <c r="N180" s="5935"/>
      <c r="O180" s="5935"/>
      <c r="P180" s="5935" t="str">
        <f>IFERROR(VLOOKUP(P161,'Tablas Técnicas'!$O$9:$T$88,2,FALSE),"")</f>
        <v/>
      </c>
      <c r="Q180" s="5935"/>
      <c r="R180" s="5935"/>
      <c r="S180" s="5935"/>
      <c r="T180" s="5935"/>
      <c r="U180" s="5935"/>
      <c r="V180" s="5935" t="str">
        <f>IFERROR(VLOOKUP(V161,'Tablas Técnicas'!$O$9:$T$88,2,FALSE),"")</f>
        <v/>
      </c>
      <c r="W180" s="5935"/>
      <c r="X180" s="5935"/>
      <c r="Y180" s="5935"/>
      <c r="Z180" s="5935"/>
      <c r="AA180" s="5935"/>
      <c r="AB180" s="5935" t="str">
        <f>IFERROR(VLOOKUP(AB161,'Tablas Técnicas'!$O$9:$T$88,2,FALSE),"")</f>
        <v/>
      </c>
      <c r="AC180" s="5935"/>
      <c r="AD180" s="5935"/>
      <c r="AE180" s="5935"/>
      <c r="AF180" s="5935"/>
      <c r="AG180" s="5935"/>
      <c r="AH180" s="1943"/>
      <c r="AI180" s="1712"/>
      <c r="AJ180" s="3986"/>
      <c r="AK180" s="3986"/>
      <c r="AL180" s="3986"/>
      <c r="AM180" s="3986"/>
      <c r="AN180" s="3986"/>
      <c r="AO180" s="3986"/>
      <c r="AP180" s="3986"/>
      <c r="AQ180" s="3986"/>
      <c r="AR180" s="3987"/>
      <c r="AS180" s="3987"/>
      <c r="AT180" s="3987"/>
      <c r="AU180" s="1868"/>
      <c r="AV180" s="1868"/>
      <c r="AW180" s="1868"/>
      <c r="AX180" s="1868"/>
      <c r="AY180" s="3986"/>
      <c r="AZ180" s="1868"/>
      <c r="BA180" s="1868"/>
      <c r="BB180" s="1868"/>
      <c r="BC180" s="1868"/>
      <c r="BD180" s="1868"/>
      <c r="BE180" s="1868"/>
      <c r="BF180" s="1868"/>
      <c r="BG180" s="1868"/>
      <c r="BH180" s="1868"/>
      <c r="BI180" s="1868"/>
      <c r="BJ180" s="1868"/>
      <c r="BK180" s="1868"/>
      <c r="BL180" s="1868"/>
      <c r="BM180" s="1868"/>
      <c r="BN180" s="1868"/>
      <c r="BO180" s="1868"/>
      <c r="BP180" s="1868"/>
      <c r="BQ180" s="1868"/>
      <c r="BR180" s="1868"/>
    </row>
    <row r="181" spans="1:70" ht="12.2" customHeight="1" thickBot="1">
      <c r="A181" s="1935"/>
      <c r="B181" s="1867"/>
      <c r="C181" s="5936"/>
      <c r="D181" s="2022"/>
      <c r="E181" s="2022"/>
      <c r="F181" s="2022"/>
      <c r="G181" s="2022"/>
      <c r="H181" s="2022"/>
      <c r="I181" s="2022"/>
      <c r="J181" s="2022"/>
      <c r="K181" s="2022"/>
      <c r="L181" s="2022"/>
      <c r="M181" s="2022"/>
      <c r="N181" s="2022"/>
      <c r="O181" s="2022"/>
      <c r="P181" s="2022"/>
      <c r="Q181" s="2022"/>
      <c r="R181" s="2022"/>
      <c r="S181" s="2022"/>
      <c r="T181" s="2022"/>
      <c r="U181" s="2022"/>
      <c r="V181" s="2022"/>
      <c r="W181" s="2022"/>
      <c r="X181" s="2022"/>
      <c r="Y181" s="2022"/>
      <c r="Z181" s="2022"/>
      <c r="AA181" s="2022"/>
      <c r="AB181" s="2022"/>
      <c r="AC181" s="2022"/>
      <c r="AD181" s="2022"/>
      <c r="AE181" s="2022"/>
      <c r="AF181" s="2022"/>
      <c r="AG181" s="2022"/>
      <c r="AH181" s="1944"/>
      <c r="AI181" s="1712"/>
      <c r="AJ181" s="3986"/>
      <c r="AK181" s="3986"/>
      <c r="AL181" s="3986"/>
      <c r="AM181" s="3986"/>
      <c r="AN181" s="3986"/>
      <c r="AO181" s="3986"/>
      <c r="AP181" s="3986"/>
      <c r="AQ181" s="3986"/>
      <c r="AR181" s="3987"/>
      <c r="AS181" s="3987"/>
      <c r="AT181" s="3987"/>
      <c r="AU181" s="1868"/>
      <c r="AV181" s="1868"/>
      <c r="AW181" s="1868"/>
      <c r="AX181" s="1868"/>
      <c r="AY181" s="3986"/>
      <c r="AZ181" s="1868"/>
      <c r="BA181" s="1868"/>
      <c r="BB181" s="1868"/>
      <c r="BC181" s="1868"/>
      <c r="BD181" s="1868"/>
      <c r="BE181" s="1868"/>
      <c r="BF181" s="1868"/>
      <c r="BG181" s="1868"/>
      <c r="BH181" s="1868"/>
      <c r="BI181" s="1868"/>
      <c r="BJ181" s="1868"/>
      <c r="BK181" s="1868"/>
      <c r="BL181" s="1868"/>
      <c r="BM181" s="1868"/>
      <c r="BN181" s="1868"/>
      <c r="BO181" s="1868"/>
      <c r="BP181" s="1868"/>
      <c r="BQ181" s="1868"/>
      <c r="BR181" s="1868"/>
    </row>
    <row r="182" spans="1:70" ht="12.2" customHeight="1" thickBot="1">
      <c r="A182" s="1935"/>
      <c r="B182" s="1866"/>
      <c r="C182" s="1815"/>
      <c r="D182" s="2024"/>
      <c r="E182" s="1868"/>
      <c r="F182" s="1868"/>
      <c r="G182" s="1868"/>
      <c r="H182" s="1868"/>
      <c r="I182" s="1868"/>
      <c r="J182" s="1868"/>
      <c r="K182" s="1868"/>
      <c r="L182" s="1868"/>
      <c r="M182" s="1868"/>
      <c r="N182" s="1868"/>
      <c r="O182" s="1868"/>
      <c r="P182" s="1868"/>
      <c r="Q182" s="1868"/>
      <c r="R182" s="1868"/>
      <c r="S182" s="1868"/>
      <c r="T182" s="1868"/>
      <c r="U182" s="1868"/>
      <c r="V182" s="2025"/>
      <c r="W182" s="2025"/>
      <c r="X182" s="2025"/>
      <c r="Y182" s="2025"/>
      <c r="Z182" s="2025"/>
      <c r="AA182" s="2025"/>
      <c r="AB182" s="2025"/>
      <c r="AC182" s="2025"/>
      <c r="AD182" s="2025"/>
      <c r="AE182" s="2025"/>
      <c r="AF182" s="1868"/>
      <c r="AG182" s="1868"/>
      <c r="AH182" s="1943"/>
      <c r="AI182" s="1712"/>
      <c r="AJ182" s="3991"/>
      <c r="AK182" s="3991"/>
      <c r="AL182" s="3991"/>
      <c r="AM182" s="3991"/>
      <c r="AN182" s="3991"/>
      <c r="AO182" s="3991"/>
      <c r="AP182" s="3986"/>
      <c r="AQ182" s="3987"/>
      <c r="AR182" s="1868"/>
      <c r="AS182" s="1868"/>
      <c r="AT182" s="1868"/>
      <c r="AU182" s="1868"/>
      <c r="AV182" s="1868"/>
      <c r="AW182" s="1868"/>
      <c r="AX182" s="1868"/>
      <c r="AY182" s="3992"/>
      <c r="AZ182" s="1868"/>
      <c r="BA182" s="1868"/>
      <c r="BB182" s="1868"/>
      <c r="BC182" s="1868"/>
      <c r="BD182" s="1868"/>
      <c r="BE182" s="1868"/>
      <c r="BF182" s="1868"/>
      <c r="BG182" s="1868"/>
      <c r="BH182" s="1868"/>
      <c r="BI182" s="1868"/>
      <c r="BJ182" s="1868"/>
      <c r="BK182" s="1868"/>
      <c r="BL182" s="1868"/>
      <c r="BM182" s="1868"/>
      <c r="BN182" s="1868"/>
      <c r="BO182" s="1868"/>
      <c r="BP182" s="1868"/>
      <c r="BQ182" s="1868"/>
      <c r="BR182" s="1868"/>
    </row>
    <row r="183" spans="1:70" ht="12.2" customHeight="1">
      <c r="A183" s="1935"/>
      <c r="B183" s="1866">
        <f t="shared" ref="B183:B213" si="4">1+B148</f>
        <v>6</v>
      </c>
      <c r="C183" s="6008" t="str">
        <f>"Técnica "&amp;B183</f>
        <v>Técnica 6</v>
      </c>
      <c r="D183" s="5974" t="s">
        <v>8267</v>
      </c>
      <c r="E183" s="5975"/>
      <c r="F183" s="5975"/>
      <c r="G183" s="5975"/>
      <c r="H183" s="5975"/>
      <c r="I183" s="5975"/>
      <c r="J183" s="5975"/>
      <c r="K183" s="5975"/>
      <c r="L183" s="5975"/>
      <c r="M183" s="5975"/>
      <c r="N183" s="5976"/>
      <c r="O183" s="5971" t="s">
        <v>1186</v>
      </c>
      <c r="P183" s="5973">
        <v>1</v>
      </c>
      <c r="Q183" s="5916" t="s">
        <v>8350</v>
      </c>
      <c r="R183" s="5967"/>
      <c r="S183" s="5969" t="s">
        <v>1241</v>
      </c>
      <c r="T183" s="5917" t="s">
        <v>1365</v>
      </c>
      <c r="U183" s="5897">
        <f>MAX(IF(P183=3,60,IF(P183=2,40,20)),MIN(SUM(N187:N194)-10*Y192+AC192+IF(S183="Sí",10*P183,0)+IF(COUNTIF(K187:M191,"Mantenido")&gt;0,P183*10)+MAX(IF(COUNTIF(K221:M225,"Sostenimiento Menor"),20+IF(P217=2,0,10),IF(COUNTIF(K221:M225,"Sostenimiento Mayor"),30+IF(P217=2,0,10))))))</f>
        <v>20</v>
      </c>
      <c r="V183" s="5916" t="s">
        <v>8351</v>
      </c>
      <c r="W183" s="5917"/>
      <c r="X183" s="5920" t="str">
        <f>IFERROR(LEFT(AK199&amp;AL199&amp;AM199&amp;AN199&amp;AO199&amp;AP199,LEN(AK199&amp;AL199&amp;AM199&amp;AN199&amp;AO199&amp;AP199)-2),"")</f>
        <v/>
      </c>
      <c r="Y183" s="5920"/>
      <c r="Z183" s="5920"/>
      <c r="AA183" s="5920"/>
      <c r="AB183" s="5920"/>
      <c r="AC183" s="5920"/>
      <c r="AD183" s="5920"/>
      <c r="AE183" s="5920"/>
      <c r="AF183" s="5920"/>
      <c r="AG183" s="5921"/>
      <c r="AH183" s="1943"/>
      <c r="AI183" s="6011"/>
      <c r="AJ183" s="3989" t="s">
        <v>8878</v>
      </c>
      <c r="AK183" s="3989"/>
      <c r="AL183" s="3989"/>
      <c r="AM183" s="3989"/>
      <c r="AN183" s="3989"/>
      <c r="AO183" s="3989"/>
      <c r="AP183" s="3989"/>
      <c r="AQ183" s="3989"/>
      <c r="AR183" s="3989"/>
      <c r="AS183" s="3986"/>
      <c r="AT183" s="3986"/>
      <c r="AU183" s="3986"/>
      <c r="AV183" s="3986"/>
      <c r="AW183" s="1868"/>
      <c r="AX183" s="1868"/>
      <c r="AY183" s="3986"/>
      <c r="AZ183" s="1868"/>
      <c r="BA183" s="1868"/>
      <c r="BB183" s="1868"/>
      <c r="BC183" s="1868"/>
      <c r="BD183" s="1868"/>
      <c r="BE183" s="1868"/>
      <c r="BF183" s="1868"/>
      <c r="BG183" s="1868"/>
      <c r="BH183" s="1868"/>
      <c r="BI183" s="1868"/>
      <c r="BJ183" s="1868"/>
      <c r="BK183" s="1868"/>
      <c r="BL183" s="1868"/>
      <c r="BM183" s="1868"/>
      <c r="BN183" s="1868"/>
      <c r="BO183" s="1868"/>
      <c r="BP183" s="1868"/>
      <c r="BQ183" s="1868"/>
      <c r="BR183" s="1868"/>
    </row>
    <row r="184" spans="1:70" ht="12.2" customHeight="1">
      <c r="A184" s="1935"/>
      <c r="B184" s="1866">
        <f t="shared" si="4"/>
        <v>6</v>
      </c>
      <c r="C184" s="6009"/>
      <c r="D184" s="5977"/>
      <c r="E184" s="5978"/>
      <c r="F184" s="5978"/>
      <c r="G184" s="5978"/>
      <c r="H184" s="5978"/>
      <c r="I184" s="5978"/>
      <c r="J184" s="5978"/>
      <c r="K184" s="5978"/>
      <c r="L184" s="5978"/>
      <c r="M184" s="5978"/>
      <c r="N184" s="5979"/>
      <c r="O184" s="5972"/>
      <c r="P184" s="5970"/>
      <c r="Q184" s="5918"/>
      <c r="R184" s="5968"/>
      <c r="S184" s="5970"/>
      <c r="T184" s="5919"/>
      <c r="U184" s="5898"/>
      <c r="V184" s="5918"/>
      <c r="W184" s="5919"/>
      <c r="X184" s="5922"/>
      <c r="Y184" s="5922"/>
      <c r="Z184" s="5922"/>
      <c r="AA184" s="5922"/>
      <c r="AB184" s="5922"/>
      <c r="AC184" s="5922"/>
      <c r="AD184" s="5922"/>
      <c r="AE184" s="5922"/>
      <c r="AF184" s="5922"/>
      <c r="AG184" s="5923"/>
      <c r="AH184" s="1943"/>
      <c r="AI184" s="6011"/>
      <c r="AJ184" s="3989"/>
      <c r="AK184" s="3989" t="s">
        <v>8879</v>
      </c>
      <c r="AL184" s="3989" t="s">
        <v>12546</v>
      </c>
      <c r="AM184" s="3990"/>
      <c r="AN184" s="3990"/>
      <c r="AO184" s="3990"/>
      <c r="AP184" s="3990"/>
      <c r="AQ184" s="3990"/>
      <c r="AR184" s="3989"/>
      <c r="AS184" s="3986"/>
      <c r="AT184" s="3986"/>
      <c r="AU184" s="3986"/>
      <c r="AV184" s="3986"/>
      <c r="AW184" s="1868"/>
      <c r="AX184" s="5935" t="s">
        <v>8848</v>
      </c>
      <c r="AY184" s="5935"/>
      <c r="AZ184" s="1868"/>
      <c r="BA184" s="1868"/>
      <c r="BB184" s="1868"/>
      <c r="BC184" s="1868"/>
      <c r="BD184" s="1868"/>
      <c r="BE184" s="1868"/>
      <c r="BF184" s="1868"/>
      <c r="BG184" s="1868"/>
      <c r="BH184" s="1868"/>
      <c r="BI184" s="1868"/>
      <c r="BJ184" s="1868"/>
      <c r="BK184" s="1868"/>
      <c r="BL184" s="1868"/>
      <c r="BM184" s="1868"/>
      <c r="BN184" s="1868"/>
      <c r="BO184" s="1868"/>
      <c r="BP184" s="1868"/>
      <c r="BQ184" s="1868"/>
      <c r="BR184" s="1868"/>
    </row>
    <row r="185" spans="1:70" ht="12.2" customHeight="1">
      <c r="A185" s="1935"/>
      <c r="B185" s="1866">
        <f t="shared" si="4"/>
        <v>6</v>
      </c>
      <c r="C185" s="6009"/>
      <c r="D185" s="5873" t="s">
        <v>2662</v>
      </c>
      <c r="E185" s="5874"/>
      <c r="F185" s="5874"/>
      <c r="G185" s="5874"/>
      <c r="H185" s="5874"/>
      <c r="I185" s="5874"/>
      <c r="J185" s="5874"/>
      <c r="K185" s="5924" t="s">
        <v>9170</v>
      </c>
      <c r="L185" s="5924"/>
      <c r="M185" s="5924"/>
      <c r="N185" s="5874" t="s">
        <v>1359</v>
      </c>
      <c r="O185" s="5924" t="s">
        <v>2660</v>
      </c>
      <c r="P185" s="5924" t="s">
        <v>8352</v>
      </c>
      <c r="Q185" s="5874" t="s">
        <v>1224</v>
      </c>
      <c r="R185" s="5874"/>
      <c r="S185" s="5874"/>
      <c r="T185" s="5874"/>
      <c r="U185" s="5874"/>
      <c r="V185" s="5876" t="s">
        <v>1233</v>
      </c>
      <c r="W185" s="5855"/>
      <c r="X185" s="5876" t="s">
        <v>1357</v>
      </c>
      <c r="Y185" s="5980"/>
      <c r="Z185" s="5855" t="s">
        <v>1238</v>
      </c>
      <c r="AA185" s="5855"/>
      <c r="AB185" s="5876" t="s">
        <v>1243</v>
      </c>
      <c r="AC185" s="5980"/>
      <c r="AD185" s="5855" t="s">
        <v>1250</v>
      </c>
      <c r="AE185" s="5855"/>
      <c r="AF185" s="5876" t="s">
        <v>1251</v>
      </c>
      <c r="AG185" s="5856"/>
      <c r="AH185" s="1943"/>
      <c r="AI185" s="6011"/>
      <c r="AJ185" s="3986"/>
      <c r="AK185" s="3986"/>
      <c r="AL185" s="3986" t="s">
        <v>9149</v>
      </c>
      <c r="AM185" s="3986"/>
      <c r="AN185" s="3986"/>
      <c r="AO185" s="3986"/>
      <c r="AP185" s="3986"/>
      <c r="AQ185" s="3986"/>
      <c r="AR185" s="1868"/>
      <c r="AS185" s="1868" t="s">
        <v>8868</v>
      </c>
      <c r="AT185" s="1868" t="s">
        <v>8869</v>
      </c>
      <c r="AU185" s="3986" t="s">
        <v>8857</v>
      </c>
      <c r="AV185" s="3986" t="s">
        <v>8858</v>
      </c>
      <c r="AW185" s="1868" t="s">
        <v>1359</v>
      </c>
      <c r="AX185" s="1868" t="s">
        <v>8354</v>
      </c>
      <c r="AY185" s="3986" t="s">
        <v>8355</v>
      </c>
      <c r="AZ185" s="1868"/>
      <c r="BA185" s="1868"/>
      <c r="BB185" s="1868"/>
      <c r="BC185" s="1868"/>
      <c r="BD185" s="1868"/>
      <c r="BE185" s="1868"/>
      <c r="BF185" s="1868"/>
      <c r="BG185" s="1868"/>
      <c r="BH185" s="1868"/>
      <c r="BI185" s="1868"/>
      <c r="BJ185" s="1868"/>
      <c r="BK185" s="1868"/>
      <c r="BL185" s="1868"/>
      <c r="BM185" s="1868"/>
      <c r="BN185" s="1868"/>
      <c r="BO185" s="1868"/>
      <c r="BP185" s="1868"/>
      <c r="BQ185" s="1868"/>
      <c r="BR185" s="1868"/>
    </row>
    <row r="186" spans="1:70" ht="12.2" customHeight="1">
      <c r="A186" s="1935"/>
      <c r="B186" s="1866">
        <f t="shared" si="4"/>
        <v>6</v>
      </c>
      <c r="C186" s="6009"/>
      <c r="D186" s="6015"/>
      <c r="E186" s="6016"/>
      <c r="F186" s="6016"/>
      <c r="G186" s="6016"/>
      <c r="H186" s="6016"/>
      <c r="I186" s="6016"/>
      <c r="J186" s="6016"/>
      <c r="K186" s="6017"/>
      <c r="L186" s="6017"/>
      <c r="M186" s="6017"/>
      <c r="N186" s="5877"/>
      <c r="O186" s="6017"/>
      <c r="P186" s="5991"/>
      <c r="Q186" s="5877"/>
      <c r="R186" s="5877"/>
      <c r="S186" s="5877"/>
      <c r="T186" s="5877"/>
      <c r="U186" s="5877"/>
      <c r="V186" s="1870" t="s">
        <v>8847</v>
      </c>
      <c r="W186" s="1936" t="s">
        <v>2666</v>
      </c>
      <c r="X186" s="1870" t="s">
        <v>8847</v>
      </c>
      <c r="Y186" s="1936" t="s">
        <v>2666</v>
      </c>
      <c r="Z186" s="1870" t="s">
        <v>8847</v>
      </c>
      <c r="AA186" s="1936" t="s">
        <v>2666</v>
      </c>
      <c r="AB186" s="1870" t="s">
        <v>8847</v>
      </c>
      <c r="AC186" s="1936" t="s">
        <v>2666</v>
      </c>
      <c r="AD186" s="1870" t="s">
        <v>8847</v>
      </c>
      <c r="AE186" s="1936" t="s">
        <v>2666</v>
      </c>
      <c r="AF186" s="1870" t="s">
        <v>8847</v>
      </c>
      <c r="AG186" s="1719" t="s">
        <v>2666</v>
      </c>
      <c r="AH186" s="1943"/>
      <c r="AI186" s="6011"/>
      <c r="AJ186" s="3986"/>
      <c r="AK186" s="3986" t="s">
        <v>8849</v>
      </c>
      <c r="AL186" s="3986">
        <v>1</v>
      </c>
      <c r="AM186" s="3986">
        <v>2</v>
      </c>
      <c r="AN186" s="3986">
        <v>3</v>
      </c>
      <c r="AO186" s="3986">
        <v>4</v>
      </c>
      <c r="AP186" s="3986">
        <v>5</v>
      </c>
      <c r="AQ186" s="3986">
        <v>6</v>
      </c>
      <c r="AR186" s="3986">
        <v>7</v>
      </c>
      <c r="AS186" s="1868"/>
      <c r="AT186" s="3986" t="s">
        <v>8880</v>
      </c>
      <c r="AU186" s="1868"/>
      <c r="AV186" s="1868"/>
      <c r="AW186" s="1868" t="s">
        <v>8880</v>
      </c>
      <c r="AX186" s="1868"/>
      <c r="AY186" s="3986"/>
      <c r="AZ186" s="1868"/>
      <c r="BA186" s="1868"/>
      <c r="BB186" s="1868"/>
      <c r="BC186" s="1868"/>
      <c r="BD186" s="1868"/>
      <c r="BE186" s="1868"/>
      <c r="BF186" s="1868"/>
      <c r="BG186" s="1868"/>
      <c r="BH186" s="1868"/>
      <c r="BI186" s="1868"/>
      <c r="BJ186" s="1868"/>
      <c r="BK186" s="1868"/>
      <c r="BL186" s="1868"/>
      <c r="BM186" s="1868"/>
      <c r="BN186" s="1868"/>
      <c r="BO186" s="1868"/>
      <c r="BP186" s="1868"/>
      <c r="BQ186" s="1868"/>
      <c r="BR186" s="1868"/>
    </row>
    <row r="187" spans="1:70" ht="12.2" customHeight="1">
      <c r="A187" s="1935"/>
      <c r="B187" s="1866">
        <f t="shared" si="4"/>
        <v>6</v>
      </c>
      <c r="C187" s="6009"/>
      <c r="D187" s="5981" t="s">
        <v>8356</v>
      </c>
      <c r="E187" s="5982"/>
      <c r="F187" s="5929"/>
      <c r="G187" s="5930"/>
      <c r="H187" s="5930"/>
      <c r="I187" s="5930"/>
      <c r="J187" s="5931"/>
      <c r="K187" s="5932" t="s">
        <v>1315</v>
      </c>
      <c r="L187" s="5933"/>
      <c r="M187" s="5934"/>
      <c r="N187" s="1871">
        <f>IF(AW187&gt;0,IF(VLOOKUP(F187,'Tablas Técnicas'!$O$9:$X$88,10,0),MAX(5,AW187-5),AW187),0)</f>
        <v>0</v>
      </c>
      <c r="O187" s="1871" t="str">
        <f>AS187&amp;" / "&amp;AT187</f>
        <v>0 / 0</v>
      </c>
      <c r="P187" s="1871" t="str">
        <f t="array" ref="P187">W187+Y187+AA187+AC187+AE187+AG187&amp;" / "&amp;IF(K187&lt;&gt;"Mantenido",0,SUM(IF($AL187:$AR187='Tablas Técnicas'!$L$10:$L$644,'Tablas Técnicas'!$H$10:$H$644,0)))</f>
        <v>0 / 0</v>
      </c>
      <c r="Q187" s="5983" t="str">
        <f>IFERROR(VLOOKUP(F187,'Tablas Técnicas'!$O$9:$T$88,5,FALSE),"")</f>
        <v/>
      </c>
      <c r="R187" s="5983"/>
      <c r="S187" s="5983"/>
      <c r="T187" s="5983"/>
      <c r="U187" s="5983"/>
      <c r="V187" s="1822"/>
      <c r="W187" s="1823"/>
      <c r="X187" s="1822"/>
      <c r="Y187" s="1824"/>
      <c r="Z187" s="1825"/>
      <c r="AA187" s="1823"/>
      <c r="AB187" s="1822"/>
      <c r="AC187" s="1824"/>
      <c r="AD187" s="1825"/>
      <c r="AE187" s="1823"/>
      <c r="AF187" s="1822"/>
      <c r="AG187" s="1826"/>
      <c r="AH187" s="1943"/>
      <c r="AI187" s="6011"/>
      <c r="AJ187" s="3986">
        <v>1</v>
      </c>
      <c r="AK187" s="3986">
        <f>P183</f>
        <v>1</v>
      </c>
      <c r="AL187" s="3986" t="str">
        <f>IF(AND(ISNUMBER(MATCH($F187,'Tablas Técnicas'!$L$10:$L$644,0)),INDEX($D200:$D206,Tablas!A$1)="",COUNTIF(AM187:$AS187,$F187)=0),$F187,IF(INDEX($D200:$D206,Tablas!A$1)="","",$F187&amp;INDEX($D200:$D206,Tablas!A$1)))</f>
        <v/>
      </c>
      <c r="AM187" s="3986" t="str">
        <f>IF(AND(ISNUMBER(MATCH($F187,'Tablas Técnicas'!$L$10:$L$644,0)),INDEX($D200:$D206,Tablas!B$1)="",COUNTIF(AN187:$AS187,$F187)=0),$F187,IF(INDEX($D200:$D206,Tablas!B$1)="","",$F187&amp;INDEX($D200:$D206,Tablas!B$1)))</f>
        <v/>
      </c>
      <c r="AN187" s="3986" t="str">
        <f>IF(AND(ISNUMBER(MATCH($F187,'Tablas Técnicas'!$L$10:$L$644,0)),INDEX($D200:$D206,Tablas!C$1)="",COUNTIF(AO187:$AS187,$F187)=0),$F187,IF(INDEX($D200:$D206,Tablas!C$1)="","",$F187&amp;INDEX($D200:$D206,Tablas!C$1)))</f>
        <v/>
      </c>
      <c r="AO187" s="3986" t="str">
        <f>IF(AND(ISNUMBER(MATCH($F187,'Tablas Técnicas'!$L$10:$L$644,0)),INDEX($D200:$D206,Tablas!D$1)="",COUNTIF(AP187:$AS187,$F187)=0),$F187,IF(INDEX($D200:$D206,Tablas!D$1)="","",$F187&amp;INDEX($D200:$D206,Tablas!D$1)))</f>
        <v/>
      </c>
      <c r="AP187" s="3986" t="str">
        <f>IF(AND(ISNUMBER(MATCH($F187,'Tablas Técnicas'!$L$10:$L$644,0)),INDEX($D200:$D206,Tablas!E$1)="",COUNTIF(AQ187:$AS187,$F187)=0),$F187,IF(INDEX($D200:$D206,Tablas!E$1)="","",$F187&amp;INDEX($D200:$D206,Tablas!E$1)))</f>
        <v/>
      </c>
      <c r="AQ187" s="3986" t="str">
        <f>IF(AND(ISNUMBER(MATCH($F187,'Tablas Técnicas'!$L$10:$L$644,0)),INDEX($D200:$D206,Tablas!F$1)="",COUNTIF(AR187:$AS187,$F187)=0),$F187,IF(INDEX($D200:$D206,Tablas!F$1)="","",$F187&amp;INDEX($D200:$D206,Tablas!F$1)))</f>
        <v/>
      </c>
      <c r="AR187" s="3986" t="str">
        <f>IF(AND(ISNUMBER(MATCH($F187,'Tablas Técnicas'!$L$10:$L$644,0)),INDEX($D200:$D206,Tablas!G$1)="",COUNTIF(AS187:$AS187,$F187)=0),$F187,IF(INDEX($D200:$D206,Tablas!G$1)="","",$F187&amp;INDEX($D200:$D206,Tablas!G$1)))</f>
        <v/>
      </c>
      <c r="AS187" s="1868">
        <f>V187+X187+Z187+AB187+AD187+AF187</f>
        <v>0</v>
      </c>
      <c r="AT187" s="1868">
        <f t="array" ref="AT187">SUM(IF($AL187:$AR187='Tablas Técnicas'!$L$10:$L$644,IF(D187="Primario",'Tablas Técnicas'!$E$10:$E$644,'Tablas Técnicas'!$F$10:$F$644)+IF(K187="Sostenimiento menor",'Tablas Técnicas'!$I$10:$I$644,IF(K187="sostenimiento mayor",'Tablas Técnicas'!$J$10:$J$644,0)),0),0)+VALUE(RIGHT(P187,2))+AU187+AV187</f>
        <v>0</v>
      </c>
      <c r="AU187" s="186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1868">
        <f>(COUNTIF(AL187:AR187,"*Estado añadido:*")-1)*COUNTIF(AL187:AR187,"*Estado añadido:*")</f>
        <v>0</v>
      </c>
      <c r="AW187" s="1868">
        <f t="array" ref="AW187">SUM(IF($AL187:$AR187='Tablas Técnicas'!$L$10:$L$644,'Tablas Técnicas'!$G$10:$G$644,0))</f>
        <v>0</v>
      </c>
      <c r="AX187" s="398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986" t="str">
        <f>IFERROR(LEFT(AX187,LEN(AX187)-2)&amp;"), ","")</f>
        <v/>
      </c>
      <c r="AZ187" s="1868"/>
      <c r="BA187" s="1868"/>
      <c r="BB187" s="1868"/>
      <c r="BC187" s="1868"/>
      <c r="BD187" s="1868"/>
      <c r="BE187" s="1868"/>
      <c r="BF187" s="1868"/>
      <c r="BG187" s="1868"/>
      <c r="BH187" s="1868"/>
      <c r="BI187" s="1868"/>
      <c r="BJ187" s="1868"/>
      <c r="BK187" s="1868"/>
      <c r="BL187" s="1868"/>
      <c r="BM187" s="1868"/>
      <c r="BN187" s="1868"/>
      <c r="BO187" s="1868"/>
      <c r="BP187" s="1868"/>
      <c r="BQ187" s="1868"/>
      <c r="BR187" s="1868"/>
    </row>
    <row r="188" spans="1:70" ht="12.2" customHeight="1">
      <c r="A188" s="1935"/>
      <c r="B188" s="1866">
        <f t="shared" si="4"/>
        <v>6</v>
      </c>
      <c r="C188" s="6009"/>
      <c r="D188" s="5906" t="s">
        <v>483</v>
      </c>
      <c r="E188" s="5907"/>
      <c r="F188" s="5984"/>
      <c r="G188" s="5985"/>
      <c r="H188" s="5985"/>
      <c r="I188" s="5985"/>
      <c r="J188" s="5902"/>
      <c r="K188" s="5986" t="s">
        <v>1315</v>
      </c>
      <c r="L188" s="5987"/>
      <c r="M188" s="5988"/>
      <c r="N188" s="1716">
        <f>IF(AW188&gt;0,IF(VLOOKUP(F188,'Tablas Técnicas'!$O$9:$X$88,10,0),MAX(5,AW188-5),AW188),0)</f>
        <v>0</v>
      </c>
      <c r="O188" s="1716" t="str">
        <f>AS188&amp;" / "&amp;AT188</f>
        <v>0 / 0</v>
      </c>
      <c r="P188" s="1716" t="str">
        <f t="array" ref="P188">W188+Y188+AA188+AC188+AE188+AG188&amp;" / "&amp;IF(K188&lt;&gt;"Mantenido",0,SUM(IF($AL188:$AR188='Tablas Técnicas'!$L$10:$L$644,'Tablas Técnicas'!$H$10:$H$644,0)))</f>
        <v>0 / 0</v>
      </c>
      <c r="Q188" s="5908" t="str">
        <f>IFERROR(VLOOKUP(F188,'Tablas Técnicas'!$O$9:$T$88,5,FALSE),"")</f>
        <v/>
      </c>
      <c r="R188" s="5908"/>
      <c r="S188" s="5908"/>
      <c r="T188" s="5908"/>
      <c r="U188" s="5908"/>
      <c r="V188" s="1827"/>
      <c r="W188" s="1828"/>
      <c r="X188" s="1827"/>
      <c r="Y188" s="1829"/>
      <c r="Z188" s="1830"/>
      <c r="AA188" s="1828"/>
      <c r="AB188" s="1827"/>
      <c r="AC188" s="1829"/>
      <c r="AD188" s="1830"/>
      <c r="AE188" s="1828"/>
      <c r="AF188" s="1827"/>
      <c r="AG188" s="1831"/>
      <c r="AH188" s="1943"/>
      <c r="AI188" s="6011"/>
      <c r="AJ188" s="3986">
        <v>2</v>
      </c>
      <c r="AK188" s="3986">
        <f>P183</f>
        <v>1</v>
      </c>
      <c r="AL188" s="3986" t="str">
        <f>IF(AND(ISNUMBER(MATCH($F188,'Tablas Técnicas'!$L$10:$L$644,0)),INDEX($J200:$J206,Tablas!A$1)="",COUNTIF(AM188:$AS188,$F188)=0),$F188,IF(INDEX($J200:$J206,Tablas!A$1)="","",$F188&amp;INDEX($J200:$J206,Tablas!A$1)))</f>
        <v/>
      </c>
      <c r="AM188" s="3986" t="str">
        <f>IF(AND(ISNUMBER(MATCH($F188,'Tablas Técnicas'!$L$10:$L$644,0)),INDEX($J200:$J206,Tablas!B$1)="",COUNTIF(AN188:$AS188,$F188)=0),$F188,IF(INDEX($J200:$J206,Tablas!B$1)="","",$F188&amp;INDEX($J200:$J206,Tablas!B$1)))</f>
        <v/>
      </c>
      <c r="AN188" s="3986" t="str">
        <f>IF(AND(ISNUMBER(MATCH($F188,'Tablas Técnicas'!$L$10:$L$644,0)),INDEX($J200:$J206,Tablas!C$1)="",COUNTIF(AO188:$AS188,$F188)=0),$F188,IF(INDEX($J200:$J206,Tablas!C$1)="","",$F188&amp;INDEX($J200:$J206,Tablas!C$1)))</f>
        <v/>
      </c>
      <c r="AO188" s="3986" t="str">
        <f>IF(AND(ISNUMBER(MATCH($F188,'Tablas Técnicas'!$L$10:$L$644,0)),INDEX($J200:$J206,Tablas!D$1)="",COUNTIF(AP188:$AS188,$F188)=0),$F188,IF(INDEX($J200:$J206,Tablas!D$1)="","",$F188&amp;INDEX($J200:$J206,Tablas!D$1)))</f>
        <v/>
      </c>
      <c r="AP188" s="3986" t="str">
        <f>IF(AND(ISNUMBER(MATCH($F188,'Tablas Técnicas'!$L$10:$L$644,0)),INDEX($J200:$J206,Tablas!E$1)="",COUNTIF(AQ188:$AS188,$F188)=0),$F188,IF(INDEX($J200:$J206,Tablas!E$1)="","",$F188&amp;INDEX($J200:$J206,Tablas!E$1)))</f>
        <v/>
      </c>
      <c r="AQ188" s="3986" t="str">
        <f>IF(AND(ISNUMBER(MATCH($F188,'Tablas Técnicas'!$L$10:$L$644,0)),INDEX($J200:$J206,Tablas!F$1)="",COUNTIF(AR188:$AS188,$F188)=0),$F188,IF(INDEX($J200:$J206,Tablas!F$1)="","",$F188&amp;INDEX($J200:$J206,Tablas!F$1)))</f>
        <v/>
      </c>
      <c r="AR188" s="3986" t="str">
        <f>IF(AND(ISNUMBER(MATCH($F188,'Tablas Técnicas'!$L$10:$L$644,0)),INDEX($J200:$J206,Tablas!G$1)="",COUNTIF(AS188:$AS188,$F188)=0),$F188,IF(INDEX($J200:$J206,Tablas!G$1)="","",$F188&amp;INDEX($J200:$J206,Tablas!G$1)))</f>
        <v/>
      </c>
      <c r="AS188" s="1868">
        <f>V188+X188+Z188+AB188+AD188+AF188</f>
        <v>0</v>
      </c>
      <c r="AT188" s="1868">
        <f t="array" ref="AT188">SUM(IF($AL188:$AR188='Tablas Técnicas'!$L$10:$L$644,IF(D188="Primario",'Tablas Técnicas'!$E$10:$E$644,'Tablas Técnicas'!$F$10:$F$644)+IF(K188="Sostenimiento menor",'Tablas Técnicas'!$I$10:$I$644,IF(K188="sostenimiento mayor",'Tablas Técnicas'!$J$10:$J$644,0)),0),0)+VALUE(RIGHT(P188,2))+AU188+AV188</f>
        <v>0</v>
      </c>
      <c r="AU188" s="186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1868">
        <f>(COUNTIF(AL188:AR188,"*Estado añadido:*")-1)*COUNTIF(AL188:AR188,"*Estado añadido:*")</f>
        <v>0</v>
      </c>
      <c r="AW188" s="1868">
        <f t="array" ref="AW188">SUM(IF($AL188:$AR188='Tablas Técnicas'!$L$10:$L$644,'Tablas Técnicas'!$G$10:$G$644,0))</f>
        <v>0</v>
      </c>
      <c r="AX188" s="3986"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986" t="str">
        <f>IFERROR(LEFT(AX188,LEN(AX188)-2)&amp;"), ","")</f>
        <v/>
      </c>
      <c r="AZ188" s="1868"/>
      <c r="BA188" s="1868"/>
      <c r="BB188" s="1868"/>
      <c r="BC188" s="1868"/>
      <c r="BD188" s="1868"/>
      <c r="BE188" s="1868"/>
      <c r="BF188" s="1868"/>
      <c r="BG188" s="1868"/>
      <c r="BH188" s="1868"/>
      <c r="BI188" s="1868"/>
      <c r="BJ188" s="1868"/>
      <c r="BK188" s="1868"/>
      <c r="BL188" s="1868"/>
      <c r="BM188" s="1868"/>
      <c r="BN188" s="1868"/>
      <c r="BO188" s="1868"/>
      <c r="BP188" s="1868"/>
      <c r="BQ188" s="1868"/>
      <c r="BR188" s="1868"/>
    </row>
    <row r="189" spans="1:70" ht="12.2" customHeight="1">
      <c r="A189" s="1935"/>
      <c r="B189" s="1866">
        <f t="shared" si="4"/>
        <v>6</v>
      </c>
      <c r="C189" s="6009"/>
      <c r="D189" s="6000" t="s">
        <v>483</v>
      </c>
      <c r="E189" s="6001"/>
      <c r="F189" s="5899"/>
      <c r="G189" s="5900"/>
      <c r="H189" s="5900"/>
      <c r="I189" s="5900"/>
      <c r="J189" s="5901"/>
      <c r="K189" s="5997" t="s">
        <v>1315</v>
      </c>
      <c r="L189" s="5998"/>
      <c r="M189" s="5999"/>
      <c r="N189" s="1712">
        <f>IF(AW189&gt;0,IF(VLOOKUP(F189,'Tablas Técnicas'!$O$9:$X$88,10,0),MAX(5,AW189-5),AW189),0)</f>
        <v>0</v>
      </c>
      <c r="O189" s="1712" t="str">
        <f>AS189&amp;" / "&amp;AT189</f>
        <v>0 / 0</v>
      </c>
      <c r="P189" s="1712" t="str">
        <f t="array" ref="P189">W189+Y189+AA189+AC189+AE189+AG189&amp;" / "&amp;IF(K189&lt;&gt;"Mantenido",0,SUM(IF($AL189:$AR189='Tablas Técnicas'!$L$10:$L$644,'Tablas Técnicas'!$H$10:$H$644,0)))</f>
        <v>0 / 0</v>
      </c>
      <c r="Q189" s="6002" t="str">
        <f>IFERROR(VLOOKUP(F189,'Tablas Técnicas'!$O$9:$T$88,5,FALSE),"")</f>
        <v/>
      </c>
      <c r="R189" s="6002"/>
      <c r="S189" s="6002"/>
      <c r="T189" s="6002"/>
      <c r="U189" s="6002"/>
      <c r="V189" s="1832"/>
      <c r="W189" s="1833"/>
      <c r="X189" s="1832"/>
      <c r="Y189" s="1834"/>
      <c r="Z189" s="1835"/>
      <c r="AA189" s="1833"/>
      <c r="AB189" s="1832"/>
      <c r="AC189" s="1834"/>
      <c r="AD189" s="1835"/>
      <c r="AE189" s="1833"/>
      <c r="AF189" s="1832"/>
      <c r="AG189" s="1836"/>
      <c r="AH189" s="1943"/>
      <c r="AI189" s="6011"/>
      <c r="AJ189" s="3986">
        <v>3</v>
      </c>
      <c r="AK189" s="3986">
        <f>P183</f>
        <v>1</v>
      </c>
      <c r="AL189" s="3986" t="str">
        <f>IF(AND(ISNUMBER(MATCH($F189,'Tablas Técnicas'!$L$10:$L$644,0)),INDEX($P200:$P206,Tablas!A$1)="",COUNTIF(AM189:$AS189,$F189)=0),$F189,IF(INDEX($P200:$P206,Tablas!A$1)="","",$F189&amp;INDEX($P200:$P206,Tablas!A$1)))</f>
        <v/>
      </c>
      <c r="AM189" s="3986" t="str">
        <f>IF(AND(ISNUMBER(MATCH($F189,'Tablas Técnicas'!$L$10:$L$644,0)),INDEX($P200:$P206,Tablas!B$1)="",COUNTIF(AN189:$AS189,$F189)=0),$F189,IF(INDEX($P200:$P206,Tablas!B$1)="","",$F189&amp;INDEX($P200:$P206,Tablas!B$1)))</f>
        <v/>
      </c>
      <c r="AN189" s="3986" t="str">
        <f>IF(AND(ISNUMBER(MATCH($F189,'Tablas Técnicas'!$L$10:$L$644,0)),INDEX($P200:$P206,Tablas!C$1)="",COUNTIF(AO189:$AS189,$F189)=0),$F189,IF(INDEX($P200:$P206,Tablas!C$1)="","",$F189&amp;INDEX($P200:$P206,Tablas!C$1)))</f>
        <v/>
      </c>
      <c r="AO189" s="3986" t="str">
        <f>IF(AND(ISNUMBER(MATCH($F189,'Tablas Técnicas'!$L$10:$L$644,0)),INDEX($P200:$P206,Tablas!D$1)="",COUNTIF(AP189:$AS189,$F189)=0),$F189,IF(INDEX($P200:$P206,Tablas!D$1)="","",$F189&amp;INDEX($P200:$P206,Tablas!D$1)))</f>
        <v/>
      </c>
      <c r="AP189" s="3986" t="str">
        <f>IF(AND(ISNUMBER(MATCH($F189,'Tablas Técnicas'!$L$10:$L$644,0)),INDEX($P200:$P206,Tablas!E$1)="",COUNTIF(AQ189:$AS189,$F189)=0),$F189,IF(INDEX($P200:$P206,Tablas!E$1)="","",$F189&amp;INDEX($P200:$P206,Tablas!E$1)))</f>
        <v/>
      </c>
      <c r="AQ189" s="3986" t="str">
        <f>IF(AND(ISNUMBER(MATCH($F189,'Tablas Técnicas'!$L$10:$L$644,0)),INDEX($P200:$P206,Tablas!F$1)="",COUNTIF(AR189:$AS189,$F189)=0),$F189,IF(INDEX($P200:$P206,Tablas!F$1)="","",$F189&amp;INDEX($P200:$P206,Tablas!F$1)))</f>
        <v/>
      </c>
      <c r="AR189" s="3986" t="str">
        <f>IF(AND(ISNUMBER(MATCH($F189,'Tablas Técnicas'!$L$10:$L$644,0)),INDEX($P200:$P206,Tablas!G$1)="",COUNTIF(AS189:$AS189,$F189)=0),$F189,IF(INDEX($P200:$P206,Tablas!G$1)="","",$F189&amp;INDEX($P200:$P206,Tablas!G$1)))</f>
        <v/>
      </c>
      <c r="AS189" s="1868">
        <f>V189+X189+Z189+AB189+AD189+AF189</f>
        <v>0</v>
      </c>
      <c r="AT189" s="1868">
        <f t="array" ref="AT189">SUM(IF($AL189:$AR189='Tablas Técnicas'!$L$10:$L$644,IF(D189="Primario",'Tablas Técnicas'!$E$10:$E$644,'Tablas Técnicas'!$F$10:$F$644)+IF(K189="Sostenimiento menor",'Tablas Técnicas'!$I$10:$I$644,IF(K189="sostenimiento mayor",'Tablas Técnicas'!$J$10:$J$644,0)),0),0)+VALUE(RIGHT(P189,2))+AU189+AV189</f>
        <v>0</v>
      </c>
      <c r="AU189" s="186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1868">
        <f>(COUNTIF(AL189:AR189,"*Estado añadido:*")-1)*COUNTIF(AL189:AR189,"*Estado añadido:*")</f>
        <v>0</v>
      </c>
      <c r="AW189" s="1868">
        <f t="array" ref="AW189">SUM(IF($AL189:$AR189='Tablas Técnicas'!$L$10:$L$644,'Tablas Técnicas'!$G$10:$G$644,0))</f>
        <v>0</v>
      </c>
      <c r="AX189" s="3986"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986" t="str">
        <f>IFERROR(LEFT(AX189,LEN(AX189)-2)&amp;"), ","")</f>
        <v/>
      </c>
      <c r="AZ189" s="1868"/>
      <c r="BA189" s="1868"/>
      <c r="BB189" s="1868"/>
      <c r="BC189" s="1868"/>
      <c r="BD189" s="1868"/>
      <c r="BE189" s="1868"/>
      <c r="BF189" s="1868"/>
      <c r="BG189" s="1868"/>
      <c r="BH189" s="1868"/>
      <c r="BI189" s="1868"/>
      <c r="BJ189" s="1868"/>
      <c r="BK189" s="1868"/>
      <c r="BL189" s="1868"/>
      <c r="BM189" s="1868"/>
      <c r="BN189" s="1868"/>
      <c r="BO189" s="1868"/>
      <c r="BP189" s="1868"/>
      <c r="BQ189" s="1868"/>
      <c r="BR189" s="1868"/>
    </row>
    <row r="190" spans="1:70" ht="12.2" customHeight="1">
      <c r="A190" s="1935"/>
      <c r="B190" s="1866">
        <f t="shared" si="4"/>
        <v>6</v>
      </c>
      <c r="C190" s="6009"/>
      <c r="D190" s="5906" t="s">
        <v>483</v>
      </c>
      <c r="E190" s="5907"/>
      <c r="F190" s="5984"/>
      <c r="G190" s="5985"/>
      <c r="H190" s="5985"/>
      <c r="I190" s="5985"/>
      <c r="J190" s="5902"/>
      <c r="K190" s="5986" t="s">
        <v>1315</v>
      </c>
      <c r="L190" s="5987"/>
      <c r="M190" s="5988"/>
      <c r="N190" s="1716">
        <f>IF(AW190&gt;0,IF(VLOOKUP(F190,'Tablas Técnicas'!$O$9:$X$88,10,0),MAX(5,AW190-5),AW190),0)</f>
        <v>0</v>
      </c>
      <c r="O190" s="1716" t="str">
        <f>AS190&amp;" / "&amp;AT190</f>
        <v>0 / 0</v>
      </c>
      <c r="P190" s="1716" t="str">
        <f t="array" ref="P190">W190+Y190+AA190+AC190+AE190+AG190&amp;" / "&amp;IF(K190&lt;&gt;"Mantenido",0,SUM(IF($AL190:$AR190='Tablas Técnicas'!$L$10:$L$644,'Tablas Técnicas'!$H$10:$H$644,0)))</f>
        <v>0 / 0</v>
      </c>
      <c r="Q190" s="5908" t="str">
        <f>IFERROR(VLOOKUP(F190,'Tablas Técnicas'!$O$9:$T$88,5,FALSE),"")</f>
        <v/>
      </c>
      <c r="R190" s="5908"/>
      <c r="S190" s="5908"/>
      <c r="T190" s="5908"/>
      <c r="U190" s="5908"/>
      <c r="V190" s="1827"/>
      <c r="W190" s="1828"/>
      <c r="X190" s="1827"/>
      <c r="Y190" s="1829"/>
      <c r="Z190" s="1830"/>
      <c r="AA190" s="1828"/>
      <c r="AB190" s="1827"/>
      <c r="AC190" s="1829"/>
      <c r="AD190" s="1830"/>
      <c r="AE190" s="1828"/>
      <c r="AF190" s="1827"/>
      <c r="AG190" s="1831"/>
      <c r="AH190" s="1943"/>
      <c r="AI190" s="6011"/>
      <c r="AJ190" s="3986">
        <v>4</v>
      </c>
      <c r="AK190" s="3986">
        <f>P183</f>
        <v>1</v>
      </c>
      <c r="AL190" s="3986" t="str">
        <f>IF(AND(ISNUMBER(MATCH($F190,'Tablas Técnicas'!$L$10:$L$644,0)),INDEX($V200:$V206,Tablas!A$1)="",COUNTIF(AM190:$AS190,$F190)=0),$F190,IF(INDEX($V200:$V206,Tablas!A$1)="","",$F190&amp;INDEX($V200:$V206,Tablas!A$1)))</f>
        <v/>
      </c>
      <c r="AM190" s="3986" t="str">
        <f>IF(AND(ISNUMBER(MATCH($F190,'Tablas Técnicas'!$L$10:$L$644,0)),INDEX($V200:$V206,Tablas!B$1)="",COUNTIF(AN190:$AS190,$F190)=0),$F190,IF(INDEX($V200:$V206,Tablas!B$1)="","",$F190&amp;INDEX($V200:$V206,Tablas!B$1)))</f>
        <v/>
      </c>
      <c r="AN190" s="3986" t="str">
        <f>IF(AND(ISNUMBER(MATCH($F190,'Tablas Técnicas'!$L$10:$L$644,0)),INDEX($V200:$V206,Tablas!C$1)="",COUNTIF(AO190:$AS190,$F190)=0),$F190,IF(INDEX($V200:$V206,Tablas!C$1)="","",$F190&amp;INDEX($V200:$V206,Tablas!C$1)))</f>
        <v/>
      </c>
      <c r="AO190" s="3986" t="str">
        <f>IF(AND(ISNUMBER(MATCH($F190,'Tablas Técnicas'!$L$10:$L$644,0)),INDEX($V200:$V206,Tablas!D$1)="",COUNTIF(AP190:$AS190,$F190)=0),$F190,IF(INDEX($V200:$V206,Tablas!D$1)="","",$F190&amp;INDEX($V200:$V206,Tablas!D$1)))</f>
        <v/>
      </c>
      <c r="AP190" s="3986" t="str">
        <f>IF(AND(ISNUMBER(MATCH($F190,'Tablas Técnicas'!$L$10:$L$644,0)),INDEX($V200:$V206,Tablas!E$1)="",COUNTIF(AQ190:$AS190,$F190)=0),$F190,IF(INDEX($V200:$V206,Tablas!E$1)="","",$F190&amp;INDEX($V200:$V206,Tablas!E$1)))</f>
        <v/>
      </c>
      <c r="AQ190" s="3986" t="str">
        <f>IF(AND(ISNUMBER(MATCH($F190,'Tablas Técnicas'!$L$10:$L$644,0)),INDEX($V200:$V206,Tablas!F$1)="",COUNTIF(AR190:$AS190,$F190)=0),$F190,IF(INDEX($V200:$V206,Tablas!F$1)="","",$F190&amp;INDEX($V200:$V206,Tablas!F$1)))</f>
        <v/>
      </c>
      <c r="AR190" s="3986" t="str">
        <f>IF(AND(ISNUMBER(MATCH($F190,'Tablas Técnicas'!$L$10:$L$644,0)),INDEX($V200:$V206,Tablas!G$1)="",COUNTIF(AS190:$AS190,$F190)=0),$F190,IF(INDEX($V200:$V206,Tablas!G$1)="","",$F190&amp;INDEX($V200:$V206,Tablas!G$1)))</f>
        <v/>
      </c>
      <c r="AS190" s="1868">
        <f>V190+X190+Z190+AB190+AD190+AF190</f>
        <v>0</v>
      </c>
      <c r="AT190" s="1868">
        <f t="array" ref="AT190">SUM(IF($AL190:$AR190='Tablas Técnicas'!$L$10:$L$644,IF(D190="Primario",'Tablas Técnicas'!$E$10:$E$644,'Tablas Técnicas'!$F$10:$F$644)+IF(K190="Sostenimiento menor",'Tablas Técnicas'!$I$10:$I$644,IF(K190="sostenimiento mayor",'Tablas Técnicas'!$J$10:$J$644,0)),0),0)+VALUE(RIGHT(P190,2))+AU190+AV190</f>
        <v>0</v>
      </c>
      <c r="AU190" s="186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1868">
        <f>(COUNTIF(AL190:AR190,"*Estado añadido:*")-1)*COUNTIF(AL190:AR190,"*Estado añadido:*")</f>
        <v>0</v>
      </c>
      <c r="AW190" s="1868">
        <f t="array" ref="AW190">SUM(IF($AL190:$AR190='Tablas Técnicas'!$L$10:$L$644,'Tablas Técnicas'!$G$10:$G$644,0))</f>
        <v>0</v>
      </c>
      <c r="AX190" s="3986"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986" t="str">
        <f>IFERROR(LEFT(AX190,LEN(AX190)-2)&amp;"), ","")</f>
        <v/>
      </c>
      <c r="AZ190" s="1868"/>
      <c r="BA190" s="1868"/>
      <c r="BB190" s="1868"/>
      <c r="BC190" s="1868"/>
      <c r="BD190" s="1868"/>
      <c r="BE190" s="1868"/>
      <c r="BF190" s="1868"/>
      <c r="BG190" s="1868"/>
      <c r="BH190" s="1868"/>
      <c r="BI190" s="1868"/>
      <c r="BJ190" s="1868"/>
      <c r="BK190" s="1868"/>
      <c r="BL190" s="1868"/>
      <c r="BM190" s="1868"/>
      <c r="BN190" s="1868"/>
      <c r="BO190" s="1868"/>
      <c r="BP190" s="1868"/>
      <c r="BQ190" s="1868"/>
      <c r="BR190" s="1868"/>
    </row>
    <row r="191" spans="1:70" ht="12.2" customHeight="1" thickBot="1">
      <c r="A191" s="1935"/>
      <c r="B191" s="1866">
        <f t="shared" si="4"/>
        <v>6</v>
      </c>
      <c r="C191" s="6009"/>
      <c r="D191" s="5909" t="s">
        <v>483</v>
      </c>
      <c r="E191" s="5910"/>
      <c r="F191" s="6005"/>
      <c r="G191" s="6006"/>
      <c r="H191" s="6006"/>
      <c r="I191" s="6006"/>
      <c r="J191" s="6007"/>
      <c r="K191" s="5994" t="s">
        <v>1315</v>
      </c>
      <c r="L191" s="5995"/>
      <c r="M191" s="5996"/>
      <c r="N191" s="1937">
        <f>IF(AW191&gt;0,IF(VLOOKUP(F191,'Tablas Técnicas'!$O$9:$X$88,10,0),MAX(5,AW191-5),AW191),0)</f>
        <v>0</v>
      </c>
      <c r="O191" s="1937" t="str">
        <f>AS191&amp;" / "&amp;AT191</f>
        <v>0 / 0</v>
      </c>
      <c r="P191" s="1937" t="str">
        <f t="array" ref="P191">W191+Y191+AA191+AC191+AE191+AG191&amp;" / "&amp;IF(K191&lt;&gt;"Mantenido",0,SUM(IF($AL191:$AR191='Tablas Técnicas'!$L$10:$L$644,'Tablas Técnicas'!$H$10:$H$644,0)))</f>
        <v>0 / 0</v>
      </c>
      <c r="Q191" s="5960" t="str">
        <f>IFERROR(VLOOKUP(F191,'Tablas Técnicas'!$O$9:$T$88,5,FALSE),"")</f>
        <v/>
      </c>
      <c r="R191" s="5960"/>
      <c r="S191" s="5960"/>
      <c r="T191" s="5960"/>
      <c r="U191" s="5960"/>
      <c r="V191" s="1837"/>
      <c r="W191" s="1838"/>
      <c r="X191" s="1837"/>
      <c r="Y191" s="1839"/>
      <c r="Z191" s="1840"/>
      <c r="AA191" s="1838"/>
      <c r="AB191" s="1837"/>
      <c r="AC191" s="1839"/>
      <c r="AD191" s="1840"/>
      <c r="AE191" s="1838"/>
      <c r="AF191" s="1837"/>
      <c r="AG191" s="1841"/>
      <c r="AH191" s="1943"/>
      <c r="AI191" s="6011"/>
      <c r="AJ191" s="3986">
        <v>5</v>
      </c>
      <c r="AK191" s="3986">
        <f>P183</f>
        <v>1</v>
      </c>
      <c r="AL191" s="3986" t="str">
        <f>IF(AND(ISNUMBER(MATCH($F191,'Tablas Técnicas'!$L$10:$L$644,0)),INDEX($AB200:$AB206,Tablas!A$1)="",COUNTIF(AM191:$AS191,$F191)=0),$F191,IF(INDEX($AB200:$AB206,Tablas!A$1)="","",$F191&amp;INDEX($AB200:$AB206,Tablas!A$1)))</f>
        <v/>
      </c>
      <c r="AM191" s="3986" t="str">
        <f>IF(AND(ISNUMBER(MATCH($F191,'Tablas Técnicas'!$L$10:$L$644,0)),INDEX($AB200:$AB206,Tablas!B$1)="",COUNTIF(AN191:$AS191,$F191)=0),$F191,IF(INDEX($AB200:$AB206,Tablas!B$1)="","",$F191&amp;INDEX($AB200:$AB206,Tablas!B$1)))</f>
        <v/>
      </c>
      <c r="AN191" s="3986" t="str">
        <f>IF(AND(ISNUMBER(MATCH($F191,'Tablas Técnicas'!$L$10:$L$644,0)),INDEX($AB200:$AB206,Tablas!C$1)="",COUNTIF(AO191:$AS191,$F191)=0),$F191,IF(INDEX($AB200:$AB206,Tablas!C$1)="","",$F191&amp;INDEX($AB200:$AB206,Tablas!C$1)))</f>
        <v/>
      </c>
      <c r="AO191" s="3986" t="str">
        <f>IF(AND(ISNUMBER(MATCH($F191,'Tablas Técnicas'!$L$10:$L$644,0)),INDEX($AB200:$AB206,Tablas!D$1)="",COUNTIF(AP191:$AS191,$F191)=0),$F191,IF(INDEX($AB200:$AB206,Tablas!D$1)="","",$F191&amp;INDEX($AB200:$AB206,Tablas!D$1)))</f>
        <v/>
      </c>
      <c r="AP191" s="3986" t="str">
        <f>IF(AND(ISNUMBER(MATCH($F191,'Tablas Técnicas'!$L$10:$L$644,0)),INDEX($AB200:$AB206,Tablas!E$1)="",COUNTIF(AQ191:$AS191,$F191)=0),$F191,IF(INDEX($AB200:$AB206,Tablas!E$1)="","",$F191&amp;INDEX($AB200:$AB206,Tablas!E$1)))</f>
        <v/>
      </c>
      <c r="AQ191" s="3986" t="str">
        <f>IF(AND(ISNUMBER(MATCH($F191,'Tablas Técnicas'!$L$10:$L$644,0)),INDEX($AB200:$AB206,Tablas!F$1)="",COUNTIF(AR191:$AS191,$F191)=0),$F191,IF(INDEX($AB200:$AB206,Tablas!F$1)="","",$F191&amp;INDEX($AB200:$AB206,Tablas!F$1)))</f>
        <v/>
      </c>
      <c r="AR191" s="3986" t="str">
        <f>IF(AND(ISNUMBER(MATCH($F191,'Tablas Técnicas'!$L$10:$L$644,0)),INDEX($AB200:$AB206,Tablas!G$1)="",COUNTIF(AS191:$AS191,$F191)=0),$F191,IF(INDEX($AB200:$AB206,Tablas!G$1)="","",$F191&amp;INDEX($AB200:$AB206,Tablas!G$1)))</f>
        <v/>
      </c>
      <c r="AS191" s="1868">
        <f>V191+X191+Z191+AB191+AD191+AF191</f>
        <v>0</v>
      </c>
      <c r="AT191" s="1868">
        <f t="array" ref="AT191">SUM(IF($AL191:$AR191='Tablas Técnicas'!$L$10:$L$644,IF(D191="Primario",'Tablas Técnicas'!$E$10:$E$644,'Tablas Técnicas'!$F$10:$F$644)+IF(K191="Sostenimiento menor",'Tablas Técnicas'!$I$10:$I$644,IF(K191="sostenimiento mayor",'Tablas Técnicas'!$J$10:$J$644,0)),0),0)+VALUE(RIGHT(P191,2))+AU191+AV191</f>
        <v>0</v>
      </c>
      <c r="AU191" s="186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1868">
        <f>(COUNTIF(AL191:AR191,"*Estado añadido:*")-1)*COUNTIF(AL191:AR191,"*Estado añadido:*")</f>
        <v>0</v>
      </c>
      <c r="AW191" s="1868">
        <f t="array" ref="AW191">SUM(IF($AL191:$AR191='Tablas Técnicas'!$L$10:$L$644,'Tablas Técnicas'!$G$10:$G$644,0))</f>
        <v>0</v>
      </c>
      <c r="AX191" s="3986"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986" t="str">
        <f>IFERROR(LEFT(AX191,LEN(AX191)-2)&amp;"), ","")</f>
        <v/>
      </c>
      <c r="AZ191" s="1868"/>
      <c r="BA191" s="1868"/>
      <c r="BB191" s="1868"/>
      <c r="BC191" s="1868"/>
      <c r="BD191" s="1868"/>
      <c r="BE191" s="1868"/>
      <c r="BF191" s="1868"/>
      <c r="BG191" s="1868"/>
      <c r="BH191" s="1868"/>
      <c r="BI191" s="1868"/>
      <c r="BJ191" s="1868"/>
      <c r="BK191" s="1868"/>
      <c r="BL191" s="1868"/>
      <c r="BM191" s="1868"/>
      <c r="BN191" s="1868"/>
      <c r="BO191" s="1868"/>
      <c r="BP191" s="1868"/>
      <c r="BQ191" s="1868"/>
      <c r="BR191" s="1868"/>
    </row>
    <row r="192" spans="1:70" ht="12.2" customHeight="1">
      <c r="A192" s="1935"/>
      <c r="B192" s="1866">
        <f t="shared" si="4"/>
        <v>6</v>
      </c>
      <c r="C192" s="6009"/>
      <c r="D192" s="5961" t="s">
        <v>2657</v>
      </c>
      <c r="E192" s="5962"/>
      <c r="F192" s="5957"/>
      <c r="G192" s="5958"/>
      <c r="H192" s="5958"/>
      <c r="I192" s="5958"/>
      <c r="J192" s="5959"/>
      <c r="K192" s="5931"/>
      <c r="L192" s="5937"/>
      <c r="M192" s="5938"/>
      <c r="N192" s="4286" t="str">
        <f>IFERROR(INDEX('Tablas Técnicas'!$Q$152:$Q$267,MATCH(F192&amp;K192,'Tablas Técnicas'!$S$152:$S$267,0)),"")</f>
        <v/>
      </c>
      <c r="O192" s="5939"/>
      <c r="P192" s="5940"/>
      <c r="Q192" s="5941"/>
      <c r="R192" s="5940"/>
      <c r="S192" s="4287" t="str">
        <f>IFERROR("Nivel: "&amp;MAX(1,INDEX('Tablas Técnicas'!$R$152:$R$267,MATCH(F192&amp;K192,'Tablas Técnicas'!$S$152:$S$267,0))),"")</f>
        <v/>
      </c>
      <c r="T192" s="4288"/>
      <c r="U192" s="4289" t="str">
        <f>IFERROR("("&amp;VLOOKUP(F192,'Tablas Técnicas'!$O$117:$Q$146,3,FALSE)&amp;")","")</f>
        <v/>
      </c>
      <c r="V192" s="5857" t="s">
        <v>9159</v>
      </c>
      <c r="W192" s="5858"/>
      <c r="X192" s="5859"/>
      <c r="Y192" s="2046">
        <v>0</v>
      </c>
      <c r="Z192" s="5860" t="s">
        <v>8361</v>
      </c>
      <c r="AA192" s="5861"/>
      <c r="AB192" s="5862"/>
      <c r="AC192" s="2046">
        <v>0</v>
      </c>
      <c r="AD192" s="5894" t="str">
        <f>"Ki sin repartir: "&amp;AL200-AL201&amp;IF(AM200=0,""," ("&amp;AM200-AM201&amp;")")</f>
        <v>Ki sin repartir: 0</v>
      </c>
      <c r="AE192" s="5895"/>
      <c r="AF192" s="5895"/>
      <c r="AG192" s="5896"/>
      <c r="AH192" s="1943"/>
      <c r="AI192" s="6011"/>
      <c r="AJ192" s="3986">
        <v>1</v>
      </c>
      <c r="AK192" s="3986">
        <f>P183</f>
        <v>1</v>
      </c>
      <c r="AL192" s="3986" t="e">
        <f>VLOOKUP(F192,'Tablas Técnicas'!$O$117:$Q$146,2,FALSE)</f>
        <v>#N/A</v>
      </c>
      <c r="AM192" s="3986"/>
      <c r="AN192" s="3987"/>
      <c r="AO192" s="3986"/>
      <c r="AP192" s="3986"/>
      <c r="AQ192" s="3987"/>
      <c r="AR192" s="3986"/>
      <c r="AS192" s="3986"/>
      <c r="AT192" s="3986"/>
      <c r="AU192" s="3986"/>
      <c r="AV192" s="3986"/>
      <c r="AW192" s="1868"/>
      <c r="AX192" s="1868"/>
      <c r="AY192" s="3986" t="str">
        <f>IF(F192="","",F192&amp;IF(K192="",""," ("&amp;IF(F192="Atadura Elemental",O192&amp;IF(Q192="","",", "&amp;Q192),K192)&amp;")")&amp;", ")</f>
        <v/>
      </c>
      <c r="AZ192" s="1868"/>
      <c r="BA192" s="1868"/>
      <c r="BB192" s="1868"/>
      <c r="BC192" s="1868"/>
      <c r="BD192" s="1868"/>
      <c r="BE192" s="1868"/>
      <c r="BF192" s="1868"/>
      <c r="BG192" s="1868"/>
      <c r="BH192" s="1868"/>
      <c r="BI192" s="1868"/>
      <c r="BJ192" s="1868"/>
      <c r="BK192" s="1868"/>
      <c r="BL192" s="1868"/>
      <c r="BM192" s="1868"/>
      <c r="BN192" s="1868"/>
      <c r="BO192" s="1868"/>
      <c r="BP192" s="1868"/>
      <c r="BQ192" s="1868"/>
      <c r="BR192" s="1868"/>
    </row>
    <row r="193" spans="1:70" ht="12.2" customHeight="1">
      <c r="A193" s="1935"/>
      <c r="B193" s="1866">
        <f t="shared" si="4"/>
        <v>6</v>
      </c>
      <c r="C193" s="6009"/>
      <c r="D193" s="5963"/>
      <c r="E193" s="5964"/>
      <c r="F193" s="5942"/>
      <c r="G193" s="5943"/>
      <c r="H193" s="5943"/>
      <c r="I193" s="5943"/>
      <c r="J193" s="5944"/>
      <c r="K193" s="5902"/>
      <c r="L193" s="5903"/>
      <c r="M193" s="5904"/>
      <c r="N193" s="1720" t="str">
        <f>IFERROR(INDEX('Tablas Técnicas'!$Q$152:$Q$267,MATCH(F193&amp;K193,'Tablas Técnicas'!$S$152:$S$267,0)),"")</f>
        <v/>
      </c>
      <c r="O193" s="5945"/>
      <c r="P193" s="5946"/>
      <c r="Q193" s="5947"/>
      <c r="R193" s="5946"/>
      <c r="S193" s="1716" t="str">
        <f>IFERROR("Nivel: "&amp;MAX(1,INDEX('Tablas Técnicas'!$R$152:$R$267,MATCH(F193&amp;K193,'Tablas Técnicas'!$S$152:$S$267,0))),"")</f>
        <v/>
      </c>
      <c r="T193" s="2172"/>
      <c r="U193" s="1715" t="str">
        <f>IFERROR("("&amp;VLOOKUP(F193,'Tablas Técnicas'!$O$117:$Q$146,3,FALSE)&amp;")","")</f>
        <v/>
      </c>
      <c r="V193" s="5854" t="str">
        <f>"Mod. "&amp;V185</f>
        <v>Mod. AGI</v>
      </c>
      <c r="W193" s="5855"/>
      <c r="X193" s="5854" t="str">
        <f>"Mod. "&amp;X185</f>
        <v>Mod. CON</v>
      </c>
      <c r="Y193" s="5855"/>
      <c r="Z193" s="5854" t="str">
        <f>"Mod. "&amp;Z185</f>
        <v>Mod. DES</v>
      </c>
      <c r="AA193" s="5855"/>
      <c r="AB193" s="5854" t="str">
        <f>"Mod. "&amp;AB185</f>
        <v>Mod. FUE</v>
      </c>
      <c r="AC193" s="5855"/>
      <c r="AD193" s="5854" t="str">
        <f>"Mod. "&amp;AD185</f>
        <v>Mod. POD</v>
      </c>
      <c r="AE193" s="5855"/>
      <c r="AF193" s="5854" t="str">
        <f>"Mod. "&amp;AF185</f>
        <v>Mod. VOL</v>
      </c>
      <c r="AG193" s="5856"/>
      <c r="AH193" s="1943"/>
      <c r="AI193" s="6011"/>
      <c r="AJ193" s="3986">
        <v>2</v>
      </c>
      <c r="AK193" s="3986">
        <f>P183</f>
        <v>1</v>
      </c>
      <c r="AL193" s="3986" t="e">
        <f>VLOOKUP(F193,'Tablas Técnicas'!$O$117:$Q$146,2,FALSE)</f>
        <v>#N/A</v>
      </c>
      <c r="AM193" s="3986"/>
      <c r="AN193" s="3987"/>
      <c r="AO193" s="3986"/>
      <c r="AP193" s="3986"/>
      <c r="AQ193" s="3987"/>
      <c r="AR193" s="3986"/>
      <c r="AS193" s="3986"/>
      <c r="AT193" s="3986"/>
      <c r="AU193" s="3986"/>
      <c r="AV193" s="3986"/>
      <c r="AW193" s="1868"/>
      <c r="AX193" s="1868"/>
      <c r="AY193" s="3986" t="str">
        <f>IF(F193="","",F193&amp;IF(K193="",""," ("&amp;IF(F193="Atadura Elemental",O193&amp;IF(Q193="","",", "&amp;Q193),K193)&amp;")")&amp;", ")</f>
        <v/>
      </c>
      <c r="AZ193" s="1868"/>
      <c r="BA193" s="1868"/>
      <c r="BB193" s="1868"/>
      <c r="BC193" s="1868"/>
      <c r="BD193" s="1868"/>
      <c r="BE193" s="1868"/>
      <c r="BF193" s="1868"/>
      <c r="BG193" s="1868"/>
      <c r="BH193" s="1868"/>
      <c r="BI193" s="1868"/>
      <c r="BJ193" s="1868"/>
      <c r="BK193" s="1868"/>
      <c r="BL193" s="1868"/>
      <c r="BM193" s="1868"/>
      <c r="BN193" s="1868"/>
      <c r="BO193" s="1868"/>
      <c r="BP193" s="1868"/>
      <c r="BQ193" s="1868"/>
      <c r="BR193" s="1868"/>
    </row>
    <row r="194" spans="1:70" ht="12.2" customHeight="1" thickBot="1">
      <c r="A194" s="1935"/>
      <c r="B194" s="1866">
        <f t="shared" si="4"/>
        <v>6</v>
      </c>
      <c r="C194" s="6009"/>
      <c r="D194" s="5965"/>
      <c r="E194" s="5966"/>
      <c r="F194" s="5948"/>
      <c r="G194" s="5949"/>
      <c r="H194" s="5949"/>
      <c r="I194" s="5949"/>
      <c r="J194" s="5950"/>
      <c r="K194" s="5951"/>
      <c r="L194" s="5952"/>
      <c r="M194" s="5953"/>
      <c r="N194" s="4290" t="str">
        <f>IFERROR(INDEX('Tablas Técnicas'!$Q$152:$Q$267,MATCH(F194&amp;K194,'Tablas Técnicas'!$S$152:$S$267,0)),"")</f>
        <v/>
      </c>
      <c r="O194" s="5954"/>
      <c r="P194" s="5955"/>
      <c r="Q194" s="5956"/>
      <c r="R194" s="5955"/>
      <c r="S194" s="4291" t="str">
        <f>IFERROR("Nivel: "&amp;MAX(1,INDEX('Tablas Técnicas'!$R$152:$R$267,MATCH(F194&amp;K194,'Tablas Técnicas'!$S$152:$S$267,0))),"")</f>
        <v/>
      </c>
      <c r="T194" s="4292"/>
      <c r="U194" s="1807" t="str">
        <f>IFERROR("("&amp;VLOOKUP(F194,'Tablas Técnicas'!$O$117:$Q$146,3,FALSE)&amp;")","")</f>
        <v/>
      </c>
      <c r="V194" s="5864"/>
      <c r="W194" s="5863"/>
      <c r="X194" s="5863"/>
      <c r="Y194" s="5863"/>
      <c r="Z194" s="5863"/>
      <c r="AA194" s="5863"/>
      <c r="AB194" s="5863"/>
      <c r="AC194" s="5863"/>
      <c r="AD194" s="5863"/>
      <c r="AE194" s="5863"/>
      <c r="AF194" s="5863"/>
      <c r="AG194" s="5905"/>
      <c r="AH194" s="1943"/>
      <c r="AI194" s="6011"/>
      <c r="AJ194" s="3986">
        <v>3</v>
      </c>
      <c r="AK194" s="3986">
        <f>P183</f>
        <v>1</v>
      </c>
      <c r="AL194" s="3986" t="e">
        <f>VLOOKUP(F194,'Tablas Técnicas'!$O$117:$Q$146,2,FALSE)</f>
        <v>#N/A</v>
      </c>
      <c r="AM194" s="3986"/>
      <c r="AN194" s="3987"/>
      <c r="AO194" s="3986"/>
      <c r="AP194" s="3986"/>
      <c r="AQ194" s="3987"/>
      <c r="AR194" s="1868"/>
      <c r="AS194" s="1868"/>
      <c r="AT194" s="1868"/>
      <c r="AU194" s="1868"/>
      <c r="AV194" s="1868"/>
      <c r="AW194" s="1868"/>
      <c r="AX194" s="1868"/>
      <c r="AY194" s="3986" t="str">
        <f>IF(F194="","",F194&amp;IF(K194="",""," ("&amp;IF(F194="Atadura Elemental",O194&amp;IF(Q194="","",", "&amp;Q194),K194)&amp;")")&amp;", ")</f>
        <v/>
      </c>
      <c r="AZ194" s="1868"/>
      <c r="BA194" s="1868"/>
      <c r="BB194" s="1868"/>
      <c r="BC194" s="1868"/>
      <c r="BD194" s="1868"/>
      <c r="BE194" s="1868"/>
      <c r="BF194" s="1868"/>
      <c r="BG194" s="1868"/>
      <c r="BH194" s="1868"/>
      <c r="BI194" s="1868"/>
      <c r="BJ194" s="1868"/>
      <c r="BK194" s="1868"/>
      <c r="BL194" s="1868"/>
      <c r="BM194" s="1868"/>
      <c r="BN194" s="1868"/>
      <c r="BO194" s="1868"/>
      <c r="BP194" s="1868"/>
      <c r="BQ194" s="1868"/>
      <c r="BR194" s="1868"/>
    </row>
    <row r="195" spans="1:70" ht="12.2" customHeight="1">
      <c r="A195" s="1935"/>
      <c r="B195" s="1866">
        <f t="shared" si="4"/>
        <v>6</v>
      </c>
      <c r="C195" s="6009"/>
      <c r="D195" s="5873" t="s">
        <v>8842</v>
      </c>
      <c r="E195" s="5874"/>
      <c r="F195" s="5874"/>
      <c r="G195" s="5874"/>
      <c r="H195" s="5874"/>
      <c r="I195" s="5874"/>
      <c r="J195" s="5874"/>
      <c r="K195" s="5874"/>
      <c r="L195" s="5874"/>
      <c r="M195" s="5874"/>
      <c r="N195" s="5874"/>
      <c r="O195" s="5874"/>
      <c r="P195" s="5874"/>
      <c r="Q195" s="5874"/>
      <c r="R195" s="5874"/>
      <c r="S195" s="5874"/>
      <c r="T195" s="5874"/>
      <c r="U195" s="5874"/>
      <c r="V195" s="5877"/>
      <c r="W195" s="5877"/>
      <c r="X195" s="5877"/>
      <c r="Y195" s="5877"/>
      <c r="Z195" s="5877"/>
      <c r="AA195" s="5877"/>
      <c r="AB195" s="5877"/>
      <c r="AC195" s="5877"/>
      <c r="AD195" s="5877"/>
      <c r="AE195" s="5877"/>
      <c r="AF195" s="5877"/>
      <c r="AG195" s="5878"/>
      <c r="AH195" s="1943"/>
      <c r="AI195" s="6011"/>
      <c r="AJ195" s="3986"/>
      <c r="AK195" s="3986"/>
      <c r="AL195" s="3986"/>
      <c r="AM195" s="3986"/>
      <c r="AN195" s="3987" t="s">
        <v>8362</v>
      </c>
      <c r="AO195" s="3986" t="e">
        <f>LEFT(AY187&amp;AY188&amp;AY189&amp;AY190&amp;AY191,LEN(AY187&amp;AY188&amp;AY189&amp;AY190&amp;AY191)-2)</f>
        <v>#VALUE!</v>
      </c>
      <c r="AP195" s="3986"/>
      <c r="AQ195" s="3987"/>
      <c r="AR195" s="1868"/>
      <c r="AS195" s="1868"/>
      <c r="AT195" s="1868"/>
      <c r="AU195" s="3987"/>
      <c r="AV195" s="3987"/>
      <c r="AW195" s="1868"/>
      <c r="AX195" s="1868"/>
      <c r="AY195" s="3986"/>
      <c r="AZ195" s="1868"/>
      <c r="BA195" s="1868"/>
      <c r="BB195" s="1868"/>
      <c r="BC195" s="1868"/>
      <c r="BD195" s="1868"/>
      <c r="BE195" s="1868"/>
      <c r="BF195" s="1868"/>
      <c r="BG195" s="1868"/>
      <c r="BH195" s="1868"/>
      <c r="BI195" s="1868"/>
      <c r="BJ195" s="1868"/>
      <c r="BK195" s="1868"/>
      <c r="BL195" s="1868"/>
      <c r="BM195" s="1868"/>
      <c r="BN195" s="1868"/>
      <c r="BO195" s="1868"/>
      <c r="BP195" s="1868"/>
      <c r="BQ195" s="1868"/>
      <c r="BR195" s="1868"/>
    </row>
    <row r="196" spans="1:70" ht="12.2" customHeight="1">
      <c r="A196" s="1935"/>
      <c r="B196" s="1866">
        <f t="shared" si="4"/>
        <v>6</v>
      </c>
      <c r="C196" s="6009"/>
      <c r="D196" s="5865" t="str">
        <f>IF(F187="","",F187)</f>
        <v/>
      </c>
      <c r="E196" s="5866"/>
      <c r="F196" s="5866"/>
      <c r="G196" s="5866"/>
      <c r="H196" s="5866"/>
      <c r="I196" s="5867"/>
      <c r="J196" s="5865" t="str">
        <f>IF(F188="","",F188)</f>
        <v/>
      </c>
      <c r="K196" s="5866"/>
      <c r="L196" s="5866"/>
      <c r="M196" s="5866"/>
      <c r="N196" s="5866"/>
      <c r="O196" s="5867"/>
      <c r="P196" s="5866" t="str">
        <f>IF(F189="","",F189)</f>
        <v/>
      </c>
      <c r="Q196" s="5866"/>
      <c r="R196" s="5866"/>
      <c r="S196" s="5866"/>
      <c r="T196" s="5866"/>
      <c r="U196" s="5867"/>
      <c r="V196" s="5865" t="str">
        <f>IF(F190="","",F190)</f>
        <v/>
      </c>
      <c r="W196" s="5866"/>
      <c r="X196" s="5866"/>
      <c r="Y196" s="5866"/>
      <c r="Z196" s="5866"/>
      <c r="AA196" s="5867"/>
      <c r="AB196" s="5866" t="str">
        <f>IF(F191="","",F191)</f>
        <v/>
      </c>
      <c r="AC196" s="5866"/>
      <c r="AD196" s="5866"/>
      <c r="AE196" s="5866"/>
      <c r="AF196" s="5866"/>
      <c r="AG196" s="5928"/>
      <c r="AH196" s="1943"/>
      <c r="AI196" s="6011"/>
      <c r="AJ196" s="3986"/>
      <c r="AK196" s="3986"/>
      <c r="AL196" s="3986"/>
      <c r="AM196" s="3986"/>
      <c r="AN196" s="3987" t="s">
        <v>8363</v>
      </c>
      <c r="AO196" s="3986" t="e">
        <f>LEFT(AY192&amp;AY193&amp;AY194,LEN(AY192&amp;AY193&amp;AY194)-2)</f>
        <v>#VALUE!</v>
      </c>
      <c r="AP196" s="3986"/>
      <c r="AQ196" s="3987"/>
      <c r="AR196" s="1868"/>
      <c r="AS196" s="1868"/>
      <c r="AT196" s="1868"/>
      <c r="AU196" s="3987"/>
      <c r="AV196" s="3987"/>
      <c r="AW196" s="1868"/>
      <c r="AX196" s="1868"/>
      <c r="AY196" s="3986"/>
      <c r="AZ196" s="1868"/>
      <c r="BA196" s="1868"/>
      <c r="BB196" s="1868"/>
      <c r="BC196" s="1868"/>
      <c r="BD196" s="1868"/>
      <c r="BE196" s="1868"/>
      <c r="BF196" s="1868"/>
      <c r="BG196" s="1868"/>
      <c r="BH196" s="1868"/>
      <c r="BI196" s="1868"/>
      <c r="BJ196" s="1868"/>
      <c r="BK196" s="1868"/>
      <c r="BL196" s="1868"/>
      <c r="BM196" s="1868"/>
      <c r="BN196" s="1868"/>
      <c r="BO196" s="1868"/>
      <c r="BP196" s="1868"/>
      <c r="BQ196" s="1868"/>
      <c r="BR196" s="1868"/>
    </row>
    <row r="197" spans="1:70" ht="12.2" customHeight="1">
      <c r="A197" s="1935"/>
      <c r="B197" s="1866">
        <f t="shared" si="4"/>
        <v>6</v>
      </c>
      <c r="C197" s="6009"/>
      <c r="D197" s="1812" t="s">
        <v>1690</v>
      </c>
      <c r="E197" s="1712" t="str">
        <f>IFERROR(VLOOKUP(D196,'Tablas Técnicas'!$O$9:$T$88,3,FALSE),"")</f>
        <v/>
      </c>
      <c r="F197" s="1809"/>
      <c r="G197" s="1808"/>
      <c r="H197" s="1808" t="s">
        <v>1223</v>
      </c>
      <c r="I197" s="1712" t="str">
        <f>IFERROR(VLOOKUP(D196,'Tablas Técnicas'!$O$9:$T$88,4,FALSE),"")</f>
        <v/>
      </c>
      <c r="J197" s="1812" t="s">
        <v>1690</v>
      </c>
      <c r="K197" s="1712" t="str">
        <f>IFERROR(VLOOKUP(J196,'Tablas Técnicas'!$O$9:$T$88,3,FALSE),"")</f>
        <v/>
      </c>
      <c r="L197" s="1809"/>
      <c r="M197" s="1808"/>
      <c r="N197" s="1808" t="s">
        <v>1223</v>
      </c>
      <c r="O197" s="1721" t="str">
        <f>IFERROR(VLOOKUP(J196,'Tablas Técnicas'!$O$9:$T$88,4,FALSE),"")</f>
        <v/>
      </c>
      <c r="P197" s="1808" t="s">
        <v>1690</v>
      </c>
      <c r="Q197" s="1712" t="str">
        <f>IFERROR(VLOOKUP(P196,'Tablas Técnicas'!$O$9:$T$88,3,FALSE),"")</f>
        <v/>
      </c>
      <c r="R197" s="1809"/>
      <c r="S197" s="1808"/>
      <c r="T197" s="1808" t="s">
        <v>1223</v>
      </c>
      <c r="U197" s="1712" t="str">
        <f>IFERROR(VLOOKUP(P196,'Tablas Técnicas'!$O$9:$T$88,4,FALSE),"")</f>
        <v/>
      </c>
      <c r="V197" s="1812" t="s">
        <v>1690</v>
      </c>
      <c r="W197" s="1712" t="str">
        <f>IFERROR(VLOOKUP(V196,'Tablas Técnicas'!$O$9:$T$88,3,FALSE),"")</f>
        <v/>
      </c>
      <c r="X197" s="1809"/>
      <c r="Y197" s="1808"/>
      <c r="Z197" s="1808" t="s">
        <v>1223</v>
      </c>
      <c r="AA197" s="1721" t="str">
        <f>IFERROR(VLOOKUP(V196,'Tablas Técnicas'!$O$9:$T$88,4,FALSE),"")</f>
        <v/>
      </c>
      <c r="AB197" s="1808" t="s">
        <v>1690</v>
      </c>
      <c r="AC197" s="1712" t="str">
        <f>IFERROR(VLOOKUP(AB196,'Tablas Técnicas'!$O$9:$T$88,3,FALSE),"")</f>
        <v/>
      </c>
      <c r="AD197" s="1809"/>
      <c r="AE197" s="1808"/>
      <c r="AF197" s="1808" t="s">
        <v>1223</v>
      </c>
      <c r="AG197" s="1722" t="str">
        <f>IFERROR(VLOOKUP(AB196,'Tablas Técnicas'!$O$9:$T$88,4,FALSE),"")</f>
        <v/>
      </c>
      <c r="AH197" s="1943"/>
      <c r="AI197" s="6011"/>
      <c r="AJ197" s="3986"/>
      <c r="AK197" s="3986"/>
      <c r="AL197" s="3986"/>
      <c r="AM197" s="3986"/>
      <c r="AN197" s="3987"/>
      <c r="AO197" s="3986"/>
      <c r="AP197" s="3986"/>
      <c r="AQ197" s="3987"/>
      <c r="AR197" s="1868"/>
      <c r="AS197" s="1868"/>
      <c r="AT197" s="1868"/>
      <c r="AU197" s="1868"/>
      <c r="AV197" s="1868"/>
      <c r="AW197" s="1868"/>
      <c r="AX197" s="1868"/>
      <c r="AY197" s="3986"/>
      <c r="AZ197" s="1868"/>
      <c r="BA197" s="1868"/>
      <c r="BB197" s="1868"/>
      <c r="BC197" s="1868"/>
      <c r="BD197" s="1868"/>
      <c r="BE197" s="1868"/>
      <c r="BF197" s="1868"/>
      <c r="BG197" s="1868"/>
      <c r="BH197" s="1868"/>
      <c r="BI197" s="1868"/>
      <c r="BJ197" s="1868"/>
      <c r="BK197" s="1868"/>
      <c r="BL197" s="1868"/>
      <c r="BM197" s="1868"/>
      <c r="BN197" s="1868"/>
      <c r="BO197" s="1868"/>
      <c r="BP197" s="1868"/>
      <c r="BQ197" s="1868"/>
      <c r="BR197" s="1868"/>
    </row>
    <row r="198" spans="1:70" ht="12.2" customHeight="1">
      <c r="A198" s="1935"/>
      <c r="B198" s="1866">
        <f t="shared" si="4"/>
        <v>6</v>
      </c>
      <c r="C198" s="6009"/>
      <c r="D198" s="1813" t="s">
        <v>8364</v>
      </c>
      <c r="E198" s="1808"/>
      <c r="F198" s="1809"/>
      <c r="G198" s="1810"/>
      <c r="H198" s="1810"/>
      <c r="I198" s="1807" t="str">
        <f>IFERROR(IF(D196="Ataque Elemental",IF(NOT(ISNA(VLOOKUP(D200,'Tablas Técnicas'!$O$100:$O$105,1,0))),D200,"Variable"),VLOOKUP(D196,'Tablas Técnicas'!$O$9:$W$88,9,FALSE)),"")</f>
        <v/>
      </c>
      <c r="J198" s="1723" t="s">
        <v>8364</v>
      </c>
      <c r="K198" s="1938"/>
      <c r="L198" s="1939"/>
      <c r="M198" s="1940"/>
      <c r="N198" s="1940"/>
      <c r="O198" s="1724" t="str">
        <f>IFERROR(IF(J196="Ataque Elemental",IF(NOT(ISNA(VLOOKUP(J200,'Tablas Técnicas'!$O$100:$O$105,1,0))),J200,"Variable"),VLOOKUP(J196,'Tablas Técnicas'!$O$9:$W$88,9,FALSE)),"")</f>
        <v/>
      </c>
      <c r="P198" s="1941" t="s">
        <v>8364</v>
      </c>
      <c r="Q198" s="1938"/>
      <c r="R198" s="1939"/>
      <c r="S198" s="1940"/>
      <c r="T198" s="1940"/>
      <c r="U198" s="1807" t="str">
        <f>IFERROR(IF(P196="Ataque Elemental",IF(NOT(ISNA(VLOOKUP(P200,'Tablas Técnicas'!$O$100:$O$105,1,0))),P200,"Variable"),VLOOKUP(P196,'Tablas Técnicas'!$O$9:$W$88,9,FALSE)),"")</f>
        <v/>
      </c>
      <c r="V198" s="1723" t="s">
        <v>8364</v>
      </c>
      <c r="W198" s="1938"/>
      <c r="X198" s="1939"/>
      <c r="Y198" s="1940"/>
      <c r="Z198" s="1940"/>
      <c r="AA198" s="1724" t="str">
        <f>IFERROR(IF(V196="Ataque Elemental",IF(NOT(ISNA(VLOOKUP(V200,'Tablas Técnicas'!$O$100:$O$105,1,0))),V200,"Variable"),VLOOKUP(V196,'Tablas Técnicas'!$O$9:$W$88,9,FALSE)),"")</f>
        <v/>
      </c>
      <c r="AB198" s="1941" t="s">
        <v>8364</v>
      </c>
      <c r="AC198" s="1938"/>
      <c r="AD198" s="1939"/>
      <c r="AE198" s="1940"/>
      <c r="AF198" s="1940"/>
      <c r="AG198" s="1818" t="str">
        <f>IFERROR(IF(AB196="Ataque Elemental",IF(NOT(ISNA(VLOOKUP(AB200,'Tablas Técnicas'!$O$100:$O$105,1,0))),AB200,"Variable"),VLOOKUP(AB196,'Tablas Técnicas'!$O$9:$W$88,9,FALSE)),"")</f>
        <v/>
      </c>
      <c r="AH198" s="1943"/>
      <c r="AI198" s="6011"/>
      <c r="AJ198" s="3986"/>
      <c r="AK198" s="1868" t="s">
        <v>1233</v>
      </c>
      <c r="AL198" s="1868" t="s">
        <v>1357</v>
      </c>
      <c r="AM198" s="1868" t="s">
        <v>1238</v>
      </c>
      <c r="AN198" s="1868" t="s">
        <v>1243</v>
      </c>
      <c r="AO198" s="1868" t="s">
        <v>1250</v>
      </c>
      <c r="AP198" s="1868" t="s">
        <v>1251</v>
      </c>
      <c r="AQ198" s="3987"/>
      <c r="AR198" s="1868"/>
      <c r="AS198" s="1868"/>
      <c r="AT198" s="1868"/>
      <c r="AU198" s="1868"/>
      <c r="AV198" s="1868"/>
      <c r="AW198" s="1868"/>
      <c r="AX198" s="1868"/>
      <c r="AY198" s="3986"/>
      <c r="AZ198" s="1868"/>
      <c r="BA198" s="1868"/>
      <c r="BB198" s="1868"/>
      <c r="BC198" s="1868"/>
      <c r="BD198" s="1868"/>
      <c r="BE198" s="1868"/>
      <c r="BF198" s="1868"/>
      <c r="BG198" s="1868"/>
      <c r="BH198" s="1868"/>
      <c r="BI198" s="1868"/>
      <c r="BJ198" s="1868"/>
      <c r="BK198" s="1868"/>
      <c r="BL198" s="1868"/>
      <c r="BM198" s="1868"/>
      <c r="BN198" s="1868"/>
      <c r="BO198" s="1868"/>
      <c r="BP198" s="1868"/>
      <c r="BQ198" s="1868"/>
      <c r="BR198" s="1868"/>
    </row>
    <row r="199" spans="1:70" ht="12.2" customHeight="1">
      <c r="A199" s="1935"/>
      <c r="B199" s="1866">
        <f t="shared" si="4"/>
        <v>6</v>
      </c>
      <c r="C199" s="6009"/>
      <c r="D199" s="5865" t="s">
        <v>2665</v>
      </c>
      <c r="E199" s="5866"/>
      <c r="F199" s="5866"/>
      <c r="G199" s="5866"/>
      <c r="H199" s="5867"/>
      <c r="I199" s="1725" t="s">
        <v>1262</v>
      </c>
      <c r="J199" s="5865" t="s">
        <v>2665</v>
      </c>
      <c r="K199" s="5866"/>
      <c r="L199" s="5866"/>
      <c r="M199" s="5866"/>
      <c r="N199" s="5867"/>
      <c r="O199" s="1726" t="s">
        <v>1262</v>
      </c>
      <c r="P199" s="5865" t="s">
        <v>2665</v>
      </c>
      <c r="Q199" s="5866"/>
      <c r="R199" s="5866"/>
      <c r="S199" s="5866"/>
      <c r="T199" s="5867"/>
      <c r="U199" s="1726" t="s">
        <v>1262</v>
      </c>
      <c r="V199" s="5865"/>
      <c r="W199" s="5866"/>
      <c r="X199" s="5866"/>
      <c r="Y199" s="5866"/>
      <c r="Z199" s="5867"/>
      <c r="AA199" s="1726" t="s">
        <v>1262</v>
      </c>
      <c r="AB199" s="5865" t="s">
        <v>2665</v>
      </c>
      <c r="AC199" s="5866"/>
      <c r="AD199" s="5866"/>
      <c r="AE199" s="5866"/>
      <c r="AF199" s="5867"/>
      <c r="AG199" s="1727" t="s">
        <v>1262</v>
      </c>
      <c r="AH199" s="1943"/>
      <c r="AI199" s="6011"/>
      <c r="AJ199" s="3989" t="s">
        <v>8879</v>
      </c>
      <c r="AK199" s="3986" t="str">
        <f>IF(V185="","",IF(SUM(V187:V191)=0,"",V185&amp;" "&amp;SUM(V187:V191)+V194&amp;IF(SUM(W187:W191)=0,""," ("&amp;SUM(W187:W191)&amp;")")&amp;", "))</f>
        <v/>
      </c>
      <c r="AL199" s="3986" t="str">
        <f>IF(X185="","",IF(SUM(X187:X191)=0,"",X185&amp;" "&amp;SUM(X187:X191)+X194&amp;IF(SUM(Y187:Y191)=0,""," ("&amp;SUM(Y187:Y191)&amp;")")&amp;", "))</f>
        <v/>
      </c>
      <c r="AM199" s="3986" t="str">
        <f>IF(Z185="","",IF(SUM(Z187:Z191)=0,"",Z185&amp;" "&amp;SUM(Z187:Z191)+Z194&amp;IF(SUM(AA187:AA191)=0,""," ("&amp;SUM(AA187:AA191)&amp;")")&amp;", "))</f>
        <v/>
      </c>
      <c r="AN199" s="3986" t="str">
        <f>IF(AB185="","",IF(SUM(AB187:AB191)=0,"",AB185&amp;" "&amp;SUM(AB187:AB191)+AB194&amp;IF(SUM(AC187:AC191)=0,""," ("&amp;SUM(AC187:AC191)&amp;")")&amp;", "))</f>
        <v/>
      </c>
      <c r="AO199" s="3986" t="str">
        <f>IF(AD185="","",IF(SUM(AD187:AD191)=0,"",AD185&amp;" "&amp;SUM(AD187:AD191)+AD194&amp;IF(SUM(AE187:AE191)=0,""," ("&amp;SUM(AE187:AE191)&amp;")")&amp;", "))</f>
        <v/>
      </c>
      <c r="AP199" s="3986" t="str">
        <f>IF(AF185="","",IF(SUM(AF187:AF191)=0,"",AF185&amp;" "&amp;SUM(AF187:AF191)+AF194&amp;IF(SUM(AG187:AG191)=0,""," ("&amp;SUM(AG187:AG191)&amp;")")&amp;", "))</f>
        <v/>
      </c>
      <c r="AQ199" s="3986"/>
      <c r="AR199" s="3986"/>
      <c r="AS199" s="3986"/>
      <c r="AT199" s="3986"/>
      <c r="AU199" s="3986"/>
      <c r="AV199" s="3986"/>
      <c r="AW199" s="3986"/>
      <c r="AX199" s="3986"/>
      <c r="AY199" s="3986"/>
      <c r="AZ199" s="1868"/>
      <c r="BA199" s="1868"/>
      <c r="BB199" s="1868"/>
      <c r="BC199" s="1868"/>
      <c r="BD199" s="1868"/>
      <c r="BE199" s="1868"/>
      <c r="BF199" s="1868"/>
      <c r="BG199" s="1868"/>
      <c r="BH199" s="1868"/>
      <c r="BI199" s="1868"/>
      <c r="BJ199" s="1868"/>
      <c r="BK199" s="1868"/>
      <c r="BL199" s="1868"/>
      <c r="BM199" s="1868"/>
      <c r="BN199" s="1868"/>
      <c r="BO199" s="1868"/>
      <c r="BP199" s="1868"/>
      <c r="BQ199" s="1868"/>
      <c r="BR199" s="1868"/>
    </row>
    <row r="200" spans="1:70" ht="12.2" customHeight="1">
      <c r="A200" s="1935"/>
      <c r="B200" s="1866">
        <f t="shared" si="4"/>
        <v>6</v>
      </c>
      <c r="C200" s="6009"/>
      <c r="D200" s="5911"/>
      <c r="E200" s="5853"/>
      <c r="F200" s="5853"/>
      <c r="G200" s="5853"/>
      <c r="H200" s="5853"/>
      <c r="I200" s="1728" t="str">
        <f>IF(OR(D196="",D200=""),"",MAX(1,SUMPRODUCT(--(INDEX('Tablas Técnicas'!$C$10:$L$644,,1)=D196),--(INDEX('Tablas Técnicas'!$C$10:$L$644,,2)=D200),INDEX('Tablas Técnicas'!$C$10:$L$644,,9))))</f>
        <v/>
      </c>
      <c r="J200" s="5852"/>
      <c r="K200" s="5853"/>
      <c r="L200" s="5853"/>
      <c r="M200" s="5853"/>
      <c r="N200" s="5853"/>
      <c r="O200" s="1728" t="str">
        <f>IF(OR(J196="",J200=""),"",MAX(1,SUMPRODUCT(--(INDEX('Tablas Técnicas'!$C$10:$L$644,,1)=J196),--(INDEX('Tablas Técnicas'!$C$10:$L$644,,2)=J200),INDEX('Tablas Técnicas'!$C$10:$L$644,,9))))</f>
        <v/>
      </c>
      <c r="P200" s="5852"/>
      <c r="Q200" s="5853"/>
      <c r="R200" s="5853"/>
      <c r="S200" s="5853"/>
      <c r="T200" s="5853"/>
      <c r="U200" s="1728" t="str">
        <f>IF(OR(P196="",P200=""),"",MAX(1,SUMPRODUCT(--(INDEX('Tablas Técnicas'!$C$10:$L$644,,1)=P196),--(INDEX('Tablas Técnicas'!$C$10:$L$644,,2)=P200),INDEX('Tablas Técnicas'!$C$10:$L$644,,9))))</f>
        <v/>
      </c>
      <c r="V200" s="5852"/>
      <c r="W200" s="5853"/>
      <c r="X200" s="5853"/>
      <c r="Y200" s="5853"/>
      <c r="Z200" s="5853"/>
      <c r="AA200" s="1728" t="str">
        <f>IF(OR(V196="",V200=""),"",MAX(1,SUMPRODUCT(--(INDEX('Tablas Técnicas'!$C$10:$L$644,,1)=V196),--(INDEX('Tablas Técnicas'!$C$10:$L$644,,2)=V200),INDEX('Tablas Técnicas'!$C$10:$L$644,,9))))</f>
        <v/>
      </c>
      <c r="AB200" s="5852"/>
      <c r="AC200" s="5853"/>
      <c r="AD200" s="5853"/>
      <c r="AE200" s="5853"/>
      <c r="AF200" s="5853"/>
      <c r="AG200" s="1729" t="str">
        <f>IF(OR(AB196="",AB200=""),"",MAX(1,SUMPRODUCT(--(INDEX('Tablas Técnicas'!$C$10:$L$644,,1)=AB196),--(INDEX('Tablas Técnicas'!$C$10:$L$644,,2)=AB200),INDEX('Tablas Técnicas'!$C$10:$L$644,,9))))</f>
        <v/>
      </c>
      <c r="AH200" s="1943">
        <f>P183</f>
        <v>1</v>
      </c>
      <c r="AI200" s="6011"/>
      <c r="AJ200" s="3986" t="s">
        <v>8843</v>
      </c>
      <c r="AK200" s="3986"/>
      <c r="AL200" s="3986">
        <f>MAX(0,SUM(AT187:AT191)+ABS($AC192*2/5))+IF(AM209,0,Y192)+IF(S183="Sí",2*P183,0)</f>
        <v>0</v>
      </c>
      <c r="AM200" s="3986">
        <f t="array" ref="AM200">IF(ISNUMBER(SEARCH("Mantenido",K187&amp;K188&amp;K189&amp;K190&amp;K191)),MAX(0,SUM(VALUE(RIGHT($P187:$P191,2)))),0)</f>
        <v>0</v>
      </c>
      <c r="AN200" s="1868"/>
      <c r="AO200" s="1868"/>
      <c r="AP200" s="1815"/>
      <c r="AQ200" s="1815"/>
      <c r="AR200" s="1815"/>
      <c r="AS200" s="1815"/>
      <c r="AT200" s="1815"/>
      <c r="AU200" s="1815"/>
      <c r="AV200" s="1815"/>
      <c r="AW200" s="1815"/>
      <c r="AX200" s="1815"/>
      <c r="AY200" s="3986"/>
      <c r="AZ200" s="1868"/>
      <c r="BA200" s="1868"/>
      <c r="BB200" s="1868"/>
      <c r="BC200" s="1868"/>
      <c r="BD200" s="1868"/>
      <c r="BE200" s="1868"/>
      <c r="BF200" s="1868"/>
      <c r="BG200" s="1868"/>
      <c r="BH200" s="1868"/>
      <c r="BI200" s="1868"/>
      <c r="BJ200" s="1868"/>
      <c r="BK200" s="1868"/>
      <c r="BL200" s="1868"/>
      <c r="BM200" s="1868"/>
      <c r="BN200" s="1868"/>
      <c r="BO200" s="1868"/>
      <c r="BP200" s="1868"/>
      <c r="BQ200" s="1868"/>
      <c r="BR200" s="1868"/>
    </row>
    <row r="201" spans="1:70" ht="12.2" customHeight="1">
      <c r="A201" s="1935"/>
      <c r="B201" s="1866">
        <f t="shared" si="4"/>
        <v>6</v>
      </c>
      <c r="C201" s="6009"/>
      <c r="D201" s="5871"/>
      <c r="E201" s="5872"/>
      <c r="F201" s="5872"/>
      <c r="G201" s="5872"/>
      <c r="H201" s="5872"/>
      <c r="I201" s="1730" t="str">
        <f>IF(OR(D196="",D201=""),"",MAX(1,SUMPRODUCT(--(INDEX('Tablas Técnicas'!$C$10:$L$644,,1)=D196),--(INDEX('Tablas Técnicas'!$C$10:$L$644,,2)=D201),INDEX('Tablas Técnicas'!$C$10:$L$644,,9))))</f>
        <v/>
      </c>
      <c r="J201" s="5871"/>
      <c r="K201" s="5872"/>
      <c r="L201" s="5872"/>
      <c r="M201" s="5872"/>
      <c r="N201" s="5872"/>
      <c r="O201" s="1730" t="str">
        <f>IF(OR(J196="",J201=""),"",MAX(1,SUMPRODUCT(--(INDEX('Tablas Técnicas'!$C$10:$L$644,,1)=J196),--(INDEX('Tablas Técnicas'!$C$10:$L$644,,2)=J201),INDEX('Tablas Técnicas'!$C$10:$L$644,,9))))</f>
        <v/>
      </c>
      <c r="P201" s="5871"/>
      <c r="Q201" s="5872"/>
      <c r="R201" s="5872"/>
      <c r="S201" s="5872"/>
      <c r="T201" s="5872"/>
      <c r="U201" s="1730" t="str">
        <f>IF(OR(P196="",P201=""),"",MAX(1,SUMPRODUCT(--(INDEX('Tablas Técnicas'!$C$10:$L$644,,1)=P196),--(INDEX('Tablas Técnicas'!$C$10:$L$644,,2)=P201),INDEX('Tablas Técnicas'!$C$10:$L$644,,9))))</f>
        <v/>
      </c>
      <c r="V201" s="5871"/>
      <c r="W201" s="5872"/>
      <c r="X201" s="5872"/>
      <c r="Y201" s="5872"/>
      <c r="Z201" s="5872"/>
      <c r="AA201" s="1730" t="str">
        <f>IF(OR(V196="",V201=""),"",MAX(1,SUMPRODUCT(--(INDEX('Tablas Técnicas'!$C$10:$L$644,,1)=V196),--(INDEX('Tablas Técnicas'!$C$10:$L$644,,2)=V201),INDEX('Tablas Técnicas'!$C$10:$L$644,,9))))</f>
        <v/>
      </c>
      <c r="AB201" s="5871"/>
      <c r="AC201" s="5872"/>
      <c r="AD201" s="5872"/>
      <c r="AE201" s="5872"/>
      <c r="AF201" s="5872"/>
      <c r="AG201" s="1731" t="str">
        <f>IF(OR(AB196="",AB201=""),"",MAX(1,SUMPRODUCT(--(INDEX('Tablas Técnicas'!$C$10:$L$644,,1)=AB196),--(INDEX('Tablas Técnicas'!$C$10:$L$644,,2)=AB201),INDEX('Tablas Técnicas'!$C$10:$L$644,,9))))</f>
        <v/>
      </c>
      <c r="AH201" s="1943">
        <f>P183</f>
        <v>1</v>
      </c>
      <c r="AI201" s="6011"/>
      <c r="AJ201" s="3986" t="s">
        <v>8366</v>
      </c>
      <c r="AK201" s="3986"/>
      <c r="AL201" s="3986">
        <f>SUM(V187:V191,X187:X191,Z187:Z191,AB187:AB191,AD187:AD191,AF187:AF191)+SUM(V194:AG194)</f>
        <v>0</v>
      </c>
      <c r="AM201" s="3986">
        <f>SUM(W187:W191,Y187:Y191,AA187:AA191,AC187:AC191,AE187:AE191,AG187:AG191)</f>
        <v>0</v>
      </c>
      <c r="AN201" s="3986"/>
      <c r="AO201" s="3986"/>
      <c r="AP201" s="3986"/>
      <c r="AQ201" s="3986"/>
      <c r="AR201" s="3986"/>
      <c r="AS201" s="3986"/>
      <c r="AT201" s="3986"/>
      <c r="AU201" s="3986"/>
      <c r="AV201" s="3986"/>
      <c r="AW201" s="1868"/>
      <c r="AX201" s="3986"/>
      <c r="AY201" s="3986"/>
      <c r="AZ201" s="1868"/>
      <c r="BA201" s="1868"/>
      <c r="BB201" s="1868"/>
      <c r="BC201" s="1868"/>
      <c r="BD201" s="1868"/>
      <c r="BE201" s="1868"/>
      <c r="BF201" s="1868"/>
      <c r="BG201" s="1868"/>
      <c r="BH201" s="1868"/>
      <c r="BI201" s="1868"/>
      <c r="BJ201" s="1868"/>
      <c r="BK201" s="1868"/>
      <c r="BL201" s="1868"/>
      <c r="BM201" s="1868"/>
      <c r="BN201" s="1868"/>
      <c r="BO201" s="1868"/>
      <c r="BP201" s="1868"/>
      <c r="BQ201" s="1868"/>
      <c r="BR201" s="1868"/>
    </row>
    <row r="202" spans="1:70" ht="12.2" customHeight="1">
      <c r="A202" s="1935"/>
      <c r="B202" s="1866">
        <f t="shared" si="4"/>
        <v>6</v>
      </c>
      <c r="C202" s="6009"/>
      <c r="D202" s="5871"/>
      <c r="E202" s="5872"/>
      <c r="F202" s="5872"/>
      <c r="G202" s="5872"/>
      <c r="H202" s="5872"/>
      <c r="I202" s="1730" t="str">
        <f>IF(OR(D196="",D202=""),"",MAX(1,SUMPRODUCT(--(INDEX('Tablas Técnicas'!$C$10:$L$644,,1)=D196),--(INDEX('Tablas Técnicas'!$C$10:$L$644,,2)=D202),INDEX('Tablas Técnicas'!$C$10:$L$644,,9))))</f>
        <v/>
      </c>
      <c r="J202" s="5871"/>
      <c r="K202" s="5872"/>
      <c r="L202" s="5872"/>
      <c r="M202" s="5872"/>
      <c r="N202" s="5872"/>
      <c r="O202" s="1730" t="str">
        <f>IF(OR(J196="",J202=""),"",MAX(1,SUMPRODUCT(--(INDEX('Tablas Técnicas'!$C$10:$L$644,,1)=J196),--(INDEX('Tablas Técnicas'!$C$10:$L$644,,2)=J202),INDEX('Tablas Técnicas'!$C$10:$L$644,,9))))</f>
        <v/>
      </c>
      <c r="P202" s="5871"/>
      <c r="Q202" s="5872"/>
      <c r="R202" s="5872"/>
      <c r="S202" s="5872"/>
      <c r="T202" s="5872"/>
      <c r="U202" s="1730" t="str">
        <f>IF(OR(P196="",P202=""),"",MAX(1,SUMPRODUCT(--(INDEX('Tablas Técnicas'!$C$10:$L$644,,1)=P196),--(INDEX('Tablas Técnicas'!$C$10:$L$644,,2)=P202),INDEX('Tablas Técnicas'!$C$10:$L$644,,9))))</f>
        <v/>
      </c>
      <c r="V202" s="5871"/>
      <c r="W202" s="5872"/>
      <c r="X202" s="5872"/>
      <c r="Y202" s="5872"/>
      <c r="Z202" s="5872"/>
      <c r="AA202" s="1730" t="str">
        <f>IF(OR(V196="",V202=""),"",MAX(1,SUMPRODUCT(--(INDEX('Tablas Técnicas'!$C$10:$L$644,,1)=V196),--(INDEX('Tablas Técnicas'!$C$10:$L$644,,2)=V202),INDEX('Tablas Técnicas'!$C$10:$L$644,,9))))</f>
        <v/>
      </c>
      <c r="AB202" s="5871"/>
      <c r="AC202" s="5872"/>
      <c r="AD202" s="5872"/>
      <c r="AE202" s="5872"/>
      <c r="AF202" s="5872"/>
      <c r="AG202" s="1731" t="str">
        <f>IF(OR(AB196="",AB202=""),"",MAX(1,SUMPRODUCT(--(INDEX('Tablas Técnicas'!$C$10:$L$644,,1)=AB196),--(INDEX('Tablas Técnicas'!$C$10:$L$644,,2)=AB202),INDEX('Tablas Técnicas'!$C$10:$L$644,,9))))</f>
        <v/>
      </c>
      <c r="AH202" s="1943">
        <f>P183</f>
        <v>1</v>
      </c>
      <c r="AI202" s="6011"/>
      <c r="AJ202" s="3986"/>
      <c r="AK202" s="3986"/>
      <c r="AL202" s="3986"/>
      <c r="AM202" s="3986"/>
      <c r="AN202" s="3986"/>
      <c r="AO202" s="3986"/>
      <c r="AP202" s="3986"/>
      <c r="AQ202" s="3986"/>
      <c r="AR202" s="3986"/>
      <c r="AS202" s="3986"/>
      <c r="AT202" s="3986"/>
      <c r="AU202" s="3986"/>
      <c r="AV202" s="3986"/>
      <c r="AW202" s="1868"/>
      <c r="AX202" s="1868"/>
      <c r="AY202" s="3986"/>
      <c r="AZ202" s="1868"/>
      <c r="BA202" s="1868"/>
      <c r="BB202" s="1868"/>
      <c r="BC202" s="1868"/>
      <c r="BD202" s="1868"/>
      <c r="BE202" s="1868"/>
      <c r="BF202" s="1868"/>
      <c r="BG202" s="1868"/>
      <c r="BH202" s="1868"/>
      <c r="BI202" s="1868"/>
      <c r="BJ202" s="1868"/>
      <c r="BK202" s="1868"/>
      <c r="BL202" s="1868"/>
      <c r="BM202" s="1868"/>
      <c r="BN202" s="1868"/>
      <c r="BO202" s="1868"/>
      <c r="BP202" s="1868"/>
      <c r="BQ202" s="1868"/>
      <c r="BR202" s="1868"/>
    </row>
    <row r="203" spans="1:70" ht="12.2" customHeight="1">
      <c r="A203" s="1935"/>
      <c r="B203" s="1866">
        <f t="shared" si="4"/>
        <v>6</v>
      </c>
      <c r="C203" s="6009"/>
      <c r="D203" s="5871"/>
      <c r="E203" s="5872"/>
      <c r="F203" s="5872"/>
      <c r="G203" s="5872"/>
      <c r="H203" s="5872"/>
      <c r="I203" s="1730" t="str">
        <f>IF(OR(D196="",D203=""),"",MAX(1,SUMPRODUCT(--(INDEX('Tablas Técnicas'!$C$10:$L$644,,1)=D196),--(INDEX('Tablas Técnicas'!$C$10:$L$644,,2)=D203),INDEX('Tablas Técnicas'!$C$10:$L$644,,9))))</f>
        <v/>
      </c>
      <c r="J203" s="5871"/>
      <c r="K203" s="5872"/>
      <c r="L203" s="5872"/>
      <c r="M203" s="5872"/>
      <c r="N203" s="5872"/>
      <c r="O203" s="1730" t="str">
        <f>IF(OR(J196="",J203=""),"",MAX(1,SUMPRODUCT(--(INDEX('Tablas Técnicas'!$C$10:$L$644,,1)=J196),--(INDEX('Tablas Técnicas'!$C$10:$L$644,,2)=J203),INDEX('Tablas Técnicas'!$C$10:$L$644,,9))))</f>
        <v/>
      </c>
      <c r="P203" s="5871"/>
      <c r="Q203" s="5872"/>
      <c r="R203" s="5872"/>
      <c r="S203" s="5872"/>
      <c r="T203" s="5872"/>
      <c r="U203" s="1730" t="str">
        <f>IF(OR(P196="",P203=""),"",MAX(1,SUMPRODUCT(--(INDEX('Tablas Técnicas'!$C$10:$L$644,,1)=P196),--(INDEX('Tablas Técnicas'!$C$10:$L$644,,2)=P203),INDEX('Tablas Técnicas'!$C$10:$L$644,,9))))</f>
        <v/>
      </c>
      <c r="V203" s="5871"/>
      <c r="W203" s="5872"/>
      <c r="X203" s="5872"/>
      <c r="Y203" s="5872"/>
      <c r="Z203" s="5872"/>
      <c r="AA203" s="1730" t="str">
        <f>IF(OR(V196="",V203=""),"",MAX(1,SUMPRODUCT(--(INDEX('Tablas Técnicas'!$C$10:$L$644,,1)=V196),--(INDEX('Tablas Técnicas'!$C$10:$L$644,,2)=V203),INDEX('Tablas Técnicas'!$C$10:$L$644,,9))))</f>
        <v/>
      </c>
      <c r="AB203" s="5871"/>
      <c r="AC203" s="5872"/>
      <c r="AD203" s="5872"/>
      <c r="AE203" s="5872"/>
      <c r="AF203" s="5872"/>
      <c r="AG203" s="1731" t="str">
        <f>IF(OR(AB196="",AB203=""),"",MAX(1,SUMPRODUCT(--(INDEX('Tablas Técnicas'!$C$10:$L$644,,1)=AB196),--(INDEX('Tablas Técnicas'!$C$10:$L$644,,2)=AB203),INDEX('Tablas Técnicas'!$C$10:$L$644,,9))))</f>
        <v/>
      </c>
      <c r="AH203" s="1943">
        <f>P183</f>
        <v>1</v>
      </c>
      <c r="AI203" s="6011"/>
      <c r="AJ203" s="3986" t="s">
        <v>8367</v>
      </c>
      <c r="AK203" s="3986"/>
      <c r="AL203" s="3986"/>
      <c r="AM203" s="3986"/>
      <c r="AN203" s="3986"/>
      <c r="AO203" s="3986"/>
      <c r="AP203" s="3986"/>
      <c r="AQ203" s="3987"/>
      <c r="AR203" s="1868"/>
      <c r="AS203" s="1868"/>
      <c r="AT203" s="1868"/>
      <c r="AU203" s="1868"/>
      <c r="AV203" s="1868"/>
      <c r="AW203" s="1868"/>
      <c r="AX203" s="1868"/>
      <c r="AY203" s="3986"/>
      <c r="AZ203" s="1868"/>
      <c r="BA203" s="1868"/>
      <c r="BB203" s="1868"/>
      <c r="BC203" s="1868"/>
      <c r="BD203" s="1868"/>
      <c r="BE203" s="1868"/>
      <c r="BF203" s="1868"/>
      <c r="BG203" s="1868"/>
      <c r="BH203" s="1868"/>
      <c r="BI203" s="1868"/>
      <c r="BJ203" s="1868"/>
      <c r="BK203" s="1868"/>
      <c r="BL203" s="1868"/>
      <c r="BM203" s="1868"/>
      <c r="BN203" s="1868"/>
      <c r="BO203" s="1868"/>
      <c r="BP203" s="1868"/>
      <c r="BQ203" s="1868"/>
      <c r="BR203" s="1868"/>
    </row>
    <row r="204" spans="1:70" ht="12.2" customHeight="1">
      <c r="A204" s="1935"/>
      <c r="B204" s="1866">
        <f t="shared" si="4"/>
        <v>6</v>
      </c>
      <c r="C204" s="6009"/>
      <c r="D204" s="5871"/>
      <c r="E204" s="5872"/>
      <c r="F204" s="5872"/>
      <c r="G204" s="5872"/>
      <c r="H204" s="5872"/>
      <c r="I204" s="1730" t="str">
        <f>IF(OR(D196="",D204=""),"",MAX(1,SUMPRODUCT(--(INDEX('Tablas Técnicas'!$C$10:$L$644,,1)=D196),--(INDEX('Tablas Técnicas'!$C$10:$L$644,,2)=D204),INDEX('Tablas Técnicas'!$C$10:$L$644,,9))))</f>
        <v/>
      </c>
      <c r="J204" s="5871"/>
      <c r="K204" s="5872"/>
      <c r="L204" s="5872"/>
      <c r="M204" s="5872"/>
      <c r="N204" s="5872"/>
      <c r="O204" s="1730" t="str">
        <f>IF(OR(J196="",J204=""),"",MAX(1,SUMPRODUCT(--(INDEX('Tablas Técnicas'!$C$10:$L$644,,1)=J196),--(INDEX('Tablas Técnicas'!$C$10:$L$644,,2)=J204),INDEX('Tablas Técnicas'!$C$10:$L$644,,9))))</f>
        <v/>
      </c>
      <c r="P204" s="5871"/>
      <c r="Q204" s="5872"/>
      <c r="R204" s="5872"/>
      <c r="S204" s="5872"/>
      <c r="T204" s="5872"/>
      <c r="U204" s="1730" t="str">
        <f>IF(OR(P196="",P204=""),"",MAX(1,SUMPRODUCT(--(INDEX('Tablas Técnicas'!$C$10:$L$644,,1)=P196),--(INDEX('Tablas Técnicas'!$C$10:$L$644,,2)=P204),INDEX('Tablas Técnicas'!$C$10:$L$644,,9))))</f>
        <v/>
      </c>
      <c r="V204" s="5871"/>
      <c r="W204" s="5872"/>
      <c r="X204" s="5872"/>
      <c r="Y204" s="5872"/>
      <c r="Z204" s="5872"/>
      <c r="AA204" s="1730" t="str">
        <f>IF(OR(V196="",V204=""),"",MAX(1,SUMPRODUCT(--(INDEX('Tablas Técnicas'!$C$10:$L$644,,1)=V196),--(INDEX('Tablas Técnicas'!$C$10:$L$644,,2)=V204),INDEX('Tablas Técnicas'!$C$10:$L$644,,9))))</f>
        <v/>
      </c>
      <c r="AB204" s="5871"/>
      <c r="AC204" s="5872"/>
      <c r="AD204" s="5872"/>
      <c r="AE204" s="5872"/>
      <c r="AF204" s="5872"/>
      <c r="AG204" s="1731" t="str">
        <f>IF(OR(AB196="",AB204=""),"",MAX(1,SUMPRODUCT(--(INDEX('Tablas Técnicas'!$C$10:$L$644,,1)=AB196),--(INDEX('Tablas Técnicas'!$C$10:$L$644,,2)=AB204),INDEX('Tablas Técnicas'!$C$10:$L$644,,9))))</f>
        <v/>
      </c>
      <c r="AH204" s="1943">
        <f>P183</f>
        <v>1</v>
      </c>
      <c r="AI204" s="6011"/>
      <c r="AJ204" s="3986" t="s">
        <v>9502</v>
      </c>
      <c r="AK204" s="3986"/>
      <c r="AL204" s="3986"/>
      <c r="AM204" s="3986" t="b">
        <f>U183&gt;IF(P183=3,200,IF(P183=2,100,50))</f>
        <v>0</v>
      </c>
      <c r="AN204" s="3986"/>
      <c r="AO204" s="3986"/>
      <c r="AP204" s="3986"/>
      <c r="AQ204" s="3986"/>
      <c r="AR204" s="1868"/>
      <c r="AS204" s="1868"/>
      <c r="AT204" s="1868"/>
      <c r="AU204" s="1868"/>
      <c r="AV204" s="1868"/>
      <c r="AW204" s="1868"/>
      <c r="AX204" s="1868"/>
      <c r="AY204" s="3986"/>
      <c r="AZ204" s="1868"/>
      <c r="BA204" s="1868"/>
      <c r="BB204" s="1868"/>
      <c r="BC204" s="1868"/>
      <c r="BD204" s="1868"/>
      <c r="BE204" s="1868"/>
      <c r="BF204" s="1868"/>
      <c r="BG204" s="1868"/>
      <c r="BH204" s="1868"/>
      <c r="BI204" s="1868"/>
      <c r="BJ204" s="1868"/>
      <c r="BK204" s="1868"/>
      <c r="BL204" s="1868"/>
      <c r="BM204" s="1868"/>
      <c r="BN204" s="1868"/>
      <c r="BO204" s="1868"/>
      <c r="BP204" s="1868"/>
      <c r="BQ204" s="1868"/>
      <c r="BR204" s="1868"/>
    </row>
    <row r="205" spans="1:70" ht="12.2" customHeight="1">
      <c r="A205" s="1935"/>
      <c r="B205" s="1866">
        <f t="shared" si="4"/>
        <v>6</v>
      </c>
      <c r="C205" s="6009"/>
      <c r="D205" s="5871"/>
      <c r="E205" s="5872"/>
      <c r="F205" s="5872"/>
      <c r="G205" s="5872"/>
      <c r="H205" s="5872"/>
      <c r="I205" s="1730" t="str">
        <f>IF(OR(D196="",D205=""),"",MAX(1,SUMPRODUCT(--(INDEX('Tablas Técnicas'!$C$10:$L$644,,1)=D196),--(INDEX('Tablas Técnicas'!$C$10:$L$644,,2)=D205),INDEX('Tablas Técnicas'!$C$10:$L$644,,9))))</f>
        <v/>
      </c>
      <c r="J205" s="5871"/>
      <c r="K205" s="5872"/>
      <c r="L205" s="5872"/>
      <c r="M205" s="5872"/>
      <c r="N205" s="5872"/>
      <c r="O205" s="1730" t="str">
        <f>IF(OR(J196="",J205=""),"",MAX(1,SUMPRODUCT(--(INDEX('Tablas Técnicas'!$C$10:$L$644,,1)=J196),--(INDEX('Tablas Técnicas'!$C$10:$L$644,,2)=J205),INDEX('Tablas Técnicas'!$C$10:$L$644,,9))))</f>
        <v/>
      </c>
      <c r="P205" s="5871"/>
      <c r="Q205" s="5872"/>
      <c r="R205" s="5872"/>
      <c r="S205" s="5872"/>
      <c r="T205" s="5872"/>
      <c r="U205" s="1730" t="str">
        <f>IF(OR(P196="",P205=""),"",MAX(1,SUMPRODUCT(--(INDEX('Tablas Técnicas'!$C$10:$L$644,,1)=P196),--(INDEX('Tablas Técnicas'!$C$10:$L$644,,2)=P205),INDEX('Tablas Técnicas'!$C$10:$L$644,,9))))</f>
        <v/>
      </c>
      <c r="V205" s="5871"/>
      <c r="W205" s="5872"/>
      <c r="X205" s="5872"/>
      <c r="Y205" s="5872"/>
      <c r="Z205" s="5872"/>
      <c r="AA205" s="1730" t="str">
        <f>IF(OR(V196="",V205=""),"",MAX(1,SUMPRODUCT(--(INDEX('Tablas Técnicas'!$C$10:$L$644,,1)=V196),--(INDEX('Tablas Técnicas'!$C$10:$L$644,,2)=V205),INDEX('Tablas Técnicas'!$C$10:$L$644,,9))))</f>
        <v/>
      </c>
      <c r="AB205" s="5871"/>
      <c r="AC205" s="5872"/>
      <c r="AD205" s="5872"/>
      <c r="AE205" s="5872"/>
      <c r="AF205" s="5872"/>
      <c r="AG205" s="1731" t="str">
        <f>IF(OR(AB196="",AB205=""),"",MAX(1,SUMPRODUCT(--(INDEX('Tablas Técnicas'!$C$10:$L$644,,1)=AB196),--(INDEX('Tablas Técnicas'!$C$10:$L$644,,2)=AB205),INDEX('Tablas Técnicas'!$C$10:$L$644,,9))))</f>
        <v/>
      </c>
      <c r="AH205" s="1943">
        <f>P183</f>
        <v>1</v>
      </c>
      <c r="AI205" s="6011"/>
      <c r="AJ205" s="3986" t="s">
        <v>8368</v>
      </c>
      <c r="AK205" s="3986"/>
      <c r="AL205" s="3986"/>
      <c r="AM205" s="3986" t="b">
        <f t="array" ref="AM205">MAX(I200:I206,O200:O206,U200:U206,AA200:AA206,AG200:AG206,RIGHT(S192:S194,1))&gt;P183</f>
        <v>0</v>
      </c>
      <c r="AN205" s="3986"/>
      <c r="AO205" s="3986"/>
      <c r="AP205" s="3986"/>
      <c r="AQ205" s="3987"/>
      <c r="AR205" s="1868"/>
      <c r="AS205" s="1868"/>
      <c r="AT205" s="1868"/>
      <c r="AU205" s="1868"/>
      <c r="AV205" s="1868"/>
      <c r="AW205" s="1868"/>
      <c r="AX205" s="1868"/>
      <c r="AY205" s="3986"/>
      <c r="AZ205" s="1868"/>
      <c r="BA205" s="1868"/>
      <c r="BB205" s="1868"/>
      <c r="BC205" s="1868"/>
      <c r="BD205" s="1868"/>
      <c r="BE205" s="1868"/>
      <c r="BF205" s="1868"/>
      <c r="BG205" s="1868"/>
      <c r="BH205" s="1868"/>
      <c r="BI205" s="1868"/>
      <c r="BJ205" s="1868"/>
      <c r="BK205" s="1868"/>
      <c r="BL205" s="1868"/>
      <c r="BM205" s="1868"/>
      <c r="BN205" s="1868"/>
      <c r="BO205" s="1868"/>
      <c r="BP205" s="1868"/>
      <c r="BQ205" s="1868"/>
      <c r="BR205" s="1868"/>
    </row>
    <row r="206" spans="1:70" ht="12.2" customHeight="1">
      <c r="A206" s="1935"/>
      <c r="B206" s="1866">
        <f t="shared" si="4"/>
        <v>6</v>
      </c>
      <c r="C206" s="6009"/>
      <c r="D206" s="5926"/>
      <c r="E206" s="5927"/>
      <c r="F206" s="5927"/>
      <c r="G206" s="5927"/>
      <c r="H206" s="5927"/>
      <c r="I206" s="1732" t="str">
        <f>IF(OR(D196="",D206=""),"",MAX(1,SUMPRODUCT(--(INDEX('Tablas Técnicas'!$C$10:$L$644,,1)=D196),--(INDEX('Tablas Técnicas'!$C$10:$L$644,,2)=D206),INDEX('Tablas Técnicas'!$C$10:$L$644,,9))))</f>
        <v/>
      </c>
      <c r="J206" s="5926"/>
      <c r="K206" s="5927"/>
      <c r="L206" s="5927"/>
      <c r="M206" s="5927"/>
      <c r="N206" s="5927"/>
      <c r="O206" s="1732" t="str">
        <f>IF(OR(J196="",J206=""),"",MAX(1,SUMPRODUCT(--(INDEX('Tablas Técnicas'!$C$10:$L$644,,1)=J196),--(INDEX('Tablas Técnicas'!$C$10:$L$644,,2)=J206),INDEX('Tablas Técnicas'!$C$10:$L$644,,9))))</f>
        <v/>
      </c>
      <c r="P206" s="5926"/>
      <c r="Q206" s="5927"/>
      <c r="R206" s="5927"/>
      <c r="S206" s="5927"/>
      <c r="T206" s="5927"/>
      <c r="U206" s="1732" t="str">
        <f>IF(OR(P196="",P206=""),"",MAX(1,SUMPRODUCT(--(INDEX('Tablas Técnicas'!$C$10:$L$644,,1)=P196),--(INDEX('Tablas Técnicas'!$C$10:$L$644,,2)=P206),INDEX('Tablas Técnicas'!$C$10:$L$644,,9))))</f>
        <v/>
      </c>
      <c r="V206" s="5926"/>
      <c r="W206" s="5927"/>
      <c r="X206" s="5927"/>
      <c r="Y206" s="5927"/>
      <c r="Z206" s="5927"/>
      <c r="AA206" s="1732" t="str">
        <f>IF(OR(V196="",V206=""),"",MAX(1,SUMPRODUCT(--(INDEX('Tablas Técnicas'!$C$10:$L$644,,1)=V196),--(INDEX('Tablas Técnicas'!$C$10:$L$644,,2)=V206),INDEX('Tablas Técnicas'!$C$10:$L$644,,9))))</f>
        <v/>
      </c>
      <c r="AB206" s="5926"/>
      <c r="AC206" s="5927"/>
      <c r="AD206" s="5927"/>
      <c r="AE206" s="5927"/>
      <c r="AF206" s="5927"/>
      <c r="AG206" s="1733" t="str">
        <f>IF(OR(AB196="",AB206=""),"",MAX(1,SUMPRODUCT(--(INDEX('Tablas Técnicas'!$C$10:$L$644,,1)=AB196),--(INDEX('Tablas Técnicas'!$C$10:$L$644,,2)=AB206),INDEX('Tablas Técnicas'!$C$10:$L$644,,9))))</f>
        <v/>
      </c>
      <c r="AH206" s="1943">
        <f>P183</f>
        <v>1</v>
      </c>
      <c r="AI206" s="6011"/>
      <c r="AJ206" s="3986" t="s">
        <v>8860</v>
      </c>
      <c r="AK206" s="3986"/>
      <c r="AL206" s="3986"/>
      <c r="AM206" s="3986" t="b">
        <f>AND(COUNTIF(K187:M191,"Mantenido"),OR(COUNTIF(K187:M191,"Sostenimiento Menor"),COUNTIF(K187:M191,"Sostenimiento Mayor")))</f>
        <v>0</v>
      </c>
      <c r="AN206" s="3987"/>
      <c r="AO206" s="3986"/>
      <c r="AP206" s="3986"/>
      <c r="AQ206" s="3986"/>
      <c r="AR206" s="3986"/>
      <c r="AS206" s="3986"/>
      <c r="AT206" s="3986"/>
      <c r="AU206" s="1868"/>
      <c r="AV206" s="1868"/>
      <c r="AW206" s="1868"/>
      <c r="AX206" s="1868"/>
      <c r="AY206" s="3986"/>
      <c r="AZ206" s="1868"/>
      <c r="BA206" s="1868"/>
      <c r="BB206" s="1868"/>
      <c r="BC206" s="1868"/>
      <c r="BD206" s="1868"/>
      <c r="BE206" s="1868"/>
      <c r="BF206" s="1868"/>
      <c r="BG206" s="1868"/>
      <c r="BH206" s="1868"/>
      <c r="BI206" s="1868"/>
      <c r="BJ206" s="1868"/>
      <c r="BK206" s="1868"/>
      <c r="BL206" s="1868"/>
      <c r="BM206" s="1868"/>
      <c r="BN206" s="1868"/>
      <c r="BO206" s="1868"/>
      <c r="BP206" s="1868"/>
      <c r="BQ206" s="1868"/>
      <c r="BR206" s="1868"/>
    </row>
    <row r="207" spans="1:70" ht="12.2" customHeight="1">
      <c r="A207" s="1935"/>
      <c r="B207" s="1866">
        <f t="shared" si="4"/>
        <v>6</v>
      </c>
      <c r="C207" s="6009"/>
      <c r="D207" s="5873" t="s">
        <v>1408</v>
      </c>
      <c r="E207" s="5874"/>
      <c r="F207" s="5874"/>
      <c r="G207" s="5874"/>
      <c r="H207" s="5874"/>
      <c r="I207" s="5874"/>
      <c r="J207" s="5874"/>
      <c r="K207" s="5874"/>
      <c r="L207" s="5874"/>
      <c r="M207" s="5874"/>
      <c r="N207" s="5874"/>
      <c r="O207" s="5874"/>
      <c r="P207" s="5874"/>
      <c r="Q207" s="5874"/>
      <c r="R207" s="5874"/>
      <c r="S207" s="5874"/>
      <c r="T207" s="5874"/>
      <c r="U207" s="5874"/>
      <c r="V207" s="5874"/>
      <c r="W207" s="5874"/>
      <c r="X207" s="5874"/>
      <c r="Y207" s="5874"/>
      <c r="Z207" s="5874"/>
      <c r="AA207" s="5874"/>
      <c r="AB207" s="5874"/>
      <c r="AC207" s="5874"/>
      <c r="AD207" s="5874"/>
      <c r="AE207" s="5874"/>
      <c r="AF207" s="5874"/>
      <c r="AG207" s="5875"/>
      <c r="AH207" s="1943"/>
      <c r="AI207" s="6011"/>
      <c r="AJ207" s="3986" t="s">
        <v>8859</v>
      </c>
      <c r="AK207" s="3986"/>
      <c r="AL207" s="3986"/>
      <c r="AM207" s="398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986"/>
      <c r="AO207" s="3986"/>
      <c r="AP207" s="3986"/>
      <c r="AQ207" s="3987"/>
      <c r="AR207" s="3986"/>
      <c r="AS207" s="3986"/>
      <c r="AT207" s="3986"/>
      <c r="AU207" s="1868"/>
      <c r="AV207" s="1868"/>
      <c r="AW207" s="1868"/>
      <c r="AX207" s="1868"/>
      <c r="AY207" s="3986"/>
      <c r="AZ207" s="1868"/>
      <c r="BA207" s="1868"/>
      <c r="BB207" s="1868"/>
      <c r="BC207" s="1868"/>
      <c r="BD207" s="1868"/>
      <c r="BE207" s="1868"/>
      <c r="BF207" s="1868"/>
      <c r="BG207" s="1868"/>
      <c r="BH207" s="1868"/>
      <c r="BI207" s="1868"/>
      <c r="BJ207" s="1868"/>
      <c r="BK207" s="1868"/>
      <c r="BL207" s="1868"/>
      <c r="BM207" s="1868"/>
      <c r="BN207" s="1868"/>
      <c r="BO207" s="1868"/>
      <c r="BP207" s="1868"/>
      <c r="BQ207" s="1868"/>
      <c r="BR207" s="1868"/>
    </row>
    <row r="208" spans="1:70" ht="12.2" customHeight="1">
      <c r="A208" s="1935"/>
      <c r="B208" s="1866">
        <f t="shared" si="4"/>
        <v>6</v>
      </c>
      <c r="C208" s="6009"/>
      <c r="D208" s="5868"/>
      <c r="E208" s="5869"/>
      <c r="F208" s="5869"/>
      <c r="G208" s="5869"/>
      <c r="H208" s="5869"/>
      <c r="I208" s="5869"/>
      <c r="J208" s="5869"/>
      <c r="K208" s="5869"/>
      <c r="L208" s="5869"/>
      <c r="M208" s="5869"/>
      <c r="N208" s="5869"/>
      <c r="O208" s="5869"/>
      <c r="P208" s="5869"/>
      <c r="Q208" s="5869"/>
      <c r="R208" s="5869"/>
      <c r="S208" s="5869"/>
      <c r="T208" s="5869"/>
      <c r="U208" s="5869"/>
      <c r="V208" s="5869"/>
      <c r="W208" s="5869"/>
      <c r="X208" s="5869"/>
      <c r="Y208" s="5869"/>
      <c r="Z208" s="5869"/>
      <c r="AA208" s="5869"/>
      <c r="AB208" s="5869"/>
      <c r="AC208" s="5869"/>
      <c r="AD208" s="5869"/>
      <c r="AE208" s="5869"/>
      <c r="AF208" s="5869"/>
      <c r="AG208" s="5870"/>
      <c r="AH208" s="1943"/>
      <c r="AI208" s="6011"/>
      <c r="AJ208" s="3986" t="s">
        <v>8867</v>
      </c>
      <c r="AK208" s="3986"/>
      <c r="AL208" s="3986"/>
      <c r="AM208" s="398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986"/>
      <c r="AO208" s="3986"/>
      <c r="AP208" s="3986"/>
      <c r="AQ208" s="3987"/>
      <c r="AR208" s="3986"/>
      <c r="AS208" s="3986"/>
      <c r="AT208" s="3986"/>
      <c r="AU208" s="1868"/>
      <c r="AV208" s="1868"/>
      <c r="AW208" s="1868"/>
      <c r="AX208" s="1868"/>
      <c r="AY208" s="3986"/>
      <c r="AZ208" s="1868"/>
      <c r="BA208" s="1868"/>
      <c r="BB208" s="1868"/>
      <c r="BC208" s="1868"/>
      <c r="BD208" s="1868"/>
      <c r="BE208" s="1868"/>
      <c r="BF208" s="1868"/>
      <c r="BG208" s="1868"/>
      <c r="BH208" s="1868"/>
      <c r="BI208" s="1868"/>
      <c r="BJ208" s="1868"/>
      <c r="BK208" s="1868"/>
      <c r="BL208" s="1868"/>
      <c r="BM208" s="1868"/>
      <c r="BN208" s="1868"/>
      <c r="BO208" s="1868"/>
      <c r="BP208" s="1868"/>
      <c r="BQ208" s="1868"/>
      <c r="BR208" s="1868"/>
    </row>
    <row r="209" spans="1:70" ht="12.2" customHeight="1">
      <c r="A209" s="1935"/>
      <c r="B209" s="1866">
        <f t="shared" si="4"/>
        <v>6</v>
      </c>
      <c r="C209" s="6009"/>
      <c r="D209" s="5868"/>
      <c r="E209" s="5869"/>
      <c r="F209" s="5869"/>
      <c r="G209" s="5869"/>
      <c r="H209" s="5869"/>
      <c r="I209" s="5869"/>
      <c r="J209" s="5869"/>
      <c r="K209" s="5869"/>
      <c r="L209" s="5869"/>
      <c r="M209" s="5869"/>
      <c r="N209" s="5869"/>
      <c r="O209" s="5869"/>
      <c r="P209" s="5869"/>
      <c r="Q209" s="5869"/>
      <c r="R209" s="5869"/>
      <c r="S209" s="5869"/>
      <c r="T209" s="5869"/>
      <c r="U209" s="5869"/>
      <c r="V209" s="5869"/>
      <c r="W209" s="5869"/>
      <c r="X209" s="5869"/>
      <c r="Y209" s="5869"/>
      <c r="Z209" s="5869"/>
      <c r="AA209" s="5869"/>
      <c r="AB209" s="5869"/>
      <c r="AC209" s="5869"/>
      <c r="AD209" s="5869"/>
      <c r="AE209" s="5869"/>
      <c r="AF209" s="5869"/>
      <c r="AG209" s="5870"/>
      <c r="AH209" s="1943"/>
      <c r="AI209" s="6011"/>
      <c r="AJ209" s="3986" t="s">
        <v>8846</v>
      </c>
      <c r="AK209" s="3986"/>
      <c r="AL209" s="3986"/>
      <c r="AM209" s="3986" t="b">
        <f>AND((IF(SUM(V187:V191)&gt;0,1,0)+IF(SUM(X187:X191)&gt;0,1,0)+IF(SUM(Z187:Z191)&gt;0,1,0)+IF(SUM(AB187:AB191)&gt;0,1,0)+IF(SUM(AD187:AD191,)&gt;0,1,0)+IF(SUM(AF187:AF191)&gt;0,1,0))&lt;3,OR(V194&lt;0,X194&lt;0,Z194&lt;0,AB194&lt;0,AD194&lt;0,AF194&lt;0,Y192&lt;0))</f>
        <v>0</v>
      </c>
      <c r="AN209" s="3986"/>
      <c r="AO209" s="3986"/>
      <c r="AP209" s="3986"/>
      <c r="AQ209" s="3987"/>
      <c r="AR209" s="3986"/>
      <c r="AS209" s="3986"/>
      <c r="AT209" s="3986"/>
      <c r="AU209" s="1868"/>
      <c r="AV209" s="1868"/>
      <c r="AW209" s="1868"/>
      <c r="AX209" s="1868"/>
      <c r="AY209" s="3986"/>
      <c r="AZ209" s="1868"/>
      <c r="BA209" s="1868"/>
      <c r="BB209" s="1868"/>
      <c r="BC209" s="1868"/>
      <c r="BD209" s="1868"/>
      <c r="BE209" s="1868"/>
      <c r="BF209" s="1868"/>
      <c r="BG209" s="1868"/>
      <c r="BH209" s="1868"/>
      <c r="BI209" s="1868"/>
      <c r="BJ209" s="1868"/>
      <c r="BK209" s="1868"/>
      <c r="BL209" s="1868"/>
      <c r="BM209" s="1868"/>
      <c r="BN209" s="1868"/>
      <c r="BO209" s="1868"/>
      <c r="BP209" s="1868"/>
      <c r="BQ209" s="1868"/>
      <c r="BR209" s="1868"/>
    </row>
    <row r="210" spans="1:70" ht="12.2" customHeight="1">
      <c r="A210" s="1935"/>
      <c r="B210" s="1866">
        <f t="shared" si="4"/>
        <v>6</v>
      </c>
      <c r="C210" s="6009"/>
      <c r="D210" s="5868"/>
      <c r="E210" s="5869"/>
      <c r="F210" s="5869"/>
      <c r="G210" s="5869"/>
      <c r="H210" s="5869"/>
      <c r="I210" s="5869"/>
      <c r="J210" s="5869"/>
      <c r="K210" s="5869"/>
      <c r="L210" s="5869"/>
      <c r="M210" s="5869"/>
      <c r="N210" s="5869"/>
      <c r="O210" s="5869"/>
      <c r="P210" s="5869"/>
      <c r="Q210" s="5869"/>
      <c r="R210" s="5869"/>
      <c r="S210" s="5869"/>
      <c r="T210" s="5869"/>
      <c r="U210" s="5869"/>
      <c r="V210" s="5869"/>
      <c r="W210" s="5869"/>
      <c r="X210" s="5869"/>
      <c r="Y210" s="5869"/>
      <c r="Z210" s="5869"/>
      <c r="AA210" s="5869"/>
      <c r="AB210" s="5869"/>
      <c r="AC210" s="5869"/>
      <c r="AD210" s="5869"/>
      <c r="AE210" s="5869"/>
      <c r="AF210" s="5869"/>
      <c r="AG210" s="5870"/>
      <c r="AH210" s="1943"/>
      <c r="AI210" s="6011"/>
      <c r="AJ210" s="3986" t="s">
        <v>8861</v>
      </c>
      <c r="AK210" s="3986"/>
      <c r="AL210" s="3986"/>
      <c r="AM210" s="3986" t="b">
        <f>OR(-V194&gt;TRUNC(SUM(V187:V191)/2),-X194&gt;TRUNC(SUM(X187:X191)/2),-Z194&gt;TRUNC(SUM(Z187:Z191)/2),-AB194&gt;TRUNC(SUM(AB187:AB191)/2),-AD194&gt;TRUNC(SUM(AD187:AD191)/2),-AF194&gt;TRUNC(SUM(AF187:AF191)/2))</f>
        <v>0</v>
      </c>
      <c r="AN210" s="3986"/>
      <c r="AO210" s="3986"/>
      <c r="AP210" s="3986"/>
      <c r="AQ210" s="3987"/>
      <c r="AR210" s="3986"/>
      <c r="AS210" s="3986"/>
      <c r="AT210" s="3986"/>
      <c r="AU210" s="1868"/>
      <c r="AV210" s="1868"/>
      <c r="AW210" s="1868"/>
      <c r="AX210" s="1868"/>
      <c r="AY210" s="3986"/>
      <c r="AZ210" s="1868"/>
      <c r="BA210" s="1868"/>
      <c r="BB210" s="1868"/>
      <c r="BC210" s="1868"/>
      <c r="BD210" s="1868"/>
      <c r="BE210" s="1868"/>
      <c r="BF210" s="1868"/>
      <c r="BG210" s="1868"/>
      <c r="BH210" s="1868"/>
      <c r="BI210" s="1868"/>
      <c r="BJ210" s="1868"/>
      <c r="BK210" s="1868"/>
      <c r="BL210" s="1868"/>
      <c r="BM210" s="1868"/>
      <c r="BN210" s="1868"/>
      <c r="BO210" s="1868"/>
      <c r="BP210" s="1868"/>
      <c r="BQ210" s="1868"/>
      <c r="BR210" s="1868"/>
    </row>
    <row r="211" spans="1:70" ht="12.2" customHeight="1">
      <c r="A211" s="1935"/>
      <c r="B211" s="1866">
        <f t="shared" si="4"/>
        <v>6</v>
      </c>
      <c r="C211" s="6009"/>
      <c r="D211" s="5868"/>
      <c r="E211" s="5869"/>
      <c r="F211" s="5869"/>
      <c r="G211" s="5869"/>
      <c r="H211" s="5869"/>
      <c r="I211" s="5869"/>
      <c r="J211" s="5869"/>
      <c r="K211" s="5869"/>
      <c r="L211" s="5869"/>
      <c r="M211" s="5869"/>
      <c r="N211" s="5869"/>
      <c r="O211" s="5869"/>
      <c r="P211" s="5869"/>
      <c r="Q211" s="5869"/>
      <c r="R211" s="5869"/>
      <c r="S211" s="5869"/>
      <c r="T211" s="5869"/>
      <c r="U211" s="5869"/>
      <c r="V211" s="5869"/>
      <c r="W211" s="5869"/>
      <c r="X211" s="5869"/>
      <c r="Y211" s="5869"/>
      <c r="Z211" s="5869"/>
      <c r="AA211" s="5869"/>
      <c r="AB211" s="5869"/>
      <c r="AC211" s="5869"/>
      <c r="AD211" s="5869"/>
      <c r="AE211" s="5869"/>
      <c r="AF211" s="5869"/>
      <c r="AG211" s="5870"/>
      <c r="AH211" s="1943"/>
      <c r="AI211" s="6011"/>
      <c r="AJ211" s="3986" t="s">
        <v>8862</v>
      </c>
      <c r="AK211" s="3986"/>
      <c r="AL211" s="3986"/>
      <c r="AM211" s="3986" t="b">
        <f>COUNTIF(D187:E191,"Primario")&gt;1</f>
        <v>0</v>
      </c>
      <c r="AN211" s="3986"/>
      <c r="AO211" s="3986"/>
      <c r="AP211" s="3986"/>
      <c r="AQ211" s="3987"/>
      <c r="AR211" s="3987"/>
      <c r="AS211" s="3987"/>
      <c r="AT211" s="3987"/>
      <c r="AU211" s="1868"/>
      <c r="AV211" s="1868"/>
      <c r="AW211" s="1868"/>
      <c r="AX211" s="3986"/>
      <c r="AY211" s="3986"/>
      <c r="AZ211" s="1868"/>
      <c r="BA211" s="1868"/>
      <c r="BB211" s="1868"/>
      <c r="BC211" s="1868"/>
      <c r="BD211" s="1868"/>
      <c r="BE211" s="1868"/>
      <c r="BF211" s="1868"/>
      <c r="BG211" s="1868"/>
      <c r="BH211" s="1868"/>
      <c r="BI211" s="1868"/>
      <c r="BJ211" s="1868"/>
      <c r="BK211" s="1868"/>
      <c r="BL211" s="1868"/>
      <c r="BM211" s="1868"/>
      <c r="BN211" s="1868"/>
      <c r="BO211" s="1868"/>
      <c r="BP211" s="1868"/>
      <c r="BQ211" s="1868"/>
      <c r="BR211" s="1868"/>
    </row>
    <row r="212" spans="1:70" ht="12.2" customHeight="1">
      <c r="A212" s="1935"/>
      <c r="B212" s="1866">
        <f t="shared" si="4"/>
        <v>6</v>
      </c>
      <c r="C212" s="6009"/>
      <c r="D212" s="5868"/>
      <c r="E212" s="5869"/>
      <c r="F212" s="5869"/>
      <c r="G212" s="5869"/>
      <c r="H212" s="5869"/>
      <c r="I212" s="5869"/>
      <c r="J212" s="5869"/>
      <c r="K212" s="5869"/>
      <c r="L212" s="5869"/>
      <c r="M212" s="5869"/>
      <c r="N212" s="5869"/>
      <c r="O212" s="5869"/>
      <c r="P212" s="5869"/>
      <c r="Q212" s="5869"/>
      <c r="R212" s="5869"/>
      <c r="S212" s="5869"/>
      <c r="T212" s="5869"/>
      <c r="U212" s="5869"/>
      <c r="V212" s="5869"/>
      <c r="W212" s="5869"/>
      <c r="X212" s="5869"/>
      <c r="Y212" s="5869"/>
      <c r="Z212" s="5869"/>
      <c r="AA212" s="5869"/>
      <c r="AB212" s="5869"/>
      <c r="AC212" s="5869"/>
      <c r="AD212" s="5869"/>
      <c r="AE212" s="5869"/>
      <c r="AF212" s="5869"/>
      <c r="AG212" s="5870"/>
      <c r="AH212" s="1943"/>
      <c r="AI212" s="6011"/>
      <c r="AJ212" s="3986" t="s">
        <v>8845</v>
      </c>
      <c r="AK212" s="3986"/>
      <c r="AL212" s="3986"/>
      <c r="AM212" s="3986" t="b">
        <f>SUM(V194:AG194)&lt;&gt;Y192+ABS(AC192)*2/5+IF(S183="Sí",3*P183,0)</f>
        <v>0</v>
      </c>
      <c r="AN212" s="3986"/>
      <c r="AO212" s="3986"/>
      <c r="AP212" s="3986"/>
      <c r="AQ212" s="3987"/>
      <c r="AR212" s="3987"/>
      <c r="AS212" s="3987"/>
      <c r="AT212" s="3987"/>
      <c r="AU212" s="1868"/>
      <c r="AV212" s="1868"/>
      <c r="AW212" s="1868"/>
      <c r="AX212" s="3986"/>
      <c r="AY212" s="3986"/>
      <c r="AZ212" s="1868"/>
      <c r="BA212" s="1868"/>
      <c r="BB212" s="1868"/>
      <c r="BC212" s="1868"/>
      <c r="BD212" s="1868"/>
      <c r="BE212" s="1868"/>
      <c r="BF212" s="1868"/>
      <c r="BG212" s="1868"/>
      <c r="BH212" s="1868"/>
      <c r="BI212" s="1868"/>
      <c r="BJ212" s="1868"/>
      <c r="BK212" s="1868"/>
      <c r="BL212" s="1868"/>
      <c r="BM212" s="1868"/>
      <c r="BN212" s="1868"/>
      <c r="BO212" s="1868"/>
      <c r="BP212" s="1868"/>
      <c r="BQ212" s="1868"/>
      <c r="BR212" s="1868"/>
    </row>
    <row r="213" spans="1:70" ht="12.2" customHeight="1">
      <c r="A213" s="1935"/>
      <c r="B213" s="1866">
        <f t="shared" si="4"/>
        <v>6</v>
      </c>
      <c r="C213" s="6009"/>
      <c r="D213" s="5868"/>
      <c r="E213" s="5869"/>
      <c r="F213" s="5869"/>
      <c r="G213" s="5869"/>
      <c r="H213" s="5869"/>
      <c r="I213" s="5869"/>
      <c r="J213" s="5869"/>
      <c r="K213" s="5869"/>
      <c r="L213" s="5869"/>
      <c r="M213" s="5869"/>
      <c r="N213" s="5869"/>
      <c r="O213" s="5869"/>
      <c r="P213" s="5869"/>
      <c r="Q213" s="5869"/>
      <c r="R213" s="5869"/>
      <c r="S213" s="5869"/>
      <c r="T213" s="5869"/>
      <c r="U213" s="5869"/>
      <c r="V213" s="5869"/>
      <c r="W213" s="5869"/>
      <c r="X213" s="5869"/>
      <c r="Y213" s="5869"/>
      <c r="Z213" s="5869"/>
      <c r="AA213" s="5869"/>
      <c r="AB213" s="5869"/>
      <c r="AC213" s="5869"/>
      <c r="AD213" s="5869"/>
      <c r="AE213" s="5869"/>
      <c r="AF213" s="5869"/>
      <c r="AG213" s="5870"/>
      <c r="AH213" s="1943"/>
      <c r="AI213" s="6011"/>
      <c r="AJ213" s="3986" t="s">
        <v>8844</v>
      </c>
      <c r="AK213" s="3986"/>
      <c r="AL213" s="3986"/>
      <c r="AM213" s="3986" t="b">
        <f>AL200-AL201+AM200-AM201&lt;&gt;0</f>
        <v>0</v>
      </c>
      <c r="AN213" s="1868"/>
      <c r="AO213" s="1868"/>
      <c r="AP213" s="1868"/>
      <c r="AQ213" s="1868"/>
      <c r="AR213" s="3987"/>
      <c r="AS213" s="3987"/>
      <c r="AT213" s="3987"/>
      <c r="AU213" s="1868"/>
      <c r="AV213" s="1868"/>
      <c r="AW213" s="1868"/>
      <c r="AX213" s="3986"/>
      <c r="AY213" s="3986"/>
      <c r="AZ213" s="1868"/>
      <c r="BA213" s="1868"/>
      <c r="BB213" s="1868"/>
      <c r="BC213" s="1868"/>
      <c r="BD213" s="1868"/>
      <c r="BE213" s="1868"/>
      <c r="BF213" s="1868"/>
      <c r="BG213" s="1868"/>
      <c r="BH213" s="1868"/>
      <c r="BI213" s="1868"/>
      <c r="BJ213" s="1868"/>
      <c r="BK213" s="1868"/>
      <c r="BL213" s="1868"/>
      <c r="BM213" s="1868"/>
      <c r="BN213" s="1868"/>
      <c r="BO213" s="1868"/>
      <c r="BP213" s="1868"/>
      <c r="BQ213" s="1868"/>
      <c r="BR213" s="1868"/>
    </row>
    <row r="214" spans="1:70" ht="12.2" customHeight="1" thickBot="1">
      <c r="A214" s="1935"/>
      <c r="B214" s="1866"/>
      <c r="C214" s="6010"/>
      <c r="D214" s="601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6013"/>
      <c r="F214" s="6013"/>
      <c r="G214" s="6013"/>
      <c r="H214" s="6013"/>
      <c r="I214" s="6013"/>
      <c r="J214" s="6013"/>
      <c r="K214" s="6013"/>
      <c r="L214" s="6013"/>
      <c r="M214" s="6013"/>
      <c r="N214" s="6013"/>
      <c r="O214" s="6013"/>
      <c r="P214" s="6013"/>
      <c r="Q214" s="6013"/>
      <c r="R214" s="6013"/>
      <c r="S214" s="6013"/>
      <c r="T214" s="6013"/>
      <c r="U214" s="6013"/>
      <c r="V214" s="6013"/>
      <c r="W214" s="6013"/>
      <c r="X214" s="6013"/>
      <c r="Y214" s="6013"/>
      <c r="Z214" s="6013"/>
      <c r="AA214" s="6013"/>
      <c r="AB214" s="6013"/>
      <c r="AC214" s="6013"/>
      <c r="AD214" s="6013"/>
      <c r="AE214" s="6013"/>
      <c r="AF214" s="6013"/>
      <c r="AG214" s="6014"/>
      <c r="AH214" s="1943"/>
      <c r="AI214" s="6011"/>
      <c r="AJ214" s="3986" t="s">
        <v>8881</v>
      </c>
      <c r="AK214" s="1868"/>
      <c r="AL214" s="1868"/>
      <c r="AM214" s="1868" t="b">
        <f>ABS(SUM(N192:N194))&gt;(SUM(N187:N191)-10*Y192+AC192+IF(S183="Sí",10*P183,0)+IF(COUNTIF(K187:M191,"Mantenido")&gt;0,P183*10)+MAX(IF(COUNTIF(K187:M191,"Sostenimiento Menor")&gt;0,P183*20)+IF(COUNTIF(K187:M191,"Sostenimiento Mayor")&gt;0,P183*30)))/2</f>
        <v>0</v>
      </c>
      <c r="AN214" s="3986"/>
      <c r="AO214" s="3986"/>
      <c r="AP214" s="3986"/>
      <c r="AQ214" s="3986"/>
      <c r="AR214" s="3987"/>
      <c r="AS214" s="3987"/>
      <c r="AT214" s="3987"/>
      <c r="AU214" s="1868"/>
      <c r="AV214" s="1868"/>
      <c r="AW214" s="1868"/>
      <c r="AX214" s="3986"/>
      <c r="AY214" s="3986"/>
      <c r="AZ214" s="1868"/>
      <c r="BA214" s="1868"/>
      <c r="BB214" s="1868"/>
      <c r="BC214" s="1868"/>
      <c r="BD214" s="1868"/>
      <c r="BE214" s="1868"/>
      <c r="BF214" s="1868"/>
      <c r="BG214" s="1868"/>
      <c r="BH214" s="1868"/>
      <c r="BI214" s="1868"/>
      <c r="BJ214" s="1868"/>
      <c r="BK214" s="1868"/>
      <c r="BL214" s="1868"/>
      <c r="BM214" s="1868"/>
      <c r="BN214" s="1868"/>
      <c r="BO214" s="1868"/>
      <c r="BP214" s="1868"/>
      <c r="BQ214" s="1868"/>
      <c r="BR214" s="1868"/>
    </row>
    <row r="215" spans="1:70" ht="12.2" customHeight="1">
      <c r="A215" s="1935"/>
      <c r="B215" s="1866"/>
      <c r="C215" s="5935"/>
      <c r="D215" s="5935" t="str">
        <f>IFERROR(VLOOKUP(D196,'Tablas Técnicas'!$O$9:$T$88,2,FALSE),"")</f>
        <v/>
      </c>
      <c r="E215" s="5935"/>
      <c r="F215" s="5935"/>
      <c r="G215" s="5935"/>
      <c r="H215" s="5935"/>
      <c r="I215" s="5935"/>
      <c r="J215" s="5935" t="str">
        <f>IFERROR(VLOOKUP(J196,'Tablas Técnicas'!$O$9:$T$88,2,FALSE),"")</f>
        <v/>
      </c>
      <c r="K215" s="5935"/>
      <c r="L215" s="5935"/>
      <c r="M215" s="5935"/>
      <c r="N215" s="5935"/>
      <c r="O215" s="5935"/>
      <c r="P215" s="5935" t="str">
        <f>IFERROR(VLOOKUP(P196,'Tablas Técnicas'!$O$9:$T$88,2,FALSE),"")</f>
        <v/>
      </c>
      <c r="Q215" s="5935"/>
      <c r="R215" s="5935"/>
      <c r="S215" s="5935"/>
      <c r="T215" s="5935"/>
      <c r="U215" s="5935"/>
      <c r="V215" s="5935" t="str">
        <f>IFERROR(VLOOKUP(V196,'Tablas Técnicas'!$O$9:$T$88,2,FALSE),"")</f>
        <v/>
      </c>
      <c r="W215" s="5935"/>
      <c r="X215" s="5935"/>
      <c r="Y215" s="5935"/>
      <c r="Z215" s="5935"/>
      <c r="AA215" s="5935"/>
      <c r="AB215" s="5935" t="str">
        <f>IFERROR(VLOOKUP(AB196,'Tablas Técnicas'!$O$9:$T$88,2,FALSE),"")</f>
        <v/>
      </c>
      <c r="AC215" s="5935"/>
      <c r="AD215" s="5935"/>
      <c r="AE215" s="5935"/>
      <c r="AF215" s="5935"/>
      <c r="AG215" s="5935"/>
      <c r="AH215" s="1943"/>
      <c r="AI215" s="1712"/>
      <c r="AJ215" s="3986"/>
      <c r="AK215" s="3986"/>
      <c r="AL215" s="3986"/>
      <c r="AM215" s="3986"/>
      <c r="AN215" s="3986"/>
      <c r="AO215" s="3986"/>
      <c r="AP215" s="3986"/>
      <c r="AQ215" s="3986"/>
      <c r="AR215" s="3987"/>
      <c r="AS215" s="3987"/>
      <c r="AT215" s="3987"/>
      <c r="AU215" s="1868"/>
      <c r="AV215" s="1868"/>
      <c r="AW215" s="1868"/>
      <c r="AX215" s="1868"/>
      <c r="AY215" s="3986"/>
      <c r="AZ215" s="1868"/>
      <c r="BA215" s="1868"/>
      <c r="BB215" s="1868"/>
      <c r="BC215" s="1868"/>
      <c r="BD215" s="1868"/>
      <c r="BE215" s="1868"/>
      <c r="BF215" s="1868"/>
      <c r="BG215" s="1868"/>
      <c r="BH215" s="1868"/>
      <c r="BI215" s="1868"/>
      <c r="BJ215" s="1868"/>
      <c r="BK215" s="1868"/>
      <c r="BL215" s="1868"/>
      <c r="BM215" s="1868"/>
      <c r="BN215" s="1868"/>
      <c r="BO215" s="1868"/>
      <c r="BP215" s="1868"/>
      <c r="BQ215" s="1868"/>
      <c r="BR215" s="1868"/>
    </row>
    <row r="216" spans="1:70" ht="12.2" customHeight="1" thickBot="1">
      <c r="A216" s="1935"/>
      <c r="B216" s="1866"/>
      <c r="C216" s="5935"/>
      <c r="D216" s="2024"/>
      <c r="E216" s="1868"/>
      <c r="F216" s="1868"/>
      <c r="G216" s="1868"/>
      <c r="H216" s="1868"/>
      <c r="I216" s="1868"/>
      <c r="J216" s="1868"/>
      <c r="K216" s="1868"/>
      <c r="L216" s="1868"/>
      <c r="M216" s="1868"/>
      <c r="N216" s="1868"/>
      <c r="O216" s="1868"/>
      <c r="P216" s="1868"/>
      <c r="Q216" s="1868"/>
      <c r="R216" s="1868"/>
      <c r="S216" s="1868"/>
      <c r="T216" s="1868"/>
      <c r="U216" s="1868"/>
      <c r="V216" s="2025"/>
      <c r="W216" s="2025"/>
      <c r="X216" s="2025"/>
      <c r="Y216" s="2025"/>
      <c r="Z216" s="2025"/>
      <c r="AA216" s="2025"/>
      <c r="AB216" s="2025"/>
      <c r="AC216" s="2025"/>
      <c r="AD216" s="2025"/>
      <c r="AE216" s="2025"/>
      <c r="AF216" s="1868"/>
      <c r="AG216" s="1868"/>
      <c r="AH216" s="1943"/>
      <c r="AI216" s="1712"/>
      <c r="AJ216" s="3991"/>
      <c r="AK216" s="3991"/>
      <c r="AL216" s="3991"/>
      <c r="AM216" s="3991"/>
      <c r="AN216" s="3991"/>
      <c r="AO216" s="3991"/>
      <c r="AP216" s="3986"/>
      <c r="AQ216" s="3987"/>
      <c r="AR216" s="1868"/>
      <c r="AS216" s="1868"/>
      <c r="AT216" s="1868"/>
      <c r="AU216" s="1868"/>
      <c r="AV216" s="1868"/>
      <c r="AW216" s="1868"/>
      <c r="AX216" s="1868"/>
      <c r="AY216" s="3992"/>
      <c r="AZ216" s="1868"/>
      <c r="BA216" s="1868"/>
      <c r="BB216" s="1868"/>
      <c r="BC216" s="1868"/>
      <c r="BD216" s="1868"/>
      <c r="BE216" s="1868"/>
      <c r="BF216" s="1868"/>
      <c r="BG216" s="1868"/>
      <c r="BH216" s="1868"/>
      <c r="BI216" s="1868"/>
      <c r="BJ216" s="1868"/>
      <c r="BK216" s="1868"/>
      <c r="BL216" s="1868"/>
      <c r="BM216" s="1868"/>
      <c r="BN216" s="1868"/>
      <c r="BO216" s="1868"/>
      <c r="BP216" s="1868"/>
      <c r="BQ216" s="1868"/>
      <c r="BR216" s="1868"/>
    </row>
    <row r="217" spans="1:70" ht="12.2" customHeight="1">
      <c r="A217" s="1935"/>
      <c r="B217" s="1866">
        <f t="shared" ref="B217:B247" si="5">1+B183</f>
        <v>7</v>
      </c>
      <c r="C217" s="6008" t="str">
        <f>"Técnica "&amp;B217</f>
        <v>Técnica 7</v>
      </c>
      <c r="D217" s="5974" t="s">
        <v>8267</v>
      </c>
      <c r="E217" s="5975"/>
      <c r="F217" s="5975"/>
      <c r="G217" s="5975"/>
      <c r="H217" s="5975"/>
      <c r="I217" s="5975"/>
      <c r="J217" s="5975"/>
      <c r="K217" s="5975"/>
      <c r="L217" s="5975"/>
      <c r="M217" s="5975"/>
      <c r="N217" s="5976"/>
      <c r="O217" s="5971" t="s">
        <v>1186</v>
      </c>
      <c r="P217" s="5973">
        <v>1</v>
      </c>
      <c r="Q217" s="5916" t="s">
        <v>8350</v>
      </c>
      <c r="R217" s="5967"/>
      <c r="S217" s="5969" t="s">
        <v>1241</v>
      </c>
      <c r="T217" s="5917" t="s">
        <v>1365</v>
      </c>
      <c r="U217" s="5897">
        <f>MAX(IF(P217=3,60,IF(P217=2,40,20)),MIN(SUM(N221:N228)-10*Y226+AC226+IF(S217="Sí",10*P217,0)+IF(COUNTIF(K221:M225,"Mantenido")&gt;0,P217*10)+MAX(IF(COUNTIF(K255:M259,"Sostenimiento Menor"),20+IF(P251=2,0,10),IF(COUNTIF(K255:M259,"Sostenimiento Mayor"),30+IF(P251=2,0,10))))))</f>
        <v>20</v>
      </c>
      <c r="V217" s="5916" t="s">
        <v>8351</v>
      </c>
      <c r="W217" s="5917"/>
      <c r="X217" s="5920" t="str">
        <f>IFERROR(LEFT(AK233&amp;AL233&amp;AM233&amp;AN233&amp;AO233&amp;AP233,LEN(AK233&amp;AL233&amp;AM233&amp;AN233&amp;AO233&amp;AP233)-2),"")</f>
        <v/>
      </c>
      <c r="Y217" s="5920"/>
      <c r="Z217" s="5920"/>
      <c r="AA217" s="5920"/>
      <c r="AB217" s="5920"/>
      <c r="AC217" s="5920"/>
      <c r="AD217" s="5920"/>
      <c r="AE217" s="5920"/>
      <c r="AF217" s="5920"/>
      <c r="AG217" s="5921"/>
      <c r="AH217" s="1943"/>
      <c r="AI217" s="6011"/>
      <c r="AJ217" s="3989" t="s">
        <v>8878</v>
      </c>
      <c r="AK217" s="3989"/>
      <c r="AL217" s="3989"/>
      <c r="AM217" s="3989"/>
      <c r="AN217" s="3989"/>
      <c r="AO217" s="3989"/>
      <c r="AP217" s="3989"/>
      <c r="AQ217" s="3989"/>
      <c r="AR217" s="3989"/>
      <c r="AS217" s="3986"/>
      <c r="AT217" s="3986"/>
      <c r="AU217" s="3986"/>
      <c r="AV217" s="3986"/>
      <c r="AW217" s="1868"/>
      <c r="AX217" s="1868"/>
      <c r="AY217" s="3986"/>
      <c r="AZ217" s="1868"/>
      <c r="BA217" s="1868"/>
      <c r="BB217" s="1868"/>
      <c r="BC217" s="1868"/>
      <c r="BD217" s="1868"/>
      <c r="BE217" s="1868"/>
      <c r="BF217" s="1868"/>
      <c r="BG217" s="1868"/>
      <c r="BH217" s="1868"/>
      <c r="BI217" s="1868"/>
      <c r="BJ217" s="1868"/>
      <c r="BK217" s="1868"/>
      <c r="BL217" s="1868"/>
      <c r="BM217" s="1868"/>
      <c r="BN217" s="1868"/>
      <c r="BO217" s="1868"/>
      <c r="BP217" s="1868"/>
      <c r="BQ217" s="1868"/>
      <c r="BR217" s="1868"/>
    </row>
    <row r="218" spans="1:70" ht="12.2" customHeight="1">
      <c r="A218" s="1935"/>
      <c r="B218" s="1866">
        <f t="shared" si="5"/>
        <v>7</v>
      </c>
      <c r="C218" s="6009"/>
      <c r="D218" s="5977"/>
      <c r="E218" s="5978"/>
      <c r="F218" s="5978"/>
      <c r="G218" s="5978"/>
      <c r="H218" s="5978"/>
      <c r="I218" s="5978"/>
      <c r="J218" s="5978"/>
      <c r="K218" s="5978"/>
      <c r="L218" s="5978"/>
      <c r="M218" s="5978"/>
      <c r="N218" s="5979"/>
      <c r="O218" s="5972"/>
      <c r="P218" s="5970"/>
      <c r="Q218" s="5918"/>
      <c r="R218" s="5968"/>
      <c r="S218" s="5970"/>
      <c r="T218" s="5919"/>
      <c r="U218" s="5898"/>
      <c r="V218" s="5918"/>
      <c r="W218" s="5919"/>
      <c r="X218" s="5922"/>
      <c r="Y218" s="5922"/>
      <c r="Z218" s="5922"/>
      <c r="AA218" s="5922"/>
      <c r="AB218" s="5922"/>
      <c r="AC218" s="5922"/>
      <c r="AD218" s="5922"/>
      <c r="AE218" s="5922"/>
      <c r="AF218" s="5922"/>
      <c r="AG218" s="5923"/>
      <c r="AH218" s="1943"/>
      <c r="AI218" s="6011"/>
      <c r="AJ218" s="3989"/>
      <c r="AK218" s="3989" t="s">
        <v>8879</v>
      </c>
      <c r="AL218" s="3989" t="s">
        <v>12546</v>
      </c>
      <c r="AM218" s="3990"/>
      <c r="AN218" s="3990"/>
      <c r="AO218" s="3990"/>
      <c r="AP218" s="3990"/>
      <c r="AQ218" s="3990"/>
      <c r="AR218" s="3989"/>
      <c r="AS218" s="3986"/>
      <c r="AT218" s="3986"/>
      <c r="AU218" s="3986"/>
      <c r="AV218" s="3986"/>
      <c r="AW218" s="1868"/>
      <c r="AX218" s="5935" t="s">
        <v>8848</v>
      </c>
      <c r="AY218" s="5935"/>
      <c r="AZ218" s="1868"/>
      <c r="BA218" s="1868"/>
      <c r="BB218" s="1868"/>
      <c r="BC218" s="1868"/>
      <c r="BD218" s="1868"/>
      <c r="BE218" s="1868"/>
      <c r="BF218" s="1868"/>
      <c r="BG218" s="1868"/>
      <c r="BH218" s="1868"/>
      <c r="BI218" s="1868"/>
      <c r="BJ218" s="1868"/>
      <c r="BK218" s="1868"/>
      <c r="BL218" s="1868"/>
      <c r="BM218" s="1868"/>
      <c r="BN218" s="1868"/>
      <c r="BO218" s="1868"/>
      <c r="BP218" s="1868"/>
      <c r="BQ218" s="1868"/>
      <c r="BR218" s="1868"/>
    </row>
    <row r="219" spans="1:70" ht="12.2" customHeight="1">
      <c r="A219" s="1935"/>
      <c r="B219" s="1866">
        <f t="shared" si="5"/>
        <v>7</v>
      </c>
      <c r="C219" s="6009"/>
      <c r="D219" s="5873" t="s">
        <v>2662</v>
      </c>
      <c r="E219" s="5874"/>
      <c r="F219" s="5874"/>
      <c r="G219" s="5874"/>
      <c r="H219" s="5874"/>
      <c r="I219" s="5874"/>
      <c r="J219" s="5874"/>
      <c r="K219" s="5924" t="s">
        <v>9170</v>
      </c>
      <c r="L219" s="5924"/>
      <c r="M219" s="5924"/>
      <c r="N219" s="5874" t="s">
        <v>1359</v>
      </c>
      <c r="O219" s="5924" t="s">
        <v>2660</v>
      </c>
      <c r="P219" s="5924" t="s">
        <v>8352</v>
      </c>
      <c r="Q219" s="5874" t="s">
        <v>1224</v>
      </c>
      <c r="R219" s="5874"/>
      <c r="S219" s="5874"/>
      <c r="T219" s="5874"/>
      <c r="U219" s="5874"/>
      <c r="V219" s="5876" t="s">
        <v>1233</v>
      </c>
      <c r="W219" s="5855"/>
      <c r="X219" s="5876" t="s">
        <v>1357</v>
      </c>
      <c r="Y219" s="5980"/>
      <c r="Z219" s="5855" t="s">
        <v>1238</v>
      </c>
      <c r="AA219" s="5855"/>
      <c r="AB219" s="5876" t="s">
        <v>1243</v>
      </c>
      <c r="AC219" s="5980"/>
      <c r="AD219" s="5855" t="s">
        <v>1250</v>
      </c>
      <c r="AE219" s="5855"/>
      <c r="AF219" s="5876" t="s">
        <v>1251</v>
      </c>
      <c r="AG219" s="5856"/>
      <c r="AH219" s="1943"/>
      <c r="AI219" s="6011"/>
      <c r="AJ219" s="3986"/>
      <c r="AK219" s="3986"/>
      <c r="AL219" s="3986" t="s">
        <v>9149</v>
      </c>
      <c r="AM219" s="3986"/>
      <c r="AN219" s="3986"/>
      <c r="AO219" s="3986"/>
      <c r="AP219" s="3986"/>
      <c r="AQ219" s="3986"/>
      <c r="AR219" s="1868"/>
      <c r="AS219" s="1868" t="s">
        <v>8868</v>
      </c>
      <c r="AT219" s="1868" t="s">
        <v>8869</v>
      </c>
      <c r="AU219" s="3986" t="s">
        <v>8857</v>
      </c>
      <c r="AV219" s="3986" t="s">
        <v>8858</v>
      </c>
      <c r="AW219" s="1868" t="s">
        <v>1359</v>
      </c>
      <c r="AX219" s="1868" t="s">
        <v>8354</v>
      </c>
      <c r="AY219" s="3986" t="s">
        <v>8355</v>
      </c>
      <c r="AZ219" s="1868"/>
      <c r="BA219" s="1868"/>
      <c r="BB219" s="1868"/>
      <c r="BC219" s="1868"/>
      <c r="BD219" s="1868"/>
      <c r="BE219" s="1868"/>
      <c r="BF219" s="1868"/>
      <c r="BG219" s="1868"/>
      <c r="BH219" s="1868"/>
      <c r="BI219" s="1868"/>
      <c r="BJ219" s="1868"/>
      <c r="BK219" s="1868"/>
      <c r="BL219" s="1868"/>
      <c r="BM219" s="1868"/>
      <c r="BN219" s="1868"/>
      <c r="BO219" s="1868"/>
      <c r="BP219" s="1868"/>
      <c r="BQ219" s="1868"/>
      <c r="BR219" s="1868"/>
    </row>
    <row r="220" spans="1:70" ht="12.2" customHeight="1">
      <c r="A220" s="1935"/>
      <c r="B220" s="1866">
        <f t="shared" si="5"/>
        <v>7</v>
      </c>
      <c r="C220" s="6009"/>
      <c r="D220" s="6015"/>
      <c r="E220" s="6016"/>
      <c r="F220" s="6016"/>
      <c r="G220" s="6016"/>
      <c r="H220" s="6016"/>
      <c r="I220" s="6016"/>
      <c r="J220" s="6016"/>
      <c r="K220" s="6017"/>
      <c r="L220" s="6017"/>
      <c r="M220" s="6017"/>
      <c r="N220" s="5877"/>
      <c r="O220" s="6017"/>
      <c r="P220" s="5991"/>
      <c r="Q220" s="5877"/>
      <c r="R220" s="5877"/>
      <c r="S220" s="5877"/>
      <c r="T220" s="5877"/>
      <c r="U220" s="5877"/>
      <c r="V220" s="1870" t="s">
        <v>8847</v>
      </c>
      <c r="W220" s="1936" t="s">
        <v>2666</v>
      </c>
      <c r="X220" s="1870" t="s">
        <v>8847</v>
      </c>
      <c r="Y220" s="1936" t="s">
        <v>2666</v>
      </c>
      <c r="Z220" s="1870" t="s">
        <v>8847</v>
      </c>
      <c r="AA220" s="1936" t="s">
        <v>2666</v>
      </c>
      <c r="AB220" s="1870" t="s">
        <v>8847</v>
      </c>
      <c r="AC220" s="1936" t="s">
        <v>2666</v>
      </c>
      <c r="AD220" s="1870" t="s">
        <v>8847</v>
      </c>
      <c r="AE220" s="1936" t="s">
        <v>2666</v>
      </c>
      <c r="AF220" s="1870" t="s">
        <v>8847</v>
      </c>
      <c r="AG220" s="1719" t="s">
        <v>2666</v>
      </c>
      <c r="AH220" s="1943"/>
      <c r="AI220" s="6011"/>
      <c r="AJ220" s="3986"/>
      <c r="AK220" s="3986" t="s">
        <v>8849</v>
      </c>
      <c r="AL220" s="3986">
        <v>1</v>
      </c>
      <c r="AM220" s="3986">
        <v>2</v>
      </c>
      <c r="AN220" s="3986">
        <v>3</v>
      </c>
      <c r="AO220" s="3986">
        <v>4</v>
      </c>
      <c r="AP220" s="3986">
        <v>5</v>
      </c>
      <c r="AQ220" s="3986">
        <v>6</v>
      </c>
      <c r="AR220" s="3986">
        <v>7</v>
      </c>
      <c r="AS220" s="1868"/>
      <c r="AT220" s="3986" t="s">
        <v>8880</v>
      </c>
      <c r="AU220" s="1868"/>
      <c r="AV220" s="1868"/>
      <c r="AW220" s="1868" t="s">
        <v>8880</v>
      </c>
      <c r="AX220" s="1868"/>
      <c r="AY220" s="3986"/>
      <c r="AZ220" s="1868"/>
      <c r="BA220" s="1868"/>
      <c r="BB220" s="1868"/>
      <c r="BC220" s="1868"/>
      <c r="BD220" s="1868"/>
      <c r="BE220" s="1868"/>
      <c r="BF220" s="1868"/>
      <c r="BG220" s="1868"/>
      <c r="BH220" s="1868"/>
      <c r="BI220" s="1868"/>
      <c r="BJ220" s="1868"/>
      <c r="BK220" s="1868"/>
      <c r="BL220" s="1868"/>
      <c r="BM220" s="1868"/>
      <c r="BN220" s="1868"/>
      <c r="BO220" s="1868"/>
      <c r="BP220" s="1868"/>
      <c r="BQ220" s="1868"/>
      <c r="BR220" s="1868"/>
    </row>
    <row r="221" spans="1:70" ht="12.2" customHeight="1">
      <c r="A221" s="1935"/>
      <c r="B221" s="1866">
        <f t="shared" si="5"/>
        <v>7</v>
      </c>
      <c r="C221" s="6009"/>
      <c r="D221" s="5981" t="s">
        <v>8356</v>
      </c>
      <c r="E221" s="5982"/>
      <c r="F221" s="5929"/>
      <c r="G221" s="5930"/>
      <c r="H221" s="5930"/>
      <c r="I221" s="5930"/>
      <c r="J221" s="5931"/>
      <c r="K221" s="5932" t="s">
        <v>1315</v>
      </c>
      <c r="L221" s="5933"/>
      <c r="M221" s="5934"/>
      <c r="N221" s="1871">
        <f>IF(AW221&gt;0,IF(VLOOKUP(F221,'Tablas Técnicas'!$O$9:$X$88,10,0),MAX(5,AW221-5),AW221),0)</f>
        <v>0</v>
      </c>
      <c r="O221" s="1871" t="str">
        <f>AS221&amp;" / "&amp;AT221</f>
        <v>0 / 0</v>
      </c>
      <c r="P221" s="1871" t="str">
        <f t="array" ref="P221">W221+Y221+AA221+AC221+AE221+AG221&amp;" / "&amp;IF(K221&lt;&gt;"Mantenido",0,SUM(IF($AL221:$AR221='Tablas Técnicas'!$L$10:$L$644,'Tablas Técnicas'!$H$10:$H$644,0)))</f>
        <v>0 / 0</v>
      </c>
      <c r="Q221" s="5983" t="str">
        <f>IFERROR(VLOOKUP(F221,'Tablas Técnicas'!$O$9:$T$88,5,FALSE),"")</f>
        <v/>
      </c>
      <c r="R221" s="5983"/>
      <c r="S221" s="5983"/>
      <c r="T221" s="5983"/>
      <c r="U221" s="5983"/>
      <c r="V221" s="1822"/>
      <c r="W221" s="1823"/>
      <c r="X221" s="1822"/>
      <c r="Y221" s="1824"/>
      <c r="Z221" s="1825"/>
      <c r="AA221" s="1823"/>
      <c r="AB221" s="1822"/>
      <c r="AC221" s="1824"/>
      <c r="AD221" s="1825"/>
      <c r="AE221" s="1823"/>
      <c r="AF221" s="1822"/>
      <c r="AG221" s="1826"/>
      <c r="AH221" s="1943"/>
      <c r="AI221" s="6011"/>
      <c r="AJ221" s="3986">
        <v>1</v>
      </c>
      <c r="AK221" s="3986">
        <f>P217</f>
        <v>1</v>
      </c>
      <c r="AL221" s="3986" t="str">
        <f>IF(AND(ISNUMBER(MATCH($F221,'Tablas Técnicas'!$L$10:$L$644,0)),INDEX($D234:$D240,Tablas!A$1)="",COUNTIF(AM221:$AS221,$F221)=0),$F221,IF(INDEX($D234:$D240,Tablas!A$1)="","",$F221&amp;INDEX($D234:$D240,Tablas!A$1)))</f>
        <v/>
      </c>
      <c r="AM221" s="3986" t="str">
        <f>IF(AND(ISNUMBER(MATCH($F221,'Tablas Técnicas'!$L$10:$L$644,0)),INDEX($D234:$D240,Tablas!B$1)="",COUNTIF(AN221:$AS221,$F221)=0),$F221,IF(INDEX($D234:$D240,Tablas!B$1)="","",$F221&amp;INDEX($D234:$D240,Tablas!B$1)))</f>
        <v/>
      </c>
      <c r="AN221" s="3986" t="str">
        <f>IF(AND(ISNUMBER(MATCH($F221,'Tablas Técnicas'!$L$10:$L$644,0)),INDEX($D234:$D240,Tablas!C$1)="",COUNTIF(AO221:$AS221,$F221)=0),$F221,IF(INDEX($D234:$D240,Tablas!C$1)="","",$F221&amp;INDEX($D234:$D240,Tablas!C$1)))</f>
        <v/>
      </c>
      <c r="AO221" s="3986" t="str">
        <f>IF(AND(ISNUMBER(MATCH($F221,'Tablas Técnicas'!$L$10:$L$644,0)),INDEX($D234:$D240,Tablas!D$1)="",COUNTIF(AP221:$AS221,$F221)=0),$F221,IF(INDEX($D234:$D240,Tablas!D$1)="","",$F221&amp;INDEX($D234:$D240,Tablas!D$1)))</f>
        <v/>
      </c>
      <c r="AP221" s="3986" t="str">
        <f>IF(AND(ISNUMBER(MATCH($F221,'Tablas Técnicas'!$L$10:$L$644,0)),INDEX($D234:$D240,Tablas!E$1)="",COUNTIF(AQ221:$AS221,$F221)=0),$F221,IF(INDEX($D234:$D240,Tablas!E$1)="","",$F221&amp;INDEX($D234:$D240,Tablas!E$1)))</f>
        <v/>
      </c>
      <c r="AQ221" s="3986" t="str">
        <f>IF(AND(ISNUMBER(MATCH($F221,'Tablas Técnicas'!$L$10:$L$644,0)),INDEX($D234:$D240,Tablas!F$1)="",COUNTIF(AR221:$AS221,$F221)=0),$F221,IF(INDEX($D234:$D240,Tablas!F$1)="","",$F221&amp;INDEX($D234:$D240,Tablas!F$1)))</f>
        <v/>
      </c>
      <c r="AR221" s="3986" t="str">
        <f>IF(AND(ISNUMBER(MATCH($F221,'Tablas Técnicas'!$L$10:$L$644,0)),INDEX($D234:$D240,Tablas!G$1)="",COUNTIF(AS221:$AS221,$F221)=0),$F221,IF(INDEX($D234:$D240,Tablas!G$1)="","",$F221&amp;INDEX($D234:$D240,Tablas!G$1)))</f>
        <v/>
      </c>
      <c r="AS221" s="1868">
        <f>V221+X221+Z221+AB221+AD221+AF221</f>
        <v>0</v>
      </c>
      <c r="AT221" s="1868">
        <f t="array" ref="AT221">SUM(IF($AL221:$AR221='Tablas Técnicas'!$L$10:$L$644,IF(D221="Primario",'Tablas Técnicas'!$E$10:$E$644,'Tablas Técnicas'!$F$10:$F$644)+IF(K221="Sostenimiento menor",'Tablas Técnicas'!$I$10:$I$644,IF(K221="sostenimiento mayor",'Tablas Técnicas'!$J$10:$J$644,0)),0),0)+VALUE(RIGHT(P221,2))+AU221+AV221</f>
        <v>0</v>
      </c>
      <c r="AU221" s="186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1868">
        <f>(COUNTIF(AL221:AR221,"*Estado añadido:*")-1)*COUNTIF(AL221:AR221,"*Estado añadido:*")</f>
        <v>0</v>
      </c>
      <c r="AW221" s="1868">
        <f t="array" ref="AW221">SUM(IF($AL221:$AR221='Tablas Técnicas'!$L$10:$L$644,'Tablas Técnicas'!$G$10:$G$644,0))</f>
        <v>0</v>
      </c>
      <c r="AX221" s="398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986" t="str">
        <f>IFERROR(LEFT(AX221,LEN(AX221)-2)&amp;"), ","")</f>
        <v/>
      </c>
      <c r="AZ221" s="1868"/>
      <c r="BA221" s="1868"/>
      <c r="BB221" s="1868"/>
      <c r="BC221" s="1868"/>
      <c r="BD221" s="1868"/>
      <c r="BE221" s="1868"/>
      <c r="BF221" s="1868"/>
      <c r="BG221" s="1868"/>
      <c r="BH221" s="1868"/>
      <c r="BI221" s="1868"/>
      <c r="BJ221" s="1868"/>
      <c r="BK221" s="1868"/>
      <c r="BL221" s="1868"/>
      <c r="BM221" s="1868"/>
      <c r="BN221" s="1868"/>
      <c r="BO221" s="1868"/>
      <c r="BP221" s="1868"/>
      <c r="BQ221" s="1868"/>
      <c r="BR221" s="1868"/>
    </row>
    <row r="222" spans="1:70" ht="12.2" customHeight="1">
      <c r="A222" s="1935"/>
      <c r="B222" s="1866">
        <f t="shared" si="5"/>
        <v>7</v>
      </c>
      <c r="C222" s="6009"/>
      <c r="D222" s="5906" t="s">
        <v>483</v>
      </c>
      <c r="E222" s="5907"/>
      <c r="F222" s="5984"/>
      <c r="G222" s="5985"/>
      <c r="H222" s="5985"/>
      <c r="I222" s="5985"/>
      <c r="J222" s="5902"/>
      <c r="K222" s="5986" t="s">
        <v>1315</v>
      </c>
      <c r="L222" s="5987"/>
      <c r="M222" s="5988"/>
      <c r="N222" s="1716">
        <f>IF(AW222&gt;0,IF(VLOOKUP(F222,'Tablas Técnicas'!$O$9:$X$88,10,0),MAX(5,AW222-5),AW222),0)</f>
        <v>0</v>
      </c>
      <c r="O222" s="1716" t="str">
        <f>AS222&amp;" / "&amp;AT222</f>
        <v>0 / 0</v>
      </c>
      <c r="P222" s="1716" t="str">
        <f t="array" ref="P222">W222+Y222+AA222+AC222+AE222+AG222&amp;" / "&amp;IF(K222&lt;&gt;"Mantenido",0,SUM(IF($AL222:$AR222='Tablas Técnicas'!$L$10:$L$644,'Tablas Técnicas'!$H$10:$H$644,0)))</f>
        <v>0 / 0</v>
      </c>
      <c r="Q222" s="5908" t="str">
        <f>IFERROR(VLOOKUP(F222,'Tablas Técnicas'!$O$9:$T$88,5,FALSE),"")</f>
        <v/>
      </c>
      <c r="R222" s="5908"/>
      <c r="S222" s="5908"/>
      <c r="T222" s="5908"/>
      <c r="U222" s="5908"/>
      <c r="V222" s="1827"/>
      <c r="W222" s="1828"/>
      <c r="X222" s="1827"/>
      <c r="Y222" s="1829"/>
      <c r="Z222" s="1830"/>
      <c r="AA222" s="1828"/>
      <c r="AB222" s="1827"/>
      <c r="AC222" s="1829"/>
      <c r="AD222" s="1830"/>
      <c r="AE222" s="1828"/>
      <c r="AF222" s="1827"/>
      <c r="AG222" s="1831"/>
      <c r="AH222" s="1943"/>
      <c r="AI222" s="6011"/>
      <c r="AJ222" s="3986">
        <v>2</v>
      </c>
      <c r="AK222" s="3986">
        <f>P217</f>
        <v>1</v>
      </c>
      <c r="AL222" s="3986" t="str">
        <f>IF(AND(ISNUMBER(MATCH($F222,'Tablas Técnicas'!$L$10:$L$644,0)),INDEX($J234:$J240,Tablas!A$1)="",COUNTIF(AM222:$AS222,$F222)=0),$F222,IF(INDEX($J234:$J240,Tablas!A$1)="","",$F222&amp;INDEX($J234:$J240,Tablas!A$1)))</f>
        <v/>
      </c>
      <c r="AM222" s="3986" t="str">
        <f>IF(AND(ISNUMBER(MATCH($F222,'Tablas Técnicas'!$L$10:$L$644,0)),INDEX($J234:$J240,Tablas!B$1)="",COUNTIF(AN222:$AS222,$F222)=0),$F222,IF(INDEX($J234:$J240,Tablas!B$1)="","",$F222&amp;INDEX($J234:$J240,Tablas!B$1)))</f>
        <v/>
      </c>
      <c r="AN222" s="3986" t="str">
        <f>IF(AND(ISNUMBER(MATCH($F222,'Tablas Técnicas'!$L$10:$L$644,0)),INDEX($J234:$J240,Tablas!C$1)="",COUNTIF(AO222:$AS222,$F222)=0),$F222,IF(INDEX($J234:$J240,Tablas!C$1)="","",$F222&amp;INDEX($J234:$J240,Tablas!C$1)))</f>
        <v/>
      </c>
      <c r="AO222" s="3986" t="str">
        <f>IF(AND(ISNUMBER(MATCH($F222,'Tablas Técnicas'!$L$10:$L$644,0)),INDEX($J234:$J240,Tablas!D$1)="",COUNTIF(AP222:$AS222,$F222)=0),$F222,IF(INDEX($J234:$J240,Tablas!D$1)="","",$F222&amp;INDEX($J234:$J240,Tablas!D$1)))</f>
        <v/>
      </c>
      <c r="AP222" s="3986" t="str">
        <f>IF(AND(ISNUMBER(MATCH($F222,'Tablas Técnicas'!$L$10:$L$644,0)),INDEX($J234:$J240,Tablas!E$1)="",COUNTIF(AQ222:$AS222,$F222)=0),$F222,IF(INDEX($J234:$J240,Tablas!E$1)="","",$F222&amp;INDEX($J234:$J240,Tablas!E$1)))</f>
        <v/>
      </c>
      <c r="AQ222" s="3986" t="str">
        <f>IF(AND(ISNUMBER(MATCH($F222,'Tablas Técnicas'!$L$10:$L$644,0)),INDEX($J234:$J240,Tablas!F$1)="",COUNTIF(AR222:$AS222,$F222)=0),$F222,IF(INDEX($J234:$J240,Tablas!F$1)="","",$F222&amp;INDEX($J234:$J240,Tablas!F$1)))</f>
        <v/>
      </c>
      <c r="AR222" s="3986" t="str">
        <f>IF(AND(ISNUMBER(MATCH($F222,'Tablas Técnicas'!$L$10:$L$644,0)),INDEX($J234:$J240,Tablas!G$1)="",COUNTIF(AS222:$AS222,$F222)=0),$F222,IF(INDEX($J234:$J240,Tablas!G$1)="","",$F222&amp;INDEX($J234:$J240,Tablas!G$1)))</f>
        <v/>
      </c>
      <c r="AS222" s="1868">
        <f>V222+X222+Z222+AB222+AD222+AF222</f>
        <v>0</v>
      </c>
      <c r="AT222" s="1868">
        <f t="array" ref="AT222">SUM(IF($AL222:$AR222='Tablas Técnicas'!$L$10:$L$644,IF(D222="Primario",'Tablas Técnicas'!$E$10:$E$644,'Tablas Técnicas'!$F$10:$F$644)+IF(K222="Sostenimiento menor",'Tablas Técnicas'!$I$10:$I$644,IF(K222="sostenimiento mayor",'Tablas Técnicas'!$J$10:$J$644,0)),0),0)+VALUE(RIGHT(P222,2))+AU222+AV222</f>
        <v>0</v>
      </c>
      <c r="AU222" s="186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1868">
        <f>(COUNTIF(AL222:AR222,"*Estado añadido:*")-1)*COUNTIF(AL222:AR222,"*Estado añadido:*")</f>
        <v>0</v>
      </c>
      <c r="AW222" s="1868">
        <f t="array" ref="AW222">SUM(IF($AL222:$AR222='Tablas Técnicas'!$L$10:$L$644,'Tablas Técnicas'!$G$10:$G$644,0))</f>
        <v>0</v>
      </c>
      <c r="AX222" s="3986"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986" t="str">
        <f>IFERROR(LEFT(AX222,LEN(AX222)-2)&amp;"), ","")</f>
        <v/>
      </c>
      <c r="AZ222" s="1868"/>
      <c r="BA222" s="1868"/>
      <c r="BB222" s="1868"/>
      <c r="BC222" s="1868"/>
      <c r="BD222" s="1868"/>
      <c r="BE222" s="1868"/>
      <c r="BF222" s="1868"/>
      <c r="BG222" s="1868"/>
      <c r="BH222" s="1868"/>
      <c r="BI222" s="1868"/>
      <c r="BJ222" s="1868"/>
      <c r="BK222" s="1868"/>
      <c r="BL222" s="1868"/>
      <c r="BM222" s="1868"/>
      <c r="BN222" s="1868"/>
      <c r="BO222" s="1868"/>
      <c r="BP222" s="1868"/>
      <c r="BQ222" s="1868"/>
      <c r="BR222" s="1868"/>
    </row>
    <row r="223" spans="1:70" ht="12.2" customHeight="1">
      <c r="A223" s="1935"/>
      <c r="B223" s="1866">
        <f t="shared" si="5"/>
        <v>7</v>
      </c>
      <c r="C223" s="6009"/>
      <c r="D223" s="6000" t="s">
        <v>483</v>
      </c>
      <c r="E223" s="6001"/>
      <c r="F223" s="5899"/>
      <c r="G223" s="5900"/>
      <c r="H223" s="5900"/>
      <c r="I223" s="5900"/>
      <c r="J223" s="5901"/>
      <c r="K223" s="5997" t="s">
        <v>1315</v>
      </c>
      <c r="L223" s="5998"/>
      <c r="M223" s="5999"/>
      <c r="N223" s="1712">
        <f>IF(AW223&gt;0,IF(VLOOKUP(F223,'Tablas Técnicas'!$O$9:$X$88,10,0),MAX(5,AW223-5),AW223),0)</f>
        <v>0</v>
      </c>
      <c r="O223" s="1712" t="str">
        <f>AS223&amp;" / "&amp;AT223</f>
        <v>0 / 0</v>
      </c>
      <c r="P223" s="1712" t="str">
        <f t="array" ref="P223">W223+Y223+AA223+AC223+AE223+AG223&amp;" / "&amp;IF(K223&lt;&gt;"Mantenido",0,SUM(IF($AL223:$AR223='Tablas Técnicas'!$L$10:$L$644,'Tablas Técnicas'!$H$10:$H$644,0)))</f>
        <v>0 / 0</v>
      </c>
      <c r="Q223" s="6002" t="str">
        <f>IFERROR(VLOOKUP(F223,'Tablas Técnicas'!$O$9:$T$88,5,FALSE),"")</f>
        <v/>
      </c>
      <c r="R223" s="6002"/>
      <c r="S223" s="6002"/>
      <c r="T223" s="6002"/>
      <c r="U223" s="6002"/>
      <c r="V223" s="1832"/>
      <c r="W223" s="1833"/>
      <c r="X223" s="1832"/>
      <c r="Y223" s="1834"/>
      <c r="Z223" s="1835"/>
      <c r="AA223" s="1833"/>
      <c r="AB223" s="1832"/>
      <c r="AC223" s="1834"/>
      <c r="AD223" s="1835"/>
      <c r="AE223" s="1833"/>
      <c r="AF223" s="1832"/>
      <c r="AG223" s="1836"/>
      <c r="AH223" s="1943"/>
      <c r="AI223" s="6011"/>
      <c r="AJ223" s="3986">
        <v>3</v>
      </c>
      <c r="AK223" s="3986">
        <f>P217</f>
        <v>1</v>
      </c>
      <c r="AL223" s="3986" t="str">
        <f>IF(AND(ISNUMBER(MATCH($F223,'Tablas Técnicas'!$L$10:$L$644,0)),INDEX($P234:$P240,Tablas!A$1)="",COUNTIF(AM223:$AS223,$F223)=0),$F223,IF(INDEX($P234:$P240,Tablas!A$1)="","",$F223&amp;INDEX($P234:$P240,Tablas!A$1)))</f>
        <v/>
      </c>
      <c r="AM223" s="3986" t="str">
        <f>IF(AND(ISNUMBER(MATCH($F223,'Tablas Técnicas'!$L$10:$L$644,0)),INDEX($P234:$P240,Tablas!B$1)="",COUNTIF(AN223:$AS223,$F223)=0),$F223,IF(INDEX($P234:$P240,Tablas!B$1)="","",$F223&amp;INDEX($P234:$P240,Tablas!B$1)))</f>
        <v/>
      </c>
      <c r="AN223" s="3986" t="str">
        <f>IF(AND(ISNUMBER(MATCH($F223,'Tablas Técnicas'!$L$10:$L$644,0)),INDEX($P234:$P240,Tablas!C$1)="",COUNTIF(AO223:$AS223,$F223)=0),$F223,IF(INDEX($P234:$P240,Tablas!C$1)="","",$F223&amp;INDEX($P234:$P240,Tablas!C$1)))</f>
        <v/>
      </c>
      <c r="AO223" s="3986" t="str">
        <f>IF(AND(ISNUMBER(MATCH($F223,'Tablas Técnicas'!$L$10:$L$644,0)),INDEX($P234:$P240,Tablas!D$1)="",COUNTIF(AP223:$AS223,$F223)=0),$F223,IF(INDEX($P234:$P240,Tablas!D$1)="","",$F223&amp;INDEX($P234:$P240,Tablas!D$1)))</f>
        <v/>
      </c>
      <c r="AP223" s="3986" t="str">
        <f>IF(AND(ISNUMBER(MATCH($F223,'Tablas Técnicas'!$L$10:$L$644,0)),INDEX($P234:$P240,Tablas!E$1)="",COUNTIF(AQ223:$AS223,$F223)=0),$F223,IF(INDEX($P234:$P240,Tablas!E$1)="","",$F223&amp;INDEX($P234:$P240,Tablas!E$1)))</f>
        <v/>
      </c>
      <c r="AQ223" s="3986" t="str">
        <f>IF(AND(ISNUMBER(MATCH($F223,'Tablas Técnicas'!$L$10:$L$644,0)),INDEX($P234:$P240,Tablas!F$1)="",COUNTIF(AR223:$AS223,$F223)=0),$F223,IF(INDEX($P234:$P240,Tablas!F$1)="","",$F223&amp;INDEX($P234:$P240,Tablas!F$1)))</f>
        <v/>
      </c>
      <c r="AR223" s="3986" t="str">
        <f>IF(AND(ISNUMBER(MATCH($F223,'Tablas Técnicas'!$L$10:$L$644,0)),INDEX($P234:$P240,Tablas!G$1)="",COUNTIF(AS223:$AS223,$F223)=0),$F223,IF(INDEX($P234:$P240,Tablas!G$1)="","",$F223&amp;INDEX($P234:$P240,Tablas!G$1)))</f>
        <v/>
      </c>
      <c r="AS223" s="1868">
        <f>V223+X223+Z223+AB223+AD223+AF223</f>
        <v>0</v>
      </c>
      <c r="AT223" s="1868">
        <f t="array" ref="AT223">SUM(IF($AL223:$AR223='Tablas Técnicas'!$L$10:$L$644,IF(D223="Primario",'Tablas Técnicas'!$E$10:$E$644,'Tablas Técnicas'!$F$10:$F$644)+IF(K223="Sostenimiento menor",'Tablas Técnicas'!$I$10:$I$644,IF(K223="sostenimiento mayor",'Tablas Técnicas'!$J$10:$J$644,0)),0),0)+VALUE(RIGHT(P223,2))+AU223+AV223</f>
        <v>0</v>
      </c>
      <c r="AU223" s="186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1868">
        <f>(COUNTIF(AL223:AR223,"*Estado añadido:*")-1)*COUNTIF(AL223:AR223,"*Estado añadido:*")</f>
        <v>0</v>
      </c>
      <c r="AW223" s="1868">
        <f t="array" ref="AW223">SUM(IF($AL223:$AR223='Tablas Técnicas'!$L$10:$L$644,'Tablas Técnicas'!$G$10:$G$644,0))</f>
        <v>0</v>
      </c>
      <c r="AX223" s="3986"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986" t="str">
        <f>IFERROR(LEFT(AX223,LEN(AX223)-2)&amp;"), ","")</f>
        <v/>
      </c>
      <c r="AZ223" s="1868"/>
      <c r="BA223" s="1868"/>
      <c r="BB223" s="1868"/>
      <c r="BC223" s="1868"/>
      <c r="BD223" s="1868"/>
      <c r="BE223" s="1868"/>
      <c r="BF223" s="1868"/>
      <c r="BG223" s="1868"/>
      <c r="BH223" s="1868"/>
      <c r="BI223" s="1868"/>
      <c r="BJ223" s="1868"/>
      <c r="BK223" s="1868"/>
      <c r="BL223" s="1868"/>
      <c r="BM223" s="1868"/>
      <c r="BN223" s="1868"/>
      <c r="BO223" s="1868"/>
      <c r="BP223" s="1868"/>
      <c r="BQ223" s="1868"/>
      <c r="BR223" s="1868"/>
    </row>
    <row r="224" spans="1:70" ht="12.2" customHeight="1">
      <c r="A224" s="1935"/>
      <c r="B224" s="1866">
        <f t="shared" si="5"/>
        <v>7</v>
      </c>
      <c r="C224" s="6009"/>
      <c r="D224" s="5906" t="s">
        <v>483</v>
      </c>
      <c r="E224" s="5907"/>
      <c r="F224" s="5984"/>
      <c r="G224" s="5985"/>
      <c r="H224" s="5985"/>
      <c r="I224" s="5985"/>
      <c r="J224" s="5902"/>
      <c r="K224" s="5986" t="s">
        <v>1315</v>
      </c>
      <c r="L224" s="5987"/>
      <c r="M224" s="5988"/>
      <c r="N224" s="1716">
        <f>IF(AW224&gt;0,IF(VLOOKUP(F224,'Tablas Técnicas'!$O$9:$X$88,10,0),MAX(5,AW224-5),AW224),0)</f>
        <v>0</v>
      </c>
      <c r="O224" s="1716" t="str">
        <f>AS224&amp;" / "&amp;AT224</f>
        <v>0 / 0</v>
      </c>
      <c r="P224" s="1716" t="str">
        <f t="array" ref="P224">W224+Y224+AA224+AC224+AE224+AG224&amp;" / "&amp;IF(K224&lt;&gt;"Mantenido",0,SUM(IF($AL224:$AR224='Tablas Técnicas'!$L$10:$L$644,'Tablas Técnicas'!$H$10:$H$644,0)))</f>
        <v>0 / 0</v>
      </c>
      <c r="Q224" s="5908" t="str">
        <f>IFERROR(VLOOKUP(F224,'Tablas Técnicas'!$O$9:$T$88,5,FALSE),"")</f>
        <v/>
      </c>
      <c r="R224" s="5908"/>
      <c r="S224" s="5908"/>
      <c r="T224" s="5908"/>
      <c r="U224" s="5908"/>
      <c r="V224" s="1827"/>
      <c r="W224" s="1828"/>
      <c r="X224" s="1827"/>
      <c r="Y224" s="1829"/>
      <c r="Z224" s="1830"/>
      <c r="AA224" s="1828"/>
      <c r="AB224" s="1827"/>
      <c r="AC224" s="1829"/>
      <c r="AD224" s="1830"/>
      <c r="AE224" s="1828"/>
      <c r="AF224" s="1827"/>
      <c r="AG224" s="1831"/>
      <c r="AH224" s="1943"/>
      <c r="AI224" s="6011"/>
      <c r="AJ224" s="3986">
        <v>4</v>
      </c>
      <c r="AK224" s="3986">
        <f>P217</f>
        <v>1</v>
      </c>
      <c r="AL224" s="3986" t="str">
        <f>IF(AND(ISNUMBER(MATCH($F224,'Tablas Técnicas'!$L$10:$L$644,0)),INDEX($V234:$V240,Tablas!A$1)="",COUNTIF(AM224:$AS224,$F224)=0),$F224,IF(INDEX($V234:$V240,Tablas!A$1)="","",$F224&amp;INDEX($V234:$V240,Tablas!A$1)))</f>
        <v/>
      </c>
      <c r="AM224" s="3986" t="str">
        <f>IF(AND(ISNUMBER(MATCH($F224,'Tablas Técnicas'!$L$10:$L$644,0)),INDEX($V234:$V240,Tablas!B$1)="",COUNTIF(AN224:$AS224,$F224)=0),$F224,IF(INDEX($V234:$V240,Tablas!B$1)="","",$F224&amp;INDEX($V234:$V240,Tablas!B$1)))</f>
        <v/>
      </c>
      <c r="AN224" s="3986" t="str">
        <f>IF(AND(ISNUMBER(MATCH($F224,'Tablas Técnicas'!$L$10:$L$644,0)),INDEX($V234:$V240,Tablas!C$1)="",COUNTIF(AO224:$AS224,$F224)=0),$F224,IF(INDEX($V234:$V240,Tablas!C$1)="","",$F224&amp;INDEX($V234:$V240,Tablas!C$1)))</f>
        <v/>
      </c>
      <c r="AO224" s="3986" t="str">
        <f>IF(AND(ISNUMBER(MATCH($F224,'Tablas Técnicas'!$L$10:$L$644,0)),INDEX($V234:$V240,Tablas!D$1)="",COUNTIF(AP224:$AS224,$F224)=0),$F224,IF(INDEX($V234:$V240,Tablas!D$1)="","",$F224&amp;INDEX($V234:$V240,Tablas!D$1)))</f>
        <v/>
      </c>
      <c r="AP224" s="3986" t="str">
        <f>IF(AND(ISNUMBER(MATCH($F224,'Tablas Técnicas'!$L$10:$L$644,0)),INDEX($V234:$V240,Tablas!E$1)="",COUNTIF(AQ224:$AS224,$F224)=0),$F224,IF(INDEX($V234:$V240,Tablas!E$1)="","",$F224&amp;INDEX($V234:$V240,Tablas!E$1)))</f>
        <v/>
      </c>
      <c r="AQ224" s="3986" t="str">
        <f>IF(AND(ISNUMBER(MATCH($F224,'Tablas Técnicas'!$L$10:$L$644,0)),INDEX($V234:$V240,Tablas!F$1)="",COUNTIF(AR224:$AS224,$F224)=0),$F224,IF(INDEX($V234:$V240,Tablas!F$1)="","",$F224&amp;INDEX($V234:$V240,Tablas!F$1)))</f>
        <v/>
      </c>
      <c r="AR224" s="3986" t="str">
        <f>IF(AND(ISNUMBER(MATCH($F224,'Tablas Técnicas'!$L$10:$L$644,0)),INDEX($V234:$V240,Tablas!G$1)="",COUNTIF(AS224:$AS224,$F224)=0),$F224,IF(INDEX($V234:$V240,Tablas!G$1)="","",$F224&amp;INDEX($V234:$V240,Tablas!G$1)))</f>
        <v/>
      </c>
      <c r="AS224" s="1868">
        <f>V224+X224+Z224+AB224+AD224+AF224</f>
        <v>0</v>
      </c>
      <c r="AT224" s="1868">
        <f t="array" ref="AT224">SUM(IF($AL224:$AR224='Tablas Técnicas'!$L$10:$L$644,IF(D224="Primario",'Tablas Técnicas'!$E$10:$E$644,'Tablas Técnicas'!$F$10:$F$644)+IF(K224="Sostenimiento menor",'Tablas Técnicas'!$I$10:$I$644,IF(K224="sostenimiento mayor",'Tablas Técnicas'!$J$10:$J$644,0)),0),0)+VALUE(RIGHT(P224,2))+AU224+AV224</f>
        <v>0</v>
      </c>
      <c r="AU224" s="186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1868">
        <f>(COUNTIF(AL224:AR224,"*Estado añadido:*")-1)*COUNTIF(AL224:AR224,"*Estado añadido:*")</f>
        <v>0</v>
      </c>
      <c r="AW224" s="1868">
        <f t="array" ref="AW224">SUM(IF($AL224:$AR224='Tablas Técnicas'!$L$10:$L$644,'Tablas Técnicas'!$G$10:$G$644,0))</f>
        <v>0</v>
      </c>
      <c r="AX224" s="3986"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986" t="str">
        <f>IFERROR(LEFT(AX224,LEN(AX224)-2)&amp;"), ","")</f>
        <v/>
      </c>
      <c r="AZ224" s="1868"/>
      <c r="BA224" s="1868"/>
      <c r="BB224" s="1868"/>
      <c r="BC224" s="1868"/>
      <c r="BD224" s="1868"/>
      <c r="BE224" s="1868"/>
      <c r="BF224" s="1868"/>
      <c r="BG224" s="1868"/>
      <c r="BH224" s="1868"/>
      <c r="BI224" s="1868"/>
      <c r="BJ224" s="1868"/>
      <c r="BK224" s="1868"/>
      <c r="BL224" s="1868"/>
      <c r="BM224" s="1868"/>
      <c r="BN224" s="1868"/>
      <c r="BO224" s="1868"/>
      <c r="BP224" s="1868"/>
      <c r="BQ224" s="1868"/>
      <c r="BR224" s="1868"/>
    </row>
    <row r="225" spans="1:70" ht="12.2" customHeight="1" thickBot="1">
      <c r="A225" s="1935"/>
      <c r="B225" s="1866">
        <f t="shared" si="5"/>
        <v>7</v>
      </c>
      <c r="C225" s="6009"/>
      <c r="D225" s="5909" t="s">
        <v>483</v>
      </c>
      <c r="E225" s="5910"/>
      <c r="F225" s="6005"/>
      <c r="G225" s="6006"/>
      <c r="H225" s="6006"/>
      <c r="I225" s="6006"/>
      <c r="J225" s="6007"/>
      <c r="K225" s="5994" t="s">
        <v>1315</v>
      </c>
      <c r="L225" s="5995"/>
      <c r="M225" s="5996"/>
      <c r="N225" s="1937">
        <f>IF(AW225&gt;0,IF(VLOOKUP(F225,'Tablas Técnicas'!$O$9:$X$88,10,0),MAX(5,AW225-5),AW225),0)</f>
        <v>0</v>
      </c>
      <c r="O225" s="1937" t="str">
        <f>AS225&amp;" / "&amp;AT225</f>
        <v>0 / 0</v>
      </c>
      <c r="P225" s="1937" t="str">
        <f t="array" ref="P225">W225+Y225+AA225+AC225+AE225+AG225&amp;" / "&amp;IF(K225&lt;&gt;"Mantenido",0,SUM(IF($AL225:$AR225='Tablas Técnicas'!$L$10:$L$644,'Tablas Técnicas'!$H$10:$H$644,0)))</f>
        <v>0 / 0</v>
      </c>
      <c r="Q225" s="5960" t="str">
        <f>IFERROR(VLOOKUP(F225,'Tablas Técnicas'!$O$9:$T$88,5,FALSE),"")</f>
        <v/>
      </c>
      <c r="R225" s="5960"/>
      <c r="S225" s="5960"/>
      <c r="T225" s="5960"/>
      <c r="U225" s="5960"/>
      <c r="V225" s="1837"/>
      <c r="W225" s="1838"/>
      <c r="X225" s="1837"/>
      <c r="Y225" s="1839"/>
      <c r="Z225" s="1840"/>
      <c r="AA225" s="1838"/>
      <c r="AB225" s="1837"/>
      <c r="AC225" s="1839"/>
      <c r="AD225" s="1840"/>
      <c r="AE225" s="1838"/>
      <c r="AF225" s="1837"/>
      <c r="AG225" s="1841"/>
      <c r="AH225" s="1943"/>
      <c r="AI225" s="6011"/>
      <c r="AJ225" s="3986">
        <v>5</v>
      </c>
      <c r="AK225" s="3986">
        <f>P217</f>
        <v>1</v>
      </c>
      <c r="AL225" s="3986" t="str">
        <f>IF(AND(ISNUMBER(MATCH($F225,'Tablas Técnicas'!$L$10:$L$644,0)),INDEX($AB234:$AB240,Tablas!A$1)="",COUNTIF(AM225:$AS225,$F225)=0),$F225,IF(INDEX($AB234:$AB240,Tablas!A$1)="","",$F225&amp;INDEX($AB234:$AB240,Tablas!A$1)))</f>
        <v/>
      </c>
      <c r="AM225" s="3986" t="str">
        <f>IF(AND(ISNUMBER(MATCH($F225,'Tablas Técnicas'!$L$10:$L$644,0)),INDEX($AB234:$AB240,Tablas!B$1)="",COUNTIF(AN225:$AS225,$F225)=0),$F225,IF(INDEX($AB234:$AB240,Tablas!B$1)="","",$F225&amp;INDEX($AB234:$AB240,Tablas!B$1)))</f>
        <v/>
      </c>
      <c r="AN225" s="3986" t="str">
        <f>IF(AND(ISNUMBER(MATCH($F225,'Tablas Técnicas'!$L$10:$L$644,0)),INDEX($AB234:$AB240,Tablas!C$1)="",COUNTIF(AO225:$AS225,$F225)=0),$F225,IF(INDEX($AB234:$AB240,Tablas!C$1)="","",$F225&amp;INDEX($AB234:$AB240,Tablas!C$1)))</f>
        <v/>
      </c>
      <c r="AO225" s="3986" t="str">
        <f>IF(AND(ISNUMBER(MATCH($F225,'Tablas Técnicas'!$L$10:$L$644,0)),INDEX($AB234:$AB240,Tablas!D$1)="",COUNTIF(AP225:$AS225,$F225)=0),$F225,IF(INDEX($AB234:$AB240,Tablas!D$1)="","",$F225&amp;INDEX($AB234:$AB240,Tablas!D$1)))</f>
        <v/>
      </c>
      <c r="AP225" s="3986" t="str">
        <f>IF(AND(ISNUMBER(MATCH($F225,'Tablas Técnicas'!$L$10:$L$644,0)),INDEX($AB234:$AB240,Tablas!E$1)="",COUNTIF(AQ225:$AS225,$F225)=0),$F225,IF(INDEX($AB234:$AB240,Tablas!E$1)="","",$F225&amp;INDEX($AB234:$AB240,Tablas!E$1)))</f>
        <v/>
      </c>
      <c r="AQ225" s="3986" t="str">
        <f>IF(AND(ISNUMBER(MATCH($F225,'Tablas Técnicas'!$L$10:$L$644,0)),INDEX($AB234:$AB240,Tablas!F$1)="",COUNTIF(AR225:$AS225,$F225)=0),$F225,IF(INDEX($AB234:$AB240,Tablas!F$1)="","",$F225&amp;INDEX($AB234:$AB240,Tablas!F$1)))</f>
        <v/>
      </c>
      <c r="AR225" s="3986" t="str">
        <f>IF(AND(ISNUMBER(MATCH($F225,'Tablas Técnicas'!$L$10:$L$644,0)),INDEX($AB234:$AB240,Tablas!G$1)="",COUNTIF(AS225:$AS225,$F225)=0),$F225,IF(INDEX($AB234:$AB240,Tablas!G$1)="","",$F225&amp;INDEX($AB234:$AB240,Tablas!G$1)))</f>
        <v/>
      </c>
      <c r="AS225" s="1868">
        <f>V225+X225+Z225+AB225+AD225+AF225</f>
        <v>0</v>
      </c>
      <c r="AT225" s="1868">
        <f t="array" ref="AT225">SUM(IF($AL225:$AR225='Tablas Técnicas'!$L$10:$L$644,IF(D225="Primario",'Tablas Técnicas'!$E$10:$E$644,'Tablas Técnicas'!$F$10:$F$644)+IF(K225="Sostenimiento menor",'Tablas Técnicas'!$I$10:$I$644,IF(K225="sostenimiento mayor",'Tablas Técnicas'!$J$10:$J$644,0)),0),0)+VALUE(RIGHT(P225,2))+AU225+AV225</f>
        <v>0</v>
      </c>
      <c r="AU225" s="186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1868">
        <f>(COUNTIF(AL225:AR225,"*Estado añadido:*")-1)*COUNTIF(AL225:AR225,"*Estado añadido:*")</f>
        <v>0</v>
      </c>
      <c r="AW225" s="1868">
        <f t="array" ref="AW225">SUM(IF($AL225:$AR225='Tablas Técnicas'!$L$10:$L$644,'Tablas Técnicas'!$G$10:$G$644,0))</f>
        <v>0</v>
      </c>
      <c r="AX225" s="3986"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986" t="str">
        <f>IFERROR(LEFT(AX225,LEN(AX225)-2)&amp;"), ","")</f>
        <v/>
      </c>
      <c r="AZ225" s="1868"/>
      <c r="BA225" s="1868"/>
      <c r="BB225" s="1868"/>
      <c r="BC225" s="1868"/>
      <c r="BD225" s="1868"/>
      <c r="BE225" s="1868"/>
      <c r="BF225" s="1868"/>
      <c r="BG225" s="1868"/>
      <c r="BH225" s="1868"/>
      <c r="BI225" s="1868"/>
      <c r="BJ225" s="1868"/>
      <c r="BK225" s="1868"/>
      <c r="BL225" s="1868"/>
      <c r="BM225" s="1868"/>
      <c r="BN225" s="1868"/>
      <c r="BO225" s="1868"/>
      <c r="BP225" s="1868"/>
      <c r="BQ225" s="1868"/>
      <c r="BR225" s="1868"/>
    </row>
    <row r="226" spans="1:70" ht="12.2" customHeight="1">
      <c r="A226" s="1935"/>
      <c r="B226" s="1866">
        <f t="shared" si="5"/>
        <v>7</v>
      </c>
      <c r="C226" s="6009"/>
      <c r="D226" s="5961" t="s">
        <v>2657</v>
      </c>
      <c r="E226" s="5962"/>
      <c r="F226" s="5957"/>
      <c r="G226" s="5958"/>
      <c r="H226" s="5958"/>
      <c r="I226" s="5958"/>
      <c r="J226" s="5959"/>
      <c r="K226" s="5931"/>
      <c r="L226" s="5937"/>
      <c r="M226" s="5938"/>
      <c r="N226" s="4286" t="str">
        <f>IFERROR(INDEX('Tablas Técnicas'!$Q$152:$Q$267,MATCH(F226&amp;K226,'Tablas Técnicas'!$S$152:$S$267,0)),"")</f>
        <v/>
      </c>
      <c r="O226" s="5939"/>
      <c r="P226" s="5940"/>
      <c r="Q226" s="5941"/>
      <c r="R226" s="5940"/>
      <c r="S226" s="4287" t="str">
        <f>IFERROR("Nivel: "&amp;MAX(1,INDEX('Tablas Técnicas'!$R$152:$R$267,MATCH(F226&amp;K226,'Tablas Técnicas'!$S$152:$S$267,0))),"")</f>
        <v/>
      </c>
      <c r="T226" s="4288"/>
      <c r="U226" s="4289" t="str">
        <f>IFERROR("("&amp;VLOOKUP(F226,'Tablas Técnicas'!$O$117:$Q$146,3,FALSE)&amp;")","")</f>
        <v/>
      </c>
      <c r="V226" s="5857" t="s">
        <v>9159</v>
      </c>
      <c r="W226" s="5858"/>
      <c r="X226" s="5859"/>
      <c r="Y226" s="2046">
        <v>0</v>
      </c>
      <c r="Z226" s="5860" t="s">
        <v>8361</v>
      </c>
      <c r="AA226" s="5861"/>
      <c r="AB226" s="5862"/>
      <c r="AC226" s="2046">
        <v>0</v>
      </c>
      <c r="AD226" s="5894" t="str">
        <f>"Ki sin repartir: "&amp;AL234-AL235&amp;IF(AM234=0,""," ("&amp;AM234-AM235&amp;")")</f>
        <v>Ki sin repartir: 0</v>
      </c>
      <c r="AE226" s="5895"/>
      <c r="AF226" s="5895"/>
      <c r="AG226" s="5896"/>
      <c r="AH226" s="1943"/>
      <c r="AI226" s="6011"/>
      <c r="AJ226" s="3986">
        <v>1</v>
      </c>
      <c r="AK226" s="3986">
        <f>P217</f>
        <v>1</v>
      </c>
      <c r="AL226" s="3986" t="e">
        <f>VLOOKUP(F226,'Tablas Técnicas'!$O$117:$Q$146,2,FALSE)</f>
        <v>#N/A</v>
      </c>
      <c r="AM226" s="3986"/>
      <c r="AN226" s="3987"/>
      <c r="AO226" s="3986"/>
      <c r="AP226" s="3986"/>
      <c r="AQ226" s="3987"/>
      <c r="AR226" s="3986"/>
      <c r="AS226" s="3986"/>
      <c r="AT226" s="3986"/>
      <c r="AU226" s="3986"/>
      <c r="AV226" s="3986"/>
      <c r="AW226" s="1868"/>
      <c r="AX226" s="1868"/>
      <c r="AY226" s="3986" t="str">
        <f>IF(F226="","",F226&amp;IF(K226="",""," ("&amp;IF(F226="Atadura Elemental",O226&amp;IF(Q226="","",", "&amp;Q226),K226)&amp;")")&amp;", ")</f>
        <v/>
      </c>
      <c r="AZ226" s="1868"/>
      <c r="BA226" s="1868"/>
      <c r="BB226" s="1868"/>
      <c r="BC226" s="1868"/>
      <c r="BD226" s="1868"/>
      <c r="BE226" s="1868"/>
      <c r="BF226" s="1868"/>
      <c r="BG226" s="1868"/>
      <c r="BH226" s="1868"/>
      <c r="BI226" s="1868"/>
      <c r="BJ226" s="1868"/>
      <c r="BK226" s="1868"/>
      <c r="BL226" s="1868"/>
      <c r="BM226" s="1868"/>
      <c r="BN226" s="1868"/>
      <c r="BO226" s="1868"/>
      <c r="BP226" s="1868"/>
      <c r="BQ226" s="1868"/>
      <c r="BR226" s="1868"/>
    </row>
    <row r="227" spans="1:70" ht="12.2" customHeight="1">
      <c r="A227" s="1935"/>
      <c r="B227" s="1866">
        <f t="shared" si="5"/>
        <v>7</v>
      </c>
      <c r="C227" s="6009"/>
      <c r="D227" s="5963"/>
      <c r="E227" s="5964"/>
      <c r="F227" s="5942"/>
      <c r="G227" s="5943"/>
      <c r="H227" s="5943"/>
      <c r="I227" s="5943"/>
      <c r="J227" s="5944"/>
      <c r="K227" s="5902"/>
      <c r="L227" s="5903"/>
      <c r="M227" s="5904"/>
      <c r="N227" s="1720" t="str">
        <f>IFERROR(INDEX('Tablas Técnicas'!$Q$152:$Q$267,MATCH(F227&amp;K227,'Tablas Técnicas'!$S$152:$S$267,0)),"")</f>
        <v/>
      </c>
      <c r="O227" s="5945"/>
      <c r="P227" s="5946"/>
      <c r="Q227" s="5947"/>
      <c r="R227" s="5946"/>
      <c r="S227" s="1716" t="str">
        <f>IFERROR("Nivel: "&amp;MAX(1,INDEX('Tablas Técnicas'!$R$152:$R$267,MATCH(F227&amp;K227,'Tablas Técnicas'!$S$152:$S$267,0))),"")</f>
        <v/>
      </c>
      <c r="T227" s="2172"/>
      <c r="U227" s="1715" t="str">
        <f>IFERROR("("&amp;VLOOKUP(F227,'Tablas Técnicas'!$O$117:$Q$146,3,FALSE)&amp;")","")</f>
        <v/>
      </c>
      <c r="V227" s="5854" t="str">
        <f>"Mod. "&amp;V219</f>
        <v>Mod. AGI</v>
      </c>
      <c r="W227" s="5855"/>
      <c r="X227" s="5854" t="str">
        <f>"Mod. "&amp;X219</f>
        <v>Mod. CON</v>
      </c>
      <c r="Y227" s="5855"/>
      <c r="Z227" s="5854" t="str">
        <f>"Mod. "&amp;Z219</f>
        <v>Mod. DES</v>
      </c>
      <c r="AA227" s="5855"/>
      <c r="AB227" s="5854" t="str">
        <f>"Mod. "&amp;AB219</f>
        <v>Mod. FUE</v>
      </c>
      <c r="AC227" s="5855"/>
      <c r="AD227" s="5854" t="str">
        <f>"Mod. "&amp;AD219</f>
        <v>Mod. POD</v>
      </c>
      <c r="AE227" s="5855"/>
      <c r="AF227" s="5854" t="str">
        <f>"Mod. "&amp;AF219</f>
        <v>Mod. VOL</v>
      </c>
      <c r="AG227" s="5856"/>
      <c r="AH227" s="1943"/>
      <c r="AI227" s="6011"/>
      <c r="AJ227" s="3986">
        <v>2</v>
      </c>
      <c r="AK227" s="3986">
        <f>P217</f>
        <v>1</v>
      </c>
      <c r="AL227" s="3986" t="e">
        <f>VLOOKUP(F227,'Tablas Técnicas'!$O$117:$Q$146,2,FALSE)</f>
        <v>#N/A</v>
      </c>
      <c r="AM227" s="3986"/>
      <c r="AN227" s="3987"/>
      <c r="AO227" s="3986"/>
      <c r="AP227" s="3986"/>
      <c r="AQ227" s="3987"/>
      <c r="AR227" s="3986"/>
      <c r="AS227" s="3986"/>
      <c r="AT227" s="3986"/>
      <c r="AU227" s="3986"/>
      <c r="AV227" s="3986"/>
      <c r="AW227" s="1868"/>
      <c r="AX227" s="1868"/>
      <c r="AY227" s="3986" t="str">
        <f>IF(F227="","",F227&amp;IF(K227="",""," ("&amp;IF(F227="Atadura Elemental",O227&amp;IF(Q227="","",", "&amp;Q227),K227)&amp;")")&amp;", ")</f>
        <v/>
      </c>
      <c r="AZ227" s="1868"/>
      <c r="BA227" s="1868"/>
      <c r="BB227" s="1868"/>
      <c r="BC227" s="1868"/>
      <c r="BD227" s="1868"/>
      <c r="BE227" s="1868"/>
      <c r="BF227" s="1868"/>
      <c r="BG227" s="1868"/>
      <c r="BH227" s="1868"/>
      <c r="BI227" s="1868"/>
      <c r="BJ227" s="1868"/>
      <c r="BK227" s="1868"/>
      <c r="BL227" s="1868"/>
      <c r="BM227" s="1868"/>
      <c r="BN227" s="1868"/>
      <c r="BO227" s="1868"/>
      <c r="BP227" s="1868"/>
      <c r="BQ227" s="1868"/>
      <c r="BR227" s="1868"/>
    </row>
    <row r="228" spans="1:70" ht="12.2" customHeight="1" thickBot="1">
      <c r="A228" s="1935"/>
      <c r="B228" s="1866">
        <f t="shared" si="5"/>
        <v>7</v>
      </c>
      <c r="C228" s="6009"/>
      <c r="D228" s="5965"/>
      <c r="E228" s="5966"/>
      <c r="F228" s="5948"/>
      <c r="G228" s="5949"/>
      <c r="H228" s="5949"/>
      <c r="I228" s="5949"/>
      <c r="J228" s="5950"/>
      <c r="K228" s="5951"/>
      <c r="L228" s="5952"/>
      <c r="M228" s="5953"/>
      <c r="N228" s="4290" t="str">
        <f>IFERROR(INDEX('Tablas Técnicas'!$Q$152:$Q$267,MATCH(F228&amp;K228,'Tablas Técnicas'!$S$152:$S$267,0)),"")</f>
        <v/>
      </c>
      <c r="O228" s="5954"/>
      <c r="P228" s="5955"/>
      <c r="Q228" s="5956"/>
      <c r="R228" s="5955"/>
      <c r="S228" s="4291" t="str">
        <f>IFERROR("Nivel: "&amp;MAX(1,INDEX('Tablas Técnicas'!$R$152:$R$267,MATCH(F228&amp;K228,'Tablas Técnicas'!$S$152:$S$267,0))),"")</f>
        <v/>
      </c>
      <c r="T228" s="4292"/>
      <c r="U228" s="1807" t="str">
        <f>IFERROR("("&amp;VLOOKUP(F228,'Tablas Técnicas'!$O$117:$Q$146,3,FALSE)&amp;")","")</f>
        <v/>
      </c>
      <c r="V228" s="5864"/>
      <c r="W228" s="5863"/>
      <c r="X228" s="5863"/>
      <c r="Y228" s="5863"/>
      <c r="Z228" s="5863"/>
      <c r="AA228" s="5863"/>
      <c r="AB228" s="5863"/>
      <c r="AC228" s="5863"/>
      <c r="AD228" s="5863"/>
      <c r="AE228" s="5863"/>
      <c r="AF228" s="5863"/>
      <c r="AG228" s="5905"/>
      <c r="AH228" s="1943"/>
      <c r="AI228" s="6011"/>
      <c r="AJ228" s="3986">
        <v>3</v>
      </c>
      <c r="AK228" s="3986">
        <f>P217</f>
        <v>1</v>
      </c>
      <c r="AL228" s="3986" t="e">
        <f>VLOOKUP(F228,'Tablas Técnicas'!$O$117:$Q$146,2,FALSE)</f>
        <v>#N/A</v>
      </c>
      <c r="AM228" s="3986"/>
      <c r="AN228" s="3987"/>
      <c r="AO228" s="3986"/>
      <c r="AP228" s="3986"/>
      <c r="AQ228" s="3987"/>
      <c r="AR228" s="1868"/>
      <c r="AS228" s="1868"/>
      <c r="AT228" s="1868"/>
      <c r="AU228" s="1868"/>
      <c r="AV228" s="1868"/>
      <c r="AW228" s="1868"/>
      <c r="AX228" s="1868"/>
      <c r="AY228" s="3986" t="str">
        <f>IF(F228="","",F228&amp;IF(K228="",""," ("&amp;IF(F228="Atadura Elemental",O228&amp;IF(Q228="","",", "&amp;Q228),K228)&amp;")")&amp;", ")</f>
        <v/>
      </c>
      <c r="AZ228" s="1868"/>
      <c r="BA228" s="1868"/>
      <c r="BB228" s="1868"/>
      <c r="BC228" s="1868"/>
      <c r="BD228" s="1868"/>
      <c r="BE228" s="1868"/>
      <c r="BF228" s="1868"/>
      <c r="BG228" s="1868"/>
      <c r="BH228" s="1868"/>
      <c r="BI228" s="1868"/>
      <c r="BJ228" s="1868"/>
      <c r="BK228" s="1868"/>
      <c r="BL228" s="1868"/>
      <c r="BM228" s="1868"/>
      <c r="BN228" s="1868"/>
      <c r="BO228" s="1868"/>
      <c r="BP228" s="1868"/>
      <c r="BQ228" s="1868"/>
      <c r="BR228" s="1868"/>
    </row>
    <row r="229" spans="1:70" ht="12.2" customHeight="1">
      <c r="A229" s="1935"/>
      <c r="B229" s="1866">
        <f t="shared" si="5"/>
        <v>7</v>
      </c>
      <c r="C229" s="6009"/>
      <c r="D229" s="5873" t="s">
        <v>8842</v>
      </c>
      <c r="E229" s="5874"/>
      <c r="F229" s="5874"/>
      <c r="G229" s="5874"/>
      <c r="H229" s="5874"/>
      <c r="I229" s="5874"/>
      <c r="J229" s="5874"/>
      <c r="K229" s="5874"/>
      <c r="L229" s="5874"/>
      <c r="M229" s="5874"/>
      <c r="N229" s="5874"/>
      <c r="O229" s="5874"/>
      <c r="P229" s="5874"/>
      <c r="Q229" s="5874"/>
      <c r="R229" s="5874"/>
      <c r="S229" s="5874"/>
      <c r="T229" s="5874"/>
      <c r="U229" s="5874"/>
      <c r="V229" s="5877"/>
      <c r="W229" s="5877"/>
      <c r="X229" s="5877"/>
      <c r="Y229" s="5877"/>
      <c r="Z229" s="5877"/>
      <c r="AA229" s="5877"/>
      <c r="AB229" s="5877"/>
      <c r="AC229" s="5877"/>
      <c r="AD229" s="5877"/>
      <c r="AE229" s="5877"/>
      <c r="AF229" s="5877"/>
      <c r="AG229" s="5878"/>
      <c r="AH229" s="1943"/>
      <c r="AI229" s="6011"/>
      <c r="AJ229" s="3986"/>
      <c r="AK229" s="3986"/>
      <c r="AL229" s="3986"/>
      <c r="AM229" s="3986"/>
      <c r="AN229" s="3987" t="s">
        <v>8362</v>
      </c>
      <c r="AO229" s="3986" t="e">
        <f>LEFT(AY221&amp;AY222&amp;AY223&amp;AY224&amp;AY225,LEN(AY221&amp;AY222&amp;AY223&amp;AY224&amp;AY225)-2)</f>
        <v>#VALUE!</v>
      </c>
      <c r="AP229" s="3986"/>
      <c r="AQ229" s="3987"/>
      <c r="AR229" s="1868"/>
      <c r="AS229" s="1868"/>
      <c r="AT229" s="1868"/>
      <c r="AU229" s="3987"/>
      <c r="AV229" s="3987"/>
      <c r="AW229" s="1868"/>
      <c r="AX229" s="1868"/>
      <c r="AY229" s="3986"/>
      <c r="AZ229" s="1868"/>
      <c r="BA229" s="1868"/>
      <c r="BB229" s="1868"/>
      <c r="BC229" s="1868"/>
      <c r="BD229" s="1868"/>
      <c r="BE229" s="1868"/>
      <c r="BF229" s="1868"/>
      <c r="BG229" s="1868"/>
      <c r="BH229" s="1868"/>
      <c r="BI229" s="1868"/>
      <c r="BJ229" s="1868"/>
      <c r="BK229" s="1868"/>
      <c r="BL229" s="1868"/>
      <c r="BM229" s="1868"/>
      <c r="BN229" s="1868"/>
      <c r="BO229" s="1868"/>
      <c r="BP229" s="1868"/>
      <c r="BQ229" s="1868"/>
      <c r="BR229" s="1868"/>
    </row>
    <row r="230" spans="1:70" ht="12.2" customHeight="1">
      <c r="A230" s="1935"/>
      <c r="B230" s="1866">
        <f t="shared" si="5"/>
        <v>7</v>
      </c>
      <c r="C230" s="6009"/>
      <c r="D230" s="5865" t="str">
        <f>IF(F221="","",F221)</f>
        <v/>
      </c>
      <c r="E230" s="5866"/>
      <c r="F230" s="5866"/>
      <c r="G230" s="5866"/>
      <c r="H230" s="5866"/>
      <c r="I230" s="5867"/>
      <c r="J230" s="5865" t="str">
        <f>IF(F222="","",F222)</f>
        <v/>
      </c>
      <c r="K230" s="5866"/>
      <c r="L230" s="5866"/>
      <c r="M230" s="5866"/>
      <c r="N230" s="5866"/>
      <c r="O230" s="5867"/>
      <c r="P230" s="5866" t="str">
        <f>IF(F223="","",F223)</f>
        <v/>
      </c>
      <c r="Q230" s="5866"/>
      <c r="R230" s="5866"/>
      <c r="S230" s="5866"/>
      <c r="T230" s="5866"/>
      <c r="U230" s="5867"/>
      <c r="V230" s="5865" t="str">
        <f>IF(F224="","",F224)</f>
        <v/>
      </c>
      <c r="W230" s="5866"/>
      <c r="X230" s="5866"/>
      <c r="Y230" s="5866"/>
      <c r="Z230" s="5866"/>
      <c r="AA230" s="5867"/>
      <c r="AB230" s="5866" t="str">
        <f>IF(F225="","",F225)</f>
        <v/>
      </c>
      <c r="AC230" s="5866"/>
      <c r="AD230" s="5866"/>
      <c r="AE230" s="5866"/>
      <c r="AF230" s="5866"/>
      <c r="AG230" s="5928"/>
      <c r="AH230" s="1943"/>
      <c r="AI230" s="6011"/>
      <c r="AJ230" s="3986"/>
      <c r="AK230" s="3986"/>
      <c r="AL230" s="3986"/>
      <c r="AM230" s="3986"/>
      <c r="AN230" s="3987" t="s">
        <v>8363</v>
      </c>
      <c r="AO230" s="3986" t="e">
        <f>LEFT(AY226&amp;AY227&amp;AY228,LEN(AY226&amp;AY227&amp;AY228)-2)</f>
        <v>#VALUE!</v>
      </c>
      <c r="AP230" s="3986"/>
      <c r="AQ230" s="3987"/>
      <c r="AR230" s="1868"/>
      <c r="AS230" s="1868"/>
      <c r="AT230" s="1868"/>
      <c r="AU230" s="3987"/>
      <c r="AV230" s="3987"/>
      <c r="AW230" s="1868"/>
      <c r="AX230" s="1868"/>
      <c r="AY230" s="3986"/>
      <c r="AZ230" s="1868"/>
      <c r="BA230" s="1868"/>
      <c r="BB230" s="1868"/>
      <c r="BC230" s="1868"/>
      <c r="BD230" s="1868"/>
      <c r="BE230" s="1868"/>
      <c r="BF230" s="1868"/>
      <c r="BG230" s="1868"/>
      <c r="BH230" s="1868"/>
      <c r="BI230" s="1868"/>
      <c r="BJ230" s="1868"/>
      <c r="BK230" s="1868"/>
      <c r="BL230" s="1868"/>
      <c r="BM230" s="1868"/>
      <c r="BN230" s="1868"/>
      <c r="BO230" s="1868"/>
      <c r="BP230" s="1868"/>
      <c r="BQ230" s="1868"/>
      <c r="BR230" s="1868"/>
    </row>
    <row r="231" spans="1:70" ht="12.2" customHeight="1">
      <c r="A231" s="1935"/>
      <c r="B231" s="1866">
        <f t="shared" si="5"/>
        <v>7</v>
      </c>
      <c r="C231" s="6009"/>
      <c r="D231" s="1812" t="s">
        <v>1690</v>
      </c>
      <c r="E231" s="1712" t="str">
        <f>IFERROR(VLOOKUP(D230,'Tablas Técnicas'!$O$9:$T$88,3,FALSE),"")</f>
        <v/>
      </c>
      <c r="F231" s="1809"/>
      <c r="G231" s="1808"/>
      <c r="H231" s="1808" t="s">
        <v>1223</v>
      </c>
      <c r="I231" s="1712" t="str">
        <f>IFERROR(VLOOKUP(D230,'Tablas Técnicas'!$O$9:$T$88,4,FALSE),"")</f>
        <v/>
      </c>
      <c r="J231" s="1812" t="s">
        <v>1690</v>
      </c>
      <c r="K231" s="1712" t="str">
        <f>IFERROR(VLOOKUP(J230,'Tablas Técnicas'!$O$9:$T$88,3,FALSE),"")</f>
        <v/>
      </c>
      <c r="L231" s="1809"/>
      <c r="M231" s="1808"/>
      <c r="N231" s="1808" t="s">
        <v>1223</v>
      </c>
      <c r="O231" s="1721" t="str">
        <f>IFERROR(VLOOKUP(J230,'Tablas Técnicas'!$O$9:$T$88,4,FALSE),"")</f>
        <v/>
      </c>
      <c r="P231" s="1808" t="s">
        <v>1690</v>
      </c>
      <c r="Q231" s="1712" t="str">
        <f>IFERROR(VLOOKUP(P230,'Tablas Técnicas'!$O$9:$T$88,3,FALSE),"")</f>
        <v/>
      </c>
      <c r="R231" s="1809"/>
      <c r="S231" s="1808"/>
      <c r="T231" s="1808" t="s">
        <v>1223</v>
      </c>
      <c r="U231" s="1712" t="str">
        <f>IFERROR(VLOOKUP(P230,'Tablas Técnicas'!$O$9:$T$88,4,FALSE),"")</f>
        <v/>
      </c>
      <c r="V231" s="1812" t="s">
        <v>1690</v>
      </c>
      <c r="W231" s="1712" t="str">
        <f>IFERROR(VLOOKUP(V230,'Tablas Técnicas'!$O$9:$T$88,3,FALSE),"")</f>
        <v/>
      </c>
      <c r="X231" s="1809"/>
      <c r="Y231" s="1808"/>
      <c r="Z231" s="1808" t="s">
        <v>1223</v>
      </c>
      <c r="AA231" s="1721" t="str">
        <f>IFERROR(VLOOKUP(V230,'Tablas Técnicas'!$O$9:$T$88,4,FALSE),"")</f>
        <v/>
      </c>
      <c r="AB231" s="1808" t="s">
        <v>1690</v>
      </c>
      <c r="AC231" s="1712" t="str">
        <f>IFERROR(VLOOKUP(AB230,'Tablas Técnicas'!$O$9:$T$88,3,FALSE),"")</f>
        <v/>
      </c>
      <c r="AD231" s="1809"/>
      <c r="AE231" s="1808"/>
      <c r="AF231" s="1808" t="s">
        <v>1223</v>
      </c>
      <c r="AG231" s="1722" t="str">
        <f>IFERROR(VLOOKUP(AB230,'Tablas Técnicas'!$O$9:$T$88,4,FALSE),"")</f>
        <v/>
      </c>
      <c r="AH231" s="1943"/>
      <c r="AI231" s="6011"/>
      <c r="AJ231" s="3986"/>
      <c r="AK231" s="3986"/>
      <c r="AL231" s="3986"/>
      <c r="AM231" s="3986"/>
      <c r="AN231" s="3987"/>
      <c r="AO231" s="3986"/>
      <c r="AP231" s="3986"/>
      <c r="AQ231" s="3987"/>
      <c r="AR231" s="1868"/>
      <c r="AS231" s="1868"/>
      <c r="AT231" s="1868"/>
      <c r="AU231" s="1868"/>
      <c r="AV231" s="1868"/>
      <c r="AW231" s="1868"/>
      <c r="AX231" s="1868"/>
      <c r="AY231" s="3986"/>
      <c r="AZ231" s="1868"/>
      <c r="BA231" s="1868"/>
      <c r="BB231" s="1868"/>
      <c r="BC231" s="1868"/>
      <c r="BD231" s="1868"/>
      <c r="BE231" s="1868"/>
      <c r="BF231" s="1868"/>
      <c r="BG231" s="1868"/>
      <c r="BH231" s="1868"/>
      <c r="BI231" s="1868"/>
      <c r="BJ231" s="1868"/>
      <c r="BK231" s="1868"/>
      <c r="BL231" s="1868"/>
      <c r="BM231" s="1868"/>
      <c r="BN231" s="1868"/>
      <c r="BO231" s="1868"/>
      <c r="BP231" s="1868"/>
      <c r="BQ231" s="1868"/>
      <c r="BR231" s="1868"/>
    </row>
    <row r="232" spans="1:70" ht="12.2" customHeight="1">
      <c r="A232" s="1935"/>
      <c r="B232" s="1866">
        <f t="shared" si="5"/>
        <v>7</v>
      </c>
      <c r="C232" s="6009"/>
      <c r="D232" s="1813" t="s">
        <v>8364</v>
      </c>
      <c r="E232" s="1808"/>
      <c r="F232" s="1809"/>
      <c r="G232" s="1810"/>
      <c r="H232" s="1810"/>
      <c r="I232" s="1807" t="str">
        <f>IFERROR(IF(D230="Ataque Elemental",IF(NOT(ISNA(VLOOKUP(D234,'Tablas Técnicas'!$O$100:$O$105,1,0))),D234,"Variable"),VLOOKUP(D230,'Tablas Técnicas'!$O$9:$W$88,9,FALSE)),"")</f>
        <v/>
      </c>
      <c r="J232" s="1723" t="s">
        <v>8364</v>
      </c>
      <c r="K232" s="1938"/>
      <c r="L232" s="1939"/>
      <c r="M232" s="1940"/>
      <c r="N232" s="1940"/>
      <c r="O232" s="1724" t="str">
        <f>IFERROR(IF(J230="Ataque Elemental",IF(NOT(ISNA(VLOOKUP(J234,'Tablas Técnicas'!$O$100:$O$105,1,0))),J234,"Variable"),VLOOKUP(J230,'Tablas Técnicas'!$O$9:$W$88,9,FALSE)),"")</f>
        <v/>
      </c>
      <c r="P232" s="1941" t="s">
        <v>8364</v>
      </c>
      <c r="Q232" s="1938"/>
      <c r="R232" s="1939"/>
      <c r="S232" s="1940"/>
      <c r="T232" s="1940"/>
      <c r="U232" s="1807" t="str">
        <f>IFERROR(IF(P230="Ataque Elemental",IF(NOT(ISNA(VLOOKUP(P234,'Tablas Técnicas'!$O$100:$O$105,1,0))),P234,"Variable"),VLOOKUP(P230,'Tablas Técnicas'!$O$9:$W$88,9,FALSE)),"")</f>
        <v/>
      </c>
      <c r="V232" s="1723" t="s">
        <v>8364</v>
      </c>
      <c r="W232" s="1938"/>
      <c r="X232" s="1939"/>
      <c r="Y232" s="1940"/>
      <c r="Z232" s="1940"/>
      <c r="AA232" s="1724" t="str">
        <f>IFERROR(IF(V230="Ataque Elemental",IF(NOT(ISNA(VLOOKUP(V234,'Tablas Técnicas'!$O$100:$O$105,1,0))),V234,"Variable"),VLOOKUP(V230,'Tablas Técnicas'!$O$9:$W$88,9,FALSE)),"")</f>
        <v/>
      </c>
      <c r="AB232" s="1941" t="s">
        <v>8364</v>
      </c>
      <c r="AC232" s="1938"/>
      <c r="AD232" s="1939"/>
      <c r="AE232" s="1940"/>
      <c r="AF232" s="1940"/>
      <c r="AG232" s="1818" t="str">
        <f>IFERROR(IF(AB230="Ataque Elemental",IF(NOT(ISNA(VLOOKUP(AB234,'Tablas Técnicas'!$O$100:$O$105,1,0))),AB234,"Variable"),VLOOKUP(AB230,'Tablas Técnicas'!$O$9:$W$88,9,FALSE)),"")</f>
        <v/>
      </c>
      <c r="AH232" s="1943"/>
      <c r="AI232" s="6011"/>
      <c r="AJ232" s="3986"/>
      <c r="AK232" s="1868" t="s">
        <v>1233</v>
      </c>
      <c r="AL232" s="1868" t="s">
        <v>1357</v>
      </c>
      <c r="AM232" s="1868" t="s">
        <v>1238</v>
      </c>
      <c r="AN232" s="1868" t="s">
        <v>1243</v>
      </c>
      <c r="AO232" s="1868" t="s">
        <v>1250</v>
      </c>
      <c r="AP232" s="1868" t="s">
        <v>1251</v>
      </c>
      <c r="AQ232" s="3987"/>
      <c r="AR232" s="1868"/>
      <c r="AS232" s="1868"/>
      <c r="AT232" s="1868"/>
      <c r="AU232" s="1868"/>
      <c r="AV232" s="1868"/>
      <c r="AW232" s="1868"/>
      <c r="AX232" s="1868"/>
      <c r="AY232" s="3986"/>
      <c r="AZ232" s="1868"/>
      <c r="BA232" s="1868"/>
      <c r="BB232" s="1868"/>
      <c r="BC232" s="1868"/>
      <c r="BD232" s="1868"/>
      <c r="BE232" s="1868"/>
      <c r="BF232" s="1868"/>
      <c r="BG232" s="1868"/>
      <c r="BH232" s="1868"/>
      <c r="BI232" s="1868"/>
      <c r="BJ232" s="1868"/>
      <c r="BK232" s="1868"/>
      <c r="BL232" s="1868"/>
      <c r="BM232" s="1868"/>
      <c r="BN232" s="1868"/>
      <c r="BO232" s="1868"/>
      <c r="BP232" s="1868"/>
      <c r="BQ232" s="1868"/>
      <c r="BR232" s="1868"/>
    </row>
    <row r="233" spans="1:70" ht="12.2" customHeight="1">
      <c r="A233" s="1935"/>
      <c r="B233" s="1866">
        <f t="shared" si="5"/>
        <v>7</v>
      </c>
      <c r="C233" s="6009"/>
      <c r="D233" s="5865" t="s">
        <v>2665</v>
      </c>
      <c r="E233" s="5866"/>
      <c r="F233" s="5866"/>
      <c r="G233" s="5866"/>
      <c r="H233" s="5867"/>
      <c r="I233" s="1725" t="s">
        <v>1262</v>
      </c>
      <c r="J233" s="5865" t="s">
        <v>2665</v>
      </c>
      <c r="K233" s="5866"/>
      <c r="L233" s="5866"/>
      <c r="M233" s="5866"/>
      <c r="N233" s="5867"/>
      <c r="O233" s="1726" t="s">
        <v>1262</v>
      </c>
      <c r="P233" s="5865" t="s">
        <v>2665</v>
      </c>
      <c r="Q233" s="5866"/>
      <c r="R233" s="5866"/>
      <c r="S233" s="5866"/>
      <c r="T233" s="5867"/>
      <c r="U233" s="1726" t="s">
        <v>1262</v>
      </c>
      <c r="V233" s="5865"/>
      <c r="W233" s="5866"/>
      <c r="X233" s="5866"/>
      <c r="Y233" s="5866"/>
      <c r="Z233" s="5867"/>
      <c r="AA233" s="1726" t="s">
        <v>1262</v>
      </c>
      <c r="AB233" s="5865" t="s">
        <v>2665</v>
      </c>
      <c r="AC233" s="5866"/>
      <c r="AD233" s="5866"/>
      <c r="AE233" s="5866"/>
      <c r="AF233" s="5867"/>
      <c r="AG233" s="1727" t="s">
        <v>1262</v>
      </c>
      <c r="AH233" s="1943"/>
      <c r="AI233" s="6011"/>
      <c r="AJ233" s="3989" t="s">
        <v>8879</v>
      </c>
      <c r="AK233" s="3986" t="str">
        <f>IF(V219="","",IF(SUM(V221:V225)=0,"",V219&amp;" "&amp;SUM(V221:V225)+V228&amp;IF(SUM(W221:W225)=0,""," ("&amp;SUM(W221:W225)&amp;")")&amp;", "))</f>
        <v/>
      </c>
      <c r="AL233" s="3986" t="str">
        <f>IF(X219="","",IF(SUM(X221:X225)=0,"",X219&amp;" "&amp;SUM(X221:X225)+X228&amp;IF(SUM(Y221:Y225)=0,""," ("&amp;SUM(Y221:Y225)&amp;")")&amp;", "))</f>
        <v/>
      </c>
      <c r="AM233" s="3986" t="str">
        <f>IF(Z219="","",IF(SUM(Z221:Z225)=0,"",Z219&amp;" "&amp;SUM(Z221:Z225)+Z228&amp;IF(SUM(AA221:AA225)=0,""," ("&amp;SUM(AA221:AA225)&amp;")")&amp;", "))</f>
        <v/>
      </c>
      <c r="AN233" s="3986" t="str">
        <f>IF(AB219="","",IF(SUM(AB221:AB225)=0,"",AB219&amp;" "&amp;SUM(AB221:AB225)+AB228&amp;IF(SUM(AC221:AC225)=0,""," ("&amp;SUM(AC221:AC225)&amp;")")&amp;", "))</f>
        <v/>
      </c>
      <c r="AO233" s="3986" t="str">
        <f>IF(AD219="","",IF(SUM(AD221:AD225)=0,"",AD219&amp;" "&amp;SUM(AD221:AD225)+AD228&amp;IF(SUM(AE221:AE225)=0,""," ("&amp;SUM(AE221:AE225)&amp;")")&amp;", "))</f>
        <v/>
      </c>
      <c r="AP233" s="3986" t="str">
        <f>IF(AF219="","",IF(SUM(AF221:AF225)=0,"",AF219&amp;" "&amp;SUM(AF221:AF225)+AF228&amp;IF(SUM(AG221:AG225)=0,""," ("&amp;SUM(AG221:AG225)&amp;")")&amp;", "))</f>
        <v/>
      </c>
      <c r="AQ233" s="3986"/>
      <c r="AR233" s="3986"/>
      <c r="AS233" s="3986"/>
      <c r="AT233" s="3986"/>
      <c r="AU233" s="3986"/>
      <c r="AV233" s="3986"/>
      <c r="AW233" s="3986"/>
      <c r="AX233" s="3986"/>
      <c r="AY233" s="3986"/>
      <c r="AZ233" s="1868"/>
      <c r="BA233" s="1868"/>
      <c r="BB233" s="1868"/>
      <c r="BC233" s="1868"/>
      <c r="BD233" s="1868"/>
      <c r="BE233" s="1868"/>
      <c r="BF233" s="1868"/>
      <c r="BG233" s="1868"/>
      <c r="BH233" s="1868"/>
      <c r="BI233" s="1868"/>
      <c r="BJ233" s="1868"/>
      <c r="BK233" s="1868"/>
      <c r="BL233" s="1868"/>
      <c r="BM233" s="1868"/>
      <c r="BN233" s="1868"/>
      <c r="BO233" s="1868"/>
      <c r="BP233" s="1868"/>
      <c r="BQ233" s="1868"/>
      <c r="BR233" s="1868"/>
    </row>
    <row r="234" spans="1:70" ht="12.2" customHeight="1">
      <c r="A234" s="1935"/>
      <c r="B234" s="1866">
        <f t="shared" si="5"/>
        <v>7</v>
      </c>
      <c r="C234" s="6009"/>
      <c r="D234" s="5911"/>
      <c r="E234" s="5853"/>
      <c r="F234" s="5853"/>
      <c r="G234" s="5853"/>
      <c r="H234" s="5853"/>
      <c r="I234" s="1728" t="str">
        <f>IF(OR(D230="",D234=""),"",MAX(1,SUMPRODUCT(--(INDEX('Tablas Técnicas'!$C$10:$L$644,,1)=D230),--(INDEX('Tablas Técnicas'!$C$10:$L$644,,2)=D234),INDEX('Tablas Técnicas'!$C$10:$L$644,,9))))</f>
        <v/>
      </c>
      <c r="J234" s="5852"/>
      <c r="K234" s="5853"/>
      <c r="L234" s="5853"/>
      <c r="M234" s="5853"/>
      <c r="N234" s="5853"/>
      <c r="O234" s="1728" t="str">
        <f>IF(OR(J230="",J234=""),"",MAX(1,SUMPRODUCT(--(INDEX('Tablas Técnicas'!$C$10:$L$644,,1)=J230),--(INDEX('Tablas Técnicas'!$C$10:$L$644,,2)=J234),INDEX('Tablas Técnicas'!$C$10:$L$644,,9))))</f>
        <v/>
      </c>
      <c r="P234" s="5852"/>
      <c r="Q234" s="5853"/>
      <c r="R234" s="5853"/>
      <c r="S234" s="5853"/>
      <c r="T234" s="5853"/>
      <c r="U234" s="1728" t="str">
        <f>IF(OR(P230="",P234=""),"",MAX(1,SUMPRODUCT(--(INDEX('Tablas Técnicas'!$C$10:$L$644,,1)=P230),--(INDEX('Tablas Técnicas'!$C$10:$L$644,,2)=P234),INDEX('Tablas Técnicas'!$C$10:$L$644,,9))))</f>
        <v/>
      </c>
      <c r="V234" s="5852"/>
      <c r="W234" s="5853"/>
      <c r="X234" s="5853"/>
      <c r="Y234" s="5853"/>
      <c r="Z234" s="5853"/>
      <c r="AA234" s="1728" t="str">
        <f>IF(OR(V230="",V234=""),"",MAX(1,SUMPRODUCT(--(INDEX('Tablas Técnicas'!$C$10:$L$644,,1)=V230),--(INDEX('Tablas Técnicas'!$C$10:$L$644,,2)=V234),INDEX('Tablas Técnicas'!$C$10:$L$644,,9))))</f>
        <v/>
      </c>
      <c r="AB234" s="5852"/>
      <c r="AC234" s="5853"/>
      <c r="AD234" s="5853"/>
      <c r="AE234" s="5853"/>
      <c r="AF234" s="5853"/>
      <c r="AG234" s="1729" t="str">
        <f>IF(OR(AB230="",AB234=""),"",MAX(1,SUMPRODUCT(--(INDEX('Tablas Técnicas'!$C$10:$L$644,,1)=AB230),--(INDEX('Tablas Técnicas'!$C$10:$L$644,,2)=AB234),INDEX('Tablas Técnicas'!$C$10:$L$644,,9))))</f>
        <v/>
      </c>
      <c r="AH234" s="1943">
        <f>P217</f>
        <v>1</v>
      </c>
      <c r="AI234" s="6011"/>
      <c r="AJ234" s="3986" t="s">
        <v>8843</v>
      </c>
      <c r="AK234" s="3986"/>
      <c r="AL234" s="3986">
        <f>MAX(0,SUM(AT221:AT225)+ABS($AC226*2/5))+IF(AM243,0,Y226)+IF(S217="Sí",2*P217,0)</f>
        <v>0</v>
      </c>
      <c r="AM234" s="3986">
        <f t="array" ref="AM234">IF(ISNUMBER(SEARCH("Mantenido",K221&amp;K222&amp;K223&amp;K224&amp;K225)),MAX(0,SUM(VALUE(RIGHT($P221:$P225,2)))),0)</f>
        <v>0</v>
      </c>
      <c r="AN234" s="1868"/>
      <c r="AO234" s="1868"/>
      <c r="AP234" s="1815"/>
      <c r="AQ234" s="1815"/>
      <c r="AR234" s="1815"/>
      <c r="AS234" s="1815"/>
      <c r="AT234" s="1815"/>
      <c r="AU234" s="1815"/>
      <c r="AV234" s="1815"/>
      <c r="AW234" s="1815"/>
      <c r="AX234" s="1815"/>
      <c r="AY234" s="3986"/>
      <c r="AZ234" s="1868"/>
      <c r="BA234" s="1868"/>
      <c r="BB234" s="1868"/>
      <c r="BC234" s="1868"/>
      <c r="BD234" s="1868"/>
      <c r="BE234" s="1868"/>
      <c r="BF234" s="1868"/>
      <c r="BG234" s="1868"/>
      <c r="BH234" s="1868"/>
      <c r="BI234" s="1868"/>
      <c r="BJ234" s="1868"/>
      <c r="BK234" s="1868"/>
      <c r="BL234" s="1868"/>
      <c r="BM234" s="1868"/>
      <c r="BN234" s="1868"/>
      <c r="BO234" s="1868"/>
      <c r="BP234" s="1868"/>
      <c r="BQ234" s="1868"/>
      <c r="BR234" s="1868"/>
    </row>
    <row r="235" spans="1:70" ht="12.2" customHeight="1">
      <c r="A235" s="1935"/>
      <c r="B235" s="1866">
        <f t="shared" si="5"/>
        <v>7</v>
      </c>
      <c r="C235" s="6009"/>
      <c r="D235" s="5871"/>
      <c r="E235" s="5872"/>
      <c r="F235" s="5872"/>
      <c r="G235" s="5872"/>
      <c r="H235" s="5872"/>
      <c r="I235" s="1730" t="str">
        <f>IF(OR(D230="",D235=""),"",MAX(1,SUMPRODUCT(--(INDEX('Tablas Técnicas'!$C$10:$L$644,,1)=D230),--(INDEX('Tablas Técnicas'!$C$10:$L$644,,2)=D235),INDEX('Tablas Técnicas'!$C$10:$L$644,,9))))</f>
        <v/>
      </c>
      <c r="J235" s="5871"/>
      <c r="K235" s="5872"/>
      <c r="L235" s="5872"/>
      <c r="M235" s="5872"/>
      <c r="N235" s="5872"/>
      <c r="O235" s="1730" t="str">
        <f>IF(OR(J230="",J235=""),"",MAX(1,SUMPRODUCT(--(INDEX('Tablas Técnicas'!$C$10:$L$644,,1)=J230),--(INDEX('Tablas Técnicas'!$C$10:$L$644,,2)=J235),INDEX('Tablas Técnicas'!$C$10:$L$644,,9))))</f>
        <v/>
      </c>
      <c r="P235" s="5871"/>
      <c r="Q235" s="5872"/>
      <c r="R235" s="5872"/>
      <c r="S235" s="5872"/>
      <c r="T235" s="5872"/>
      <c r="U235" s="1730" t="str">
        <f>IF(OR(P230="",P235=""),"",MAX(1,SUMPRODUCT(--(INDEX('Tablas Técnicas'!$C$10:$L$644,,1)=P230),--(INDEX('Tablas Técnicas'!$C$10:$L$644,,2)=P235),INDEX('Tablas Técnicas'!$C$10:$L$644,,9))))</f>
        <v/>
      </c>
      <c r="V235" s="5871"/>
      <c r="W235" s="5872"/>
      <c r="X235" s="5872"/>
      <c r="Y235" s="5872"/>
      <c r="Z235" s="5872"/>
      <c r="AA235" s="1730" t="str">
        <f>IF(OR(V230="",V235=""),"",MAX(1,SUMPRODUCT(--(INDEX('Tablas Técnicas'!$C$10:$L$644,,1)=V230),--(INDEX('Tablas Técnicas'!$C$10:$L$644,,2)=V235),INDEX('Tablas Técnicas'!$C$10:$L$644,,9))))</f>
        <v/>
      </c>
      <c r="AB235" s="5871"/>
      <c r="AC235" s="5872"/>
      <c r="AD235" s="5872"/>
      <c r="AE235" s="5872"/>
      <c r="AF235" s="5872"/>
      <c r="AG235" s="1731" t="str">
        <f>IF(OR(AB230="",AB235=""),"",MAX(1,SUMPRODUCT(--(INDEX('Tablas Técnicas'!$C$10:$L$644,,1)=AB230),--(INDEX('Tablas Técnicas'!$C$10:$L$644,,2)=AB235),INDEX('Tablas Técnicas'!$C$10:$L$644,,9))))</f>
        <v/>
      </c>
      <c r="AH235" s="1943">
        <f>P217</f>
        <v>1</v>
      </c>
      <c r="AI235" s="6011"/>
      <c r="AJ235" s="3986" t="s">
        <v>8366</v>
      </c>
      <c r="AK235" s="3986"/>
      <c r="AL235" s="3986">
        <f>SUM(V221:V225,X221:X225,Z221:Z225,AB221:AB225,AD221:AD225,AF221:AF225)+SUM(V228:AG228)</f>
        <v>0</v>
      </c>
      <c r="AM235" s="3986">
        <f>SUM(W221:W225,Y221:Y225,AA221:AA225,AC221:AC225,AE221:AE225,AG221:AG225)</f>
        <v>0</v>
      </c>
      <c r="AN235" s="3986"/>
      <c r="AO235" s="3986"/>
      <c r="AP235" s="3986"/>
      <c r="AQ235" s="3986"/>
      <c r="AR235" s="3986"/>
      <c r="AS235" s="3986"/>
      <c r="AT235" s="3986"/>
      <c r="AU235" s="3986"/>
      <c r="AV235" s="3986"/>
      <c r="AW235" s="1868"/>
      <c r="AX235" s="3986"/>
      <c r="AY235" s="3986"/>
      <c r="AZ235" s="1868"/>
      <c r="BA235" s="1868"/>
      <c r="BB235" s="1868"/>
      <c r="BC235" s="1868"/>
      <c r="BD235" s="1868"/>
      <c r="BE235" s="1868"/>
      <c r="BF235" s="1868"/>
      <c r="BG235" s="1868"/>
      <c r="BH235" s="1868"/>
      <c r="BI235" s="1868"/>
      <c r="BJ235" s="1868"/>
      <c r="BK235" s="1868"/>
      <c r="BL235" s="1868"/>
      <c r="BM235" s="1868"/>
      <c r="BN235" s="1868"/>
      <c r="BO235" s="1868"/>
      <c r="BP235" s="1868"/>
      <c r="BQ235" s="1868"/>
      <c r="BR235" s="1868"/>
    </row>
    <row r="236" spans="1:70" ht="12.2" customHeight="1">
      <c r="A236" s="1935"/>
      <c r="B236" s="1866">
        <f t="shared" si="5"/>
        <v>7</v>
      </c>
      <c r="C236" s="6009"/>
      <c r="D236" s="5871"/>
      <c r="E236" s="5872"/>
      <c r="F236" s="5872"/>
      <c r="G236" s="5872"/>
      <c r="H236" s="5872"/>
      <c r="I236" s="1730" t="str">
        <f>IF(OR(D230="",D236=""),"",MAX(1,SUMPRODUCT(--(INDEX('Tablas Técnicas'!$C$10:$L$644,,1)=D230),--(INDEX('Tablas Técnicas'!$C$10:$L$644,,2)=D236),INDEX('Tablas Técnicas'!$C$10:$L$644,,9))))</f>
        <v/>
      </c>
      <c r="J236" s="5871"/>
      <c r="K236" s="5872"/>
      <c r="L236" s="5872"/>
      <c r="M236" s="5872"/>
      <c r="N236" s="5872"/>
      <c r="O236" s="1730" t="str">
        <f>IF(OR(J230="",J236=""),"",MAX(1,SUMPRODUCT(--(INDEX('Tablas Técnicas'!$C$10:$L$644,,1)=J230),--(INDEX('Tablas Técnicas'!$C$10:$L$644,,2)=J236),INDEX('Tablas Técnicas'!$C$10:$L$644,,9))))</f>
        <v/>
      </c>
      <c r="P236" s="5871"/>
      <c r="Q236" s="5872"/>
      <c r="R236" s="5872"/>
      <c r="S236" s="5872"/>
      <c r="T236" s="5872"/>
      <c r="U236" s="1730" t="str">
        <f>IF(OR(P230="",P236=""),"",MAX(1,SUMPRODUCT(--(INDEX('Tablas Técnicas'!$C$10:$L$644,,1)=P230),--(INDEX('Tablas Técnicas'!$C$10:$L$644,,2)=P236),INDEX('Tablas Técnicas'!$C$10:$L$644,,9))))</f>
        <v/>
      </c>
      <c r="V236" s="5871"/>
      <c r="W236" s="5872"/>
      <c r="X236" s="5872"/>
      <c r="Y236" s="5872"/>
      <c r="Z236" s="5872"/>
      <c r="AA236" s="1730" t="str">
        <f>IF(OR(V230="",V236=""),"",MAX(1,SUMPRODUCT(--(INDEX('Tablas Técnicas'!$C$10:$L$644,,1)=V230),--(INDEX('Tablas Técnicas'!$C$10:$L$644,,2)=V236),INDEX('Tablas Técnicas'!$C$10:$L$644,,9))))</f>
        <v/>
      </c>
      <c r="AB236" s="5871"/>
      <c r="AC236" s="5872"/>
      <c r="AD236" s="5872"/>
      <c r="AE236" s="5872"/>
      <c r="AF236" s="5872"/>
      <c r="AG236" s="1731" t="str">
        <f>IF(OR(AB230="",AB236=""),"",MAX(1,SUMPRODUCT(--(INDEX('Tablas Técnicas'!$C$10:$L$644,,1)=AB230),--(INDEX('Tablas Técnicas'!$C$10:$L$644,,2)=AB236),INDEX('Tablas Técnicas'!$C$10:$L$644,,9))))</f>
        <v/>
      </c>
      <c r="AH236" s="1943">
        <f>P217</f>
        <v>1</v>
      </c>
      <c r="AI236" s="6011"/>
      <c r="AJ236" s="3986"/>
      <c r="AK236" s="3986"/>
      <c r="AL236" s="3986"/>
      <c r="AM236" s="3986"/>
      <c r="AN236" s="3986"/>
      <c r="AO236" s="3986"/>
      <c r="AP236" s="3986"/>
      <c r="AQ236" s="3986"/>
      <c r="AR236" s="3986"/>
      <c r="AS236" s="3986"/>
      <c r="AT236" s="3986"/>
      <c r="AU236" s="3986"/>
      <c r="AV236" s="3986"/>
      <c r="AW236" s="1868"/>
      <c r="AX236" s="1868"/>
      <c r="AY236" s="3986"/>
      <c r="AZ236" s="1868"/>
      <c r="BA236" s="1868"/>
      <c r="BB236" s="1868"/>
      <c r="BC236" s="1868"/>
      <c r="BD236" s="1868"/>
      <c r="BE236" s="1868"/>
      <c r="BF236" s="1868"/>
      <c r="BG236" s="1868"/>
      <c r="BH236" s="1868"/>
      <c r="BI236" s="1868"/>
      <c r="BJ236" s="1868"/>
      <c r="BK236" s="1868"/>
      <c r="BL236" s="1868"/>
      <c r="BM236" s="1868"/>
      <c r="BN236" s="1868"/>
      <c r="BO236" s="1868"/>
      <c r="BP236" s="1868"/>
      <c r="BQ236" s="1868"/>
      <c r="BR236" s="1868"/>
    </row>
    <row r="237" spans="1:70" ht="12.2" customHeight="1">
      <c r="A237" s="1935"/>
      <c r="B237" s="1866">
        <f t="shared" si="5"/>
        <v>7</v>
      </c>
      <c r="C237" s="6009"/>
      <c r="D237" s="5871"/>
      <c r="E237" s="5872"/>
      <c r="F237" s="5872"/>
      <c r="G237" s="5872"/>
      <c r="H237" s="5872"/>
      <c r="I237" s="1730" t="str">
        <f>IF(OR(D230="",D237=""),"",MAX(1,SUMPRODUCT(--(INDEX('Tablas Técnicas'!$C$10:$L$644,,1)=D230),--(INDEX('Tablas Técnicas'!$C$10:$L$644,,2)=D237),INDEX('Tablas Técnicas'!$C$10:$L$644,,9))))</f>
        <v/>
      </c>
      <c r="J237" s="5871"/>
      <c r="K237" s="5872"/>
      <c r="L237" s="5872"/>
      <c r="M237" s="5872"/>
      <c r="N237" s="5872"/>
      <c r="O237" s="1730" t="str">
        <f>IF(OR(J230="",J237=""),"",MAX(1,SUMPRODUCT(--(INDEX('Tablas Técnicas'!$C$10:$L$644,,1)=J230),--(INDEX('Tablas Técnicas'!$C$10:$L$644,,2)=J237),INDEX('Tablas Técnicas'!$C$10:$L$644,,9))))</f>
        <v/>
      </c>
      <c r="P237" s="5871"/>
      <c r="Q237" s="5872"/>
      <c r="R237" s="5872"/>
      <c r="S237" s="5872"/>
      <c r="T237" s="5872"/>
      <c r="U237" s="1730" t="str">
        <f>IF(OR(P230="",P237=""),"",MAX(1,SUMPRODUCT(--(INDEX('Tablas Técnicas'!$C$10:$L$644,,1)=P230),--(INDEX('Tablas Técnicas'!$C$10:$L$644,,2)=P237),INDEX('Tablas Técnicas'!$C$10:$L$644,,9))))</f>
        <v/>
      </c>
      <c r="V237" s="5871"/>
      <c r="W237" s="5872"/>
      <c r="X237" s="5872"/>
      <c r="Y237" s="5872"/>
      <c r="Z237" s="5872"/>
      <c r="AA237" s="1730" t="str">
        <f>IF(OR(V230="",V237=""),"",MAX(1,SUMPRODUCT(--(INDEX('Tablas Técnicas'!$C$10:$L$644,,1)=V230),--(INDEX('Tablas Técnicas'!$C$10:$L$644,,2)=V237),INDEX('Tablas Técnicas'!$C$10:$L$644,,9))))</f>
        <v/>
      </c>
      <c r="AB237" s="5871"/>
      <c r="AC237" s="5872"/>
      <c r="AD237" s="5872"/>
      <c r="AE237" s="5872"/>
      <c r="AF237" s="5872"/>
      <c r="AG237" s="1731" t="str">
        <f>IF(OR(AB230="",AB237=""),"",MAX(1,SUMPRODUCT(--(INDEX('Tablas Técnicas'!$C$10:$L$644,,1)=AB230),--(INDEX('Tablas Técnicas'!$C$10:$L$644,,2)=AB237),INDEX('Tablas Técnicas'!$C$10:$L$644,,9))))</f>
        <v/>
      </c>
      <c r="AH237" s="1943">
        <f>P217</f>
        <v>1</v>
      </c>
      <c r="AI237" s="6011"/>
      <c r="AJ237" s="3986" t="s">
        <v>8367</v>
      </c>
      <c r="AK237" s="3986"/>
      <c r="AL237" s="3986"/>
      <c r="AM237" s="3986"/>
      <c r="AN237" s="3986"/>
      <c r="AO237" s="3986"/>
      <c r="AP237" s="3986"/>
      <c r="AQ237" s="3987"/>
      <c r="AR237" s="1868"/>
      <c r="AS237" s="1868"/>
      <c r="AT237" s="1868"/>
      <c r="AU237" s="1868"/>
      <c r="AV237" s="1868"/>
      <c r="AW237" s="1868"/>
      <c r="AX237" s="1868"/>
      <c r="AY237" s="3986"/>
      <c r="AZ237" s="1868"/>
      <c r="BA237" s="1868"/>
      <c r="BB237" s="1868"/>
      <c r="BC237" s="1868"/>
      <c r="BD237" s="1868"/>
      <c r="BE237" s="1868"/>
      <c r="BF237" s="1868"/>
      <c r="BG237" s="1868"/>
      <c r="BH237" s="1868"/>
      <c r="BI237" s="1868"/>
      <c r="BJ237" s="1868"/>
      <c r="BK237" s="1868"/>
      <c r="BL237" s="1868"/>
      <c r="BM237" s="1868"/>
      <c r="BN237" s="1868"/>
      <c r="BO237" s="1868"/>
      <c r="BP237" s="1868"/>
      <c r="BQ237" s="1868"/>
      <c r="BR237" s="1868"/>
    </row>
    <row r="238" spans="1:70" ht="12.2" customHeight="1">
      <c r="A238" s="1935"/>
      <c r="B238" s="1866">
        <f t="shared" si="5"/>
        <v>7</v>
      </c>
      <c r="C238" s="6009"/>
      <c r="D238" s="5871"/>
      <c r="E238" s="5872"/>
      <c r="F238" s="5872"/>
      <c r="G238" s="5872"/>
      <c r="H238" s="5872"/>
      <c r="I238" s="1730" t="str">
        <f>IF(OR(D230="",D238=""),"",MAX(1,SUMPRODUCT(--(INDEX('Tablas Técnicas'!$C$10:$L$644,,1)=D230),--(INDEX('Tablas Técnicas'!$C$10:$L$644,,2)=D238),INDEX('Tablas Técnicas'!$C$10:$L$644,,9))))</f>
        <v/>
      </c>
      <c r="J238" s="5871"/>
      <c r="K238" s="5872"/>
      <c r="L238" s="5872"/>
      <c r="M238" s="5872"/>
      <c r="N238" s="5872"/>
      <c r="O238" s="1730" t="str">
        <f>IF(OR(J230="",J238=""),"",MAX(1,SUMPRODUCT(--(INDEX('Tablas Técnicas'!$C$10:$L$644,,1)=J230),--(INDEX('Tablas Técnicas'!$C$10:$L$644,,2)=J238),INDEX('Tablas Técnicas'!$C$10:$L$644,,9))))</f>
        <v/>
      </c>
      <c r="P238" s="5871"/>
      <c r="Q238" s="5872"/>
      <c r="R238" s="5872"/>
      <c r="S238" s="5872"/>
      <c r="T238" s="5872"/>
      <c r="U238" s="1730" t="str">
        <f>IF(OR(P230="",P238=""),"",MAX(1,SUMPRODUCT(--(INDEX('Tablas Técnicas'!$C$10:$L$644,,1)=P230),--(INDEX('Tablas Técnicas'!$C$10:$L$644,,2)=P238),INDEX('Tablas Técnicas'!$C$10:$L$644,,9))))</f>
        <v/>
      </c>
      <c r="V238" s="5871"/>
      <c r="W238" s="5872"/>
      <c r="X238" s="5872"/>
      <c r="Y238" s="5872"/>
      <c r="Z238" s="5872"/>
      <c r="AA238" s="1730" t="str">
        <f>IF(OR(V230="",V238=""),"",MAX(1,SUMPRODUCT(--(INDEX('Tablas Técnicas'!$C$10:$L$644,,1)=V230),--(INDEX('Tablas Técnicas'!$C$10:$L$644,,2)=V238),INDEX('Tablas Técnicas'!$C$10:$L$644,,9))))</f>
        <v/>
      </c>
      <c r="AB238" s="5871"/>
      <c r="AC238" s="5872"/>
      <c r="AD238" s="5872"/>
      <c r="AE238" s="5872"/>
      <c r="AF238" s="5872"/>
      <c r="AG238" s="1731" t="str">
        <f>IF(OR(AB230="",AB238=""),"",MAX(1,SUMPRODUCT(--(INDEX('Tablas Técnicas'!$C$10:$L$644,,1)=AB230),--(INDEX('Tablas Técnicas'!$C$10:$L$644,,2)=AB238),INDEX('Tablas Técnicas'!$C$10:$L$644,,9))))</f>
        <v/>
      </c>
      <c r="AH238" s="1943">
        <f>P217</f>
        <v>1</v>
      </c>
      <c r="AI238" s="6011"/>
      <c r="AJ238" s="3986" t="s">
        <v>9502</v>
      </c>
      <c r="AK238" s="3986"/>
      <c r="AL238" s="3986"/>
      <c r="AM238" s="3986" t="b">
        <f>U217&gt;IF(P217=3,200,IF(P217=2,100,50))</f>
        <v>0</v>
      </c>
      <c r="AN238" s="3986"/>
      <c r="AO238" s="3986"/>
      <c r="AP238" s="3986"/>
      <c r="AQ238" s="3986"/>
      <c r="AR238" s="1868"/>
      <c r="AS238" s="1868"/>
      <c r="AT238" s="1868"/>
      <c r="AU238" s="1868"/>
      <c r="AV238" s="1868"/>
      <c r="AW238" s="1868"/>
      <c r="AX238" s="1868"/>
      <c r="AY238" s="3986"/>
      <c r="AZ238" s="1868"/>
      <c r="BA238" s="1868"/>
      <c r="BB238" s="1868"/>
      <c r="BC238" s="1868"/>
      <c r="BD238" s="1868"/>
      <c r="BE238" s="1868"/>
      <c r="BF238" s="1868"/>
      <c r="BG238" s="1868"/>
      <c r="BH238" s="1868"/>
      <c r="BI238" s="1868"/>
      <c r="BJ238" s="1868"/>
      <c r="BK238" s="1868"/>
      <c r="BL238" s="1868"/>
      <c r="BM238" s="1868"/>
      <c r="BN238" s="1868"/>
      <c r="BO238" s="1868"/>
      <c r="BP238" s="1868"/>
      <c r="BQ238" s="1868"/>
      <c r="BR238" s="1868"/>
    </row>
    <row r="239" spans="1:70" ht="12.2" customHeight="1">
      <c r="A239" s="1935"/>
      <c r="B239" s="1866">
        <f t="shared" si="5"/>
        <v>7</v>
      </c>
      <c r="C239" s="6009"/>
      <c r="D239" s="5871"/>
      <c r="E239" s="5872"/>
      <c r="F239" s="5872"/>
      <c r="G239" s="5872"/>
      <c r="H239" s="5872"/>
      <c r="I239" s="1730" t="str">
        <f>IF(OR(D230="",D239=""),"",MAX(1,SUMPRODUCT(--(INDEX('Tablas Técnicas'!$C$10:$L$644,,1)=D230),--(INDEX('Tablas Técnicas'!$C$10:$L$644,,2)=D239),INDEX('Tablas Técnicas'!$C$10:$L$644,,9))))</f>
        <v/>
      </c>
      <c r="J239" s="5871"/>
      <c r="K239" s="5872"/>
      <c r="L239" s="5872"/>
      <c r="M239" s="5872"/>
      <c r="N239" s="5872"/>
      <c r="O239" s="1730" t="str">
        <f>IF(OR(J230="",J239=""),"",MAX(1,SUMPRODUCT(--(INDEX('Tablas Técnicas'!$C$10:$L$644,,1)=J230),--(INDEX('Tablas Técnicas'!$C$10:$L$644,,2)=J239),INDEX('Tablas Técnicas'!$C$10:$L$644,,9))))</f>
        <v/>
      </c>
      <c r="P239" s="5871"/>
      <c r="Q239" s="5872"/>
      <c r="R239" s="5872"/>
      <c r="S239" s="5872"/>
      <c r="T239" s="5872"/>
      <c r="U239" s="1730" t="str">
        <f>IF(OR(P230="",P239=""),"",MAX(1,SUMPRODUCT(--(INDEX('Tablas Técnicas'!$C$10:$L$644,,1)=P230),--(INDEX('Tablas Técnicas'!$C$10:$L$644,,2)=P239),INDEX('Tablas Técnicas'!$C$10:$L$644,,9))))</f>
        <v/>
      </c>
      <c r="V239" s="5871"/>
      <c r="W239" s="5872"/>
      <c r="X239" s="5872"/>
      <c r="Y239" s="5872"/>
      <c r="Z239" s="5872"/>
      <c r="AA239" s="1730" t="str">
        <f>IF(OR(V230="",V239=""),"",MAX(1,SUMPRODUCT(--(INDEX('Tablas Técnicas'!$C$10:$L$644,,1)=V230),--(INDEX('Tablas Técnicas'!$C$10:$L$644,,2)=V239),INDEX('Tablas Técnicas'!$C$10:$L$644,,9))))</f>
        <v/>
      </c>
      <c r="AB239" s="5871"/>
      <c r="AC239" s="5872"/>
      <c r="AD239" s="5872"/>
      <c r="AE239" s="5872"/>
      <c r="AF239" s="5872"/>
      <c r="AG239" s="1731" t="str">
        <f>IF(OR(AB230="",AB239=""),"",MAX(1,SUMPRODUCT(--(INDEX('Tablas Técnicas'!$C$10:$L$644,,1)=AB230),--(INDEX('Tablas Técnicas'!$C$10:$L$644,,2)=AB239),INDEX('Tablas Técnicas'!$C$10:$L$644,,9))))</f>
        <v/>
      </c>
      <c r="AH239" s="1943">
        <f>P217</f>
        <v>1</v>
      </c>
      <c r="AI239" s="6011"/>
      <c r="AJ239" s="3986" t="s">
        <v>8368</v>
      </c>
      <c r="AK239" s="3986"/>
      <c r="AL239" s="3986"/>
      <c r="AM239" s="3986" t="b">
        <f t="array" ref="AM239">MAX(I234:I240,O234:O240,U234:U240,AA234:AA240,AG234:AG240,RIGHT(S226:S228,1))&gt;P217</f>
        <v>0</v>
      </c>
      <c r="AN239" s="3986"/>
      <c r="AO239" s="3986"/>
      <c r="AP239" s="3986"/>
      <c r="AQ239" s="3987"/>
      <c r="AR239" s="1868"/>
      <c r="AS239" s="1868"/>
      <c r="AT239" s="1868"/>
      <c r="AU239" s="1868"/>
      <c r="AV239" s="1868"/>
      <c r="AW239" s="1868"/>
      <c r="AX239" s="1868"/>
      <c r="AY239" s="3986"/>
      <c r="AZ239" s="1868"/>
      <c r="BA239" s="1868"/>
      <c r="BB239" s="1868"/>
      <c r="BC239" s="1868"/>
      <c r="BD239" s="1868"/>
      <c r="BE239" s="1868"/>
      <c r="BF239" s="1868"/>
      <c r="BG239" s="1868"/>
      <c r="BH239" s="1868"/>
      <c r="BI239" s="1868"/>
      <c r="BJ239" s="1868"/>
      <c r="BK239" s="1868"/>
      <c r="BL239" s="1868"/>
      <c r="BM239" s="1868"/>
      <c r="BN239" s="1868"/>
      <c r="BO239" s="1868"/>
      <c r="BP239" s="1868"/>
      <c r="BQ239" s="1868"/>
      <c r="BR239" s="1868"/>
    </row>
    <row r="240" spans="1:70" ht="12.2" customHeight="1">
      <c r="A240" s="1935"/>
      <c r="B240" s="1866">
        <f t="shared" si="5"/>
        <v>7</v>
      </c>
      <c r="C240" s="6009"/>
      <c r="D240" s="5926"/>
      <c r="E240" s="5927"/>
      <c r="F240" s="5927"/>
      <c r="G240" s="5927"/>
      <c r="H240" s="5927"/>
      <c r="I240" s="1732" t="str">
        <f>IF(OR(D230="",D240=""),"",MAX(1,SUMPRODUCT(--(INDEX('Tablas Técnicas'!$C$10:$L$644,,1)=D230),--(INDEX('Tablas Técnicas'!$C$10:$L$644,,2)=D240),INDEX('Tablas Técnicas'!$C$10:$L$644,,9))))</f>
        <v/>
      </c>
      <c r="J240" s="5926"/>
      <c r="K240" s="5927"/>
      <c r="L240" s="5927"/>
      <c r="M240" s="5927"/>
      <c r="N240" s="5927"/>
      <c r="O240" s="1732" t="str">
        <f>IF(OR(J230="",J240=""),"",MAX(1,SUMPRODUCT(--(INDEX('Tablas Técnicas'!$C$10:$L$644,,1)=J230),--(INDEX('Tablas Técnicas'!$C$10:$L$644,,2)=J240),INDEX('Tablas Técnicas'!$C$10:$L$644,,9))))</f>
        <v/>
      </c>
      <c r="P240" s="5926"/>
      <c r="Q240" s="5927"/>
      <c r="R240" s="5927"/>
      <c r="S240" s="5927"/>
      <c r="T240" s="5927"/>
      <c r="U240" s="1732" t="str">
        <f>IF(OR(P230="",P240=""),"",MAX(1,SUMPRODUCT(--(INDEX('Tablas Técnicas'!$C$10:$L$644,,1)=P230),--(INDEX('Tablas Técnicas'!$C$10:$L$644,,2)=P240),INDEX('Tablas Técnicas'!$C$10:$L$644,,9))))</f>
        <v/>
      </c>
      <c r="V240" s="5926"/>
      <c r="W240" s="5927"/>
      <c r="X240" s="5927"/>
      <c r="Y240" s="5927"/>
      <c r="Z240" s="5927"/>
      <c r="AA240" s="1732" t="str">
        <f>IF(OR(V230="",V240=""),"",MAX(1,SUMPRODUCT(--(INDEX('Tablas Técnicas'!$C$10:$L$644,,1)=V230),--(INDEX('Tablas Técnicas'!$C$10:$L$644,,2)=V240),INDEX('Tablas Técnicas'!$C$10:$L$644,,9))))</f>
        <v/>
      </c>
      <c r="AB240" s="5926"/>
      <c r="AC240" s="5927"/>
      <c r="AD240" s="5927"/>
      <c r="AE240" s="5927"/>
      <c r="AF240" s="5927"/>
      <c r="AG240" s="1733" t="str">
        <f>IF(OR(AB230="",AB240=""),"",MAX(1,SUMPRODUCT(--(INDEX('Tablas Técnicas'!$C$10:$L$644,,1)=AB230),--(INDEX('Tablas Técnicas'!$C$10:$L$644,,2)=AB240),INDEX('Tablas Técnicas'!$C$10:$L$644,,9))))</f>
        <v/>
      </c>
      <c r="AH240" s="1943">
        <f>P217</f>
        <v>1</v>
      </c>
      <c r="AI240" s="6011"/>
      <c r="AJ240" s="3986" t="s">
        <v>8860</v>
      </c>
      <c r="AK240" s="3986"/>
      <c r="AL240" s="3986"/>
      <c r="AM240" s="3986" t="b">
        <f>AND(COUNTIF(K221:M225,"Mantenido"),OR(COUNTIF(K221:M225,"Sostenimiento Menor"),COUNTIF(K221:M225,"Sostenimiento Mayor")))</f>
        <v>0</v>
      </c>
      <c r="AN240" s="3987"/>
      <c r="AO240" s="3986"/>
      <c r="AP240" s="3986"/>
      <c r="AQ240" s="3986"/>
      <c r="AR240" s="3986"/>
      <c r="AS240" s="3986"/>
      <c r="AT240" s="3986"/>
      <c r="AU240" s="1868"/>
      <c r="AV240" s="1868"/>
      <c r="AW240" s="1868"/>
      <c r="AX240" s="1868"/>
      <c r="AY240" s="3986"/>
      <c r="AZ240" s="1868"/>
      <c r="BA240" s="1868"/>
      <c r="BB240" s="1868"/>
      <c r="BC240" s="1868"/>
      <c r="BD240" s="1868"/>
      <c r="BE240" s="1868"/>
      <c r="BF240" s="1868"/>
      <c r="BG240" s="1868"/>
      <c r="BH240" s="1868"/>
      <c r="BI240" s="1868"/>
      <c r="BJ240" s="1868"/>
      <c r="BK240" s="1868"/>
      <c r="BL240" s="1868"/>
      <c r="BM240" s="1868"/>
      <c r="BN240" s="1868"/>
      <c r="BO240" s="1868"/>
      <c r="BP240" s="1868"/>
      <c r="BQ240" s="1868"/>
      <c r="BR240" s="1868"/>
    </row>
    <row r="241" spans="1:70" ht="12.2" customHeight="1">
      <c r="A241" s="1935"/>
      <c r="B241" s="1866">
        <f t="shared" si="5"/>
        <v>7</v>
      </c>
      <c r="C241" s="6009"/>
      <c r="D241" s="5873" t="s">
        <v>1408</v>
      </c>
      <c r="E241" s="5874"/>
      <c r="F241" s="5874"/>
      <c r="G241" s="5874"/>
      <c r="H241" s="5874"/>
      <c r="I241" s="5874"/>
      <c r="J241" s="5874"/>
      <c r="K241" s="5874"/>
      <c r="L241" s="5874"/>
      <c r="M241" s="5874"/>
      <c r="N241" s="5874"/>
      <c r="O241" s="5874"/>
      <c r="P241" s="5874"/>
      <c r="Q241" s="5874"/>
      <c r="R241" s="5874"/>
      <c r="S241" s="5874"/>
      <c r="T241" s="5874"/>
      <c r="U241" s="5874"/>
      <c r="V241" s="5874"/>
      <c r="W241" s="5874"/>
      <c r="X241" s="5874"/>
      <c r="Y241" s="5874"/>
      <c r="Z241" s="5874"/>
      <c r="AA241" s="5874"/>
      <c r="AB241" s="5874"/>
      <c r="AC241" s="5874"/>
      <c r="AD241" s="5874"/>
      <c r="AE241" s="5874"/>
      <c r="AF241" s="5874"/>
      <c r="AG241" s="5875"/>
      <c r="AH241" s="1943"/>
      <c r="AI241" s="6011"/>
      <c r="AJ241" s="3986" t="s">
        <v>8859</v>
      </c>
      <c r="AK241" s="3986"/>
      <c r="AL241" s="3986"/>
      <c r="AM241" s="398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986"/>
      <c r="AO241" s="3986"/>
      <c r="AP241" s="3986"/>
      <c r="AQ241" s="3987"/>
      <c r="AR241" s="3986"/>
      <c r="AS241" s="3986"/>
      <c r="AT241" s="3986"/>
      <c r="AU241" s="1868"/>
      <c r="AV241" s="1868"/>
      <c r="AW241" s="1868"/>
      <c r="AX241" s="1868"/>
      <c r="AY241" s="3986"/>
      <c r="AZ241" s="1868"/>
      <c r="BA241" s="1868"/>
      <c r="BB241" s="1868"/>
      <c r="BC241" s="1868"/>
      <c r="BD241" s="1868"/>
      <c r="BE241" s="1868"/>
      <c r="BF241" s="1868"/>
      <c r="BG241" s="1868"/>
      <c r="BH241" s="1868"/>
      <c r="BI241" s="1868"/>
      <c r="BJ241" s="1868"/>
      <c r="BK241" s="1868"/>
      <c r="BL241" s="1868"/>
      <c r="BM241" s="1868"/>
      <c r="BN241" s="1868"/>
      <c r="BO241" s="1868"/>
      <c r="BP241" s="1868"/>
      <c r="BQ241" s="1868"/>
      <c r="BR241" s="1868"/>
    </row>
    <row r="242" spans="1:70" ht="12.2" customHeight="1">
      <c r="A242" s="1935"/>
      <c r="B242" s="1866">
        <f t="shared" si="5"/>
        <v>7</v>
      </c>
      <c r="C242" s="6009"/>
      <c r="D242" s="5868"/>
      <c r="E242" s="5869"/>
      <c r="F242" s="5869"/>
      <c r="G242" s="5869"/>
      <c r="H242" s="5869"/>
      <c r="I242" s="5869"/>
      <c r="J242" s="5869"/>
      <c r="K242" s="5869"/>
      <c r="L242" s="5869"/>
      <c r="M242" s="5869"/>
      <c r="N242" s="5869"/>
      <c r="O242" s="5869"/>
      <c r="P242" s="5869"/>
      <c r="Q242" s="5869"/>
      <c r="R242" s="5869"/>
      <c r="S242" s="5869"/>
      <c r="T242" s="5869"/>
      <c r="U242" s="5869"/>
      <c r="V242" s="5869"/>
      <c r="W242" s="5869"/>
      <c r="X242" s="5869"/>
      <c r="Y242" s="5869"/>
      <c r="Z242" s="5869"/>
      <c r="AA242" s="5869"/>
      <c r="AB242" s="5869"/>
      <c r="AC242" s="5869"/>
      <c r="AD242" s="5869"/>
      <c r="AE242" s="5869"/>
      <c r="AF242" s="5869"/>
      <c r="AG242" s="5870"/>
      <c r="AH242" s="1943"/>
      <c r="AI242" s="6011"/>
      <c r="AJ242" s="3986" t="s">
        <v>8867</v>
      </c>
      <c r="AK242" s="3986"/>
      <c r="AL242" s="3986"/>
      <c r="AM242" s="398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986"/>
      <c r="AO242" s="3986"/>
      <c r="AP242" s="3986"/>
      <c r="AQ242" s="3987"/>
      <c r="AR242" s="3986"/>
      <c r="AS242" s="3986"/>
      <c r="AT242" s="3986"/>
      <c r="AU242" s="1868"/>
      <c r="AV242" s="1868"/>
      <c r="AW242" s="1868"/>
      <c r="AX242" s="1868"/>
      <c r="AY242" s="3986"/>
      <c r="AZ242" s="1868"/>
      <c r="BA242" s="1868"/>
      <c r="BB242" s="1868"/>
      <c r="BC242" s="1868"/>
      <c r="BD242" s="1868"/>
      <c r="BE242" s="1868"/>
      <c r="BF242" s="1868"/>
      <c r="BG242" s="1868"/>
      <c r="BH242" s="1868"/>
      <c r="BI242" s="1868"/>
      <c r="BJ242" s="1868"/>
      <c r="BK242" s="1868"/>
      <c r="BL242" s="1868"/>
      <c r="BM242" s="1868"/>
      <c r="BN242" s="1868"/>
      <c r="BO242" s="1868"/>
      <c r="BP242" s="1868"/>
      <c r="BQ242" s="1868"/>
      <c r="BR242" s="1868"/>
    </row>
    <row r="243" spans="1:70" ht="12.2" customHeight="1">
      <c r="A243" s="1935"/>
      <c r="B243" s="1866">
        <f t="shared" si="5"/>
        <v>7</v>
      </c>
      <c r="C243" s="6009"/>
      <c r="D243" s="5868"/>
      <c r="E243" s="5869"/>
      <c r="F243" s="5869"/>
      <c r="G243" s="5869"/>
      <c r="H243" s="5869"/>
      <c r="I243" s="5869"/>
      <c r="J243" s="5869"/>
      <c r="K243" s="5869"/>
      <c r="L243" s="5869"/>
      <c r="M243" s="5869"/>
      <c r="N243" s="5869"/>
      <c r="O243" s="5869"/>
      <c r="P243" s="5869"/>
      <c r="Q243" s="5869"/>
      <c r="R243" s="5869"/>
      <c r="S243" s="5869"/>
      <c r="T243" s="5869"/>
      <c r="U243" s="5869"/>
      <c r="V243" s="5869"/>
      <c r="W243" s="5869"/>
      <c r="X243" s="5869"/>
      <c r="Y243" s="5869"/>
      <c r="Z243" s="5869"/>
      <c r="AA243" s="5869"/>
      <c r="AB243" s="5869"/>
      <c r="AC243" s="5869"/>
      <c r="AD243" s="5869"/>
      <c r="AE243" s="5869"/>
      <c r="AF243" s="5869"/>
      <c r="AG243" s="5870"/>
      <c r="AH243" s="1943"/>
      <c r="AI243" s="6011"/>
      <c r="AJ243" s="3986" t="s">
        <v>8846</v>
      </c>
      <c r="AK243" s="3986"/>
      <c r="AL243" s="3986"/>
      <c r="AM243" s="3986" t="b">
        <f>AND((IF(SUM(V221:V225)&gt;0,1,0)+IF(SUM(X221:X225)&gt;0,1,0)+IF(SUM(Z221:Z225)&gt;0,1,0)+IF(SUM(AB221:AB225)&gt;0,1,0)+IF(SUM(AD221:AD225,)&gt;0,1,0)+IF(SUM(AF221:AF225)&gt;0,1,0))&lt;3,OR(V228&lt;0,X228&lt;0,Z228&lt;0,AB228&lt;0,AD228&lt;0,AF228&lt;0,Y226&lt;0))</f>
        <v>0</v>
      </c>
      <c r="AN243" s="3986"/>
      <c r="AO243" s="3986"/>
      <c r="AP243" s="3986"/>
      <c r="AQ243" s="3987"/>
      <c r="AR243" s="3986"/>
      <c r="AS243" s="3986"/>
      <c r="AT243" s="3986"/>
      <c r="AU243" s="1868"/>
      <c r="AV243" s="1868"/>
      <c r="AW243" s="1868"/>
      <c r="AX243" s="1868"/>
      <c r="AY243" s="3986"/>
      <c r="AZ243" s="1868"/>
      <c r="BA243" s="1868"/>
      <c r="BB243" s="1868"/>
      <c r="BC243" s="1868"/>
      <c r="BD243" s="1868"/>
      <c r="BE243" s="1868"/>
      <c r="BF243" s="1868"/>
      <c r="BG243" s="1868"/>
      <c r="BH243" s="1868"/>
      <c r="BI243" s="1868"/>
      <c r="BJ243" s="1868"/>
      <c r="BK243" s="1868"/>
      <c r="BL243" s="1868"/>
      <c r="BM243" s="1868"/>
      <c r="BN243" s="1868"/>
      <c r="BO243" s="1868"/>
      <c r="BP243" s="1868"/>
      <c r="BQ243" s="1868"/>
      <c r="BR243" s="1868"/>
    </row>
    <row r="244" spans="1:70" ht="12.2" customHeight="1">
      <c r="A244" s="1935"/>
      <c r="B244" s="1866">
        <f t="shared" si="5"/>
        <v>7</v>
      </c>
      <c r="C244" s="6009"/>
      <c r="D244" s="5868"/>
      <c r="E244" s="5869"/>
      <c r="F244" s="5869"/>
      <c r="G244" s="5869"/>
      <c r="H244" s="5869"/>
      <c r="I244" s="5869"/>
      <c r="J244" s="5869"/>
      <c r="K244" s="5869"/>
      <c r="L244" s="5869"/>
      <c r="M244" s="5869"/>
      <c r="N244" s="5869"/>
      <c r="O244" s="5869"/>
      <c r="P244" s="5869"/>
      <c r="Q244" s="5869"/>
      <c r="R244" s="5869"/>
      <c r="S244" s="5869"/>
      <c r="T244" s="5869"/>
      <c r="U244" s="5869"/>
      <c r="V244" s="5869"/>
      <c r="W244" s="5869"/>
      <c r="X244" s="5869"/>
      <c r="Y244" s="5869"/>
      <c r="Z244" s="5869"/>
      <c r="AA244" s="5869"/>
      <c r="AB244" s="5869"/>
      <c r="AC244" s="5869"/>
      <c r="AD244" s="5869"/>
      <c r="AE244" s="5869"/>
      <c r="AF244" s="5869"/>
      <c r="AG244" s="5870"/>
      <c r="AH244" s="1943"/>
      <c r="AI244" s="6011"/>
      <c r="AJ244" s="3986" t="s">
        <v>8861</v>
      </c>
      <c r="AK244" s="3986"/>
      <c r="AL244" s="3986"/>
      <c r="AM244" s="3986" t="b">
        <f>OR(-V228&gt;TRUNC(SUM(V221:V225)/2),-X228&gt;TRUNC(SUM(X221:X225)/2),-Z228&gt;TRUNC(SUM(Z221:Z225)/2),-AB228&gt;TRUNC(SUM(AB221:AB225)/2),-AD228&gt;TRUNC(SUM(AD221:AD225)/2),-AF228&gt;TRUNC(SUM(AF221:AF225)/2))</f>
        <v>0</v>
      </c>
      <c r="AN244" s="3986"/>
      <c r="AO244" s="3986"/>
      <c r="AP244" s="3986"/>
      <c r="AQ244" s="3987"/>
      <c r="AR244" s="3986"/>
      <c r="AS244" s="3986"/>
      <c r="AT244" s="3986"/>
      <c r="AU244" s="1868"/>
      <c r="AV244" s="1868"/>
      <c r="AW244" s="1868"/>
      <c r="AX244" s="1868"/>
      <c r="AY244" s="3986"/>
      <c r="AZ244" s="1868"/>
      <c r="BA244" s="1868"/>
      <c r="BB244" s="1868"/>
      <c r="BC244" s="1868"/>
      <c r="BD244" s="1868"/>
      <c r="BE244" s="1868"/>
      <c r="BF244" s="1868"/>
      <c r="BG244" s="1868"/>
      <c r="BH244" s="1868"/>
      <c r="BI244" s="1868"/>
      <c r="BJ244" s="1868"/>
      <c r="BK244" s="1868"/>
      <c r="BL244" s="1868"/>
      <c r="BM244" s="1868"/>
      <c r="BN244" s="1868"/>
      <c r="BO244" s="1868"/>
      <c r="BP244" s="1868"/>
      <c r="BQ244" s="1868"/>
      <c r="BR244" s="1868"/>
    </row>
    <row r="245" spans="1:70" ht="12.2" customHeight="1">
      <c r="A245" s="1935"/>
      <c r="B245" s="1866">
        <f t="shared" si="5"/>
        <v>7</v>
      </c>
      <c r="C245" s="6009"/>
      <c r="D245" s="5868"/>
      <c r="E245" s="5869"/>
      <c r="F245" s="5869"/>
      <c r="G245" s="5869"/>
      <c r="H245" s="5869"/>
      <c r="I245" s="5869"/>
      <c r="J245" s="5869"/>
      <c r="K245" s="5869"/>
      <c r="L245" s="5869"/>
      <c r="M245" s="5869"/>
      <c r="N245" s="5869"/>
      <c r="O245" s="5869"/>
      <c r="P245" s="5869"/>
      <c r="Q245" s="5869"/>
      <c r="R245" s="5869"/>
      <c r="S245" s="5869"/>
      <c r="T245" s="5869"/>
      <c r="U245" s="5869"/>
      <c r="V245" s="5869"/>
      <c r="W245" s="5869"/>
      <c r="X245" s="5869"/>
      <c r="Y245" s="5869"/>
      <c r="Z245" s="5869"/>
      <c r="AA245" s="5869"/>
      <c r="AB245" s="5869"/>
      <c r="AC245" s="5869"/>
      <c r="AD245" s="5869"/>
      <c r="AE245" s="5869"/>
      <c r="AF245" s="5869"/>
      <c r="AG245" s="5870"/>
      <c r="AH245" s="1943"/>
      <c r="AI245" s="6011"/>
      <c r="AJ245" s="3986" t="s">
        <v>8862</v>
      </c>
      <c r="AK245" s="3986"/>
      <c r="AL245" s="3986"/>
      <c r="AM245" s="3986" t="b">
        <f>COUNTIF(D221:E225,"Primario")&gt;1</f>
        <v>0</v>
      </c>
      <c r="AN245" s="3986"/>
      <c r="AO245" s="3986"/>
      <c r="AP245" s="3986"/>
      <c r="AQ245" s="3987"/>
      <c r="AR245" s="3987"/>
      <c r="AS245" s="3987"/>
      <c r="AT245" s="3987"/>
      <c r="AU245" s="1868"/>
      <c r="AV245" s="1868"/>
      <c r="AW245" s="1868"/>
      <c r="AX245" s="3986"/>
      <c r="AY245" s="3986"/>
      <c r="AZ245" s="1868"/>
      <c r="BA245" s="1868"/>
      <c r="BB245" s="1868"/>
      <c r="BC245" s="1868"/>
      <c r="BD245" s="1868"/>
      <c r="BE245" s="1868"/>
      <c r="BF245" s="1868"/>
      <c r="BG245" s="1868"/>
      <c r="BH245" s="1868"/>
      <c r="BI245" s="1868"/>
      <c r="BJ245" s="1868"/>
      <c r="BK245" s="1868"/>
      <c r="BL245" s="1868"/>
      <c r="BM245" s="1868"/>
      <c r="BN245" s="1868"/>
      <c r="BO245" s="1868"/>
      <c r="BP245" s="1868"/>
      <c r="BQ245" s="1868"/>
      <c r="BR245" s="1868"/>
    </row>
    <row r="246" spans="1:70" ht="12.2" customHeight="1">
      <c r="A246" s="1935"/>
      <c r="B246" s="1866">
        <f t="shared" si="5"/>
        <v>7</v>
      </c>
      <c r="C246" s="6009"/>
      <c r="D246" s="5868"/>
      <c r="E246" s="5869"/>
      <c r="F246" s="5869"/>
      <c r="G246" s="5869"/>
      <c r="H246" s="5869"/>
      <c r="I246" s="5869"/>
      <c r="J246" s="5869"/>
      <c r="K246" s="5869"/>
      <c r="L246" s="5869"/>
      <c r="M246" s="5869"/>
      <c r="N246" s="5869"/>
      <c r="O246" s="5869"/>
      <c r="P246" s="5869"/>
      <c r="Q246" s="5869"/>
      <c r="R246" s="5869"/>
      <c r="S246" s="5869"/>
      <c r="T246" s="5869"/>
      <c r="U246" s="5869"/>
      <c r="V246" s="5869"/>
      <c r="W246" s="5869"/>
      <c r="X246" s="5869"/>
      <c r="Y246" s="5869"/>
      <c r="Z246" s="5869"/>
      <c r="AA246" s="5869"/>
      <c r="AB246" s="5869"/>
      <c r="AC246" s="5869"/>
      <c r="AD246" s="5869"/>
      <c r="AE246" s="5869"/>
      <c r="AF246" s="5869"/>
      <c r="AG246" s="5870"/>
      <c r="AH246" s="1943"/>
      <c r="AI246" s="6011"/>
      <c r="AJ246" s="3986" t="s">
        <v>8845</v>
      </c>
      <c r="AK246" s="3986"/>
      <c r="AL246" s="3986"/>
      <c r="AM246" s="3986" t="b">
        <f>SUM(V228:AG228)&lt;&gt;Y226+ABS(AC226)*2/5+IF(S217="Sí",3*P217,0)</f>
        <v>0</v>
      </c>
      <c r="AN246" s="3986"/>
      <c r="AO246" s="3986"/>
      <c r="AP246" s="3986"/>
      <c r="AQ246" s="3987"/>
      <c r="AR246" s="3987"/>
      <c r="AS246" s="3987"/>
      <c r="AT246" s="3987"/>
      <c r="AU246" s="1868"/>
      <c r="AV246" s="1868"/>
      <c r="AW246" s="1868"/>
      <c r="AX246" s="3986"/>
      <c r="AY246" s="3986"/>
      <c r="AZ246" s="1868"/>
      <c r="BA246" s="1868"/>
      <c r="BB246" s="1868"/>
      <c r="BC246" s="1868"/>
      <c r="BD246" s="1868"/>
      <c r="BE246" s="1868"/>
      <c r="BF246" s="1868"/>
      <c r="BG246" s="1868"/>
      <c r="BH246" s="1868"/>
      <c r="BI246" s="1868"/>
      <c r="BJ246" s="1868"/>
      <c r="BK246" s="1868"/>
      <c r="BL246" s="1868"/>
      <c r="BM246" s="1868"/>
      <c r="BN246" s="1868"/>
      <c r="BO246" s="1868"/>
      <c r="BP246" s="1868"/>
      <c r="BQ246" s="1868"/>
      <c r="BR246" s="1868"/>
    </row>
    <row r="247" spans="1:70" ht="12.2" customHeight="1">
      <c r="A247" s="1935"/>
      <c r="B247" s="1866">
        <f t="shared" si="5"/>
        <v>7</v>
      </c>
      <c r="C247" s="6009"/>
      <c r="D247" s="5868"/>
      <c r="E247" s="5869"/>
      <c r="F247" s="5869"/>
      <c r="G247" s="5869"/>
      <c r="H247" s="5869"/>
      <c r="I247" s="5869"/>
      <c r="J247" s="5869"/>
      <c r="K247" s="5869"/>
      <c r="L247" s="5869"/>
      <c r="M247" s="5869"/>
      <c r="N247" s="5869"/>
      <c r="O247" s="5869"/>
      <c r="P247" s="5869"/>
      <c r="Q247" s="5869"/>
      <c r="R247" s="5869"/>
      <c r="S247" s="5869"/>
      <c r="T247" s="5869"/>
      <c r="U247" s="5869"/>
      <c r="V247" s="5869"/>
      <c r="W247" s="5869"/>
      <c r="X247" s="5869"/>
      <c r="Y247" s="5869"/>
      <c r="Z247" s="5869"/>
      <c r="AA247" s="5869"/>
      <c r="AB247" s="5869"/>
      <c r="AC247" s="5869"/>
      <c r="AD247" s="5869"/>
      <c r="AE247" s="5869"/>
      <c r="AF247" s="5869"/>
      <c r="AG247" s="5870"/>
      <c r="AH247" s="1943"/>
      <c r="AI247" s="6011"/>
      <c r="AJ247" s="3986" t="s">
        <v>8844</v>
      </c>
      <c r="AK247" s="3986"/>
      <c r="AL247" s="3986"/>
      <c r="AM247" s="3986" t="b">
        <f>AL234-AL235+AM234-AM235&lt;&gt;0</f>
        <v>0</v>
      </c>
      <c r="AN247" s="1868"/>
      <c r="AO247" s="1868"/>
      <c r="AP247" s="1868"/>
      <c r="AQ247" s="1868"/>
      <c r="AR247" s="3987"/>
      <c r="AS247" s="3987"/>
      <c r="AT247" s="3987"/>
      <c r="AU247" s="1868"/>
      <c r="AV247" s="1868"/>
      <c r="AW247" s="1868"/>
      <c r="AX247" s="3986"/>
      <c r="AY247" s="3986"/>
      <c r="AZ247" s="1868"/>
      <c r="BA247" s="1868"/>
      <c r="BB247" s="1868"/>
      <c r="BC247" s="1868"/>
      <c r="BD247" s="1868"/>
      <c r="BE247" s="1868"/>
      <c r="BF247" s="1868"/>
      <c r="BG247" s="1868"/>
      <c r="BH247" s="1868"/>
      <c r="BI247" s="1868"/>
      <c r="BJ247" s="1868"/>
      <c r="BK247" s="1868"/>
      <c r="BL247" s="1868"/>
      <c r="BM247" s="1868"/>
      <c r="BN247" s="1868"/>
      <c r="BO247" s="1868"/>
      <c r="BP247" s="1868"/>
      <c r="BQ247" s="1868"/>
      <c r="BR247" s="1868"/>
    </row>
    <row r="248" spans="1:70" ht="12.2" customHeight="1" thickBot="1">
      <c r="A248" s="1935"/>
      <c r="B248" s="1866"/>
      <c r="C248" s="6010"/>
      <c r="D248" s="601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6013"/>
      <c r="F248" s="6013"/>
      <c r="G248" s="6013"/>
      <c r="H248" s="6013"/>
      <c r="I248" s="6013"/>
      <c r="J248" s="6013"/>
      <c r="K248" s="6013"/>
      <c r="L248" s="6013"/>
      <c r="M248" s="6013"/>
      <c r="N248" s="6013"/>
      <c r="O248" s="6013"/>
      <c r="P248" s="6013"/>
      <c r="Q248" s="6013"/>
      <c r="R248" s="6013"/>
      <c r="S248" s="6013"/>
      <c r="T248" s="6013"/>
      <c r="U248" s="6013"/>
      <c r="V248" s="6013"/>
      <c r="W248" s="6013"/>
      <c r="X248" s="6013"/>
      <c r="Y248" s="6013"/>
      <c r="Z248" s="6013"/>
      <c r="AA248" s="6013"/>
      <c r="AB248" s="6013"/>
      <c r="AC248" s="6013"/>
      <c r="AD248" s="6013"/>
      <c r="AE248" s="6013"/>
      <c r="AF248" s="6013"/>
      <c r="AG248" s="6014"/>
      <c r="AH248" s="1943"/>
      <c r="AI248" s="6011"/>
      <c r="AJ248" s="3986" t="s">
        <v>8881</v>
      </c>
      <c r="AK248" s="1868"/>
      <c r="AL248" s="1868"/>
      <c r="AM248" s="1868" t="b">
        <f>ABS(SUM(N226:N228))&gt;(SUM(N221:N225)-10*Y226+AC226+IF(S217="Sí",10*P217,0)+IF(COUNTIF(K221:M225,"Mantenido")&gt;0,P217*10)+MAX(IF(COUNTIF(K221:M225,"Sostenimiento Menor")&gt;0,P217*20)+IF(COUNTIF(K221:M225,"Sostenimiento Mayor")&gt;0,P217*30)))/2</f>
        <v>0</v>
      </c>
      <c r="AN248" s="3986"/>
      <c r="AO248" s="3986"/>
      <c r="AP248" s="3986"/>
      <c r="AQ248" s="3986"/>
      <c r="AR248" s="3987"/>
      <c r="AS248" s="3987"/>
      <c r="AT248" s="3987"/>
      <c r="AU248" s="1868"/>
      <c r="AV248" s="1868"/>
      <c r="AW248" s="1868"/>
      <c r="AX248" s="3986"/>
      <c r="AY248" s="3986"/>
      <c r="AZ248" s="1868"/>
      <c r="BA248" s="1868"/>
      <c r="BB248" s="1868"/>
      <c r="BC248" s="1868"/>
      <c r="BD248" s="1868"/>
      <c r="BE248" s="1868"/>
      <c r="BF248" s="1868"/>
      <c r="BG248" s="1868"/>
      <c r="BH248" s="1868"/>
      <c r="BI248" s="1868"/>
      <c r="BJ248" s="1868"/>
      <c r="BK248" s="1868"/>
      <c r="BL248" s="1868"/>
      <c r="BM248" s="1868"/>
      <c r="BN248" s="1868"/>
      <c r="BO248" s="1868"/>
      <c r="BP248" s="1868"/>
      <c r="BQ248" s="1868"/>
      <c r="BR248" s="1868"/>
    </row>
    <row r="249" spans="1:70" ht="12.2" customHeight="1">
      <c r="A249" s="1935"/>
      <c r="B249" s="1866"/>
      <c r="C249" s="5935"/>
      <c r="D249" s="5935" t="str">
        <f>IFERROR(VLOOKUP(D230,'Tablas Técnicas'!$O$9:$T$88,2,FALSE),"")</f>
        <v/>
      </c>
      <c r="E249" s="5935"/>
      <c r="F249" s="5935"/>
      <c r="G249" s="5935"/>
      <c r="H249" s="5935"/>
      <c r="I249" s="5935"/>
      <c r="J249" s="5935" t="str">
        <f>IFERROR(VLOOKUP(J230,'Tablas Técnicas'!$O$9:$T$88,2,FALSE),"")</f>
        <v/>
      </c>
      <c r="K249" s="5935"/>
      <c r="L249" s="5935"/>
      <c r="M249" s="5935"/>
      <c r="N249" s="5935"/>
      <c r="O249" s="5935"/>
      <c r="P249" s="5935" t="str">
        <f>IFERROR(VLOOKUP(P230,'Tablas Técnicas'!$O$9:$T$88,2,FALSE),"")</f>
        <v/>
      </c>
      <c r="Q249" s="5935"/>
      <c r="R249" s="5935"/>
      <c r="S249" s="5935"/>
      <c r="T249" s="5935"/>
      <c r="U249" s="5935"/>
      <c r="V249" s="5935" t="str">
        <f>IFERROR(VLOOKUP(V230,'Tablas Técnicas'!$O$9:$T$88,2,FALSE),"")</f>
        <v/>
      </c>
      <c r="W249" s="5935"/>
      <c r="X249" s="5935"/>
      <c r="Y249" s="5935"/>
      <c r="Z249" s="5935"/>
      <c r="AA249" s="5935"/>
      <c r="AB249" s="5935" t="str">
        <f>IFERROR(VLOOKUP(AB230,'Tablas Técnicas'!$O$9:$T$88,2,FALSE),"")</f>
        <v/>
      </c>
      <c r="AC249" s="5935"/>
      <c r="AD249" s="5935"/>
      <c r="AE249" s="5935"/>
      <c r="AF249" s="5935"/>
      <c r="AG249" s="5935"/>
      <c r="AH249" s="1943"/>
      <c r="AI249" s="1712"/>
      <c r="AJ249" s="3986"/>
      <c r="AK249" s="3986"/>
      <c r="AL249" s="3986"/>
      <c r="AM249" s="3986"/>
      <c r="AN249" s="3986"/>
      <c r="AO249" s="3986"/>
      <c r="AP249" s="3986"/>
      <c r="AQ249" s="3986"/>
      <c r="AR249" s="3987"/>
      <c r="AS249" s="3987"/>
      <c r="AT249" s="3987"/>
      <c r="AU249" s="1868"/>
      <c r="AV249" s="1868"/>
      <c r="AW249" s="1868"/>
      <c r="AX249" s="1868"/>
      <c r="AY249" s="3986"/>
      <c r="AZ249" s="1868"/>
      <c r="BA249" s="1868"/>
      <c r="BB249" s="1868"/>
      <c r="BC249" s="1868"/>
      <c r="BD249" s="1868"/>
      <c r="BE249" s="1868"/>
      <c r="BF249" s="1868"/>
      <c r="BG249" s="1868"/>
      <c r="BH249" s="1868"/>
      <c r="BI249" s="1868"/>
      <c r="BJ249" s="1868"/>
      <c r="BK249" s="1868"/>
      <c r="BL249" s="1868"/>
      <c r="BM249" s="1868"/>
      <c r="BN249" s="1868"/>
      <c r="BO249" s="1868"/>
      <c r="BP249" s="1868"/>
      <c r="BQ249" s="1868"/>
      <c r="BR249" s="1868"/>
    </row>
    <row r="250" spans="1:70" ht="12.2" customHeight="1" thickBot="1">
      <c r="A250" s="1935"/>
      <c r="B250" s="1866"/>
      <c r="C250" s="5935"/>
      <c r="D250" s="2024"/>
      <c r="E250" s="1868"/>
      <c r="F250" s="1868"/>
      <c r="G250" s="1868"/>
      <c r="H250" s="1868"/>
      <c r="I250" s="1868"/>
      <c r="J250" s="1868"/>
      <c r="K250" s="1868"/>
      <c r="L250" s="1868"/>
      <c r="M250" s="1868"/>
      <c r="N250" s="1868"/>
      <c r="O250" s="1868"/>
      <c r="P250" s="1868"/>
      <c r="Q250" s="1868"/>
      <c r="R250" s="1868"/>
      <c r="S250" s="1868"/>
      <c r="T250" s="1868"/>
      <c r="U250" s="1868"/>
      <c r="V250" s="2025"/>
      <c r="W250" s="2025"/>
      <c r="X250" s="2025"/>
      <c r="Y250" s="2025"/>
      <c r="Z250" s="2025"/>
      <c r="AA250" s="2025"/>
      <c r="AB250" s="2025"/>
      <c r="AC250" s="2025"/>
      <c r="AD250" s="2025"/>
      <c r="AE250" s="2025"/>
      <c r="AF250" s="1868"/>
      <c r="AG250" s="1868"/>
      <c r="AH250" s="1943"/>
      <c r="AI250" s="1712"/>
      <c r="AJ250" s="3991"/>
      <c r="AK250" s="3991"/>
      <c r="AL250" s="3991"/>
      <c r="AM250" s="3991"/>
      <c r="AN250" s="3991"/>
      <c r="AO250" s="3991"/>
      <c r="AP250" s="3986"/>
      <c r="AQ250" s="3987"/>
      <c r="AR250" s="1868"/>
      <c r="AS250" s="1868"/>
      <c r="AT250" s="1868"/>
      <c r="AU250" s="1868"/>
      <c r="AV250" s="1868"/>
      <c r="AW250" s="1868"/>
      <c r="AX250" s="1868"/>
      <c r="AY250" s="3992"/>
      <c r="AZ250" s="1868"/>
      <c r="BA250" s="1868"/>
      <c r="BB250" s="1868"/>
      <c r="BC250" s="1868"/>
      <c r="BD250" s="1868"/>
      <c r="BE250" s="1868"/>
      <c r="BF250" s="1868"/>
      <c r="BG250" s="1868"/>
      <c r="BH250" s="1868"/>
      <c r="BI250" s="1868"/>
      <c r="BJ250" s="1868"/>
      <c r="BK250" s="1868"/>
      <c r="BL250" s="1868"/>
      <c r="BM250" s="1868"/>
      <c r="BN250" s="1868"/>
      <c r="BO250" s="1868"/>
      <c r="BP250" s="1868"/>
      <c r="BQ250" s="1868"/>
      <c r="BR250" s="1868"/>
    </row>
    <row r="251" spans="1:70" ht="12.2" customHeight="1">
      <c r="A251" s="1935"/>
      <c r="B251" s="1866">
        <f t="shared" ref="B251:B281" si="6">1+B217</f>
        <v>8</v>
      </c>
      <c r="C251" s="6008" t="str">
        <f>"Técnica "&amp;B251</f>
        <v>Técnica 8</v>
      </c>
      <c r="D251" s="5974" t="s">
        <v>8267</v>
      </c>
      <c r="E251" s="5975"/>
      <c r="F251" s="5975"/>
      <c r="G251" s="5975"/>
      <c r="H251" s="5975"/>
      <c r="I251" s="5975"/>
      <c r="J251" s="5975"/>
      <c r="K251" s="5975"/>
      <c r="L251" s="5975"/>
      <c r="M251" s="5975"/>
      <c r="N251" s="5976"/>
      <c r="O251" s="5971" t="s">
        <v>1186</v>
      </c>
      <c r="P251" s="5973">
        <v>1</v>
      </c>
      <c r="Q251" s="5916" t="s">
        <v>8350</v>
      </c>
      <c r="R251" s="5967"/>
      <c r="S251" s="5969" t="s">
        <v>1241</v>
      </c>
      <c r="T251" s="5917" t="s">
        <v>1365</v>
      </c>
      <c r="U251" s="5897">
        <f>MAX(IF(P251=3,60,IF(P251=2,40,20)),MIN(SUM(N255:N262)-10*Y260+AC260+IF(S251="Sí",10*P251,0)+IF(COUNTIF(K255:M259,"Mantenido")&gt;0,P251*10)+MAX(IF(COUNTIF(K289:M293,"Sostenimiento Menor"),20+IF(P285=2,0,10),IF(COUNTIF(K289:M293,"Sostenimiento Mayor"),30+IF(P285=2,0,10))))))</f>
        <v>20</v>
      </c>
      <c r="V251" s="5916" t="s">
        <v>8351</v>
      </c>
      <c r="W251" s="5917"/>
      <c r="X251" s="5920" t="str">
        <f>IFERROR(LEFT(AK267&amp;AL267&amp;AM267&amp;AN267&amp;AO267&amp;AP267,LEN(AK267&amp;AL267&amp;AM267&amp;AN267&amp;AO267&amp;AP267)-2),"")</f>
        <v/>
      </c>
      <c r="Y251" s="5920"/>
      <c r="Z251" s="5920"/>
      <c r="AA251" s="5920"/>
      <c r="AB251" s="5920"/>
      <c r="AC251" s="5920"/>
      <c r="AD251" s="5920"/>
      <c r="AE251" s="5920"/>
      <c r="AF251" s="5920"/>
      <c r="AG251" s="5921"/>
      <c r="AH251" s="1943"/>
      <c r="AI251" s="6011"/>
      <c r="AJ251" s="3989" t="s">
        <v>8878</v>
      </c>
      <c r="AK251" s="3989"/>
      <c r="AL251" s="3989"/>
      <c r="AM251" s="3989"/>
      <c r="AN251" s="3989"/>
      <c r="AO251" s="3989"/>
      <c r="AP251" s="3989"/>
      <c r="AQ251" s="3989"/>
      <c r="AR251" s="3989"/>
      <c r="AS251" s="3986"/>
      <c r="AT251" s="3986"/>
      <c r="AU251" s="3986"/>
      <c r="AV251" s="3986"/>
      <c r="AW251" s="1868"/>
      <c r="AX251" s="1868"/>
      <c r="AY251" s="3986"/>
      <c r="AZ251" s="1868"/>
      <c r="BA251" s="1868"/>
      <c r="BB251" s="1868"/>
      <c r="BC251" s="1868"/>
      <c r="BD251" s="1868"/>
      <c r="BE251" s="1868"/>
      <c r="BF251" s="1868"/>
      <c r="BG251" s="1868"/>
      <c r="BH251" s="1868"/>
      <c r="BI251" s="1868"/>
      <c r="BJ251" s="1868"/>
      <c r="BK251" s="1868"/>
      <c r="BL251" s="1868"/>
      <c r="BM251" s="1868"/>
      <c r="BN251" s="1868"/>
      <c r="BO251" s="1868"/>
      <c r="BP251" s="1868"/>
      <c r="BQ251" s="1868"/>
      <c r="BR251" s="1868"/>
    </row>
    <row r="252" spans="1:70" ht="12.2" customHeight="1">
      <c r="A252" s="1935"/>
      <c r="B252" s="1866">
        <f t="shared" si="6"/>
        <v>8</v>
      </c>
      <c r="C252" s="6009"/>
      <c r="D252" s="5977"/>
      <c r="E252" s="5978"/>
      <c r="F252" s="5978"/>
      <c r="G252" s="5978"/>
      <c r="H252" s="5978"/>
      <c r="I252" s="5978"/>
      <c r="J252" s="5978"/>
      <c r="K252" s="5978"/>
      <c r="L252" s="5978"/>
      <c r="M252" s="5978"/>
      <c r="N252" s="5979"/>
      <c r="O252" s="5972"/>
      <c r="P252" s="5970"/>
      <c r="Q252" s="5918"/>
      <c r="R252" s="5968"/>
      <c r="S252" s="5970"/>
      <c r="T252" s="5919"/>
      <c r="U252" s="5898"/>
      <c r="V252" s="5918"/>
      <c r="W252" s="5919"/>
      <c r="X252" s="5922"/>
      <c r="Y252" s="5922"/>
      <c r="Z252" s="5922"/>
      <c r="AA252" s="5922"/>
      <c r="AB252" s="5922"/>
      <c r="AC252" s="5922"/>
      <c r="AD252" s="5922"/>
      <c r="AE252" s="5922"/>
      <c r="AF252" s="5922"/>
      <c r="AG252" s="5923"/>
      <c r="AH252" s="1943"/>
      <c r="AI252" s="6011"/>
      <c r="AJ252" s="3989"/>
      <c r="AK252" s="3989" t="s">
        <v>8879</v>
      </c>
      <c r="AL252" s="3989" t="s">
        <v>12546</v>
      </c>
      <c r="AM252" s="3990"/>
      <c r="AN252" s="3990"/>
      <c r="AO252" s="3990"/>
      <c r="AP252" s="3990"/>
      <c r="AQ252" s="3990"/>
      <c r="AR252" s="3989"/>
      <c r="AS252" s="3986"/>
      <c r="AT252" s="3986"/>
      <c r="AU252" s="3986"/>
      <c r="AV252" s="3986"/>
      <c r="AW252" s="1868"/>
      <c r="AX252" s="5935" t="s">
        <v>8848</v>
      </c>
      <c r="AY252" s="5935"/>
      <c r="AZ252" s="1868"/>
      <c r="BA252" s="1868"/>
      <c r="BB252" s="1868"/>
      <c r="BC252" s="1868"/>
      <c r="BD252" s="1868"/>
      <c r="BE252" s="1868"/>
      <c r="BF252" s="1868"/>
      <c r="BG252" s="1868"/>
      <c r="BH252" s="1868"/>
      <c r="BI252" s="1868"/>
      <c r="BJ252" s="1868"/>
      <c r="BK252" s="1868"/>
      <c r="BL252" s="1868"/>
      <c r="BM252" s="1868"/>
      <c r="BN252" s="1868"/>
      <c r="BO252" s="1868"/>
      <c r="BP252" s="1868"/>
      <c r="BQ252" s="1868"/>
      <c r="BR252" s="1868"/>
    </row>
    <row r="253" spans="1:70" ht="12.2" customHeight="1">
      <c r="A253" s="1935"/>
      <c r="B253" s="1866">
        <f t="shared" si="6"/>
        <v>8</v>
      </c>
      <c r="C253" s="6009"/>
      <c r="D253" s="5873" t="s">
        <v>2662</v>
      </c>
      <c r="E253" s="5874"/>
      <c r="F253" s="5874"/>
      <c r="G253" s="5874"/>
      <c r="H253" s="5874"/>
      <c r="I253" s="5874"/>
      <c r="J253" s="5874"/>
      <c r="K253" s="5924" t="s">
        <v>9170</v>
      </c>
      <c r="L253" s="5924"/>
      <c r="M253" s="5924"/>
      <c r="N253" s="5874" t="s">
        <v>1359</v>
      </c>
      <c r="O253" s="5924" t="s">
        <v>2660</v>
      </c>
      <c r="P253" s="5924" t="s">
        <v>8352</v>
      </c>
      <c r="Q253" s="5874" t="s">
        <v>1224</v>
      </c>
      <c r="R253" s="5874"/>
      <c r="S253" s="5874"/>
      <c r="T253" s="5874"/>
      <c r="U253" s="5874"/>
      <c r="V253" s="5876" t="s">
        <v>1233</v>
      </c>
      <c r="W253" s="5855"/>
      <c r="X253" s="5876" t="s">
        <v>1357</v>
      </c>
      <c r="Y253" s="5980"/>
      <c r="Z253" s="5855" t="s">
        <v>1238</v>
      </c>
      <c r="AA253" s="5855"/>
      <c r="AB253" s="5876" t="s">
        <v>1243</v>
      </c>
      <c r="AC253" s="5980"/>
      <c r="AD253" s="5855" t="s">
        <v>1250</v>
      </c>
      <c r="AE253" s="5855"/>
      <c r="AF253" s="5876" t="s">
        <v>1251</v>
      </c>
      <c r="AG253" s="5856"/>
      <c r="AH253" s="1943"/>
      <c r="AI253" s="6011"/>
      <c r="AJ253" s="3986"/>
      <c r="AK253" s="3986"/>
      <c r="AL253" s="3986" t="s">
        <v>9149</v>
      </c>
      <c r="AM253" s="3986"/>
      <c r="AN253" s="3986"/>
      <c r="AO253" s="3986"/>
      <c r="AP253" s="3986"/>
      <c r="AQ253" s="3986"/>
      <c r="AR253" s="1868"/>
      <c r="AS253" s="1868" t="s">
        <v>8868</v>
      </c>
      <c r="AT253" s="1868" t="s">
        <v>8869</v>
      </c>
      <c r="AU253" s="3986" t="s">
        <v>8857</v>
      </c>
      <c r="AV253" s="3986" t="s">
        <v>8858</v>
      </c>
      <c r="AW253" s="1868" t="s">
        <v>1359</v>
      </c>
      <c r="AX253" s="1868" t="s">
        <v>8354</v>
      </c>
      <c r="AY253" s="3986" t="s">
        <v>8355</v>
      </c>
      <c r="AZ253" s="1868"/>
      <c r="BA253" s="1868"/>
      <c r="BB253" s="1868"/>
      <c r="BC253" s="1868"/>
      <c r="BD253" s="1868"/>
      <c r="BE253" s="1868"/>
      <c r="BF253" s="1868"/>
      <c r="BG253" s="1868"/>
      <c r="BH253" s="1868"/>
      <c r="BI253" s="1868"/>
      <c r="BJ253" s="1868"/>
      <c r="BK253" s="1868"/>
      <c r="BL253" s="1868"/>
      <c r="BM253" s="1868"/>
      <c r="BN253" s="1868"/>
      <c r="BO253" s="1868"/>
      <c r="BP253" s="1868"/>
      <c r="BQ253" s="1868"/>
      <c r="BR253" s="1868"/>
    </row>
    <row r="254" spans="1:70" ht="12.2" customHeight="1">
      <c r="A254" s="1935"/>
      <c r="B254" s="1866">
        <f t="shared" si="6"/>
        <v>8</v>
      </c>
      <c r="C254" s="6009"/>
      <c r="D254" s="6015"/>
      <c r="E254" s="6016"/>
      <c r="F254" s="6016"/>
      <c r="G254" s="6016"/>
      <c r="H254" s="6016"/>
      <c r="I254" s="6016"/>
      <c r="J254" s="6016"/>
      <c r="K254" s="6017"/>
      <c r="L254" s="6017"/>
      <c r="M254" s="6017"/>
      <c r="N254" s="5877"/>
      <c r="O254" s="6017"/>
      <c r="P254" s="5991"/>
      <c r="Q254" s="5877"/>
      <c r="R254" s="5877"/>
      <c r="S254" s="5877"/>
      <c r="T254" s="5877"/>
      <c r="U254" s="5877"/>
      <c r="V254" s="1870" t="s">
        <v>8847</v>
      </c>
      <c r="W254" s="1936" t="s">
        <v>2666</v>
      </c>
      <c r="X254" s="1870" t="s">
        <v>8847</v>
      </c>
      <c r="Y254" s="1936" t="s">
        <v>2666</v>
      </c>
      <c r="Z254" s="1870" t="s">
        <v>8847</v>
      </c>
      <c r="AA254" s="1936" t="s">
        <v>2666</v>
      </c>
      <c r="AB254" s="1870" t="s">
        <v>8847</v>
      </c>
      <c r="AC254" s="1936" t="s">
        <v>2666</v>
      </c>
      <c r="AD254" s="1870" t="s">
        <v>8847</v>
      </c>
      <c r="AE254" s="1936" t="s">
        <v>2666</v>
      </c>
      <c r="AF254" s="1870" t="s">
        <v>8847</v>
      </c>
      <c r="AG254" s="1719" t="s">
        <v>2666</v>
      </c>
      <c r="AH254" s="1943"/>
      <c r="AI254" s="6011"/>
      <c r="AJ254" s="3986"/>
      <c r="AK254" s="3986" t="s">
        <v>8849</v>
      </c>
      <c r="AL254" s="3986">
        <v>1</v>
      </c>
      <c r="AM254" s="3986">
        <v>2</v>
      </c>
      <c r="AN254" s="3986">
        <v>3</v>
      </c>
      <c r="AO254" s="3986">
        <v>4</v>
      </c>
      <c r="AP254" s="3986">
        <v>5</v>
      </c>
      <c r="AQ254" s="3986">
        <v>6</v>
      </c>
      <c r="AR254" s="3986">
        <v>7</v>
      </c>
      <c r="AS254" s="1868"/>
      <c r="AT254" s="3986" t="s">
        <v>8880</v>
      </c>
      <c r="AU254" s="1868"/>
      <c r="AV254" s="1868"/>
      <c r="AW254" s="1868" t="s">
        <v>8880</v>
      </c>
      <c r="AX254" s="1868"/>
      <c r="AY254" s="3986"/>
      <c r="AZ254" s="1868"/>
      <c r="BA254" s="1868"/>
      <c r="BB254" s="1868"/>
      <c r="BC254" s="1868"/>
      <c r="BD254" s="1868"/>
      <c r="BE254" s="1868"/>
      <c r="BF254" s="1868"/>
      <c r="BG254" s="1868"/>
      <c r="BH254" s="1868"/>
      <c r="BI254" s="1868"/>
      <c r="BJ254" s="1868"/>
      <c r="BK254" s="1868"/>
      <c r="BL254" s="1868"/>
      <c r="BM254" s="1868"/>
      <c r="BN254" s="1868"/>
      <c r="BO254" s="1868"/>
      <c r="BP254" s="1868"/>
      <c r="BQ254" s="1868"/>
      <c r="BR254" s="1868"/>
    </row>
    <row r="255" spans="1:70" ht="12.2" customHeight="1">
      <c r="A255" s="1935"/>
      <c r="B255" s="1866">
        <f t="shared" si="6"/>
        <v>8</v>
      </c>
      <c r="C255" s="6009"/>
      <c r="D255" s="5981" t="s">
        <v>8356</v>
      </c>
      <c r="E255" s="5982"/>
      <c r="F255" s="5929"/>
      <c r="G255" s="5930"/>
      <c r="H255" s="5930"/>
      <c r="I255" s="5930"/>
      <c r="J255" s="5931"/>
      <c r="K255" s="5932" t="s">
        <v>1315</v>
      </c>
      <c r="L255" s="5933"/>
      <c r="M255" s="5934"/>
      <c r="N255" s="1871">
        <f>IF(AW255&gt;0,IF(VLOOKUP(F255,'Tablas Técnicas'!$O$9:$X$88,10,0),MAX(5,AW255-5),AW255),0)</f>
        <v>0</v>
      </c>
      <c r="O255" s="1871" t="str">
        <f>AS255&amp;" / "&amp;AT255</f>
        <v>0 / 0</v>
      </c>
      <c r="P255" s="1871" t="str">
        <f t="array" ref="P255">W255+Y255+AA255+AC255+AE255+AG255&amp;" / "&amp;IF(K255&lt;&gt;"Mantenido",0,SUM(IF($AL255:$AR255='Tablas Técnicas'!$L$10:$L$644,'Tablas Técnicas'!$H$10:$H$644,0)))</f>
        <v>0 / 0</v>
      </c>
      <c r="Q255" s="5983" t="str">
        <f>IFERROR(VLOOKUP(F255,'Tablas Técnicas'!$O$9:$T$88,5,FALSE),"")</f>
        <v/>
      </c>
      <c r="R255" s="5983"/>
      <c r="S255" s="5983"/>
      <c r="T255" s="5983"/>
      <c r="U255" s="5983"/>
      <c r="V255" s="1822"/>
      <c r="W255" s="1823"/>
      <c r="X255" s="1822"/>
      <c r="Y255" s="1824"/>
      <c r="Z255" s="1825"/>
      <c r="AA255" s="1823"/>
      <c r="AB255" s="1822"/>
      <c r="AC255" s="1824"/>
      <c r="AD255" s="1825"/>
      <c r="AE255" s="1823"/>
      <c r="AF255" s="1822"/>
      <c r="AG255" s="1826"/>
      <c r="AH255" s="1943"/>
      <c r="AI255" s="6011"/>
      <c r="AJ255" s="3986">
        <v>1</v>
      </c>
      <c r="AK255" s="3986">
        <f>P251</f>
        <v>1</v>
      </c>
      <c r="AL255" s="3986" t="str">
        <f>IF(AND(ISNUMBER(MATCH($F255,'Tablas Técnicas'!$L$10:$L$644,0)),INDEX($D268:$D274,Tablas!A$1)="",COUNTIF(AM255:$AS255,$F255)=0),$F255,IF(INDEX($D268:$D274,Tablas!A$1)="","",$F255&amp;INDEX($D268:$D274,Tablas!A$1)))</f>
        <v/>
      </c>
      <c r="AM255" s="3986" t="str">
        <f>IF(AND(ISNUMBER(MATCH($F255,'Tablas Técnicas'!$L$10:$L$644,0)),INDEX($D268:$D274,Tablas!B$1)="",COUNTIF(AN255:$AS255,$F255)=0),$F255,IF(INDEX($D268:$D274,Tablas!B$1)="","",$F255&amp;INDEX($D268:$D274,Tablas!B$1)))</f>
        <v/>
      </c>
      <c r="AN255" s="3986" t="str">
        <f>IF(AND(ISNUMBER(MATCH($F255,'Tablas Técnicas'!$L$10:$L$644,0)),INDEX($D268:$D274,Tablas!C$1)="",COUNTIF(AO255:$AS255,$F255)=0),$F255,IF(INDEX($D268:$D274,Tablas!C$1)="","",$F255&amp;INDEX($D268:$D274,Tablas!C$1)))</f>
        <v/>
      </c>
      <c r="AO255" s="3986" t="str">
        <f>IF(AND(ISNUMBER(MATCH($F255,'Tablas Técnicas'!$L$10:$L$644,0)),INDEX($D268:$D274,Tablas!D$1)="",COUNTIF(AP255:$AS255,$F255)=0),$F255,IF(INDEX($D268:$D274,Tablas!D$1)="","",$F255&amp;INDEX($D268:$D274,Tablas!D$1)))</f>
        <v/>
      </c>
      <c r="AP255" s="3986" t="str">
        <f>IF(AND(ISNUMBER(MATCH($F255,'Tablas Técnicas'!$L$10:$L$644,0)),INDEX($D268:$D274,Tablas!E$1)="",COUNTIF(AQ255:$AS255,$F255)=0),$F255,IF(INDEX($D268:$D274,Tablas!E$1)="","",$F255&amp;INDEX($D268:$D274,Tablas!E$1)))</f>
        <v/>
      </c>
      <c r="AQ255" s="3986" t="str">
        <f>IF(AND(ISNUMBER(MATCH($F255,'Tablas Técnicas'!$L$10:$L$644,0)),INDEX($D268:$D274,Tablas!F$1)="",COUNTIF(AR255:$AS255,$F255)=0),$F255,IF(INDEX($D268:$D274,Tablas!F$1)="","",$F255&amp;INDEX($D268:$D274,Tablas!F$1)))</f>
        <v/>
      </c>
      <c r="AR255" s="3986" t="str">
        <f>IF(AND(ISNUMBER(MATCH($F255,'Tablas Técnicas'!$L$10:$L$644,0)),INDEX($D268:$D274,Tablas!G$1)="",COUNTIF(AS255:$AS255,$F255)=0),$F255,IF(INDEX($D268:$D274,Tablas!G$1)="","",$F255&amp;INDEX($D268:$D274,Tablas!G$1)))</f>
        <v/>
      </c>
      <c r="AS255" s="1868">
        <f>V255+X255+Z255+AB255+AD255+AF255</f>
        <v>0</v>
      </c>
      <c r="AT255" s="1868">
        <f t="array" ref="AT255">SUM(IF($AL255:$AR255='Tablas Técnicas'!$L$10:$L$644,IF(D255="Primario",'Tablas Técnicas'!$E$10:$E$644,'Tablas Técnicas'!$F$10:$F$644)+IF(K255="Sostenimiento menor",'Tablas Técnicas'!$I$10:$I$644,IF(K255="sostenimiento mayor",'Tablas Técnicas'!$J$10:$J$644,0)),0),0)+VALUE(RIGHT(P255,2))+AU255+AV255</f>
        <v>0</v>
      </c>
      <c r="AU255" s="186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1868">
        <f>(COUNTIF(AL255:AR255,"*Estado añadido:*")-1)*COUNTIF(AL255:AR255,"*Estado añadido:*")</f>
        <v>0</v>
      </c>
      <c r="AW255" s="1868">
        <f t="array" ref="AW255">SUM(IF($AL255:$AR255='Tablas Técnicas'!$L$10:$L$644,'Tablas Técnicas'!$G$10:$G$644,0))</f>
        <v>0</v>
      </c>
      <c r="AX255" s="398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986" t="str">
        <f>IFERROR(LEFT(AX255,LEN(AX255)-2)&amp;"), ","")</f>
        <v/>
      </c>
      <c r="AZ255" s="1868"/>
      <c r="BA255" s="1868"/>
      <c r="BB255" s="1868"/>
      <c r="BC255" s="1868"/>
      <c r="BD255" s="1868"/>
      <c r="BE255" s="1868"/>
      <c r="BF255" s="1868"/>
      <c r="BG255" s="1868"/>
      <c r="BH255" s="1868"/>
      <c r="BI255" s="1868"/>
      <c r="BJ255" s="1868"/>
      <c r="BK255" s="1868"/>
      <c r="BL255" s="1868"/>
      <c r="BM255" s="1868"/>
      <c r="BN255" s="1868"/>
      <c r="BO255" s="1868"/>
      <c r="BP255" s="1868"/>
      <c r="BQ255" s="1868"/>
      <c r="BR255" s="1868"/>
    </row>
    <row r="256" spans="1:70" ht="12.2" customHeight="1">
      <c r="A256" s="1935"/>
      <c r="B256" s="1866">
        <f t="shared" si="6"/>
        <v>8</v>
      </c>
      <c r="C256" s="6009"/>
      <c r="D256" s="5906" t="s">
        <v>483</v>
      </c>
      <c r="E256" s="5907"/>
      <c r="F256" s="5984"/>
      <c r="G256" s="5985"/>
      <c r="H256" s="5985"/>
      <c r="I256" s="5985"/>
      <c r="J256" s="5902"/>
      <c r="K256" s="5986" t="s">
        <v>1315</v>
      </c>
      <c r="L256" s="5987"/>
      <c r="M256" s="5988"/>
      <c r="N256" s="1716">
        <f>IF(AW256&gt;0,IF(VLOOKUP(F256,'Tablas Técnicas'!$O$9:$X$88,10,0),MAX(5,AW256-5),AW256),0)</f>
        <v>0</v>
      </c>
      <c r="O256" s="1716" t="str">
        <f>AS256&amp;" / "&amp;AT256</f>
        <v>0 / 0</v>
      </c>
      <c r="P256" s="1716" t="str">
        <f t="array" ref="P256">W256+Y256+AA256+AC256+AE256+AG256&amp;" / "&amp;IF(K256&lt;&gt;"Mantenido",0,SUM(IF($AL256:$AR256='Tablas Técnicas'!$L$10:$L$644,'Tablas Técnicas'!$H$10:$H$644,0)))</f>
        <v>0 / 0</v>
      </c>
      <c r="Q256" s="5908" t="str">
        <f>IFERROR(VLOOKUP(F256,'Tablas Técnicas'!$O$9:$T$88,5,FALSE),"")</f>
        <v/>
      </c>
      <c r="R256" s="5908"/>
      <c r="S256" s="5908"/>
      <c r="T256" s="5908"/>
      <c r="U256" s="5908"/>
      <c r="V256" s="1827"/>
      <c r="W256" s="1828"/>
      <c r="X256" s="1827"/>
      <c r="Y256" s="1829"/>
      <c r="Z256" s="1830"/>
      <c r="AA256" s="1828"/>
      <c r="AB256" s="1827"/>
      <c r="AC256" s="1829"/>
      <c r="AD256" s="1830"/>
      <c r="AE256" s="1828"/>
      <c r="AF256" s="1827"/>
      <c r="AG256" s="1831"/>
      <c r="AH256" s="1943"/>
      <c r="AI256" s="6011"/>
      <c r="AJ256" s="3986">
        <v>2</v>
      </c>
      <c r="AK256" s="3986">
        <f>P251</f>
        <v>1</v>
      </c>
      <c r="AL256" s="3986" t="str">
        <f>IF(AND(ISNUMBER(MATCH($F256,'Tablas Técnicas'!$L$10:$L$644,0)),INDEX($J268:$J274,Tablas!A$1)="",COUNTIF(AM256:$AS256,$F256)=0),$F256,IF(INDEX($J268:$J274,Tablas!A$1)="","",$F256&amp;INDEX($J268:$J274,Tablas!A$1)))</f>
        <v/>
      </c>
      <c r="AM256" s="3986" t="str">
        <f>IF(AND(ISNUMBER(MATCH($F256,'Tablas Técnicas'!$L$10:$L$644,0)),INDEX($J268:$J274,Tablas!B$1)="",COUNTIF(AN256:$AS256,$F256)=0),$F256,IF(INDEX($J268:$J274,Tablas!B$1)="","",$F256&amp;INDEX($J268:$J274,Tablas!B$1)))</f>
        <v/>
      </c>
      <c r="AN256" s="3986" t="str">
        <f>IF(AND(ISNUMBER(MATCH($F256,'Tablas Técnicas'!$L$10:$L$644,0)),INDEX($J268:$J274,Tablas!C$1)="",COUNTIF(AO256:$AS256,$F256)=0),$F256,IF(INDEX($J268:$J274,Tablas!C$1)="","",$F256&amp;INDEX($J268:$J274,Tablas!C$1)))</f>
        <v/>
      </c>
      <c r="AO256" s="3986" t="str">
        <f>IF(AND(ISNUMBER(MATCH($F256,'Tablas Técnicas'!$L$10:$L$644,0)),INDEX($J268:$J274,Tablas!D$1)="",COUNTIF(AP256:$AS256,$F256)=0),$F256,IF(INDEX($J268:$J274,Tablas!D$1)="","",$F256&amp;INDEX($J268:$J274,Tablas!D$1)))</f>
        <v/>
      </c>
      <c r="AP256" s="3986" t="str">
        <f>IF(AND(ISNUMBER(MATCH($F256,'Tablas Técnicas'!$L$10:$L$644,0)),INDEX($J268:$J274,Tablas!E$1)="",COUNTIF(AQ256:$AS256,$F256)=0),$F256,IF(INDEX($J268:$J274,Tablas!E$1)="","",$F256&amp;INDEX($J268:$J274,Tablas!E$1)))</f>
        <v/>
      </c>
      <c r="AQ256" s="3986" t="str">
        <f>IF(AND(ISNUMBER(MATCH($F256,'Tablas Técnicas'!$L$10:$L$644,0)),INDEX($J268:$J274,Tablas!F$1)="",COUNTIF(AR256:$AS256,$F256)=0),$F256,IF(INDEX($J268:$J274,Tablas!F$1)="","",$F256&amp;INDEX($J268:$J274,Tablas!F$1)))</f>
        <v/>
      </c>
      <c r="AR256" s="3986" t="str">
        <f>IF(AND(ISNUMBER(MATCH($F256,'Tablas Técnicas'!$L$10:$L$644,0)),INDEX($J268:$J274,Tablas!G$1)="",COUNTIF(AS256:$AS256,$F256)=0),$F256,IF(INDEX($J268:$J274,Tablas!G$1)="","",$F256&amp;INDEX($J268:$J274,Tablas!G$1)))</f>
        <v/>
      </c>
      <c r="AS256" s="1868">
        <f>V256+X256+Z256+AB256+AD256+AF256</f>
        <v>0</v>
      </c>
      <c r="AT256" s="1868">
        <f t="array" ref="AT256">SUM(IF($AL256:$AR256='Tablas Técnicas'!$L$10:$L$644,IF(D256="Primario",'Tablas Técnicas'!$E$10:$E$644,'Tablas Técnicas'!$F$10:$F$644)+IF(K256="Sostenimiento menor",'Tablas Técnicas'!$I$10:$I$644,IF(K256="sostenimiento mayor",'Tablas Técnicas'!$J$10:$J$644,0)),0),0)+VALUE(RIGHT(P256,2))+AU256+AV256</f>
        <v>0</v>
      </c>
      <c r="AU256" s="186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1868">
        <f>(COUNTIF(AL256:AR256,"*Estado añadido:*")-1)*COUNTIF(AL256:AR256,"*Estado añadido:*")</f>
        <v>0</v>
      </c>
      <c r="AW256" s="1868">
        <f t="array" ref="AW256">SUM(IF($AL256:$AR256='Tablas Técnicas'!$L$10:$L$644,'Tablas Técnicas'!$G$10:$G$644,0))</f>
        <v>0</v>
      </c>
      <c r="AX256" s="3986"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986" t="str">
        <f>IFERROR(LEFT(AX256,LEN(AX256)-2)&amp;"), ","")</f>
        <v/>
      </c>
      <c r="AZ256" s="1868"/>
      <c r="BA256" s="1868"/>
      <c r="BB256" s="1868"/>
      <c r="BC256" s="1868"/>
      <c r="BD256" s="1868"/>
      <c r="BE256" s="1868"/>
      <c r="BF256" s="1868"/>
      <c r="BG256" s="1868"/>
      <c r="BH256" s="1868"/>
      <c r="BI256" s="1868"/>
      <c r="BJ256" s="1868"/>
      <c r="BK256" s="1868"/>
      <c r="BL256" s="1868"/>
      <c r="BM256" s="1868"/>
      <c r="BN256" s="1868"/>
      <c r="BO256" s="1868"/>
      <c r="BP256" s="1868"/>
      <c r="BQ256" s="1868"/>
      <c r="BR256" s="1868"/>
    </row>
    <row r="257" spans="1:70" ht="12.2" customHeight="1">
      <c r="A257" s="1935"/>
      <c r="B257" s="1866">
        <f t="shared" si="6"/>
        <v>8</v>
      </c>
      <c r="C257" s="6009"/>
      <c r="D257" s="6000" t="s">
        <v>483</v>
      </c>
      <c r="E257" s="6001"/>
      <c r="F257" s="5899"/>
      <c r="G257" s="5900"/>
      <c r="H257" s="5900"/>
      <c r="I257" s="5900"/>
      <c r="J257" s="5901"/>
      <c r="K257" s="5997" t="s">
        <v>1315</v>
      </c>
      <c r="L257" s="5998"/>
      <c r="M257" s="5999"/>
      <c r="N257" s="1712">
        <f>IF(AW257&gt;0,IF(VLOOKUP(F257,'Tablas Técnicas'!$O$9:$X$88,10,0),MAX(5,AW257-5),AW257),0)</f>
        <v>0</v>
      </c>
      <c r="O257" s="1712" t="str">
        <f>AS257&amp;" / "&amp;AT257</f>
        <v>0 / 0</v>
      </c>
      <c r="P257" s="1712" t="str">
        <f t="array" ref="P257">W257+Y257+AA257+AC257+AE257+AG257&amp;" / "&amp;IF(K257&lt;&gt;"Mantenido",0,SUM(IF($AL257:$AR257='Tablas Técnicas'!$L$10:$L$644,'Tablas Técnicas'!$H$10:$H$644,0)))</f>
        <v>0 / 0</v>
      </c>
      <c r="Q257" s="6002" t="str">
        <f>IFERROR(VLOOKUP(F257,'Tablas Técnicas'!$O$9:$T$88,5,FALSE),"")</f>
        <v/>
      </c>
      <c r="R257" s="6002"/>
      <c r="S257" s="6002"/>
      <c r="T257" s="6002"/>
      <c r="U257" s="6002"/>
      <c r="V257" s="1832"/>
      <c r="W257" s="1833"/>
      <c r="X257" s="1832"/>
      <c r="Y257" s="1834"/>
      <c r="Z257" s="1835"/>
      <c r="AA257" s="1833"/>
      <c r="AB257" s="1832"/>
      <c r="AC257" s="1834"/>
      <c r="AD257" s="1835"/>
      <c r="AE257" s="1833"/>
      <c r="AF257" s="1832"/>
      <c r="AG257" s="1836"/>
      <c r="AH257" s="1943"/>
      <c r="AI257" s="6011"/>
      <c r="AJ257" s="3986">
        <v>3</v>
      </c>
      <c r="AK257" s="3986">
        <f>P251</f>
        <v>1</v>
      </c>
      <c r="AL257" s="3986" t="str">
        <f>IF(AND(ISNUMBER(MATCH($F257,'Tablas Técnicas'!$L$10:$L$644,0)),INDEX($P268:$P274,Tablas!A$1)="",COUNTIF(AM257:$AS257,$F257)=0),$F257,IF(INDEX($P268:$P274,Tablas!A$1)="","",$F257&amp;INDEX($P268:$P274,Tablas!A$1)))</f>
        <v/>
      </c>
      <c r="AM257" s="3986" t="str">
        <f>IF(AND(ISNUMBER(MATCH($F257,'Tablas Técnicas'!$L$10:$L$644,0)),INDEX($P268:$P274,Tablas!B$1)="",COUNTIF(AN257:$AS257,$F257)=0),$F257,IF(INDEX($P268:$P274,Tablas!B$1)="","",$F257&amp;INDEX($P268:$P274,Tablas!B$1)))</f>
        <v/>
      </c>
      <c r="AN257" s="3986" t="str">
        <f>IF(AND(ISNUMBER(MATCH($F257,'Tablas Técnicas'!$L$10:$L$644,0)),INDEX($P268:$P274,Tablas!C$1)="",COUNTIF(AO257:$AS257,$F257)=0),$F257,IF(INDEX($P268:$P274,Tablas!C$1)="","",$F257&amp;INDEX($P268:$P274,Tablas!C$1)))</f>
        <v/>
      </c>
      <c r="AO257" s="3986" t="str">
        <f>IF(AND(ISNUMBER(MATCH($F257,'Tablas Técnicas'!$L$10:$L$644,0)),INDEX($P268:$P274,Tablas!D$1)="",COUNTIF(AP257:$AS257,$F257)=0),$F257,IF(INDEX($P268:$P274,Tablas!D$1)="","",$F257&amp;INDEX($P268:$P274,Tablas!D$1)))</f>
        <v/>
      </c>
      <c r="AP257" s="3986" t="str">
        <f>IF(AND(ISNUMBER(MATCH($F257,'Tablas Técnicas'!$L$10:$L$644,0)),INDEX($P268:$P274,Tablas!E$1)="",COUNTIF(AQ257:$AS257,$F257)=0),$F257,IF(INDEX($P268:$P274,Tablas!E$1)="","",$F257&amp;INDEX($P268:$P274,Tablas!E$1)))</f>
        <v/>
      </c>
      <c r="AQ257" s="3986" t="str">
        <f>IF(AND(ISNUMBER(MATCH($F257,'Tablas Técnicas'!$L$10:$L$644,0)),INDEX($P268:$P274,Tablas!F$1)="",COUNTIF(AR257:$AS257,$F257)=0),$F257,IF(INDEX($P268:$P274,Tablas!F$1)="","",$F257&amp;INDEX($P268:$P274,Tablas!F$1)))</f>
        <v/>
      </c>
      <c r="AR257" s="3986" t="str">
        <f>IF(AND(ISNUMBER(MATCH($F257,'Tablas Técnicas'!$L$10:$L$644,0)),INDEX($P268:$P274,Tablas!G$1)="",COUNTIF(AS257:$AS257,$F257)=0),$F257,IF(INDEX($P268:$P274,Tablas!G$1)="","",$F257&amp;INDEX($P268:$P274,Tablas!G$1)))</f>
        <v/>
      </c>
      <c r="AS257" s="1868">
        <f>V257+X257+Z257+AB257+AD257+AF257</f>
        <v>0</v>
      </c>
      <c r="AT257" s="1868">
        <f t="array" ref="AT257">SUM(IF($AL257:$AR257='Tablas Técnicas'!$L$10:$L$644,IF(D257="Primario",'Tablas Técnicas'!$E$10:$E$644,'Tablas Técnicas'!$F$10:$F$644)+IF(K257="Sostenimiento menor",'Tablas Técnicas'!$I$10:$I$644,IF(K257="sostenimiento mayor",'Tablas Técnicas'!$J$10:$J$644,0)),0),0)+VALUE(RIGHT(P257,2))+AU257+AV257</f>
        <v>0</v>
      </c>
      <c r="AU257" s="186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1868">
        <f>(COUNTIF(AL257:AR257,"*Estado añadido:*")-1)*COUNTIF(AL257:AR257,"*Estado añadido:*")</f>
        <v>0</v>
      </c>
      <c r="AW257" s="1868">
        <f t="array" ref="AW257">SUM(IF($AL257:$AR257='Tablas Técnicas'!$L$10:$L$644,'Tablas Técnicas'!$G$10:$G$644,0))</f>
        <v>0</v>
      </c>
      <c r="AX257" s="3986"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986" t="str">
        <f>IFERROR(LEFT(AX257,LEN(AX257)-2)&amp;"), ","")</f>
        <v/>
      </c>
      <c r="AZ257" s="1868"/>
      <c r="BA257" s="1868"/>
      <c r="BB257" s="1868"/>
      <c r="BC257" s="1868"/>
      <c r="BD257" s="1868"/>
      <c r="BE257" s="1868"/>
      <c r="BF257" s="1868"/>
      <c r="BG257" s="1868"/>
      <c r="BH257" s="1868"/>
      <c r="BI257" s="1868"/>
      <c r="BJ257" s="1868"/>
      <c r="BK257" s="1868"/>
      <c r="BL257" s="1868"/>
      <c r="BM257" s="1868"/>
      <c r="BN257" s="1868"/>
      <c r="BO257" s="1868"/>
      <c r="BP257" s="1868"/>
      <c r="BQ257" s="1868"/>
      <c r="BR257" s="1868"/>
    </row>
    <row r="258" spans="1:70" ht="12.2" customHeight="1">
      <c r="A258" s="1935"/>
      <c r="B258" s="1866">
        <f t="shared" si="6"/>
        <v>8</v>
      </c>
      <c r="C258" s="6009"/>
      <c r="D258" s="5906" t="s">
        <v>483</v>
      </c>
      <c r="E258" s="5907"/>
      <c r="F258" s="5984"/>
      <c r="G258" s="5985"/>
      <c r="H258" s="5985"/>
      <c r="I258" s="5985"/>
      <c r="J258" s="5902"/>
      <c r="K258" s="5986" t="s">
        <v>1315</v>
      </c>
      <c r="L258" s="5987"/>
      <c r="M258" s="5988"/>
      <c r="N258" s="1716">
        <f>IF(AW258&gt;0,IF(VLOOKUP(F258,'Tablas Técnicas'!$O$9:$X$88,10,0),MAX(5,AW258-5),AW258),0)</f>
        <v>0</v>
      </c>
      <c r="O258" s="1716" t="str">
        <f>AS258&amp;" / "&amp;AT258</f>
        <v>0 / 0</v>
      </c>
      <c r="P258" s="1716" t="str">
        <f t="array" ref="P258">W258+Y258+AA258+AC258+AE258+AG258&amp;" / "&amp;IF(K258&lt;&gt;"Mantenido",0,SUM(IF($AL258:$AR258='Tablas Técnicas'!$L$10:$L$644,'Tablas Técnicas'!$H$10:$H$644,0)))</f>
        <v>0 / 0</v>
      </c>
      <c r="Q258" s="5908" t="str">
        <f>IFERROR(VLOOKUP(F258,'Tablas Técnicas'!$O$9:$T$88,5,FALSE),"")</f>
        <v/>
      </c>
      <c r="R258" s="5908"/>
      <c r="S258" s="5908"/>
      <c r="T258" s="5908"/>
      <c r="U258" s="5908"/>
      <c r="V258" s="1827"/>
      <c r="W258" s="1828"/>
      <c r="X258" s="1827"/>
      <c r="Y258" s="1829"/>
      <c r="Z258" s="1830"/>
      <c r="AA258" s="1828"/>
      <c r="AB258" s="1827"/>
      <c r="AC258" s="1829"/>
      <c r="AD258" s="1830"/>
      <c r="AE258" s="1828"/>
      <c r="AF258" s="1827"/>
      <c r="AG258" s="1831"/>
      <c r="AH258" s="1943"/>
      <c r="AI258" s="6011"/>
      <c r="AJ258" s="3986">
        <v>4</v>
      </c>
      <c r="AK258" s="3986">
        <f>P251</f>
        <v>1</v>
      </c>
      <c r="AL258" s="3986" t="str">
        <f>IF(AND(ISNUMBER(MATCH($F258,'Tablas Técnicas'!$L$10:$L$644,0)),INDEX($V268:$V274,Tablas!A$1)="",COUNTIF(AM258:$AS258,$F258)=0),$F258,IF(INDEX($V268:$V274,Tablas!A$1)="","",$F258&amp;INDEX($V268:$V274,Tablas!A$1)))</f>
        <v/>
      </c>
      <c r="AM258" s="3986" t="str">
        <f>IF(AND(ISNUMBER(MATCH($F258,'Tablas Técnicas'!$L$10:$L$644,0)),INDEX($V268:$V274,Tablas!B$1)="",COUNTIF(AN258:$AS258,$F258)=0),$F258,IF(INDEX($V268:$V274,Tablas!B$1)="","",$F258&amp;INDEX($V268:$V274,Tablas!B$1)))</f>
        <v/>
      </c>
      <c r="AN258" s="3986" t="str">
        <f>IF(AND(ISNUMBER(MATCH($F258,'Tablas Técnicas'!$L$10:$L$644,0)),INDEX($V268:$V274,Tablas!C$1)="",COUNTIF(AO258:$AS258,$F258)=0),$F258,IF(INDEX($V268:$V274,Tablas!C$1)="","",$F258&amp;INDEX($V268:$V274,Tablas!C$1)))</f>
        <v/>
      </c>
      <c r="AO258" s="3986" t="str">
        <f>IF(AND(ISNUMBER(MATCH($F258,'Tablas Técnicas'!$L$10:$L$644,0)),INDEX($V268:$V274,Tablas!D$1)="",COUNTIF(AP258:$AS258,$F258)=0),$F258,IF(INDEX($V268:$V274,Tablas!D$1)="","",$F258&amp;INDEX($V268:$V274,Tablas!D$1)))</f>
        <v/>
      </c>
      <c r="AP258" s="3986" t="str">
        <f>IF(AND(ISNUMBER(MATCH($F258,'Tablas Técnicas'!$L$10:$L$644,0)),INDEX($V268:$V274,Tablas!E$1)="",COUNTIF(AQ258:$AS258,$F258)=0),$F258,IF(INDEX($V268:$V274,Tablas!E$1)="","",$F258&amp;INDEX($V268:$V274,Tablas!E$1)))</f>
        <v/>
      </c>
      <c r="AQ258" s="3986" t="str">
        <f>IF(AND(ISNUMBER(MATCH($F258,'Tablas Técnicas'!$L$10:$L$644,0)),INDEX($V268:$V274,Tablas!F$1)="",COUNTIF(AR258:$AS258,$F258)=0),$F258,IF(INDEX($V268:$V274,Tablas!F$1)="","",$F258&amp;INDEX($V268:$V274,Tablas!F$1)))</f>
        <v/>
      </c>
      <c r="AR258" s="3986" t="str">
        <f>IF(AND(ISNUMBER(MATCH($F258,'Tablas Técnicas'!$L$10:$L$644,0)),INDEX($V268:$V274,Tablas!G$1)="",COUNTIF(AS258:$AS258,$F258)=0),$F258,IF(INDEX($V268:$V274,Tablas!G$1)="","",$F258&amp;INDEX($V268:$V274,Tablas!G$1)))</f>
        <v/>
      </c>
      <c r="AS258" s="1868">
        <f>V258+X258+Z258+AB258+AD258+AF258</f>
        <v>0</v>
      </c>
      <c r="AT258" s="1868">
        <f t="array" ref="AT258">SUM(IF($AL258:$AR258='Tablas Técnicas'!$L$10:$L$644,IF(D258="Primario",'Tablas Técnicas'!$E$10:$E$644,'Tablas Técnicas'!$F$10:$F$644)+IF(K258="Sostenimiento menor",'Tablas Técnicas'!$I$10:$I$644,IF(K258="sostenimiento mayor",'Tablas Técnicas'!$J$10:$J$644,0)),0),0)+VALUE(RIGHT(P258,2))+AU258+AV258</f>
        <v>0</v>
      </c>
      <c r="AU258" s="186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1868">
        <f>(COUNTIF(AL258:AR258,"*Estado añadido:*")-1)*COUNTIF(AL258:AR258,"*Estado añadido:*")</f>
        <v>0</v>
      </c>
      <c r="AW258" s="1868">
        <f t="array" ref="AW258">SUM(IF($AL258:$AR258='Tablas Técnicas'!$L$10:$L$644,'Tablas Técnicas'!$G$10:$G$644,0))</f>
        <v>0</v>
      </c>
      <c r="AX258" s="3986"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986" t="str">
        <f>IFERROR(LEFT(AX258,LEN(AX258)-2)&amp;"), ","")</f>
        <v/>
      </c>
      <c r="AZ258" s="1868"/>
      <c r="BA258" s="1868"/>
      <c r="BB258" s="1868"/>
      <c r="BC258" s="1868"/>
      <c r="BD258" s="1868"/>
      <c r="BE258" s="1868"/>
      <c r="BF258" s="1868"/>
      <c r="BG258" s="1868"/>
      <c r="BH258" s="1868"/>
      <c r="BI258" s="1868"/>
      <c r="BJ258" s="1868"/>
      <c r="BK258" s="1868"/>
      <c r="BL258" s="1868"/>
      <c r="BM258" s="1868"/>
      <c r="BN258" s="1868"/>
      <c r="BO258" s="1868"/>
      <c r="BP258" s="1868"/>
      <c r="BQ258" s="1868"/>
      <c r="BR258" s="1868"/>
    </row>
    <row r="259" spans="1:70" ht="12.2" customHeight="1" thickBot="1">
      <c r="A259" s="1935"/>
      <c r="B259" s="1866">
        <f t="shared" si="6"/>
        <v>8</v>
      </c>
      <c r="C259" s="6009"/>
      <c r="D259" s="5909" t="s">
        <v>483</v>
      </c>
      <c r="E259" s="5910"/>
      <c r="F259" s="6005"/>
      <c r="G259" s="6006"/>
      <c r="H259" s="6006"/>
      <c r="I259" s="6006"/>
      <c r="J259" s="6007"/>
      <c r="K259" s="5994" t="s">
        <v>1315</v>
      </c>
      <c r="L259" s="5995"/>
      <c r="M259" s="5996"/>
      <c r="N259" s="1937">
        <f>IF(AW259&gt;0,IF(VLOOKUP(F259,'Tablas Técnicas'!$O$9:$X$88,10,0),MAX(5,AW259-5),AW259),0)</f>
        <v>0</v>
      </c>
      <c r="O259" s="1937" t="str">
        <f>AS259&amp;" / "&amp;AT259</f>
        <v>0 / 0</v>
      </c>
      <c r="P259" s="1937" t="str">
        <f t="array" ref="P259">W259+Y259+AA259+AC259+AE259+AG259&amp;" / "&amp;IF(K259&lt;&gt;"Mantenido",0,SUM(IF($AL259:$AR259='Tablas Técnicas'!$L$10:$L$644,'Tablas Técnicas'!$H$10:$H$644,0)))</f>
        <v>0 / 0</v>
      </c>
      <c r="Q259" s="5960" t="str">
        <f>IFERROR(VLOOKUP(F259,'Tablas Técnicas'!$O$9:$T$88,5,FALSE),"")</f>
        <v/>
      </c>
      <c r="R259" s="5960"/>
      <c r="S259" s="5960"/>
      <c r="T259" s="5960"/>
      <c r="U259" s="5960"/>
      <c r="V259" s="1837"/>
      <c r="W259" s="1838"/>
      <c r="X259" s="1837"/>
      <c r="Y259" s="1839"/>
      <c r="Z259" s="1840"/>
      <c r="AA259" s="1838"/>
      <c r="AB259" s="1837"/>
      <c r="AC259" s="1839"/>
      <c r="AD259" s="1840"/>
      <c r="AE259" s="1838"/>
      <c r="AF259" s="1837"/>
      <c r="AG259" s="1841"/>
      <c r="AH259" s="1943"/>
      <c r="AI259" s="6011"/>
      <c r="AJ259" s="3986">
        <v>5</v>
      </c>
      <c r="AK259" s="3986">
        <f>P251</f>
        <v>1</v>
      </c>
      <c r="AL259" s="3986" t="str">
        <f>IF(AND(ISNUMBER(MATCH($F259,'Tablas Técnicas'!$L$10:$L$644,0)),INDEX($AB268:$AB274,Tablas!A$1)="",COUNTIF(AM259:$AS259,$F259)=0),$F259,IF(INDEX($AB268:$AB274,Tablas!A$1)="","",$F259&amp;INDEX($AB268:$AB274,Tablas!A$1)))</f>
        <v/>
      </c>
      <c r="AM259" s="3986" t="str">
        <f>IF(AND(ISNUMBER(MATCH($F259,'Tablas Técnicas'!$L$10:$L$644,0)),INDEX($AB268:$AB274,Tablas!B$1)="",COUNTIF(AN259:$AS259,$F259)=0),$F259,IF(INDEX($AB268:$AB274,Tablas!B$1)="","",$F259&amp;INDEX($AB268:$AB274,Tablas!B$1)))</f>
        <v/>
      </c>
      <c r="AN259" s="3986" t="str">
        <f>IF(AND(ISNUMBER(MATCH($F259,'Tablas Técnicas'!$L$10:$L$644,0)),INDEX($AB268:$AB274,Tablas!C$1)="",COUNTIF(AO259:$AS259,$F259)=0),$F259,IF(INDEX($AB268:$AB274,Tablas!C$1)="","",$F259&amp;INDEX($AB268:$AB274,Tablas!C$1)))</f>
        <v/>
      </c>
      <c r="AO259" s="3986" t="str">
        <f>IF(AND(ISNUMBER(MATCH($F259,'Tablas Técnicas'!$L$10:$L$644,0)),INDEX($AB268:$AB274,Tablas!D$1)="",COUNTIF(AP259:$AS259,$F259)=0),$F259,IF(INDEX($AB268:$AB274,Tablas!D$1)="","",$F259&amp;INDEX($AB268:$AB274,Tablas!D$1)))</f>
        <v/>
      </c>
      <c r="AP259" s="3986" t="str">
        <f>IF(AND(ISNUMBER(MATCH($F259,'Tablas Técnicas'!$L$10:$L$644,0)),INDEX($AB268:$AB274,Tablas!E$1)="",COUNTIF(AQ259:$AS259,$F259)=0),$F259,IF(INDEX($AB268:$AB274,Tablas!E$1)="","",$F259&amp;INDEX($AB268:$AB274,Tablas!E$1)))</f>
        <v/>
      </c>
      <c r="AQ259" s="3986" t="str">
        <f>IF(AND(ISNUMBER(MATCH($F259,'Tablas Técnicas'!$L$10:$L$644,0)),INDEX($AB268:$AB274,Tablas!F$1)="",COUNTIF(AR259:$AS259,$F259)=0),$F259,IF(INDEX($AB268:$AB274,Tablas!F$1)="","",$F259&amp;INDEX($AB268:$AB274,Tablas!F$1)))</f>
        <v/>
      </c>
      <c r="AR259" s="3986" t="str">
        <f>IF(AND(ISNUMBER(MATCH($F259,'Tablas Técnicas'!$L$10:$L$644,0)),INDEX($AB268:$AB274,Tablas!G$1)="",COUNTIF(AS259:$AS259,$F259)=0),$F259,IF(INDEX($AB268:$AB274,Tablas!G$1)="","",$F259&amp;INDEX($AB268:$AB274,Tablas!G$1)))</f>
        <v/>
      </c>
      <c r="AS259" s="1868">
        <f>V259+X259+Z259+AB259+AD259+AF259</f>
        <v>0</v>
      </c>
      <c r="AT259" s="1868">
        <f t="array" ref="AT259">SUM(IF($AL259:$AR259='Tablas Técnicas'!$L$10:$L$644,IF(D259="Primario",'Tablas Técnicas'!$E$10:$E$644,'Tablas Técnicas'!$F$10:$F$644)+IF(K259="Sostenimiento menor",'Tablas Técnicas'!$I$10:$I$644,IF(K259="sostenimiento mayor",'Tablas Técnicas'!$J$10:$J$644,0)),0),0)+VALUE(RIGHT(P259,2))+AU259+AV259</f>
        <v>0</v>
      </c>
      <c r="AU259" s="186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1868">
        <f>(COUNTIF(AL259:AR259,"*Estado añadido:*")-1)*COUNTIF(AL259:AR259,"*Estado añadido:*")</f>
        <v>0</v>
      </c>
      <c r="AW259" s="1868">
        <f t="array" ref="AW259">SUM(IF($AL259:$AR259='Tablas Técnicas'!$L$10:$L$644,'Tablas Técnicas'!$G$10:$G$644,0))</f>
        <v>0</v>
      </c>
      <c r="AX259" s="3986"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986" t="str">
        <f>IFERROR(LEFT(AX259,LEN(AX259)-2)&amp;"), ","")</f>
        <v/>
      </c>
      <c r="AZ259" s="1868"/>
      <c r="BA259" s="1868"/>
      <c r="BB259" s="1868"/>
      <c r="BC259" s="1868"/>
      <c r="BD259" s="1868"/>
      <c r="BE259" s="1868"/>
      <c r="BF259" s="1868"/>
      <c r="BG259" s="1868"/>
      <c r="BH259" s="1868"/>
      <c r="BI259" s="1868"/>
      <c r="BJ259" s="1868"/>
      <c r="BK259" s="1868"/>
      <c r="BL259" s="1868"/>
      <c r="BM259" s="1868"/>
      <c r="BN259" s="1868"/>
      <c r="BO259" s="1868"/>
      <c r="BP259" s="1868"/>
      <c r="BQ259" s="1868"/>
      <c r="BR259" s="1868"/>
    </row>
    <row r="260" spans="1:70" ht="12.2" customHeight="1">
      <c r="A260" s="1935"/>
      <c r="B260" s="1866">
        <f t="shared" si="6"/>
        <v>8</v>
      </c>
      <c r="C260" s="6009"/>
      <c r="D260" s="5961" t="s">
        <v>2657</v>
      </c>
      <c r="E260" s="5962"/>
      <c r="F260" s="5957"/>
      <c r="G260" s="5958"/>
      <c r="H260" s="5958"/>
      <c r="I260" s="5958"/>
      <c r="J260" s="5959"/>
      <c r="K260" s="5931"/>
      <c r="L260" s="5937"/>
      <c r="M260" s="5938"/>
      <c r="N260" s="4286" t="str">
        <f>IFERROR(INDEX('Tablas Técnicas'!$Q$152:$Q$267,MATCH(F260&amp;K260,'Tablas Técnicas'!$S$152:$S$267,0)),"")</f>
        <v/>
      </c>
      <c r="O260" s="5939"/>
      <c r="P260" s="5940"/>
      <c r="Q260" s="5941"/>
      <c r="R260" s="5940"/>
      <c r="S260" s="4287" t="str">
        <f>IFERROR("Nivel: "&amp;MAX(1,INDEX('Tablas Técnicas'!$R$152:$R$267,MATCH(F260&amp;K260,'Tablas Técnicas'!$S$152:$S$267,0))),"")</f>
        <v/>
      </c>
      <c r="T260" s="4288"/>
      <c r="U260" s="4289" t="str">
        <f>IFERROR("("&amp;VLOOKUP(F260,'Tablas Técnicas'!$O$117:$Q$146,3,FALSE)&amp;")","")</f>
        <v/>
      </c>
      <c r="V260" s="5857" t="s">
        <v>9159</v>
      </c>
      <c r="W260" s="5858"/>
      <c r="X260" s="5859"/>
      <c r="Y260" s="2046">
        <v>0</v>
      </c>
      <c r="Z260" s="5860" t="s">
        <v>8361</v>
      </c>
      <c r="AA260" s="5861"/>
      <c r="AB260" s="5862"/>
      <c r="AC260" s="2046">
        <v>0</v>
      </c>
      <c r="AD260" s="5894" t="str">
        <f>"Ki sin repartir: "&amp;AL268-AL269&amp;IF(AM268=0,""," ("&amp;AM268-AM269&amp;")")</f>
        <v>Ki sin repartir: 0</v>
      </c>
      <c r="AE260" s="5895"/>
      <c r="AF260" s="5895"/>
      <c r="AG260" s="5896"/>
      <c r="AH260" s="1943"/>
      <c r="AI260" s="6011"/>
      <c r="AJ260" s="3986">
        <v>1</v>
      </c>
      <c r="AK260" s="3986">
        <f>P251</f>
        <v>1</v>
      </c>
      <c r="AL260" s="3986" t="e">
        <f>VLOOKUP(F260,'Tablas Técnicas'!$O$117:$Q$146,2,FALSE)</f>
        <v>#N/A</v>
      </c>
      <c r="AM260" s="3986"/>
      <c r="AN260" s="3987"/>
      <c r="AO260" s="3986"/>
      <c r="AP260" s="3986"/>
      <c r="AQ260" s="3987"/>
      <c r="AR260" s="3986"/>
      <c r="AS260" s="3986"/>
      <c r="AT260" s="3986"/>
      <c r="AU260" s="3986"/>
      <c r="AV260" s="3986"/>
      <c r="AW260" s="1868"/>
      <c r="AX260" s="1868"/>
      <c r="AY260" s="3986" t="str">
        <f>IF(F260="","",F260&amp;IF(K260="",""," ("&amp;IF(F260="Atadura Elemental",O260&amp;IF(Q260="","",", "&amp;Q260),K260)&amp;")")&amp;", ")</f>
        <v/>
      </c>
      <c r="AZ260" s="1868"/>
      <c r="BA260" s="1868"/>
      <c r="BB260" s="1868"/>
      <c r="BC260" s="1868"/>
      <c r="BD260" s="1868"/>
      <c r="BE260" s="1868"/>
      <c r="BF260" s="1868"/>
      <c r="BG260" s="1868"/>
      <c r="BH260" s="1868"/>
      <c r="BI260" s="1868"/>
      <c r="BJ260" s="1868"/>
      <c r="BK260" s="1868"/>
      <c r="BL260" s="1868"/>
      <c r="BM260" s="1868"/>
      <c r="BN260" s="1868"/>
      <c r="BO260" s="1868"/>
      <c r="BP260" s="1868"/>
      <c r="BQ260" s="1868"/>
      <c r="BR260" s="1868"/>
    </row>
    <row r="261" spans="1:70" ht="12.2" customHeight="1">
      <c r="A261" s="1935"/>
      <c r="B261" s="1866">
        <f t="shared" si="6"/>
        <v>8</v>
      </c>
      <c r="C261" s="6009"/>
      <c r="D261" s="5963"/>
      <c r="E261" s="5964"/>
      <c r="F261" s="5942"/>
      <c r="G261" s="5943"/>
      <c r="H261" s="5943"/>
      <c r="I261" s="5943"/>
      <c r="J261" s="5944"/>
      <c r="K261" s="5902"/>
      <c r="L261" s="5903"/>
      <c r="M261" s="5904"/>
      <c r="N261" s="1720" t="str">
        <f>IFERROR(INDEX('Tablas Técnicas'!$Q$152:$Q$267,MATCH(F261&amp;K261,'Tablas Técnicas'!$S$152:$S$267,0)),"")</f>
        <v/>
      </c>
      <c r="O261" s="5945"/>
      <c r="P261" s="5946"/>
      <c r="Q261" s="5947"/>
      <c r="R261" s="5946"/>
      <c r="S261" s="1716" t="str">
        <f>IFERROR("Nivel: "&amp;MAX(1,INDEX('Tablas Técnicas'!$R$152:$R$267,MATCH(F261&amp;K261,'Tablas Técnicas'!$S$152:$S$267,0))),"")</f>
        <v/>
      </c>
      <c r="T261" s="2172"/>
      <c r="U261" s="1715" t="str">
        <f>IFERROR("("&amp;VLOOKUP(F261,'Tablas Técnicas'!$O$117:$Q$146,3,FALSE)&amp;")","")</f>
        <v/>
      </c>
      <c r="V261" s="5854" t="str">
        <f>"Mod. "&amp;V253</f>
        <v>Mod. AGI</v>
      </c>
      <c r="W261" s="5855"/>
      <c r="X261" s="5854" t="str">
        <f>"Mod. "&amp;X253</f>
        <v>Mod. CON</v>
      </c>
      <c r="Y261" s="5855"/>
      <c r="Z261" s="5854" t="str">
        <f>"Mod. "&amp;Z253</f>
        <v>Mod. DES</v>
      </c>
      <c r="AA261" s="5855"/>
      <c r="AB261" s="5854" t="str">
        <f>"Mod. "&amp;AB253</f>
        <v>Mod. FUE</v>
      </c>
      <c r="AC261" s="5855"/>
      <c r="AD261" s="5854" t="str">
        <f>"Mod. "&amp;AD253</f>
        <v>Mod. POD</v>
      </c>
      <c r="AE261" s="5855"/>
      <c r="AF261" s="5854" t="str">
        <f>"Mod. "&amp;AF253</f>
        <v>Mod. VOL</v>
      </c>
      <c r="AG261" s="5856"/>
      <c r="AH261" s="1943"/>
      <c r="AI261" s="6011"/>
      <c r="AJ261" s="3986">
        <v>2</v>
      </c>
      <c r="AK261" s="3986">
        <f>P251</f>
        <v>1</v>
      </c>
      <c r="AL261" s="3986" t="e">
        <f>VLOOKUP(F261,'Tablas Técnicas'!$O$117:$Q$146,2,FALSE)</f>
        <v>#N/A</v>
      </c>
      <c r="AM261" s="3986"/>
      <c r="AN261" s="3987"/>
      <c r="AO261" s="3986"/>
      <c r="AP261" s="3986"/>
      <c r="AQ261" s="3987"/>
      <c r="AR261" s="3986"/>
      <c r="AS261" s="3986"/>
      <c r="AT261" s="3986"/>
      <c r="AU261" s="3986"/>
      <c r="AV261" s="3986"/>
      <c r="AW261" s="1868"/>
      <c r="AX261" s="1868"/>
      <c r="AY261" s="3986" t="str">
        <f>IF(F261="","",F261&amp;IF(K261="",""," ("&amp;IF(F261="Atadura Elemental",O261&amp;IF(Q261="","",", "&amp;Q261),K261)&amp;")")&amp;", ")</f>
        <v/>
      </c>
      <c r="AZ261" s="1868"/>
      <c r="BA261" s="1868"/>
      <c r="BB261" s="1868"/>
      <c r="BC261" s="1868"/>
      <c r="BD261" s="1868"/>
      <c r="BE261" s="1868"/>
      <c r="BF261" s="1868"/>
      <c r="BG261" s="1868"/>
      <c r="BH261" s="1868"/>
      <c r="BI261" s="1868"/>
      <c r="BJ261" s="1868"/>
      <c r="BK261" s="1868"/>
      <c r="BL261" s="1868"/>
      <c r="BM261" s="1868"/>
      <c r="BN261" s="1868"/>
      <c r="BO261" s="1868"/>
      <c r="BP261" s="1868"/>
      <c r="BQ261" s="1868"/>
      <c r="BR261" s="1868"/>
    </row>
    <row r="262" spans="1:70" ht="12.2" customHeight="1" thickBot="1">
      <c r="A262" s="1935"/>
      <c r="B262" s="1866">
        <f t="shared" si="6"/>
        <v>8</v>
      </c>
      <c r="C262" s="6009"/>
      <c r="D262" s="5965"/>
      <c r="E262" s="5966"/>
      <c r="F262" s="5948"/>
      <c r="G262" s="5949"/>
      <c r="H262" s="5949"/>
      <c r="I262" s="5949"/>
      <c r="J262" s="5950"/>
      <c r="K262" s="5951"/>
      <c r="L262" s="5952"/>
      <c r="M262" s="5953"/>
      <c r="N262" s="4290" t="str">
        <f>IFERROR(INDEX('Tablas Técnicas'!$Q$152:$Q$267,MATCH(F262&amp;K262,'Tablas Técnicas'!$S$152:$S$267,0)),"")</f>
        <v/>
      </c>
      <c r="O262" s="5954"/>
      <c r="P262" s="5955"/>
      <c r="Q262" s="5956"/>
      <c r="R262" s="5955"/>
      <c r="S262" s="4291" t="str">
        <f>IFERROR("Nivel: "&amp;MAX(1,INDEX('Tablas Técnicas'!$R$152:$R$267,MATCH(F262&amp;K262,'Tablas Técnicas'!$S$152:$S$267,0))),"")</f>
        <v/>
      </c>
      <c r="T262" s="4292"/>
      <c r="U262" s="1807" t="str">
        <f>IFERROR("("&amp;VLOOKUP(F262,'Tablas Técnicas'!$O$117:$Q$146,3,FALSE)&amp;")","")</f>
        <v/>
      </c>
      <c r="V262" s="5864"/>
      <c r="W262" s="5863"/>
      <c r="X262" s="5863"/>
      <c r="Y262" s="5863"/>
      <c r="Z262" s="5863"/>
      <c r="AA262" s="5863"/>
      <c r="AB262" s="5863"/>
      <c r="AC262" s="5863"/>
      <c r="AD262" s="5863"/>
      <c r="AE262" s="5863"/>
      <c r="AF262" s="5863"/>
      <c r="AG262" s="5905"/>
      <c r="AH262" s="1943"/>
      <c r="AI262" s="6011"/>
      <c r="AJ262" s="3986">
        <v>3</v>
      </c>
      <c r="AK262" s="3986">
        <f>P251</f>
        <v>1</v>
      </c>
      <c r="AL262" s="3986" t="e">
        <f>VLOOKUP(F262,'Tablas Técnicas'!$O$117:$Q$146,2,FALSE)</f>
        <v>#N/A</v>
      </c>
      <c r="AM262" s="3986"/>
      <c r="AN262" s="3987"/>
      <c r="AO262" s="3986"/>
      <c r="AP262" s="3986"/>
      <c r="AQ262" s="3987"/>
      <c r="AR262" s="1868"/>
      <c r="AS262" s="1868"/>
      <c r="AT262" s="1868"/>
      <c r="AU262" s="1868"/>
      <c r="AV262" s="1868"/>
      <c r="AW262" s="1868"/>
      <c r="AX262" s="1868"/>
      <c r="AY262" s="3986" t="str">
        <f>IF(F262="","",F262&amp;IF(K262="",""," ("&amp;IF(F262="Atadura Elemental",O262&amp;IF(Q262="","",", "&amp;Q262),K262)&amp;")")&amp;", ")</f>
        <v/>
      </c>
      <c r="AZ262" s="1868"/>
      <c r="BA262" s="1868"/>
      <c r="BB262" s="1868"/>
      <c r="BC262" s="1868"/>
      <c r="BD262" s="1868"/>
      <c r="BE262" s="1868"/>
      <c r="BF262" s="1868"/>
      <c r="BG262" s="1868"/>
      <c r="BH262" s="1868"/>
      <c r="BI262" s="1868"/>
      <c r="BJ262" s="1868"/>
      <c r="BK262" s="1868"/>
      <c r="BL262" s="1868"/>
      <c r="BM262" s="1868"/>
      <c r="BN262" s="1868"/>
      <c r="BO262" s="1868"/>
      <c r="BP262" s="1868"/>
      <c r="BQ262" s="1868"/>
      <c r="BR262" s="1868"/>
    </row>
    <row r="263" spans="1:70" ht="12.2" customHeight="1">
      <c r="A263" s="1935"/>
      <c r="B263" s="1866">
        <f t="shared" si="6"/>
        <v>8</v>
      </c>
      <c r="C263" s="6009"/>
      <c r="D263" s="5873" t="s">
        <v>8842</v>
      </c>
      <c r="E263" s="5874"/>
      <c r="F263" s="5874"/>
      <c r="G263" s="5874"/>
      <c r="H263" s="5874"/>
      <c r="I263" s="5874"/>
      <c r="J263" s="5874"/>
      <c r="K263" s="5874"/>
      <c r="L263" s="5874"/>
      <c r="M263" s="5874"/>
      <c r="N263" s="5874"/>
      <c r="O263" s="5874"/>
      <c r="P263" s="5874"/>
      <c r="Q263" s="5874"/>
      <c r="R263" s="5874"/>
      <c r="S263" s="5874"/>
      <c r="T263" s="5874"/>
      <c r="U263" s="5874"/>
      <c r="V263" s="5877"/>
      <c r="W263" s="5877"/>
      <c r="X263" s="5877"/>
      <c r="Y263" s="5877"/>
      <c r="Z263" s="5877"/>
      <c r="AA263" s="5877"/>
      <c r="AB263" s="5877"/>
      <c r="AC263" s="5877"/>
      <c r="AD263" s="5877"/>
      <c r="AE263" s="5877"/>
      <c r="AF263" s="5877"/>
      <c r="AG263" s="5878"/>
      <c r="AH263" s="1943"/>
      <c r="AI263" s="6011"/>
      <c r="AJ263" s="3986"/>
      <c r="AK263" s="3986"/>
      <c r="AL263" s="3986"/>
      <c r="AM263" s="3986"/>
      <c r="AN263" s="3987" t="s">
        <v>8362</v>
      </c>
      <c r="AO263" s="3986" t="e">
        <f>LEFT(AY255&amp;AY256&amp;AY257&amp;AY258&amp;AY259,LEN(AY255&amp;AY256&amp;AY257&amp;AY258&amp;AY259)-2)</f>
        <v>#VALUE!</v>
      </c>
      <c r="AP263" s="3986"/>
      <c r="AQ263" s="3987"/>
      <c r="AR263" s="1868"/>
      <c r="AS263" s="1868"/>
      <c r="AT263" s="1868"/>
      <c r="AU263" s="3987"/>
      <c r="AV263" s="3987"/>
      <c r="AW263" s="1868"/>
      <c r="AX263" s="1868"/>
      <c r="AY263" s="3986"/>
      <c r="AZ263" s="1868"/>
      <c r="BA263" s="1868"/>
      <c r="BB263" s="1868"/>
      <c r="BC263" s="1868"/>
      <c r="BD263" s="1868"/>
      <c r="BE263" s="1868"/>
      <c r="BF263" s="1868"/>
      <c r="BG263" s="1868"/>
      <c r="BH263" s="1868"/>
      <c r="BI263" s="1868"/>
      <c r="BJ263" s="1868"/>
      <c r="BK263" s="1868"/>
      <c r="BL263" s="1868"/>
      <c r="BM263" s="1868"/>
      <c r="BN263" s="1868"/>
      <c r="BO263" s="1868"/>
      <c r="BP263" s="1868"/>
      <c r="BQ263" s="1868"/>
      <c r="BR263" s="1868"/>
    </row>
    <row r="264" spans="1:70" ht="12.2" customHeight="1">
      <c r="A264" s="1935"/>
      <c r="B264" s="1866">
        <f t="shared" si="6"/>
        <v>8</v>
      </c>
      <c r="C264" s="6009"/>
      <c r="D264" s="5865" t="str">
        <f>IF(F255="","",F255)</f>
        <v/>
      </c>
      <c r="E264" s="5866"/>
      <c r="F264" s="5866"/>
      <c r="G264" s="5866"/>
      <c r="H264" s="5866"/>
      <c r="I264" s="5867"/>
      <c r="J264" s="5865" t="str">
        <f>IF(F256="","",F256)</f>
        <v/>
      </c>
      <c r="K264" s="5866"/>
      <c r="L264" s="5866"/>
      <c r="M264" s="5866"/>
      <c r="N264" s="5866"/>
      <c r="O264" s="5867"/>
      <c r="P264" s="5866" t="str">
        <f>IF(F257="","",F257)</f>
        <v/>
      </c>
      <c r="Q264" s="5866"/>
      <c r="R264" s="5866"/>
      <c r="S264" s="5866"/>
      <c r="T264" s="5866"/>
      <c r="U264" s="5867"/>
      <c r="V264" s="5865" t="str">
        <f>IF(F258="","",F258)</f>
        <v/>
      </c>
      <c r="W264" s="5866"/>
      <c r="X264" s="5866"/>
      <c r="Y264" s="5866"/>
      <c r="Z264" s="5866"/>
      <c r="AA264" s="5867"/>
      <c r="AB264" s="5866" t="str">
        <f>IF(F259="","",F259)</f>
        <v/>
      </c>
      <c r="AC264" s="5866"/>
      <c r="AD264" s="5866"/>
      <c r="AE264" s="5866"/>
      <c r="AF264" s="5866"/>
      <c r="AG264" s="5928"/>
      <c r="AH264" s="1943"/>
      <c r="AI264" s="6011"/>
      <c r="AJ264" s="3986"/>
      <c r="AK264" s="3986"/>
      <c r="AL264" s="3986"/>
      <c r="AM264" s="3986"/>
      <c r="AN264" s="3987" t="s">
        <v>8363</v>
      </c>
      <c r="AO264" s="3986" t="e">
        <f>LEFT(AY260&amp;AY261&amp;AY262,LEN(AY260&amp;AY261&amp;AY262)-2)</f>
        <v>#VALUE!</v>
      </c>
      <c r="AP264" s="3986"/>
      <c r="AQ264" s="3987"/>
      <c r="AR264" s="1868"/>
      <c r="AS264" s="1868"/>
      <c r="AT264" s="1868"/>
      <c r="AU264" s="3987"/>
      <c r="AV264" s="3987"/>
      <c r="AW264" s="1868"/>
      <c r="AX264" s="1868"/>
      <c r="AY264" s="3986"/>
      <c r="AZ264" s="1868"/>
      <c r="BA264" s="1868"/>
      <c r="BB264" s="1868"/>
      <c r="BC264" s="1868"/>
      <c r="BD264" s="1868"/>
      <c r="BE264" s="1868"/>
      <c r="BF264" s="1868"/>
      <c r="BG264" s="1868"/>
      <c r="BH264" s="1868"/>
      <c r="BI264" s="1868"/>
      <c r="BJ264" s="1868"/>
      <c r="BK264" s="1868"/>
      <c r="BL264" s="1868"/>
      <c r="BM264" s="1868"/>
      <c r="BN264" s="1868"/>
      <c r="BO264" s="1868"/>
      <c r="BP264" s="1868"/>
      <c r="BQ264" s="1868"/>
      <c r="BR264" s="1868"/>
    </row>
    <row r="265" spans="1:70" ht="12.2" customHeight="1">
      <c r="A265" s="1935"/>
      <c r="B265" s="1866">
        <f t="shared" si="6"/>
        <v>8</v>
      </c>
      <c r="C265" s="6009"/>
      <c r="D265" s="1812" t="s">
        <v>1690</v>
      </c>
      <c r="E265" s="1712" t="str">
        <f>IFERROR(VLOOKUP(D264,'Tablas Técnicas'!$O$9:$T$88,3,FALSE),"")</f>
        <v/>
      </c>
      <c r="F265" s="1809"/>
      <c r="G265" s="1808"/>
      <c r="H265" s="1808" t="s">
        <v>1223</v>
      </c>
      <c r="I265" s="1712" t="str">
        <f>IFERROR(VLOOKUP(D264,'Tablas Técnicas'!$O$9:$T$88,4,FALSE),"")</f>
        <v/>
      </c>
      <c r="J265" s="1812" t="s">
        <v>1690</v>
      </c>
      <c r="K265" s="1712" t="str">
        <f>IFERROR(VLOOKUP(J264,'Tablas Técnicas'!$O$9:$T$88,3,FALSE),"")</f>
        <v/>
      </c>
      <c r="L265" s="1809"/>
      <c r="M265" s="1808"/>
      <c r="N265" s="1808" t="s">
        <v>1223</v>
      </c>
      <c r="O265" s="1721" t="str">
        <f>IFERROR(VLOOKUP(J264,'Tablas Técnicas'!$O$9:$T$88,4,FALSE),"")</f>
        <v/>
      </c>
      <c r="P265" s="1808" t="s">
        <v>1690</v>
      </c>
      <c r="Q265" s="1712" t="str">
        <f>IFERROR(VLOOKUP(P264,'Tablas Técnicas'!$O$9:$T$88,3,FALSE),"")</f>
        <v/>
      </c>
      <c r="R265" s="1809"/>
      <c r="S265" s="1808"/>
      <c r="T265" s="1808" t="s">
        <v>1223</v>
      </c>
      <c r="U265" s="1712" t="str">
        <f>IFERROR(VLOOKUP(P264,'Tablas Técnicas'!$O$9:$T$88,4,FALSE),"")</f>
        <v/>
      </c>
      <c r="V265" s="1812" t="s">
        <v>1690</v>
      </c>
      <c r="W265" s="1712" t="str">
        <f>IFERROR(VLOOKUP(V264,'Tablas Técnicas'!$O$9:$T$88,3,FALSE),"")</f>
        <v/>
      </c>
      <c r="X265" s="1809"/>
      <c r="Y265" s="1808"/>
      <c r="Z265" s="1808" t="s">
        <v>1223</v>
      </c>
      <c r="AA265" s="1721" t="str">
        <f>IFERROR(VLOOKUP(V264,'Tablas Técnicas'!$O$9:$T$88,4,FALSE),"")</f>
        <v/>
      </c>
      <c r="AB265" s="1808" t="s">
        <v>1690</v>
      </c>
      <c r="AC265" s="1712" t="str">
        <f>IFERROR(VLOOKUP(AB264,'Tablas Técnicas'!$O$9:$T$88,3,FALSE),"")</f>
        <v/>
      </c>
      <c r="AD265" s="1809"/>
      <c r="AE265" s="1808"/>
      <c r="AF265" s="1808" t="s">
        <v>1223</v>
      </c>
      <c r="AG265" s="1722" t="str">
        <f>IFERROR(VLOOKUP(AB264,'Tablas Técnicas'!$O$9:$T$88,4,FALSE),"")</f>
        <v/>
      </c>
      <c r="AH265" s="1943"/>
      <c r="AI265" s="6011"/>
      <c r="AJ265" s="3986"/>
      <c r="AK265" s="3986"/>
      <c r="AL265" s="3986"/>
      <c r="AM265" s="3986"/>
      <c r="AN265" s="3987"/>
      <c r="AO265" s="3986"/>
      <c r="AP265" s="3986"/>
      <c r="AQ265" s="3987"/>
      <c r="AR265" s="1868"/>
      <c r="AS265" s="1868"/>
      <c r="AT265" s="1868"/>
      <c r="AU265" s="1868"/>
      <c r="AV265" s="1868"/>
      <c r="AW265" s="1868"/>
      <c r="AX265" s="1868"/>
      <c r="AY265" s="3986"/>
      <c r="AZ265" s="1868"/>
      <c r="BA265" s="1868"/>
      <c r="BB265" s="1868"/>
      <c r="BC265" s="1868"/>
      <c r="BD265" s="1868"/>
      <c r="BE265" s="1868"/>
      <c r="BF265" s="1868"/>
      <c r="BG265" s="1868"/>
      <c r="BH265" s="1868"/>
      <c r="BI265" s="1868"/>
      <c r="BJ265" s="1868"/>
      <c r="BK265" s="1868"/>
      <c r="BL265" s="1868"/>
      <c r="BM265" s="1868"/>
      <c r="BN265" s="1868"/>
      <c r="BO265" s="1868"/>
      <c r="BP265" s="1868"/>
      <c r="BQ265" s="1868"/>
      <c r="BR265" s="1868"/>
    </row>
    <row r="266" spans="1:70" ht="12.2" customHeight="1">
      <c r="A266" s="1935"/>
      <c r="B266" s="1866">
        <f t="shared" si="6"/>
        <v>8</v>
      </c>
      <c r="C266" s="6009"/>
      <c r="D266" s="1813" t="s">
        <v>8364</v>
      </c>
      <c r="E266" s="1808"/>
      <c r="F266" s="1809"/>
      <c r="G266" s="1810"/>
      <c r="H266" s="1810"/>
      <c r="I266" s="1807" t="str">
        <f>IFERROR(IF(D264="Ataque Elemental",IF(NOT(ISNA(VLOOKUP(D268,'Tablas Técnicas'!$O$100:$O$105,1,0))),D268,"Variable"),VLOOKUP(D264,'Tablas Técnicas'!$O$9:$W$88,9,FALSE)),"")</f>
        <v/>
      </c>
      <c r="J266" s="1723" t="s">
        <v>8364</v>
      </c>
      <c r="K266" s="1938"/>
      <c r="L266" s="1939"/>
      <c r="M266" s="1940"/>
      <c r="N266" s="1940"/>
      <c r="O266" s="1724" t="str">
        <f>IFERROR(IF(J264="Ataque Elemental",IF(NOT(ISNA(VLOOKUP(J268,'Tablas Técnicas'!$O$100:$O$105,1,0))),J268,"Variable"),VLOOKUP(J264,'Tablas Técnicas'!$O$9:$W$88,9,FALSE)),"")</f>
        <v/>
      </c>
      <c r="P266" s="1941" t="s">
        <v>8364</v>
      </c>
      <c r="Q266" s="1938"/>
      <c r="R266" s="1939"/>
      <c r="S266" s="1940"/>
      <c r="T266" s="1940"/>
      <c r="U266" s="1807" t="str">
        <f>IFERROR(IF(P264="Ataque Elemental",IF(NOT(ISNA(VLOOKUP(P268,'Tablas Técnicas'!$O$100:$O$105,1,0))),P268,"Variable"),VLOOKUP(P264,'Tablas Técnicas'!$O$9:$W$88,9,FALSE)),"")</f>
        <v/>
      </c>
      <c r="V266" s="1723" t="s">
        <v>8364</v>
      </c>
      <c r="W266" s="1938"/>
      <c r="X266" s="1939"/>
      <c r="Y266" s="1940"/>
      <c r="Z266" s="1940"/>
      <c r="AA266" s="1724" t="str">
        <f>IFERROR(IF(V264="Ataque Elemental",IF(NOT(ISNA(VLOOKUP(V268,'Tablas Técnicas'!$O$100:$O$105,1,0))),V268,"Variable"),VLOOKUP(V264,'Tablas Técnicas'!$O$9:$W$88,9,FALSE)),"")</f>
        <v/>
      </c>
      <c r="AB266" s="1941" t="s">
        <v>8364</v>
      </c>
      <c r="AC266" s="1938"/>
      <c r="AD266" s="1939"/>
      <c r="AE266" s="1940"/>
      <c r="AF266" s="1940"/>
      <c r="AG266" s="1818" t="str">
        <f>IFERROR(IF(AB264="Ataque Elemental",IF(NOT(ISNA(VLOOKUP(AB268,'Tablas Técnicas'!$O$100:$O$105,1,0))),AB268,"Variable"),VLOOKUP(AB264,'Tablas Técnicas'!$O$9:$W$88,9,FALSE)),"")</f>
        <v/>
      </c>
      <c r="AH266" s="1943"/>
      <c r="AI266" s="6011"/>
      <c r="AJ266" s="3986"/>
      <c r="AK266" s="1868" t="s">
        <v>1233</v>
      </c>
      <c r="AL266" s="1868" t="s">
        <v>1357</v>
      </c>
      <c r="AM266" s="1868" t="s">
        <v>1238</v>
      </c>
      <c r="AN266" s="1868" t="s">
        <v>1243</v>
      </c>
      <c r="AO266" s="1868" t="s">
        <v>1250</v>
      </c>
      <c r="AP266" s="1868" t="s">
        <v>1251</v>
      </c>
      <c r="AQ266" s="3987"/>
      <c r="AR266" s="1868"/>
      <c r="AS266" s="1868"/>
      <c r="AT266" s="1868"/>
      <c r="AU266" s="1868"/>
      <c r="AV266" s="1868"/>
      <c r="AW266" s="1868"/>
      <c r="AX266" s="1868"/>
      <c r="AY266" s="3986"/>
      <c r="AZ266" s="1868"/>
      <c r="BA266" s="1868"/>
      <c r="BB266" s="1868"/>
      <c r="BC266" s="1868"/>
      <c r="BD266" s="1868"/>
      <c r="BE266" s="1868"/>
      <c r="BF266" s="1868"/>
      <c r="BG266" s="1868"/>
      <c r="BH266" s="1868"/>
      <c r="BI266" s="1868"/>
      <c r="BJ266" s="1868"/>
      <c r="BK266" s="1868"/>
      <c r="BL266" s="1868"/>
      <c r="BM266" s="1868"/>
      <c r="BN266" s="1868"/>
      <c r="BO266" s="1868"/>
      <c r="BP266" s="1868"/>
      <c r="BQ266" s="1868"/>
      <c r="BR266" s="1868"/>
    </row>
    <row r="267" spans="1:70" ht="12.2" customHeight="1">
      <c r="A267" s="1935"/>
      <c r="B267" s="1866">
        <f t="shared" si="6"/>
        <v>8</v>
      </c>
      <c r="C267" s="6009"/>
      <c r="D267" s="5865" t="s">
        <v>2665</v>
      </c>
      <c r="E267" s="5866"/>
      <c r="F267" s="5866"/>
      <c r="G267" s="5866"/>
      <c r="H267" s="5867"/>
      <c r="I267" s="1725" t="s">
        <v>1262</v>
      </c>
      <c r="J267" s="5865" t="s">
        <v>2665</v>
      </c>
      <c r="K267" s="5866"/>
      <c r="L267" s="5866"/>
      <c r="M267" s="5866"/>
      <c r="N267" s="5867"/>
      <c r="O267" s="1726" t="s">
        <v>1262</v>
      </c>
      <c r="P267" s="5865" t="s">
        <v>2665</v>
      </c>
      <c r="Q267" s="5866"/>
      <c r="R267" s="5866"/>
      <c r="S267" s="5866"/>
      <c r="T267" s="5867"/>
      <c r="U267" s="1726" t="s">
        <v>1262</v>
      </c>
      <c r="V267" s="5865"/>
      <c r="W267" s="5866"/>
      <c r="X267" s="5866"/>
      <c r="Y267" s="5866"/>
      <c r="Z267" s="5867"/>
      <c r="AA267" s="1726" t="s">
        <v>1262</v>
      </c>
      <c r="AB267" s="5865" t="s">
        <v>2665</v>
      </c>
      <c r="AC267" s="5866"/>
      <c r="AD267" s="5866"/>
      <c r="AE267" s="5866"/>
      <c r="AF267" s="5867"/>
      <c r="AG267" s="1727" t="s">
        <v>1262</v>
      </c>
      <c r="AH267" s="1943"/>
      <c r="AI267" s="6011"/>
      <c r="AJ267" s="3989" t="s">
        <v>8879</v>
      </c>
      <c r="AK267" s="3986" t="str">
        <f>IF(V253="","",IF(SUM(V255:V259)=0,"",V253&amp;" "&amp;SUM(V255:V259)+V262&amp;IF(SUM(W255:W259)=0,""," ("&amp;SUM(W255:W259)&amp;")")&amp;", "))</f>
        <v/>
      </c>
      <c r="AL267" s="3986" t="str">
        <f>IF(X253="","",IF(SUM(X255:X259)=0,"",X253&amp;" "&amp;SUM(X255:X259)+X262&amp;IF(SUM(Y255:Y259)=0,""," ("&amp;SUM(Y255:Y259)&amp;")")&amp;", "))</f>
        <v/>
      </c>
      <c r="AM267" s="3986" t="str">
        <f>IF(Z253="","",IF(SUM(Z255:Z259)=0,"",Z253&amp;" "&amp;SUM(Z255:Z259)+Z262&amp;IF(SUM(AA255:AA259)=0,""," ("&amp;SUM(AA255:AA259)&amp;")")&amp;", "))</f>
        <v/>
      </c>
      <c r="AN267" s="3986" t="str">
        <f>IF(AB253="","",IF(SUM(AB255:AB259)=0,"",AB253&amp;" "&amp;SUM(AB255:AB259)+AB262&amp;IF(SUM(AC255:AC259)=0,""," ("&amp;SUM(AC255:AC259)&amp;")")&amp;", "))</f>
        <v/>
      </c>
      <c r="AO267" s="3986" t="str">
        <f>IF(AD253="","",IF(SUM(AD255:AD259)=0,"",AD253&amp;" "&amp;SUM(AD255:AD259)+AD262&amp;IF(SUM(AE255:AE259)=0,""," ("&amp;SUM(AE255:AE259)&amp;")")&amp;", "))</f>
        <v/>
      </c>
      <c r="AP267" s="3986" t="str">
        <f>IF(AF253="","",IF(SUM(AF255:AF259)=0,"",AF253&amp;" "&amp;SUM(AF255:AF259)+AF262&amp;IF(SUM(AG255:AG259)=0,""," ("&amp;SUM(AG255:AG259)&amp;")")&amp;", "))</f>
        <v/>
      </c>
      <c r="AQ267" s="3986"/>
      <c r="AR267" s="3986"/>
      <c r="AS267" s="3986"/>
      <c r="AT267" s="3986"/>
      <c r="AU267" s="3986"/>
      <c r="AV267" s="3986"/>
      <c r="AW267" s="3986"/>
      <c r="AX267" s="3986"/>
      <c r="AY267" s="3986"/>
      <c r="AZ267" s="1868"/>
      <c r="BA267" s="1868"/>
      <c r="BB267" s="1868"/>
      <c r="BC267" s="1868"/>
      <c r="BD267" s="1868"/>
      <c r="BE267" s="1868"/>
      <c r="BF267" s="1868"/>
      <c r="BG267" s="1868"/>
      <c r="BH267" s="1868"/>
      <c r="BI267" s="1868"/>
      <c r="BJ267" s="1868"/>
      <c r="BK267" s="1868"/>
      <c r="BL267" s="1868"/>
      <c r="BM267" s="1868"/>
      <c r="BN267" s="1868"/>
      <c r="BO267" s="1868"/>
      <c r="BP267" s="1868"/>
      <c r="BQ267" s="1868"/>
      <c r="BR267" s="1868"/>
    </row>
    <row r="268" spans="1:70" ht="12.2" customHeight="1">
      <c r="A268" s="1935"/>
      <c r="B268" s="1866">
        <f t="shared" si="6"/>
        <v>8</v>
      </c>
      <c r="C268" s="6009"/>
      <c r="D268" s="5911"/>
      <c r="E268" s="5853"/>
      <c r="F268" s="5853"/>
      <c r="G268" s="5853"/>
      <c r="H268" s="5853"/>
      <c r="I268" s="1728" t="str">
        <f>IF(OR(D264="",D268=""),"",MAX(1,SUMPRODUCT(--(INDEX('Tablas Técnicas'!$C$10:$L$644,,1)=D264),--(INDEX('Tablas Técnicas'!$C$10:$L$644,,2)=D268),INDEX('Tablas Técnicas'!$C$10:$L$644,,9))))</f>
        <v/>
      </c>
      <c r="J268" s="5852"/>
      <c r="K268" s="5853"/>
      <c r="L268" s="5853"/>
      <c r="M268" s="5853"/>
      <c r="N268" s="5853"/>
      <c r="O268" s="1728" t="str">
        <f>IF(OR(J264="",J268=""),"",MAX(1,SUMPRODUCT(--(INDEX('Tablas Técnicas'!$C$10:$L$644,,1)=J264),--(INDEX('Tablas Técnicas'!$C$10:$L$644,,2)=J268),INDEX('Tablas Técnicas'!$C$10:$L$644,,9))))</f>
        <v/>
      </c>
      <c r="P268" s="5852"/>
      <c r="Q268" s="5853"/>
      <c r="R268" s="5853"/>
      <c r="S268" s="5853"/>
      <c r="T268" s="5853"/>
      <c r="U268" s="1728" t="str">
        <f>IF(OR(P264="",P268=""),"",MAX(1,SUMPRODUCT(--(INDEX('Tablas Técnicas'!$C$10:$L$644,,1)=P264),--(INDEX('Tablas Técnicas'!$C$10:$L$644,,2)=P268),INDEX('Tablas Técnicas'!$C$10:$L$644,,9))))</f>
        <v/>
      </c>
      <c r="V268" s="5852"/>
      <c r="W268" s="5853"/>
      <c r="X268" s="5853"/>
      <c r="Y268" s="5853"/>
      <c r="Z268" s="5853"/>
      <c r="AA268" s="1728" t="str">
        <f>IF(OR(V264="",V268=""),"",MAX(1,SUMPRODUCT(--(INDEX('Tablas Técnicas'!$C$10:$L$644,,1)=V264),--(INDEX('Tablas Técnicas'!$C$10:$L$644,,2)=V268),INDEX('Tablas Técnicas'!$C$10:$L$644,,9))))</f>
        <v/>
      </c>
      <c r="AB268" s="5852"/>
      <c r="AC268" s="5853"/>
      <c r="AD268" s="5853"/>
      <c r="AE268" s="5853"/>
      <c r="AF268" s="5853"/>
      <c r="AG268" s="1729" t="str">
        <f>IF(OR(AB264="",AB268=""),"",MAX(1,SUMPRODUCT(--(INDEX('Tablas Técnicas'!$C$10:$L$644,,1)=AB264),--(INDEX('Tablas Técnicas'!$C$10:$L$644,,2)=AB268),INDEX('Tablas Técnicas'!$C$10:$L$644,,9))))</f>
        <v/>
      </c>
      <c r="AH268" s="1943">
        <f>P251</f>
        <v>1</v>
      </c>
      <c r="AI268" s="6011"/>
      <c r="AJ268" s="3986" t="s">
        <v>8843</v>
      </c>
      <c r="AK268" s="3986"/>
      <c r="AL268" s="3986">
        <f>MAX(0,SUM(AT255:AT259)+ABS($AC260*2/5))+IF(AM277,0,Y260)+IF(S251="Sí",2*P251,0)</f>
        <v>0</v>
      </c>
      <c r="AM268" s="3986">
        <f t="array" ref="AM268">IF(ISNUMBER(SEARCH("Mantenido",K255&amp;K256&amp;K257&amp;K258&amp;K259)),MAX(0,SUM(VALUE(RIGHT($P255:$P259,2)))),0)</f>
        <v>0</v>
      </c>
      <c r="AN268" s="1868"/>
      <c r="AO268" s="1868"/>
      <c r="AP268" s="1815"/>
      <c r="AQ268" s="1815"/>
      <c r="AR268" s="1815"/>
      <c r="AS268" s="1815"/>
      <c r="AT268" s="1815"/>
      <c r="AU268" s="1815"/>
      <c r="AV268" s="1815"/>
      <c r="AW268" s="1815"/>
      <c r="AX268" s="1815"/>
      <c r="AY268" s="3986"/>
      <c r="AZ268" s="1868"/>
      <c r="BA268" s="1868"/>
      <c r="BB268" s="1868"/>
      <c r="BC268" s="1868"/>
      <c r="BD268" s="1868"/>
      <c r="BE268" s="1868"/>
      <c r="BF268" s="1868"/>
      <c r="BG268" s="1868"/>
      <c r="BH268" s="1868"/>
      <c r="BI268" s="1868"/>
      <c r="BJ268" s="1868"/>
      <c r="BK268" s="1868"/>
      <c r="BL268" s="1868"/>
      <c r="BM268" s="1868"/>
      <c r="BN268" s="1868"/>
      <c r="BO268" s="1868"/>
      <c r="BP268" s="1868"/>
      <c r="BQ268" s="1868"/>
      <c r="BR268" s="1868"/>
    </row>
    <row r="269" spans="1:70" ht="12.2" customHeight="1">
      <c r="A269" s="1935"/>
      <c r="B269" s="1866">
        <f t="shared" si="6"/>
        <v>8</v>
      </c>
      <c r="C269" s="6009"/>
      <c r="D269" s="5871"/>
      <c r="E269" s="5872"/>
      <c r="F269" s="5872"/>
      <c r="G269" s="5872"/>
      <c r="H269" s="5872"/>
      <c r="I269" s="1730" t="str">
        <f>IF(OR(D264="",D269=""),"",MAX(1,SUMPRODUCT(--(INDEX('Tablas Técnicas'!$C$10:$L$644,,1)=D264),--(INDEX('Tablas Técnicas'!$C$10:$L$644,,2)=D269),INDEX('Tablas Técnicas'!$C$10:$L$644,,9))))</f>
        <v/>
      </c>
      <c r="J269" s="5871"/>
      <c r="K269" s="5872"/>
      <c r="L269" s="5872"/>
      <c r="M269" s="5872"/>
      <c r="N269" s="5872"/>
      <c r="O269" s="1730" t="str">
        <f>IF(OR(J264="",J269=""),"",MAX(1,SUMPRODUCT(--(INDEX('Tablas Técnicas'!$C$10:$L$644,,1)=J264),--(INDEX('Tablas Técnicas'!$C$10:$L$644,,2)=J269),INDEX('Tablas Técnicas'!$C$10:$L$644,,9))))</f>
        <v/>
      </c>
      <c r="P269" s="5871"/>
      <c r="Q269" s="5872"/>
      <c r="R269" s="5872"/>
      <c r="S269" s="5872"/>
      <c r="T269" s="5872"/>
      <c r="U269" s="1730" t="str">
        <f>IF(OR(P264="",P269=""),"",MAX(1,SUMPRODUCT(--(INDEX('Tablas Técnicas'!$C$10:$L$644,,1)=P264),--(INDEX('Tablas Técnicas'!$C$10:$L$644,,2)=P269),INDEX('Tablas Técnicas'!$C$10:$L$644,,9))))</f>
        <v/>
      </c>
      <c r="V269" s="5871"/>
      <c r="W269" s="5872"/>
      <c r="X269" s="5872"/>
      <c r="Y269" s="5872"/>
      <c r="Z269" s="5872"/>
      <c r="AA269" s="1730" t="str">
        <f>IF(OR(V264="",V269=""),"",MAX(1,SUMPRODUCT(--(INDEX('Tablas Técnicas'!$C$10:$L$644,,1)=V264),--(INDEX('Tablas Técnicas'!$C$10:$L$644,,2)=V269),INDEX('Tablas Técnicas'!$C$10:$L$644,,9))))</f>
        <v/>
      </c>
      <c r="AB269" s="5871"/>
      <c r="AC269" s="5872"/>
      <c r="AD269" s="5872"/>
      <c r="AE269" s="5872"/>
      <c r="AF269" s="5872"/>
      <c r="AG269" s="1731" t="str">
        <f>IF(OR(AB264="",AB269=""),"",MAX(1,SUMPRODUCT(--(INDEX('Tablas Técnicas'!$C$10:$L$644,,1)=AB264),--(INDEX('Tablas Técnicas'!$C$10:$L$644,,2)=AB269),INDEX('Tablas Técnicas'!$C$10:$L$644,,9))))</f>
        <v/>
      </c>
      <c r="AH269" s="1943">
        <f>P251</f>
        <v>1</v>
      </c>
      <c r="AI269" s="6011"/>
      <c r="AJ269" s="3986" t="s">
        <v>8366</v>
      </c>
      <c r="AK269" s="3986"/>
      <c r="AL269" s="3986">
        <f>SUM(V255:V259,X255:X259,Z255:Z259,AB255:AB259,AD255:AD259,AF255:AF259)+SUM(V262:AG262)</f>
        <v>0</v>
      </c>
      <c r="AM269" s="3986">
        <f>SUM(W255:W259,Y255:Y259,AA255:AA259,AC255:AC259,AE255:AE259,AG255:AG259)</f>
        <v>0</v>
      </c>
      <c r="AN269" s="3986"/>
      <c r="AO269" s="3986"/>
      <c r="AP269" s="3986"/>
      <c r="AQ269" s="3986"/>
      <c r="AR269" s="3986"/>
      <c r="AS269" s="3986"/>
      <c r="AT269" s="3986"/>
      <c r="AU269" s="3986"/>
      <c r="AV269" s="3986"/>
      <c r="AW269" s="1868"/>
      <c r="AX269" s="3986"/>
      <c r="AY269" s="3986"/>
      <c r="AZ269" s="1868"/>
      <c r="BA269" s="1868"/>
      <c r="BB269" s="1868"/>
      <c r="BC269" s="1868"/>
      <c r="BD269" s="1868"/>
      <c r="BE269" s="1868"/>
      <c r="BF269" s="1868"/>
      <c r="BG269" s="1868"/>
      <c r="BH269" s="1868"/>
      <c r="BI269" s="1868"/>
      <c r="BJ269" s="1868"/>
      <c r="BK269" s="1868"/>
      <c r="BL269" s="1868"/>
      <c r="BM269" s="1868"/>
      <c r="BN269" s="1868"/>
      <c r="BO269" s="1868"/>
      <c r="BP269" s="1868"/>
      <c r="BQ269" s="1868"/>
      <c r="BR269" s="1868"/>
    </row>
    <row r="270" spans="1:70" ht="12.2" customHeight="1">
      <c r="A270" s="1935"/>
      <c r="B270" s="1866">
        <f t="shared" si="6"/>
        <v>8</v>
      </c>
      <c r="C270" s="6009"/>
      <c r="D270" s="5871"/>
      <c r="E270" s="5872"/>
      <c r="F270" s="5872"/>
      <c r="G270" s="5872"/>
      <c r="H270" s="5872"/>
      <c r="I270" s="1730" t="str">
        <f>IF(OR(D264="",D270=""),"",MAX(1,SUMPRODUCT(--(INDEX('Tablas Técnicas'!$C$10:$L$644,,1)=D264),--(INDEX('Tablas Técnicas'!$C$10:$L$644,,2)=D270),INDEX('Tablas Técnicas'!$C$10:$L$644,,9))))</f>
        <v/>
      </c>
      <c r="J270" s="5871"/>
      <c r="K270" s="5872"/>
      <c r="L270" s="5872"/>
      <c r="M270" s="5872"/>
      <c r="N270" s="5872"/>
      <c r="O270" s="1730" t="str">
        <f>IF(OR(J264="",J270=""),"",MAX(1,SUMPRODUCT(--(INDEX('Tablas Técnicas'!$C$10:$L$644,,1)=J264),--(INDEX('Tablas Técnicas'!$C$10:$L$644,,2)=J270),INDEX('Tablas Técnicas'!$C$10:$L$644,,9))))</f>
        <v/>
      </c>
      <c r="P270" s="5871"/>
      <c r="Q270" s="5872"/>
      <c r="R270" s="5872"/>
      <c r="S270" s="5872"/>
      <c r="T270" s="5872"/>
      <c r="U270" s="1730" t="str">
        <f>IF(OR(P264="",P270=""),"",MAX(1,SUMPRODUCT(--(INDEX('Tablas Técnicas'!$C$10:$L$644,,1)=P264),--(INDEX('Tablas Técnicas'!$C$10:$L$644,,2)=P270),INDEX('Tablas Técnicas'!$C$10:$L$644,,9))))</f>
        <v/>
      </c>
      <c r="V270" s="5871"/>
      <c r="W270" s="5872"/>
      <c r="X270" s="5872"/>
      <c r="Y270" s="5872"/>
      <c r="Z270" s="5872"/>
      <c r="AA270" s="1730" t="str">
        <f>IF(OR(V264="",V270=""),"",MAX(1,SUMPRODUCT(--(INDEX('Tablas Técnicas'!$C$10:$L$644,,1)=V264),--(INDEX('Tablas Técnicas'!$C$10:$L$644,,2)=V270),INDEX('Tablas Técnicas'!$C$10:$L$644,,9))))</f>
        <v/>
      </c>
      <c r="AB270" s="5871"/>
      <c r="AC270" s="5872"/>
      <c r="AD270" s="5872"/>
      <c r="AE270" s="5872"/>
      <c r="AF270" s="5872"/>
      <c r="AG270" s="1731" t="str">
        <f>IF(OR(AB264="",AB270=""),"",MAX(1,SUMPRODUCT(--(INDEX('Tablas Técnicas'!$C$10:$L$644,,1)=AB264),--(INDEX('Tablas Técnicas'!$C$10:$L$644,,2)=AB270),INDEX('Tablas Técnicas'!$C$10:$L$644,,9))))</f>
        <v/>
      </c>
      <c r="AH270" s="1943">
        <f>P251</f>
        <v>1</v>
      </c>
      <c r="AI270" s="6011"/>
      <c r="AJ270" s="3986"/>
      <c r="AK270" s="3986"/>
      <c r="AL270" s="3986"/>
      <c r="AM270" s="3986"/>
      <c r="AN270" s="3986"/>
      <c r="AO270" s="3986"/>
      <c r="AP270" s="3986"/>
      <c r="AQ270" s="3986"/>
      <c r="AR270" s="3986"/>
      <c r="AS270" s="3986"/>
      <c r="AT270" s="3986"/>
      <c r="AU270" s="3986"/>
      <c r="AV270" s="3986"/>
      <c r="AW270" s="1868"/>
      <c r="AX270" s="1868"/>
      <c r="AY270" s="3986"/>
      <c r="AZ270" s="1868"/>
      <c r="BA270" s="1868"/>
      <c r="BB270" s="1868"/>
      <c r="BC270" s="1868"/>
      <c r="BD270" s="1868"/>
      <c r="BE270" s="1868"/>
      <c r="BF270" s="1868"/>
      <c r="BG270" s="1868"/>
      <c r="BH270" s="1868"/>
      <c r="BI270" s="1868"/>
      <c r="BJ270" s="1868"/>
      <c r="BK270" s="1868"/>
      <c r="BL270" s="1868"/>
      <c r="BM270" s="1868"/>
      <c r="BN270" s="1868"/>
      <c r="BO270" s="1868"/>
      <c r="BP270" s="1868"/>
      <c r="BQ270" s="1868"/>
      <c r="BR270" s="1868"/>
    </row>
    <row r="271" spans="1:70" ht="12.2" customHeight="1">
      <c r="A271" s="1935"/>
      <c r="B271" s="1866">
        <f t="shared" si="6"/>
        <v>8</v>
      </c>
      <c r="C271" s="6009"/>
      <c r="D271" s="5871"/>
      <c r="E271" s="5872"/>
      <c r="F271" s="5872"/>
      <c r="G271" s="5872"/>
      <c r="H271" s="5872"/>
      <c r="I271" s="1730" t="str">
        <f>IF(OR(D264="",D271=""),"",MAX(1,SUMPRODUCT(--(INDEX('Tablas Técnicas'!$C$10:$L$644,,1)=D264),--(INDEX('Tablas Técnicas'!$C$10:$L$644,,2)=D271),INDEX('Tablas Técnicas'!$C$10:$L$644,,9))))</f>
        <v/>
      </c>
      <c r="J271" s="5871"/>
      <c r="K271" s="5872"/>
      <c r="L271" s="5872"/>
      <c r="M271" s="5872"/>
      <c r="N271" s="5872"/>
      <c r="O271" s="1730" t="str">
        <f>IF(OR(J264="",J271=""),"",MAX(1,SUMPRODUCT(--(INDEX('Tablas Técnicas'!$C$10:$L$644,,1)=J264),--(INDEX('Tablas Técnicas'!$C$10:$L$644,,2)=J271),INDEX('Tablas Técnicas'!$C$10:$L$644,,9))))</f>
        <v/>
      </c>
      <c r="P271" s="5871"/>
      <c r="Q271" s="5872"/>
      <c r="R271" s="5872"/>
      <c r="S271" s="5872"/>
      <c r="T271" s="5872"/>
      <c r="U271" s="1730" t="str">
        <f>IF(OR(P264="",P271=""),"",MAX(1,SUMPRODUCT(--(INDEX('Tablas Técnicas'!$C$10:$L$644,,1)=P264),--(INDEX('Tablas Técnicas'!$C$10:$L$644,,2)=P271),INDEX('Tablas Técnicas'!$C$10:$L$644,,9))))</f>
        <v/>
      </c>
      <c r="V271" s="5871"/>
      <c r="W271" s="5872"/>
      <c r="X271" s="5872"/>
      <c r="Y271" s="5872"/>
      <c r="Z271" s="5872"/>
      <c r="AA271" s="1730" t="str">
        <f>IF(OR(V264="",V271=""),"",MAX(1,SUMPRODUCT(--(INDEX('Tablas Técnicas'!$C$10:$L$644,,1)=V264),--(INDEX('Tablas Técnicas'!$C$10:$L$644,,2)=V271),INDEX('Tablas Técnicas'!$C$10:$L$644,,9))))</f>
        <v/>
      </c>
      <c r="AB271" s="5871"/>
      <c r="AC271" s="5872"/>
      <c r="AD271" s="5872"/>
      <c r="AE271" s="5872"/>
      <c r="AF271" s="5872"/>
      <c r="AG271" s="1731" t="str">
        <f>IF(OR(AB264="",AB271=""),"",MAX(1,SUMPRODUCT(--(INDEX('Tablas Técnicas'!$C$10:$L$644,,1)=AB264),--(INDEX('Tablas Técnicas'!$C$10:$L$644,,2)=AB271),INDEX('Tablas Técnicas'!$C$10:$L$644,,9))))</f>
        <v/>
      </c>
      <c r="AH271" s="1943">
        <f>P251</f>
        <v>1</v>
      </c>
      <c r="AI271" s="6011"/>
      <c r="AJ271" s="3986" t="s">
        <v>8367</v>
      </c>
      <c r="AK271" s="3986"/>
      <c r="AL271" s="3986"/>
      <c r="AM271" s="3986"/>
      <c r="AN271" s="3986"/>
      <c r="AO271" s="3986"/>
      <c r="AP271" s="3986"/>
      <c r="AQ271" s="3987"/>
      <c r="AR271" s="1868"/>
      <c r="AS271" s="1868"/>
      <c r="AT271" s="1868"/>
      <c r="AU271" s="1868"/>
      <c r="AV271" s="1868"/>
      <c r="AW271" s="1868"/>
      <c r="AX271" s="1868"/>
      <c r="AY271" s="3986"/>
      <c r="AZ271" s="1868"/>
      <c r="BA271" s="1868"/>
      <c r="BB271" s="1868"/>
      <c r="BC271" s="1868"/>
      <c r="BD271" s="1868"/>
      <c r="BE271" s="1868"/>
      <c r="BF271" s="1868"/>
      <c r="BG271" s="1868"/>
      <c r="BH271" s="1868"/>
      <c r="BI271" s="1868"/>
      <c r="BJ271" s="1868"/>
      <c r="BK271" s="1868"/>
      <c r="BL271" s="1868"/>
      <c r="BM271" s="1868"/>
      <c r="BN271" s="1868"/>
      <c r="BO271" s="1868"/>
      <c r="BP271" s="1868"/>
      <c r="BQ271" s="1868"/>
      <c r="BR271" s="1868"/>
    </row>
    <row r="272" spans="1:70" ht="12.2" customHeight="1">
      <c r="A272" s="1935"/>
      <c r="B272" s="1866">
        <f t="shared" si="6"/>
        <v>8</v>
      </c>
      <c r="C272" s="6009"/>
      <c r="D272" s="5871"/>
      <c r="E272" s="5872"/>
      <c r="F272" s="5872"/>
      <c r="G272" s="5872"/>
      <c r="H272" s="5872"/>
      <c r="I272" s="1730" t="str">
        <f>IF(OR(D264="",D272=""),"",MAX(1,SUMPRODUCT(--(INDEX('Tablas Técnicas'!$C$10:$L$644,,1)=D264),--(INDEX('Tablas Técnicas'!$C$10:$L$644,,2)=D272),INDEX('Tablas Técnicas'!$C$10:$L$644,,9))))</f>
        <v/>
      </c>
      <c r="J272" s="5871"/>
      <c r="K272" s="5872"/>
      <c r="L272" s="5872"/>
      <c r="M272" s="5872"/>
      <c r="N272" s="5872"/>
      <c r="O272" s="1730" t="str">
        <f>IF(OR(J264="",J272=""),"",MAX(1,SUMPRODUCT(--(INDEX('Tablas Técnicas'!$C$10:$L$644,,1)=J264),--(INDEX('Tablas Técnicas'!$C$10:$L$644,,2)=J272),INDEX('Tablas Técnicas'!$C$10:$L$644,,9))))</f>
        <v/>
      </c>
      <c r="P272" s="5871"/>
      <c r="Q272" s="5872"/>
      <c r="R272" s="5872"/>
      <c r="S272" s="5872"/>
      <c r="T272" s="5872"/>
      <c r="U272" s="1730" t="str">
        <f>IF(OR(P264="",P272=""),"",MAX(1,SUMPRODUCT(--(INDEX('Tablas Técnicas'!$C$10:$L$644,,1)=P264),--(INDEX('Tablas Técnicas'!$C$10:$L$644,,2)=P272),INDEX('Tablas Técnicas'!$C$10:$L$644,,9))))</f>
        <v/>
      </c>
      <c r="V272" s="5871"/>
      <c r="W272" s="5872"/>
      <c r="X272" s="5872"/>
      <c r="Y272" s="5872"/>
      <c r="Z272" s="5872"/>
      <c r="AA272" s="1730" t="str">
        <f>IF(OR(V264="",V272=""),"",MAX(1,SUMPRODUCT(--(INDEX('Tablas Técnicas'!$C$10:$L$644,,1)=V264),--(INDEX('Tablas Técnicas'!$C$10:$L$644,,2)=V272),INDEX('Tablas Técnicas'!$C$10:$L$644,,9))))</f>
        <v/>
      </c>
      <c r="AB272" s="5871"/>
      <c r="AC272" s="5872"/>
      <c r="AD272" s="5872"/>
      <c r="AE272" s="5872"/>
      <c r="AF272" s="5872"/>
      <c r="AG272" s="1731" t="str">
        <f>IF(OR(AB264="",AB272=""),"",MAX(1,SUMPRODUCT(--(INDEX('Tablas Técnicas'!$C$10:$L$644,,1)=AB264),--(INDEX('Tablas Técnicas'!$C$10:$L$644,,2)=AB272),INDEX('Tablas Técnicas'!$C$10:$L$644,,9))))</f>
        <v/>
      </c>
      <c r="AH272" s="1943">
        <f>P251</f>
        <v>1</v>
      </c>
      <c r="AI272" s="6011"/>
      <c r="AJ272" s="3986" t="s">
        <v>9502</v>
      </c>
      <c r="AK272" s="3986"/>
      <c r="AL272" s="3986"/>
      <c r="AM272" s="3986" t="b">
        <f>U251&gt;IF(P251=3,200,IF(P251=2,100,50))</f>
        <v>0</v>
      </c>
      <c r="AN272" s="3986"/>
      <c r="AO272" s="3986"/>
      <c r="AP272" s="3986"/>
      <c r="AQ272" s="3986"/>
      <c r="AR272" s="1868"/>
      <c r="AS272" s="1868"/>
      <c r="AT272" s="1868"/>
      <c r="AU272" s="1868"/>
      <c r="AV272" s="1868"/>
      <c r="AW272" s="1868"/>
      <c r="AX272" s="1868"/>
      <c r="AY272" s="3986"/>
      <c r="AZ272" s="1868"/>
      <c r="BA272" s="1868"/>
      <c r="BB272" s="1868"/>
      <c r="BC272" s="1868"/>
      <c r="BD272" s="1868"/>
      <c r="BE272" s="1868"/>
      <c r="BF272" s="1868"/>
      <c r="BG272" s="1868"/>
      <c r="BH272" s="1868"/>
      <c r="BI272" s="1868"/>
      <c r="BJ272" s="1868"/>
      <c r="BK272" s="1868"/>
      <c r="BL272" s="1868"/>
      <c r="BM272" s="1868"/>
      <c r="BN272" s="1868"/>
      <c r="BO272" s="1868"/>
      <c r="BP272" s="1868"/>
      <c r="BQ272" s="1868"/>
      <c r="BR272" s="1868"/>
    </row>
    <row r="273" spans="1:70" ht="12.2" customHeight="1">
      <c r="A273" s="1935"/>
      <c r="B273" s="1866">
        <f t="shared" si="6"/>
        <v>8</v>
      </c>
      <c r="C273" s="6009"/>
      <c r="D273" s="5871"/>
      <c r="E273" s="5872"/>
      <c r="F273" s="5872"/>
      <c r="G273" s="5872"/>
      <c r="H273" s="5872"/>
      <c r="I273" s="1730" t="str">
        <f>IF(OR(D264="",D273=""),"",MAX(1,SUMPRODUCT(--(INDEX('Tablas Técnicas'!$C$10:$L$644,,1)=D264),--(INDEX('Tablas Técnicas'!$C$10:$L$644,,2)=D273),INDEX('Tablas Técnicas'!$C$10:$L$644,,9))))</f>
        <v/>
      </c>
      <c r="J273" s="5871"/>
      <c r="K273" s="5872"/>
      <c r="L273" s="5872"/>
      <c r="M273" s="5872"/>
      <c r="N273" s="5872"/>
      <c r="O273" s="1730" t="str">
        <f>IF(OR(J264="",J273=""),"",MAX(1,SUMPRODUCT(--(INDEX('Tablas Técnicas'!$C$10:$L$644,,1)=J264),--(INDEX('Tablas Técnicas'!$C$10:$L$644,,2)=J273),INDEX('Tablas Técnicas'!$C$10:$L$644,,9))))</f>
        <v/>
      </c>
      <c r="P273" s="5871"/>
      <c r="Q273" s="5872"/>
      <c r="R273" s="5872"/>
      <c r="S273" s="5872"/>
      <c r="T273" s="5872"/>
      <c r="U273" s="1730" t="str">
        <f>IF(OR(P264="",P273=""),"",MAX(1,SUMPRODUCT(--(INDEX('Tablas Técnicas'!$C$10:$L$644,,1)=P264),--(INDEX('Tablas Técnicas'!$C$10:$L$644,,2)=P273),INDEX('Tablas Técnicas'!$C$10:$L$644,,9))))</f>
        <v/>
      </c>
      <c r="V273" s="5871"/>
      <c r="W273" s="5872"/>
      <c r="X273" s="5872"/>
      <c r="Y273" s="5872"/>
      <c r="Z273" s="5872"/>
      <c r="AA273" s="1730" t="str">
        <f>IF(OR(V264="",V273=""),"",MAX(1,SUMPRODUCT(--(INDEX('Tablas Técnicas'!$C$10:$L$644,,1)=V264),--(INDEX('Tablas Técnicas'!$C$10:$L$644,,2)=V273),INDEX('Tablas Técnicas'!$C$10:$L$644,,9))))</f>
        <v/>
      </c>
      <c r="AB273" s="5871"/>
      <c r="AC273" s="5872"/>
      <c r="AD273" s="5872"/>
      <c r="AE273" s="5872"/>
      <c r="AF273" s="5872"/>
      <c r="AG273" s="1731" t="str">
        <f>IF(OR(AB264="",AB273=""),"",MAX(1,SUMPRODUCT(--(INDEX('Tablas Técnicas'!$C$10:$L$644,,1)=AB264),--(INDEX('Tablas Técnicas'!$C$10:$L$644,,2)=AB273),INDEX('Tablas Técnicas'!$C$10:$L$644,,9))))</f>
        <v/>
      </c>
      <c r="AH273" s="1943">
        <f>P251</f>
        <v>1</v>
      </c>
      <c r="AI273" s="6011"/>
      <c r="AJ273" s="3986" t="s">
        <v>8368</v>
      </c>
      <c r="AK273" s="3986"/>
      <c r="AL273" s="3986"/>
      <c r="AM273" s="3986" t="b">
        <f t="array" ref="AM273">MAX(I268:I274,O268:O274,U268:U274,AA268:AA274,AG268:AG274,RIGHT(S260:S262,1))&gt;P251</f>
        <v>0</v>
      </c>
      <c r="AN273" s="3986"/>
      <c r="AO273" s="3986"/>
      <c r="AP273" s="3986"/>
      <c r="AQ273" s="3987"/>
      <c r="AR273" s="1868"/>
      <c r="AS273" s="1868"/>
      <c r="AT273" s="1868"/>
      <c r="AU273" s="1868"/>
      <c r="AV273" s="1868"/>
      <c r="AW273" s="1868"/>
      <c r="AX273" s="1868"/>
      <c r="AY273" s="3986"/>
      <c r="AZ273" s="1868"/>
      <c r="BA273" s="1868"/>
      <c r="BB273" s="1868"/>
      <c r="BC273" s="1868"/>
      <c r="BD273" s="1868"/>
      <c r="BE273" s="1868"/>
      <c r="BF273" s="1868"/>
      <c r="BG273" s="1868"/>
      <c r="BH273" s="1868"/>
      <c r="BI273" s="1868"/>
      <c r="BJ273" s="1868"/>
      <c r="BK273" s="1868"/>
      <c r="BL273" s="1868"/>
      <c r="BM273" s="1868"/>
      <c r="BN273" s="1868"/>
      <c r="BO273" s="1868"/>
      <c r="BP273" s="1868"/>
      <c r="BQ273" s="1868"/>
      <c r="BR273" s="1868"/>
    </row>
    <row r="274" spans="1:70" ht="12.2" customHeight="1">
      <c r="A274" s="1935"/>
      <c r="B274" s="1866">
        <f t="shared" si="6"/>
        <v>8</v>
      </c>
      <c r="C274" s="6009"/>
      <c r="D274" s="5926"/>
      <c r="E274" s="5927"/>
      <c r="F274" s="5927"/>
      <c r="G274" s="5927"/>
      <c r="H274" s="5927"/>
      <c r="I274" s="1732" t="str">
        <f>IF(OR(D264="",D274=""),"",MAX(1,SUMPRODUCT(--(INDEX('Tablas Técnicas'!$C$10:$L$644,,1)=D264),--(INDEX('Tablas Técnicas'!$C$10:$L$644,,2)=D274),INDEX('Tablas Técnicas'!$C$10:$L$644,,9))))</f>
        <v/>
      </c>
      <c r="J274" s="5926"/>
      <c r="K274" s="5927"/>
      <c r="L274" s="5927"/>
      <c r="M274" s="5927"/>
      <c r="N274" s="5927"/>
      <c r="O274" s="1732" t="str">
        <f>IF(OR(J264="",J274=""),"",MAX(1,SUMPRODUCT(--(INDEX('Tablas Técnicas'!$C$10:$L$644,,1)=J264),--(INDEX('Tablas Técnicas'!$C$10:$L$644,,2)=J274),INDEX('Tablas Técnicas'!$C$10:$L$644,,9))))</f>
        <v/>
      </c>
      <c r="P274" s="5926"/>
      <c r="Q274" s="5927"/>
      <c r="R274" s="5927"/>
      <c r="S274" s="5927"/>
      <c r="T274" s="5927"/>
      <c r="U274" s="1732" t="str">
        <f>IF(OR(P264="",P274=""),"",MAX(1,SUMPRODUCT(--(INDEX('Tablas Técnicas'!$C$10:$L$644,,1)=P264),--(INDEX('Tablas Técnicas'!$C$10:$L$644,,2)=P274),INDEX('Tablas Técnicas'!$C$10:$L$644,,9))))</f>
        <v/>
      </c>
      <c r="V274" s="5926"/>
      <c r="W274" s="5927"/>
      <c r="X274" s="5927"/>
      <c r="Y274" s="5927"/>
      <c r="Z274" s="5927"/>
      <c r="AA274" s="1732" t="str">
        <f>IF(OR(V264="",V274=""),"",MAX(1,SUMPRODUCT(--(INDEX('Tablas Técnicas'!$C$10:$L$644,,1)=V264),--(INDEX('Tablas Técnicas'!$C$10:$L$644,,2)=V274),INDEX('Tablas Técnicas'!$C$10:$L$644,,9))))</f>
        <v/>
      </c>
      <c r="AB274" s="5926"/>
      <c r="AC274" s="5927"/>
      <c r="AD274" s="5927"/>
      <c r="AE274" s="5927"/>
      <c r="AF274" s="5927"/>
      <c r="AG274" s="1733" t="str">
        <f>IF(OR(AB264="",AB274=""),"",MAX(1,SUMPRODUCT(--(INDEX('Tablas Técnicas'!$C$10:$L$644,,1)=AB264),--(INDEX('Tablas Técnicas'!$C$10:$L$644,,2)=AB274),INDEX('Tablas Técnicas'!$C$10:$L$644,,9))))</f>
        <v/>
      </c>
      <c r="AH274" s="1943">
        <f>P251</f>
        <v>1</v>
      </c>
      <c r="AI274" s="6011"/>
      <c r="AJ274" s="3986" t="s">
        <v>8860</v>
      </c>
      <c r="AK274" s="3986"/>
      <c r="AL274" s="3986"/>
      <c r="AM274" s="3986" t="b">
        <f>AND(COUNTIF(K255:M259,"Mantenido"),OR(COUNTIF(K255:M259,"Sostenimiento Menor"),COUNTIF(K255:M259,"Sostenimiento Mayor")))</f>
        <v>0</v>
      </c>
      <c r="AN274" s="3987"/>
      <c r="AO274" s="3986"/>
      <c r="AP274" s="3986"/>
      <c r="AQ274" s="3986"/>
      <c r="AR274" s="3986"/>
      <c r="AS274" s="3986"/>
      <c r="AT274" s="3986"/>
      <c r="AU274" s="1868"/>
      <c r="AV274" s="1868"/>
      <c r="AW274" s="1868"/>
      <c r="AX274" s="1868"/>
      <c r="AY274" s="3986"/>
      <c r="AZ274" s="1868"/>
      <c r="BA274" s="1868"/>
      <c r="BB274" s="1868"/>
      <c r="BC274" s="1868"/>
      <c r="BD274" s="1868"/>
      <c r="BE274" s="1868"/>
      <c r="BF274" s="1868"/>
      <c r="BG274" s="1868"/>
      <c r="BH274" s="1868"/>
      <c r="BI274" s="1868"/>
      <c r="BJ274" s="1868"/>
      <c r="BK274" s="1868"/>
      <c r="BL274" s="1868"/>
      <c r="BM274" s="1868"/>
      <c r="BN274" s="1868"/>
      <c r="BO274" s="1868"/>
      <c r="BP274" s="1868"/>
      <c r="BQ274" s="1868"/>
      <c r="BR274" s="1868"/>
    </row>
    <row r="275" spans="1:70" ht="12.2" customHeight="1">
      <c r="A275" s="1935"/>
      <c r="B275" s="1866">
        <f t="shared" si="6"/>
        <v>8</v>
      </c>
      <c r="C275" s="6009"/>
      <c r="D275" s="5873" t="s">
        <v>1408</v>
      </c>
      <c r="E275" s="5874"/>
      <c r="F275" s="5874"/>
      <c r="G275" s="5874"/>
      <c r="H275" s="5874"/>
      <c r="I275" s="5874"/>
      <c r="J275" s="5874"/>
      <c r="K275" s="5874"/>
      <c r="L275" s="5874"/>
      <c r="M275" s="5874"/>
      <c r="N275" s="5874"/>
      <c r="O275" s="5874"/>
      <c r="P275" s="5874"/>
      <c r="Q275" s="5874"/>
      <c r="R275" s="5874"/>
      <c r="S275" s="5874"/>
      <c r="T275" s="5874"/>
      <c r="U275" s="5874"/>
      <c r="V275" s="5874"/>
      <c r="W275" s="5874"/>
      <c r="X275" s="5874"/>
      <c r="Y275" s="5874"/>
      <c r="Z275" s="5874"/>
      <c r="AA275" s="5874"/>
      <c r="AB275" s="5874"/>
      <c r="AC275" s="5874"/>
      <c r="AD275" s="5874"/>
      <c r="AE275" s="5874"/>
      <c r="AF275" s="5874"/>
      <c r="AG275" s="5875"/>
      <c r="AH275" s="1943"/>
      <c r="AI275" s="6011"/>
      <c r="AJ275" s="3986" t="s">
        <v>8859</v>
      </c>
      <c r="AK275" s="3986"/>
      <c r="AL275" s="3986"/>
      <c r="AM275" s="398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986"/>
      <c r="AO275" s="3986"/>
      <c r="AP275" s="3986"/>
      <c r="AQ275" s="3987"/>
      <c r="AR275" s="3986"/>
      <c r="AS275" s="3986"/>
      <c r="AT275" s="3986"/>
      <c r="AU275" s="1868"/>
      <c r="AV275" s="1868"/>
      <c r="AW275" s="1868"/>
      <c r="AX275" s="1868"/>
      <c r="AY275" s="3986"/>
      <c r="AZ275" s="1868"/>
      <c r="BA275" s="1868"/>
      <c r="BB275" s="1868"/>
      <c r="BC275" s="1868"/>
      <c r="BD275" s="1868"/>
      <c r="BE275" s="1868"/>
      <c r="BF275" s="1868"/>
      <c r="BG275" s="1868"/>
      <c r="BH275" s="1868"/>
      <c r="BI275" s="1868"/>
      <c r="BJ275" s="1868"/>
      <c r="BK275" s="1868"/>
      <c r="BL275" s="1868"/>
      <c r="BM275" s="1868"/>
      <c r="BN275" s="1868"/>
      <c r="BO275" s="1868"/>
      <c r="BP275" s="1868"/>
      <c r="BQ275" s="1868"/>
      <c r="BR275" s="1868"/>
    </row>
    <row r="276" spans="1:70" ht="12.2" customHeight="1">
      <c r="A276" s="1935"/>
      <c r="B276" s="1866">
        <f t="shared" si="6"/>
        <v>8</v>
      </c>
      <c r="C276" s="6009"/>
      <c r="D276" s="5868"/>
      <c r="E276" s="5869"/>
      <c r="F276" s="5869"/>
      <c r="G276" s="5869"/>
      <c r="H276" s="5869"/>
      <c r="I276" s="5869"/>
      <c r="J276" s="5869"/>
      <c r="K276" s="5869"/>
      <c r="L276" s="5869"/>
      <c r="M276" s="5869"/>
      <c r="N276" s="5869"/>
      <c r="O276" s="5869"/>
      <c r="P276" s="5869"/>
      <c r="Q276" s="5869"/>
      <c r="R276" s="5869"/>
      <c r="S276" s="5869"/>
      <c r="T276" s="5869"/>
      <c r="U276" s="5869"/>
      <c r="V276" s="5869"/>
      <c r="W276" s="5869"/>
      <c r="X276" s="5869"/>
      <c r="Y276" s="5869"/>
      <c r="Z276" s="5869"/>
      <c r="AA276" s="5869"/>
      <c r="AB276" s="5869"/>
      <c r="AC276" s="5869"/>
      <c r="AD276" s="5869"/>
      <c r="AE276" s="5869"/>
      <c r="AF276" s="5869"/>
      <c r="AG276" s="5870"/>
      <c r="AH276" s="1943"/>
      <c r="AI276" s="6011"/>
      <c r="AJ276" s="3986" t="s">
        <v>8867</v>
      </c>
      <c r="AK276" s="3986"/>
      <c r="AL276" s="3986"/>
      <c r="AM276" s="398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986"/>
      <c r="AO276" s="3986"/>
      <c r="AP276" s="3986"/>
      <c r="AQ276" s="3987"/>
      <c r="AR276" s="3986"/>
      <c r="AS276" s="3986"/>
      <c r="AT276" s="3986"/>
      <c r="AU276" s="1868"/>
      <c r="AV276" s="1868"/>
      <c r="AW276" s="1868"/>
      <c r="AX276" s="1868"/>
      <c r="AY276" s="3986"/>
      <c r="AZ276" s="1868"/>
      <c r="BA276" s="1868"/>
      <c r="BB276" s="1868"/>
      <c r="BC276" s="1868"/>
      <c r="BD276" s="1868"/>
      <c r="BE276" s="1868"/>
      <c r="BF276" s="1868"/>
      <c r="BG276" s="1868"/>
      <c r="BH276" s="1868"/>
      <c r="BI276" s="1868"/>
      <c r="BJ276" s="1868"/>
      <c r="BK276" s="1868"/>
      <c r="BL276" s="1868"/>
      <c r="BM276" s="1868"/>
      <c r="BN276" s="1868"/>
      <c r="BO276" s="1868"/>
      <c r="BP276" s="1868"/>
      <c r="BQ276" s="1868"/>
      <c r="BR276" s="1868"/>
    </row>
    <row r="277" spans="1:70" ht="12.2" customHeight="1">
      <c r="A277" s="1935"/>
      <c r="B277" s="1866">
        <f t="shared" si="6"/>
        <v>8</v>
      </c>
      <c r="C277" s="6009"/>
      <c r="D277" s="5868"/>
      <c r="E277" s="5869"/>
      <c r="F277" s="5869"/>
      <c r="G277" s="5869"/>
      <c r="H277" s="5869"/>
      <c r="I277" s="5869"/>
      <c r="J277" s="5869"/>
      <c r="K277" s="5869"/>
      <c r="L277" s="5869"/>
      <c r="M277" s="5869"/>
      <c r="N277" s="5869"/>
      <c r="O277" s="5869"/>
      <c r="P277" s="5869"/>
      <c r="Q277" s="5869"/>
      <c r="R277" s="5869"/>
      <c r="S277" s="5869"/>
      <c r="T277" s="5869"/>
      <c r="U277" s="5869"/>
      <c r="V277" s="5869"/>
      <c r="W277" s="5869"/>
      <c r="X277" s="5869"/>
      <c r="Y277" s="5869"/>
      <c r="Z277" s="5869"/>
      <c r="AA277" s="5869"/>
      <c r="AB277" s="5869"/>
      <c r="AC277" s="5869"/>
      <c r="AD277" s="5869"/>
      <c r="AE277" s="5869"/>
      <c r="AF277" s="5869"/>
      <c r="AG277" s="5870"/>
      <c r="AH277" s="1943"/>
      <c r="AI277" s="6011"/>
      <c r="AJ277" s="3986" t="s">
        <v>8846</v>
      </c>
      <c r="AK277" s="3986"/>
      <c r="AL277" s="3986"/>
      <c r="AM277" s="3986" t="b">
        <f>AND((IF(SUM(V255:V259)&gt;0,1,0)+IF(SUM(X255:X259)&gt;0,1,0)+IF(SUM(Z255:Z259)&gt;0,1,0)+IF(SUM(AB255:AB259)&gt;0,1,0)+IF(SUM(AD255:AD259,)&gt;0,1,0)+IF(SUM(AF255:AF259)&gt;0,1,0))&lt;3,OR(V262&lt;0,X262&lt;0,Z262&lt;0,AB262&lt;0,AD262&lt;0,AF262&lt;0,Y260&lt;0))</f>
        <v>0</v>
      </c>
      <c r="AN277" s="3986"/>
      <c r="AO277" s="3986"/>
      <c r="AP277" s="3986"/>
      <c r="AQ277" s="3987"/>
      <c r="AR277" s="3986"/>
      <c r="AS277" s="3986"/>
      <c r="AT277" s="3986"/>
      <c r="AU277" s="1868"/>
      <c r="AV277" s="1868"/>
      <c r="AW277" s="1868"/>
      <c r="AX277" s="1868"/>
      <c r="AY277" s="3986"/>
      <c r="AZ277" s="1868"/>
      <c r="BA277" s="1868"/>
      <c r="BB277" s="1868"/>
      <c r="BC277" s="1868"/>
      <c r="BD277" s="1868"/>
      <c r="BE277" s="1868"/>
      <c r="BF277" s="1868"/>
      <c r="BG277" s="1868"/>
      <c r="BH277" s="1868"/>
      <c r="BI277" s="1868"/>
      <c r="BJ277" s="1868"/>
      <c r="BK277" s="1868"/>
      <c r="BL277" s="1868"/>
      <c r="BM277" s="1868"/>
      <c r="BN277" s="1868"/>
      <c r="BO277" s="1868"/>
      <c r="BP277" s="1868"/>
      <c r="BQ277" s="1868"/>
      <c r="BR277" s="1868"/>
    </row>
    <row r="278" spans="1:70" ht="12.2" customHeight="1">
      <c r="A278" s="1935"/>
      <c r="B278" s="1866">
        <f t="shared" si="6"/>
        <v>8</v>
      </c>
      <c r="C278" s="6009"/>
      <c r="D278" s="5868"/>
      <c r="E278" s="5869"/>
      <c r="F278" s="5869"/>
      <c r="G278" s="5869"/>
      <c r="H278" s="5869"/>
      <c r="I278" s="5869"/>
      <c r="J278" s="5869"/>
      <c r="K278" s="5869"/>
      <c r="L278" s="5869"/>
      <c r="M278" s="5869"/>
      <c r="N278" s="5869"/>
      <c r="O278" s="5869"/>
      <c r="P278" s="5869"/>
      <c r="Q278" s="5869"/>
      <c r="R278" s="5869"/>
      <c r="S278" s="5869"/>
      <c r="T278" s="5869"/>
      <c r="U278" s="5869"/>
      <c r="V278" s="5869"/>
      <c r="W278" s="5869"/>
      <c r="X278" s="5869"/>
      <c r="Y278" s="5869"/>
      <c r="Z278" s="5869"/>
      <c r="AA278" s="5869"/>
      <c r="AB278" s="5869"/>
      <c r="AC278" s="5869"/>
      <c r="AD278" s="5869"/>
      <c r="AE278" s="5869"/>
      <c r="AF278" s="5869"/>
      <c r="AG278" s="5870"/>
      <c r="AH278" s="1943"/>
      <c r="AI278" s="6011"/>
      <c r="AJ278" s="3986" t="s">
        <v>8861</v>
      </c>
      <c r="AK278" s="3986"/>
      <c r="AL278" s="3986"/>
      <c r="AM278" s="3986" t="b">
        <f>OR(-V262&gt;TRUNC(SUM(V255:V259)/2),-X262&gt;TRUNC(SUM(X255:X259)/2),-Z262&gt;TRUNC(SUM(Z255:Z259)/2),-AB262&gt;TRUNC(SUM(AB255:AB259)/2),-AD262&gt;TRUNC(SUM(AD255:AD259)/2),-AF262&gt;TRUNC(SUM(AF255:AF259)/2))</f>
        <v>0</v>
      </c>
      <c r="AN278" s="3986"/>
      <c r="AO278" s="3986"/>
      <c r="AP278" s="3986"/>
      <c r="AQ278" s="3987"/>
      <c r="AR278" s="3986"/>
      <c r="AS278" s="3986"/>
      <c r="AT278" s="3986"/>
      <c r="AU278" s="1868"/>
      <c r="AV278" s="1868"/>
      <c r="AW278" s="1868"/>
      <c r="AX278" s="1868"/>
      <c r="AY278" s="3986"/>
      <c r="AZ278" s="1868"/>
      <c r="BA278" s="1868"/>
      <c r="BB278" s="1868"/>
      <c r="BC278" s="1868"/>
      <c r="BD278" s="1868"/>
      <c r="BE278" s="1868"/>
      <c r="BF278" s="1868"/>
      <c r="BG278" s="1868"/>
      <c r="BH278" s="1868"/>
      <c r="BI278" s="1868"/>
      <c r="BJ278" s="1868"/>
      <c r="BK278" s="1868"/>
      <c r="BL278" s="1868"/>
      <c r="BM278" s="1868"/>
      <c r="BN278" s="1868"/>
      <c r="BO278" s="1868"/>
      <c r="BP278" s="1868"/>
      <c r="BQ278" s="1868"/>
      <c r="BR278" s="1868"/>
    </row>
    <row r="279" spans="1:70" ht="12.2" customHeight="1">
      <c r="A279" s="1935"/>
      <c r="B279" s="1866">
        <f t="shared" si="6"/>
        <v>8</v>
      </c>
      <c r="C279" s="6009"/>
      <c r="D279" s="5868"/>
      <c r="E279" s="5869"/>
      <c r="F279" s="5869"/>
      <c r="G279" s="5869"/>
      <c r="H279" s="5869"/>
      <c r="I279" s="5869"/>
      <c r="J279" s="5869"/>
      <c r="K279" s="5869"/>
      <c r="L279" s="5869"/>
      <c r="M279" s="5869"/>
      <c r="N279" s="5869"/>
      <c r="O279" s="5869"/>
      <c r="P279" s="5869"/>
      <c r="Q279" s="5869"/>
      <c r="R279" s="5869"/>
      <c r="S279" s="5869"/>
      <c r="T279" s="5869"/>
      <c r="U279" s="5869"/>
      <c r="V279" s="5869"/>
      <c r="W279" s="5869"/>
      <c r="X279" s="5869"/>
      <c r="Y279" s="5869"/>
      <c r="Z279" s="5869"/>
      <c r="AA279" s="5869"/>
      <c r="AB279" s="5869"/>
      <c r="AC279" s="5869"/>
      <c r="AD279" s="5869"/>
      <c r="AE279" s="5869"/>
      <c r="AF279" s="5869"/>
      <c r="AG279" s="5870"/>
      <c r="AH279" s="1943"/>
      <c r="AI279" s="6011"/>
      <c r="AJ279" s="3986" t="s">
        <v>8862</v>
      </c>
      <c r="AK279" s="3986"/>
      <c r="AL279" s="3986"/>
      <c r="AM279" s="3986" t="b">
        <f>COUNTIF(D255:E259,"Primario")&gt;1</f>
        <v>0</v>
      </c>
      <c r="AN279" s="3986"/>
      <c r="AO279" s="3986"/>
      <c r="AP279" s="3986"/>
      <c r="AQ279" s="3987"/>
      <c r="AR279" s="3987"/>
      <c r="AS279" s="3987"/>
      <c r="AT279" s="3987"/>
      <c r="AU279" s="1868"/>
      <c r="AV279" s="1868"/>
      <c r="AW279" s="1868"/>
      <c r="AX279" s="3986"/>
      <c r="AY279" s="3986"/>
      <c r="AZ279" s="1868"/>
      <c r="BA279" s="1868"/>
      <c r="BB279" s="1868"/>
      <c r="BC279" s="1868"/>
      <c r="BD279" s="1868"/>
      <c r="BE279" s="1868"/>
      <c r="BF279" s="1868"/>
      <c r="BG279" s="1868"/>
      <c r="BH279" s="1868"/>
      <c r="BI279" s="1868"/>
      <c r="BJ279" s="1868"/>
      <c r="BK279" s="1868"/>
      <c r="BL279" s="1868"/>
      <c r="BM279" s="1868"/>
      <c r="BN279" s="1868"/>
      <c r="BO279" s="1868"/>
      <c r="BP279" s="1868"/>
      <c r="BQ279" s="1868"/>
      <c r="BR279" s="1868"/>
    </row>
    <row r="280" spans="1:70" ht="12.2" customHeight="1">
      <c r="A280" s="1935"/>
      <c r="B280" s="1866">
        <f t="shared" si="6"/>
        <v>8</v>
      </c>
      <c r="C280" s="6009"/>
      <c r="D280" s="5868"/>
      <c r="E280" s="5869"/>
      <c r="F280" s="5869"/>
      <c r="G280" s="5869"/>
      <c r="H280" s="5869"/>
      <c r="I280" s="5869"/>
      <c r="J280" s="5869"/>
      <c r="K280" s="5869"/>
      <c r="L280" s="5869"/>
      <c r="M280" s="5869"/>
      <c r="N280" s="5869"/>
      <c r="O280" s="5869"/>
      <c r="P280" s="5869"/>
      <c r="Q280" s="5869"/>
      <c r="R280" s="5869"/>
      <c r="S280" s="5869"/>
      <c r="T280" s="5869"/>
      <c r="U280" s="5869"/>
      <c r="V280" s="5869"/>
      <c r="W280" s="5869"/>
      <c r="X280" s="5869"/>
      <c r="Y280" s="5869"/>
      <c r="Z280" s="5869"/>
      <c r="AA280" s="5869"/>
      <c r="AB280" s="5869"/>
      <c r="AC280" s="5869"/>
      <c r="AD280" s="5869"/>
      <c r="AE280" s="5869"/>
      <c r="AF280" s="5869"/>
      <c r="AG280" s="5870"/>
      <c r="AH280" s="1943"/>
      <c r="AI280" s="6011"/>
      <c r="AJ280" s="3986" t="s">
        <v>8845</v>
      </c>
      <c r="AK280" s="3986"/>
      <c r="AL280" s="3986"/>
      <c r="AM280" s="3986" t="b">
        <f>SUM(V262:AG262)&lt;&gt;Y260+ABS(AC260)*2/5+IF(S251="Sí",3*P251,0)</f>
        <v>0</v>
      </c>
      <c r="AN280" s="3986"/>
      <c r="AO280" s="3986"/>
      <c r="AP280" s="3986"/>
      <c r="AQ280" s="3987"/>
      <c r="AR280" s="3987"/>
      <c r="AS280" s="3987"/>
      <c r="AT280" s="3987"/>
      <c r="AU280" s="1868"/>
      <c r="AV280" s="1868"/>
      <c r="AW280" s="1868"/>
      <c r="AX280" s="3986"/>
      <c r="AY280" s="3986"/>
      <c r="AZ280" s="1868"/>
      <c r="BA280" s="1868"/>
      <c r="BB280" s="1868"/>
      <c r="BC280" s="1868"/>
      <c r="BD280" s="1868"/>
      <c r="BE280" s="1868"/>
      <c r="BF280" s="1868"/>
      <c r="BG280" s="1868"/>
      <c r="BH280" s="1868"/>
      <c r="BI280" s="1868"/>
      <c r="BJ280" s="1868"/>
      <c r="BK280" s="1868"/>
      <c r="BL280" s="1868"/>
      <c r="BM280" s="1868"/>
      <c r="BN280" s="1868"/>
      <c r="BO280" s="1868"/>
      <c r="BP280" s="1868"/>
      <c r="BQ280" s="1868"/>
      <c r="BR280" s="1868"/>
    </row>
    <row r="281" spans="1:70" ht="12.2" customHeight="1">
      <c r="A281" s="1935"/>
      <c r="B281" s="1866">
        <f t="shared" si="6"/>
        <v>8</v>
      </c>
      <c r="C281" s="6009"/>
      <c r="D281" s="5868"/>
      <c r="E281" s="5869"/>
      <c r="F281" s="5869"/>
      <c r="G281" s="5869"/>
      <c r="H281" s="5869"/>
      <c r="I281" s="5869"/>
      <c r="J281" s="5869"/>
      <c r="K281" s="5869"/>
      <c r="L281" s="5869"/>
      <c r="M281" s="5869"/>
      <c r="N281" s="5869"/>
      <c r="O281" s="5869"/>
      <c r="P281" s="5869"/>
      <c r="Q281" s="5869"/>
      <c r="R281" s="5869"/>
      <c r="S281" s="5869"/>
      <c r="T281" s="5869"/>
      <c r="U281" s="5869"/>
      <c r="V281" s="5869"/>
      <c r="W281" s="5869"/>
      <c r="X281" s="5869"/>
      <c r="Y281" s="5869"/>
      <c r="Z281" s="5869"/>
      <c r="AA281" s="5869"/>
      <c r="AB281" s="5869"/>
      <c r="AC281" s="5869"/>
      <c r="AD281" s="5869"/>
      <c r="AE281" s="5869"/>
      <c r="AF281" s="5869"/>
      <c r="AG281" s="5870"/>
      <c r="AH281" s="1943"/>
      <c r="AI281" s="6011"/>
      <c r="AJ281" s="3986" t="s">
        <v>8844</v>
      </c>
      <c r="AK281" s="3986"/>
      <c r="AL281" s="3986"/>
      <c r="AM281" s="3986" t="b">
        <f>AL268-AL269+AM268-AM269&lt;&gt;0</f>
        <v>0</v>
      </c>
      <c r="AN281" s="1868"/>
      <c r="AO281" s="1868"/>
      <c r="AP281" s="1868"/>
      <c r="AQ281" s="1868"/>
      <c r="AR281" s="3987"/>
      <c r="AS281" s="3987"/>
      <c r="AT281" s="3987"/>
      <c r="AU281" s="1868"/>
      <c r="AV281" s="1868"/>
      <c r="AW281" s="1868"/>
      <c r="AX281" s="3986"/>
      <c r="AY281" s="3986"/>
      <c r="AZ281" s="1868"/>
      <c r="BA281" s="1868"/>
      <c r="BB281" s="1868"/>
      <c r="BC281" s="1868"/>
      <c r="BD281" s="1868"/>
      <c r="BE281" s="1868"/>
      <c r="BF281" s="1868"/>
      <c r="BG281" s="1868"/>
      <c r="BH281" s="1868"/>
      <c r="BI281" s="1868"/>
      <c r="BJ281" s="1868"/>
      <c r="BK281" s="1868"/>
      <c r="BL281" s="1868"/>
      <c r="BM281" s="1868"/>
      <c r="BN281" s="1868"/>
      <c r="BO281" s="1868"/>
      <c r="BP281" s="1868"/>
      <c r="BQ281" s="1868"/>
      <c r="BR281" s="1868"/>
    </row>
    <row r="282" spans="1:70" ht="12.2" customHeight="1" thickBot="1">
      <c r="A282" s="1935"/>
      <c r="B282" s="1866"/>
      <c r="C282" s="6010"/>
      <c r="D282" s="601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6013"/>
      <c r="F282" s="6013"/>
      <c r="G282" s="6013"/>
      <c r="H282" s="6013"/>
      <c r="I282" s="6013"/>
      <c r="J282" s="6013"/>
      <c r="K282" s="6013"/>
      <c r="L282" s="6013"/>
      <c r="M282" s="6013"/>
      <c r="N282" s="6013"/>
      <c r="O282" s="6013"/>
      <c r="P282" s="6013"/>
      <c r="Q282" s="6013"/>
      <c r="R282" s="6013"/>
      <c r="S282" s="6013"/>
      <c r="T282" s="6013"/>
      <c r="U282" s="6013"/>
      <c r="V282" s="6013"/>
      <c r="W282" s="6013"/>
      <c r="X282" s="6013"/>
      <c r="Y282" s="6013"/>
      <c r="Z282" s="6013"/>
      <c r="AA282" s="6013"/>
      <c r="AB282" s="6013"/>
      <c r="AC282" s="6013"/>
      <c r="AD282" s="6013"/>
      <c r="AE282" s="6013"/>
      <c r="AF282" s="6013"/>
      <c r="AG282" s="6014"/>
      <c r="AH282" s="1943"/>
      <c r="AI282" s="6011"/>
      <c r="AJ282" s="3986" t="s">
        <v>8881</v>
      </c>
      <c r="AK282" s="1868"/>
      <c r="AL282" s="1868"/>
      <c r="AM282" s="1868" t="b">
        <f>ABS(SUM(N260:N262))&gt;(SUM(N255:N259)-10*Y260+AC260+IF(S251="Sí",10*P251,0)+IF(COUNTIF(K255:M259,"Mantenido")&gt;0,P251*10)+MAX(IF(COUNTIF(K255:M259,"Sostenimiento Menor")&gt;0,P251*20)+IF(COUNTIF(K255:M259,"Sostenimiento Mayor")&gt;0,P251*30)))/2</f>
        <v>0</v>
      </c>
      <c r="AN282" s="3986"/>
      <c r="AO282" s="3986"/>
      <c r="AP282" s="3986"/>
      <c r="AQ282" s="3986"/>
      <c r="AR282" s="3987"/>
      <c r="AS282" s="3987"/>
      <c r="AT282" s="3987"/>
      <c r="AU282" s="1868"/>
      <c r="AV282" s="1868"/>
      <c r="AW282" s="1868"/>
      <c r="AX282" s="3986"/>
      <c r="AY282" s="3986"/>
      <c r="AZ282" s="1868"/>
      <c r="BA282" s="1868"/>
      <c r="BB282" s="1868"/>
      <c r="BC282" s="1868"/>
      <c r="BD282" s="1868"/>
      <c r="BE282" s="1868"/>
      <c r="BF282" s="1868"/>
      <c r="BG282" s="1868"/>
      <c r="BH282" s="1868"/>
      <c r="BI282" s="1868"/>
      <c r="BJ282" s="1868"/>
      <c r="BK282" s="1868"/>
      <c r="BL282" s="1868"/>
      <c r="BM282" s="1868"/>
      <c r="BN282" s="1868"/>
      <c r="BO282" s="1868"/>
      <c r="BP282" s="1868"/>
      <c r="BQ282" s="1868"/>
      <c r="BR282" s="1868"/>
    </row>
    <row r="283" spans="1:70" ht="12.2" customHeight="1">
      <c r="A283" s="1935"/>
      <c r="B283" s="1866"/>
      <c r="C283" s="5935"/>
      <c r="D283" s="5935" t="str">
        <f>IFERROR(VLOOKUP(D264,'Tablas Técnicas'!$O$9:$T$88,2,FALSE),"")</f>
        <v/>
      </c>
      <c r="E283" s="5935"/>
      <c r="F283" s="5935"/>
      <c r="G283" s="5935"/>
      <c r="H283" s="5935"/>
      <c r="I283" s="5935"/>
      <c r="J283" s="5935" t="str">
        <f>IFERROR(VLOOKUP(J264,'Tablas Técnicas'!$O$9:$T$88,2,FALSE),"")</f>
        <v/>
      </c>
      <c r="K283" s="5935"/>
      <c r="L283" s="5935"/>
      <c r="M283" s="5935"/>
      <c r="N283" s="5935"/>
      <c r="O283" s="5935"/>
      <c r="P283" s="5935" t="str">
        <f>IFERROR(VLOOKUP(P264,'Tablas Técnicas'!$O$9:$T$88,2,FALSE),"")</f>
        <v/>
      </c>
      <c r="Q283" s="5935"/>
      <c r="R283" s="5935"/>
      <c r="S283" s="5935"/>
      <c r="T283" s="5935"/>
      <c r="U283" s="5935"/>
      <c r="V283" s="5935" t="str">
        <f>IFERROR(VLOOKUP(V264,'Tablas Técnicas'!$O$9:$T$88,2,FALSE),"")</f>
        <v/>
      </c>
      <c r="W283" s="5935"/>
      <c r="X283" s="5935"/>
      <c r="Y283" s="5935"/>
      <c r="Z283" s="5935"/>
      <c r="AA283" s="5935"/>
      <c r="AB283" s="5935" t="str">
        <f>IFERROR(VLOOKUP(AB264,'Tablas Técnicas'!$O$9:$T$88,2,FALSE),"")</f>
        <v/>
      </c>
      <c r="AC283" s="5935"/>
      <c r="AD283" s="5935"/>
      <c r="AE283" s="5935"/>
      <c r="AF283" s="5935"/>
      <c r="AG283" s="5935"/>
      <c r="AH283" s="1943"/>
      <c r="AI283" s="1712"/>
      <c r="AJ283" s="3986"/>
      <c r="AK283" s="3986"/>
      <c r="AL283" s="3986"/>
      <c r="AM283" s="3986"/>
      <c r="AN283" s="3986"/>
      <c r="AO283" s="3986"/>
      <c r="AP283" s="3986"/>
      <c r="AQ283" s="3986"/>
      <c r="AR283" s="3987"/>
      <c r="AS283" s="3987"/>
      <c r="AT283" s="3987"/>
      <c r="AU283" s="1868"/>
      <c r="AV283" s="1868"/>
      <c r="AW283" s="1868"/>
      <c r="AX283" s="1868"/>
      <c r="AY283" s="3986"/>
      <c r="AZ283" s="1868"/>
      <c r="BA283" s="1868"/>
      <c r="BB283" s="1868"/>
      <c r="BC283" s="1868"/>
      <c r="BD283" s="1868"/>
      <c r="BE283" s="1868"/>
      <c r="BF283" s="1868"/>
      <c r="BG283" s="1868"/>
      <c r="BH283" s="1868"/>
      <c r="BI283" s="1868"/>
      <c r="BJ283" s="1868"/>
      <c r="BK283" s="1868"/>
      <c r="BL283" s="1868"/>
      <c r="BM283" s="1868"/>
      <c r="BN283" s="1868"/>
      <c r="BO283" s="1868"/>
      <c r="BP283" s="1868"/>
      <c r="BQ283" s="1868"/>
      <c r="BR283" s="1868"/>
    </row>
    <row r="284" spans="1:70" ht="12.2" customHeight="1" thickBot="1">
      <c r="A284" s="1935"/>
      <c r="B284" s="1866"/>
      <c r="C284" s="5935"/>
      <c r="D284" s="2024"/>
      <c r="E284" s="1868"/>
      <c r="F284" s="1868"/>
      <c r="G284" s="1868"/>
      <c r="H284" s="1868"/>
      <c r="I284" s="1868"/>
      <c r="J284" s="1868"/>
      <c r="K284" s="1868"/>
      <c r="L284" s="1868"/>
      <c r="M284" s="1868"/>
      <c r="N284" s="1868"/>
      <c r="O284" s="1868"/>
      <c r="P284" s="1868"/>
      <c r="Q284" s="1868"/>
      <c r="R284" s="1868"/>
      <c r="S284" s="1868"/>
      <c r="T284" s="1868"/>
      <c r="U284" s="1868"/>
      <c r="V284" s="2025"/>
      <c r="W284" s="2025"/>
      <c r="X284" s="2025"/>
      <c r="Y284" s="2025"/>
      <c r="Z284" s="2025"/>
      <c r="AA284" s="2025"/>
      <c r="AB284" s="2025"/>
      <c r="AC284" s="2025"/>
      <c r="AD284" s="2025"/>
      <c r="AE284" s="2025"/>
      <c r="AF284" s="1868"/>
      <c r="AG284" s="1868"/>
      <c r="AH284" s="1943"/>
      <c r="AI284" s="1712"/>
      <c r="AJ284" s="3991"/>
      <c r="AK284" s="3991"/>
      <c r="AL284" s="3991"/>
      <c r="AM284" s="3991"/>
      <c r="AN284" s="3991"/>
      <c r="AO284" s="3991"/>
      <c r="AP284" s="3986"/>
      <c r="AQ284" s="3987"/>
      <c r="AR284" s="1868"/>
      <c r="AS284" s="1868"/>
      <c r="AT284" s="1868"/>
      <c r="AU284" s="1868"/>
      <c r="AV284" s="1868"/>
      <c r="AW284" s="1868"/>
      <c r="AX284" s="1868"/>
      <c r="AY284" s="3992"/>
      <c r="AZ284" s="1868"/>
      <c r="BA284" s="1868"/>
      <c r="BB284" s="1868"/>
      <c r="BC284" s="1868"/>
      <c r="BD284" s="1868"/>
      <c r="BE284" s="1868"/>
      <c r="BF284" s="1868"/>
      <c r="BG284" s="1868"/>
      <c r="BH284" s="1868"/>
      <c r="BI284" s="1868"/>
      <c r="BJ284" s="1868"/>
      <c r="BK284" s="1868"/>
      <c r="BL284" s="1868"/>
      <c r="BM284" s="1868"/>
      <c r="BN284" s="1868"/>
      <c r="BO284" s="1868"/>
      <c r="BP284" s="1868"/>
      <c r="BQ284" s="1868"/>
      <c r="BR284" s="1868"/>
    </row>
    <row r="285" spans="1:70" ht="12.2" customHeight="1">
      <c r="A285" s="1935"/>
      <c r="B285" s="1866">
        <f t="shared" ref="B285:B315" si="7">1+B251</f>
        <v>9</v>
      </c>
      <c r="C285" s="6008" t="str">
        <f>"Técnica "&amp;B285</f>
        <v>Técnica 9</v>
      </c>
      <c r="D285" s="5974" t="s">
        <v>8267</v>
      </c>
      <c r="E285" s="5975"/>
      <c r="F285" s="5975"/>
      <c r="G285" s="5975"/>
      <c r="H285" s="5975"/>
      <c r="I285" s="5975"/>
      <c r="J285" s="5975"/>
      <c r="K285" s="5975"/>
      <c r="L285" s="5975"/>
      <c r="M285" s="5975"/>
      <c r="N285" s="5976"/>
      <c r="O285" s="5971" t="s">
        <v>1186</v>
      </c>
      <c r="P285" s="5973">
        <v>1</v>
      </c>
      <c r="Q285" s="5916" t="s">
        <v>8350</v>
      </c>
      <c r="R285" s="5967"/>
      <c r="S285" s="5969" t="s">
        <v>1241</v>
      </c>
      <c r="T285" s="5917" t="s">
        <v>1365</v>
      </c>
      <c r="U285" s="5897">
        <f>MAX(IF(P285=3,60,IF(P285=2,40,20)),MIN(SUM(N289:N296)-10*Y294+AC294+IF(S285="Sí",10*P285,0)+IF(COUNTIF(K289:M293,"Mantenido")&gt;0,P285*10)+MAX(IF(COUNTIF(K323:M327,"Sostenimiento Menor"),20+IF(P319=2,0,10),IF(COUNTIF(K323:M327,"Sostenimiento Mayor"),30+IF(P319=2,0,10))))))</f>
        <v>20</v>
      </c>
      <c r="V285" s="5916" t="s">
        <v>8351</v>
      </c>
      <c r="W285" s="5917"/>
      <c r="X285" s="5920" t="str">
        <f>IFERROR(LEFT(AK301&amp;AL301&amp;AM301&amp;AN301&amp;AO301&amp;AP301,LEN(AK301&amp;AL301&amp;AM301&amp;AN301&amp;AO301&amp;AP301)-2),"")</f>
        <v/>
      </c>
      <c r="Y285" s="5920"/>
      <c r="Z285" s="5920"/>
      <c r="AA285" s="5920"/>
      <c r="AB285" s="5920"/>
      <c r="AC285" s="5920"/>
      <c r="AD285" s="5920"/>
      <c r="AE285" s="5920"/>
      <c r="AF285" s="5920"/>
      <c r="AG285" s="5921"/>
      <c r="AH285" s="1943"/>
      <c r="AI285" s="6011"/>
      <c r="AJ285" s="3989" t="s">
        <v>8878</v>
      </c>
      <c r="AK285" s="3989"/>
      <c r="AL285" s="3989"/>
      <c r="AM285" s="3989"/>
      <c r="AN285" s="3989"/>
      <c r="AO285" s="3989"/>
      <c r="AP285" s="3989"/>
      <c r="AQ285" s="3989"/>
      <c r="AR285" s="3989"/>
      <c r="AS285" s="3986"/>
      <c r="AT285" s="3986"/>
      <c r="AU285" s="3986"/>
      <c r="AV285" s="3986"/>
      <c r="AW285" s="1868"/>
      <c r="AX285" s="1868"/>
      <c r="AY285" s="3986"/>
      <c r="AZ285" s="1868"/>
      <c r="BA285" s="1868"/>
      <c r="BB285" s="1868"/>
      <c r="BC285" s="1868"/>
      <c r="BD285" s="1868"/>
      <c r="BE285" s="1868"/>
      <c r="BF285" s="1868"/>
      <c r="BG285" s="1868"/>
      <c r="BH285" s="1868"/>
      <c r="BI285" s="1868"/>
      <c r="BJ285" s="1868"/>
      <c r="BK285" s="1868"/>
      <c r="BL285" s="1868"/>
      <c r="BM285" s="1868"/>
      <c r="BN285" s="1868"/>
      <c r="BO285" s="1868"/>
      <c r="BP285" s="1868"/>
      <c r="BQ285" s="1868"/>
      <c r="BR285" s="1868"/>
    </row>
    <row r="286" spans="1:70" ht="12.2" customHeight="1">
      <c r="A286" s="1935"/>
      <c r="B286" s="1866">
        <f t="shared" si="7"/>
        <v>9</v>
      </c>
      <c r="C286" s="6009"/>
      <c r="D286" s="5977"/>
      <c r="E286" s="5978"/>
      <c r="F286" s="5978"/>
      <c r="G286" s="5978"/>
      <c r="H286" s="5978"/>
      <c r="I286" s="5978"/>
      <c r="J286" s="5978"/>
      <c r="K286" s="5978"/>
      <c r="L286" s="5978"/>
      <c r="M286" s="5978"/>
      <c r="N286" s="5979"/>
      <c r="O286" s="5972"/>
      <c r="P286" s="5970"/>
      <c r="Q286" s="5918"/>
      <c r="R286" s="5968"/>
      <c r="S286" s="5970"/>
      <c r="T286" s="5919"/>
      <c r="U286" s="5898"/>
      <c r="V286" s="5918"/>
      <c r="W286" s="5919"/>
      <c r="X286" s="5922"/>
      <c r="Y286" s="5922"/>
      <c r="Z286" s="5922"/>
      <c r="AA286" s="5922"/>
      <c r="AB286" s="5922"/>
      <c r="AC286" s="5922"/>
      <c r="AD286" s="5922"/>
      <c r="AE286" s="5922"/>
      <c r="AF286" s="5922"/>
      <c r="AG286" s="5923"/>
      <c r="AH286" s="1943"/>
      <c r="AI286" s="6011"/>
      <c r="AJ286" s="3989"/>
      <c r="AK286" s="3989" t="s">
        <v>8879</v>
      </c>
      <c r="AL286" s="3989" t="s">
        <v>12546</v>
      </c>
      <c r="AM286" s="3990"/>
      <c r="AN286" s="3990"/>
      <c r="AO286" s="3990"/>
      <c r="AP286" s="3990"/>
      <c r="AQ286" s="3990"/>
      <c r="AR286" s="3989"/>
      <c r="AS286" s="3986"/>
      <c r="AT286" s="3986"/>
      <c r="AU286" s="3986"/>
      <c r="AV286" s="3986"/>
      <c r="AW286" s="1868"/>
      <c r="AX286" s="5935" t="s">
        <v>8848</v>
      </c>
      <c r="AY286" s="5935"/>
      <c r="AZ286" s="1868"/>
      <c r="BA286" s="1868"/>
      <c r="BB286" s="1868"/>
      <c r="BC286" s="1868"/>
      <c r="BD286" s="1868"/>
      <c r="BE286" s="1868"/>
      <c r="BF286" s="1868"/>
      <c r="BG286" s="1868"/>
      <c r="BH286" s="1868"/>
      <c r="BI286" s="1868"/>
      <c r="BJ286" s="1868"/>
      <c r="BK286" s="1868"/>
      <c r="BL286" s="1868"/>
      <c r="BM286" s="1868"/>
      <c r="BN286" s="1868"/>
      <c r="BO286" s="1868"/>
      <c r="BP286" s="1868"/>
      <c r="BQ286" s="1868"/>
      <c r="BR286" s="1868"/>
    </row>
    <row r="287" spans="1:70" ht="12.2" customHeight="1">
      <c r="A287" s="1935"/>
      <c r="B287" s="1866">
        <f t="shared" si="7"/>
        <v>9</v>
      </c>
      <c r="C287" s="6009"/>
      <c r="D287" s="5873" t="s">
        <v>2662</v>
      </c>
      <c r="E287" s="5874"/>
      <c r="F287" s="5874"/>
      <c r="G287" s="5874"/>
      <c r="H287" s="5874"/>
      <c r="I287" s="5874"/>
      <c r="J287" s="5874"/>
      <c r="K287" s="5924" t="s">
        <v>9170</v>
      </c>
      <c r="L287" s="5924"/>
      <c r="M287" s="5924"/>
      <c r="N287" s="5874" t="s">
        <v>1359</v>
      </c>
      <c r="O287" s="5924" t="s">
        <v>2660</v>
      </c>
      <c r="P287" s="5924" t="s">
        <v>8352</v>
      </c>
      <c r="Q287" s="5874" t="s">
        <v>1224</v>
      </c>
      <c r="R287" s="5874"/>
      <c r="S287" s="5874"/>
      <c r="T287" s="5874"/>
      <c r="U287" s="5874"/>
      <c r="V287" s="5876" t="s">
        <v>1233</v>
      </c>
      <c r="W287" s="5855"/>
      <c r="X287" s="5876" t="s">
        <v>1357</v>
      </c>
      <c r="Y287" s="5980"/>
      <c r="Z287" s="5855" t="s">
        <v>1238</v>
      </c>
      <c r="AA287" s="5855"/>
      <c r="AB287" s="5876" t="s">
        <v>1243</v>
      </c>
      <c r="AC287" s="5980"/>
      <c r="AD287" s="5855" t="s">
        <v>1250</v>
      </c>
      <c r="AE287" s="5855"/>
      <c r="AF287" s="5876" t="s">
        <v>1251</v>
      </c>
      <c r="AG287" s="5856"/>
      <c r="AH287" s="1943"/>
      <c r="AI287" s="6011"/>
      <c r="AJ287" s="3986"/>
      <c r="AK287" s="3986"/>
      <c r="AL287" s="3986" t="s">
        <v>9149</v>
      </c>
      <c r="AM287" s="3986"/>
      <c r="AN287" s="3986"/>
      <c r="AO287" s="3986"/>
      <c r="AP287" s="3986"/>
      <c r="AQ287" s="3986"/>
      <c r="AR287" s="1868"/>
      <c r="AS287" s="1868" t="s">
        <v>8868</v>
      </c>
      <c r="AT287" s="1868" t="s">
        <v>8869</v>
      </c>
      <c r="AU287" s="3986" t="s">
        <v>8857</v>
      </c>
      <c r="AV287" s="3986" t="s">
        <v>8858</v>
      </c>
      <c r="AW287" s="1868" t="s">
        <v>1359</v>
      </c>
      <c r="AX287" s="1868" t="s">
        <v>8354</v>
      </c>
      <c r="AY287" s="3986" t="s">
        <v>8355</v>
      </c>
      <c r="AZ287" s="1868"/>
      <c r="BA287" s="1868"/>
      <c r="BB287" s="1868"/>
      <c r="BC287" s="1868"/>
      <c r="BD287" s="1868"/>
      <c r="BE287" s="1868"/>
      <c r="BF287" s="1868"/>
      <c r="BG287" s="1868"/>
      <c r="BH287" s="1868"/>
      <c r="BI287" s="1868"/>
      <c r="BJ287" s="1868"/>
      <c r="BK287" s="1868"/>
      <c r="BL287" s="1868"/>
      <c r="BM287" s="1868"/>
      <c r="BN287" s="1868"/>
      <c r="BO287" s="1868"/>
      <c r="BP287" s="1868"/>
      <c r="BQ287" s="1868"/>
      <c r="BR287" s="1868"/>
    </row>
    <row r="288" spans="1:70" ht="12.2" customHeight="1">
      <c r="A288" s="1935"/>
      <c r="B288" s="1866">
        <f t="shared" si="7"/>
        <v>9</v>
      </c>
      <c r="C288" s="6009"/>
      <c r="D288" s="6015"/>
      <c r="E288" s="6016"/>
      <c r="F288" s="6016"/>
      <c r="G288" s="6016"/>
      <c r="H288" s="6016"/>
      <c r="I288" s="6016"/>
      <c r="J288" s="6016"/>
      <c r="K288" s="6017"/>
      <c r="L288" s="6017"/>
      <c r="M288" s="6017"/>
      <c r="N288" s="5877"/>
      <c r="O288" s="6017"/>
      <c r="P288" s="5991"/>
      <c r="Q288" s="5877"/>
      <c r="R288" s="5877"/>
      <c r="S288" s="5877"/>
      <c r="T288" s="5877"/>
      <c r="U288" s="5877"/>
      <c r="V288" s="1870" t="s">
        <v>8847</v>
      </c>
      <c r="W288" s="1936" t="s">
        <v>2666</v>
      </c>
      <c r="X288" s="1870" t="s">
        <v>8847</v>
      </c>
      <c r="Y288" s="1936" t="s">
        <v>2666</v>
      </c>
      <c r="Z288" s="1870" t="s">
        <v>8847</v>
      </c>
      <c r="AA288" s="1936" t="s">
        <v>2666</v>
      </c>
      <c r="AB288" s="1870" t="s">
        <v>8847</v>
      </c>
      <c r="AC288" s="1936" t="s">
        <v>2666</v>
      </c>
      <c r="AD288" s="1870" t="s">
        <v>8847</v>
      </c>
      <c r="AE288" s="1936" t="s">
        <v>2666</v>
      </c>
      <c r="AF288" s="1870" t="s">
        <v>8847</v>
      </c>
      <c r="AG288" s="1719" t="s">
        <v>2666</v>
      </c>
      <c r="AH288" s="1943"/>
      <c r="AI288" s="6011"/>
      <c r="AJ288" s="3986"/>
      <c r="AK288" s="3986" t="s">
        <v>8849</v>
      </c>
      <c r="AL288" s="3986">
        <v>1</v>
      </c>
      <c r="AM288" s="3986">
        <v>2</v>
      </c>
      <c r="AN288" s="3986">
        <v>3</v>
      </c>
      <c r="AO288" s="3986">
        <v>4</v>
      </c>
      <c r="AP288" s="3986">
        <v>5</v>
      </c>
      <c r="AQ288" s="3986">
        <v>6</v>
      </c>
      <c r="AR288" s="3986">
        <v>7</v>
      </c>
      <c r="AS288" s="1868"/>
      <c r="AT288" s="3986" t="s">
        <v>8880</v>
      </c>
      <c r="AU288" s="1868"/>
      <c r="AV288" s="1868"/>
      <c r="AW288" s="1868" t="s">
        <v>8880</v>
      </c>
      <c r="AX288" s="1868"/>
      <c r="AY288" s="3986"/>
      <c r="AZ288" s="1868"/>
      <c r="BA288" s="1868"/>
      <c r="BB288" s="1868"/>
      <c r="BC288" s="1868"/>
      <c r="BD288" s="1868"/>
      <c r="BE288" s="1868"/>
      <c r="BF288" s="1868"/>
      <c r="BG288" s="1868"/>
      <c r="BH288" s="1868"/>
      <c r="BI288" s="1868"/>
      <c r="BJ288" s="1868"/>
      <c r="BK288" s="1868"/>
      <c r="BL288" s="1868"/>
      <c r="BM288" s="1868"/>
      <c r="BN288" s="1868"/>
      <c r="BO288" s="1868"/>
      <c r="BP288" s="1868"/>
      <c r="BQ288" s="1868"/>
      <c r="BR288" s="1868"/>
    </row>
    <row r="289" spans="1:70" ht="12.2" customHeight="1">
      <c r="A289" s="1935"/>
      <c r="B289" s="1866">
        <f t="shared" si="7"/>
        <v>9</v>
      </c>
      <c r="C289" s="6009"/>
      <c r="D289" s="5981" t="s">
        <v>8356</v>
      </c>
      <c r="E289" s="5982"/>
      <c r="F289" s="5929"/>
      <c r="G289" s="5930"/>
      <c r="H289" s="5930"/>
      <c r="I289" s="5930"/>
      <c r="J289" s="5931"/>
      <c r="K289" s="5932" t="s">
        <v>1315</v>
      </c>
      <c r="L289" s="5933"/>
      <c r="M289" s="5934"/>
      <c r="N289" s="1871">
        <f>IF(AW289&gt;0,IF(VLOOKUP(F289,'Tablas Técnicas'!$O$9:$X$88,10,0),MAX(5,AW289-5),AW289),0)</f>
        <v>0</v>
      </c>
      <c r="O289" s="1871" t="str">
        <f>AS289&amp;" / "&amp;AT289</f>
        <v>0 / 0</v>
      </c>
      <c r="P289" s="1871" t="str">
        <f t="array" ref="P289">W289+Y289+AA289+AC289+AE289+AG289&amp;" / "&amp;IF(K289&lt;&gt;"Mantenido",0,SUM(IF($AL289:$AR289='Tablas Técnicas'!$L$10:$L$644,'Tablas Técnicas'!$H$10:$H$644,0)))</f>
        <v>0 / 0</v>
      </c>
      <c r="Q289" s="5983" t="str">
        <f>IFERROR(VLOOKUP(F289,'Tablas Técnicas'!$O$9:$T$88,5,FALSE),"")</f>
        <v/>
      </c>
      <c r="R289" s="5983"/>
      <c r="S289" s="5983"/>
      <c r="T289" s="5983"/>
      <c r="U289" s="5983"/>
      <c r="V289" s="1822"/>
      <c r="W289" s="1823"/>
      <c r="X289" s="1822"/>
      <c r="Y289" s="1824"/>
      <c r="Z289" s="1825"/>
      <c r="AA289" s="1823"/>
      <c r="AB289" s="1822"/>
      <c r="AC289" s="1824"/>
      <c r="AD289" s="1825"/>
      <c r="AE289" s="1823"/>
      <c r="AF289" s="1822"/>
      <c r="AG289" s="1826"/>
      <c r="AH289" s="1943"/>
      <c r="AI289" s="6011"/>
      <c r="AJ289" s="3986">
        <v>1</v>
      </c>
      <c r="AK289" s="3986">
        <f>P285</f>
        <v>1</v>
      </c>
      <c r="AL289" s="3986" t="str">
        <f>IF(AND(ISNUMBER(MATCH($F289,'Tablas Técnicas'!$L$10:$L$644,0)),INDEX($D302:$D308,Tablas!A$1)="",COUNTIF(AM289:$AS289,$F289)=0),$F289,IF(INDEX($D302:$D308,Tablas!A$1)="","",$F289&amp;INDEX($D302:$D308,Tablas!A$1)))</f>
        <v/>
      </c>
      <c r="AM289" s="3986" t="str">
        <f>IF(AND(ISNUMBER(MATCH($F289,'Tablas Técnicas'!$L$10:$L$644,0)),INDEX($D302:$D308,Tablas!B$1)="",COUNTIF(AN289:$AS289,$F289)=0),$F289,IF(INDEX($D302:$D308,Tablas!B$1)="","",$F289&amp;INDEX($D302:$D308,Tablas!B$1)))</f>
        <v/>
      </c>
      <c r="AN289" s="3986" t="str">
        <f>IF(AND(ISNUMBER(MATCH($F289,'Tablas Técnicas'!$L$10:$L$644,0)),INDEX($D302:$D308,Tablas!C$1)="",COUNTIF(AO289:$AS289,$F289)=0),$F289,IF(INDEX($D302:$D308,Tablas!C$1)="","",$F289&amp;INDEX($D302:$D308,Tablas!C$1)))</f>
        <v/>
      </c>
      <c r="AO289" s="3986" t="str">
        <f>IF(AND(ISNUMBER(MATCH($F289,'Tablas Técnicas'!$L$10:$L$644,0)),INDEX($D302:$D308,Tablas!D$1)="",COUNTIF(AP289:$AS289,$F289)=0),$F289,IF(INDEX($D302:$D308,Tablas!D$1)="","",$F289&amp;INDEX($D302:$D308,Tablas!D$1)))</f>
        <v/>
      </c>
      <c r="AP289" s="3986" t="str">
        <f>IF(AND(ISNUMBER(MATCH($F289,'Tablas Técnicas'!$L$10:$L$644,0)),INDEX($D302:$D308,Tablas!E$1)="",COUNTIF(AQ289:$AS289,$F289)=0),$F289,IF(INDEX($D302:$D308,Tablas!E$1)="","",$F289&amp;INDEX($D302:$D308,Tablas!E$1)))</f>
        <v/>
      </c>
      <c r="AQ289" s="3986" t="str">
        <f>IF(AND(ISNUMBER(MATCH($F289,'Tablas Técnicas'!$L$10:$L$644,0)),INDEX($D302:$D308,Tablas!F$1)="",COUNTIF(AR289:$AS289,$F289)=0),$F289,IF(INDEX($D302:$D308,Tablas!F$1)="","",$F289&amp;INDEX($D302:$D308,Tablas!F$1)))</f>
        <v/>
      </c>
      <c r="AR289" s="3986" t="str">
        <f>IF(AND(ISNUMBER(MATCH($F289,'Tablas Técnicas'!$L$10:$L$644,0)),INDEX($D302:$D308,Tablas!G$1)="",COUNTIF(AS289:$AS289,$F289)=0),$F289,IF(INDEX($D302:$D308,Tablas!G$1)="","",$F289&amp;INDEX($D302:$D308,Tablas!G$1)))</f>
        <v/>
      </c>
      <c r="AS289" s="1868">
        <f>V289+X289+Z289+AB289+AD289+AF289</f>
        <v>0</v>
      </c>
      <c r="AT289" s="1868">
        <f t="array" ref="AT289">SUM(IF($AL289:$AR289='Tablas Técnicas'!$L$10:$L$644,IF(D289="Primario",'Tablas Técnicas'!$E$10:$E$644,'Tablas Técnicas'!$F$10:$F$644)+IF(K289="Sostenimiento menor",'Tablas Técnicas'!$I$10:$I$644,IF(K289="sostenimiento mayor",'Tablas Técnicas'!$J$10:$J$644,0)),0),0)+VALUE(RIGHT(P289,2))+AU289+AV289</f>
        <v>0</v>
      </c>
      <c r="AU289" s="186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1868">
        <f>(COUNTIF(AL289:AR289,"*Estado añadido:*")-1)*COUNTIF(AL289:AR289,"*Estado añadido:*")</f>
        <v>0</v>
      </c>
      <c r="AW289" s="1868">
        <f t="array" ref="AW289">SUM(IF($AL289:$AR289='Tablas Técnicas'!$L$10:$L$644,'Tablas Técnicas'!$G$10:$G$644,0))</f>
        <v>0</v>
      </c>
      <c r="AX289" s="398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986" t="str">
        <f>IFERROR(LEFT(AX289,LEN(AX289)-2)&amp;"), ","")</f>
        <v/>
      </c>
      <c r="AZ289" s="1868"/>
      <c r="BA289" s="1868"/>
      <c r="BB289" s="1868"/>
      <c r="BC289" s="1868"/>
      <c r="BD289" s="1868"/>
      <c r="BE289" s="1868"/>
      <c r="BF289" s="1868"/>
      <c r="BG289" s="1868"/>
      <c r="BH289" s="1868"/>
      <c r="BI289" s="1868"/>
      <c r="BJ289" s="1868"/>
      <c r="BK289" s="1868"/>
      <c r="BL289" s="1868"/>
      <c r="BM289" s="1868"/>
      <c r="BN289" s="1868"/>
      <c r="BO289" s="1868"/>
      <c r="BP289" s="1868"/>
      <c r="BQ289" s="1868"/>
      <c r="BR289" s="1868"/>
    </row>
    <row r="290" spans="1:70" ht="12.2" customHeight="1">
      <c r="A290" s="1935"/>
      <c r="B290" s="1866">
        <f t="shared" si="7"/>
        <v>9</v>
      </c>
      <c r="C290" s="6009"/>
      <c r="D290" s="5906" t="s">
        <v>483</v>
      </c>
      <c r="E290" s="5907"/>
      <c r="F290" s="5984"/>
      <c r="G290" s="5985"/>
      <c r="H290" s="5985"/>
      <c r="I290" s="5985"/>
      <c r="J290" s="5902"/>
      <c r="K290" s="5986" t="s">
        <v>1315</v>
      </c>
      <c r="L290" s="5987"/>
      <c r="M290" s="5988"/>
      <c r="N290" s="1716">
        <f>IF(AW290&gt;0,IF(VLOOKUP(F290,'Tablas Técnicas'!$O$9:$X$88,10,0),MAX(5,AW290-5),AW290),0)</f>
        <v>0</v>
      </c>
      <c r="O290" s="1716" t="str">
        <f>AS290&amp;" / "&amp;AT290</f>
        <v>0 / 0</v>
      </c>
      <c r="P290" s="1716" t="str">
        <f t="array" ref="P290">W290+Y290+AA290+AC290+AE290+AG290&amp;" / "&amp;IF(K290&lt;&gt;"Mantenido",0,SUM(IF($AL290:$AR290='Tablas Técnicas'!$L$10:$L$644,'Tablas Técnicas'!$H$10:$H$644,0)))</f>
        <v>0 / 0</v>
      </c>
      <c r="Q290" s="5908" t="str">
        <f>IFERROR(VLOOKUP(F290,'Tablas Técnicas'!$O$9:$T$88,5,FALSE),"")</f>
        <v/>
      </c>
      <c r="R290" s="5908"/>
      <c r="S290" s="5908"/>
      <c r="T290" s="5908"/>
      <c r="U290" s="5908"/>
      <c r="V290" s="1827"/>
      <c r="W290" s="1828"/>
      <c r="X290" s="1827"/>
      <c r="Y290" s="1829"/>
      <c r="Z290" s="1830"/>
      <c r="AA290" s="1828"/>
      <c r="AB290" s="1827"/>
      <c r="AC290" s="1829"/>
      <c r="AD290" s="1830"/>
      <c r="AE290" s="1828"/>
      <c r="AF290" s="1827"/>
      <c r="AG290" s="1831"/>
      <c r="AH290" s="1943"/>
      <c r="AI290" s="6011"/>
      <c r="AJ290" s="3986">
        <v>2</v>
      </c>
      <c r="AK290" s="3986">
        <f>P285</f>
        <v>1</v>
      </c>
      <c r="AL290" s="3986" t="str">
        <f>IF(AND(ISNUMBER(MATCH($F290,'Tablas Técnicas'!$L$10:$L$644,0)),INDEX($J302:$J308,Tablas!A$1)="",COUNTIF(AM290:$AS290,$F290)=0),$F290,IF(INDEX($J302:$J308,Tablas!A$1)="","",$F290&amp;INDEX($J302:$J308,Tablas!A$1)))</f>
        <v/>
      </c>
      <c r="AM290" s="3986" t="str">
        <f>IF(AND(ISNUMBER(MATCH($F290,'Tablas Técnicas'!$L$10:$L$644,0)),INDEX($J302:$J308,Tablas!B$1)="",COUNTIF(AN290:$AS290,$F290)=0),$F290,IF(INDEX($J302:$J308,Tablas!B$1)="","",$F290&amp;INDEX($J302:$J308,Tablas!B$1)))</f>
        <v/>
      </c>
      <c r="AN290" s="3986" t="str">
        <f>IF(AND(ISNUMBER(MATCH($F290,'Tablas Técnicas'!$L$10:$L$644,0)),INDEX($J302:$J308,Tablas!C$1)="",COUNTIF(AO290:$AS290,$F290)=0),$F290,IF(INDEX($J302:$J308,Tablas!C$1)="","",$F290&amp;INDEX($J302:$J308,Tablas!C$1)))</f>
        <v/>
      </c>
      <c r="AO290" s="3986" t="str">
        <f>IF(AND(ISNUMBER(MATCH($F290,'Tablas Técnicas'!$L$10:$L$644,0)),INDEX($J302:$J308,Tablas!D$1)="",COUNTIF(AP290:$AS290,$F290)=0),$F290,IF(INDEX($J302:$J308,Tablas!D$1)="","",$F290&amp;INDEX($J302:$J308,Tablas!D$1)))</f>
        <v/>
      </c>
      <c r="AP290" s="3986" t="str">
        <f>IF(AND(ISNUMBER(MATCH($F290,'Tablas Técnicas'!$L$10:$L$644,0)),INDEX($J302:$J308,Tablas!E$1)="",COUNTIF(AQ290:$AS290,$F290)=0),$F290,IF(INDEX($J302:$J308,Tablas!E$1)="","",$F290&amp;INDEX($J302:$J308,Tablas!E$1)))</f>
        <v/>
      </c>
      <c r="AQ290" s="3986" t="str">
        <f>IF(AND(ISNUMBER(MATCH($F290,'Tablas Técnicas'!$L$10:$L$644,0)),INDEX($J302:$J308,Tablas!F$1)="",COUNTIF(AR290:$AS290,$F290)=0),$F290,IF(INDEX($J302:$J308,Tablas!F$1)="","",$F290&amp;INDEX($J302:$J308,Tablas!F$1)))</f>
        <v/>
      </c>
      <c r="AR290" s="3986" t="str">
        <f>IF(AND(ISNUMBER(MATCH($F290,'Tablas Técnicas'!$L$10:$L$644,0)),INDEX($J302:$J308,Tablas!G$1)="",COUNTIF(AS290:$AS290,$F290)=0),$F290,IF(INDEX($J302:$J308,Tablas!G$1)="","",$F290&amp;INDEX($J302:$J308,Tablas!G$1)))</f>
        <v/>
      </c>
      <c r="AS290" s="1868">
        <f>V290+X290+Z290+AB290+AD290+AF290</f>
        <v>0</v>
      </c>
      <c r="AT290" s="1868">
        <f t="array" ref="AT290">SUM(IF($AL290:$AR290='Tablas Técnicas'!$L$10:$L$644,IF(D290="Primario",'Tablas Técnicas'!$E$10:$E$644,'Tablas Técnicas'!$F$10:$F$644)+IF(K290="Sostenimiento menor",'Tablas Técnicas'!$I$10:$I$644,IF(K290="sostenimiento mayor",'Tablas Técnicas'!$J$10:$J$644,0)),0),0)+VALUE(RIGHT(P290,2))+AU290+AV290</f>
        <v>0</v>
      </c>
      <c r="AU290" s="186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1868">
        <f>(COUNTIF(AL290:AR290,"*Estado añadido:*")-1)*COUNTIF(AL290:AR290,"*Estado añadido:*")</f>
        <v>0</v>
      </c>
      <c r="AW290" s="1868">
        <f t="array" ref="AW290">SUM(IF($AL290:$AR290='Tablas Técnicas'!$L$10:$L$644,'Tablas Técnicas'!$G$10:$G$644,0))</f>
        <v>0</v>
      </c>
      <c r="AX290" s="3986"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986" t="str">
        <f>IFERROR(LEFT(AX290,LEN(AX290)-2)&amp;"), ","")</f>
        <v/>
      </c>
      <c r="AZ290" s="1868"/>
      <c r="BA290" s="1868"/>
      <c r="BB290" s="1868"/>
      <c r="BC290" s="1868"/>
      <c r="BD290" s="1868"/>
      <c r="BE290" s="1868"/>
      <c r="BF290" s="1868"/>
      <c r="BG290" s="1868"/>
      <c r="BH290" s="1868"/>
      <c r="BI290" s="1868"/>
      <c r="BJ290" s="1868"/>
      <c r="BK290" s="1868"/>
      <c r="BL290" s="1868"/>
      <c r="BM290" s="1868"/>
      <c r="BN290" s="1868"/>
      <c r="BO290" s="1868"/>
      <c r="BP290" s="1868"/>
      <c r="BQ290" s="1868"/>
      <c r="BR290" s="1868"/>
    </row>
    <row r="291" spans="1:70" ht="12.2" customHeight="1">
      <c r="A291" s="1935"/>
      <c r="B291" s="1866">
        <f t="shared" si="7"/>
        <v>9</v>
      </c>
      <c r="C291" s="6009"/>
      <c r="D291" s="6000" t="s">
        <v>483</v>
      </c>
      <c r="E291" s="6001"/>
      <c r="F291" s="5899"/>
      <c r="G291" s="5900"/>
      <c r="H291" s="5900"/>
      <c r="I291" s="5900"/>
      <c r="J291" s="5901"/>
      <c r="K291" s="5997" t="s">
        <v>1315</v>
      </c>
      <c r="L291" s="5998"/>
      <c r="M291" s="5999"/>
      <c r="N291" s="1712">
        <f>IF(AW291&gt;0,IF(VLOOKUP(F291,'Tablas Técnicas'!$O$9:$X$88,10,0),MAX(5,AW291-5),AW291),0)</f>
        <v>0</v>
      </c>
      <c r="O291" s="1712" t="str">
        <f>AS291&amp;" / "&amp;AT291</f>
        <v>0 / 0</v>
      </c>
      <c r="P291" s="1712" t="str">
        <f t="array" ref="P291">W291+Y291+AA291+AC291+AE291+AG291&amp;" / "&amp;IF(K291&lt;&gt;"Mantenido",0,SUM(IF($AL291:$AR291='Tablas Técnicas'!$L$10:$L$644,'Tablas Técnicas'!$H$10:$H$644,0)))</f>
        <v>0 / 0</v>
      </c>
      <c r="Q291" s="6002" t="str">
        <f>IFERROR(VLOOKUP(F291,'Tablas Técnicas'!$O$9:$T$88,5,FALSE),"")</f>
        <v/>
      </c>
      <c r="R291" s="6002"/>
      <c r="S291" s="6002"/>
      <c r="T291" s="6002"/>
      <c r="U291" s="6002"/>
      <c r="V291" s="1832"/>
      <c r="W291" s="1833"/>
      <c r="X291" s="1832"/>
      <c r="Y291" s="1834"/>
      <c r="Z291" s="1835"/>
      <c r="AA291" s="1833"/>
      <c r="AB291" s="1832"/>
      <c r="AC291" s="1834"/>
      <c r="AD291" s="1835"/>
      <c r="AE291" s="1833"/>
      <c r="AF291" s="1832"/>
      <c r="AG291" s="1836"/>
      <c r="AH291" s="1943"/>
      <c r="AI291" s="6011"/>
      <c r="AJ291" s="3986">
        <v>3</v>
      </c>
      <c r="AK291" s="3986">
        <f>P285</f>
        <v>1</v>
      </c>
      <c r="AL291" s="3986" t="str">
        <f>IF(AND(ISNUMBER(MATCH($F291,'Tablas Técnicas'!$L$10:$L$644,0)),INDEX($P302:$P308,Tablas!A$1)="",COUNTIF(AM291:$AS291,$F291)=0),$F291,IF(INDEX($P302:$P308,Tablas!A$1)="","",$F291&amp;INDEX($P302:$P308,Tablas!A$1)))</f>
        <v/>
      </c>
      <c r="AM291" s="3986" t="str">
        <f>IF(AND(ISNUMBER(MATCH($F291,'Tablas Técnicas'!$L$10:$L$644,0)),INDEX($P302:$P308,Tablas!B$1)="",COUNTIF(AN291:$AS291,$F291)=0),$F291,IF(INDEX($P302:$P308,Tablas!B$1)="","",$F291&amp;INDEX($P302:$P308,Tablas!B$1)))</f>
        <v/>
      </c>
      <c r="AN291" s="3986" t="str">
        <f>IF(AND(ISNUMBER(MATCH($F291,'Tablas Técnicas'!$L$10:$L$644,0)),INDEX($P302:$P308,Tablas!C$1)="",COUNTIF(AO291:$AS291,$F291)=0),$F291,IF(INDEX($P302:$P308,Tablas!C$1)="","",$F291&amp;INDEX($P302:$P308,Tablas!C$1)))</f>
        <v/>
      </c>
      <c r="AO291" s="3986" t="str">
        <f>IF(AND(ISNUMBER(MATCH($F291,'Tablas Técnicas'!$L$10:$L$644,0)),INDEX($P302:$P308,Tablas!D$1)="",COUNTIF(AP291:$AS291,$F291)=0),$F291,IF(INDEX($P302:$P308,Tablas!D$1)="","",$F291&amp;INDEX($P302:$P308,Tablas!D$1)))</f>
        <v/>
      </c>
      <c r="AP291" s="3986" t="str">
        <f>IF(AND(ISNUMBER(MATCH($F291,'Tablas Técnicas'!$L$10:$L$644,0)),INDEX($P302:$P308,Tablas!E$1)="",COUNTIF(AQ291:$AS291,$F291)=0),$F291,IF(INDEX($P302:$P308,Tablas!E$1)="","",$F291&amp;INDEX($P302:$P308,Tablas!E$1)))</f>
        <v/>
      </c>
      <c r="AQ291" s="3986" t="str">
        <f>IF(AND(ISNUMBER(MATCH($F291,'Tablas Técnicas'!$L$10:$L$644,0)),INDEX($P302:$P308,Tablas!F$1)="",COUNTIF(AR291:$AS291,$F291)=0),$F291,IF(INDEX($P302:$P308,Tablas!F$1)="","",$F291&amp;INDEX($P302:$P308,Tablas!F$1)))</f>
        <v/>
      </c>
      <c r="AR291" s="3986" t="str">
        <f>IF(AND(ISNUMBER(MATCH($F291,'Tablas Técnicas'!$L$10:$L$644,0)),INDEX($P302:$P308,Tablas!G$1)="",COUNTIF(AS291:$AS291,$F291)=0),$F291,IF(INDEX($P302:$P308,Tablas!G$1)="","",$F291&amp;INDEX($P302:$P308,Tablas!G$1)))</f>
        <v/>
      </c>
      <c r="AS291" s="1868">
        <f>V291+X291+Z291+AB291+AD291+AF291</f>
        <v>0</v>
      </c>
      <c r="AT291" s="1868">
        <f t="array" ref="AT291">SUM(IF($AL291:$AR291='Tablas Técnicas'!$L$10:$L$644,IF(D291="Primario",'Tablas Técnicas'!$E$10:$E$644,'Tablas Técnicas'!$F$10:$F$644)+IF(K291="Sostenimiento menor",'Tablas Técnicas'!$I$10:$I$644,IF(K291="sostenimiento mayor",'Tablas Técnicas'!$J$10:$J$644,0)),0),0)+VALUE(RIGHT(P291,2))+AU291+AV291</f>
        <v>0</v>
      </c>
      <c r="AU291" s="186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1868">
        <f>(COUNTIF(AL291:AR291,"*Estado añadido:*")-1)*COUNTIF(AL291:AR291,"*Estado añadido:*")</f>
        <v>0</v>
      </c>
      <c r="AW291" s="1868">
        <f t="array" ref="AW291">SUM(IF($AL291:$AR291='Tablas Técnicas'!$L$10:$L$644,'Tablas Técnicas'!$G$10:$G$644,0))</f>
        <v>0</v>
      </c>
      <c r="AX291" s="3986"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986" t="str">
        <f>IFERROR(LEFT(AX291,LEN(AX291)-2)&amp;"), ","")</f>
        <v/>
      </c>
      <c r="AZ291" s="1868"/>
      <c r="BA291" s="1868"/>
      <c r="BB291" s="1868"/>
      <c r="BC291" s="1868"/>
      <c r="BD291" s="1868"/>
      <c r="BE291" s="1868"/>
      <c r="BF291" s="1868"/>
      <c r="BG291" s="1868"/>
      <c r="BH291" s="1868"/>
      <c r="BI291" s="1868"/>
      <c r="BJ291" s="1868"/>
      <c r="BK291" s="1868"/>
      <c r="BL291" s="1868"/>
      <c r="BM291" s="1868"/>
      <c r="BN291" s="1868"/>
      <c r="BO291" s="1868"/>
      <c r="BP291" s="1868"/>
      <c r="BQ291" s="1868"/>
      <c r="BR291" s="1868"/>
    </row>
    <row r="292" spans="1:70" ht="12.2" customHeight="1">
      <c r="A292" s="1935"/>
      <c r="B292" s="1866">
        <f t="shared" si="7"/>
        <v>9</v>
      </c>
      <c r="C292" s="6009"/>
      <c r="D292" s="5906" t="s">
        <v>483</v>
      </c>
      <c r="E292" s="5907"/>
      <c r="F292" s="5984"/>
      <c r="G292" s="5985"/>
      <c r="H292" s="5985"/>
      <c r="I292" s="5985"/>
      <c r="J292" s="5902"/>
      <c r="K292" s="5986" t="s">
        <v>1315</v>
      </c>
      <c r="L292" s="5987"/>
      <c r="M292" s="5988"/>
      <c r="N292" s="1716">
        <f>IF(AW292&gt;0,IF(VLOOKUP(F292,'Tablas Técnicas'!$O$9:$X$88,10,0),MAX(5,AW292-5),AW292),0)</f>
        <v>0</v>
      </c>
      <c r="O292" s="1716" t="str">
        <f>AS292&amp;" / "&amp;AT292</f>
        <v>0 / 0</v>
      </c>
      <c r="P292" s="1716" t="str">
        <f t="array" ref="P292">W292+Y292+AA292+AC292+AE292+AG292&amp;" / "&amp;IF(K292&lt;&gt;"Mantenido",0,SUM(IF($AL292:$AR292='Tablas Técnicas'!$L$10:$L$644,'Tablas Técnicas'!$H$10:$H$644,0)))</f>
        <v>0 / 0</v>
      </c>
      <c r="Q292" s="5908" t="str">
        <f>IFERROR(VLOOKUP(F292,'Tablas Técnicas'!$O$9:$T$88,5,FALSE),"")</f>
        <v/>
      </c>
      <c r="R292" s="5908"/>
      <c r="S292" s="5908"/>
      <c r="T292" s="5908"/>
      <c r="U292" s="5908"/>
      <c r="V292" s="1827"/>
      <c r="W292" s="1828"/>
      <c r="X292" s="1827"/>
      <c r="Y292" s="1829"/>
      <c r="Z292" s="1830"/>
      <c r="AA292" s="1828"/>
      <c r="AB292" s="1827"/>
      <c r="AC292" s="1829"/>
      <c r="AD292" s="1830"/>
      <c r="AE292" s="1828"/>
      <c r="AF292" s="1827"/>
      <c r="AG292" s="1831"/>
      <c r="AH292" s="1943"/>
      <c r="AI292" s="6011"/>
      <c r="AJ292" s="3986">
        <v>4</v>
      </c>
      <c r="AK292" s="3986">
        <f>P285</f>
        <v>1</v>
      </c>
      <c r="AL292" s="3986" t="str">
        <f>IF(AND(ISNUMBER(MATCH($F292,'Tablas Técnicas'!$L$10:$L$644,0)),INDEX($V302:$V308,Tablas!A$1)="",COUNTIF(AM292:$AS292,$F292)=0),$F292,IF(INDEX($V302:$V308,Tablas!A$1)="","",$F292&amp;INDEX($V302:$V308,Tablas!A$1)))</f>
        <v/>
      </c>
      <c r="AM292" s="3986" t="str">
        <f>IF(AND(ISNUMBER(MATCH($F292,'Tablas Técnicas'!$L$10:$L$644,0)),INDEX($V302:$V308,Tablas!B$1)="",COUNTIF(AN292:$AS292,$F292)=0),$F292,IF(INDEX($V302:$V308,Tablas!B$1)="","",$F292&amp;INDEX($V302:$V308,Tablas!B$1)))</f>
        <v/>
      </c>
      <c r="AN292" s="3986" t="str">
        <f>IF(AND(ISNUMBER(MATCH($F292,'Tablas Técnicas'!$L$10:$L$644,0)),INDEX($V302:$V308,Tablas!C$1)="",COUNTIF(AO292:$AS292,$F292)=0),$F292,IF(INDEX($V302:$V308,Tablas!C$1)="","",$F292&amp;INDEX($V302:$V308,Tablas!C$1)))</f>
        <v/>
      </c>
      <c r="AO292" s="3986" t="str">
        <f>IF(AND(ISNUMBER(MATCH($F292,'Tablas Técnicas'!$L$10:$L$644,0)),INDEX($V302:$V308,Tablas!D$1)="",COUNTIF(AP292:$AS292,$F292)=0),$F292,IF(INDEX($V302:$V308,Tablas!D$1)="","",$F292&amp;INDEX($V302:$V308,Tablas!D$1)))</f>
        <v/>
      </c>
      <c r="AP292" s="3986" t="str">
        <f>IF(AND(ISNUMBER(MATCH($F292,'Tablas Técnicas'!$L$10:$L$644,0)),INDEX($V302:$V308,Tablas!E$1)="",COUNTIF(AQ292:$AS292,$F292)=0),$F292,IF(INDEX($V302:$V308,Tablas!E$1)="","",$F292&amp;INDEX($V302:$V308,Tablas!E$1)))</f>
        <v/>
      </c>
      <c r="AQ292" s="3986" t="str">
        <f>IF(AND(ISNUMBER(MATCH($F292,'Tablas Técnicas'!$L$10:$L$644,0)),INDEX($V302:$V308,Tablas!F$1)="",COUNTIF(AR292:$AS292,$F292)=0),$F292,IF(INDEX($V302:$V308,Tablas!F$1)="","",$F292&amp;INDEX($V302:$V308,Tablas!F$1)))</f>
        <v/>
      </c>
      <c r="AR292" s="3986" t="str">
        <f>IF(AND(ISNUMBER(MATCH($F292,'Tablas Técnicas'!$L$10:$L$644,0)),INDEX($V302:$V308,Tablas!G$1)="",COUNTIF(AS292:$AS292,$F292)=0),$F292,IF(INDEX($V302:$V308,Tablas!G$1)="","",$F292&amp;INDEX($V302:$V308,Tablas!G$1)))</f>
        <v/>
      </c>
      <c r="AS292" s="1868">
        <f>V292+X292+Z292+AB292+AD292+AF292</f>
        <v>0</v>
      </c>
      <c r="AT292" s="1868">
        <f t="array" ref="AT292">SUM(IF($AL292:$AR292='Tablas Técnicas'!$L$10:$L$644,IF(D292="Primario",'Tablas Técnicas'!$E$10:$E$644,'Tablas Técnicas'!$F$10:$F$644)+IF(K292="Sostenimiento menor",'Tablas Técnicas'!$I$10:$I$644,IF(K292="sostenimiento mayor",'Tablas Técnicas'!$J$10:$J$644,0)),0),0)+VALUE(RIGHT(P292,2))+AU292+AV292</f>
        <v>0</v>
      </c>
      <c r="AU292" s="186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1868">
        <f>(COUNTIF(AL292:AR292,"*Estado añadido:*")-1)*COUNTIF(AL292:AR292,"*Estado añadido:*")</f>
        <v>0</v>
      </c>
      <c r="AW292" s="1868">
        <f t="array" ref="AW292">SUM(IF($AL292:$AR292='Tablas Técnicas'!$L$10:$L$644,'Tablas Técnicas'!$G$10:$G$644,0))</f>
        <v>0</v>
      </c>
      <c r="AX292" s="3986"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986" t="str">
        <f>IFERROR(LEFT(AX292,LEN(AX292)-2)&amp;"), ","")</f>
        <v/>
      </c>
      <c r="AZ292" s="1868"/>
      <c r="BA292" s="1868"/>
      <c r="BB292" s="1868"/>
      <c r="BC292" s="1868"/>
      <c r="BD292" s="1868"/>
      <c r="BE292" s="1868"/>
      <c r="BF292" s="1868"/>
      <c r="BG292" s="1868"/>
      <c r="BH292" s="1868"/>
      <c r="BI292" s="1868"/>
      <c r="BJ292" s="1868"/>
      <c r="BK292" s="1868"/>
      <c r="BL292" s="1868"/>
      <c r="BM292" s="1868"/>
      <c r="BN292" s="1868"/>
      <c r="BO292" s="1868"/>
      <c r="BP292" s="1868"/>
      <c r="BQ292" s="1868"/>
      <c r="BR292" s="1868"/>
    </row>
    <row r="293" spans="1:70" ht="12.2" customHeight="1" thickBot="1">
      <c r="A293" s="1935"/>
      <c r="B293" s="1866">
        <f t="shared" si="7"/>
        <v>9</v>
      </c>
      <c r="C293" s="6009"/>
      <c r="D293" s="5909" t="s">
        <v>483</v>
      </c>
      <c r="E293" s="5910"/>
      <c r="F293" s="6005"/>
      <c r="G293" s="6006"/>
      <c r="H293" s="6006"/>
      <c r="I293" s="6006"/>
      <c r="J293" s="6007"/>
      <c r="K293" s="5994" t="s">
        <v>1315</v>
      </c>
      <c r="L293" s="5995"/>
      <c r="M293" s="5996"/>
      <c r="N293" s="1937">
        <f>IF(AW293&gt;0,IF(VLOOKUP(F293,'Tablas Técnicas'!$O$9:$X$88,10,0),MAX(5,AW293-5),AW293),0)</f>
        <v>0</v>
      </c>
      <c r="O293" s="1937" t="str">
        <f>AS293&amp;" / "&amp;AT293</f>
        <v>0 / 0</v>
      </c>
      <c r="P293" s="1937" t="str">
        <f t="array" ref="P293">W293+Y293+AA293+AC293+AE293+AG293&amp;" / "&amp;IF(K293&lt;&gt;"Mantenido",0,SUM(IF($AL293:$AR293='Tablas Técnicas'!$L$10:$L$644,'Tablas Técnicas'!$H$10:$H$644,0)))</f>
        <v>0 / 0</v>
      </c>
      <c r="Q293" s="5960" t="str">
        <f>IFERROR(VLOOKUP(F293,'Tablas Técnicas'!$O$9:$T$88,5,FALSE),"")</f>
        <v/>
      </c>
      <c r="R293" s="5960"/>
      <c r="S293" s="5960"/>
      <c r="T293" s="5960"/>
      <c r="U293" s="5960"/>
      <c r="V293" s="1837"/>
      <c r="W293" s="1838"/>
      <c r="X293" s="1837"/>
      <c r="Y293" s="1839"/>
      <c r="Z293" s="1840"/>
      <c r="AA293" s="1838"/>
      <c r="AB293" s="1837"/>
      <c r="AC293" s="1839"/>
      <c r="AD293" s="1840"/>
      <c r="AE293" s="1838"/>
      <c r="AF293" s="1837"/>
      <c r="AG293" s="1841"/>
      <c r="AH293" s="1943"/>
      <c r="AI293" s="6011"/>
      <c r="AJ293" s="3986">
        <v>5</v>
      </c>
      <c r="AK293" s="3986">
        <f>P285</f>
        <v>1</v>
      </c>
      <c r="AL293" s="3986" t="str">
        <f>IF(AND(ISNUMBER(MATCH($F293,'Tablas Técnicas'!$L$10:$L$644,0)),INDEX($AB302:$AB308,Tablas!A$1)="",COUNTIF(AM293:$AS293,$F293)=0),$F293,IF(INDEX($AB302:$AB308,Tablas!A$1)="","",$F293&amp;INDEX($AB302:$AB308,Tablas!A$1)))</f>
        <v/>
      </c>
      <c r="AM293" s="3986" t="str">
        <f>IF(AND(ISNUMBER(MATCH($F293,'Tablas Técnicas'!$L$10:$L$644,0)),INDEX($AB302:$AB308,Tablas!B$1)="",COUNTIF(AN293:$AS293,$F293)=0),$F293,IF(INDEX($AB302:$AB308,Tablas!B$1)="","",$F293&amp;INDEX($AB302:$AB308,Tablas!B$1)))</f>
        <v/>
      </c>
      <c r="AN293" s="3986" t="str">
        <f>IF(AND(ISNUMBER(MATCH($F293,'Tablas Técnicas'!$L$10:$L$644,0)),INDEX($AB302:$AB308,Tablas!C$1)="",COUNTIF(AO293:$AS293,$F293)=0),$F293,IF(INDEX($AB302:$AB308,Tablas!C$1)="","",$F293&amp;INDEX($AB302:$AB308,Tablas!C$1)))</f>
        <v/>
      </c>
      <c r="AO293" s="3986" t="str">
        <f>IF(AND(ISNUMBER(MATCH($F293,'Tablas Técnicas'!$L$10:$L$644,0)),INDEX($AB302:$AB308,Tablas!D$1)="",COUNTIF(AP293:$AS293,$F293)=0),$F293,IF(INDEX($AB302:$AB308,Tablas!D$1)="","",$F293&amp;INDEX($AB302:$AB308,Tablas!D$1)))</f>
        <v/>
      </c>
      <c r="AP293" s="3986" t="str">
        <f>IF(AND(ISNUMBER(MATCH($F293,'Tablas Técnicas'!$L$10:$L$644,0)),INDEX($AB302:$AB308,Tablas!E$1)="",COUNTIF(AQ293:$AS293,$F293)=0),$F293,IF(INDEX($AB302:$AB308,Tablas!E$1)="","",$F293&amp;INDEX($AB302:$AB308,Tablas!E$1)))</f>
        <v/>
      </c>
      <c r="AQ293" s="3986" t="str">
        <f>IF(AND(ISNUMBER(MATCH($F293,'Tablas Técnicas'!$L$10:$L$644,0)),INDEX($AB302:$AB308,Tablas!F$1)="",COUNTIF(AR293:$AS293,$F293)=0),$F293,IF(INDEX($AB302:$AB308,Tablas!F$1)="","",$F293&amp;INDEX($AB302:$AB308,Tablas!F$1)))</f>
        <v/>
      </c>
      <c r="AR293" s="3986" t="str">
        <f>IF(AND(ISNUMBER(MATCH($F293,'Tablas Técnicas'!$L$10:$L$644,0)),INDEX($AB302:$AB308,Tablas!G$1)="",COUNTIF(AS293:$AS293,$F293)=0),$F293,IF(INDEX($AB302:$AB308,Tablas!G$1)="","",$F293&amp;INDEX($AB302:$AB308,Tablas!G$1)))</f>
        <v/>
      </c>
      <c r="AS293" s="1868">
        <f>V293+X293+Z293+AB293+AD293+AF293</f>
        <v>0</v>
      </c>
      <c r="AT293" s="1868">
        <f t="array" ref="AT293">SUM(IF($AL293:$AR293='Tablas Técnicas'!$L$10:$L$644,IF(D293="Primario",'Tablas Técnicas'!$E$10:$E$644,'Tablas Técnicas'!$F$10:$F$644)+IF(K293="Sostenimiento menor",'Tablas Técnicas'!$I$10:$I$644,IF(K293="sostenimiento mayor",'Tablas Técnicas'!$J$10:$J$644,0)),0),0)+VALUE(RIGHT(P293,2))+AU293+AV293</f>
        <v>0</v>
      </c>
      <c r="AU293" s="186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1868">
        <f>(COUNTIF(AL293:AR293,"*Estado añadido:*")-1)*COUNTIF(AL293:AR293,"*Estado añadido:*")</f>
        <v>0</v>
      </c>
      <c r="AW293" s="1868">
        <f t="array" ref="AW293">SUM(IF($AL293:$AR293='Tablas Técnicas'!$L$10:$L$644,'Tablas Técnicas'!$G$10:$G$644,0))</f>
        <v>0</v>
      </c>
      <c r="AX293" s="3986"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986" t="str">
        <f>IFERROR(LEFT(AX293,LEN(AX293)-2)&amp;"), ","")</f>
        <v/>
      </c>
      <c r="AZ293" s="1868"/>
      <c r="BA293" s="1868"/>
      <c r="BB293" s="1868"/>
      <c r="BC293" s="1868"/>
      <c r="BD293" s="1868"/>
      <c r="BE293" s="1868"/>
      <c r="BF293" s="1868"/>
      <c r="BG293" s="1868"/>
      <c r="BH293" s="1868"/>
      <c r="BI293" s="1868"/>
      <c r="BJ293" s="1868"/>
      <c r="BK293" s="1868"/>
      <c r="BL293" s="1868"/>
      <c r="BM293" s="1868"/>
      <c r="BN293" s="1868"/>
      <c r="BO293" s="1868"/>
      <c r="BP293" s="1868"/>
      <c r="BQ293" s="1868"/>
      <c r="BR293" s="1868"/>
    </row>
    <row r="294" spans="1:70" ht="12.2" customHeight="1">
      <c r="A294" s="1935"/>
      <c r="B294" s="1866">
        <f t="shared" si="7"/>
        <v>9</v>
      </c>
      <c r="C294" s="6009"/>
      <c r="D294" s="5961" t="s">
        <v>2657</v>
      </c>
      <c r="E294" s="5962"/>
      <c r="F294" s="5957"/>
      <c r="G294" s="5958"/>
      <c r="H294" s="5958"/>
      <c r="I294" s="5958"/>
      <c r="J294" s="5959"/>
      <c r="K294" s="5931"/>
      <c r="L294" s="5937"/>
      <c r="M294" s="5938"/>
      <c r="N294" s="4286" t="str">
        <f>IFERROR(INDEX('Tablas Técnicas'!$Q$152:$Q$267,MATCH(F294&amp;K294,'Tablas Técnicas'!$S$152:$S$267,0)),"")</f>
        <v/>
      </c>
      <c r="O294" s="5939"/>
      <c r="P294" s="5940"/>
      <c r="Q294" s="5941"/>
      <c r="R294" s="5940"/>
      <c r="S294" s="4287" t="str">
        <f>IFERROR("Nivel: "&amp;MAX(1,INDEX('Tablas Técnicas'!$R$152:$R$267,MATCH(F294&amp;K294,'Tablas Técnicas'!$S$152:$S$267,0))),"")</f>
        <v/>
      </c>
      <c r="T294" s="4288"/>
      <c r="U294" s="4289" t="str">
        <f>IFERROR("("&amp;VLOOKUP(F294,'Tablas Técnicas'!$O$117:$Q$146,3,FALSE)&amp;")","")</f>
        <v/>
      </c>
      <c r="V294" s="5857" t="s">
        <v>9159</v>
      </c>
      <c r="W294" s="5858"/>
      <c r="X294" s="5859"/>
      <c r="Y294" s="2046">
        <v>0</v>
      </c>
      <c r="Z294" s="5860" t="s">
        <v>8361</v>
      </c>
      <c r="AA294" s="5861"/>
      <c r="AB294" s="5862"/>
      <c r="AC294" s="2046">
        <v>0</v>
      </c>
      <c r="AD294" s="5894" t="str">
        <f>"Ki sin repartir: "&amp;AL302-AL303&amp;IF(AM302=0,""," ("&amp;AM302-AM303&amp;")")</f>
        <v>Ki sin repartir: 0</v>
      </c>
      <c r="AE294" s="5895"/>
      <c r="AF294" s="5895"/>
      <c r="AG294" s="5896"/>
      <c r="AH294" s="1943"/>
      <c r="AI294" s="6011"/>
      <c r="AJ294" s="3986">
        <v>1</v>
      </c>
      <c r="AK294" s="3986">
        <f>P285</f>
        <v>1</v>
      </c>
      <c r="AL294" s="3986" t="e">
        <f>VLOOKUP(F294,'Tablas Técnicas'!$O$117:$Q$146,2,FALSE)</f>
        <v>#N/A</v>
      </c>
      <c r="AM294" s="3986"/>
      <c r="AN294" s="3987"/>
      <c r="AO294" s="3986"/>
      <c r="AP294" s="3986"/>
      <c r="AQ294" s="3987"/>
      <c r="AR294" s="3986"/>
      <c r="AS294" s="3986"/>
      <c r="AT294" s="3986"/>
      <c r="AU294" s="3986"/>
      <c r="AV294" s="3986"/>
      <c r="AW294" s="1868"/>
      <c r="AX294" s="1868"/>
      <c r="AY294" s="3986" t="str">
        <f>IF(F294="","",F294&amp;IF(K294="",""," ("&amp;IF(F294="Atadura Elemental",O294&amp;IF(Q294="","",", "&amp;Q294),K294)&amp;")")&amp;", ")</f>
        <v/>
      </c>
      <c r="AZ294" s="1868"/>
      <c r="BA294" s="1868"/>
      <c r="BB294" s="1868"/>
      <c r="BC294" s="1868"/>
      <c r="BD294" s="1868"/>
      <c r="BE294" s="1868"/>
      <c r="BF294" s="1868"/>
      <c r="BG294" s="1868"/>
      <c r="BH294" s="1868"/>
      <c r="BI294" s="1868"/>
      <c r="BJ294" s="1868"/>
      <c r="BK294" s="1868"/>
      <c r="BL294" s="1868"/>
      <c r="BM294" s="1868"/>
      <c r="BN294" s="1868"/>
      <c r="BO294" s="1868"/>
      <c r="BP294" s="1868"/>
      <c r="BQ294" s="1868"/>
      <c r="BR294" s="1868"/>
    </row>
    <row r="295" spans="1:70" ht="12.2" customHeight="1">
      <c r="A295" s="1935"/>
      <c r="B295" s="1866">
        <f t="shared" si="7"/>
        <v>9</v>
      </c>
      <c r="C295" s="6009"/>
      <c r="D295" s="5963"/>
      <c r="E295" s="5964"/>
      <c r="F295" s="5942"/>
      <c r="G295" s="5943"/>
      <c r="H295" s="5943"/>
      <c r="I295" s="5943"/>
      <c r="J295" s="5944"/>
      <c r="K295" s="5902"/>
      <c r="L295" s="5903"/>
      <c r="M295" s="5904"/>
      <c r="N295" s="1720" t="str">
        <f>IFERROR(INDEX('Tablas Técnicas'!$Q$152:$Q$267,MATCH(F295&amp;K295,'Tablas Técnicas'!$S$152:$S$267,0)),"")</f>
        <v/>
      </c>
      <c r="O295" s="5945"/>
      <c r="P295" s="5946"/>
      <c r="Q295" s="5947"/>
      <c r="R295" s="5946"/>
      <c r="S295" s="1716" t="str">
        <f>IFERROR("Nivel: "&amp;MAX(1,INDEX('Tablas Técnicas'!$R$152:$R$267,MATCH(F295&amp;K295,'Tablas Técnicas'!$S$152:$S$267,0))),"")</f>
        <v/>
      </c>
      <c r="T295" s="2172"/>
      <c r="U295" s="1715" t="str">
        <f>IFERROR("("&amp;VLOOKUP(F295,'Tablas Técnicas'!$O$117:$Q$146,3,FALSE)&amp;")","")</f>
        <v/>
      </c>
      <c r="V295" s="5854" t="str">
        <f>"Mod. "&amp;V287</f>
        <v>Mod. AGI</v>
      </c>
      <c r="W295" s="5855"/>
      <c r="X295" s="5854" t="str">
        <f>"Mod. "&amp;X287</f>
        <v>Mod. CON</v>
      </c>
      <c r="Y295" s="5855"/>
      <c r="Z295" s="5854" t="str">
        <f>"Mod. "&amp;Z287</f>
        <v>Mod. DES</v>
      </c>
      <c r="AA295" s="5855"/>
      <c r="AB295" s="5854" t="str">
        <f>"Mod. "&amp;AB287</f>
        <v>Mod. FUE</v>
      </c>
      <c r="AC295" s="5855"/>
      <c r="AD295" s="5854" t="str">
        <f>"Mod. "&amp;AD287</f>
        <v>Mod. POD</v>
      </c>
      <c r="AE295" s="5855"/>
      <c r="AF295" s="5854" t="str">
        <f>"Mod. "&amp;AF287</f>
        <v>Mod. VOL</v>
      </c>
      <c r="AG295" s="5856"/>
      <c r="AH295" s="1943"/>
      <c r="AI295" s="6011"/>
      <c r="AJ295" s="3986">
        <v>2</v>
      </c>
      <c r="AK295" s="3986">
        <f>P285</f>
        <v>1</v>
      </c>
      <c r="AL295" s="3986" t="e">
        <f>VLOOKUP(F295,'Tablas Técnicas'!$O$117:$Q$146,2,FALSE)</f>
        <v>#N/A</v>
      </c>
      <c r="AM295" s="3986"/>
      <c r="AN295" s="3987"/>
      <c r="AO295" s="3986"/>
      <c r="AP295" s="3986"/>
      <c r="AQ295" s="3987"/>
      <c r="AR295" s="3986"/>
      <c r="AS295" s="3986"/>
      <c r="AT295" s="3986"/>
      <c r="AU295" s="3986"/>
      <c r="AV295" s="3986"/>
      <c r="AW295" s="1868"/>
      <c r="AX295" s="1868"/>
      <c r="AY295" s="3986" t="str">
        <f>IF(F295="","",F295&amp;IF(K295="",""," ("&amp;IF(F295="Atadura Elemental",O295&amp;IF(Q295="","",", "&amp;Q295),K295)&amp;")")&amp;", ")</f>
        <v/>
      </c>
      <c r="AZ295" s="1868"/>
      <c r="BA295" s="1868"/>
      <c r="BB295" s="1868"/>
      <c r="BC295" s="1868"/>
      <c r="BD295" s="1868"/>
      <c r="BE295" s="1868"/>
      <c r="BF295" s="1868"/>
      <c r="BG295" s="1868"/>
      <c r="BH295" s="1868"/>
      <c r="BI295" s="1868"/>
      <c r="BJ295" s="1868"/>
      <c r="BK295" s="1868"/>
      <c r="BL295" s="1868"/>
      <c r="BM295" s="1868"/>
      <c r="BN295" s="1868"/>
      <c r="BO295" s="1868"/>
      <c r="BP295" s="1868"/>
      <c r="BQ295" s="1868"/>
      <c r="BR295" s="1868"/>
    </row>
    <row r="296" spans="1:70" ht="12.2" customHeight="1" thickBot="1">
      <c r="A296" s="1935"/>
      <c r="B296" s="1866">
        <f t="shared" si="7"/>
        <v>9</v>
      </c>
      <c r="C296" s="6009"/>
      <c r="D296" s="5965"/>
      <c r="E296" s="5966"/>
      <c r="F296" s="5948"/>
      <c r="G296" s="5949"/>
      <c r="H296" s="5949"/>
      <c r="I296" s="5949"/>
      <c r="J296" s="5950"/>
      <c r="K296" s="5951"/>
      <c r="L296" s="5952"/>
      <c r="M296" s="5953"/>
      <c r="N296" s="4290" t="str">
        <f>IFERROR(INDEX('Tablas Técnicas'!$Q$152:$Q$267,MATCH(F296&amp;K296,'Tablas Técnicas'!$S$152:$S$267,0)),"")</f>
        <v/>
      </c>
      <c r="O296" s="5954"/>
      <c r="P296" s="5955"/>
      <c r="Q296" s="5956"/>
      <c r="R296" s="5955"/>
      <c r="S296" s="4291" t="str">
        <f>IFERROR("Nivel: "&amp;MAX(1,INDEX('Tablas Técnicas'!$R$152:$R$267,MATCH(F296&amp;K296,'Tablas Técnicas'!$S$152:$S$267,0))),"")</f>
        <v/>
      </c>
      <c r="T296" s="4292"/>
      <c r="U296" s="1807" t="str">
        <f>IFERROR("("&amp;VLOOKUP(F296,'Tablas Técnicas'!$O$117:$Q$146,3,FALSE)&amp;")","")</f>
        <v/>
      </c>
      <c r="V296" s="5864"/>
      <c r="W296" s="5863"/>
      <c r="X296" s="5863"/>
      <c r="Y296" s="5863"/>
      <c r="Z296" s="5863"/>
      <c r="AA296" s="5863"/>
      <c r="AB296" s="5863"/>
      <c r="AC296" s="5863"/>
      <c r="AD296" s="5863"/>
      <c r="AE296" s="5863"/>
      <c r="AF296" s="5863"/>
      <c r="AG296" s="5905"/>
      <c r="AH296" s="1943"/>
      <c r="AI296" s="6011"/>
      <c r="AJ296" s="3986">
        <v>3</v>
      </c>
      <c r="AK296" s="3986">
        <f>P285</f>
        <v>1</v>
      </c>
      <c r="AL296" s="3986" t="e">
        <f>VLOOKUP(F296,'Tablas Técnicas'!$O$117:$Q$146,2,FALSE)</f>
        <v>#N/A</v>
      </c>
      <c r="AM296" s="3986"/>
      <c r="AN296" s="3987"/>
      <c r="AO296" s="3986"/>
      <c r="AP296" s="3986"/>
      <c r="AQ296" s="3987"/>
      <c r="AR296" s="1868"/>
      <c r="AS296" s="1868"/>
      <c r="AT296" s="1868"/>
      <c r="AU296" s="1868"/>
      <c r="AV296" s="1868"/>
      <c r="AW296" s="1868"/>
      <c r="AX296" s="1868"/>
      <c r="AY296" s="3986" t="str">
        <f>IF(F296="","",F296&amp;IF(K296="",""," ("&amp;IF(F296="Atadura Elemental",O296&amp;IF(Q296="","",", "&amp;Q296),K296)&amp;")")&amp;", ")</f>
        <v/>
      </c>
      <c r="AZ296" s="1868"/>
      <c r="BA296" s="1868"/>
      <c r="BB296" s="1868"/>
      <c r="BC296" s="1868"/>
      <c r="BD296" s="1868"/>
      <c r="BE296" s="1868"/>
      <c r="BF296" s="1868"/>
      <c r="BG296" s="1868"/>
      <c r="BH296" s="1868"/>
      <c r="BI296" s="1868"/>
      <c r="BJ296" s="1868"/>
      <c r="BK296" s="1868"/>
      <c r="BL296" s="1868"/>
      <c r="BM296" s="1868"/>
      <c r="BN296" s="1868"/>
      <c r="BO296" s="1868"/>
      <c r="BP296" s="1868"/>
      <c r="BQ296" s="1868"/>
      <c r="BR296" s="1868"/>
    </row>
    <row r="297" spans="1:70" ht="12.2" customHeight="1">
      <c r="A297" s="1935"/>
      <c r="B297" s="1866">
        <f t="shared" si="7"/>
        <v>9</v>
      </c>
      <c r="C297" s="6009"/>
      <c r="D297" s="5873" t="s">
        <v>8842</v>
      </c>
      <c r="E297" s="5874"/>
      <c r="F297" s="5874"/>
      <c r="G297" s="5874"/>
      <c r="H297" s="5874"/>
      <c r="I297" s="5874"/>
      <c r="J297" s="5874"/>
      <c r="K297" s="5874"/>
      <c r="L297" s="5874"/>
      <c r="M297" s="5874"/>
      <c r="N297" s="5874"/>
      <c r="O297" s="5874"/>
      <c r="P297" s="5874"/>
      <c r="Q297" s="5874"/>
      <c r="R297" s="5874"/>
      <c r="S297" s="5874"/>
      <c r="T297" s="5874"/>
      <c r="U297" s="5874"/>
      <c r="V297" s="5877"/>
      <c r="W297" s="5877"/>
      <c r="X297" s="5877"/>
      <c r="Y297" s="5877"/>
      <c r="Z297" s="5877"/>
      <c r="AA297" s="5877"/>
      <c r="AB297" s="5877"/>
      <c r="AC297" s="5877"/>
      <c r="AD297" s="5877"/>
      <c r="AE297" s="5877"/>
      <c r="AF297" s="5877"/>
      <c r="AG297" s="5878"/>
      <c r="AH297" s="1943"/>
      <c r="AI297" s="6011"/>
      <c r="AJ297" s="3986"/>
      <c r="AK297" s="3986"/>
      <c r="AL297" s="3986"/>
      <c r="AM297" s="3986"/>
      <c r="AN297" s="3987" t="s">
        <v>8362</v>
      </c>
      <c r="AO297" s="3986" t="e">
        <f>LEFT(AY289&amp;AY290&amp;AY291&amp;AY292&amp;AY293,LEN(AY289&amp;AY290&amp;AY291&amp;AY292&amp;AY293)-2)</f>
        <v>#VALUE!</v>
      </c>
      <c r="AP297" s="3986"/>
      <c r="AQ297" s="3987"/>
      <c r="AR297" s="1868"/>
      <c r="AS297" s="1868"/>
      <c r="AT297" s="1868"/>
      <c r="AU297" s="3987"/>
      <c r="AV297" s="3987"/>
      <c r="AW297" s="1868"/>
      <c r="AX297" s="1868"/>
      <c r="AY297" s="3986"/>
      <c r="AZ297" s="1868"/>
      <c r="BA297" s="1868"/>
      <c r="BB297" s="1868"/>
      <c r="BC297" s="1868"/>
      <c r="BD297" s="1868"/>
      <c r="BE297" s="1868"/>
      <c r="BF297" s="1868"/>
      <c r="BG297" s="1868"/>
      <c r="BH297" s="1868"/>
      <c r="BI297" s="1868"/>
      <c r="BJ297" s="1868"/>
      <c r="BK297" s="1868"/>
      <c r="BL297" s="1868"/>
      <c r="BM297" s="1868"/>
      <c r="BN297" s="1868"/>
      <c r="BO297" s="1868"/>
      <c r="BP297" s="1868"/>
      <c r="BQ297" s="1868"/>
      <c r="BR297" s="1868"/>
    </row>
    <row r="298" spans="1:70" ht="12.2" customHeight="1">
      <c r="A298" s="1935"/>
      <c r="B298" s="1866">
        <f t="shared" si="7"/>
        <v>9</v>
      </c>
      <c r="C298" s="6009"/>
      <c r="D298" s="5865" t="str">
        <f>IF(F289="","",F289)</f>
        <v/>
      </c>
      <c r="E298" s="5866"/>
      <c r="F298" s="5866"/>
      <c r="G298" s="5866"/>
      <c r="H298" s="5866"/>
      <c r="I298" s="5867"/>
      <c r="J298" s="5865" t="str">
        <f>IF(F290="","",F290)</f>
        <v/>
      </c>
      <c r="K298" s="5866"/>
      <c r="L298" s="5866"/>
      <c r="M298" s="5866"/>
      <c r="N298" s="5866"/>
      <c r="O298" s="5867"/>
      <c r="P298" s="5866" t="str">
        <f>IF(F291="","",F291)</f>
        <v/>
      </c>
      <c r="Q298" s="5866"/>
      <c r="R298" s="5866"/>
      <c r="S298" s="5866"/>
      <c r="T298" s="5866"/>
      <c r="U298" s="5867"/>
      <c r="V298" s="5865" t="str">
        <f>IF(F292="","",F292)</f>
        <v/>
      </c>
      <c r="W298" s="5866"/>
      <c r="X298" s="5866"/>
      <c r="Y298" s="5866"/>
      <c r="Z298" s="5866"/>
      <c r="AA298" s="5867"/>
      <c r="AB298" s="5866" t="str">
        <f>IF(F293="","",F293)</f>
        <v/>
      </c>
      <c r="AC298" s="5866"/>
      <c r="AD298" s="5866"/>
      <c r="AE298" s="5866"/>
      <c r="AF298" s="5866"/>
      <c r="AG298" s="5928"/>
      <c r="AH298" s="1943"/>
      <c r="AI298" s="6011"/>
      <c r="AJ298" s="3986"/>
      <c r="AK298" s="3986"/>
      <c r="AL298" s="3986"/>
      <c r="AM298" s="3986"/>
      <c r="AN298" s="3987" t="s">
        <v>8363</v>
      </c>
      <c r="AO298" s="3986" t="e">
        <f>LEFT(AY294&amp;AY295&amp;AY296,LEN(AY294&amp;AY295&amp;AY296)-2)</f>
        <v>#VALUE!</v>
      </c>
      <c r="AP298" s="3986"/>
      <c r="AQ298" s="3987"/>
      <c r="AR298" s="1868"/>
      <c r="AS298" s="1868"/>
      <c r="AT298" s="1868"/>
      <c r="AU298" s="3987"/>
      <c r="AV298" s="3987"/>
      <c r="AW298" s="1868"/>
      <c r="AX298" s="1868"/>
      <c r="AY298" s="3986"/>
      <c r="AZ298" s="1868"/>
      <c r="BA298" s="1868"/>
      <c r="BB298" s="1868"/>
      <c r="BC298" s="1868"/>
      <c r="BD298" s="1868"/>
      <c r="BE298" s="1868"/>
      <c r="BF298" s="1868"/>
      <c r="BG298" s="1868"/>
      <c r="BH298" s="1868"/>
      <c r="BI298" s="1868"/>
      <c r="BJ298" s="1868"/>
      <c r="BK298" s="1868"/>
      <c r="BL298" s="1868"/>
      <c r="BM298" s="1868"/>
      <c r="BN298" s="1868"/>
      <c r="BO298" s="1868"/>
      <c r="BP298" s="1868"/>
      <c r="BQ298" s="1868"/>
      <c r="BR298" s="1868"/>
    </row>
    <row r="299" spans="1:70" ht="12.2" customHeight="1">
      <c r="A299" s="1935"/>
      <c r="B299" s="1866">
        <f t="shared" si="7"/>
        <v>9</v>
      </c>
      <c r="C299" s="6009"/>
      <c r="D299" s="1812" t="s">
        <v>1690</v>
      </c>
      <c r="E299" s="1712" t="str">
        <f>IFERROR(VLOOKUP(D298,'Tablas Técnicas'!$O$9:$T$88,3,FALSE),"")</f>
        <v/>
      </c>
      <c r="F299" s="1809"/>
      <c r="G299" s="1808"/>
      <c r="H299" s="1808" t="s">
        <v>1223</v>
      </c>
      <c r="I299" s="1712" t="str">
        <f>IFERROR(VLOOKUP(D298,'Tablas Técnicas'!$O$9:$T$88,4,FALSE),"")</f>
        <v/>
      </c>
      <c r="J299" s="1812" t="s">
        <v>1690</v>
      </c>
      <c r="K299" s="1712" t="str">
        <f>IFERROR(VLOOKUP(J298,'Tablas Técnicas'!$O$9:$T$88,3,FALSE),"")</f>
        <v/>
      </c>
      <c r="L299" s="1809"/>
      <c r="M299" s="1808"/>
      <c r="N299" s="1808" t="s">
        <v>1223</v>
      </c>
      <c r="O299" s="1721" t="str">
        <f>IFERROR(VLOOKUP(J298,'Tablas Técnicas'!$O$9:$T$88,4,FALSE),"")</f>
        <v/>
      </c>
      <c r="P299" s="1808" t="s">
        <v>1690</v>
      </c>
      <c r="Q299" s="1712" t="str">
        <f>IFERROR(VLOOKUP(P298,'Tablas Técnicas'!$O$9:$T$88,3,FALSE),"")</f>
        <v/>
      </c>
      <c r="R299" s="1809"/>
      <c r="S299" s="1808"/>
      <c r="T299" s="1808" t="s">
        <v>1223</v>
      </c>
      <c r="U299" s="1712" t="str">
        <f>IFERROR(VLOOKUP(P298,'Tablas Técnicas'!$O$9:$T$88,4,FALSE),"")</f>
        <v/>
      </c>
      <c r="V299" s="1812" t="s">
        <v>1690</v>
      </c>
      <c r="W299" s="1712" t="str">
        <f>IFERROR(VLOOKUP(V298,'Tablas Técnicas'!$O$9:$T$88,3,FALSE),"")</f>
        <v/>
      </c>
      <c r="X299" s="1809"/>
      <c r="Y299" s="1808"/>
      <c r="Z299" s="1808" t="s">
        <v>1223</v>
      </c>
      <c r="AA299" s="1721" t="str">
        <f>IFERROR(VLOOKUP(V298,'Tablas Técnicas'!$O$9:$T$88,4,FALSE),"")</f>
        <v/>
      </c>
      <c r="AB299" s="1808" t="s">
        <v>1690</v>
      </c>
      <c r="AC299" s="1712" t="str">
        <f>IFERROR(VLOOKUP(AB298,'Tablas Técnicas'!$O$9:$T$88,3,FALSE),"")</f>
        <v/>
      </c>
      <c r="AD299" s="1809"/>
      <c r="AE299" s="1808"/>
      <c r="AF299" s="1808" t="s">
        <v>1223</v>
      </c>
      <c r="AG299" s="1722" t="str">
        <f>IFERROR(VLOOKUP(AB298,'Tablas Técnicas'!$O$9:$T$88,4,FALSE),"")</f>
        <v/>
      </c>
      <c r="AH299" s="1943"/>
      <c r="AI299" s="6011"/>
      <c r="AJ299" s="3986"/>
      <c r="AK299" s="3986"/>
      <c r="AL299" s="3986"/>
      <c r="AM299" s="3986"/>
      <c r="AN299" s="3987"/>
      <c r="AO299" s="3986"/>
      <c r="AP299" s="3986"/>
      <c r="AQ299" s="3987"/>
      <c r="AR299" s="1868"/>
      <c r="AS299" s="1868"/>
      <c r="AT299" s="1868"/>
      <c r="AU299" s="1868"/>
      <c r="AV299" s="1868"/>
      <c r="AW299" s="1868"/>
      <c r="AX299" s="1868"/>
      <c r="AY299" s="3986"/>
      <c r="AZ299" s="1868"/>
      <c r="BA299" s="1868"/>
      <c r="BB299" s="1868"/>
      <c r="BC299" s="1868"/>
      <c r="BD299" s="1868"/>
      <c r="BE299" s="1868"/>
      <c r="BF299" s="1868"/>
      <c r="BG299" s="1868"/>
      <c r="BH299" s="1868"/>
      <c r="BI299" s="1868"/>
      <c r="BJ299" s="1868"/>
      <c r="BK299" s="1868"/>
      <c r="BL299" s="1868"/>
      <c r="BM299" s="1868"/>
      <c r="BN299" s="1868"/>
      <c r="BO299" s="1868"/>
      <c r="BP299" s="1868"/>
      <c r="BQ299" s="1868"/>
      <c r="BR299" s="1868"/>
    </row>
    <row r="300" spans="1:70" ht="12.2" customHeight="1">
      <c r="A300" s="1935"/>
      <c r="B300" s="1866">
        <f t="shared" si="7"/>
        <v>9</v>
      </c>
      <c r="C300" s="6009"/>
      <c r="D300" s="1813" t="s">
        <v>8364</v>
      </c>
      <c r="E300" s="1808"/>
      <c r="F300" s="1809"/>
      <c r="G300" s="1810"/>
      <c r="H300" s="1810"/>
      <c r="I300" s="1807" t="str">
        <f>IFERROR(IF(D298="Ataque Elemental",IF(NOT(ISNA(VLOOKUP(D302,'Tablas Técnicas'!$O$100:$O$105,1,0))),D302,"Variable"),VLOOKUP(D298,'Tablas Técnicas'!$O$9:$W$88,9,FALSE)),"")</f>
        <v/>
      </c>
      <c r="J300" s="1723" t="s">
        <v>8364</v>
      </c>
      <c r="K300" s="1938"/>
      <c r="L300" s="1939"/>
      <c r="M300" s="1940"/>
      <c r="N300" s="1940"/>
      <c r="O300" s="1724" t="str">
        <f>IFERROR(IF(J298="Ataque Elemental",IF(NOT(ISNA(VLOOKUP(J302,'Tablas Técnicas'!$O$100:$O$105,1,0))),J302,"Variable"),VLOOKUP(J298,'Tablas Técnicas'!$O$9:$W$88,9,FALSE)),"")</f>
        <v/>
      </c>
      <c r="P300" s="1941" t="s">
        <v>8364</v>
      </c>
      <c r="Q300" s="1938"/>
      <c r="R300" s="1939"/>
      <c r="S300" s="1940"/>
      <c r="T300" s="1940"/>
      <c r="U300" s="1807" t="str">
        <f>IFERROR(IF(P298="Ataque Elemental",IF(NOT(ISNA(VLOOKUP(P302,'Tablas Técnicas'!$O$100:$O$105,1,0))),P302,"Variable"),VLOOKUP(P298,'Tablas Técnicas'!$O$9:$W$88,9,FALSE)),"")</f>
        <v/>
      </c>
      <c r="V300" s="1723" t="s">
        <v>8364</v>
      </c>
      <c r="W300" s="1938"/>
      <c r="X300" s="1939"/>
      <c r="Y300" s="1940"/>
      <c r="Z300" s="1940"/>
      <c r="AA300" s="1724" t="str">
        <f>IFERROR(IF(V298="Ataque Elemental",IF(NOT(ISNA(VLOOKUP(V302,'Tablas Técnicas'!$O$100:$O$105,1,0))),V302,"Variable"),VLOOKUP(V298,'Tablas Técnicas'!$O$9:$W$88,9,FALSE)),"")</f>
        <v/>
      </c>
      <c r="AB300" s="1941" t="s">
        <v>8364</v>
      </c>
      <c r="AC300" s="1938"/>
      <c r="AD300" s="1939"/>
      <c r="AE300" s="1940"/>
      <c r="AF300" s="1940"/>
      <c r="AG300" s="1818" t="str">
        <f>IFERROR(IF(AB298="Ataque Elemental",IF(NOT(ISNA(VLOOKUP(AB302,'Tablas Técnicas'!$O$100:$O$105,1,0))),AB302,"Variable"),VLOOKUP(AB298,'Tablas Técnicas'!$O$9:$W$88,9,FALSE)),"")</f>
        <v/>
      </c>
      <c r="AH300" s="1943"/>
      <c r="AI300" s="6011"/>
      <c r="AJ300" s="3986"/>
      <c r="AK300" s="1868" t="s">
        <v>1233</v>
      </c>
      <c r="AL300" s="1868" t="s">
        <v>1357</v>
      </c>
      <c r="AM300" s="1868" t="s">
        <v>1238</v>
      </c>
      <c r="AN300" s="1868" t="s">
        <v>1243</v>
      </c>
      <c r="AO300" s="1868" t="s">
        <v>1250</v>
      </c>
      <c r="AP300" s="1868" t="s">
        <v>1251</v>
      </c>
      <c r="AQ300" s="3987"/>
      <c r="AR300" s="1868"/>
      <c r="AS300" s="1868"/>
      <c r="AT300" s="1868"/>
      <c r="AU300" s="1868"/>
      <c r="AV300" s="1868"/>
      <c r="AW300" s="1868"/>
      <c r="AX300" s="1868"/>
      <c r="AY300" s="3986"/>
      <c r="AZ300" s="1868"/>
      <c r="BA300" s="1868"/>
      <c r="BB300" s="1868"/>
      <c r="BC300" s="1868"/>
      <c r="BD300" s="1868"/>
      <c r="BE300" s="1868"/>
      <c r="BF300" s="1868"/>
      <c r="BG300" s="1868"/>
      <c r="BH300" s="1868"/>
      <c r="BI300" s="1868"/>
      <c r="BJ300" s="1868"/>
      <c r="BK300" s="1868"/>
      <c r="BL300" s="1868"/>
      <c r="BM300" s="1868"/>
      <c r="BN300" s="1868"/>
      <c r="BO300" s="1868"/>
      <c r="BP300" s="1868"/>
      <c r="BQ300" s="1868"/>
      <c r="BR300" s="1868"/>
    </row>
    <row r="301" spans="1:70" ht="12.2" customHeight="1">
      <c r="A301" s="1935"/>
      <c r="B301" s="1866">
        <f t="shared" si="7"/>
        <v>9</v>
      </c>
      <c r="C301" s="6009"/>
      <c r="D301" s="5865" t="s">
        <v>2665</v>
      </c>
      <c r="E301" s="5866"/>
      <c r="F301" s="5866"/>
      <c r="G301" s="5866"/>
      <c r="H301" s="5867"/>
      <c r="I301" s="1725" t="s">
        <v>1262</v>
      </c>
      <c r="J301" s="5865" t="s">
        <v>2665</v>
      </c>
      <c r="K301" s="5866"/>
      <c r="L301" s="5866"/>
      <c r="M301" s="5866"/>
      <c r="N301" s="5867"/>
      <c r="O301" s="1726" t="s">
        <v>1262</v>
      </c>
      <c r="P301" s="5865" t="s">
        <v>2665</v>
      </c>
      <c r="Q301" s="5866"/>
      <c r="R301" s="5866"/>
      <c r="S301" s="5866"/>
      <c r="T301" s="5867"/>
      <c r="U301" s="1726" t="s">
        <v>1262</v>
      </c>
      <c r="V301" s="5865"/>
      <c r="W301" s="5866"/>
      <c r="X301" s="5866"/>
      <c r="Y301" s="5866"/>
      <c r="Z301" s="5867"/>
      <c r="AA301" s="1726" t="s">
        <v>1262</v>
      </c>
      <c r="AB301" s="5865" t="s">
        <v>2665</v>
      </c>
      <c r="AC301" s="5866"/>
      <c r="AD301" s="5866"/>
      <c r="AE301" s="5866"/>
      <c r="AF301" s="5867"/>
      <c r="AG301" s="1727" t="s">
        <v>1262</v>
      </c>
      <c r="AH301" s="1943"/>
      <c r="AI301" s="6011"/>
      <c r="AJ301" s="3989" t="s">
        <v>8879</v>
      </c>
      <c r="AK301" s="3986" t="str">
        <f>IF(V287="","",IF(SUM(V289:V293)=0,"",V287&amp;" "&amp;SUM(V289:V293)+V296&amp;IF(SUM(W289:W293)=0,""," ("&amp;SUM(W289:W293)&amp;")")&amp;", "))</f>
        <v/>
      </c>
      <c r="AL301" s="3986" t="str">
        <f>IF(X287="","",IF(SUM(X289:X293)=0,"",X287&amp;" "&amp;SUM(X289:X293)+X296&amp;IF(SUM(Y289:Y293)=0,""," ("&amp;SUM(Y289:Y293)&amp;")")&amp;", "))</f>
        <v/>
      </c>
      <c r="AM301" s="3986" t="str">
        <f>IF(Z287="","",IF(SUM(Z289:Z293)=0,"",Z287&amp;" "&amp;SUM(Z289:Z293)+Z296&amp;IF(SUM(AA289:AA293)=0,""," ("&amp;SUM(AA289:AA293)&amp;")")&amp;", "))</f>
        <v/>
      </c>
      <c r="AN301" s="3986" t="str">
        <f>IF(AB287="","",IF(SUM(AB289:AB293)=0,"",AB287&amp;" "&amp;SUM(AB289:AB293)+AB296&amp;IF(SUM(AC289:AC293)=0,""," ("&amp;SUM(AC289:AC293)&amp;")")&amp;", "))</f>
        <v/>
      </c>
      <c r="AO301" s="3986" t="str">
        <f>IF(AD287="","",IF(SUM(AD289:AD293)=0,"",AD287&amp;" "&amp;SUM(AD289:AD293)+AD296&amp;IF(SUM(AE289:AE293)=0,""," ("&amp;SUM(AE289:AE293)&amp;")")&amp;", "))</f>
        <v/>
      </c>
      <c r="AP301" s="3986" t="str">
        <f>IF(AF287="","",IF(SUM(AF289:AF293)=0,"",AF287&amp;" "&amp;SUM(AF289:AF293)+AF296&amp;IF(SUM(AG289:AG293)=0,""," ("&amp;SUM(AG289:AG293)&amp;")")&amp;", "))</f>
        <v/>
      </c>
      <c r="AQ301" s="3986"/>
      <c r="AR301" s="3986"/>
      <c r="AS301" s="3986"/>
      <c r="AT301" s="3986"/>
      <c r="AU301" s="3986"/>
      <c r="AV301" s="3986"/>
      <c r="AW301" s="3986"/>
      <c r="AX301" s="3986"/>
      <c r="AY301" s="3986"/>
      <c r="AZ301" s="1868"/>
      <c r="BA301" s="1868"/>
      <c r="BB301" s="1868"/>
      <c r="BC301" s="1868"/>
      <c r="BD301" s="1868"/>
      <c r="BE301" s="1868"/>
      <c r="BF301" s="1868"/>
      <c r="BG301" s="1868"/>
      <c r="BH301" s="1868"/>
      <c r="BI301" s="1868"/>
      <c r="BJ301" s="1868"/>
      <c r="BK301" s="1868"/>
      <c r="BL301" s="1868"/>
      <c r="BM301" s="1868"/>
      <c r="BN301" s="1868"/>
      <c r="BO301" s="1868"/>
      <c r="BP301" s="1868"/>
      <c r="BQ301" s="1868"/>
      <c r="BR301" s="1868"/>
    </row>
    <row r="302" spans="1:70" ht="12.2" customHeight="1">
      <c r="A302" s="1935"/>
      <c r="B302" s="1866">
        <f t="shared" si="7"/>
        <v>9</v>
      </c>
      <c r="C302" s="6009"/>
      <c r="D302" s="5911"/>
      <c r="E302" s="5853"/>
      <c r="F302" s="5853"/>
      <c r="G302" s="5853"/>
      <c r="H302" s="5853"/>
      <c r="I302" s="1728" t="str">
        <f>IF(OR(D298="",D302=""),"",MAX(1,SUMPRODUCT(--(INDEX('Tablas Técnicas'!$C$10:$L$644,,1)=D298),--(INDEX('Tablas Técnicas'!$C$10:$L$644,,2)=D302),INDEX('Tablas Técnicas'!$C$10:$L$644,,9))))</f>
        <v/>
      </c>
      <c r="J302" s="5852"/>
      <c r="K302" s="5853"/>
      <c r="L302" s="5853"/>
      <c r="M302" s="5853"/>
      <c r="N302" s="5853"/>
      <c r="O302" s="1728" t="str">
        <f>IF(OR(J298="",J302=""),"",MAX(1,SUMPRODUCT(--(INDEX('Tablas Técnicas'!$C$10:$L$644,,1)=J298),--(INDEX('Tablas Técnicas'!$C$10:$L$644,,2)=J302),INDEX('Tablas Técnicas'!$C$10:$L$644,,9))))</f>
        <v/>
      </c>
      <c r="P302" s="5852"/>
      <c r="Q302" s="5853"/>
      <c r="R302" s="5853"/>
      <c r="S302" s="5853"/>
      <c r="T302" s="5853"/>
      <c r="U302" s="1728" t="str">
        <f>IF(OR(P298="",P302=""),"",MAX(1,SUMPRODUCT(--(INDEX('Tablas Técnicas'!$C$10:$L$644,,1)=P298),--(INDEX('Tablas Técnicas'!$C$10:$L$644,,2)=P302),INDEX('Tablas Técnicas'!$C$10:$L$644,,9))))</f>
        <v/>
      </c>
      <c r="V302" s="5852"/>
      <c r="W302" s="5853"/>
      <c r="X302" s="5853"/>
      <c r="Y302" s="5853"/>
      <c r="Z302" s="5853"/>
      <c r="AA302" s="1728" t="str">
        <f>IF(OR(V298="",V302=""),"",MAX(1,SUMPRODUCT(--(INDEX('Tablas Técnicas'!$C$10:$L$644,,1)=V298),--(INDEX('Tablas Técnicas'!$C$10:$L$644,,2)=V302),INDEX('Tablas Técnicas'!$C$10:$L$644,,9))))</f>
        <v/>
      </c>
      <c r="AB302" s="5852"/>
      <c r="AC302" s="5853"/>
      <c r="AD302" s="5853"/>
      <c r="AE302" s="5853"/>
      <c r="AF302" s="5853"/>
      <c r="AG302" s="1729" t="str">
        <f>IF(OR(AB298="",AB302=""),"",MAX(1,SUMPRODUCT(--(INDEX('Tablas Técnicas'!$C$10:$L$644,,1)=AB298),--(INDEX('Tablas Técnicas'!$C$10:$L$644,,2)=AB302),INDEX('Tablas Técnicas'!$C$10:$L$644,,9))))</f>
        <v/>
      </c>
      <c r="AH302" s="1943">
        <f>P285</f>
        <v>1</v>
      </c>
      <c r="AI302" s="6011"/>
      <c r="AJ302" s="3986" t="s">
        <v>8843</v>
      </c>
      <c r="AK302" s="3986"/>
      <c r="AL302" s="3986">
        <f>MAX(0,SUM(AT289:AT293)+ABS($AC294*2/5))+IF(AM311,0,Y294)+IF(S285="Sí",2*P285,0)</f>
        <v>0</v>
      </c>
      <c r="AM302" s="3986">
        <f t="array" ref="AM302">IF(ISNUMBER(SEARCH("Mantenido",K289&amp;K290&amp;K291&amp;K292&amp;K293)),MAX(0,SUM(VALUE(RIGHT($P289:$P293,2)))),0)</f>
        <v>0</v>
      </c>
      <c r="AN302" s="1868"/>
      <c r="AO302" s="1868"/>
      <c r="AP302" s="1815"/>
      <c r="AQ302" s="1815"/>
      <c r="AR302" s="1815"/>
      <c r="AS302" s="1815"/>
      <c r="AT302" s="1815"/>
      <c r="AU302" s="1815"/>
      <c r="AV302" s="1815"/>
      <c r="AW302" s="1815"/>
      <c r="AX302" s="1815"/>
      <c r="AY302" s="3986"/>
      <c r="AZ302" s="1868"/>
      <c r="BA302" s="1868"/>
      <c r="BB302" s="1868"/>
      <c r="BC302" s="1868"/>
      <c r="BD302" s="1868"/>
      <c r="BE302" s="1868"/>
      <c r="BF302" s="1868"/>
      <c r="BG302" s="1868"/>
      <c r="BH302" s="1868"/>
      <c r="BI302" s="1868"/>
      <c r="BJ302" s="1868"/>
      <c r="BK302" s="1868"/>
      <c r="BL302" s="1868"/>
      <c r="BM302" s="1868"/>
      <c r="BN302" s="1868"/>
      <c r="BO302" s="1868"/>
      <c r="BP302" s="1868"/>
      <c r="BQ302" s="1868"/>
      <c r="BR302" s="1868"/>
    </row>
    <row r="303" spans="1:70" ht="12.2" customHeight="1">
      <c r="A303" s="1935"/>
      <c r="B303" s="1866">
        <f t="shared" si="7"/>
        <v>9</v>
      </c>
      <c r="C303" s="6009"/>
      <c r="D303" s="5871"/>
      <c r="E303" s="5872"/>
      <c r="F303" s="5872"/>
      <c r="G303" s="5872"/>
      <c r="H303" s="5872"/>
      <c r="I303" s="1730" t="str">
        <f>IF(OR(D298="",D303=""),"",MAX(1,SUMPRODUCT(--(INDEX('Tablas Técnicas'!$C$10:$L$644,,1)=D298),--(INDEX('Tablas Técnicas'!$C$10:$L$644,,2)=D303),INDEX('Tablas Técnicas'!$C$10:$L$644,,9))))</f>
        <v/>
      </c>
      <c r="J303" s="5871"/>
      <c r="K303" s="5872"/>
      <c r="L303" s="5872"/>
      <c r="M303" s="5872"/>
      <c r="N303" s="5872"/>
      <c r="O303" s="1730" t="str">
        <f>IF(OR(J298="",J303=""),"",MAX(1,SUMPRODUCT(--(INDEX('Tablas Técnicas'!$C$10:$L$644,,1)=J298),--(INDEX('Tablas Técnicas'!$C$10:$L$644,,2)=J303),INDEX('Tablas Técnicas'!$C$10:$L$644,,9))))</f>
        <v/>
      </c>
      <c r="P303" s="5871"/>
      <c r="Q303" s="5872"/>
      <c r="R303" s="5872"/>
      <c r="S303" s="5872"/>
      <c r="T303" s="5872"/>
      <c r="U303" s="1730" t="str">
        <f>IF(OR(P298="",P303=""),"",MAX(1,SUMPRODUCT(--(INDEX('Tablas Técnicas'!$C$10:$L$644,,1)=P298),--(INDEX('Tablas Técnicas'!$C$10:$L$644,,2)=P303),INDEX('Tablas Técnicas'!$C$10:$L$644,,9))))</f>
        <v/>
      </c>
      <c r="V303" s="5871"/>
      <c r="W303" s="5872"/>
      <c r="X303" s="5872"/>
      <c r="Y303" s="5872"/>
      <c r="Z303" s="5872"/>
      <c r="AA303" s="1730" t="str">
        <f>IF(OR(V298="",V303=""),"",MAX(1,SUMPRODUCT(--(INDEX('Tablas Técnicas'!$C$10:$L$644,,1)=V298),--(INDEX('Tablas Técnicas'!$C$10:$L$644,,2)=V303),INDEX('Tablas Técnicas'!$C$10:$L$644,,9))))</f>
        <v/>
      </c>
      <c r="AB303" s="5871"/>
      <c r="AC303" s="5872"/>
      <c r="AD303" s="5872"/>
      <c r="AE303" s="5872"/>
      <c r="AF303" s="5872"/>
      <c r="AG303" s="1731" t="str">
        <f>IF(OR(AB298="",AB303=""),"",MAX(1,SUMPRODUCT(--(INDEX('Tablas Técnicas'!$C$10:$L$644,,1)=AB298),--(INDEX('Tablas Técnicas'!$C$10:$L$644,,2)=AB303),INDEX('Tablas Técnicas'!$C$10:$L$644,,9))))</f>
        <v/>
      </c>
      <c r="AH303" s="1943">
        <f>P285</f>
        <v>1</v>
      </c>
      <c r="AI303" s="6011"/>
      <c r="AJ303" s="3986" t="s">
        <v>8366</v>
      </c>
      <c r="AK303" s="3986"/>
      <c r="AL303" s="3986">
        <f>SUM(V289:V293,X289:X293,Z289:Z293,AB289:AB293,AD289:AD293,AF289:AF293)+SUM(V296:AG296)</f>
        <v>0</v>
      </c>
      <c r="AM303" s="3986">
        <f>SUM(W289:W293,Y289:Y293,AA289:AA293,AC289:AC293,AE289:AE293,AG289:AG293)</f>
        <v>0</v>
      </c>
      <c r="AN303" s="3986"/>
      <c r="AO303" s="3986"/>
      <c r="AP303" s="3986"/>
      <c r="AQ303" s="3986"/>
      <c r="AR303" s="3986"/>
      <c r="AS303" s="3986"/>
      <c r="AT303" s="3986"/>
      <c r="AU303" s="3986"/>
      <c r="AV303" s="3986"/>
      <c r="AW303" s="1868"/>
      <c r="AX303" s="3986"/>
      <c r="AY303" s="3986"/>
      <c r="AZ303" s="1868"/>
      <c r="BA303" s="1868"/>
      <c r="BB303" s="1868"/>
      <c r="BC303" s="1868"/>
      <c r="BD303" s="1868"/>
      <c r="BE303" s="1868"/>
      <c r="BF303" s="1868"/>
      <c r="BG303" s="1868"/>
      <c r="BH303" s="1868"/>
      <c r="BI303" s="1868"/>
      <c r="BJ303" s="1868"/>
      <c r="BK303" s="1868"/>
      <c r="BL303" s="1868"/>
      <c r="BM303" s="1868"/>
      <c r="BN303" s="1868"/>
      <c r="BO303" s="1868"/>
      <c r="BP303" s="1868"/>
      <c r="BQ303" s="1868"/>
      <c r="BR303" s="1868"/>
    </row>
    <row r="304" spans="1:70" ht="12.2" customHeight="1">
      <c r="A304" s="1935"/>
      <c r="B304" s="1866">
        <f t="shared" si="7"/>
        <v>9</v>
      </c>
      <c r="C304" s="6009"/>
      <c r="D304" s="5871"/>
      <c r="E304" s="5872"/>
      <c r="F304" s="5872"/>
      <c r="G304" s="5872"/>
      <c r="H304" s="5872"/>
      <c r="I304" s="1730" t="str">
        <f>IF(OR(D298="",D304=""),"",MAX(1,SUMPRODUCT(--(INDEX('Tablas Técnicas'!$C$10:$L$644,,1)=D298),--(INDEX('Tablas Técnicas'!$C$10:$L$644,,2)=D304),INDEX('Tablas Técnicas'!$C$10:$L$644,,9))))</f>
        <v/>
      </c>
      <c r="J304" s="5871"/>
      <c r="K304" s="5872"/>
      <c r="L304" s="5872"/>
      <c r="M304" s="5872"/>
      <c r="N304" s="5872"/>
      <c r="O304" s="1730" t="str">
        <f>IF(OR(J298="",J304=""),"",MAX(1,SUMPRODUCT(--(INDEX('Tablas Técnicas'!$C$10:$L$644,,1)=J298),--(INDEX('Tablas Técnicas'!$C$10:$L$644,,2)=J304),INDEX('Tablas Técnicas'!$C$10:$L$644,,9))))</f>
        <v/>
      </c>
      <c r="P304" s="5871"/>
      <c r="Q304" s="5872"/>
      <c r="R304" s="5872"/>
      <c r="S304" s="5872"/>
      <c r="T304" s="5872"/>
      <c r="U304" s="1730" t="str">
        <f>IF(OR(P298="",P304=""),"",MAX(1,SUMPRODUCT(--(INDEX('Tablas Técnicas'!$C$10:$L$644,,1)=P298),--(INDEX('Tablas Técnicas'!$C$10:$L$644,,2)=P304),INDEX('Tablas Técnicas'!$C$10:$L$644,,9))))</f>
        <v/>
      </c>
      <c r="V304" s="5871"/>
      <c r="W304" s="5872"/>
      <c r="X304" s="5872"/>
      <c r="Y304" s="5872"/>
      <c r="Z304" s="5872"/>
      <c r="AA304" s="1730" t="str">
        <f>IF(OR(V298="",V304=""),"",MAX(1,SUMPRODUCT(--(INDEX('Tablas Técnicas'!$C$10:$L$644,,1)=V298),--(INDEX('Tablas Técnicas'!$C$10:$L$644,,2)=V304),INDEX('Tablas Técnicas'!$C$10:$L$644,,9))))</f>
        <v/>
      </c>
      <c r="AB304" s="5871"/>
      <c r="AC304" s="5872"/>
      <c r="AD304" s="5872"/>
      <c r="AE304" s="5872"/>
      <c r="AF304" s="5872"/>
      <c r="AG304" s="1731" t="str">
        <f>IF(OR(AB298="",AB304=""),"",MAX(1,SUMPRODUCT(--(INDEX('Tablas Técnicas'!$C$10:$L$644,,1)=AB298),--(INDEX('Tablas Técnicas'!$C$10:$L$644,,2)=AB304),INDEX('Tablas Técnicas'!$C$10:$L$644,,9))))</f>
        <v/>
      </c>
      <c r="AH304" s="1943">
        <f>P285</f>
        <v>1</v>
      </c>
      <c r="AI304" s="6011"/>
      <c r="AJ304" s="3986"/>
      <c r="AK304" s="3986"/>
      <c r="AL304" s="3986"/>
      <c r="AM304" s="3986"/>
      <c r="AN304" s="3986"/>
      <c r="AO304" s="3986"/>
      <c r="AP304" s="3986"/>
      <c r="AQ304" s="3986"/>
      <c r="AR304" s="3986"/>
      <c r="AS304" s="3986"/>
      <c r="AT304" s="3986"/>
      <c r="AU304" s="3986"/>
      <c r="AV304" s="3986"/>
      <c r="AW304" s="1868"/>
      <c r="AX304" s="1868"/>
      <c r="AY304" s="3986"/>
      <c r="AZ304" s="1868"/>
      <c r="BA304" s="1868"/>
      <c r="BB304" s="1868"/>
      <c r="BC304" s="1868"/>
      <c r="BD304" s="1868"/>
      <c r="BE304" s="1868"/>
      <c r="BF304" s="1868"/>
      <c r="BG304" s="1868"/>
      <c r="BH304" s="1868"/>
      <c r="BI304" s="1868"/>
      <c r="BJ304" s="1868"/>
      <c r="BK304" s="1868"/>
      <c r="BL304" s="1868"/>
      <c r="BM304" s="1868"/>
      <c r="BN304" s="1868"/>
      <c r="BO304" s="1868"/>
      <c r="BP304" s="1868"/>
      <c r="BQ304" s="1868"/>
      <c r="BR304" s="1868"/>
    </row>
    <row r="305" spans="1:70" ht="12.2" customHeight="1">
      <c r="A305" s="1935"/>
      <c r="B305" s="1866">
        <f t="shared" si="7"/>
        <v>9</v>
      </c>
      <c r="C305" s="6009"/>
      <c r="D305" s="5871"/>
      <c r="E305" s="5872"/>
      <c r="F305" s="5872"/>
      <c r="G305" s="5872"/>
      <c r="H305" s="5872"/>
      <c r="I305" s="1730" t="str">
        <f>IF(OR(D298="",D305=""),"",MAX(1,SUMPRODUCT(--(INDEX('Tablas Técnicas'!$C$10:$L$644,,1)=D298),--(INDEX('Tablas Técnicas'!$C$10:$L$644,,2)=D305),INDEX('Tablas Técnicas'!$C$10:$L$644,,9))))</f>
        <v/>
      </c>
      <c r="J305" s="5871"/>
      <c r="K305" s="5872"/>
      <c r="L305" s="5872"/>
      <c r="M305" s="5872"/>
      <c r="N305" s="5872"/>
      <c r="O305" s="1730" t="str">
        <f>IF(OR(J298="",J305=""),"",MAX(1,SUMPRODUCT(--(INDEX('Tablas Técnicas'!$C$10:$L$644,,1)=J298),--(INDEX('Tablas Técnicas'!$C$10:$L$644,,2)=J305),INDEX('Tablas Técnicas'!$C$10:$L$644,,9))))</f>
        <v/>
      </c>
      <c r="P305" s="5871"/>
      <c r="Q305" s="5872"/>
      <c r="R305" s="5872"/>
      <c r="S305" s="5872"/>
      <c r="T305" s="5872"/>
      <c r="U305" s="1730" t="str">
        <f>IF(OR(P298="",P305=""),"",MAX(1,SUMPRODUCT(--(INDEX('Tablas Técnicas'!$C$10:$L$644,,1)=P298),--(INDEX('Tablas Técnicas'!$C$10:$L$644,,2)=P305),INDEX('Tablas Técnicas'!$C$10:$L$644,,9))))</f>
        <v/>
      </c>
      <c r="V305" s="5871"/>
      <c r="W305" s="5872"/>
      <c r="X305" s="5872"/>
      <c r="Y305" s="5872"/>
      <c r="Z305" s="5872"/>
      <c r="AA305" s="1730" t="str">
        <f>IF(OR(V298="",V305=""),"",MAX(1,SUMPRODUCT(--(INDEX('Tablas Técnicas'!$C$10:$L$644,,1)=V298),--(INDEX('Tablas Técnicas'!$C$10:$L$644,,2)=V305),INDEX('Tablas Técnicas'!$C$10:$L$644,,9))))</f>
        <v/>
      </c>
      <c r="AB305" s="5871"/>
      <c r="AC305" s="5872"/>
      <c r="AD305" s="5872"/>
      <c r="AE305" s="5872"/>
      <c r="AF305" s="5872"/>
      <c r="AG305" s="1731" t="str">
        <f>IF(OR(AB298="",AB305=""),"",MAX(1,SUMPRODUCT(--(INDEX('Tablas Técnicas'!$C$10:$L$644,,1)=AB298),--(INDEX('Tablas Técnicas'!$C$10:$L$644,,2)=AB305),INDEX('Tablas Técnicas'!$C$10:$L$644,,9))))</f>
        <v/>
      </c>
      <c r="AH305" s="1943">
        <f>P285</f>
        <v>1</v>
      </c>
      <c r="AI305" s="6011"/>
      <c r="AJ305" s="3986" t="s">
        <v>8367</v>
      </c>
      <c r="AK305" s="3986"/>
      <c r="AL305" s="3986"/>
      <c r="AM305" s="3986"/>
      <c r="AN305" s="3986"/>
      <c r="AO305" s="3986"/>
      <c r="AP305" s="3986"/>
      <c r="AQ305" s="3987"/>
      <c r="AR305" s="1868"/>
      <c r="AS305" s="1868"/>
      <c r="AT305" s="1868"/>
      <c r="AU305" s="1868"/>
      <c r="AV305" s="1868"/>
      <c r="AW305" s="1868"/>
      <c r="AX305" s="1868"/>
      <c r="AY305" s="3986"/>
      <c r="AZ305" s="1868"/>
      <c r="BA305" s="1868"/>
      <c r="BB305" s="1868"/>
      <c r="BC305" s="1868"/>
      <c r="BD305" s="1868"/>
      <c r="BE305" s="1868"/>
      <c r="BF305" s="1868"/>
      <c r="BG305" s="1868"/>
      <c r="BH305" s="1868"/>
      <c r="BI305" s="1868"/>
      <c r="BJ305" s="1868"/>
      <c r="BK305" s="1868"/>
      <c r="BL305" s="1868"/>
      <c r="BM305" s="1868"/>
      <c r="BN305" s="1868"/>
      <c r="BO305" s="1868"/>
      <c r="BP305" s="1868"/>
      <c r="BQ305" s="1868"/>
      <c r="BR305" s="1868"/>
    </row>
    <row r="306" spans="1:70" ht="12.2" customHeight="1">
      <c r="A306" s="1935"/>
      <c r="B306" s="1866">
        <f t="shared" si="7"/>
        <v>9</v>
      </c>
      <c r="C306" s="6009"/>
      <c r="D306" s="5871"/>
      <c r="E306" s="5872"/>
      <c r="F306" s="5872"/>
      <c r="G306" s="5872"/>
      <c r="H306" s="5872"/>
      <c r="I306" s="1730" t="str">
        <f>IF(OR(D298="",D306=""),"",MAX(1,SUMPRODUCT(--(INDEX('Tablas Técnicas'!$C$10:$L$644,,1)=D298),--(INDEX('Tablas Técnicas'!$C$10:$L$644,,2)=D306),INDEX('Tablas Técnicas'!$C$10:$L$644,,9))))</f>
        <v/>
      </c>
      <c r="J306" s="5871"/>
      <c r="K306" s="5872"/>
      <c r="L306" s="5872"/>
      <c r="M306" s="5872"/>
      <c r="N306" s="5872"/>
      <c r="O306" s="1730" t="str">
        <f>IF(OR(J298="",J306=""),"",MAX(1,SUMPRODUCT(--(INDEX('Tablas Técnicas'!$C$10:$L$644,,1)=J298),--(INDEX('Tablas Técnicas'!$C$10:$L$644,,2)=J306),INDEX('Tablas Técnicas'!$C$10:$L$644,,9))))</f>
        <v/>
      </c>
      <c r="P306" s="5871"/>
      <c r="Q306" s="5872"/>
      <c r="R306" s="5872"/>
      <c r="S306" s="5872"/>
      <c r="T306" s="5872"/>
      <c r="U306" s="1730" t="str">
        <f>IF(OR(P298="",P306=""),"",MAX(1,SUMPRODUCT(--(INDEX('Tablas Técnicas'!$C$10:$L$644,,1)=P298),--(INDEX('Tablas Técnicas'!$C$10:$L$644,,2)=P306),INDEX('Tablas Técnicas'!$C$10:$L$644,,9))))</f>
        <v/>
      </c>
      <c r="V306" s="5871"/>
      <c r="W306" s="5872"/>
      <c r="X306" s="5872"/>
      <c r="Y306" s="5872"/>
      <c r="Z306" s="5872"/>
      <c r="AA306" s="1730" t="str">
        <f>IF(OR(V298="",V306=""),"",MAX(1,SUMPRODUCT(--(INDEX('Tablas Técnicas'!$C$10:$L$644,,1)=V298),--(INDEX('Tablas Técnicas'!$C$10:$L$644,,2)=V306),INDEX('Tablas Técnicas'!$C$10:$L$644,,9))))</f>
        <v/>
      </c>
      <c r="AB306" s="5871"/>
      <c r="AC306" s="5872"/>
      <c r="AD306" s="5872"/>
      <c r="AE306" s="5872"/>
      <c r="AF306" s="5872"/>
      <c r="AG306" s="1731" t="str">
        <f>IF(OR(AB298="",AB306=""),"",MAX(1,SUMPRODUCT(--(INDEX('Tablas Técnicas'!$C$10:$L$644,,1)=AB298),--(INDEX('Tablas Técnicas'!$C$10:$L$644,,2)=AB306),INDEX('Tablas Técnicas'!$C$10:$L$644,,9))))</f>
        <v/>
      </c>
      <c r="AH306" s="1943">
        <f>P285</f>
        <v>1</v>
      </c>
      <c r="AI306" s="6011"/>
      <c r="AJ306" s="3986" t="s">
        <v>9502</v>
      </c>
      <c r="AK306" s="3986"/>
      <c r="AL306" s="3986"/>
      <c r="AM306" s="3986" t="b">
        <f>U285&gt;IF(P285=3,200,IF(P285=2,100,50))</f>
        <v>0</v>
      </c>
      <c r="AN306" s="3986"/>
      <c r="AO306" s="3986"/>
      <c r="AP306" s="3986"/>
      <c r="AQ306" s="3986"/>
      <c r="AR306" s="1868"/>
      <c r="AS306" s="1868"/>
      <c r="AT306" s="1868"/>
      <c r="AU306" s="1868"/>
      <c r="AV306" s="1868"/>
      <c r="AW306" s="1868"/>
      <c r="AX306" s="1868"/>
      <c r="AY306" s="3986"/>
      <c r="AZ306" s="1868"/>
      <c r="BA306" s="1868"/>
      <c r="BB306" s="1868"/>
      <c r="BC306" s="1868"/>
      <c r="BD306" s="1868"/>
      <c r="BE306" s="1868"/>
      <c r="BF306" s="1868"/>
      <c r="BG306" s="1868"/>
      <c r="BH306" s="1868"/>
      <c r="BI306" s="1868"/>
      <c r="BJ306" s="1868"/>
      <c r="BK306" s="1868"/>
      <c r="BL306" s="1868"/>
      <c r="BM306" s="1868"/>
      <c r="BN306" s="1868"/>
      <c r="BO306" s="1868"/>
      <c r="BP306" s="1868"/>
      <c r="BQ306" s="1868"/>
      <c r="BR306" s="1868"/>
    </row>
    <row r="307" spans="1:70" ht="12.2" customHeight="1">
      <c r="A307" s="1935"/>
      <c r="B307" s="1866">
        <f t="shared" si="7"/>
        <v>9</v>
      </c>
      <c r="C307" s="6009"/>
      <c r="D307" s="5871"/>
      <c r="E307" s="5872"/>
      <c r="F307" s="5872"/>
      <c r="G307" s="5872"/>
      <c r="H307" s="5872"/>
      <c r="I307" s="1730" t="str">
        <f>IF(OR(D298="",D307=""),"",MAX(1,SUMPRODUCT(--(INDEX('Tablas Técnicas'!$C$10:$L$644,,1)=D298),--(INDEX('Tablas Técnicas'!$C$10:$L$644,,2)=D307),INDEX('Tablas Técnicas'!$C$10:$L$644,,9))))</f>
        <v/>
      </c>
      <c r="J307" s="5871"/>
      <c r="K307" s="5872"/>
      <c r="L307" s="5872"/>
      <c r="M307" s="5872"/>
      <c r="N307" s="5872"/>
      <c r="O307" s="1730" t="str">
        <f>IF(OR(J298="",J307=""),"",MAX(1,SUMPRODUCT(--(INDEX('Tablas Técnicas'!$C$10:$L$644,,1)=J298),--(INDEX('Tablas Técnicas'!$C$10:$L$644,,2)=J307),INDEX('Tablas Técnicas'!$C$10:$L$644,,9))))</f>
        <v/>
      </c>
      <c r="P307" s="5871"/>
      <c r="Q307" s="5872"/>
      <c r="R307" s="5872"/>
      <c r="S307" s="5872"/>
      <c r="T307" s="5872"/>
      <c r="U307" s="1730" t="str">
        <f>IF(OR(P298="",P307=""),"",MAX(1,SUMPRODUCT(--(INDEX('Tablas Técnicas'!$C$10:$L$644,,1)=P298),--(INDEX('Tablas Técnicas'!$C$10:$L$644,,2)=P307),INDEX('Tablas Técnicas'!$C$10:$L$644,,9))))</f>
        <v/>
      </c>
      <c r="V307" s="5871"/>
      <c r="W307" s="5872"/>
      <c r="X307" s="5872"/>
      <c r="Y307" s="5872"/>
      <c r="Z307" s="5872"/>
      <c r="AA307" s="1730" t="str">
        <f>IF(OR(V298="",V307=""),"",MAX(1,SUMPRODUCT(--(INDEX('Tablas Técnicas'!$C$10:$L$644,,1)=V298),--(INDEX('Tablas Técnicas'!$C$10:$L$644,,2)=V307),INDEX('Tablas Técnicas'!$C$10:$L$644,,9))))</f>
        <v/>
      </c>
      <c r="AB307" s="5871"/>
      <c r="AC307" s="5872"/>
      <c r="AD307" s="5872"/>
      <c r="AE307" s="5872"/>
      <c r="AF307" s="5872"/>
      <c r="AG307" s="1731" t="str">
        <f>IF(OR(AB298="",AB307=""),"",MAX(1,SUMPRODUCT(--(INDEX('Tablas Técnicas'!$C$10:$L$644,,1)=AB298),--(INDEX('Tablas Técnicas'!$C$10:$L$644,,2)=AB307),INDEX('Tablas Técnicas'!$C$10:$L$644,,9))))</f>
        <v/>
      </c>
      <c r="AH307" s="1943">
        <f>P285</f>
        <v>1</v>
      </c>
      <c r="AI307" s="6011"/>
      <c r="AJ307" s="3986" t="s">
        <v>8368</v>
      </c>
      <c r="AK307" s="3986"/>
      <c r="AL307" s="3986"/>
      <c r="AM307" s="3986" t="b">
        <f t="array" ref="AM307">MAX(I302:I308,O302:O308,U302:U308,AA302:AA308,AG302:AG308,RIGHT(S294:S296,1))&gt;P285</f>
        <v>0</v>
      </c>
      <c r="AN307" s="3986"/>
      <c r="AO307" s="3986"/>
      <c r="AP307" s="3986"/>
      <c r="AQ307" s="3987"/>
      <c r="AR307" s="1868"/>
      <c r="AS307" s="1868"/>
      <c r="AT307" s="1868"/>
      <c r="AU307" s="1868"/>
      <c r="AV307" s="1868"/>
      <c r="AW307" s="1868"/>
      <c r="AX307" s="1868"/>
      <c r="AY307" s="3986"/>
      <c r="AZ307" s="1868"/>
      <c r="BA307" s="1868"/>
      <c r="BB307" s="1868"/>
      <c r="BC307" s="1868"/>
      <c r="BD307" s="1868"/>
      <c r="BE307" s="1868"/>
      <c r="BF307" s="1868"/>
      <c r="BG307" s="1868"/>
      <c r="BH307" s="1868"/>
      <c r="BI307" s="1868"/>
      <c r="BJ307" s="1868"/>
      <c r="BK307" s="1868"/>
      <c r="BL307" s="1868"/>
      <c r="BM307" s="1868"/>
      <c r="BN307" s="1868"/>
      <c r="BO307" s="1868"/>
      <c r="BP307" s="1868"/>
      <c r="BQ307" s="1868"/>
      <c r="BR307" s="1868"/>
    </row>
    <row r="308" spans="1:70" ht="12.2" customHeight="1">
      <c r="A308" s="1935"/>
      <c r="B308" s="1866">
        <f t="shared" si="7"/>
        <v>9</v>
      </c>
      <c r="C308" s="6009"/>
      <c r="D308" s="5926"/>
      <c r="E308" s="5927"/>
      <c r="F308" s="5927"/>
      <c r="G308" s="5927"/>
      <c r="H308" s="5927"/>
      <c r="I308" s="1732" t="str">
        <f>IF(OR(D298="",D308=""),"",MAX(1,SUMPRODUCT(--(INDEX('Tablas Técnicas'!$C$10:$L$644,,1)=D298),--(INDEX('Tablas Técnicas'!$C$10:$L$644,,2)=D308),INDEX('Tablas Técnicas'!$C$10:$L$644,,9))))</f>
        <v/>
      </c>
      <c r="J308" s="5926"/>
      <c r="K308" s="5927"/>
      <c r="L308" s="5927"/>
      <c r="M308" s="5927"/>
      <c r="N308" s="5927"/>
      <c r="O308" s="1732" t="str">
        <f>IF(OR(J298="",J308=""),"",MAX(1,SUMPRODUCT(--(INDEX('Tablas Técnicas'!$C$10:$L$644,,1)=J298),--(INDEX('Tablas Técnicas'!$C$10:$L$644,,2)=J308),INDEX('Tablas Técnicas'!$C$10:$L$644,,9))))</f>
        <v/>
      </c>
      <c r="P308" s="5926"/>
      <c r="Q308" s="5927"/>
      <c r="R308" s="5927"/>
      <c r="S308" s="5927"/>
      <c r="T308" s="5927"/>
      <c r="U308" s="1732" t="str">
        <f>IF(OR(P298="",P308=""),"",MAX(1,SUMPRODUCT(--(INDEX('Tablas Técnicas'!$C$10:$L$644,,1)=P298),--(INDEX('Tablas Técnicas'!$C$10:$L$644,,2)=P308),INDEX('Tablas Técnicas'!$C$10:$L$644,,9))))</f>
        <v/>
      </c>
      <c r="V308" s="5926"/>
      <c r="W308" s="5927"/>
      <c r="X308" s="5927"/>
      <c r="Y308" s="5927"/>
      <c r="Z308" s="5927"/>
      <c r="AA308" s="1732" t="str">
        <f>IF(OR(V298="",V308=""),"",MAX(1,SUMPRODUCT(--(INDEX('Tablas Técnicas'!$C$10:$L$644,,1)=V298),--(INDEX('Tablas Técnicas'!$C$10:$L$644,,2)=V308),INDEX('Tablas Técnicas'!$C$10:$L$644,,9))))</f>
        <v/>
      </c>
      <c r="AB308" s="5926"/>
      <c r="AC308" s="5927"/>
      <c r="AD308" s="5927"/>
      <c r="AE308" s="5927"/>
      <c r="AF308" s="5927"/>
      <c r="AG308" s="1733" t="str">
        <f>IF(OR(AB298="",AB308=""),"",MAX(1,SUMPRODUCT(--(INDEX('Tablas Técnicas'!$C$10:$L$644,,1)=AB298),--(INDEX('Tablas Técnicas'!$C$10:$L$644,,2)=AB308),INDEX('Tablas Técnicas'!$C$10:$L$644,,9))))</f>
        <v/>
      </c>
      <c r="AH308" s="1943">
        <f>P285</f>
        <v>1</v>
      </c>
      <c r="AI308" s="6011"/>
      <c r="AJ308" s="3986" t="s">
        <v>8860</v>
      </c>
      <c r="AK308" s="3986"/>
      <c r="AL308" s="3986"/>
      <c r="AM308" s="3986" t="b">
        <f>AND(COUNTIF(K289:M293,"Mantenido"),OR(COUNTIF(K289:M293,"Sostenimiento Menor"),COUNTIF(K289:M293,"Sostenimiento Mayor")))</f>
        <v>0</v>
      </c>
      <c r="AN308" s="3987"/>
      <c r="AO308" s="3986"/>
      <c r="AP308" s="3986"/>
      <c r="AQ308" s="3986"/>
      <c r="AR308" s="3986"/>
      <c r="AS308" s="3986"/>
      <c r="AT308" s="3986"/>
      <c r="AU308" s="1868"/>
      <c r="AV308" s="1868"/>
      <c r="AW308" s="1868"/>
      <c r="AX308" s="1868"/>
      <c r="AY308" s="3986"/>
      <c r="AZ308" s="1868"/>
      <c r="BA308" s="1868"/>
      <c r="BB308" s="1868"/>
      <c r="BC308" s="1868"/>
      <c r="BD308" s="1868"/>
      <c r="BE308" s="1868"/>
      <c r="BF308" s="1868"/>
      <c r="BG308" s="1868"/>
      <c r="BH308" s="1868"/>
      <c r="BI308" s="1868"/>
      <c r="BJ308" s="1868"/>
      <c r="BK308" s="1868"/>
      <c r="BL308" s="1868"/>
      <c r="BM308" s="1868"/>
      <c r="BN308" s="1868"/>
      <c r="BO308" s="1868"/>
      <c r="BP308" s="1868"/>
      <c r="BQ308" s="1868"/>
      <c r="BR308" s="1868"/>
    </row>
    <row r="309" spans="1:70" ht="12.2" customHeight="1">
      <c r="A309" s="1935"/>
      <c r="B309" s="1866">
        <f t="shared" si="7"/>
        <v>9</v>
      </c>
      <c r="C309" s="6009"/>
      <c r="D309" s="5873" t="s">
        <v>1408</v>
      </c>
      <c r="E309" s="5874"/>
      <c r="F309" s="5874"/>
      <c r="G309" s="5874"/>
      <c r="H309" s="5874"/>
      <c r="I309" s="5874"/>
      <c r="J309" s="5874"/>
      <c r="K309" s="5874"/>
      <c r="L309" s="5874"/>
      <c r="M309" s="5874"/>
      <c r="N309" s="5874"/>
      <c r="O309" s="5874"/>
      <c r="P309" s="5874"/>
      <c r="Q309" s="5874"/>
      <c r="R309" s="5874"/>
      <c r="S309" s="5874"/>
      <c r="T309" s="5874"/>
      <c r="U309" s="5874"/>
      <c r="V309" s="5874"/>
      <c r="W309" s="5874"/>
      <c r="X309" s="5874"/>
      <c r="Y309" s="5874"/>
      <c r="Z309" s="5874"/>
      <c r="AA309" s="5874"/>
      <c r="AB309" s="5874"/>
      <c r="AC309" s="5874"/>
      <c r="AD309" s="5874"/>
      <c r="AE309" s="5874"/>
      <c r="AF309" s="5874"/>
      <c r="AG309" s="5875"/>
      <c r="AH309" s="1943"/>
      <c r="AI309" s="6011"/>
      <c r="AJ309" s="3986" t="s">
        <v>8859</v>
      </c>
      <c r="AK309" s="3986"/>
      <c r="AL309" s="3986"/>
      <c r="AM309" s="398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986"/>
      <c r="AO309" s="3986"/>
      <c r="AP309" s="3986"/>
      <c r="AQ309" s="3987"/>
      <c r="AR309" s="3986"/>
      <c r="AS309" s="3986"/>
      <c r="AT309" s="3986"/>
      <c r="AU309" s="1868"/>
      <c r="AV309" s="1868"/>
      <c r="AW309" s="1868"/>
      <c r="AX309" s="1868"/>
      <c r="AY309" s="3986"/>
      <c r="AZ309" s="1868"/>
      <c r="BA309" s="1868"/>
      <c r="BB309" s="1868"/>
      <c r="BC309" s="1868"/>
      <c r="BD309" s="1868"/>
      <c r="BE309" s="1868"/>
      <c r="BF309" s="1868"/>
      <c r="BG309" s="1868"/>
      <c r="BH309" s="1868"/>
      <c r="BI309" s="1868"/>
      <c r="BJ309" s="1868"/>
      <c r="BK309" s="1868"/>
      <c r="BL309" s="1868"/>
      <c r="BM309" s="1868"/>
      <c r="BN309" s="1868"/>
      <c r="BO309" s="1868"/>
      <c r="BP309" s="1868"/>
      <c r="BQ309" s="1868"/>
      <c r="BR309" s="1868"/>
    </row>
    <row r="310" spans="1:70" ht="12.2" customHeight="1">
      <c r="A310" s="1935"/>
      <c r="B310" s="1866">
        <f t="shared" si="7"/>
        <v>9</v>
      </c>
      <c r="C310" s="6009"/>
      <c r="D310" s="5868"/>
      <c r="E310" s="5869"/>
      <c r="F310" s="5869"/>
      <c r="G310" s="5869"/>
      <c r="H310" s="5869"/>
      <c r="I310" s="5869"/>
      <c r="J310" s="5869"/>
      <c r="K310" s="5869"/>
      <c r="L310" s="5869"/>
      <c r="M310" s="5869"/>
      <c r="N310" s="5869"/>
      <c r="O310" s="5869"/>
      <c r="P310" s="5869"/>
      <c r="Q310" s="5869"/>
      <c r="R310" s="5869"/>
      <c r="S310" s="5869"/>
      <c r="T310" s="5869"/>
      <c r="U310" s="5869"/>
      <c r="V310" s="5869"/>
      <c r="W310" s="5869"/>
      <c r="X310" s="5869"/>
      <c r="Y310" s="5869"/>
      <c r="Z310" s="5869"/>
      <c r="AA310" s="5869"/>
      <c r="AB310" s="5869"/>
      <c r="AC310" s="5869"/>
      <c r="AD310" s="5869"/>
      <c r="AE310" s="5869"/>
      <c r="AF310" s="5869"/>
      <c r="AG310" s="5870"/>
      <c r="AH310" s="1943"/>
      <c r="AI310" s="6011"/>
      <c r="AJ310" s="3986" t="s">
        <v>8867</v>
      </c>
      <c r="AK310" s="3986"/>
      <c r="AL310" s="3986"/>
      <c r="AM310" s="398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986"/>
      <c r="AO310" s="3986"/>
      <c r="AP310" s="3986"/>
      <c r="AQ310" s="3987"/>
      <c r="AR310" s="3986"/>
      <c r="AS310" s="3986"/>
      <c r="AT310" s="3986"/>
      <c r="AU310" s="1868"/>
      <c r="AV310" s="1868"/>
      <c r="AW310" s="1868"/>
      <c r="AX310" s="1868"/>
      <c r="AY310" s="3986"/>
      <c r="AZ310" s="1868"/>
      <c r="BA310" s="1868"/>
      <c r="BB310" s="1868"/>
      <c r="BC310" s="1868"/>
      <c r="BD310" s="1868"/>
      <c r="BE310" s="1868"/>
      <c r="BF310" s="1868"/>
      <c r="BG310" s="1868"/>
      <c r="BH310" s="1868"/>
      <c r="BI310" s="1868"/>
      <c r="BJ310" s="1868"/>
      <c r="BK310" s="1868"/>
      <c r="BL310" s="1868"/>
      <c r="BM310" s="1868"/>
      <c r="BN310" s="1868"/>
      <c r="BO310" s="1868"/>
      <c r="BP310" s="1868"/>
      <c r="BQ310" s="1868"/>
      <c r="BR310" s="1868"/>
    </row>
    <row r="311" spans="1:70" ht="12.2" customHeight="1">
      <c r="A311" s="1935"/>
      <c r="B311" s="1866">
        <f t="shared" si="7"/>
        <v>9</v>
      </c>
      <c r="C311" s="6009"/>
      <c r="D311" s="5868"/>
      <c r="E311" s="5869"/>
      <c r="F311" s="5869"/>
      <c r="G311" s="5869"/>
      <c r="H311" s="5869"/>
      <c r="I311" s="5869"/>
      <c r="J311" s="5869"/>
      <c r="K311" s="5869"/>
      <c r="L311" s="5869"/>
      <c r="M311" s="5869"/>
      <c r="N311" s="5869"/>
      <c r="O311" s="5869"/>
      <c r="P311" s="5869"/>
      <c r="Q311" s="5869"/>
      <c r="R311" s="5869"/>
      <c r="S311" s="5869"/>
      <c r="T311" s="5869"/>
      <c r="U311" s="5869"/>
      <c r="V311" s="5869"/>
      <c r="W311" s="5869"/>
      <c r="X311" s="5869"/>
      <c r="Y311" s="5869"/>
      <c r="Z311" s="5869"/>
      <c r="AA311" s="5869"/>
      <c r="AB311" s="5869"/>
      <c r="AC311" s="5869"/>
      <c r="AD311" s="5869"/>
      <c r="AE311" s="5869"/>
      <c r="AF311" s="5869"/>
      <c r="AG311" s="5870"/>
      <c r="AH311" s="1943"/>
      <c r="AI311" s="6011"/>
      <c r="AJ311" s="3986" t="s">
        <v>8846</v>
      </c>
      <c r="AK311" s="3986"/>
      <c r="AL311" s="3986"/>
      <c r="AM311" s="3986" t="b">
        <f>AND((IF(SUM(V289:V293)&gt;0,1,0)+IF(SUM(X289:X293)&gt;0,1,0)+IF(SUM(Z289:Z293)&gt;0,1,0)+IF(SUM(AB289:AB293)&gt;0,1,0)+IF(SUM(AD289:AD293,)&gt;0,1,0)+IF(SUM(AF289:AF293)&gt;0,1,0))&lt;3,OR(V296&lt;0,X296&lt;0,Z296&lt;0,AB296&lt;0,AD296&lt;0,AF296&lt;0,Y294&lt;0))</f>
        <v>0</v>
      </c>
      <c r="AN311" s="3986"/>
      <c r="AO311" s="3986"/>
      <c r="AP311" s="3986"/>
      <c r="AQ311" s="3987"/>
      <c r="AR311" s="3986"/>
      <c r="AS311" s="3986"/>
      <c r="AT311" s="3986"/>
      <c r="AU311" s="1868"/>
      <c r="AV311" s="1868"/>
      <c r="AW311" s="1868"/>
      <c r="AX311" s="1868"/>
      <c r="AY311" s="3986"/>
      <c r="AZ311" s="1868"/>
      <c r="BA311" s="1868"/>
      <c r="BB311" s="1868"/>
      <c r="BC311" s="1868"/>
      <c r="BD311" s="1868"/>
      <c r="BE311" s="1868"/>
      <c r="BF311" s="1868"/>
      <c r="BG311" s="1868"/>
      <c r="BH311" s="1868"/>
      <c r="BI311" s="1868"/>
      <c r="BJ311" s="1868"/>
      <c r="BK311" s="1868"/>
      <c r="BL311" s="1868"/>
      <c r="BM311" s="1868"/>
      <c r="BN311" s="1868"/>
      <c r="BO311" s="1868"/>
      <c r="BP311" s="1868"/>
      <c r="BQ311" s="1868"/>
      <c r="BR311" s="1868"/>
    </row>
    <row r="312" spans="1:70" ht="12.2" customHeight="1">
      <c r="A312" s="1935"/>
      <c r="B312" s="1866">
        <f t="shared" si="7"/>
        <v>9</v>
      </c>
      <c r="C312" s="6009"/>
      <c r="D312" s="5868"/>
      <c r="E312" s="5869"/>
      <c r="F312" s="5869"/>
      <c r="G312" s="5869"/>
      <c r="H312" s="5869"/>
      <c r="I312" s="5869"/>
      <c r="J312" s="5869"/>
      <c r="K312" s="5869"/>
      <c r="L312" s="5869"/>
      <c r="M312" s="5869"/>
      <c r="N312" s="5869"/>
      <c r="O312" s="5869"/>
      <c r="P312" s="5869"/>
      <c r="Q312" s="5869"/>
      <c r="R312" s="5869"/>
      <c r="S312" s="5869"/>
      <c r="T312" s="5869"/>
      <c r="U312" s="5869"/>
      <c r="V312" s="5869"/>
      <c r="W312" s="5869"/>
      <c r="X312" s="5869"/>
      <c r="Y312" s="5869"/>
      <c r="Z312" s="5869"/>
      <c r="AA312" s="5869"/>
      <c r="AB312" s="5869"/>
      <c r="AC312" s="5869"/>
      <c r="AD312" s="5869"/>
      <c r="AE312" s="5869"/>
      <c r="AF312" s="5869"/>
      <c r="AG312" s="5870"/>
      <c r="AH312" s="1943"/>
      <c r="AI312" s="6011"/>
      <c r="AJ312" s="3986" t="s">
        <v>8861</v>
      </c>
      <c r="AK312" s="3986"/>
      <c r="AL312" s="3986"/>
      <c r="AM312" s="3986" t="b">
        <f>OR(-V296&gt;TRUNC(SUM(V289:V293)/2),-X296&gt;TRUNC(SUM(X289:X293)/2),-Z296&gt;TRUNC(SUM(Z289:Z293)/2),-AB296&gt;TRUNC(SUM(AB289:AB293)/2),-AD296&gt;TRUNC(SUM(AD289:AD293)/2),-AF296&gt;TRUNC(SUM(AF289:AF293)/2))</f>
        <v>0</v>
      </c>
      <c r="AN312" s="3986"/>
      <c r="AO312" s="3986"/>
      <c r="AP312" s="3986"/>
      <c r="AQ312" s="3987"/>
      <c r="AR312" s="3986"/>
      <c r="AS312" s="3986"/>
      <c r="AT312" s="3986"/>
      <c r="AU312" s="1868"/>
      <c r="AV312" s="1868"/>
      <c r="AW312" s="1868"/>
      <c r="AX312" s="1868"/>
      <c r="AY312" s="3986"/>
      <c r="AZ312" s="1868"/>
      <c r="BA312" s="1868"/>
      <c r="BB312" s="1868"/>
      <c r="BC312" s="1868"/>
      <c r="BD312" s="1868"/>
      <c r="BE312" s="1868"/>
      <c r="BF312" s="1868"/>
      <c r="BG312" s="1868"/>
      <c r="BH312" s="1868"/>
      <c r="BI312" s="1868"/>
      <c r="BJ312" s="1868"/>
      <c r="BK312" s="1868"/>
      <c r="BL312" s="1868"/>
      <c r="BM312" s="1868"/>
      <c r="BN312" s="1868"/>
      <c r="BO312" s="1868"/>
      <c r="BP312" s="1868"/>
      <c r="BQ312" s="1868"/>
      <c r="BR312" s="1868"/>
    </row>
    <row r="313" spans="1:70" ht="12.2" customHeight="1">
      <c r="A313" s="1935"/>
      <c r="B313" s="1866">
        <f t="shared" si="7"/>
        <v>9</v>
      </c>
      <c r="C313" s="6009"/>
      <c r="D313" s="5868"/>
      <c r="E313" s="5869"/>
      <c r="F313" s="5869"/>
      <c r="G313" s="5869"/>
      <c r="H313" s="5869"/>
      <c r="I313" s="5869"/>
      <c r="J313" s="5869"/>
      <c r="K313" s="5869"/>
      <c r="L313" s="5869"/>
      <c r="M313" s="5869"/>
      <c r="N313" s="5869"/>
      <c r="O313" s="5869"/>
      <c r="P313" s="5869"/>
      <c r="Q313" s="5869"/>
      <c r="R313" s="5869"/>
      <c r="S313" s="5869"/>
      <c r="T313" s="5869"/>
      <c r="U313" s="5869"/>
      <c r="V313" s="5869"/>
      <c r="W313" s="5869"/>
      <c r="X313" s="5869"/>
      <c r="Y313" s="5869"/>
      <c r="Z313" s="5869"/>
      <c r="AA313" s="5869"/>
      <c r="AB313" s="5869"/>
      <c r="AC313" s="5869"/>
      <c r="AD313" s="5869"/>
      <c r="AE313" s="5869"/>
      <c r="AF313" s="5869"/>
      <c r="AG313" s="5870"/>
      <c r="AH313" s="1943"/>
      <c r="AI313" s="6011"/>
      <c r="AJ313" s="3986" t="s">
        <v>8862</v>
      </c>
      <c r="AK313" s="3986"/>
      <c r="AL313" s="3986"/>
      <c r="AM313" s="3986" t="b">
        <f>COUNTIF(D289:E293,"Primario")&gt;1</f>
        <v>0</v>
      </c>
      <c r="AN313" s="3986"/>
      <c r="AO313" s="3986"/>
      <c r="AP313" s="3986"/>
      <c r="AQ313" s="3987"/>
      <c r="AR313" s="3987"/>
      <c r="AS313" s="3987"/>
      <c r="AT313" s="3987"/>
      <c r="AU313" s="1868"/>
      <c r="AV313" s="1868"/>
      <c r="AW313" s="1868"/>
      <c r="AX313" s="3986"/>
      <c r="AY313" s="3986"/>
      <c r="AZ313" s="1868"/>
      <c r="BA313" s="1868"/>
      <c r="BB313" s="1868"/>
      <c r="BC313" s="1868"/>
      <c r="BD313" s="1868"/>
      <c r="BE313" s="1868"/>
      <c r="BF313" s="1868"/>
      <c r="BG313" s="1868"/>
      <c r="BH313" s="1868"/>
      <c r="BI313" s="1868"/>
      <c r="BJ313" s="1868"/>
      <c r="BK313" s="1868"/>
      <c r="BL313" s="1868"/>
      <c r="BM313" s="1868"/>
      <c r="BN313" s="1868"/>
      <c r="BO313" s="1868"/>
      <c r="BP313" s="1868"/>
      <c r="BQ313" s="1868"/>
      <c r="BR313" s="1868"/>
    </row>
    <row r="314" spans="1:70" ht="12.2" customHeight="1">
      <c r="A314" s="1935"/>
      <c r="B314" s="1866">
        <f t="shared" si="7"/>
        <v>9</v>
      </c>
      <c r="C314" s="6009"/>
      <c r="D314" s="5868"/>
      <c r="E314" s="5869"/>
      <c r="F314" s="5869"/>
      <c r="G314" s="5869"/>
      <c r="H314" s="5869"/>
      <c r="I314" s="5869"/>
      <c r="J314" s="5869"/>
      <c r="K314" s="5869"/>
      <c r="L314" s="5869"/>
      <c r="M314" s="5869"/>
      <c r="N314" s="5869"/>
      <c r="O314" s="5869"/>
      <c r="P314" s="5869"/>
      <c r="Q314" s="5869"/>
      <c r="R314" s="5869"/>
      <c r="S314" s="5869"/>
      <c r="T314" s="5869"/>
      <c r="U314" s="5869"/>
      <c r="V314" s="5869"/>
      <c r="W314" s="5869"/>
      <c r="X314" s="5869"/>
      <c r="Y314" s="5869"/>
      <c r="Z314" s="5869"/>
      <c r="AA314" s="5869"/>
      <c r="AB314" s="5869"/>
      <c r="AC314" s="5869"/>
      <c r="AD314" s="5869"/>
      <c r="AE314" s="5869"/>
      <c r="AF314" s="5869"/>
      <c r="AG314" s="5870"/>
      <c r="AH314" s="1943"/>
      <c r="AI314" s="6011"/>
      <c r="AJ314" s="3986" t="s">
        <v>8845</v>
      </c>
      <c r="AK314" s="3986"/>
      <c r="AL314" s="3986"/>
      <c r="AM314" s="3986" t="b">
        <f>SUM(V296:AG296)&lt;&gt;Y294+ABS(AC294)*2/5+IF(S285="Sí",3*P285,0)</f>
        <v>0</v>
      </c>
      <c r="AN314" s="3986"/>
      <c r="AO314" s="3986"/>
      <c r="AP314" s="3986"/>
      <c r="AQ314" s="3987"/>
      <c r="AR314" s="3987"/>
      <c r="AS314" s="3987"/>
      <c r="AT314" s="3987"/>
      <c r="AU314" s="1868"/>
      <c r="AV314" s="1868"/>
      <c r="AW314" s="1868"/>
      <c r="AX314" s="3986"/>
      <c r="AY314" s="3986"/>
      <c r="AZ314" s="1868"/>
      <c r="BA314" s="1868"/>
      <c r="BB314" s="1868"/>
      <c r="BC314" s="1868"/>
      <c r="BD314" s="1868"/>
      <c r="BE314" s="1868"/>
      <c r="BF314" s="1868"/>
      <c r="BG314" s="1868"/>
      <c r="BH314" s="1868"/>
      <c r="BI314" s="1868"/>
      <c r="BJ314" s="1868"/>
      <c r="BK314" s="1868"/>
      <c r="BL314" s="1868"/>
      <c r="BM314" s="1868"/>
      <c r="BN314" s="1868"/>
      <c r="BO314" s="1868"/>
      <c r="BP314" s="1868"/>
      <c r="BQ314" s="1868"/>
      <c r="BR314" s="1868"/>
    </row>
    <row r="315" spans="1:70" ht="12.2" customHeight="1">
      <c r="A315" s="1935"/>
      <c r="B315" s="1866">
        <f t="shared" si="7"/>
        <v>9</v>
      </c>
      <c r="C315" s="6009"/>
      <c r="D315" s="5868"/>
      <c r="E315" s="5869"/>
      <c r="F315" s="5869"/>
      <c r="G315" s="5869"/>
      <c r="H315" s="5869"/>
      <c r="I315" s="5869"/>
      <c r="J315" s="5869"/>
      <c r="K315" s="5869"/>
      <c r="L315" s="5869"/>
      <c r="M315" s="5869"/>
      <c r="N315" s="5869"/>
      <c r="O315" s="5869"/>
      <c r="P315" s="5869"/>
      <c r="Q315" s="5869"/>
      <c r="R315" s="5869"/>
      <c r="S315" s="5869"/>
      <c r="T315" s="5869"/>
      <c r="U315" s="5869"/>
      <c r="V315" s="5869"/>
      <c r="W315" s="5869"/>
      <c r="X315" s="5869"/>
      <c r="Y315" s="5869"/>
      <c r="Z315" s="5869"/>
      <c r="AA315" s="5869"/>
      <c r="AB315" s="5869"/>
      <c r="AC315" s="5869"/>
      <c r="AD315" s="5869"/>
      <c r="AE315" s="5869"/>
      <c r="AF315" s="5869"/>
      <c r="AG315" s="5870"/>
      <c r="AH315" s="1943"/>
      <c r="AI315" s="6011"/>
      <c r="AJ315" s="3986" t="s">
        <v>8844</v>
      </c>
      <c r="AK315" s="3986"/>
      <c r="AL315" s="3986"/>
      <c r="AM315" s="3986" t="b">
        <f>AL302-AL303+AM302-AM303&lt;&gt;0</f>
        <v>0</v>
      </c>
      <c r="AN315" s="1868"/>
      <c r="AO315" s="1868"/>
      <c r="AP315" s="1868"/>
      <c r="AQ315" s="1868"/>
      <c r="AR315" s="3987"/>
      <c r="AS315" s="3987"/>
      <c r="AT315" s="3987"/>
      <c r="AU315" s="1868"/>
      <c r="AV315" s="1868"/>
      <c r="AW315" s="1868"/>
      <c r="AX315" s="3986"/>
      <c r="AY315" s="3986"/>
      <c r="AZ315" s="1868"/>
      <c r="BA315" s="1868"/>
      <c r="BB315" s="1868"/>
      <c r="BC315" s="1868"/>
      <c r="BD315" s="1868"/>
      <c r="BE315" s="1868"/>
      <c r="BF315" s="1868"/>
      <c r="BG315" s="1868"/>
      <c r="BH315" s="1868"/>
      <c r="BI315" s="1868"/>
      <c r="BJ315" s="1868"/>
      <c r="BK315" s="1868"/>
      <c r="BL315" s="1868"/>
      <c r="BM315" s="1868"/>
      <c r="BN315" s="1868"/>
      <c r="BO315" s="1868"/>
      <c r="BP315" s="1868"/>
      <c r="BQ315" s="1868"/>
      <c r="BR315" s="1868"/>
    </row>
    <row r="316" spans="1:70" ht="12.2" customHeight="1" thickBot="1">
      <c r="A316" s="1935"/>
      <c r="B316" s="1866"/>
      <c r="C316" s="6010"/>
      <c r="D316" s="601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6013"/>
      <c r="F316" s="6013"/>
      <c r="G316" s="6013"/>
      <c r="H316" s="6013"/>
      <c r="I316" s="6013"/>
      <c r="J316" s="6013"/>
      <c r="K316" s="6013"/>
      <c r="L316" s="6013"/>
      <c r="M316" s="6013"/>
      <c r="N316" s="6013"/>
      <c r="O316" s="6013"/>
      <c r="P316" s="6013"/>
      <c r="Q316" s="6013"/>
      <c r="R316" s="6013"/>
      <c r="S316" s="6013"/>
      <c r="T316" s="6013"/>
      <c r="U316" s="6013"/>
      <c r="V316" s="6013"/>
      <c r="W316" s="6013"/>
      <c r="X316" s="6013"/>
      <c r="Y316" s="6013"/>
      <c r="Z316" s="6013"/>
      <c r="AA316" s="6013"/>
      <c r="AB316" s="6013"/>
      <c r="AC316" s="6013"/>
      <c r="AD316" s="6013"/>
      <c r="AE316" s="6013"/>
      <c r="AF316" s="6013"/>
      <c r="AG316" s="6014"/>
      <c r="AH316" s="1943"/>
      <c r="AI316" s="6011"/>
      <c r="AJ316" s="3986" t="s">
        <v>8881</v>
      </c>
      <c r="AK316" s="1868"/>
      <c r="AL316" s="1868"/>
      <c r="AM316" s="1868" t="b">
        <f>ABS(SUM(N294:N296))&gt;(SUM(N289:N293)-10*Y294+AC294+IF(S285="Sí",10*P285,0)+IF(COUNTIF(K289:M293,"Mantenido")&gt;0,P285*10)+MAX(IF(COUNTIF(K289:M293,"Sostenimiento Menor")&gt;0,P285*20)+IF(COUNTIF(K289:M293,"Sostenimiento Mayor")&gt;0,P285*30)))/2</f>
        <v>0</v>
      </c>
      <c r="AN316" s="3986"/>
      <c r="AO316" s="3986"/>
      <c r="AP316" s="3986"/>
      <c r="AQ316" s="3986"/>
      <c r="AR316" s="3987"/>
      <c r="AS316" s="3987"/>
      <c r="AT316" s="3987"/>
      <c r="AU316" s="1868"/>
      <c r="AV316" s="1868"/>
      <c r="AW316" s="1868"/>
      <c r="AX316" s="3986"/>
      <c r="AY316" s="3986"/>
      <c r="AZ316" s="1868"/>
      <c r="BA316" s="1868"/>
      <c r="BB316" s="1868"/>
      <c r="BC316" s="1868"/>
      <c r="BD316" s="1868"/>
      <c r="BE316" s="1868"/>
      <c r="BF316" s="1868"/>
      <c r="BG316" s="1868"/>
      <c r="BH316" s="1868"/>
      <c r="BI316" s="1868"/>
      <c r="BJ316" s="1868"/>
      <c r="BK316" s="1868"/>
      <c r="BL316" s="1868"/>
      <c r="BM316" s="1868"/>
      <c r="BN316" s="1868"/>
      <c r="BO316" s="1868"/>
      <c r="BP316" s="1868"/>
      <c r="BQ316" s="1868"/>
      <c r="BR316" s="1868"/>
    </row>
    <row r="317" spans="1:70" ht="12.2" customHeight="1">
      <c r="A317" s="1935"/>
      <c r="B317" s="1866"/>
      <c r="C317" s="5935"/>
      <c r="D317" s="5935" t="str">
        <f>IFERROR(VLOOKUP(D298,'Tablas Técnicas'!$O$9:$T$88,2,FALSE),"")</f>
        <v/>
      </c>
      <c r="E317" s="5935"/>
      <c r="F317" s="5935"/>
      <c r="G317" s="5935"/>
      <c r="H317" s="5935"/>
      <c r="I317" s="5935"/>
      <c r="J317" s="5935" t="str">
        <f>IFERROR(VLOOKUP(J298,'Tablas Técnicas'!$O$9:$T$88,2,FALSE),"")</f>
        <v/>
      </c>
      <c r="K317" s="5935"/>
      <c r="L317" s="5935"/>
      <c r="M317" s="5935"/>
      <c r="N317" s="5935"/>
      <c r="O317" s="5935"/>
      <c r="P317" s="5935" t="str">
        <f>IFERROR(VLOOKUP(P298,'Tablas Técnicas'!$O$9:$T$88,2,FALSE),"")</f>
        <v/>
      </c>
      <c r="Q317" s="5935"/>
      <c r="R317" s="5935"/>
      <c r="S317" s="5935"/>
      <c r="T317" s="5935"/>
      <c r="U317" s="5935"/>
      <c r="V317" s="5935" t="str">
        <f>IFERROR(VLOOKUP(V298,'Tablas Técnicas'!$O$9:$T$88,2,FALSE),"")</f>
        <v/>
      </c>
      <c r="W317" s="5935"/>
      <c r="X317" s="5935"/>
      <c r="Y317" s="5935"/>
      <c r="Z317" s="5935"/>
      <c r="AA317" s="5935"/>
      <c r="AB317" s="5935" t="str">
        <f>IFERROR(VLOOKUP(AB298,'Tablas Técnicas'!$O$9:$T$88,2,FALSE),"")</f>
        <v/>
      </c>
      <c r="AC317" s="5935"/>
      <c r="AD317" s="5935"/>
      <c r="AE317" s="5935"/>
      <c r="AF317" s="5935"/>
      <c r="AG317" s="5935"/>
      <c r="AH317" s="1943"/>
      <c r="AI317" s="1712"/>
      <c r="AJ317" s="3986"/>
      <c r="AK317" s="3986"/>
      <c r="AL317" s="3986"/>
      <c r="AM317" s="3986"/>
      <c r="AN317" s="3986"/>
      <c r="AO317" s="3986"/>
      <c r="AP317" s="3986"/>
      <c r="AQ317" s="3986"/>
      <c r="AR317" s="3987"/>
      <c r="AS317" s="3987"/>
      <c r="AT317" s="3987"/>
      <c r="AU317" s="1868"/>
      <c r="AV317" s="1868"/>
      <c r="AW317" s="1868"/>
      <c r="AX317" s="1868"/>
      <c r="AY317" s="3986"/>
      <c r="AZ317" s="1868"/>
      <c r="BA317" s="1868"/>
      <c r="BB317" s="1868"/>
      <c r="BC317" s="1868"/>
      <c r="BD317" s="1868"/>
      <c r="BE317" s="1868"/>
      <c r="BF317" s="1868"/>
      <c r="BG317" s="1868"/>
      <c r="BH317" s="1868"/>
      <c r="BI317" s="1868"/>
      <c r="BJ317" s="1868"/>
      <c r="BK317" s="1868"/>
      <c r="BL317" s="1868"/>
      <c r="BM317" s="1868"/>
      <c r="BN317" s="1868"/>
      <c r="BO317" s="1868"/>
      <c r="BP317" s="1868"/>
      <c r="BQ317" s="1868"/>
      <c r="BR317" s="1868"/>
    </row>
    <row r="318" spans="1:70" ht="12.2" customHeight="1" thickBot="1">
      <c r="A318" s="1935"/>
      <c r="B318" s="1866"/>
      <c r="C318" s="5935"/>
      <c r="D318" s="2024"/>
      <c r="E318" s="1868"/>
      <c r="F318" s="1868"/>
      <c r="G318" s="1868"/>
      <c r="H318" s="1868"/>
      <c r="I318" s="1868"/>
      <c r="J318" s="1868"/>
      <c r="K318" s="1868"/>
      <c r="L318" s="1868"/>
      <c r="M318" s="1868"/>
      <c r="N318" s="1868"/>
      <c r="O318" s="1868"/>
      <c r="P318" s="1868"/>
      <c r="Q318" s="1868"/>
      <c r="R318" s="1868"/>
      <c r="S318" s="1868"/>
      <c r="T318" s="1868"/>
      <c r="U318" s="1868"/>
      <c r="V318" s="2025"/>
      <c r="W318" s="2025"/>
      <c r="X318" s="2025"/>
      <c r="Y318" s="2025"/>
      <c r="Z318" s="2025"/>
      <c r="AA318" s="2025"/>
      <c r="AB318" s="2025"/>
      <c r="AC318" s="2025"/>
      <c r="AD318" s="2025"/>
      <c r="AE318" s="2025"/>
      <c r="AF318" s="1868"/>
      <c r="AG318" s="1868"/>
      <c r="AH318" s="1943"/>
      <c r="AI318" s="1712"/>
      <c r="AJ318" s="3991"/>
      <c r="AK318" s="3991"/>
      <c r="AL318" s="3991"/>
      <c r="AM318" s="3991"/>
      <c r="AN318" s="3991"/>
      <c r="AO318" s="3991"/>
      <c r="AP318" s="3986"/>
      <c r="AQ318" s="3987"/>
      <c r="AR318" s="1868"/>
      <c r="AS318" s="1868"/>
      <c r="AT318" s="1868"/>
      <c r="AU318" s="1868"/>
      <c r="AV318" s="1868"/>
      <c r="AW318" s="1868"/>
      <c r="AX318" s="1868"/>
      <c r="AY318" s="3992"/>
      <c r="AZ318" s="1868"/>
      <c r="BA318" s="1868"/>
      <c r="BB318" s="1868"/>
      <c r="BC318" s="1868"/>
      <c r="BD318" s="1868"/>
      <c r="BE318" s="1868"/>
      <c r="BF318" s="1868"/>
      <c r="BG318" s="1868"/>
      <c r="BH318" s="1868"/>
      <c r="BI318" s="1868"/>
      <c r="BJ318" s="1868"/>
      <c r="BK318" s="1868"/>
      <c r="BL318" s="1868"/>
      <c r="BM318" s="1868"/>
      <c r="BN318" s="1868"/>
      <c r="BO318" s="1868"/>
      <c r="BP318" s="1868"/>
      <c r="BQ318" s="1868"/>
      <c r="BR318" s="1868"/>
    </row>
    <row r="319" spans="1:70" ht="12.2" customHeight="1">
      <c r="A319" s="1935"/>
      <c r="B319" s="1866">
        <f t="shared" ref="B319:B349" si="8">1+B285</f>
        <v>10</v>
      </c>
      <c r="C319" s="6008" t="str">
        <f>"Técnica "&amp;B319</f>
        <v>Técnica 10</v>
      </c>
      <c r="D319" s="5974" t="s">
        <v>8267</v>
      </c>
      <c r="E319" s="5975"/>
      <c r="F319" s="5975"/>
      <c r="G319" s="5975"/>
      <c r="H319" s="5975"/>
      <c r="I319" s="5975"/>
      <c r="J319" s="5975"/>
      <c r="K319" s="5975"/>
      <c r="L319" s="5975"/>
      <c r="M319" s="5975"/>
      <c r="N319" s="5976"/>
      <c r="O319" s="5971" t="s">
        <v>1186</v>
      </c>
      <c r="P319" s="5973">
        <v>1</v>
      </c>
      <c r="Q319" s="5916" t="s">
        <v>8350</v>
      </c>
      <c r="R319" s="5967"/>
      <c r="S319" s="5969" t="s">
        <v>1241</v>
      </c>
      <c r="T319" s="5917" t="s">
        <v>1365</v>
      </c>
      <c r="U319" s="5897">
        <f>MAX(IF(P319=3,60,IF(P319=2,40,20)),MIN(SUM(N323:N330)-10*Y328+AC328+IF(S319="Sí",10*P319,0)+IF(COUNTIF(K323:M327,"Mantenido")&gt;0,P319*10)+MAX(IF(COUNTIF(K357:M361,"Sostenimiento Menor"),20+IF(P353=2,0,10),IF(COUNTIF(K357:M361,"Sostenimiento Mayor"),30+IF(P353=2,0,10))))))</f>
        <v>20</v>
      </c>
      <c r="V319" s="5916" t="s">
        <v>8351</v>
      </c>
      <c r="W319" s="5917"/>
      <c r="X319" s="5920" t="str">
        <f>IFERROR(LEFT(AK335&amp;AL335&amp;AM335&amp;AN335&amp;AO335&amp;AP335,LEN(AK335&amp;AL335&amp;AM335&amp;AN335&amp;AO335&amp;AP335)-2),"")</f>
        <v/>
      </c>
      <c r="Y319" s="5920"/>
      <c r="Z319" s="5920"/>
      <c r="AA319" s="5920"/>
      <c r="AB319" s="5920"/>
      <c r="AC319" s="5920"/>
      <c r="AD319" s="5920"/>
      <c r="AE319" s="5920"/>
      <c r="AF319" s="5920"/>
      <c r="AG319" s="5921"/>
      <c r="AH319" s="1943"/>
      <c r="AI319" s="6011"/>
      <c r="AJ319" s="3989" t="s">
        <v>8878</v>
      </c>
      <c r="AK319" s="3989"/>
      <c r="AL319" s="3989"/>
      <c r="AM319" s="3989"/>
      <c r="AN319" s="3989"/>
      <c r="AO319" s="3989"/>
      <c r="AP319" s="3989"/>
      <c r="AQ319" s="3989"/>
      <c r="AR319" s="3989"/>
      <c r="AS319" s="3986"/>
      <c r="AT319" s="3986"/>
      <c r="AU319" s="3986"/>
      <c r="AV319" s="3986"/>
      <c r="AW319" s="1868"/>
      <c r="AX319" s="1868"/>
      <c r="AY319" s="3986"/>
      <c r="AZ319" s="1868"/>
      <c r="BA319" s="1868"/>
      <c r="BB319" s="1868"/>
      <c r="BC319" s="1868"/>
      <c r="BD319" s="1868"/>
      <c r="BE319" s="1868"/>
      <c r="BF319" s="1868"/>
      <c r="BG319" s="1868"/>
      <c r="BH319" s="1868"/>
      <c r="BI319" s="1868"/>
      <c r="BJ319" s="1868"/>
      <c r="BK319" s="1868"/>
      <c r="BL319" s="1868"/>
      <c r="BM319" s="1868"/>
      <c r="BN319" s="1868"/>
      <c r="BO319" s="1868"/>
      <c r="BP319" s="1868"/>
      <c r="BQ319" s="1868"/>
      <c r="BR319" s="1868"/>
    </row>
    <row r="320" spans="1:70" ht="12.2" customHeight="1">
      <c r="A320" s="1935"/>
      <c r="B320" s="1866">
        <f t="shared" si="8"/>
        <v>10</v>
      </c>
      <c r="C320" s="6009"/>
      <c r="D320" s="5977"/>
      <c r="E320" s="5978"/>
      <c r="F320" s="5978"/>
      <c r="G320" s="5978"/>
      <c r="H320" s="5978"/>
      <c r="I320" s="5978"/>
      <c r="J320" s="5978"/>
      <c r="K320" s="5978"/>
      <c r="L320" s="5978"/>
      <c r="M320" s="5978"/>
      <c r="N320" s="5979"/>
      <c r="O320" s="5972"/>
      <c r="P320" s="5970"/>
      <c r="Q320" s="5918"/>
      <c r="R320" s="5968"/>
      <c r="S320" s="5970"/>
      <c r="T320" s="5919"/>
      <c r="U320" s="5898"/>
      <c r="V320" s="5918"/>
      <c r="W320" s="5919"/>
      <c r="X320" s="5922"/>
      <c r="Y320" s="5922"/>
      <c r="Z320" s="5922"/>
      <c r="AA320" s="5922"/>
      <c r="AB320" s="5922"/>
      <c r="AC320" s="5922"/>
      <c r="AD320" s="5922"/>
      <c r="AE320" s="5922"/>
      <c r="AF320" s="5922"/>
      <c r="AG320" s="5923"/>
      <c r="AH320" s="1943"/>
      <c r="AI320" s="6011"/>
      <c r="AJ320" s="3989"/>
      <c r="AK320" s="3989" t="s">
        <v>8879</v>
      </c>
      <c r="AL320" s="3989" t="s">
        <v>12546</v>
      </c>
      <c r="AM320" s="3990"/>
      <c r="AN320" s="3990"/>
      <c r="AO320" s="3990"/>
      <c r="AP320" s="3990"/>
      <c r="AQ320" s="3990"/>
      <c r="AR320" s="3989"/>
      <c r="AS320" s="3986"/>
      <c r="AT320" s="3986"/>
      <c r="AU320" s="3986"/>
      <c r="AV320" s="3986"/>
      <c r="AW320" s="1868"/>
      <c r="AX320" s="5935" t="s">
        <v>8848</v>
      </c>
      <c r="AY320" s="5935"/>
      <c r="AZ320" s="1868"/>
      <c r="BA320" s="1868"/>
      <c r="BB320" s="1868"/>
      <c r="BC320" s="1868"/>
      <c r="BD320" s="1868"/>
      <c r="BE320" s="1868"/>
      <c r="BF320" s="1868"/>
      <c r="BG320" s="1868"/>
      <c r="BH320" s="1868"/>
      <c r="BI320" s="1868"/>
      <c r="BJ320" s="1868"/>
      <c r="BK320" s="1868"/>
      <c r="BL320" s="1868"/>
      <c r="BM320" s="1868"/>
      <c r="BN320" s="1868"/>
      <c r="BO320" s="1868"/>
      <c r="BP320" s="1868"/>
      <c r="BQ320" s="1868"/>
      <c r="BR320" s="1868"/>
    </row>
    <row r="321" spans="1:70" ht="12.2" customHeight="1">
      <c r="A321" s="1935"/>
      <c r="B321" s="1866">
        <f t="shared" si="8"/>
        <v>10</v>
      </c>
      <c r="C321" s="6009"/>
      <c r="D321" s="5873" t="s">
        <v>2662</v>
      </c>
      <c r="E321" s="5874"/>
      <c r="F321" s="5874"/>
      <c r="G321" s="5874"/>
      <c r="H321" s="5874"/>
      <c r="I321" s="5874"/>
      <c r="J321" s="5874"/>
      <c r="K321" s="5924" t="s">
        <v>9170</v>
      </c>
      <c r="L321" s="5924"/>
      <c r="M321" s="5924"/>
      <c r="N321" s="5874" t="s">
        <v>1359</v>
      </c>
      <c r="O321" s="5924" t="s">
        <v>2660</v>
      </c>
      <c r="P321" s="5924" t="s">
        <v>8352</v>
      </c>
      <c r="Q321" s="5874" t="s">
        <v>1224</v>
      </c>
      <c r="R321" s="5874"/>
      <c r="S321" s="5874"/>
      <c r="T321" s="5874"/>
      <c r="U321" s="5874"/>
      <c r="V321" s="5876" t="s">
        <v>1233</v>
      </c>
      <c r="W321" s="5855"/>
      <c r="X321" s="5876" t="s">
        <v>1357</v>
      </c>
      <c r="Y321" s="5980"/>
      <c r="Z321" s="5855" t="s">
        <v>1238</v>
      </c>
      <c r="AA321" s="5855"/>
      <c r="AB321" s="5876" t="s">
        <v>1243</v>
      </c>
      <c r="AC321" s="5980"/>
      <c r="AD321" s="5855" t="s">
        <v>1250</v>
      </c>
      <c r="AE321" s="5855"/>
      <c r="AF321" s="5876" t="s">
        <v>1251</v>
      </c>
      <c r="AG321" s="5856"/>
      <c r="AH321" s="1943"/>
      <c r="AI321" s="6011"/>
      <c r="AJ321" s="3986"/>
      <c r="AK321" s="3986"/>
      <c r="AL321" s="3986" t="s">
        <v>9149</v>
      </c>
      <c r="AM321" s="3986"/>
      <c r="AN321" s="3986"/>
      <c r="AO321" s="3986"/>
      <c r="AP321" s="3986"/>
      <c r="AQ321" s="3986"/>
      <c r="AR321" s="1868"/>
      <c r="AS321" s="1868" t="s">
        <v>8868</v>
      </c>
      <c r="AT321" s="1868" t="s">
        <v>8869</v>
      </c>
      <c r="AU321" s="3986" t="s">
        <v>8857</v>
      </c>
      <c r="AV321" s="3986" t="s">
        <v>8858</v>
      </c>
      <c r="AW321" s="1868" t="s">
        <v>1359</v>
      </c>
      <c r="AX321" s="1868" t="s">
        <v>8354</v>
      </c>
      <c r="AY321" s="3986" t="s">
        <v>8355</v>
      </c>
      <c r="AZ321" s="1868"/>
      <c r="BA321" s="1868"/>
      <c r="BB321" s="1868"/>
      <c r="BC321" s="1868"/>
      <c r="BD321" s="1868"/>
      <c r="BE321" s="1868"/>
      <c r="BF321" s="1868"/>
      <c r="BG321" s="1868"/>
      <c r="BH321" s="1868"/>
      <c r="BI321" s="1868"/>
      <c r="BJ321" s="1868"/>
      <c r="BK321" s="1868"/>
      <c r="BL321" s="1868"/>
      <c r="BM321" s="1868"/>
      <c r="BN321" s="1868"/>
      <c r="BO321" s="1868"/>
      <c r="BP321" s="1868"/>
      <c r="BQ321" s="1868"/>
      <c r="BR321" s="1868"/>
    </row>
    <row r="322" spans="1:70" ht="12.2" customHeight="1">
      <c r="A322" s="1935"/>
      <c r="B322" s="1866">
        <f t="shared" si="8"/>
        <v>10</v>
      </c>
      <c r="C322" s="6009"/>
      <c r="D322" s="6015"/>
      <c r="E322" s="6016"/>
      <c r="F322" s="6016"/>
      <c r="G322" s="6016"/>
      <c r="H322" s="6016"/>
      <c r="I322" s="6016"/>
      <c r="J322" s="6016"/>
      <c r="K322" s="6017"/>
      <c r="L322" s="6017"/>
      <c r="M322" s="6017"/>
      <c r="N322" s="5877"/>
      <c r="O322" s="6017"/>
      <c r="P322" s="5991"/>
      <c r="Q322" s="5877"/>
      <c r="R322" s="5877"/>
      <c r="S322" s="5877"/>
      <c r="T322" s="5877"/>
      <c r="U322" s="5877"/>
      <c r="V322" s="1870" t="s">
        <v>8847</v>
      </c>
      <c r="W322" s="1936" t="s">
        <v>2666</v>
      </c>
      <c r="X322" s="1870" t="s">
        <v>8847</v>
      </c>
      <c r="Y322" s="1936" t="s">
        <v>2666</v>
      </c>
      <c r="Z322" s="1870" t="s">
        <v>8847</v>
      </c>
      <c r="AA322" s="1936" t="s">
        <v>2666</v>
      </c>
      <c r="AB322" s="1870" t="s">
        <v>8847</v>
      </c>
      <c r="AC322" s="1936" t="s">
        <v>2666</v>
      </c>
      <c r="AD322" s="1870" t="s">
        <v>8847</v>
      </c>
      <c r="AE322" s="1936" t="s">
        <v>2666</v>
      </c>
      <c r="AF322" s="1870" t="s">
        <v>8847</v>
      </c>
      <c r="AG322" s="1719" t="s">
        <v>2666</v>
      </c>
      <c r="AH322" s="1943"/>
      <c r="AI322" s="6011"/>
      <c r="AJ322" s="3986"/>
      <c r="AK322" s="3986" t="s">
        <v>8849</v>
      </c>
      <c r="AL322" s="3986">
        <v>1</v>
      </c>
      <c r="AM322" s="3986">
        <v>2</v>
      </c>
      <c r="AN322" s="3986">
        <v>3</v>
      </c>
      <c r="AO322" s="3986">
        <v>4</v>
      </c>
      <c r="AP322" s="3986">
        <v>5</v>
      </c>
      <c r="AQ322" s="3986">
        <v>6</v>
      </c>
      <c r="AR322" s="3986">
        <v>7</v>
      </c>
      <c r="AS322" s="1868"/>
      <c r="AT322" s="3986" t="s">
        <v>8880</v>
      </c>
      <c r="AU322" s="1868"/>
      <c r="AV322" s="1868"/>
      <c r="AW322" s="1868" t="s">
        <v>8880</v>
      </c>
      <c r="AX322" s="1868"/>
      <c r="AY322" s="3986"/>
      <c r="AZ322" s="1868"/>
      <c r="BA322" s="1868"/>
      <c r="BB322" s="1868"/>
      <c r="BC322" s="1868"/>
      <c r="BD322" s="1868"/>
      <c r="BE322" s="1868"/>
      <c r="BF322" s="1868"/>
      <c r="BG322" s="1868"/>
      <c r="BH322" s="1868"/>
      <c r="BI322" s="1868"/>
      <c r="BJ322" s="1868"/>
      <c r="BK322" s="1868"/>
      <c r="BL322" s="1868"/>
      <c r="BM322" s="1868"/>
      <c r="BN322" s="1868"/>
      <c r="BO322" s="1868"/>
      <c r="BP322" s="1868"/>
      <c r="BQ322" s="1868"/>
      <c r="BR322" s="1868"/>
    </row>
    <row r="323" spans="1:70" ht="12.2" customHeight="1">
      <c r="A323" s="1935"/>
      <c r="B323" s="1866">
        <f t="shared" si="8"/>
        <v>10</v>
      </c>
      <c r="C323" s="6009"/>
      <c r="D323" s="5981" t="s">
        <v>8356</v>
      </c>
      <c r="E323" s="5982"/>
      <c r="F323" s="5929"/>
      <c r="G323" s="5930"/>
      <c r="H323" s="5930"/>
      <c r="I323" s="5930"/>
      <c r="J323" s="5931"/>
      <c r="K323" s="5932" t="s">
        <v>1315</v>
      </c>
      <c r="L323" s="5933"/>
      <c r="M323" s="5934"/>
      <c r="N323" s="1871">
        <f>IF(AW323&gt;0,IF(VLOOKUP(F323,'Tablas Técnicas'!$O$9:$X$88,10,0),MAX(5,AW323-5),AW323),0)</f>
        <v>0</v>
      </c>
      <c r="O323" s="1871" t="str">
        <f>AS323&amp;" / "&amp;AT323</f>
        <v>0 / 0</v>
      </c>
      <c r="P323" s="1871" t="str">
        <f t="array" ref="P323">W323+Y323+AA323+AC323+AE323+AG323&amp;" / "&amp;IF(K323&lt;&gt;"Mantenido",0,SUM(IF($AL323:$AR323='Tablas Técnicas'!$L$10:$L$644,'Tablas Técnicas'!$H$10:$H$644,0)))</f>
        <v>0 / 0</v>
      </c>
      <c r="Q323" s="5983" t="str">
        <f>IFERROR(VLOOKUP(F323,'Tablas Técnicas'!$O$9:$T$88,5,FALSE),"")</f>
        <v/>
      </c>
      <c r="R323" s="5983"/>
      <c r="S323" s="5983"/>
      <c r="T323" s="5983"/>
      <c r="U323" s="5983"/>
      <c r="V323" s="1822"/>
      <c r="W323" s="1823"/>
      <c r="X323" s="1822"/>
      <c r="Y323" s="1824"/>
      <c r="Z323" s="1825"/>
      <c r="AA323" s="1823"/>
      <c r="AB323" s="1822"/>
      <c r="AC323" s="1824"/>
      <c r="AD323" s="1825"/>
      <c r="AE323" s="1823"/>
      <c r="AF323" s="1822"/>
      <c r="AG323" s="1826"/>
      <c r="AH323" s="1943"/>
      <c r="AI323" s="6011"/>
      <c r="AJ323" s="3986">
        <v>1</v>
      </c>
      <c r="AK323" s="3986">
        <f>P319</f>
        <v>1</v>
      </c>
      <c r="AL323" s="3986" t="str">
        <f>IF(AND(ISNUMBER(MATCH($F323,'Tablas Técnicas'!$L$10:$L$644,0)),INDEX($D336:$D342,Tablas!A$1)="",COUNTIF(AM323:$AS323,$F323)=0),$F323,IF(INDEX($D336:$D342,Tablas!A$1)="","",$F323&amp;INDEX($D336:$D342,Tablas!A$1)))</f>
        <v/>
      </c>
      <c r="AM323" s="3986" t="str">
        <f>IF(AND(ISNUMBER(MATCH($F323,'Tablas Técnicas'!$L$10:$L$644,0)),INDEX($D336:$D342,Tablas!B$1)="",COUNTIF(AN323:$AS323,$F323)=0),$F323,IF(INDEX($D336:$D342,Tablas!B$1)="","",$F323&amp;INDEX($D336:$D342,Tablas!B$1)))</f>
        <v/>
      </c>
      <c r="AN323" s="3986" t="str">
        <f>IF(AND(ISNUMBER(MATCH($F323,'Tablas Técnicas'!$L$10:$L$644,0)),INDEX($D336:$D342,Tablas!C$1)="",COUNTIF(AO323:$AS323,$F323)=0),$F323,IF(INDEX($D336:$D342,Tablas!C$1)="","",$F323&amp;INDEX($D336:$D342,Tablas!C$1)))</f>
        <v/>
      </c>
      <c r="AO323" s="3986" t="str">
        <f>IF(AND(ISNUMBER(MATCH($F323,'Tablas Técnicas'!$L$10:$L$644,0)),INDEX($D336:$D342,Tablas!D$1)="",COUNTIF(AP323:$AS323,$F323)=0),$F323,IF(INDEX($D336:$D342,Tablas!D$1)="","",$F323&amp;INDEX($D336:$D342,Tablas!D$1)))</f>
        <v/>
      </c>
      <c r="AP323" s="3986" t="str">
        <f>IF(AND(ISNUMBER(MATCH($F323,'Tablas Técnicas'!$L$10:$L$644,0)),INDEX($D336:$D342,Tablas!E$1)="",COUNTIF(AQ323:$AS323,$F323)=0),$F323,IF(INDEX($D336:$D342,Tablas!E$1)="","",$F323&amp;INDEX($D336:$D342,Tablas!E$1)))</f>
        <v/>
      </c>
      <c r="AQ323" s="3986" t="str">
        <f>IF(AND(ISNUMBER(MATCH($F323,'Tablas Técnicas'!$L$10:$L$644,0)),INDEX($D336:$D342,Tablas!F$1)="",COUNTIF(AR323:$AS323,$F323)=0),$F323,IF(INDEX($D336:$D342,Tablas!F$1)="","",$F323&amp;INDEX($D336:$D342,Tablas!F$1)))</f>
        <v/>
      </c>
      <c r="AR323" s="3986" t="str">
        <f>IF(AND(ISNUMBER(MATCH($F323,'Tablas Técnicas'!$L$10:$L$644,0)),INDEX($D336:$D342,Tablas!G$1)="",COUNTIF(AS323:$AS323,$F323)=0),$F323,IF(INDEX($D336:$D342,Tablas!G$1)="","",$F323&amp;INDEX($D336:$D342,Tablas!G$1)))</f>
        <v/>
      </c>
      <c r="AS323" s="1868">
        <f>V323+X323+Z323+AB323+AD323+AF323</f>
        <v>0</v>
      </c>
      <c r="AT323" s="1868">
        <f t="array" ref="AT323">SUM(IF($AL323:$AR323='Tablas Técnicas'!$L$10:$L$644,IF(D323="Primario",'Tablas Técnicas'!$E$10:$E$644,'Tablas Técnicas'!$F$10:$F$644)+IF(K323="Sostenimiento menor",'Tablas Técnicas'!$I$10:$I$644,IF(K323="sostenimiento mayor",'Tablas Técnicas'!$J$10:$J$644,0)),0),0)+VALUE(RIGHT(P323,2))+AU323+AV323</f>
        <v>0</v>
      </c>
      <c r="AU323" s="186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1868">
        <f>(COUNTIF(AL323:AR323,"*Estado añadido:*")-1)*COUNTIF(AL323:AR323,"*Estado añadido:*")</f>
        <v>0</v>
      </c>
      <c r="AW323" s="1868">
        <f t="array" ref="AW323">SUM(IF($AL323:$AR323='Tablas Técnicas'!$L$10:$L$644,'Tablas Técnicas'!$G$10:$G$644,0))</f>
        <v>0</v>
      </c>
      <c r="AX323" s="398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986" t="str">
        <f>IFERROR(LEFT(AX323,LEN(AX323)-2)&amp;"), ","")</f>
        <v/>
      </c>
      <c r="AZ323" s="1868"/>
      <c r="BA323" s="1868"/>
      <c r="BB323" s="1868"/>
      <c r="BC323" s="1868"/>
      <c r="BD323" s="1868"/>
      <c r="BE323" s="1868"/>
      <c r="BF323" s="1868"/>
      <c r="BG323" s="1868"/>
      <c r="BH323" s="1868"/>
      <c r="BI323" s="1868"/>
      <c r="BJ323" s="1868"/>
      <c r="BK323" s="1868"/>
      <c r="BL323" s="1868"/>
      <c r="BM323" s="1868"/>
      <c r="BN323" s="1868"/>
      <c r="BO323" s="1868"/>
      <c r="BP323" s="1868"/>
      <c r="BQ323" s="1868"/>
      <c r="BR323" s="1868"/>
    </row>
    <row r="324" spans="1:70" ht="12.2" customHeight="1">
      <c r="A324" s="1935"/>
      <c r="B324" s="1866">
        <f t="shared" si="8"/>
        <v>10</v>
      </c>
      <c r="C324" s="6009"/>
      <c r="D324" s="5906" t="s">
        <v>483</v>
      </c>
      <c r="E324" s="5907"/>
      <c r="F324" s="5984"/>
      <c r="G324" s="5985"/>
      <c r="H324" s="5985"/>
      <c r="I324" s="5985"/>
      <c r="J324" s="5902"/>
      <c r="K324" s="5986" t="s">
        <v>1315</v>
      </c>
      <c r="L324" s="5987"/>
      <c r="M324" s="5988"/>
      <c r="N324" s="1716">
        <f>IF(AW324&gt;0,IF(VLOOKUP(F324,'Tablas Técnicas'!$O$9:$X$88,10,0),MAX(5,AW324-5),AW324),0)</f>
        <v>0</v>
      </c>
      <c r="O324" s="1716" t="str">
        <f>AS324&amp;" / "&amp;AT324</f>
        <v>0 / 0</v>
      </c>
      <c r="P324" s="1716" t="str">
        <f t="array" ref="P324">W324+Y324+AA324+AC324+AE324+AG324&amp;" / "&amp;IF(K324&lt;&gt;"Mantenido",0,SUM(IF($AL324:$AR324='Tablas Técnicas'!$L$10:$L$644,'Tablas Técnicas'!$H$10:$H$644,0)))</f>
        <v>0 / 0</v>
      </c>
      <c r="Q324" s="5908" t="str">
        <f>IFERROR(VLOOKUP(F324,'Tablas Técnicas'!$O$9:$T$88,5,FALSE),"")</f>
        <v/>
      </c>
      <c r="R324" s="5908"/>
      <c r="S324" s="5908"/>
      <c r="T324" s="5908"/>
      <c r="U324" s="5908"/>
      <c r="V324" s="1827"/>
      <c r="W324" s="1828"/>
      <c r="X324" s="1827"/>
      <c r="Y324" s="1829"/>
      <c r="Z324" s="1830"/>
      <c r="AA324" s="1828"/>
      <c r="AB324" s="1827"/>
      <c r="AC324" s="1829"/>
      <c r="AD324" s="1830"/>
      <c r="AE324" s="1828"/>
      <c r="AF324" s="1827"/>
      <c r="AG324" s="1831"/>
      <c r="AH324" s="1943"/>
      <c r="AI324" s="6011"/>
      <c r="AJ324" s="3986">
        <v>2</v>
      </c>
      <c r="AK324" s="3986">
        <f>P319</f>
        <v>1</v>
      </c>
      <c r="AL324" s="3986" t="str">
        <f>IF(AND(ISNUMBER(MATCH($F324,'Tablas Técnicas'!$L$10:$L$644,0)),INDEX($J336:$J342,Tablas!A$1)="",COUNTIF(AM324:$AS324,$F324)=0),$F324,IF(INDEX($J336:$J342,Tablas!A$1)="","",$F324&amp;INDEX($J336:$J342,Tablas!A$1)))</f>
        <v/>
      </c>
      <c r="AM324" s="3986" t="str">
        <f>IF(AND(ISNUMBER(MATCH($F324,'Tablas Técnicas'!$L$10:$L$644,0)),INDEX($J336:$J342,Tablas!B$1)="",COUNTIF(AN324:$AS324,$F324)=0),$F324,IF(INDEX($J336:$J342,Tablas!B$1)="","",$F324&amp;INDEX($J336:$J342,Tablas!B$1)))</f>
        <v/>
      </c>
      <c r="AN324" s="3986" t="str">
        <f>IF(AND(ISNUMBER(MATCH($F324,'Tablas Técnicas'!$L$10:$L$644,0)),INDEX($J336:$J342,Tablas!C$1)="",COUNTIF(AO324:$AS324,$F324)=0),$F324,IF(INDEX($J336:$J342,Tablas!C$1)="","",$F324&amp;INDEX($J336:$J342,Tablas!C$1)))</f>
        <v/>
      </c>
      <c r="AO324" s="3986" t="str">
        <f>IF(AND(ISNUMBER(MATCH($F324,'Tablas Técnicas'!$L$10:$L$644,0)),INDEX($J336:$J342,Tablas!D$1)="",COUNTIF(AP324:$AS324,$F324)=0),$F324,IF(INDEX($J336:$J342,Tablas!D$1)="","",$F324&amp;INDEX($J336:$J342,Tablas!D$1)))</f>
        <v/>
      </c>
      <c r="AP324" s="3986" t="str">
        <f>IF(AND(ISNUMBER(MATCH($F324,'Tablas Técnicas'!$L$10:$L$644,0)),INDEX($J336:$J342,Tablas!E$1)="",COUNTIF(AQ324:$AS324,$F324)=0),$F324,IF(INDEX($J336:$J342,Tablas!E$1)="","",$F324&amp;INDEX($J336:$J342,Tablas!E$1)))</f>
        <v/>
      </c>
      <c r="AQ324" s="3986" t="str">
        <f>IF(AND(ISNUMBER(MATCH($F324,'Tablas Técnicas'!$L$10:$L$644,0)),INDEX($J336:$J342,Tablas!F$1)="",COUNTIF(AR324:$AS324,$F324)=0),$F324,IF(INDEX($J336:$J342,Tablas!F$1)="","",$F324&amp;INDEX($J336:$J342,Tablas!F$1)))</f>
        <v/>
      </c>
      <c r="AR324" s="3986" t="str">
        <f>IF(AND(ISNUMBER(MATCH($F324,'Tablas Técnicas'!$L$10:$L$644,0)),INDEX($J336:$J342,Tablas!G$1)="",COUNTIF(AS324:$AS324,$F324)=0),$F324,IF(INDEX($J336:$J342,Tablas!G$1)="","",$F324&amp;INDEX($J336:$J342,Tablas!G$1)))</f>
        <v/>
      </c>
      <c r="AS324" s="1868">
        <f>V324+X324+Z324+AB324+AD324+AF324</f>
        <v>0</v>
      </c>
      <c r="AT324" s="1868">
        <f t="array" ref="AT324">SUM(IF($AL324:$AR324='Tablas Técnicas'!$L$10:$L$644,IF(D324="Primario",'Tablas Técnicas'!$E$10:$E$644,'Tablas Técnicas'!$F$10:$F$644)+IF(K324="Sostenimiento menor",'Tablas Técnicas'!$I$10:$I$644,IF(K324="sostenimiento mayor",'Tablas Técnicas'!$J$10:$J$644,0)),0),0)+VALUE(RIGHT(P324,2))+AU324+AV324</f>
        <v>0</v>
      </c>
      <c r="AU324" s="186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1868">
        <f>(COUNTIF(AL324:AR324,"*Estado añadido:*")-1)*COUNTIF(AL324:AR324,"*Estado añadido:*")</f>
        <v>0</v>
      </c>
      <c r="AW324" s="1868">
        <f t="array" ref="AW324">SUM(IF($AL324:$AR324='Tablas Técnicas'!$L$10:$L$644,'Tablas Técnicas'!$G$10:$G$644,0))</f>
        <v>0</v>
      </c>
      <c r="AX324" s="3986"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986" t="str">
        <f>IFERROR(LEFT(AX324,LEN(AX324)-2)&amp;"), ","")</f>
        <v/>
      </c>
      <c r="AZ324" s="1868"/>
      <c r="BA324" s="1868"/>
      <c r="BB324" s="1868"/>
      <c r="BC324" s="1868"/>
      <c r="BD324" s="1868"/>
      <c r="BE324" s="1868"/>
      <c r="BF324" s="1868"/>
      <c r="BG324" s="1868"/>
      <c r="BH324" s="1868"/>
      <c r="BI324" s="1868"/>
      <c r="BJ324" s="1868"/>
      <c r="BK324" s="1868"/>
      <c r="BL324" s="1868"/>
      <c r="BM324" s="1868"/>
      <c r="BN324" s="1868"/>
      <c r="BO324" s="1868"/>
      <c r="BP324" s="1868"/>
      <c r="BQ324" s="1868"/>
      <c r="BR324" s="1868"/>
    </row>
    <row r="325" spans="1:70" ht="12.2" customHeight="1">
      <c r="A325" s="1935"/>
      <c r="B325" s="1866">
        <f t="shared" si="8"/>
        <v>10</v>
      </c>
      <c r="C325" s="6009"/>
      <c r="D325" s="6000" t="s">
        <v>483</v>
      </c>
      <c r="E325" s="6001"/>
      <c r="F325" s="5899"/>
      <c r="G325" s="5900"/>
      <c r="H325" s="5900"/>
      <c r="I325" s="5900"/>
      <c r="J325" s="5901"/>
      <c r="K325" s="5997" t="s">
        <v>1315</v>
      </c>
      <c r="L325" s="5998"/>
      <c r="M325" s="5999"/>
      <c r="N325" s="1712">
        <f>IF(AW325&gt;0,IF(VLOOKUP(F325,'Tablas Técnicas'!$O$9:$X$88,10,0),MAX(5,AW325-5),AW325),0)</f>
        <v>0</v>
      </c>
      <c r="O325" s="1712" t="str">
        <f>AS325&amp;" / "&amp;AT325</f>
        <v>0 / 0</v>
      </c>
      <c r="P325" s="1712" t="str">
        <f t="array" ref="P325">W325+Y325+AA325+AC325+AE325+AG325&amp;" / "&amp;IF(K325&lt;&gt;"Mantenido",0,SUM(IF($AL325:$AR325='Tablas Técnicas'!$L$10:$L$644,'Tablas Técnicas'!$H$10:$H$644,0)))</f>
        <v>0 / 0</v>
      </c>
      <c r="Q325" s="6002" t="str">
        <f>IFERROR(VLOOKUP(F325,'Tablas Técnicas'!$O$9:$T$88,5,FALSE),"")</f>
        <v/>
      </c>
      <c r="R325" s="6002"/>
      <c r="S325" s="6002"/>
      <c r="T325" s="6002"/>
      <c r="U325" s="6002"/>
      <c r="V325" s="1832"/>
      <c r="W325" s="1833"/>
      <c r="X325" s="1832"/>
      <c r="Y325" s="1834"/>
      <c r="Z325" s="1835"/>
      <c r="AA325" s="1833"/>
      <c r="AB325" s="1832"/>
      <c r="AC325" s="1834"/>
      <c r="AD325" s="1835"/>
      <c r="AE325" s="1833"/>
      <c r="AF325" s="1832"/>
      <c r="AG325" s="1836"/>
      <c r="AH325" s="1943"/>
      <c r="AI325" s="6011"/>
      <c r="AJ325" s="3986">
        <v>3</v>
      </c>
      <c r="AK325" s="3986">
        <f>P319</f>
        <v>1</v>
      </c>
      <c r="AL325" s="3986" t="str">
        <f>IF(AND(ISNUMBER(MATCH($F325,'Tablas Técnicas'!$L$10:$L$644,0)),INDEX($P336:$P342,Tablas!A$1)="",COUNTIF(AM325:$AS325,$F325)=0),$F325,IF(INDEX($P336:$P342,Tablas!A$1)="","",$F325&amp;INDEX($P336:$P342,Tablas!A$1)))</f>
        <v/>
      </c>
      <c r="AM325" s="3986" t="str">
        <f>IF(AND(ISNUMBER(MATCH($F325,'Tablas Técnicas'!$L$10:$L$644,0)),INDEX($P336:$P342,Tablas!B$1)="",COUNTIF(AN325:$AS325,$F325)=0),$F325,IF(INDEX($P336:$P342,Tablas!B$1)="","",$F325&amp;INDEX($P336:$P342,Tablas!B$1)))</f>
        <v/>
      </c>
      <c r="AN325" s="3986" t="str">
        <f>IF(AND(ISNUMBER(MATCH($F325,'Tablas Técnicas'!$L$10:$L$644,0)),INDEX($P336:$P342,Tablas!C$1)="",COUNTIF(AO325:$AS325,$F325)=0),$F325,IF(INDEX($P336:$P342,Tablas!C$1)="","",$F325&amp;INDEX($P336:$P342,Tablas!C$1)))</f>
        <v/>
      </c>
      <c r="AO325" s="3986" t="str">
        <f>IF(AND(ISNUMBER(MATCH($F325,'Tablas Técnicas'!$L$10:$L$644,0)),INDEX($P336:$P342,Tablas!D$1)="",COUNTIF(AP325:$AS325,$F325)=0),$F325,IF(INDEX($P336:$P342,Tablas!D$1)="","",$F325&amp;INDEX($P336:$P342,Tablas!D$1)))</f>
        <v/>
      </c>
      <c r="AP325" s="3986" t="str">
        <f>IF(AND(ISNUMBER(MATCH($F325,'Tablas Técnicas'!$L$10:$L$644,0)),INDEX($P336:$P342,Tablas!E$1)="",COUNTIF(AQ325:$AS325,$F325)=0),$F325,IF(INDEX($P336:$P342,Tablas!E$1)="","",$F325&amp;INDEX($P336:$P342,Tablas!E$1)))</f>
        <v/>
      </c>
      <c r="AQ325" s="3986" t="str">
        <f>IF(AND(ISNUMBER(MATCH($F325,'Tablas Técnicas'!$L$10:$L$644,0)),INDEX($P336:$P342,Tablas!F$1)="",COUNTIF(AR325:$AS325,$F325)=0),$F325,IF(INDEX($P336:$P342,Tablas!F$1)="","",$F325&amp;INDEX($P336:$P342,Tablas!F$1)))</f>
        <v/>
      </c>
      <c r="AR325" s="3986" t="str">
        <f>IF(AND(ISNUMBER(MATCH($F325,'Tablas Técnicas'!$L$10:$L$644,0)),INDEX($P336:$P342,Tablas!G$1)="",COUNTIF(AS325:$AS325,$F325)=0),$F325,IF(INDEX($P336:$P342,Tablas!G$1)="","",$F325&amp;INDEX($P336:$P342,Tablas!G$1)))</f>
        <v/>
      </c>
      <c r="AS325" s="1868">
        <f>V325+X325+Z325+AB325+AD325+AF325</f>
        <v>0</v>
      </c>
      <c r="AT325" s="1868">
        <f t="array" ref="AT325">SUM(IF($AL325:$AR325='Tablas Técnicas'!$L$10:$L$644,IF(D325="Primario",'Tablas Técnicas'!$E$10:$E$644,'Tablas Técnicas'!$F$10:$F$644)+IF(K325="Sostenimiento menor",'Tablas Técnicas'!$I$10:$I$644,IF(K325="sostenimiento mayor",'Tablas Técnicas'!$J$10:$J$644,0)),0),0)+VALUE(RIGHT(P325,2))+AU325+AV325</f>
        <v>0</v>
      </c>
      <c r="AU325" s="186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1868">
        <f>(COUNTIF(AL325:AR325,"*Estado añadido:*")-1)*COUNTIF(AL325:AR325,"*Estado añadido:*")</f>
        <v>0</v>
      </c>
      <c r="AW325" s="1868">
        <f t="array" ref="AW325">SUM(IF($AL325:$AR325='Tablas Técnicas'!$L$10:$L$644,'Tablas Técnicas'!$G$10:$G$644,0))</f>
        <v>0</v>
      </c>
      <c r="AX325" s="3986"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986" t="str">
        <f>IFERROR(LEFT(AX325,LEN(AX325)-2)&amp;"), ","")</f>
        <v/>
      </c>
      <c r="AZ325" s="1868"/>
      <c r="BA325" s="1868"/>
      <c r="BB325" s="1868"/>
      <c r="BC325" s="1868"/>
      <c r="BD325" s="1868"/>
      <c r="BE325" s="1868"/>
      <c r="BF325" s="1868"/>
      <c r="BG325" s="1868"/>
      <c r="BH325" s="1868"/>
      <c r="BI325" s="1868"/>
      <c r="BJ325" s="1868"/>
      <c r="BK325" s="1868"/>
      <c r="BL325" s="1868"/>
      <c r="BM325" s="1868"/>
      <c r="BN325" s="1868"/>
      <c r="BO325" s="1868"/>
      <c r="BP325" s="1868"/>
      <c r="BQ325" s="1868"/>
      <c r="BR325" s="1868"/>
    </row>
    <row r="326" spans="1:70" ht="12.2" customHeight="1">
      <c r="A326" s="1935"/>
      <c r="B326" s="1866">
        <f t="shared" si="8"/>
        <v>10</v>
      </c>
      <c r="C326" s="6009"/>
      <c r="D326" s="5906" t="s">
        <v>483</v>
      </c>
      <c r="E326" s="5907"/>
      <c r="F326" s="5984"/>
      <c r="G326" s="5985"/>
      <c r="H326" s="5985"/>
      <c r="I326" s="5985"/>
      <c r="J326" s="5902"/>
      <c r="K326" s="5986" t="s">
        <v>1315</v>
      </c>
      <c r="L326" s="5987"/>
      <c r="M326" s="5988"/>
      <c r="N326" s="1716">
        <f>IF(AW326&gt;0,IF(VLOOKUP(F326,'Tablas Técnicas'!$O$9:$X$88,10,0),MAX(5,AW326-5),AW326),0)</f>
        <v>0</v>
      </c>
      <c r="O326" s="1716" t="str">
        <f>AS326&amp;" / "&amp;AT326</f>
        <v>0 / 0</v>
      </c>
      <c r="P326" s="1716" t="str">
        <f t="array" ref="P326">W326+Y326+AA326+AC326+AE326+AG326&amp;" / "&amp;IF(K326&lt;&gt;"Mantenido",0,SUM(IF($AL326:$AR326='Tablas Técnicas'!$L$10:$L$644,'Tablas Técnicas'!$H$10:$H$644,0)))</f>
        <v>0 / 0</v>
      </c>
      <c r="Q326" s="5908" t="str">
        <f>IFERROR(VLOOKUP(F326,'Tablas Técnicas'!$O$9:$T$88,5,FALSE),"")</f>
        <v/>
      </c>
      <c r="R326" s="5908"/>
      <c r="S326" s="5908"/>
      <c r="T326" s="5908"/>
      <c r="U326" s="5908"/>
      <c r="V326" s="1827"/>
      <c r="W326" s="1828"/>
      <c r="X326" s="1827"/>
      <c r="Y326" s="1829"/>
      <c r="Z326" s="1830"/>
      <c r="AA326" s="1828"/>
      <c r="AB326" s="1827"/>
      <c r="AC326" s="1829"/>
      <c r="AD326" s="1830"/>
      <c r="AE326" s="1828"/>
      <c r="AF326" s="1827"/>
      <c r="AG326" s="1831"/>
      <c r="AH326" s="1943"/>
      <c r="AI326" s="6011"/>
      <c r="AJ326" s="3986">
        <v>4</v>
      </c>
      <c r="AK326" s="3986">
        <f>P319</f>
        <v>1</v>
      </c>
      <c r="AL326" s="3986" t="str">
        <f>IF(AND(ISNUMBER(MATCH($F326,'Tablas Técnicas'!$L$10:$L$644,0)),INDEX($V336:$V342,Tablas!A$1)="",COUNTIF(AM326:$AS326,$F326)=0),$F326,IF(INDEX($V336:$V342,Tablas!A$1)="","",$F326&amp;INDEX($V336:$V342,Tablas!A$1)))</f>
        <v/>
      </c>
      <c r="AM326" s="3986" t="str">
        <f>IF(AND(ISNUMBER(MATCH($F326,'Tablas Técnicas'!$L$10:$L$644,0)),INDEX($V336:$V342,Tablas!B$1)="",COUNTIF(AN326:$AS326,$F326)=0),$F326,IF(INDEX($V336:$V342,Tablas!B$1)="","",$F326&amp;INDEX($V336:$V342,Tablas!B$1)))</f>
        <v/>
      </c>
      <c r="AN326" s="3986" t="str">
        <f>IF(AND(ISNUMBER(MATCH($F326,'Tablas Técnicas'!$L$10:$L$644,0)),INDEX($V336:$V342,Tablas!C$1)="",COUNTIF(AO326:$AS326,$F326)=0),$F326,IF(INDEX($V336:$V342,Tablas!C$1)="","",$F326&amp;INDEX($V336:$V342,Tablas!C$1)))</f>
        <v/>
      </c>
      <c r="AO326" s="3986" t="str">
        <f>IF(AND(ISNUMBER(MATCH($F326,'Tablas Técnicas'!$L$10:$L$644,0)),INDEX($V336:$V342,Tablas!D$1)="",COUNTIF(AP326:$AS326,$F326)=0),$F326,IF(INDEX($V336:$V342,Tablas!D$1)="","",$F326&amp;INDEX($V336:$V342,Tablas!D$1)))</f>
        <v/>
      </c>
      <c r="AP326" s="3986" t="str">
        <f>IF(AND(ISNUMBER(MATCH($F326,'Tablas Técnicas'!$L$10:$L$644,0)),INDEX($V336:$V342,Tablas!E$1)="",COUNTIF(AQ326:$AS326,$F326)=0),$F326,IF(INDEX($V336:$V342,Tablas!E$1)="","",$F326&amp;INDEX($V336:$V342,Tablas!E$1)))</f>
        <v/>
      </c>
      <c r="AQ326" s="3986" t="str">
        <f>IF(AND(ISNUMBER(MATCH($F326,'Tablas Técnicas'!$L$10:$L$644,0)),INDEX($V336:$V342,Tablas!F$1)="",COUNTIF(AR326:$AS326,$F326)=0),$F326,IF(INDEX($V336:$V342,Tablas!F$1)="","",$F326&amp;INDEX($V336:$V342,Tablas!F$1)))</f>
        <v/>
      </c>
      <c r="AR326" s="3986" t="str">
        <f>IF(AND(ISNUMBER(MATCH($F326,'Tablas Técnicas'!$L$10:$L$644,0)),INDEX($V336:$V342,Tablas!G$1)="",COUNTIF(AS326:$AS326,$F326)=0),$F326,IF(INDEX($V336:$V342,Tablas!G$1)="","",$F326&amp;INDEX($V336:$V342,Tablas!G$1)))</f>
        <v/>
      </c>
      <c r="AS326" s="1868">
        <f>V326+X326+Z326+AB326+AD326+AF326</f>
        <v>0</v>
      </c>
      <c r="AT326" s="1868">
        <f t="array" ref="AT326">SUM(IF($AL326:$AR326='Tablas Técnicas'!$L$10:$L$644,IF(D326="Primario",'Tablas Técnicas'!$E$10:$E$644,'Tablas Técnicas'!$F$10:$F$644)+IF(K326="Sostenimiento menor",'Tablas Técnicas'!$I$10:$I$644,IF(K326="sostenimiento mayor",'Tablas Técnicas'!$J$10:$J$644,0)),0),0)+VALUE(RIGHT(P326,2))+AU326+AV326</f>
        <v>0</v>
      </c>
      <c r="AU326" s="186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1868">
        <f>(COUNTIF(AL326:AR326,"*Estado añadido:*")-1)*COUNTIF(AL326:AR326,"*Estado añadido:*")</f>
        <v>0</v>
      </c>
      <c r="AW326" s="1868">
        <f t="array" ref="AW326">SUM(IF($AL326:$AR326='Tablas Técnicas'!$L$10:$L$644,'Tablas Técnicas'!$G$10:$G$644,0))</f>
        <v>0</v>
      </c>
      <c r="AX326" s="3986"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986" t="str">
        <f>IFERROR(LEFT(AX326,LEN(AX326)-2)&amp;"), ","")</f>
        <v/>
      </c>
      <c r="AZ326" s="1868"/>
      <c r="BA326" s="1868"/>
      <c r="BB326" s="1868"/>
      <c r="BC326" s="1868"/>
      <c r="BD326" s="1868"/>
      <c r="BE326" s="1868"/>
      <c r="BF326" s="1868"/>
      <c r="BG326" s="1868"/>
      <c r="BH326" s="1868"/>
      <c r="BI326" s="1868"/>
      <c r="BJ326" s="1868"/>
      <c r="BK326" s="1868"/>
      <c r="BL326" s="1868"/>
      <c r="BM326" s="1868"/>
      <c r="BN326" s="1868"/>
      <c r="BO326" s="1868"/>
      <c r="BP326" s="1868"/>
      <c r="BQ326" s="1868"/>
      <c r="BR326" s="1868"/>
    </row>
    <row r="327" spans="1:70" ht="12.2" customHeight="1" thickBot="1">
      <c r="A327" s="1935"/>
      <c r="B327" s="1866">
        <f t="shared" si="8"/>
        <v>10</v>
      </c>
      <c r="C327" s="6009"/>
      <c r="D327" s="5909" t="s">
        <v>483</v>
      </c>
      <c r="E327" s="5910"/>
      <c r="F327" s="6005"/>
      <c r="G327" s="6006"/>
      <c r="H327" s="6006"/>
      <c r="I327" s="6006"/>
      <c r="J327" s="6007"/>
      <c r="K327" s="5994" t="s">
        <v>1315</v>
      </c>
      <c r="L327" s="5995"/>
      <c r="M327" s="5996"/>
      <c r="N327" s="1937">
        <f>IF(AW327&gt;0,IF(VLOOKUP(F327,'Tablas Técnicas'!$O$9:$X$88,10,0),MAX(5,AW327-5),AW327),0)</f>
        <v>0</v>
      </c>
      <c r="O327" s="1937" t="str">
        <f>AS327&amp;" / "&amp;AT327</f>
        <v>0 / 0</v>
      </c>
      <c r="P327" s="1937" t="str">
        <f t="array" ref="P327">W327+Y327+AA327+AC327+AE327+AG327&amp;" / "&amp;IF(K327&lt;&gt;"Mantenido",0,SUM(IF($AL327:$AR327='Tablas Técnicas'!$L$10:$L$644,'Tablas Técnicas'!$H$10:$H$644,0)))</f>
        <v>0 / 0</v>
      </c>
      <c r="Q327" s="5960" t="str">
        <f>IFERROR(VLOOKUP(F327,'Tablas Técnicas'!$O$9:$T$88,5,FALSE),"")</f>
        <v/>
      </c>
      <c r="R327" s="5960"/>
      <c r="S327" s="5960"/>
      <c r="T327" s="5960"/>
      <c r="U327" s="5960"/>
      <c r="V327" s="1837"/>
      <c r="W327" s="1838"/>
      <c r="X327" s="1837"/>
      <c r="Y327" s="1839"/>
      <c r="Z327" s="1840"/>
      <c r="AA327" s="1838"/>
      <c r="AB327" s="1837"/>
      <c r="AC327" s="1839"/>
      <c r="AD327" s="1840"/>
      <c r="AE327" s="1838"/>
      <c r="AF327" s="1837"/>
      <c r="AG327" s="1841"/>
      <c r="AH327" s="1943"/>
      <c r="AI327" s="6011"/>
      <c r="AJ327" s="3986">
        <v>5</v>
      </c>
      <c r="AK327" s="3986">
        <f>P319</f>
        <v>1</v>
      </c>
      <c r="AL327" s="3986" t="str">
        <f>IF(AND(ISNUMBER(MATCH($F327,'Tablas Técnicas'!$L$10:$L$644,0)),INDEX($AB336:$AB342,Tablas!A$1)="",COUNTIF(AM327:$AS327,$F327)=0),$F327,IF(INDEX($AB336:$AB342,Tablas!A$1)="","",$F327&amp;INDEX($AB336:$AB342,Tablas!A$1)))</f>
        <v/>
      </c>
      <c r="AM327" s="3986" t="str">
        <f>IF(AND(ISNUMBER(MATCH($F327,'Tablas Técnicas'!$L$10:$L$644,0)),INDEX($AB336:$AB342,Tablas!B$1)="",COUNTIF(AN327:$AS327,$F327)=0),$F327,IF(INDEX($AB336:$AB342,Tablas!B$1)="","",$F327&amp;INDEX($AB336:$AB342,Tablas!B$1)))</f>
        <v/>
      </c>
      <c r="AN327" s="3986" t="str">
        <f>IF(AND(ISNUMBER(MATCH($F327,'Tablas Técnicas'!$L$10:$L$644,0)),INDEX($AB336:$AB342,Tablas!C$1)="",COUNTIF(AO327:$AS327,$F327)=0),$F327,IF(INDEX($AB336:$AB342,Tablas!C$1)="","",$F327&amp;INDEX($AB336:$AB342,Tablas!C$1)))</f>
        <v/>
      </c>
      <c r="AO327" s="3986" t="str">
        <f>IF(AND(ISNUMBER(MATCH($F327,'Tablas Técnicas'!$L$10:$L$644,0)),INDEX($AB336:$AB342,Tablas!D$1)="",COUNTIF(AP327:$AS327,$F327)=0),$F327,IF(INDEX($AB336:$AB342,Tablas!D$1)="","",$F327&amp;INDEX($AB336:$AB342,Tablas!D$1)))</f>
        <v/>
      </c>
      <c r="AP327" s="3986" t="str">
        <f>IF(AND(ISNUMBER(MATCH($F327,'Tablas Técnicas'!$L$10:$L$644,0)),INDEX($AB336:$AB342,Tablas!E$1)="",COUNTIF(AQ327:$AS327,$F327)=0),$F327,IF(INDEX($AB336:$AB342,Tablas!E$1)="","",$F327&amp;INDEX($AB336:$AB342,Tablas!E$1)))</f>
        <v/>
      </c>
      <c r="AQ327" s="3986" t="str">
        <f>IF(AND(ISNUMBER(MATCH($F327,'Tablas Técnicas'!$L$10:$L$644,0)),INDEX($AB336:$AB342,Tablas!F$1)="",COUNTIF(AR327:$AS327,$F327)=0),$F327,IF(INDEX($AB336:$AB342,Tablas!F$1)="","",$F327&amp;INDEX($AB336:$AB342,Tablas!F$1)))</f>
        <v/>
      </c>
      <c r="AR327" s="3986" t="str">
        <f>IF(AND(ISNUMBER(MATCH($F327,'Tablas Técnicas'!$L$10:$L$644,0)),INDEX($AB336:$AB342,Tablas!G$1)="",COUNTIF(AS327:$AS327,$F327)=0),$F327,IF(INDEX($AB336:$AB342,Tablas!G$1)="","",$F327&amp;INDEX($AB336:$AB342,Tablas!G$1)))</f>
        <v/>
      </c>
      <c r="AS327" s="1868">
        <f>V327+X327+Z327+AB327+AD327+AF327</f>
        <v>0</v>
      </c>
      <c r="AT327" s="1868">
        <f t="array" ref="AT327">SUM(IF($AL327:$AR327='Tablas Técnicas'!$L$10:$L$644,IF(D327="Primario",'Tablas Técnicas'!$E$10:$E$644,'Tablas Técnicas'!$F$10:$F$644)+IF(K327="Sostenimiento menor",'Tablas Técnicas'!$I$10:$I$644,IF(K327="sostenimiento mayor",'Tablas Técnicas'!$J$10:$J$644,0)),0),0)+VALUE(RIGHT(P327,2))+AU327+AV327</f>
        <v>0</v>
      </c>
      <c r="AU327" s="186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1868">
        <f>(COUNTIF(AL327:AR327,"*Estado añadido:*")-1)*COUNTIF(AL327:AR327,"*Estado añadido:*")</f>
        <v>0</v>
      </c>
      <c r="AW327" s="1868">
        <f t="array" ref="AW327">SUM(IF($AL327:$AR327='Tablas Técnicas'!$L$10:$L$644,'Tablas Técnicas'!$G$10:$G$644,0))</f>
        <v>0</v>
      </c>
      <c r="AX327" s="3986"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986" t="str">
        <f>IFERROR(LEFT(AX327,LEN(AX327)-2)&amp;"), ","")</f>
        <v/>
      </c>
      <c r="AZ327" s="1868"/>
      <c r="BA327" s="1868"/>
      <c r="BB327" s="1868"/>
      <c r="BC327" s="1868"/>
      <c r="BD327" s="1868"/>
      <c r="BE327" s="1868"/>
      <c r="BF327" s="1868"/>
      <c r="BG327" s="1868"/>
      <c r="BH327" s="1868"/>
      <c r="BI327" s="1868"/>
      <c r="BJ327" s="1868"/>
      <c r="BK327" s="1868"/>
      <c r="BL327" s="1868"/>
      <c r="BM327" s="1868"/>
      <c r="BN327" s="1868"/>
      <c r="BO327" s="1868"/>
      <c r="BP327" s="1868"/>
      <c r="BQ327" s="1868"/>
      <c r="BR327" s="1868"/>
    </row>
    <row r="328" spans="1:70" ht="12.2" customHeight="1">
      <c r="A328" s="1935"/>
      <c r="B328" s="1866">
        <f t="shared" si="8"/>
        <v>10</v>
      </c>
      <c r="C328" s="6009"/>
      <c r="D328" s="5961" t="s">
        <v>2657</v>
      </c>
      <c r="E328" s="5962"/>
      <c r="F328" s="5957"/>
      <c r="G328" s="5958"/>
      <c r="H328" s="5958"/>
      <c r="I328" s="5958"/>
      <c r="J328" s="5959"/>
      <c r="K328" s="5931"/>
      <c r="L328" s="5937"/>
      <c r="M328" s="5938"/>
      <c r="N328" s="4286" t="str">
        <f>IFERROR(INDEX('Tablas Técnicas'!$Q$152:$Q$267,MATCH(F328&amp;K328,'Tablas Técnicas'!$S$152:$S$267,0)),"")</f>
        <v/>
      </c>
      <c r="O328" s="5939"/>
      <c r="P328" s="5940"/>
      <c r="Q328" s="5941"/>
      <c r="R328" s="5940"/>
      <c r="S328" s="4287" t="str">
        <f>IFERROR("Nivel: "&amp;MAX(1,INDEX('Tablas Técnicas'!$R$152:$R$267,MATCH(F328&amp;K328,'Tablas Técnicas'!$S$152:$S$267,0))),"")</f>
        <v/>
      </c>
      <c r="T328" s="4288"/>
      <c r="U328" s="4289" t="str">
        <f>IFERROR("("&amp;VLOOKUP(F328,'Tablas Técnicas'!$O$117:$Q$146,3,FALSE)&amp;")","")</f>
        <v/>
      </c>
      <c r="V328" s="5857" t="s">
        <v>9159</v>
      </c>
      <c r="W328" s="5858"/>
      <c r="X328" s="5859"/>
      <c r="Y328" s="2046">
        <v>0</v>
      </c>
      <c r="Z328" s="5860" t="s">
        <v>8361</v>
      </c>
      <c r="AA328" s="5861"/>
      <c r="AB328" s="5862"/>
      <c r="AC328" s="2046">
        <v>0</v>
      </c>
      <c r="AD328" s="5894" t="str">
        <f>"Ki sin repartir: "&amp;AL336-AL337&amp;IF(AM336=0,""," ("&amp;AM336-AM337&amp;")")</f>
        <v>Ki sin repartir: 0</v>
      </c>
      <c r="AE328" s="5895"/>
      <c r="AF328" s="5895"/>
      <c r="AG328" s="5896"/>
      <c r="AH328" s="1943"/>
      <c r="AI328" s="6011"/>
      <c r="AJ328" s="3986">
        <v>1</v>
      </c>
      <c r="AK328" s="3986">
        <f>P319</f>
        <v>1</v>
      </c>
      <c r="AL328" s="3986" t="e">
        <f>VLOOKUP(F328,'Tablas Técnicas'!$O$117:$Q$146,2,FALSE)</f>
        <v>#N/A</v>
      </c>
      <c r="AM328" s="3986"/>
      <c r="AN328" s="3987"/>
      <c r="AO328" s="3986"/>
      <c r="AP328" s="3986"/>
      <c r="AQ328" s="3987"/>
      <c r="AR328" s="3986"/>
      <c r="AS328" s="3986"/>
      <c r="AT328" s="3986"/>
      <c r="AU328" s="3986"/>
      <c r="AV328" s="3986"/>
      <c r="AW328" s="1868"/>
      <c r="AX328" s="1868"/>
      <c r="AY328" s="3986" t="str">
        <f>IF(F328="","",F328&amp;IF(K328="",""," ("&amp;IF(F328="Atadura Elemental",O328&amp;IF(Q328="","",", "&amp;Q328),K328)&amp;")")&amp;", ")</f>
        <v/>
      </c>
      <c r="AZ328" s="1868"/>
      <c r="BA328" s="1868"/>
      <c r="BB328" s="1868"/>
      <c r="BC328" s="1868"/>
      <c r="BD328" s="1868"/>
      <c r="BE328" s="1868"/>
      <c r="BF328" s="1868"/>
      <c r="BG328" s="1868"/>
      <c r="BH328" s="1868"/>
      <c r="BI328" s="1868"/>
      <c r="BJ328" s="1868"/>
      <c r="BK328" s="1868"/>
      <c r="BL328" s="1868"/>
      <c r="BM328" s="1868"/>
      <c r="BN328" s="1868"/>
      <c r="BO328" s="1868"/>
      <c r="BP328" s="1868"/>
      <c r="BQ328" s="1868"/>
      <c r="BR328" s="1868"/>
    </row>
    <row r="329" spans="1:70" ht="12.2" customHeight="1">
      <c r="A329" s="1935"/>
      <c r="B329" s="1866">
        <f t="shared" si="8"/>
        <v>10</v>
      </c>
      <c r="C329" s="6009"/>
      <c r="D329" s="5963"/>
      <c r="E329" s="5964"/>
      <c r="F329" s="5942"/>
      <c r="G329" s="5943"/>
      <c r="H329" s="5943"/>
      <c r="I329" s="5943"/>
      <c r="J329" s="5944"/>
      <c r="K329" s="5902"/>
      <c r="L329" s="5903"/>
      <c r="M329" s="5904"/>
      <c r="N329" s="1720" t="str">
        <f>IFERROR(INDEX('Tablas Técnicas'!$Q$152:$Q$267,MATCH(F329&amp;K329,'Tablas Técnicas'!$S$152:$S$267,0)),"")</f>
        <v/>
      </c>
      <c r="O329" s="5945"/>
      <c r="P329" s="5946"/>
      <c r="Q329" s="5947"/>
      <c r="R329" s="5946"/>
      <c r="S329" s="1716" t="str">
        <f>IFERROR("Nivel: "&amp;MAX(1,INDEX('Tablas Técnicas'!$R$152:$R$267,MATCH(F329&amp;K329,'Tablas Técnicas'!$S$152:$S$267,0))),"")</f>
        <v/>
      </c>
      <c r="T329" s="2172"/>
      <c r="U329" s="1715" t="str">
        <f>IFERROR("("&amp;VLOOKUP(F329,'Tablas Técnicas'!$O$117:$Q$146,3,FALSE)&amp;")","")</f>
        <v/>
      </c>
      <c r="V329" s="5854" t="str">
        <f>"Mod. "&amp;V321</f>
        <v>Mod. AGI</v>
      </c>
      <c r="W329" s="5855"/>
      <c r="X329" s="5854" t="str">
        <f>"Mod. "&amp;X321</f>
        <v>Mod. CON</v>
      </c>
      <c r="Y329" s="5855"/>
      <c r="Z329" s="5854" t="str">
        <f>"Mod. "&amp;Z321</f>
        <v>Mod. DES</v>
      </c>
      <c r="AA329" s="5855"/>
      <c r="AB329" s="5854" t="str">
        <f>"Mod. "&amp;AB321</f>
        <v>Mod. FUE</v>
      </c>
      <c r="AC329" s="5855"/>
      <c r="AD329" s="5854" t="str">
        <f>"Mod. "&amp;AD321</f>
        <v>Mod. POD</v>
      </c>
      <c r="AE329" s="5855"/>
      <c r="AF329" s="5854" t="str">
        <f>"Mod. "&amp;AF321</f>
        <v>Mod. VOL</v>
      </c>
      <c r="AG329" s="5856"/>
      <c r="AH329" s="1943"/>
      <c r="AI329" s="6011"/>
      <c r="AJ329" s="3986">
        <v>2</v>
      </c>
      <c r="AK329" s="3986">
        <f>P319</f>
        <v>1</v>
      </c>
      <c r="AL329" s="3986" t="e">
        <f>VLOOKUP(F329,'Tablas Técnicas'!$O$117:$Q$146,2,FALSE)</f>
        <v>#N/A</v>
      </c>
      <c r="AM329" s="3986"/>
      <c r="AN329" s="3987"/>
      <c r="AO329" s="3986"/>
      <c r="AP329" s="3986"/>
      <c r="AQ329" s="3987"/>
      <c r="AR329" s="3986"/>
      <c r="AS329" s="3986"/>
      <c r="AT329" s="3986"/>
      <c r="AU329" s="3986"/>
      <c r="AV329" s="3986"/>
      <c r="AW329" s="1868"/>
      <c r="AX329" s="1868"/>
      <c r="AY329" s="3986" t="str">
        <f>IF(F329="","",F329&amp;IF(K329="",""," ("&amp;IF(F329="Atadura Elemental",O329&amp;IF(Q329="","",", "&amp;Q329),K329)&amp;")")&amp;", ")</f>
        <v/>
      </c>
      <c r="AZ329" s="1868"/>
      <c r="BA329" s="1868"/>
      <c r="BB329" s="1868"/>
      <c r="BC329" s="1868"/>
      <c r="BD329" s="1868"/>
      <c r="BE329" s="1868"/>
      <c r="BF329" s="1868"/>
      <c r="BG329" s="1868"/>
      <c r="BH329" s="1868"/>
      <c r="BI329" s="1868"/>
      <c r="BJ329" s="1868"/>
      <c r="BK329" s="1868"/>
      <c r="BL329" s="1868"/>
      <c r="BM329" s="1868"/>
      <c r="BN329" s="1868"/>
      <c r="BO329" s="1868"/>
      <c r="BP329" s="1868"/>
      <c r="BQ329" s="1868"/>
      <c r="BR329" s="1868"/>
    </row>
    <row r="330" spans="1:70" ht="12.2" customHeight="1" thickBot="1">
      <c r="A330" s="1935"/>
      <c r="B330" s="1866">
        <f t="shared" si="8"/>
        <v>10</v>
      </c>
      <c r="C330" s="6009"/>
      <c r="D330" s="5965"/>
      <c r="E330" s="5966"/>
      <c r="F330" s="5948"/>
      <c r="G330" s="5949"/>
      <c r="H330" s="5949"/>
      <c r="I330" s="5949"/>
      <c r="J330" s="5950"/>
      <c r="K330" s="5951"/>
      <c r="L330" s="5952"/>
      <c r="M330" s="5953"/>
      <c r="N330" s="4290" t="str">
        <f>IFERROR(INDEX('Tablas Técnicas'!$Q$152:$Q$267,MATCH(F330&amp;K330,'Tablas Técnicas'!$S$152:$S$267,0)),"")</f>
        <v/>
      </c>
      <c r="O330" s="5954"/>
      <c r="P330" s="5955"/>
      <c r="Q330" s="5956"/>
      <c r="R330" s="5955"/>
      <c r="S330" s="4291" t="str">
        <f>IFERROR("Nivel: "&amp;MAX(1,INDEX('Tablas Técnicas'!$R$152:$R$267,MATCH(F330&amp;K330,'Tablas Técnicas'!$S$152:$S$267,0))),"")</f>
        <v/>
      </c>
      <c r="T330" s="4292"/>
      <c r="U330" s="1807" t="str">
        <f>IFERROR("("&amp;VLOOKUP(F330,'Tablas Técnicas'!$O$117:$Q$146,3,FALSE)&amp;")","")</f>
        <v/>
      </c>
      <c r="V330" s="5864"/>
      <c r="W330" s="5863"/>
      <c r="X330" s="5863"/>
      <c r="Y330" s="5863"/>
      <c r="Z330" s="5863"/>
      <c r="AA330" s="5863"/>
      <c r="AB330" s="5863"/>
      <c r="AC330" s="5863"/>
      <c r="AD330" s="5863"/>
      <c r="AE330" s="5863"/>
      <c r="AF330" s="5863"/>
      <c r="AG330" s="5905"/>
      <c r="AH330" s="1943"/>
      <c r="AI330" s="6011"/>
      <c r="AJ330" s="3986">
        <v>3</v>
      </c>
      <c r="AK330" s="3986">
        <f>P319</f>
        <v>1</v>
      </c>
      <c r="AL330" s="3986" t="e">
        <f>VLOOKUP(F330,'Tablas Técnicas'!$O$117:$Q$146,2,FALSE)</f>
        <v>#N/A</v>
      </c>
      <c r="AM330" s="3986"/>
      <c r="AN330" s="3987"/>
      <c r="AO330" s="3986"/>
      <c r="AP330" s="3986"/>
      <c r="AQ330" s="3987"/>
      <c r="AR330" s="1868"/>
      <c r="AS330" s="1868"/>
      <c r="AT330" s="1868"/>
      <c r="AU330" s="1868"/>
      <c r="AV330" s="1868"/>
      <c r="AW330" s="1868"/>
      <c r="AX330" s="1868"/>
      <c r="AY330" s="3986" t="str">
        <f>IF(F330="","",F330&amp;IF(K330="",""," ("&amp;IF(F330="Atadura Elemental",O330&amp;IF(Q330="","",", "&amp;Q330),K330)&amp;")")&amp;", ")</f>
        <v/>
      </c>
      <c r="AZ330" s="1868"/>
      <c r="BA330" s="1868"/>
      <c r="BB330" s="1868"/>
      <c r="BC330" s="1868"/>
      <c r="BD330" s="1868"/>
      <c r="BE330" s="1868"/>
      <c r="BF330" s="1868"/>
      <c r="BG330" s="1868"/>
      <c r="BH330" s="1868"/>
      <c r="BI330" s="1868"/>
      <c r="BJ330" s="1868"/>
      <c r="BK330" s="1868"/>
      <c r="BL330" s="1868"/>
      <c r="BM330" s="1868"/>
      <c r="BN330" s="1868"/>
      <c r="BO330" s="1868"/>
      <c r="BP330" s="1868"/>
      <c r="BQ330" s="1868"/>
      <c r="BR330" s="1868"/>
    </row>
    <row r="331" spans="1:70" ht="12.2" customHeight="1">
      <c r="A331" s="1935"/>
      <c r="B331" s="1866">
        <f t="shared" si="8"/>
        <v>10</v>
      </c>
      <c r="C331" s="6009"/>
      <c r="D331" s="5873" t="s">
        <v>8842</v>
      </c>
      <c r="E331" s="5874"/>
      <c r="F331" s="5874"/>
      <c r="G331" s="5874"/>
      <c r="H331" s="5874"/>
      <c r="I331" s="5874"/>
      <c r="J331" s="5874"/>
      <c r="K331" s="5874"/>
      <c r="L331" s="5874"/>
      <c r="M331" s="5874"/>
      <c r="N331" s="5874"/>
      <c r="O331" s="5874"/>
      <c r="P331" s="5874"/>
      <c r="Q331" s="5874"/>
      <c r="R331" s="5874"/>
      <c r="S331" s="5874"/>
      <c r="T331" s="5874"/>
      <c r="U331" s="5874"/>
      <c r="V331" s="5877"/>
      <c r="W331" s="5877"/>
      <c r="X331" s="5877"/>
      <c r="Y331" s="5877"/>
      <c r="Z331" s="5877"/>
      <c r="AA331" s="5877"/>
      <c r="AB331" s="5877"/>
      <c r="AC331" s="5877"/>
      <c r="AD331" s="5877"/>
      <c r="AE331" s="5877"/>
      <c r="AF331" s="5877"/>
      <c r="AG331" s="5878"/>
      <c r="AH331" s="1943"/>
      <c r="AI331" s="6011"/>
      <c r="AJ331" s="3986"/>
      <c r="AK331" s="3986"/>
      <c r="AL331" s="3986"/>
      <c r="AM331" s="3986"/>
      <c r="AN331" s="3987" t="s">
        <v>8362</v>
      </c>
      <c r="AO331" s="3986" t="e">
        <f>LEFT(AY323&amp;AY324&amp;AY325&amp;AY326&amp;AY327,LEN(AY323&amp;AY324&amp;AY325&amp;AY326&amp;AY327)-2)</f>
        <v>#VALUE!</v>
      </c>
      <c r="AP331" s="3986"/>
      <c r="AQ331" s="3987"/>
      <c r="AR331" s="1868"/>
      <c r="AS331" s="1868"/>
      <c r="AT331" s="1868"/>
      <c r="AU331" s="3987"/>
      <c r="AV331" s="3987"/>
      <c r="AW331" s="1868"/>
      <c r="AX331" s="1868"/>
      <c r="AY331" s="3986"/>
      <c r="AZ331" s="1868"/>
      <c r="BA331" s="1868"/>
      <c r="BB331" s="1868"/>
      <c r="BC331" s="1868"/>
      <c r="BD331" s="1868"/>
      <c r="BE331" s="1868"/>
      <c r="BF331" s="1868"/>
      <c r="BG331" s="1868"/>
      <c r="BH331" s="1868"/>
      <c r="BI331" s="1868"/>
      <c r="BJ331" s="1868"/>
      <c r="BK331" s="1868"/>
      <c r="BL331" s="1868"/>
      <c r="BM331" s="1868"/>
      <c r="BN331" s="1868"/>
      <c r="BO331" s="1868"/>
      <c r="BP331" s="1868"/>
      <c r="BQ331" s="1868"/>
      <c r="BR331" s="1868"/>
    </row>
    <row r="332" spans="1:70" ht="12.2" customHeight="1">
      <c r="A332" s="1935"/>
      <c r="B332" s="1866">
        <f t="shared" si="8"/>
        <v>10</v>
      </c>
      <c r="C332" s="6009"/>
      <c r="D332" s="5865" t="str">
        <f>IF(F323="","",F323)</f>
        <v/>
      </c>
      <c r="E332" s="5866"/>
      <c r="F332" s="5866"/>
      <c r="G332" s="5866"/>
      <c r="H332" s="5866"/>
      <c r="I332" s="5867"/>
      <c r="J332" s="5865" t="str">
        <f>IF(F324="","",F324)</f>
        <v/>
      </c>
      <c r="K332" s="5866"/>
      <c r="L332" s="5866"/>
      <c r="M332" s="5866"/>
      <c r="N332" s="5866"/>
      <c r="O332" s="5867"/>
      <c r="P332" s="5866" t="str">
        <f>IF(F325="","",F325)</f>
        <v/>
      </c>
      <c r="Q332" s="5866"/>
      <c r="R332" s="5866"/>
      <c r="S332" s="5866"/>
      <c r="T332" s="5866"/>
      <c r="U332" s="5867"/>
      <c r="V332" s="5865" t="str">
        <f>IF(F326="","",F326)</f>
        <v/>
      </c>
      <c r="W332" s="5866"/>
      <c r="X332" s="5866"/>
      <c r="Y332" s="5866"/>
      <c r="Z332" s="5866"/>
      <c r="AA332" s="5867"/>
      <c r="AB332" s="5866" t="str">
        <f>IF(F327="","",F327)</f>
        <v/>
      </c>
      <c r="AC332" s="5866"/>
      <c r="AD332" s="5866"/>
      <c r="AE332" s="5866"/>
      <c r="AF332" s="5866"/>
      <c r="AG332" s="5928"/>
      <c r="AH332" s="1943"/>
      <c r="AI332" s="6011"/>
      <c r="AJ332" s="3986"/>
      <c r="AK332" s="3986"/>
      <c r="AL332" s="3986"/>
      <c r="AM332" s="3986"/>
      <c r="AN332" s="3987" t="s">
        <v>8363</v>
      </c>
      <c r="AO332" s="3986" t="e">
        <f>LEFT(AY328&amp;AY329&amp;AY330,LEN(AY328&amp;AY329&amp;AY330)-2)</f>
        <v>#VALUE!</v>
      </c>
      <c r="AP332" s="3986"/>
      <c r="AQ332" s="3987"/>
      <c r="AR332" s="1868"/>
      <c r="AS332" s="1868"/>
      <c r="AT332" s="1868"/>
      <c r="AU332" s="3987"/>
      <c r="AV332" s="3987"/>
      <c r="AW332" s="1868"/>
      <c r="AX332" s="1868"/>
      <c r="AY332" s="3986"/>
      <c r="AZ332" s="1868"/>
      <c r="BA332" s="1868"/>
      <c r="BB332" s="1868"/>
      <c r="BC332" s="1868"/>
      <c r="BD332" s="1868"/>
      <c r="BE332" s="1868"/>
      <c r="BF332" s="1868"/>
      <c r="BG332" s="1868"/>
      <c r="BH332" s="1868"/>
      <c r="BI332" s="1868"/>
      <c r="BJ332" s="1868"/>
      <c r="BK332" s="1868"/>
      <c r="BL332" s="1868"/>
      <c r="BM332" s="1868"/>
      <c r="BN332" s="1868"/>
      <c r="BO332" s="1868"/>
      <c r="BP332" s="1868"/>
      <c r="BQ332" s="1868"/>
      <c r="BR332" s="1868"/>
    </row>
    <row r="333" spans="1:70" ht="12.2" customHeight="1">
      <c r="A333" s="1935"/>
      <c r="B333" s="1866">
        <f t="shared" si="8"/>
        <v>10</v>
      </c>
      <c r="C333" s="6009"/>
      <c r="D333" s="1812" t="s">
        <v>1690</v>
      </c>
      <c r="E333" s="1712" t="str">
        <f>IFERROR(VLOOKUP(D332,'Tablas Técnicas'!$O$9:$T$88,3,FALSE),"")</f>
        <v/>
      </c>
      <c r="F333" s="1809"/>
      <c r="G333" s="1808"/>
      <c r="H333" s="1808" t="s">
        <v>1223</v>
      </c>
      <c r="I333" s="1712" t="str">
        <f>IFERROR(VLOOKUP(D332,'Tablas Técnicas'!$O$9:$T$88,4,FALSE),"")</f>
        <v/>
      </c>
      <c r="J333" s="1812" t="s">
        <v>1690</v>
      </c>
      <c r="K333" s="1712" t="str">
        <f>IFERROR(VLOOKUP(J332,'Tablas Técnicas'!$O$9:$T$88,3,FALSE),"")</f>
        <v/>
      </c>
      <c r="L333" s="1809"/>
      <c r="M333" s="1808"/>
      <c r="N333" s="1808" t="s">
        <v>1223</v>
      </c>
      <c r="O333" s="1721" t="str">
        <f>IFERROR(VLOOKUP(J332,'Tablas Técnicas'!$O$9:$T$88,4,FALSE),"")</f>
        <v/>
      </c>
      <c r="P333" s="1808" t="s">
        <v>1690</v>
      </c>
      <c r="Q333" s="1712" t="str">
        <f>IFERROR(VLOOKUP(P332,'Tablas Técnicas'!$O$9:$T$88,3,FALSE),"")</f>
        <v/>
      </c>
      <c r="R333" s="1809"/>
      <c r="S333" s="1808"/>
      <c r="T333" s="1808" t="s">
        <v>1223</v>
      </c>
      <c r="U333" s="1712" t="str">
        <f>IFERROR(VLOOKUP(P332,'Tablas Técnicas'!$O$9:$T$88,4,FALSE),"")</f>
        <v/>
      </c>
      <c r="V333" s="1812" t="s">
        <v>1690</v>
      </c>
      <c r="W333" s="1712" t="str">
        <f>IFERROR(VLOOKUP(V332,'Tablas Técnicas'!$O$9:$T$88,3,FALSE),"")</f>
        <v/>
      </c>
      <c r="X333" s="1809"/>
      <c r="Y333" s="1808"/>
      <c r="Z333" s="1808" t="s">
        <v>1223</v>
      </c>
      <c r="AA333" s="1721" t="str">
        <f>IFERROR(VLOOKUP(V332,'Tablas Técnicas'!$O$9:$T$88,4,FALSE),"")</f>
        <v/>
      </c>
      <c r="AB333" s="1808" t="s">
        <v>1690</v>
      </c>
      <c r="AC333" s="1712" t="str">
        <f>IFERROR(VLOOKUP(AB332,'Tablas Técnicas'!$O$9:$T$88,3,FALSE),"")</f>
        <v/>
      </c>
      <c r="AD333" s="1809"/>
      <c r="AE333" s="1808"/>
      <c r="AF333" s="1808" t="s">
        <v>1223</v>
      </c>
      <c r="AG333" s="1722" t="str">
        <f>IFERROR(VLOOKUP(AB332,'Tablas Técnicas'!$O$9:$T$88,4,FALSE),"")</f>
        <v/>
      </c>
      <c r="AH333" s="1943"/>
      <c r="AI333" s="6011"/>
      <c r="AJ333" s="3986"/>
      <c r="AK333" s="3986"/>
      <c r="AL333" s="3986"/>
      <c r="AM333" s="3986"/>
      <c r="AN333" s="3987"/>
      <c r="AO333" s="3986"/>
      <c r="AP333" s="3986"/>
      <c r="AQ333" s="3987"/>
      <c r="AR333" s="1868"/>
      <c r="AS333" s="1868"/>
      <c r="AT333" s="1868"/>
      <c r="AU333" s="1868"/>
      <c r="AV333" s="1868"/>
      <c r="AW333" s="1868"/>
      <c r="AX333" s="1868"/>
      <c r="AY333" s="3986"/>
      <c r="AZ333" s="1868"/>
      <c r="BA333" s="1868"/>
      <c r="BB333" s="1868"/>
      <c r="BC333" s="1868"/>
      <c r="BD333" s="1868"/>
      <c r="BE333" s="1868"/>
      <c r="BF333" s="1868"/>
      <c r="BG333" s="1868"/>
      <c r="BH333" s="1868"/>
      <c r="BI333" s="1868"/>
      <c r="BJ333" s="1868"/>
      <c r="BK333" s="1868"/>
      <c r="BL333" s="1868"/>
      <c r="BM333" s="1868"/>
      <c r="BN333" s="1868"/>
      <c r="BO333" s="1868"/>
      <c r="BP333" s="1868"/>
      <c r="BQ333" s="1868"/>
      <c r="BR333" s="1868"/>
    </row>
    <row r="334" spans="1:70" ht="12.2" customHeight="1">
      <c r="A334" s="1935"/>
      <c r="B334" s="1866">
        <f t="shared" si="8"/>
        <v>10</v>
      </c>
      <c r="C334" s="6009"/>
      <c r="D334" s="1813" t="s">
        <v>8364</v>
      </c>
      <c r="E334" s="1808"/>
      <c r="F334" s="1809"/>
      <c r="G334" s="1810"/>
      <c r="H334" s="1810"/>
      <c r="I334" s="1807" t="str">
        <f>IFERROR(IF(D332="Ataque Elemental",IF(NOT(ISNA(VLOOKUP(D336,'Tablas Técnicas'!$O$100:$O$105,1,0))),D336,"Variable"),VLOOKUP(D332,'Tablas Técnicas'!$O$9:$W$88,9,FALSE)),"")</f>
        <v/>
      </c>
      <c r="J334" s="1723" t="s">
        <v>8364</v>
      </c>
      <c r="K334" s="1938"/>
      <c r="L334" s="1939"/>
      <c r="M334" s="1940"/>
      <c r="N334" s="1940"/>
      <c r="O334" s="1724" t="str">
        <f>IFERROR(IF(J332="Ataque Elemental",IF(NOT(ISNA(VLOOKUP(J336,'Tablas Técnicas'!$O$100:$O$105,1,0))),J336,"Variable"),VLOOKUP(J332,'Tablas Técnicas'!$O$9:$W$88,9,FALSE)),"")</f>
        <v/>
      </c>
      <c r="P334" s="1941" t="s">
        <v>8364</v>
      </c>
      <c r="Q334" s="1938"/>
      <c r="R334" s="1939"/>
      <c r="S334" s="1940"/>
      <c r="T334" s="1940"/>
      <c r="U334" s="1807" t="str">
        <f>IFERROR(IF(P332="Ataque Elemental",IF(NOT(ISNA(VLOOKUP(P336,'Tablas Técnicas'!$O$100:$O$105,1,0))),P336,"Variable"),VLOOKUP(P332,'Tablas Técnicas'!$O$9:$W$88,9,FALSE)),"")</f>
        <v/>
      </c>
      <c r="V334" s="1723" t="s">
        <v>8364</v>
      </c>
      <c r="W334" s="1938"/>
      <c r="X334" s="1939"/>
      <c r="Y334" s="1940"/>
      <c r="Z334" s="1940"/>
      <c r="AA334" s="1724" t="str">
        <f>IFERROR(IF(V332="Ataque Elemental",IF(NOT(ISNA(VLOOKUP(V336,'Tablas Técnicas'!$O$100:$O$105,1,0))),V336,"Variable"),VLOOKUP(V332,'Tablas Técnicas'!$O$9:$W$88,9,FALSE)),"")</f>
        <v/>
      </c>
      <c r="AB334" s="1941" t="s">
        <v>8364</v>
      </c>
      <c r="AC334" s="1938"/>
      <c r="AD334" s="1939"/>
      <c r="AE334" s="1940"/>
      <c r="AF334" s="1940"/>
      <c r="AG334" s="1818" t="str">
        <f>IFERROR(IF(AB332="Ataque Elemental",IF(NOT(ISNA(VLOOKUP(AB336,'Tablas Técnicas'!$O$100:$O$105,1,0))),AB336,"Variable"),VLOOKUP(AB332,'Tablas Técnicas'!$O$9:$W$88,9,FALSE)),"")</f>
        <v/>
      </c>
      <c r="AH334" s="1943"/>
      <c r="AI334" s="6011"/>
      <c r="AJ334" s="3986"/>
      <c r="AK334" s="1868" t="s">
        <v>1233</v>
      </c>
      <c r="AL334" s="1868" t="s">
        <v>1357</v>
      </c>
      <c r="AM334" s="1868" t="s">
        <v>1238</v>
      </c>
      <c r="AN334" s="1868" t="s">
        <v>1243</v>
      </c>
      <c r="AO334" s="1868" t="s">
        <v>1250</v>
      </c>
      <c r="AP334" s="1868" t="s">
        <v>1251</v>
      </c>
      <c r="AQ334" s="3987"/>
      <c r="AR334" s="1868"/>
      <c r="AS334" s="1868"/>
      <c r="AT334" s="1868"/>
      <c r="AU334" s="1868"/>
      <c r="AV334" s="1868"/>
      <c r="AW334" s="1868"/>
      <c r="AX334" s="1868"/>
      <c r="AY334" s="3986"/>
      <c r="AZ334" s="1868"/>
      <c r="BA334" s="1868"/>
      <c r="BB334" s="1868"/>
      <c r="BC334" s="1868"/>
      <c r="BD334" s="1868"/>
      <c r="BE334" s="1868"/>
      <c r="BF334" s="1868"/>
      <c r="BG334" s="1868"/>
      <c r="BH334" s="1868"/>
      <c r="BI334" s="1868"/>
      <c r="BJ334" s="1868"/>
      <c r="BK334" s="1868"/>
      <c r="BL334" s="1868"/>
      <c r="BM334" s="1868"/>
      <c r="BN334" s="1868"/>
      <c r="BO334" s="1868"/>
      <c r="BP334" s="1868"/>
      <c r="BQ334" s="1868"/>
      <c r="BR334" s="1868"/>
    </row>
    <row r="335" spans="1:70" ht="12.2" customHeight="1">
      <c r="A335" s="1935"/>
      <c r="B335" s="1866">
        <f t="shared" si="8"/>
        <v>10</v>
      </c>
      <c r="C335" s="6009"/>
      <c r="D335" s="5865" t="s">
        <v>2665</v>
      </c>
      <c r="E335" s="5866"/>
      <c r="F335" s="5866"/>
      <c r="G335" s="5866"/>
      <c r="H335" s="5867"/>
      <c r="I335" s="1725" t="s">
        <v>1262</v>
      </c>
      <c r="J335" s="5865" t="s">
        <v>2665</v>
      </c>
      <c r="K335" s="5866"/>
      <c r="L335" s="5866"/>
      <c r="M335" s="5866"/>
      <c r="N335" s="5867"/>
      <c r="O335" s="1726" t="s">
        <v>1262</v>
      </c>
      <c r="P335" s="5865" t="s">
        <v>2665</v>
      </c>
      <c r="Q335" s="5866"/>
      <c r="R335" s="5866"/>
      <c r="S335" s="5866"/>
      <c r="T335" s="5867"/>
      <c r="U335" s="1726" t="s">
        <v>1262</v>
      </c>
      <c r="V335" s="5865"/>
      <c r="W335" s="5866"/>
      <c r="X335" s="5866"/>
      <c r="Y335" s="5866"/>
      <c r="Z335" s="5867"/>
      <c r="AA335" s="1726" t="s">
        <v>1262</v>
      </c>
      <c r="AB335" s="5865" t="s">
        <v>2665</v>
      </c>
      <c r="AC335" s="5866"/>
      <c r="AD335" s="5866"/>
      <c r="AE335" s="5866"/>
      <c r="AF335" s="5867"/>
      <c r="AG335" s="1727" t="s">
        <v>1262</v>
      </c>
      <c r="AH335" s="1943"/>
      <c r="AI335" s="6011"/>
      <c r="AJ335" s="3989" t="s">
        <v>8879</v>
      </c>
      <c r="AK335" s="3986" t="str">
        <f>IF(V321="","",IF(SUM(V323:V327)=0,"",V321&amp;" "&amp;SUM(V323:V327)+V330&amp;IF(SUM(W323:W327)=0,""," ("&amp;SUM(W323:W327)&amp;")")&amp;", "))</f>
        <v/>
      </c>
      <c r="AL335" s="3986" t="str">
        <f>IF(X321="","",IF(SUM(X323:X327)=0,"",X321&amp;" "&amp;SUM(X323:X327)+X330&amp;IF(SUM(Y323:Y327)=0,""," ("&amp;SUM(Y323:Y327)&amp;")")&amp;", "))</f>
        <v/>
      </c>
      <c r="AM335" s="3986" t="str">
        <f>IF(Z321="","",IF(SUM(Z323:Z327)=0,"",Z321&amp;" "&amp;SUM(Z323:Z327)+Z330&amp;IF(SUM(AA323:AA327)=0,""," ("&amp;SUM(AA323:AA327)&amp;")")&amp;", "))</f>
        <v/>
      </c>
      <c r="AN335" s="3986" t="str">
        <f>IF(AB321="","",IF(SUM(AB323:AB327)=0,"",AB321&amp;" "&amp;SUM(AB323:AB327)+AB330&amp;IF(SUM(AC323:AC327)=0,""," ("&amp;SUM(AC323:AC327)&amp;")")&amp;", "))</f>
        <v/>
      </c>
      <c r="AO335" s="3986" t="str">
        <f>IF(AD321="","",IF(SUM(AD323:AD327)=0,"",AD321&amp;" "&amp;SUM(AD323:AD327)+AD330&amp;IF(SUM(AE323:AE327)=0,""," ("&amp;SUM(AE323:AE327)&amp;")")&amp;", "))</f>
        <v/>
      </c>
      <c r="AP335" s="3986" t="str">
        <f>IF(AF321="","",IF(SUM(AF323:AF327)=0,"",AF321&amp;" "&amp;SUM(AF323:AF327)+AF330&amp;IF(SUM(AG323:AG327)=0,""," ("&amp;SUM(AG323:AG327)&amp;")")&amp;", "))</f>
        <v/>
      </c>
      <c r="AQ335" s="3986"/>
      <c r="AR335" s="3986"/>
      <c r="AS335" s="3986"/>
      <c r="AT335" s="3986"/>
      <c r="AU335" s="3986"/>
      <c r="AV335" s="3986"/>
      <c r="AW335" s="3986"/>
      <c r="AX335" s="3986"/>
      <c r="AY335" s="3986"/>
      <c r="AZ335" s="1868"/>
      <c r="BA335" s="1868"/>
      <c r="BB335" s="1868"/>
      <c r="BC335" s="1868"/>
      <c r="BD335" s="1868"/>
      <c r="BE335" s="1868"/>
      <c r="BF335" s="1868"/>
      <c r="BG335" s="1868"/>
      <c r="BH335" s="1868"/>
      <c r="BI335" s="1868"/>
      <c r="BJ335" s="1868"/>
      <c r="BK335" s="1868"/>
      <c r="BL335" s="1868"/>
      <c r="BM335" s="1868"/>
      <c r="BN335" s="1868"/>
      <c r="BO335" s="1868"/>
      <c r="BP335" s="1868"/>
      <c r="BQ335" s="1868"/>
      <c r="BR335" s="1868"/>
    </row>
    <row r="336" spans="1:70" ht="12.2" customHeight="1">
      <c r="A336" s="1935"/>
      <c r="B336" s="1866">
        <f t="shared" si="8"/>
        <v>10</v>
      </c>
      <c r="C336" s="6009"/>
      <c r="D336" s="5911"/>
      <c r="E336" s="5853"/>
      <c r="F336" s="5853"/>
      <c r="G336" s="5853"/>
      <c r="H336" s="5853"/>
      <c r="I336" s="1728" t="str">
        <f>IF(OR(D332="",D336=""),"",MAX(1,SUMPRODUCT(--(INDEX('Tablas Técnicas'!$C$10:$L$644,,1)=D332),--(INDEX('Tablas Técnicas'!$C$10:$L$644,,2)=D336),INDEX('Tablas Técnicas'!$C$10:$L$644,,9))))</f>
        <v/>
      </c>
      <c r="J336" s="5852"/>
      <c r="K336" s="5853"/>
      <c r="L336" s="5853"/>
      <c r="M336" s="5853"/>
      <c r="N336" s="5853"/>
      <c r="O336" s="1728" t="str">
        <f>IF(OR(J332="",J336=""),"",MAX(1,SUMPRODUCT(--(INDEX('Tablas Técnicas'!$C$10:$L$644,,1)=J332),--(INDEX('Tablas Técnicas'!$C$10:$L$644,,2)=J336),INDEX('Tablas Técnicas'!$C$10:$L$644,,9))))</f>
        <v/>
      </c>
      <c r="P336" s="5852"/>
      <c r="Q336" s="5853"/>
      <c r="R336" s="5853"/>
      <c r="S336" s="5853"/>
      <c r="T336" s="5853"/>
      <c r="U336" s="1728" t="str">
        <f>IF(OR(P332="",P336=""),"",MAX(1,SUMPRODUCT(--(INDEX('Tablas Técnicas'!$C$10:$L$644,,1)=P332),--(INDEX('Tablas Técnicas'!$C$10:$L$644,,2)=P336),INDEX('Tablas Técnicas'!$C$10:$L$644,,9))))</f>
        <v/>
      </c>
      <c r="V336" s="5852"/>
      <c r="W336" s="5853"/>
      <c r="X336" s="5853"/>
      <c r="Y336" s="5853"/>
      <c r="Z336" s="5853"/>
      <c r="AA336" s="1728" t="str">
        <f>IF(OR(V332="",V336=""),"",MAX(1,SUMPRODUCT(--(INDEX('Tablas Técnicas'!$C$10:$L$644,,1)=V332),--(INDEX('Tablas Técnicas'!$C$10:$L$644,,2)=V336),INDEX('Tablas Técnicas'!$C$10:$L$644,,9))))</f>
        <v/>
      </c>
      <c r="AB336" s="5852"/>
      <c r="AC336" s="5853"/>
      <c r="AD336" s="5853"/>
      <c r="AE336" s="5853"/>
      <c r="AF336" s="5853"/>
      <c r="AG336" s="1729" t="str">
        <f>IF(OR(AB332="",AB336=""),"",MAX(1,SUMPRODUCT(--(INDEX('Tablas Técnicas'!$C$10:$L$644,,1)=AB332),--(INDEX('Tablas Técnicas'!$C$10:$L$644,,2)=AB336),INDEX('Tablas Técnicas'!$C$10:$L$644,,9))))</f>
        <v/>
      </c>
      <c r="AH336" s="1943">
        <f>P319</f>
        <v>1</v>
      </c>
      <c r="AI336" s="6011"/>
      <c r="AJ336" s="3986" t="s">
        <v>8843</v>
      </c>
      <c r="AK336" s="3986"/>
      <c r="AL336" s="3986">
        <f>MAX(0,SUM(AT323:AT327)+ABS($AC328*2/5))+IF(AM345,0,Y328)+IF(S319="Sí",2*P319,0)</f>
        <v>0</v>
      </c>
      <c r="AM336" s="3986">
        <f t="array" ref="AM336">IF(ISNUMBER(SEARCH("Mantenido",K323&amp;K324&amp;K325&amp;K326&amp;K327)),MAX(0,SUM(VALUE(RIGHT($P323:$P327,2)))),0)</f>
        <v>0</v>
      </c>
      <c r="AN336" s="1868"/>
      <c r="AO336" s="1868"/>
      <c r="AP336" s="1815"/>
      <c r="AQ336" s="1815"/>
      <c r="AR336" s="1815"/>
      <c r="AS336" s="1815"/>
      <c r="AT336" s="1815"/>
      <c r="AU336" s="1815"/>
      <c r="AV336" s="1815"/>
      <c r="AW336" s="1815"/>
      <c r="AX336" s="1815"/>
      <c r="AY336" s="3986"/>
      <c r="AZ336" s="1868"/>
      <c r="BA336" s="1868"/>
      <c r="BB336" s="1868"/>
      <c r="BC336" s="1868"/>
      <c r="BD336" s="1868"/>
      <c r="BE336" s="1868"/>
      <c r="BF336" s="1868"/>
      <c r="BG336" s="1868"/>
      <c r="BH336" s="1868"/>
      <c r="BI336" s="1868"/>
      <c r="BJ336" s="1868"/>
      <c r="BK336" s="1868"/>
      <c r="BL336" s="1868"/>
      <c r="BM336" s="1868"/>
      <c r="BN336" s="1868"/>
      <c r="BO336" s="1868"/>
      <c r="BP336" s="1868"/>
      <c r="BQ336" s="1868"/>
      <c r="BR336" s="1868"/>
    </row>
    <row r="337" spans="1:70" ht="12.2" customHeight="1">
      <c r="A337" s="1935"/>
      <c r="B337" s="1866">
        <f t="shared" si="8"/>
        <v>10</v>
      </c>
      <c r="C337" s="6009"/>
      <c r="D337" s="5871"/>
      <c r="E337" s="5872"/>
      <c r="F337" s="5872"/>
      <c r="G337" s="5872"/>
      <c r="H337" s="5872"/>
      <c r="I337" s="1730" t="str">
        <f>IF(OR(D332="",D337=""),"",MAX(1,SUMPRODUCT(--(INDEX('Tablas Técnicas'!$C$10:$L$644,,1)=D332),--(INDEX('Tablas Técnicas'!$C$10:$L$644,,2)=D337),INDEX('Tablas Técnicas'!$C$10:$L$644,,9))))</f>
        <v/>
      </c>
      <c r="J337" s="5871"/>
      <c r="K337" s="5872"/>
      <c r="L337" s="5872"/>
      <c r="M337" s="5872"/>
      <c r="N337" s="5872"/>
      <c r="O337" s="1730" t="str">
        <f>IF(OR(J332="",J337=""),"",MAX(1,SUMPRODUCT(--(INDEX('Tablas Técnicas'!$C$10:$L$644,,1)=J332),--(INDEX('Tablas Técnicas'!$C$10:$L$644,,2)=J337),INDEX('Tablas Técnicas'!$C$10:$L$644,,9))))</f>
        <v/>
      </c>
      <c r="P337" s="5871"/>
      <c r="Q337" s="5872"/>
      <c r="R337" s="5872"/>
      <c r="S337" s="5872"/>
      <c r="T337" s="5872"/>
      <c r="U337" s="1730" t="str">
        <f>IF(OR(P332="",P337=""),"",MAX(1,SUMPRODUCT(--(INDEX('Tablas Técnicas'!$C$10:$L$644,,1)=P332),--(INDEX('Tablas Técnicas'!$C$10:$L$644,,2)=P337),INDEX('Tablas Técnicas'!$C$10:$L$644,,9))))</f>
        <v/>
      </c>
      <c r="V337" s="5871"/>
      <c r="W337" s="5872"/>
      <c r="X337" s="5872"/>
      <c r="Y337" s="5872"/>
      <c r="Z337" s="5872"/>
      <c r="AA337" s="1730" t="str">
        <f>IF(OR(V332="",V337=""),"",MAX(1,SUMPRODUCT(--(INDEX('Tablas Técnicas'!$C$10:$L$644,,1)=V332),--(INDEX('Tablas Técnicas'!$C$10:$L$644,,2)=V337),INDEX('Tablas Técnicas'!$C$10:$L$644,,9))))</f>
        <v/>
      </c>
      <c r="AB337" s="5871"/>
      <c r="AC337" s="5872"/>
      <c r="AD337" s="5872"/>
      <c r="AE337" s="5872"/>
      <c r="AF337" s="5872"/>
      <c r="AG337" s="1731" t="str">
        <f>IF(OR(AB332="",AB337=""),"",MAX(1,SUMPRODUCT(--(INDEX('Tablas Técnicas'!$C$10:$L$644,,1)=AB332),--(INDEX('Tablas Técnicas'!$C$10:$L$644,,2)=AB337),INDEX('Tablas Técnicas'!$C$10:$L$644,,9))))</f>
        <v/>
      </c>
      <c r="AH337" s="1943">
        <f>P319</f>
        <v>1</v>
      </c>
      <c r="AI337" s="6011"/>
      <c r="AJ337" s="3986" t="s">
        <v>8366</v>
      </c>
      <c r="AK337" s="3986"/>
      <c r="AL337" s="3986">
        <f>SUM(V323:V327,X323:X327,Z323:Z327,AB323:AB327,AD323:AD327,AF323:AF327)+SUM(V330:AG330)</f>
        <v>0</v>
      </c>
      <c r="AM337" s="3986">
        <f>SUM(W323:W327,Y323:Y327,AA323:AA327,AC323:AC327,AE323:AE327,AG323:AG327)</f>
        <v>0</v>
      </c>
      <c r="AN337" s="3986"/>
      <c r="AO337" s="3986"/>
      <c r="AP337" s="3986"/>
      <c r="AQ337" s="3986"/>
      <c r="AR337" s="3986"/>
      <c r="AS337" s="3986"/>
      <c r="AT337" s="3986"/>
      <c r="AU337" s="3986"/>
      <c r="AV337" s="3986"/>
      <c r="AW337" s="1868"/>
      <c r="AX337" s="3986"/>
      <c r="AY337" s="3986"/>
      <c r="AZ337" s="1868"/>
      <c r="BA337" s="1868"/>
      <c r="BB337" s="1868"/>
      <c r="BC337" s="1868"/>
      <c r="BD337" s="1868"/>
      <c r="BE337" s="1868"/>
      <c r="BF337" s="1868"/>
      <c r="BG337" s="1868"/>
      <c r="BH337" s="1868"/>
      <c r="BI337" s="1868"/>
      <c r="BJ337" s="1868"/>
      <c r="BK337" s="1868"/>
      <c r="BL337" s="1868"/>
      <c r="BM337" s="1868"/>
      <c r="BN337" s="1868"/>
      <c r="BO337" s="1868"/>
      <c r="BP337" s="1868"/>
      <c r="BQ337" s="1868"/>
      <c r="BR337" s="1868"/>
    </row>
    <row r="338" spans="1:70" ht="12.2" customHeight="1">
      <c r="A338" s="1935"/>
      <c r="B338" s="1866">
        <f t="shared" si="8"/>
        <v>10</v>
      </c>
      <c r="C338" s="6009"/>
      <c r="D338" s="5871"/>
      <c r="E338" s="5872"/>
      <c r="F338" s="5872"/>
      <c r="G338" s="5872"/>
      <c r="H338" s="5872"/>
      <c r="I338" s="1730" t="str">
        <f>IF(OR(D332="",D338=""),"",MAX(1,SUMPRODUCT(--(INDEX('Tablas Técnicas'!$C$10:$L$644,,1)=D332),--(INDEX('Tablas Técnicas'!$C$10:$L$644,,2)=D338),INDEX('Tablas Técnicas'!$C$10:$L$644,,9))))</f>
        <v/>
      </c>
      <c r="J338" s="5871"/>
      <c r="K338" s="5872"/>
      <c r="L338" s="5872"/>
      <c r="M338" s="5872"/>
      <c r="N338" s="5872"/>
      <c r="O338" s="1730" t="str">
        <f>IF(OR(J332="",J338=""),"",MAX(1,SUMPRODUCT(--(INDEX('Tablas Técnicas'!$C$10:$L$644,,1)=J332),--(INDEX('Tablas Técnicas'!$C$10:$L$644,,2)=J338),INDEX('Tablas Técnicas'!$C$10:$L$644,,9))))</f>
        <v/>
      </c>
      <c r="P338" s="5871"/>
      <c r="Q338" s="5872"/>
      <c r="R338" s="5872"/>
      <c r="S338" s="5872"/>
      <c r="T338" s="5872"/>
      <c r="U338" s="1730" t="str">
        <f>IF(OR(P332="",P338=""),"",MAX(1,SUMPRODUCT(--(INDEX('Tablas Técnicas'!$C$10:$L$644,,1)=P332),--(INDEX('Tablas Técnicas'!$C$10:$L$644,,2)=P338),INDEX('Tablas Técnicas'!$C$10:$L$644,,9))))</f>
        <v/>
      </c>
      <c r="V338" s="5871"/>
      <c r="W338" s="5872"/>
      <c r="X338" s="5872"/>
      <c r="Y338" s="5872"/>
      <c r="Z338" s="5872"/>
      <c r="AA338" s="1730" t="str">
        <f>IF(OR(V332="",V338=""),"",MAX(1,SUMPRODUCT(--(INDEX('Tablas Técnicas'!$C$10:$L$644,,1)=V332),--(INDEX('Tablas Técnicas'!$C$10:$L$644,,2)=V338),INDEX('Tablas Técnicas'!$C$10:$L$644,,9))))</f>
        <v/>
      </c>
      <c r="AB338" s="5871"/>
      <c r="AC338" s="5872"/>
      <c r="AD338" s="5872"/>
      <c r="AE338" s="5872"/>
      <c r="AF338" s="5872"/>
      <c r="AG338" s="1731" t="str">
        <f>IF(OR(AB332="",AB338=""),"",MAX(1,SUMPRODUCT(--(INDEX('Tablas Técnicas'!$C$10:$L$644,,1)=AB332),--(INDEX('Tablas Técnicas'!$C$10:$L$644,,2)=AB338),INDEX('Tablas Técnicas'!$C$10:$L$644,,9))))</f>
        <v/>
      </c>
      <c r="AH338" s="1943">
        <f>P319</f>
        <v>1</v>
      </c>
      <c r="AI338" s="6011"/>
      <c r="AJ338" s="3986"/>
      <c r="AK338" s="3986"/>
      <c r="AL338" s="3986"/>
      <c r="AM338" s="3986"/>
      <c r="AN338" s="3986"/>
      <c r="AO338" s="3986"/>
      <c r="AP338" s="3986"/>
      <c r="AQ338" s="3986"/>
      <c r="AR338" s="3986"/>
      <c r="AS338" s="3986"/>
      <c r="AT338" s="3986"/>
      <c r="AU338" s="3986"/>
      <c r="AV338" s="3986"/>
      <c r="AW338" s="1868"/>
      <c r="AX338" s="1868"/>
      <c r="AY338" s="3986"/>
      <c r="AZ338" s="1868"/>
      <c r="BA338" s="1868"/>
      <c r="BB338" s="1868"/>
      <c r="BC338" s="1868"/>
      <c r="BD338" s="1868"/>
      <c r="BE338" s="1868"/>
      <c r="BF338" s="1868"/>
      <c r="BG338" s="1868"/>
      <c r="BH338" s="1868"/>
      <c r="BI338" s="1868"/>
      <c r="BJ338" s="1868"/>
      <c r="BK338" s="1868"/>
      <c r="BL338" s="1868"/>
      <c r="BM338" s="1868"/>
      <c r="BN338" s="1868"/>
      <c r="BO338" s="1868"/>
      <c r="BP338" s="1868"/>
      <c r="BQ338" s="1868"/>
      <c r="BR338" s="1868"/>
    </row>
    <row r="339" spans="1:70" ht="12.2" customHeight="1">
      <c r="A339" s="1935"/>
      <c r="B339" s="1866">
        <f t="shared" si="8"/>
        <v>10</v>
      </c>
      <c r="C339" s="6009"/>
      <c r="D339" s="5871"/>
      <c r="E339" s="5872"/>
      <c r="F339" s="5872"/>
      <c r="G339" s="5872"/>
      <c r="H339" s="5872"/>
      <c r="I339" s="1730" t="str">
        <f>IF(OR(D332="",D339=""),"",MAX(1,SUMPRODUCT(--(INDEX('Tablas Técnicas'!$C$10:$L$644,,1)=D332),--(INDEX('Tablas Técnicas'!$C$10:$L$644,,2)=D339),INDEX('Tablas Técnicas'!$C$10:$L$644,,9))))</f>
        <v/>
      </c>
      <c r="J339" s="5871"/>
      <c r="K339" s="5872"/>
      <c r="L339" s="5872"/>
      <c r="M339" s="5872"/>
      <c r="N339" s="5872"/>
      <c r="O339" s="1730" t="str">
        <f>IF(OR(J332="",J339=""),"",MAX(1,SUMPRODUCT(--(INDEX('Tablas Técnicas'!$C$10:$L$644,,1)=J332),--(INDEX('Tablas Técnicas'!$C$10:$L$644,,2)=J339),INDEX('Tablas Técnicas'!$C$10:$L$644,,9))))</f>
        <v/>
      </c>
      <c r="P339" s="5871"/>
      <c r="Q339" s="5872"/>
      <c r="R339" s="5872"/>
      <c r="S339" s="5872"/>
      <c r="T339" s="5872"/>
      <c r="U339" s="1730" t="str">
        <f>IF(OR(P332="",P339=""),"",MAX(1,SUMPRODUCT(--(INDEX('Tablas Técnicas'!$C$10:$L$644,,1)=P332),--(INDEX('Tablas Técnicas'!$C$10:$L$644,,2)=P339),INDEX('Tablas Técnicas'!$C$10:$L$644,,9))))</f>
        <v/>
      </c>
      <c r="V339" s="5871"/>
      <c r="W339" s="5872"/>
      <c r="X339" s="5872"/>
      <c r="Y339" s="5872"/>
      <c r="Z339" s="5872"/>
      <c r="AA339" s="1730" t="str">
        <f>IF(OR(V332="",V339=""),"",MAX(1,SUMPRODUCT(--(INDEX('Tablas Técnicas'!$C$10:$L$644,,1)=V332),--(INDEX('Tablas Técnicas'!$C$10:$L$644,,2)=V339),INDEX('Tablas Técnicas'!$C$10:$L$644,,9))))</f>
        <v/>
      </c>
      <c r="AB339" s="5871"/>
      <c r="AC339" s="5872"/>
      <c r="AD339" s="5872"/>
      <c r="AE339" s="5872"/>
      <c r="AF339" s="5872"/>
      <c r="AG339" s="1731" t="str">
        <f>IF(OR(AB332="",AB339=""),"",MAX(1,SUMPRODUCT(--(INDEX('Tablas Técnicas'!$C$10:$L$644,,1)=AB332),--(INDEX('Tablas Técnicas'!$C$10:$L$644,,2)=AB339),INDEX('Tablas Técnicas'!$C$10:$L$644,,9))))</f>
        <v/>
      </c>
      <c r="AH339" s="1943">
        <f>P319</f>
        <v>1</v>
      </c>
      <c r="AI339" s="6011"/>
      <c r="AJ339" s="3986" t="s">
        <v>8367</v>
      </c>
      <c r="AK339" s="3986"/>
      <c r="AL339" s="3986"/>
      <c r="AM339" s="3986"/>
      <c r="AN339" s="3986"/>
      <c r="AO339" s="3986"/>
      <c r="AP339" s="3986"/>
      <c r="AQ339" s="3987"/>
      <c r="AR339" s="1868"/>
      <c r="AS339" s="1868"/>
      <c r="AT339" s="1868"/>
      <c r="AU339" s="1868"/>
      <c r="AV339" s="1868"/>
      <c r="AW339" s="1868"/>
      <c r="AX339" s="1868"/>
      <c r="AY339" s="3986"/>
      <c r="AZ339" s="1868"/>
      <c r="BA339" s="1868"/>
      <c r="BB339" s="1868"/>
      <c r="BC339" s="1868"/>
      <c r="BD339" s="1868"/>
      <c r="BE339" s="1868"/>
      <c r="BF339" s="1868"/>
      <c r="BG339" s="1868"/>
      <c r="BH339" s="1868"/>
      <c r="BI339" s="1868"/>
      <c r="BJ339" s="1868"/>
      <c r="BK339" s="1868"/>
      <c r="BL339" s="1868"/>
      <c r="BM339" s="1868"/>
      <c r="BN339" s="1868"/>
      <c r="BO339" s="1868"/>
      <c r="BP339" s="1868"/>
      <c r="BQ339" s="1868"/>
      <c r="BR339" s="1868"/>
    </row>
    <row r="340" spans="1:70" ht="12.2" customHeight="1">
      <c r="A340" s="1935"/>
      <c r="B340" s="1866">
        <f t="shared" si="8"/>
        <v>10</v>
      </c>
      <c r="C340" s="6009"/>
      <c r="D340" s="5871"/>
      <c r="E340" s="5872"/>
      <c r="F340" s="5872"/>
      <c r="G340" s="5872"/>
      <c r="H340" s="5872"/>
      <c r="I340" s="1730" t="str">
        <f>IF(OR(D332="",D340=""),"",MAX(1,SUMPRODUCT(--(INDEX('Tablas Técnicas'!$C$10:$L$644,,1)=D332),--(INDEX('Tablas Técnicas'!$C$10:$L$644,,2)=D340),INDEX('Tablas Técnicas'!$C$10:$L$644,,9))))</f>
        <v/>
      </c>
      <c r="J340" s="5871"/>
      <c r="K340" s="5872"/>
      <c r="L340" s="5872"/>
      <c r="M340" s="5872"/>
      <c r="N340" s="5872"/>
      <c r="O340" s="1730" t="str">
        <f>IF(OR(J332="",J340=""),"",MAX(1,SUMPRODUCT(--(INDEX('Tablas Técnicas'!$C$10:$L$644,,1)=J332),--(INDEX('Tablas Técnicas'!$C$10:$L$644,,2)=J340),INDEX('Tablas Técnicas'!$C$10:$L$644,,9))))</f>
        <v/>
      </c>
      <c r="P340" s="5871"/>
      <c r="Q340" s="5872"/>
      <c r="R340" s="5872"/>
      <c r="S340" s="5872"/>
      <c r="T340" s="5872"/>
      <c r="U340" s="1730" t="str">
        <f>IF(OR(P332="",P340=""),"",MAX(1,SUMPRODUCT(--(INDEX('Tablas Técnicas'!$C$10:$L$644,,1)=P332),--(INDEX('Tablas Técnicas'!$C$10:$L$644,,2)=P340),INDEX('Tablas Técnicas'!$C$10:$L$644,,9))))</f>
        <v/>
      </c>
      <c r="V340" s="5871"/>
      <c r="W340" s="5872"/>
      <c r="X340" s="5872"/>
      <c r="Y340" s="5872"/>
      <c r="Z340" s="5872"/>
      <c r="AA340" s="1730" t="str">
        <f>IF(OR(V332="",V340=""),"",MAX(1,SUMPRODUCT(--(INDEX('Tablas Técnicas'!$C$10:$L$644,,1)=V332),--(INDEX('Tablas Técnicas'!$C$10:$L$644,,2)=V340),INDEX('Tablas Técnicas'!$C$10:$L$644,,9))))</f>
        <v/>
      </c>
      <c r="AB340" s="5871"/>
      <c r="AC340" s="5872"/>
      <c r="AD340" s="5872"/>
      <c r="AE340" s="5872"/>
      <c r="AF340" s="5872"/>
      <c r="AG340" s="1731" t="str">
        <f>IF(OR(AB332="",AB340=""),"",MAX(1,SUMPRODUCT(--(INDEX('Tablas Técnicas'!$C$10:$L$644,,1)=AB332),--(INDEX('Tablas Técnicas'!$C$10:$L$644,,2)=AB340),INDEX('Tablas Técnicas'!$C$10:$L$644,,9))))</f>
        <v/>
      </c>
      <c r="AH340" s="1943">
        <f>P319</f>
        <v>1</v>
      </c>
      <c r="AI340" s="6011"/>
      <c r="AJ340" s="3986" t="s">
        <v>9502</v>
      </c>
      <c r="AK340" s="3986"/>
      <c r="AL340" s="3986"/>
      <c r="AM340" s="3986" t="b">
        <f>U319&gt;IF(P319=3,200,IF(P319=2,100,50))</f>
        <v>0</v>
      </c>
      <c r="AN340" s="3986"/>
      <c r="AO340" s="3986"/>
      <c r="AP340" s="3986"/>
      <c r="AQ340" s="3986"/>
      <c r="AR340" s="1868"/>
      <c r="AS340" s="1868"/>
      <c r="AT340" s="1868"/>
      <c r="AU340" s="1868"/>
      <c r="AV340" s="1868"/>
      <c r="AW340" s="1868"/>
      <c r="AX340" s="1868"/>
      <c r="AY340" s="3986"/>
      <c r="AZ340" s="1868"/>
      <c r="BA340" s="1868"/>
      <c r="BB340" s="1868"/>
      <c r="BC340" s="1868"/>
      <c r="BD340" s="1868"/>
      <c r="BE340" s="1868"/>
      <c r="BF340" s="1868"/>
      <c r="BG340" s="1868"/>
      <c r="BH340" s="1868"/>
      <c r="BI340" s="1868"/>
      <c r="BJ340" s="1868"/>
      <c r="BK340" s="1868"/>
      <c r="BL340" s="1868"/>
      <c r="BM340" s="1868"/>
      <c r="BN340" s="1868"/>
      <c r="BO340" s="1868"/>
      <c r="BP340" s="1868"/>
      <c r="BQ340" s="1868"/>
      <c r="BR340" s="1868"/>
    </row>
    <row r="341" spans="1:70" ht="12.2" customHeight="1">
      <c r="A341" s="1935"/>
      <c r="B341" s="1866">
        <f t="shared" si="8"/>
        <v>10</v>
      </c>
      <c r="C341" s="6009"/>
      <c r="D341" s="5871"/>
      <c r="E341" s="5872"/>
      <c r="F341" s="5872"/>
      <c r="G341" s="5872"/>
      <c r="H341" s="5872"/>
      <c r="I341" s="1730" t="str">
        <f>IF(OR(D332="",D341=""),"",MAX(1,SUMPRODUCT(--(INDEX('Tablas Técnicas'!$C$10:$L$644,,1)=D332),--(INDEX('Tablas Técnicas'!$C$10:$L$644,,2)=D341),INDEX('Tablas Técnicas'!$C$10:$L$644,,9))))</f>
        <v/>
      </c>
      <c r="J341" s="5871"/>
      <c r="K341" s="5872"/>
      <c r="L341" s="5872"/>
      <c r="M341" s="5872"/>
      <c r="N341" s="5872"/>
      <c r="O341" s="1730" t="str">
        <f>IF(OR(J332="",J341=""),"",MAX(1,SUMPRODUCT(--(INDEX('Tablas Técnicas'!$C$10:$L$644,,1)=J332),--(INDEX('Tablas Técnicas'!$C$10:$L$644,,2)=J341),INDEX('Tablas Técnicas'!$C$10:$L$644,,9))))</f>
        <v/>
      </c>
      <c r="P341" s="5871"/>
      <c r="Q341" s="5872"/>
      <c r="R341" s="5872"/>
      <c r="S341" s="5872"/>
      <c r="T341" s="5872"/>
      <c r="U341" s="1730" t="str">
        <f>IF(OR(P332="",P341=""),"",MAX(1,SUMPRODUCT(--(INDEX('Tablas Técnicas'!$C$10:$L$644,,1)=P332),--(INDEX('Tablas Técnicas'!$C$10:$L$644,,2)=P341),INDEX('Tablas Técnicas'!$C$10:$L$644,,9))))</f>
        <v/>
      </c>
      <c r="V341" s="5871"/>
      <c r="W341" s="5872"/>
      <c r="X341" s="5872"/>
      <c r="Y341" s="5872"/>
      <c r="Z341" s="5872"/>
      <c r="AA341" s="1730" t="str">
        <f>IF(OR(V332="",V341=""),"",MAX(1,SUMPRODUCT(--(INDEX('Tablas Técnicas'!$C$10:$L$644,,1)=V332),--(INDEX('Tablas Técnicas'!$C$10:$L$644,,2)=V341),INDEX('Tablas Técnicas'!$C$10:$L$644,,9))))</f>
        <v/>
      </c>
      <c r="AB341" s="5871"/>
      <c r="AC341" s="5872"/>
      <c r="AD341" s="5872"/>
      <c r="AE341" s="5872"/>
      <c r="AF341" s="5872"/>
      <c r="AG341" s="1731" t="str">
        <f>IF(OR(AB332="",AB341=""),"",MAX(1,SUMPRODUCT(--(INDEX('Tablas Técnicas'!$C$10:$L$644,,1)=AB332),--(INDEX('Tablas Técnicas'!$C$10:$L$644,,2)=AB341),INDEX('Tablas Técnicas'!$C$10:$L$644,,9))))</f>
        <v/>
      </c>
      <c r="AH341" s="1943">
        <f>P319</f>
        <v>1</v>
      </c>
      <c r="AI341" s="6011"/>
      <c r="AJ341" s="3986" t="s">
        <v>8368</v>
      </c>
      <c r="AK341" s="3986"/>
      <c r="AL341" s="3986"/>
      <c r="AM341" s="3986" t="b">
        <f t="array" ref="AM341">MAX(I336:I342,O336:O342,U336:U342,AA336:AA342,AG336:AG342,RIGHT(S328:S330,1))&gt;P319</f>
        <v>0</v>
      </c>
      <c r="AN341" s="3986"/>
      <c r="AO341" s="3986"/>
      <c r="AP341" s="3986"/>
      <c r="AQ341" s="3987"/>
      <c r="AR341" s="1868"/>
      <c r="AS341" s="1868"/>
      <c r="AT341" s="1868"/>
      <c r="AU341" s="1868"/>
      <c r="AV341" s="1868"/>
      <c r="AW341" s="1868"/>
      <c r="AX341" s="1868"/>
      <c r="AY341" s="3986"/>
      <c r="AZ341" s="1868"/>
      <c r="BA341" s="1868"/>
      <c r="BB341" s="1868"/>
      <c r="BC341" s="1868"/>
      <c r="BD341" s="1868"/>
      <c r="BE341" s="1868"/>
      <c r="BF341" s="1868"/>
      <c r="BG341" s="1868"/>
      <c r="BH341" s="1868"/>
      <c r="BI341" s="1868"/>
      <c r="BJ341" s="1868"/>
      <c r="BK341" s="1868"/>
      <c r="BL341" s="1868"/>
      <c r="BM341" s="1868"/>
      <c r="BN341" s="1868"/>
      <c r="BO341" s="1868"/>
      <c r="BP341" s="1868"/>
      <c r="BQ341" s="1868"/>
      <c r="BR341" s="1868"/>
    </row>
    <row r="342" spans="1:70" ht="12.2" customHeight="1">
      <c r="A342" s="1935"/>
      <c r="B342" s="1866">
        <f t="shared" si="8"/>
        <v>10</v>
      </c>
      <c r="C342" s="6009"/>
      <c r="D342" s="5926"/>
      <c r="E342" s="5927"/>
      <c r="F342" s="5927"/>
      <c r="G342" s="5927"/>
      <c r="H342" s="5927"/>
      <c r="I342" s="1732" t="str">
        <f>IF(OR(D332="",D342=""),"",MAX(1,SUMPRODUCT(--(INDEX('Tablas Técnicas'!$C$10:$L$644,,1)=D332),--(INDEX('Tablas Técnicas'!$C$10:$L$644,,2)=D342),INDEX('Tablas Técnicas'!$C$10:$L$644,,9))))</f>
        <v/>
      </c>
      <c r="J342" s="5926"/>
      <c r="K342" s="5927"/>
      <c r="L342" s="5927"/>
      <c r="M342" s="5927"/>
      <c r="N342" s="5927"/>
      <c r="O342" s="1732" t="str">
        <f>IF(OR(J332="",J342=""),"",MAX(1,SUMPRODUCT(--(INDEX('Tablas Técnicas'!$C$10:$L$644,,1)=J332),--(INDEX('Tablas Técnicas'!$C$10:$L$644,,2)=J342),INDEX('Tablas Técnicas'!$C$10:$L$644,,9))))</f>
        <v/>
      </c>
      <c r="P342" s="5926"/>
      <c r="Q342" s="5927"/>
      <c r="R342" s="5927"/>
      <c r="S342" s="5927"/>
      <c r="T342" s="5927"/>
      <c r="U342" s="1732" t="str">
        <f>IF(OR(P332="",P342=""),"",MAX(1,SUMPRODUCT(--(INDEX('Tablas Técnicas'!$C$10:$L$644,,1)=P332),--(INDEX('Tablas Técnicas'!$C$10:$L$644,,2)=P342),INDEX('Tablas Técnicas'!$C$10:$L$644,,9))))</f>
        <v/>
      </c>
      <c r="V342" s="5926"/>
      <c r="W342" s="5927"/>
      <c r="X342" s="5927"/>
      <c r="Y342" s="5927"/>
      <c r="Z342" s="5927"/>
      <c r="AA342" s="1732" t="str">
        <f>IF(OR(V332="",V342=""),"",MAX(1,SUMPRODUCT(--(INDEX('Tablas Técnicas'!$C$10:$L$644,,1)=V332),--(INDEX('Tablas Técnicas'!$C$10:$L$644,,2)=V342),INDEX('Tablas Técnicas'!$C$10:$L$644,,9))))</f>
        <v/>
      </c>
      <c r="AB342" s="5926"/>
      <c r="AC342" s="5927"/>
      <c r="AD342" s="5927"/>
      <c r="AE342" s="5927"/>
      <c r="AF342" s="5927"/>
      <c r="AG342" s="1733" t="str">
        <f>IF(OR(AB332="",AB342=""),"",MAX(1,SUMPRODUCT(--(INDEX('Tablas Técnicas'!$C$10:$L$644,,1)=AB332),--(INDEX('Tablas Técnicas'!$C$10:$L$644,,2)=AB342),INDEX('Tablas Técnicas'!$C$10:$L$644,,9))))</f>
        <v/>
      </c>
      <c r="AH342" s="1943">
        <f>P319</f>
        <v>1</v>
      </c>
      <c r="AI342" s="6011"/>
      <c r="AJ342" s="3986" t="s">
        <v>8860</v>
      </c>
      <c r="AK342" s="3986"/>
      <c r="AL342" s="3986"/>
      <c r="AM342" s="3986" t="b">
        <f>AND(COUNTIF(K323:M327,"Mantenido"),OR(COUNTIF(K323:M327,"Sostenimiento Menor"),COUNTIF(K323:M327,"Sostenimiento Mayor")))</f>
        <v>0</v>
      </c>
      <c r="AN342" s="3987"/>
      <c r="AO342" s="3986"/>
      <c r="AP342" s="3986"/>
      <c r="AQ342" s="3986"/>
      <c r="AR342" s="3986"/>
      <c r="AS342" s="3986"/>
      <c r="AT342" s="3986"/>
      <c r="AU342" s="1868"/>
      <c r="AV342" s="1868"/>
      <c r="AW342" s="1868"/>
      <c r="AX342" s="1868"/>
      <c r="AY342" s="3986"/>
      <c r="AZ342" s="1868"/>
      <c r="BA342" s="1868"/>
      <c r="BB342" s="1868"/>
      <c r="BC342" s="1868"/>
      <c r="BD342" s="1868"/>
      <c r="BE342" s="1868"/>
      <c r="BF342" s="1868"/>
      <c r="BG342" s="1868"/>
      <c r="BH342" s="1868"/>
      <c r="BI342" s="1868"/>
      <c r="BJ342" s="1868"/>
      <c r="BK342" s="1868"/>
      <c r="BL342" s="1868"/>
      <c r="BM342" s="1868"/>
      <c r="BN342" s="1868"/>
      <c r="BO342" s="1868"/>
      <c r="BP342" s="1868"/>
      <c r="BQ342" s="1868"/>
      <c r="BR342" s="1868"/>
    </row>
    <row r="343" spans="1:70" ht="12.2" customHeight="1">
      <c r="A343" s="1935"/>
      <c r="B343" s="1866">
        <f t="shared" si="8"/>
        <v>10</v>
      </c>
      <c r="C343" s="6009"/>
      <c r="D343" s="5873" t="s">
        <v>1408</v>
      </c>
      <c r="E343" s="5874"/>
      <c r="F343" s="5874"/>
      <c r="G343" s="5874"/>
      <c r="H343" s="5874"/>
      <c r="I343" s="5874"/>
      <c r="J343" s="5874"/>
      <c r="K343" s="5874"/>
      <c r="L343" s="5874"/>
      <c r="M343" s="5874"/>
      <c r="N343" s="5874"/>
      <c r="O343" s="5874"/>
      <c r="P343" s="5874"/>
      <c r="Q343" s="5874"/>
      <c r="R343" s="5874"/>
      <c r="S343" s="5874"/>
      <c r="T343" s="5874"/>
      <c r="U343" s="5874"/>
      <c r="V343" s="5874"/>
      <c r="W343" s="5874"/>
      <c r="X343" s="5874"/>
      <c r="Y343" s="5874"/>
      <c r="Z343" s="5874"/>
      <c r="AA343" s="5874"/>
      <c r="AB343" s="5874"/>
      <c r="AC343" s="5874"/>
      <c r="AD343" s="5874"/>
      <c r="AE343" s="5874"/>
      <c r="AF343" s="5874"/>
      <c r="AG343" s="5875"/>
      <c r="AH343" s="1943"/>
      <c r="AI343" s="6011"/>
      <c r="AJ343" s="3986" t="s">
        <v>8859</v>
      </c>
      <c r="AK343" s="3986"/>
      <c r="AL343" s="3986"/>
      <c r="AM343" s="398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986"/>
      <c r="AO343" s="3986"/>
      <c r="AP343" s="3986"/>
      <c r="AQ343" s="3987"/>
      <c r="AR343" s="3986"/>
      <c r="AS343" s="3986"/>
      <c r="AT343" s="3986"/>
      <c r="AU343" s="1868"/>
      <c r="AV343" s="1868"/>
      <c r="AW343" s="1868"/>
      <c r="AX343" s="1868"/>
      <c r="AY343" s="3986"/>
      <c r="AZ343" s="1868"/>
      <c r="BA343" s="1868"/>
      <c r="BB343" s="1868"/>
      <c r="BC343" s="1868"/>
      <c r="BD343" s="1868"/>
      <c r="BE343" s="1868"/>
      <c r="BF343" s="1868"/>
      <c r="BG343" s="1868"/>
      <c r="BH343" s="1868"/>
      <c r="BI343" s="1868"/>
      <c r="BJ343" s="1868"/>
      <c r="BK343" s="1868"/>
      <c r="BL343" s="1868"/>
      <c r="BM343" s="1868"/>
      <c r="BN343" s="1868"/>
      <c r="BO343" s="1868"/>
      <c r="BP343" s="1868"/>
      <c r="BQ343" s="1868"/>
      <c r="BR343" s="1868"/>
    </row>
    <row r="344" spans="1:70" ht="12.2" customHeight="1">
      <c r="A344" s="1935"/>
      <c r="B344" s="1866">
        <f t="shared" si="8"/>
        <v>10</v>
      </c>
      <c r="C344" s="6009"/>
      <c r="D344" s="5868"/>
      <c r="E344" s="5869"/>
      <c r="F344" s="5869"/>
      <c r="G344" s="5869"/>
      <c r="H344" s="5869"/>
      <c r="I344" s="5869"/>
      <c r="J344" s="5869"/>
      <c r="K344" s="5869"/>
      <c r="L344" s="5869"/>
      <c r="M344" s="5869"/>
      <c r="N344" s="5869"/>
      <c r="O344" s="5869"/>
      <c r="P344" s="5869"/>
      <c r="Q344" s="5869"/>
      <c r="R344" s="5869"/>
      <c r="S344" s="5869"/>
      <c r="T344" s="5869"/>
      <c r="U344" s="5869"/>
      <c r="V344" s="5869"/>
      <c r="W344" s="5869"/>
      <c r="X344" s="5869"/>
      <c r="Y344" s="5869"/>
      <c r="Z344" s="5869"/>
      <c r="AA344" s="5869"/>
      <c r="AB344" s="5869"/>
      <c r="AC344" s="5869"/>
      <c r="AD344" s="5869"/>
      <c r="AE344" s="5869"/>
      <c r="AF344" s="5869"/>
      <c r="AG344" s="5870"/>
      <c r="AH344" s="1943"/>
      <c r="AI344" s="6011"/>
      <c r="AJ344" s="3986" t="s">
        <v>8867</v>
      </c>
      <c r="AK344" s="3986"/>
      <c r="AL344" s="3986"/>
      <c r="AM344" s="398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986"/>
      <c r="AO344" s="3986"/>
      <c r="AP344" s="3986"/>
      <c r="AQ344" s="3987"/>
      <c r="AR344" s="3986"/>
      <c r="AS344" s="3986"/>
      <c r="AT344" s="3986"/>
      <c r="AU344" s="1868"/>
      <c r="AV344" s="1868"/>
      <c r="AW344" s="1868"/>
      <c r="AX344" s="1868"/>
      <c r="AY344" s="3986"/>
      <c r="AZ344" s="1868"/>
      <c r="BA344" s="1868"/>
      <c r="BB344" s="1868"/>
      <c r="BC344" s="1868"/>
      <c r="BD344" s="1868"/>
      <c r="BE344" s="1868"/>
      <c r="BF344" s="1868"/>
      <c r="BG344" s="1868"/>
      <c r="BH344" s="1868"/>
      <c r="BI344" s="1868"/>
      <c r="BJ344" s="1868"/>
      <c r="BK344" s="1868"/>
      <c r="BL344" s="1868"/>
      <c r="BM344" s="1868"/>
      <c r="BN344" s="1868"/>
      <c r="BO344" s="1868"/>
      <c r="BP344" s="1868"/>
      <c r="BQ344" s="1868"/>
      <c r="BR344" s="1868"/>
    </row>
    <row r="345" spans="1:70" ht="12.2" customHeight="1">
      <c r="A345" s="1935"/>
      <c r="B345" s="1866">
        <f t="shared" si="8"/>
        <v>10</v>
      </c>
      <c r="C345" s="6009"/>
      <c r="D345" s="5868"/>
      <c r="E345" s="5869"/>
      <c r="F345" s="5869"/>
      <c r="G345" s="5869"/>
      <c r="H345" s="5869"/>
      <c r="I345" s="5869"/>
      <c r="J345" s="5869"/>
      <c r="K345" s="5869"/>
      <c r="L345" s="5869"/>
      <c r="M345" s="5869"/>
      <c r="N345" s="5869"/>
      <c r="O345" s="5869"/>
      <c r="P345" s="5869"/>
      <c r="Q345" s="5869"/>
      <c r="R345" s="5869"/>
      <c r="S345" s="5869"/>
      <c r="T345" s="5869"/>
      <c r="U345" s="5869"/>
      <c r="V345" s="5869"/>
      <c r="W345" s="5869"/>
      <c r="X345" s="5869"/>
      <c r="Y345" s="5869"/>
      <c r="Z345" s="5869"/>
      <c r="AA345" s="5869"/>
      <c r="AB345" s="5869"/>
      <c r="AC345" s="5869"/>
      <c r="AD345" s="5869"/>
      <c r="AE345" s="5869"/>
      <c r="AF345" s="5869"/>
      <c r="AG345" s="5870"/>
      <c r="AH345" s="1943"/>
      <c r="AI345" s="6011"/>
      <c r="AJ345" s="3986" t="s">
        <v>8846</v>
      </c>
      <c r="AK345" s="3986"/>
      <c r="AL345" s="3986"/>
      <c r="AM345" s="3986" t="b">
        <f>AND((IF(SUM(V323:V327)&gt;0,1,0)+IF(SUM(X323:X327)&gt;0,1,0)+IF(SUM(Z323:Z327)&gt;0,1,0)+IF(SUM(AB323:AB327)&gt;0,1,0)+IF(SUM(AD323:AD327,)&gt;0,1,0)+IF(SUM(AF323:AF327)&gt;0,1,0))&lt;3,OR(V330&lt;0,X330&lt;0,Z330&lt;0,AB330&lt;0,AD330&lt;0,AF330&lt;0,Y328&lt;0))</f>
        <v>0</v>
      </c>
      <c r="AN345" s="3986"/>
      <c r="AO345" s="3986"/>
      <c r="AP345" s="3986"/>
      <c r="AQ345" s="3987"/>
      <c r="AR345" s="3986"/>
      <c r="AS345" s="3986"/>
      <c r="AT345" s="3986"/>
      <c r="AU345" s="1868"/>
      <c r="AV345" s="1868"/>
      <c r="AW345" s="1868"/>
      <c r="AX345" s="1868"/>
      <c r="AY345" s="3986"/>
      <c r="AZ345" s="1868"/>
      <c r="BA345" s="1868"/>
      <c r="BB345" s="1868"/>
      <c r="BC345" s="1868"/>
      <c r="BD345" s="1868"/>
      <c r="BE345" s="1868"/>
      <c r="BF345" s="1868"/>
      <c r="BG345" s="1868"/>
      <c r="BH345" s="1868"/>
      <c r="BI345" s="1868"/>
      <c r="BJ345" s="1868"/>
      <c r="BK345" s="1868"/>
      <c r="BL345" s="1868"/>
      <c r="BM345" s="1868"/>
      <c r="BN345" s="1868"/>
      <c r="BO345" s="1868"/>
      <c r="BP345" s="1868"/>
      <c r="BQ345" s="1868"/>
      <c r="BR345" s="1868"/>
    </row>
    <row r="346" spans="1:70" ht="12.2" customHeight="1">
      <c r="A346" s="1935"/>
      <c r="B346" s="1866">
        <f t="shared" si="8"/>
        <v>10</v>
      </c>
      <c r="C346" s="6009"/>
      <c r="D346" s="5868"/>
      <c r="E346" s="5869"/>
      <c r="F346" s="5869"/>
      <c r="G346" s="5869"/>
      <c r="H346" s="5869"/>
      <c r="I346" s="5869"/>
      <c r="J346" s="5869"/>
      <c r="K346" s="5869"/>
      <c r="L346" s="5869"/>
      <c r="M346" s="5869"/>
      <c r="N346" s="5869"/>
      <c r="O346" s="5869"/>
      <c r="P346" s="5869"/>
      <c r="Q346" s="5869"/>
      <c r="R346" s="5869"/>
      <c r="S346" s="5869"/>
      <c r="T346" s="5869"/>
      <c r="U346" s="5869"/>
      <c r="V346" s="5869"/>
      <c r="W346" s="5869"/>
      <c r="X346" s="5869"/>
      <c r="Y346" s="5869"/>
      <c r="Z346" s="5869"/>
      <c r="AA346" s="5869"/>
      <c r="AB346" s="5869"/>
      <c r="AC346" s="5869"/>
      <c r="AD346" s="5869"/>
      <c r="AE346" s="5869"/>
      <c r="AF346" s="5869"/>
      <c r="AG346" s="5870"/>
      <c r="AH346" s="1943"/>
      <c r="AI346" s="6011"/>
      <c r="AJ346" s="3986" t="s">
        <v>8861</v>
      </c>
      <c r="AK346" s="3986"/>
      <c r="AL346" s="3986"/>
      <c r="AM346" s="3986" t="b">
        <f>OR(-V330&gt;TRUNC(SUM(V323:V327)/2),-X330&gt;TRUNC(SUM(X323:X327)/2),-Z330&gt;TRUNC(SUM(Z323:Z327)/2),-AB330&gt;TRUNC(SUM(AB323:AB327)/2),-AD330&gt;TRUNC(SUM(AD323:AD327)/2),-AF330&gt;TRUNC(SUM(AF323:AF327)/2))</f>
        <v>0</v>
      </c>
      <c r="AN346" s="3986"/>
      <c r="AO346" s="3986"/>
      <c r="AP346" s="3986"/>
      <c r="AQ346" s="3987"/>
      <c r="AR346" s="3986"/>
      <c r="AS346" s="3986"/>
      <c r="AT346" s="3986"/>
      <c r="AU346" s="1868"/>
      <c r="AV346" s="1868"/>
      <c r="AW346" s="1868"/>
      <c r="AX346" s="1868"/>
      <c r="AY346" s="3986"/>
      <c r="AZ346" s="1868"/>
      <c r="BA346" s="1868"/>
      <c r="BB346" s="1868"/>
      <c r="BC346" s="1868"/>
      <c r="BD346" s="1868"/>
      <c r="BE346" s="1868"/>
      <c r="BF346" s="1868"/>
      <c r="BG346" s="1868"/>
      <c r="BH346" s="1868"/>
      <c r="BI346" s="1868"/>
      <c r="BJ346" s="1868"/>
      <c r="BK346" s="1868"/>
      <c r="BL346" s="1868"/>
      <c r="BM346" s="1868"/>
      <c r="BN346" s="1868"/>
      <c r="BO346" s="1868"/>
      <c r="BP346" s="1868"/>
      <c r="BQ346" s="1868"/>
      <c r="BR346" s="1868"/>
    </row>
    <row r="347" spans="1:70" ht="12.2" customHeight="1">
      <c r="A347" s="1935"/>
      <c r="B347" s="1866">
        <f t="shared" si="8"/>
        <v>10</v>
      </c>
      <c r="C347" s="6009"/>
      <c r="D347" s="5868"/>
      <c r="E347" s="5869"/>
      <c r="F347" s="5869"/>
      <c r="G347" s="5869"/>
      <c r="H347" s="5869"/>
      <c r="I347" s="5869"/>
      <c r="J347" s="5869"/>
      <c r="K347" s="5869"/>
      <c r="L347" s="5869"/>
      <c r="M347" s="5869"/>
      <c r="N347" s="5869"/>
      <c r="O347" s="5869"/>
      <c r="P347" s="5869"/>
      <c r="Q347" s="5869"/>
      <c r="R347" s="5869"/>
      <c r="S347" s="5869"/>
      <c r="T347" s="5869"/>
      <c r="U347" s="5869"/>
      <c r="V347" s="5869"/>
      <c r="W347" s="5869"/>
      <c r="X347" s="5869"/>
      <c r="Y347" s="5869"/>
      <c r="Z347" s="5869"/>
      <c r="AA347" s="5869"/>
      <c r="AB347" s="5869"/>
      <c r="AC347" s="5869"/>
      <c r="AD347" s="5869"/>
      <c r="AE347" s="5869"/>
      <c r="AF347" s="5869"/>
      <c r="AG347" s="5870"/>
      <c r="AH347" s="1943"/>
      <c r="AI347" s="6011"/>
      <c r="AJ347" s="3986" t="s">
        <v>8862</v>
      </c>
      <c r="AK347" s="3986"/>
      <c r="AL347" s="3986"/>
      <c r="AM347" s="3986" t="b">
        <f>COUNTIF(D323:E327,"Primario")&gt;1</f>
        <v>0</v>
      </c>
      <c r="AN347" s="3986"/>
      <c r="AO347" s="3986"/>
      <c r="AP347" s="3986"/>
      <c r="AQ347" s="3987"/>
      <c r="AR347" s="3987"/>
      <c r="AS347" s="3987"/>
      <c r="AT347" s="3987"/>
      <c r="AU347" s="1868"/>
      <c r="AV347" s="1868"/>
      <c r="AW347" s="1868"/>
      <c r="AX347" s="3986"/>
      <c r="AY347" s="3986"/>
      <c r="AZ347" s="1868"/>
      <c r="BA347" s="1868"/>
      <c r="BB347" s="1868"/>
      <c r="BC347" s="1868"/>
      <c r="BD347" s="1868"/>
      <c r="BE347" s="1868"/>
      <c r="BF347" s="1868"/>
      <c r="BG347" s="1868"/>
      <c r="BH347" s="1868"/>
      <c r="BI347" s="1868"/>
      <c r="BJ347" s="1868"/>
      <c r="BK347" s="1868"/>
      <c r="BL347" s="1868"/>
      <c r="BM347" s="1868"/>
      <c r="BN347" s="1868"/>
      <c r="BO347" s="1868"/>
      <c r="BP347" s="1868"/>
      <c r="BQ347" s="1868"/>
      <c r="BR347" s="1868"/>
    </row>
    <row r="348" spans="1:70" ht="12.2" customHeight="1">
      <c r="A348" s="1935"/>
      <c r="B348" s="1866">
        <f t="shared" si="8"/>
        <v>10</v>
      </c>
      <c r="C348" s="6009"/>
      <c r="D348" s="5868"/>
      <c r="E348" s="5869"/>
      <c r="F348" s="5869"/>
      <c r="G348" s="5869"/>
      <c r="H348" s="5869"/>
      <c r="I348" s="5869"/>
      <c r="J348" s="5869"/>
      <c r="K348" s="5869"/>
      <c r="L348" s="5869"/>
      <c r="M348" s="5869"/>
      <c r="N348" s="5869"/>
      <c r="O348" s="5869"/>
      <c r="P348" s="5869"/>
      <c r="Q348" s="5869"/>
      <c r="R348" s="5869"/>
      <c r="S348" s="5869"/>
      <c r="T348" s="5869"/>
      <c r="U348" s="5869"/>
      <c r="V348" s="5869"/>
      <c r="W348" s="5869"/>
      <c r="X348" s="5869"/>
      <c r="Y348" s="5869"/>
      <c r="Z348" s="5869"/>
      <c r="AA348" s="5869"/>
      <c r="AB348" s="5869"/>
      <c r="AC348" s="5869"/>
      <c r="AD348" s="5869"/>
      <c r="AE348" s="5869"/>
      <c r="AF348" s="5869"/>
      <c r="AG348" s="5870"/>
      <c r="AH348" s="1943"/>
      <c r="AI348" s="6011"/>
      <c r="AJ348" s="3986" t="s">
        <v>8845</v>
      </c>
      <c r="AK348" s="3986"/>
      <c r="AL348" s="3986"/>
      <c r="AM348" s="3986" t="b">
        <f>SUM(V330:AG330)&lt;&gt;Y328+ABS(AC328)*2/5+IF(S319="Sí",3*P319,0)</f>
        <v>0</v>
      </c>
      <c r="AN348" s="3986"/>
      <c r="AO348" s="3986"/>
      <c r="AP348" s="3986"/>
      <c r="AQ348" s="3987"/>
      <c r="AR348" s="3987"/>
      <c r="AS348" s="3987"/>
      <c r="AT348" s="3987"/>
      <c r="AU348" s="1868"/>
      <c r="AV348" s="1868"/>
      <c r="AW348" s="1868"/>
      <c r="AX348" s="3986"/>
      <c r="AY348" s="3986"/>
      <c r="AZ348" s="1868"/>
      <c r="BA348" s="1868"/>
      <c r="BB348" s="1868"/>
      <c r="BC348" s="1868"/>
      <c r="BD348" s="1868"/>
      <c r="BE348" s="1868"/>
      <c r="BF348" s="1868"/>
      <c r="BG348" s="1868"/>
      <c r="BH348" s="1868"/>
      <c r="BI348" s="1868"/>
      <c r="BJ348" s="1868"/>
      <c r="BK348" s="1868"/>
      <c r="BL348" s="1868"/>
      <c r="BM348" s="1868"/>
      <c r="BN348" s="1868"/>
      <c r="BO348" s="1868"/>
      <c r="BP348" s="1868"/>
      <c r="BQ348" s="1868"/>
      <c r="BR348" s="1868"/>
    </row>
    <row r="349" spans="1:70" ht="12.2" customHeight="1">
      <c r="A349" s="1935"/>
      <c r="B349" s="1866">
        <f t="shared" si="8"/>
        <v>10</v>
      </c>
      <c r="C349" s="6009"/>
      <c r="D349" s="5868"/>
      <c r="E349" s="5869"/>
      <c r="F349" s="5869"/>
      <c r="G349" s="5869"/>
      <c r="H349" s="5869"/>
      <c r="I349" s="5869"/>
      <c r="J349" s="5869"/>
      <c r="K349" s="5869"/>
      <c r="L349" s="5869"/>
      <c r="M349" s="5869"/>
      <c r="N349" s="5869"/>
      <c r="O349" s="5869"/>
      <c r="P349" s="5869"/>
      <c r="Q349" s="5869"/>
      <c r="R349" s="5869"/>
      <c r="S349" s="5869"/>
      <c r="T349" s="5869"/>
      <c r="U349" s="5869"/>
      <c r="V349" s="5869"/>
      <c r="W349" s="5869"/>
      <c r="X349" s="5869"/>
      <c r="Y349" s="5869"/>
      <c r="Z349" s="5869"/>
      <c r="AA349" s="5869"/>
      <c r="AB349" s="5869"/>
      <c r="AC349" s="5869"/>
      <c r="AD349" s="5869"/>
      <c r="AE349" s="5869"/>
      <c r="AF349" s="5869"/>
      <c r="AG349" s="5870"/>
      <c r="AH349" s="1943"/>
      <c r="AI349" s="6011"/>
      <c r="AJ349" s="3986" t="s">
        <v>8844</v>
      </c>
      <c r="AK349" s="3986"/>
      <c r="AL349" s="3986"/>
      <c r="AM349" s="3986" t="b">
        <f>AL336-AL337+AM336-AM337&lt;&gt;0</f>
        <v>0</v>
      </c>
      <c r="AN349" s="1868"/>
      <c r="AO349" s="1868"/>
      <c r="AP349" s="1868"/>
      <c r="AQ349" s="1868"/>
      <c r="AR349" s="3987"/>
      <c r="AS349" s="3987"/>
      <c r="AT349" s="3987"/>
      <c r="AU349" s="1868"/>
      <c r="AV349" s="1868"/>
      <c r="AW349" s="1868"/>
      <c r="AX349" s="3986"/>
      <c r="AY349" s="3986"/>
      <c r="AZ349" s="1868"/>
      <c r="BA349" s="1868"/>
      <c r="BB349" s="1868"/>
      <c r="BC349" s="1868"/>
      <c r="BD349" s="1868"/>
      <c r="BE349" s="1868"/>
      <c r="BF349" s="1868"/>
      <c r="BG349" s="1868"/>
      <c r="BH349" s="1868"/>
      <c r="BI349" s="1868"/>
      <c r="BJ349" s="1868"/>
      <c r="BK349" s="1868"/>
      <c r="BL349" s="1868"/>
      <c r="BM349" s="1868"/>
      <c r="BN349" s="1868"/>
      <c r="BO349" s="1868"/>
      <c r="BP349" s="1868"/>
      <c r="BQ349" s="1868"/>
      <c r="BR349" s="1868"/>
    </row>
    <row r="350" spans="1:70" ht="12.2" customHeight="1" thickBot="1">
      <c r="A350" s="1935"/>
      <c r="B350" s="1866"/>
      <c r="C350" s="6010"/>
      <c r="D350" s="601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6013"/>
      <c r="F350" s="6013"/>
      <c r="G350" s="6013"/>
      <c r="H350" s="6013"/>
      <c r="I350" s="6013"/>
      <c r="J350" s="6013"/>
      <c r="K350" s="6013"/>
      <c r="L350" s="6013"/>
      <c r="M350" s="6013"/>
      <c r="N350" s="6013"/>
      <c r="O350" s="6013"/>
      <c r="P350" s="6013"/>
      <c r="Q350" s="6013"/>
      <c r="R350" s="6013"/>
      <c r="S350" s="6013"/>
      <c r="T350" s="6013"/>
      <c r="U350" s="6013"/>
      <c r="V350" s="6013"/>
      <c r="W350" s="6013"/>
      <c r="X350" s="6013"/>
      <c r="Y350" s="6013"/>
      <c r="Z350" s="6013"/>
      <c r="AA350" s="6013"/>
      <c r="AB350" s="6013"/>
      <c r="AC350" s="6013"/>
      <c r="AD350" s="6013"/>
      <c r="AE350" s="6013"/>
      <c r="AF350" s="6013"/>
      <c r="AG350" s="6014"/>
      <c r="AH350" s="1943"/>
      <c r="AI350" s="6011"/>
      <c r="AJ350" s="3986" t="s">
        <v>8881</v>
      </c>
      <c r="AK350" s="1868"/>
      <c r="AL350" s="1868"/>
      <c r="AM350" s="1868" t="b">
        <f>ABS(SUM(N328:N330))&gt;(SUM(N323:N327)-10*Y328+AC328+IF(S319="Sí",10*P319,0)+IF(COUNTIF(K323:M327,"Mantenido")&gt;0,P319*10)+MAX(IF(COUNTIF(K323:M327,"Sostenimiento Menor")&gt;0,P319*20)+IF(COUNTIF(K323:M327,"Sostenimiento Mayor")&gt;0,P319*30)))/2</f>
        <v>0</v>
      </c>
      <c r="AN350" s="3986"/>
      <c r="AO350" s="3986"/>
      <c r="AP350" s="3986"/>
      <c r="AQ350" s="3986"/>
      <c r="AR350" s="3987"/>
      <c r="AS350" s="3987"/>
      <c r="AT350" s="3987"/>
      <c r="AU350" s="1868"/>
      <c r="AV350" s="1868"/>
      <c r="AW350" s="1868"/>
      <c r="AX350" s="3986"/>
      <c r="AY350" s="3986"/>
      <c r="AZ350" s="1868"/>
      <c r="BA350" s="1868"/>
      <c r="BB350" s="1868"/>
      <c r="BC350" s="1868"/>
      <c r="BD350" s="1868"/>
      <c r="BE350" s="1868"/>
      <c r="BF350" s="1868"/>
      <c r="BG350" s="1868"/>
      <c r="BH350" s="1868"/>
      <c r="BI350" s="1868"/>
      <c r="BJ350" s="1868"/>
      <c r="BK350" s="1868"/>
      <c r="BL350" s="1868"/>
      <c r="BM350" s="1868"/>
      <c r="BN350" s="1868"/>
      <c r="BO350" s="1868"/>
      <c r="BP350" s="1868"/>
      <c r="BQ350" s="1868"/>
      <c r="BR350" s="1868"/>
    </row>
    <row r="351" spans="1:70" ht="12.2" customHeight="1">
      <c r="A351" s="1935"/>
      <c r="B351" s="1866"/>
      <c r="C351" s="5935"/>
      <c r="D351" s="5935" t="str">
        <f>IFERROR(VLOOKUP(D332,'Tablas Técnicas'!$O$9:$T$88,2,FALSE),"")</f>
        <v/>
      </c>
      <c r="E351" s="5935"/>
      <c r="F351" s="5935"/>
      <c r="G351" s="5935"/>
      <c r="H351" s="5935"/>
      <c r="I351" s="5935"/>
      <c r="J351" s="5935" t="str">
        <f>IFERROR(VLOOKUP(J332,'Tablas Técnicas'!$O$9:$T$88,2,FALSE),"")</f>
        <v/>
      </c>
      <c r="K351" s="5935"/>
      <c r="L351" s="5935"/>
      <c r="M351" s="5935"/>
      <c r="N351" s="5935"/>
      <c r="O351" s="5935"/>
      <c r="P351" s="5935" t="str">
        <f>IFERROR(VLOOKUP(P332,'Tablas Técnicas'!$O$9:$T$88,2,FALSE),"")</f>
        <v/>
      </c>
      <c r="Q351" s="5935"/>
      <c r="R351" s="5935"/>
      <c r="S351" s="5935"/>
      <c r="T351" s="5935"/>
      <c r="U351" s="5935"/>
      <c r="V351" s="5935" t="str">
        <f>IFERROR(VLOOKUP(V332,'Tablas Técnicas'!$O$9:$T$88,2,FALSE),"")</f>
        <v/>
      </c>
      <c r="W351" s="5935"/>
      <c r="X351" s="5935"/>
      <c r="Y351" s="5935"/>
      <c r="Z351" s="5935"/>
      <c r="AA351" s="5935"/>
      <c r="AB351" s="5935" t="str">
        <f>IFERROR(VLOOKUP(AB332,'Tablas Técnicas'!$O$9:$T$88,2,FALSE),"")</f>
        <v/>
      </c>
      <c r="AC351" s="5935"/>
      <c r="AD351" s="5935"/>
      <c r="AE351" s="5935"/>
      <c r="AF351" s="5935"/>
      <c r="AG351" s="5935"/>
      <c r="AH351" s="1943"/>
      <c r="AI351" s="1712"/>
      <c r="AJ351" s="3986"/>
      <c r="AK351" s="3986"/>
      <c r="AL351" s="3986"/>
      <c r="AM351" s="3986"/>
      <c r="AN351" s="3986"/>
      <c r="AO351" s="3986"/>
      <c r="AP351" s="3986"/>
      <c r="AQ351" s="3986"/>
      <c r="AR351" s="3987"/>
      <c r="AS351" s="3987"/>
      <c r="AT351" s="3987"/>
      <c r="AU351" s="1868"/>
      <c r="AV351" s="1868"/>
      <c r="AW351" s="1868"/>
      <c r="AX351" s="1868"/>
      <c r="AY351" s="3986"/>
      <c r="AZ351" s="1868"/>
      <c r="BA351" s="1868"/>
      <c r="BB351" s="1868"/>
      <c r="BC351" s="1868"/>
      <c r="BD351" s="1868"/>
      <c r="BE351" s="1868"/>
      <c r="BF351" s="1868"/>
      <c r="BG351" s="1868"/>
      <c r="BH351" s="1868"/>
      <c r="BI351" s="1868"/>
      <c r="BJ351" s="1868"/>
      <c r="BK351" s="1868"/>
      <c r="BL351" s="1868"/>
      <c r="BM351" s="1868"/>
      <c r="BN351" s="1868"/>
      <c r="BO351" s="1868"/>
      <c r="BP351" s="1868"/>
      <c r="BQ351" s="1868"/>
      <c r="BR351" s="1868"/>
    </row>
    <row r="352" spans="1:70" ht="12.2" customHeight="1" thickBot="1">
      <c r="A352" s="1935"/>
      <c r="B352" s="1867"/>
      <c r="C352" s="5936"/>
      <c r="D352" s="2021"/>
      <c r="E352" s="2022"/>
      <c r="F352" s="2022"/>
      <c r="G352" s="2022"/>
      <c r="H352" s="2022"/>
      <c r="I352" s="2022"/>
      <c r="J352" s="2022"/>
      <c r="K352" s="2022"/>
      <c r="L352" s="2022"/>
      <c r="M352" s="2022"/>
      <c r="N352" s="2022"/>
      <c r="O352" s="2022"/>
      <c r="P352" s="2022"/>
      <c r="Q352" s="2022"/>
      <c r="R352" s="2022"/>
      <c r="S352" s="2022"/>
      <c r="T352" s="2022"/>
      <c r="U352" s="2022"/>
      <c r="V352" s="2023"/>
      <c r="W352" s="2023"/>
      <c r="X352" s="2023"/>
      <c r="Y352" s="2023"/>
      <c r="Z352" s="2023"/>
      <c r="AA352" s="2023"/>
      <c r="AB352" s="2023"/>
      <c r="AC352" s="2023"/>
      <c r="AD352" s="2023"/>
      <c r="AE352" s="2023"/>
      <c r="AF352" s="2022"/>
      <c r="AG352" s="2022"/>
      <c r="AH352" s="1944"/>
      <c r="AI352" s="1712"/>
      <c r="AJ352" s="3991"/>
      <c r="AK352" s="3991"/>
      <c r="AL352" s="3991"/>
      <c r="AM352" s="3991"/>
      <c r="AN352" s="3991"/>
      <c r="AO352" s="3991"/>
      <c r="AP352" s="3986"/>
      <c r="AQ352" s="3987"/>
      <c r="AR352" s="1868"/>
      <c r="AS352" s="1868"/>
      <c r="AT352" s="1868"/>
      <c r="AU352" s="1868"/>
      <c r="AV352" s="1868"/>
      <c r="AW352" s="1868"/>
      <c r="AX352" s="1868"/>
      <c r="AY352" s="3992"/>
      <c r="AZ352" s="1868"/>
      <c r="BA352" s="1868"/>
      <c r="BB352" s="1868"/>
      <c r="BC352" s="1868"/>
      <c r="BD352" s="1868"/>
      <c r="BE352" s="1868"/>
      <c r="BF352" s="1868"/>
      <c r="BG352" s="1868"/>
      <c r="BH352" s="1868"/>
      <c r="BI352" s="1868"/>
      <c r="BJ352" s="1868"/>
      <c r="BK352" s="1868"/>
      <c r="BL352" s="1868"/>
      <c r="BM352" s="1868"/>
      <c r="BN352" s="1868"/>
      <c r="BO352" s="1868"/>
      <c r="BP352" s="1868"/>
      <c r="BQ352" s="1868"/>
      <c r="BR352" s="1868"/>
    </row>
    <row r="353" spans="1:70" ht="12.2" customHeight="1">
      <c r="A353" s="1935"/>
      <c r="B353" s="1864"/>
      <c r="C353" s="1712"/>
      <c r="D353" s="1713"/>
      <c r="E353" s="1712"/>
      <c r="F353" s="1712"/>
      <c r="G353" s="1712"/>
      <c r="H353" s="1712"/>
      <c r="I353" s="1712"/>
      <c r="J353" s="1712"/>
      <c r="K353" s="1712"/>
      <c r="L353" s="1712"/>
      <c r="M353" s="1712"/>
      <c r="N353" s="1712"/>
      <c r="O353" s="1712"/>
      <c r="P353" s="1712"/>
      <c r="Q353" s="1712"/>
      <c r="R353" s="1712"/>
      <c r="S353" s="1712"/>
      <c r="T353" s="1712"/>
      <c r="U353" s="1712"/>
      <c r="V353" s="1712"/>
      <c r="W353" s="1712"/>
      <c r="X353" s="1712"/>
      <c r="Y353" s="1712"/>
      <c r="Z353" s="1712"/>
      <c r="AA353" s="1712"/>
      <c r="AB353" s="1712"/>
      <c r="AC353" s="1712"/>
      <c r="AD353" s="1712"/>
      <c r="AE353" s="1712"/>
      <c r="AF353" s="1712"/>
      <c r="AG353" s="1712"/>
      <c r="AH353" s="1864"/>
      <c r="AI353" s="1814"/>
      <c r="AJ353" s="3986"/>
      <c r="AK353" s="3986"/>
      <c r="AL353" s="3986"/>
      <c r="AM353" s="3986"/>
      <c r="AN353" s="3986"/>
      <c r="AO353" s="3986"/>
      <c r="AP353" s="3986"/>
      <c r="AQ353" s="3987"/>
      <c r="AR353" s="1868"/>
      <c r="AS353" s="1868"/>
      <c r="AT353" s="1868"/>
      <c r="AU353" s="1868"/>
      <c r="AV353" s="1868"/>
      <c r="AW353" s="1868"/>
      <c r="AX353" s="1868"/>
      <c r="AY353" s="3986"/>
      <c r="AZ353" s="1868"/>
      <c r="BA353" s="1868"/>
      <c r="BB353" s="1868"/>
      <c r="BC353" s="1868"/>
      <c r="BD353" s="1868"/>
      <c r="BE353" s="1868"/>
      <c r="BF353" s="1868"/>
      <c r="BG353" s="1868"/>
      <c r="BH353" s="1868"/>
      <c r="BI353" s="1868"/>
      <c r="BJ353" s="1868"/>
      <c r="BK353" s="1868"/>
      <c r="BL353" s="1868"/>
      <c r="BM353" s="1868"/>
      <c r="BN353" s="1868"/>
      <c r="BO353" s="1868"/>
      <c r="BP353" s="1868"/>
      <c r="BQ353" s="1868"/>
      <c r="BR353" s="1868"/>
    </row>
    <row r="354" spans="1:70" ht="12.2" customHeight="1">
      <c r="AJ354" s="3986"/>
      <c r="AK354" s="3986"/>
      <c r="AL354" s="3986"/>
      <c r="AM354" s="3986"/>
      <c r="AN354" s="3986"/>
      <c r="AO354" s="3986"/>
      <c r="AP354" s="3986"/>
      <c r="AQ354" s="3987"/>
      <c r="AR354" s="1868"/>
      <c r="AS354" s="1868"/>
      <c r="AT354" s="1868"/>
      <c r="AU354" s="1868"/>
      <c r="AV354" s="1868"/>
      <c r="AW354" s="1868"/>
      <c r="AX354" s="1868"/>
      <c r="AY354" s="3986"/>
      <c r="AZ354" s="1868"/>
      <c r="BA354" s="1868"/>
      <c r="BB354" s="1868"/>
      <c r="BC354" s="1868"/>
      <c r="BD354" s="1868"/>
      <c r="BE354" s="1868"/>
      <c r="BF354" s="1868"/>
      <c r="BG354" s="1868"/>
      <c r="BH354" s="1868"/>
      <c r="BI354" s="1868"/>
      <c r="BJ354" s="1868"/>
      <c r="BK354" s="1868"/>
      <c r="BL354" s="1868"/>
      <c r="BM354" s="1868"/>
      <c r="BN354" s="1868"/>
      <c r="BO354" s="1868"/>
      <c r="BP354" s="1868"/>
      <c r="BQ354" s="1868"/>
      <c r="BR354" s="1868"/>
    </row>
  </sheetData>
  <sheetProtection sheet="1" selectLockedCells="1"/>
  <protectedRanges>
    <protectedRange sqref="V216:AE216 AJ216:AO216 V250:AE250 AJ250:AO250 V284:AE284 AJ284:AO284 V318:AE318 AJ318:AO318 V352:AE352 AJ352:AO352 W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419" priority="1840" stopIfTrue="1">
      <formula>$K16&lt;&gt;"Mantenido"</formula>
    </cfRule>
  </conditionalFormatting>
  <conditionalFormatting sqref="V16:AG20 V187:AG191 V221:AG225 V255:AG259 V289:AG293 V323:AG327">
    <cfRule type="cellIs" dxfId="2418" priority="1836" stopIfTrue="1" operator="lessThan">
      <formula>0</formula>
    </cfRule>
    <cfRule type="expression" dxfId="2417" priority="1837" stopIfTrue="1">
      <formula>NOT(ISNUMBER(SEARCH(V$14,$Q16)))</formula>
    </cfRule>
  </conditionalFormatting>
  <conditionalFormatting sqref="U12:U13">
    <cfRule type="expression" dxfId="2416" priority="1835" stopIfTrue="1">
      <formula>AM33</formula>
    </cfRule>
  </conditionalFormatting>
  <conditionalFormatting sqref="D29:AG35">
    <cfRule type="expression" dxfId="2415" priority="1842" stopIfTrue="1">
      <formula>AND(ISNUMBER(D29),D29&gt;$AH29)</formula>
    </cfRule>
  </conditionalFormatting>
  <conditionalFormatting sqref="F23:M23">
    <cfRule type="expression" dxfId="2414" priority="1841" stopIfTrue="1">
      <formula>$P12&lt;3</formula>
    </cfRule>
  </conditionalFormatting>
  <conditionalFormatting sqref="O16:P20">
    <cfRule type="expression" dxfId="2413" priority="1834" stopIfTrue="1">
      <formula>VALUE(LEFT(O16,2))&lt;&gt;VALUE(RIGHT(O16,2))</formula>
    </cfRule>
  </conditionalFormatting>
  <conditionalFormatting sqref="V23:AG23">
    <cfRule type="expression" dxfId="2412" priority="1846" stopIfTrue="1">
      <formula>$AM35</formula>
    </cfRule>
    <cfRule type="cellIs" dxfId="2411" priority="1847" stopIfTrue="1" operator="lessThan">
      <formula>-TRUNC(SUM(V16:V20)/2)</formula>
    </cfRule>
  </conditionalFormatting>
  <conditionalFormatting sqref="AD21">
    <cfRule type="expression" dxfId="2410" priority="1850" stopIfTrue="1">
      <formula>$AM42</formula>
    </cfRule>
  </conditionalFormatting>
  <conditionalFormatting sqref="AM34">
    <cfRule type="expression" dxfId="2409" priority="1336" stopIfTrue="1">
      <formula>$Q36&lt;#REF!</formula>
    </cfRule>
  </conditionalFormatting>
  <conditionalFormatting sqref="AM37">
    <cfRule type="expression" dxfId="2408" priority="1337" stopIfTrue="1">
      <formula>$AM61</formula>
    </cfRule>
  </conditionalFormatting>
  <conditionalFormatting sqref="Y21">
    <cfRule type="expression" dxfId="2407" priority="9745" stopIfTrue="1">
      <formula>AND(AM38,$Y21&lt;&gt;0)</formula>
    </cfRule>
  </conditionalFormatting>
  <conditionalFormatting sqref="AM68">
    <cfRule type="expression" dxfId="2406" priority="878" stopIfTrue="1">
      <formula>$Q70&lt;#REF!</formula>
    </cfRule>
  </conditionalFormatting>
  <conditionalFormatting sqref="AM71">
    <cfRule type="expression" dxfId="2405" priority="879" stopIfTrue="1">
      <formula>$AM95</formula>
    </cfRule>
  </conditionalFormatting>
  <conditionalFormatting sqref="AM102">
    <cfRule type="expression" dxfId="2404" priority="859" stopIfTrue="1">
      <formula>$Q104&lt;#REF!</formula>
    </cfRule>
  </conditionalFormatting>
  <conditionalFormatting sqref="AM105">
    <cfRule type="expression" dxfId="2403" priority="860" stopIfTrue="1">
      <formula>$AM129</formula>
    </cfRule>
  </conditionalFormatting>
  <conditionalFormatting sqref="AM136">
    <cfRule type="expression" dxfId="2402" priority="840" stopIfTrue="1">
      <formula>$Q138&lt;#REF!</formula>
    </cfRule>
  </conditionalFormatting>
  <conditionalFormatting sqref="AM139">
    <cfRule type="expression" dxfId="2401" priority="841" stopIfTrue="1">
      <formula>$AM163</formula>
    </cfRule>
  </conditionalFormatting>
  <conditionalFormatting sqref="AM170">
    <cfRule type="expression" dxfId="2400" priority="821" stopIfTrue="1">
      <formula>$Q172&lt;#REF!</formula>
    </cfRule>
  </conditionalFormatting>
  <conditionalFormatting sqref="AM173">
    <cfRule type="expression" dxfId="2399" priority="822" stopIfTrue="1">
      <formula>$AM198</formula>
    </cfRule>
  </conditionalFormatting>
  <conditionalFormatting sqref="AM205">
    <cfRule type="expression" dxfId="2398" priority="802" stopIfTrue="1">
      <formula>$Q207&lt;#REF!</formula>
    </cfRule>
  </conditionalFormatting>
  <conditionalFormatting sqref="AM208">
    <cfRule type="expression" dxfId="2397" priority="803" stopIfTrue="1">
      <formula>$AM232</formula>
    </cfRule>
  </conditionalFormatting>
  <conditionalFormatting sqref="AM239">
    <cfRule type="expression" dxfId="2396" priority="783" stopIfTrue="1">
      <formula>$Q241&lt;#REF!</formula>
    </cfRule>
  </conditionalFormatting>
  <conditionalFormatting sqref="AM242">
    <cfRule type="expression" dxfId="2395" priority="784" stopIfTrue="1">
      <formula>$AM266</formula>
    </cfRule>
  </conditionalFormatting>
  <conditionalFormatting sqref="AM273">
    <cfRule type="expression" dxfId="2394" priority="764" stopIfTrue="1">
      <formula>$Q275&lt;#REF!</formula>
    </cfRule>
  </conditionalFormatting>
  <conditionalFormatting sqref="AM276">
    <cfRule type="expression" dxfId="2393" priority="765" stopIfTrue="1">
      <formula>$AM300</formula>
    </cfRule>
  </conditionalFormatting>
  <conditionalFormatting sqref="AM307">
    <cfRule type="expression" dxfId="2392" priority="745" stopIfTrue="1">
      <formula>$Q309&lt;#REF!</formula>
    </cfRule>
  </conditionalFormatting>
  <conditionalFormatting sqref="AM310">
    <cfRule type="expression" dxfId="2391" priority="746" stopIfTrue="1">
      <formula>$AM334</formula>
    </cfRule>
  </conditionalFormatting>
  <conditionalFormatting sqref="AM341">
    <cfRule type="expression" dxfId="2390" priority="726" stopIfTrue="1">
      <formula>$Q343&lt;#REF!</formula>
    </cfRule>
  </conditionalFormatting>
  <conditionalFormatting sqref="W50:W54 Y50:Y54 AA50:AA54 AC50:AC54 AE50:AE54 AG50:AG54">
    <cfRule type="expression" dxfId="2389" priority="546" stopIfTrue="1">
      <formula>$K50&lt;&gt;"Mantenido"</formula>
    </cfRule>
  </conditionalFormatting>
  <conditionalFormatting sqref="V50:AG54">
    <cfRule type="cellIs" dxfId="2388" priority="542" stopIfTrue="1" operator="lessThan">
      <formula>0</formula>
    </cfRule>
    <cfRule type="expression" dxfId="2387" priority="543" stopIfTrue="1">
      <formula>NOT(ISNUMBER(SEARCH(V$14,$Q50)))</formula>
    </cfRule>
  </conditionalFormatting>
  <conditionalFormatting sqref="D63:AG69">
    <cfRule type="expression" dxfId="2386" priority="548" stopIfTrue="1">
      <formula>AND(ISNUMBER(D63),D63&gt;$AH63)</formula>
    </cfRule>
  </conditionalFormatting>
  <conditionalFormatting sqref="O50:P54">
    <cfRule type="expression" dxfId="2385" priority="540" stopIfTrue="1">
      <formula>VALUE(LEFT(O50,2))&lt;&gt;VALUE(RIGHT(O50,2))</formula>
    </cfRule>
  </conditionalFormatting>
  <conditionalFormatting sqref="V57:AG57">
    <cfRule type="expression" dxfId="2384" priority="551" stopIfTrue="1">
      <formula>$AM69</formula>
    </cfRule>
    <cfRule type="cellIs" dxfId="2383" priority="552" stopIfTrue="1" operator="lessThan">
      <formula>-TRUNC(SUM(V50:V54)/2)</formula>
    </cfRule>
  </conditionalFormatting>
  <conditionalFormatting sqref="AD55">
    <cfRule type="expression" dxfId="2382" priority="554" stopIfTrue="1">
      <formula>$AM76</formula>
    </cfRule>
  </conditionalFormatting>
  <conditionalFormatting sqref="Y55">
    <cfRule type="expression" dxfId="2381" priority="555" stopIfTrue="1">
      <formula>AND(AM72,$Y55&lt;&gt;0)</formula>
    </cfRule>
  </conditionalFormatting>
  <conditionalFormatting sqref="W84:W88 Y84:Y88 AA84:AA88 AC84:AC88 AE84:AE88 AG84:AG88">
    <cfRule type="expression" dxfId="2380" priority="393" stopIfTrue="1">
      <formula>$K84&lt;&gt;"Mantenido"</formula>
    </cfRule>
  </conditionalFormatting>
  <conditionalFormatting sqref="V84:AG88">
    <cfRule type="cellIs" dxfId="2379" priority="389" stopIfTrue="1" operator="lessThan">
      <formula>0</formula>
    </cfRule>
    <cfRule type="expression" dxfId="2378" priority="390" stopIfTrue="1">
      <formula>NOT(ISNUMBER(SEARCH(V$14,$Q84)))</formula>
    </cfRule>
  </conditionalFormatting>
  <conditionalFormatting sqref="D97:AG103">
    <cfRule type="expression" dxfId="2377" priority="395" stopIfTrue="1">
      <formula>AND(ISNUMBER(D97),D97&gt;$AH97)</formula>
    </cfRule>
  </conditionalFormatting>
  <conditionalFormatting sqref="O84:P88">
    <cfRule type="expression" dxfId="2376" priority="387" stopIfTrue="1">
      <formula>VALUE(LEFT(O84,2))&lt;&gt;VALUE(RIGHT(O84,2))</formula>
    </cfRule>
  </conditionalFormatting>
  <conditionalFormatting sqref="V91:AG91">
    <cfRule type="expression" dxfId="2375" priority="398" stopIfTrue="1">
      <formula>$AM103</formula>
    </cfRule>
    <cfRule type="cellIs" dxfId="2374" priority="399" stopIfTrue="1" operator="lessThan">
      <formula>-TRUNC(SUM(V84:V88)/2)</formula>
    </cfRule>
  </conditionalFormatting>
  <conditionalFormatting sqref="AD89">
    <cfRule type="expression" dxfId="2373" priority="401" stopIfTrue="1">
      <formula>$AM110</formula>
    </cfRule>
  </conditionalFormatting>
  <conditionalFormatting sqref="Y89">
    <cfRule type="expression" dxfId="2372" priority="402" stopIfTrue="1">
      <formula>AND(AM106,$Y89&lt;&gt;0)</formula>
    </cfRule>
  </conditionalFormatting>
  <conditionalFormatting sqref="W118:W122 Y118:Y122 AA118:AA122 AC118:AC122 AE118:AE122 AG118:AG122">
    <cfRule type="expression" dxfId="2371" priority="376" stopIfTrue="1">
      <formula>$K118&lt;&gt;"Mantenido"</formula>
    </cfRule>
  </conditionalFormatting>
  <conditionalFormatting sqref="V118:AG122">
    <cfRule type="cellIs" dxfId="2370" priority="372" stopIfTrue="1" operator="lessThan">
      <formula>0</formula>
    </cfRule>
    <cfRule type="expression" dxfId="2369" priority="373" stopIfTrue="1">
      <formula>NOT(ISNUMBER(SEARCH(V$14,$Q118)))</formula>
    </cfRule>
  </conditionalFormatting>
  <conditionalFormatting sqref="D131:AG137">
    <cfRule type="expression" dxfId="2368" priority="378" stopIfTrue="1">
      <formula>AND(ISNUMBER(D131),D131&gt;$AH131)</formula>
    </cfRule>
  </conditionalFormatting>
  <conditionalFormatting sqref="O118:P122">
    <cfRule type="expression" dxfId="2367" priority="370" stopIfTrue="1">
      <formula>VALUE(LEFT(O118,2))&lt;&gt;VALUE(RIGHT(O118,2))</formula>
    </cfRule>
  </conditionalFormatting>
  <conditionalFormatting sqref="V125:AG125">
    <cfRule type="expression" dxfId="2366" priority="381" stopIfTrue="1">
      <formula>$AM137</formula>
    </cfRule>
    <cfRule type="cellIs" dxfId="2365" priority="382" stopIfTrue="1" operator="lessThan">
      <formula>-TRUNC(SUM(V118:V122)/2)</formula>
    </cfRule>
  </conditionalFormatting>
  <conditionalFormatting sqref="AD123">
    <cfRule type="expression" dxfId="2364" priority="384" stopIfTrue="1">
      <formula>$AM144</formula>
    </cfRule>
  </conditionalFormatting>
  <conditionalFormatting sqref="Y123">
    <cfRule type="expression" dxfId="2363" priority="385" stopIfTrue="1">
      <formula>AND(AM140,$Y123&lt;&gt;0)</formula>
    </cfRule>
  </conditionalFormatting>
  <conditionalFormatting sqref="W152:W156 Y152:Y156 AA152:AA156 AC152:AC156 AE152:AE156 AG152:AG156">
    <cfRule type="expression" dxfId="2362" priority="359" stopIfTrue="1">
      <formula>$K152&lt;&gt;"Mantenido"</formula>
    </cfRule>
  </conditionalFormatting>
  <conditionalFormatting sqref="V152:AG156">
    <cfRule type="cellIs" dxfId="2361" priority="355" stopIfTrue="1" operator="lessThan">
      <formula>0</formula>
    </cfRule>
    <cfRule type="expression" dxfId="2360" priority="356" stopIfTrue="1">
      <formula>NOT(ISNUMBER(SEARCH(V$14,$Q152)))</formula>
    </cfRule>
  </conditionalFormatting>
  <conditionalFormatting sqref="D165:AG171">
    <cfRule type="expression" dxfId="2359" priority="361" stopIfTrue="1">
      <formula>AND(ISNUMBER(D165),D165&gt;$AH165)</formula>
    </cfRule>
  </conditionalFormatting>
  <conditionalFormatting sqref="O152:P156">
    <cfRule type="expression" dxfId="2358" priority="353" stopIfTrue="1">
      <formula>VALUE(LEFT(O152,2))&lt;&gt;VALUE(RIGHT(O152,2))</formula>
    </cfRule>
  </conditionalFormatting>
  <conditionalFormatting sqref="V159:AG159">
    <cfRule type="expression" dxfId="2357" priority="364" stopIfTrue="1">
      <formula>$AM171</formula>
    </cfRule>
    <cfRule type="cellIs" dxfId="2356" priority="365" stopIfTrue="1" operator="lessThan">
      <formula>-TRUNC(SUM(V152:V156)/2)</formula>
    </cfRule>
  </conditionalFormatting>
  <conditionalFormatting sqref="AD157">
    <cfRule type="expression" dxfId="2355" priority="367" stopIfTrue="1">
      <formula>$AM178</formula>
    </cfRule>
  </conditionalFormatting>
  <conditionalFormatting sqref="Y157">
    <cfRule type="expression" dxfId="2354" priority="368" stopIfTrue="1">
      <formula>AND(AM174,$Y157&lt;&gt;0)</formula>
    </cfRule>
  </conditionalFormatting>
  <conditionalFormatting sqref="W187:W191 Y187:Y191 AA187:AA191 AC187:AC191 AE187:AE191 AG187:AG191">
    <cfRule type="expression" dxfId="2353" priority="342" stopIfTrue="1">
      <formula>$K187&lt;&gt;"Mantenido"</formula>
    </cfRule>
  </conditionalFormatting>
  <conditionalFormatting sqref="D200:AG206">
    <cfRule type="expression" dxfId="2352" priority="344" stopIfTrue="1">
      <formula>AND(ISNUMBER(D200),D200&gt;$AH200)</formula>
    </cfRule>
  </conditionalFormatting>
  <conditionalFormatting sqref="O187:P191">
    <cfRule type="expression" dxfId="2351" priority="336" stopIfTrue="1">
      <formula>VALUE(LEFT(O187,2))&lt;&gt;VALUE(RIGHT(O187,2))</formula>
    </cfRule>
  </conditionalFormatting>
  <conditionalFormatting sqref="V194:AG194">
    <cfRule type="expression" dxfId="2350" priority="347" stopIfTrue="1">
      <formula>$AM206</formula>
    </cfRule>
    <cfRule type="cellIs" dxfId="2349" priority="348" stopIfTrue="1" operator="lessThan">
      <formula>-TRUNC(SUM(V187:V191)/2)</formula>
    </cfRule>
  </conditionalFormatting>
  <conditionalFormatting sqref="AD192">
    <cfRule type="expression" dxfId="2348" priority="350" stopIfTrue="1">
      <formula>$AM213</formula>
    </cfRule>
  </conditionalFormatting>
  <conditionalFormatting sqref="Y192">
    <cfRule type="expression" dxfId="2347" priority="351" stopIfTrue="1">
      <formula>AND(AM209,$Y192&lt;&gt;0)</formula>
    </cfRule>
  </conditionalFormatting>
  <conditionalFormatting sqref="W221:W225 Y221:Y225 AA221:AA225 AC221:AC225 AE221:AE225 AG221:AG225">
    <cfRule type="expression" dxfId="2346" priority="325" stopIfTrue="1">
      <formula>$K221&lt;&gt;"Mantenido"</formula>
    </cfRule>
  </conditionalFormatting>
  <conditionalFormatting sqref="D234:AG240">
    <cfRule type="expression" dxfId="2345" priority="327" stopIfTrue="1">
      <formula>AND(ISNUMBER(D234),D234&gt;$AH234)</formula>
    </cfRule>
  </conditionalFormatting>
  <conditionalFormatting sqref="O221:P225">
    <cfRule type="expression" dxfId="2344" priority="319" stopIfTrue="1">
      <formula>VALUE(LEFT(O221,2))&lt;&gt;VALUE(RIGHT(O221,2))</formula>
    </cfRule>
  </conditionalFormatting>
  <conditionalFormatting sqref="V228:AG228">
    <cfRule type="expression" dxfId="2343" priority="330" stopIfTrue="1">
      <formula>$AM240</formula>
    </cfRule>
    <cfRule type="cellIs" dxfId="2342" priority="331" stopIfTrue="1" operator="lessThan">
      <formula>-TRUNC(SUM(V221:V225)/2)</formula>
    </cfRule>
  </conditionalFormatting>
  <conditionalFormatting sqref="AD226">
    <cfRule type="expression" dxfId="2341" priority="333" stopIfTrue="1">
      <formula>$AM247</formula>
    </cfRule>
  </conditionalFormatting>
  <conditionalFormatting sqref="Y226">
    <cfRule type="expression" dxfId="2340" priority="334" stopIfTrue="1">
      <formula>AND(AM243,$Y226&lt;&gt;0)</formula>
    </cfRule>
  </conditionalFormatting>
  <conditionalFormatting sqref="W255:W259 Y255:Y259 AA255:AA259 AC255:AC259 AE255:AE259 AG255:AG259">
    <cfRule type="expression" dxfId="2339" priority="308" stopIfTrue="1">
      <formula>$K255&lt;&gt;"Mantenido"</formula>
    </cfRule>
  </conditionalFormatting>
  <conditionalFormatting sqref="D268:AG274">
    <cfRule type="expression" dxfId="2338" priority="310" stopIfTrue="1">
      <formula>AND(ISNUMBER(D268),D268&gt;$AH268)</formula>
    </cfRule>
  </conditionalFormatting>
  <conditionalFormatting sqref="O255:P259">
    <cfRule type="expression" dxfId="2337" priority="302" stopIfTrue="1">
      <formula>VALUE(LEFT(O255,2))&lt;&gt;VALUE(RIGHT(O255,2))</formula>
    </cfRule>
  </conditionalFormatting>
  <conditionalFormatting sqref="V262:AG262">
    <cfRule type="expression" dxfId="2336" priority="313" stopIfTrue="1">
      <formula>$AM274</formula>
    </cfRule>
    <cfRule type="cellIs" dxfId="2335" priority="314" stopIfTrue="1" operator="lessThan">
      <formula>-TRUNC(SUM(V255:V259)/2)</formula>
    </cfRule>
  </conditionalFormatting>
  <conditionalFormatting sqref="AD260">
    <cfRule type="expression" dxfId="2334" priority="316" stopIfTrue="1">
      <formula>$AM281</formula>
    </cfRule>
  </conditionalFormatting>
  <conditionalFormatting sqref="Y260">
    <cfRule type="expression" dxfId="2333" priority="317" stopIfTrue="1">
      <formula>AND(AM277,$Y260&lt;&gt;0)</formula>
    </cfRule>
  </conditionalFormatting>
  <conditionalFormatting sqref="W289:W293 Y289:Y293 AA289:AA293 AC289:AC293 AE289:AE293 AG289:AG293">
    <cfRule type="expression" dxfId="2332" priority="291" stopIfTrue="1">
      <formula>$K289&lt;&gt;"Mantenido"</formula>
    </cfRule>
  </conditionalFormatting>
  <conditionalFormatting sqref="D302:AG308">
    <cfRule type="expression" dxfId="2331" priority="293" stopIfTrue="1">
      <formula>AND(ISNUMBER(D302),D302&gt;$AH302)</formula>
    </cfRule>
  </conditionalFormatting>
  <conditionalFormatting sqref="O289:P293">
    <cfRule type="expression" dxfId="2330" priority="285" stopIfTrue="1">
      <formula>VALUE(LEFT(O289,2))&lt;&gt;VALUE(RIGHT(O289,2))</formula>
    </cfRule>
  </conditionalFormatting>
  <conditionalFormatting sqref="V296:AG296">
    <cfRule type="expression" dxfId="2329" priority="296" stopIfTrue="1">
      <formula>$AM308</formula>
    </cfRule>
    <cfRule type="cellIs" dxfId="2328" priority="297" stopIfTrue="1" operator="lessThan">
      <formula>-TRUNC(SUM(V289:V293)/2)</formula>
    </cfRule>
  </conditionalFormatting>
  <conditionalFormatting sqref="AD294">
    <cfRule type="expression" dxfId="2327" priority="299" stopIfTrue="1">
      <formula>$AM315</formula>
    </cfRule>
  </conditionalFormatting>
  <conditionalFormatting sqref="Y294">
    <cfRule type="expression" dxfId="2326" priority="300" stopIfTrue="1">
      <formula>AND(AM311,$Y294&lt;&gt;0)</formula>
    </cfRule>
  </conditionalFormatting>
  <conditionalFormatting sqref="W323:W327 Y323:Y327 AA323:AA327 AC323:AC327 AE323:AE327 AG323:AG327">
    <cfRule type="expression" dxfId="2325" priority="274" stopIfTrue="1">
      <formula>$K323&lt;&gt;"Mantenido"</formula>
    </cfRule>
  </conditionalFormatting>
  <conditionalFormatting sqref="D336:AG342">
    <cfRule type="expression" dxfId="2324" priority="276" stopIfTrue="1">
      <formula>AND(ISNUMBER(D336),D336&gt;$AH336)</formula>
    </cfRule>
  </conditionalFormatting>
  <conditionalFormatting sqref="O323:P327">
    <cfRule type="expression" dxfId="2323" priority="268" stopIfTrue="1">
      <formula>VALUE(LEFT(O323,2))&lt;&gt;VALUE(RIGHT(O323,2))</formula>
    </cfRule>
  </conditionalFormatting>
  <conditionalFormatting sqref="V330:AG330">
    <cfRule type="expression" dxfId="2322" priority="279" stopIfTrue="1">
      <formula>$AM342</formula>
    </cfRule>
    <cfRule type="cellIs" dxfId="2321" priority="280" stopIfTrue="1" operator="lessThan">
      <formula>-TRUNC(SUM(V323:V327)/2)</formula>
    </cfRule>
  </conditionalFormatting>
  <conditionalFormatting sqref="AD328">
    <cfRule type="expression" dxfId="2320" priority="282" stopIfTrue="1">
      <formula>$AM349</formula>
    </cfRule>
  </conditionalFormatting>
  <conditionalFormatting sqref="Y328">
    <cfRule type="expression" dxfId="2319" priority="283" stopIfTrue="1">
      <formula>AND(AM345,$Y328&lt;&gt;0)</formula>
    </cfRule>
  </conditionalFormatting>
  <conditionalFormatting sqref="F22:M22">
    <cfRule type="expression" dxfId="2318" priority="252" stopIfTrue="1">
      <formula>$P12&lt;2</formula>
    </cfRule>
  </conditionalFormatting>
  <conditionalFormatting sqref="K57:M57">
    <cfRule type="expression" dxfId="2317" priority="247" stopIfTrue="1">
      <formula>$P46&lt;3</formula>
    </cfRule>
  </conditionalFormatting>
  <conditionalFormatting sqref="K56:M56">
    <cfRule type="expression" dxfId="2316" priority="242" stopIfTrue="1">
      <formula>$P46&lt;2</formula>
    </cfRule>
  </conditionalFormatting>
  <conditionalFormatting sqref="F296:M296">
    <cfRule type="expression" dxfId="2315" priority="157" stopIfTrue="1">
      <formula>$P285&lt;3</formula>
    </cfRule>
  </conditionalFormatting>
  <conditionalFormatting sqref="F295:M295">
    <cfRule type="expression" dxfId="2314" priority="152" stopIfTrue="1">
      <formula>$P285&lt;2</formula>
    </cfRule>
  </conditionalFormatting>
  <conditionalFormatting sqref="K91:M91">
    <cfRule type="expression" dxfId="2313" priority="217" stopIfTrue="1">
      <formula>$P80&lt;3</formula>
    </cfRule>
  </conditionalFormatting>
  <conditionalFormatting sqref="K90:M90">
    <cfRule type="expression" dxfId="2312" priority="212" stopIfTrue="1">
      <formula>$P80&lt;2</formula>
    </cfRule>
  </conditionalFormatting>
  <conditionalFormatting sqref="K125:M125">
    <cfRule type="expression" dxfId="2311" priority="207" stopIfTrue="1">
      <formula>$P114&lt;3</formula>
    </cfRule>
  </conditionalFormatting>
  <conditionalFormatting sqref="K124:M124">
    <cfRule type="expression" dxfId="2310" priority="202" stopIfTrue="1">
      <formula>$P114&lt;2</formula>
    </cfRule>
  </conditionalFormatting>
  <conditionalFormatting sqref="K159:M159">
    <cfRule type="expression" dxfId="2309" priority="197" stopIfTrue="1">
      <formula>$P148&lt;3</formula>
    </cfRule>
  </conditionalFormatting>
  <conditionalFormatting sqref="K158:M158">
    <cfRule type="expression" dxfId="2308" priority="192" stopIfTrue="1">
      <formula>$P148&lt;2</formula>
    </cfRule>
  </conditionalFormatting>
  <conditionalFormatting sqref="K194:M194">
    <cfRule type="expression" dxfId="2307" priority="187" stopIfTrue="1">
      <formula>$P183&lt;3</formula>
    </cfRule>
  </conditionalFormatting>
  <conditionalFormatting sqref="K193:M193">
    <cfRule type="expression" dxfId="2306" priority="182" stopIfTrue="1">
      <formula>$P183&lt;2</formula>
    </cfRule>
  </conditionalFormatting>
  <conditionalFormatting sqref="K228:M228">
    <cfRule type="expression" dxfId="2305" priority="177" stopIfTrue="1">
      <formula>$P217&lt;3</formula>
    </cfRule>
  </conditionalFormatting>
  <conditionalFormatting sqref="K227:M227">
    <cfRule type="expression" dxfId="2304" priority="172" stopIfTrue="1">
      <formula>$P217&lt;2</formula>
    </cfRule>
  </conditionalFormatting>
  <conditionalFormatting sqref="F262:M262">
    <cfRule type="expression" dxfId="2303" priority="167" stopIfTrue="1">
      <formula>$P251&lt;3</formula>
    </cfRule>
  </conditionalFormatting>
  <conditionalFormatting sqref="F261:M261">
    <cfRule type="expression" dxfId="2302" priority="162" stopIfTrue="1">
      <formula>$P251&lt;2</formula>
    </cfRule>
  </conditionalFormatting>
  <conditionalFormatting sqref="F330:M330">
    <cfRule type="expression" dxfId="2301" priority="147" stopIfTrue="1">
      <formula>$P319&lt;3</formula>
    </cfRule>
  </conditionalFormatting>
  <conditionalFormatting sqref="F329:M329">
    <cfRule type="expression" dxfId="2300" priority="142" stopIfTrue="1">
      <formula>$P319&lt;2</formula>
    </cfRule>
  </conditionalFormatting>
  <conditionalFormatting sqref="AM344">
    <cfRule type="expression" dxfId="2299" priority="9935" stopIfTrue="1">
      <formula>#REF!</formula>
    </cfRule>
  </conditionalFormatting>
  <conditionalFormatting sqref="U46:U47">
    <cfRule type="expression" dxfId="2298" priority="139" stopIfTrue="1">
      <formula>AM67</formula>
    </cfRule>
  </conditionalFormatting>
  <conditionalFormatting sqref="U80:U81">
    <cfRule type="expression" dxfId="2297" priority="138" stopIfTrue="1">
      <formula>AM101</formula>
    </cfRule>
  </conditionalFormatting>
  <conditionalFormatting sqref="U114:U115">
    <cfRule type="expression" dxfId="2296" priority="137" stopIfTrue="1">
      <formula>AM135</formula>
    </cfRule>
  </conditionalFormatting>
  <conditionalFormatting sqref="U148:U149">
    <cfRule type="expression" dxfId="2295" priority="136" stopIfTrue="1">
      <formula>AM169</formula>
    </cfRule>
  </conditionalFormatting>
  <conditionalFormatting sqref="U183:U184">
    <cfRule type="expression" dxfId="2294" priority="135" stopIfTrue="1">
      <formula>AM204</formula>
    </cfRule>
  </conditionalFormatting>
  <conditionalFormatting sqref="U217:U218">
    <cfRule type="expression" dxfId="2293" priority="134" stopIfTrue="1">
      <formula>AM238</formula>
    </cfRule>
  </conditionalFormatting>
  <conditionalFormatting sqref="U251:U252">
    <cfRule type="expression" dxfId="2292" priority="133" stopIfTrue="1">
      <formula>AM272</formula>
    </cfRule>
  </conditionalFormatting>
  <conditionalFormatting sqref="U285:U286">
    <cfRule type="expression" dxfId="2291" priority="132" stopIfTrue="1">
      <formula>AM306</formula>
    </cfRule>
  </conditionalFormatting>
  <conditionalFormatting sqref="U319:U320">
    <cfRule type="expression" dxfId="2290" priority="131" stopIfTrue="1">
      <formula>AM340</formula>
    </cfRule>
  </conditionalFormatting>
  <conditionalFormatting sqref="F57:J57">
    <cfRule type="expression" dxfId="2289" priority="130" stopIfTrue="1">
      <formula>$P46&lt;3</formula>
    </cfRule>
  </conditionalFormatting>
  <conditionalFormatting sqref="F56:J56">
    <cfRule type="expression" dxfId="2288" priority="129" stopIfTrue="1">
      <formula>$P46&lt;2</formula>
    </cfRule>
  </conditionalFormatting>
  <conditionalFormatting sqref="F91:J91">
    <cfRule type="expression" dxfId="2287" priority="128" stopIfTrue="1">
      <formula>$P80&lt;3</formula>
    </cfRule>
  </conditionalFormatting>
  <conditionalFormatting sqref="F90:J90">
    <cfRule type="expression" dxfId="2286" priority="127" stopIfTrue="1">
      <formula>$P80&lt;2</formula>
    </cfRule>
  </conditionalFormatting>
  <conditionalFormatting sqref="F125:J125">
    <cfRule type="expression" dxfId="2285" priority="126" stopIfTrue="1">
      <formula>$P114&lt;3</formula>
    </cfRule>
  </conditionalFormatting>
  <conditionalFormatting sqref="F124:J124">
    <cfRule type="expression" dxfId="2284" priority="125" stopIfTrue="1">
      <formula>$P114&lt;2</formula>
    </cfRule>
  </conditionalFormatting>
  <conditionalFormatting sqref="F159:J159">
    <cfRule type="expression" dxfId="2283" priority="124" stopIfTrue="1">
      <formula>$P148&lt;3</formula>
    </cfRule>
  </conditionalFormatting>
  <conditionalFormatting sqref="F158:J158">
    <cfRule type="expression" dxfId="2282" priority="123" stopIfTrue="1">
      <formula>$P148&lt;2</formula>
    </cfRule>
  </conditionalFormatting>
  <conditionalFormatting sqref="F194:J194">
    <cfRule type="expression" dxfId="2281" priority="122" stopIfTrue="1">
      <formula>$P183&lt;3</formula>
    </cfRule>
  </conditionalFormatting>
  <conditionalFormatting sqref="F193:J193">
    <cfRule type="expression" dxfId="2280" priority="121" stopIfTrue="1">
      <formula>$P183&lt;2</formula>
    </cfRule>
  </conditionalFormatting>
  <conditionalFormatting sqref="F228:J228">
    <cfRule type="expression" dxfId="2279" priority="120" stopIfTrue="1">
      <formula>$P217&lt;3</formula>
    </cfRule>
  </conditionalFormatting>
  <conditionalFormatting sqref="F227:J227">
    <cfRule type="expression" dxfId="2278" priority="119" stopIfTrue="1">
      <formula>$P217&lt;2</formula>
    </cfRule>
  </conditionalFormatting>
  <conditionalFormatting sqref="Q21:R21 Q23:R23">
    <cfRule type="expression" dxfId="2277" priority="97" stopIfTrue="1">
      <formula>$K21&lt;&gt;"A dos elementos"</formula>
    </cfRule>
  </conditionalFormatting>
  <conditionalFormatting sqref="N23:U23">
    <cfRule type="expression" dxfId="2276" priority="98" stopIfTrue="1">
      <formula>$P12&lt;3</formula>
    </cfRule>
  </conditionalFormatting>
  <conditionalFormatting sqref="S21:S23">
    <cfRule type="expression" dxfId="2275" priority="95" stopIfTrue="1">
      <formula>VALUE(RIGHT($S21,1))&gt;$AK21</formula>
    </cfRule>
  </conditionalFormatting>
  <conditionalFormatting sqref="O21:R21">
    <cfRule type="expression" dxfId="2274" priority="99" stopIfTrue="1">
      <formula>$AM37</formula>
    </cfRule>
  </conditionalFormatting>
  <conditionalFormatting sqref="O21:R21 O23:R23">
    <cfRule type="expression" dxfId="2273" priority="96" stopIfTrue="1">
      <formula>$F21&lt;&gt;"Atadura Elemental"</formula>
    </cfRule>
  </conditionalFormatting>
  <conditionalFormatting sqref="O23:R23">
    <cfRule type="expression" dxfId="2272" priority="100" stopIfTrue="1">
      <formula>$AM37</formula>
    </cfRule>
  </conditionalFormatting>
  <conditionalFormatting sqref="O22:R22">
    <cfRule type="expression" dxfId="2271" priority="91" stopIfTrue="1">
      <formula>$F22&lt;&gt;"Atadura Elemental"</formula>
    </cfRule>
    <cfRule type="expression" dxfId="2270" priority="94" stopIfTrue="1">
      <formula>$AM37</formula>
    </cfRule>
  </conditionalFormatting>
  <conditionalFormatting sqref="Q22:R22">
    <cfRule type="expression" dxfId="2269" priority="92" stopIfTrue="1">
      <formula>$K22&lt;&gt;"A dos elementos"</formula>
    </cfRule>
  </conditionalFormatting>
  <conditionalFormatting sqref="N22:U22">
    <cfRule type="expression" dxfId="2268" priority="93" stopIfTrue="1">
      <formula>$P12&lt;2</formula>
    </cfRule>
  </conditionalFormatting>
  <conditionalFormatting sqref="Q55:R55 Q57:R57">
    <cfRule type="expression" dxfId="2267" priority="87" stopIfTrue="1">
      <formula>$K55&lt;&gt;"A dos elementos"</formula>
    </cfRule>
  </conditionalFormatting>
  <conditionalFormatting sqref="N57:U57">
    <cfRule type="expression" dxfId="2266" priority="88" stopIfTrue="1">
      <formula>$P46&lt;3</formula>
    </cfRule>
  </conditionalFormatting>
  <conditionalFormatting sqref="S55:S57">
    <cfRule type="expression" dxfId="2265" priority="85" stopIfTrue="1">
      <formula>VALUE(RIGHT($S55,1))&gt;$AK55</formula>
    </cfRule>
  </conditionalFormatting>
  <conditionalFormatting sqref="O55:R55">
    <cfRule type="expression" dxfId="2264" priority="89" stopIfTrue="1">
      <formula>$AM71</formula>
    </cfRule>
  </conditionalFormatting>
  <conditionalFormatting sqref="O55:R55 O57:R57">
    <cfRule type="expression" dxfId="2263" priority="86" stopIfTrue="1">
      <formula>$F55&lt;&gt;"Atadura Elemental"</formula>
    </cfRule>
  </conditionalFormatting>
  <conditionalFormatting sqref="O57:R57">
    <cfRule type="expression" dxfId="2262" priority="90" stopIfTrue="1">
      <formula>$AM71</formula>
    </cfRule>
  </conditionalFormatting>
  <conditionalFormatting sqref="O56:R56">
    <cfRule type="expression" dxfId="2261" priority="81" stopIfTrue="1">
      <formula>$F56&lt;&gt;"Atadura Elemental"</formula>
    </cfRule>
    <cfRule type="expression" dxfId="2260" priority="84" stopIfTrue="1">
      <formula>$AM71</formula>
    </cfRule>
  </conditionalFormatting>
  <conditionalFormatting sqref="Q56:R56">
    <cfRule type="expression" dxfId="2259" priority="82" stopIfTrue="1">
      <formula>$K56&lt;&gt;"A dos elementos"</formula>
    </cfRule>
  </conditionalFormatting>
  <conditionalFormatting sqref="N56:U56">
    <cfRule type="expression" dxfId="2258" priority="83" stopIfTrue="1">
      <formula>$P46&lt;2</formula>
    </cfRule>
  </conditionalFormatting>
  <conditionalFormatting sqref="Q89:R89 Q91:R91">
    <cfRule type="expression" dxfId="2257" priority="77" stopIfTrue="1">
      <formula>$K89&lt;&gt;"A dos elementos"</formula>
    </cfRule>
  </conditionalFormatting>
  <conditionalFormatting sqref="N91:U91">
    <cfRule type="expression" dxfId="2256" priority="78" stopIfTrue="1">
      <formula>$P80&lt;3</formula>
    </cfRule>
  </conditionalFormatting>
  <conditionalFormatting sqref="S89:S91">
    <cfRule type="expression" dxfId="2255" priority="75" stopIfTrue="1">
      <formula>VALUE(RIGHT($S89,1))&gt;$AK89</formula>
    </cfRule>
  </conditionalFormatting>
  <conditionalFormatting sqref="O89:R89">
    <cfRule type="expression" dxfId="2254" priority="79" stopIfTrue="1">
      <formula>$AM105</formula>
    </cfRule>
  </conditionalFormatting>
  <conditionalFormatting sqref="O89:R89 O91:R91">
    <cfRule type="expression" dxfId="2253" priority="76" stopIfTrue="1">
      <formula>$F89&lt;&gt;"Atadura Elemental"</formula>
    </cfRule>
  </conditionalFormatting>
  <conditionalFormatting sqref="O91:R91">
    <cfRule type="expression" dxfId="2252" priority="80" stopIfTrue="1">
      <formula>$AM105</formula>
    </cfRule>
  </conditionalFormatting>
  <conditionalFormatting sqref="O90:R90">
    <cfRule type="expression" dxfId="2251" priority="71" stopIfTrue="1">
      <formula>$F90&lt;&gt;"Atadura Elemental"</formula>
    </cfRule>
    <cfRule type="expression" dxfId="2250" priority="74" stopIfTrue="1">
      <formula>$AM105</formula>
    </cfRule>
  </conditionalFormatting>
  <conditionalFormatting sqref="Q90:R90">
    <cfRule type="expression" dxfId="2249" priority="72" stopIfTrue="1">
      <formula>$K90&lt;&gt;"A dos elementos"</formula>
    </cfRule>
  </conditionalFormatting>
  <conditionalFormatting sqref="N90:U90">
    <cfRule type="expression" dxfId="2248" priority="73" stopIfTrue="1">
      <formula>$P80&lt;2</formula>
    </cfRule>
  </conditionalFormatting>
  <conditionalFormatting sqref="Q123:R123 Q125:R125">
    <cfRule type="expression" dxfId="2247" priority="67" stopIfTrue="1">
      <formula>$K123&lt;&gt;"A dos elementos"</formula>
    </cfRule>
  </conditionalFormatting>
  <conditionalFormatting sqref="N125:U125">
    <cfRule type="expression" dxfId="2246" priority="68" stopIfTrue="1">
      <formula>$P114&lt;3</formula>
    </cfRule>
  </conditionalFormatting>
  <conditionalFormatting sqref="S123:S125">
    <cfRule type="expression" dxfId="2245" priority="65" stopIfTrue="1">
      <formula>VALUE(RIGHT($S123,1))&gt;$AK123</formula>
    </cfRule>
  </conditionalFormatting>
  <conditionalFormatting sqref="O123:R123">
    <cfRule type="expression" dxfId="2244" priority="69" stopIfTrue="1">
      <formula>$AM139</formula>
    </cfRule>
  </conditionalFormatting>
  <conditionalFormatting sqref="O123:R123 O125:R125">
    <cfRule type="expression" dxfId="2243" priority="66" stopIfTrue="1">
      <formula>$F123&lt;&gt;"Atadura Elemental"</formula>
    </cfRule>
  </conditionalFormatting>
  <conditionalFormatting sqref="O125:R125">
    <cfRule type="expression" dxfId="2242" priority="70" stopIfTrue="1">
      <formula>$AM139</formula>
    </cfRule>
  </conditionalFormatting>
  <conditionalFormatting sqref="O124:R124">
    <cfRule type="expression" dxfId="2241" priority="61" stopIfTrue="1">
      <formula>$F124&lt;&gt;"Atadura Elemental"</formula>
    </cfRule>
    <cfRule type="expression" dxfId="2240" priority="64" stopIfTrue="1">
      <formula>$AM139</formula>
    </cfRule>
  </conditionalFormatting>
  <conditionalFormatting sqref="Q124:R124">
    <cfRule type="expression" dxfId="2239" priority="62" stopIfTrue="1">
      <formula>$K124&lt;&gt;"A dos elementos"</formula>
    </cfRule>
  </conditionalFormatting>
  <conditionalFormatting sqref="N124:U124">
    <cfRule type="expression" dxfId="2238" priority="63" stopIfTrue="1">
      <formula>$P114&lt;2</formula>
    </cfRule>
  </conditionalFormatting>
  <conditionalFormatting sqref="Q157:R157 Q159:R159">
    <cfRule type="expression" dxfId="2237" priority="57" stopIfTrue="1">
      <formula>$K157&lt;&gt;"A dos elementos"</formula>
    </cfRule>
  </conditionalFormatting>
  <conditionalFormatting sqref="N159:U159">
    <cfRule type="expression" dxfId="2236" priority="58" stopIfTrue="1">
      <formula>$P148&lt;3</formula>
    </cfRule>
  </conditionalFormatting>
  <conditionalFormatting sqref="S157:S159">
    <cfRule type="expression" dxfId="2235" priority="55" stopIfTrue="1">
      <formula>VALUE(RIGHT($S157,1))&gt;$AK157</formula>
    </cfRule>
  </conditionalFormatting>
  <conditionalFormatting sqref="O157:R157">
    <cfRule type="expression" dxfId="2234" priority="59" stopIfTrue="1">
      <formula>$AM173</formula>
    </cfRule>
  </conditionalFormatting>
  <conditionalFormatting sqref="O157:R157 O159:R159">
    <cfRule type="expression" dxfId="2233" priority="56" stopIfTrue="1">
      <formula>$F157&lt;&gt;"Atadura Elemental"</formula>
    </cfRule>
  </conditionalFormatting>
  <conditionalFormatting sqref="O159:R159">
    <cfRule type="expression" dxfId="2232" priority="60" stopIfTrue="1">
      <formula>$AM173</formula>
    </cfRule>
  </conditionalFormatting>
  <conditionalFormatting sqref="O158:R158">
    <cfRule type="expression" dxfId="2231" priority="51" stopIfTrue="1">
      <formula>$F158&lt;&gt;"Atadura Elemental"</formula>
    </cfRule>
    <cfRule type="expression" dxfId="2230" priority="54" stopIfTrue="1">
      <formula>$AM173</formula>
    </cfRule>
  </conditionalFormatting>
  <conditionalFormatting sqref="Q158:R158">
    <cfRule type="expression" dxfId="2229" priority="52" stopIfTrue="1">
      <formula>$K158&lt;&gt;"A dos elementos"</formula>
    </cfRule>
  </conditionalFormatting>
  <conditionalFormatting sqref="N158:U158">
    <cfRule type="expression" dxfId="2228" priority="53" stopIfTrue="1">
      <formula>$P148&lt;2</formula>
    </cfRule>
  </conditionalFormatting>
  <conditionalFormatting sqref="Q192:R192 Q194:R194">
    <cfRule type="expression" dxfId="2227" priority="47" stopIfTrue="1">
      <formula>$K192&lt;&gt;"A dos elementos"</formula>
    </cfRule>
  </conditionalFormatting>
  <conditionalFormatting sqref="N194:U194">
    <cfRule type="expression" dxfId="2226" priority="48" stopIfTrue="1">
      <formula>$P183&lt;3</formula>
    </cfRule>
  </conditionalFormatting>
  <conditionalFormatting sqref="S192:S194">
    <cfRule type="expression" dxfId="2225" priority="45" stopIfTrue="1">
      <formula>VALUE(RIGHT($S192,1))&gt;$AK192</formula>
    </cfRule>
  </conditionalFormatting>
  <conditionalFormatting sqref="O192:R192">
    <cfRule type="expression" dxfId="2224" priority="49" stopIfTrue="1">
      <formula>$AM208</formula>
    </cfRule>
  </conditionalFormatting>
  <conditionalFormatting sqref="O192:R192 O194:R194">
    <cfRule type="expression" dxfId="2223" priority="46" stopIfTrue="1">
      <formula>$F192&lt;&gt;"Atadura Elemental"</formula>
    </cfRule>
  </conditionalFormatting>
  <conditionalFormatting sqref="O194:R194">
    <cfRule type="expression" dxfId="2222" priority="50" stopIfTrue="1">
      <formula>$AM208</formula>
    </cfRule>
  </conditionalFormatting>
  <conditionalFormatting sqref="O193:R193">
    <cfRule type="expression" dxfId="2221" priority="41" stopIfTrue="1">
      <formula>$F193&lt;&gt;"Atadura Elemental"</formula>
    </cfRule>
    <cfRule type="expression" dxfId="2220" priority="44" stopIfTrue="1">
      <formula>$AM208</formula>
    </cfRule>
  </conditionalFormatting>
  <conditionalFormatting sqref="Q193:R193">
    <cfRule type="expression" dxfId="2219" priority="42" stopIfTrue="1">
      <formula>$K193&lt;&gt;"A dos elementos"</formula>
    </cfRule>
  </conditionalFormatting>
  <conditionalFormatting sqref="N193:U193">
    <cfRule type="expression" dxfId="2218" priority="43" stopIfTrue="1">
      <formula>$P183&lt;2</formula>
    </cfRule>
  </conditionalFormatting>
  <conditionalFormatting sqref="Q226:R226 Q228:R228">
    <cfRule type="expression" dxfId="2217" priority="37" stopIfTrue="1">
      <formula>$K226&lt;&gt;"A dos elementos"</formula>
    </cfRule>
  </conditionalFormatting>
  <conditionalFormatting sqref="N228:U228">
    <cfRule type="expression" dxfId="2216" priority="38" stopIfTrue="1">
      <formula>$P217&lt;3</formula>
    </cfRule>
  </conditionalFormatting>
  <conditionalFormatting sqref="S226:S228">
    <cfRule type="expression" dxfId="2215" priority="35" stopIfTrue="1">
      <formula>VALUE(RIGHT($S226,1))&gt;$AK226</formula>
    </cfRule>
  </conditionalFormatting>
  <conditionalFormatting sqref="O226:R226">
    <cfRule type="expression" dxfId="2214" priority="39" stopIfTrue="1">
      <formula>$AM242</formula>
    </cfRule>
  </conditionalFormatting>
  <conditionalFormatting sqref="O226:R226 O228:R228">
    <cfRule type="expression" dxfId="2213" priority="36" stopIfTrue="1">
      <formula>$F226&lt;&gt;"Atadura Elemental"</formula>
    </cfRule>
  </conditionalFormatting>
  <conditionalFormatting sqref="O228:R228">
    <cfRule type="expression" dxfId="2212" priority="40" stopIfTrue="1">
      <formula>$AM242</formula>
    </cfRule>
  </conditionalFormatting>
  <conditionalFormatting sqref="O227:R227">
    <cfRule type="expression" dxfId="2211" priority="31" stopIfTrue="1">
      <formula>$F227&lt;&gt;"Atadura Elemental"</formula>
    </cfRule>
    <cfRule type="expression" dxfId="2210" priority="34" stopIfTrue="1">
      <formula>$AM242</formula>
    </cfRule>
  </conditionalFormatting>
  <conditionalFormatting sqref="Q227:R227">
    <cfRule type="expression" dxfId="2209" priority="32" stopIfTrue="1">
      <formula>$K227&lt;&gt;"A dos elementos"</formula>
    </cfRule>
  </conditionalFormatting>
  <conditionalFormatting sqref="N227:U227">
    <cfRule type="expression" dxfId="2208" priority="33" stopIfTrue="1">
      <formula>$P217&lt;2</formula>
    </cfRule>
  </conditionalFormatting>
  <conditionalFormatting sqref="Q260:R260 Q262:R262">
    <cfRule type="expression" dxfId="2207" priority="27" stopIfTrue="1">
      <formula>$K260&lt;&gt;"A dos elementos"</formula>
    </cfRule>
  </conditionalFormatting>
  <conditionalFormatting sqref="N262:U262">
    <cfRule type="expression" dxfId="2206" priority="28" stopIfTrue="1">
      <formula>$P251&lt;3</formula>
    </cfRule>
  </conditionalFormatting>
  <conditionalFormatting sqref="S260:S262">
    <cfRule type="expression" dxfId="2205" priority="25" stopIfTrue="1">
      <formula>VALUE(RIGHT($S260,1))&gt;$AK260</formula>
    </cfRule>
  </conditionalFormatting>
  <conditionalFormatting sqref="O260:R260">
    <cfRule type="expression" dxfId="2204" priority="29" stopIfTrue="1">
      <formula>$AM276</formula>
    </cfRule>
  </conditionalFormatting>
  <conditionalFormatting sqref="O260:R260 O262:R262">
    <cfRule type="expression" dxfId="2203" priority="26" stopIfTrue="1">
      <formula>$F260&lt;&gt;"Atadura Elemental"</formula>
    </cfRule>
  </conditionalFormatting>
  <conditionalFormatting sqref="O262:R262">
    <cfRule type="expression" dxfId="2202" priority="30" stopIfTrue="1">
      <formula>$AM276</formula>
    </cfRule>
  </conditionalFormatting>
  <conditionalFormatting sqref="O261:R261">
    <cfRule type="expression" dxfId="2201" priority="21" stopIfTrue="1">
      <formula>$F261&lt;&gt;"Atadura Elemental"</formula>
    </cfRule>
    <cfRule type="expression" dxfId="2200" priority="24" stopIfTrue="1">
      <formula>$AM276</formula>
    </cfRule>
  </conditionalFormatting>
  <conditionalFormatting sqref="Q261:R261">
    <cfRule type="expression" dxfId="2199" priority="22" stopIfTrue="1">
      <formula>$K261&lt;&gt;"A dos elementos"</formula>
    </cfRule>
  </conditionalFormatting>
  <conditionalFormatting sqref="N261:U261">
    <cfRule type="expression" dxfId="2198" priority="23" stopIfTrue="1">
      <formula>$P251&lt;2</formula>
    </cfRule>
  </conditionalFormatting>
  <conditionalFormatting sqref="Q294:R294 Q296:R296">
    <cfRule type="expression" dxfId="2197" priority="17" stopIfTrue="1">
      <formula>$K294&lt;&gt;"A dos elementos"</formula>
    </cfRule>
  </conditionalFormatting>
  <conditionalFormatting sqref="N296:U296">
    <cfRule type="expression" dxfId="2196" priority="18" stopIfTrue="1">
      <formula>$P285&lt;3</formula>
    </cfRule>
  </conditionalFormatting>
  <conditionalFormatting sqref="S294:S296">
    <cfRule type="expression" dxfId="2195" priority="15" stopIfTrue="1">
      <formula>VALUE(RIGHT($S294,1))&gt;$AK294</formula>
    </cfRule>
  </conditionalFormatting>
  <conditionalFormatting sqref="O294:R294">
    <cfRule type="expression" dxfId="2194" priority="19" stopIfTrue="1">
      <formula>$AM310</formula>
    </cfRule>
  </conditionalFormatting>
  <conditionalFormatting sqref="O294:R294 O296:R296">
    <cfRule type="expression" dxfId="2193" priority="16" stopIfTrue="1">
      <formula>$F294&lt;&gt;"Atadura Elemental"</formula>
    </cfRule>
  </conditionalFormatting>
  <conditionalFormatting sqref="O296:R296">
    <cfRule type="expression" dxfId="2192" priority="20" stopIfTrue="1">
      <formula>$AM310</formula>
    </cfRule>
  </conditionalFormatting>
  <conditionalFormatting sqref="O295:R295">
    <cfRule type="expression" dxfId="2191" priority="11" stopIfTrue="1">
      <formula>$F295&lt;&gt;"Atadura Elemental"</formula>
    </cfRule>
    <cfRule type="expression" dxfId="2190" priority="14" stopIfTrue="1">
      <formula>$AM310</formula>
    </cfRule>
  </conditionalFormatting>
  <conditionalFormatting sqref="Q295:R295">
    <cfRule type="expression" dxfId="2189" priority="12" stopIfTrue="1">
      <formula>$K295&lt;&gt;"A dos elementos"</formula>
    </cfRule>
  </conditionalFormatting>
  <conditionalFormatting sqref="N295:U295">
    <cfRule type="expression" dxfId="2188" priority="13" stopIfTrue="1">
      <formula>$P285&lt;2</formula>
    </cfRule>
  </conditionalFormatting>
  <conditionalFormatting sqref="Q328:R328 Q330:R330">
    <cfRule type="expression" dxfId="2187" priority="7" stopIfTrue="1">
      <formula>$K328&lt;&gt;"A dos elementos"</formula>
    </cfRule>
  </conditionalFormatting>
  <conditionalFormatting sqref="N330:U330">
    <cfRule type="expression" dxfId="2186" priority="8" stopIfTrue="1">
      <formula>$P319&lt;3</formula>
    </cfRule>
  </conditionalFormatting>
  <conditionalFormatting sqref="S328:S330">
    <cfRule type="expression" dxfId="2185" priority="5" stopIfTrue="1">
      <formula>VALUE(RIGHT($S328,1))&gt;$AK328</formula>
    </cfRule>
  </conditionalFormatting>
  <conditionalFormatting sqref="O328:R328">
    <cfRule type="expression" dxfId="2184" priority="9" stopIfTrue="1">
      <formula>$AM344</formula>
    </cfRule>
  </conditionalFormatting>
  <conditionalFormatting sqref="O328:R328 O330:R330">
    <cfRule type="expression" dxfId="2183" priority="6" stopIfTrue="1">
      <formula>$F328&lt;&gt;"Atadura Elemental"</formula>
    </cfRule>
  </conditionalFormatting>
  <conditionalFormatting sqref="O330:R330">
    <cfRule type="expression" dxfId="2182" priority="10" stopIfTrue="1">
      <formula>$AM344</formula>
    </cfRule>
  </conditionalFormatting>
  <conditionalFormatting sqref="O329:R329">
    <cfRule type="expression" dxfId="2181" priority="1" stopIfTrue="1">
      <formula>$F329&lt;&gt;"Atadura Elemental"</formula>
    </cfRule>
    <cfRule type="expression" dxfId="2180" priority="4" stopIfTrue="1">
      <formula>$AM344</formula>
    </cfRule>
  </conditionalFormatting>
  <conditionalFormatting sqref="Q329:R329">
    <cfRule type="expression" dxfId="2179" priority="2" stopIfTrue="1">
      <formula>$K329&lt;&gt;"A dos elementos"</formula>
    </cfRule>
  </conditionalFormatting>
  <conditionalFormatting sqref="N329:U329">
    <cfRule type="expression" dxfId="2178"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87C06B72-21BB-4954-BA71-02AC14CC6A4C}">
          <x14:formula1>
            <xm:f>'Tablas Técnicas'!$O$117:$O$146</xm:f>
          </x14:formula1>
          <xm:sqref>F21:J23 F55:J57 F89:J91 F123:J125 F157:J159 F192:J194 F226:J228</xm:sqref>
        </x14:dataValidation>
        <x14:dataValidation type="list" allowBlank="1" showInputMessage="1" showErrorMessage="1" xr:uid="{00000000-0002-0000-0700-000010000000}">
          <x14:formula1>
            <xm:f>'Tablas Técnicas'!#REF!</xm:f>
          </x14:formula1>
          <xm:sqref>F328:J330 F260:J262 F294:J296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Y103"/>
  <sheetViews>
    <sheetView zoomScaleNormal="100" zoomScaleSheetLayoutView="40" workbookViewId="0">
      <selection activeCell="M6" sqref="M6:N6"/>
    </sheetView>
  </sheetViews>
  <sheetFormatPr baseColWidth="10" defaultColWidth="5.7109375" defaultRowHeight="12.75"/>
  <cols>
    <col min="1" max="1" width="1.7109375" style="313" customWidth="1"/>
    <col min="2" max="2" width="4.28515625" style="313" customWidth="1"/>
    <col min="3" max="18" width="6.7109375" style="313" customWidth="1"/>
    <col min="19" max="19" width="6.7109375" style="299" customWidth="1"/>
    <col min="20" max="20" width="4.42578125" style="352" customWidth="1"/>
    <col min="21" max="21" width="1.7109375" style="313" customWidth="1"/>
    <col min="22" max="22" width="3.85546875" style="313" customWidth="1"/>
    <col min="23" max="23" width="5.7109375" style="313"/>
    <col min="24" max="24" width="5.7109375" style="313" customWidth="1"/>
    <col min="25" max="16384" width="5.7109375" style="313"/>
  </cols>
  <sheetData>
    <row r="1" spans="1:25" ht="9" customHeight="1" thickBot="1">
      <c r="A1" s="311"/>
      <c r="B1" s="312"/>
      <c r="C1" s="312"/>
      <c r="D1" s="312"/>
      <c r="E1" s="312"/>
      <c r="F1" s="312"/>
      <c r="G1" s="312"/>
      <c r="H1" s="312"/>
      <c r="I1" s="312"/>
      <c r="J1" s="312"/>
      <c r="K1" s="312"/>
      <c r="L1" s="312"/>
      <c r="M1" s="312"/>
      <c r="N1" s="312"/>
      <c r="O1" s="312"/>
      <c r="P1" s="312"/>
      <c r="Q1" s="312"/>
      <c r="R1" s="312"/>
      <c r="S1" s="312"/>
      <c r="T1" s="1473"/>
      <c r="U1" s="1801"/>
      <c r="V1" s="2265" t="s">
        <v>8292</v>
      </c>
      <c r="W1" s="607"/>
      <c r="X1" s="607"/>
    </row>
    <row r="2" spans="1:25" ht="12" customHeight="1" thickBot="1">
      <c r="A2" s="311"/>
      <c r="B2" s="314"/>
      <c r="C2" s="315"/>
      <c r="D2" s="315"/>
      <c r="E2" s="315"/>
      <c r="F2" s="315"/>
      <c r="G2" s="315"/>
      <c r="H2" s="315"/>
      <c r="I2" s="315"/>
      <c r="J2" s="315"/>
      <c r="K2" s="315"/>
      <c r="L2" s="315"/>
      <c r="M2" s="315"/>
      <c r="N2" s="315"/>
      <c r="O2" s="315"/>
      <c r="P2" s="315"/>
      <c r="Q2" s="315"/>
      <c r="R2" s="315"/>
      <c r="S2" s="315"/>
      <c r="T2" s="1802"/>
      <c r="U2" s="1801"/>
      <c r="V2" s="607"/>
      <c r="W2" s="607"/>
      <c r="X2" s="607"/>
    </row>
    <row r="3" spans="1:25" ht="12" customHeight="1" thickBot="1">
      <c r="A3" s="311"/>
      <c r="B3" s="316"/>
      <c r="C3" s="2101"/>
      <c r="D3" s="4197" t="s">
        <v>9687</v>
      </c>
      <c r="E3" s="4197"/>
      <c r="F3" s="4197"/>
      <c r="G3" s="1472"/>
      <c r="H3" s="1472"/>
      <c r="I3" s="1472"/>
      <c r="J3" s="6249" t="str">
        <f>"Sheele"&amp;CHAR(10)&amp;IFERROR(VLOOKUP(Sheele!M5,'Tablas Sheele'!C5:G35,5,FALSE),"")</f>
        <v>Sheele
Haley</v>
      </c>
      <c r="K3" s="6249"/>
      <c r="L3" s="6249"/>
      <c r="M3" s="2464"/>
      <c r="N3" s="2464"/>
      <c r="O3" s="2464"/>
      <c r="P3" s="1472"/>
      <c r="Q3" s="1472"/>
      <c r="R3" s="1472"/>
      <c r="S3" s="2596"/>
      <c r="T3" s="4206" t="s">
        <v>56</v>
      </c>
      <c r="U3" s="1801"/>
      <c r="V3" s="607"/>
      <c r="W3" s="607"/>
      <c r="X3" s="607"/>
    </row>
    <row r="4" spans="1:25" ht="12" customHeight="1" thickBot="1">
      <c r="A4" s="311"/>
      <c r="B4" s="316"/>
      <c r="C4" s="2597"/>
      <c r="D4" s="4198"/>
      <c r="E4" s="4198"/>
      <c r="F4" s="4198"/>
      <c r="G4" s="6246" t="s">
        <v>1186</v>
      </c>
      <c r="H4" s="6246"/>
      <c r="I4" s="2594">
        <f>VALUE(PDs!R17)</f>
        <v>1</v>
      </c>
      <c r="J4" s="6250"/>
      <c r="K4" s="6250"/>
      <c r="L4" s="6250"/>
      <c r="M4" s="5659" t="s">
        <v>2633</v>
      </c>
      <c r="N4" s="6133"/>
      <c r="O4" s="6134" t="s">
        <v>2634</v>
      </c>
      <c r="P4" s="6133"/>
      <c r="Q4" s="6247" t="s">
        <v>9996</v>
      </c>
      <c r="R4" s="5689"/>
      <c r="S4" s="2465"/>
      <c r="T4" s="4206" t="s">
        <v>13741</v>
      </c>
      <c r="U4" s="1801"/>
      <c r="V4" s="607"/>
      <c r="W4" s="607"/>
      <c r="X4" s="607"/>
    </row>
    <row r="5" spans="1:25" ht="12" customHeight="1" thickBot="1">
      <c r="A5" s="311"/>
      <c r="B5" s="316"/>
      <c r="C5" s="2597"/>
      <c r="D5" s="4198"/>
      <c r="E5" s="4198"/>
      <c r="F5" s="4198"/>
      <c r="G5" s="6246" t="s">
        <v>9152</v>
      </c>
      <c r="H5" s="6246"/>
      <c r="I5" s="2595">
        <f>ROUNDUP(IF(I4=0,5,10*I4)/2,0)</f>
        <v>5</v>
      </c>
      <c r="J5" s="6250"/>
      <c r="K5" s="6250"/>
      <c r="L5" s="6250"/>
      <c r="M5" s="6135" t="s">
        <v>1461</v>
      </c>
      <c r="N5" s="6136"/>
      <c r="O5" s="6137" t="s">
        <v>1241</v>
      </c>
      <c r="P5" s="6136"/>
      <c r="Q5" s="6137" t="s">
        <v>2422</v>
      </c>
      <c r="R5" s="6248"/>
      <c r="S5" s="2465"/>
      <c r="T5" s="1803"/>
      <c r="U5" s="1801"/>
      <c r="V5" s="4212" t="s">
        <v>9997</v>
      </c>
      <c r="W5" s="607"/>
      <c r="X5" s="607" t="b">
        <f>NOT(Q5="No (No oficial)")</f>
        <v>1</v>
      </c>
    </row>
    <row r="6" spans="1:25" ht="12" customHeight="1">
      <c r="A6" s="311"/>
      <c r="B6" s="316"/>
      <c r="C6" s="2597"/>
      <c r="D6" s="4198"/>
      <c r="E6" s="4198"/>
      <c r="F6" s="4198"/>
      <c r="G6" s="4193"/>
      <c r="H6" s="4193"/>
      <c r="I6" s="1297"/>
      <c r="J6" s="6250"/>
      <c r="K6" s="6250"/>
      <c r="L6" s="6250"/>
      <c r="M6" s="6019"/>
      <c r="N6" s="6019"/>
      <c r="O6" s="4194"/>
      <c r="P6" s="1297"/>
      <c r="Q6" s="1297"/>
      <c r="R6" s="1297"/>
      <c r="S6" s="4199"/>
      <c r="T6" s="1803"/>
      <c r="U6" s="1801"/>
      <c r="V6" s="607" t="str">
        <f>"Mejoras_"&amp;M5</f>
        <v>Mejoras_Aire</v>
      </c>
      <c r="W6" s="607"/>
      <c r="X6" s="607"/>
    </row>
    <row r="7" spans="1:25" ht="12" customHeight="1" thickBot="1">
      <c r="A7" s="311"/>
      <c r="B7" s="316"/>
      <c r="C7" s="4200"/>
      <c r="D7" s="4196"/>
      <c r="E7" s="4196"/>
      <c r="F7" s="4196"/>
      <c r="G7" s="4201"/>
      <c r="H7" s="4201"/>
      <c r="I7" s="4202"/>
      <c r="J7" s="4203"/>
      <c r="K7" s="4203"/>
      <c r="L7" s="4203"/>
      <c r="M7" s="4204"/>
      <c r="N7" s="4204"/>
      <c r="O7" s="4204"/>
      <c r="P7" s="4202"/>
      <c r="Q7" s="4202"/>
      <c r="R7" s="4202"/>
      <c r="S7" s="4205"/>
      <c r="T7" s="4195"/>
      <c r="U7" s="1801"/>
      <c r="V7" s="607"/>
      <c r="W7" s="607"/>
      <c r="X7" s="607"/>
      <c r="Y7" s="607"/>
    </row>
    <row r="8" spans="1:25" ht="12" customHeight="1" thickBot="1">
      <c r="A8" s="311"/>
      <c r="B8" s="316"/>
      <c r="T8" s="1803"/>
      <c r="U8" s="1801"/>
      <c r="V8" s="607"/>
      <c r="W8" s="607"/>
      <c r="X8" s="607"/>
      <c r="Y8" s="607"/>
    </row>
    <row r="9" spans="1:25" ht="12" customHeight="1" thickBot="1">
      <c r="A9" s="311"/>
      <c r="B9" s="316"/>
      <c r="C9" s="6127" t="s">
        <v>1224</v>
      </c>
      <c r="D9" s="317"/>
      <c r="E9" s="2466" t="s">
        <v>1225</v>
      </c>
      <c r="F9" s="2467" t="s">
        <v>1226</v>
      </c>
      <c r="G9" s="2468" t="s">
        <v>1209</v>
      </c>
      <c r="H9" s="2469" t="s">
        <v>1227</v>
      </c>
      <c r="J9" s="5659" t="s">
        <v>1229</v>
      </c>
      <c r="K9" s="5662"/>
      <c r="L9" s="5663"/>
      <c r="N9" s="6029" t="s">
        <v>1254</v>
      </c>
      <c r="O9" s="6030"/>
      <c r="P9" s="6030"/>
      <c r="Q9" s="6094" t="s">
        <v>6156</v>
      </c>
      <c r="R9" s="6094"/>
      <c r="S9" s="2056">
        <f>IF(VALUE($I$4)&lt;2,0,5*($I$4-1)-SUMIF(R11:R115,"&gt;0"))</f>
        <v>0</v>
      </c>
      <c r="T9" s="1803"/>
      <c r="U9" s="1801"/>
      <c r="V9" s="607" t="s">
        <v>9953</v>
      </c>
      <c r="W9" s="607"/>
      <c r="X9" s="607">
        <f>IFERROR(VLOOKUP("Hab. Mejoradas ("&amp;SUBSTITUTE(SUBSTITUTE(M5,"Naturaleza","Nat."),"Oscuridad","Osc.")&amp;")",'Tablas Sheele'!$C$134:$F$221,4,0),0)</f>
        <v>0</v>
      </c>
      <c r="Y9" s="607"/>
    </row>
    <row r="10" spans="1:25" ht="12" customHeight="1">
      <c r="A10" s="311"/>
      <c r="B10" s="316"/>
      <c r="C10" s="6128"/>
      <c r="D10" s="318" t="s">
        <v>1233</v>
      </c>
      <c r="E10" s="2470">
        <f>HLOOKUP($M$5,'Tablas Sheele'!$G$40:$AK$48,'Tablas Sheele'!E41,)</f>
        <v>8</v>
      </c>
      <c r="F10" s="1977"/>
      <c r="G10" s="2463">
        <f>E10+'Tablas Sheele'!D41+IF(OR('Tablas Sheele'!F166&gt;0,'Tablas Sheele'!F429=1),2,0)+F10</f>
        <v>8</v>
      </c>
      <c r="H10" s="466">
        <f>IF(G10&lt;1,0,VLOOKUP(G10,Tablas!$C$14:$D$33,2))</f>
        <v>10</v>
      </c>
      <c r="I10" s="299"/>
      <c r="J10" s="6095">
        <f>IF('Tablas Sheele'!F131&gt;0, L28*4, L28*2)+IF('Tablas Sheele'!F172&gt;0,250,0)</f>
        <v>60</v>
      </c>
      <c r="K10" s="6098"/>
      <c r="L10" s="6099"/>
      <c r="M10" s="607">
        <f>MATCH(J15,INDEX(Tabla_Regen,,2),0)</f>
        <v>1</v>
      </c>
      <c r="N10" s="324" t="s">
        <v>1258</v>
      </c>
      <c r="O10" s="6043" t="s">
        <v>1235</v>
      </c>
      <c r="P10" s="6044"/>
      <c r="Q10" s="2454" t="s">
        <v>1225</v>
      </c>
      <c r="R10" s="2146" t="s">
        <v>2651</v>
      </c>
      <c r="S10" s="2060" t="s">
        <v>1209</v>
      </c>
      <c r="T10" s="1803"/>
      <c r="U10" s="1801"/>
      <c r="V10" s="4190" t="s">
        <v>8164</v>
      </c>
      <c r="W10" s="4190" t="s">
        <v>2456</v>
      </c>
      <c r="X10" s="4190" t="s">
        <v>6855</v>
      </c>
      <c r="Y10" s="607"/>
    </row>
    <row r="11" spans="1:25" ht="12" customHeight="1">
      <c r="A11" s="311"/>
      <c r="B11" s="316"/>
      <c r="C11" s="6128"/>
      <c r="D11" s="318" t="s">
        <v>1357</v>
      </c>
      <c r="E11" s="2470">
        <f>HLOOKUP($M$5,'Tablas Sheele'!$G$40:$AK$48,'Tablas Sheele'!E42,)</f>
        <v>2</v>
      </c>
      <c r="F11" s="1978"/>
      <c r="G11" s="2463">
        <f>E11+'Tablas Sheele'!D42+IF('Tablas Sheele'!F226=1,2,0)+F11</f>
        <v>2</v>
      </c>
      <c r="H11" s="466">
        <f>IF(G11&lt;1,0,VLOOKUP(G11,Tablas!$C$14:$D$33,2))</f>
        <v>-20</v>
      </c>
      <c r="I11" s="299"/>
      <c r="J11" s="6096"/>
      <c r="K11" s="6100"/>
      <c r="L11" s="6101"/>
      <c r="N11" s="4321" t="s">
        <v>1263</v>
      </c>
      <c r="O11" s="4337" t="s">
        <v>1264</v>
      </c>
      <c r="P11" s="4337"/>
      <c r="Q11" s="1327">
        <f>IF(HLOOKUP(Sheele!$M$5,'Tablas Sheele'!$C$53:$AH$111,'Tablas Sheele'!B54,FALSE)=0,"",HLOOKUP(Sheele!$M$5,'Tablas Sheele'!$C$53:$AH$111,'Tablas Sheele'!B54,FALSE)+IF($X$9&gt;0,40+20*($X$9-1),0)+V11)</f>
        <v>60</v>
      </c>
      <c r="R11" s="1981"/>
      <c r="S11" s="422">
        <f>IF(W11,IF(OR(X11&lt;0,AND(Principal!Q22="-",$X$5)),"-",IF($X$5,MIN(Principal!Q22,X11),X11)),X11)</f>
        <v>60</v>
      </c>
      <c r="T11" s="1803"/>
      <c r="U11" s="1801"/>
      <c r="V11" s="4190">
        <f>IF('Tablas Sheele'!$F$429=1,40,0)</f>
        <v>0</v>
      </c>
      <c r="W11" s="4190"/>
      <c r="X11" s="4190">
        <f t="shared" ref="X11:X42" si="0">IF(AND(Q11="",R11=""),-30,IF(Q11="",0,Q11)+10*R11)</f>
        <v>60</v>
      </c>
      <c r="Y11" s="607"/>
    </row>
    <row r="12" spans="1:25" ht="12" customHeight="1" thickBot="1">
      <c r="A12" s="311"/>
      <c r="B12" s="316"/>
      <c r="C12" s="6128"/>
      <c r="D12" s="318" t="s">
        <v>1238</v>
      </c>
      <c r="E12" s="2470">
        <f>HLOOKUP($M$5,'Tablas Sheele'!$G$40:$AK$48,'Tablas Sheele'!E43,)</f>
        <v>8</v>
      </c>
      <c r="F12" s="1978"/>
      <c r="G12" s="2463">
        <f>E12+'Tablas Sheele'!D43+IF(OR('Tablas Sheele'!F166&gt;0,'Tablas Sheele'!F429=1,'Tablas Sheele'!F226=1,'Tablas Sheele'!F450=1),2,0)+F12</f>
        <v>8</v>
      </c>
      <c r="H12" s="466">
        <f>IF(G12&lt;1,0,VLOOKUP(G12,Tablas!$C$14:$D$33,2))</f>
        <v>10</v>
      </c>
      <c r="J12" s="6097"/>
      <c r="K12" s="6102"/>
      <c r="L12" s="6103"/>
      <c r="N12" s="4322"/>
      <c r="O12" s="4306" t="s">
        <v>1265</v>
      </c>
      <c r="P12" s="4306"/>
      <c r="Q12" s="1327" t="str">
        <f>IF(HLOOKUP(Sheele!$M$5,'Tablas Sheele'!$C$53:$AH$111,'Tablas Sheele'!B55,FALSE)=0,"",HLOOKUP(Sheele!$M$5,'Tablas Sheele'!$C$53:$AH$111,'Tablas Sheele'!B55,FALSE)+IF($X$9&gt;0,40+20*($X$9-1),0)+V12)</f>
        <v/>
      </c>
      <c r="R12" s="1982"/>
      <c r="S12" s="422">
        <f>IF(W12,IF(OR(X12&lt;0,AND(Principal!Q23="-",$X$5)),"-",IF($X$5,MIN(Principal!Q23,X12),X12)),X12)</f>
        <v>-30</v>
      </c>
      <c r="T12" s="1803"/>
      <c r="U12" s="1801"/>
      <c r="V12" s="4190">
        <f>IF('Tablas Sheele'!$F$429=1,40,0)</f>
        <v>0</v>
      </c>
      <c r="W12" s="4190"/>
      <c r="X12" s="4190">
        <f t="shared" si="0"/>
        <v>-30</v>
      </c>
      <c r="Y12" s="607"/>
    </row>
    <row r="13" spans="1:25" ht="12" customHeight="1" thickBot="1">
      <c r="A13" s="311"/>
      <c r="B13" s="262"/>
      <c r="C13" s="6128"/>
      <c r="D13" s="318" t="s">
        <v>1243</v>
      </c>
      <c r="E13" s="2470">
        <f>HLOOKUP($M$5,'Tablas Sheele'!$G$40:$AK$48,'Tablas Sheele'!E44,)</f>
        <v>2</v>
      </c>
      <c r="F13" s="1978"/>
      <c r="G13" s="2463">
        <f>E13+'Tablas Sheele'!D44+IF('Tablas Sheele'!F166&gt;0,2,0)+IF('Tablas Sheele'!F226=1,2,0)+F13</f>
        <v>2</v>
      </c>
      <c r="H13" s="466">
        <f>IF(G13&lt;1,0,VLOOKUP(G13,Tablas!$C$14:$D$33,2))</f>
        <v>-20</v>
      </c>
      <c r="I13" s="299"/>
      <c r="J13" s="304"/>
      <c r="K13" s="304"/>
      <c r="L13" s="304"/>
      <c r="N13" s="4322"/>
      <c r="O13" s="4306" t="s">
        <v>1268</v>
      </c>
      <c r="P13" s="4306"/>
      <c r="Q13" s="1327" t="str">
        <f>IF(HLOOKUP(Sheele!$M$5,'Tablas Sheele'!$C$53:$AH$111,'Tablas Sheele'!B56,FALSE)=0,"",HLOOKUP(Sheele!$M$5,'Tablas Sheele'!$C$53:$AH$111,'Tablas Sheele'!B56,FALSE)+IF($X$9&gt;0,40+20*($X$9-1),0)+V13)</f>
        <v/>
      </c>
      <c r="R13" s="1982"/>
      <c r="S13" s="422">
        <f>IF(W13,IF(OR(X13&lt;0,AND(Principal!Q24="-",$X$5)),"-",IF($X$5,MIN(Principal!Q24,X13),X13)),X13)</f>
        <v>-30</v>
      </c>
      <c r="T13" s="1803"/>
      <c r="U13" s="1801"/>
      <c r="V13" s="4190">
        <f>IF('Tablas Sheele'!$F$429=1,40,0)</f>
        <v>0</v>
      </c>
      <c r="W13" s="4190"/>
      <c r="X13" s="4190">
        <f t="shared" si="0"/>
        <v>-30</v>
      </c>
      <c r="Y13" s="607"/>
    </row>
    <row r="14" spans="1:25" ht="12" customHeight="1" thickBot="1">
      <c r="A14" s="311"/>
      <c r="B14" s="319"/>
      <c r="C14" s="6128"/>
      <c r="D14" s="318" t="s">
        <v>1245</v>
      </c>
      <c r="E14" s="2470">
        <f>HLOOKUP($M$5,'Tablas Sheele'!$G$40:$AK$48,'Tablas Sheele'!E45,)</f>
        <v>8</v>
      </c>
      <c r="F14" s="1978"/>
      <c r="G14" s="2463">
        <f>E14+'Tablas Sheele'!D45+IF(OR('Tablas Sheele'!F275=1,'Tablas Sheele'!F306=1,'Tablas Sheele'!F418=1,'Tablas Sheele'!F317=1),2,0)+IF('Tablas Sheele'!F440,3,0)+F14</f>
        <v>8</v>
      </c>
      <c r="H14" s="466">
        <f>IF(G14&lt;1,0,VLOOKUP(G14,Tablas!$C$14:$D$33,2))</f>
        <v>10</v>
      </c>
      <c r="J14" s="5659" t="s">
        <v>1228</v>
      </c>
      <c r="K14" s="5662"/>
      <c r="L14" s="5663"/>
      <c r="N14" s="4322"/>
      <c r="O14" s="4306" t="s">
        <v>1272</v>
      </c>
      <c r="P14" s="4306"/>
      <c r="Q14" s="1327" t="str">
        <f>IF(HLOOKUP(Sheele!$M$5,'Tablas Sheele'!$C$53:$AH$111,'Tablas Sheele'!B57,FALSE)=0,"",HLOOKUP(Sheele!$M$5,'Tablas Sheele'!$C$53:$AH$111,'Tablas Sheele'!B57,FALSE)+IF($X$9&gt;0,40+20*($X$9-1),0)+V14)</f>
        <v/>
      </c>
      <c r="R14" s="1982"/>
      <c r="S14" s="422">
        <f>IF(W14,IF(OR(X14&lt;0,AND(Principal!Q25="-",$X$5)),"-",IF($X$5,MIN(Principal!Q25,X14),X14)),X14)</f>
        <v>-30</v>
      </c>
      <c r="T14" s="1803"/>
      <c r="U14" s="1801"/>
      <c r="V14" s="4190">
        <f>IF('Tablas Sheele'!$F$429=1,40,0)</f>
        <v>0</v>
      </c>
      <c r="W14" s="4190"/>
      <c r="X14" s="4190">
        <f t="shared" si="0"/>
        <v>-30</v>
      </c>
      <c r="Y14" s="607"/>
    </row>
    <row r="15" spans="1:25" ht="12" customHeight="1">
      <c r="A15" s="311"/>
      <c r="B15" s="319"/>
      <c r="C15" s="6128"/>
      <c r="D15" s="318" t="s">
        <v>1248</v>
      </c>
      <c r="E15" s="2470">
        <f>HLOOKUP($M$5,'Tablas Sheele'!$G$40:$AK$48,'Tablas Sheele'!E46,)</f>
        <v>6</v>
      </c>
      <c r="F15" s="1978"/>
      <c r="G15" s="2463">
        <f>E15+'Tablas Sheele'!D46+IF('Tablas Sheele'!F407=1,2,0)+F15</f>
        <v>6</v>
      </c>
      <c r="H15" s="466">
        <f>IF(G15&lt;1,0,VLOOKUP(G15,Tablas!$C$14:$D$33,2))</f>
        <v>5</v>
      </c>
      <c r="J15" s="6031">
        <f>MIN(20,VLOOKUP(G11,Tablas!C37:G65,2)+L17)</f>
        <v>0</v>
      </c>
      <c r="K15" s="6033" t="str">
        <f>IF(M5='Tablas Sheele'!C11,"5 PV / asalto",IF('Tablas Sheele'!F155&gt;0,"10 PV / asalto",INDEX(Tablas!I38:I65,M10)&amp;INDEX(Tabla_Regen,M10,4)))</f>
        <v>Ninguna</v>
      </c>
      <c r="L15" s="6034"/>
      <c r="N15" s="4322"/>
      <c r="O15" s="4306" t="s">
        <v>1275</v>
      </c>
      <c r="P15" s="4306"/>
      <c r="Q15" s="1327" t="str">
        <f>IF(HLOOKUP(Sheele!$M$5,'Tablas Sheele'!$C$53:$AH$111,'Tablas Sheele'!B58,FALSE)=0,"",HLOOKUP(Sheele!$M$5,'Tablas Sheele'!$C$53:$AH$111,'Tablas Sheele'!B58,FALSE)+IF($X$9&gt;0,40+20*($X$9-1),0)+V15)</f>
        <v/>
      </c>
      <c r="R15" s="1982"/>
      <c r="S15" s="422">
        <f>IF(W15,IF(OR(X15&lt;0,AND(Principal!Q26="-",$X$5)),"-",IF($X$5,MIN(Principal!Q26,X15),X15)),X15)</f>
        <v>-30</v>
      </c>
      <c r="T15" s="1803"/>
      <c r="U15" s="1801"/>
      <c r="V15" s="4190">
        <f>IF('Tablas Sheele'!$F$429=1,40,0)</f>
        <v>0</v>
      </c>
      <c r="W15" s="4190"/>
      <c r="X15" s="4190">
        <f t="shared" si="0"/>
        <v>-30</v>
      </c>
      <c r="Y15" s="607"/>
    </row>
    <row r="16" spans="1:25" ht="12" customHeight="1">
      <c r="A16" s="311"/>
      <c r="B16" s="319"/>
      <c r="C16" s="6128"/>
      <c r="D16" s="318" t="s">
        <v>1250</v>
      </c>
      <c r="E16" s="1520">
        <f>HLOOKUP($M$5,'Tablas Sheele'!$G$40:$AK$48,'Tablas Sheele'!E47,)</f>
        <v>8</v>
      </c>
      <c r="F16" s="1979"/>
      <c r="G16" s="2463">
        <f>E16+'Tablas Sheele'!D47+IF(OR('Tablas Sheele'!F241=1,'Tablas Sheele'!F340=1,,'Tablas Sheele'!F384=1),2,0)+F16</f>
        <v>8</v>
      </c>
      <c r="H16" s="466">
        <f>IF(G16&lt;1,0,VLOOKUP(G16,Tablas!$C$14:$D$33,2))</f>
        <v>10</v>
      </c>
      <c r="J16" s="6032"/>
      <c r="K16" s="6193" t="str">
        <f>VLOOKUP(J15,Tablas!D38:G65,4)</f>
        <v>Ninguna</v>
      </c>
      <c r="L16" s="6194"/>
      <c r="N16" s="4322"/>
      <c r="O16" s="4306" t="s">
        <v>1278</v>
      </c>
      <c r="P16" s="4306"/>
      <c r="Q16" s="1327" t="str">
        <f>IF(HLOOKUP(Sheele!$M$5,'Tablas Sheele'!$C$53:$AH$111,'Tablas Sheele'!B59,FALSE)=0,"",HLOOKUP(Sheele!$M$5,'Tablas Sheele'!$C$53:$AH$111,'Tablas Sheele'!B59,FALSE)+IF($X$9&gt;0,40+20*($X$9-1),0)+V16)</f>
        <v/>
      </c>
      <c r="R16" s="1982"/>
      <c r="S16" s="422">
        <f>IF(W16,IF(OR(X16&lt;0,AND(Principal!Q27="-",$X$5)),"-",IF($X$5,MIN(Principal!Q27,X16),X16)),X16)</f>
        <v>-30</v>
      </c>
      <c r="T16" s="1803"/>
      <c r="U16" s="1801"/>
      <c r="V16" s="4190">
        <f>IF('Tablas Sheele'!$F$429=1,40,0)</f>
        <v>0</v>
      </c>
      <c r="W16" s="4190"/>
      <c r="X16" s="4190">
        <f t="shared" si="0"/>
        <v>-30</v>
      </c>
      <c r="Y16" s="607"/>
    </row>
    <row r="17" spans="1:25" ht="12" customHeight="1" thickBot="1">
      <c r="A17" s="311"/>
      <c r="B17" s="319"/>
      <c r="C17" s="6129"/>
      <c r="D17" s="320" t="s">
        <v>1251</v>
      </c>
      <c r="E17" s="2471">
        <f>HLOOKUP($M$5,'Tablas Sheele'!$G$40:$AK$48,'Tablas Sheele'!E48,)</f>
        <v>6</v>
      </c>
      <c r="F17" s="1980"/>
      <c r="G17" s="321">
        <f>E17+'Tablas Sheele'!D48+IF(OR('Tablas Sheele'!F241=1,'Tablas Sheele'!F384=1),2,0)+F17</f>
        <v>6</v>
      </c>
      <c r="H17" s="467">
        <f>IF(G17&lt;1,0,VLOOKUP(G17,Tablas!$C$14:$D$33,2))</f>
        <v>5</v>
      </c>
      <c r="J17" s="4586" t="s">
        <v>1239</v>
      </c>
      <c r="K17" s="4385"/>
      <c r="L17" s="2019"/>
      <c r="N17" s="4323"/>
      <c r="O17" s="6092" t="s">
        <v>5858</v>
      </c>
      <c r="P17" s="6093"/>
      <c r="Q17" s="2472" t="str">
        <f>IF(HLOOKUP(Sheele!$M$5,'Tablas Sheele'!$C$53:$AH$111,'Tablas Sheele'!B60,FALSE)=0,"",HLOOKUP(Sheele!$M$5,'Tablas Sheele'!$C$53:$AH$111,'Tablas Sheele'!B60,FALSE)+IF($X$9&gt;0,40+20*($X$9-1),0)+V17)</f>
        <v/>
      </c>
      <c r="R17" s="1983"/>
      <c r="S17" s="2473">
        <f>IF(W17,IF(OR(X17&lt;0,AND(Principal!Q28="-",$X$5)),"-",IF($X$5,MIN(Principal!Q28,X17),X17)),X17)</f>
        <v>-30</v>
      </c>
      <c r="T17" s="1803"/>
      <c r="U17" s="1801"/>
      <c r="V17" s="4190">
        <f>IF('Tablas Sheele'!$F$429=1,40,0)</f>
        <v>0</v>
      </c>
      <c r="W17" s="4190"/>
      <c r="X17" s="4190">
        <f t="shared" si="0"/>
        <v>-30</v>
      </c>
      <c r="Y17" s="607"/>
    </row>
    <row r="18" spans="1:25" ht="12" customHeight="1" thickBot="1">
      <c r="A18" s="311"/>
      <c r="B18" s="319"/>
      <c r="N18" s="4322" t="s">
        <v>1281</v>
      </c>
      <c r="O18" s="4306" t="s">
        <v>1282</v>
      </c>
      <c r="P18" s="4306"/>
      <c r="Q18" s="1327" t="str">
        <f>IF(HLOOKUP(Sheele!$M$5,'Tablas Sheele'!$C$53:$AH$111,'Tablas Sheele'!B61,FALSE)=0,"",HLOOKUP(Sheele!$M$5,'Tablas Sheele'!$C$53:$AH$111,'Tablas Sheele'!B61,FALSE)+IF($X$9&gt;0,40+20*($X$9-1),0)+V18)</f>
        <v/>
      </c>
      <c r="R18" s="1981"/>
      <c r="S18" s="422">
        <f>IF(W18,IF(OR(X18&lt;0,AND(Principal!Q29="-",$X$5)),"-",IF($X$5,MIN(Principal!Q29,X18),X18)),X18)</f>
        <v>-30</v>
      </c>
      <c r="T18" s="1803"/>
      <c r="U18" s="1801"/>
      <c r="V18" s="4190">
        <f>IF('Tablas Sheele'!F356&gt;0,80,0)</f>
        <v>0</v>
      </c>
      <c r="W18" s="4190"/>
      <c r="X18" s="4190">
        <f t="shared" si="0"/>
        <v>-30</v>
      </c>
      <c r="Y18" s="607"/>
    </row>
    <row r="19" spans="1:25" ht="12" customHeight="1" thickBot="1">
      <c r="A19" s="311"/>
      <c r="B19" s="319"/>
      <c r="C19" s="4352" t="s">
        <v>7956</v>
      </c>
      <c r="D19" s="4317"/>
      <c r="E19" s="4317"/>
      <c r="F19" s="4317"/>
      <c r="G19" s="4317"/>
      <c r="H19" s="4318"/>
      <c r="J19" s="6195" t="s">
        <v>1246</v>
      </c>
      <c r="K19" s="6196"/>
      <c r="L19" s="6197"/>
      <c r="N19" s="4322"/>
      <c r="O19" s="4306" t="s">
        <v>1284</v>
      </c>
      <c r="P19" s="4306"/>
      <c r="Q19" s="1327" t="str">
        <f>IF(HLOOKUP(Sheele!$M$5,'Tablas Sheele'!$C$53:$AH$111,'Tablas Sheele'!B62,FALSE)=0,"",HLOOKUP(Sheele!$M$5,'Tablas Sheele'!$C$53:$AH$111,'Tablas Sheele'!B62,FALSE)+IF($X$9&gt;0,40+20*($X$9-1),0)+V19)</f>
        <v/>
      </c>
      <c r="R19" s="1982"/>
      <c r="S19" s="422">
        <f>IF(W19,IF(OR(X19&lt;0,AND(Principal!Q30="-",$X$5)),"-",IF($X$5,MIN(Principal!Q30,X19),X19)),X19)</f>
        <v>-30</v>
      </c>
      <c r="T19" s="1803"/>
      <c r="U19" s="1801"/>
      <c r="V19" s="4190"/>
      <c r="W19" s="4190"/>
      <c r="X19" s="4190">
        <f t="shared" si="0"/>
        <v>-30</v>
      </c>
      <c r="Y19" s="607"/>
    </row>
    <row r="20" spans="1:25" ht="12" customHeight="1">
      <c r="A20" s="311"/>
      <c r="B20" s="319"/>
      <c r="C20" s="4355" t="str">
        <f>INDEX(Tabla_Regen,MATCH($J$15,INDEX(Tabla_Regen,,2),0),6)</f>
        <v/>
      </c>
      <c r="D20" s="4356"/>
      <c r="E20" s="4356"/>
      <c r="F20" s="4356"/>
      <c r="G20" s="4356"/>
      <c r="H20" s="4357"/>
      <c r="J20" s="6138">
        <f>MIN(20,G10+L26)</f>
        <v>8</v>
      </c>
      <c r="K20" s="6191" t="s">
        <v>1436</v>
      </c>
      <c r="L20" s="6192"/>
      <c r="N20" s="4322"/>
      <c r="O20" s="4306" t="s">
        <v>1287</v>
      </c>
      <c r="P20" s="4306"/>
      <c r="Q20" s="1327" t="str">
        <f>IF(HLOOKUP(Sheele!$M$5,'Tablas Sheele'!$C$53:$AH$111,'Tablas Sheele'!B63,FALSE)=0,"",HLOOKUP(Sheele!$M$5,'Tablas Sheele'!$C$53:$AH$111,'Tablas Sheele'!B63,FALSE)+IF($X$9&gt;0,40+20*($X$9-1),0)+V20)</f>
        <v/>
      </c>
      <c r="R20" s="1982"/>
      <c r="S20" s="422">
        <f>IF(W20,IF(OR(X20&lt;0,AND(Principal!Q31="-",$X$5)),"-",IF($X$5,MIN(Principal!Q31,X20),X20)),X20)</f>
        <v>-30</v>
      </c>
      <c r="T20" s="1803"/>
      <c r="U20" s="1801"/>
      <c r="V20" s="4190"/>
      <c r="W20" s="4190"/>
      <c r="X20" s="4190">
        <f t="shared" si="0"/>
        <v>-30</v>
      </c>
      <c r="Y20" s="607"/>
    </row>
    <row r="21" spans="1:25" ht="12" customHeight="1" thickBot="1">
      <c r="A21" s="311"/>
      <c r="B21" s="319"/>
      <c r="C21" s="4358"/>
      <c r="D21" s="4359"/>
      <c r="E21" s="4359"/>
      <c r="F21" s="4359"/>
      <c r="G21" s="4359"/>
      <c r="H21" s="4360"/>
      <c r="J21" s="6138"/>
      <c r="K21" s="6189" t="str">
        <f>IF(J20&lt;1,"",VLOOKUP(J20,Tabla_TipoMovimiento,2,FALSE))</f>
        <v>28 m / asalto</v>
      </c>
      <c r="L21" s="6190"/>
      <c r="N21" s="4322"/>
      <c r="O21" s="4306" t="s">
        <v>1289</v>
      </c>
      <c r="P21" s="4306"/>
      <c r="Q21" s="1327" t="str">
        <f>IF(HLOOKUP(Sheele!$M$5,'Tablas Sheele'!$C$53:$AH$111,'Tablas Sheele'!B64,FALSE)=0,"",HLOOKUP(Sheele!$M$5,'Tablas Sheele'!$C$53:$AH$111,'Tablas Sheele'!B64,FALSE)+IF($X$9&gt;0,40+20*($X$9-1),0)+V21)</f>
        <v/>
      </c>
      <c r="R21" s="1982"/>
      <c r="S21" s="422">
        <f>IF(W21,IF(OR(X21&lt;0,AND(Principal!Q32="-",$X$5)),"-",IF($X$5,MIN(Principal!Q32,X21),X21)),X21)</f>
        <v>-30</v>
      </c>
      <c r="T21" s="1803"/>
      <c r="U21" s="1801"/>
      <c r="V21" s="4190">
        <f>IF('Tablas Sheele'!F317&gt;0,40,0)</f>
        <v>0</v>
      </c>
      <c r="W21" s="4190"/>
      <c r="X21" s="4190">
        <f t="shared" si="0"/>
        <v>-30</v>
      </c>
      <c r="Y21" s="607"/>
    </row>
    <row r="22" spans="1:25" ht="12" customHeight="1" thickBot="1">
      <c r="A22" s="311"/>
      <c r="B22" s="316"/>
      <c r="J22" s="6035">
        <f>MIN(20,IF('Tablas Sheele'!F140&gt;0,14,VLOOKUP(C71,'Tablas Sheele'!U116:AD283,10,FALSE))+L26+IF('Tablas Sheele'!F424=1,2))</f>
        <v>10</v>
      </c>
      <c r="K22" s="6027" t="s">
        <v>1480</v>
      </c>
      <c r="L22" s="6028"/>
      <c r="N22" s="4322"/>
      <c r="O22" s="4306" t="s">
        <v>685</v>
      </c>
      <c r="P22" s="4306"/>
      <c r="Q22" s="1327" t="str">
        <f>IF(HLOOKUP(Sheele!$M$5,'Tablas Sheele'!$C$53:$AH$111,'Tablas Sheele'!B65,FALSE)=0,"",HLOOKUP(Sheele!$M$5,'Tablas Sheele'!$C$53:$AH$111,'Tablas Sheele'!B65,FALSE)+IF($X$9&gt;0,40+20*($X$9-1),0)+V22)</f>
        <v/>
      </c>
      <c r="R22" s="1982"/>
      <c r="S22" s="422">
        <f>IF(W22,IF(OR(X22&lt;0,AND(Principal!Q33="-",$X$5)),"-",IF($X$5,MIN(Principal!Q33,X22),X22)),X22)</f>
        <v>-30</v>
      </c>
      <c r="T22" s="1803"/>
      <c r="U22" s="1801"/>
      <c r="V22" s="4190"/>
      <c r="W22" s="4190"/>
      <c r="X22" s="4190">
        <f t="shared" si="0"/>
        <v>-30</v>
      </c>
      <c r="Y22" s="607"/>
    </row>
    <row r="23" spans="1:25" ht="12" customHeight="1">
      <c r="A23" s="311"/>
      <c r="B23" s="316"/>
      <c r="C23" s="6071" t="s">
        <v>2647</v>
      </c>
      <c r="D23" s="6072"/>
      <c r="E23" s="6072"/>
      <c r="F23" s="6072"/>
      <c r="G23" s="6072"/>
      <c r="H23" s="6090">
        <f>IF(O5='Tablas Sheele'!L4,0,$I$4+IF($O$5='Tablas Sheele'!L6,2,0)+IF(Tablas!G397&gt;0,2,0)-COUNTIF(C25:H36,"*")-SUM($F$37:$F$40,$H$37:$H$40))</f>
        <v>0</v>
      </c>
      <c r="J23" s="6036"/>
      <c r="K23" s="6189" t="str">
        <f>IF(J22&lt;1,"",VLOOKUP(J22,Tabla_TipoMovimiento,2,FALSE))</f>
        <v>35 m / asalto</v>
      </c>
      <c r="L23" s="6190"/>
      <c r="N23" s="4322"/>
      <c r="O23" s="4306" t="s">
        <v>686</v>
      </c>
      <c r="P23" s="4306"/>
      <c r="Q23" s="1327" t="str">
        <f>IF(HLOOKUP(Sheele!$M$5,'Tablas Sheele'!$C$53:$AH$111,'Tablas Sheele'!B66,FALSE)=0,"",HLOOKUP(Sheele!$M$5,'Tablas Sheele'!$C$53:$AH$111,'Tablas Sheele'!B66,FALSE)+IF($X$9&gt;0,40+20*($X$9-1),0)+V23)</f>
        <v/>
      </c>
      <c r="R23" s="1982"/>
      <c r="S23" s="422">
        <f>IF(W23,IF(OR(X23&lt;0,AND(Principal!Q34="-",$X$5)),"-",IF($X$5,MIN(Principal!Q34,X23),X23)),X23)</f>
        <v>-30</v>
      </c>
      <c r="T23" s="1803"/>
      <c r="U23" s="1801"/>
      <c r="V23" s="4190"/>
      <c r="W23" s="4190"/>
      <c r="X23" s="4190">
        <f t="shared" si="0"/>
        <v>-30</v>
      </c>
      <c r="Y23" s="607"/>
    </row>
    <row r="24" spans="1:25" ht="12" customHeight="1">
      <c r="A24" s="311"/>
      <c r="B24" s="316"/>
      <c r="C24" s="6074"/>
      <c r="D24" s="6075"/>
      <c r="E24" s="6075"/>
      <c r="F24" s="6075"/>
      <c r="G24" s="6075"/>
      <c r="H24" s="6091"/>
      <c r="J24" s="6035" t="str">
        <f>IF('Tablas Sheele'!F151&gt;0,MIN(20,15+L26),IF(M5='Tablas Sheele'!C6,MIN(20,10+L26),IF('Tablas Sheele'!F176&gt;0,J20,"-")))</f>
        <v>-</v>
      </c>
      <c r="K24" s="6027" t="str">
        <f>IF(M5='Tablas Sheele'!C6,"Acuático",IF('Tablas Sheele'!F176&gt;0,"Subterráneo","Otros"))</f>
        <v>Otros</v>
      </c>
      <c r="L24" s="6028"/>
      <c r="N24" s="4322"/>
      <c r="O24" s="6092" t="s">
        <v>687</v>
      </c>
      <c r="P24" s="6093"/>
      <c r="Q24" s="2472" t="str">
        <f>IF(HLOOKUP(Sheele!$M$5,'Tablas Sheele'!$C$53:$AH$111,'Tablas Sheele'!B67,FALSE)=0,"",HLOOKUP(Sheele!$M$5,'Tablas Sheele'!$C$53:$AH$111,'Tablas Sheele'!B67,FALSE)+IF($X$9&gt;0,40+20*($X$9-1),0)+V24)</f>
        <v/>
      </c>
      <c r="R24" s="1984"/>
      <c r="S24" s="2473">
        <f>IF(W24,IF(OR(X24&lt;0,AND(Principal!Q35="-",$X$5)),"-",IF($X$5,MIN(Principal!Q35,X24),X24)),X24)</f>
        <v>-30</v>
      </c>
      <c r="T24" s="1803"/>
      <c r="U24" s="1801"/>
      <c r="V24" s="4190"/>
      <c r="W24" s="4190"/>
      <c r="X24" s="4190">
        <f t="shared" si="0"/>
        <v>-30</v>
      </c>
      <c r="Y24" s="607"/>
    </row>
    <row r="25" spans="1:25" ht="12" customHeight="1">
      <c r="A25" s="311"/>
      <c r="B25" s="316"/>
      <c r="C25" s="6245"/>
      <c r="D25" s="6025"/>
      <c r="E25" s="6025"/>
      <c r="F25" s="6024"/>
      <c r="G25" s="6025"/>
      <c r="H25" s="6026"/>
      <c r="J25" s="6036"/>
      <c r="K25" s="6189" t="str">
        <f>IF(J24="-","-",VLOOKUP(J24,Tabla_TipoMovimiento,2,FALSE))</f>
        <v>-</v>
      </c>
      <c r="L25" s="6190"/>
      <c r="N25" s="4321" t="s">
        <v>1290</v>
      </c>
      <c r="O25" s="4306" t="s">
        <v>1291</v>
      </c>
      <c r="P25" s="4306"/>
      <c r="Q25" s="1327">
        <f>IF(HLOOKUP(Sheele!$M$5,'Tablas Sheele'!$C$53:$AH$111,'Tablas Sheele'!B68,FALSE)=0,"",HLOOKUP(Sheele!$M$5,'Tablas Sheele'!$C$53:$AH$111,'Tablas Sheele'!B68,FALSE)+IF($X$9&gt;0,40+20*($X$9-1),0)+V25)</f>
        <v>30</v>
      </c>
      <c r="R25" s="1981"/>
      <c r="S25" s="422">
        <f>IF(W25,IF(OR(X25&lt;0,AND(Principal!Q36="-",$X$5)),"-",IF($X$5,MIN(Principal!Q36,X25),X25)),X25)</f>
        <v>30</v>
      </c>
      <c r="T25" s="1803"/>
      <c r="U25" s="1801"/>
      <c r="V25" s="4191">
        <f>IF('Tablas Sheele'!$F$184&gt;0,100,0)</f>
        <v>0</v>
      </c>
      <c r="W25" s="4190"/>
      <c r="X25" s="4190">
        <f t="shared" si="0"/>
        <v>30</v>
      </c>
      <c r="Y25" s="607"/>
    </row>
    <row r="26" spans="1:25" ht="12" customHeight="1" thickBot="1">
      <c r="A26" s="311"/>
      <c r="B26" s="316"/>
      <c r="C26" s="6023"/>
      <c r="D26" s="4631"/>
      <c r="E26" s="4632"/>
      <c r="F26" s="4630"/>
      <c r="G26" s="4631"/>
      <c r="H26" s="6037"/>
      <c r="I26" s="304"/>
      <c r="J26" s="4586" t="s">
        <v>1239</v>
      </c>
      <c r="K26" s="4385"/>
      <c r="L26" s="2019"/>
      <c r="N26" s="4322"/>
      <c r="O26" s="4306" t="s">
        <v>1292</v>
      </c>
      <c r="P26" s="4306"/>
      <c r="Q26" s="1327">
        <f>IF(HLOOKUP(Sheele!$M$5,'Tablas Sheele'!$C$53:$AH$111,'Tablas Sheele'!B69,FALSE)=0,"",HLOOKUP(Sheele!$M$5,'Tablas Sheele'!$C$53:$AH$111,'Tablas Sheele'!B69,FALSE)+IF($X$9&gt;0,40+20*($X$9-1),0)+V26)</f>
        <v>10</v>
      </c>
      <c r="R26" s="1982"/>
      <c r="S26" s="422">
        <f>IF(W26,IF(OR(X26&lt;0,AND(Principal!Q37="-",$X$5)),"-",IF($X$5,MIN(Principal!Q37,X26),X26)),X26)</f>
        <v>10</v>
      </c>
      <c r="T26" s="1803"/>
      <c r="U26" s="1801"/>
      <c r="V26" s="4191">
        <f>IF('Tablas Sheele'!$F$184&gt;0,100,0)</f>
        <v>0</v>
      </c>
      <c r="W26" s="4190"/>
      <c r="X26" s="4190">
        <f t="shared" si="0"/>
        <v>10</v>
      </c>
      <c r="Y26" s="607"/>
    </row>
    <row r="27" spans="1:25" ht="12" customHeight="1" thickBot="1">
      <c r="A27" s="311"/>
      <c r="B27" s="316"/>
      <c r="C27" s="6023"/>
      <c r="D27" s="4631"/>
      <c r="E27" s="4632"/>
      <c r="F27" s="4630"/>
      <c r="G27" s="4631"/>
      <c r="H27" s="6037"/>
      <c r="I27" s="304"/>
      <c r="N27" s="4323"/>
      <c r="O27" s="6092" t="s">
        <v>1293</v>
      </c>
      <c r="P27" s="6093"/>
      <c r="Q27" s="2472" t="str">
        <f>IF(HLOOKUP(Sheele!$M$5,'Tablas Sheele'!$C$53:$AH$111,'Tablas Sheele'!B70,FALSE)=0,"",HLOOKUP(Sheele!$M$5,'Tablas Sheele'!$C$53:$AH$111,'Tablas Sheele'!B70,FALSE)+IF($X$9&gt;0,40+20*($X$9-1),0)+V27)</f>
        <v/>
      </c>
      <c r="R27" s="1983"/>
      <c r="S27" s="2473">
        <f>IF(W27,IF(OR(X27&lt;0,AND(Principal!Q38="-",$X$5)),"-",IF($X$5,MIN(Principal!Q38,X27),X27)),X27)</f>
        <v>-30</v>
      </c>
      <c r="T27" s="1803"/>
      <c r="U27" s="1801"/>
      <c r="V27" s="4190">
        <f>IF('Tablas Sheele'!F228&gt;0,60,0)</f>
        <v>0</v>
      </c>
      <c r="W27" s="4190"/>
      <c r="X27" s="4190">
        <f t="shared" si="0"/>
        <v>-30</v>
      </c>
      <c r="Y27" s="607"/>
    </row>
    <row r="28" spans="1:25" ht="12" customHeight="1">
      <c r="A28" s="311"/>
      <c r="B28" s="316"/>
      <c r="C28" s="6023"/>
      <c r="D28" s="4631"/>
      <c r="E28" s="4632"/>
      <c r="F28" s="4630"/>
      <c r="G28" s="4631"/>
      <c r="H28" s="6037"/>
      <c r="I28" s="304"/>
      <c r="J28" s="6130" t="s">
        <v>9541</v>
      </c>
      <c r="K28" s="322" t="s">
        <v>1417</v>
      </c>
      <c r="L28" s="2474">
        <f>25+5*I4</f>
        <v>30</v>
      </c>
      <c r="N28" s="6020" t="s">
        <v>1294</v>
      </c>
      <c r="O28" s="4306" t="s">
        <v>1295</v>
      </c>
      <c r="P28" s="4306"/>
      <c r="Q28" s="1327" t="str">
        <f>IF(HLOOKUP(Sheele!$M$5,'Tablas Sheele'!$C$53:$AH$111,'Tablas Sheele'!B71,FALSE)=0,"",HLOOKUP(Sheele!$M$5,'Tablas Sheele'!$C$53:$AH$111,'Tablas Sheele'!B71,FALSE)+IF($X$9&gt;0,40+20*($X$9-1),0)+V28)</f>
        <v/>
      </c>
      <c r="R28" s="1985"/>
      <c r="S28" s="422">
        <f>IF(W28,IF(OR(X28&lt;0,AND(Principal!Q39="-",$X$5)),"-",IF($X$5,MIN(Principal!Q39,X28),X28)),X28)</f>
        <v>-30</v>
      </c>
      <c r="T28" s="1803"/>
      <c r="U28" s="1801"/>
      <c r="V28" s="4190"/>
      <c r="W28" s="4190"/>
      <c r="X28" s="4190">
        <f t="shared" si="0"/>
        <v>-30</v>
      </c>
      <c r="Y28" s="607"/>
    </row>
    <row r="29" spans="1:25" ht="12" customHeight="1">
      <c r="A29" s="311"/>
      <c r="B29" s="316"/>
      <c r="C29" s="6023"/>
      <c r="D29" s="4631"/>
      <c r="E29" s="4632"/>
      <c r="F29" s="4630"/>
      <c r="G29" s="4631"/>
      <c r="H29" s="6037"/>
      <c r="I29" s="304"/>
      <c r="J29" s="6131"/>
      <c r="K29" s="2149" t="s">
        <v>1318</v>
      </c>
      <c r="L29" s="323">
        <f>Principal!J58-Principal!I58+IF('Tablas Sheele'!F$188&gt;0,50,0)</f>
        <v>30</v>
      </c>
      <c r="N29" s="4322"/>
      <c r="O29" s="4306" t="str">
        <f>IF($M$5='Tablas Sheele'!$C$8,"Ciencia (geología)","Ciencia")</f>
        <v>Ciencia</v>
      </c>
      <c r="P29" s="4306"/>
      <c r="Q29" s="1327" t="str">
        <f>IF(HLOOKUP(Sheele!$M$5,'Tablas Sheele'!$C$53:$AH$111,'Tablas Sheele'!B72,FALSE)=0,"",HLOOKUP(Sheele!$M$5,'Tablas Sheele'!$C$53:$AH$111,'Tablas Sheele'!B72,FALSE)+IF($X$9&gt;0,40+20*($X$9-1),0)+V29)</f>
        <v/>
      </c>
      <c r="R29" s="1982"/>
      <c r="S29" s="422" t="str">
        <f>IF(W29,IF(OR(X29&lt;0,AND(Principal!Q40="-",$X$5)),"-",IF($X$5,MIN(Principal!Q40,X29),X29)),X29)</f>
        <v>-</v>
      </c>
      <c r="T29" s="1803"/>
      <c r="U29" s="1801"/>
      <c r="V29" s="4190">
        <f>IF('Tablas Sheele'!F396&gt;0,80,IF('Tablas Sheele'!F407&gt;0,60,0))</f>
        <v>0</v>
      </c>
      <c r="W29" s="4190">
        <f>IF(OR(M5="Sangre",M5="Caos",M5="Curación",M5="Espacio",M5="Gemas"),0,1)</f>
        <v>1</v>
      </c>
      <c r="X29" s="4190">
        <f t="shared" si="0"/>
        <v>-30</v>
      </c>
      <c r="Y29" s="607"/>
    </row>
    <row r="30" spans="1:25" ht="12" customHeight="1">
      <c r="A30" s="311"/>
      <c r="B30" s="316"/>
      <c r="C30" s="6023"/>
      <c r="D30" s="4631"/>
      <c r="E30" s="4632"/>
      <c r="F30" s="4630"/>
      <c r="G30" s="4631"/>
      <c r="H30" s="6037"/>
      <c r="I30" s="304"/>
      <c r="J30" s="6131"/>
      <c r="K30" s="2149" t="s">
        <v>1320</v>
      </c>
      <c r="L30" s="323">
        <f>Principal!J59-Principal!I59+IF('Tablas Sheele'!F$188&gt;0,50,0)</f>
        <v>30</v>
      </c>
      <c r="N30" s="4322"/>
      <c r="O30" s="4306" t="s">
        <v>2405</v>
      </c>
      <c r="P30" s="4306"/>
      <c r="Q30" s="1327" t="str">
        <f>IF(HLOOKUP(Sheele!$M$5,'Tablas Sheele'!$C$53:$AH$111,'Tablas Sheele'!B73,FALSE)=0,"",HLOOKUP(Sheele!$M$5,'Tablas Sheele'!$C$53:$AH$111,'Tablas Sheele'!B73,FALSE)+IF($X$9&gt;0,40+20*($X$9-1),0)+V30)</f>
        <v/>
      </c>
      <c r="R30" s="1982"/>
      <c r="S30" s="422">
        <f>IF(W30,IF(OR(X30&lt;0,AND(Principal!Q41="-",$X$5)),"-",IF($X$5,MIN(Principal!Q41,X30),X30)),X30)</f>
        <v>-30</v>
      </c>
      <c r="T30" s="1803"/>
      <c r="U30" s="1801"/>
      <c r="V30" s="4190">
        <f>IF('Tablas Sheele'!F418=1,60,0)</f>
        <v>0</v>
      </c>
      <c r="W30" s="4190"/>
      <c r="X30" s="4190">
        <f t="shared" si="0"/>
        <v>-30</v>
      </c>
      <c r="Y30" s="607"/>
    </row>
    <row r="31" spans="1:25" ht="12" customHeight="1">
      <c r="A31" s="311"/>
      <c r="B31" s="316"/>
      <c r="C31" s="6023"/>
      <c r="D31" s="4631"/>
      <c r="E31" s="4632"/>
      <c r="F31" s="4630"/>
      <c r="G31" s="4631"/>
      <c r="H31" s="6037"/>
      <c r="I31" s="304"/>
      <c r="J31" s="6131"/>
      <c r="K31" s="2149" t="s">
        <v>1322</v>
      </c>
      <c r="L31" s="323">
        <f>Principal!J60-Principal!I60+IF('Tablas Sheele'!F$188&gt;0,50,0)</f>
        <v>30</v>
      </c>
      <c r="N31" s="4322"/>
      <c r="O31" s="4306" t="s">
        <v>1297</v>
      </c>
      <c r="P31" s="4306"/>
      <c r="Q31" s="1327" t="str">
        <f>IF(HLOOKUP(Sheele!$M$5,'Tablas Sheele'!$C$53:$AH$111,'Tablas Sheele'!B74,FALSE)=0,"",HLOOKUP(Sheele!$M$5,'Tablas Sheele'!$C$53:$AH$111,'Tablas Sheele'!B74,FALSE)+IF($X$9&gt;0,40+20*($X$9-1),0)+V31)</f>
        <v/>
      </c>
      <c r="R31" s="1982"/>
      <c r="S31" s="422">
        <f>IF(W31,IF(OR(X31&lt;0,AND(Principal!Q42="-",$X$5)),"-",IF($X$5,MIN(Principal!Q42,X31),X31)),X31)</f>
        <v>-30</v>
      </c>
      <c r="T31" s="1803"/>
      <c r="U31" s="1801"/>
      <c r="V31" s="4190">
        <f>IF(OR('Tablas Sheele'!F297&gt;0,'Tablas Sheele'!F473&gt;0),60,IF('Tablas Sheele'!F396&gt;0,80,0))</f>
        <v>0</v>
      </c>
      <c r="W31" s="4190"/>
      <c r="X31" s="4190">
        <f t="shared" si="0"/>
        <v>-30</v>
      </c>
      <c r="Y31" s="607"/>
    </row>
    <row r="32" spans="1:25" ht="12" customHeight="1">
      <c r="A32" s="311"/>
      <c r="B32" s="316"/>
      <c r="C32" s="6023"/>
      <c r="D32" s="4631"/>
      <c r="E32" s="4632"/>
      <c r="F32" s="4630"/>
      <c r="G32" s="4631"/>
      <c r="H32" s="6037"/>
      <c r="I32" s="304"/>
      <c r="J32" s="6131"/>
      <c r="K32" s="2149" t="s">
        <v>1324</v>
      </c>
      <c r="L32" s="323">
        <f>Principal!J61-Principal!I61+IF('Tablas Sheele'!F$188&gt;0,50,0)</f>
        <v>30</v>
      </c>
      <c r="N32" s="4322"/>
      <c r="O32" s="4306" t="s">
        <v>1299</v>
      </c>
      <c r="P32" s="4306"/>
      <c r="Q32" s="1327" t="str">
        <f>IF(HLOOKUP(Sheele!$M$5,'Tablas Sheele'!$C$53:$AH$111,'Tablas Sheele'!B75,FALSE)=0,"",HLOOKUP(Sheele!$M$5,'Tablas Sheele'!$C$53:$AH$111,'Tablas Sheele'!B75,FALSE)+IF($X$9&gt;0,40+20*($X$9-1),0)+V32)</f>
        <v/>
      </c>
      <c r="R32" s="1982"/>
      <c r="S32" s="422" t="str">
        <f>IF(W32,IF(OR(X32&lt;0,AND(Principal!Q43="-",$X$5)),"-",IF($X$5,MIN(Principal!Q43,X32),X32)),X32)</f>
        <v>-</v>
      </c>
      <c r="T32" s="1804"/>
      <c r="U32" s="1801"/>
      <c r="V32" s="4190"/>
      <c r="W32" s="4190">
        <f>IF(M5="Caos",0,1)</f>
        <v>1</v>
      </c>
      <c r="X32" s="4190">
        <f t="shared" si="0"/>
        <v>-30</v>
      </c>
      <c r="Y32" s="607"/>
    </row>
    <row r="33" spans="1:25" ht="12" customHeight="1" thickBot="1">
      <c r="A33" s="311"/>
      <c r="B33" s="316"/>
      <c r="C33" s="6023"/>
      <c r="D33" s="4631"/>
      <c r="E33" s="4632"/>
      <c r="F33" s="4630"/>
      <c r="G33" s="4631"/>
      <c r="H33" s="6037"/>
      <c r="I33" s="304"/>
      <c r="J33" s="6132"/>
      <c r="K33" s="2150" t="s">
        <v>1326</v>
      </c>
      <c r="L33" s="2475">
        <f>Principal!J62-Principal!I62+IF('Tablas Sheele'!F$188&gt;0,50,0)</f>
        <v>30</v>
      </c>
      <c r="N33" s="4322"/>
      <c r="O33" s="4306" t="s">
        <v>688</v>
      </c>
      <c r="P33" s="4306"/>
      <c r="Q33" s="1327" t="str">
        <f>IF(HLOOKUP(Sheele!$M$5,'Tablas Sheele'!$C$53:$AH$111,'Tablas Sheele'!B76,FALSE)=0,"",HLOOKUP(Sheele!$M$5,'Tablas Sheele'!$C$53:$AH$111,'Tablas Sheele'!B76,FALSE)+IF($X$9&gt;0,40+20*($X$9-1),0)+V33)</f>
        <v/>
      </c>
      <c r="R33" s="1982"/>
      <c r="S33" s="422">
        <f>IF(W33,IF(OR(X33&lt;0,AND(Principal!Q44="-",$X$5)),"-",IF($X$5,MIN(Principal!Q44,X33),X33)),X33)</f>
        <v>-30</v>
      </c>
      <c r="T33" s="1803"/>
      <c r="U33" s="1801"/>
      <c r="V33" s="4190">
        <f>IF('Tablas Sheele'!F228&gt;0,60,0)</f>
        <v>0</v>
      </c>
      <c r="W33" s="4190"/>
      <c r="X33" s="4190">
        <f t="shared" si="0"/>
        <v>-30</v>
      </c>
      <c r="Y33" s="607"/>
    </row>
    <row r="34" spans="1:25" ht="12" customHeight="1" thickBot="1">
      <c r="A34" s="311"/>
      <c r="B34" s="316"/>
      <c r="C34" s="6023"/>
      <c r="D34" s="4631"/>
      <c r="E34" s="4632"/>
      <c r="F34" s="4630"/>
      <c r="G34" s="4631"/>
      <c r="H34" s="6037"/>
      <c r="I34" s="304"/>
      <c r="N34" s="4322"/>
      <c r="O34" s="4306" t="s">
        <v>1302</v>
      </c>
      <c r="P34" s="4306"/>
      <c r="Q34" s="1327" t="str">
        <f>IF(HLOOKUP(Sheele!$M$5,'Tablas Sheele'!$C$53:$AH$111,'Tablas Sheele'!B77,FALSE)=0,"",HLOOKUP(Sheele!$M$5,'Tablas Sheele'!$C$53:$AH$111,'Tablas Sheele'!B77,FALSE)+IF($X$9&gt;0,40+20*($X$9-1),0)+V34)</f>
        <v/>
      </c>
      <c r="R34" s="1982"/>
      <c r="S34" s="422" t="str">
        <f>IF(W34,IF(OR(X34&lt;0,AND(Principal!Q45="-",$X$5)),"-",IF($X$5,MIN(Principal!Q45,X34),X34)),X34)</f>
        <v>-</v>
      </c>
      <c r="T34" s="1803"/>
      <c r="U34" s="1801"/>
      <c r="V34" s="4190">
        <f>IF('Tablas Sheele'!F297&gt;0,60,IF('Tablas Sheele'!F396&gt;0,80,0))</f>
        <v>0</v>
      </c>
      <c r="W34" s="4190">
        <f>IF(OR(M5="Sangre",M5="Muerte",M5="Caos",M5="Curación"),0,1)</f>
        <v>1</v>
      </c>
      <c r="X34" s="4190">
        <f t="shared" si="0"/>
        <v>-30</v>
      </c>
      <c r="Y34" s="607"/>
    </row>
    <row r="35" spans="1:25" ht="12" customHeight="1">
      <c r="A35" s="311"/>
      <c r="B35" s="325"/>
      <c r="C35" s="6124"/>
      <c r="D35" s="6125"/>
      <c r="E35" s="6126"/>
      <c r="F35" s="4630"/>
      <c r="G35" s="4631"/>
      <c r="H35" s="6037"/>
      <c r="I35" s="304"/>
      <c r="J35" s="6147" t="s">
        <v>2650</v>
      </c>
      <c r="K35" s="6148"/>
      <c r="L35" s="6149"/>
      <c r="N35" s="4322"/>
      <c r="O35" s="4306" t="s">
        <v>1303</v>
      </c>
      <c r="P35" s="4306"/>
      <c r="Q35" s="1327" t="str">
        <f>IF(HLOOKUP(Sheele!$M$5,'Tablas Sheele'!$C$53:$AH$111,'Tablas Sheele'!B78,FALSE)=0,"",HLOOKUP(Sheele!$M$5,'Tablas Sheele'!$C$53:$AH$111,'Tablas Sheele'!B78,FALSE)+IF($X$9&gt;0,40+20*($X$9-1),0)+V35)</f>
        <v/>
      </c>
      <c r="R35" s="1982"/>
      <c r="S35" s="422">
        <f>IF(W35,IF(OR(X35&lt;0,AND(Principal!Q46="-",$X$5)),"-",IF($X$5,MIN(Principal!Q46,X35),X35)),X35)</f>
        <v>-30</v>
      </c>
      <c r="T35" s="1803"/>
      <c r="U35" s="1801"/>
      <c r="V35" s="4190"/>
      <c r="W35" s="4190"/>
      <c r="X35" s="4190">
        <f t="shared" si="0"/>
        <v>-30</v>
      </c>
      <c r="Y35" s="607"/>
    </row>
    <row r="36" spans="1:25" ht="12" customHeight="1">
      <c r="A36" s="311"/>
      <c r="B36" s="325"/>
      <c r="C36" s="6180"/>
      <c r="D36" s="6181"/>
      <c r="E36" s="6182"/>
      <c r="F36" s="6038"/>
      <c r="G36" s="6039"/>
      <c r="H36" s="6040"/>
      <c r="I36" s="304"/>
      <c r="J36" s="6150" t="s">
        <v>9542</v>
      </c>
      <c r="K36" s="6151"/>
      <c r="L36" s="6152"/>
      <c r="N36" s="4322"/>
      <c r="O36" s="4306" t="s">
        <v>1304</v>
      </c>
      <c r="P36" s="4306"/>
      <c r="Q36" s="1327" t="str">
        <f>IF(HLOOKUP(Sheele!$M$5,'Tablas Sheele'!$C$53:$AH$111,'Tablas Sheele'!B79,FALSE)=0,"",HLOOKUP(Sheele!$M$5,'Tablas Sheele'!$C$53:$AH$111,'Tablas Sheele'!B79,FALSE)+IF($X$9&gt;0,40+20*($X$9-1),0)+V36)</f>
        <v/>
      </c>
      <c r="R36" s="1982"/>
      <c r="S36" s="422">
        <f>IF(W36,IF(OR(X36&lt;0,AND(Principal!Q47="-",$X$5)),"-",IF($X$5,MIN(Principal!Q47,X36),X36)),X36)</f>
        <v>-30</v>
      </c>
      <c r="T36" s="1803"/>
      <c r="U36" s="1801"/>
      <c r="V36" s="4190"/>
      <c r="W36" s="4190"/>
      <c r="X36" s="4190">
        <f t="shared" si="0"/>
        <v>-30</v>
      </c>
      <c r="Y36" s="607"/>
    </row>
    <row r="37" spans="1:25" ht="12" customHeight="1">
      <c r="A37" s="311"/>
      <c r="B37" s="325"/>
      <c r="C37" s="6116" t="s">
        <v>2652</v>
      </c>
      <c r="D37" s="6117"/>
      <c r="E37" s="2151" t="s">
        <v>1233</v>
      </c>
      <c r="F37" s="2119"/>
      <c r="G37" s="1408" t="s">
        <v>1245</v>
      </c>
      <c r="H37" s="2450"/>
      <c r="I37" s="304"/>
      <c r="J37" s="6153">
        <f>20+10*ROUNDDOWN(Controlar_final/50,0)+MIN(100,25*'Tablas Sheele'!F132)</f>
        <v>20</v>
      </c>
      <c r="K37" s="6154"/>
      <c r="L37" s="6155"/>
      <c r="N37" s="4322"/>
      <c r="O37" s="4306" t="s">
        <v>1305</v>
      </c>
      <c r="P37" s="4306"/>
      <c r="Q37" s="1327" t="str">
        <f>IF(HLOOKUP(Sheele!$M$5,'Tablas Sheele'!$C$53:$AH$111,'Tablas Sheele'!B80,FALSE)=0,"",HLOOKUP(Sheele!$M$5,'Tablas Sheele'!$C$53:$AH$111,'Tablas Sheele'!B80,FALSE)+IF($X$9&gt;0,40+20*($X$9-1),0)+V37)</f>
        <v/>
      </c>
      <c r="R37" s="1982"/>
      <c r="S37" s="422">
        <f>IF(W37,IF(OR(X37&lt;0,AND(Principal!Q48="-",$X$5)),"-",IF($X$5,MIN(Principal!Q48,X37),X37)),X37)</f>
        <v>-30</v>
      </c>
      <c r="T37" s="1804"/>
      <c r="U37" s="1801"/>
      <c r="V37" s="4190">
        <f>IF('Tablas Sheele'!F473&gt;0,60,0)</f>
        <v>0</v>
      </c>
      <c r="W37" s="4190"/>
      <c r="X37" s="4190">
        <f t="shared" si="0"/>
        <v>-30</v>
      </c>
      <c r="Y37" s="607"/>
    </row>
    <row r="38" spans="1:25" ht="12" customHeight="1" thickBot="1">
      <c r="A38" s="311"/>
      <c r="B38" s="325"/>
      <c r="C38" s="6118"/>
      <c r="D38" s="6119"/>
      <c r="E38" s="2151" t="str">
        <f>IF(OR($J$59="Ánima",$J$59="Ánima, Elemental",$J$59="No muerto, Espectro"),"-","CON")</f>
        <v>CON</v>
      </c>
      <c r="F38" s="2118"/>
      <c r="G38" s="1408" t="s">
        <v>1248</v>
      </c>
      <c r="H38" s="2451"/>
      <c r="I38" s="304"/>
      <c r="J38" s="6156"/>
      <c r="K38" s="6157"/>
      <c r="L38" s="6158"/>
      <c r="N38" s="4322"/>
      <c r="O38" s="4306" t="s">
        <v>1306</v>
      </c>
      <c r="P38" s="4306"/>
      <c r="Q38" s="1327" t="str">
        <f>IF(HLOOKUP(Sheele!$M$5,'Tablas Sheele'!$C$53:$AH$111,'Tablas Sheele'!B81,FALSE)=0,"",HLOOKUP(Sheele!$M$5,'Tablas Sheele'!$C$53:$AH$111,'Tablas Sheele'!B81,FALSE)+IF($X$9&gt;0,40+20*($X$9-1),0)+V38)</f>
        <v/>
      </c>
      <c r="R38" s="1982"/>
      <c r="S38" s="422" t="str">
        <f>IF(W38,IF(OR(X38&lt;0,AND(Principal!Q49="-",$X$5)),"-",IF($X$5,MIN(Principal!Q49,X38),X38)),X38)</f>
        <v>-</v>
      </c>
      <c r="T38" s="1804"/>
      <c r="U38" s="1801"/>
      <c r="V38" s="4190"/>
      <c r="W38" s="4190">
        <f>IF(OR(M5="Caos",M5="Curación"),0,1)</f>
        <v>1</v>
      </c>
      <c r="X38" s="4190">
        <f t="shared" si="0"/>
        <v>-30</v>
      </c>
      <c r="Y38" s="607"/>
    </row>
    <row r="39" spans="1:25" ht="12" customHeight="1">
      <c r="A39" s="311"/>
      <c r="B39" s="325"/>
      <c r="C39" s="6118"/>
      <c r="D39" s="6119"/>
      <c r="E39" s="2151" t="s">
        <v>1238</v>
      </c>
      <c r="F39" s="2118"/>
      <c r="G39" s="1408" t="s">
        <v>1250</v>
      </c>
      <c r="H39" s="2451"/>
      <c r="I39" s="304"/>
      <c r="J39" s="6104" t="s">
        <v>9935</v>
      </c>
      <c r="K39" s="6105"/>
      <c r="L39" s="6106"/>
      <c r="N39" s="4322"/>
      <c r="O39" s="4306" t="s">
        <v>1307</v>
      </c>
      <c r="P39" s="4306"/>
      <c r="Q39" s="1327">
        <f>IF(HLOOKUP(Sheele!$M$5,'Tablas Sheele'!$C$53:$AH$111,'Tablas Sheele'!B82,FALSE)=0,"",HLOOKUP(Sheele!$M$5,'Tablas Sheele'!$C$53:$AH$111,'Tablas Sheele'!B82,FALSE)+IF($X$9&gt;0,40+20*($X$9-1),0)+V39)</f>
        <v>80</v>
      </c>
      <c r="R39" s="1984"/>
      <c r="S39" s="323" t="str">
        <f>IF(W39,IF(OR(X39&lt;0,AND(Principal!Q50="-",$X$5)),"-",IF($X$5,MIN(Principal!Q50,X39),X39)),X39)</f>
        <v>-</v>
      </c>
      <c r="T39" s="1804"/>
      <c r="U39" s="1801"/>
      <c r="V39" s="4190"/>
      <c r="W39" s="4190">
        <f>IF(M5="Caos",0,1)</f>
        <v>1</v>
      </c>
      <c r="X39" s="4190">
        <f t="shared" si="0"/>
        <v>80</v>
      </c>
      <c r="Y39" s="607"/>
    </row>
    <row r="40" spans="1:25" ht="12" customHeight="1" thickBot="1">
      <c r="A40" s="311"/>
      <c r="B40" s="325"/>
      <c r="C40" s="6120"/>
      <c r="D40" s="6121"/>
      <c r="E40" s="2152" t="s">
        <v>1243</v>
      </c>
      <c r="F40" s="2453"/>
      <c r="G40" s="2405" t="s">
        <v>1251</v>
      </c>
      <c r="H40" s="2452"/>
      <c r="I40" s="304"/>
      <c r="J40" s="6107"/>
      <c r="K40" s="6108"/>
      <c r="L40" s="6109"/>
      <c r="N40" s="6021"/>
      <c r="O40" s="6022" t="s">
        <v>10029</v>
      </c>
      <c r="P40" s="6022"/>
      <c r="Q40" s="1032" t="str">
        <f>IF(HLOOKUP(Sheele!$M$5,'Tablas Sheele'!$C$53:$AH$111,'Tablas Sheele'!B83,FALSE)=0,"",HLOOKUP(Sheele!$M$5,'Tablas Sheele'!$C$53:$AH$111,'Tablas Sheele'!B83,FALSE)+IF($X$9&gt;0,40+20*($X$9-1),0)+V40)</f>
        <v/>
      </c>
      <c r="R40" s="1984"/>
      <c r="S40" s="3789">
        <f>IF(W40,IF(OR(X40&lt;0,AND(Principal!Q51="-",$X$5)),"-",IF($X$5,MIN(Principal!Q51,X40),X40)),X40)</f>
        <v>-30</v>
      </c>
      <c r="T40" s="2061"/>
      <c r="U40" s="1801"/>
      <c r="V40" s="4190"/>
      <c r="W40" s="4190"/>
      <c r="X40" s="4190">
        <f t="shared" si="0"/>
        <v>-30</v>
      </c>
      <c r="Y40" s="607"/>
    </row>
    <row r="41" spans="1:25" ht="12" customHeight="1" thickBot="1">
      <c r="A41" s="311"/>
      <c r="B41" s="325"/>
      <c r="I41" s="304"/>
      <c r="J41" s="304"/>
      <c r="K41" s="304"/>
      <c r="L41" s="304"/>
      <c r="N41" s="4321" t="s">
        <v>1308</v>
      </c>
      <c r="O41" s="4306" t="s">
        <v>1309</v>
      </c>
      <c r="P41" s="4306"/>
      <c r="Q41" s="4211" t="str">
        <f>IF(HLOOKUP(Sheele!$M$5,'Tablas Sheele'!$C$53:$AH$111,'Tablas Sheele'!B84,FALSE)=0,"",HLOOKUP(Sheele!$M$5,'Tablas Sheele'!$C$53:$AH$111,'Tablas Sheele'!B84,FALSE)+IF($X$9&gt;0,40+20*($X$9-1),0)+V41)</f>
        <v/>
      </c>
      <c r="R41" s="1981"/>
      <c r="S41" s="422">
        <f>IF(W41,IF(OR(X41&lt;0,AND(Principal!Q52="-",$X$5)),"-",IF($X$5,MIN(Principal!Q52,X41),X41)),X41)</f>
        <v>-30</v>
      </c>
      <c r="T41" s="2061"/>
      <c r="U41" s="1801"/>
      <c r="V41" s="4190"/>
      <c r="W41" s="4190"/>
      <c r="X41" s="4190">
        <f t="shared" si="0"/>
        <v>-30</v>
      </c>
      <c r="Y41" s="607"/>
    </row>
    <row r="42" spans="1:25" ht="12" customHeight="1">
      <c r="A42" s="311"/>
      <c r="B42" s="325"/>
      <c r="C42" s="6071" t="s">
        <v>2635</v>
      </c>
      <c r="D42" s="6072"/>
      <c r="E42" s="6072"/>
      <c r="F42" s="6072"/>
      <c r="G42" s="6072"/>
      <c r="H42" s="6072"/>
      <c r="I42" s="6072"/>
      <c r="J42" s="6072"/>
      <c r="K42" s="6072"/>
      <c r="L42" s="6073"/>
      <c r="N42" s="4322"/>
      <c r="O42" s="4306" t="s">
        <v>1310</v>
      </c>
      <c r="P42" s="4306"/>
      <c r="Q42" s="1032" t="str">
        <f>IF(HLOOKUP(Sheele!$M$5,'Tablas Sheele'!$C$53:$AH$111,'Tablas Sheele'!B85,FALSE)=0,"",HLOOKUP(Sheele!$M$5,'Tablas Sheele'!$C$53:$AH$111,'Tablas Sheele'!B85,FALSE)+IF($X$9&gt;0,40+20*($X$9-1),0)+V42)</f>
        <v/>
      </c>
      <c r="R42" s="1982"/>
      <c r="S42" s="422">
        <f>IF(W42,IF(OR(X42&lt;0,AND(Principal!Q53="-",$X$5)),"-",IF($X$5,MIN(Principal!Q53,X42),X42)),X42)</f>
        <v>-30</v>
      </c>
      <c r="T42" s="1804"/>
      <c r="U42" s="1801"/>
      <c r="V42" s="4190"/>
      <c r="W42" s="4190"/>
      <c r="X42" s="4190">
        <f t="shared" si="0"/>
        <v>-30</v>
      </c>
      <c r="Y42" s="607"/>
    </row>
    <row r="43" spans="1:25" ht="12" customHeight="1">
      <c r="A43" s="311"/>
      <c r="B43" s="325"/>
      <c r="C43" s="6118"/>
      <c r="D43" s="6122"/>
      <c r="E43" s="6122"/>
      <c r="F43" s="6122"/>
      <c r="G43" s="6122"/>
      <c r="H43" s="6122"/>
      <c r="I43" s="6122"/>
      <c r="J43" s="6122"/>
      <c r="K43" s="6122"/>
      <c r="L43" s="6123"/>
      <c r="N43" s="4323"/>
      <c r="O43" s="6092" t="s">
        <v>1313</v>
      </c>
      <c r="P43" s="6093"/>
      <c r="Q43" s="4207" t="str">
        <f>IF(HLOOKUP(Sheele!$M$5,'Tablas Sheele'!$C$53:$AH$111,'Tablas Sheele'!B86,FALSE)=0,"",HLOOKUP(Sheele!$M$5,'Tablas Sheele'!$C$53:$AH$111,'Tablas Sheele'!B86,FALSE)+IF($X$9&gt;0,40+20*($X$9-1),0)+V43)</f>
        <v/>
      </c>
      <c r="R43" s="1983"/>
      <c r="S43" s="3789">
        <f>IF(W43,IF(OR(X43&lt;0,AND(Principal!Q54="-",$X$5)),"-",IF($X$5,MIN(Principal!Q54,X43),X43)),X43)</f>
        <v>-30</v>
      </c>
      <c r="T43" s="1804"/>
      <c r="U43" s="1801"/>
      <c r="V43" s="4190"/>
      <c r="W43" s="4190"/>
      <c r="X43" s="4190">
        <f t="shared" ref="X43:X67" si="1">IF(AND(Q43="",R43=""),-30,IF(Q43="",0,Q43)+10*R43)</f>
        <v>-30</v>
      </c>
      <c r="Y43" s="607"/>
    </row>
    <row r="44" spans="1:25" ht="12" customHeight="1">
      <c r="A44" s="311"/>
      <c r="B44" s="316"/>
      <c r="C44" s="6227" t="s">
        <v>1367</v>
      </c>
      <c r="D44" s="6085"/>
      <c r="E44" s="6085"/>
      <c r="F44" s="6085"/>
      <c r="G44" s="6085"/>
      <c r="H44" s="6084" t="s">
        <v>2636</v>
      </c>
      <c r="I44" s="6085"/>
      <c r="J44" s="6085"/>
      <c r="K44" s="6085"/>
      <c r="L44" s="6086"/>
      <c r="N44" s="4322" t="s">
        <v>1316</v>
      </c>
      <c r="O44" s="4306" t="s">
        <v>1317</v>
      </c>
      <c r="P44" s="4306"/>
      <c r="Q44" s="1032" t="str">
        <f>IF(HLOOKUP(Sheele!$M$5,'Tablas Sheele'!$C$53:$AH$111,'Tablas Sheele'!B87,FALSE)=0,"",HLOOKUP(Sheele!$M$5,'Tablas Sheele'!$C$53:$AH$111,'Tablas Sheele'!B87,FALSE)+IF($X$9&gt;0,40+20*($X$9-1),0)+V44)</f>
        <v/>
      </c>
      <c r="R44" s="1985"/>
      <c r="S44" s="422">
        <f>IF(W44,IF(OR(X44&lt;0,AND(Principal!Q55="-",$X$5)),"-",IF($X$5,MIN(Principal!Q55,X44),X44)),X44)</f>
        <v>-30</v>
      </c>
      <c r="T44" s="1803"/>
      <c r="U44" s="1801"/>
      <c r="V44" s="4190"/>
      <c r="W44" s="4190"/>
      <c r="X44" s="4190">
        <f t="shared" si="1"/>
        <v>-30</v>
      </c>
      <c r="Y44" s="607"/>
    </row>
    <row r="45" spans="1:25" ht="12" customHeight="1">
      <c r="A45" s="311"/>
      <c r="B45" s="316"/>
      <c r="C45" s="6228"/>
      <c r="D45" s="6088"/>
      <c r="E45" s="6088"/>
      <c r="F45" s="6088"/>
      <c r="G45" s="6088"/>
      <c r="H45" s="6087"/>
      <c r="I45" s="6088"/>
      <c r="J45" s="6088"/>
      <c r="K45" s="6088"/>
      <c r="L45" s="6089"/>
      <c r="N45" s="4322"/>
      <c r="O45" s="4306" t="s">
        <v>1319</v>
      </c>
      <c r="P45" s="4306"/>
      <c r="Q45" s="1032" t="str">
        <f>IF(HLOOKUP(Sheele!$M$5,'Tablas Sheele'!$C$53:$AH$111,'Tablas Sheele'!B88,FALSE)=0,"",HLOOKUP(Sheele!$M$5,'Tablas Sheele'!$C$53:$AH$111,'Tablas Sheele'!B88,FALSE)+IF($X$9&gt;0,40+20*($X$9-1),0)+V45)</f>
        <v/>
      </c>
      <c r="R45" s="1982"/>
      <c r="S45" s="422">
        <f>IF(W45,IF(OR(X45&lt;0,AND(Principal!Q56="-",$X$5)),"-",IF($X$5,MIN(Principal!Q56,X45),X45)),X45)</f>
        <v>-30</v>
      </c>
      <c r="T45" s="1804"/>
      <c r="U45" s="1801"/>
      <c r="V45" s="4191">
        <f>IF('Tablas Sheele'!$F$190&gt;0,100,0)</f>
        <v>0</v>
      </c>
      <c r="W45" s="4190"/>
      <c r="X45" s="4190">
        <f t="shared" si="1"/>
        <v>-30</v>
      </c>
      <c r="Y45" s="607"/>
    </row>
    <row r="46" spans="1:25" ht="12" customHeight="1">
      <c r="A46" s="311"/>
      <c r="B46" s="316"/>
      <c r="C46" s="6165" t="s">
        <v>2637</v>
      </c>
      <c r="D46" s="6166"/>
      <c r="E46" s="6167"/>
      <c r="F46" s="6110">
        <f>IF(L28*2+20*'Tablas Sheele'!F127&gt;200, IF(L28*2&gt;=200,L28*2+10*'Tablas Sheele'!F127,200+1/2*(20*'Tablas Sheele'!F127-(200-L28*2))),L28*2+20*'Tablas Sheele'!F127 )</f>
        <v>60</v>
      </c>
      <c r="G46" s="6111"/>
      <c r="H46" s="6233" t="s">
        <v>2638</v>
      </c>
      <c r="I46" s="6166"/>
      <c r="J46" s="6167"/>
      <c r="K46" s="6221">
        <f>IF('Tablas Sheele'!F199&gt;0,MAX(Sheele!F46,H12),H12)</f>
        <v>10</v>
      </c>
      <c r="L46" s="6222"/>
      <c r="N46" s="4322"/>
      <c r="O46" s="4306" t="s">
        <v>1321</v>
      </c>
      <c r="P46" s="4306"/>
      <c r="Q46" s="1032" t="str">
        <f>IF(HLOOKUP(Sheele!$M$5,'Tablas Sheele'!$C$53:$AH$111,'Tablas Sheele'!B89,FALSE)=0,"",HLOOKUP(Sheele!$M$5,'Tablas Sheele'!$C$53:$AH$111,'Tablas Sheele'!B89,FALSE)+IF($X$9&gt;0,40+20*($X$9-1),0)+V46)</f>
        <v/>
      </c>
      <c r="R46" s="1982"/>
      <c r="S46" s="422">
        <f>IF(W46,IF(OR(X46&lt;0,AND(Principal!Q57="-",$X$5)),"-",IF($X$5,MIN(Principal!Q57,X46),X46)),X46)</f>
        <v>-30</v>
      </c>
      <c r="T46" s="1803"/>
      <c r="U46" s="1801"/>
      <c r="V46" s="4192"/>
      <c r="W46" s="4190"/>
      <c r="X46" s="4190">
        <f t="shared" si="1"/>
        <v>-30</v>
      </c>
      <c r="Y46" s="607"/>
    </row>
    <row r="47" spans="1:25" ht="12" customHeight="1">
      <c r="A47" s="311"/>
      <c r="B47" s="316"/>
      <c r="C47" s="6168"/>
      <c r="D47" s="6169"/>
      <c r="E47" s="6170"/>
      <c r="F47" s="6112"/>
      <c r="G47" s="6113"/>
      <c r="H47" s="6234"/>
      <c r="I47" s="6169"/>
      <c r="J47" s="6170"/>
      <c r="K47" s="6145"/>
      <c r="L47" s="6146"/>
      <c r="N47" s="4322"/>
      <c r="O47" s="4306" t="s">
        <v>1323</v>
      </c>
      <c r="P47" s="4306"/>
      <c r="Q47" s="1032">
        <f>IF(HLOOKUP(Sheele!$M$5,'Tablas Sheele'!$C$53:$AH$111,'Tablas Sheele'!B90,FALSE)=0,"",HLOOKUP(Sheele!$M$5,'Tablas Sheele'!$C$53:$AH$111,'Tablas Sheele'!B90,FALSE)+IF($X$9&gt;0,40+20*($X$9-1),0)+V47)</f>
        <v>40</v>
      </c>
      <c r="R47" s="1982"/>
      <c r="S47" s="422">
        <f>IF(W47,IF(OR(X47&lt;0,AND(Principal!Q58="-",$X$5)),"-",IF($X$5,MIN(Principal!Q58,X47),X47)),X47)</f>
        <v>40</v>
      </c>
      <c r="T47" s="1803"/>
      <c r="U47" s="1801"/>
      <c r="V47" s="4191">
        <f>IF('Tablas Sheele'!$F$190&gt;0,100,0)</f>
        <v>0</v>
      </c>
      <c r="W47" s="4190"/>
      <c r="X47" s="4190">
        <f t="shared" si="1"/>
        <v>40</v>
      </c>
      <c r="Y47" s="607"/>
    </row>
    <row r="48" spans="1:25" ht="12" customHeight="1">
      <c r="A48" s="311"/>
      <c r="B48" s="316"/>
      <c r="C48" s="6171" t="s">
        <v>2641</v>
      </c>
      <c r="D48" s="6172"/>
      <c r="E48" s="6173"/>
      <c r="F48" s="6114">
        <f>IF(L28*2+20*'Tablas Sheele'!F127&gt;200, IF(L28*2&gt;=200,L28*2+10*'Tablas Sheele'!F127,200+1/2*(20*'Tablas Sheele'!F127-(200-L28*2))),L28*2+20*'Tablas Sheele'!F127 )+IF('Tablas Sheele'!F210&gt;0,40,0)</f>
        <v>60</v>
      </c>
      <c r="G48" s="6115"/>
      <c r="H48" s="6235" t="s">
        <v>2642</v>
      </c>
      <c r="I48" s="6172"/>
      <c r="J48" s="6173"/>
      <c r="K48" s="6217">
        <f>IF('Tablas Sheele'!F199&gt;0,MAX(Sheele!F48,H10),IF(M5="Aire",MAX(F48,H10),H10))</f>
        <v>60</v>
      </c>
      <c r="L48" s="6218"/>
      <c r="N48" s="4322"/>
      <c r="O48" s="4306" t="s">
        <v>1325</v>
      </c>
      <c r="P48" s="4306"/>
      <c r="Q48" s="1032" t="str">
        <f>IF(HLOOKUP(Sheele!$M$5,'Tablas Sheele'!$C$53:$AH$111,'Tablas Sheele'!B91,FALSE)=0,"",HLOOKUP(Sheele!$M$5,'Tablas Sheele'!$C$53:$AH$111,'Tablas Sheele'!B91,FALSE)+IF($X$9&gt;0,40+20*($X$9-1),0)+V48)</f>
        <v/>
      </c>
      <c r="R48" s="1982"/>
      <c r="S48" s="422">
        <f>IF(W48,IF(OR(X48&lt;0,AND(Principal!Q59="-",$X$5)),"-",IF($X$5,MIN(Principal!Q59,X48),X48)),X48)</f>
        <v>-30</v>
      </c>
      <c r="T48" s="1804"/>
      <c r="U48" s="1801"/>
      <c r="V48" s="4190"/>
      <c r="W48" s="4190"/>
      <c r="X48" s="4190">
        <f t="shared" si="1"/>
        <v>-30</v>
      </c>
      <c r="Y48" s="607"/>
    </row>
    <row r="49" spans="1:25" ht="12" customHeight="1">
      <c r="A49" s="311"/>
      <c r="B49" s="316"/>
      <c r="C49" s="6171"/>
      <c r="D49" s="6172"/>
      <c r="E49" s="6173"/>
      <c r="F49" s="6114"/>
      <c r="G49" s="6115"/>
      <c r="H49" s="6235"/>
      <c r="I49" s="6172"/>
      <c r="J49" s="6173"/>
      <c r="K49" s="6219"/>
      <c r="L49" s="6220"/>
      <c r="N49" s="4322"/>
      <c r="O49" s="4306" t="s">
        <v>1327</v>
      </c>
      <c r="P49" s="4306"/>
      <c r="Q49" s="1032" t="str">
        <f>IF(HLOOKUP(Sheele!$M$5,'Tablas Sheele'!$C$53:$AH$111,'Tablas Sheele'!B92,FALSE)=0,"",HLOOKUP(Sheele!$M$5,'Tablas Sheele'!$C$53:$AH$111,'Tablas Sheele'!B92,FALSE)+IF($X$9&gt;0,40+20*($X$9-1),0)+V49)</f>
        <v/>
      </c>
      <c r="R49" s="1982"/>
      <c r="S49" s="422" t="str">
        <f>IF(W49,IF(OR(X49&lt;0,AND(Principal!Q60="-",$X$5)),"-",IF($X$5,MIN(Principal!Q60,X49),X49)),X49)</f>
        <v>-</v>
      </c>
      <c r="T49" s="1803"/>
      <c r="U49" s="1801"/>
      <c r="V49" s="4190"/>
      <c r="W49" s="4190">
        <f>IF(M5="Caos",0,1)</f>
        <v>1</v>
      </c>
      <c r="X49" s="4190">
        <f t="shared" si="1"/>
        <v>-30</v>
      </c>
      <c r="Y49" s="607"/>
    </row>
    <row r="50" spans="1:25" ht="12" customHeight="1">
      <c r="A50" s="311"/>
      <c r="B50" s="316"/>
      <c r="C50" s="6168" t="s">
        <v>2643</v>
      </c>
      <c r="D50" s="6169"/>
      <c r="E50" s="6170"/>
      <c r="F50" s="6159" t="str">
        <f>IF(M5="Naturaleza","Esencia",M5)</f>
        <v>Aire</v>
      </c>
      <c r="G50" s="6160"/>
      <c r="H50" s="6169" t="s">
        <v>2644</v>
      </c>
      <c r="I50" s="6169"/>
      <c r="J50" s="6170"/>
      <c r="K50" s="6143">
        <f>IF('Tablas Sheele'!F199&gt;0,MAX(Sheele!F48,H12),H12)</f>
        <v>10</v>
      </c>
      <c r="L50" s="6144"/>
      <c r="N50" s="4322"/>
      <c r="O50" s="6092" t="s">
        <v>1328</v>
      </c>
      <c r="P50" s="6093"/>
      <c r="Q50" s="1032" t="str">
        <f>IF(HLOOKUP(Sheele!$M$5,'Tablas Sheele'!$C$53:$AH$111,'Tablas Sheele'!B93,FALSE)=0,"",HLOOKUP(Sheele!$M$5,'Tablas Sheele'!$C$53:$AH$111,'Tablas Sheele'!B93,FALSE)+IF($X$9&gt;0,40+20*($X$9-1),0)+V50)</f>
        <v/>
      </c>
      <c r="R50" s="1984"/>
      <c r="S50" s="422">
        <f>IF(W50,IF(OR(X50&lt;0,AND(Principal!Q61="-",$X$5)),"-",IF($X$5,MIN(Principal!Q61,X50),X50)),X50)</f>
        <v>-30</v>
      </c>
      <c r="T50" s="1804"/>
      <c r="U50" s="1801"/>
      <c r="V50" s="4190"/>
      <c r="W50" s="4190"/>
      <c r="X50" s="4190">
        <f t="shared" si="1"/>
        <v>-30</v>
      </c>
      <c r="Y50" s="607"/>
    </row>
    <row r="51" spans="1:25" ht="12" customHeight="1">
      <c r="A51" s="311"/>
      <c r="B51" s="316"/>
      <c r="C51" s="6168"/>
      <c r="D51" s="6169"/>
      <c r="E51" s="6170"/>
      <c r="F51" s="6161">
        <f>IF(20+10*'Tablas Sheele'!F128&lt;=50,20+10*'Tablas Sheele'!F128,50+1/2*(10*'Tablas Sheele'!F128-(50-20)))</f>
        <v>20</v>
      </c>
      <c r="G51" s="6162"/>
      <c r="H51" s="6169"/>
      <c r="I51" s="6169"/>
      <c r="J51" s="6170"/>
      <c r="K51" s="6145"/>
      <c r="L51" s="6146"/>
      <c r="N51" s="4321" t="s">
        <v>1329</v>
      </c>
      <c r="O51" s="4306" t="s">
        <v>1330</v>
      </c>
      <c r="P51" s="4306"/>
      <c r="Q51" s="4211" t="str">
        <f>IF(HLOOKUP(Sheele!$M$5,'Tablas Sheele'!$C$53:$AH$111,'Tablas Sheele'!B94,FALSE)=0,"",HLOOKUP(Sheele!$M$5,'Tablas Sheele'!$C$53:$AH$111,'Tablas Sheele'!B94,FALSE)+IF($X$9&gt;0,40+20*($X$9-1),0)+V51)</f>
        <v/>
      </c>
      <c r="R51" s="1981"/>
      <c r="S51" s="4208" t="str">
        <f>IF(W51,IF(OR(X51&lt;0,AND(Principal!Q62="-",$X$5)),"-",IF($X$5,MIN(Principal!Q62,X51),X51)),X51)</f>
        <v>-</v>
      </c>
      <c r="T51" s="1804"/>
      <c r="U51" s="1801"/>
      <c r="V51" s="4190">
        <f>IF(OR('Tablas Sheele'!F407=1,'Tablas Sheele'!F248=1),60,IF('Tablas Sheele'!F248=2,80,0))</f>
        <v>0</v>
      </c>
      <c r="W51" s="4190">
        <f>IF(OR(M5="Nobleza",M5="Caos",M5="Espacio",M5="Gemas"),0,1)</f>
        <v>1</v>
      </c>
      <c r="X51" s="4190">
        <f t="shared" si="1"/>
        <v>-30</v>
      </c>
      <c r="Y51" s="607"/>
    </row>
    <row r="52" spans="1:25" ht="12" customHeight="1">
      <c r="A52" s="311"/>
      <c r="B52" s="316"/>
      <c r="C52" s="6171" t="s">
        <v>2646</v>
      </c>
      <c r="D52" s="6172"/>
      <c r="E52" s="6173"/>
      <c r="F52" s="6114">
        <f>Místicos!L12</f>
        <v>0</v>
      </c>
      <c r="G52" s="6115"/>
      <c r="H52" s="6235" t="s">
        <v>1252</v>
      </c>
      <c r="I52" s="6172"/>
      <c r="J52" s="6173"/>
      <c r="K52" s="6139">
        <f>Turno_SinArmas_final+IF('Tablas Sheele'!F144,50,0)</f>
        <v>40</v>
      </c>
      <c r="L52" s="6140"/>
      <c r="N52" s="4322"/>
      <c r="O52" s="4306" t="s">
        <v>1331</v>
      </c>
      <c r="P52" s="4306"/>
      <c r="Q52" s="1032">
        <f>IF(HLOOKUP(Sheele!$M$5,'Tablas Sheele'!$C$53:$AH$111,'Tablas Sheele'!B95,FALSE)=0,"",HLOOKUP(Sheele!$M$5,'Tablas Sheele'!$C$53:$AH$111,'Tablas Sheele'!B95,FALSE)+IF($X$9&gt;0,40+20*($X$9-1),0)+V52)</f>
        <v>40</v>
      </c>
      <c r="R52" s="1982"/>
      <c r="S52" s="422" t="str">
        <f>IF(W52,IF(OR(X52&lt;0,AND(Principal!Q63="-",$X$5)),"-",IF($X$5,MIN(Principal!Q63,X52),X52)),X52)</f>
        <v>-</v>
      </c>
      <c r="T52" s="1804"/>
      <c r="U52" s="1801"/>
      <c r="V52" s="4190">
        <f>IF('Tablas Sheele'!F248=1,60,IF('Tablas Sheele'!F248=2,80,0))</f>
        <v>0</v>
      </c>
      <c r="W52" s="4190">
        <f>IF(OR(M5="Musical",M5="Nobleza",M5="Caos"),0,1)</f>
        <v>1</v>
      </c>
      <c r="X52" s="4190">
        <f t="shared" si="1"/>
        <v>40</v>
      </c>
      <c r="Y52" s="607"/>
    </row>
    <row r="53" spans="1:25" ht="12" customHeight="1">
      <c r="A53" s="311"/>
      <c r="B53" s="316"/>
      <c r="C53" s="6171"/>
      <c r="D53" s="6172"/>
      <c r="E53" s="6173"/>
      <c r="F53" s="6114"/>
      <c r="G53" s="6115"/>
      <c r="H53" s="6235"/>
      <c r="I53" s="6172"/>
      <c r="J53" s="6173"/>
      <c r="K53" s="6141"/>
      <c r="L53" s="6142"/>
      <c r="N53" s="4322"/>
      <c r="O53" s="4306" t="s">
        <v>1332</v>
      </c>
      <c r="P53" s="4306"/>
      <c r="Q53" s="1032" t="str">
        <f>IF(HLOOKUP(Sheele!$M$5,'Tablas Sheele'!$C$53:$AH$111,'Tablas Sheele'!B96,FALSE)=0,"",HLOOKUP(Sheele!$M$5,'Tablas Sheele'!$C$53:$AH$111,'Tablas Sheele'!B96,FALSE)+IF($X$9&gt;0,40+20*($X$9-1),0)+V53)</f>
        <v/>
      </c>
      <c r="R53" s="1982"/>
      <c r="S53" s="422">
        <f>IF(W53,IF(OR(X53&lt;0,AND(Principal!Q64="-",$X$5)),"-",IF($X$5,MIN(Principal!Q64,X53),X53)),X53)</f>
        <v>-30</v>
      </c>
      <c r="T53" s="1804"/>
      <c r="U53" s="1801"/>
      <c r="V53" s="4190"/>
      <c r="W53" s="4190"/>
      <c r="X53" s="4190">
        <f t="shared" si="1"/>
        <v>-30</v>
      </c>
      <c r="Y53" s="607"/>
    </row>
    <row r="54" spans="1:25" ht="12" customHeight="1">
      <c r="A54" s="311"/>
      <c r="B54" s="316"/>
      <c r="C54" s="6174" t="s">
        <v>2648</v>
      </c>
      <c r="D54" s="6175"/>
      <c r="E54" s="6176"/>
      <c r="F54" s="6112">
        <f>5*'Tablas Sheele'!F129+IF('Tablas Sheele'!F306,10,0)</f>
        <v>0</v>
      </c>
      <c r="G54" s="6113"/>
      <c r="H54" s="6234" t="s">
        <v>9934</v>
      </c>
      <c r="I54" s="6169"/>
      <c r="J54" s="6170"/>
      <c r="K54" s="6229">
        <f>VLOOKUP(G12+G10,Tabla_NumAcciones,2)</f>
        <v>3</v>
      </c>
      <c r="L54" s="6230"/>
      <c r="N54" s="4322"/>
      <c r="O54" s="4306" t="s">
        <v>682</v>
      </c>
      <c r="P54" s="4306"/>
      <c r="Q54" s="1032" t="str">
        <f>IF(HLOOKUP(Sheele!$M$5,'Tablas Sheele'!$C$53:$AH$111,'Tablas Sheele'!B97,FALSE)=0,"",HLOOKUP(Sheele!$M$5,'Tablas Sheele'!$C$53:$AH$111,'Tablas Sheele'!B97,FALSE)+IF($X$9&gt;0,40+20*($X$9-1),0)+V54)</f>
        <v/>
      </c>
      <c r="R54" s="1982"/>
      <c r="S54" s="422">
        <f>IF(W54,IF(OR(X54&lt;0,AND(Principal!Q65="-",$X$5)),"-",IF($X$5,MIN(Principal!Q65,X54),X54)),X54)</f>
        <v>-30</v>
      </c>
      <c r="T54" s="1804"/>
      <c r="U54" s="1801"/>
      <c r="V54" s="4190"/>
      <c r="W54" s="4190"/>
      <c r="X54" s="4190">
        <f t="shared" si="1"/>
        <v>-30</v>
      </c>
      <c r="Y54" s="607"/>
    </row>
    <row r="55" spans="1:25" ht="12" customHeight="1" thickBot="1">
      <c r="A55" s="311"/>
      <c r="B55" s="316"/>
      <c r="C55" s="6177"/>
      <c r="D55" s="6178"/>
      <c r="E55" s="6179"/>
      <c r="F55" s="6163"/>
      <c r="G55" s="6164"/>
      <c r="H55" s="6236"/>
      <c r="I55" s="6237"/>
      <c r="J55" s="6238"/>
      <c r="K55" s="6231"/>
      <c r="L55" s="6232"/>
      <c r="N55" s="4322"/>
      <c r="O55" s="4306" t="s">
        <v>683</v>
      </c>
      <c r="P55" s="4306"/>
      <c r="Q55" s="1032" t="str">
        <f>IF(HLOOKUP(Sheele!$M$5,'Tablas Sheele'!$C$53:$AH$111,'Tablas Sheele'!B98,FALSE)=0,"",HLOOKUP(Sheele!$M$5,'Tablas Sheele'!$C$53:$AH$111,'Tablas Sheele'!B98,FALSE)+IF($X$9&gt;0,40+20*($X$9-1),0)+V55)</f>
        <v/>
      </c>
      <c r="R55" s="1982"/>
      <c r="S55" s="422">
        <f>IF(W55,IF(OR(X55&lt;0,AND(Principal!Q66="-",$X$5)),"-",IF($X$5,MIN(Principal!Q66,X55),X55)),X55)</f>
        <v>-30</v>
      </c>
      <c r="T55" s="1804"/>
      <c r="U55" s="1801"/>
      <c r="V55" s="4190"/>
      <c r="W55" s="4190"/>
      <c r="X55" s="4190">
        <f t="shared" si="1"/>
        <v>-30</v>
      </c>
      <c r="Y55" s="607"/>
    </row>
    <row r="56" spans="1:25" ht="12" customHeight="1" thickBot="1">
      <c r="A56" s="311"/>
      <c r="B56" s="316"/>
      <c r="N56" s="4322"/>
      <c r="O56" s="4306" t="s">
        <v>684</v>
      </c>
      <c r="P56" s="4306"/>
      <c r="Q56" s="1032" t="str">
        <f>IF(HLOOKUP(Sheele!$M$5,'Tablas Sheele'!$C$53:$AH$111,'Tablas Sheele'!B99,FALSE)=0,"",HLOOKUP(Sheele!$M$5,'Tablas Sheele'!$C$53:$AH$111,'Tablas Sheele'!B99,FALSE)+IF($X$9&gt;0,40+20*($X$9-1),0)+V56)</f>
        <v/>
      </c>
      <c r="R56" s="1982"/>
      <c r="S56" s="422">
        <f>IF(W56,IF(OR(X56&lt;0,AND(Principal!Q67="-",$X$5)),"-",IF($X$5,MIN(Principal!Q67,X56),X56)),X56)</f>
        <v>-30</v>
      </c>
      <c r="T56" s="1804"/>
      <c r="U56" s="1801"/>
      <c r="V56" s="4190"/>
      <c r="W56" s="4190"/>
      <c r="X56" s="4190">
        <f t="shared" si="1"/>
        <v>-30</v>
      </c>
      <c r="Y56" s="607"/>
    </row>
    <row r="57" spans="1:25" ht="12" customHeight="1">
      <c r="A57" s="311"/>
      <c r="B57" s="316"/>
      <c r="C57" s="6071" t="s">
        <v>9543</v>
      </c>
      <c r="D57" s="6072"/>
      <c r="E57" s="6072"/>
      <c r="F57" s="6072"/>
      <c r="G57" s="6072"/>
      <c r="H57" s="6072"/>
      <c r="I57" s="6072"/>
      <c r="J57" s="6072"/>
      <c r="K57" s="6072"/>
      <c r="L57" s="6073"/>
      <c r="N57" s="4322"/>
      <c r="O57" s="4306" t="s">
        <v>1333</v>
      </c>
      <c r="P57" s="4306"/>
      <c r="Q57" s="1032" t="str">
        <f>IF(HLOOKUP(Sheele!$M$5,'Tablas Sheele'!$C$53:$AH$111,'Tablas Sheele'!B100,FALSE)=0,"",HLOOKUP(Sheele!$M$5,'Tablas Sheele'!$C$53:$AH$111,'Tablas Sheele'!B100,FALSE)+IF($X$9&gt;0,40+20*($X$9-1),0)+V57)</f>
        <v/>
      </c>
      <c r="R57" s="1982"/>
      <c r="S57" s="422" t="str">
        <f>IF(W57,IF(OR(X57&lt;0,AND(Principal!Q68="-",$X$5)),"-",IF($X$5,MIN(Principal!Q68,X57),X57)),X57)</f>
        <v>-</v>
      </c>
      <c r="T57" s="1804"/>
      <c r="U57" s="1801"/>
      <c r="V57" s="4190">
        <f>IF('Tablas Sheele'!F248=1,60,IF(OR('Tablas Sheele'!F248=2,'Tablas Sheele'!F356&gt;0),80,0))</f>
        <v>0</v>
      </c>
      <c r="W57" s="4190">
        <f>IF(OR(M5="Nobleza",M5="Caos",M5="Musical"),0,1)</f>
        <v>1</v>
      </c>
      <c r="X57" s="4190">
        <f t="shared" si="1"/>
        <v>-30</v>
      </c>
      <c r="Y57" s="607"/>
    </row>
    <row r="58" spans="1:25" ht="12" customHeight="1">
      <c r="A58" s="311"/>
      <c r="B58" s="316"/>
      <c r="C58" s="6074"/>
      <c r="D58" s="6075"/>
      <c r="E58" s="6075"/>
      <c r="F58" s="6075"/>
      <c r="G58" s="6075"/>
      <c r="H58" s="6075"/>
      <c r="I58" s="6075"/>
      <c r="J58" s="6075"/>
      <c r="K58" s="6075"/>
      <c r="L58" s="6076"/>
      <c r="N58" s="4322"/>
      <c r="O58" s="4306" t="s">
        <v>1335</v>
      </c>
      <c r="P58" s="4306"/>
      <c r="Q58" s="1032">
        <f>IF(HLOOKUP(Sheele!$M$5,'Tablas Sheele'!$C$53:$AH$111,'Tablas Sheele'!B101,FALSE)=0,"",HLOOKUP(Sheele!$M$5,'Tablas Sheele'!$C$53:$AH$111,'Tablas Sheele'!B101,FALSE)+IF($X$9&gt;0,40+20*($X$9-1),0)+V58)</f>
        <v>20</v>
      </c>
      <c r="R58" s="1982"/>
      <c r="S58" s="422">
        <f>IF(W58,IF(OR(X58&lt;0,AND(Principal!Q69="-",$X$5)),"-",IF($X$5,MIN(Principal!Q69,X58),X58)),X58)</f>
        <v>20</v>
      </c>
      <c r="T58" s="1804"/>
      <c r="U58" s="1801"/>
      <c r="V58" s="4190"/>
      <c r="W58" s="4190"/>
      <c r="X58" s="4190">
        <f t="shared" si="1"/>
        <v>20</v>
      </c>
      <c r="Y58" s="607"/>
    </row>
    <row r="59" spans="1:25" ht="12" customHeight="1">
      <c r="A59" s="311"/>
      <c r="B59" s="316"/>
      <c r="C59" s="6241" t="s">
        <v>1262</v>
      </c>
      <c r="D59" s="6242"/>
      <c r="E59" s="6213" t="str">
        <f>IF('Tablas Sheele'!F122&gt;0,I4+'Tablas Sheele'!F125,"-")</f>
        <v>-</v>
      </c>
      <c r="F59" s="6214"/>
      <c r="G59" s="6065" t="s">
        <v>2639</v>
      </c>
      <c r="H59" s="6066"/>
      <c r="I59" s="6069" t="str">
        <f>IF('Tablas Sheele'!F122&gt;0,150,"-")</f>
        <v>-</v>
      </c>
      <c r="J59" s="6065" t="s">
        <v>2640</v>
      </c>
      <c r="K59" s="6066"/>
      <c r="L59" s="6063" t="str">
        <f>IF('Tablas Sheele'!F122&gt;0,MAX(10,25+E59*5-'Tablas Sheele'!F123*10)&amp;" / asalto","-")</f>
        <v>-</v>
      </c>
      <c r="N59" s="4322"/>
      <c r="O59" s="4306" t="s">
        <v>5859</v>
      </c>
      <c r="P59" s="4306"/>
      <c r="Q59" s="1032" t="str">
        <f>IF(HLOOKUP(Sheele!$M$5,'Tablas Sheele'!$C$53:$AH$111,'Tablas Sheele'!B102,FALSE)=0,"",HLOOKUP(Sheele!$M$5,'Tablas Sheele'!$C$53:$AH$111,'Tablas Sheele'!B102,FALSE)+IF($X$9&gt;0,40+20*($X$9-1),0)+V59)</f>
        <v/>
      </c>
      <c r="R59" s="1982"/>
      <c r="S59" s="422">
        <f>IF(W59,IF(OR(X59&lt;0,AND(Principal!Q70="-",$X$5)),"-",IF($X$5,MIN(Principal!Q70,X59),X59)),X59)</f>
        <v>-30</v>
      </c>
      <c r="T59" s="1804"/>
      <c r="U59" s="1801"/>
      <c r="V59" s="4190"/>
      <c r="W59" s="4190"/>
      <c r="X59" s="4190">
        <f t="shared" si="1"/>
        <v>-30</v>
      </c>
      <c r="Y59" s="607"/>
    </row>
    <row r="60" spans="1:25" ht="12" customHeight="1" thickBot="1">
      <c r="A60" s="311"/>
      <c r="B60" s="316"/>
      <c r="C60" s="6243"/>
      <c r="D60" s="6244"/>
      <c r="E60" s="6215"/>
      <c r="F60" s="6216"/>
      <c r="G60" s="6067"/>
      <c r="H60" s="6068"/>
      <c r="I60" s="6070"/>
      <c r="J60" s="6067"/>
      <c r="K60" s="6068"/>
      <c r="L60" s="6064"/>
      <c r="N60" s="4322"/>
      <c r="O60" s="4306" t="s">
        <v>5860</v>
      </c>
      <c r="P60" s="4306"/>
      <c r="Q60" s="1032" t="str">
        <f>IF(HLOOKUP(Sheele!$M$5,'Tablas Sheele'!$C$53:$AH$111,'Tablas Sheele'!B103,FALSE)=0,"",HLOOKUP(Sheele!$M$5,'Tablas Sheele'!$C$53:$AH$111,'Tablas Sheele'!B103,FALSE)+IF($X$9&gt;0,40+20*($X$9-1),0)+V60)</f>
        <v/>
      </c>
      <c r="R60" s="1982"/>
      <c r="S60" s="422">
        <f>IF(W60,IF(OR(X60&lt;0,AND(Principal!Q71="-",$X$5)),"-",IF($X$5,MIN(Principal!Q71,X60),X60)),X60)</f>
        <v>-30</v>
      </c>
      <c r="T60" s="2061"/>
      <c r="U60" s="1801"/>
      <c r="V60" s="4190">
        <f>IF('Tablas Sheele'!F450=1,60,0)</f>
        <v>0</v>
      </c>
      <c r="W60" s="4190"/>
      <c r="X60" s="4190">
        <f t="shared" si="1"/>
        <v>-30</v>
      </c>
      <c r="Y60" s="607"/>
    </row>
    <row r="61" spans="1:25" ht="12" customHeight="1">
      <c r="A61" s="311"/>
      <c r="B61" s="316"/>
      <c r="C61" s="6054" t="str">
        <f>"Crea una ficha independiente de criatura con Gnosis "&amp;IF('Tablas Sheele'!F124&gt;0,30,20)</f>
        <v>Crea una ficha independiente de criatura con Gnosis 20</v>
      </c>
      <c r="D61" s="6055"/>
      <c r="E61" s="6055"/>
      <c r="F61" s="6055"/>
      <c r="G61" s="6055"/>
      <c r="H61" s="6055"/>
      <c r="I61" s="6055"/>
      <c r="J61" s="6055"/>
      <c r="K61" s="6055"/>
      <c r="L61" s="6056"/>
      <c r="N61" s="4322"/>
      <c r="O61" s="4306" t="s">
        <v>5861</v>
      </c>
      <c r="P61" s="4306"/>
      <c r="Q61" s="1032" t="str">
        <f>IF(HLOOKUP(Sheele!$M$5,'Tablas Sheele'!$C$53:$AH$111,'Tablas Sheele'!B104,FALSE)=0,"",HLOOKUP(Sheele!$M$5,'Tablas Sheele'!$C$53:$AH$111,'Tablas Sheele'!B104,FALSE)+IF($X$9&gt;0,40+20*($X$9-1),0)+V61)</f>
        <v/>
      </c>
      <c r="R61" s="1982"/>
      <c r="S61" s="422">
        <f>IF(W61,IF(OR(X61&lt;0,AND(Principal!Q72="-",$X$5)),"-",IF($X$5,MIN(Principal!Q72,X61),X61)),X61)</f>
        <v>-30</v>
      </c>
      <c r="T61" s="1803"/>
      <c r="U61" s="1801"/>
      <c r="V61" s="4190"/>
      <c r="W61" s="4190"/>
      <c r="X61" s="4190">
        <f t="shared" si="1"/>
        <v>-30</v>
      </c>
      <c r="Y61" s="607"/>
    </row>
    <row r="62" spans="1:25" ht="12" customHeight="1">
      <c r="A62" s="311"/>
      <c r="B62" s="316"/>
      <c r="C62" s="6057"/>
      <c r="D62" s="6058"/>
      <c r="E62" s="6058"/>
      <c r="F62" s="6058"/>
      <c r="G62" s="6058"/>
      <c r="H62" s="6058"/>
      <c r="I62" s="6058"/>
      <c r="J62" s="6058"/>
      <c r="K62" s="6058"/>
      <c r="L62" s="6059"/>
      <c r="N62" s="4323"/>
      <c r="O62" s="6251" t="s">
        <v>5862</v>
      </c>
      <c r="P62" s="6252"/>
      <c r="Q62" s="4207" t="str">
        <f>IF(HLOOKUP(Sheele!$M$5,'Tablas Sheele'!$C$53:$AH$111,'Tablas Sheele'!B105,FALSE)=0,"",HLOOKUP(Sheele!$M$5,'Tablas Sheele'!$C$53:$AH$111,'Tablas Sheele'!B105,FALSE)+IF($X$9&gt;0,40+20*($X$9-1),0)+V62)</f>
        <v/>
      </c>
      <c r="R62" s="1983"/>
      <c r="S62" s="422">
        <f>IF(W62,IF(OR(X62&lt;0,AND(Principal!Q73="-",$X$5)),"-",IF($X$5,MIN(Principal!Q73,X62),X62)),X62)</f>
        <v>-30</v>
      </c>
      <c r="T62" s="2061"/>
      <c r="U62" s="1801"/>
      <c r="V62" s="4190"/>
      <c r="W62" s="4190"/>
      <c r="X62" s="4190">
        <f t="shared" si="1"/>
        <v>-30</v>
      </c>
      <c r="Y62" s="607"/>
    </row>
    <row r="63" spans="1:25" ht="12" customHeight="1">
      <c r="A63" s="311"/>
      <c r="B63" s="316"/>
      <c r="C63" s="6057" t="s">
        <v>2645</v>
      </c>
      <c r="D63" s="6058"/>
      <c r="E63" s="6058"/>
      <c r="F63" s="6058"/>
      <c r="G63" s="6058"/>
      <c r="H63" s="6058"/>
      <c r="I63" s="6058"/>
      <c r="J63" s="6058"/>
      <c r="K63" s="6058"/>
      <c r="L63" s="6059"/>
      <c r="N63" s="4322" t="s">
        <v>1336</v>
      </c>
      <c r="O63" s="4306" t="str">
        <f>IF(PDs!P199="","-",PDs!P199)</f>
        <v>-</v>
      </c>
      <c r="P63" s="4306"/>
      <c r="Q63" s="1032" t="str">
        <f>IF(HLOOKUP(Sheele!$M$5,'Tablas Sheele'!$C$53:$AH$111,'Tablas Sheele'!B106,FALSE)=0,"",HLOOKUP(Sheele!$M$5,'Tablas Sheele'!$C$53:$AH$111,'Tablas Sheele'!B106,FALSE)+IF($X$9&gt;0,40+20*($X$9-1),0)+V63)</f>
        <v/>
      </c>
      <c r="R63" s="1985"/>
      <c r="S63" s="4208">
        <f>IF(W63,IF(OR(X63&lt;0,AND(Principal!Q74="-",$X$5)),"-",IF($X$5,MIN(Principal!Q74,X63),X63)),X63)</f>
        <v>-30</v>
      </c>
      <c r="T63" s="1803"/>
      <c r="U63" s="1801"/>
      <c r="V63" s="4190"/>
      <c r="W63" s="4190"/>
      <c r="X63" s="4190">
        <f t="shared" si="1"/>
        <v>-30</v>
      </c>
    </row>
    <row r="64" spans="1:25" ht="12" customHeight="1">
      <c r="A64" s="311"/>
      <c r="B64" s="262"/>
      <c r="C64" s="6057"/>
      <c r="D64" s="6058"/>
      <c r="E64" s="6058"/>
      <c r="F64" s="6058"/>
      <c r="G64" s="6058"/>
      <c r="H64" s="6058"/>
      <c r="I64" s="6058"/>
      <c r="J64" s="6058"/>
      <c r="K64" s="6058"/>
      <c r="L64" s="6059"/>
      <c r="N64" s="4322"/>
      <c r="O64" s="4306" t="str">
        <f>IF(PDs!P200="","-",PDs!P200)</f>
        <v>-</v>
      </c>
      <c r="P64" s="4306"/>
      <c r="Q64" s="1032" t="str">
        <f>IF(HLOOKUP(Sheele!$M$5,'Tablas Sheele'!$C$53:$AH$111,'Tablas Sheele'!B107,FALSE)=0,"",HLOOKUP(Sheele!$M$5,'Tablas Sheele'!$C$53:$AH$111,'Tablas Sheele'!B107,FALSE)+IF($X$9&gt;0,40+20*($X$9-1),0)+V64)</f>
        <v/>
      </c>
      <c r="R64" s="1982"/>
      <c r="S64" s="422">
        <f>IF(W64,IF(OR(X64&lt;0,AND(Principal!Q75="-",$X$5)),"-",IF($X$5,MIN(Principal!Q75,X64),X64)),X64)</f>
        <v>-30</v>
      </c>
      <c r="T64" s="1803"/>
      <c r="U64" s="1801"/>
      <c r="V64" s="4190"/>
      <c r="W64" s="4190"/>
      <c r="X64" s="4190">
        <f t="shared" si="1"/>
        <v>-30</v>
      </c>
    </row>
    <row r="65" spans="1:24" ht="12" customHeight="1">
      <c r="A65" s="311"/>
      <c r="B65" s="262"/>
      <c r="C65" s="6057" t="s">
        <v>9544</v>
      </c>
      <c r="D65" s="6058"/>
      <c r="E65" s="6058"/>
      <c r="F65" s="6058"/>
      <c r="G65" s="6058"/>
      <c r="H65" s="6058"/>
      <c r="I65" s="6058"/>
      <c r="J65" s="6058"/>
      <c r="K65" s="6058"/>
      <c r="L65" s="6059"/>
      <c r="N65" s="4322"/>
      <c r="O65" s="4306" t="str">
        <f>IF(PDs!P201="","-",PDs!P201)</f>
        <v>-</v>
      </c>
      <c r="P65" s="4306"/>
      <c r="Q65" s="1032" t="str">
        <f>IF(HLOOKUP(Sheele!$M$5,'Tablas Sheele'!$C$53:$AH$111,'Tablas Sheele'!B108,FALSE)=0,"",HLOOKUP(Sheele!$M$5,'Tablas Sheele'!$C$53:$AH$111,'Tablas Sheele'!B108,FALSE)+IF($X$9&gt;0,40+20*($X$9-1),0)+V65)</f>
        <v/>
      </c>
      <c r="R65" s="1982"/>
      <c r="S65" s="422">
        <f>IF(W65,IF(OR(X65&lt;0,AND(Principal!Q76="-",$X$5)),"-",IF($X$5,MIN(Principal!Q76,X65),X65)),X65)</f>
        <v>-30</v>
      </c>
      <c r="T65" s="1803"/>
      <c r="U65" s="1801"/>
      <c r="V65" s="4190"/>
      <c r="W65" s="4190"/>
      <c r="X65" s="4190">
        <f t="shared" si="1"/>
        <v>-30</v>
      </c>
    </row>
    <row r="66" spans="1:24" ht="12" customHeight="1">
      <c r="A66" s="311"/>
      <c r="B66" s="262"/>
      <c r="C66" s="6060"/>
      <c r="D66" s="6061"/>
      <c r="E66" s="6061"/>
      <c r="F66" s="6061"/>
      <c r="G66" s="6061"/>
      <c r="H66" s="6061"/>
      <c r="I66" s="6061"/>
      <c r="J66" s="6061"/>
      <c r="K66" s="6061"/>
      <c r="L66" s="6062"/>
      <c r="N66" s="4322"/>
      <c r="O66" s="4306" t="str">
        <f>IF(PDs!P202="","-",PDs!P202)</f>
        <v>-</v>
      </c>
      <c r="P66" s="4306"/>
      <c r="Q66" s="1032" t="str">
        <f>IF(HLOOKUP(Sheele!$M$5,'Tablas Sheele'!$C$53:$AH$111,'Tablas Sheele'!B109,FALSE)=0,"",HLOOKUP(Sheele!$M$5,'Tablas Sheele'!$C$53:$AH$111,'Tablas Sheele'!B109,FALSE)+IF($X$9&gt;0,40+20*($X$9-1),0)+V66)</f>
        <v/>
      </c>
      <c r="R66" s="1982"/>
      <c r="S66" s="422">
        <f>IF(W66,IF(OR(X66&lt;0,AND(Principal!Q77="-",$X$5)),"-",IF($X$5,MIN(Principal!Q77,X66),X66)),X66)</f>
        <v>-30</v>
      </c>
      <c r="T66" s="1803"/>
      <c r="U66" s="1801"/>
      <c r="V66" s="4190"/>
      <c r="W66" s="4190"/>
      <c r="X66" s="4190">
        <f t="shared" si="1"/>
        <v>-30</v>
      </c>
    </row>
    <row r="67" spans="1:24" ht="12" customHeight="1" thickBot="1">
      <c r="A67" s="311"/>
      <c r="B67" s="262"/>
      <c r="N67" s="4523"/>
      <c r="O67" s="4524" t="str">
        <f>IF(PDs!P203="","-",PDs!P203)</f>
        <v>-</v>
      </c>
      <c r="P67" s="4524"/>
      <c r="Q67" s="4210" t="str">
        <f>IF(HLOOKUP(Sheele!$M$5,'Tablas Sheele'!$C$53:$AH$111,'Tablas Sheele'!B110,FALSE)=0,"",HLOOKUP(Sheele!$M$5,'Tablas Sheele'!$C$53:$AH$111,'Tablas Sheele'!B110,FALSE)+IF($X$9&gt;0,40+20*($X$9-1),0)+V67)</f>
        <v/>
      </c>
      <c r="R67" s="1986"/>
      <c r="S67" s="4209">
        <f>IF(W67,IF(OR(X67&lt;0,AND(Principal!Q78="-",$X$5)),"-",IF($X$5,MIN(Principal!Q78,X67),X67)),X67)</f>
        <v>-30</v>
      </c>
      <c r="T67" s="1803"/>
      <c r="U67" s="1801"/>
      <c r="V67" s="4190"/>
      <c r="W67" s="4190"/>
      <c r="X67" s="4190">
        <f t="shared" si="1"/>
        <v>-30</v>
      </c>
    </row>
    <row r="68" spans="1:24" ht="12" customHeight="1" thickBot="1">
      <c r="A68" s="311"/>
      <c r="B68" s="262"/>
      <c r="T68" s="1803"/>
      <c r="U68" s="1801"/>
      <c r="V68" s="4190"/>
      <c r="W68" s="4190"/>
      <c r="X68" s="4190"/>
    </row>
    <row r="69" spans="1:24" ht="12" customHeight="1">
      <c r="A69" s="311"/>
      <c r="B69" s="262"/>
      <c r="C69" s="6223" t="s">
        <v>2653</v>
      </c>
      <c r="D69" s="6224"/>
      <c r="E69" s="6224"/>
      <c r="F69" s="6224"/>
      <c r="G69" s="6224"/>
      <c r="H69" s="6224"/>
      <c r="I69" s="6224"/>
      <c r="J69" s="6224"/>
      <c r="K69" s="6224"/>
      <c r="L69" s="6224"/>
      <c r="M69" s="6224"/>
      <c r="N69" s="6224"/>
      <c r="O69" s="6224"/>
      <c r="P69" s="6224"/>
      <c r="Q69" s="6224"/>
      <c r="R69" s="6224"/>
      <c r="S69" s="6225"/>
      <c r="T69" s="1803"/>
      <c r="U69" s="1801"/>
      <c r="V69" s="607"/>
      <c r="W69" s="607"/>
      <c r="X69" s="607"/>
    </row>
    <row r="70" spans="1:24" ht="12" customHeight="1">
      <c r="A70" s="311"/>
      <c r="B70" s="262"/>
      <c r="C70" s="6253" t="s">
        <v>2654</v>
      </c>
      <c r="D70" s="6254"/>
      <c r="E70" s="2146" t="s">
        <v>2500</v>
      </c>
      <c r="F70" s="2454" t="s">
        <v>2655</v>
      </c>
      <c r="G70" s="2146" t="s">
        <v>1425</v>
      </c>
      <c r="H70" s="6043" t="s">
        <v>1408</v>
      </c>
      <c r="I70" s="6208"/>
      <c r="J70" s="6208"/>
      <c r="K70" s="6208"/>
      <c r="L70" s="6208"/>
      <c r="M70" s="6208"/>
      <c r="N70" s="6208"/>
      <c r="O70" s="6208"/>
      <c r="P70" s="6208"/>
      <c r="Q70" s="6208"/>
      <c r="R70" s="6208"/>
      <c r="S70" s="6209"/>
      <c r="T70" s="1803"/>
      <c r="U70" s="1801"/>
    </row>
    <row r="71" spans="1:24" ht="12" customHeight="1">
      <c r="A71" s="311"/>
      <c r="B71" s="262"/>
      <c r="C71" s="6079" t="str">
        <f>INDEX('Tablas Sheele'!$U$116:$U$270,MATCH(Sheele!$M$5,'Tablas Sheele'!$U$116:$U$270,0)+'Tablas Sheele'!A1)</f>
        <v>Vuelo Místico 10</v>
      </c>
      <c r="D71" s="6080"/>
      <c r="E71" s="2455" t="str">
        <f>IF($C71=" ","","-")</f>
        <v>-</v>
      </c>
      <c r="F71" s="2455" t="str">
        <f>IF($C71=" ","","-")</f>
        <v>-</v>
      </c>
      <c r="G71" s="2147" t="str">
        <f>IF($C71=" ","","-")</f>
        <v>-</v>
      </c>
      <c r="H71" s="6210" t="str">
        <f>IF(C71=" ","",VLOOKUP(C71,'Tablas Sheele'!$U$116:$W$270,3,FALSE))</f>
        <v>Puede volar con Tipo de Movimiento 10</v>
      </c>
      <c r="I71" s="6211"/>
      <c r="J71" s="6211"/>
      <c r="K71" s="6211"/>
      <c r="L71" s="6211"/>
      <c r="M71" s="6211"/>
      <c r="N71" s="6211"/>
      <c r="O71" s="6211"/>
      <c r="P71" s="6211"/>
      <c r="Q71" s="6211"/>
      <c r="R71" s="6211"/>
      <c r="S71" s="6212"/>
      <c r="T71" s="1803"/>
      <c r="U71" s="1801"/>
    </row>
    <row r="72" spans="1:24" ht="12" customHeight="1">
      <c r="A72" s="311"/>
      <c r="B72" s="262"/>
      <c r="C72" s="6081" t="str">
        <f>INDEX('Tablas Sheele'!$U$116:$U$270,MATCH(Sheele!$M$5,'Tablas Sheele'!$U$116:$U$270,0)+'Tablas Sheele'!A2)</f>
        <v>Movimiento Defensivo</v>
      </c>
      <c r="D72" s="6082"/>
      <c r="E72" s="2148" t="str">
        <f>IF($C72=" ","","-")</f>
        <v>-</v>
      </c>
      <c r="F72" s="2148" t="str">
        <f>IF($C72=" ","",IF(C72='Tablas Sheele'!U128,Sheele!F46,"-"))</f>
        <v>-</v>
      </c>
      <c r="G72" s="326" t="str">
        <f>IF($C72=" ","","-")</f>
        <v>-</v>
      </c>
      <c r="H72" s="6183" t="str">
        <f>IF(C72=" ","",VLOOKUP(C72,'Tablas Sheele'!$U$116:$W$270,3,FALSE))</f>
        <v>Usa su Proyección Mágica como Esquiva.</v>
      </c>
      <c r="I72" s="6184"/>
      <c r="J72" s="6184"/>
      <c r="K72" s="6184"/>
      <c r="L72" s="6184"/>
      <c r="M72" s="6184"/>
      <c r="N72" s="6184"/>
      <c r="O72" s="6184"/>
      <c r="P72" s="6184"/>
      <c r="Q72" s="6184"/>
      <c r="R72" s="6184"/>
      <c r="S72" s="6185"/>
      <c r="T72" s="1803"/>
      <c r="U72" s="1801"/>
    </row>
    <row r="73" spans="1:24" ht="12" customHeight="1">
      <c r="A73" s="311"/>
      <c r="B73" s="262"/>
      <c r="C73" s="6081" t="str">
        <f>INDEX('Tablas Sheele'!$U$116:$U$270,MATCH(Sheele!$M$5,'Tablas Sheele'!$U$116:$U$270,0)+'Tablas Sheele'!A3)</f>
        <v xml:space="preserve"> </v>
      </c>
      <c r="D73" s="6082"/>
      <c r="E73" s="2148" t="str">
        <f>IF($C73=" ","","-")</f>
        <v/>
      </c>
      <c r="F73" s="2148" t="str">
        <f>IF($C73=" ","","-")</f>
        <v/>
      </c>
      <c r="G73" s="326" t="str">
        <f>IF($C73=" ","","-")</f>
        <v/>
      </c>
      <c r="H73" s="6183" t="str">
        <f>IF(C73=" ","",VLOOKUP(C73,'Tablas Sheele'!$U$116:$W$270,3,FALSE))</f>
        <v/>
      </c>
      <c r="I73" s="6184"/>
      <c r="J73" s="6184"/>
      <c r="K73" s="6184"/>
      <c r="L73" s="6184"/>
      <c r="M73" s="6184"/>
      <c r="N73" s="6184"/>
      <c r="O73" s="6184"/>
      <c r="P73" s="6184"/>
      <c r="Q73" s="6184"/>
      <c r="R73" s="6184"/>
      <c r="S73" s="6185"/>
      <c r="T73" s="1803"/>
      <c r="U73" s="1801"/>
    </row>
    <row r="74" spans="1:24" ht="12" customHeight="1">
      <c r="A74" s="311"/>
      <c r="B74" s="262"/>
      <c r="C74" s="6081" t="str">
        <f>INDEX('Tablas Sheele'!$U$116:$U$270,MATCH(Sheele!$M$5,'Tablas Sheele'!$U$116:$U$270,0)+'Tablas Sheele'!A4)</f>
        <v xml:space="preserve"> </v>
      </c>
      <c r="D74" s="6082"/>
      <c r="E74" s="2476" t="str">
        <f>IF($C74=" ","","-")</f>
        <v/>
      </c>
      <c r="F74" s="2476" t="str">
        <f>IF($C74=" ","","-")</f>
        <v/>
      </c>
      <c r="G74" s="2477" t="str">
        <f>IF($C74=" ","","-")</f>
        <v/>
      </c>
      <c r="H74" s="6183" t="str">
        <f>IF(C74=" ","",VLOOKUP(C74,'Tablas Sheele'!$U$116:$W$270,3,FALSE))</f>
        <v/>
      </c>
      <c r="I74" s="6184"/>
      <c r="J74" s="6184"/>
      <c r="K74" s="6184"/>
      <c r="L74" s="6184"/>
      <c r="M74" s="6184"/>
      <c r="N74" s="6184"/>
      <c r="O74" s="6184"/>
      <c r="P74" s="6184"/>
      <c r="Q74" s="6184"/>
      <c r="R74" s="6184"/>
      <c r="S74" s="6185"/>
      <c r="T74" s="1803"/>
      <c r="U74" s="1801"/>
    </row>
    <row r="75" spans="1:24" ht="12" customHeight="1">
      <c r="A75" s="311"/>
      <c r="B75" s="262"/>
      <c r="C75" s="6079" t="str">
        <f>IF(COUNTA($C$74:C74)&lt;='Tablas Sheele'!$H$475,VLOOKUP('Tablas Sheele'!A1,'Tablas Sheele'!$B$134:$R$474,3,FALSE),"")</f>
        <v/>
      </c>
      <c r="D75" s="6080"/>
      <c r="E75" s="2455" t="str">
        <f>IF($C75="","",VLOOKUP('Tablas Sheele'!$A1,'Tablas Sheele'!$B$134:$R$474,8,FALSE))</f>
        <v/>
      </c>
      <c r="F75" s="2455" t="str">
        <f>IF($C75="","",VLOOKUP('Tablas Sheele'!$A1,'Tablas Sheele'!$B$134:$R$474,9,FALSE))</f>
        <v/>
      </c>
      <c r="G75" s="2147" t="str">
        <f>IF($C75="","",VLOOKUP('Tablas Sheele'!$A1,'Tablas Sheele'!$B$134:$R$474,10,FALSE))</f>
        <v/>
      </c>
      <c r="H75" s="6226" t="str">
        <f>IF($C75="","",VLOOKUP('Tablas Sheele'!$A1,'Tablas Sheele'!$B$134:$R$474,11,FALSE))</f>
        <v/>
      </c>
      <c r="I75" s="6206"/>
      <c r="J75" s="6206"/>
      <c r="K75" s="6206"/>
      <c r="L75" s="6206"/>
      <c r="M75" s="6206"/>
      <c r="N75" s="6206"/>
      <c r="O75" s="6206"/>
      <c r="P75" s="6206"/>
      <c r="Q75" s="6206"/>
      <c r="R75" s="6206"/>
      <c r="S75" s="6207"/>
      <c r="T75" s="1803"/>
      <c r="U75" s="1801"/>
    </row>
    <row r="76" spans="1:24" ht="12" customHeight="1">
      <c r="A76" s="311"/>
      <c r="B76" s="262"/>
      <c r="C76" s="6083" t="str">
        <f>IF(COUNTA($C$74:C75)&lt;='Tablas Sheele'!$H$475,VLOOKUP('Tablas Sheele'!A2,'Tablas Sheele'!$B$134:$R$474,3,FALSE),"")</f>
        <v/>
      </c>
      <c r="D76" s="6082"/>
      <c r="E76" s="2148" t="str">
        <f>IF($C76="","",VLOOKUP('Tablas Sheele'!$A2,'Tablas Sheele'!$B$134:$R$474,8,FALSE))</f>
        <v/>
      </c>
      <c r="F76" s="2148" t="str">
        <f>IF($C76="","",VLOOKUP('Tablas Sheele'!$A2,'Tablas Sheele'!$B$134:$R$474,9,FALSE))</f>
        <v/>
      </c>
      <c r="G76" s="326" t="str">
        <f>IF($C76="","",VLOOKUP('Tablas Sheele'!$A2,'Tablas Sheele'!$B$134:$R$474,10,FALSE))</f>
        <v/>
      </c>
      <c r="H76" s="6186" t="str">
        <f>IF($C76="","",VLOOKUP('Tablas Sheele'!$A2,'Tablas Sheele'!$B$134:$R$474,11,FALSE))</f>
        <v/>
      </c>
      <c r="I76" s="6187"/>
      <c r="J76" s="6187"/>
      <c r="K76" s="6187"/>
      <c r="L76" s="6187"/>
      <c r="M76" s="6187"/>
      <c r="N76" s="6187"/>
      <c r="O76" s="6187"/>
      <c r="P76" s="6187"/>
      <c r="Q76" s="6187"/>
      <c r="R76" s="6187"/>
      <c r="S76" s="6188"/>
      <c r="T76" s="1803"/>
      <c r="U76" s="1801"/>
    </row>
    <row r="77" spans="1:24" ht="12" customHeight="1">
      <c r="A77" s="311"/>
      <c r="B77" s="262"/>
      <c r="C77" s="6083" t="str">
        <f>IF(COUNTA($C$74:C76)&lt;='Tablas Sheele'!$H$475,VLOOKUP('Tablas Sheele'!A3,'Tablas Sheele'!$B$134:$R$474,3,FALSE),"")</f>
        <v/>
      </c>
      <c r="D77" s="6082"/>
      <c r="E77" s="2148" t="str">
        <f>IF($C77="","",VLOOKUP('Tablas Sheele'!$A3,'Tablas Sheele'!$B$134:$R$474,8,FALSE))</f>
        <v/>
      </c>
      <c r="F77" s="2148" t="str">
        <f>IF($C77="","",VLOOKUP('Tablas Sheele'!$A3,'Tablas Sheele'!$B$134:$R$474,9,FALSE))</f>
        <v/>
      </c>
      <c r="G77" s="326" t="str">
        <f>IF($C77="","",VLOOKUP('Tablas Sheele'!$A3,'Tablas Sheele'!$B$134:$R$474,10,FALSE))</f>
        <v/>
      </c>
      <c r="H77" s="6186" t="str">
        <f>IF($C77="","",VLOOKUP('Tablas Sheele'!$A3,'Tablas Sheele'!$B$134:$R$474,11,FALSE))</f>
        <v/>
      </c>
      <c r="I77" s="6187"/>
      <c r="J77" s="6187"/>
      <c r="K77" s="6187"/>
      <c r="L77" s="6187"/>
      <c r="M77" s="6187"/>
      <c r="N77" s="6187"/>
      <c r="O77" s="6187"/>
      <c r="P77" s="6187"/>
      <c r="Q77" s="6187"/>
      <c r="R77" s="6187"/>
      <c r="S77" s="6188"/>
      <c r="T77" s="1803"/>
      <c r="U77" s="1801"/>
    </row>
    <row r="78" spans="1:24" ht="12" customHeight="1">
      <c r="A78" s="311"/>
      <c r="B78" s="262"/>
      <c r="C78" s="6083" t="str">
        <f>IF(COUNTA($C$74:C77)&lt;='Tablas Sheele'!$H$475,VLOOKUP('Tablas Sheele'!A4,'Tablas Sheele'!$B$134:$R$474,3,FALSE),"")</f>
        <v/>
      </c>
      <c r="D78" s="6082"/>
      <c r="E78" s="2148" t="str">
        <f>IF($C78="","",VLOOKUP('Tablas Sheele'!$A4,'Tablas Sheele'!$B$134:$R$474,8,FALSE))</f>
        <v/>
      </c>
      <c r="F78" s="2148" t="str">
        <f>IF($C78="","",VLOOKUP('Tablas Sheele'!$A4,'Tablas Sheele'!$B$134:$R$474,9,FALSE))</f>
        <v/>
      </c>
      <c r="G78" s="326" t="str">
        <f>IF($C78="","",VLOOKUP('Tablas Sheele'!$A4,'Tablas Sheele'!$B$134:$R$474,10,FALSE))</f>
        <v/>
      </c>
      <c r="H78" s="6186" t="str">
        <f>IF($C78="","",VLOOKUP('Tablas Sheele'!$A4,'Tablas Sheele'!$B$134:$R$474,11,FALSE))</f>
        <v/>
      </c>
      <c r="I78" s="6187"/>
      <c r="J78" s="6187"/>
      <c r="K78" s="6187"/>
      <c r="L78" s="6187"/>
      <c r="M78" s="6187"/>
      <c r="N78" s="6187"/>
      <c r="O78" s="6187"/>
      <c r="P78" s="6187"/>
      <c r="Q78" s="6187"/>
      <c r="R78" s="6187"/>
      <c r="S78" s="6188"/>
      <c r="T78" s="1803"/>
      <c r="U78" s="1801"/>
    </row>
    <row r="79" spans="1:24" ht="12" customHeight="1">
      <c r="A79" s="311"/>
      <c r="B79" s="262"/>
      <c r="C79" s="6083" t="str">
        <f>IF(COUNTA($C$74:C78)&lt;='Tablas Sheele'!$H$475,VLOOKUP('Tablas Sheele'!A5,'Tablas Sheele'!$B$134:$R$474,3,FALSE),"")</f>
        <v/>
      </c>
      <c r="D79" s="6082"/>
      <c r="E79" s="2148" t="str">
        <f>IF($C79="","",VLOOKUP('Tablas Sheele'!$A5,'Tablas Sheele'!$B$134:$R$474,8,FALSE))</f>
        <v/>
      </c>
      <c r="F79" s="2148" t="str">
        <f>IF($C79="","",VLOOKUP('Tablas Sheele'!$A5,'Tablas Sheele'!$B$134:$R$474,9,FALSE))</f>
        <v/>
      </c>
      <c r="G79" s="326" t="str">
        <f>IF($C79="","",VLOOKUP('Tablas Sheele'!$A5,'Tablas Sheele'!$B$134:$R$474,10,FALSE))</f>
        <v/>
      </c>
      <c r="H79" s="6186" t="str">
        <f>IF($C79="","",VLOOKUP('Tablas Sheele'!$A5,'Tablas Sheele'!$B$134:$R$474,11,FALSE))</f>
        <v/>
      </c>
      <c r="I79" s="6187"/>
      <c r="J79" s="6187"/>
      <c r="K79" s="6187"/>
      <c r="L79" s="6187"/>
      <c r="M79" s="6187"/>
      <c r="N79" s="6187"/>
      <c r="O79" s="6187"/>
      <c r="P79" s="6187"/>
      <c r="Q79" s="6187"/>
      <c r="R79" s="6187"/>
      <c r="S79" s="6188"/>
      <c r="T79" s="1803"/>
      <c r="U79" s="1801"/>
    </row>
    <row r="80" spans="1:24" ht="12" customHeight="1">
      <c r="A80" s="311"/>
      <c r="B80" s="262"/>
      <c r="C80" s="6083" t="str">
        <f>IF(COUNTA($C$74:C79)&lt;='Tablas Sheele'!$H$475,VLOOKUP('Tablas Sheele'!A6,'Tablas Sheele'!$B$134:$R$474,3,FALSE),"")</f>
        <v/>
      </c>
      <c r="D80" s="6082"/>
      <c r="E80" s="2148" t="str">
        <f>IF($C80="","",VLOOKUP('Tablas Sheele'!$A6,'Tablas Sheele'!$B$134:$R$474,8,FALSE))</f>
        <v/>
      </c>
      <c r="F80" s="2148" t="str">
        <f>IF($C80="","",VLOOKUP('Tablas Sheele'!$A6,'Tablas Sheele'!$B$134:$R$474,9,FALSE))</f>
        <v/>
      </c>
      <c r="G80" s="326" t="str">
        <f>IF($C80="","",VLOOKUP('Tablas Sheele'!$A6,'Tablas Sheele'!$B$134:$R$474,10,FALSE))</f>
        <v/>
      </c>
      <c r="H80" s="6186" t="str">
        <f>IF($C80="","",VLOOKUP('Tablas Sheele'!$A6,'Tablas Sheele'!$B$134:$R$474,11,FALSE))</f>
        <v/>
      </c>
      <c r="I80" s="6187"/>
      <c r="J80" s="6187"/>
      <c r="K80" s="6187"/>
      <c r="L80" s="6187"/>
      <c r="M80" s="6187"/>
      <c r="N80" s="6187"/>
      <c r="O80" s="6187"/>
      <c r="P80" s="6187"/>
      <c r="Q80" s="6187"/>
      <c r="R80" s="6187"/>
      <c r="S80" s="6188"/>
      <c r="T80" s="1803"/>
      <c r="U80" s="1801"/>
    </row>
    <row r="81" spans="1:21" ht="12" customHeight="1">
      <c r="A81" s="311"/>
      <c r="B81" s="262"/>
      <c r="C81" s="6083" t="str">
        <f>IF(COUNTA($C$74:C80)&lt;='Tablas Sheele'!$H$475,VLOOKUP('Tablas Sheele'!A7,'Tablas Sheele'!$B$134:$R$474,3,FALSE),"")</f>
        <v/>
      </c>
      <c r="D81" s="6082"/>
      <c r="E81" s="2148" t="str">
        <f>IF($C81="","",VLOOKUP('Tablas Sheele'!$A7,'Tablas Sheele'!$B$134:$R$474,8,FALSE))</f>
        <v/>
      </c>
      <c r="F81" s="2148" t="str">
        <f>IF($C81="","",VLOOKUP('Tablas Sheele'!$A7,'Tablas Sheele'!$B$134:$R$474,9,FALSE))</f>
        <v/>
      </c>
      <c r="G81" s="326" t="str">
        <f>IF($C81="","",VLOOKUP('Tablas Sheele'!$A7,'Tablas Sheele'!$B$134:$R$474,10,FALSE))</f>
        <v/>
      </c>
      <c r="H81" s="6186" t="str">
        <f>IF($C81="","",VLOOKUP('Tablas Sheele'!$A7,'Tablas Sheele'!$B$134:$R$474,11,FALSE))</f>
        <v/>
      </c>
      <c r="I81" s="6187"/>
      <c r="J81" s="6187"/>
      <c r="K81" s="6187"/>
      <c r="L81" s="6187"/>
      <c r="M81" s="6187"/>
      <c r="N81" s="6187"/>
      <c r="O81" s="6187"/>
      <c r="P81" s="6187"/>
      <c r="Q81" s="6187"/>
      <c r="R81" s="6187"/>
      <c r="S81" s="6188"/>
      <c r="T81" s="1803"/>
      <c r="U81" s="1801"/>
    </row>
    <row r="82" spans="1:21" ht="12" customHeight="1">
      <c r="A82" s="311"/>
      <c r="B82" s="262"/>
      <c r="C82" s="6083" t="str">
        <f>IF(COUNTA($C$74:C81)&lt;='Tablas Sheele'!$H$475,VLOOKUP('Tablas Sheele'!A8,'Tablas Sheele'!$B$134:$R$474,3,FALSE),"")</f>
        <v/>
      </c>
      <c r="D82" s="6082"/>
      <c r="E82" s="2148" t="str">
        <f>IF($C82="","",VLOOKUP('Tablas Sheele'!$A8,'Tablas Sheele'!$B$134:$R$474,8,FALSE))</f>
        <v/>
      </c>
      <c r="F82" s="2148" t="str">
        <f>IF($C82="","",VLOOKUP('Tablas Sheele'!$A8,'Tablas Sheele'!$B$134:$R$474,9,FALSE))</f>
        <v/>
      </c>
      <c r="G82" s="326" t="str">
        <f>IF($C82="","",VLOOKUP('Tablas Sheele'!$A8,'Tablas Sheele'!$B$134:$R$474,10,FALSE))</f>
        <v/>
      </c>
      <c r="H82" s="6186" t="str">
        <f>IF($C82="","",VLOOKUP('Tablas Sheele'!$A8,'Tablas Sheele'!$B$134:$R$474,11,FALSE))</f>
        <v/>
      </c>
      <c r="I82" s="6187"/>
      <c r="J82" s="6187"/>
      <c r="K82" s="6187"/>
      <c r="L82" s="6187"/>
      <c r="M82" s="6187"/>
      <c r="N82" s="6187"/>
      <c r="O82" s="6187"/>
      <c r="P82" s="6187"/>
      <c r="Q82" s="6187"/>
      <c r="R82" s="6187"/>
      <c r="S82" s="6188"/>
      <c r="T82" s="1803"/>
      <c r="U82" s="1801"/>
    </row>
    <row r="83" spans="1:21" ht="12" customHeight="1">
      <c r="A83" s="311"/>
      <c r="B83" s="262"/>
      <c r="C83" s="6083" t="str">
        <f>IF(COUNTA($C$74:C82)&lt;='Tablas Sheele'!$H$475,VLOOKUP('Tablas Sheele'!A9,'Tablas Sheele'!$B$134:$R$474,3,FALSE),"")</f>
        <v/>
      </c>
      <c r="D83" s="6082"/>
      <c r="E83" s="2148" t="str">
        <f>IF($C83="","",VLOOKUP('Tablas Sheele'!$A9,'Tablas Sheele'!$B$134:$R$474,8,FALSE))</f>
        <v/>
      </c>
      <c r="F83" s="2148" t="str">
        <f>IF($C83="","",VLOOKUP('Tablas Sheele'!$A9,'Tablas Sheele'!$B$134:$R$474,9,FALSE))</f>
        <v/>
      </c>
      <c r="G83" s="326" t="str">
        <f>IF($C83="","",VLOOKUP('Tablas Sheele'!$A9,'Tablas Sheele'!$B$134:$R$474,10,FALSE))</f>
        <v/>
      </c>
      <c r="H83" s="6186" t="str">
        <f>IF($C83="","",VLOOKUP('Tablas Sheele'!$A9,'Tablas Sheele'!$B$134:$R$474,11,FALSE))</f>
        <v/>
      </c>
      <c r="I83" s="6187"/>
      <c r="J83" s="6187"/>
      <c r="K83" s="6187"/>
      <c r="L83" s="6187"/>
      <c r="M83" s="6187"/>
      <c r="N83" s="6187"/>
      <c r="O83" s="6187"/>
      <c r="P83" s="6187"/>
      <c r="Q83" s="6187"/>
      <c r="R83" s="6187"/>
      <c r="S83" s="6188"/>
      <c r="T83" s="1803"/>
      <c r="U83" s="1801"/>
    </row>
    <row r="84" spans="1:21" ht="12" customHeight="1">
      <c r="A84" s="311"/>
      <c r="B84" s="262"/>
      <c r="C84" s="6239" t="s">
        <v>2473</v>
      </c>
      <c r="D84" s="6240"/>
      <c r="E84" s="6203" t="s">
        <v>1408</v>
      </c>
      <c r="F84" s="6204"/>
      <c r="G84" s="6204"/>
      <c r="H84" s="6204"/>
      <c r="I84" s="6204"/>
      <c r="J84" s="6204"/>
      <c r="K84" s="6204"/>
      <c r="L84" s="6204"/>
      <c r="M84" s="6204"/>
      <c r="N84" s="6204"/>
      <c r="O84" s="6204"/>
      <c r="P84" s="6204"/>
      <c r="Q84" s="6204"/>
      <c r="R84" s="6204"/>
      <c r="S84" s="6205"/>
      <c r="T84" s="1803"/>
      <c r="U84" s="1801"/>
    </row>
    <row r="85" spans="1:21" ht="12" customHeight="1">
      <c r="A85" s="311"/>
      <c r="B85" s="262"/>
      <c r="C85" s="6198" t="str">
        <f>IF(COUNTA($C$84:C84)&lt;='Tablas Sheele'!$H$133,VLOOKUP('Tablas Sheele'!A1,'Tablas Sheele'!$B$115:$D$132,3,FALSE),"")</f>
        <v/>
      </c>
      <c r="D85" s="6199"/>
      <c r="E85" s="6206" t="str">
        <f>IF($C85="","",VLOOKUP(C85,'Tablas Sheele'!D116:Q132,9,FALSE))</f>
        <v/>
      </c>
      <c r="F85" s="6206"/>
      <c r="G85" s="6206"/>
      <c r="H85" s="6206"/>
      <c r="I85" s="6206"/>
      <c r="J85" s="6206"/>
      <c r="K85" s="6206"/>
      <c r="L85" s="6206"/>
      <c r="M85" s="6206"/>
      <c r="N85" s="6206"/>
      <c r="O85" s="6206"/>
      <c r="P85" s="6206"/>
      <c r="Q85" s="6206"/>
      <c r="R85" s="6206"/>
      <c r="S85" s="6207"/>
      <c r="T85" s="1803"/>
      <c r="U85" s="1801"/>
    </row>
    <row r="86" spans="1:21" ht="12" customHeight="1">
      <c r="A86" s="311"/>
      <c r="B86" s="262"/>
      <c r="C86" s="6041" t="str">
        <f>IF(COUNTA($C$84:C85)&lt;='Tablas Sheele'!$H$133,VLOOKUP('Tablas Sheele'!A2,'Tablas Sheele'!$B$115:$D$132,3,FALSE),"")</f>
        <v/>
      </c>
      <c r="D86" s="6042"/>
      <c r="E86" s="6186" t="str">
        <f>IF($C86="","",VLOOKUP(C86,'Tablas Sheele'!D117:Q133,9,FALSE))</f>
        <v/>
      </c>
      <c r="F86" s="6187"/>
      <c r="G86" s="6187"/>
      <c r="H86" s="6187"/>
      <c r="I86" s="6187"/>
      <c r="J86" s="6187"/>
      <c r="K86" s="6187"/>
      <c r="L86" s="6187"/>
      <c r="M86" s="6187"/>
      <c r="N86" s="6187"/>
      <c r="O86" s="6187"/>
      <c r="P86" s="6187"/>
      <c r="Q86" s="6187"/>
      <c r="R86" s="6187"/>
      <c r="S86" s="6188"/>
      <c r="T86" s="1803"/>
      <c r="U86" s="1801"/>
    </row>
    <row r="87" spans="1:21" ht="12" customHeight="1">
      <c r="A87" s="311"/>
      <c r="B87" s="262"/>
      <c r="C87" s="6041" t="str">
        <f>IF(COUNTA($C$84:C86)&lt;='Tablas Sheele'!$H$133,VLOOKUP('Tablas Sheele'!A3,'Tablas Sheele'!$B$115:$D$132,3,FALSE),"")</f>
        <v/>
      </c>
      <c r="D87" s="6042"/>
      <c r="E87" s="6186" t="str">
        <f>IF($C87="","",VLOOKUP(C87,'Tablas Sheele'!D118:Q134,9,FALSE))</f>
        <v/>
      </c>
      <c r="F87" s="6187"/>
      <c r="G87" s="6187"/>
      <c r="H87" s="6187"/>
      <c r="I87" s="6187"/>
      <c r="J87" s="6187"/>
      <c r="K87" s="6187"/>
      <c r="L87" s="6187"/>
      <c r="M87" s="6187"/>
      <c r="N87" s="6187"/>
      <c r="O87" s="6187"/>
      <c r="P87" s="6187"/>
      <c r="Q87" s="6187"/>
      <c r="R87" s="6187"/>
      <c r="S87" s="6188"/>
      <c r="T87" s="1803"/>
      <c r="U87" s="1801"/>
    </row>
    <row r="88" spans="1:21" ht="12" customHeight="1">
      <c r="A88" s="311"/>
      <c r="B88" s="262"/>
      <c r="C88" s="6041" t="str">
        <f>IF(COUNTA($C$84:C87)&lt;='Tablas Sheele'!$H$133,VLOOKUP('Tablas Sheele'!A4,'Tablas Sheele'!$B$115:$D$132,3,FALSE),"")</f>
        <v/>
      </c>
      <c r="D88" s="6042"/>
      <c r="E88" s="6186" t="str">
        <f>IF($C88="","",VLOOKUP(C88,'Tablas Sheele'!D119:Q135,9,FALSE))</f>
        <v/>
      </c>
      <c r="F88" s="6187"/>
      <c r="G88" s="6187"/>
      <c r="H88" s="6187"/>
      <c r="I88" s="6187"/>
      <c r="J88" s="6187"/>
      <c r="K88" s="6187"/>
      <c r="L88" s="6187"/>
      <c r="M88" s="6187"/>
      <c r="N88" s="6187"/>
      <c r="O88" s="6187"/>
      <c r="P88" s="6187"/>
      <c r="Q88" s="6187"/>
      <c r="R88" s="6187"/>
      <c r="S88" s="6188"/>
      <c r="T88" s="1803"/>
      <c r="U88" s="1801"/>
    </row>
    <row r="89" spans="1:21" ht="12" customHeight="1" thickBot="1">
      <c r="A89" s="311"/>
      <c r="B89" s="262"/>
      <c r="C89" s="6077" t="str">
        <f>IF(COUNTA($C$84:C88)&lt;='Tablas Sheele'!$H$133,VLOOKUP('Tablas Sheele'!A5,'Tablas Sheele'!$B$115:$D$132,3,FALSE),"")</f>
        <v/>
      </c>
      <c r="D89" s="6078"/>
      <c r="E89" s="6200" t="str">
        <f>IF($C89="","",VLOOKUP(C89,'Tablas Sheele'!D120:Q136,9,FALSE))</f>
        <v/>
      </c>
      <c r="F89" s="6201"/>
      <c r="G89" s="6201"/>
      <c r="H89" s="6201"/>
      <c r="I89" s="6201"/>
      <c r="J89" s="6201"/>
      <c r="K89" s="6201"/>
      <c r="L89" s="6201"/>
      <c r="M89" s="6201"/>
      <c r="N89" s="6201"/>
      <c r="O89" s="6201"/>
      <c r="P89" s="6201"/>
      <c r="Q89" s="6201"/>
      <c r="R89" s="6201"/>
      <c r="S89" s="6202"/>
      <c r="T89" s="1803"/>
      <c r="U89" s="1801"/>
    </row>
    <row r="90" spans="1:21" ht="9" customHeight="1" thickBot="1">
      <c r="A90" s="311"/>
      <c r="B90" s="263"/>
      <c r="C90" s="388"/>
      <c r="D90" s="388"/>
      <c r="E90" s="388"/>
      <c r="F90" s="388"/>
      <c r="G90" s="388"/>
      <c r="H90" s="388"/>
      <c r="I90" s="388"/>
      <c r="J90" s="388"/>
      <c r="K90" s="388"/>
      <c r="L90" s="388"/>
      <c r="M90" s="388"/>
      <c r="N90" s="388"/>
      <c r="O90" s="388"/>
      <c r="P90" s="388"/>
      <c r="Q90" s="388"/>
      <c r="R90" s="388"/>
      <c r="S90" s="2479"/>
      <c r="T90" s="2480"/>
      <c r="U90" s="1801"/>
    </row>
    <row r="91" spans="1:21" ht="12" customHeight="1" thickBot="1">
      <c r="A91" s="311"/>
      <c r="B91" s="1297"/>
      <c r="C91" s="1297"/>
      <c r="D91" s="1297"/>
      <c r="E91" s="1297"/>
      <c r="F91" s="1297"/>
      <c r="G91" s="1297"/>
      <c r="H91" s="1297"/>
      <c r="I91" s="1297"/>
      <c r="J91" s="1297"/>
      <c r="K91" s="1297"/>
      <c r="L91" s="1297"/>
      <c r="M91" s="1297"/>
      <c r="N91" s="1297"/>
      <c r="O91" s="1297"/>
      <c r="P91" s="1297"/>
      <c r="Q91" s="1297"/>
      <c r="R91" s="1297"/>
      <c r="S91" s="1522"/>
      <c r="T91" s="2478"/>
      <c r="U91" s="1801"/>
    </row>
    <row r="92" spans="1:21" ht="12" customHeight="1" thickBot="1">
      <c r="A92" s="311"/>
      <c r="B92" s="361"/>
      <c r="C92" s="362"/>
      <c r="D92" s="362"/>
      <c r="E92" s="362"/>
      <c r="F92" s="362"/>
      <c r="G92" s="362"/>
      <c r="H92" s="362"/>
      <c r="I92" s="362"/>
      <c r="J92" s="362"/>
      <c r="K92" s="362"/>
      <c r="L92" s="362"/>
      <c r="M92" s="362"/>
      <c r="N92" s="362"/>
      <c r="O92" s="362"/>
      <c r="P92" s="362"/>
      <c r="Q92" s="362"/>
      <c r="R92" s="362"/>
      <c r="S92" s="362"/>
      <c r="T92" s="1802"/>
      <c r="U92" s="1801"/>
    </row>
    <row r="93" spans="1:21" ht="12" customHeight="1" thickBot="1">
      <c r="A93" s="311"/>
      <c r="B93" s="262"/>
      <c r="C93" s="5659" t="s">
        <v>9142</v>
      </c>
      <c r="D93" s="5662"/>
      <c r="E93" s="5662"/>
      <c r="F93" s="5662"/>
      <c r="G93" s="5662"/>
      <c r="H93" s="5662"/>
      <c r="I93" s="5662"/>
      <c r="J93" s="5662"/>
      <c r="K93" s="5662"/>
      <c r="L93" s="5662"/>
      <c r="M93" s="5662"/>
      <c r="N93" s="5662"/>
      <c r="O93" s="5662"/>
      <c r="P93" s="5662"/>
      <c r="Q93" s="5662"/>
      <c r="R93" s="5662"/>
      <c r="S93" s="5663"/>
      <c r="T93" s="1803"/>
      <c r="U93" s="1801"/>
    </row>
    <row r="94" spans="1:21" ht="12" customHeight="1">
      <c r="A94" s="311"/>
      <c r="B94" s="262"/>
      <c r="C94" s="6045"/>
      <c r="D94" s="6046"/>
      <c r="E94" s="6046"/>
      <c r="F94" s="6046"/>
      <c r="G94" s="6046"/>
      <c r="H94" s="6046"/>
      <c r="I94" s="6046"/>
      <c r="J94" s="6046"/>
      <c r="K94" s="6046"/>
      <c r="L94" s="6046"/>
      <c r="M94" s="6046"/>
      <c r="N94" s="6046"/>
      <c r="O94" s="6046"/>
      <c r="P94" s="6046"/>
      <c r="Q94" s="6046"/>
      <c r="R94" s="6046"/>
      <c r="S94" s="6047"/>
      <c r="T94" s="1804"/>
      <c r="U94" s="1801"/>
    </row>
    <row r="95" spans="1:21" ht="12" customHeight="1">
      <c r="A95" s="311"/>
      <c r="B95" s="262"/>
      <c r="C95" s="6048"/>
      <c r="D95" s="6049"/>
      <c r="E95" s="6049"/>
      <c r="F95" s="6049"/>
      <c r="G95" s="6049"/>
      <c r="H95" s="6049"/>
      <c r="I95" s="6049"/>
      <c r="J95" s="6049"/>
      <c r="K95" s="6049"/>
      <c r="L95" s="6049"/>
      <c r="M95" s="6049"/>
      <c r="N95" s="6049"/>
      <c r="O95" s="6049"/>
      <c r="P95" s="6049"/>
      <c r="Q95" s="6049"/>
      <c r="R95" s="6049"/>
      <c r="S95" s="6050"/>
      <c r="T95" s="1804"/>
      <c r="U95" s="1801"/>
    </row>
    <row r="96" spans="1:21" ht="12" customHeight="1">
      <c r="A96" s="311"/>
      <c r="B96" s="262"/>
      <c r="C96" s="6048"/>
      <c r="D96" s="6049"/>
      <c r="E96" s="6049"/>
      <c r="F96" s="6049"/>
      <c r="G96" s="6049"/>
      <c r="H96" s="6049"/>
      <c r="I96" s="6049"/>
      <c r="J96" s="6049"/>
      <c r="K96" s="6049"/>
      <c r="L96" s="6049"/>
      <c r="M96" s="6049"/>
      <c r="N96" s="6049"/>
      <c r="O96" s="6049"/>
      <c r="P96" s="6049"/>
      <c r="Q96" s="6049"/>
      <c r="R96" s="6049"/>
      <c r="S96" s="6050"/>
      <c r="T96" s="1804"/>
      <c r="U96" s="1801"/>
    </row>
    <row r="97" spans="1:22" ht="12" customHeight="1">
      <c r="A97" s="311"/>
      <c r="B97" s="262"/>
      <c r="C97" s="6048"/>
      <c r="D97" s="6049"/>
      <c r="E97" s="6049"/>
      <c r="F97" s="6049"/>
      <c r="G97" s="6049"/>
      <c r="H97" s="6049"/>
      <c r="I97" s="6049"/>
      <c r="J97" s="6049"/>
      <c r="K97" s="6049"/>
      <c r="L97" s="6049"/>
      <c r="M97" s="6049"/>
      <c r="N97" s="6049"/>
      <c r="O97" s="6049"/>
      <c r="P97" s="6049"/>
      <c r="Q97" s="6049"/>
      <c r="R97" s="6049"/>
      <c r="S97" s="6050"/>
      <c r="T97" s="1804"/>
      <c r="U97" s="1801"/>
    </row>
    <row r="98" spans="1:22" ht="12" customHeight="1">
      <c r="A98" s="311"/>
      <c r="B98" s="262"/>
      <c r="C98" s="6048"/>
      <c r="D98" s="6049"/>
      <c r="E98" s="6049"/>
      <c r="F98" s="6049"/>
      <c r="G98" s="6049"/>
      <c r="H98" s="6049"/>
      <c r="I98" s="6049"/>
      <c r="J98" s="6049"/>
      <c r="K98" s="6049"/>
      <c r="L98" s="6049"/>
      <c r="M98" s="6049"/>
      <c r="N98" s="6049"/>
      <c r="O98" s="6049"/>
      <c r="P98" s="6049"/>
      <c r="Q98" s="6049"/>
      <c r="R98" s="6049"/>
      <c r="S98" s="6050"/>
      <c r="T98" s="1804"/>
      <c r="U98" s="1801"/>
    </row>
    <row r="99" spans="1:22" ht="12" customHeight="1">
      <c r="A99" s="311"/>
      <c r="B99" s="262"/>
      <c r="C99" s="6048"/>
      <c r="D99" s="6049"/>
      <c r="E99" s="6049"/>
      <c r="F99" s="6049"/>
      <c r="G99" s="6049"/>
      <c r="H99" s="6049"/>
      <c r="I99" s="6049"/>
      <c r="J99" s="6049"/>
      <c r="K99" s="6049"/>
      <c r="L99" s="6049"/>
      <c r="M99" s="6049"/>
      <c r="N99" s="6049"/>
      <c r="O99" s="6049"/>
      <c r="P99" s="6049"/>
      <c r="Q99" s="6049"/>
      <c r="R99" s="6049"/>
      <c r="S99" s="6050"/>
      <c r="T99" s="1804"/>
      <c r="U99" s="1801"/>
    </row>
    <row r="100" spans="1:22" ht="12" customHeight="1">
      <c r="A100" s="311"/>
      <c r="B100" s="262"/>
      <c r="C100" s="6048"/>
      <c r="D100" s="6049"/>
      <c r="E100" s="6049"/>
      <c r="F100" s="6049"/>
      <c r="G100" s="6049"/>
      <c r="H100" s="6049"/>
      <c r="I100" s="6049"/>
      <c r="J100" s="6049"/>
      <c r="K100" s="6049"/>
      <c r="L100" s="6049"/>
      <c r="M100" s="6049"/>
      <c r="N100" s="6049"/>
      <c r="O100" s="6049"/>
      <c r="P100" s="6049"/>
      <c r="Q100" s="6049"/>
      <c r="R100" s="6049"/>
      <c r="S100" s="6050"/>
      <c r="T100" s="1804"/>
      <c r="U100" s="1801"/>
    </row>
    <row r="101" spans="1:22" ht="12" customHeight="1" thickBot="1">
      <c r="A101" s="311"/>
      <c r="B101" s="262"/>
      <c r="C101" s="6051"/>
      <c r="D101" s="6052"/>
      <c r="E101" s="6052"/>
      <c r="F101" s="6052"/>
      <c r="G101" s="6052"/>
      <c r="H101" s="6052"/>
      <c r="I101" s="6052"/>
      <c r="J101" s="6052"/>
      <c r="K101" s="6052"/>
      <c r="L101" s="6052"/>
      <c r="M101" s="6052"/>
      <c r="N101" s="6052"/>
      <c r="O101" s="6052"/>
      <c r="P101" s="6052"/>
      <c r="Q101" s="6052"/>
      <c r="R101" s="6052"/>
      <c r="S101" s="6053"/>
      <c r="T101" s="1804"/>
      <c r="U101" s="1801"/>
    </row>
    <row r="102" spans="1:22" ht="12" customHeight="1" thickBot="1">
      <c r="A102" s="311"/>
      <c r="B102" s="327"/>
      <c r="C102" s="328"/>
      <c r="D102" s="328"/>
      <c r="E102" s="328"/>
      <c r="F102" s="328"/>
      <c r="G102" s="328"/>
      <c r="H102" s="328"/>
      <c r="I102" s="328"/>
      <c r="J102" s="328"/>
      <c r="K102" s="328"/>
      <c r="L102" s="328"/>
      <c r="M102" s="328"/>
      <c r="N102" s="328"/>
      <c r="O102" s="328"/>
      <c r="P102" s="328"/>
      <c r="Q102" s="328"/>
      <c r="R102" s="328"/>
      <c r="S102" s="328"/>
      <c r="T102" s="1805"/>
      <c r="U102" s="1801"/>
      <c r="V102" s="3302"/>
    </row>
    <row r="103" spans="1:22">
      <c r="B103" s="312"/>
      <c r="C103" s="312"/>
      <c r="D103" s="312"/>
      <c r="E103" s="312"/>
      <c r="F103" s="312"/>
      <c r="G103" s="312"/>
      <c r="H103" s="312"/>
      <c r="I103" s="312"/>
      <c r="J103" s="312"/>
      <c r="K103" s="312"/>
      <c r="L103" s="312"/>
      <c r="M103" s="312"/>
      <c r="N103" s="312"/>
      <c r="O103" s="312"/>
      <c r="P103" s="312"/>
      <c r="Q103" s="312"/>
      <c r="R103" s="312"/>
      <c r="S103" s="312"/>
      <c r="T103" s="312"/>
    </row>
  </sheetData>
  <sheetProtection sheet="1" selectLockedCells="1"/>
  <protectedRanges>
    <protectedRange sqref="P5 E10:E17 R5 N5:N6" name="Características"/>
    <protectedRange sqref="C25:E34 F25:H36 I26:I40" name="Ventajas_2"/>
  </protectedRanges>
  <mergeCells count="209">
    <mergeCell ref="G4:H4"/>
    <mergeCell ref="G5:H5"/>
    <mergeCell ref="Q4:R4"/>
    <mergeCell ref="Q5:R5"/>
    <mergeCell ref="J3:L6"/>
    <mergeCell ref="C82:D82"/>
    <mergeCell ref="C77:D77"/>
    <mergeCell ref="O38:P38"/>
    <mergeCell ref="O46:P46"/>
    <mergeCell ref="N51:N62"/>
    <mergeCell ref="O59:P59"/>
    <mergeCell ref="O60:P60"/>
    <mergeCell ref="O61:P61"/>
    <mergeCell ref="O62:P62"/>
    <mergeCell ref="H72:S72"/>
    <mergeCell ref="H78:S78"/>
    <mergeCell ref="O39:P39"/>
    <mergeCell ref="H80:S80"/>
    <mergeCell ref="O51:P51"/>
    <mergeCell ref="O52:P52"/>
    <mergeCell ref="O53:P53"/>
    <mergeCell ref="O54:P54"/>
    <mergeCell ref="O55:P55"/>
    <mergeCell ref="C70:D70"/>
    <mergeCell ref="O31:P31"/>
    <mergeCell ref="O37:P37"/>
    <mergeCell ref="C59:D60"/>
    <mergeCell ref="C25:E25"/>
    <mergeCell ref="C27:E27"/>
    <mergeCell ref="O29:P29"/>
    <mergeCell ref="O64:P64"/>
    <mergeCell ref="O65:P65"/>
    <mergeCell ref="O33:P33"/>
    <mergeCell ref="O41:P41"/>
    <mergeCell ref="O34:P34"/>
    <mergeCell ref="O35:P35"/>
    <mergeCell ref="O42:P42"/>
    <mergeCell ref="N41:N43"/>
    <mergeCell ref="O58:P58"/>
    <mergeCell ref="O47:P47"/>
    <mergeCell ref="O48:P48"/>
    <mergeCell ref="O67:P67"/>
    <mergeCell ref="O25:P25"/>
    <mergeCell ref="K25:L25"/>
    <mergeCell ref="E88:S88"/>
    <mergeCell ref="O56:P56"/>
    <mergeCell ref="O57:P57"/>
    <mergeCell ref="O50:P50"/>
    <mergeCell ref="O45:P45"/>
    <mergeCell ref="C76:D76"/>
    <mergeCell ref="H76:S76"/>
    <mergeCell ref="C44:G45"/>
    <mergeCell ref="K54:L55"/>
    <mergeCell ref="H46:J47"/>
    <mergeCell ref="H48:J49"/>
    <mergeCell ref="H50:J51"/>
    <mergeCell ref="H52:J53"/>
    <mergeCell ref="H54:J55"/>
    <mergeCell ref="C86:D86"/>
    <mergeCell ref="N63:N67"/>
    <mergeCell ref="O63:P63"/>
    <mergeCell ref="O66:P66"/>
    <mergeCell ref="C79:D79"/>
    <mergeCell ref="C80:D80"/>
    <mergeCell ref="C84:D84"/>
    <mergeCell ref="C83:D83"/>
    <mergeCell ref="H83:S83"/>
    <mergeCell ref="C85:D85"/>
    <mergeCell ref="E89:S89"/>
    <mergeCell ref="E86:S86"/>
    <mergeCell ref="E87:S87"/>
    <mergeCell ref="E84:S84"/>
    <mergeCell ref="E85:S85"/>
    <mergeCell ref="O49:P49"/>
    <mergeCell ref="H79:S79"/>
    <mergeCell ref="H74:S74"/>
    <mergeCell ref="H77:S77"/>
    <mergeCell ref="N44:N50"/>
    <mergeCell ref="H70:S70"/>
    <mergeCell ref="H71:S71"/>
    <mergeCell ref="H82:S82"/>
    <mergeCell ref="O44:P44"/>
    <mergeCell ref="E59:F60"/>
    <mergeCell ref="K48:L49"/>
    <mergeCell ref="K46:L47"/>
    <mergeCell ref="C69:S69"/>
    <mergeCell ref="C75:D75"/>
    <mergeCell ref="H75:S75"/>
    <mergeCell ref="C81:D81"/>
    <mergeCell ref="H81:S81"/>
    <mergeCell ref="F27:H27"/>
    <mergeCell ref="F28:H28"/>
    <mergeCell ref="O43:P43"/>
    <mergeCell ref="N11:N17"/>
    <mergeCell ref="O17:P17"/>
    <mergeCell ref="O13:P13"/>
    <mergeCell ref="K22:L22"/>
    <mergeCell ref="O16:P16"/>
    <mergeCell ref="O20:P20"/>
    <mergeCell ref="K23:L23"/>
    <mergeCell ref="K20:L20"/>
    <mergeCell ref="O18:P18"/>
    <mergeCell ref="K21:L21"/>
    <mergeCell ref="O19:P19"/>
    <mergeCell ref="N18:N24"/>
    <mergeCell ref="J17:K17"/>
    <mergeCell ref="K16:L16"/>
    <mergeCell ref="J19:L19"/>
    <mergeCell ref="O14:P14"/>
    <mergeCell ref="O26:P26"/>
    <mergeCell ref="O27:P27"/>
    <mergeCell ref="N25:N27"/>
    <mergeCell ref="O28:P28"/>
    <mergeCell ref="M4:N4"/>
    <mergeCell ref="O4:P4"/>
    <mergeCell ref="M5:N5"/>
    <mergeCell ref="O5:P5"/>
    <mergeCell ref="O11:P11"/>
    <mergeCell ref="O12:P12"/>
    <mergeCell ref="J20:J21"/>
    <mergeCell ref="C88:D88"/>
    <mergeCell ref="K52:L53"/>
    <mergeCell ref="K50:L51"/>
    <mergeCell ref="J35:L35"/>
    <mergeCell ref="J36:L36"/>
    <mergeCell ref="J37:L38"/>
    <mergeCell ref="F50:G50"/>
    <mergeCell ref="F51:G51"/>
    <mergeCell ref="F52:G53"/>
    <mergeCell ref="F54:G55"/>
    <mergeCell ref="C46:E47"/>
    <mergeCell ref="C48:E49"/>
    <mergeCell ref="C50:E51"/>
    <mergeCell ref="C52:E53"/>
    <mergeCell ref="C54:E55"/>
    <mergeCell ref="C36:E36"/>
    <mergeCell ref="H73:S73"/>
    <mergeCell ref="Q9:R9"/>
    <mergeCell ref="J9:L9"/>
    <mergeCell ref="J10:J12"/>
    <mergeCell ref="K10:L12"/>
    <mergeCell ref="J39:L40"/>
    <mergeCell ref="F46:G47"/>
    <mergeCell ref="F48:G49"/>
    <mergeCell ref="C37:D40"/>
    <mergeCell ref="C23:G24"/>
    <mergeCell ref="C26:E26"/>
    <mergeCell ref="C42:L43"/>
    <mergeCell ref="C35:E35"/>
    <mergeCell ref="C31:E31"/>
    <mergeCell ref="C32:E32"/>
    <mergeCell ref="C33:E33"/>
    <mergeCell ref="F29:H29"/>
    <mergeCell ref="F30:H30"/>
    <mergeCell ref="F31:H31"/>
    <mergeCell ref="F32:H32"/>
    <mergeCell ref="F33:H33"/>
    <mergeCell ref="F34:H34"/>
    <mergeCell ref="C34:E34"/>
    <mergeCell ref="C9:C17"/>
    <mergeCell ref="J28:J33"/>
    <mergeCell ref="C87:D87"/>
    <mergeCell ref="O10:P10"/>
    <mergeCell ref="C94:S101"/>
    <mergeCell ref="C61:L62"/>
    <mergeCell ref="C63:L64"/>
    <mergeCell ref="C65:L66"/>
    <mergeCell ref="L59:L60"/>
    <mergeCell ref="G59:H60"/>
    <mergeCell ref="I59:I60"/>
    <mergeCell ref="J59:K60"/>
    <mergeCell ref="C57:L58"/>
    <mergeCell ref="C93:S93"/>
    <mergeCell ref="C89:D89"/>
    <mergeCell ref="C71:D71"/>
    <mergeCell ref="C72:D72"/>
    <mergeCell ref="C73:D73"/>
    <mergeCell ref="C74:D74"/>
    <mergeCell ref="C78:D78"/>
    <mergeCell ref="H44:L45"/>
    <mergeCell ref="H23:H24"/>
    <mergeCell ref="O30:P30"/>
    <mergeCell ref="O24:P24"/>
    <mergeCell ref="O21:P21"/>
    <mergeCell ref="O15:P15"/>
    <mergeCell ref="M6:N6"/>
    <mergeCell ref="N28:N40"/>
    <mergeCell ref="O40:P40"/>
    <mergeCell ref="C28:E28"/>
    <mergeCell ref="C29:E29"/>
    <mergeCell ref="C30:E30"/>
    <mergeCell ref="F25:H25"/>
    <mergeCell ref="K24:L24"/>
    <mergeCell ref="O23:P23"/>
    <mergeCell ref="N9:P9"/>
    <mergeCell ref="J15:J16"/>
    <mergeCell ref="J14:L14"/>
    <mergeCell ref="K15:L15"/>
    <mergeCell ref="O22:P22"/>
    <mergeCell ref="J22:J23"/>
    <mergeCell ref="C20:H21"/>
    <mergeCell ref="J24:J25"/>
    <mergeCell ref="C19:H19"/>
    <mergeCell ref="J26:K26"/>
    <mergeCell ref="F26:H26"/>
    <mergeCell ref="F35:H35"/>
    <mergeCell ref="F36:H36"/>
    <mergeCell ref="O32:P32"/>
    <mergeCell ref="O36:P36"/>
  </mergeCells>
  <conditionalFormatting sqref="H23">
    <cfRule type="cellIs" dxfId="2177" priority="58" stopIfTrue="1" operator="lessThan">
      <formula>0</formula>
    </cfRule>
  </conditionalFormatting>
  <conditionalFormatting sqref="S9">
    <cfRule type="cellIs" dxfId="2176" priority="8" stopIfTrue="1" operator="lessThan">
      <formula>0</formula>
    </cfRule>
  </conditionalFormatting>
  <conditionalFormatting sqref="R11:R67">
    <cfRule type="cellIs" dxfId="2175" priority="9793" operator="greaterThan">
      <formula>VALUE($I$4)-1</formula>
    </cfRule>
  </conditionalFormatting>
  <conditionalFormatting sqref="C59 E59">
    <cfRule type="expression" dxfId="2174" priority="9794" stopIfTrue="1">
      <formula>AND(ISNUMBER($E$59),$E$59&gt;$I$4+3)</formula>
    </cfRule>
  </conditionalFormatting>
  <conditionalFormatting sqref="M6:N6">
    <cfRule type="expression" dxfId="2173" priority="1">
      <formula>$M$5="Sueños"</formula>
    </cfRule>
  </conditionalFormatting>
  <dataValidations count="5">
    <dataValidation type="list" allowBlank="1" showInputMessage="1" showErrorMessage="1" sqref="O5:P5" xr:uid="{00000000-0002-0000-0A00-000001000000}">
      <formula1>Sheele_Vinculada</formula1>
    </dataValidation>
    <dataValidation operator="greaterThanOrEqual" allowBlank="1" showInputMessage="1" showErrorMessage="1" sqref="F37:F40 H37:H40" xr:uid="{00000000-0002-0000-0A00-000002000000}"/>
    <dataValidation type="list" allowBlank="1" showInputMessage="1" showErrorMessage="1" sqref="C25:H36" xr:uid="{00000000-0002-0000-0A00-000003000000}">
      <formula1>Mejoras_Sheele</formula1>
    </dataValidation>
    <dataValidation type="list" allowBlank="1" showInputMessage="1" showErrorMessage="1" sqref="Q5:R5" xr:uid="{00000000-0002-0000-0A00-000004000000}">
      <formula1>"Sí,No (No oficial)"</formula1>
    </dataValidation>
    <dataValidation type="list" allowBlank="1" showInputMessage="1" showErrorMessage="1" sqref="M5:N5" xr:uid="{00000000-0002-0000-0A00-000000000000}">
      <formula1>Tipo_Sheele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89"/>
  <sheetViews>
    <sheetView zoomScaleNormal="100" workbookViewId="0">
      <selection activeCell="J33" sqref="J33:O33"/>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9" width="3.42578125" style="21" customWidth="1"/>
    <col min="10" max="15" width="5.7109375" style="21"/>
    <col min="16" max="16" width="6" style="21" bestFit="1" customWidth="1"/>
    <col min="17" max="17" width="5.7109375" style="21"/>
    <col min="18" max="18" width="1.28515625" style="21" customWidth="1"/>
    <col min="19" max="19" width="1.140625" style="21" customWidth="1"/>
    <col min="20" max="20" width="1.7109375" style="505"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2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30"/>
    <col min="51" max="51" width="2" style="530" customWidth="1"/>
    <col min="52" max="52" width="6.5703125" style="530" bestFit="1" customWidth="1"/>
    <col min="53" max="53" width="9.85546875" style="530" customWidth="1"/>
    <col min="54" max="55" width="7.140625" style="530" customWidth="1"/>
    <col min="56" max="59" width="7.140625" style="530" bestFit="1" customWidth="1"/>
    <col min="60" max="61" width="5.7109375" style="530"/>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42"/>
      <c r="U1" s="29"/>
      <c r="V1" s="29"/>
      <c r="W1" s="29"/>
      <c r="X1" s="29"/>
      <c r="Y1" s="29"/>
      <c r="Z1" s="29"/>
      <c r="AA1" s="29"/>
      <c r="AB1" s="29"/>
      <c r="AC1" s="29"/>
      <c r="AD1" s="29"/>
      <c r="AE1" s="29"/>
      <c r="AF1" s="29"/>
      <c r="AG1" s="29"/>
      <c r="AH1" s="29"/>
      <c r="AI1" s="29"/>
      <c r="AJ1" s="29"/>
      <c r="AK1" s="29"/>
      <c r="AL1" s="531"/>
      <c r="AM1" s="29"/>
      <c r="AN1" s="29"/>
      <c r="AO1" s="675"/>
      <c r="AP1" s="29"/>
      <c r="AQ1" s="29"/>
      <c r="AR1" s="29"/>
      <c r="AS1" s="29"/>
      <c r="AT1" s="29"/>
      <c r="AU1" s="29"/>
      <c r="AV1" s="29"/>
      <c r="AW1" s="29"/>
      <c r="AX1" s="529"/>
      <c r="AY1" s="529"/>
      <c r="AZ1" s="218" t="s">
        <v>8292</v>
      </c>
      <c r="BA1" s="21"/>
      <c r="BB1" s="21"/>
      <c r="BC1" s="21"/>
      <c r="BD1" s="21"/>
      <c r="BE1" s="21"/>
      <c r="BF1" s="21"/>
      <c r="BG1" s="21"/>
      <c r="BH1" s="21"/>
      <c r="BI1" s="21"/>
    </row>
    <row r="2" spans="1:61" ht="12" customHeight="1" thickBot="1">
      <c r="A2" s="29"/>
      <c r="B2" s="618"/>
      <c r="C2" s="619"/>
      <c r="D2" s="619"/>
      <c r="E2" s="619"/>
      <c r="F2" s="619"/>
      <c r="G2" s="619"/>
      <c r="H2" s="619"/>
      <c r="I2" s="619"/>
      <c r="J2" s="619"/>
      <c r="K2" s="619"/>
      <c r="L2" s="619"/>
      <c r="M2" s="619"/>
      <c r="N2" s="619"/>
      <c r="O2" s="619"/>
      <c r="P2" s="619"/>
      <c r="Q2" s="619"/>
      <c r="R2" s="619"/>
      <c r="S2" s="620"/>
      <c r="T2" s="442"/>
      <c r="U2" s="29"/>
      <c r="V2" s="618"/>
      <c r="W2" s="619"/>
      <c r="X2" s="619"/>
      <c r="Y2" s="619"/>
      <c r="Z2" s="619"/>
      <c r="AA2" s="619"/>
      <c r="AB2" s="619"/>
      <c r="AC2" s="619"/>
      <c r="AD2" s="619"/>
      <c r="AE2" s="619"/>
      <c r="AF2" s="619"/>
      <c r="AG2" s="619"/>
      <c r="AH2" s="619"/>
      <c r="AI2" s="619"/>
      <c r="AJ2" s="619"/>
      <c r="AK2" s="619"/>
      <c r="AL2" s="1218"/>
      <c r="AM2" s="29"/>
      <c r="AN2" s="29"/>
      <c r="AO2" s="676"/>
      <c r="AP2" s="619"/>
      <c r="AQ2" s="619"/>
      <c r="AR2" s="619"/>
      <c r="AS2" s="619"/>
      <c r="AT2" s="619"/>
      <c r="AU2" s="619"/>
      <c r="AV2" s="619"/>
      <c r="AW2" s="619"/>
      <c r="AX2" s="684"/>
      <c r="AY2" s="529"/>
      <c r="AZ2" s="21"/>
      <c r="BA2" s="21" t="s">
        <v>7919</v>
      </c>
      <c r="BB2" s="21"/>
      <c r="BC2" s="21"/>
      <c r="BD2" s="21"/>
      <c r="BE2" s="21"/>
      <c r="BF2" s="21"/>
      <c r="BG2" s="21"/>
      <c r="BH2" s="21"/>
      <c r="BI2" s="21"/>
    </row>
    <row r="3" spans="1:61" ht="12" customHeight="1" thickBot="1">
      <c r="A3" s="29"/>
      <c r="B3" s="443"/>
      <c r="C3" s="4361" t="s">
        <v>9687</v>
      </c>
      <c r="D3" s="4361"/>
      <c r="E3" s="4361"/>
      <c r="F3" s="4361"/>
      <c r="G3" s="4361"/>
      <c r="H3" s="4361"/>
      <c r="I3" s="6"/>
      <c r="J3" s="6"/>
      <c r="K3" s="6"/>
      <c r="L3" s="6"/>
      <c r="M3" s="6"/>
      <c r="N3" s="6"/>
      <c r="O3" s="6"/>
      <c r="P3" s="6"/>
      <c r="Q3" s="7"/>
      <c r="S3" s="532"/>
      <c r="T3" s="442"/>
      <c r="U3" s="29"/>
      <c r="V3" s="443"/>
      <c r="W3" s="4361" t="s">
        <v>9687</v>
      </c>
      <c r="X3" s="4361"/>
      <c r="Y3" s="4361"/>
      <c r="Z3" s="4361"/>
      <c r="AA3" s="4361"/>
      <c r="AB3" s="4361"/>
      <c r="AC3" s="6"/>
      <c r="AD3" s="6"/>
      <c r="AE3" s="6"/>
      <c r="AF3" s="6"/>
      <c r="AG3" s="6"/>
      <c r="AH3" s="6"/>
      <c r="AI3" s="6"/>
      <c r="AJ3" s="6"/>
      <c r="AK3" s="7"/>
      <c r="AL3" s="970"/>
      <c r="AM3" s="29"/>
      <c r="AN3" s="29"/>
      <c r="AO3" s="677"/>
      <c r="AP3" s="6301" t="s">
        <v>9687</v>
      </c>
      <c r="AQ3" s="6302"/>
      <c r="AR3" s="6302"/>
      <c r="AS3" s="474"/>
      <c r="AT3" s="474"/>
      <c r="AU3" s="474"/>
      <c r="AV3" s="474"/>
      <c r="AW3" s="476"/>
      <c r="AX3" s="685"/>
      <c r="AY3" s="529"/>
      <c r="AZ3" s="21"/>
      <c r="BA3" s="4018" t="e">
        <f>IF(VLOOKUP(AE12,ViasMayores,2,FALSE)="Mayor",IF(VLOOKUP(AE12,$C$15:$F$25,3,FALSE)="",NivelesLA_ViaMayorNoSubvía,""),IF(VLOOKUP(AE12,$C$15:$F$25,3,FALSE)="",NivelesLA_ViaMenorNosubvía,NivelesLA_ViaMenorSubvía))</f>
        <v>#N/A</v>
      </c>
      <c r="BB3" s="21"/>
      <c r="BC3" s="21"/>
      <c r="BD3" s="21"/>
      <c r="BE3" s="21"/>
      <c r="BF3" s="21"/>
      <c r="BG3" s="21"/>
      <c r="BH3" s="21"/>
      <c r="BI3" s="21"/>
    </row>
    <row r="4" spans="1:61" ht="12" customHeight="1" thickBot="1">
      <c r="A4" s="29"/>
      <c r="B4" s="443"/>
      <c r="C4" s="4361"/>
      <c r="D4" s="4361"/>
      <c r="E4" s="4361"/>
      <c r="F4" s="4361"/>
      <c r="G4" s="4361"/>
      <c r="H4" s="4361"/>
      <c r="I4" s="9"/>
      <c r="J4" s="4754" t="s">
        <v>1184</v>
      </c>
      <c r="K4" s="4754"/>
      <c r="L4" s="4373" t="str">
        <f>IF(OR(General!$F$22="",General!$F$22=0),"",General!$F$22)</f>
        <v/>
      </c>
      <c r="M4" s="4373"/>
      <c r="N4" s="4373"/>
      <c r="O4" s="4373"/>
      <c r="P4" s="4373"/>
      <c r="Q4" s="10"/>
      <c r="S4" s="532"/>
      <c r="T4" s="442"/>
      <c r="U4" s="29"/>
      <c r="V4" s="443"/>
      <c r="W4" s="4361"/>
      <c r="X4" s="4361"/>
      <c r="Y4" s="4361"/>
      <c r="Z4" s="4361"/>
      <c r="AA4" s="4361"/>
      <c r="AB4" s="4361"/>
      <c r="AC4" s="9"/>
      <c r="AD4" s="4754" t="s">
        <v>1184</v>
      </c>
      <c r="AE4" s="4754"/>
      <c r="AF4" s="4373" t="str">
        <f>IF(OR(General!$F$22="",General!$F$22=0),"",General!$F$22)</f>
        <v/>
      </c>
      <c r="AG4" s="4373"/>
      <c r="AH4" s="4373"/>
      <c r="AI4" s="4373"/>
      <c r="AJ4" s="4373"/>
      <c r="AK4" s="10"/>
      <c r="AL4" s="970"/>
      <c r="AM4" s="29"/>
      <c r="AN4" s="29"/>
      <c r="AO4" s="677"/>
      <c r="AP4" s="6303"/>
      <c r="AQ4" s="4362"/>
      <c r="AR4" s="4362"/>
      <c r="AS4" s="167"/>
      <c r="AT4" s="167"/>
      <c r="AU4" s="167"/>
      <c r="AV4" s="167"/>
      <c r="AW4" s="655"/>
      <c r="AX4" s="685"/>
      <c r="AY4" s="529"/>
      <c r="AZ4" s="21"/>
      <c r="BA4" s="21"/>
      <c r="BB4" s="21"/>
      <c r="BC4" s="21"/>
      <c r="BD4" s="21"/>
      <c r="BE4" s="21"/>
      <c r="BF4" s="21"/>
      <c r="BG4" s="21"/>
      <c r="BH4" s="21"/>
      <c r="BI4" s="21"/>
    </row>
    <row r="5" spans="1:61" ht="12" customHeight="1" thickBot="1">
      <c r="A5" s="29"/>
      <c r="B5" s="443"/>
      <c r="C5" s="4361"/>
      <c r="D5" s="4361"/>
      <c r="E5" s="4361"/>
      <c r="F5" s="4361"/>
      <c r="G5" s="4361"/>
      <c r="H5" s="4361"/>
      <c r="I5" s="9"/>
      <c r="J5" s="5535" t="s">
        <v>1185</v>
      </c>
      <c r="K5" s="5535"/>
      <c r="L5" s="4738" t="str">
        <f>IF(LEN(PDs!$E$11)&lt;=General!$AO$5,PDs!$E$11,"… /"&amp;RIGHT(PDs!$E$11,General!$AO$5-FIND("/",RIGHT(PDs!$E$11,General!$AO$5))))</f>
        <v/>
      </c>
      <c r="M5" s="4738"/>
      <c r="N5" s="4738"/>
      <c r="O5" s="1998" t="s">
        <v>1186</v>
      </c>
      <c r="P5" s="1993" t="str">
        <f>Principal!$O$6</f>
        <v>1</v>
      </c>
      <c r="Q5" s="11"/>
      <c r="S5" s="532"/>
      <c r="T5" s="442"/>
      <c r="U5" s="29"/>
      <c r="V5" s="443"/>
      <c r="W5" s="4361"/>
      <c r="X5" s="4361"/>
      <c r="Y5" s="4361"/>
      <c r="Z5" s="4361"/>
      <c r="AA5" s="4361"/>
      <c r="AB5" s="4361"/>
      <c r="AC5" s="9"/>
      <c r="AD5" s="5535" t="s">
        <v>1185</v>
      </c>
      <c r="AE5" s="5535"/>
      <c r="AF5" s="4738" t="str">
        <f>IF(LEN(PDs!$E$11)&lt;=General!$AO$5,PDs!$E$11,"… /"&amp;RIGHT(PDs!$E$11,General!$AO$5-FIND("/",RIGHT(PDs!$E$11,General!$AO$5))))</f>
        <v/>
      </c>
      <c r="AG5" s="4738"/>
      <c r="AH5" s="4738"/>
      <c r="AI5" s="1998" t="s">
        <v>1186</v>
      </c>
      <c r="AJ5" s="1993" t="str">
        <f>Principal!$O$6</f>
        <v>1</v>
      </c>
      <c r="AK5" s="11"/>
      <c r="AL5" s="970"/>
      <c r="AM5" s="29"/>
      <c r="AN5" s="29"/>
      <c r="AO5" s="677"/>
      <c r="AP5" s="6303"/>
      <c r="AQ5" s="4362"/>
      <c r="AR5" s="4362"/>
      <c r="AS5" s="4362" t="s">
        <v>6429</v>
      </c>
      <c r="AT5" s="4362"/>
      <c r="AU5" s="4362"/>
      <c r="AV5" s="4362"/>
      <c r="AW5" s="656"/>
      <c r="AX5" s="685"/>
      <c r="AY5" s="529"/>
      <c r="AZ5" s="21"/>
      <c r="BA5" s="21" t="s">
        <v>1541</v>
      </c>
      <c r="BB5" s="21"/>
      <c r="BC5" s="21"/>
      <c r="BD5" s="21"/>
      <c r="BE5" s="21"/>
      <c r="BF5" s="21"/>
      <c r="BG5" s="21"/>
      <c r="BH5" s="21"/>
      <c r="BI5" s="21"/>
    </row>
    <row r="6" spans="1:61" ht="12" customHeight="1" thickBot="1">
      <c r="A6" s="29"/>
      <c r="B6" s="443"/>
      <c r="C6" s="4361"/>
      <c r="D6" s="4361"/>
      <c r="E6" s="4361"/>
      <c r="F6" s="4361"/>
      <c r="G6" s="4361"/>
      <c r="H6" s="4361"/>
      <c r="I6" s="9"/>
      <c r="J6" s="4362" t="s">
        <v>1538</v>
      </c>
      <c r="K6" s="4362"/>
      <c r="L6" s="4362"/>
      <c r="M6" s="4362"/>
      <c r="N6" s="4362"/>
      <c r="O6" s="4362"/>
      <c r="P6" s="4362"/>
      <c r="Q6" s="11"/>
      <c r="S6" s="532"/>
      <c r="T6" s="442"/>
      <c r="U6" s="29"/>
      <c r="V6" s="443"/>
      <c r="W6" s="4361"/>
      <c r="X6" s="4361"/>
      <c r="Y6" s="4361"/>
      <c r="Z6" s="4361"/>
      <c r="AA6" s="4361"/>
      <c r="AB6" s="4361"/>
      <c r="AC6" s="9"/>
      <c r="AD6" s="4362" t="s">
        <v>1539</v>
      </c>
      <c r="AE6" s="4362"/>
      <c r="AF6" s="4362"/>
      <c r="AG6" s="4362"/>
      <c r="AH6" s="4362"/>
      <c r="AI6" s="4362"/>
      <c r="AJ6" s="4362"/>
      <c r="AK6" s="11"/>
      <c r="AL6" s="970"/>
      <c r="AM6" s="29"/>
      <c r="AN6" s="29"/>
      <c r="AO6" s="677"/>
      <c r="AP6" s="6303"/>
      <c r="AQ6" s="4362"/>
      <c r="AR6" s="4362"/>
      <c r="AS6" s="4362"/>
      <c r="AT6" s="4362"/>
      <c r="AU6" s="4362"/>
      <c r="AV6" s="4362"/>
      <c r="AW6" s="656"/>
      <c r="AX6" s="685"/>
      <c r="AY6" s="529"/>
      <c r="AZ6" s="21"/>
      <c r="BA6" s="21"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1"/>
      <c r="BC6" s="21"/>
      <c r="BD6" s="21"/>
      <c r="BE6" s="21"/>
      <c r="BF6" s="21"/>
      <c r="BG6" s="21"/>
      <c r="BH6" s="21"/>
      <c r="BI6" s="21"/>
    </row>
    <row r="7" spans="1:61" ht="12" customHeight="1" thickBot="1">
      <c r="A7" s="29"/>
      <c r="B7" s="443"/>
      <c r="C7" s="4361"/>
      <c r="D7" s="4361"/>
      <c r="E7" s="4361"/>
      <c r="F7" s="4361"/>
      <c r="G7" s="4361"/>
      <c r="H7" s="4361"/>
      <c r="I7" s="9"/>
      <c r="J7" s="4362"/>
      <c r="K7" s="4362"/>
      <c r="L7" s="4362"/>
      <c r="M7" s="4362"/>
      <c r="N7" s="4362"/>
      <c r="O7" s="4362"/>
      <c r="P7" s="4362"/>
      <c r="Q7" s="11"/>
      <c r="S7" s="532"/>
      <c r="T7" s="442"/>
      <c r="U7" s="29"/>
      <c r="V7" s="443"/>
      <c r="W7" s="4361"/>
      <c r="X7" s="4361"/>
      <c r="Y7" s="4361"/>
      <c r="Z7" s="4361"/>
      <c r="AA7" s="4361"/>
      <c r="AB7" s="4361"/>
      <c r="AC7" s="9"/>
      <c r="AD7" s="4362"/>
      <c r="AE7" s="4362"/>
      <c r="AF7" s="4362"/>
      <c r="AG7" s="4362"/>
      <c r="AH7" s="4362"/>
      <c r="AI7" s="4362"/>
      <c r="AJ7" s="4362"/>
      <c r="AK7" s="11"/>
      <c r="AL7" s="970"/>
      <c r="AM7" s="29"/>
      <c r="AN7" s="29"/>
      <c r="AO7" s="677"/>
      <c r="AP7" s="6303"/>
      <c r="AQ7" s="4362"/>
      <c r="AR7" s="4362"/>
      <c r="AS7" s="651"/>
      <c r="AT7" s="651"/>
      <c r="AU7" s="651"/>
      <c r="AV7" s="651"/>
      <c r="AW7" s="656"/>
      <c r="AX7" s="685"/>
      <c r="AY7" s="529"/>
      <c r="AZ7" s="21"/>
      <c r="BA7" s="21"/>
      <c r="BB7" s="21"/>
      <c r="BC7" s="21"/>
      <c r="BD7" s="21"/>
      <c r="BE7" s="21"/>
      <c r="BF7" s="21"/>
      <c r="BG7" s="21"/>
      <c r="BH7" s="21"/>
      <c r="BI7" s="21"/>
    </row>
    <row r="8" spans="1:61" ht="12" customHeight="1" thickBot="1">
      <c r="A8" s="29"/>
      <c r="B8" s="443"/>
      <c r="C8" s="4361"/>
      <c r="D8" s="4361"/>
      <c r="E8" s="4361"/>
      <c r="F8" s="4361"/>
      <c r="G8" s="4361"/>
      <c r="H8" s="4361"/>
      <c r="I8" s="12"/>
      <c r="J8" s="12"/>
      <c r="K8" s="12"/>
      <c r="L8" s="12"/>
      <c r="M8" s="12"/>
      <c r="N8" s="12"/>
      <c r="O8" s="12"/>
      <c r="P8" s="12"/>
      <c r="Q8" s="13"/>
      <c r="S8" s="532"/>
      <c r="T8" s="442"/>
      <c r="U8" s="29"/>
      <c r="V8" s="443"/>
      <c r="W8" s="4361"/>
      <c r="X8" s="4361"/>
      <c r="Y8" s="4361"/>
      <c r="Z8" s="4361"/>
      <c r="AA8" s="4361"/>
      <c r="AB8" s="4361"/>
      <c r="AC8" s="12"/>
      <c r="AD8" s="12"/>
      <c r="AE8" s="12"/>
      <c r="AF8" s="12"/>
      <c r="AG8" s="12"/>
      <c r="AH8" s="12"/>
      <c r="AI8" s="12"/>
      <c r="AJ8" s="12"/>
      <c r="AK8" s="13"/>
      <c r="AL8" s="970"/>
      <c r="AM8" s="29"/>
      <c r="AN8" s="29"/>
      <c r="AO8" s="677"/>
      <c r="AP8" s="6304"/>
      <c r="AQ8" s="6305"/>
      <c r="AR8" s="6305"/>
      <c r="AS8" s="657"/>
      <c r="AT8" s="657"/>
      <c r="AU8" s="657"/>
      <c r="AV8" s="657"/>
      <c r="AW8" s="658"/>
      <c r="AX8" s="685"/>
      <c r="AY8" s="529"/>
      <c r="AZ8" s="21"/>
      <c r="BA8" s="21"/>
      <c r="BB8" s="21"/>
      <c r="BC8" s="21"/>
      <c r="BD8" s="21"/>
      <c r="BE8" s="21"/>
      <c r="BF8" s="21"/>
      <c r="BG8" s="21"/>
      <c r="BH8" s="21"/>
      <c r="BI8" s="21"/>
    </row>
    <row r="9" spans="1:61" ht="12" customHeight="1" thickBot="1">
      <c r="A9" s="29"/>
      <c r="B9" s="443"/>
      <c r="S9" s="532"/>
      <c r="T9" s="442"/>
      <c r="U9" s="29"/>
      <c r="V9" s="443"/>
      <c r="AL9" s="970"/>
      <c r="AM9" s="29"/>
      <c r="AN9" s="29"/>
      <c r="AO9" s="677"/>
      <c r="AX9" s="685"/>
      <c r="AY9" s="529"/>
      <c r="AZ9" s="21"/>
      <c r="BA9" s="21"/>
      <c r="BB9" s="21"/>
      <c r="BC9" s="21"/>
      <c r="BD9" s="21"/>
      <c r="BE9" s="21"/>
      <c r="BF9" s="21"/>
      <c r="BG9" s="21"/>
      <c r="BH9" s="21"/>
      <c r="BI9" s="21"/>
    </row>
    <row r="10" spans="1:61" ht="12" customHeight="1" thickBot="1">
      <c r="A10" s="29"/>
      <c r="B10" s="443"/>
      <c r="C10" s="4422" t="s">
        <v>1372</v>
      </c>
      <c r="D10" s="4423"/>
      <c r="E10" s="4423"/>
      <c r="F10" s="4423"/>
      <c r="G10" s="4423"/>
      <c r="H10" s="4424"/>
      <c r="J10" s="4390" t="s">
        <v>1540</v>
      </c>
      <c r="K10" s="6359"/>
      <c r="L10" s="6359"/>
      <c r="M10" s="6360"/>
      <c r="O10" s="4338" t="s">
        <v>1371</v>
      </c>
      <c r="P10" s="4340"/>
      <c r="Q10" s="4339"/>
      <c r="S10" s="532"/>
      <c r="T10" s="442"/>
      <c r="U10" s="29"/>
      <c r="V10" s="443"/>
      <c r="W10" s="4368" t="s">
        <v>8288</v>
      </c>
      <c r="X10" s="4369"/>
      <c r="Y10" s="4369"/>
      <c r="Z10" s="4369"/>
      <c r="AA10" s="4369"/>
      <c r="AB10" s="4369"/>
      <c r="AC10" s="4370"/>
      <c r="AD10" s="1055"/>
      <c r="AE10" s="6361" t="s">
        <v>1542</v>
      </c>
      <c r="AF10" s="6362"/>
      <c r="AG10" s="6362"/>
      <c r="AH10" s="6362"/>
      <c r="AI10" s="6362"/>
      <c r="AJ10" s="6362"/>
      <c r="AK10" s="1311">
        <f>IF(Tablas!G555&gt;0,0,SUM(I15:I25))-COUNTA(Místicos!AG12:AJ50)</f>
        <v>0</v>
      </c>
      <c r="AL10" s="970"/>
      <c r="AM10" s="29"/>
      <c r="AN10" s="29"/>
      <c r="AO10" s="677"/>
      <c r="AQ10" s="6468" t="s">
        <v>6434</v>
      </c>
      <c r="AR10" s="6469"/>
      <c r="AS10" s="6470"/>
      <c r="AT10" s="6471" t="s">
        <v>6435</v>
      </c>
      <c r="AU10" s="6472"/>
      <c r="AV10" s="6473"/>
      <c r="AX10" s="685"/>
      <c r="AY10" s="529"/>
      <c r="AZ10" s="21"/>
      <c r="BA10" s="252" t="s">
        <v>6508</v>
      </c>
      <c r="BB10" s="252" t="s">
        <v>6509</v>
      </c>
      <c r="BC10" s="252" t="s">
        <v>6510</v>
      </c>
      <c r="BD10" s="21"/>
      <c r="BE10" s="21"/>
      <c r="BF10" s="21"/>
      <c r="BG10" s="21"/>
      <c r="BH10" s="21"/>
      <c r="BI10" s="21"/>
    </row>
    <row r="11" spans="1:61" ht="12" customHeight="1" thickBot="1">
      <c r="A11" s="29"/>
      <c r="B11" s="443"/>
      <c r="C11" s="6366" t="s">
        <v>1543</v>
      </c>
      <c r="D11" s="6364"/>
      <c r="E11" s="6363" t="s">
        <v>1544</v>
      </c>
      <c r="F11" s="6364"/>
      <c r="G11" s="6355" t="s">
        <v>1545</v>
      </c>
      <c r="H11" s="6356"/>
      <c r="J11" s="6357" t="s">
        <v>1546</v>
      </c>
      <c r="K11" s="6358"/>
      <c r="L11" s="6367" t="s">
        <v>1369</v>
      </c>
      <c r="M11" s="6368"/>
      <c r="O11" s="1928" t="s">
        <v>1252</v>
      </c>
      <c r="P11" s="86" t="s">
        <v>1423</v>
      </c>
      <c r="Q11" s="1929" t="s">
        <v>1547</v>
      </c>
      <c r="S11" s="532"/>
      <c r="T11" s="442"/>
      <c r="U11" s="29"/>
      <c r="V11" s="443"/>
      <c r="W11" s="6365" t="s">
        <v>1549</v>
      </c>
      <c r="X11" s="4893"/>
      <c r="Y11" s="4893" t="s">
        <v>1548</v>
      </c>
      <c r="Z11" s="4893"/>
      <c r="AA11" s="4893"/>
      <c r="AB11" s="4893"/>
      <c r="AC11" s="1442" t="s">
        <v>1262</v>
      </c>
      <c r="AD11" s="530" t="s">
        <v>6635</v>
      </c>
      <c r="AE11" s="4596" t="s">
        <v>1550</v>
      </c>
      <c r="AF11" s="4597"/>
      <c r="AG11" s="4597" t="s">
        <v>1548</v>
      </c>
      <c r="AH11" s="4597"/>
      <c r="AI11" s="4597"/>
      <c r="AJ11" s="4597"/>
      <c r="AK11" s="1442" t="s">
        <v>1262</v>
      </c>
      <c r="AL11" s="970"/>
      <c r="AM11" s="29"/>
      <c r="AN11" s="29"/>
      <c r="AO11" s="677"/>
      <c r="AX11" s="685"/>
      <c r="AY11" s="529"/>
      <c r="AZ11" s="21"/>
      <c r="BA11" s="4019" t="b">
        <f>$AP$46="Onmyodo"</f>
        <v>0</v>
      </c>
      <c r="BB11" s="4019" t="b">
        <f>$AP$46="Vodoun"</f>
        <v>0</v>
      </c>
      <c r="BC11" s="4019" t="b">
        <f>$AP$46="Shamanica"</f>
        <v>0</v>
      </c>
      <c r="BD11" s="21"/>
      <c r="BE11" s="21"/>
      <c r="BF11" s="21"/>
      <c r="BG11" s="21"/>
      <c r="BH11" s="21"/>
      <c r="BI11" s="21"/>
    </row>
    <row r="12" spans="1:61" ht="12" customHeight="1" thickBot="1">
      <c r="A12" s="29"/>
      <c r="B12" s="443"/>
      <c r="C12" s="6369">
        <f>NiveldeMagia_final</f>
        <v>0</v>
      </c>
      <c r="D12" s="6370"/>
      <c r="E12" s="6297">
        <f>SUM(G15:G25)+G12+H26</f>
        <v>0</v>
      </c>
      <c r="F12" s="6298"/>
      <c r="G12" s="6373">
        <f>Metamagia!$T$37</f>
        <v>0</v>
      </c>
      <c r="H12" s="6374"/>
      <c r="I12" s="530">
        <f>((Múltiploderegeneración_final-PDs!$Z$104-PDs!$Z$105)+(Múltiploderegeneración_final-PDs!Z104-PDs!Z105)*Tablas!$G$411+2*(Múltiploderegeneración_final-PDs!$Z$104-PDs!$Z$105)*Tablas!$G$412+3*(Múltiploderegeneración_final-PDs!$Z$104-PDs!$Z$105)*Tablas!$G$413+(Múltiploderegeneración_final-PDs!$Z$104-PDs!$Z$105)*Tablas!$H$1460+L21)*(IF(OR(Tablas!$G$553&gt;0,Tablas!$H$1567&gt;0),0.5,IF(OR(Tablas!$G$554&gt;0,Tablas!$H$1568&gt;0),0,1)))+PDs!$Z$104+PDs!$Z$105</f>
        <v>0</v>
      </c>
      <c r="J12" s="6257">
        <f>I12-H61</f>
        <v>0</v>
      </c>
      <c r="K12" s="6258"/>
      <c r="L12" s="6261">
        <f>ACT_final+L21</f>
        <v>0</v>
      </c>
      <c r="M12" s="6262"/>
      <c r="O12" s="6265">
        <f>Turno_Nat_final</f>
        <v>40</v>
      </c>
      <c r="P12" s="6267">
        <f>IF(OR(PDs!E112="Proyección Mágica como ataque",PDs!E113="Proyección Mágica como ataque"),PDs!V25+ProyecciónMágica_final-PDs!V106,ProyecciónMágica_final+Q14)</f>
        <v>0</v>
      </c>
      <c r="Q12" s="6269">
        <f>IF(OR(PDs!E112="Proyección Mágica como defensa",PDs!E113="Proyección Mágica como defensa"),MAX(PDs!V26,PDs!V27)+ProyecciónMágica_final-PDs!V106,ProyecciónMágica_final-Q14)</f>
        <v>0</v>
      </c>
      <c r="S12" s="532"/>
      <c r="T12" s="442" t="str">
        <f>"Conjuros"&amp;IF(W12="","","_"&amp;SUBSTITUTE(W12," ",""))</f>
        <v>Conjuros</v>
      </c>
      <c r="U12" s="29"/>
      <c r="V12" s="622">
        <f>IF(AC12="",0,VLOOKUP(AC12,Tablas!$M$1176:$N$1185,2))</f>
        <v>0</v>
      </c>
      <c r="W12" s="5010"/>
      <c r="X12" s="5011"/>
      <c r="Y12" s="6319"/>
      <c r="Z12" s="6320"/>
      <c r="AA12" s="6320"/>
      <c r="AB12" s="6321"/>
      <c r="AC12" s="498" t="str">
        <f>IF(Místicos!Y12=0,"",VLOOKUP(Místicos!Y12,Tabla_Conjuros,3,FALSE))</f>
        <v/>
      </c>
      <c r="AD12" s="2092" t="str">
        <f>AE12&amp;AK12</f>
        <v/>
      </c>
      <c r="AE12" s="5010"/>
      <c r="AF12" s="5011"/>
      <c r="AG12" s="6319"/>
      <c r="AH12" s="6320"/>
      <c r="AI12" s="6320"/>
      <c r="AJ12" s="6321"/>
      <c r="AK12" s="1338"/>
      <c r="AL12" s="1056">
        <f>IF(Místicos!AG12=0,0,VLOOKUP(Místicos!AG12,Tabla_Conjuros,3,FALSE)-10)</f>
        <v>0</v>
      </c>
      <c r="AM12" s="1217" t="str">
        <f>IF(OR(AK12=0,AK12&gt;90),"Conjuros_LibreAcceso","Conjuros_LibreAcceso"&amp;(TRUNC(AK12/10)*10+10))</f>
        <v>Conjuros_LibreAcceso</v>
      </c>
      <c r="AN12" s="1217" t="str">
        <f>AE12&amp;COUNTIF($AE$12:AF12,AE12)</f>
        <v>0</v>
      </c>
      <c r="AO12" s="2491" t="b">
        <f>ISNUMBER(SEARCH(AE12,VLOOKUP(AG12,'Tablas Magia'!$D$6:$AA$680,24,FALSE)))</f>
        <v>0</v>
      </c>
      <c r="AP12" s="6338" t="s">
        <v>6475</v>
      </c>
      <c r="AQ12" s="6339"/>
      <c r="AR12" s="6339"/>
      <c r="AS12" s="6339"/>
      <c r="AT12" s="6339"/>
      <c r="AU12" s="6339"/>
      <c r="AV12" s="6339"/>
      <c r="AW12" s="6340"/>
      <c r="AX12" s="686"/>
      <c r="AY12" s="529"/>
      <c r="AZ12" s="84"/>
      <c r="BA12" s="6336" t="s">
        <v>6507</v>
      </c>
      <c r="BB12" s="6336"/>
      <c r="BC12" s="6336"/>
      <c r="BD12" s="6336" t="s">
        <v>6519</v>
      </c>
      <c r="BE12" s="6336"/>
      <c r="BF12" s="6336"/>
      <c r="BG12" s="6336" t="s">
        <v>6520</v>
      </c>
      <c r="BH12" s="6336"/>
      <c r="BI12" s="6336"/>
    </row>
    <row r="13" spans="1:61" ht="12" customHeight="1" thickBot="1">
      <c r="A13" s="29"/>
      <c r="B13" s="443"/>
      <c r="C13" s="6371"/>
      <c r="D13" s="6372"/>
      <c r="E13" s="6299"/>
      <c r="F13" s="6300"/>
      <c r="G13" s="6373"/>
      <c r="H13" s="6374"/>
      <c r="J13" s="6259"/>
      <c r="K13" s="6260"/>
      <c r="L13" s="6263"/>
      <c r="M13" s="6264"/>
      <c r="O13" s="6266"/>
      <c r="P13" s="6268"/>
      <c r="Q13" s="6270"/>
      <c r="S13" s="532"/>
      <c r="T13" s="442" t="str">
        <f t="shared" ref="T13:T50" si="0">"Conjuros"&amp;IF(W13="","","_"&amp;SUBSTITUTE(W13," ",""))</f>
        <v>Conjuros</v>
      </c>
      <c r="U13" s="29"/>
      <c r="V13" s="622">
        <f>IF(AC13="",0,VLOOKUP(AC13,Tablas!$M$1176:$N$1185,2))</f>
        <v>0</v>
      </c>
      <c r="W13" s="5013"/>
      <c r="X13" s="5014"/>
      <c r="Y13" s="6322"/>
      <c r="Z13" s="6323"/>
      <c r="AA13" s="6323"/>
      <c r="AB13" s="6324"/>
      <c r="AC13" s="497" t="str">
        <f>IF(Místicos!Y13=0,"",VLOOKUP(Místicos!Y13,Tabla_Conjuros,3,FALSE))</f>
        <v/>
      </c>
      <c r="AD13" s="2092" t="str">
        <f t="shared" ref="AD13:AD50" si="1">AE13&amp;AK13</f>
        <v/>
      </c>
      <c r="AE13" s="6329"/>
      <c r="AF13" s="6330"/>
      <c r="AG13" s="6322"/>
      <c r="AH13" s="6323"/>
      <c r="AI13" s="6323"/>
      <c r="AJ13" s="6324"/>
      <c r="AK13" s="1389"/>
      <c r="AL13" s="1056">
        <f>IF(Místicos!AG13=0,0,VLOOKUP(Místicos!AG13,Tabla_Conjuros,3,FALSE)-10)</f>
        <v>0</v>
      </c>
      <c r="AM13" s="1217" t="str">
        <f t="shared" ref="AM13:AM50" si="2">IF(OR(AK13=0,AK13&gt;90),"Conjuros_LibreAcceso","Conjuros_LibreAcceso"&amp;(TRUNC(AK13/10)*10+10))</f>
        <v>Conjuros_LibreAcceso</v>
      </c>
      <c r="AN13" s="1217" t="str">
        <f>AE13&amp;COUNTIF($AE$12:AF13,AE13)</f>
        <v>0</v>
      </c>
      <c r="AO13" s="2491" t="b">
        <f>ISNUMBER(SEARCH(AE13,VLOOKUP(AG13,'Tablas Magia'!$D$6:$AA$680,24,FALSE)))</f>
        <v>0</v>
      </c>
      <c r="AX13" s="686"/>
      <c r="AY13" s="529"/>
      <c r="AZ13" s="84"/>
      <c r="BA13" s="47" t="s">
        <v>9520</v>
      </c>
      <c r="BB13" s="47" t="s">
        <v>6506</v>
      </c>
      <c r="BC13" s="47" t="s">
        <v>6502</v>
      </c>
      <c r="BD13" s="47" t="s">
        <v>6511</v>
      </c>
      <c r="BE13" s="47" t="s">
        <v>6534</v>
      </c>
      <c r="BF13" s="47" t="s">
        <v>6514</v>
      </c>
      <c r="BG13" s="47">
        <v>-40</v>
      </c>
      <c r="BH13" s="47" t="s">
        <v>6506</v>
      </c>
      <c r="BI13" s="47" t="s">
        <v>1315</v>
      </c>
    </row>
    <row r="14" spans="1:61" ht="12" customHeight="1" thickBot="1">
      <c r="A14" s="29"/>
      <c r="B14" s="443"/>
      <c r="C14" s="6379" t="s">
        <v>1549</v>
      </c>
      <c r="D14" s="6380"/>
      <c r="E14" s="6381" t="s">
        <v>1551</v>
      </c>
      <c r="F14" s="6382"/>
      <c r="G14" s="462" t="s">
        <v>1552</v>
      </c>
      <c r="H14" s="614" t="s">
        <v>1262</v>
      </c>
      <c r="I14" s="708"/>
      <c r="J14" s="6280" t="s">
        <v>1555</v>
      </c>
      <c r="K14" s="6281"/>
      <c r="L14" s="6282">
        <f>VLOOKUP($L$12,Tabla_MagiaInnata,2)</f>
        <v>0</v>
      </c>
      <c r="M14" s="6283"/>
      <c r="O14" s="6274" t="s">
        <v>9145</v>
      </c>
      <c r="P14" s="6275"/>
      <c r="Q14" s="6278"/>
      <c r="S14" s="532"/>
      <c r="T14" s="442" t="str">
        <f t="shared" si="0"/>
        <v>Conjuros</v>
      </c>
      <c r="U14" s="29"/>
      <c r="V14" s="622">
        <f>IF(AC14="",0,VLOOKUP(AC14,Tablas!$M$1176:$N$1185,2))</f>
        <v>0</v>
      </c>
      <c r="W14" s="5010"/>
      <c r="X14" s="5011"/>
      <c r="Y14" s="6316"/>
      <c r="Z14" s="6317"/>
      <c r="AA14" s="6317"/>
      <c r="AB14" s="6318"/>
      <c r="AC14" s="498" t="str">
        <f>IF(Místicos!Y14=0,"",VLOOKUP(Místicos!Y14,Tabla_Conjuros,3,FALSE))</f>
        <v/>
      </c>
      <c r="AD14" s="2092" t="str">
        <f t="shared" si="1"/>
        <v/>
      </c>
      <c r="AE14" s="5010"/>
      <c r="AF14" s="5011"/>
      <c r="AG14" s="6316"/>
      <c r="AH14" s="6317"/>
      <c r="AI14" s="6317"/>
      <c r="AJ14" s="6318"/>
      <c r="AK14" s="1338"/>
      <c r="AL14" s="1056">
        <f>IF(Místicos!AG14=0,0,VLOOKUP(Místicos!AG14,Tabla_Conjuros,3,FALSE)-10)</f>
        <v>0</v>
      </c>
      <c r="AM14" s="1217" t="str">
        <f t="shared" si="2"/>
        <v>Conjuros_LibreAcceso</v>
      </c>
      <c r="AN14" s="1217" t="str">
        <f>AE14&amp;COUNTIF($AE$12:AF14,AE14)</f>
        <v>0</v>
      </c>
      <c r="AO14" s="2491" t="b">
        <f>ISNUMBER(SEARCH(AE14,VLOOKUP(AG14,'Tablas Magia'!$D$6:$AA$680,24,FALSE)))</f>
        <v>0</v>
      </c>
      <c r="AP14" s="6341" t="s">
        <v>6467</v>
      </c>
      <c r="AQ14" s="6342"/>
      <c r="AR14" s="6342"/>
      <c r="AS14" s="6482" t="s">
        <v>6492</v>
      </c>
      <c r="AT14" s="6342"/>
      <c r="AU14" s="6342"/>
      <c r="AV14" s="6342"/>
      <c r="AW14" s="6343"/>
      <c r="AX14" s="686"/>
      <c r="AY14" s="529"/>
      <c r="AZ14" s="84"/>
      <c r="BA14" s="47" t="s">
        <v>6728</v>
      </c>
      <c r="BB14" s="47" t="s">
        <v>6506</v>
      </c>
      <c r="BC14" s="47" t="s">
        <v>6503</v>
      </c>
      <c r="BD14" s="47" t="s">
        <v>6512</v>
      </c>
      <c r="BE14" s="47" t="s">
        <v>6535</v>
      </c>
      <c r="BF14" s="47" t="s">
        <v>6515</v>
      </c>
      <c r="BG14" s="47">
        <v>-20</v>
      </c>
      <c r="BH14" s="47" t="s">
        <v>6506</v>
      </c>
      <c r="BI14" s="47" t="s">
        <v>6521</v>
      </c>
    </row>
    <row r="15" spans="1:61" ht="12" customHeight="1" thickBot="1">
      <c r="A15" s="29"/>
      <c r="B15" s="795"/>
      <c r="C15" s="6375"/>
      <c r="D15" s="6376"/>
      <c r="E15" s="6377"/>
      <c r="F15" s="6378"/>
      <c r="G15" s="1381"/>
      <c r="H15" s="615">
        <f t="shared" ref="H15:H25" si="3">IF(C15="",0,MIN(100,G15/VLOOKUP(C15,Tabla_VíasOpuestas,7,FALSE)+VLOOKUP(C15,Tabla_VíasOpuestas,5,FALSE)))</f>
        <v>0</v>
      </c>
      <c r="I15" s="625">
        <f>IF(H15&gt;3,VLOOKUP(H15,Tabla_NumeroConjurosLA,IF(VLOOKUP(C15,ViasMayores,2,FALSE)="Mayor",2,3))-IF(Místicos!E15=0,0,TRUNC((H15+6)/10)),0)</f>
        <v>0</v>
      </c>
      <c r="J15" s="6383" t="str">
        <f>IF(OR(Tablas!G432&gt;0,Tablas!G433&gt;0,Tablas!G434&gt;0,Tablas!G435&gt;0,Tablas!G436&gt;0,Tablas!G437&gt;0,Tablas!G438&gt;0,Tablas!G439&gt;0,Tablas!G440&gt;0,Tablas!G441&gt;0,Tablas!G442&gt;0,Tablas!G443&gt;0),"+20 a la ACT: Des. elemental",IF(AND(Tablas!H1378&gt;0,OR(TipoDeCriatura="Entre mundos, Elemental",TipoDeCriatura="Ánima, Elemental")),"+20 a la ACT: Ser elemental",""))</f>
        <v/>
      </c>
      <c r="K15" s="6384"/>
      <c r="L15" s="6384"/>
      <c r="M15" s="6385"/>
      <c r="O15" s="6276"/>
      <c r="P15" s="6277"/>
      <c r="Q15" s="6279"/>
      <c r="S15" s="532"/>
      <c r="T15" s="442" t="str">
        <f t="shared" si="0"/>
        <v>Conjuros</v>
      </c>
      <c r="U15" s="29"/>
      <c r="V15" s="622">
        <f>IF(AC15="",0,VLOOKUP(AC15,Tablas!$M$1176:$N$1185,2))</f>
        <v>0</v>
      </c>
      <c r="W15" s="5013"/>
      <c r="X15" s="5014"/>
      <c r="Y15" s="6322"/>
      <c r="Z15" s="6323"/>
      <c r="AA15" s="6323"/>
      <c r="AB15" s="6324"/>
      <c r="AC15" s="497" t="str">
        <f>IF(Místicos!Y15=0,"",VLOOKUP(Místicos!Y15,Tabla_Conjuros,3,FALSE))</f>
        <v/>
      </c>
      <c r="AD15" s="2092" t="str">
        <f t="shared" si="1"/>
        <v/>
      </c>
      <c r="AE15" s="6329"/>
      <c r="AF15" s="6330"/>
      <c r="AG15" s="6322"/>
      <c r="AH15" s="6323"/>
      <c r="AI15" s="6323"/>
      <c r="AJ15" s="6324"/>
      <c r="AK15" s="1389"/>
      <c r="AL15" s="1056">
        <f>IF(Místicos!AG15=0,0,VLOOKUP(Místicos!AG15,Tabla_Conjuros,3,FALSE)-10)</f>
        <v>0</v>
      </c>
      <c r="AM15" s="1217" t="str">
        <f t="shared" si="2"/>
        <v>Conjuros_LibreAcceso</v>
      </c>
      <c r="AN15" s="1217" t="str">
        <f>AE15&amp;COUNTIF($AE$12:AF15,AE15)</f>
        <v>0</v>
      </c>
      <c r="AO15" s="2491" t="b">
        <f>ISNUMBER(SEARCH(AE15,VLOOKUP(AG15,'Tablas Magia'!$D$6:$AA$680,24,FALSE)))</f>
        <v>0</v>
      </c>
      <c r="AP15" s="662" t="s">
        <v>1262</v>
      </c>
      <c r="AQ15" s="6477" t="s">
        <v>6438</v>
      </c>
      <c r="AR15" s="6477"/>
      <c r="AS15" s="663" t="s">
        <v>1425</v>
      </c>
      <c r="AT15" s="169" t="s">
        <v>97</v>
      </c>
      <c r="AU15" s="169" t="s">
        <v>2016</v>
      </c>
      <c r="AV15" s="169" t="s">
        <v>1324</v>
      </c>
      <c r="AW15" s="661" t="s">
        <v>6465</v>
      </c>
      <c r="AX15" s="686"/>
      <c r="AY15" s="529"/>
      <c r="AZ15" s="84"/>
      <c r="BA15" s="47" t="s">
        <v>6729</v>
      </c>
      <c r="BB15" s="47" t="s">
        <v>6506</v>
      </c>
      <c r="BC15" s="47" t="s">
        <v>1436</v>
      </c>
      <c r="BD15" s="47" t="s">
        <v>6513</v>
      </c>
      <c r="BE15" s="47" t="s">
        <v>6536</v>
      </c>
      <c r="BF15" s="47" t="s">
        <v>6516</v>
      </c>
      <c r="BG15" s="47">
        <v>0</v>
      </c>
      <c r="BH15" s="47" t="s">
        <v>6506</v>
      </c>
      <c r="BI15" s="47" t="s">
        <v>6522</v>
      </c>
    </row>
    <row r="16" spans="1:61" ht="12" customHeight="1" thickBot="1">
      <c r="A16" s="29"/>
      <c r="B16" s="795"/>
      <c r="C16" s="6289"/>
      <c r="D16" s="6290"/>
      <c r="E16" s="6291"/>
      <c r="F16" s="6292"/>
      <c r="G16" s="1385"/>
      <c r="H16" s="616">
        <f t="shared" si="3"/>
        <v>0</v>
      </c>
      <c r="I16" s="625">
        <f>IF(H16&gt;3,VLOOKUP(H16,Tabla_NumeroConjurosLA,IF(VLOOKUP(C16,ViasMayores,2,FALSE)="Mayor",2,3))-IF(Místicos!E16=0,0,TRUNC((H16+6)/10)),0)</f>
        <v>0</v>
      </c>
      <c r="S16" s="532"/>
      <c r="T16" s="442" t="str">
        <f t="shared" si="0"/>
        <v>Conjuros</v>
      </c>
      <c r="U16" s="29"/>
      <c r="V16" s="622">
        <f>IF(AC16="",0,VLOOKUP(AC16,Tablas!$M$1176:$N$1185,2))</f>
        <v>0</v>
      </c>
      <c r="W16" s="5010"/>
      <c r="X16" s="5011"/>
      <c r="Y16" s="6316"/>
      <c r="Z16" s="6317"/>
      <c r="AA16" s="6317"/>
      <c r="AB16" s="6318"/>
      <c r="AC16" s="498" t="str">
        <f>IF(Místicos!Y16=0,"",VLOOKUP(Místicos!Y16,Tabla_Conjuros,3,FALSE))</f>
        <v/>
      </c>
      <c r="AD16" s="2092" t="str">
        <f t="shared" si="1"/>
        <v/>
      </c>
      <c r="AE16" s="5010"/>
      <c r="AF16" s="5011"/>
      <c r="AG16" s="6316"/>
      <c r="AH16" s="6317"/>
      <c r="AI16" s="6317"/>
      <c r="AJ16" s="6318"/>
      <c r="AK16" s="1338"/>
      <c r="AL16" s="1056">
        <f>IF(Místicos!AG16=0,0,VLOOKUP(Místicos!AG16,Tabla_Conjuros,3,FALSE)-10)</f>
        <v>0</v>
      </c>
      <c r="AM16" s="1217" t="str">
        <f t="shared" si="2"/>
        <v>Conjuros_LibreAcceso</v>
      </c>
      <c r="AN16" s="1217" t="str">
        <f>AE16&amp;COUNTIF($AE$12:AF16,AE16)</f>
        <v>0</v>
      </c>
      <c r="AO16" s="2491" t="b">
        <f>ISNUMBER(SEARCH(AE16,VLOOKUP(AG16,'Tablas Magia'!$D$6:$AA$680,24,FALSE)))</f>
        <v>0</v>
      </c>
      <c r="AP16" s="668">
        <v>1</v>
      </c>
      <c r="AQ16" s="6335">
        <f t="shared" ref="AQ16:AQ22" si="4">VLOOKUP(AP16,Tabla_MagiaNatural_DifBase,2,FALSE)+IF(NOT($AT$10="Magia Natural"),4,0)+IF($AS$34="",0,IF(ISNUMBER(SEARCH("(",$AS$34)),-4,-2))</f>
        <v>16</v>
      </c>
      <c r="AR16" s="6335"/>
      <c r="AS16" s="666">
        <v>20</v>
      </c>
      <c r="AT16" s="667" t="s">
        <v>1241</v>
      </c>
      <c r="AU16" s="667">
        <v>40</v>
      </c>
      <c r="AV16" s="667">
        <v>80</v>
      </c>
      <c r="AW16" s="669">
        <v>4</v>
      </c>
      <c r="AX16" s="686"/>
      <c r="AY16" s="529"/>
      <c r="AZ16" s="84"/>
      <c r="BA16" s="47" t="s">
        <v>6730</v>
      </c>
      <c r="BB16" s="47" t="s">
        <v>6506</v>
      </c>
      <c r="BC16" s="47" t="s">
        <v>6504</v>
      </c>
      <c r="BD16" s="47" t="s">
        <v>5654</v>
      </c>
      <c r="BE16" s="47" t="s">
        <v>6537</v>
      </c>
      <c r="BF16" s="47" t="s">
        <v>6517</v>
      </c>
      <c r="BG16" s="47">
        <v>20</v>
      </c>
      <c r="BH16" s="47" t="s">
        <v>6506</v>
      </c>
      <c r="BI16" s="47" t="s">
        <v>6522</v>
      </c>
    </row>
    <row r="17" spans="1:61" ht="12" customHeight="1" thickBot="1">
      <c r="A17" s="29"/>
      <c r="B17" s="795"/>
      <c r="C17" s="6287"/>
      <c r="D17" s="6288"/>
      <c r="E17" s="6293"/>
      <c r="F17" s="6294"/>
      <c r="G17" s="1382"/>
      <c r="H17" s="615">
        <f t="shared" si="3"/>
        <v>0</v>
      </c>
      <c r="I17" s="625">
        <f>IF(H17&gt;3,VLOOKUP(H17,Tabla_NumeroConjurosLA,IF(VLOOKUP(C17,ViasMayores,2,FALSE)="Mayor",2,3))-IF(Místicos!E17=0,0,TRUNC((H17+6)/10)),0)</f>
        <v>0</v>
      </c>
      <c r="J17" s="6271" t="s">
        <v>2500</v>
      </c>
      <c r="K17" s="6272"/>
      <c r="L17" s="6272"/>
      <c r="M17" s="6272"/>
      <c r="N17" s="6272"/>
      <c r="O17" s="6272"/>
      <c r="P17" s="6272"/>
      <c r="Q17" s="6273"/>
      <c r="S17" s="532"/>
      <c r="T17" s="442" t="str">
        <f t="shared" si="0"/>
        <v>Conjuros</v>
      </c>
      <c r="U17" s="29"/>
      <c r="V17" s="622">
        <f>IF(AC17="",0,VLOOKUP(AC17,Tablas!$M$1176:$N$1185,2))</f>
        <v>0</v>
      </c>
      <c r="W17" s="5013"/>
      <c r="X17" s="5014"/>
      <c r="Y17" s="6322"/>
      <c r="Z17" s="6323"/>
      <c r="AA17" s="6323"/>
      <c r="AB17" s="6324"/>
      <c r="AC17" s="497" t="str">
        <f>IF(Místicos!Y17=0,"",VLOOKUP(Místicos!Y17,Tabla_Conjuros,3,FALSE))</f>
        <v/>
      </c>
      <c r="AD17" s="2092" t="str">
        <f t="shared" si="1"/>
        <v/>
      </c>
      <c r="AE17" s="6329"/>
      <c r="AF17" s="6330"/>
      <c r="AG17" s="6322"/>
      <c r="AH17" s="6323"/>
      <c r="AI17" s="6323"/>
      <c r="AJ17" s="6324"/>
      <c r="AK17" s="1389"/>
      <c r="AL17" s="1056">
        <f>IF(Místicos!AG17=0,0,VLOOKUP(Místicos!AG17,Tabla_Conjuros,3,FALSE)-10)</f>
        <v>0</v>
      </c>
      <c r="AM17" s="1217" t="str">
        <f t="shared" si="2"/>
        <v>Conjuros_LibreAcceso</v>
      </c>
      <c r="AN17" s="1217" t="str">
        <f>AE17&amp;COUNTIF($AE$12:AF17,AE17)</f>
        <v>0</v>
      </c>
      <c r="AO17" s="2491" t="b">
        <f>ISNUMBER(SEARCH(AE17,VLOOKUP(AG17,'Tablas Magia'!$D$6:$AA$680,24,FALSE)))</f>
        <v>0</v>
      </c>
      <c r="AP17" s="668">
        <v>2</v>
      </c>
      <c r="AQ17" s="6335">
        <f t="shared" si="4"/>
        <v>20</v>
      </c>
      <c r="AR17" s="6335"/>
      <c r="AS17" s="666">
        <v>50</v>
      </c>
      <c r="AT17" s="667" t="s">
        <v>5278</v>
      </c>
      <c r="AU17" s="667">
        <v>100</v>
      </c>
      <c r="AV17" s="667">
        <v>100</v>
      </c>
      <c r="AW17" s="669">
        <v>6</v>
      </c>
      <c r="AX17" s="686"/>
      <c r="AY17" s="529"/>
      <c r="AZ17" s="84"/>
      <c r="BA17" s="47" t="s">
        <v>6731</v>
      </c>
      <c r="BB17" s="47" t="s">
        <v>6506</v>
      </c>
      <c r="BC17" s="47" t="s">
        <v>6505</v>
      </c>
      <c r="BD17" s="47" t="s">
        <v>3206</v>
      </c>
      <c r="BE17" s="47" t="s">
        <v>6538</v>
      </c>
      <c r="BF17" s="47" t="s">
        <v>6518</v>
      </c>
      <c r="BG17" s="47">
        <v>40</v>
      </c>
      <c r="BH17" s="47" t="s">
        <v>6506</v>
      </c>
      <c r="BI17" s="47" t="s">
        <v>6523</v>
      </c>
    </row>
    <row r="18" spans="1:61" ht="12" customHeight="1">
      <c r="A18" s="29"/>
      <c r="B18" s="795"/>
      <c r="C18" s="6285"/>
      <c r="D18" s="6286"/>
      <c r="E18" s="6291"/>
      <c r="F18" s="6292"/>
      <c r="G18" s="1385"/>
      <c r="H18" s="616">
        <f t="shared" si="3"/>
        <v>0</v>
      </c>
      <c r="I18" s="625">
        <f>IF(H18&gt;3,VLOOKUP(H18,Tabla_NumeroConjurosLA,IF(VLOOKUP(C18,ViasMayores,2,FALSE)="Mayor",2,3))-IF(Místicos!E18=0,0,TRUNC((H18+6)/10)),0)</f>
        <v>0</v>
      </c>
      <c r="J18" s="6310" t="s">
        <v>1556</v>
      </c>
      <c r="K18" s="6312">
        <f>Zeón_final+L20</f>
        <v>0</v>
      </c>
      <c r="L18" s="6313"/>
      <c r="M18" s="6353"/>
      <c r="N18" s="6353"/>
      <c r="O18" s="6353"/>
      <c r="P18" s="6353"/>
      <c r="Q18" s="6354"/>
      <c r="S18" s="532"/>
      <c r="T18" s="442" t="str">
        <f t="shared" si="0"/>
        <v>Conjuros</v>
      </c>
      <c r="U18" s="29"/>
      <c r="V18" s="622">
        <f>IF(AC18="",0,VLOOKUP(AC18,Tablas!$M$1176:$N$1185,2))</f>
        <v>0</v>
      </c>
      <c r="W18" s="5010"/>
      <c r="X18" s="5011"/>
      <c r="Y18" s="6316"/>
      <c r="Z18" s="6317"/>
      <c r="AA18" s="6317"/>
      <c r="AB18" s="6318"/>
      <c r="AC18" s="498" t="str">
        <f>IF(Místicos!Y18=0,"",VLOOKUP(Místicos!Y18,Tabla_Conjuros,3,FALSE))</f>
        <v/>
      </c>
      <c r="AD18" s="2092" t="str">
        <f t="shared" si="1"/>
        <v/>
      </c>
      <c r="AE18" s="5010"/>
      <c r="AF18" s="5011"/>
      <c r="AG18" s="6316"/>
      <c r="AH18" s="6317"/>
      <c r="AI18" s="6317"/>
      <c r="AJ18" s="6318"/>
      <c r="AK18" s="1338"/>
      <c r="AL18" s="1056">
        <f>IF(Místicos!AG18=0,0,VLOOKUP(Místicos!AG18,Tabla_Conjuros,3,FALSE)-10)</f>
        <v>0</v>
      </c>
      <c r="AM18" s="1217" t="str">
        <f t="shared" si="2"/>
        <v>Conjuros_LibreAcceso</v>
      </c>
      <c r="AN18" s="1217" t="str">
        <f>AE18&amp;COUNTIF($AE$12:AF18,AE18)</f>
        <v>0</v>
      </c>
      <c r="AO18" s="2491" t="b">
        <f>ISNUMBER(SEARCH(AE18,VLOOKUP(AG18,'Tablas Magia'!$D$6:$AA$680,24,FALSE)))</f>
        <v>0</v>
      </c>
      <c r="AP18" s="668">
        <v>3</v>
      </c>
      <c r="AQ18" s="6335">
        <f t="shared" si="4"/>
        <v>24</v>
      </c>
      <c r="AR18" s="6335"/>
      <c r="AS18" s="666">
        <v>80</v>
      </c>
      <c r="AT18" s="667" t="s">
        <v>6481</v>
      </c>
      <c r="AU18" s="667">
        <v>150</v>
      </c>
      <c r="AV18" s="667">
        <v>120</v>
      </c>
      <c r="AW18" s="669">
        <v>9</v>
      </c>
      <c r="AX18" s="686"/>
      <c r="AY18" s="529"/>
      <c r="AZ18" s="84"/>
      <c r="BA18" s="47" t="s">
        <v>6732</v>
      </c>
      <c r="BB18" s="47" t="s">
        <v>6506</v>
      </c>
      <c r="BC18" s="47" t="s">
        <v>6506</v>
      </c>
      <c r="BD18" s="47" t="s">
        <v>3207</v>
      </c>
      <c r="BE18" s="47" t="s">
        <v>6539</v>
      </c>
      <c r="BF18" s="47" t="s">
        <v>6506</v>
      </c>
      <c r="BG18" s="47">
        <v>80</v>
      </c>
      <c r="BH18" s="47" t="s">
        <v>6506</v>
      </c>
      <c r="BI18" s="47" t="s">
        <v>6506</v>
      </c>
    </row>
    <row r="19" spans="1:61" ht="12" customHeight="1">
      <c r="A19" s="29"/>
      <c r="B19" s="795"/>
      <c r="C19" s="6287"/>
      <c r="D19" s="6288"/>
      <c r="E19" s="6293"/>
      <c r="F19" s="6294"/>
      <c r="G19" s="1382"/>
      <c r="H19" s="615">
        <f t="shared" si="3"/>
        <v>0</v>
      </c>
      <c r="I19" s="625">
        <f>IF(H19&gt;3,VLOOKUP(H19,Tabla_NumeroConjurosLA,IF(VLOOKUP(C19,ViasMayores,2,FALSE)="Mayor",2,3))-IF(Místicos!E19=0,0,TRUNC((H19+6)/10)),0)</f>
        <v>0</v>
      </c>
      <c r="J19" s="6311"/>
      <c r="K19" s="6314"/>
      <c r="L19" s="6315"/>
      <c r="M19" s="6353"/>
      <c r="N19" s="6353"/>
      <c r="O19" s="6353"/>
      <c r="P19" s="6353"/>
      <c r="Q19" s="6354"/>
      <c r="S19" s="532"/>
      <c r="T19" s="442" t="str">
        <f t="shared" si="0"/>
        <v>Conjuros</v>
      </c>
      <c r="U19" s="29"/>
      <c r="V19" s="622">
        <f>IF(AC19="",0,VLOOKUP(AC19,Tablas!$M$1176:$N$1185,2))</f>
        <v>0</v>
      </c>
      <c r="W19" s="5013"/>
      <c r="X19" s="5014"/>
      <c r="Y19" s="6322"/>
      <c r="Z19" s="6323"/>
      <c r="AA19" s="6323"/>
      <c r="AB19" s="6324"/>
      <c r="AC19" s="497" t="str">
        <f>IF(Místicos!Y19=0,"",VLOOKUP(Místicos!Y19,Tabla_Conjuros,3,FALSE))</f>
        <v/>
      </c>
      <c r="AD19" s="2092" t="str">
        <f t="shared" si="1"/>
        <v/>
      </c>
      <c r="AE19" s="6329"/>
      <c r="AF19" s="6330"/>
      <c r="AG19" s="6322"/>
      <c r="AH19" s="6323"/>
      <c r="AI19" s="6323"/>
      <c r="AJ19" s="6324"/>
      <c r="AK19" s="1389"/>
      <c r="AL19" s="1056">
        <f>IF(Místicos!AG19=0,0,VLOOKUP(Místicos!AG19,Tabla_Conjuros,3,FALSE)-10)</f>
        <v>0</v>
      </c>
      <c r="AM19" s="1217" t="str">
        <f t="shared" si="2"/>
        <v>Conjuros_LibreAcceso</v>
      </c>
      <c r="AN19" s="1217" t="str">
        <f>AE19&amp;COUNTIF($AE$12:AF19,AE19)</f>
        <v>0</v>
      </c>
      <c r="AO19" s="2491" t="b">
        <f>ISNUMBER(SEARCH(AE19,VLOOKUP(AG19,'Tablas Magia'!$D$6:$AA$680,24,FALSE)))</f>
        <v>0</v>
      </c>
      <c r="AP19" s="668">
        <v>4</v>
      </c>
      <c r="AQ19" s="6335">
        <f t="shared" si="4"/>
        <v>28</v>
      </c>
      <c r="AR19" s="6335"/>
      <c r="AS19" s="666">
        <v>100</v>
      </c>
      <c r="AT19" s="667" t="s">
        <v>5281</v>
      </c>
      <c r="AU19" s="667">
        <v>500</v>
      </c>
      <c r="AV19" s="667">
        <v>140</v>
      </c>
      <c r="AW19" s="669">
        <v>12</v>
      </c>
      <c r="AX19" s="686"/>
      <c r="AY19" s="529"/>
      <c r="AZ19" s="84"/>
      <c r="BA19" s="47" t="s">
        <v>6733</v>
      </c>
      <c r="BB19" s="47" t="s">
        <v>6506</v>
      </c>
      <c r="BC19" s="47" t="s">
        <v>6506</v>
      </c>
      <c r="BD19" s="47" t="s">
        <v>3208</v>
      </c>
      <c r="BE19" s="47" t="s">
        <v>6540</v>
      </c>
      <c r="BF19" s="47"/>
      <c r="BG19" s="47">
        <v>120</v>
      </c>
      <c r="BH19" s="47" t="s">
        <v>6506</v>
      </c>
      <c r="BI19" s="47" t="s">
        <v>6506</v>
      </c>
    </row>
    <row r="20" spans="1:61" ht="12" customHeight="1">
      <c r="A20" s="29"/>
      <c r="B20" s="795"/>
      <c r="C20" s="6289"/>
      <c r="D20" s="6290"/>
      <c r="E20" s="6291"/>
      <c r="F20" s="6292"/>
      <c r="G20" s="1385"/>
      <c r="H20" s="616">
        <f t="shared" si="3"/>
        <v>0</v>
      </c>
      <c r="I20" s="625">
        <f>IF(H20&gt;3,VLOOKUP(H20,Tabla_NumeroConjurosLA,IF(VLOOKUP(C20,ViasMayores,2,FALSE)="Mayor",2,3))-IF(Místicos!E20=0,0,TRUNC((H20+6)/10)),0)</f>
        <v>0</v>
      </c>
      <c r="J20" s="6295" t="s">
        <v>1557</v>
      </c>
      <c r="K20" s="6296"/>
      <c r="L20" s="1973"/>
      <c r="M20" s="6353"/>
      <c r="N20" s="6353"/>
      <c r="O20" s="6353"/>
      <c r="P20" s="6353"/>
      <c r="Q20" s="6354"/>
      <c r="S20" s="532"/>
      <c r="T20" s="442" t="str">
        <f t="shared" si="0"/>
        <v>Conjuros</v>
      </c>
      <c r="U20" s="29"/>
      <c r="V20" s="622">
        <f>IF(AC20="",0,VLOOKUP(AC20,Tablas!$M$1176:$N$1185,2))</f>
        <v>0</v>
      </c>
      <c r="W20" s="5010"/>
      <c r="X20" s="5011"/>
      <c r="Y20" s="6316"/>
      <c r="Z20" s="6317"/>
      <c r="AA20" s="6317"/>
      <c r="AB20" s="6318"/>
      <c r="AC20" s="498" t="str">
        <f>IF(Místicos!Y20=0,"",VLOOKUP(Místicos!Y20,Tabla_Conjuros,3,FALSE))</f>
        <v/>
      </c>
      <c r="AD20" s="2092" t="str">
        <f t="shared" si="1"/>
        <v/>
      </c>
      <c r="AE20" s="5010"/>
      <c r="AF20" s="5011"/>
      <c r="AG20" s="6316"/>
      <c r="AH20" s="6317"/>
      <c r="AI20" s="6317"/>
      <c r="AJ20" s="6318"/>
      <c r="AK20" s="1338"/>
      <c r="AL20" s="1056">
        <f>IF(Místicos!AG20=0,0,VLOOKUP(Místicos!AG20,Tabla_Conjuros,3,FALSE)-10)</f>
        <v>0</v>
      </c>
      <c r="AM20" s="1217" t="str">
        <f t="shared" si="2"/>
        <v>Conjuros_LibreAcceso</v>
      </c>
      <c r="AN20" s="1217" t="str">
        <f>AE20&amp;COUNTIF($AE$12:AF20,AE20)</f>
        <v>0</v>
      </c>
      <c r="AO20" s="2491" t="b">
        <f>ISNUMBER(SEARCH(AE20,VLOOKUP(AG20,'Tablas Magia'!$D$6:$AA$680,24,FALSE)))</f>
        <v>0</v>
      </c>
      <c r="AP20" s="4020">
        <v>5</v>
      </c>
      <c r="AQ20" s="6335">
        <f t="shared" si="4"/>
        <v>32</v>
      </c>
      <c r="AR20" s="6335"/>
      <c r="AS20" s="666">
        <v>150</v>
      </c>
      <c r="AT20" s="667" t="s">
        <v>7140</v>
      </c>
      <c r="AU20" s="667">
        <v>1000</v>
      </c>
      <c r="AV20" s="667">
        <v>160</v>
      </c>
      <c r="AW20" s="4021">
        <v>14</v>
      </c>
      <c r="AX20" s="686"/>
      <c r="AY20" s="529"/>
      <c r="AZ20" s="84"/>
      <c r="BA20" s="47" t="s">
        <v>2603</v>
      </c>
      <c r="BB20" s="47" t="s">
        <v>6506</v>
      </c>
      <c r="BC20" s="47" t="s">
        <v>6506</v>
      </c>
      <c r="BD20" s="47" t="s">
        <v>6506</v>
      </c>
      <c r="BE20" s="47" t="s">
        <v>6506</v>
      </c>
      <c r="BF20" s="47" t="s">
        <v>6524</v>
      </c>
      <c r="BG20" s="47" t="s">
        <v>6506</v>
      </c>
      <c r="BH20" s="47" t="s">
        <v>6506</v>
      </c>
      <c r="BI20" s="47" t="s">
        <v>6506</v>
      </c>
    </row>
    <row r="21" spans="1:61" ht="12" customHeight="1">
      <c r="A21" s="29"/>
      <c r="B21" s="795"/>
      <c r="C21" s="6386"/>
      <c r="D21" s="6387"/>
      <c r="E21" s="6293"/>
      <c r="F21" s="6294"/>
      <c r="G21" s="1382"/>
      <c r="H21" s="615">
        <f t="shared" si="3"/>
        <v>0</v>
      </c>
      <c r="I21" s="625">
        <f>IF(H21&gt;3,VLOOKUP(H21,Tabla_NumeroConjurosLA,IF(VLOOKUP(C21,ViasMayores,2,FALSE)="Mayor",2,3))-IF(Místicos!E21=0,0,TRUNC((H21+6)/10)),0)</f>
        <v>0</v>
      </c>
      <c r="J21" s="6388" t="s">
        <v>1559</v>
      </c>
      <c r="K21" s="6389"/>
      <c r="L21" s="2341"/>
      <c r="M21" s="6353"/>
      <c r="N21" s="6353"/>
      <c r="O21" s="6353"/>
      <c r="P21" s="6353"/>
      <c r="Q21" s="6354"/>
      <c r="S21" s="532"/>
      <c r="T21" s="442" t="str">
        <f t="shared" si="0"/>
        <v>Conjuros</v>
      </c>
      <c r="U21" s="29"/>
      <c r="V21" s="622">
        <f>IF(AC21="",0,VLOOKUP(AC21,Tablas!$M$1176:$N$1185,2))</f>
        <v>0</v>
      </c>
      <c r="W21" s="5013"/>
      <c r="X21" s="5014"/>
      <c r="Y21" s="6322"/>
      <c r="Z21" s="6323"/>
      <c r="AA21" s="6323"/>
      <c r="AB21" s="6324"/>
      <c r="AC21" s="497" t="str">
        <f>IF(Místicos!Y21=0,"",VLOOKUP(Místicos!Y21,Tabla_Conjuros,3,FALSE))</f>
        <v/>
      </c>
      <c r="AD21" s="2092" t="str">
        <f t="shared" si="1"/>
        <v/>
      </c>
      <c r="AE21" s="6329"/>
      <c r="AF21" s="6330"/>
      <c r="AG21" s="6322"/>
      <c r="AH21" s="6323"/>
      <c r="AI21" s="6323"/>
      <c r="AJ21" s="6324"/>
      <c r="AK21" s="1389"/>
      <c r="AL21" s="1056">
        <f>IF(Místicos!AG21=0,0,VLOOKUP(Místicos!AG21,Tabla_Conjuros,3,FALSE)-10)</f>
        <v>0</v>
      </c>
      <c r="AM21" s="1217" t="str">
        <f t="shared" si="2"/>
        <v>Conjuros_LibreAcceso</v>
      </c>
      <c r="AN21" s="1217" t="str">
        <f>AE21&amp;COUNTIF($AE$12:AF21,AE21)</f>
        <v>0</v>
      </c>
      <c r="AO21" s="2491" t="b">
        <f>ISNUMBER(SEARCH(AE21,VLOOKUP(AG21,'Tablas Magia'!$D$6:$AA$680,24,FALSE)))</f>
        <v>0</v>
      </c>
      <c r="AP21" s="668">
        <v>6</v>
      </c>
      <c r="AQ21" s="6335">
        <f t="shared" si="4"/>
        <v>36</v>
      </c>
      <c r="AR21" s="6335"/>
      <c r="AS21" s="666">
        <v>250</v>
      </c>
      <c r="AT21" s="667" t="s">
        <v>6480</v>
      </c>
      <c r="AU21" s="667">
        <v>1500</v>
      </c>
      <c r="AV21" s="667">
        <v>180</v>
      </c>
      <c r="AW21" s="669">
        <v>16</v>
      </c>
      <c r="AX21" s="686"/>
      <c r="AY21" s="529"/>
      <c r="AZ21" s="84"/>
      <c r="BA21" s="47" t="s">
        <v>6506</v>
      </c>
      <c r="BB21" s="47" t="s">
        <v>6506</v>
      </c>
      <c r="BC21" s="47" t="s">
        <v>6525</v>
      </c>
      <c r="BD21" s="47" t="s">
        <v>6506</v>
      </c>
      <c r="BE21" s="47" t="s">
        <v>6532</v>
      </c>
      <c r="BF21" s="47" t="s">
        <v>6528</v>
      </c>
      <c r="BG21" s="47" t="s">
        <v>6506</v>
      </c>
      <c r="BH21" s="47" t="s">
        <v>6506</v>
      </c>
      <c r="BI21" s="47" t="s">
        <v>6506</v>
      </c>
    </row>
    <row r="22" spans="1:61" ht="12" customHeight="1" thickBot="1">
      <c r="A22" s="29"/>
      <c r="B22" s="795"/>
      <c r="C22" s="6289"/>
      <c r="D22" s="6290"/>
      <c r="E22" s="6291"/>
      <c r="F22" s="6292"/>
      <c r="G22" s="1385"/>
      <c r="H22" s="616">
        <f t="shared" si="3"/>
        <v>0</v>
      </c>
      <c r="I22" s="625">
        <f>IF(H22&gt;3,VLOOKUP(H22,Tabla_NumeroConjurosLA,IF(VLOOKUP(C22,ViasMayores,2,FALSE)="Mayor",2,3))-IF(Místicos!E22=0,0,TRUNC((H22+6)/10)),0)</f>
        <v>0</v>
      </c>
      <c r="J22" s="6414" t="str">
        <f>IF(AT10="Onmyodo","Zeon invertido en ofudas: "&amp;SUM(AW64:AW74),"")</f>
        <v/>
      </c>
      <c r="K22" s="6415"/>
      <c r="L22" s="6415"/>
      <c r="M22" s="6415"/>
      <c r="N22" s="6415"/>
      <c r="O22" s="6415"/>
      <c r="P22" s="6415"/>
      <c r="Q22" s="6416"/>
      <c r="S22" s="532"/>
      <c r="T22" s="442" t="str">
        <f t="shared" si="0"/>
        <v>Conjuros</v>
      </c>
      <c r="U22" s="29"/>
      <c r="V22" s="622">
        <f>IF(AC22="",0,VLOOKUP(AC22,Tablas!$M$1176:$N$1185,2))</f>
        <v>0</v>
      </c>
      <c r="W22" s="5010"/>
      <c r="X22" s="5011"/>
      <c r="Y22" s="6316"/>
      <c r="Z22" s="6317"/>
      <c r="AA22" s="6317"/>
      <c r="AB22" s="6318"/>
      <c r="AC22" s="498" t="str">
        <f>IF(Místicos!Y22=0,"",VLOOKUP(Místicos!Y22,Tabla_Conjuros,3,FALSE))</f>
        <v/>
      </c>
      <c r="AD22" s="2092" t="str">
        <f t="shared" si="1"/>
        <v/>
      </c>
      <c r="AE22" s="5010"/>
      <c r="AF22" s="5011"/>
      <c r="AG22" s="6316"/>
      <c r="AH22" s="6317"/>
      <c r="AI22" s="6317"/>
      <c r="AJ22" s="6318"/>
      <c r="AK22" s="1338"/>
      <c r="AL22" s="1056">
        <f>IF(Místicos!AG22=0,0,VLOOKUP(Místicos!AG22,Tabla_Conjuros,3,FALSE)-10)</f>
        <v>0</v>
      </c>
      <c r="AM22" s="1217" t="str">
        <f t="shared" si="2"/>
        <v>Conjuros_LibreAcceso</v>
      </c>
      <c r="AN22" s="1217" t="str">
        <f>AE22&amp;COUNTIF($AE$12:AF22,AE22)</f>
        <v>0</v>
      </c>
      <c r="AO22" s="2491" t="b">
        <f>ISNUMBER(SEARCH(AE22,VLOOKUP(AG22,'Tablas Magia'!$D$6:$AA$680,24,FALSE)))</f>
        <v>0</v>
      </c>
      <c r="AP22" s="670">
        <v>7</v>
      </c>
      <c r="AQ22" s="6333">
        <f t="shared" si="4"/>
        <v>40</v>
      </c>
      <c r="AR22" s="6334"/>
      <c r="AS22" s="671">
        <v>300</v>
      </c>
      <c r="AT22" s="672" t="s">
        <v>7141</v>
      </c>
      <c r="AU22" s="672">
        <v>2000</v>
      </c>
      <c r="AV22" s="672">
        <v>240</v>
      </c>
      <c r="AW22" s="673">
        <v>18</v>
      </c>
      <c r="AX22" s="686"/>
      <c r="AY22" s="529"/>
      <c r="AZ22" s="84"/>
      <c r="BA22" s="47" t="s">
        <v>6506</v>
      </c>
      <c r="BB22" s="47" t="s">
        <v>6506</v>
      </c>
      <c r="BC22" s="21" t="s">
        <v>6526</v>
      </c>
      <c r="BD22" s="47" t="s">
        <v>6506</v>
      </c>
      <c r="BE22" s="47" t="s">
        <v>6530</v>
      </c>
      <c r="BF22" s="21" t="s">
        <v>1315</v>
      </c>
      <c r="BG22" s="47" t="s">
        <v>6506</v>
      </c>
      <c r="BH22" s="47" t="s">
        <v>6506</v>
      </c>
      <c r="BI22" s="21"/>
    </row>
    <row r="23" spans="1:61" ht="12" customHeight="1" thickBot="1">
      <c r="A23" s="29"/>
      <c r="B23" s="795"/>
      <c r="C23" s="6386"/>
      <c r="D23" s="6387"/>
      <c r="E23" s="6293"/>
      <c r="F23" s="6294"/>
      <c r="G23" s="1382"/>
      <c r="H23" s="615">
        <f t="shared" si="3"/>
        <v>0</v>
      </c>
      <c r="I23" s="625">
        <f>IF(H23&gt;3,VLOOKUP(H23,Tabla_NumeroConjurosLA,IF(VLOOKUP(C23,ViasMayores,2,FALSE)="Mayor",2,3))-IF(Místicos!E23=0,0,TRUNC((H23+6)/10)),0)</f>
        <v>0</v>
      </c>
      <c r="S23" s="532"/>
      <c r="T23" s="442" t="str">
        <f t="shared" si="0"/>
        <v>Conjuros</v>
      </c>
      <c r="U23" s="29"/>
      <c r="V23" s="622">
        <f>IF(AC23="",0,VLOOKUP(AC23,Tablas!$M$1176:$N$1185,2))</f>
        <v>0</v>
      </c>
      <c r="W23" s="5013"/>
      <c r="X23" s="5014"/>
      <c r="Y23" s="6322"/>
      <c r="Z23" s="6323"/>
      <c r="AA23" s="6323"/>
      <c r="AB23" s="6324"/>
      <c r="AC23" s="497" t="str">
        <f>IF(Místicos!Y23=0,"",VLOOKUP(Místicos!Y23,Tabla_Conjuros,3,FALSE))</f>
        <v/>
      </c>
      <c r="AD23" s="2092" t="str">
        <f t="shared" si="1"/>
        <v/>
      </c>
      <c r="AE23" s="6329"/>
      <c r="AF23" s="6330"/>
      <c r="AG23" s="6322"/>
      <c r="AH23" s="6323"/>
      <c r="AI23" s="6323"/>
      <c r="AJ23" s="6324"/>
      <c r="AK23" s="1389"/>
      <c r="AL23" s="1056">
        <f>IF(Místicos!AG23=0,0,VLOOKUP(Místicos!AG23,Tabla_Conjuros,3,FALSE)-10)</f>
        <v>0</v>
      </c>
      <c r="AM23" s="1217" t="str">
        <f t="shared" si="2"/>
        <v>Conjuros_LibreAcceso</v>
      </c>
      <c r="AN23" s="1217" t="str">
        <f>AE23&amp;COUNTIF($AE$12:AF23,AE23)</f>
        <v>0</v>
      </c>
      <c r="AO23" s="2491" t="b">
        <f>ISNUMBER(SEARCH(AE23,VLOOKUP(AG23,'Tablas Magia'!$D$6:$AA$680,24,FALSE)))</f>
        <v>0</v>
      </c>
      <c r="AX23" s="686"/>
      <c r="AY23" s="529"/>
      <c r="AZ23" s="84"/>
      <c r="BA23" s="21"/>
      <c r="BB23" s="21"/>
      <c r="BC23" s="21" t="s">
        <v>6527</v>
      </c>
      <c r="BD23" s="47" t="s">
        <v>6506</v>
      </c>
      <c r="BE23" s="47" t="s">
        <v>6531</v>
      </c>
      <c r="BF23" s="21" t="s">
        <v>6529</v>
      </c>
      <c r="BG23" s="47" t="s">
        <v>6506</v>
      </c>
      <c r="BH23" s="47" t="s">
        <v>6506</v>
      </c>
      <c r="BI23" s="21"/>
    </row>
    <row r="24" spans="1:61" ht="12" customHeight="1" thickBot="1">
      <c r="A24" s="29"/>
      <c r="B24" s="795"/>
      <c r="C24" s="6289"/>
      <c r="D24" s="6290"/>
      <c r="E24" s="6291"/>
      <c r="F24" s="6292"/>
      <c r="G24" s="1385"/>
      <c r="H24" s="616">
        <f t="shared" si="3"/>
        <v>0</v>
      </c>
      <c r="I24" s="625">
        <f>IF(H24&gt;3,VLOOKUP(H24,Tabla_NumeroConjurosLA,IF(VLOOKUP(C24,ViasMayores,2,FALSE)="Mayor",2,3))-IF(Místicos!E24=0,0,TRUNC((H24+6)/10)),0)</f>
        <v>0</v>
      </c>
      <c r="J24" s="4364" t="s">
        <v>1562</v>
      </c>
      <c r="K24" s="4365"/>
      <c r="L24" s="4365"/>
      <c r="M24" s="4340"/>
      <c r="N24" s="4365"/>
      <c r="O24" s="4365"/>
      <c r="P24" s="4365"/>
      <c r="Q24" s="4371"/>
      <c r="S24" s="532"/>
      <c r="T24" s="442" t="str">
        <f t="shared" si="0"/>
        <v>Conjuros</v>
      </c>
      <c r="U24" s="29"/>
      <c r="V24" s="622">
        <f>IF(AC24="",0,VLOOKUP(AC24,Tablas!$M$1176:$N$1185,2))</f>
        <v>0</v>
      </c>
      <c r="W24" s="5010"/>
      <c r="X24" s="5011"/>
      <c r="Y24" s="6316"/>
      <c r="Z24" s="6317"/>
      <c r="AA24" s="6317"/>
      <c r="AB24" s="6318"/>
      <c r="AC24" s="498" t="str">
        <f>IF(Místicos!Y24=0,"",VLOOKUP(Místicos!Y24,Tabla_Conjuros,3,FALSE))</f>
        <v/>
      </c>
      <c r="AD24" s="2092" t="str">
        <f t="shared" si="1"/>
        <v/>
      </c>
      <c r="AE24" s="5010"/>
      <c r="AF24" s="5011"/>
      <c r="AG24" s="6316"/>
      <c r="AH24" s="6317"/>
      <c r="AI24" s="6317"/>
      <c r="AJ24" s="6318"/>
      <c r="AK24" s="1338"/>
      <c r="AL24" s="1056">
        <f>IF(Místicos!AG24=0,0,VLOOKUP(Místicos!AG24,Tabla_Conjuros,3,FALSE)-10)</f>
        <v>0</v>
      </c>
      <c r="AM24" s="1217" t="str">
        <f t="shared" si="2"/>
        <v>Conjuros_LibreAcceso</v>
      </c>
      <c r="AN24" s="1217" t="str">
        <f>AE24&amp;COUNTIF($AE$12:AF24,AE24)</f>
        <v>0</v>
      </c>
      <c r="AO24" s="2491" t="b">
        <f>ISNUMBER(SEARCH(AE24,VLOOKUP(AG24,'Tablas Magia'!$D$6:$AA$680,24,FALSE)))</f>
        <v>0</v>
      </c>
      <c r="AP24" s="6341" t="s">
        <v>6488</v>
      </c>
      <c r="AQ24" s="6342"/>
      <c r="AR24" s="6342"/>
      <c r="AS24" s="6342"/>
      <c r="AT24" s="6342"/>
      <c r="AU24" s="6342"/>
      <c r="AV24" s="6342"/>
      <c r="AW24" s="6343"/>
      <c r="AX24" s="686"/>
      <c r="AY24" s="529"/>
      <c r="AZ24" s="84"/>
      <c r="BA24" s="21" t="s">
        <v>6533</v>
      </c>
      <c r="BB24" s="21" t="s">
        <v>6533</v>
      </c>
      <c r="BC24" s="21" t="s">
        <v>6533</v>
      </c>
      <c r="BD24" s="21" t="s">
        <v>6533</v>
      </c>
      <c r="BE24" s="21" t="s">
        <v>6533</v>
      </c>
      <c r="BF24" s="21" t="s">
        <v>6533</v>
      </c>
      <c r="BG24" s="21" t="s">
        <v>6533</v>
      </c>
      <c r="BH24" s="21" t="s">
        <v>6533</v>
      </c>
      <c r="BI24" s="21" t="s">
        <v>6533</v>
      </c>
    </row>
    <row r="25" spans="1:61" ht="12" customHeight="1">
      <c r="A25" s="29"/>
      <c r="B25" s="795"/>
      <c r="C25" s="6407"/>
      <c r="D25" s="6408"/>
      <c r="E25" s="6417"/>
      <c r="F25" s="6418"/>
      <c r="G25" s="1383"/>
      <c r="H25" s="617">
        <f t="shared" si="3"/>
        <v>0</v>
      </c>
      <c r="I25" s="625">
        <f>IF(H25&gt;3,VLOOKUP(H25,Tabla_NumeroConjurosLA,IF(VLOOKUP(C25,ViasMayores,2,FALSE)="Mayor",2,3))-IF(Místicos!E25=0,0,TRUNC((H25+6)/10)),0)</f>
        <v>0</v>
      </c>
      <c r="J25" s="6419" t="s">
        <v>1235</v>
      </c>
      <c r="K25" s="6420"/>
      <c r="L25" s="1444" t="s">
        <v>1277</v>
      </c>
      <c r="M25" s="1443" t="s">
        <v>1209</v>
      </c>
      <c r="N25" s="6402" t="s">
        <v>1564</v>
      </c>
      <c r="O25" s="6403"/>
      <c r="P25" s="6403"/>
      <c r="Q25" s="1445" t="str">
        <f>IF(P26="Invocador","No","Nv. "&amp;PDs!R17+Tablas!G400+2*Tablas!G401+3*Tablas!G402)</f>
        <v>Nv. 1</v>
      </c>
      <c r="S25" s="532"/>
      <c r="T25" s="442" t="str">
        <f t="shared" si="0"/>
        <v>Conjuros</v>
      </c>
      <c r="U25" s="29"/>
      <c r="V25" s="622">
        <f>IF(AC25="",0,VLOOKUP(AC25,Tablas!$M$1176:$N$1185,2))</f>
        <v>0</v>
      </c>
      <c r="W25" s="5013"/>
      <c r="X25" s="5014"/>
      <c r="Y25" s="6322"/>
      <c r="Z25" s="6323"/>
      <c r="AA25" s="6323"/>
      <c r="AB25" s="6324"/>
      <c r="AC25" s="497" t="str">
        <f>IF(Místicos!Y25=0,"",VLOOKUP(Místicos!Y25,Tabla_Conjuros,3,FALSE))</f>
        <v/>
      </c>
      <c r="AD25" s="2092" t="str">
        <f t="shared" si="1"/>
        <v/>
      </c>
      <c r="AE25" s="6329"/>
      <c r="AF25" s="6330"/>
      <c r="AG25" s="6322"/>
      <c r="AH25" s="6323"/>
      <c r="AI25" s="6323"/>
      <c r="AJ25" s="6324"/>
      <c r="AK25" s="1389"/>
      <c r="AL25" s="1056">
        <f>IF(Místicos!AG25=0,0,VLOOKUP(Místicos!AG25,Tabla_Conjuros,3,FALSE)-10)</f>
        <v>0</v>
      </c>
      <c r="AM25" s="1217" t="str">
        <f t="shared" si="2"/>
        <v>Conjuros_LibreAcceso</v>
      </c>
      <c r="AN25" s="1217" t="str">
        <f>AE25&amp;COUNTIF($AE$12:AF25,AE25)</f>
        <v>0</v>
      </c>
      <c r="AO25" s="2491" t="b">
        <f>ISNUMBER(SEARCH(AE25,VLOOKUP(AG25,'Tablas Magia'!$D$6:$AA$680,24,FALSE)))</f>
        <v>0</v>
      </c>
      <c r="AP25" s="6476" t="s">
        <v>6439</v>
      </c>
      <c r="AQ25" s="6477"/>
      <c r="AR25" s="1321" t="s">
        <v>6489</v>
      </c>
      <c r="AS25" s="6477" t="s">
        <v>6441</v>
      </c>
      <c r="AT25" s="6477"/>
      <c r="AU25" s="1321" t="s">
        <v>6489</v>
      </c>
      <c r="AV25" s="169" t="s">
        <v>2500</v>
      </c>
      <c r="AW25" s="661" t="s">
        <v>6489</v>
      </c>
      <c r="AX25" s="686"/>
      <c r="AY25" s="529"/>
      <c r="AZ25" s="84"/>
      <c r="BA25" s="21"/>
      <c r="BB25" s="21"/>
      <c r="BC25" s="21"/>
      <c r="BD25" s="21"/>
      <c r="BE25" s="21"/>
      <c r="BF25" s="21"/>
      <c r="BG25" s="21"/>
      <c r="BH25" s="21"/>
      <c r="BI25" s="21"/>
    </row>
    <row r="26" spans="1:61" ht="12" customHeight="1">
      <c r="A26" s="29"/>
      <c r="B26" s="443"/>
      <c r="C26" s="4589" t="s">
        <v>1541</v>
      </c>
      <c r="D26" s="6412"/>
      <c r="E26" s="6412"/>
      <c r="F26" s="6412"/>
      <c r="G26" s="6413"/>
      <c r="H26" s="652">
        <f>SUM(V12:V50)</f>
        <v>0</v>
      </c>
      <c r="I26" s="708"/>
      <c r="J26" s="6327" t="s">
        <v>1374</v>
      </c>
      <c r="K26" s="6328"/>
      <c r="L26" s="1974"/>
      <c r="M26" s="1386">
        <f>Convocar_final+L26</f>
        <v>0</v>
      </c>
      <c r="N26" s="6284" t="s">
        <v>1566</v>
      </c>
      <c r="O26" s="6284"/>
      <c r="P26" s="6331"/>
      <c r="Q26" s="6332"/>
      <c r="S26" s="532"/>
      <c r="T26" s="442" t="str">
        <f t="shared" si="0"/>
        <v>Conjuros</v>
      </c>
      <c r="U26" s="29"/>
      <c r="V26" s="622">
        <f>IF(AC26="",0,VLOOKUP(AC26,Tablas!$M$1176:$N$1185,2))</f>
        <v>0</v>
      </c>
      <c r="W26" s="5010"/>
      <c r="X26" s="5011"/>
      <c r="Y26" s="6316"/>
      <c r="Z26" s="6317"/>
      <c r="AA26" s="6317"/>
      <c r="AB26" s="6318"/>
      <c r="AC26" s="498" t="str">
        <f>IF(Místicos!Y26=0,"",VLOOKUP(Místicos!Y26,Tabla_Conjuros,3,FALSE))</f>
        <v/>
      </c>
      <c r="AD26" s="2092" t="str">
        <f t="shared" si="1"/>
        <v/>
      </c>
      <c r="AE26" s="5010"/>
      <c r="AF26" s="5011"/>
      <c r="AG26" s="6316"/>
      <c r="AH26" s="6317"/>
      <c r="AI26" s="6317"/>
      <c r="AJ26" s="6318"/>
      <c r="AK26" s="1338"/>
      <c r="AL26" s="1056">
        <f>IF(Místicos!AG26=0,0,VLOOKUP(Místicos!AG26,Tabla_Conjuros,3,FALSE)-10)</f>
        <v>0</v>
      </c>
      <c r="AM26" s="1217" t="str">
        <f t="shared" si="2"/>
        <v>Conjuros_LibreAcceso</v>
      </c>
      <c r="AN26" s="1217" t="str">
        <f>AE26&amp;COUNTIF($AE$12:AF26,AE26)</f>
        <v>0</v>
      </c>
      <c r="AO26" s="2491" t="b">
        <f>ISNUMBER(SEARCH(AE26,VLOOKUP(AG26,'Tablas Magia'!$D$6:$AA$680,24,FALSE)))</f>
        <v>0</v>
      </c>
      <c r="AP26" s="6478" t="s">
        <v>6440</v>
      </c>
      <c r="AQ26" s="6479"/>
      <c r="AR26" s="1312" t="s">
        <v>6458</v>
      </c>
      <c r="AS26" s="6483" t="s">
        <v>6442</v>
      </c>
      <c r="AT26" s="6479"/>
      <c r="AU26" s="1313" t="s">
        <v>6458</v>
      </c>
      <c r="AV26" s="1314" t="s">
        <v>6447</v>
      </c>
      <c r="AW26" s="1315" t="s">
        <v>6474</v>
      </c>
      <c r="AX26" s="686"/>
      <c r="AY26" s="529"/>
      <c r="AZ26" s="84"/>
      <c r="BA26" s="21"/>
      <c r="BB26" s="21"/>
      <c r="BC26" s="21"/>
      <c r="BD26" s="21"/>
      <c r="BE26" s="21"/>
      <c r="BF26" s="21"/>
      <c r="BG26" s="21"/>
      <c r="BH26" s="21"/>
      <c r="BI26" s="21"/>
    </row>
    <row r="27" spans="1:61" ht="12" customHeight="1" thickBot="1">
      <c r="A27" s="29"/>
      <c r="B27" s="443"/>
      <c r="C27" s="6390" t="s">
        <v>6428</v>
      </c>
      <c r="D27" s="6391"/>
      <c r="E27" s="6394" t="str">
        <f>Tablas!$R$1199</f>
        <v/>
      </c>
      <c r="F27" s="6394"/>
      <c r="G27" s="6394"/>
      <c r="H27" s="6395"/>
      <c r="J27" s="6327" t="s">
        <v>1375</v>
      </c>
      <c r="K27" s="6328"/>
      <c r="L27" s="1975"/>
      <c r="M27" s="1387">
        <f>Controlar_final+L27</f>
        <v>0</v>
      </c>
      <c r="N27" s="6398" t="str">
        <f>IF(P26=0,"",IF(P26="Invocador","Invocador: No puede convocar criaturas","Elementalismo: +30 sobre seres afines, -30 sobre el resto, -60 sobre opuestos"))</f>
        <v/>
      </c>
      <c r="O27" s="6398"/>
      <c r="P27" s="6398"/>
      <c r="Q27" s="6399"/>
      <c r="S27" s="532"/>
      <c r="T27" s="442" t="str">
        <f t="shared" si="0"/>
        <v>Conjuros</v>
      </c>
      <c r="U27" s="29"/>
      <c r="V27" s="622">
        <f>IF(AC27="",0,VLOOKUP(AC27,Tablas!$M$1176:$N$1185,2))</f>
        <v>0</v>
      </c>
      <c r="W27" s="5013"/>
      <c r="X27" s="5014"/>
      <c r="Y27" s="6322"/>
      <c r="Z27" s="6323"/>
      <c r="AA27" s="6323"/>
      <c r="AB27" s="6324"/>
      <c r="AC27" s="497" t="str">
        <f>IF(Místicos!Y27=0,"",VLOOKUP(Místicos!Y27,Tabla_Conjuros,3,FALSE))</f>
        <v/>
      </c>
      <c r="AD27" s="2092" t="str">
        <f t="shared" si="1"/>
        <v/>
      </c>
      <c r="AE27" s="6329"/>
      <c r="AF27" s="6330"/>
      <c r="AG27" s="6322"/>
      <c r="AH27" s="6323"/>
      <c r="AI27" s="6323"/>
      <c r="AJ27" s="6324"/>
      <c r="AK27" s="1389"/>
      <c r="AL27" s="1056">
        <f>IF(Místicos!AG27=0,0,VLOOKUP(Místicos!AG27,Tabla_Conjuros,3,FALSE)-10)</f>
        <v>0</v>
      </c>
      <c r="AM27" s="1217" t="str">
        <f t="shared" si="2"/>
        <v>Conjuros_LibreAcceso</v>
      </c>
      <c r="AN27" s="1217" t="str">
        <f>AE27&amp;COUNTIF($AE$12:AF27,AE27)</f>
        <v>0</v>
      </c>
      <c r="AO27" s="2491" t="b">
        <f>ISNUMBER(SEARCH(AE27,VLOOKUP(AG27,'Tablas Magia'!$D$6:$AA$680,24,FALSE)))</f>
        <v>0</v>
      </c>
      <c r="AP27" s="6480" t="s">
        <v>6436</v>
      </c>
      <c r="AQ27" s="6426"/>
      <c r="AR27" s="664" t="s">
        <v>2708</v>
      </c>
      <c r="AS27" s="6425" t="s">
        <v>1586</v>
      </c>
      <c r="AT27" s="6426"/>
      <c r="AU27" s="665" t="s">
        <v>2708</v>
      </c>
      <c r="AV27" s="1303" t="s">
        <v>6448</v>
      </c>
      <c r="AW27" s="1316" t="s">
        <v>2974</v>
      </c>
      <c r="AX27" s="686"/>
      <c r="AY27" s="529"/>
      <c r="AZ27" s="84"/>
      <c r="BA27" s="21"/>
      <c r="BB27" s="21"/>
      <c r="BC27" s="21"/>
      <c r="BD27" s="21"/>
      <c r="BE27" s="21"/>
      <c r="BF27" s="21"/>
      <c r="BG27" s="21"/>
      <c r="BH27" s="21"/>
      <c r="BI27" s="21"/>
    </row>
    <row r="28" spans="1:61" ht="12" customHeight="1" thickBot="1">
      <c r="A28" s="29"/>
      <c r="B28" s="443"/>
      <c r="C28" s="6392"/>
      <c r="D28" s="6393"/>
      <c r="E28" s="6396"/>
      <c r="F28" s="6396"/>
      <c r="G28" s="6396"/>
      <c r="H28" s="6397"/>
      <c r="J28" s="6327" t="s">
        <v>1376</v>
      </c>
      <c r="K28" s="6328"/>
      <c r="L28" s="1975"/>
      <c r="M28" s="1387">
        <f>Atar_final+L28</f>
        <v>0</v>
      </c>
      <c r="N28" s="6398"/>
      <c r="O28" s="6398"/>
      <c r="P28" s="6398"/>
      <c r="Q28" s="6399"/>
      <c r="S28" s="532"/>
      <c r="T28" s="442" t="str">
        <f t="shared" si="0"/>
        <v>Conjuros</v>
      </c>
      <c r="U28" s="29"/>
      <c r="V28" s="622">
        <f>IF(AC28="",0,VLOOKUP(AC28,Tablas!$M$1176:$N$1185,2))</f>
        <v>0</v>
      </c>
      <c r="W28" s="5010"/>
      <c r="X28" s="5011"/>
      <c r="Y28" s="6316"/>
      <c r="Z28" s="6317"/>
      <c r="AA28" s="6317"/>
      <c r="AB28" s="6318"/>
      <c r="AC28" s="498" t="str">
        <f>IF(Místicos!Y28=0,"",VLOOKUP(Místicos!Y28,Tabla_Conjuros,3,FALSE))</f>
        <v/>
      </c>
      <c r="AD28" s="2092" t="str">
        <f t="shared" si="1"/>
        <v/>
      </c>
      <c r="AE28" s="5010"/>
      <c r="AF28" s="5011"/>
      <c r="AG28" s="6316"/>
      <c r="AH28" s="6317"/>
      <c r="AI28" s="6317"/>
      <c r="AJ28" s="6318"/>
      <c r="AK28" s="1338"/>
      <c r="AL28" s="1056">
        <f>IF(Místicos!AG28=0,0,VLOOKUP(Místicos!AG28,Tabla_Conjuros,3,FALSE)-10)</f>
        <v>0</v>
      </c>
      <c r="AM28" s="1217" t="str">
        <f t="shared" si="2"/>
        <v>Conjuros_LibreAcceso</v>
      </c>
      <c r="AN28" s="1217" t="str">
        <f>AE28&amp;COUNTIF($AE$12:AF28,AE28)</f>
        <v>0</v>
      </c>
      <c r="AO28" s="2491" t="b">
        <f>ISNUMBER(SEARCH(AE28,VLOOKUP(AG28,'Tablas Magia'!$D$6:$AA$680,24,FALSE)))</f>
        <v>0</v>
      </c>
      <c r="AP28" s="6480" t="s">
        <v>6444</v>
      </c>
      <c r="AQ28" s="6426"/>
      <c r="AR28" s="664" t="s">
        <v>2708</v>
      </c>
      <c r="AS28" s="6425" t="s">
        <v>1588</v>
      </c>
      <c r="AT28" s="6426"/>
      <c r="AU28" s="665" t="s">
        <v>2669</v>
      </c>
      <c r="AV28" s="1303" t="s">
        <v>6449</v>
      </c>
      <c r="AW28" s="1301" t="s">
        <v>6458</v>
      </c>
      <c r="AX28" s="686"/>
      <c r="AY28" s="529"/>
      <c r="AZ28" s="84"/>
      <c r="BA28" s="21"/>
      <c r="BB28" s="21"/>
      <c r="BC28" s="21"/>
      <c r="BD28" s="21"/>
      <c r="BE28" s="21"/>
      <c r="BF28" s="21"/>
      <c r="BG28" s="21"/>
      <c r="BH28" s="21"/>
      <c r="BI28" s="21"/>
    </row>
    <row r="29" spans="1:61" ht="12" customHeight="1" thickBot="1">
      <c r="A29" s="29"/>
      <c r="B29" s="443"/>
      <c r="C29" s="640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6405"/>
      <c r="E29" s="6405"/>
      <c r="F29" s="6405"/>
      <c r="G29" s="6405"/>
      <c r="H29" s="6406"/>
      <c r="J29" s="6410" t="s">
        <v>1377</v>
      </c>
      <c r="K29" s="6411"/>
      <c r="L29" s="1976"/>
      <c r="M29" s="1446">
        <f>Desconvocar_final+L29</f>
        <v>0</v>
      </c>
      <c r="N29" s="6400"/>
      <c r="O29" s="6400"/>
      <c r="P29" s="6400"/>
      <c r="Q29" s="6401"/>
      <c r="S29" s="532"/>
      <c r="T29" s="442" t="str">
        <f t="shared" si="0"/>
        <v>Conjuros</v>
      </c>
      <c r="U29" s="29"/>
      <c r="V29" s="622">
        <f>IF(AC29="",0,VLOOKUP(AC29,Tablas!$M$1176:$N$1185,2))</f>
        <v>0</v>
      </c>
      <c r="W29" s="5013"/>
      <c r="X29" s="5014"/>
      <c r="Y29" s="6322"/>
      <c r="Z29" s="6323"/>
      <c r="AA29" s="6323"/>
      <c r="AB29" s="6324"/>
      <c r="AC29" s="497" t="str">
        <f>IF(Místicos!Y29=0,"",VLOOKUP(Místicos!Y29,Tabla_Conjuros,3,FALSE))</f>
        <v/>
      </c>
      <c r="AD29" s="2092" t="str">
        <f t="shared" si="1"/>
        <v/>
      </c>
      <c r="AE29" s="6329"/>
      <c r="AF29" s="6330"/>
      <c r="AG29" s="6322"/>
      <c r="AH29" s="6323"/>
      <c r="AI29" s="6323"/>
      <c r="AJ29" s="6324"/>
      <c r="AK29" s="1389"/>
      <c r="AL29" s="1056">
        <f>IF(Místicos!AG29=0,0,VLOOKUP(Místicos!AG29,Tabla_Conjuros,3,FALSE)-10)</f>
        <v>0</v>
      </c>
      <c r="AM29" s="1217" t="str">
        <f t="shared" si="2"/>
        <v>Conjuros_LibreAcceso</v>
      </c>
      <c r="AN29" s="1217" t="str">
        <f>AE29&amp;COUNTIF($AE$12:AF29,AE29)</f>
        <v>0</v>
      </c>
      <c r="AO29" s="2491" t="b">
        <f>ISNUMBER(SEARCH(AE29,VLOOKUP(AG29,'Tablas Magia'!$D$6:$AA$680,24,FALSE)))</f>
        <v>0</v>
      </c>
      <c r="AP29" s="6480" t="s">
        <v>6445</v>
      </c>
      <c r="AQ29" s="6426"/>
      <c r="AR29" s="664" t="s">
        <v>2669</v>
      </c>
      <c r="AS29" s="6425" t="s">
        <v>6443</v>
      </c>
      <c r="AT29" s="6426"/>
      <c r="AU29" s="665" t="s">
        <v>2670</v>
      </c>
      <c r="AV29" s="1303" t="s">
        <v>6450</v>
      </c>
      <c r="AW29" s="1301">
        <v>-2</v>
      </c>
      <c r="AX29" s="686"/>
      <c r="AY29" s="529"/>
      <c r="AZ29" s="84"/>
      <c r="BA29" s="21"/>
      <c r="BB29" s="21"/>
      <c r="BC29" s="21"/>
      <c r="BD29" s="21"/>
      <c r="BE29" s="21"/>
      <c r="BF29" s="21"/>
      <c r="BG29" s="21"/>
      <c r="BH29" s="21"/>
      <c r="BI29" s="21"/>
    </row>
    <row r="30" spans="1:61" ht="12" customHeight="1" thickBot="1">
      <c r="A30" s="29"/>
      <c r="B30" s="443"/>
      <c r="S30" s="532"/>
      <c r="T30" s="442" t="str">
        <f t="shared" si="0"/>
        <v>Conjuros</v>
      </c>
      <c r="U30" s="29"/>
      <c r="V30" s="622">
        <f>IF(AC30="",0,VLOOKUP(AC30,Tablas!$M$1176:$N$1185,2))</f>
        <v>0</v>
      </c>
      <c r="W30" s="5010"/>
      <c r="X30" s="5011"/>
      <c r="Y30" s="6316"/>
      <c r="Z30" s="6317"/>
      <c r="AA30" s="6317"/>
      <c r="AB30" s="6318"/>
      <c r="AC30" s="498" t="str">
        <f>IF(Místicos!Y30=0,"",VLOOKUP(Místicos!Y30,Tabla_Conjuros,3,FALSE))</f>
        <v/>
      </c>
      <c r="AD30" s="2092" t="str">
        <f t="shared" si="1"/>
        <v/>
      </c>
      <c r="AE30" s="5010"/>
      <c r="AF30" s="5011"/>
      <c r="AG30" s="6316"/>
      <c r="AH30" s="6317"/>
      <c r="AI30" s="6317"/>
      <c r="AJ30" s="6318"/>
      <c r="AK30" s="1338"/>
      <c r="AL30" s="1056">
        <f>IF(Místicos!AG30=0,0,VLOOKUP(Místicos!AG30,Tabla_Conjuros,3,FALSE)-10)</f>
        <v>0</v>
      </c>
      <c r="AM30" s="1217" t="str">
        <f t="shared" si="2"/>
        <v>Conjuros_LibreAcceso</v>
      </c>
      <c r="AN30" s="1217" t="str">
        <f>AE30&amp;COUNTIF($AE$12:AF30,AE30)</f>
        <v>0</v>
      </c>
      <c r="AO30" s="2491" t="b">
        <f>ISNUMBER(SEARCH(AE30,VLOOKUP(AG30,'Tablas Magia'!$D$6:$AA$680,24,FALSE)))</f>
        <v>0</v>
      </c>
      <c r="AP30" s="6480" t="s">
        <v>6446</v>
      </c>
      <c r="AQ30" s="6426"/>
      <c r="AR30" s="664" t="s">
        <v>2670</v>
      </c>
      <c r="AS30" s="6425" t="s">
        <v>1590</v>
      </c>
      <c r="AT30" s="6426"/>
      <c r="AU30" s="665" t="s">
        <v>2974</v>
      </c>
      <c r="AV30" s="1303" t="s">
        <v>6451</v>
      </c>
      <c r="AW30" s="1301">
        <v>-4</v>
      </c>
      <c r="AX30" s="686"/>
      <c r="AY30" s="529"/>
      <c r="AZ30" s="84"/>
      <c r="BA30" s="21"/>
      <c r="BB30" s="21"/>
      <c r="BC30" s="21"/>
      <c r="BD30" s="21"/>
      <c r="BE30" s="21"/>
      <c r="BF30" s="21"/>
      <c r="BG30" s="21"/>
      <c r="BH30" s="21"/>
      <c r="BI30" s="21"/>
    </row>
    <row r="31" spans="1:61" ht="12" customHeight="1" thickBot="1">
      <c r="A31" s="29"/>
      <c r="B31" s="443"/>
      <c r="C31" s="6421" t="s">
        <v>1568</v>
      </c>
      <c r="D31" s="6421"/>
      <c r="E31" s="6421"/>
      <c r="F31" s="6421"/>
      <c r="G31" s="6421"/>
      <c r="H31" s="5458" t="s">
        <v>1569</v>
      </c>
      <c r="J31" s="4338" t="s">
        <v>1570</v>
      </c>
      <c r="K31" s="4340"/>
      <c r="L31" s="4340"/>
      <c r="M31" s="4340"/>
      <c r="N31" s="4340"/>
      <c r="O31" s="4340"/>
      <c r="P31" s="4340"/>
      <c r="Q31" s="4339"/>
      <c r="S31" s="532"/>
      <c r="T31" s="442" t="str">
        <f t="shared" si="0"/>
        <v>Conjuros</v>
      </c>
      <c r="U31" s="29"/>
      <c r="V31" s="622">
        <f>IF(AC31="",0,VLOOKUP(AC31,Tablas!$M$1176:$N$1185,2))</f>
        <v>0</v>
      </c>
      <c r="W31" s="5013"/>
      <c r="X31" s="5014"/>
      <c r="Y31" s="6322"/>
      <c r="Z31" s="6323"/>
      <c r="AA31" s="6323"/>
      <c r="AB31" s="6324"/>
      <c r="AC31" s="497" t="str">
        <f>IF(Místicos!Y31=0,"",VLOOKUP(Místicos!Y31,Tabla_Conjuros,3,FALSE))</f>
        <v/>
      </c>
      <c r="AD31" s="2092" t="str">
        <f t="shared" si="1"/>
        <v/>
      </c>
      <c r="AE31" s="6329"/>
      <c r="AF31" s="6330"/>
      <c r="AG31" s="6322"/>
      <c r="AH31" s="6323"/>
      <c r="AI31" s="6323"/>
      <c r="AJ31" s="6324"/>
      <c r="AK31" s="1389"/>
      <c r="AL31" s="1056">
        <f>IF(Místicos!AG31=0,0,VLOOKUP(Místicos!AG31,Tabla_Conjuros,3,FALSE)-10)</f>
        <v>0</v>
      </c>
      <c r="AM31" s="1217" t="str">
        <f t="shared" si="2"/>
        <v>Conjuros_LibreAcceso</v>
      </c>
      <c r="AN31" s="1217" t="str">
        <f>AE31&amp;COUNTIF($AE$12:AF31,AE31)</f>
        <v>0</v>
      </c>
      <c r="AO31" s="2491" t="b">
        <f>ISNUMBER(SEARCH(AE31,VLOOKUP(AG31,'Tablas Magia'!$D$6:$AA$680,24,FALSE)))</f>
        <v>0</v>
      </c>
      <c r="AP31" s="6481" t="s">
        <v>6482</v>
      </c>
      <c r="AQ31" s="6475"/>
      <c r="AR31" s="1317" t="s">
        <v>2974</v>
      </c>
      <c r="AS31" s="6474" t="s">
        <v>1593</v>
      </c>
      <c r="AT31" s="6475"/>
      <c r="AU31" s="1318" t="s">
        <v>6459</v>
      </c>
      <c r="AV31" s="1303" t="s">
        <v>6452</v>
      </c>
      <c r="AW31" s="1301">
        <v>-6</v>
      </c>
      <c r="AX31" s="686"/>
      <c r="AY31" s="529"/>
      <c r="AZ31" s="84"/>
      <c r="BA31" s="21"/>
      <c r="BB31" s="21"/>
      <c r="BC31" s="21"/>
      <c r="BD31" s="21"/>
      <c r="BE31" s="21"/>
      <c r="BF31" s="21"/>
      <c r="BG31" s="21"/>
      <c r="BH31" s="21"/>
      <c r="BI31" s="21"/>
    </row>
    <row r="32" spans="1:61" ht="12" customHeight="1" thickBot="1">
      <c r="A32" s="29"/>
      <c r="B32" s="443"/>
      <c r="C32" s="6409" t="s">
        <v>1571</v>
      </c>
      <c r="D32" s="6409"/>
      <c r="E32" s="6409"/>
      <c r="F32" s="6409"/>
      <c r="G32" s="6409"/>
      <c r="H32" s="5458"/>
      <c r="J32" s="6325" t="s">
        <v>1300</v>
      </c>
      <c r="K32" s="6326"/>
      <c r="L32" s="6326"/>
      <c r="M32" s="6326"/>
      <c r="N32" s="6326"/>
      <c r="O32" s="6326"/>
      <c r="P32" s="626" t="s">
        <v>1572</v>
      </c>
      <c r="Q32" s="611" t="s">
        <v>1368</v>
      </c>
      <c r="S32" s="532"/>
      <c r="T32" s="442" t="str">
        <f t="shared" si="0"/>
        <v>Conjuros</v>
      </c>
      <c r="U32" s="29"/>
      <c r="V32" s="622">
        <f>IF(AC32="",0,VLOOKUP(AC32,Tablas!$M$1176:$N$1185,2))</f>
        <v>0</v>
      </c>
      <c r="W32" s="5010"/>
      <c r="X32" s="5011"/>
      <c r="Y32" s="6316"/>
      <c r="Z32" s="6317"/>
      <c r="AA32" s="6317"/>
      <c r="AB32" s="6318"/>
      <c r="AC32" s="498" t="str">
        <f>IF(Místicos!Y32=0,"",VLOOKUP(Místicos!Y32,Tabla_Conjuros,3,FALSE))</f>
        <v/>
      </c>
      <c r="AD32" s="2092" t="str">
        <f t="shared" si="1"/>
        <v/>
      </c>
      <c r="AE32" s="5010"/>
      <c r="AF32" s="5011"/>
      <c r="AG32" s="6316"/>
      <c r="AH32" s="6317"/>
      <c r="AI32" s="6317"/>
      <c r="AJ32" s="6318"/>
      <c r="AK32" s="1338"/>
      <c r="AL32" s="1056">
        <f>IF(Místicos!AG32=0,0,VLOOKUP(Místicos!AG32,Tabla_Conjuros,3,FALSE)-10)</f>
        <v>0</v>
      </c>
      <c r="AM32" s="1217" t="str">
        <f t="shared" si="2"/>
        <v>Conjuros_LibreAcceso</v>
      </c>
      <c r="AN32" s="1217" t="str">
        <f>AE32&amp;COUNTIF($AE$12:AF32,AE32)</f>
        <v>0</v>
      </c>
      <c r="AO32" s="2491" t="b">
        <f>ISNUMBER(SEARCH(AE32,VLOOKUP(AG32,'Tablas Magia'!$D$6:$AA$680,24,FALSE)))</f>
        <v>0</v>
      </c>
      <c r="AP32" s="609"/>
      <c r="AQ32" s="609"/>
      <c r="AR32" s="609"/>
      <c r="AS32" s="609"/>
      <c r="AT32" s="570"/>
      <c r="AU32" s="570"/>
      <c r="AV32" s="1319" t="s">
        <v>6453</v>
      </c>
      <c r="AW32" s="1301">
        <v>-8</v>
      </c>
      <c r="AX32" s="686"/>
      <c r="AY32" s="529"/>
      <c r="AZ32" s="84"/>
      <c r="BA32" s="21"/>
      <c r="BB32" s="21"/>
      <c r="BC32" s="21"/>
      <c r="BD32" s="21"/>
      <c r="BE32" s="21"/>
      <c r="BF32" s="21"/>
      <c r="BG32" s="21"/>
      <c r="BH32" s="21"/>
      <c r="BI32" s="21"/>
    </row>
    <row r="33" spans="1:61" ht="12" customHeight="1" thickBot="1">
      <c r="A33" s="29"/>
      <c r="B33" s="443"/>
      <c r="C33" s="6422"/>
      <c r="D33" s="6423"/>
      <c r="E33" s="6423"/>
      <c r="F33" s="6423"/>
      <c r="G33" s="6424"/>
      <c r="H33" s="1357"/>
      <c r="J33" s="6459"/>
      <c r="K33" s="6460"/>
      <c r="L33" s="6460"/>
      <c r="M33" s="6460"/>
      <c r="N33" s="6460"/>
      <c r="O33" s="6460"/>
      <c r="P33" s="592" t="str">
        <f>IF(J33=0,"",VLOOKUP(J33,Tablas!$AB$1165:$AD$1357,2,FALSE))</f>
        <v/>
      </c>
      <c r="Q33" s="612" t="str">
        <f>IF(J33=0,"",VLOOKUP(J33,Tablas!$AB$1165:$AD$1357,3,FALSE)*IF($P$26="Invocador",0.5,1))</f>
        <v/>
      </c>
      <c r="S33" s="532"/>
      <c r="T33" s="442" t="str">
        <f t="shared" si="0"/>
        <v>Conjuros</v>
      </c>
      <c r="U33" s="29"/>
      <c r="V33" s="622">
        <f>IF(AC33="",0,VLOOKUP(AC33,Tablas!$M$1176:$N$1185,2))</f>
        <v>0</v>
      </c>
      <c r="W33" s="5013"/>
      <c r="X33" s="5014"/>
      <c r="Y33" s="6322"/>
      <c r="Z33" s="6323"/>
      <c r="AA33" s="6323"/>
      <c r="AB33" s="6324"/>
      <c r="AC33" s="497" t="str">
        <f>IF(Místicos!Y33=0,"",VLOOKUP(Místicos!Y33,Tabla_Conjuros,3,FALSE))</f>
        <v/>
      </c>
      <c r="AD33" s="2092" t="str">
        <f t="shared" si="1"/>
        <v/>
      </c>
      <c r="AE33" s="6329"/>
      <c r="AF33" s="6330"/>
      <c r="AG33" s="6322"/>
      <c r="AH33" s="6323"/>
      <c r="AI33" s="6323"/>
      <c r="AJ33" s="6324"/>
      <c r="AK33" s="1389"/>
      <c r="AL33" s="1056">
        <f>IF(Místicos!AG33=0,0,VLOOKUP(Místicos!AG33,Tabla_Conjuros,3,FALSE)-10)</f>
        <v>0</v>
      </c>
      <c r="AM33" s="1217" t="str">
        <f t="shared" si="2"/>
        <v>Conjuros_LibreAcceso</v>
      </c>
      <c r="AN33" s="1217" t="str">
        <f>AE33&amp;COUNTIF($AE$12:AF33,AE33)</f>
        <v>0</v>
      </c>
      <c r="AO33" s="2491" t="b">
        <f>ISNUMBER(SEARCH(AE33,VLOOKUP(AG33,'Tablas Magia'!$D$6:$AA$680,24,FALSE)))</f>
        <v>0</v>
      </c>
      <c r="AP33" s="609"/>
      <c r="AQ33" s="6466" t="s">
        <v>2501</v>
      </c>
      <c r="AR33" s="6467"/>
      <c r="AS33" s="6351" t="s">
        <v>5863</v>
      </c>
      <c r="AT33" s="6352"/>
      <c r="AU33" s="570"/>
      <c r="AV33" s="1319" t="s">
        <v>6454</v>
      </c>
      <c r="AW33" s="1301">
        <v>-10</v>
      </c>
      <c r="AX33" s="686"/>
      <c r="AY33" s="529"/>
      <c r="AZ33" s="84"/>
      <c r="BA33" s="21" t="s">
        <v>9472</v>
      </c>
      <c r="BB33" s="21" t="s">
        <v>9473</v>
      </c>
      <c r="BC33" s="21" t="s">
        <v>1537</v>
      </c>
      <c r="BD33" s="21" t="s">
        <v>9474</v>
      </c>
      <c r="BE33" s="21" t="s">
        <v>9475</v>
      </c>
      <c r="BF33" s="21" t="s">
        <v>9477</v>
      </c>
      <c r="BG33" s="21" t="s">
        <v>9476</v>
      </c>
      <c r="BH33" s="21"/>
      <c r="BI33" s="21"/>
    </row>
    <row r="34" spans="1:61" ht="12" customHeight="1">
      <c r="A34" s="29"/>
      <c r="B34" s="443"/>
      <c r="C34" s="6255"/>
      <c r="D34" s="6255"/>
      <c r="E34" s="6255"/>
      <c r="F34" s="6255"/>
      <c r="G34" s="6255"/>
      <c r="H34" s="1388"/>
      <c r="J34" s="6308"/>
      <c r="K34" s="6309"/>
      <c r="L34" s="6309"/>
      <c r="M34" s="6309"/>
      <c r="N34" s="6309"/>
      <c r="O34" s="6309"/>
      <c r="P34" s="593" t="str">
        <f>IF(J34=0,"",VLOOKUP(J34,Tablas!$AB$1165:$AD$1357,2,FALSE))</f>
        <v/>
      </c>
      <c r="Q34" s="613" t="str">
        <f>IF(J34=0,"",VLOOKUP(J34,Tablas!$AB$1165:$AD$1357,3,FALSE)*IF($P$26="Invocador",0.5,1))</f>
        <v/>
      </c>
      <c r="S34" s="532"/>
      <c r="T34" s="442" t="str">
        <f t="shared" si="0"/>
        <v>Conjuros</v>
      </c>
      <c r="U34" s="29"/>
      <c r="V34" s="622">
        <f>IF(AC34="",0,VLOOKUP(AC34,Tablas!$M$1176:$N$1185,2))</f>
        <v>0</v>
      </c>
      <c r="W34" s="5010"/>
      <c r="X34" s="5011"/>
      <c r="Y34" s="6316"/>
      <c r="Z34" s="6317"/>
      <c r="AA34" s="6317"/>
      <c r="AB34" s="6318"/>
      <c r="AC34" s="498" t="str">
        <f>IF(Místicos!Y34=0,"",VLOOKUP(Místicos!Y34,Tabla_Conjuros,3,FALSE))</f>
        <v/>
      </c>
      <c r="AD34" s="2092" t="str">
        <f t="shared" si="1"/>
        <v/>
      </c>
      <c r="AE34" s="5010"/>
      <c r="AF34" s="5011"/>
      <c r="AG34" s="6316"/>
      <c r="AH34" s="6317"/>
      <c r="AI34" s="6317"/>
      <c r="AJ34" s="6318"/>
      <c r="AK34" s="1338"/>
      <c r="AL34" s="1056">
        <f>IF(Místicos!AG34=0,0,VLOOKUP(Místicos!AG34,Tabla_Conjuros,3,FALSE)-10)</f>
        <v>0</v>
      </c>
      <c r="AM34" s="1217" t="str">
        <f t="shared" si="2"/>
        <v>Conjuros_LibreAcceso</v>
      </c>
      <c r="AN34" s="1217" t="str">
        <f>AE34&amp;COUNTIF($AE$12:AF34,AE34)</f>
        <v>0</v>
      </c>
      <c r="AO34" s="2491" t="b">
        <f>ISNUMBER(SEARCH(AE34,VLOOKUP(AG34,'Tablas Magia'!$D$6:$AA$680,24,FALSE)))</f>
        <v>0</v>
      </c>
      <c r="AP34" s="609"/>
      <c r="AQ34" s="6347">
        <f>Presencia_final*2+Bono_Des</f>
        <v>60</v>
      </c>
      <c r="AR34" s="6348"/>
      <c r="AS34" s="6293"/>
      <c r="AT34" s="6344"/>
      <c r="AU34" s="570"/>
      <c r="AV34" s="1319" t="s">
        <v>6455</v>
      </c>
      <c r="AW34" s="1301">
        <v>-12</v>
      </c>
      <c r="AX34" s="686"/>
      <c r="AY34" s="529"/>
      <c r="AZ34" s="84"/>
      <c r="BA34" s="21" t="b">
        <f>ISNUMBER(FIND("inhumanidad",LOWER(C33)))</f>
        <v>0</v>
      </c>
      <c r="BB34" s="34" t="b">
        <f>IF(BA34,OR(ISNUMBER(FIND("intermedio",LOWER(C33))),ISNUMBER(FIND("avanzado",LOWER(C33)))))</f>
        <v>0</v>
      </c>
      <c r="BC34" s="34" t="b">
        <f>IF(BA34,ISNUMBER(FIND("arcano",LOWER(C33))))</f>
        <v>0</v>
      </c>
      <c r="BD34" s="21" t="b">
        <f>IF(BA34,AND(ISNUMBER(FIND("base",LOWER(C33))),OR(ISNUMBER(FIND("movimiento",LOWER(C33))),ISNUMBER(FIND("mov",LOWER(C33))),ISNUMBER(FIND("tm",LOWER(C33))))))</f>
        <v>0</v>
      </c>
      <c r="BE34" s="21" t="b">
        <f>IF(BB34,AND(ISNUMBER(FIND("avanzado",LOWER(C33))),OR(ISNUMBER(FIND("movimiento",LOWER(C33))),ISNUMBER(FIND("mov",LOWER(C33))),ISNUMBER(FIND("tm",LOWER(C33))))))</f>
        <v>0</v>
      </c>
      <c r="BF34" s="21" t="b">
        <f>IF(BA34,AND(ISNUMBER(FIND("base",LOWER(C33))),OR(ISNUMBER(FIND("fue",LOWER(C33))),ISNUMBER(FIND("peso",LOWER(C33))),ISNUMBER(FIND("ip",LOWER(C33))))))</f>
        <v>0</v>
      </c>
      <c r="BG34" s="21" t="b">
        <f>IF(BB34,AND(ISNUMBER(FIND("avanzado",LOWER(C33))),OR(ISNUMBER(FIND("fue",LOWER(C33))),ISNUMBER(FIND("peso",LOWER(C33))),ISNUMBER(FIND("ip",LOWER(C33))))))</f>
        <v>0</v>
      </c>
      <c r="BH34" s="21"/>
      <c r="BI34" s="21"/>
    </row>
    <row r="35" spans="1:61" ht="12" customHeight="1" thickBot="1">
      <c r="A35" s="29"/>
      <c r="B35" s="443"/>
      <c r="C35" s="6256"/>
      <c r="D35" s="6256"/>
      <c r="E35" s="6256"/>
      <c r="F35" s="6256"/>
      <c r="G35" s="6256"/>
      <c r="H35" s="1357"/>
      <c r="J35" s="6428"/>
      <c r="K35" s="6429"/>
      <c r="L35" s="6429"/>
      <c r="M35" s="6429"/>
      <c r="N35" s="6429"/>
      <c r="O35" s="6429"/>
      <c r="P35" s="592" t="str">
        <f>IF(J35=0,"",VLOOKUP(J35,Tablas!$AB$1165:$AD$1357,2,FALSE))</f>
        <v/>
      </c>
      <c r="Q35" s="612" t="str">
        <f>IF(J35=0,"",VLOOKUP(J35,Tablas!$AB$1165:$AD$1357,3,FALSE)*IF($P$26="Invocador",0.5,1))</f>
        <v/>
      </c>
      <c r="S35" s="532"/>
      <c r="T35" s="442" t="str">
        <f t="shared" si="0"/>
        <v>Conjuros</v>
      </c>
      <c r="U35" s="29"/>
      <c r="V35" s="622">
        <f>IF(AC35="",0,VLOOKUP(AC35,Tablas!$M$1176:$N$1185,2))</f>
        <v>0</v>
      </c>
      <c r="W35" s="5013"/>
      <c r="X35" s="5014"/>
      <c r="Y35" s="6322"/>
      <c r="Z35" s="6323"/>
      <c r="AA35" s="6323"/>
      <c r="AB35" s="6324"/>
      <c r="AC35" s="497" t="str">
        <f>IF(Místicos!Y35=0,"",VLOOKUP(Místicos!Y35,Tabla_Conjuros,3,FALSE))</f>
        <v/>
      </c>
      <c r="AD35" s="2092" t="str">
        <f t="shared" si="1"/>
        <v/>
      </c>
      <c r="AE35" s="6329"/>
      <c r="AF35" s="6330"/>
      <c r="AG35" s="6322"/>
      <c r="AH35" s="6323"/>
      <c r="AI35" s="6323"/>
      <c r="AJ35" s="6324"/>
      <c r="AK35" s="1389"/>
      <c r="AL35" s="1056">
        <f>IF(Místicos!AG35=0,0,VLOOKUP(Místicos!AG35,Tabla_Conjuros,3,FALSE)-10)</f>
        <v>0</v>
      </c>
      <c r="AM35" s="1217" t="str">
        <f t="shared" si="2"/>
        <v>Conjuros_LibreAcceso</v>
      </c>
      <c r="AN35" s="1217" t="str">
        <f>AE35&amp;COUNTIF($AE$12:AF35,AE35)</f>
        <v>0</v>
      </c>
      <c r="AO35" s="2491" t="b">
        <f>ISNUMBER(SEARCH(AE35,VLOOKUP(AG35,'Tablas Magia'!$D$6:$AA$680,24,FALSE)))</f>
        <v>0</v>
      </c>
      <c r="AP35" s="609"/>
      <c r="AQ35" s="6349"/>
      <c r="AR35" s="6350"/>
      <c r="AS35" s="6345"/>
      <c r="AT35" s="6346"/>
      <c r="AU35" s="570"/>
      <c r="AV35" s="1319" t="s">
        <v>6456</v>
      </c>
      <c r="AW35" s="1301">
        <v>-14</v>
      </c>
      <c r="AX35" s="686"/>
      <c r="AY35" s="529"/>
      <c r="AZ35" s="84"/>
      <c r="BA35" s="21" t="b">
        <f t="shared" ref="BA35:BA60" si="5">ISNUMBER(FIND("inhumanidad",LOWER(C34)))</f>
        <v>0</v>
      </c>
      <c r="BB35" s="34" t="b">
        <f t="shared" ref="BB35:BB60" si="6">IF(BA35,OR(ISNUMBER(FIND("intermedio",LOWER(C34))),ISNUMBER(FIND("avanzado",LOWER(C34)))))</f>
        <v>0</v>
      </c>
      <c r="BC35" s="34" t="b">
        <f t="shared" ref="BC35:BC60" si="7">IF(BA35,ISNUMBER(FIND("arcano",LOWER(C34))))</f>
        <v>0</v>
      </c>
      <c r="BD35" s="21" t="b">
        <f t="shared" ref="BD35:BD60" si="8">IF(BA35,AND(ISNUMBER(FIND("base",LOWER(C34))),OR(ISNUMBER(FIND("movimiento",LOWER(C34))),ISNUMBER(FIND("mov",LOWER(C34))),ISNUMBER(FIND("tm",LOWER(C34))))))</f>
        <v>0</v>
      </c>
      <c r="BE35" s="21" t="b">
        <f t="shared" ref="BE35:BE60" si="9">IF(BB35,AND(ISNUMBER(FIND("avanzado",LOWER(C34))),OR(ISNUMBER(FIND("movimiento",LOWER(C34))),ISNUMBER(FIND("mov",LOWER(C34))),ISNUMBER(FIND("tm",LOWER(C34))))))</f>
        <v>0</v>
      </c>
      <c r="BF35" s="21" t="b">
        <f t="shared" ref="BF35:BF60" si="10">IF(BA35,AND(ISNUMBER(FIND("base",LOWER(C34))),OR(ISNUMBER(FIND("fue",LOWER(C34))),ISNUMBER(FIND("peso",LOWER(C34))),ISNUMBER(FIND("ip",LOWER(C34))))))</f>
        <v>0</v>
      </c>
      <c r="BG35" s="21" t="b">
        <f t="shared" ref="BG35:BG60" si="11">IF(BB35,AND(ISNUMBER(FIND("avanzado",LOWER(C34))),OR(ISNUMBER(FIND("fue",LOWER(C34))),ISNUMBER(FIND("peso",LOWER(C34))),ISNUMBER(FIND("ip",LOWER(C34))))))</f>
        <v>0</v>
      </c>
      <c r="BH35" s="21"/>
      <c r="BI35" s="21"/>
    </row>
    <row r="36" spans="1:61" ht="12" customHeight="1" thickBot="1">
      <c r="A36" s="29"/>
      <c r="B36" s="443"/>
      <c r="C36" s="6255"/>
      <c r="D36" s="6255"/>
      <c r="E36" s="6255"/>
      <c r="F36" s="6255"/>
      <c r="G36" s="6255"/>
      <c r="H36" s="1388"/>
      <c r="J36" s="6308"/>
      <c r="K36" s="6309"/>
      <c r="L36" s="6309"/>
      <c r="M36" s="6309"/>
      <c r="N36" s="6309"/>
      <c r="O36" s="6309"/>
      <c r="P36" s="593" t="str">
        <f>IF(J36=0,"",VLOOKUP(J36,Tablas!$AB$1165:$AD$1357,2,FALSE))</f>
        <v/>
      </c>
      <c r="Q36" s="613" t="str">
        <f>IF(J36=0,"",VLOOKUP(J36,Tablas!$AB$1165:$AD$1357,3,FALSE)*IF($P$26="Invocador",0.5,1))</f>
        <v/>
      </c>
      <c r="S36" s="532"/>
      <c r="T36" s="442" t="str">
        <f t="shared" si="0"/>
        <v>Conjuros</v>
      </c>
      <c r="U36" s="29"/>
      <c r="V36" s="622">
        <f>IF(AC36="",0,VLOOKUP(AC36,Tablas!$M$1176:$N$1185,2))</f>
        <v>0</v>
      </c>
      <c r="W36" s="5010"/>
      <c r="X36" s="5011"/>
      <c r="Y36" s="6316"/>
      <c r="Z36" s="6317"/>
      <c r="AA36" s="6317"/>
      <c r="AB36" s="6318"/>
      <c r="AC36" s="498" t="str">
        <f>IF(Místicos!Y36=0,"",VLOOKUP(Místicos!Y36,Tabla_Conjuros,3,FALSE))</f>
        <v/>
      </c>
      <c r="AD36" s="2092" t="str">
        <f t="shared" si="1"/>
        <v/>
      </c>
      <c r="AE36" s="5010"/>
      <c r="AF36" s="5011"/>
      <c r="AG36" s="6316"/>
      <c r="AH36" s="6317"/>
      <c r="AI36" s="6317"/>
      <c r="AJ36" s="6318"/>
      <c r="AK36" s="1338"/>
      <c r="AL36" s="1056">
        <f>IF(Místicos!AG36=0,0,VLOOKUP(Místicos!AG36,Tabla_Conjuros,3,FALSE)-10)</f>
        <v>0</v>
      </c>
      <c r="AM36" s="1217" t="str">
        <f t="shared" si="2"/>
        <v>Conjuros_LibreAcceso</v>
      </c>
      <c r="AN36" s="1217" t="str">
        <f>AE36&amp;COUNTIF($AE$12:AF36,AE36)</f>
        <v>0</v>
      </c>
      <c r="AO36" s="2491" t="b">
        <f>ISNUMBER(SEARCH(AE36,VLOOKUP(AG36,'Tablas Magia'!$D$6:$AA$680,24,FALSE)))</f>
        <v>0</v>
      </c>
      <c r="AP36" s="609"/>
      <c r="AQ36" s="609"/>
      <c r="AR36" s="609"/>
      <c r="AS36" s="609"/>
      <c r="AT36" s="570"/>
      <c r="AU36" s="570"/>
      <c r="AV36" s="1320" t="s">
        <v>6457</v>
      </c>
      <c r="AW36" s="1302">
        <v>-16</v>
      </c>
      <c r="AX36" s="686"/>
      <c r="AY36" s="529"/>
      <c r="AZ36" s="84"/>
      <c r="BA36" s="21" t="b">
        <f t="shared" si="5"/>
        <v>0</v>
      </c>
      <c r="BB36" s="34" t="b">
        <f t="shared" si="6"/>
        <v>0</v>
      </c>
      <c r="BC36" s="34" t="b">
        <f t="shared" si="7"/>
        <v>0</v>
      </c>
      <c r="BD36" s="21" t="b">
        <f t="shared" si="8"/>
        <v>0</v>
      </c>
      <c r="BE36" s="21" t="b">
        <f t="shared" si="9"/>
        <v>0</v>
      </c>
      <c r="BF36" s="21" t="b">
        <f t="shared" si="10"/>
        <v>0</v>
      </c>
      <c r="BG36" s="21" t="b">
        <f t="shared" si="11"/>
        <v>0</v>
      </c>
      <c r="BH36" s="21"/>
      <c r="BI36" s="21"/>
    </row>
    <row r="37" spans="1:61" ht="12" customHeight="1" thickBot="1">
      <c r="A37" s="29"/>
      <c r="B37" s="443"/>
      <c r="C37" s="6256"/>
      <c r="D37" s="6256"/>
      <c r="E37" s="6256"/>
      <c r="F37" s="6256"/>
      <c r="G37" s="6256"/>
      <c r="H37" s="1357"/>
      <c r="J37" s="6428"/>
      <c r="K37" s="6429"/>
      <c r="L37" s="6429"/>
      <c r="M37" s="6429"/>
      <c r="N37" s="6429"/>
      <c r="O37" s="6429"/>
      <c r="P37" s="592" t="str">
        <f>IF(J37=0,"",VLOOKUP(J37,Tablas!$AB$1165:$AD$1357,2,FALSE))</f>
        <v/>
      </c>
      <c r="Q37" s="612" t="str">
        <f>IF(J37=0,"",VLOOKUP(J37,Tablas!$AB$1165:$AD$1357,3,FALSE)*IF($P$26="Invocador",0.5,1))</f>
        <v/>
      </c>
      <c r="S37" s="532"/>
      <c r="T37" s="442" t="str">
        <f t="shared" si="0"/>
        <v>Conjuros</v>
      </c>
      <c r="U37" s="29"/>
      <c r="V37" s="622">
        <f>IF(AC37="",0,VLOOKUP(AC37,Tablas!$M$1176:$N$1185,2))</f>
        <v>0</v>
      </c>
      <c r="W37" s="5013"/>
      <c r="X37" s="5014"/>
      <c r="Y37" s="6322"/>
      <c r="Z37" s="6323"/>
      <c r="AA37" s="6323"/>
      <c r="AB37" s="6324"/>
      <c r="AC37" s="497" t="str">
        <f>IF(Místicos!Y37=0,"",VLOOKUP(Místicos!Y37,Tabla_Conjuros,3,FALSE))</f>
        <v/>
      </c>
      <c r="AD37" s="2092" t="str">
        <f t="shared" si="1"/>
        <v/>
      </c>
      <c r="AE37" s="6329"/>
      <c r="AF37" s="6330"/>
      <c r="AG37" s="6322"/>
      <c r="AH37" s="6323"/>
      <c r="AI37" s="6323"/>
      <c r="AJ37" s="6324"/>
      <c r="AK37" s="1389"/>
      <c r="AL37" s="1056">
        <f>IF(Místicos!AG37=0,0,VLOOKUP(Místicos!AG37,Tabla_Conjuros,3,FALSE)-10)</f>
        <v>0</v>
      </c>
      <c r="AM37" s="1217" t="str">
        <f t="shared" si="2"/>
        <v>Conjuros_LibreAcceso</v>
      </c>
      <c r="AN37" s="1217" t="str">
        <f>AE37&amp;COUNTIF($AE$12:AF37,AE37)</f>
        <v>0</v>
      </c>
      <c r="AO37" s="2491" t="b">
        <f>ISNUMBER(SEARCH(AE37,VLOOKUP(AG37,'Tablas Magia'!$D$6:$AA$680,24,FALSE)))</f>
        <v>0</v>
      </c>
      <c r="AX37" s="686"/>
      <c r="AY37" s="529"/>
      <c r="AZ37" s="84"/>
      <c r="BA37" s="21" t="b">
        <f t="shared" si="5"/>
        <v>0</v>
      </c>
      <c r="BB37" s="34" t="b">
        <f t="shared" si="6"/>
        <v>0</v>
      </c>
      <c r="BC37" s="34" t="b">
        <f t="shared" si="7"/>
        <v>0</v>
      </c>
      <c r="BD37" s="21" t="b">
        <f t="shared" si="8"/>
        <v>0</v>
      </c>
      <c r="BE37" s="21" t="b">
        <f t="shared" si="9"/>
        <v>0</v>
      </c>
      <c r="BF37" s="21" t="b">
        <f t="shared" si="10"/>
        <v>0</v>
      </c>
      <c r="BG37" s="21" t="b">
        <f t="shared" si="11"/>
        <v>0</v>
      </c>
      <c r="BH37" s="21"/>
      <c r="BI37" s="21"/>
    </row>
    <row r="38" spans="1:61" ht="12" customHeight="1" thickBot="1">
      <c r="A38" s="29"/>
      <c r="B38" s="443"/>
      <c r="C38" s="6255"/>
      <c r="D38" s="6255"/>
      <c r="E38" s="6255"/>
      <c r="F38" s="6255"/>
      <c r="G38" s="6255"/>
      <c r="H38" s="1388"/>
      <c r="J38" s="6308"/>
      <c r="K38" s="6309"/>
      <c r="L38" s="6309"/>
      <c r="M38" s="6309"/>
      <c r="N38" s="6309"/>
      <c r="O38" s="6309"/>
      <c r="P38" s="593" t="str">
        <f>IF(J38=0,"",VLOOKUP(J38,Tablas!$AB$1165:$AD$1357,2,FALSE))</f>
        <v/>
      </c>
      <c r="Q38" s="613" t="str">
        <f>IF(J38=0,"",VLOOKUP(J38,Tablas!$AB$1165:$AD$1357,3,FALSE)*IF($P$26="Invocador",0.5,1))</f>
        <v/>
      </c>
      <c r="S38" s="532"/>
      <c r="T38" s="442" t="str">
        <f t="shared" si="0"/>
        <v>Conjuros</v>
      </c>
      <c r="U38" s="29"/>
      <c r="V38" s="622">
        <f>IF(AC38="",0,VLOOKUP(AC38,Tablas!$M$1176:$N$1185,2))</f>
        <v>0</v>
      </c>
      <c r="W38" s="5010"/>
      <c r="X38" s="5011"/>
      <c r="Y38" s="6316"/>
      <c r="Z38" s="6317"/>
      <c r="AA38" s="6317"/>
      <c r="AB38" s="6318"/>
      <c r="AC38" s="498" t="str">
        <f>IF(Místicos!Y38=0,"",VLOOKUP(Místicos!Y38,Tabla_Conjuros,3,FALSE))</f>
        <v/>
      </c>
      <c r="AD38" s="2092" t="str">
        <f t="shared" si="1"/>
        <v/>
      </c>
      <c r="AE38" s="5010"/>
      <c r="AF38" s="5011"/>
      <c r="AG38" s="6316"/>
      <c r="AH38" s="6317"/>
      <c r="AI38" s="6317"/>
      <c r="AJ38" s="6318"/>
      <c r="AK38" s="1338"/>
      <c r="AL38" s="1056">
        <f>IF(Místicos!AG38=0,0,VLOOKUP(Místicos!AG38,Tabla_Conjuros,3,FALSE)-10)</f>
        <v>0</v>
      </c>
      <c r="AM38" s="1217" t="str">
        <f t="shared" si="2"/>
        <v>Conjuros_LibreAcceso</v>
      </c>
      <c r="AN38" s="1217" t="str">
        <f>AE38&amp;COUNTIF($AE$12:AF38,AE38)</f>
        <v>0</v>
      </c>
      <c r="AO38" s="2491" t="b">
        <f>ISNUMBER(SEARCH(AE38,VLOOKUP(AG38,'Tablas Magia'!$D$6:$AA$680,24,FALSE)))</f>
        <v>0</v>
      </c>
      <c r="AP38" s="6341" t="s">
        <v>6466</v>
      </c>
      <c r="AQ38" s="6342"/>
      <c r="AR38" s="6342"/>
      <c r="AS38" s="6342"/>
      <c r="AT38" s="6342"/>
      <c r="AU38" s="6342"/>
      <c r="AV38" s="6342"/>
      <c r="AW38" s="6343"/>
      <c r="AX38" s="686"/>
      <c r="AY38" s="529"/>
      <c r="AZ38" s="84"/>
      <c r="BA38" s="21" t="b">
        <f t="shared" si="5"/>
        <v>0</v>
      </c>
      <c r="BB38" s="34" t="b">
        <f t="shared" si="6"/>
        <v>0</v>
      </c>
      <c r="BC38" s="34" t="b">
        <f t="shared" si="7"/>
        <v>0</v>
      </c>
      <c r="BD38" s="21" t="b">
        <f t="shared" si="8"/>
        <v>0</v>
      </c>
      <c r="BE38" s="21" t="b">
        <f t="shared" si="9"/>
        <v>0</v>
      </c>
      <c r="BF38" s="21" t="b">
        <f t="shared" si="10"/>
        <v>0</v>
      </c>
      <c r="BG38" s="21" t="b">
        <f t="shared" si="11"/>
        <v>0</v>
      </c>
      <c r="BH38" s="21"/>
      <c r="BI38" s="21"/>
    </row>
    <row r="39" spans="1:61" ht="12" customHeight="1">
      <c r="A39" s="29"/>
      <c r="B39" s="443"/>
      <c r="C39" s="6256"/>
      <c r="D39" s="6256"/>
      <c r="E39" s="6256"/>
      <c r="F39" s="6256"/>
      <c r="G39" s="6256"/>
      <c r="H39" s="1357"/>
      <c r="J39" s="6428"/>
      <c r="K39" s="6429"/>
      <c r="L39" s="6429"/>
      <c r="M39" s="6429"/>
      <c r="N39" s="6429"/>
      <c r="O39" s="6429"/>
      <c r="P39" s="592" t="str">
        <f>IF(J39=0,"",VLOOKUP(J39,Tablas!$AB$1165:$AD$1357,2,FALSE))</f>
        <v/>
      </c>
      <c r="Q39" s="612" t="str">
        <f>IF(J39=0,"",VLOOKUP(J39,Tablas!$AB$1165:$AD$1357,3,FALSE)*IF($P$26="Invocador",0.5,1))</f>
        <v/>
      </c>
      <c r="S39" s="532"/>
      <c r="T39" s="442" t="str">
        <f t="shared" si="0"/>
        <v>Conjuros</v>
      </c>
      <c r="U39" s="29"/>
      <c r="V39" s="622">
        <f>IF(AC39="",0,VLOOKUP(AC39,Tablas!$M$1176:$N$1185,2))</f>
        <v>0</v>
      </c>
      <c r="W39" s="5013"/>
      <c r="X39" s="5014"/>
      <c r="Y39" s="6322"/>
      <c r="Z39" s="6323"/>
      <c r="AA39" s="6323"/>
      <c r="AB39" s="6324"/>
      <c r="AC39" s="497" t="str">
        <f>IF(Místicos!Y39=0,"",VLOOKUP(Místicos!Y39,Tabla_Conjuros,3,FALSE))</f>
        <v/>
      </c>
      <c r="AD39" s="2092" t="str">
        <f t="shared" si="1"/>
        <v/>
      </c>
      <c r="AE39" s="6329"/>
      <c r="AF39" s="6330"/>
      <c r="AG39" s="6322"/>
      <c r="AH39" s="6323"/>
      <c r="AI39" s="6323"/>
      <c r="AJ39" s="6324"/>
      <c r="AK39" s="1389"/>
      <c r="AL39" s="1056">
        <f>IF(Místicos!AG39=0,0,VLOOKUP(Místicos!AG39,Tabla_Conjuros,3,FALSE)-10)</f>
        <v>0</v>
      </c>
      <c r="AM39" s="1217" t="str">
        <f t="shared" si="2"/>
        <v>Conjuros_LibreAcceso</v>
      </c>
      <c r="AN39" s="1217" t="str">
        <f>AE39&amp;COUNTIF($AE$12:AF39,AE39)</f>
        <v>0</v>
      </c>
      <c r="AO39" s="2491" t="b">
        <f>ISNUMBER(SEARCH(AE39,VLOOKUP(AG39,'Tablas Magia'!$D$6:$AA$680,24,FALSE)))</f>
        <v>0</v>
      </c>
      <c r="AP39" s="680" t="s">
        <v>6460</v>
      </c>
      <c r="AQ39" s="6425" t="s">
        <v>6487</v>
      </c>
      <c r="AR39" s="6426"/>
      <c r="AS39" s="6426"/>
      <c r="AT39" s="6426"/>
      <c r="AU39" s="6426"/>
      <c r="AV39" s="6426"/>
      <c r="AW39" s="6427"/>
      <c r="AX39" s="686"/>
      <c r="AY39" s="529"/>
      <c r="AZ39" s="84"/>
      <c r="BA39" s="21" t="b">
        <f t="shared" si="5"/>
        <v>0</v>
      </c>
      <c r="BB39" s="34" t="b">
        <f t="shared" si="6"/>
        <v>0</v>
      </c>
      <c r="BC39" s="34" t="b">
        <f t="shared" si="7"/>
        <v>0</v>
      </c>
      <c r="BD39" s="21" t="b">
        <f t="shared" si="8"/>
        <v>0</v>
      </c>
      <c r="BE39" s="21" t="b">
        <f t="shared" si="9"/>
        <v>0</v>
      </c>
      <c r="BF39" s="21" t="b">
        <f t="shared" si="10"/>
        <v>0</v>
      </c>
      <c r="BG39" s="21" t="b">
        <f t="shared" si="11"/>
        <v>0</v>
      </c>
      <c r="BH39" s="21"/>
      <c r="BI39" s="21"/>
    </row>
    <row r="40" spans="1:61" ht="12" customHeight="1">
      <c r="A40" s="29"/>
      <c r="B40" s="443"/>
      <c r="C40" s="6255"/>
      <c r="D40" s="6255"/>
      <c r="E40" s="6255"/>
      <c r="F40" s="6255"/>
      <c r="G40" s="6255"/>
      <c r="H40" s="1388"/>
      <c r="J40" s="6308"/>
      <c r="K40" s="6309"/>
      <c r="L40" s="6309"/>
      <c r="M40" s="6309"/>
      <c r="N40" s="6309"/>
      <c r="O40" s="6309"/>
      <c r="P40" s="593" t="str">
        <f>IF(J40=0,"",VLOOKUP(J40,Tablas!$AB$1165:$AD$1357,2,FALSE))</f>
        <v/>
      </c>
      <c r="Q40" s="613" t="str">
        <f>IF(J40=0,"",VLOOKUP(J40,Tablas!$AB$1165:$AD$1357,3,FALSE)*IF($P$26="Invocador",0.5,1))</f>
        <v/>
      </c>
      <c r="S40" s="532"/>
      <c r="T40" s="442" t="str">
        <f t="shared" si="0"/>
        <v>Conjuros</v>
      </c>
      <c r="U40" s="29"/>
      <c r="V40" s="622">
        <f>IF(AC40="",0,VLOOKUP(AC40,Tablas!$M$1176:$N$1185,2))</f>
        <v>0</v>
      </c>
      <c r="W40" s="5010"/>
      <c r="X40" s="5011"/>
      <c r="Y40" s="6316"/>
      <c r="Z40" s="6317"/>
      <c r="AA40" s="6317"/>
      <c r="AB40" s="6318"/>
      <c r="AC40" s="498" t="str">
        <f>IF(Místicos!Y40=0,"",VLOOKUP(Místicos!Y40,Tabla_Conjuros,3,FALSE))</f>
        <v/>
      </c>
      <c r="AD40" s="2092" t="str">
        <f t="shared" si="1"/>
        <v/>
      </c>
      <c r="AE40" s="5010"/>
      <c r="AF40" s="5011"/>
      <c r="AG40" s="6316"/>
      <c r="AH40" s="6317"/>
      <c r="AI40" s="6317"/>
      <c r="AJ40" s="6318"/>
      <c r="AK40" s="1338"/>
      <c r="AL40" s="1056">
        <f>IF(Místicos!AG40=0,0,VLOOKUP(Místicos!AG40,Tabla_Conjuros,3,FALSE)-10)</f>
        <v>0</v>
      </c>
      <c r="AM40" s="1217" t="str">
        <f t="shared" si="2"/>
        <v>Conjuros_LibreAcceso</v>
      </c>
      <c r="AN40" s="1217" t="str">
        <f>AE40&amp;COUNTIF($AE$12:AF40,AE40)</f>
        <v>0</v>
      </c>
      <c r="AO40" s="2491" t="b">
        <f>ISNUMBER(SEARCH(AE40,VLOOKUP(AG40,'Tablas Magia'!$D$6:$AA$680,24,FALSE)))</f>
        <v>0</v>
      </c>
      <c r="AP40" s="680" t="s">
        <v>6461</v>
      </c>
      <c r="AQ40" s="6487" t="s">
        <v>6486</v>
      </c>
      <c r="AR40" s="6427"/>
      <c r="AS40" s="6427"/>
      <c r="AT40" s="6427"/>
      <c r="AU40" s="6427"/>
      <c r="AV40" s="6427"/>
      <c r="AW40" s="6427"/>
      <c r="AX40" s="686"/>
      <c r="AY40" s="529"/>
      <c r="AZ40" s="84"/>
      <c r="BA40" s="21" t="b">
        <f t="shared" si="5"/>
        <v>0</v>
      </c>
      <c r="BB40" s="34" t="b">
        <f t="shared" si="6"/>
        <v>0</v>
      </c>
      <c r="BC40" s="34" t="b">
        <f t="shared" si="7"/>
        <v>0</v>
      </c>
      <c r="BD40" s="21" t="b">
        <f t="shared" si="8"/>
        <v>0</v>
      </c>
      <c r="BE40" s="21" t="b">
        <f t="shared" si="9"/>
        <v>0</v>
      </c>
      <c r="BF40" s="21" t="b">
        <f t="shared" si="10"/>
        <v>0</v>
      </c>
      <c r="BG40" s="21" t="b">
        <f t="shared" si="11"/>
        <v>0</v>
      </c>
      <c r="BH40" s="21"/>
      <c r="BI40" s="21"/>
    </row>
    <row r="41" spans="1:61" ht="12" customHeight="1">
      <c r="A41" s="29"/>
      <c r="B41" s="443"/>
      <c r="C41" s="6256"/>
      <c r="D41" s="6256"/>
      <c r="E41" s="6256"/>
      <c r="F41" s="6256"/>
      <c r="G41" s="6256"/>
      <c r="H41" s="1357"/>
      <c r="J41" s="6428"/>
      <c r="K41" s="6429"/>
      <c r="L41" s="6429"/>
      <c r="M41" s="6429"/>
      <c r="N41" s="6429"/>
      <c r="O41" s="6429"/>
      <c r="P41" s="592" t="str">
        <f>IF(J41=0,"",VLOOKUP(J41,Tablas!$AB$1165:$AD$1357,2,FALSE))</f>
        <v/>
      </c>
      <c r="Q41" s="612" t="str">
        <f>IF(J41=0,"",VLOOKUP(J41,Tablas!$AB$1165:$AD$1357,3,FALSE)*IF($P$26="Invocador",0.5,1))</f>
        <v/>
      </c>
      <c r="S41" s="532"/>
      <c r="T41" s="442" t="str">
        <f t="shared" si="0"/>
        <v>Conjuros</v>
      </c>
      <c r="U41" s="29"/>
      <c r="V41" s="622">
        <f>IF(AC41="",0,VLOOKUP(AC41,Tablas!$M$1176:$N$1185,2))</f>
        <v>0</v>
      </c>
      <c r="W41" s="5013"/>
      <c r="X41" s="5014"/>
      <c r="Y41" s="6322"/>
      <c r="Z41" s="6323"/>
      <c r="AA41" s="6323"/>
      <c r="AB41" s="6324"/>
      <c r="AC41" s="497" t="str">
        <f>IF(Místicos!Y41=0,"",VLOOKUP(Místicos!Y41,Tabla_Conjuros,3,FALSE))</f>
        <v/>
      </c>
      <c r="AD41" s="2092" t="str">
        <f t="shared" si="1"/>
        <v/>
      </c>
      <c r="AE41" s="6329"/>
      <c r="AF41" s="6330"/>
      <c r="AG41" s="6322"/>
      <c r="AH41" s="6323"/>
      <c r="AI41" s="6323"/>
      <c r="AJ41" s="6324"/>
      <c r="AK41" s="1389"/>
      <c r="AL41" s="1056">
        <f>IF(Místicos!AG41=0,0,VLOOKUP(Místicos!AG41,Tabla_Conjuros,3,FALSE)-10)</f>
        <v>0</v>
      </c>
      <c r="AM41" s="1217" t="str">
        <f t="shared" si="2"/>
        <v>Conjuros_LibreAcceso</v>
      </c>
      <c r="AN41" s="1217" t="str">
        <f>AE41&amp;COUNTIF($AE$12:AF41,AE41)</f>
        <v>0</v>
      </c>
      <c r="AO41" s="2491" t="b">
        <f>ISNUMBER(SEARCH(AE41,VLOOKUP(AG41,'Tablas Magia'!$D$6:$AA$680,24,FALSE)))</f>
        <v>0</v>
      </c>
      <c r="AP41" s="680" t="s">
        <v>6462</v>
      </c>
      <c r="AQ41" s="6487" t="s">
        <v>6485</v>
      </c>
      <c r="AR41" s="6427"/>
      <c r="AS41" s="6427"/>
      <c r="AT41" s="6427"/>
      <c r="AU41" s="6427"/>
      <c r="AV41" s="6427"/>
      <c r="AW41" s="6427"/>
      <c r="AX41" s="686"/>
      <c r="AY41" s="529"/>
      <c r="AZ41" s="84"/>
      <c r="BA41" s="21" t="b">
        <f t="shared" si="5"/>
        <v>0</v>
      </c>
      <c r="BB41" s="34" t="b">
        <f t="shared" si="6"/>
        <v>0</v>
      </c>
      <c r="BC41" s="34" t="b">
        <f t="shared" si="7"/>
        <v>0</v>
      </c>
      <c r="BD41" s="21" t="b">
        <f t="shared" si="8"/>
        <v>0</v>
      </c>
      <c r="BE41" s="21" t="b">
        <f t="shared" si="9"/>
        <v>0</v>
      </c>
      <c r="BF41" s="21" t="b">
        <f t="shared" si="10"/>
        <v>0</v>
      </c>
      <c r="BG41" s="21" t="b">
        <f t="shared" si="11"/>
        <v>0</v>
      </c>
      <c r="BH41" s="21"/>
      <c r="BI41" s="21"/>
    </row>
    <row r="42" spans="1:61" ht="12" customHeight="1">
      <c r="A42" s="29"/>
      <c r="B42" s="443"/>
      <c r="C42" s="6255"/>
      <c r="D42" s="6255"/>
      <c r="E42" s="6255"/>
      <c r="F42" s="6255"/>
      <c r="G42" s="6255"/>
      <c r="H42" s="1388"/>
      <c r="J42" s="6308"/>
      <c r="K42" s="6309"/>
      <c r="L42" s="6309"/>
      <c r="M42" s="6309"/>
      <c r="N42" s="6309"/>
      <c r="O42" s="6309"/>
      <c r="P42" s="593" t="str">
        <f>IF(J42=0,"",VLOOKUP(J42,Tablas!$AB$1165:$AD$1357,2,FALSE))</f>
        <v/>
      </c>
      <c r="Q42" s="613" t="str">
        <f>IF(J42=0,"",VLOOKUP(J42,Tablas!$AB$1165:$AD$1357,3,FALSE)*IF($P$26="Invocador",0.5,1))</f>
        <v/>
      </c>
      <c r="S42" s="532"/>
      <c r="T42" s="442" t="str">
        <f t="shared" si="0"/>
        <v>Conjuros</v>
      </c>
      <c r="U42" s="29"/>
      <c r="V42" s="622">
        <f>IF(AC42="",0,VLOOKUP(AC42,Tablas!$M$1176:$N$1185,2))</f>
        <v>0</v>
      </c>
      <c r="W42" s="5010"/>
      <c r="X42" s="5011"/>
      <c r="Y42" s="6316"/>
      <c r="Z42" s="6317"/>
      <c r="AA42" s="6317"/>
      <c r="AB42" s="6318"/>
      <c r="AC42" s="498" t="str">
        <f>IF(Místicos!Y42=0,"",VLOOKUP(Místicos!Y42,Tabla_Conjuros,3,FALSE))</f>
        <v/>
      </c>
      <c r="AD42" s="2092" t="str">
        <f t="shared" si="1"/>
        <v/>
      </c>
      <c r="AE42" s="5010"/>
      <c r="AF42" s="5011"/>
      <c r="AG42" s="6316"/>
      <c r="AH42" s="6317"/>
      <c r="AI42" s="6317"/>
      <c r="AJ42" s="6318"/>
      <c r="AK42" s="1338"/>
      <c r="AL42" s="1056">
        <f>IF(Místicos!AG42=0,0,VLOOKUP(Místicos!AG42,Tabla_Conjuros,3,FALSE)-10)</f>
        <v>0</v>
      </c>
      <c r="AM42" s="1217" t="str">
        <f t="shared" si="2"/>
        <v>Conjuros_LibreAcceso</v>
      </c>
      <c r="AN42" s="1217" t="str">
        <f>AE42&amp;COUNTIF($AE$12:AF42,AE42)</f>
        <v>0</v>
      </c>
      <c r="AO42" s="2491" t="b">
        <f>ISNUMBER(SEARCH(AE42,VLOOKUP(AG42,'Tablas Magia'!$D$6:$AA$680,24,FALSE)))</f>
        <v>0</v>
      </c>
      <c r="AP42" s="680" t="s">
        <v>6463</v>
      </c>
      <c r="AQ42" s="6487" t="s">
        <v>6494</v>
      </c>
      <c r="AR42" s="6427"/>
      <c r="AS42" s="6427"/>
      <c r="AT42" s="6427"/>
      <c r="AU42" s="6427"/>
      <c r="AV42" s="6427"/>
      <c r="AW42" s="6427"/>
      <c r="AX42" s="686"/>
      <c r="AY42" s="529"/>
      <c r="AZ42" s="84"/>
      <c r="BA42" s="21" t="b">
        <f t="shared" si="5"/>
        <v>0</v>
      </c>
      <c r="BB42" s="34" t="b">
        <f t="shared" si="6"/>
        <v>0</v>
      </c>
      <c r="BC42" s="34" t="b">
        <f t="shared" si="7"/>
        <v>0</v>
      </c>
      <c r="BD42" s="21" t="b">
        <f t="shared" si="8"/>
        <v>0</v>
      </c>
      <c r="BE42" s="21" t="b">
        <f t="shared" si="9"/>
        <v>0</v>
      </c>
      <c r="BF42" s="21" t="b">
        <f t="shared" si="10"/>
        <v>0</v>
      </c>
      <c r="BG42" s="21" t="b">
        <f t="shared" si="11"/>
        <v>0</v>
      </c>
      <c r="BH42" s="21"/>
      <c r="BI42" s="21"/>
    </row>
    <row r="43" spans="1:61" ht="12" customHeight="1">
      <c r="A43" s="29"/>
      <c r="B43" s="443"/>
      <c r="C43" s="6256"/>
      <c r="D43" s="6256"/>
      <c r="E43" s="6256"/>
      <c r="F43" s="6256"/>
      <c r="G43" s="6256"/>
      <c r="H43" s="1357"/>
      <c r="J43" s="6428"/>
      <c r="K43" s="6429"/>
      <c r="L43" s="6429"/>
      <c r="M43" s="6429"/>
      <c r="N43" s="6429"/>
      <c r="O43" s="6429"/>
      <c r="P43" s="592" t="str">
        <f>IF(J43=0,"",VLOOKUP(J43,Tablas!$AB$1165:$AD$1357,2,FALSE))</f>
        <v/>
      </c>
      <c r="Q43" s="612" t="str">
        <f>IF(J43=0,"",VLOOKUP(J43,Tablas!$AB$1165:$AD$1357,3,FALSE)*IF($P$26="Invocador",0.5,1))</f>
        <v/>
      </c>
      <c r="S43" s="532"/>
      <c r="T43" s="442" t="str">
        <f t="shared" si="0"/>
        <v>Conjuros</v>
      </c>
      <c r="U43" s="29"/>
      <c r="V43" s="622">
        <f>IF(AC43="",0,VLOOKUP(AC43,Tablas!$M$1176:$N$1185,2))</f>
        <v>0</v>
      </c>
      <c r="W43" s="5013"/>
      <c r="X43" s="5014"/>
      <c r="Y43" s="6322"/>
      <c r="Z43" s="6323"/>
      <c r="AA43" s="6323"/>
      <c r="AB43" s="6324"/>
      <c r="AC43" s="497" t="str">
        <f>IF(Místicos!Y43=0,"",VLOOKUP(Místicos!Y43,Tabla_Conjuros,3,FALSE))</f>
        <v/>
      </c>
      <c r="AD43" s="2092" t="str">
        <f t="shared" si="1"/>
        <v/>
      </c>
      <c r="AE43" s="6329"/>
      <c r="AF43" s="6330"/>
      <c r="AG43" s="6322"/>
      <c r="AH43" s="6323"/>
      <c r="AI43" s="6323"/>
      <c r="AJ43" s="6324"/>
      <c r="AK43" s="1389"/>
      <c r="AL43" s="1056">
        <f>IF(Místicos!AG43=0,0,VLOOKUP(Místicos!AG43,Tabla_Conjuros,3,FALSE)-10)</f>
        <v>0</v>
      </c>
      <c r="AM43" s="1217" t="str">
        <f t="shared" si="2"/>
        <v>Conjuros_LibreAcceso</v>
      </c>
      <c r="AN43" s="1217" t="str">
        <f>AE43&amp;COUNTIF($AE$12:AF43,AE43)</f>
        <v>0</v>
      </c>
      <c r="AO43" s="2491" t="b">
        <f>ISNUMBER(SEARCH(AE43,VLOOKUP(AG43,'Tablas Magia'!$D$6:$AA$680,24,FALSE)))</f>
        <v>0</v>
      </c>
      <c r="AP43" s="680" t="s">
        <v>6464</v>
      </c>
      <c r="AQ43" s="6487" t="s">
        <v>6484</v>
      </c>
      <c r="AR43" s="6427"/>
      <c r="AS43" s="6427"/>
      <c r="AT43" s="6427"/>
      <c r="AU43" s="6427"/>
      <c r="AV43" s="6427"/>
      <c r="AW43" s="6427"/>
      <c r="AX43" s="687"/>
      <c r="AY43" s="529"/>
      <c r="AZ43" s="84"/>
      <c r="BA43" s="21" t="b">
        <f t="shared" si="5"/>
        <v>0</v>
      </c>
      <c r="BB43" s="34" t="b">
        <f t="shared" si="6"/>
        <v>0</v>
      </c>
      <c r="BC43" s="34" t="b">
        <f t="shared" si="7"/>
        <v>0</v>
      </c>
      <c r="BD43" s="21" t="b">
        <f t="shared" si="8"/>
        <v>0</v>
      </c>
      <c r="BE43" s="21" t="b">
        <f t="shared" si="9"/>
        <v>0</v>
      </c>
      <c r="BF43" s="21" t="b">
        <f t="shared" si="10"/>
        <v>0</v>
      </c>
      <c r="BG43" s="21" t="b">
        <f t="shared" si="11"/>
        <v>0</v>
      </c>
      <c r="BH43" s="21"/>
      <c r="BI43" s="21"/>
    </row>
    <row r="44" spans="1:61" ht="12" customHeight="1" thickBot="1">
      <c r="A44" s="29"/>
      <c r="B44" s="443"/>
      <c r="C44" s="6255"/>
      <c r="D44" s="6255"/>
      <c r="E44" s="6255"/>
      <c r="F44" s="6255"/>
      <c r="G44" s="6255"/>
      <c r="H44" s="1388"/>
      <c r="J44" s="6308"/>
      <c r="K44" s="6309"/>
      <c r="L44" s="6309"/>
      <c r="M44" s="6309"/>
      <c r="N44" s="6309"/>
      <c r="O44" s="6309"/>
      <c r="P44" s="593" t="str">
        <f>IF(J44=0,"",VLOOKUP(J44,Tablas!$AB$1165:$AD$1357,2,FALSE))</f>
        <v/>
      </c>
      <c r="Q44" s="613" t="str">
        <f>IF(J44=0,"",VLOOKUP(J44,Tablas!$AB$1165:$AD$1357,3,FALSE)*IF($P$26="Invocador",0.5,1))</f>
        <v/>
      </c>
      <c r="S44" s="532"/>
      <c r="T44" s="442" t="str">
        <f t="shared" si="0"/>
        <v>Conjuros</v>
      </c>
      <c r="U44" s="29"/>
      <c r="V44" s="622">
        <f>IF(AC44="",0,VLOOKUP(AC44,Tablas!$M$1176:$N$1185,2))</f>
        <v>0</v>
      </c>
      <c r="W44" s="5010"/>
      <c r="X44" s="5011"/>
      <c r="Y44" s="6316"/>
      <c r="Z44" s="6317"/>
      <c r="AA44" s="6317"/>
      <c r="AB44" s="6318"/>
      <c r="AC44" s="498" t="str">
        <f>IF(Místicos!Y44=0,"",VLOOKUP(Místicos!Y44,Tabla_Conjuros,3,FALSE))</f>
        <v/>
      </c>
      <c r="AD44" s="2092" t="str">
        <f t="shared" si="1"/>
        <v/>
      </c>
      <c r="AE44" s="5010"/>
      <c r="AF44" s="5011"/>
      <c r="AG44" s="6316"/>
      <c r="AH44" s="6317"/>
      <c r="AI44" s="6317"/>
      <c r="AJ44" s="6318"/>
      <c r="AK44" s="1338"/>
      <c r="AL44" s="1056">
        <f>IF(Místicos!AG44=0,0,VLOOKUP(Místicos!AG44,Tabla_Conjuros,3,FALSE)-10)</f>
        <v>0</v>
      </c>
      <c r="AM44" s="1217" t="str">
        <f t="shared" si="2"/>
        <v>Conjuros_LibreAcceso</v>
      </c>
      <c r="AN44" s="1217" t="str">
        <f>AE44&amp;COUNTIF($AE$12:AF44,AE44)</f>
        <v>0</v>
      </c>
      <c r="AO44" s="2491" t="b">
        <f>ISNUMBER(SEARCH(AE44,VLOOKUP(AG44,'Tablas Magia'!$D$6:$AA$680,24,FALSE)))</f>
        <v>0</v>
      </c>
      <c r="AP44" s="681">
        <v>-9</v>
      </c>
      <c r="AQ44" s="6488" t="s">
        <v>6483</v>
      </c>
      <c r="AR44" s="6489"/>
      <c r="AS44" s="6489"/>
      <c r="AT44" s="6489"/>
      <c r="AU44" s="6489"/>
      <c r="AV44" s="6489"/>
      <c r="AW44" s="6489"/>
      <c r="AX44" s="686"/>
      <c r="AY44" s="529"/>
      <c r="AZ44" s="84"/>
      <c r="BA44" s="21" t="b">
        <f t="shared" si="5"/>
        <v>0</v>
      </c>
      <c r="BB44" s="34" t="b">
        <f t="shared" si="6"/>
        <v>0</v>
      </c>
      <c r="BC44" s="34" t="b">
        <f t="shared" si="7"/>
        <v>0</v>
      </c>
      <c r="BD44" s="21" t="b">
        <f t="shared" si="8"/>
        <v>0</v>
      </c>
      <c r="BE44" s="21" t="b">
        <f t="shared" si="9"/>
        <v>0</v>
      </c>
      <c r="BF44" s="21" t="b">
        <f t="shared" si="10"/>
        <v>0</v>
      </c>
      <c r="BG44" s="21" t="b">
        <f t="shared" si="11"/>
        <v>0</v>
      </c>
      <c r="BH44" s="21"/>
      <c r="BI44" s="21"/>
    </row>
    <row r="45" spans="1:61" ht="12" customHeight="1">
      <c r="A45" s="29"/>
      <c r="B45" s="443"/>
      <c r="C45" s="6256"/>
      <c r="D45" s="6256"/>
      <c r="E45" s="6256"/>
      <c r="F45" s="6256"/>
      <c r="G45" s="6256"/>
      <c r="H45" s="1357"/>
      <c r="J45" s="6428"/>
      <c r="K45" s="6429"/>
      <c r="L45" s="6429"/>
      <c r="M45" s="6429"/>
      <c r="N45" s="6429"/>
      <c r="O45" s="6429"/>
      <c r="P45" s="592" t="str">
        <f>IF(J45=0,"",VLOOKUP(J45,Tablas!$AB$1165:$AD$1357,2,FALSE))</f>
        <v/>
      </c>
      <c r="Q45" s="612" t="str">
        <f>IF(J45=0,"",VLOOKUP(J45,Tablas!$AB$1165:$AD$1357,3,FALSE)*IF($P$26="Invocador",0.5,1))</f>
        <v/>
      </c>
      <c r="S45" s="532"/>
      <c r="T45" s="442" t="str">
        <f t="shared" si="0"/>
        <v>Conjuros</v>
      </c>
      <c r="U45" s="29"/>
      <c r="V45" s="622">
        <f>IF(AC45="",0,VLOOKUP(AC45,Tablas!$M$1176:$N$1185,2))</f>
        <v>0</v>
      </c>
      <c r="W45" s="5013"/>
      <c r="X45" s="5014"/>
      <c r="Y45" s="6322"/>
      <c r="Z45" s="6323"/>
      <c r="AA45" s="6323"/>
      <c r="AB45" s="6324"/>
      <c r="AC45" s="497" t="str">
        <f>IF(Místicos!Y45=0,"",VLOOKUP(Místicos!Y45,Tabla_Conjuros,3,FALSE))</f>
        <v/>
      </c>
      <c r="AD45" s="2092" t="str">
        <f t="shared" si="1"/>
        <v/>
      </c>
      <c r="AE45" s="6329"/>
      <c r="AF45" s="6330"/>
      <c r="AG45" s="6322"/>
      <c r="AH45" s="6323"/>
      <c r="AI45" s="6323"/>
      <c r="AJ45" s="6324"/>
      <c r="AK45" s="1389"/>
      <c r="AL45" s="1056">
        <f>IF(Místicos!AG45=0,0,VLOOKUP(Místicos!AG45,Tabla_Conjuros,3,FALSE)-10)</f>
        <v>0</v>
      </c>
      <c r="AM45" s="1217" t="str">
        <f t="shared" si="2"/>
        <v>Conjuros_LibreAcceso</v>
      </c>
      <c r="AN45" s="1217" t="str">
        <f>AE45&amp;COUNTIF($AE$12:AF45,AE45)</f>
        <v>0</v>
      </c>
      <c r="AO45" s="2491" t="b">
        <f>ISNUMBER(SEARCH(AE45,VLOOKUP(AG45,'Tablas Magia'!$D$6:$AA$680,24,FALSE)))</f>
        <v>0</v>
      </c>
      <c r="AP45" s="48"/>
      <c r="AQ45" s="48"/>
      <c r="AR45" s="48"/>
      <c r="AS45" s="48"/>
      <c r="AT45" s="48"/>
      <c r="AU45" s="48"/>
      <c r="AV45" s="48"/>
      <c r="AW45" s="48"/>
      <c r="AX45" s="686"/>
      <c r="AY45" s="529"/>
      <c r="AZ45" s="84"/>
      <c r="BA45" s="21" t="b">
        <f t="shared" si="5"/>
        <v>0</v>
      </c>
      <c r="BB45" s="34" t="b">
        <f t="shared" si="6"/>
        <v>0</v>
      </c>
      <c r="BC45" s="34" t="b">
        <f t="shared" si="7"/>
        <v>0</v>
      </c>
      <c r="BD45" s="21" t="b">
        <f t="shared" si="8"/>
        <v>0</v>
      </c>
      <c r="BE45" s="21" t="b">
        <f t="shared" si="9"/>
        <v>0</v>
      </c>
      <c r="BF45" s="21" t="b">
        <f t="shared" si="10"/>
        <v>0</v>
      </c>
      <c r="BG45" s="21" t="b">
        <f t="shared" si="11"/>
        <v>0</v>
      </c>
      <c r="BH45" s="21"/>
      <c r="BI45" s="21"/>
    </row>
    <row r="46" spans="1:61" ht="12" customHeight="1">
      <c r="A46" s="29"/>
      <c r="B46" s="443"/>
      <c r="C46" s="6255"/>
      <c r="D46" s="6255"/>
      <c r="E46" s="6255"/>
      <c r="F46" s="6255"/>
      <c r="G46" s="6255"/>
      <c r="H46" s="1388"/>
      <c r="J46" s="6308"/>
      <c r="K46" s="6309"/>
      <c r="L46" s="6309"/>
      <c r="M46" s="6309"/>
      <c r="N46" s="6309"/>
      <c r="O46" s="6309"/>
      <c r="P46" s="593" t="str">
        <f>IF(J46=0,"",VLOOKUP(J46,Tablas!$AB$1165:$AD$1357,2,FALSE))</f>
        <v/>
      </c>
      <c r="Q46" s="613" t="str">
        <f>IF(J46=0,"",VLOOKUP(J46,Tablas!$AB$1165:$AD$1357,3,FALSE)*IF($P$26="Invocador",0.5,1))</f>
        <v/>
      </c>
      <c r="S46" s="532"/>
      <c r="T46" s="442" t="str">
        <f t="shared" si="0"/>
        <v>Conjuros</v>
      </c>
      <c r="U46" s="29"/>
      <c r="V46" s="622">
        <f>IF(AC46="",0,VLOOKUP(AC46,Tablas!$M$1176:$N$1185,2))</f>
        <v>0</v>
      </c>
      <c r="W46" s="5010"/>
      <c r="X46" s="5011"/>
      <c r="Y46" s="6316"/>
      <c r="Z46" s="6317"/>
      <c r="AA46" s="6317"/>
      <c r="AB46" s="6318"/>
      <c r="AC46" s="498" t="str">
        <f>IF(Místicos!Y46=0,"",VLOOKUP(Místicos!Y46,Tabla_Conjuros,3,FALSE))</f>
        <v/>
      </c>
      <c r="AD46" s="2092" t="str">
        <f t="shared" si="1"/>
        <v/>
      </c>
      <c r="AE46" s="5010"/>
      <c r="AF46" s="5011"/>
      <c r="AG46" s="6316"/>
      <c r="AH46" s="6317"/>
      <c r="AI46" s="6317"/>
      <c r="AJ46" s="6318"/>
      <c r="AK46" s="1338"/>
      <c r="AL46" s="1056">
        <f>IF(Místicos!AG46=0,0,VLOOKUP(Místicos!AG46,Tabla_Conjuros,3,FALSE)-10)</f>
        <v>0</v>
      </c>
      <c r="AM46" s="1217" t="str">
        <f t="shared" si="2"/>
        <v>Conjuros_LibreAcceso</v>
      </c>
      <c r="AN46" s="1217" t="str">
        <f>AE46&amp;COUNTIF($AE$12:AF46,AE46)</f>
        <v>0</v>
      </c>
      <c r="AO46" s="2491" t="b">
        <f>ISNUMBER(SEARCH(AE46,VLOOKUP(AG46,'Tablas Magia'!$D$6:$AA$680,24,FALSE)))</f>
        <v>0</v>
      </c>
      <c r="AP46" s="6486" t="str">
        <f>IF(OR(AT10="General",AT10="Magia Natural"),"",AT10)</f>
        <v/>
      </c>
      <c r="AQ46" s="6486"/>
      <c r="AR46" s="6486"/>
      <c r="AS46" s="6486"/>
      <c r="AT46" s="6486"/>
      <c r="AU46" s="6486"/>
      <c r="AV46" s="6486"/>
      <c r="AW46" s="6486"/>
      <c r="AX46" s="686"/>
      <c r="AY46" s="529"/>
      <c r="AZ46" s="84"/>
      <c r="BA46" s="21" t="b">
        <f t="shared" si="5"/>
        <v>0</v>
      </c>
      <c r="BB46" s="34" t="b">
        <f t="shared" si="6"/>
        <v>0</v>
      </c>
      <c r="BC46" s="34" t="b">
        <f t="shared" si="7"/>
        <v>0</v>
      </c>
      <c r="BD46" s="21" t="b">
        <f t="shared" si="8"/>
        <v>0</v>
      </c>
      <c r="BE46" s="21" t="b">
        <f t="shared" si="9"/>
        <v>0</v>
      </c>
      <c r="BF46" s="21" t="b">
        <f t="shared" si="10"/>
        <v>0</v>
      </c>
      <c r="BG46" s="21" t="b">
        <f t="shared" si="11"/>
        <v>0</v>
      </c>
      <c r="BH46" s="21"/>
      <c r="BI46" s="21"/>
    </row>
    <row r="47" spans="1:61" ht="12" customHeight="1">
      <c r="A47" s="29"/>
      <c r="B47" s="443"/>
      <c r="C47" s="6256"/>
      <c r="D47" s="6256"/>
      <c r="E47" s="6256"/>
      <c r="F47" s="6256"/>
      <c r="G47" s="6256"/>
      <c r="H47" s="1357"/>
      <c r="J47" s="6428"/>
      <c r="K47" s="6429"/>
      <c r="L47" s="6429"/>
      <c r="M47" s="6429"/>
      <c r="N47" s="6429"/>
      <c r="O47" s="6429"/>
      <c r="P47" s="592" t="str">
        <f>IF(J47=0,"",VLOOKUP(J47,Tablas!$AB$1165:$AD$1357,2,FALSE))</f>
        <v/>
      </c>
      <c r="Q47" s="612" t="str">
        <f>IF(J47=0,"",VLOOKUP(J47,Tablas!$AB$1165:$AD$1357,3,FALSE)*IF($P$26="Invocador",0.5,1))</f>
        <v/>
      </c>
      <c r="S47" s="532"/>
      <c r="T47" s="442" t="str">
        <f t="shared" si="0"/>
        <v>Conjuros</v>
      </c>
      <c r="U47" s="29"/>
      <c r="V47" s="622">
        <f>IF(AC47="",0,VLOOKUP(AC47,Tablas!$M$1176:$N$1185,2))</f>
        <v>0</v>
      </c>
      <c r="W47" s="5013"/>
      <c r="X47" s="5014"/>
      <c r="Y47" s="6322"/>
      <c r="Z47" s="6323"/>
      <c r="AA47" s="6323"/>
      <c r="AB47" s="6324"/>
      <c r="AC47" s="497" t="str">
        <f>IF(Místicos!Y47=0,"",VLOOKUP(Místicos!Y47,Tabla_Conjuros,3,FALSE))</f>
        <v/>
      </c>
      <c r="AD47" s="2092" t="str">
        <f t="shared" si="1"/>
        <v/>
      </c>
      <c r="AE47" s="6329"/>
      <c r="AF47" s="6330"/>
      <c r="AG47" s="6322"/>
      <c r="AH47" s="6323"/>
      <c r="AI47" s="6323"/>
      <c r="AJ47" s="6324"/>
      <c r="AK47" s="1389"/>
      <c r="AL47" s="1056">
        <f>IF(Místicos!AG47=0,0,VLOOKUP(Místicos!AG47,Tabla_Conjuros,3,FALSE)-10)</f>
        <v>0</v>
      </c>
      <c r="AM47" s="1217" t="str">
        <f t="shared" si="2"/>
        <v>Conjuros_LibreAcceso</v>
      </c>
      <c r="AN47" s="1217" t="str">
        <f>AE47&amp;COUNTIF($AE$12:AF47,AE47)</f>
        <v>0</v>
      </c>
      <c r="AO47" s="2491" t="b">
        <f>ISNUMBER(SEARCH(AE47,VLOOKUP(AG47,'Tablas Magia'!$D$6:$AA$680,24,FALSE)))</f>
        <v>0</v>
      </c>
      <c r="AX47" s="686"/>
      <c r="AY47" s="529"/>
      <c r="AZ47" s="84"/>
      <c r="BA47" s="21" t="b">
        <f t="shared" si="5"/>
        <v>0</v>
      </c>
      <c r="BB47" s="34" t="b">
        <f t="shared" si="6"/>
        <v>0</v>
      </c>
      <c r="BC47" s="34" t="b">
        <f t="shared" si="7"/>
        <v>0</v>
      </c>
      <c r="BD47" s="21" t="b">
        <f t="shared" si="8"/>
        <v>0</v>
      </c>
      <c r="BE47" s="21" t="b">
        <f t="shared" si="9"/>
        <v>0</v>
      </c>
      <c r="BF47" s="21" t="b">
        <f t="shared" si="10"/>
        <v>0</v>
      </c>
      <c r="BG47" s="21" t="b">
        <f t="shared" si="11"/>
        <v>0</v>
      </c>
      <c r="BH47" s="21"/>
      <c r="BI47" s="21"/>
    </row>
    <row r="48" spans="1:61" ht="12" customHeight="1">
      <c r="A48" s="29"/>
      <c r="B48" s="443"/>
      <c r="C48" s="6255"/>
      <c r="D48" s="6255"/>
      <c r="E48" s="6255"/>
      <c r="F48" s="6255"/>
      <c r="G48" s="6255"/>
      <c r="H48" s="1388"/>
      <c r="J48" s="6308"/>
      <c r="K48" s="6309"/>
      <c r="L48" s="6309"/>
      <c r="M48" s="6309"/>
      <c r="N48" s="6309"/>
      <c r="O48" s="6309"/>
      <c r="P48" s="593" t="str">
        <f>IF(J48=0,"",VLOOKUP(J48,Tablas!$AB$1165:$AD$1357,2,FALSE))</f>
        <v/>
      </c>
      <c r="Q48" s="613" t="str">
        <f>IF(J48=0,"",VLOOKUP(J48,Tablas!$AB$1165:$AD$1357,3,FALSE)*IF($P$26="Invocador",0.5,1))</f>
        <v/>
      </c>
      <c r="S48" s="532"/>
      <c r="T48" s="442" t="str">
        <f t="shared" si="0"/>
        <v>Conjuros</v>
      </c>
      <c r="U48" s="29"/>
      <c r="V48" s="622">
        <f>IF(AC48="",0,VLOOKUP(AC48,Tablas!$M$1176:$N$1185,2))</f>
        <v>0</v>
      </c>
      <c r="W48" s="5010"/>
      <c r="X48" s="5011"/>
      <c r="Y48" s="6316"/>
      <c r="Z48" s="6317"/>
      <c r="AA48" s="6317"/>
      <c r="AB48" s="6318"/>
      <c r="AC48" s="498" t="str">
        <f>IF(Místicos!Y48=0,"",VLOOKUP(Místicos!Y48,Tabla_Conjuros,3,FALSE))</f>
        <v/>
      </c>
      <c r="AD48" s="2092" t="str">
        <f t="shared" si="1"/>
        <v/>
      </c>
      <c r="AE48" s="5010"/>
      <c r="AF48" s="5011"/>
      <c r="AG48" s="6316"/>
      <c r="AH48" s="6317"/>
      <c r="AI48" s="6317"/>
      <c r="AJ48" s="6318"/>
      <c r="AK48" s="1338"/>
      <c r="AL48" s="1056">
        <f>IF(Místicos!AG48=0,0,VLOOKUP(Místicos!AG48,Tabla_Conjuros,3,FALSE)-10)</f>
        <v>0</v>
      </c>
      <c r="AM48" s="1217" t="str">
        <f t="shared" si="2"/>
        <v>Conjuros_LibreAcceso</v>
      </c>
      <c r="AN48" s="1217" t="str">
        <f>AE48&amp;COUNTIF($AE$12:AF48,AE48)</f>
        <v>0</v>
      </c>
      <c r="AO48" s="2491" t="b">
        <f>ISNUMBER(SEARCH(AE48,VLOOKUP(AG48,'Tablas Magia'!$D$6:$AA$680,24,FALSE)))</f>
        <v>0</v>
      </c>
      <c r="AP48" s="6477"/>
      <c r="AQ48" s="6477"/>
      <c r="AR48" s="6485" t="str">
        <f>IF($BA$11,"Caligrafía ritual",IF($BB$11,"Vínculos Físicos",IF($BC$11,"Zonas Espirituales","""")))</f>
        <v>"</v>
      </c>
      <c r="AS48" s="6485"/>
      <c r="AT48" s="6485"/>
      <c r="AU48" s="6485"/>
      <c r="AV48" s="6337"/>
      <c r="AW48" s="6337"/>
      <c r="AX48" s="686"/>
      <c r="AY48" s="529"/>
      <c r="AZ48" s="84"/>
      <c r="BA48" s="21" t="b">
        <f t="shared" si="5"/>
        <v>0</v>
      </c>
      <c r="BB48" s="34" t="b">
        <f t="shared" si="6"/>
        <v>0</v>
      </c>
      <c r="BC48" s="34" t="b">
        <f t="shared" si="7"/>
        <v>0</v>
      </c>
      <c r="BD48" s="21" t="b">
        <f t="shared" si="8"/>
        <v>0</v>
      </c>
      <c r="BE48" s="21" t="b">
        <f t="shared" si="9"/>
        <v>0</v>
      </c>
      <c r="BF48" s="21" t="b">
        <f t="shared" si="10"/>
        <v>0</v>
      </c>
      <c r="BG48" s="21" t="b">
        <f t="shared" si="11"/>
        <v>0</v>
      </c>
      <c r="BH48" s="21"/>
      <c r="BI48" s="21"/>
    </row>
    <row r="49" spans="1:61" ht="12" customHeight="1">
      <c r="A49" s="29"/>
      <c r="B49" s="443"/>
      <c r="C49" s="6256"/>
      <c r="D49" s="6256"/>
      <c r="E49" s="6256"/>
      <c r="F49" s="6256"/>
      <c r="G49" s="6256"/>
      <c r="H49" s="1357"/>
      <c r="J49" s="6428"/>
      <c r="K49" s="6429"/>
      <c r="L49" s="6429"/>
      <c r="M49" s="6429"/>
      <c r="N49" s="6429"/>
      <c r="O49" s="6429"/>
      <c r="P49" s="592" t="str">
        <f>IF(J49=0,"",VLOOKUP(J49,Tablas!$AB$1165:$AD$1357,2,FALSE))</f>
        <v/>
      </c>
      <c r="Q49" s="612" t="str">
        <f>IF(J49=0,"",VLOOKUP(J49,Tablas!$AB$1165:$AD$1357,3,FALSE)*IF($P$26="Invocador",0.5,1))</f>
        <v/>
      </c>
      <c r="S49" s="532"/>
      <c r="T49" s="442" t="str">
        <f t="shared" si="0"/>
        <v>Conjuros</v>
      </c>
      <c r="U49" s="29"/>
      <c r="V49" s="622">
        <f>IF(AC49="",0,VLOOKUP(AC49,Tablas!$M$1176:$N$1185,2))</f>
        <v>0</v>
      </c>
      <c r="W49" s="5013"/>
      <c r="X49" s="5014"/>
      <c r="Y49" s="6322"/>
      <c r="Z49" s="6323"/>
      <c r="AA49" s="6323"/>
      <c r="AB49" s="6324"/>
      <c r="AC49" s="497" t="str">
        <f>IF(Místicos!Y49=0,"",VLOOKUP(Místicos!Y49,Tabla_Conjuros,3,FALSE))</f>
        <v/>
      </c>
      <c r="AD49" s="2092" t="str">
        <f t="shared" si="1"/>
        <v/>
      </c>
      <c r="AE49" s="6329"/>
      <c r="AF49" s="6330"/>
      <c r="AG49" s="6322"/>
      <c r="AH49" s="6323"/>
      <c r="AI49" s="6323"/>
      <c r="AJ49" s="6324"/>
      <c r="AK49" s="1389"/>
      <c r="AL49" s="1056">
        <f>IF(Místicos!AG49=0,0,VLOOKUP(Místicos!AG49,Tabla_Conjuros,3,FALSE)-10)</f>
        <v>0</v>
      </c>
      <c r="AM49" s="1217" t="str">
        <f t="shared" si="2"/>
        <v>Conjuros_LibreAcceso</v>
      </c>
      <c r="AN49" s="1217" t="str">
        <f>AE49&amp;COUNTIF($AE$12:AF49,AE49)</f>
        <v>0</v>
      </c>
      <c r="AO49" s="2491" t="b">
        <f>ISNUMBER(SEARCH(AE49,VLOOKUP(AG49,'Tablas Magia'!$D$6:$AA$680,24,FALSE)))</f>
        <v>0</v>
      </c>
      <c r="AP49" s="6477" t="str">
        <f>IF($BA$11,"Nv. Conjuro  Dif.",IF($BB$11,"",IF($BC$11,"Tipo de zona","""")))</f>
        <v>"</v>
      </c>
      <c r="AQ49" s="6477"/>
      <c r="AR49" s="6337" t="str">
        <f>IF($BA$11,"Tiempo empleado en la preparación",IF($BB$11,"Objeto a consumir - Bono a RM",IF($BC$11,"Descripción","")))</f>
        <v/>
      </c>
      <c r="AS49" s="6337"/>
      <c r="AT49" s="6337"/>
      <c r="AU49" s="6337"/>
      <c r="AV49" s="6337" t="str">
        <f>IF($BA$11,"Bono",IF($BB$11,"",IF($BC$11,"Llamar espíritus","")))</f>
        <v/>
      </c>
      <c r="AW49" s="6337"/>
      <c r="AX49" s="686"/>
      <c r="AY49" s="529"/>
      <c r="AZ49" s="84"/>
      <c r="BA49" s="21" t="b">
        <f t="shared" si="5"/>
        <v>0</v>
      </c>
      <c r="BB49" s="34" t="b">
        <f t="shared" si="6"/>
        <v>0</v>
      </c>
      <c r="BC49" s="34" t="b">
        <f t="shared" si="7"/>
        <v>0</v>
      </c>
      <c r="BD49" s="21" t="b">
        <f t="shared" si="8"/>
        <v>0</v>
      </c>
      <c r="BE49" s="21" t="b">
        <f t="shared" si="9"/>
        <v>0</v>
      </c>
      <c r="BF49" s="21" t="b">
        <f t="shared" si="10"/>
        <v>0</v>
      </c>
      <c r="BG49" s="21" t="b">
        <f t="shared" si="11"/>
        <v>0</v>
      </c>
      <c r="BH49" s="21"/>
      <c r="BI49" s="21"/>
    </row>
    <row r="50" spans="1:61" ht="12" customHeight="1" thickBot="1">
      <c r="A50" s="29"/>
      <c r="B50" s="443"/>
      <c r="C50" s="6255"/>
      <c r="D50" s="6255"/>
      <c r="E50" s="6255"/>
      <c r="F50" s="6255"/>
      <c r="G50" s="6255"/>
      <c r="H50" s="1388"/>
      <c r="J50" s="6308"/>
      <c r="K50" s="6309"/>
      <c r="L50" s="6309"/>
      <c r="M50" s="6309"/>
      <c r="N50" s="6309"/>
      <c r="O50" s="6309"/>
      <c r="P50" s="593" t="str">
        <f>IF(J50=0,"",VLOOKUP(J50,Tablas!$AB$1165:$AD$1357,2,FALSE))</f>
        <v/>
      </c>
      <c r="Q50" s="613" t="str">
        <f>IF(J50=0,"",VLOOKUP(J50,Tablas!$AB$1165:$AD$1357,3,FALSE)*IF($P$26="Invocador",0.5,1))</f>
        <v/>
      </c>
      <c r="S50" s="532"/>
      <c r="T50" s="442" t="str">
        <f t="shared" si="0"/>
        <v>Conjuros</v>
      </c>
      <c r="U50" s="29"/>
      <c r="V50" s="622">
        <f>IF(AC50="",0,VLOOKUP(AC50,Tablas!$M$1176:$N$1185,2))</f>
        <v>0</v>
      </c>
      <c r="W50" s="5016"/>
      <c r="X50" s="5017"/>
      <c r="Y50" s="6430"/>
      <c r="Z50" s="6431"/>
      <c r="AA50" s="6431"/>
      <c r="AB50" s="6432"/>
      <c r="AC50" s="627" t="str">
        <f>IF(Místicos!Y50=0,"",VLOOKUP(Místicos!Y50,Tabla_Conjuros,3,FALSE))</f>
        <v/>
      </c>
      <c r="AD50" s="2092" t="str">
        <f t="shared" si="1"/>
        <v/>
      </c>
      <c r="AE50" s="5016"/>
      <c r="AF50" s="5017"/>
      <c r="AG50" s="6430"/>
      <c r="AH50" s="6431"/>
      <c r="AI50" s="6431"/>
      <c r="AJ50" s="6432"/>
      <c r="AK50" s="1384"/>
      <c r="AL50" s="1056">
        <f>IF(Místicos!AG50=0,0,VLOOKUP(Místicos!AG50,Tabla_Conjuros,3,FALSE)-10)</f>
        <v>0</v>
      </c>
      <c r="AM50" s="1217" t="str">
        <f t="shared" si="2"/>
        <v>Conjuros_LibreAcceso</v>
      </c>
      <c r="AN50" s="1217" t="str">
        <f>AE50&amp;COUNTIF($AE$12:AF50,AE50)</f>
        <v>0</v>
      </c>
      <c r="AO50" s="2491" t="b">
        <f>ISNUMBER(SEARCH(AE50,VLOOKUP(AG50,'Tablas Magia'!$D$6:$AA$680,24,FALSE)))</f>
        <v>0</v>
      </c>
      <c r="AP50" s="5278" t="str">
        <f t="shared" ref="AP50:AP60" si="12">IF($BA$11,BA13,IF($BB$11,BB13,IF($BC$11,BC13,"")))</f>
        <v/>
      </c>
      <c r="AQ50" s="5278"/>
      <c r="AR50" s="6484" t="str">
        <f t="shared" ref="AR50:AR60" si="13">IF($BA$11,BD13,IF($BB$11,BE13,IF($BC$11,BF13,"")))</f>
        <v/>
      </c>
      <c r="AS50" s="6484"/>
      <c r="AT50" s="6484"/>
      <c r="AU50" s="6484"/>
      <c r="AV50" s="6484" t="str">
        <f t="shared" ref="AV50:AV57" si="14">IF($BA$11,BG13,IF($BB$11,BH13,IF($BC$11,BI13,"")))</f>
        <v/>
      </c>
      <c r="AW50" s="6484"/>
      <c r="AX50" s="686"/>
      <c r="AY50" s="529"/>
      <c r="AZ50" s="84"/>
      <c r="BA50" s="21" t="b">
        <f t="shared" si="5"/>
        <v>0</v>
      </c>
      <c r="BB50" s="34" t="b">
        <f t="shared" si="6"/>
        <v>0</v>
      </c>
      <c r="BC50" s="34" t="b">
        <f t="shared" si="7"/>
        <v>0</v>
      </c>
      <c r="BD50" s="21" t="b">
        <f t="shared" si="8"/>
        <v>0</v>
      </c>
      <c r="BE50" s="21" t="b">
        <f t="shared" si="9"/>
        <v>0</v>
      </c>
      <c r="BF50" s="21" t="b">
        <f t="shared" si="10"/>
        <v>0</v>
      </c>
      <c r="BG50" s="21" t="b">
        <f t="shared" si="11"/>
        <v>0</v>
      </c>
      <c r="BH50" s="21"/>
      <c r="BI50" s="21"/>
    </row>
    <row r="51" spans="1:61" ht="12" customHeight="1" thickBot="1">
      <c r="A51" s="29"/>
      <c r="B51" s="443"/>
      <c r="C51" s="6256"/>
      <c r="D51" s="6256"/>
      <c r="E51" s="6256"/>
      <c r="F51" s="6256"/>
      <c r="G51" s="6256"/>
      <c r="H51" s="1357"/>
      <c r="J51" s="6428"/>
      <c r="K51" s="6429"/>
      <c r="L51" s="6429"/>
      <c r="M51" s="6429"/>
      <c r="N51" s="6429"/>
      <c r="O51" s="6429"/>
      <c r="P51" s="592" t="str">
        <f>IF(J51=0,"",VLOOKUP(J51,Tablas!$AB$1165:$AD$1357,2,FALSE))</f>
        <v/>
      </c>
      <c r="Q51" s="612" t="str">
        <f>IF(J51=0,"",VLOOKUP(J51,Tablas!$AB$1165:$AD$1357,3,FALSE)*IF($P$26="Invocador",0.5,1))</f>
        <v/>
      </c>
      <c r="S51" s="532"/>
      <c r="T51" s="442"/>
      <c r="U51" s="29"/>
      <c r="V51" s="623"/>
      <c r="AL51" s="1056"/>
      <c r="AM51" s="29"/>
      <c r="AN51" s="29"/>
      <c r="AO51" s="678"/>
      <c r="AP51" s="5278" t="str">
        <f t="shared" si="12"/>
        <v/>
      </c>
      <c r="AQ51" s="5278"/>
      <c r="AR51" s="6484" t="str">
        <f t="shared" si="13"/>
        <v/>
      </c>
      <c r="AS51" s="6484"/>
      <c r="AT51" s="6484"/>
      <c r="AU51" s="6484"/>
      <c r="AV51" s="6484" t="str">
        <f t="shared" si="14"/>
        <v/>
      </c>
      <c r="AW51" s="6484"/>
      <c r="AX51" s="686"/>
      <c r="AY51" s="529"/>
      <c r="AZ51" s="84"/>
      <c r="BA51" s="21" t="b">
        <f t="shared" si="5"/>
        <v>0</v>
      </c>
      <c r="BB51" s="34" t="b">
        <f t="shared" si="6"/>
        <v>0</v>
      </c>
      <c r="BC51" s="34" t="b">
        <f t="shared" si="7"/>
        <v>0</v>
      </c>
      <c r="BD51" s="21" t="b">
        <f t="shared" si="8"/>
        <v>0</v>
      </c>
      <c r="BE51" s="21" t="b">
        <f t="shared" si="9"/>
        <v>0</v>
      </c>
      <c r="BF51" s="21" t="b">
        <f t="shared" si="10"/>
        <v>0</v>
      </c>
      <c r="BG51" s="21" t="b">
        <f t="shared" si="11"/>
        <v>0</v>
      </c>
      <c r="BH51" s="21"/>
      <c r="BI51" s="21"/>
    </row>
    <row r="52" spans="1:61" ht="12" customHeight="1" thickBot="1">
      <c r="A52" s="29"/>
      <c r="B52" s="443"/>
      <c r="C52" s="6255"/>
      <c r="D52" s="6255"/>
      <c r="E52" s="6255"/>
      <c r="F52" s="6255"/>
      <c r="G52" s="6255"/>
      <c r="H52" s="1388"/>
      <c r="J52" s="6308"/>
      <c r="K52" s="6309"/>
      <c r="L52" s="6309"/>
      <c r="M52" s="6309"/>
      <c r="N52" s="6309"/>
      <c r="O52" s="6309"/>
      <c r="P52" s="593" t="str">
        <f>IF(J52=0,"",VLOOKUP(J52,Tablas!$AB$1165:$AD$1357,2,FALSE))</f>
        <v/>
      </c>
      <c r="Q52" s="613" t="str">
        <f>IF(J52=0,"",VLOOKUP(J52,Tablas!$AB$1165:$AD$1357,3,FALSE)*IF($P$26="Invocador",0.5,1))</f>
        <v/>
      </c>
      <c r="S52" s="532"/>
      <c r="T52" s="442"/>
      <c r="U52" s="29"/>
      <c r="V52" s="623"/>
      <c r="W52" s="4338" t="s">
        <v>1575</v>
      </c>
      <c r="X52" s="4340"/>
      <c r="Y52" s="4340"/>
      <c r="Z52" s="4340"/>
      <c r="AA52" s="4340"/>
      <c r="AB52" s="6434" t="s">
        <v>1408</v>
      </c>
      <c r="AC52" s="6434"/>
      <c r="AD52" s="6434"/>
      <c r="AE52" s="6434"/>
      <c r="AF52" s="6434"/>
      <c r="AG52" s="6434"/>
      <c r="AH52" s="6434"/>
      <c r="AI52" s="6434"/>
      <c r="AJ52" s="6434"/>
      <c r="AK52" s="6435"/>
      <c r="AL52" s="1056"/>
      <c r="AM52" s="29"/>
      <c r="AN52" s="29"/>
      <c r="AO52" s="678"/>
      <c r="AP52" s="5278" t="str">
        <f t="shared" si="12"/>
        <v/>
      </c>
      <c r="AQ52" s="5278"/>
      <c r="AR52" s="6484" t="str">
        <f t="shared" si="13"/>
        <v/>
      </c>
      <c r="AS52" s="6484"/>
      <c r="AT52" s="6484"/>
      <c r="AU52" s="6484"/>
      <c r="AV52" s="6484" t="str">
        <f t="shared" si="14"/>
        <v/>
      </c>
      <c r="AW52" s="6484"/>
      <c r="AX52" s="686"/>
      <c r="AY52" s="529"/>
      <c r="AZ52" s="84"/>
      <c r="BA52" s="21" t="b">
        <f t="shared" si="5"/>
        <v>0</v>
      </c>
      <c r="BB52" s="34" t="b">
        <f t="shared" si="6"/>
        <v>0</v>
      </c>
      <c r="BC52" s="34" t="b">
        <f t="shared" si="7"/>
        <v>0</v>
      </c>
      <c r="BD52" s="21" t="b">
        <f t="shared" si="8"/>
        <v>0</v>
      </c>
      <c r="BE52" s="21" t="b">
        <f t="shared" si="9"/>
        <v>0</v>
      </c>
      <c r="BF52" s="21" t="b">
        <f t="shared" si="10"/>
        <v>0</v>
      </c>
      <c r="BG52" s="21" t="b">
        <f t="shared" si="11"/>
        <v>0</v>
      </c>
      <c r="BH52" s="21"/>
      <c r="BI52" s="21"/>
    </row>
    <row r="53" spans="1:61" ht="12" customHeight="1">
      <c r="A53" s="29"/>
      <c r="B53" s="443"/>
      <c r="C53" s="6256"/>
      <c r="D53" s="6256"/>
      <c r="E53" s="6256"/>
      <c r="F53" s="6256"/>
      <c r="G53" s="6256"/>
      <c r="H53" s="1357"/>
      <c r="J53" s="6428"/>
      <c r="K53" s="6429"/>
      <c r="L53" s="6429"/>
      <c r="M53" s="6429"/>
      <c r="N53" s="6429"/>
      <c r="O53" s="6429"/>
      <c r="P53" s="592" t="str">
        <f>IF(J53=0,"",VLOOKUP(J53,Tablas!$AB$1165:$AD$1357,2,FALSE))</f>
        <v/>
      </c>
      <c r="Q53" s="612" t="str">
        <f>IF(J53=0,"",VLOOKUP(J53,Tablas!$AB$1165:$AD$1357,3,FALSE)*IF($P$26="Invocador",0.5,1))</f>
        <v/>
      </c>
      <c r="S53" s="532"/>
      <c r="T53" s="442"/>
      <c r="U53" s="29"/>
      <c r="V53" s="623"/>
      <c r="W53" s="6436" t="str">
        <f>IF(SUM(Tablas!$P$1265:$S$1307)=0,"",IF(Tablas!A1&gt;MAX(Tablas!$P$1265:$P$1307),"",VLOOKUP(Tablas!A1,Tablas!$P$1265:$T$1307,2,FALSE)))</f>
        <v/>
      </c>
      <c r="X53" s="5455"/>
      <c r="Y53" s="5455"/>
      <c r="Z53" s="5455"/>
      <c r="AA53" s="5455"/>
      <c r="AB53" s="6437" t="str">
        <f>IF(SUM(Tablas!$P$1265:$P$1307)=0,"",IF(Tablas!A1&gt;MAX(Tablas!$P$1265:$P$1307),"",VLOOKUP(Tablas!A1,Tablas!$P$1265:$T$1307,4,FALSE)))</f>
        <v/>
      </c>
      <c r="AC53" s="6438"/>
      <c r="AD53" s="6438"/>
      <c r="AE53" s="6438"/>
      <c r="AF53" s="6438"/>
      <c r="AG53" s="6438"/>
      <c r="AH53" s="6438"/>
      <c r="AI53" s="6438"/>
      <c r="AJ53" s="6438"/>
      <c r="AK53" s="6439"/>
      <c r="AL53" s="2277" t="str">
        <f>IF(ISNUMBER(FIND("Conjuro especializado",W53)),W53&amp;":"&amp;SUBSTITUTE(AB53,LEFT(AB53,FIND(":",AB53)),""),W53)</f>
        <v/>
      </c>
      <c r="AM53" s="29"/>
      <c r="AN53" s="29"/>
      <c r="AO53" s="678"/>
      <c r="AP53" s="5278" t="str">
        <f t="shared" si="12"/>
        <v/>
      </c>
      <c r="AQ53" s="5278"/>
      <c r="AR53" s="6484" t="str">
        <f t="shared" si="13"/>
        <v/>
      </c>
      <c r="AS53" s="6484"/>
      <c r="AT53" s="6484"/>
      <c r="AU53" s="6484"/>
      <c r="AV53" s="6484" t="str">
        <f t="shared" si="14"/>
        <v/>
      </c>
      <c r="AW53" s="6484"/>
      <c r="AX53" s="686"/>
      <c r="AY53" s="529"/>
      <c r="AZ53" s="84"/>
      <c r="BA53" s="21" t="b">
        <f t="shared" si="5"/>
        <v>0</v>
      </c>
      <c r="BB53" s="34" t="b">
        <f t="shared" si="6"/>
        <v>0</v>
      </c>
      <c r="BC53" s="34" t="b">
        <f t="shared" si="7"/>
        <v>0</v>
      </c>
      <c r="BD53" s="21" t="b">
        <f t="shared" si="8"/>
        <v>0</v>
      </c>
      <c r="BE53" s="21" t="b">
        <f t="shared" si="9"/>
        <v>0</v>
      </c>
      <c r="BF53" s="21" t="b">
        <f t="shared" si="10"/>
        <v>0</v>
      </c>
      <c r="BG53" s="21" t="b">
        <f t="shared" si="11"/>
        <v>0</v>
      </c>
      <c r="BH53" s="21"/>
      <c r="BI53" s="21"/>
    </row>
    <row r="54" spans="1:61" ht="12" customHeight="1">
      <c r="A54" s="29"/>
      <c r="B54" s="443"/>
      <c r="C54" s="6255"/>
      <c r="D54" s="6255"/>
      <c r="E54" s="6255"/>
      <c r="F54" s="6255"/>
      <c r="G54" s="6255"/>
      <c r="H54" s="1388"/>
      <c r="J54" s="6308"/>
      <c r="K54" s="6309"/>
      <c r="L54" s="6309"/>
      <c r="M54" s="6309"/>
      <c r="N54" s="6309"/>
      <c r="O54" s="6309"/>
      <c r="P54" s="593" t="str">
        <f>IF(J54=0,"",VLOOKUP(J54,Tablas!$AB$1165:$AD$1357,2,FALSE))</f>
        <v/>
      </c>
      <c r="Q54" s="613" t="str">
        <f>IF(J54=0,"",VLOOKUP(J54,Tablas!$AB$1165:$AD$1357,3,FALSE)*IF($P$26="Invocador",0.5,1))</f>
        <v/>
      </c>
      <c r="S54" s="532"/>
      <c r="T54" s="442"/>
      <c r="U54" s="29"/>
      <c r="V54" s="623"/>
      <c r="W54" s="6433" t="str">
        <f>IF(SUM(Tablas!$P$1265:$S$1307)=0,"",IF(Tablas!A2&gt;MAX(Tablas!$P$1265:$P$1307),"",VLOOKUP(Tablas!A2,Tablas!$P$1265:$T$1307,2,FALSE)))</f>
        <v/>
      </c>
      <c r="X54" s="5431"/>
      <c r="Y54" s="5431"/>
      <c r="Z54" s="5431"/>
      <c r="AA54" s="5432"/>
      <c r="AB54" s="4446" t="str">
        <f>IF(SUM(Tablas!$P$1265:$P$1307)=0,"",IF(Tablas!A2&gt;MAX(Tablas!$P$1265:$P$1307),"",VLOOKUP(Tablas!A2,Tablas!$P$1265:$T$1307,4,FALSE)))</f>
        <v/>
      </c>
      <c r="AC54" s="4447"/>
      <c r="AD54" s="4447"/>
      <c r="AE54" s="4447"/>
      <c r="AF54" s="4447"/>
      <c r="AG54" s="4447"/>
      <c r="AH54" s="4447"/>
      <c r="AI54" s="4447"/>
      <c r="AJ54" s="4447"/>
      <c r="AK54" s="5464"/>
      <c r="AL54" s="2277" t="str">
        <f t="shared" ref="AL54:AL73" si="15">IF(ISNUMBER(FIND("Conjuro especializado",W54)),W54&amp;":"&amp;SUBSTITUTE(AB54,LEFT(AB54,FIND(":",AB54)),""),W54)</f>
        <v/>
      </c>
      <c r="AM54" s="29"/>
      <c r="AN54" s="29"/>
      <c r="AO54" s="678"/>
      <c r="AP54" s="5278" t="str">
        <f t="shared" si="12"/>
        <v/>
      </c>
      <c r="AQ54" s="5278"/>
      <c r="AR54" s="6484" t="str">
        <f t="shared" si="13"/>
        <v/>
      </c>
      <c r="AS54" s="6484"/>
      <c r="AT54" s="6484"/>
      <c r="AU54" s="6484"/>
      <c r="AV54" s="6484" t="str">
        <f t="shared" si="14"/>
        <v/>
      </c>
      <c r="AW54" s="6484"/>
      <c r="AX54" s="686"/>
      <c r="AY54" s="529"/>
      <c r="AZ54" s="84"/>
      <c r="BA54" s="21" t="b">
        <f t="shared" si="5"/>
        <v>0</v>
      </c>
      <c r="BB54" s="34" t="b">
        <f t="shared" si="6"/>
        <v>0</v>
      </c>
      <c r="BC54" s="34" t="b">
        <f t="shared" si="7"/>
        <v>0</v>
      </c>
      <c r="BD54" s="21" t="b">
        <f t="shared" si="8"/>
        <v>0</v>
      </c>
      <c r="BE54" s="21" t="b">
        <f t="shared" si="9"/>
        <v>0</v>
      </c>
      <c r="BF54" s="21" t="b">
        <f t="shared" si="10"/>
        <v>0</v>
      </c>
      <c r="BG54" s="21" t="b">
        <f t="shared" si="11"/>
        <v>0</v>
      </c>
      <c r="BH54" s="21"/>
      <c r="BI54" s="21"/>
    </row>
    <row r="55" spans="1:61" ht="12" customHeight="1">
      <c r="A55" s="29"/>
      <c r="B55" s="443"/>
      <c r="C55" s="6256"/>
      <c r="D55" s="6256"/>
      <c r="E55" s="6256"/>
      <c r="F55" s="6256"/>
      <c r="G55" s="6256"/>
      <c r="H55" s="1357"/>
      <c r="J55" s="6428"/>
      <c r="K55" s="6429"/>
      <c r="L55" s="6429"/>
      <c r="M55" s="6429"/>
      <c r="N55" s="6429"/>
      <c r="O55" s="6429"/>
      <c r="P55" s="592" t="str">
        <f>IF(J55=0,"",VLOOKUP(J55,Tablas!$AB$1165:$AD$1357,2,FALSE))</f>
        <v/>
      </c>
      <c r="Q55" s="612" t="str">
        <f>IF(J55=0,"",VLOOKUP(J55,Tablas!$AB$1165:$AD$1357,3,FALSE)*IF($P$26="Invocador",0.5,1))</f>
        <v/>
      </c>
      <c r="S55" s="532"/>
      <c r="T55" s="442"/>
      <c r="U55" s="29"/>
      <c r="V55" s="623"/>
      <c r="W55" s="6433" t="str">
        <f>IF(SUM(Tablas!$P$1265:$S$1307)=0,"",IF(Tablas!A3&gt;MAX(Tablas!$P$1265:$P$1307),"",VLOOKUP(Tablas!A3,Tablas!$P$1265:$T$1307,2,FALSE)))</f>
        <v/>
      </c>
      <c r="X55" s="5431"/>
      <c r="Y55" s="5431"/>
      <c r="Z55" s="5431"/>
      <c r="AA55" s="5432"/>
      <c r="AB55" s="4446" t="str">
        <f>IF(SUM(Tablas!$P$1265:$P$1307)=0,"",IF(Tablas!A3&gt;MAX(Tablas!$P$1265:$P$1307),"",VLOOKUP(Tablas!A3,Tablas!$P$1265:$T$1307,4,FALSE)))</f>
        <v/>
      </c>
      <c r="AC55" s="4447"/>
      <c r="AD55" s="4447"/>
      <c r="AE55" s="4447"/>
      <c r="AF55" s="4447"/>
      <c r="AG55" s="4447"/>
      <c r="AH55" s="4447"/>
      <c r="AI55" s="4447"/>
      <c r="AJ55" s="4447"/>
      <c r="AK55" s="5464"/>
      <c r="AL55" s="2277" t="str">
        <f t="shared" si="15"/>
        <v/>
      </c>
      <c r="AM55" s="29"/>
      <c r="AN55" s="29"/>
      <c r="AO55" s="678"/>
      <c r="AP55" s="5278" t="str">
        <f t="shared" si="12"/>
        <v/>
      </c>
      <c r="AQ55" s="5278"/>
      <c r="AR55" s="6484" t="str">
        <f t="shared" si="13"/>
        <v/>
      </c>
      <c r="AS55" s="6484"/>
      <c r="AT55" s="6484"/>
      <c r="AU55" s="6484"/>
      <c r="AV55" s="6484" t="str">
        <f t="shared" si="14"/>
        <v/>
      </c>
      <c r="AW55" s="6484"/>
      <c r="AX55" s="686"/>
      <c r="AY55" s="529"/>
      <c r="AZ55" s="84"/>
      <c r="BA55" s="21" t="b">
        <f t="shared" si="5"/>
        <v>0</v>
      </c>
      <c r="BB55" s="34" t="b">
        <f t="shared" si="6"/>
        <v>0</v>
      </c>
      <c r="BC55" s="34" t="b">
        <f t="shared" si="7"/>
        <v>0</v>
      </c>
      <c r="BD55" s="21" t="b">
        <f t="shared" si="8"/>
        <v>0</v>
      </c>
      <c r="BE55" s="21" t="b">
        <f t="shared" si="9"/>
        <v>0</v>
      </c>
      <c r="BF55" s="21" t="b">
        <f t="shared" si="10"/>
        <v>0</v>
      </c>
      <c r="BG55" s="21" t="b">
        <f t="shared" si="11"/>
        <v>0</v>
      </c>
      <c r="BH55" s="21"/>
      <c r="BI55" s="21"/>
    </row>
    <row r="56" spans="1:61" ht="12" customHeight="1">
      <c r="A56" s="29"/>
      <c r="B56" s="443"/>
      <c r="C56" s="6255"/>
      <c r="D56" s="6255"/>
      <c r="E56" s="6255"/>
      <c r="F56" s="6255"/>
      <c r="G56" s="6255"/>
      <c r="H56" s="1388"/>
      <c r="J56" s="6308"/>
      <c r="K56" s="6309"/>
      <c r="L56" s="6309"/>
      <c r="M56" s="6309"/>
      <c r="N56" s="6309"/>
      <c r="O56" s="6309"/>
      <c r="P56" s="593" t="str">
        <f>IF(J56=0,"",VLOOKUP(J56,Tablas!$AB$1165:$AD$1357,2,FALSE))</f>
        <v/>
      </c>
      <c r="Q56" s="613" t="str">
        <f>IF(J56=0,"",VLOOKUP(J56,Tablas!$AB$1165:$AD$1357,3,FALSE)*IF($P$26="Invocador",0.5,1))</f>
        <v/>
      </c>
      <c r="S56" s="532"/>
      <c r="T56" s="442"/>
      <c r="U56" s="29"/>
      <c r="V56" s="623"/>
      <c r="W56" s="6433" t="str">
        <f>IF(SUM(Tablas!$P$1265:$S$1307)=0,"",IF(Tablas!A4&gt;MAX(Tablas!$P$1265:$P$1307),"",VLOOKUP(Tablas!A4,Tablas!$P$1265:$T$1307,2,FALSE)))</f>
        <v/>
      </c>
      <c r="X56" s="5431"/>
      <c r="Y56" s="5431"/>
      <c r="Z56" s="5431"/>
      <c r="AA56" s="5432"/>
      <c r="AB56" s="4446" t="str">
        <f>IF(SUM(Tablas!$P$1265:$P$1307)=0,"",IF(Tablas!A4&gt;MAX(Tablas!$P$1265:$P$1307),"",VLOOKUP(Tablas!A4,Tablas!$P$1265:$T$1307,4,FALSE)))</f>
        <v/>
      </c>
      <c r="AC56" s="4447"/>
      <c r="AD56" s="4447"/>
      <c r="AE56" s="4447"/>
      <c r="AF56" s="4447"/>
      <c r="AG56" s="4447"/>
      <c r="AH56" s="4447"/>
      <c r="AI56" s="4447"/>
      <c r="AJ56" s="4447"/>
      <c r="AK56" s="5464"/>
      <c r="AL56" s="2277" t="str">
        <f t="shared" si="15"/>
        <v/>
      </c>
      <c r="AM56" s="29"/>
      <c r="AN56" s="29"/>
      <c r="AO56" s="678"/>
      <c r="AP56" s="5278" t="str">
        <f t="shared" si="12"/>
        <v/>
      </c>
      <c r="AQ56" s="5278"/>
      <c r="AR56" s="6484" t="str">
        <f t="shared" si="13"/>
        <v/>
      </c>
      <c r="AS56" s="6484"/>
      <c r="AT56" s="6484"/>
      <c r="AU56" s="6484"/>
      <c r="AV56" s="6484" t="str">
        <f t="shared" si="14"/>
        <v/>
      </c>
      <c r="AW56" s="6484"/>
      <c r="AX56" s="686"/>
      <c r="AY56" s="529"/>
      <c r="AZ56" s="21"/>
      <c r="BA56" s="21" t="b">
        <f t="shared" si="5"/>
        <v>0</v>
      </c>
      <c r="BB56" s="34" t="b">
        <f t="shared" si="6"/>
        <v>0</v>
      </c>
      <c r="BC56" s="34" t="b">
        <f t="shared" si="7"/>
        <v>0</v>
      </c>
      <c r="BD56" s="21" t="b">
        <f t="shared" si="8"/>
        <v>0</v>
      </c>
      <c r="BE56" s="21" t="b">
        <f t="shared" si="9"/>
        <v>0</v>
      </c>
      <c r="BF56" s="21" t="b">
        <f t="shared" si="10"/>
        <v>0</v>
      </c>
      <c r="BG56" s="21" t="b">
        <f t="shared" si="11"/>
        <v>0</v>
      </c>
      <c r="BH56" s="21"/>
      <c r="BI56" s="21"/>
    </row>
    <row r="57" spans="1:61" ht="12" customHeight="1">
      <c r="A57" s="29"/>
      <c r="B57" s="443"/>
      <c r="C57" s="6256"/>
      <c r="D57" s="6256"/>
      <c r="E57" s="6256"/>
      <c r="F57" s="6256"/>
      <c r="G57" s="6256"/>
      <c r="H57" s="1357"/>
      <c r="J57" s="6428"/>
      <c r="K57" s="6429"/>
      <c r="L57" s="6429"/>
      <c r="M57" s="6429"/>
      <c r="N57" s="6429"/>
      <c r="O57" s="6429"/>
      <c r="P57" s="592" t="str">
        <f>IF(J57=0,"",VLOOKUP(J57,Tablas!$AB$1165:$AD$1357,2,FALSE))</f>
        <v/>
      </c>
      <c r="Q57" s="612" t="str">
        <f>IF(J57=0,"",VLOOKUP(J57,Tablas!$AB$1165:$AD$1357,3,FALSE)*IF($P$26="Invocador",0.5,1))</f>
        <v/>
      </c>
      <c r="S57" s="532"/>
      <c r="T57" s="442"/>
      <c r="U57" s="29"/>
      <c r="V57" s="623"/>
      <c r="W57" s="6433" t="str">
        <f>IF(SUM(Tablas!$P$1265:$S$1307)=0,"",IF(Tablas!A5&gt;MAX(Tablas!$P$1265:$P$1307),"",VLOOKUP(Tablas!A5,Tablas!$P$1265:$T$1307,2,FALSE)))</f>
        <v/>
      </c>
      <c r="X57" s="5431"/>
      <c r="Y57" s="5431"/>
      <c r="Z57" s="5431"/>
      <c r="AA57" s="5432"/>
      <c r="AB57" s="4446" t="str">
        <f>IF(SUM(Tablas!$P$1265:$P$1307)=0,"",IF(Tablas!A5&gt;MAX(Tablas!$P$1265:$P$1307),"",VLOOKUP(Tablas!A5,Tablas!$P$1265:$T$1307,4,FALSE)))</f>
        <v/>
      </c>
      <c r="AC57" s="4447"/>
      <c r="AD57" s="4447"/>
      <c r="AE57" s="4447"/>
      <c r="AF57" s="4447"/>
      <c r="AG57" s="4447"/>
      <c r="AH57" s="4447"/>
      <c r="AI57" s="4447"/>
      <c r="AJ57" s="4447"/>
      <c r="AK57" s="5464"/>
      <c r="AL57" s="2277" t="str">
        <f t="shared" si="15"/>
        <v/>
      </c>
      <c r="AM57" s="29"/>
      <c r="AN57" s="29"/>
      <c r="AO57" s="678"/>
      <c r="AP57" s="6465" t="str">
        <f t="shared" si="12"/>
        <v/>
      </c>
      <c r="AQ57" s="6465"/>
      <c r="AR57" s="4654" t="str">
        <f t="shared" si="13"/>
        <v/>
      </c>
      <c r="AS57" s="4654"/>
      <c r="AT57" s="4654"/>
      <c r="AU57" s="4654"/>
      <c r="AV57" s="4654" t="str">
        <f t="shared" si="14"/>
        <v/>
      </c>
      <c r="AW57" s="4654"/>
      <c r="AX57" s="686"/>
      <c r="AY57" s="529"/>
      <c r="AZ57" s="21"/>
      <c r="BA57" s="21" t="b">
        <f t="shared" si="5"/>
        <v>0</v>
      </c>
      <c r="BB57" s="34" t="b">
        <f t="shared" si="6"/>
        <v>0</v>
      </c>
      <c r="BC57" s="34" t="b">
        <f t="shared" si="7"/>
        <v>0</v>
      </c>
      <c r="BD57" s="21" t="b">
        <f t="shared" si="8"/>
        <v>0</v>
      </c>
      <c r="BE57" s="21" t="b">
        <f t="shared" si="9"/>
        <v>0</v>
      </c>
      <c r="BF57" s="21" t="b">
        <f t="shared" si="10"/>
        <v>0</v>
      </c>
      <c r="BG57" s="21" t="b">
        <f t="shared" si="11"/>
        <v>0</v>
      </c>
      <c r="BH57" s="21"/>
      <c r="BI57" s="21"/>
    </row>
    <row r="58" spans="1:61" ht="12" customHeight="1">
      <c r="A58" s="29"/>
      <c r="B58" s="443"/>
      <c r="C58" s="6255"/>
      <c r="D58" s="6255"/>
      <c r="E58" s="6255"/>
      <c r="F58" s="6255"/>
      <c r="G58" s="6255"/>
      <c r="H58" s="1388"/>
      <c r="J58" s="6308"/>
      <c r="K58" s="6309"/>
      <c r="L58" s="6309"/>
      <c r="M58" s="6309"/>
      <c r="N58" s="6309"/>
      <c r="O58" s="6309"/>
      <c r="P58" s="593" t="str">
        <f>IF(J58=0,"",VLOOKUP(J58,Tablas!$AB$1165:$AD$1357,2,FALSE))</f>
        <v/>
      </c>
      <c r="Q58" s="613" t="str">
        <f>IF(J58=0,"",VLOOKUP(J58,Tablas!$AB$1165:$AD$1357,3,FALSE)*IF($P$26="Invocador",0.5,1))</f>
        <v/>
      </c>
      <c r="S58" s="532"/>
      <c r="T58" s="442"/>
      <c r="U58" s="29"/>
      <c r="V58" s="623"/>
      <c r="W58" s="6433" t="str">
        <f>IF(SUM(Tablas!$P$1265:$S$1307)=0,"",IF(Tablas!A6&gt;MAX(Tablas!$P$1265:$P$1307),"",VLOOKUP(Tablas!A6,Tablas!$P$1265:$T$1307,2,FALSE)))</f>
        <v/>
      </c>
      <c r="X58" s="5431"/>
      <c r="Y58" s="5431"/>
      <c r="Z58" s="5431"/>
      <c r="AA58" s="5432"/>
      <c r="AB58" s="4446" t="str">
        <f>IF(SUM(Tablas!$P$1265:$P$1307)=0,"",IF(Tablas!A6&gt;MAX(Tablas!$P$1265:$P$1307),"",VLOOKUP(Tablas!A6,Tablas!$P$1265:$T$1307,4,FALSE)))</f>
        <v/>
      </c>
      <c r="AC58" s="4447"/>
      <c r="AD58" s="4447"/>
      <c r="AE58" s="4447"/>
      <c r="AF58" s="4447"/>
      <c r="AG58" s="4447"/>
      <c r="AH58" s="4447"/>
      <c r="AI58" s="4447"/>
      <c r="AJ58" s="4447"/>
      <c r="AK58" s="5464"/>
      <c r="AL58" s="2277" t="str">
        <f t="shared" si="15"/>
        <v/>
      </c>
      <c r="AM58" s="29"/>
      <c r="AN58" s="29"/>
      <c r="AO58" s="678"/>
      <c r="AP58" s="6490" t="str">
        <f t="shared" si="12"/>
        <v/>
      </c>
      <c r="AQ58" s="6490"/>
      <c r="AR58" s="6464" t="str">
        <f t="shared" si="13"/>
        <v/>
      </c>
      <c r="AS58" s="6464"/>
      <c r="AT58" s="6464"/>
      <c r="AU58" s="6464"/>
      <c r="AV58" s="6464"/>
      <c r="AW58" s="6464"/>
      <c r="AX58" s="686"/>
      <c r="AY58" s="529"/>
      <c r="AZ58" s="21"/>
      <c r="BA58" s="21" t="b">
        <f t="shared" si="5"/>
        <v>0</v>
      </c>
      <c r="BB58" s="34" t="b">
        <f t="shared" si="6"/>
        <v>0</v>
      </c>
      <c r="BC58" s="34" t="b">
        <f t="shared" si="7"/>
        <v>0</v>
      </c>
      <c r="BD58" s="21" t="b">
        <f t="shared" si="8"/>
        <v>0</v>
      </c>
      <c r="BE58" s="21" t="b">
        <f t="shared" si="9"/>
        <v>0</v>
      </c>
      <c r="BF58" s="21" t="b">
        <f t="shared" si="10"/>
        <v>0</v>
      </c>
      <c r="BG58" s="21" t="b">
        <f t="shared" si="11"/>
        <v>0</v>
      </c>
      <c r="BH58" s="21"/>
      <c r="BI58" s="21"/>
    </row>
    <row r="59" spans="1:61" ht="12" customHeight="1">
      <c r="A59" s="29"/>
      <c r="B59" s="443"/>
      <c r="C59" s="6256"/>
      <c r="D59" s="6256"/>
      <c r="E59" s="6256"/>
      <c r="F59" s="6256"/>
      <c r="G59" s="6256"/>
      <c r="H59" s="1357"/>
      <c r="J59" s="6306"/>
      <c r="K59" s="6307"/>
      <c r="L59" s="6307"/>
      <c r="M59" s="6307"/>
      <c r="N59" s="6307"/>
      <c r="O59" s="6307"/>
      <c r="P59" s="1932" t="str">
        <f>IF(J59=0,"",VLOOKUP(J59,Tablas!$AB$1165:$AD$1357,2,FALSE))</f>
        <v/>
      </c>
      <c r="Q59" s="1933" t="str">
        <f>IF(J59=0,"",VLOOKUP(J59,Tablas!$AB$1165:$AD$1357,3,FALSE)*IF($P$26="Invocador",0.5,1))</f>
        <v/>
      </c>
      <c r="S59" s="532"/>
      <c r="T59" s="442"/>
      <c r="U59" s="29"/>
      <c r="V59" s="623"/>
      <c r="W59" s="6433" t="str">
        <f>IF(SUM(Tablas!$P$1265:$S$1307)=0,"",IF(Tablas!A7&gt;MAX(Tablas!$P$1265:$P$1307),"",VLOOKUP(Tablas!A7,Tablas!$P$1265:$T$1307,2,FALSE)))</f>
        <v/>
      </c>
      <c r="X59" s="5431"/>
      <c r="Y59" s="5431"/>
      <c r="Z59" s="5431"/>
      <c r="AA59" s="5432"/>
      <c r="AB59" s="4446" t="str">
        <f>IF(SUM(Tablas!$P$1265:$P$1307)=0,"",IF(Tablas!A7&gt;MAX(Tablas!$P$1265:$P$1307),"",VLOOKUP(Tablas!A7,Tablas!$P$1265:$T$1307,4,FALSE)))</f>
        <v/>
      </c>
      <c r="AC59" s="4447"/>
      <c r="AD59" s="4447"/>
      <c r="AE59" s="4447"/>
      <c r="AF59" s="4447"/>
      <c r="AG59" s="4447"/>
      <c r="AH59" s="4447"/>
      <c r="AI59" s="4447"/>
      <c r="AJ59" s="4447"/>
      <c r="AK59" s="5464"/>
      <c r="AL59" s="2277" t="str">
        <f t="shared" si="15"/>
        <v/>
      </c>
      <c r="AM59" s="29"/>
      <c r="AN59" s="29"/>
      <c r="AO59" s="678"/>
      <c r="AP59" s="6490" t="str">
        <f t="shared" si="12"/>
        <v/>
      </c>
      <c r="AQ59" s="6490"/>
      <c r="AR59" s="6464" t="str">
        <f t="shared" si="13"/>
        <v/>
      </c>
      <c r="AS59" s="6464"/>
      <c r="AT59" s="6464"/>
      <c r="AU59" s="6464"/>
      <c r="AV59" s="6464"/>
      <c r="AW59" s="6464"/>
      <c r="AX59" s="686"/>
      <c r="AY59" s="529"/>
      <c r="AZ59" s="21"/>
      <c r="BA59" s="21" t="b">
        <f t="shared" si="5"/>
        <v>0</v>
      </c>
      <c r="BB59" s="34" t="b">
        <f t="shared" si="6"/>
        <v>0</v>
      </c>
      <c r="BC59" s="34" t="b">
        <f t="shared" si="7"/>
        <v>0</v>
      </c>
      <c r="BD59" s="21" t="b">
        <f t="shared" si="8"/>
        <v>0</v>
      </c>
      <c r="BE59" s="21" t="b">
        <f t="shared" si="9"/>
        <v>0</v>
      </c>
      <c r="BF59" s="21" t="b">
        <f t="shared" si="10"/>
        <v>0</v>
      </c>
      <c r="BG59" s="21" t="b">
        <f t="shared" si="11"/>
        <v>0</v>
      </c>
      <c r="BH59" s="21"/>
      <c r="BI59" s="21"/>
    </row>
    <row r="60" spans="1:61" ht="12" customHeight="1">
      <c r="A60" s="29"/>
      <c r="B60" s="443"/>
      <c r="C60" s="6255"/>
      <c r="D60" s="6255"/>
      <c r="E60" s="6255"/>
      <c r="F60" s="6255"/>
      <c r="G60" s="6255"/>
      <c r="H60" s="1388"/>
      <c r="J60" s="6308"/>
      <c r="K60" s="6309"/>
      <c r="L60" s="6309"/>
      <c r="M60" s="6309"/>
      <c r="N60" s="6309"/>
      <c r="O60" s="6309"/>
      <c r="P60" s="593" t="str">
        <f>IF(J60=0,"",VLOOKUP(J60,Tablas!$AB$1165:$AD$1357,2,FALSE))</f>
        <v/>
      </c>
      <c r="Q60" s="613" t="str">
        <f>IF(J60=0,"",VLOOKUP(J60,Tablas!$AB$1165:$AD$1357,3,FALSE)*IF($P$26="Invocador",0.5,1))</f>
        <v/>
      </c>
      <c r="S60" s="532"/>
      <c r="T60" s="442"/>
      <c r="U60" s="29"/>
      <c r="V60" s="623"/>
      <c r="W60" s="6433" t="str">
        <f>IF(SUM(Tablas!$P$1265:$S$1307)=0,"",IF(Tablas!A8&gt;MAX(Tablas!$P$1265:$P$1307),"",VLOOKUP(Tablas!A8,Tablas!$P$1265:$T$1307,2,FALSE)))</f>
        <v/>
      </c>
      <c r="X60" s="5431"/>
      <c r="Y60" s="5431"/>
      <c r="Z60" s="5431"/>
      <c r="AA60" s="5432"/>
      <c r="AB60" s="4446" t="str">
        <f>IF(SUM(Tablas!$P$1265:$P$1307)=0,"",IF(Tablas!A8&gt;MAX(Tablas!$P$1265:$P$1307),"",VLOOKUP(Tablas!A8,Tablas!$P$1265:$T$1307,4,FALSE)))</f>
        <v/>
      </c>
      <c r="AC60" s="4447"/>
      <c r="AD60" s="4447"/>
      <c r="AE60" s="4447"/>
      <c r="AF60" s="4447"/>
      <c r="AG60" s="4447"/>
      <c r="AH60" s="4447"/>
      <c r="AI60" s="4447"/>
      <c r="AJ60" s="4447"/>
      <c r="AK60" s="5464"/>
      <c r="AL60" s="2277" t="str">
        <f t="shared" si="15"/>
        <v/>
      </c>
      <c r="AM60" s="29"/>
      <c r="AN60" s="29"/>
      <c r="AO60" s="678"/>
      <c r="AP60" s="6490" t="str">
        <f t="shared" si="12"/>
        <v/>
      </c>
      <c r="AQ60" s="6490"/>
      <c r="AR60" s="6464" t="str">
        <f t="shared" si="13"/>
        <v/>
      </c>
      <c r="AS60" s="6464"/>
      <c r="AT60" s="6464"/>
      <c r="AU60" s="6464"/>
      <c r="AV60" s="6464"/>
      <c r="AW60" s="6464"/>
      <c r="AX60" s="686"/>
      <c r="AY60" s="529"/>
      <c r="AZ60" s="21"/>
      <c r="BA60" s="21" t="b">
        <f t="shared" si="5"/>
        <v>0</v>
      </c>
      <c r="BB60" s="34" t="b">
        <f t="shared" si="6"/>
        <v>0</v>
      </c>
      <c r="BC60" s="34" t="b">
        <f t="shared" si="7"/>
        <v>0</v>
      </c>
      <c r="BD60" s="21" t="b">
        <f t="shared" si="8"/>
        <v>0</v>
      </c>
      <c r="BE60" s="21" t="b">
        <f t="shared" si="9"/>
        <v>0</v>
      </c>
      <c r="BF60" s="21" t="b">
        <f t="shared" si="10"/>
        <v>0</v>
      </c>
      <c r="BG60" s="21" t="b">
        <f t="shared" si="11"/>
        <v>0</v>
      </c>
      <c r="BH60" s="21"/>
      <c r="BI60" s="21"/>
    </row>
    <row r="61" spans="1:61" ht="12" customHeight="1" thickBot="1">
      <c r="A61" s="29"/>
      <c r="B61" s="443"/>
      <c r="C61" s="6458" t="s">
        <v>1573</v>
      </c>
      <c r="D61" s="6458"/>
      <c r="E61" s="6458"/>
      <c r="F61" s="6458"/>
      <c r="G61" s="6458"/>
      <c r="H61" s="89">
        <f>SUM(H33:H60)+IF(Sheele!$O$5="No",0,Sheele!$I$5)</f>
        <v>0</v>
      </c>
      <c r="J61" s="6461" t="str">
        <f>IF(Tablas!X21,IF(AND(22-COUNTBLANK(P33:P60)&gt;VLOOKUP(Nivel_Sobrenatural,Tablas!$S$9:$X$12,6,FALSE)),"Número inicial de invocaciones excesivo. ","")&amp;IF(P26="Invocador","Costes de las invocaciones ya reducidos",""),"")</f>
        <v/>
      </c>
      <c r="K61" s="6462"/>
      <c r="L61" s="6462"/>
      <c r="M61" s="6462"/>
      <c r="N61" s="6462"/>
      <c r="O61" s="6462"/>
      <c r="P61" s="6462"/>
      <c r="Q61" s="6463"/>
      <c r="S61" s="532"/>
      <c r="T61" s="442"/>
      <c r="U61" s="29"/>
      <c r="V61" s="623"/>
      <c r="W61" s="6433" t="str">
        <f>IF(SUM(Tablas!$P$1265:$S$1307)=0,"",IF(Tablas!A9&gt;MAX(Tablas!$P$1265:$P$1307),"",VLOOKUP(Tablas!A9,Tablas!$P$1265:$T$1307,2,FALSE)))</f>
        <v/>
      </c>
      <c r="X61" s="5431"/>
      <c r="Y61" s="5431"/>
      <c r="Z61" s="5431"/>
      <c r="AA61" s="5432"/>
      <c r="AB61" s="6445" t="str">
        <f>IF(SUM(Tablas!$P$1265:$P$1307)=0,"",IF(Tablas!A9&gt;MAX(Tablas!$P$1265:$P$1307),"",VLOOKUP(Tablas!A9,Tablas!$P$1265:$T$1307,4,FALSE)))</f>
        <v/>
      </c>
      <c r="AC61" s="5454"/>
      <c r="AD61" s="5454"/>
      <c r="AE61" s="5454"/>
      <c r="AF61" s="5454"/>
      <c r="AG61" s="5454"/>
      <c r="AH61" s="5454"/>
      <c r="AI61" s="5454"/>
      <c r="AJ61" s="5454"/>
      <c r="AK61" s="6446"/>
      <c r="AL61" s="2277" t="str">
        <f t="shared" si="15"/>
        <v/>
      </c>
      <c r="AM61" s="29"/>
      <c r="AN61" s="29"/>
      <c r="AO61" s="678"/>
      <c r="AX61" s="686"/>
      <c r="AY61" s="529"/>
      <c r="AZ61" s="21"/>
      <c r="BA61" s="21" t="s">
        <v>1209</v>
      </c>
      <c r="BB61" s="34" t="b">
        <f t="shared" ref="BB61:BG61" si="16">OR(BB34:BB60)</f>
        <v>0</v>
      </c>
      <c r="BC61" s="34" t="b">
        <f t="shared" si="16"/>
        <v>0</v>
      </c>
      <c r="BD61" s="34" t="b">
        <f t="shared" si="16"/>
        <v>0</v>
      </c>
      <c r="BE61" s="34" t="b">
        <f t="shared" si="16"/>
        <v>0</v>
      </c>
      <c r="BF61" s="34" t="b">
        <f t="shared" si="16"/>
        <v>0</v>
      </c>
      <c r="BG61" s="34" t="b">
        <f t="shared" si="16"/>
        <v>0</v>
      </c>
      <c r="BH61" s="21"/>
      <c r="BI61" s="21"/>
    </row>
    <row r="62" spans="1:61" ht="12" customHeight="1" thickBot="1">
      <c r="A62" s="29"/>
      <c r="B62" s="443"/>
      <c r="S62" s="532"/>
      <c r="T62" s="442"/>
      <c r="U62" s="29"/>
      <c r="V62" s="623"/>
      <c r="W62" s="6433" t="str">
        <f>IF(SUM(Tablas!$P$1265:$S$1307)=0,"",IF(Tablas!A10&gt;MAX(Tablas!$P$1265:$P$1307),"",VLOOKUP(Tablas!A10,Tablas!$P$1265:$T$1307,2,FALSE)))</f>
        <v/>
      </c>
      <c r="X62" s="5431"/>
      <c r="Y62" s="5431"/>
      <c r="Z62" s="5431"/>
      <c r="AA62" s="5432"/>
      <c r="AB62" s="6445" t="str">
        <f>IF(SUM(Tablas!$P$1265:$P$1307)=0,"",IF(Tablas!A10&gt;MAX(Tablas!$P$1265:$P$1307),"",VLOOKUP(Tablas!A10,Tablas!$P$1265:$T$1307,4,FALSE)))</f>
        <v/>
      </c>
      <c r="AC62" s="5454"/>
      <c r="AD62" s="5454"/>
      <c r="AE62" s="5454"/>
      <c r="AF62" s="5454"/>
      <c r="AG62" s="5454"/>
      <c r="AH62" s="5454"/>
      <c r="AI62" s="5454"/>
      <c r="AJ62" s="5454"/>
      <c r="AK62" s="6446"/>
      <c r="AL62" s="2277" t="str">
        <f t="shared" si="15"/>
        <v/>
      </c>
      <c r="AM62" s="29"/>
      <c r="AN62" s="29"/>
      <c r="AO62" s="777" t="str">
        <f t="shared" ref="AO62:AO72" si="17">"Conjuros"&amp;IF(AP64="","","_"&amp;SUBSTITUTE(AP64," ",""))</f>
        <v>Conjuros</v>
      </c>
      <c r="AP62" s="6493" t="s">
        <v>6490</v>
      </c>
      <c r="AQ62" s="6493"/>
      <c r="AR62" s="6493"/>
      <c r="AS62" s="6493"/>
      <c r="AT62" s="6493"/>
      <c r="AU62" s="6493"/>
      <c r="AV62" s="6493"/>
      <c r="AW62" s="6493"/>
      <c r="AX62" s="686"/>
      <c r="AY62" s="529"/>
      <c r="AZ62" s="21"/>
      <c r="BA62" s="21"/>
      <c r="BB62" s="34"/>
      <c r="BC62" s="34"/>
      <c r="BD62" s="21"/>
      <c r="BE62" s="47"/>
      <c r="BF62" s="21"/>
      <c r="BG62" s="21"/>
      <c r="BH62" s="21"/>
      <c r="BI62" s="21"/>
    </row>
    <row r="63" spans="1:61" ht="12" customHeight="1">
      <c r="A63" s="29"/>
      <c r="B63" s="443"/>
      <c r="C63" s="5433" t="s">
        <v>13090</v>
      </c>
      <c r="D63" s="5434"/>
      <c r="E63" s="5434"/>
      <c r="F63" s="5434"/>
      <c r="G63" s="5434"/>
      <c r="H63" s="5435"/>
      <c r="J63" s="5433" t="s">
        <v>9146</v>
      </c>
      <c r="K63" s="5434"/>
      <c r="L63" s="5434"/>
      <c r="M63" s="5434"/>
      <c r="N63" s="5434"/>
      <c r="O63" s="5434"/>
      <c r="P63" s="5434"/>
      <c r="Q63" s="5435"/>
      <c r="S63" s="532"/>
      <c r="T63" s="442"/>
      <c r="U63" s="29"/>
      <c r="V63" s="623"/>
      <c r="W63" s="6433" t="str">
        <f>IF(SUM(Tablas!$P$1265:$S$1307)=0,"",IF(Tablas!A11&gt;MAX(Tablas!$P$1265:$P$1307),"",VLOOKUP(Tablas!A11,Tablas!$P$1265:$T$1307,2,FALSE)))</f>
        <v/>
      </c>
      <c r="X63" s="5431"/>
      <c r="Y63" s="5431"/>
      <c r="Z63" s="5431"/>
      <c r="AA63" s="5432"/>
      <c r="AB63" s="6445" t="str">
        <f>IF(SUM(Tablas!$P$1265:$P$1307)=0,"",IF(Tablas!A11&gt;MAX(Tablas!$P$1265:$P$1307),"",VLOOKUP(Tablas!A11,Tablas!$P$1265:$T$1307,4,FALSE)))</f>
        <v/>
      </c>
      <c r="AC63" s="5454"/>
      <c r="AD63" s="5454"/>
      <c r="AE63" s="5454"/>
      <c r="AF63" s="5454"/>
      <c r="AG63" s="5454"/>
      <c r="AH63" s="5454"/>
      <c r="AI63" s="5454"/>
      <c r="AJ63" s="5454"/>
      <c r="AK63" s="6446"/>
      <c r="AL63" s="2277" t="str">
        <f t="shared" si="15"/>
        <v/>
      </c>
      <c r="AM63" s="29"/>
      <c r="AN63" s="29"/>
      <c r="AO63" s="777" t="str">
        <f t="shared" si="17"/>
        <v>Conjuros</v>
      </c>
      <c r="AP63" s="6337" t="s">
        <v>1549</v>
      </c>
      <c r="AQ63" s="6337"/>
      <c r="AR63" s="6337" t="s">
        <v>1548</v>
      </c>
      <c r="AS63" s="6337"/>
      <c r="AT63" s="6337"/>
      <c r="AU63" s="2043"/>
      <c r="AV63" s="2044" t="s">
        <v>6491</v>
      </c>
      <c r="AW63" s="858" t="s">
        <v>2500</v>
      </c>
      <c r="AX63" s="686"/>
      <c r="AY63" s="529"/>
      <c r="AZ63" s="21"/>
      <c r="BA63" s="21"/>
      <c r="BB63" s="34"/>
      <c r="BC63" s="34"/>
      <c r="BD63" s="21"/>
      <c r="BE63" s="47"/>
      <c r="BF63" s="21"/>
      <c r="BG63" s="21"/>
      <c r="BH63" s="21"/>
      <c r="BI63" s="21"/>
    </row>
    <row r="64" spans="1:61" ht="12" customHeight="1">
      <c r="A64" s="29"/>
      <c r="B64" s="443"/>
      <c r="C64" s="4068"/>
      <c r="D64" s="2041"/>
      <c r="E64" s="2041"/>
      <c r="F64" s="2041"/>
      <c r="G64" s="2041"/>
      <c r="H64" s="4069"/>
      <c r="J64" s="6502"/>
      <c r="K64" s="6503"/>
      <c r="L64" s="6503"/>
      <c r="M64" s="6503"/>
      <c r="N64" s="6503"/>
      <c r="O64" s="6503"/>
      <c r="P64" s="6503"/>
      <c r="Q64" s="6504"/>
      <c r="S64" s="532"/>
      <c r="T64" s="442"/>
      <c r="U64" s="29"/>
      <c r="V64" s="623"/>
      <c r="W64" s="6433" t="str">
        <f>IF(SUM(Tablas!$P$1265:$S$1307)=0,"",IF(Tablas!A12&gt;MAX(Tablas!$P$1265:$P$1307),"",VLOOKUP(Tablas!A12,Tablas!$P$1265:$T$1307,2,FALSE)))</f>
        <v/>
      </c>
      <c r="X64" s="5431"/>
      <c r="Y64" s="5431"/>
      <c r="Z64" s="5431"/>
      <c r="AA64" s="5432"/>
      <c r="AB64" s="6445" t="str">
        <f>IF(SUM(Tablas!$P$1265:$P$1307)=0,"",IF(Tablas!A12&gt;MAX(Tablas!$P$1265:$P$1307),"",VLOOKUP(Tablas!A12,Tablas!$P$1265:$T$1307,4,FALSE)))</f>
        <v/>
      </c>
      <c r="AC64" s="5454"/>
      <c r="AD64" s="5454"/>
      <c r="AE64" s="5454"/>
      <c r="AF64" s="5454"/>
      <c r="AG64" s="5454"/>
      <c r="AH64" s="5454"/>
      <c r="AI64" s="5454"/>
      <c r="AJ64" s="5454"/>
      <c r="AK64" s="6446"/>
      <c r="AL64" s="2277" t="str">
        <f t="shared" si="15"/>
        <v/>
      </c>
      <c r="AM64" s="29"/>
      <c r="AN64" s="29"/>
      <c r="AO64" s="777" t="str">
        <f t="shared" si="17"/>
        <v>Conjuros</v>
      </c>
      <c r="AP64" s="6492"/>
      <c r="AQ64" s="6492"/>
      <c r="AR64" s="5011"/>
      <c r="AS64" s="5011"/>
      <c r="AT64" s="5011"/>
      <c r="AU64" s="5011"/>
      <c r="AV64" s="2041"/>
      <c r="AW64" s="1327">
        <f>IF(AR64="",0,AV64*VLOOKUP(AR64,'Tablas Magia'!$D$6:$Z$779,11,FALSE)/2)</f>
        <v>0</v>
      </c>
      <c r="AX64" s="686"/>
      <c r="AY64" s="529"/>
      <c r="AZ64" s="21"/>
      <c r="BA64" s="21"/>
      <c r="BB64" s="34"/>
      <c r="BC64" s="34"/>
      <c r="BD64" s="21"/>
      <c r="BE64" s="21"/>
      <c r="BF64" s="21"/>
      <c r="BG64" s="21"/>
      <c r="BH64" s="21"/>
      <c r="BI64" s="21"/>
    </row>
    <row r="65" spans="1:61" ht="12" customHeight="1">
      <c r="A65" s="29"/>
      <c r="B65" s="443"/>
      <c r="C65" s="4070"/>
      <c r="D65" s="4067"/>
      <c r="E65" s="4067"/>
      <c r="F65" s="4067"/>
      <c r="G65" s="4067"/>
      <c r="H65" s="4071"/>
      <c r="J65" s="6505"/>
      <c r="K65" s="6503"/>
      <c r="L65" s="6503"/>
      <c r="M65" s="6503"/>
      <c r="N65" s="6503"/>
      <c r="O65" s="6503"/>
      <c r="P65" s="6503"/>
      <c r="Q65" s="6504"/>
      <c r="S65" s="532"/>
      <c r="T65" s="442"/>
      <c r="U65" s="29"/>
      <c r="V65" s="623"/>
      <c r="W65" s="6433" t="str">
        <f>IF(SUM(Tablas!$P$1265:$S$1307)=0,"",IF(Tablas!A13&gt;MAX(Tablas!$P$1265:$P$1307),"",VLOOKUP(Tablas!A13,Tablas!$P$1265:$T$1307,2,FALSE)))</f>
        <v/>
      </c>
      <c r="X65" s="5431"/>
      <c r="Y65" s="5431"/>
      <c r="Z65" s="5431"/>
      <c r="AA65" s="5432"/>
      <c r="AB65" s="6445" t="str">
        <f>IF(SUM(Tablas!$P$1265:$P$1307)=0,"",IF(Tablas!A13&gt;MAX(Tablas!$P$1265:$P$1307),"",VLOOKUP(Tablas!A13,Tablas!$P$1265:$T$1307,4,FALSE)))</f>
        <v/>
      </c>
      <c r="AC65" s="5454"/>
      <c r="AD65" s="5454"/>
      <c r="AE65" s="5454"/>
      <c r="AF65" s="5454"/>
      <c r="AG65" s="5454"/>
      <c r="AH65" s="5454"/>
      <c r="AI65" s="5454"/>
      <c r="AJ65" s="5454"/>
      <c r="AK65" s="6446"/>
      <c r="AL65" s="2277" t="str">
        <f t="shared" si="15"/>
        <v/>
      </c>
      <c r="AM65" s="29"/>
      <c r="AN65" s="29"/>
      <c r="AO65" s="777" t="str">
        <f t="shared" si="17"/>
        <v>Conjuros</v>
      </c>
      <c r="AP65" s="6491"/>
      <c r="AQ65" s="6491"/>
      <c r="AR65" s="6330"/>
      <c r="AS65" s="6330"/>
      <c r="AT65" s="6330"/>
      <c r="AU65" s="6330"/>
      <c r="AV65" s="2042"/>
      <c r="AW65" s="2045">
        <f>IF(AR65="",0,AV65*VLOOKUP(AR65,'Tablas Magia'!$D$6:$Z$779,11,FALSE)/2)</f>
        <v>0</v>
      </c>
      <c r="AX65" s="685"/>
      <c r="AY65" s="529"/>
      <c r="AZ65" s="21"/>
      <c r="BA65" s="21"/>
      <c r="BB65" s="34"/>
      <c r="BC65" s="34"/>
      <c r="BD65" s="21"/>
      <c r="BE65" s="21"/>
      <c r="BF65" s="21"/>
      <c r="BG65" s="21"/>
      <c r="BH65" s="21"/>
      <c r="BI65" s="21"/>
    </row>
    <row r="66" spans="1:61" ht="12" customHeight="1">
      <c r="A66" s="29"/>
      <c r="B66" s="443"/>
      <c r="C66" s="4068"/>
      <c r="D66" s="2041"/>
      <c r="E66" s="2041"/>
      <c r="F66" s="2041"/>
      <c r="G66" s="2041"/>
      <c r="H66" s="4069"/>
      <c r="J66" s="6505"/>
      <c r="K66" s="6503"/>
      <c r="L66" s="6503"/>
      <c r="M66" s="6503"/>
      <c r="N66" s="6503"/>
      <c r="O66" s="6503"/>
      <c r="P66" s="6503"/>
      <c r="Q66" s="6504"/>
      <c r="S66" s="532"/>
      <c r="T66" s="442"/>
      <c r="U66" s="29"/>
      <c r="V66" s="623"/>
      <c r="W66" s="6433" t="str">
        <f>IF(SUM(Tablas!$P$1265:$S$1307)=0,"",IF(Tablas!A14&gt;MAX(Tablas!$P$1265:$P$1307),"",VLOOKUP(Tablas!A14,Tablas!$P$1265:$T$1307,2,FALSE)))</f>
        <v/>
      </c>
      <c r="X66" s="5431"/>
      <c r="Y66" s="5431"/>
      <c r="Z66" s="5431"/>
      <c r="AA66" s="5432"/>
      <c r="AB66" s="6445" t="str">
        <f>IF(SUM(Tablas!$P$1265:$P$1307)=0,"",IF(Tablas!A14&gt;MAX(Tablas!$P$1265:$P$1307),"",VLOOKUP(Tablas!A14,Tablas!$P$1265:$T$1307,4,FALSE)))</f>
        <v/>
      </c>
      <c r="AC66" s="5454"/>
      <c r="AD66" s="5454"/>
      <c r="AE66" s="5454"/>
      <c r="AF66" s="5454"/>
      <c r="AG66" s="5454"/>
      <c r="AH66" s="5454"/>
      <c r="AI66" s="5454"/>
      <c r="AJ66" s="5454"/>
      <c r="AK66" s="6446"/>
      <c r="AL66" s="2277" t="str">
        <f t="shared" si="15"/>
        <v/>
      </c>
      <c r="AM66" s="29"/>
      <c r="AN66" s="29"/>
      <c r="AO66" s="777" t="str">
        <f t="shared" si="17"/>
        <v>Conjuros</v>
      </c>
      <c r="AP66" s="6492"/>
      <c r="AQ66" s="6492"/>
      <c r="AR66" s="5011"/>
      <c r="AS66" s="5011"/>
      <c r="AT66" s="5011"/>
      <c r="AU66" s="5011"/>
      <c r="AV66" s="2041"/>
      <c r="AW66" s="1327">
        <f>IF(AR66="",0,AV66*VLOOKUP(AR66,'Tablas Magia'!$D$6:$Z$779,11,FALSE)/2)</f>
        <v>0</v>
      </c>
      <c r="AX66" s="685"/>
      <c r="AY66" s="529"/>
      <c r="AZ66" s="21"/>
      <c r="BA66" s="21"/>
      <c r="BB66" s="34"/>
      <c r="BC66" s="34"/>
      <c r="BD66" s="21"/>
      <c r="BE66" s="21"/>
      <c r="BF66" s="21"/>
      <c r="BG66" s="21"/>
      <c r="BH66" s="21"/>
      <c r="BI66" s="21"/>
    </row>
    <row r="67" spans="1:61" ht="12" customHeight="1">
      <c r="A67" s="29"/>
      <c r="B67" s="443"/>
      <c r="C67" s="4070"/>
      <c r="D67" s="4067"/>
      <c r="E67" s="4067"/>
      <c r="F67" s="4067"/>
      <c r="G67" s="4067"/>
      <c r="H67" s="4071"/>
      <c r="J67" s="6505"/>
      <c r="K67" s="6503"/>
      <c r="L67" s="6503"/>
      <c r="M67" s="6503"/>
      <c r="N67" s="6503"/>
      <c r="O67" s="6503"/>
      <c r="P67" s="6503"/>
      <c r="Q67" s="6504"/>
      <c r="S67" s="532"/>
      <c r="T67" s="442"/>
      <c r="U67" s="29"/>
      <c r="V67" s="623"/>
      <c r="W67" s="6433" t="str">
        <f>IF(SUM(Tablas!$P$1265:$S$1307)=0,"",IF(Tablas!A15&gt;MAX(Tablas!$P$1265:$P$1307),"",VLOOKUP(Tablas!A15,Tablas!$P$1265:$T$1307,2,FALSE)))</f>
        <v/>
      </c>
      <c r="X67" s="5431"/>
      <c r="Y67" s="5431"/>
      <c r="Z67" s="5431"/>
      <c r="AA67" s="5432"/>
      <c r="AB67" s="6445" t="str">
        <f>IF(SUM(Tablas!$P$1265:$P$1307)=0,"",IF(Tablas!A15&gt;MAX(Tablas!$P$1265:$P$1307),"",VLOOKUP(Tablas!A15,Tablas!$P$1265:$T$1307,4,FALSE)))</f>
        <v/>
      </c>
      <c r="AC67" s="5454"/>
      <c r="AD67" s="5454"/>
      <c r="AE67" s="5454"/>
      <c r="AF67" s="5454"/>
      <c r="AG67" s="5454"/>
      <c r="AH67" s="5454"/>
      <c r="AI67" s="5454"/>
      <c r="AJ67" s="5454"/>
      <c r="AK67" s="6446"/>
      <c r="AL67" s="2277" t="str">
        <f t="shared" si="15"/>
        <v/>
      </c>
      <c r="AM67" s="29"/>
      <c r="AN67" s="29"/>
      <c r="AO67" s="777" t="str">
        <f t="shared" si="17"/>
        <v>Conjuros</v>
      </c>
      <c r="AP67" s="6491"/>
      <c r="AQ67" s="6491"/>
      <c r="AR67" s="6330"/>
      <c r="AS67" s="6330"/>
      <c r="AT67" s="6330"/>
      <c r="AU67" s="6330"/>
      <c r="AV67" s="2042"/>
      <c r="AW67" s="2045">
        <f>IF(AR67="",0,AV67*VLOOKUP(AR67,'Tablas Magia'!$D$6:$Z$779,11,FALSE)/2)</f>
        <v>0</v>
      </c>
      <c r="AX67" s="685"/>
      <c r="AY67" s="529"/>
      <c r="AZ67" s="21"/>
      <c r="BA67" s="21"/>
      <c r="BB67" s="21"/>
      <c r="BC67" s="21"/>
      <c r="BD67" s="21"/>
      <c r="BE67" s="21"/>
      <c r="BF67" s="21"/>
      <c r="BG67" s="21"/>
      <c r="BH67" s="21"/>
      <c r="BI67" s="21"/>
    </row>
    <row r="68" spans="1:61" ht="12" customHeight="1">
      <c r="A68" s="29"/>
      <c r="B68" s="443"/>
      <c r="C68" s="4068"/>
      <c r="D68" s="2041"/>
      <c r="E68" s="2041"/>
      <c r="F68" s="2041"/>
      <c r="G68" s="2041"/>
      <c r="H68" s="4069"/>
      <c r="J68" s="6505"/>
      <c r="K68" s="6503"/>
      <c r="L68" s="6503"/>
      <c r="M68" s="6503"/>
      <c r="N68" s="6503"/>
      <c r="O68" s="6503"/>
      <c r="P68" s="6503"/>
      <c r="Q68" s="6504"/>
      <c r="S68" s="532"/>
      <c r="T68" s="442"/>
      <c r="U68" s="29"/>
      <c r="V68" s="623"/>
      <c r="W68" s="6433" t="str">
        <f>IF(SUM(Tablas!$P$1265:$S$1307)=0,"",IF(Tablas!A16&gt;MAX(Tablas!$P$1265:$P$1307),"",VLOOKUP(Tablas!A16,Tablas!$P$1265:$T$1307,2,FALSE)))</f>
        <v/>
      </c>
      <c r="X68" s="5431"/>
      <c r="Y68" s="5431"/>
      <c r="Z68" s="5431"/>
      <c r="AA68" s="5432"/>
      <c r="AB68" s="6445" t="str">
        <f>IF(SUM(Tablas!$P$1265:$P$1307)=0,"",IF(Tablas!A16&gt;MAX(Tablas!$P$1265:$P$1307),"",VLOOKUP(Tablas!A16,Tablas!$P$1265:$T$1307,4,FALSE)))</f>
        <v/>
      </c>
      <c r="AC68" s="5454"/>
      <c r="AD68" s="5454"/>
      <c r="AE68" s="5454"/>
      <c r="AF68" s="5454"/>
      <c r="AG68" s="5454"/>
      <c r="AH68" s="5454"/>
      <c r="AI68" s="5454"/>
      <c r="AJ68" s="5454"/>
      <c r="AK68" s="6446"/>
      <c r="AL68" s="2277" t="str">
        <f t="shared" si="15"/>
        <v/>
      </c>
      <c r="AM68" s="29"/>
      <c r="AN68" s="29"/>
      <c r="AO68" s="777" t="str">
        <f t="shared" si="17"/>
        <v>Conjuros</v>
      </c>
      <c r="AP68" s="6492"/>
      <c r="AQ68" s="6492"/>
      <c r="AR68" s="5011"/>
      <c r="AS68" s="5011"/>
      <c r="AT68" s="5011"/>
      <c r="AU68" s="5011"/>
      <c r="AV68" s="2041"/>
      <c r="AW68" s="1327">
        <f>IF(AR68="",0,AV68*VLOOKUP(AR68,'Tablas Magia'!$D$6:$Z$779,11,FALSE)/2)</f>
        <v>0</v>
      </c>
      <c r="AX68" s="685"/>
      <c r="AY68" s="529"/>
      <c r="AZ68" s="21"/>
      <c r="BA68" s="21"/>
      <c r="BB68" s="21"/>
      <c r="BC68" s="21"/>
      <c r="BD68" s="21"/>
      <c r="BE68" s="21"/>
      <c r="BF68" s="21"/>
      <c r="BG68" s="21"/>
      <c r="BH68" s="21"/>
      <c r="BI68" s="21"/>
    </row>
    <row r="69" spans="1:61" ht="12" customHeight="1">
      <c r="A69" s="29"/>
      <c r="B69" s="443"/>
      <c r="C69" s="4070"/>
      <c r="D69" s="4067"/>
      <c r="E69" s="4067"/>
      <c r="F69" s="4067"/>
      <c r="G69" s="4067"/>
      <c r="H69" s="4071"/>
      <c r="J69" s="6505"/>
      <c r="K69" s="6503"/>
      <c r="L69" s="6503"/>
      <c r="M69" s="6503"/>
      <c r="N69" s="6503"/>
      <c r="O69" s="6503"/>
      <c r="P69" s="6503"/>
      <c r="Q69" s="6504"/>
      <c r="S69" s="532"/>
      <c r="T69" s="442"/>
      <c r="U69" s="29"/>
      <c r="V69" s="623"/>
      <c r="W69" s="6433" t="str">
        <f>IF(SUM(Tablas!$P$1265:$S$1307)=0,"",IF(Tablas!A17&gt;MAX(Tablas!$P$1265:$P$1307),"",VLOOKUP(Tablas!A17,Tablas!$P$1265:$T$1307,2,FALSE)))</f>
        <v/>
      </c>
      <c r="X69" s="5431"/>
      <c r="Y69" s="5431"/>
      <c r="Z69" s="5431"/>
      <c r="AA69" s="5432"/>
      <c r="AB69" s="6445" t="str">
        <f>IF(SUM(Tablas!$P$1265:$P$1307)=0,"",IF(Tablas!A17&gt;MAX(Tablas!$P$1265:$P$1307),"",VLOOKUP(Tablas!A17,Tablas!$P$1265:$T$1307,4,FALSE)))</f>
        <v/>
      </c>
      <c r="AC69" s="5454"/>
      <c r="AD69" s="5454"/>
      <c r="AE69" s="5454"/>
      <c r="AF69" s="5454"/>
      <c r="AG69" s="5454"/>
      <c r="AH69" s="5454"/>
      <c r="AI69" s="5454"/>
      <c r="AJ69" s="5454"/>
      <c r="AK69" s="6446"/>
      <c r="AL69" s="2277" t="str">
        <f t="shared" si="15"/>
        <v/>
      </c>
      <c r="AM69" s="29"/>
      <c r="AN69" s="29"/>
      <c r="AO69" s="777" t="str">
        <f t="shared" si="17"/>
        <v>Conjuros</v>
      </c>
      <c r="AP69" s="6491"/>
      <c r="AQ69" s="6491"/>
      <c r="AR69" s="6330"/>
      <c r="AS69" s="6330"/>
      <c r="AT69" s="6330"/>
      <c r="AU69" s="6330"/>
      <c r="AV69" s="2042"/>
      <c r="AW69" s="2045">
        <f>IF(AR69="",0,AV69*VLOOKUP(AR69,'Tablas Magia'!$D$6:$Z$779,11,FALSE)/2)</f>
        <v>0</v>
      </c>
      <c r="AX69" s="685"/>
      <c r="AY69" s="529"/>
      <c r="AZ69" s="21"/>
      <c r="BA69" s="21"/>
      <c r="BB69" s="21"/>
      <c r="BC69" s="21"/>
      <c r="BD69" s="21"/>
      <c r="BE69" s="21"/>
      <c r="BF69" s="21"/>
      <c r="BG69" s="21"/>
      <c r="BH69" s="21"/>
      <c r="BI69" s="21"/>
    </row>
    <row r="70" spans="1:61" ht="12" customHeight="1">
      <c r="A70" s="29"/>
      <c r="B70" s="443"/>
      <c r="C70" s="4068"/>
      <c r="D70" s="2041"/>
      <c r="E70" s="2041"/>
      <c r="F70" s="2041"/>
      <c r="G70" s="2041"/>
      <c r="H70" s="4069"/>
      <c r="J70" s="6505"/>
      <c r="K70" s="6503"/>
      <c r="L70" s="6503"/>
      <c r="M70" s="6503"/>
      <c r="N70" s="6503"/>
      <c r="O70" s="6503"/>
      <c r="P70" s="6503"/>
      <c r="Q70" s="6504"/>
      <c r="S70" s="532"/>
      <c r="T70" s="442"/>
      <c r="U70" s="29"/>
      <c r="V70" s="623"/>
      <c r="W70" s="6433" t="str">
        <f>IF(SUM(Tablas!$P$1265:$S$1307)=0,"",IF(Tablas!A18&gt;MAX(Tablas!$P$1265:$P$1307),"",VLOOKUP(Tablas!A18,Tablas!$P$1265:$T$1307,2,FALSE)))</f>
        <v/>
      </c>
      <c r="X70" s="5431"/>
      <c r="Y70" s="5431"/>
      <c r="Z70" s="5431"/>
      <c r="AA70" s="5432"/>
      <c r="AB70" s="6445" t="str">
        <f>IF(SUM(Tablas!$P$1265:$P$1307)=0,"",IF(Tablas!A18&gt;MAX(Tablas!$P$1265:$P$1307),"",VLOOKUP(Tablas!A18,Tablas!$P$1265:$T$1307,4,FALSE)))</f>
        <v/>
      </c>
      <c r="AC70" s="5454"/>
      <c r="AD70" s="5454"/>
      <c r="AE70" s="5454"/>
      <c r="AF70" s="5454"/>
      <c r="AG70" s="5454"/>
      <c r="AH70" s="5454"/>
      <c r="AI70" s="5454"/>
      <c r="AJ70" s="5454"/>
      <c r="AK70" s="6446"/>
      <c r="AL70" s="2277" t="str">
        <f t="shared" si="15"/>
        <v/>
      </c>
      <c r="AM70" s="29"/>
      <c r="AN70" s="29"/>
      <c r="AO70" s="777" t="str">
        <f t="shared" si="17"/>
        <v>Conjuros</v>
      </c>
      <c r="AP70" s="6492"/>
      <c r="AQ70" s="6492"/>
      <c r="AR70" s="5011"/>
      <c r="AS70" s="5011"/>
      <c r="AT70" s="5011"/>
      <c r="AU70" s="5011"/>
      <c r="AV70" s="2041"/>
      <c r="AW70" s="1327">
        <f>IF(AR70="",0,AV70*VLOOKUP(AR70,'Tablas Magia'!$D$6:$Z$779,11,FALSE)/2)</f>
        <v>0</v>
      </c>
      <c r="AX70" s="685"/>
      <c r="AY70" s="529"/>
      <c r="AZ70" s="21"/>
      <c r="BA70" s="21"/>
      <c r="BB70" s="21"/>
      <c r="BC70" s="21"/>
      <c r="BD70" s="21"/>
      <c r="BE70" s="21"/>
      <c r="BF70" s="21"/>
      <c r="BG70" s="21"/>
      <c r="BH70" s="21"/>
      <c r="BI70" s="21"/>
    </row>
    <row r="71" spans="1:61" ht="12" customHeight="1">
      <c r="A71" s="29"/>
      <c r="B71" s="443"/>
      <c r="C71" s="4070"/>
      <c r="D71" s="4067"/>
      <c r="E71" s="4067"/>
      <c r="F71" s="4067"/>
      <c r="G71" s="4067"/>
      <c r="H71" s="4071"/>
      <c r="J71" s="6505"/>
      <c r="K71" s="6503"/>
      <c r="L71" s="6503"/>
      <c r="M71" s="6503"/>
      <c r="N71" s="6503"/>
      <c r="O71" s="6503"/>
      <c r="P71" s="6503"/>
      <c r="Q71" s="6504"/>
      <c r="S71" s="532"/>
      <c r="T71" s="442"/>
      <c r="U71" s="29"/>
      <c r="V71" s="623"/>
      <c r="W71" s="6433" t="str">
        <f>IF(SUM(Tablas!$P$1265:$S$1307)=0,"",IF(Tablas!A19&gt;MAX(Tablas!$P$1265:$P$1307),"",VLOOKUP(Tablas!A19,Tablas!$P$1265:$T$1307,2,FALSE)))</f>
        <v/>
      </c>
      <c r="X71" s="5431"/>
      <c r="Y71" s="5431"/>
      <c r="Z71" s="5431"/>
      <c r="AA71" s="5432"/>
      <c r="AB71" s="6445" t="str">
        <f>IF(SUM(Tablas!$P$1265:$P$1307)=0,"",IF(Tablas!A19&gt;MAX(Tablas!$P$1265:$P$1307),"",VLOOKUP(Tablas!A19,Tablas!$P$1265:$T$1307,4,FALSE)))</f>
        <v/>
      </c>
      <c r="AC71" s="5454"/>
      <c r="AD71" s="5454"/>
      <c r="AE71" s="5454"/>
      <c r="AF71" s="5454"/>
      <c r="AG71" s="5454"/>
      <c r="AH71" s="5454"/>
      <c r="AI71" s="5454"/>
      <c r="AJ71" s="5454"/>
      <c r="AK71" s="6446"/>
      <c r="AL71" s="2277" t="str">
        <f t="shared" si="15"/>
        <v/>
      </c>
      <c r="AM71" s="29"/>
      <c r="AN71" s="29"/>
      <c r="AO71" s="777" t="str">
        <f t="shared" si="17"/>
        <v>Conjuros</v>
      </c>
      <c r="AP71" s="6491"/>
      <c r="AQ71" s="6491"/>
      <c r="AR71" s="6330"/>
      <c r="AS71" s="6330"/>
      <c r="AT71" s="6330"/>
      <c r="AU71" s="6330"/>
      <c r="AV71" s="2042"/>
      <c r="AW71" s="2045">
        <f>IF(AR71="",0,AV71*VLOOKUP(AR71,'Tablas Magia'!$D$6:$Z$779,11,FALSE)/2)</f>
        <v>0</v>
      </c>
      <c r="AX71" s="685"/>
      <c r="AY71" s="529"/>
      <c r="AZ71" s="21"/>
      <c r="BA71" s="21"/>
      <c r="BB71" s="21"/>
      <c r="BC71" s="21"/>
      <c r="BD71" s="21"/>
      <c r="BE71" s="21"/>
      <c r="BF71" s="21"/>
      <c r="BG71" s="21"/>
      <c r="BH71" s="21"/>
      <c r="BI71" s="21"/>
    </row>
    <row r="72" spans="1:61" ht="12" customHeight="1">
      <c r="A72" s="29"/>
      <c r="B72" s="443"/>
      <c r="C72" s="4068"/>
      <c r="D72" s="2041"/>
      <c r="E72" s="2041"/>
      <c r="F72" s="2041"/>
      <c r="G72" s="2041"/>
      <c r="H72" s="4069"/>
      <c r="J72" s="6505"/>
      <c r="K72" s="6503"/>
      <c r="L72" s="6503"/>
      <c r="M72" s="6503"/>
      <c r="N72" s="6503"/>
      <c r="O72" s="6503"/>
      <c r="P72" s="6503"/>
      <c r="Q72" s="6504"/>
      <c r="S72" s="532"/>
      <c r="T72" s="442"/>
      <c r="U72" s="29"/>
      <c r="V72" s="623"/>
      <c r="W72" s="6433" t="str">
        <f>IF(SUM(Tablas!$P$1265:$S$1307)=0,"",IF(Tablas!A20&gt;MAX(Tablas!$P$1265:$P$1307),"",VLOOKUP(Tablas!A20,Tablas!$P$1265:$T$1307,2,FALSE)))</f>
        <v/>
      </c>
      <c r="X72" s="5431"/>
      <c r="Y72" s="5431"/>
      <c r="Z72" s="5431"/>
      <c r="AA72" s="5432"/>
      <c r="AB72" s="6445" t="str">
        <f>IF(SUM(Tablas!$P$1265:$P$1307)=0,"",IF(Tablas!A20&gt;MAX(Tablas!$P$1265:$P$1307),"",VLOOKUP(Tablas!A20,Tablas!$P$1265:$T$1307,4,FALSE)))</f>
        <v/>
      </c>
      <c r="AC72" s="5454"/>
      <c r="AD72" s="5454"/>
      <c r="AE72" s="5454"/>
      <c r="AF72" s="5454"/>
      <c r="AG72" s="5454"/>
      <c r="AH72" s="5454"/>
      <c r="AI72" s="5454"/>
      <c r="AJ72" s="5454"/>
      <c r="AK72" s="6446"/>
      <c r="AL72" s="2277" t="str">
        <f t="shared" si="15"/>
        <v/>
      </c>
      <c r="AM72" s="29"/>
      <c r="AN72" s="29"/>
      <c r="AO72" s="777" t="str">
        <f t="shared" si="17"/>
        <v>Conjuros</v>
      </c>
      <c r="AP72" s="6492"/>
      <c r="AQ72" s="6492"/>
      <c r="AR72" s="5011"/>
      <c r="AS72" s="5011"/>
      <c r="AT72" s="5011"/>
      <c r="AU72" s="5011"/>
      <c r="AV72" s="2041"/>
      <c r="AW72" s="1327">
        <f>IF(AR72="",0,AV72*VLOOKUP(AR72,'Tablas Magia'!$D$6:$Z$779,11,FALSE)/2)</f>
        <v>0</v>
      </c>
      <c r="AX72" s="685"/>
      <c r="AY72" s="529"/>
      <c r="AZ72" s="21"/>
      <c r="BA72" s="21"/>
      <c r="BB72" s="21"/>
      <c r="BC72" s="21"/>
      <c r="BD72" s="21"/>
      <c r="BE72" s="21"/>
      <c r="BF72" s="21"/>
      <c r="BG72" s="21"/>
      <c r="BH72" s="21"/>
      <c r="BI72" s="21"/>
    </row>
    <row r="73" spans="1:61" ht="12" customHeight="1" thickBot="1">
      <c r="A73" s="29"/>
      <c r="B73" s="443"/>
      <c r="C73" s="4070"/>
      <c r="D73" s="4067"/>
      <c r="E73" s="4067"/>
      <c r="F73" s="4067"/>
      <c r="G73" s="4067"/>
      <c r="H73" s="4071"/>
      <c r="J73" s="6505"/>
      <c r="K73" s="6503"/>
      <c r="L73" s="6503"/>
      <c r="M73" s="6503"/>
      <c r="N73" s="6503"/>
      <c r="O73" s="6503"/>
      <c r="P73" s="6503"/>
      <c r="Q73" s="6504"/>
      <c r="S73" s="532"/>
      <c r="T73" s="442"/>
      <c r="U73" s="29"/>
      <c r="V73" s="623"/>
      <c r="W73" s="6452" t="str">
        <f>IF(W72&lt;&gt;"","Más (Ver Metamagia)","")</f>
        <v/>
      </c>
      <c r="X73" s="6453"/>
      <c r="Y73" s="6453"/>
      <c r="Z73" s="6453"/>
      <c r="AA73" s="6454"/>
      <c r="AB73" s="6455" t="str">
        <f>IF(SUM(Tablas!$P$1265:$P$1307)=0,"",IF(Tablas!A21&gt;MAX(Tablas!$P$1265:$P$1307),"",VLOOKUP(Tablas!A21,Tablas!$P$1265:$T$1307,4,FALSE)))</f>
        <v/>
      </c>
      <c r="AC73" s="6456"/>
      <c r="AD73" s="6456"/>
      <c r="AE73" s="6456"/>
      <c r="AF73" s="6456"/>
      <c r="AG73" s="6456"/>
      <c r="AH73" s="6456"/>
      <c r="AI73" s="6456"/>
      <c r="AJ73" s="6456"/>
      <c r="AK73" s="6457"/>
      <c r="AL73" s="2277" t="str">
        <f t="shared" si="15"/>
        <v/>
      </c>
      <c r="AM73" s="29"/>
      <c r="AN73" s="29"/>
      <c r="AO73" s="678"/>
      <c r="AP73" s="6491"/>
      <c r="AQ73" s="6491"/>
      <c r="AR73" s="6330"/>
      <c r="AS73" s="6330"/>
      <c r="AT73" s="6330"/>
      <c r="AU73" s="6330"/>
      <c r="AV73" s="2042"/>
      <c r="AW73" s="2045">
        <f>IF(AR73="",0,AV73*VLOOKUP(AR73,'Tablas Magia'!$D$6:$Z$779,11,FALSE)/2)</f>
        <v>0</v>
      </c>
      <c r="AX73" s="685"/>
      <c r="AY73" s="529"/>
      <c r="AZ73" s="21"/>
      <c r="BA73" s="21"/>
      <c r="BB73" s="21"/>
      <c r="BC73" s="21"/>
      <c r="BD73" s="21"/>
      <c r="BE73" s="21"/>
      <c r="BF73" s="21"/>
      <c r="BG73" s="21"/>
      <c r="BH73" s="21"/>
      <c r="BI73" s="21"/>
    </row>
    <row r="74" spans="1:61" ht="12" customHeight="1" thickBot="1">
      <c r="A74" s="29"/>
      <c r="B74" s="443"/>
      <c r="C74" s="4068"/>
      <c r="D74" s="2041"/>
      <c r="E74" s="2041"/>
      <c r="F74" s="2041"/>
      <c r="G74" s="2041"/>
      <c r="H74" s="4069"/>
      <c r="J74" s="6505"/>
      <c r="K74" s="6503"/>
      <c r="L74" s="6503"/>
      <c r="M74" s="6503"/>
      <c r="N74" s="6503"/>
      <c r="O74" s="6503"/>
      <c r="P74" s="6503"/>
      <c r="Q74" s="6504"/>
      <c r="S74" s="532"/>
      <c r="T74" s="442"/>
      <c r="U74" s="29"/>
      <c r="V74" s="623"/>
      <c r="AL74" s="2277">
        <f t="shared" ref="AL74" si="18">IF(ISNUMBER(FIND("Conjuro especializado",W74)),W74&amp;":"&amp;SUBSTITUTE(AB74,LEFT(AB74,FIND(":",AB74)),""),W74)</f>
        <v>0</v>
      </c>
      <c r="AM74" s="29"/>
      <c r="AN74" s="29"/>
      <c r="AO74" s="678"/>
      <c r="AP74" s="6492"/>
      <c r="AQ74" s="6492"/>
      <c r="AR74" s="5011"/>
      <c r="AS74" s="5011"/>
      <c r="AT74" s="5011"/>
      <c r="AU74" s="5011"/>
      <c r="AV74" s="2041"/>
      <c r="AW74" s="1327">
        <f>IF(AR74="",0,AV74*VLOOKUP(AR74,'Tablas Magia'!$D$6:$Z$779,11,FALSE)/2)</f>
        <v>0</v>
      </c>
      <c r="AX74" s="685"/>
      <c r="AY74" s="529"/>
      <c r="AZ74" s="21"/>
      <c r="BA74" s="21"/>
      <c r="BB74" s="21"/>
      <c r="BC74" s="21"/>
      <c r="BD74" s="21"/>
      <c r="BE74" s="21"/>
      <c r="BF74" s="21"/>
      <c r="BG74" s="21"/>
      <c r="BH74" s="21"/>
      <c r="BI74" s="21"/>
    </row>
    <row r="75" spans="1:61" ht="12" customHeight="1" thickBot="1">
      <c r="A75" s="29"/>
      <c r="B75" s="443"/>
      <c r="C75" s="4070"/>
      <c r="D75" s="4067"/>
      <c r="E75" s="4067"/>
      <c r="F75" s="4067"/>
      <c r="G75" s="4067"/>
      <c r="H75" s="4071"/>
      <c r="J75" s="6505"/>
      <c r="K75" s="6503"/>
      <c r="L75" s="6503"/>
      <c r="M75" s="6503"/>
      <c r="N75" s="6503"/>
      <c r="O75" s="6503"/>
      <c r="P75" s="6503"/>
      <c r="Q75" s="6504"/>
      <c r="S75" s="532"/>
      <c r="T75" s="442"/>
      <c r="U75" s="29"/>
      <c r="V75" s="623"/>
      <c r="AA75" s="4390" t="s">
        <v>1574</v>
      </c>
      <c r="AB75" s="6359"/>
      <c r="AC75" s="6359"/>
      <c r="AD75" s="6447" t="s">
        <v>1371</v>
      </c>
      <c r="AE75" s="6447"/>
      <c r="AF75" s="6447"/>
      <c r="AG75" s="6447"/>
      <c r="AH75" s="6448"/>
      <c r="AL75" s="2277" t="e">
        <f>IF(ISNUMBER(FIND("Conjuro especializado",#REF!)),#REF!&amp;":"&amp;SUBSTITUTE(#REF!,LEFT(#REF!,FIND(":",#REF!)),""),#REF!)</f>
        <v>#REF!</v>
      </c>
      <c r="AM75" s="29"/>
      <c r="AN75" s="29"/>
      <c r="AO75" s="678"/>
      <c r="AX75" s="685"/>
      <c r="AY75" s="529"/>
      <c r="AZ75" s="3302"/>
      <c r="BA75" s="21"/>
      <c r="BB75" s="21"/>
      <c r="BC75" s="21"/>
      <c r="BD75" s="21"/>
      <c r="BE75" s="21"/>
      <c r="BF75" s="21"/>
      <c r="BG75" s="21"/>
      <c r="BH75" s="21"/>
      <c r="BI75" s="21"/>
    </row>
    <row r="76" spans="1:61" ht="12" customHeight="1">
      <c r="A76" s="29"/>
      <c r="B76" s="443"/>
      <c r="C76" s="4068"/>
      <c r="D76" s="2041"/>
      <c r="E76" s="2041"/>
      <c r="F76" s="2041"/>
      <c r="G76" s="2041"/>
      <c r="H76" s="4069"/>
      <c r="J76" s="6505"/>
      <c r="K76" s="6503"/>
      <c r="L76" s="6503"/>
      <c r="M76" s="6503"/>
      <c r="N76" s="6503"/>
      <c r="O76" s="6503"/>
      <c r="P76" s="6503"/>
      <c r="Q76" s="6504"/>
      <c r="S76" s="532"/>
      <c r="T76" s="442"/>
      <c r="U76" s="29"/>
      <c r="V76" s="623"/>
      <c r="AA76" s="1930">
        <v>20</v>
      </c>
      <c r="AB76" s="6442" t="s">
        <v>1577</v>
      </c>
      <c r="AC76" s="6442"/>
      <c r="AD76" s="6443" t="s">
        <v>1578</v>
      </c>
      <c r="AE76" s="6443"/>
      <c r="AF76" s="6443"/>
      <c r="AG76" s="6443"/>
      <c r="AH76" s="6444"/>
      <c r="AL76" s="2277" t="e">
        <f>IF(ISNUMBER(FIND("Conjuro especializado",#REF!)),#REF!&amp;":"&amp;SUBSTITUTE(#REF!,LEFT(#REF!,FIND(":",#REF!)),""),#REF!)</f>
        <v>#REF!</v>
      </c>
      <c r="AM76" s="29"/>
      <c r="AN76" s="29"/>
      <c r="AO76" s="678"/>
      <c r="AX76" s="685"/>
      <c r="AY76" s="529"/>
      <c r="AZ76" s="21"/>
      <c r="BA76" s="21"/>
      <c r="BB76" s="21"/>
      <c r="BC76" s="21"/>
      <c r="BD76" s="21"/>
      <c r="BE76" s="21"/>
      <c r="BF76" s="21"/>
      <c r="BG76" s="21"/>
      <c r="BH76" s="21"/>
      <c r="BI76" s="21"/>
    </row>
    <row r="77" spans="1:61" ht="12" customHeight="1">
      <c r="A77" s="29"/>
      <c r="B77" s="443"/>
      <c r="C77" s="4070"/>
      <c r="D77" s="4067"/>
      <c r="E77" s="4067"/>
      <c r="F77" s="4067"/>
      <c r="G77" s="4067"/>
      <c r="H77" s="4071"/>
      <c r="J77" s="6505"/>
      <c r="K77" s="6503"/>
      <c r="L77" s="6503"/>
      <c r="M77" s="6503"/>
      <c r="N77" s="6503"/>
      <c r="O77" s="6503"/>
      <c r="P77" s="6503"/>
      <c r="Q77" s="6504"/>
      <c r="S77" s="532"/>
      <c r="T77" s="442"/>
      <c r="U77" s="29"/>
      <c r="V77" s="623"/>
      <c r="AA77" s="1930">
        <v>40</v>
      </c>
      <c r="AB77" s="6442" t="s">
        <v>1579</v>
      </c>
      <c r="AC77" s="6442"/>
      <c r="AD77" s="6440" t="s">
        <v>1580</v>
      </c>
      <c r="AE77" s="6440"/>
      <c r="AF77" s="6440"/>
      <c r="AG77" s="6440"/>
      <c r="AH77" s="6441"/>
      <c r="AL77" s="2277" t="e">
        <f>IF(ISNUMBER(FIND("Conjuro especializado",#REF!)),#REF!&amp;":"&amp;SUBSTITUTE(#REF!,LEFT(#REF!,FIND(":",#REF!)),""),#REF!)</f>
        <v>#REF!</v>
      </c>
      <c r="AM77" s="29"/>
      <c r="AN77" s="29"/>
      <c r="AO77" s="678"/>
      <c r="AX77" s="685"/>
      <c r="AY77" s="529"/>
      <c r="AZ77" s="21"/>
      <c r="BA77" s="21"/>
      <c r="BB77" s="21"/>
      <c r="BC77" s="21"/>
      <c r="BD77" s="21"/>
      <c r="BE77" s="21"/>
      <c r="BF77" s="21"/>
      <c r="BG77" s="21"/>
      <c r="BH77" s="21"/>
      <c r="BI77" s="21"/>
    </row>
    <row r="78" spans="1:61" ht="12" customHeight="1">
      <c r="A78" s="29"/>
      <c r="B78" s="443"/>
      <c r="C78" s="4068"/>
      <c r="D78" s="2041"/>
      <c r="E78" s="2041"/>
      <c r="F78" s="2041"/>
      <c r="G78" s="2041"/>
      <c r="H78" s="4069"/>
      <c r="J78" s="6505"/>
      <c r="K78" s="6503"/>
      <c r="L78" s="6503"/>
      <c r="M78" s="6503"/>
      <c r="N78" s="6503"/>
      <c r="O78" s="6503"/>
      <c r="P78" s="6503"/>
      <c r="Q78" s="6504"/>
      <c r="S78" s="532"/>
      <c r="T78" s="442"/>
      <c r="U78" s="29"/>
      <c r="V78" s="623"/>
      <c r="AA78" s="1930">
        <v>80</v>
      </c>
      <c r="AB78" s="6442" t="s">
        <v>1582</v>
      </c>
      <c r="AC78" s="6442"/>
      <c r="AD78" s="6440" t="s">
        <v>1583</v>
      </c>
      <c r="AE78" s="6440"/>
      <c r="AF78" s="6440"/>
      <c r="AG78" s="6440"/>
      <c r="AH78" s="6441"/>
      <c r="AL78" s="2277" t="e">
        <f>IF(ISNUMBER(FIND("Conjuro especializado",#REF!)),#REF!&amp;":"&amp;SUBSTITUTE(#REF!,LEFT(#REF!,FIND(":",#REF!)),""),#REF!)</f>
        <v>#REF!</v>
      </c>
      <c r="AM78" s="29"/>
      <c r="AN78" s="29"/>
      <c r="AO78" s="678"/>
      <c r="AX78" s="685"/>
      <c r="AY78" s="529"/>
      <c r="AZ78" s="21"/>
      <c r="BA78" s="21"/>
      <c r="BB78" s="21"/>
      <c r="BC78" s="21"/>
      <c r="BD78" s="21"/>
      <c r="BE78" s="21"/>
      <c r="BF78" s="21"/>
      <c r="BG78" s="21"/>
      <c r="BH78" s="21"/>
      <c r="BI78" s="21"/>
    </row>
    <row r="79" spans="1:61" ht="12" customHeight="1" thickBot="1">
      <c r="A79" s="29"/>
      <c r="B79" s="443"/>
      <c r="C79" s="4070"/>
      <c r="D79" s="4067"/>
      <c r="E79" s="4067"/>
      <c r="F79" s="4067"/>
      <c r="G79" s="4067"/>
      <c r="H79" s="4071"/>
      <c r="J79" s="6505"/>
      <c r="K79" s="6503"/>
      <c r="L79" s="6503"/>
      <c r="M79" s="6503"/>
      <c r="N79" s="6503"/>
      <c r="O79" s="6503"/>
      <c r="P79" s="6503"/>
      <c r="Q79" s="6504"/>
      <c r="S79" s="532"/>
      <c r="T79" s="442"/>
      <c r="U79" s="29"/>
      <c r="V79" s="623"/>
      <c r="AA79" s="1930">
        <v>120</v>
      </c>
      <c r="AB79" s="6442" t="s">
        <v>1585</v>
      </c>
      <c r="AC79" s="6442"/>
      <c r="AD79" s="6440" t="str">
        <f>IF(Metamagia!$R$54+Metamagia!$U$54+Metamagia!$AA$54+Metamagia!$AA$59+Metamagia!$AA$64+Metamagia!$AD$48+Metamagia!$AG$46&gt;0,"Blancos hasta 100m. Zeón 10","Blancos hasta 100m")</f>
        <v>Blancos hasta 100m</v>
      </c>
      <c r="AE79" s="6440"/>
      <c r="AF79" s="6440"/>
      <c r="AG79" s="6440"/>
      <c r="AH79" s="6441"/>
      <c r="AL79" s="2277" t="e">
        <f>IF(ISNUMBER(FIND("Conjuro especializado",#REF!)),#REF!&amp;":"&amp;SUBSTITUTE(#REF!,LEFT(#REF!,FIND(":",#REF!)),""),#REF!)</f>
        <v>#REF!</v>
      </c>
      <c r="AM79" s="29"/>
      <c r="AN79" s="29"/>
      <c r="AO79" s="679"/>
      <c r="AP79" s="528"/>
      <c r="AQ79" s="528"/>
      <c r="AR79" s="528"/>
      <c r="AS79" s="528"/>
      <c r="AT79" s="528"/>
      <c r="AU79" s="528"/>
      <c r="AV79" s="528"/>
      <c r="AW79" s="528"/>
      <c r="AX79" s="688"/>
      <c r="AY79" s="529"/>
      <c r="AZ79" s="21"/>
      <c r="BA79" s="21"/>
      <c r="BB79" s="21"/>
      <c r="BC79" s="21"/>
      <c r="BD79" s="21"/>
      <c r="BE79" s="21"/>
      <c r="BF79" s="21"/>
      <c r="BG79" s="21"/>
      <c r="BH79" s="21"/>
      <c r="BI79" s="21"/>
    </row>
    <row r="80" spans="1:61" ht="12" customHeight="1">
      <c r="A80" s="29"/>
      <c r="B80" s="443"/>
      <c r="C80" s="4068"/>
      <c r="D80" s="2041"/>
      <c r="E80" s="2041"/>
      <c r="F80" s="2041"/>
      <c r="G80" s="2041"/>
      <c r="H80" s="4069"/>
      <c r="J80" s="6505"/>
      <c r="K80" s="6503"/>
      <c r="L80" s="6503"/>
      <c r="M80" s="6503"/>
      <c r="N80" s="6503"/>
      <c r="O80" s="6503"/>
      <c r="P80" s="6503"/>
      <c r="Q80" s="6504"/>
      <c r="S80" s="532"/>
      <c r="T80" s="442"/>
      <c r="U80" s="29"/>
      <c r="V80" s="623"/>
      <c r="AA80" s="1930">
        <v>140</v>
      </c>
      <c r="AB80" s="6442" t="s">
        <v>1587</v>
      </c>
      <c r="AC80" s="6442"/>
      <c r="AD80" s="6440" t="str">
        <f>IF(Metamagia!$R$54+Metamagia!$U$54+Metamagia!$AA$54+Metamagia!$AA$59+Metamagia!$AA$64+Metamagia!$AD$48+Metamagia!$AG$46&gt;1,"Blancos hasta 250m. Zeón 20","Blancos hasta 250m")</f>
        <v>Blancos hasta 250m</v>
      </c>
      <c r="AE80" s="6440"/>
      <c r="AF80" s="6440"/>
      <c r="AG80" s="6440"/>
      <c r="AH80" s="6441"/>
      <c r="AL80" s="2277" t="e">
        <f>IF(ISNUMBER(FIND("Conjuro especializado",#REF!)),#REF!&amp;":"&amp;SUBSTITUTE(#REF!,LEFT(#REF!,FIND(":",#REF!)),""),#REF!)</f>
        <v>#REF!</v>
      </c>
      <c r="AM80" s="29"/>
      <c r="AN80" s="29"/>
      <c r="AO80" s="675"/>
      <c r="AP80" s="29"/>
      <c r="AQ80" s="29"/>
      <c r="AR80" s="29"/>
      <c r="AS80" s="29"/>
      <c r="AT80" s="29"/>
      <c r="AU80" s="29"/>
      <c r="AV80" s="29"/>
      <c r="AW80" s="29"/>
      <c r="AX80" s="529"/>
      <c r="AY80" s="529"/>
      <c r="AZ80" s="21"/>
      <c r="BA80" s="21"/>
      <c r="BB80" s="21"/>
      <c r="BC80" s="21"/>
      <c r="BD80" s="21"/>
      <c r="BE80" s="21"/>
      <c r="BF80" s="21"/>
      <c r="BG80" s="21"/>
      <c r="BH80" s="21"/>
      <c r="BI80" s="21"/>
    </row>
    <row r="81" spans="1:39" ht="12" customHeight="1">
      <c r="A81" s="29"/>
      <c r="B81" s="443"/>
      <c r="C81" s="4070"/>
      <c r="D81" s="4067"/>
      <c r="E81" s="4067"/>
      <c r="F81" s="4067"/>
      <c r="G81" s="4067"/>
      <c r="H81" s="4071"/>
      <c r="J81" s="6505"/>
      <c r="K81" s="6503"/>
      <c r="L81" s="6503"/>
      <c r="M81" s="6503"/>
      <c r="N81" s="6503"/>
      <c r="O81" s="6503"/>
      <c r="P81" s="6503"/>
      <c r="Q81" s="6504"/>
      <c r="S81" s="532"/>
      <c r="T81" s="442"/>
      <c r="U81" s="29"/>
      <c r="V81" s="623"/>
      <c r="AA81" s="1930">
        <v>180</v>
      </c>
      <c r="AB81" s="6442" t="s">
        <v>1589</v>
      </c>
      <c r="AC81" s="6442"/>
      <c r="AD81" s="6440" t="str">
        <f>IF(Metamagia!$R$54+Metamagia!$U$54+Metamagia!$AA$54+Metamagia!$AA$59+Metamagia!$AA$64+Metamagia!$AD$48+Metamagia!$AG$46&gt;2,"Blancos hasta 500m. Zeón 40","Blancos hasta 500m")</f>
        <v>Blancos hasta 500m</v>
      </c>
      <c r="AE81" s="6440"/>
      <c r="AF81" s="6440"/>
      <c r="AG81" s="6440"/>
      <c r="AH81" s="6441"/>
      <c r="AL81" s="2277" t="e">
        <f>IF(ISNUMBER(FIND("Conjuro especializado",#REF!)),#REF!&amp;":"&amp;SUBSTITUTE(#REF!,LEFT(#REF!,FIND(":",#REF!)),""),#REF!)</f>
        <v>#REF!</v>
      </c>
      <c r="AM81" s="29"/>
    </row>
    <row r="82" spans="1:39" ht="12" customHeight="1">
      <c r="A82" s="29"/>
      <c r="B82" s="443"/>
      <c r="C82" s="4068"/>
      <c r="D82" s="2041"/>
      <c r="E82" s="2041"/>
      <c r="F82" s="2041"/>
      <c r="G82" s="2041"/>
      <c r="H82" s="4069"/>
      <c r="J82" s="6505"/>
      <c r="K82" s="6503"/>
      <c r="L82" s="6503"/>
      <c r="M82" s="6503"/>
      <c r="N82" s="6503"/>
      <c r="O82" s="6503"/>
      <c r="P82" s="6503"/>
      <c r="Q82" s="6504"/>
      <c r="S82" s="532"/>
      <c r="T82" s="442"/>
      <c r="U82" s="29"/>
      <c r="V82" s="623"/>
      <c r="AA82" s="1930">
        <v>240</v>
      </c>
      <c r="AB82" s="6442" t="s">
        <v>1591</v>
      </c>
      <c r="AC82" s="6442"/>
      <c r="AD82" s="6440" t="str">
        <f>IF(Metamagia!$R$54+Metamagia!$U$54+Metamagia!$AA$54+Metamagia!$AA$59+Metamagia!$AA$64+Metamagia!$AD$48+Metamagia!$AG$46&gt;3,"Hasta 1 km. Blanco localizado. Zeón 60","Hasta 1 km. Blanco localizado")</f>
        <v>Hasta 1 km. Blanco localizado</v>
      </c>
      <c r="AE82" s="6440"/>
      <c r="AF82" s="6440"/>
      <c r="AG82" s="6440"/>
      <c r="AH82" s="6441"/>
      <c r="AL82" s="2277" t="e">
        <f>IF(ISNUMBER(FIND("Conjuro especializado",#REF!)),#REF!&amp;":"&amp;SUBSTITUTE(#REF!,LEFT(#REF!,FIND(":",#REF!)),""),#REF!)</f>
        <v>#REF!</v>
      </c>
      <c r="AM82" s="29"/>
    </row>
    <row r="83" spans="1:39" ht="12" customHeight="1">
      <c r="A83" s="29"/>
      <c r="B83" s="443"/>
      <c r="C83" s="4070"/>
      <c r="D83" s="4067"/>
      <c r="E83" s="4067"/>
      <c r="F83" s="4067"/>
      <c r="G83" s="4067"/>
      <c r="H83" s="4071"/>
      <c r="J83" s="6505"/>
      <c r="K83" s="6503"/>
      <c r="L83" s="6503"/>
      <c r="M83" s="6503"/>
      <c r="N83" s="6503"/>
      <c r="O83" s="6503"/>
      <c r="P83" s="6503"/>
      <c r="Q83" s="6504"/>
      <c r="S83" s="532"/>
      <c r="T83" s="442"/>
      <c r="U83" s="29"/>
      <c r="V83" s="623"/>
      <c r="AA83" s="1930">
        <v>280</v>
      </c>
      <c r="AB83" s="6442" t="s">
        <v>1592</v>
      </c>
      <c r="AC83" s="6442"/>
      <c r="AD83" s="6440" t="str">
        <f>IF(Metamagia!$R$54+Metamagia!$U$54+Metamagia!$AA$54+Metamagia!$AA$59+Metamagia!$AA$64+Metamagia!$AD$48+Metamagia!$AG$46&gt;4,"Hasta 5 km. Blanco aprox. Zeón 80","Hasta 5 km. Blanco aproximado")</f>
        <v>Hasta 5 km. Blanco aproximado</v>
      </c>
      <c r="AE83" s="6440"/>
      <c r="AF83" s="6440"/>
      <c r="AG83" s="6440"/>
      <c r="AH83" s="6441"/>
      <c r="AL83" s="2277" t="e">
        <f>IF(ISNUMBER(FIND("Conjuro especializado",#REF!)),#REF!&amp;":"&amp;SUBSTITUTE(#REF!,LEFT(#REF!,FIND(":",#REF!)),""),#REF!)</f>
        <v>#REF!</v>
      </c>
      <c r="AM83" s="29"/>
    </row>
    <row r="84" spans="1:39" ht="12" customHeight="1">
      <c r="A84" s="29"/>
      <c r="B84" s="443"/>
      <c r="C84" s="4068"/>
      <c r="D84" s="2041"/>
      <c r="E84" s="2041"/>
      <c r="F84" s="2041"/>
      <c r="G84" s="2041"/>
      <c r="H84" s="4069"/>
      <c r="J84" s="6505"/>
      <c r="K84" s="6503"/>
      <c r="L84" s="6503"/>
      <c r="M84" s="6503"/>
      <c r="N84" s="6503"/>
      <c r="O84" s="6503"/>
      <c r="P84" s="6503"/>
      <c r="Q84" s="6504"/>
      <c r="S84" s="532"/>
      <c r="T84" s="442"/>
      <c r="U84" s="29"/>
      <c r="V84" s="623"/>
      <c r="AA84" s="1930">
        <v>320</v>
      </c>
      <c r="AB84" s="6442" t="s">
        <v>1594</v>
      </c>
      <c r="AC84" s="6442"/>
      <c r="AD84" s="6440" t="str">
        <f>IF(Metamagia!$R$54+Metamagia!$U$54+Metamagia!$AA$54+Metamagia!$AA$59+Metamagia!$AA$64+Metamagia!$AD$48+Metamagia!$AG$46&gt;5,"Zeón 100","-")</f>
        <v>-</v>
      </c>
      <c r="AE84" s="6440"/>
      <c r="AF84" s="6440"/>
      <c r="AG84" s="6440"/>
      <c r="AH84" s="6441"/>
      <c r="AL84" s="2277" t="e">
        <f>IF(ISNUMBER(FIND("Conjuro especializado",#REF!)),#REF!&amp;":"&amp;SUBSTITUTE(#REF!,LEFT(#REF!,FIND(":",#REF!)),""),#REF!)</f>
        <v>#REF!</v>
      </c>
      <c r="AM84" s="29"/>
    </row>
    <row r="85" spans="1:39" ht="12" customHeight="1" thickBot="1">
      <c r="A85" s="29"/>
      <c r="B85" s="443"/>
      <c r="C85" s="4070"/>
      <c r="D85" s="4067"/>
      <c r="E85" s="4067"/>
      <c r="F85" s="4067"/>
      <c r="G85" s="4067"/>
      <c r="H85" s="4071"/>
      <c r="J85" s="6505"/>
      <c r="K85" s="6503"/>
      <c r="L85" s="6503"/>
      <c r="M85" s="6503"/>
      <c r="N85" s="6503"/>
      <c r="O85" s="6503"/>
      <c r="P85" s="6503"/>
      <c r="Q85" s="6504"/>
      <c r="S85" s="532"/>
      <c r="T85" s="442"/>
      <c r="U85" s="29"/>
      <c r="V85" s="623"/>
      <c r="AA85" s="1931">
        <v>440</v>
      </c>
      <c r="AB85" s="6449" t="s">
        <v>1537</v>
      </c>
      <c r="AC85" s="6449"/>
      <c r="AD85" s="6450" t="str">
        <f>IF(Metamagia!$R$54+Metamagia!$U$54+Metamagia!$AA$54+Metamagia!$AA$59+Metamagia!$AA$64+Metamagia!$AD$48+Metamagia!$AG$46&gt;6,"Zeón 200","-")</f>
        <v>-</v>
      </c>
      <c r="AE85" s="6450"/>
      <c r="AF85" s="6450"/>
      <c r="AG85" s="6450"/>
      <c r="AH85" s="6451"/>
      <c r="AL85" s="2277" t="e">
        <f>IF(ISNUMBER(FIND("Conjuro especializado",#REF!)),#REF!&amp;":"&amp;SUBSTITUTE(#REF!,LEFT(#REF!,FIND(":",#REF!)),""),#REF!)</f>
        <v>#REF!</v>
      </c>
      <c r="AM85" s="29"/>
    </row>
    <row r="86" spans="1:39" ht="12" customHeight="1">
      <c r="A86" s="29"/>
      <c r="B86" s="443"/>
      <c r="C86" s="6494"/>
      <c r="D86" s="6495"/>
      <c r="E86" s="6495"/>
      <c r="F86" s="6495"/>
      <c r="G86" s="6496"/>
      <c r="H86" s="6500"/>
      <c r="J86" s="6505"/>
      <c r="K86" s="6503"/>
      <c r="L86" s="6503"/>
      <c r="M86" s="6503"/>
      <c r="N86" s="6503"/>
      <c r="O86" s="6503"/>
      <c r="P86" s="6503"/>
      <c r="Q86" s="6504"/>
      <c r="S86" s="532"/>
      <c r="T86" s="442"/>
      <c r="U86" s="29"/>
      <c r="V86" s="623"/>
      <c r="AL86" s="2277" t="e">
        <f>IF(ISNUMBER(FIND("Conjuro especializado",#REF!)),#REF!&amp;":"&amp;SUBSTITUTE(#REF!,LEFT(#REF!,FIND(":",#REF!)),""),#REF!)</f>
        <v>#REF!</v>
      </c>
      <c r="AM86" s="29"/>
    </row>
    <row r="87" spans="1:39" ht="12" customHeight="1" thickBot="1">
      <c r="A87" s="29"/>
      <c r="B87" s="443"/>
      <c r="C87" s="6497"/>
      <c r="D87" s="6498"/>
      <c r="E87" s="6498"/>
      <c r="F87" s="6498"/>
      <c r="G87" s="6499"/>
      <c r="H87" s="6501"/>
      <c r="J87" s="6506"/>
      <c r="K87" s="6507"/>
      <c r="L87" s="6507"/>
      <c r="M87" s="6507"/>
      <c r="N87" s="6507"/>
      <c r="O87" s="6507"/>
      <c r="P87" s="6507"/>
      <c r="Q87" s="6508"/>
      <c r="S87" s="532"/>
      <c r="T87" s="442"/>
      <c r="U87" s="29"/>
      <c r="V87" s="623"/>
      <c r="AL87" s="2277" t="e">
        <f>IF(ISNUMBER(FIND("Conjuro especializado",#REF!)),#REF!&amp;":"&amp;SUBSTITUTE(#REF!,LEFT(#REF!,FIND(":",#REF!)),""),#REF!)</f>
        <v>#REF!</v>
      </c>
      <c r="AM87" s="29"/>
    </row>
    <row r="88" spans="1:39" ht="12" customHeight="1" thickBot="1">
      <c r="A88" s="29"/>
      <c r="B88" s="445"/>
      <c r="C88" s="528"/>
      <c r="D88" s="528"/>
      <c r="E88" s="528"/>
      <c r="F88" s="528"/>
      <c r="G88" s="528"/>
      <c r="H88" s="528"/>
      <c r="I88" s="528"/>
      <c r="J88" s="528"/>
      <c r="K88" s="528"/>
      <c r="L88" s="528"/>
      <c r="M88" s="528"/>
      <c r="N88" s="528"/>
      <c r="O88" s="528"/>
      <c r="P88" s="528"/>
      <c r="Q88" s="528"/>
      <c r="R88" s="528"/>
      <c r="S88" s="533"/>
      <c r="T88" s="442"/>
      <c r="U88" s="29"/>
      <c r="V88" s="624"/>
      <c r="W88" s="528"/>
      <c r="X88" s="528"/>
      <c r="Y88" s="528"/>
      <c r="Z88" s="528"/>
      <c r="AA88" s="528"/>
      <c r="AB88" s="528"/>
      <c r="AC88" s="528"/>
      <c r="AD88" s="528"/>
      <c r="AE88" s="528"/>
      <c r="AF88" s="528"/>
      <c r="AG88" s="528"/>
      <c r="AH88" s="528"/>
      <c r="AI88" s="528"/>
      <c r="AJ88" s="528"/>
      <c r="AK88" s="528"/>
      <c r="AL88" s="1219"/>
      <c r="AM88" s="29"/>
    </row>
    <row r="89" spans="1:39" ht="12" customHeight="1">
      <c r="A89" s="29"/>
      <c r="B89" s="29"/>
      <c r="C89" s="29"/>
      <c r="D89" s="29"/>
      <c r="E89" s="29"/>
      <c r="F89" s="29"/>
      <c r="G89" s="29"/>
      <c r="H89" s="29"/>
      <c r="I89" s="29"/>
      <c r="J89" s="29"/>
      <c r="K89" s="29"/>
      <c r="L89" s="29"/>
      <c r="M89" s="29"/>
      <c r="N89" s="29"/>
      <c r="O89" s="29"/>
      <c r="P89" s="29"/>
      <c r="Q89" s="29"/>
      <c r="R89" s="29"/>
      <c r="S89" s="29"/>
      <c r="T89" s="442"/>
      <c r="U89" s="29"/>
      <c r="V89" s="29"/>
      <c r="W89" s="29"/>
      <c r="X89" s="29"/>
      <c r="Y89" s="29"/>
      <c r="Z89" s="29"/>
      <c r="AA89" s="29"/>
      <c r="AB89" s="29"/>
      <c r="AC89" s="29"/>
      <c r="AD89" s="29"/>
      <c r="AE89" s="29"/>
      <c r="AF89" s="29"/>
      <c r="AG89" s="29"/>
      <c r="AH89" s="29"/>
      <c r="AI89" s="29"/>
      <c r="AJ89" s="29"/>
      <c r="AK89" s="29"/>
      <c r="AL89" s="531"/>
      <c r="AM89" s="29"/>
    </row>
  </sheetData>
  <sheetProtection sheet="1" selectLockedCells="1"/>
  <mergeCells count="480">
    <mergeCell ref="C86:G87"/>
    <mergeCell ref="H86:H87"/>
    <mergeCell ref="J64:Q87"/>
    <mergeCell ref="C63:H63"/>
    <mergeCell ref="J63:Q63"/>
    <mergeCell ref="AP74:AQ74"/>
    <mergeCell ref="AR74:AU74"/>
    <mergeCell ref="AP63:AQ63"/>
    <mergeCell ref="AR63:AT63"/>
    <mergeCell ref="AP69:AQ69"/>
    <mergeCell ref="AR69:AU69"/>
    <mergeCell ref="AP70:AQ70"/>
    <mergeCell ref="AR70:AU70"/>
    <mergeCell ref="AP71:AQ71"/>
    <mergeCell ref="AR71:AU71"/>
    <mergeCell ref="AP72:AQ72"/>
    <mergeCell ref="AR72:AU72"/>
    <mergeCell ref="AP73:AQ73"/>
    <mergeCell ref="AR73:AU73"/>
    <mergeCell ref="AP64:AQ64"/>
    <mergeCell ref="AR64:AU64"/>
    <mergeCell ref="AP65:AQ65"/>
    <mergeCell ref="AR65:AU65"/>
    <mergeCell ref="AP66:AQ66"/>
    <mergeCell ref="AR66:AU66"/>
    <mergeCell ref="AP67:AQ67"/>
    <mergeCell ref="AR67:AU67"/>
    <mergeCell ref="AP68:AQ68"/>
    <mergeCell ref="AR68:AU68"/>
    <mergeCell ref="AG50:AJ50"/>
    <mergeCell ref="AG46:AJ46"/>
    <mergeCell ref="AG49:AJ49"/>
    <mergeCell ref="AG47:AJ47"/>
    <mergeCell ref="AR54:AU54"/>
    <mergeCell ref="AR55:AU55"/>
    <mergeCell ref="AR57:AU57"/>
    <mergeCell ref="AP56:AQ56"/>
    <mergeCell ref="AR56:AU56"/>
    <mergeCell ref="AP54:AQ54"/>
    <mergeCell ref="AP55:AQ55"/>
    <mergeCell ref="AR53:AU53"/>
    <mergeCell ref="AP62:AW62"/>
    <mergeCell ref="AQ44:AW44"/>
    <mergeCell ref="AP59:AQ59"/>
    <mergeCell ref="AP60:AQ60"/>
    <mergeCell ref="AR58:AW58"/>
    <mergeCell ref="AR59:AW59"/>
    <mergeCell ref="AP58:AQ58"/>
    <mergeCell ref="AV53:AW53"/>
    <mergeCell ref="AV54:AW54"/>
    <mergeCell ref="AV55:AW55"/>
    <mergeCell ref="AV57:AW57"/>
    <mergeCell ref="AV56:AW56"/>
    <mergeCell ref="AV48:AW48"/>
    <mergeCell ref="AV52:AW52"/>
    <mergeCell ref="AP50:AQ50"/>
    <mergeCell ref="AP51:AQ51"/>
    <mergeCell ref="AP52:AQ52"/>
    <mergeCell ref="AP49:AQ49"/>
    <mergeCell ref="AG28:AJ28"/>
    <mergeCell ref="AG25:AJ25"/>
    <mergeCell ref="AG27:AJ27"/>
    <mergeCell ref="AG26:AJ26"/>
    <mergeCell ref="AP53:AQ53"/>
    <mergeCell ref="AV49:AW49"/>
    <mergeCell ref="AV50:AW50"/>
    <mergeCell ref="AR50:AU50"/>
    <mergeCell ref="AR51:AU51"/>
    <mergeCell ref="AR52:AU52"/>
    <mergeCell ref="AV51:AW51"/>
    <mergeCell ref="AR48:AU48"/>
    <mergeCell ref="AP48:AQ48"/>
    <mergeCell ref="AG44:AJ44"/>
    <mergeCell ref="AG43:AJ43"/>
    <mergeCell ref="AG48:AJ48"/>
    <mergeCell ref="AG45:AJ45"/>
    <mergeCell ref="AG36:AJ36"/>
    <mergeCell ref="AG40:AJ40"/>
    <mergeCell ref="AP46:AW46"/>
    <mergeCell ref="AQ40:AW40"/>
    <mergeCell ref="AQ41:AW41"/>
    <mergeCell ref="AQ42:AW42"/>
    <mergeCell ref="AQ43:AW43"/>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S5:AV6"/>
    <mergeCell ref="AQ10:AS10"/>
    <mergeCell ref="AT10:AV10"/>
    <mergeCell ref="AS28:AT28"/>
    <mergeCell ref="AS29:AT29"/>
    <mergeCell ref="AS30:AT30"/>
    <mergeCell ref="AS31:AT31"/>
    <mergeCell ref="AP25:AQ25"/>
    <mergeCell ref="AP26:AQ26"/>
    <mergeCell ref="AP27:AQ27"/>
    <mergeCell ref="AP28:AQ28"/>
    <mergeCell ref="AP29:AQ29"/>
    <mergeCell ref="AP30:AQ30"/>
    <mergeCell ref="AP31:AQ31"/>
    <mergeCell ref="AS14:AW14"/>
    <mergeCell ref="AP24:AW24"/>
    <mergeCell ref="AP14:AR14"/>
    <mergeCell ref="AS25:AT25"/>
    <mergeCell ref="AS26:AT26"/>
    <mergeCell ref="AS27:AT27"/>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60:AW60"/>
    <mergeCell ref="AP57:AQ57"/>
    <mergeCell ref="AQ33:AR33"/>
    <mergeCell ref="AB85:AC85"/>
    <mergeCell ref="AD85:AH85"/>
    <mergeCell ref="W62:AA62"/>
    <mergeCell ref="AB62:AK62"/>
    <mergeCell ref="AB63:AK63"/>
    <mergeCell ref="W63:AA63"/>
    <mergeCell ref="AB84:AC84"/>
    <mergeCell ref="AD84:AH84"/>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AB79:AC79"/>
    <mergeCell ref="AB83:AC83"/>
    <mergeCell ref="AD83:AH83"/>
    <mergeCell ref="AD81:AH81"/>
    <mergeCell ref="AB58:AK58"/>
    <mergeCell ref="AB82:AC82"/>
    <mergeCell ref="AD82:AH82"/>
    <mergeCell ref="W59:AA59"/>
    <mergeCell ref="AB59:AK59"/>
    <mergeCell ref="AB81:AC81"/>
    <mergeCell ref="AD79:AH79"/>
    <mergeCell ref="AB80:AC80"/>
    <mergeCell ref="AD80:AH80"/>
    <mergeCell ref="W64:AA64"/>
    <mergeCell ref="AB64:AK64"/>
    <mergeCell ref="J56:O56"/>
    <mergeCell ref="AB60:AK60"/>
    <mergeCell ref="AD77:AH77"/>
    <mergeCell ref="AB78:AC78"/>
    <mergeCell ref="AD78:AH78"/>
    <mergeCell ref="AB77:AC77"/>
    <mergeCell ref="AB76:AC76"/>
    <mergeCell ref="AD76:AH76"/>
    <mergeCell ref="W61:AA61"/>
    <mergeCell ref="AB61:AK61"/>
    <mergeCell ref="W60:AA60"/>
    <mergeCell ref="AA75:AC75"/>
    <mergeCell ref="AD75:AH75"/>
    <mergeCell ref="W69:AA69"/>
    <mergeCell ref="AB68:AK68"/>
    <mergeCell ref="W68:AA68"/>
    <mergeCell ref="W56:AA56"/>
    <mergeCell ref="W58:AA58"/>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9:AW39"/>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Y26:AB26"/>
    <mergeCell ref="AE26:AF26"/>
    <mergeCell ref="E24:F24"/>
    <mergeCell ref="C25:D25"/>
    <mergeCell ref="E16:F16"/>
    <mergeCell ref="AE17:AF17"/>
    <mergeCell ref="C12:D13"/>
    <mergeCell ref="G12:H13"/>
    <mergeCell ref="AE14:AF14"/>
    <mergeCell ref="C15:D15"/>
    <mergeCell ref="E15:F15"/>
    <mergeCell ref="W15:X15"/>
    <mergeCell ref="AE15:AF15"/>
    <mergeCell ref="C14:D14"/>
    <mergeCell ref="E14:F14"/>
    <mergeCell ref="W12:X12"/>
    <mergeCell ref="Y17:AB17"/>
    <mergeCell ref="C17:D17"/>
    <mergeCell ref="E17:F17"/>
    <mergeCell ref="Y15:AB15"/>
    <mergeCell ref="W16:X16"/>
    <mergeCell ref="J15:M15"/>
    <mergeCell ref="Y14:AB14"/>
    <mergeCell ref="AE12:AF12"/>
    <mergeCell ref="AE13:AF13"/>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1:F11"/>
    <mergeCell ref="AE11:AF11"/>
    <mergeCell ref="W11:X11"/>
    <mergeCell ref="C11:D11"/>
    <mergeCell ref="L11:M11"/>
    <mergeCell ref="W21:X21"/>
    <mergeCell ref="AE18:AF18"/>
    <mergeCell ref="W19:X19"/>
    <mergeCell ref="M18:Q21"/>
    <mergeCell ref="AE16:AF16"/>
    <mergeCell ref="AE21:AF21"/>
    <mergeCell ref="AE19:AF19"/>
    <mergeCell ref="AE20:AF20"/>
    <mergeCell ref="W17:X17"/>
    <mergeCell ref="W18:X18"/>
    <mergeCell ref="W20:X20"/>
    <mergeCell ref="BG12:BI12"/>
    <mergeCell ref="AR49:AU49"/>
    <mergeCell ref="W29:X29"/>
    <mergeCell ref="W41:X41"/>
    <mergeCell ref="AE43:AF43"/>
    <mergeCell ref="W44:X44"/>
    <mergeCell ref="AE44:AF44"/>
    <mergeCell ref="Y47:AB47"/>
    <mergeCell ref="AP12:AW12"/>
    <mergeCell ref="AP38:AW38"/>
    <mergeCell ref="AS34:AT35"/>
    <mergeCell ref="AQ34:AR35"/>
    <mergeCell ref="AS33:AT33"/>
    <mergeCell ref="AG34:AJ34"/>
    <mergeCell ref="AG33:AJ33"/>
    <mergeCell ref="Y16:AB16"/>
    <mergeCell ref="Y19:AB19"/>
    <mergeCell ref="W24:X24"/>
    <mergeCell ref="W28:X28"/>
    <mergeCell ref="Y24:AB24"/>
    <mergeCell ref="Y25:AB25"/>
    <mergeCell ref="Y27:AB27"/>
    <mergeCell ref="BA12:BC12"/>
    <mergeCell ref="BD12:BF12"/>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Q22:AR22"/>
    <mergeCell ref="AQ21:AR21"/>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12:F13"/>
    <mergeCell ref="C16:D16"/>
  </mergeCells>
  <phoneticPr fontId="9" type="noConversion"/>
  <conditionalFormatting sqref="E12">
    <cfRule type="cellIs" dxfId="2172" priority="64" stopIfTrue="1" operator="greaterThan">
      <formula>$C$12</formula>
    </cfRule>
  </conditionalFormatting>
  <conditionalFormatting sqref="AK10">
    <cfRule type="cellIs" dxfId="2171" priority="65" stopIfTrue="1" operator="equal">
      <formula>0</formula>
    </cfRule>
  </conditionalFormatting>
  <conditionalFormatting sqref="K18:L19">
    <cfRule type="cellIs" dxfId="2170" priority="52" operator="lessThan">
      <formula>0</formula>
    </cfRule>
  </conditionalFormatting>
  <conditionalFormatting sqref="AP46:AW46">
    <cfRule type="expression" dxfId="2169" priority="33">
      <formula>$AP$46&lt;&gt;""</formula>
    </cfRule>
  </conditionalFormatting>
  <conditionalFormatting sqref="AK12:AK50">
    <cfRule type="expression" dxfId="2168" priority="1916" stopIfTrue="1">
      <formula>VLOOKUP(AE12,$C$15:$H$25,6,FALSE)&lt;AK12</formula>
    </cfRule>
  </conditionalFormatting>
  <conditionalFormatting sqref="AG12:AI50">
    <cfRule type="expression" dxfId="2167" priority="3" stopIfTrue="1">
      <formula>AK12&lt;VLOOKUP($AG12,Tabla_Conjuros_LA,3,0)</formula>
    </cfRule>
  </conditionalFormatting>
  <conditionalFormatting sqref="AE12:AF50">
    <cfRule type="expression" dxfId="2166" priority="1">
      <formula>ISNA(VLOOKUP(AE12,$C$15:$D$25,1,0))</formula>
    </cfRule>
  </conditionalFormatting>
  <conditionalFormatting sqref="AG12:AG50">
    <cfRule type="expression" dxfId="2165" priority="5802" stopIfTrue="1">
      <formula>$AO12</formula>
    </cfRule>
  </conditionalFormatting>
  <conditionalFormatting sqref="AP57:AW57">
    <cfRule type="expression" dxfId="2164" priority="9493">
      <formula>$BB$11</formula>
    </cfRule>
  </conditionalFormatting>
  <conditionalFormatting sqref="AP58:AQ60">
    <cfRule type="expression" dxfId="2163" priority="9494">
      <formula>$BB$11</formula>
    </cfRule>
  </conditionalFormatting>
  <conditionalFormatting sqref="AP55:AW56">
    <cfRule type="expression" dxfId="2162" priority="9495">
      <formula>$BC$11</formula>
    </cfRule>
  </conditionalFormatting>
  <conditionalFormatting sqref="AP62:AW74">
    <cfRule type="expression" dxfId="2161" priority="9496" stopIfTrue="1">
      <formula>NOT($BA$11)</formula>
    </cfRule>
  </conditionalFormatting>
  <conditionalFormatting sqref="AP58:AW60">
    <cfRule type="expression" dxfId="2160" priority="9498">
      <formula>$BA$11</formula>
    </cfRule>
  </conditionalFormatting>
  <conditionalFormatting sqref="AP57:AU57">
    <cfRule type="expression" dxfId="2159" priority="9499">
      <formula>$BA$11</formula>
    </cfRule>
  </conditionalFormatting>
  <conditionalFormatting sqref="AV57:AW57">
    <cfRule type="expression" dxfId="2158" priority="9500">
      <formula>$BA$11</formula>
    </cfRule>
  </conditionalFormatting>
  <conditionalFormatting sqref="AP48:AW60">
    <cfRule type="expression" dxfId="2157" priority="9501">
      <formula>AND(NOT($BA$11),NOT($BB$11),NOT($BC$11))</formula>
    </cfRule>
  </conditionalFormatting>
  <conditionalFormatting sqref="J61:Q61">
    <cfRule type="expression" dxfId="215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4:AQ74" xr:uid="{00000000-0002-0000-0800-000004000000}">
      <formula1>VíasYSubvías</formula1>
    </dataValidation>
    <dataValidation type="list" allowBlank="1" showInputMessage="1" showErrorMessage="1" sqref="AR64:AU74"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415" stopIfTrue="1" id="{00000000-000E-0000-0600-000039000000}">
            <xm:f>ISNUMBER(FIND($C15,VLOOKUP($E15,Tablas!$C$1222:$K$1235,9,FALSE)))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Tablas!$I$1175:$I$1186</xm:f>
          </x14:formula1>
          <xm:sqref>AS34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16" zoomScaleNormal="100" workbookViewId="0">
      <selection activeCell="S23" sqref="S23"/>
    </sheetView>
  </sheetViews>
  <sheetFormatPr baseColWidth="10" defaultColWidth="5.7109375" defaultRowHeight="12" customHeight="1"/>
  <cols>
    <col min="1" max="1" width="1.7109375" style="505"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42">
        <v>5</v>
      </c>
      <c r="B1" s="92"/>
      <c r="C1" s="92"/>
      <c r="D1" s="92"/>
      <c r="E1" s="92"/>
      <c r="F1" s="92"/>
      <c r="G1" s="92"/>
      <c r="H1" s="92"/>
      <c r="I1" s="92"/>
      <c r="J1" s="92"/>
      <c r="K1" s="92"/>
      <c r="L1" s="92"/>
      <c r="M1" s="92"/>
      <c r="N1" s="92"/>
      <c r="O1" s="92"/>
      <c r="P1" s="92"/>
      <c r="Q1" s="92"/>
      <c r="R1" s="92"/>
      <c r="S1" s="92"/>
      <c r="T1" s="92"/>
      <c r="U1" s="92"/>
      <c r="V1" s="29"/>
      <c r="W1" s="29"/>
      <c r="X1" s="29"/>
      <c r="Y1" s="29"/>
      <c r="Z1" s="29"/>
      <c r="AA1" s="29"/>
      <c r="AB1" s="1554"/>
      <c r="AC1" s="1554"/>
      <c r="AD1" s="1554"/>
      <c r="AE1" s="1554"/>
      <c r="AF1" s="1554"/>
      <c r="AG1" s="1554"/>
      <c r="AH1" s="1554"/>
      <c r="AI1" s="1554"/>
      <c r="AJ1" s="1554"/>
      <c r="AK1" s="2600" t="s">
        <v>8292</v>
      </c>
    </row>
    <row r="2" spans="1:37" ht="12" customHeight="1" thickBot="1">
      <c r="A2" s="442">
        <v>10</v>
      </c>
      <c r="B2" s="93"/>
      <c r="C2" s="94"/>
      <c r="D2" s="94"/>
      <c r="E2" s="94"/>
      <c r="F2" s="94"/>
      <c r="G2" s="94"/>
      <c r="H2" s="94"/>
      <c r="I2" s="94"/>
      <c r="J2" s="94"/>
      <c r="K2" s="94"/>
      <c r="L2" s="94"/>
      <c r="M2" s="94"/>
      <c r="N2" s="94"/>
      <c r="O2" s="94"/>
      <c r="P2" s="94"/>
      <c r="Q2" s="94"/>
      <c r="R2" s="94"/>
      <c r="S2" s="94"/>
      <c r="T2" s="94"/>
      <c r="U2" s="94"/>
      <c r="V2" s="46"/>
      <c r="W2" s="46"/>
      <c r="X2" s="46"/>
      <c r="Y2" s="46"/>
      <c r="Z2" s="46"/>
      <c r="AA2" s="46"/>
      <c r="AB2" s="1555"/>
      <c r="AC2" s="1555"/>
      <c r="AD2" s="1555"/>
      <c r="AE2" s="1555"/>
      <c r="AF2" s="1555"/>
      <c r="AG2" s="1555"/>
      <c r="AH2" s="1555"/>
      <c r="AI2" s="1556"/>
      <c r="AJ2" s="1554"/>
      <c r="AK2" s="2601"/>
    </row>
    <row r="3" spans="1:37" ht="12" customHeight="1" thickBot="1">
      <c r="A3" s="442">
        <v>15</v>
      </c>
      <c r="B3" s="95"/>
      <c r="C3" s="4361" t="s">
        <v>9687</v>
      </c>
      <c r="D3" s="4361"/>
      <c r="E3" s="4361"/>
      <c r="F3" s="4361"/>
      <c r="G3" s="4361"/>
      <c r="H3" s="4361"/>
      <c r="I3" s="6"/>
      <c r="J3" s="96"/>
      <c r="K3" s="96"/>
      <c r="L3" s="96"/>
      <c r="M3" s="96"/>
      <c r="N3" s="96"/>
      <c r="O3" s="96"/>
      <c r="P3" s="96"/>
      <c r="Q3" s="96"/>
      <c r="R3" s="96"/>
      <c r="S3" s="96"/>
      <c r="T3" s="96"/>
      <c r="U3" s="96"/>
      <c r="V3" s="49"/>
      <c r="W3" s="49"/>
      <c r="X3" s="49"/>
      <c r="Y3" s="49"/>
      <c r="Z3" s="49"/>
      <c r="AA3" s="6"/>
      <c r="AB3" s="1557"/>
      <c r="AC3" s="1557"/>
      <c r="AD3" s="1557"/>
      <c r="AE3" s="1557"/>
      <c r="AF3" s="1557"/>
      <c r="AG3" s="1557"/>
      <c r="AH3" s="1558"/>
      <c r="AI3" s="1559"/>
      <c r="AJ3" s="1554"/>
      <c r="AK3" s="2601"/>
    </row>
    <row r="4" spans="1:37" ht="12" customHeight="1" thickBot="1">
      <c r="A4" s="442">
        <v>20</v>
      </c>
      <c r="B4" s="95"/>
      <c r="C4" s="4361"/>
      <c r="D4" s="4361"/>
      <c r="E4" s="4361"/>
      <c r="F4" s="4361"/>
      <c r="G4" s="4361"/>
      <c r="H4" s="4361"/>
      <c r="I4" s="9"/>
      <c r="J4" s="92"/>
      <c r="K4" s="92"/>
      <c r="L4" s="92"/>
      <c r="M4" s="92"/>
      <c r="N4" s="92"/>
      <c r="O4" s="92"/>
      <c r="P4" s="92"/>
      <c r="Q4" s="92"/>
      <c r="R4" s="4352" t="s">
        <v>9964</v>
      </c>
      <c r="S4" s="4318"/>
      <c r="T4" s="92"/>
      <c r="U4" s="92"/>
      <c r="V4" s="29"/>
      <c r="W4" s="29"/>
      <c r="X4" s="29"/>
      <c r="Y4" s="29"/>
      <c r="Z4" s="29"/>
      <c r="AA4" s="4754" t="s">
        <v>1184</v>
      </c>
      <c r="AB4" s="6509"/>
      <c r="AC4" s="6510" t="str">
        <f>IF(OR(General!$F$22="",General!$F$22=0),"",General!$F$22)</f>
        <v/>
      </c>
      <c r="AD4" s="6510"/>
      <c r="AE4" s="6510"/>
      <c r="AF4" s="6510"/>
      <c r="AG4" s="6510"/>
      <c r="AH4" s="1560"/>
      <c r="AI4" s="1559"/>
      <c r="AJ4" s="1554"/>
      <c r="AK4" s="2601"/>
    </row>
    <row r="5" spans="1:37" ht="12" customHeight="1" thickBot="1">
      <c r="A5" s="442">
        <v>25</v>
      </c>
      <c r="B5" s="95"/>
      <c r="C5" s="4361"/>
      <c r="D5" s="4361"/>
      <c r="E5" s="4361"/>
      <c r="F5" s="4361"/>
      <c r="G5" s="4361"/>
      <c r="H5" s="4361"/>
      <c r="I5" s="9"/>
      <c r="J5" s="92"/>
      <c r="K5" s="92"/>
      <c r="L5" s="92"/>
      <c r="M5" s="92"/>
      <c r="N5" s="92"/>
      <c r="O5" s="92"/>
      <c r="P5" s="92"/>
      <c r="Q5" s="92"/>
      <c r="R5" s="6527"/>
      <c r="S5" s="6528"/>
      <c r="T5" s="92"/>
      <c r="U5" s="92"/>
      <c r="V5" s="29"/>
      <c r="W5" s="29"/>
      <c r="X5" s="29"/>
      <c r="Y5" s="29"/>
      <c r="Z5" s="29"/>
      <c r="AA5" s="5535" t="s">
        <v>1185</v>
      </c>
      <c r="AB5" s="6511"/>
      <c r="AC5" s="4738" t="str">
        <f>IF(LEN(PDs!$E$11)&lt;=General!$AO$5,PDs!$E$11,"… /"&amp;RIGHT(PDs!$E$11,General!$AO$5-FIND("/",RIGHT(PDs!$E$11,General!$AO$5))))</f>
        <v/>
      </c>
      <c r="AD5" s="4738"/>
      <c r="AE5" s="4738"/>
      <c r="AF5" s="2005" t="s">
        <v>1186</v>
      </c>
      <c r="AG5" s="2006" t="str">
        <f>Principal!$O$6</f>
        <v>1</v>
      </c>
      <c r="AH5" s="1561"/>
      <c r="AI5" s="1559"/>
      <c r="AJ5" s="1554"/>
      <c r="AK5" s="2601"/>
    </row>
    <row r="6" spans="1:37" ht="12" customHeight="1" thickBot="1">
      <c r="A6" s="500"/>
      <c r="B6" s="97"/>
      <c r="C6" s="4361"/>
      <c r="D6" s="4361"/>
      <c r="E6" s="4361"/>
      <c r="F6" s="4361"/>
      <c r="G6" s="4361"/>
      <c r="H6" s="4361"/>
      <c r="I6" s="9"/>
      <c r="J6" s="92"/>
      <c r="K6" s="92"/>
      <c r="L6" s="92"/>
      <c r="M6" s="92"/>
      <c r="N6" s="92"/>
      <c r="O6" s="92"/>
      <c r="P6" s="92"/>
      <c r="Q6" s="92"/>
      <c r="R6" s="6529" t="s">
        <v>2422</v>
      </c>
      <c r="S6" s="6530"/>
      <c r="T6" s="92"/>
      <c r="U6" s="92"/>
      <c r="V6" s="29"/>
      <c r="W6" s="29"/>
      <c r="X6" s="29"/>
      <c r="Y6" s="29"/>
      <c r="Z6" s="29"/>
      <c r="AA6" s="4362" t="s">
        <v>1597</v>
      </c>
      <c r="AB6" s="6512"/>
      <c r="AC6" s="6512"/>
      <c r="AD6" s="6512"/>
      <c r="AE6" s="6512"/>
      <c r="AF6" s="6512"/>
      <c r="AG6" s="6512"/>
      <c r="AH6" s="1561"/>
      <c r="AI6" s="1559"/>
      <c r="AJ6" s="1554"/>
      <c r="AK6" s="2601"/>
    </row>
    <row r="7" spans="1:37" ht="12" customHeight="1" thickBot="1">
      <c r="A7" s="501"/>
      <c r="B7" s="98"/>
      <c r="C7" s="4361"/>
      <c r="D7" s="4361"/>
      <c r="E7" s="4361"/>
      <c r="F7" s="4361"/>
      <c r="G7" s="4361"/>
      <c r="H7" s="4361"/>
      <c r="I7" s="9"/>
      <c r="J7" s="92"/>
      <c r="K7" s="92"/>
      <c r="L7" s="92"/>
      <c r="M7" s="92"/>
      <c r="N7" s="92"/>
      <c r="O7" s="92"/>
      <c r="P7" s="92"/>
      <c r="Q7" s="92"/>
      <c r="R7" s="6531"/>
      <c r="S7" s="6532"/>
      <c r="T7" s="92"/>
      <c r="U7" s="92"/>
      <c r="V7" s="29"/>
      <c r="W7" s="29"/>
      <c r="X7" s="29"/>
      <c r="Y7" s="29"/>
      <c r="Z7" s="29"/>
      <c r="AA7" s="4362"/>
      <c r="AB7" s="6512"/>
      <c r="AC7" s="6512"/>
      <c r="AD7" s="6512"/>
      <c r="AE7" s="6512"/>
      <c r="AF7" s="6512"/>
      <c r="AG7" s="6512"/>
      <c r="AH7" s="1561"/>
      <c r="AI7" s="1559"/>
      <c r="AJ7" s="1554"/>
      <c r="AK7" s="2601"/>
    </row>
    <row r="8" spans="1:37" ht="12" customHeight="1" thickBot="1">
      <c r="A8" s="501"/>
      <c r="B8" s="98"/>
      <c r="C8" s="4361"/>
      <c r="D8" s="4361"/>
      <c r="E8" s="4361"/>
      <c r="F8" s="4361"/>
      <c r="G8" s="4361"/>
      <c r="H8" s="4361"/>
      <c r="I8" s="12"/>
      <c r="J8" s="99"/>
      <c r="K8" s="99"/>
      <c r="L8" s="99"/>
      <c r="M8" s="99"/>
      <c r="N8" s="99"/>
      <c r="O8" s="99"/>
      <c r="P8" s="99"/>
      <c r="Q8" s="99"/>
      <c r="R8" s="99"/>
      <c r="S8" s="99"/>
      <c r="T8" s="99"/>
      <c r="U8" s="99"/>
      <c r="V8" s="44"/>
      <c r="W8" s="44"/>
      <c r="X8" s="44"/>
      <c r="Y8" s="44"/>
      <c r="Z8" s="44"/>
      <c r="AA8" s="12"/>
      <c r="AB8" s="1562"/>
      <c r="AC8" s="1562"/>
      <c r="AD8" s="1562"/>
      <c r="AE8" s="1562"/>
      <c r="AF8" s="1562"/>
      <c r="AG8" s="1562"/>
      <c r="AH8" s="1563"/>
      <c r="AI8" s="1559"/>
      <c r="AJ8" s="1554"/>
      <c r="AK8" s="2601"/>
    </row>
    <row r="9" spans="1:37" ht="12" customHeight="1" thickBot="1">
      <c r="A9" s="502"/>
      <c r="B9" s="100"/>
      <c r="C9" s="26"/>
      <c r="D9" s="26"/>
      <c r="E9" s="26"/>
      <c r="AB9" s="1543"/>
      <c r="AC9" s="1543"/>
      <c r="AD9" s="1543"/>
      <c r="AE9" s="1543"/>
      <c r="AF9" s="1543"/>
      <c r="AG9" s="1543"/>
      <c r="AH9" s="1543"/>
      <c r="AI9" s="1559"/>
      <c r="AJ9" s="1554"/>
      <c r="AK9" s="2601"/>
    </row>
    <row r="10" spans="1:37" ht="12" customHeight="1" thickBot="1">
      <c r="A10" s="503"/>
      <c r="B10" s="95"/>
      <c r="C10" s="26"/>
      <c r="D10" s="26"/>
      <c r="E10" s="26"/>
      <c r="F10" s="26"/>
      <c r="G10" s="26"/>
      <c r="H10" s="101"/>
      <c r="I10" s="6514" t="s">
        <v>1598</v>
      </c>
      <c r="J10" s="6514"/>
      <c r="K10" s="47"/>
      <c r="L10" s="26"/>
      <c r="M10" s="26"/>
      <c r="N10" s="26"/>
      <c r="X10" s="26"/>
      <c r="Y10" s="26"/>
      <c r="Z10" s="101"/>
      <c r="AA10" s="6514" t="s">
        <v>1599</v>
      </c>
      <c r="AB10" s="6513"/>
      <c r="AC10" s="826"/>
      <c r="AD10" s="1543"/>
      <c r="AE10" s="1543"/>
      <c r="AF10" s="530"/>
      <c r="AG10" s="1543"/>
      <c r="AH10" s="1543"/>
      <c r="AI10" s="1559"/>
      <c r="AJ10" s="1554"/>
      <c r="AK10" s="2601"/>
    </row>
    <row r="11" spans="1:37" ht="12" customHeight="1" thickBot="1">
      <c r="A11" s="503"/>
      <c r="B11" s="95"/>
      <c r="C11" s="26"/>
      <c r="D11" s="26"/>
      <c r="E11" s="26"/>
      <c r="F11" s="6514" t="s">
        <v>1600</v>
      </c>
      <c r="G11" s="6514"/>
      <c r="H11" s="102"/>
      <c r="I11" s="6514"/>
      <c r="J11" s="6514"/>
      <c r="K11" s="103"/>
      <c r="L11" s="6514" t="s">
        <v>1601</v>
      </c>
      <c r="M11" s="6514"/>
      <c r="N11" s="101"/>
      <c r="X11" s="6514" t="s">
        <v>1602</v>
      </c>
      <c r="Y11" s="6514"/>
      <c r="Z11" s="102"/>
      <c r="AA11" s="6514"/>
      <c r="AB11" s="6513"/>
      <c r="AC11" s="1600"/>
      <c r="AD11" s="6513" t="s">
        <v>1602</v>
      </c>
      <c r="AE11" s="6513"/>
      <c r="AF11" s="826"/>
      <c r="AG11" s="1543"/>
      <c r="AH11" s="1543"/>
      <c r="AI11" s="1559"/>
      <c r="AJ11" s="1554"/>
      <c r="AK11" s="2601"/>
    </row>
    <row r="12" spans="1:37" ht="12" customHeight="1" thickBot="1">
      <c r="A12" s="442"/>
      <c r="B12" s="95"/>
      <c r="C12" s="26"/>
      <c r="D12" s="26"/>
      <c r="E12" s="101"/>
      <c r="F12" s="6514"/>
      <c r="G12" s="6514"/>
      <c r="H12" s="105"/>
      <c r="I12" s="6514"/>
      <c r="J12" s="6514"/>
      <c r="K12" s="105"/>
      <c r="L12" s="6514"/>
      <c r="M12" s="6514"/>
      <c r="N12" s="101"/>
      <c r="T12" s="628" t="b">
        <f>R6="Sí"</f>
        <v>1</v>
      </c>
      <c r="X12" s="6514"/>
      <c r="Y12" s="6514"/>
      <c r="Z12" s="105"/>
      <c r="AA12" s="6514"/>
      <c r="AB12" s="6513"/>
      <c r="AC12" s="826"/>
      <c r="AD12" s="6513"/>
      <c r="AE12" s="6513"/>
      <c r="AF12" s="826"/>
      <c r="AG12" s="1543"/>
      <c r="AH12" s="1543"/>
      <c r="AI12" s="1559"/>
      <c r="AJ12" s="1554"/>
      <c r="AK12" s="2601"/>
    </row>
    <row r="13" spans="1:37" ht="12" customHeight="1" thickBot="1">
      <c r="A13" s="442"/>
      <c r="B13" s="95"/>
      <c r="C13" s="26"/>
      <c r="D13" s="26"/>
      <c r="E13" s="101"/>
      <c r="F13" s="6514"/>
      <c r="G13" s="6514"/>
      <c r="H13" s="105"/>
      <c r="I13" s="106"/>
      <c r="J13" s="1526"/>
      <c r="K13" s="105">
        <v>10</v>
      </c>
      <c r="L13" s="6514"/>
      <c r="M13" s="6514"/>
      <c r="N13" s="105"/>
      <c r="X13" s="6514"/>
      <c r="Y13" s="6514"/>
      <c r="Z13" s="105"/>
      <c r="AA13" s="106"/>
      <c r="AB13" s="1565"/>
      <c r="AC13" s="826">
        <v>5</v>
      </c>
      <c r="AD13" s="6513"/>
      <c r="AE13" s="6513"/>
      <c r="AF13" s="826"/>
      <c r="AG13" s="1543"/>
      <c r="AH13" s="1543"/>
      <c r="AI13" s="1559"/>
      <c r="AJ13" s="1554"/>
      <c r="AK13" s="2601"/>
    </row>
    <row r="14" spans="1:37" ht="12" customHeight="1" thickBot="1">
      <c r="A14" s="442"/>
      <c r="B14" s="95"/>
      <c r="F14" s="106"/>
      <c r="G14" s="1526"/>
      <c r="H14" s="105">
        <v>5</v>
      </c>
      <c r="I14" s="87">
        <f>IF(J13&gt;0,1,0)</f>
        <v>0</v>
      </c>
      <c r="J14" s="107"/>
      <c r="K14" s="105"/>
      <c r="L14" s="106"/>
      <c r="M14" s="1526"/>
      <c r="N14" s="105">
        <v>5</v>
      </c>
      <c r="X14" s="106"/>
      <c r="Y14" s="1526"/>
      <c r="Z14" s="105">
        <v>5</v>
      </c>
      <c r="AA14" s="87">
        <f>IF(AB13&gt;0,1,0)</f>
        <v>0</v>
      </c>
      <c r="AB14" s="1566"/>
      <c r="AC14" s="826"/>
      <c r="AD14" s="1608"/>
      <c r="AE14" s="1565"/>
      <c r="AF14" s="826">
        <v>5</v>
      </c>
      <c r="AG14" s="1543"/>
      <c r="AH14" s="1543"/>
      <c r="AI14" s="1559"/>
      <c r="AJ14" s="1554"/>
      <c r="AK14" s="2601"/>
    </row>
    <row r="15" spans="1:37" ht="12" customHeight="1" thickBot="1">
      <c r="A15" s="442"/>
      <c r="B15" s="95"/>
      <c r="F15" s="87">
        <f>IF(G14&gt;0,1,0)</f>
        <v>0</v>
      </c>
      <c r="G15" s="93"/>
      <c r="H15" s="105"/>
      <c r="I15" s="6514" t="s">
        <v>1603</v>
      </c>
      <c r="J15" s="6514"/>
      <c r="K15" s="105"/>
      <c r="L15" s="108">
        <f>IF(M14&gt;0,1,0)</f>
        <v>0</v>
      </c>
      <c r="M15" s="26"/>
      <c r="N15" s="105"/>
      <c r="O15" s="26"/>
      <c r="P15" s="26"/>
      <c r="Q15" s="101"/>
      <c r="R15" s="6514" t="s">
        <v>1601</v>
      </c>
      <c r="S15" s="6514"/>
      <c r="T15" s="26"/>
      <c r="W15" s="47"/>
      <c r="X15" s="87">
        <f>IF(Y14&gt;0,1,0)</f>
        <v>0</v>
      </c>
      <c r="Y15" s="93"/>
      <c r="Z15" s="105"/>
      <c r="AA15" s="6514" t="s">
        <v>1604</v>
      </c>
      <c r="AB15" s="6513"/>
      <c r="AC15" s="826"/>
      <c r="AD15" s="1606">
        <f>IF(AE14&gt;0,1,0)</f>
        <v>0</v>
      </c>
      <c r="AE15" s="1543"/>
      <c r="AF15" s="826"/>
      <c r="AG15" s="1543"/>
      <c r="AH15" s="1543"/>
      <c r="AI15" s="1559"/>
      <c r="AJ15" s="1554"/>
      <c r="AK15" s="2601"/>
    </row>
    <row r="16" spans="1:37" ht="12" customHeight="1" thickBot="1">
      <c r="A16" s="442"/>
      <c r="B16" s="95"/>
      <c r="F16" s="26"/>
      <c r="G16" s="109"/>
      <c r="H16" s="103"/>
      <c r="I16" s="6514"/>
      <c r="J16" s="6514"/>
      <c r="K16" s="110"/>
      <c r="L16" s="111"/>
      <c r="M16" s="26"/>
      <c r="N16" s="105"/>
      <c r="O16" s="26"/>
      <c r="P16" s="112"/>
      <c r="Q16" s="113"/>
      <c r="R16" s="6514"/>
      <c r="S16" s="6514"/>
      <c r="T16" s="101"/>
      <c r="W16" s="47"/>
      <c r="X16" s="26"/>
      <c r="Y16" s="109"/>
      <c r="Z16" s="103"/>
      <c r="AA16" s="6514"/>
      <c r="AB16" s="6513"/>
      <c r="AC16" s="832"/>
      <c r="AD16" s="1567"/>
      <c r="AE16" s="1543"/>
      <c r="AF16" s="826"/>
      <c r="AG16" s="1543"/>
      <c r="AH16" s="1543"/>
      <c r="AI16" s="1559"/>
      <c r="AJ16" s="1554"/>
      <c r="AK16" s="2601"/>
    </row>
    <row r="17" spans="1:37" ht="12" customHeight="1">
      <c r="A17" s="442"/>
      <c r="B17" s="95"/>
      <c r="F17" s="26"/>
      <c r="G17" s="95"/>
      <c r="H17" s="105"/>
      <c r="I17" s="6514"/>
      <c r="J17" s="6514"/>
      <c r="K17" s="105"/>
      <c r="L17" s="114"/>
      <c r="M17" s="26"/>
      <c r="N17" s="105"/>
      <c r="O17" s="114"/>
      <c r="P17" s="26"/>
      <c r="Q17" s="101"/>
      <c r="R17" s="6514"/>
      <c r="S17" s="6514"/>
      <c r="T17" s="105"/>
      <c r="W17" s="47"/>
      <c r="X17" s="26"/>
      <c r="Y17" s="95"/>
      <c r="Z17" s="105"/>
      <c r="AA17" s="6514"/>
      <c r="AB17" s="6513"/>
      <c r="AC17" s="826"/>
      <c r="AD17" s="1559"/>
      <c r="AE17" s="1543"/>
      <c r="AF17" s="826"/>
      <c r="AG17" s="1543"/>
      <c r="AH17" s="1543"/>
      <c r="AI17" s="1559"/>
      <c r="AJ17" s="1554"/>
      <c r="AK17" s="2601"/>
    </row>
    <row r="18" spans="1:37" ht="12" customHeight="1" thickBot="1">
      <c r="A18" s="442"/>
      <c r="B18" s="95"/>
      <c r="F18" s="26"/>
      <c r="G18" s="95"/>
      <c r="H18" s="105"/>
      <c r="I18" s="106"/>
      <c r="J18" s="1526"/>
      <c r="K18" s="105">
        <v>10</v>
      </c>
      <c r="L18" s="114"/>
      <c r="M18" s="26"/>
      <c r="N18" s="105"/>
      <c r="O18" s="114"/>
      <c r="P18" s="26"/>
      <c r="Q18" s="101"/>
      <c r="R18" s="106"/>
      <c r="S18" s="1526"/>
      <c r="T18" s="105">
        <v>5</v>
      </c>
      <c r="W18" s="47"/>
      <c r="X18" s="26"/>
      <c r="Y18" s="95"/>
      <c r="Z18" s="105"/>
      <c r="AA18" s="106"/>
      <c r="AB18" s="1565"/>
      <c r="AC18" s="826">
        <v>5</v>
      </c>
      <c r="AD18" s="1559"/>
      <c r="AE18" s="1543"/>
      <c r="AF18" s="826"/>
      <c r="AG18" s="1543"/>
      <c r="AH18" s="1543"/>
      <c r="AI18" s="1559"/>
      <c r="AJ18" s="1554"/>
      <c r="AK18" s="2601"/>
    </row>
    <row r="19" spans="1:37" ht="12" customHeight="1" thickBot="1">
      <c r="A19" s="442"/>
      <c r="B19" s="95"/>
      <c r="C19" s="26"/>
      <c r="D19" s="112"/>
      <c r="E19" s="105"/>
      <c r="F19" s="26"/>
      <c r="G19" s="109"/>
      <c r="H19" s="105"/>
      <c r="I19" s="87">
        <f>IF(J18&gt;0,1,0)</f>
        <v>0</v>
      </c>
      <c r="J19" s="26"/>
      <c r="K19" s="105"/>
      <c r="L19" s="111"/>
      <c r="M19" s="26"/>
      <c r="N19" s="105"/>
      <c r="O19" s="111"/>
      <c r="P19" s="26"/>
      <c r="Q19" s="101"/>
      <c r="R19" s="115">
        <f>IF(S18&gt;0,1,0)</f>
        <v>0</v>
      </c>
      <c r="S19" s="26"/>
      <c r="T19" s="105"/>
      <c r="W19" s="47"/>
      <c r="X19" s="26"/>
      <c r="Y19" s="109"/>
      <c r="Z19" s="105"/>
      <c r="AA19" s="87">
        <f>IF(AB18&gt;0,1,0)</f>
        <v>0</v>
      </c>
      <c r="AB19" s="1543"/>
      <c r="AC19" s="826"/>
      <c r="AD19" s="1567"/>
      <c r="AE19" s="1543"/>
      <c r="AF19" s="826"/>
      <c r="AG19" s="1543"/>
      <c r="AH19" s="1543"/>
      <c r="AI19" s="1559"/>
      <c r="AJ19" s="1554"/>
      <c r="AK19" s="2601"/>
    </row>
    <row r="20" spans="1:37" ht="12" customHeight="1" thickBot="1">
      <c r="A20" s="442"/>
      <c r="B20" s="95"/>
      <c r="C20" s="6514" t="s">
        <v>1601</v>
      </c>
      <c r="D20" s="6514"/>
      <c r="E20" s="105"/>
      <c r="F20" s="6514" t="s">
        <v>1605</v>
      </c>
      <c r="G20" s="6514"/>
      <c r="H20" s="105">
        <v>3</v>
      </c>
      <c r="I20" s="6514" t="s">
        <v>1606</v>
      </c>
      <c r="J20" s="6514"/>
      <c r="K20" s="105">
        <v>4</v>
      </c>
      <c r="L20" s="6514" t="s">
        <v>1607</v>
      </c>
      <c r="M20" s="6514"/>
      <c r="N20" s="105">
        <v>2</v>
      </c>
      <c r="O20" s="6514" t="s">
        <v>1598</v>
      </c>
      <c r="P20" s="6514"/>
      <c r="Q20" s="105">
        <v>4</v>
      </c>
      <c r="R20" s="6514" t="s">
        <v>1606</v>
      </c>
      <c r="S20" s="6514"/>
      <c r="T20" s="105">
        <v>5</v>
      </c>
      <c r="U20" s="6514" t="s">
        <v>1604</v>
      </c>
      <c r="V20" s="6514"/>
      <c r="W20" s="47"/>
      <c r="X20" s="6514" t="s">
        <v>1608</v>
      </c>
      <c r="Y20" s="6514"/>
      <c r="Z20" s="105">
        <v>3</v>
      </c>
      <c r="AA20" s="6514" t="s">
        <v>1609</v>
      </c>
      <c r="AB20" s="6513"/>
      <c r="AC20" s="826">
        <v>5</v>
      </c>
      <c r="AD20" s="6513" t="s">
        <v>1610</v>
      </c>
      <c r="AE20" s="6513"/>
      <c r="AF20" s="826">
        <v>2</v>
      </c>
      <c r="AG20" s="6513" t="s">
        <v>1608</v>
      </c>
      <c r="AH20" s="6513"/>
      <c r="AI20" s="1603">
        <v>3</v>
      </c>
      <c r="AJ20" s="1554"/>
      <c r="AK20" s="2601"/>
    </row>
    <row r="21" spans="1:37" ht="12" customHeight="1" thickBot="1">
      <c r="A21" s="442"/>
      <c r="B21" s="95"/>
      <c r="C21" s="6514"/>
      <c r="D21" s="6514"/>
      <c r="E21" s="102"/>
      <c r="F21" s="6514"/>
      <c r="G21" s="6514"/>
      <c r="H21" s="102"/>
      <c r="I21" s="6514"/>
      <c r="J21" s="6514"/>
      <c r="K21" s="102"/>
      <c r="L21" s="6514"/>
      <c r="M21" s="6514"/>
      <c r="N21" s="102"/>
      <c r="O21" s="6514"/>
      <c r="P21" s="6514"/>
      <c r="Q21" s="105"/>
      <c r="R21" s="6514"/>
      <c r="S21" s="6514"/>
      <c r="T21" s="105"/>
      <c r="U21" s="6514"/>
      <c r="V21" s="6514"/>
      <c r="W21" s="104"/>
      <c r="X21" s="6514"/>
      <c r="Y21" s="6514"/>
      <c r="Z21" s="102"/>
      <c r="AA21" s="6514"/>
      <c r="AB21" s="6513"/>
      <c r="AC21" s="1600"/>
      <c r="AD21" s="6513"/>
      <c r="AE21" s="6513"/>
      <c r="AF21" s="1600"/>
      <c r="AG21" s="6513"/>
      <c r="AH21" s="6513"/>
      <c r="AI21" s="1603"/>
      <c r="AJ21" s="1554"/>
      <c r="AK21" s="2601"/>
    </row>
    <row r="22" spans="1:37" ht="12" customHeight="1">
      <c r="A22" s="442"/>
      <c r="B22" s="95"/>
      <c r="C22" s="6514"/>
      <c r="D22" s="6514"/>
      <c r="E22" s="105"/>
      <c r="F22" s="6514"/>
      <c r="G22" s="6514"/>
      <c r="H22" s="105"/>
      <c r="I22" s="6514"/>
      <c r="J22" s="6514"/>
      <c r="K22" s="105"/>
      <c r="L22" s="6514"/>
      <c r="M22" s="6514"/>
      <c r="N22" s="105"/>
      <c r="O22" s="6514"/>
      <c r="P22" s="6514"/>
      <c r="Q22" s="105"/>
      <c r="R22" s="6514"/>
      <c r="S22" s="6514"/>
      <c r="T22" s="105"/>
      <c r="U22" s="6514"/>
      <c r="V22" s="6514"/>
      <c r="W22" s="47"/>
      <c r="X22" s="6514"/>
      <c r="Y22" s="6514"/>
      <c r="Z22" s="105"/>
      <c r="AA22" s="6514"/>
      <c r="AB22" s="6513"/>
      <c r="AC22" s="826"/>
      <c r="AD22" s="6513"/>
      <c r="AE22" s="6513"/>
      <c r="AF22" s="826"/>
      <c r="AG22" s="6513"/>
      <c r="AH22" s="6513"/>
      <c r="AI22" s="1603"/>
      <c r="AJ22" s="1554"/>
      <c r="AK22" s="2601"/>
    </row>
    <row r="23" spans="1:37" ht="12" customHeight="1" thickBot="1">
      <c r="A23" s="442"/>
      <c r="B23" s="95"/>
      <c r="C23" s="106"/>
      <c r="D23" s="1526"/>
      <c r="E23" s="105">
        <v>5</v>
      </c>
      <c r="F23" s="106" t="str">
        <f>IF(AND($T$12,PDs!$R$17&gt;=Metamagia!H20),"","Nv "&amp;Metamagia!H20)</f>
        <v>Nv 3</v>
      </c>
      <c r="G23" s="1526"/>
      <c r="H23" s="105">
        <v>10</v>
      </c>
      <c r="I23" s="106" t="str">
        <f>IF(AND($T$12,PDs!$R$17&gt;=Metamagia!K20),"","Nv "&amp;Metamagia!K20)</f>
        <v>Nv 4</v>
      </c>
      <c r="J23" s="1526"/>
      <c r="K23" s="105">
        <v>10</v>
      </c>
      <c r="L23" s="106" t="str">
        <f>IF(AND($T$12,PDs!$R$17&gt;=Metamagia!N20),"","Nv "&amp;Metamagia!N20)</f>
        <v>Nv 2</v>
      </c>
      <c r="M23" s="1526"/>
      <c r="N23" s="105">
        <v>5</v>
      </c>
      <c r="O23" s="106" t="str">
        <f>IF(AND($T$12,PDs!$R$17&gt;=Metamagia!Q20),"","Nv "&amp;Metamagia!Q20)</f>
        <v>Nv 4</v>
      </c>
      <c r="P23" s="1526"/>
      <c r="Q23" s="105">
        <v>10</v>
      </c>
      <c r="R23" s="106" t="str">
        <f>IF(AND($T$12,PDs!$R$17&gt;=Metamagia!T20),"","Nv "&amp;Metamagia!T20)</f>
        <v>Nv 5</v>
      </c>
      <c r="S23" s="1526"/>
      <c r="T23" s="105">
        <v>10</v>
      </c>
      <c r="U23" s="106"/>
      <c r="V23" s="1526"/>
      <c r="W23" s="105">
        <v>5</v>
      </c>
      <c r="X23" s="106" t="str">
        <f>IF(AND($T$12,PDs!$R$17&gt;=Metamagia!Z20),"","Nv "&amp;Metamagia!Z20)</f>
        <v>Nv 3</v>
      </c>
      <c r="Y23" s="1526"/>
      <c r="Z23" s="105">
        <v>5</v>
      </c>
      <c r="AA23" s="106" t="str">
        <f>IF(AND($T$12,PDs!$R$17&gt;=Metamagia!AC20),"","Nv "&amp;Metamagia!AC20)</f>
        <v>Nv 5</v>
      </c>
      <c r="AB23" s="1565"/>
      <c r="AC23" s="826">
        <v>10</v>
      </c>
      <c r="AD23" s="106" t="str">
        <f>IF(AND($T$12,PDs!$R$17&gt;=Metamagia!AF20),"","Nv "&amp;Metamagia!AF20)</f>
        <v>Nv 2</v>
      </c>
      <c r="AE23" s="1565"/>
      <c r="AF23" s="826">
        <v>5</v>
      </c>
      <c r="AG23" s="106" t="str">
        <f>IF(AND($T$12,PDs!$R$17&gt;=Metamagia!AI20),"","Nv "&amp;Metamagia!AI20)</f>
        <v>Nv 3</v>
      </c>
      <c r="AH23" s="1565"/>
      <c r="AI23" s="1603">
        <v>5</v>
      </c>
      <c r="AJ23" s="1554"/>
      <c r="AK23" s="2601"/>
    </row>
    <row r="24" spans="1:37" ht="12" customHeight="1" thickBot="1">
      <c r="A24" s="442"/>
      <c r="B24" s="95"/>
      <c r="C24" s="117">
        <f>IF(D23&gt;0,1,0)</f>
        <v>0</v>
      </c>
      <c r="D24" s="93"/>
      <c r="E24" s="105"/>
      <c r="F24" s="108">
        <f>IF(G23&gt;0,1,0)</f>
        <v>0</v>
      </c>
      <c r="G24" s="26"/>
      <c r="H24" s="105"/>
      <c r="I24" s="115">
        <f>IF(J23&gt;0,1,0)</f>
        <v>0</v>
      </c>
      <c r="J24" s="26"/>
      <c r="K24" s="105"/>
      <c r="L24" s="108">
        <f>IF(M23&gt;0,1,0)</f>
        <v>0</v>
      </c>
      <c r="M24" s="26"/>
      <c r="N24" s="105"/>
      <c r="O24" s="87">
        <f>IF(P23&gt;0,1,0)</f>
        <v>0</v>
      </c>
      <c r="P24" s="26"/>
      <c r="Q24" s="105"/>
      <c r="R24" s="115">
        <f>IF(S23&gt;0,1,0)</f>
        <v>0</v>
      </c>
      <c r="S24" s="26"/>
      <c r="T24" s="105"/>
      <c r="U24" s="108">
        <f>IF(V23&gt;0,1,0)</f>
        <v>0</v>
      </c>
      <c r="W24" s="47"/>
      <c r="X24" s="108">
        <f>IF(Y23&gt;0,1,0)</f>
        <v>0</v>
      </c>
      <c r="Y24" s="26"/>
      <c r="Z24" s="105"/>
      <c r="AA24" s="115">
        <f>IF(AB23&gt;0,1,0)</f>
        <v>0</v>
      </c>
      <c r="AB24" s="1543"/>
      <c r="AC24" s="826"/>
      <c r="AD24" s="1606">
        <f>IF(AE23&gt;0,1,0)</f>
        <v>0</v>
      </c>
      <c r="AE24" s="1543"/>
      <c r="AF24" s="826"/>
      <c r="AG24" s="625">
        <f>IF(AH23&gt;0,1,0)</f>
        <v>0</v>
      </c>
      <c r="AH24" s="1568"/>
      <c r="AI24" s="1603"/>
      <c r="AJ24" s="1554"/>
      <c r="AK24" s="2601"/>
    </row>
    <row r="25" spans="1:37" ht="12" customHeight="1" thickBot="1">
      <c r="A25" s="442"/>
      <c r="B25" s="95"/>
      <c r="D25" s="35"/>
      <c r="E25" s="43"/>
      <c r="F25" s="111"/>
      <c r="G25" s="26"/>
      <c r="H25" s="105"/>
      <c r="I25" s="6514" t="s">
        <v>1607</v>
      </c>
      <c r="J25" s="6514"/>
      <c r="K25" s="105">
        <v>6</v>
      </c>
      <c r="L25" s="111"/>
      <c r="M25" s="26"/>
      <c r="N25" s="105"/>
      <c r="O25" s="26"/>
      <c r="P25" s="26"/>
      <c r="Q25" s="105"/>
      <c r="R25" s="6514" t="s">
        <v>1611</v>
      </c>
      <c r="S25" s="6514"/>
      <c r="T25" s="105">
        <v>2</v>
      </c>
      <c r="U25" s="36"/>
      <c r="W25" s="47"/>
      <c r="X25" s="111"/>
      <c r="Y25" s="26"/>
      <c r="Z25" s="105"/>
      <c r="AA25" s="6514" t="s">
        <v>1612</v>
      </c>
      <c r="AB25" s="6513"/>
      <c r="AC25" s="826">
        <v>8</v>
      </c>
      <c r="AD25" s="1567"/>
      <c r="AE25" s="1543"/>
      <c r="AF25" s="826"/>
      <c r="AG25" s="1543"/>
      <c r="AH25" s="1569"/>
      <c r="AI25" s="1603"/>
      <c r="AJ25" s="1554"/>
      <c r="AK25" s="2601"/>
    </row>
    <row r="26" spans="1:37" ht="12" customHeight="1" thickBot="1">
      <c r="A26" s="442"/>
      <c r="B26" s="95"/>
      <c r="D26" s="35"/>
      <c r="E26" s="43"/>
      <c r="F26" s="6514" t="s">
        <v>1603</v>
      </c>
      <c r="G26" s="6514"/>
      <c r="H26" s="105">
        <v>6</v>
      </c>
      <c r="I26" s="6514"/>
      <c r="J26" s="6514"/>
      <c r="K26" s="105"/>
      <c r="L26" s="6514" t="s">
        <v>1605</v>
      </c>
      <c r="M26" s="6514"/>
      <c r="N26" s="105">
        <v>6</v>
      </c>
      <c r="O26" s="26"/>
      <c r="P26" s="26"/>
      <c r="Q26" s="105"/>
      <c r="R26" s="6514"/>
      <c r="S26" s="6514"/>
      <c r="T26" s="110"/>
      <c r="U26" s="67"/>
      <c r="W26" s="47"/>
      <c r="X26" s="6514" t="s">
        <v>1613</v>
      </c>
      <c r="Y26" s="6514"/>
      <c r="Z26" s="105">
        <v>7</v>
      </c>
      <c r="AA26" s="6514"/>
      <c r="AB26" s="6513"/>
      <c r="AC26" s="826"/>
      <c r="AD26" s="6513" t="s">
        <v>1614</v>
      </c>
      <c r="AE26" s="6513"/>
      <c r="AF26" s="826">
        <v>8</v>
      </c>
      <c r="AG26" s="1543"/>
      <c r="AH26" s="1569"/>
      <c r="AI26" s="1546"/>
      <c r="AJ26" s="1554"/>
      <c r="AK26" s="2601"/>
    </row>
    <row r="27" spans="1:37" ht="12" customHeight="1" thickBot="1">
      <c r="A27" s="442"/>
      <c r="B27" s="95"/>
      <c r="D27" s="65"/>
      <c r="E27" s="43"/>
      <c r="F27" s="6514"/>
      <c r="G27" s="6514"/>
      <c r="H27" s="105"/>
      <c r="I27" s="6514"/>
      <c r="J27" s="6514"/>
      <c r="K27" s="105"/>
      <c r="L27" s="6514"/>
      <c r="M27" s="6514"/>
      <c r="N27" s="105"/>
      <c r="O27" s="26"/>
      <c r="P27" s="26"/>
      <c r="Q27" s="101"/>
      <c r="R27" s="6514"/>
      <c r="S27" s="6514"/>
      <c r="T27" s="105"/>
      <c r="W27" s="47"/>
      <c r="X27" s="6514"/>
      <c r="Y27" s="6514"/>
      <c r="Z27" s="105"/>
      <c r="AA27" s="6514"/>
      <c r="AB27" s="6513"/>
      <c r="AC27" s="826"/>
      <c r="AD27" s="6513"/>
      <c r="AE27" s="6513"/>
      <c r="AF27" s="826"/>
      <c r="AG27" s="1543"/>
      <c r="AH27" s="1570"/>
      <c r="AI27" s="1546"/>
      <c r="AJ27" s="1554"/>
      <c r="AK27" s="2601"/>
    </row>
    <row r="28" spans="1:37" ht="12" customHeight="1" thickBot="1">
      <c r="A28" s="442"/>
      <c r="B28" s="95"/>
      <c r="C28" s="6514" t="s">
        <v>1600</v>
      </c>
      <c r="D28" s="6514"/>
      <c r="E28" s="105">
        <v>4</v>
      </c>
      <c r="F28" s="6514"/>
      <c r="G28" s="6514"/>
      <c r="H28" s="105"/>
      <c r="I28" s="106" t="str">
        <f>IF(AND($T$12,PDs!$R$17&gt;=Metamagia!K25),"","Nv "&amp;Metamagia!K25)</f>
        <v>Nv 6</v>
      </c>
      <c r="J28" s="1526"/>
      <c r="K28" s="105">
        <v>10</v>
      </c>
      <c r="L28" s="6514"/>
      <c r="M28" s="6514"/>
      <c r="N28" s="105"/>
      <c r="O28" s="26"/>
      <c r="P28" s="26"/>
      <c r="Q28" s="101"/>
      <c r="R28" s="106" t="str">
        <f>IF(AND($T$12,PDs!$R$17&gt;=Metamagia!T25),"","Nv "&amp;Metamagia!T25)</f>
        <v>Nv 2</v>
      </c>
      <c r="S28" s="1526"/>
      <c r="T28" s="105">
        <v>5</v>
      </c>
      <c r="W28" s="47"/>
      <c r="X28" s="6514"/>
      <c r="Y28" s="6514"/>
      <c r="Z28" s="105"/>
      <c r="AA28" s="106" t="str">
        <f>IF(AND($T$12,PDs!$R$17&gt;=Metamagia!AC25),"","Nv "&amp;Metamagia!AC25)</f>
        <v>Nv 8</v>
      </c>
      <c r="AB28" s="1565"/>
      <c r="AC28" s="826">
        <v>5</v>
      </c>
      <c r="AD28" s="6513"/>
      <c r="AE28" s="6513"/>
      <c r="AF28" s="826"/>
      <c r="AG28" s="6513" t="s">
        <v>1610</v>
      </c>
      <c r="AH28" s="6513"/>
      <c r="AI28" s="1603">
        <v>4</v>
      </c>
      <c r="AJ28" s="1554"/>
      <c r="AK28" s="2601"/>
    </row>
    <row r="29" spans="1:37" ht="12" customHeight="1" thickBot="1">
      <c r="A29" s="442"/>
      <c r="B29" s="95"/>
      <c r="C29" s="6514"/>
      <c r="D29" s="6514"/>
      <c r="E29" s="105"/>
      <c r="F29" s="106" t="str">
        <f>IF(AND($T$12,PDs!$R$17&gt;=Metamagia!H26),"","Nv "&amp;Metamagia!H26)</f>
        <v>Nv 6</v>
      </c>
      <c r="G29" s="1526"/>
      <c r="H29" s="105">
        <v>10</v>
      </c>
      <c r="I29" s="87">
        <f>IF(J28&gt;0,1,0)</f>
        <v>0</v>
      </c>
      <c r="J29" s="26"/>
      <c r="K29" s="105"/>
      <c r="L29" s="106" t="str">
        <f>IF(AND($T$12,PDs!$R$17&gt;=Metamagia!N26),"","Nv "&amp;Metamagia!N26)</f>
        <v>Nv 6</v>
      </c>
      <c r="M29" s="1526"/>
      <c r="N29" s="105">
        <v>10</v>
      </c>
      <c r="O29" s="26"/>
      <c r="R29" s="87">
        <f>IF(S28&gt;0,1,0)</f>
        <v>0</v>
      </c>
      <c r="T29" s="101"/>
      <c r="W29" s="47"/>
      <c r="X29" s="106" t="str">
        <f>IF(AND($T$12,PDs!$R$17&gt;=Metamagia!Z26),"","Nv "&amp;Metamagia!Z26)</f>
        <v>Nv 7</v>
      </c>
      <c r="Y29" s="1526"/>
      <c r="Z29" s="105">
        <v>20</v>
      </c>
      <c r="AA29" s="87">
        <f>IF(AB28&gt;0,1,0)</f>
        <v>0</v>
      </c>
      <c r="AB29" s="1543"/>
      <c r="AC29" s="826"/>
      <c r="AD29" s="106" t="str">
        <f>IF(AND($T$12,PDs!$R$17&gt;=Metamagia!AF26),"","Nv "&amp;Metamagia!AF26)</f>
        <v>Nv 8</v>
      </c>
      <c r="AE29" s="1565"/>
      <c r="AF29" s="826">
        <v>25</v>
      </c>
      <c r="AG29" s="6513"/>
      <c r="AH29" s="6513"/>
      <c r="AI29" s="1603"/>
      <c r="AJ29" s="1554"/>
      <c r="AK29" s="2601"/>
    </row>
    <row r="30" spans="1:37" ht="12" customHeight="1" thickBot="1">
      <c r="A30" s="442"/>
      <c r="B30" s="95"/>
      <c r="C30" s="6514"/>
      <c r="D30" s="6514"/>
      <c r="E30" s="105"/>
      <c r="F30" s="108">
        <f>IF(G29&gt;0,1,0)</f>
        <v>0</v>
      </c>
      <c r="G30" s="112"/>
      <c r="H30" s="103"/>
      <c r="I30" s="6514" t="s">
        <v>1606</v>
      </c>
      <c r="J30" s="6514"/>
      <c r="K30" s="118">
        <v>7</v>
      </c>
      <c r="L30" s="115">
        <f>IF(M29&gt;0,1,0)</f>
        <v>0</v>
      </c>
      <c r="M30" s="26"/>
      <c r="N30" s="105"/>
      <c r="W30" s="47"/>
      <c r="X30" s="108">
        <f>IF(Y29&gt;0,1,0)</f>
        <v>0</v>
      </c>
      <c r="Y30" s="112"/>
      <c r="Z30" s="103"/>
      <c r="AA30" s="6514" t="s">
        <v>1615</v>
      </c>
      <c r="AB30" s="6513"/>
      <c r="AC30" s="1601">
        <v>9</v>
      </c>
      <c r="AD30" s="1607">
        <f>IF(AE29&gt;0,1,0)</f>
        <v>0</v>
      </c>
      <c r="AE30" s="1543"/>
      <c r="AF30" s="826"/>
      <c r="AG30" s="6513"/>
      <c r="AH30" s="6513"/>
      <c r="AI30" s="1603"/>
      <c r="AJ30" s="1554"/>
      <c r="AK30" s="2601"/>
    </row>
    <row r="31" spans="1:37" ht="12" customHeight="1" thickBot="1">
      <c r="A31" s="442"/>
      <c r="B31" s="95"/>
      <c r="C31" s="106" t="str">
        <f>IF(AND($T$12,PDs!$R$17&gt;=Metamagia!E28),"","Nv "&amp;Metamagia!E28)</f>
        <v>Nv 4</v>
      </c>
      <c r="D31" s="1526"/>
      <c r="E31" s="105">
        <v>5</v>
      </c>
      <c r="F31" s="119"/>
      <c r="G31" s="26"/>
      <c r="H31" s="105"/>
      <c r="I31" s="6514"/>
      <c r="J31" s="6514"/>
      <c r="K31" s="120"/>
      <c r="L31" s="26"/>
      <c r="M31" s="26"/>
      <c r="N31" s="105"/>
      <c r="W31" s="47"/>
      <c r="X31" s="119"/>
      <c r="Y31" s="26"/>
      <c r="Z31" s="105"/>
      <c r="AA31" s="6514"/>
      <c r="AB31" s="6513"/>
      <c r="AC31" s="1602"/>
      <c r="AD31" s="1543"/>
      <c r="AE31" s="1543"/>
      <c r="AF31" s="826"/>
      <c r="AG31" s="106" t="str">
        <f>IF(AND($T$12,PDs!$R$17&gt;=Metamagia!AI28),"","Nv "&amp;Metamagia!AI28)</f>
        <v>Nv 4</v>
      </c>
      <c r="AH31" s="1565"/>
      <c r="AI31" s="1603">
        <v>5</v>
      </c>
      <c r="AJ31" s="1554"/>
      <c r="AK31" s="2601"/>
    </row>
    <row r="32" spans="1:37" ht="12" customHeight="1" thickBot="1">
      <c r="A32" s="442"/>
      <c r="B32" s="95"/>
      <c r="C32" s="117">
        <f>IF(D31&gt;0,1,0)</f>
        <v>0</v>
      </c>
      <c r="D32" s="121"/>
      <c r="E32" s="122"/>
      <c r="F32" s="123"/>
      <c r="G32" s="26"/>
      <c r="H32" s="105"/>
      <c r="I32" s="6514"/>
      <c r="J32" s="6514"/>
      <c r="K32" s="120"/>
      <c r="L32" s="26"/>
      <c r="M32" s="26"/>
      <c r="N32" s="105"/>
      <c r="W32" s="47"/>
      <c r="X32" s="123"/>
      <c r="Y32" s="26"/>
      <c r="Z32" s="105"/>
      <c r="AA32" s="6514"/>
      <c r="AB32" s="6513"/>
      <c r="AC32" s="1602"/>
      <c r="AD32" s="1543"/>
      <c r="AE32" s="1543"/>
      <c r="AF32" s="826"/>
      <c r="AG32" s="1609">
        <f>IF(AH31&gt;0,1,0)</f>
        <v>0</v>
      </c>
      <c r="AH32" s="1571"/>
      <c r="AI32" s="1603"/>
      <c r="AJ32" s="1554"/>
      <c r="AK32" s="2601"/>
    </row>
    <row r="33" spans="1:37" ht="12" customHeight="1" thickBot="1">
      <c r="A33" s="442"/>
      <c r="B33" s="95"/>
      <c r="D33" s="35"/>
      <c r="E33" s="43"/>
      <c r="F33" s="6514" t="s">
        <v>1616</v>
      </c>
      <c r="G33" s="6514"/>
      <c r="H33" s="105">
        <v>10</v>
      </c>
      <c r="I33" s="106" t="str">
        <f>IF(AND($T$12,PDs!$R$17&gt;=Metamagia!K30),"","Nv "&amp;Metamagia!K30)</f>
        <v>Nv 7</v>
      </c>
      <c r="J33" s="1526"/>
      <c r="K33" s="120">
        <v>10</v>
      </c>
      <c r="L33" s="26"/>
      <c r="M33" s="26"/>
      <c r="N33" s="105"/>
      <c r="W33" s="47"/>
      <c r="X33" s="6514" t="s">
        <v>1617</v>
      </c>
      <c r="Y33" s="6514"/>
      <c r="Z33" s="105">
        <v>10</v>
      </c>
      <c r="AA33" s="106" t="str">
        <f>IF(AND($T$12,PDs!$R$17&gt;=Metamagia!AC30),"","Nv "&amp;Metamagia!AC30)</f>
        <v>Nv 9</v>
      </c>
      <c r="AB33" s="1565"/>
      <c r="AC33" s="1602">
        <v>20</v>
      </c>
      <c r="AD33" s="1543"/>
      <c r="AE33" s="1543"/>
      <c r="AF33" s="826"/>
      <c r="AG33" s="1543"/>
      <c r="AH33" s="1569"/>
      <c r="AI33" s="1546"/>
      <c r="AJ33" s="1554"/>
      <c r="AK33" s="2601"/>
    </row>
    <row r="34" spans="1:37" ht="12" customHeight="1" thickBot="1">
      <c r="A34" s="442"/>
      <c r="B34" s="95"/>
      <c r="D34" s="65"/>
      <c r="E34" s="43"/>
      <c r="F34" s="6514"/>
      <c r="G34" s="6514"/>
      <c r="H34" s="110"/>
      <c r="I34" s="108">
        <f>IF(J33&gt;0,1,0)</f>
        <v>0</v>
      </c>
      <c r="J34" s="26"/>
      <c r="K34" s="105"/>
      <c r="N34" s="43"/>
      <c r="X34" s="6514"/>
      <c r="Y34" s="6514"/>
      <c r="Z34" s="110"/>
      <c r="AA34" s="115">
        <f>IF(AB33&gt;0,1,0)</f>
        <v>0</v>
      </c>
      <c r="AB34" s="1568"/>
      <c r="AC34" s="826"/>
      <c r="AD34" s="1543"/>
      <c r="AE34" s="1543"/>
      <c r="AF34" s="530"/>
      <c r="AG34" s="1543"/>
      <c r="AH34" s="1570"/>
      <c r="AI34" s="1546"/>
      <c r="AJ34" s="1554"/>
      <c r="AK34" s="2601"/>
    </row>
    <row r="35" spans="1:37" ht="12" customHeight="1" thickBot="1">
      <c r="A35" s="442"/>
      <c r="B35" s="95"/>
      <c r="C35" s="6514" t="s">
        <v>1603</v>
      </c>
      <c r="D35" s="6514"/>
      <c r="E35" s="105">
        <v>5</v>
      </c>
      <c r="F35" s="6514"/>
      <c r="G35" s="6514"/>
      <c r="H35" s="105"/>
      <c r="I35" s="94"/>
      <c r="J35" s="26"/>
      <c r="K35" s="105"/>
      <c r="N35" s="43"/>
      <c r="P35" s="4372" t="s">
        <v>1372</v>
      </c>
      <c r="Q35" s="4372"/>
      <c r="R35" s="4372"/>
      <c r="S35" s="4372"/>
      <c r="T35" s="4372"/>
      <c r="U35" s="4372"/>
      <c r="X35" s="6514"/>
      <c r="Y35" s="6514"/>
      <c r="Z35" s="105"/>
      <c r="AA35" s="26"/>
      <c r="AB35" s="1543"/>
      <c r="AC35" s="826"/>
      <c r="AD35" s="1543"/>
      <c r="AE35" s="1543"/>
      <c r="AF35" s="530"/>
      <c r="AG35" s="6513" t="s">
        <v>1618</v>
      </c>
      <c r="AH35" s="6513"/>
      <c r="AI35" s="1603">
        <v>5</v>
      </c>
      <c r="AJ35" s="1554"/>
      <c r="AK35" s="2601"/>
    </row>
    <row r="36" spans="1:37" ht="12" customHeight="1" thickBot="1">
      <c r="A36" s="442"/>
      <c r="B36" s="95"/>
      <c r="C36" s="6514"/>
      <c r="D36" s="6514"/>
      <c r="E36" s="105"/>
      <c r="F36" s="106" t="str">
        <f>IF(AND($T$12,PDs!$R$17&gt;=Metamagia!H33),"","Nv "&amp;Metamagia!H33)</f>
        <v>Nv 10</v>
      </c>
      <c r="G36" s="1526"/>
      <c r="H36" s="105">
        <v>20</v>
      </c>
      <c r="I36" s="26"/>
      <c r="J36" s="26"/>
      <c r="K36" s="105"/>
      <c r="N36" s="43"/>
      <c r="P36" s="6518" t="s">
        <v>1543</v>
      </c>
      <c r="Q36" s="6518"/>
      <c r="R36" s="6519" t="s">
        <v>1544</v>
      </c>
      <c r="S36" s="6519"/>
      <c r="T36" s="6520" t="s">
        <v>1545</v>
      </c>
      <c r="U36" s="6520"/>
      <c r="X36" s="106" t="str">
        <f>IF(AND($T$12,PDs!$R$17&gt;=Metamagia!Z33),"","Nv "&amp;Metamagia!Z33)</f>
        <v>Nv 10</v>
      </c>
      <c r="Y36" s="1526"/>
      <c r="Z36" s="105">
        <v>20</v>
      </c>
      <c r="AA36" s="26"/>
      <c r="AB36" s="1543"/>
      <c r="AC36" s="826"/>
      <c r="AD36" s="1543"/>
      <c r="AE36" s="1543"/>
      <c r="AF36" s="530"/>
      <c r="AG36" s="6513"/>
      <c r="AH36" s="6513"/>
      <c r="AI36" s="1603"/>
      <c r="AJ36" s="1554"/>
      <c r="AK36" s="2601"/>
    </row>
    <row r="37" spans="1:37" ht="12" customHeight="1" thickBot="1">
      <c r="A37" s="442"/>
      <c r="B37" s="95"/>
      <c r="C37" s="6514"/>
      <c r="D37" s="6514"/>
      <c r="E37" s="105"/>
      <c r="F37" s="87">
        <f>IF(G36&gt;0,1,0)</f>
        <v>0</v>
      </c>
      <c r="H37" s="43"/>
      <c r="I37" s="26"/>
      <c r="J37" s="26"/>
      <c r="K37" s="105"/>
      <c r="L37" s="6514" t="s">
        <v>1619</v>
      </c>
      <c r="M37" s="6514"/>
      <c r="N37" s="105">
        <v>10</v>
      </c>
      <c r="P37" s="6515">
        <f>Místicos!$C$12</f>
        <v>0</v>
      </c>
      <c r="Q37" s="6515"/>
      <c r="R37" s="6533">
        <f>Místicos!$E$12</f>
        <v>0</v>
      </c>
      <c r="S37" s="6533"/>
      <c r="T37" s="6534">
        <f>D23+D31+D38+D45+D53+G14+G23+G29+G36+G47+G53+G62+J13+J18+J23+J28+J33+J43+J48+J53+J58+J63+M14+M23+M29+M40+M47+M53+M62+P23+P53+S18+S23+S28+S48+S53+S58+V23+V53+Y14+Y23+Y29+Y36+Y47+Y53+Y62+AB13+AB18+AB23+AB28+AB33+AB43+AB48+AB53+AB58+AB63+AE14+AE23+AE29+AE40+AE47+AE53+AE62+AH23+AH31+AH38+AH45+AH53</f>
        <v>0</v>
      </c>
      <c r="U37" s="6534"/>
      <c r="X37" s="87">
        <f>IF(Y36&gt;0,1,0)</f>
        <v>0</v>
      </c>
      <c r="Z37" s="43"/>
      <c r="AA37" s="26"/>
      <c r="AB37" s="1543"/>
      <c r="AC37" s="1603"/>
      <c r="AD37" s="6513" t="s">
        <v>1620</v>
      </c>
      <c r="AE37" s="6513"/>
      <c r="AF37" s="826">
        <v>10</v>
      </c>
      <c r="AG37" s="6513"/>
      <c r="AH37" s="6513"/>
      <c r="AI37" s="1603"/>
      <c r="AJ37" s="1554"/>
      <c r="AK37" s="2601"/>
    </row>
    <row r="38" spans="1:37" ht="12" customHeight="1" thickBot="1">
      <c r="A38" s="442"/>
      <c r="B38" s="95"/>
      <c r="C38" s="106" t="str">
        <f>IF(AND($T$12,PDs!$R$17&gt;=Metamagia!E35),"","Nv "&amp;Metamagia!E35)</f>
        <v>Nv 5</v>
      </c>
      <c r="D38" s="1526"/>
      <c r="E38" s="105">
        <v>10</v>
      </c>
      <c r="H38" s="43"/>
      <c r="I38" s="26"/>
      <c r="J38" s="66"/>
      <c r="K38" s="124"/>
      <c r="L38" s="6514"/>
      <c r="M38" s="6514"/>
      <c r="N38" s="125"/>
      <c r="P38" s="6515"/>
      <c r="Q38" s="6515"/>
      <c r="R38" s="6533"/>
      <c r="S38" s="6533"/>
      <c r="T38" s="6534"/>
      <c r="U38" s="6534"/>
      <c r="W38" s="47"/>
      <c r="Z38" s="43"/>
      <c r="AA38" s="26"/>
      <c r="AB38" s="1572"/>
      <c r="AC38" s="1604"/>
      <c r="AD38" s="6513"/>
      <c r="AE38" s="6513"/>
      <c r="AF38" s="826"/>
      <c r="AG38" s="106" t="str">
        <f>IF(AND($T$12,PDs!$R$17&gt;=Metamagia!AI35),"","Nv "&amp;Metamagia!AI35)</f>
        <v>Nv 5</v>
      </c>
      <c r="AH38" s="1565"/>
      <c r="AI38" s="1603">
        <v>5</v>
      </c>
      <c r="AJ38" s="1554"/>
      <c r="AK38" s="2601"/>
    </row>
    <row r="39" spans="1:37" ht="12" customHeight="1" thickBot="1">
      <c r="A39" s="442"/>
      <c r="B39" s="95"/>
      <c r="C39" s="117">
        <f>IF(D38&gt;0,1,0)</f>
        <v>0</v>
      </c>
      <c r="D39" s="93"/>
      <c r="E39" s="105"/>
      <c r="H39" s="43"/>
      <c r="I39" s="111"/>
      <c r="J39" s="26"/>
      <c r="K39" s="105"/>
      <c r="L39" s="6514"/>
      <c r="M39" s="6514"/>
      <c r="N39" s="105"/>
      <c r="W39" s="47"/>
      <c r="Z39" s="43"/>
      <c r="AA39" s="26"/>
      <c r="AB39" s="1570"/>
      <c r="AC39" s="1603"/>
      <c r="AD39" s="6513"/>
      <c r="AE39" s="6513"/>
      <c r="AF39" s="826"/>
      <c r="AG39" s="625">
        <f>IF(AH38&gt;0,1,0)</f>
        <v>0</v>
      </c>
      <c r="AH39" s="1569"/>
      <c r="AI39" s="1603"/>
      <c r="AJ39" s="1554"/>
      <c r="AK39" s="2601"/>
    </row>
    <row r="40" spans="1:37" ht="12" customHeight="1" thickBot="1">
      <c r="A40" s="442"/>
      <c r="B40" s="95"/>
      <c r="C40" s="26"/>
      <c r="D40" s="95"/>
      <c r="E40" s="105"/>
      <c r="F40" s="126"/>
      <c r="G40" s="26"/>
      <c r="H40" s="105"/>
      <c r="I40" s="6514" t="s">
        <v>1621</v>
      </c>
      <c r="J40" s="6514"/>
      <c r="K40" s="105">
        <v>7</v>
      </c>
      <c r="L40" s="106" t="str">
        <f>IF(AND($T$12,PDs!$R$17&gt;=Metamagia!N37),"","Nv "&amp;Metamagia!N37)</f>
        <v>Nv 10</v>
      </c>
      <c r="M40" s="1526"/>
      <c r="N40" s="105">
        <v>20</v>
      </c>
      <c r="W40" s="47"/>
      <c r="Z40" s="43"/>
      <c r="AA40" s="6514" t="s">
        <v>1622</v>
      </c>
      <c r="AB40" s="6513"/>
      <c r="AC40" s="826">
        <v>9</v>
      </c>
      <c r="AD40" s="106" t="str">
        <f>IF(AND($T$12,PDs!$R$17&gt;=Metamagia!AF37),"","Nv "&amp;Metamagia!AF37)</f>
        <v>Nv 10</v>
      </c>
      <c r="AE40" s="1565"/>
      <c r="AF40" s="826">
        <v>20</v>
      </c>
      <c r="AG40" s="1543"/>
      <c r="AH40" s="1569"/>
      <c r="AI40" s="1603"/>
      <c r="AJ40" s="1554"/>
      <c r="AK40" s="2601"/>
    </row>
    <row r="41" spans="1:37" ht="12" customHeight="1" thickBot="1">
      <c r="A41" s="442"/>
      <c r="B41" s="95"/>
      <c r="D41" s="65"/>
      <c r="E41" s="43"/>
      <c r="F41" s="126"/>
      <c r="G41" s="26"/>
      <c r="H41" s="105"/>
      <c r="I41" s="6514"/>
      <c r="J41" s="6514"/>
      <c r="K41" s="105"/>
      <c r="L41" s="87">
        <f>IF(M40&gt;0,1,0)</f>
        <v>0</v>
      </c>
      <c r="M41" s="26"/>
      <c r="N41" s="105"/>
      <c r="W41" s="47"/>
      <c r="X41" s="126"/>
      <c r="Y41" s="26"/>
      <c r="Z41" s="105"/>
      <c r="AA41" s="6514"/>
      <c r="AB41" s="6513"/>
      <c r="AC41" s="826"/>
      <c r="AD41" s="625">
        <f>IF(AE40&gt;0,1,0)</f>
        <v>0</v>
      </c>
      <c r="AE41" s="1543"/>
      <c r="AF41" s="826"/>
      <c r="AG41" s="1543"/>
      <c r="AH41" s="1570"/>
      <c r="AI41" s="1546"/>
      <c r="AJ41" s="1554"/>
      <c r="AK41" s="2601"/>
    </row>
    <row r="42" spans="1:37" ht="12" customHeight="1" thickBot="1">
      <c r="A42" s="442"/>
      <c r="B42" s="95"/>
      <c r="C42" s="6514" t="s">
        <v>1623</v>
      </c>
      <c r="D42" s="6514"/>
      <c r="E42" s="127">
        <v>2</v>
      </c>
      <c r="F42" s="26"/>
      <c r="G42" s="93"/>
      <c r="H42" s="128"/>
      <c r="I42" s="6514"/>
      <c r="J42" s="6514"/>
      <c r="K42" s="129"/>
      <c r="L42" s="130"/>
      <c r="M42" s="26"/>
      <c r="N42" s="105"/>
      <c r="W42" s="47"/>
      <c r="X42" s="26"/>
      <c r="Y42" s="93"/>
      <c r="Z42" s="128"/>
      <c r="AA42" s="6514"/>
      <c r="AB42" s="6513"/>
      <c r="AC42" s="1605"/>
      <c r="AD42" s="1556"/>
      <c r="AE42" s="1543"/>
      <c r="AF42" s="826"/>
      <c r="AG42" s="6513" t="s">
        <v>1624</v>
      </c>
      <c r="AH42" s="6513"/>
      <c r="AI42" s="1603">
        <v>3</v>
      </c>
      <c r="AJ42" s="1554"/>
      <c r="AK42" s="2601"/>
    </row>
    <row r="43" spans="1:37" ht="12" customHeight="1" thickBot="1">
      <c r="A43" s="442"/>
      <c r="B43" s="95"/>
      <c r="C43" s="6514"/>
      <c r="D43" s="6514"/>
      <c r="E43" s="105"/>
      <c r="F43" s="26"/>
      <c r="G43" s="95"/>
      <c r="H43" s="116"/>
      <c r="I43" s="106" t="str">
        <f>IF(AND($T$12,PDs!$R$17&gt;=Metamagia!K40),"","Nv "&amp;Metamagia!K40)</f>
        <v>Nv 7</v>
      </c>
      <c r="J43" s="1526"/>
      <c r="K43" s="125">
        <v>20</v>
      </c>
      <c r="L43" s="114"/>
      <c r="M43" s="26"/>
      <c r="N43" s="105"/>
      <c r="W43" s="47"/>
      <c r="X43" s="26"/>
      <c r="Y43" s="95"/>
      <c r="Z43" s="116"/>
      <c r="AA43" s="106" t="str">
        <f>IF(AND($T$12,PDs!$R$17&gt;=Metamagia!AC40),"","Nv "&amp;Metamagia!AC40)</f>
        <v>Nv 9</v>
      </c>
      <c r="AB43" s="1565"/>
      <c r="AC43" s="753">
        <v>20</v>
      </c>
      <c r="AD43" s="1559"/>
      <c r="AE43" s="1543"/>
      <c r="AF43" s="826"/>
      <c r="AG43" s="6513"/>
      <c r="AH43" s="6513"/>
      <c r="AI43" s="1603"/>
      <c r="AJ43" s="1554"/>
      <c r="AK43" s="2601"/>
    </row>
    <row r="44" spans="1:37" ht="12" customHeight="1" thickBot="1">
      <c r="A44" s="442"/>
      <c r="B44" s="95"/>
      <c r="C44" s="6514"/>
      <c r="D44" s="6514"/>
      <c r="E44" s="105"/>
      <c r="F44" s="6514" t="s">
        <v>1625</v>
      </c>
      <c r="G44" s="6514"/>
      <c r="H44" s="105">
        <v>6</v>
      </c>
      <c r="I44" s="87">
        <f>IF(J43&gt;0,1,0)</f>
        <v>0</v>
      </c>
      <c r="J44" s="26"/>
      <c r="K44" s="105"/>
      <c r="L44" s="6514" t="s">
        <v>1626</v>
      </c>
      <c r="M44" s="6514"/>
      <c r="N44" s="105">
        <v>9</v>
      </c>
      <c r="O44" s="26"/>
      <c r="W44" s="47"/>
      <c r="X44" s="6514" t="s">
        <v>1627</v>
      </c>
      <c r="Y44" s="6514"/>
      <c r="Z44" s="105">
        <v>8</v>
      </c>
      <c r="AA44" s="87">
        <f>IF(AB43&gt;0,1,0)</f>
        <v>0</v>
      </c>
      <c r="AB44" s="1543"/>
      <c r="AC44" s="826"/>
      <c r="AD44" s="6513" t="s">
        <v>1624</v>
      </c>
      <c r="AE44" s="6513"/>
      <c r="AF44" s="826">
        <v>10</v>
      </c>
      <c r="AG44" s="6513"/>
      <c r="AH44" s="6513"/>
      <c r="AI44" s="1603"/>
      <c r="AJ44" s="1554"/>
      <c r="AK44" s="2601"/>
    </row>
    <row r="45" spans="1:37" ht="12" customHeight="1" thickBot="1">
      <c r="A45" s="442"/>
      <c r="B45" s="95"/>
      <c r="C45" s="106" t="str">
        <f>IF(AND($T$12,PDs!$R$17&gt;=Metamagia!E42),"","Nv "&amp;Metamagia!E42)</f>
        <v>Nv 2</v>
      </c>
      <c r="D45" s="1526"/>
      <c r="E45" s="105">
        <v>5</v>
      </c>
      <c r="F45" s="6514"/>
      <c r="G45" s="6514"/>
      <c r="H45" s="105"/>
      <c r="I45" s="6514" t="s">
        <v>1626</v>
      </c>
      <c r="J45" s="6514"/>
      <c r="K45" s="105">
        <v>6</v>
      </c>
      <c r="L45" s="6514"/>
      <c r="M45" s="6514"/>
      <c r="N45" s="105"/>
      <c r="O45" s="26"/>
      <c r="P45" s="26"/>
      <c r="Q45" s="101"/>
      <c r="R45" s="6514" t="s">
        <v>1623</v>
      </c>
      <c r="S45" s="6514"/>
      <c r="T45" s="105">
        <v>2</v>
      </c>
      <c r="W45" s="47"/>
      <c r="X45" s="6514"/>
      <c r="Y45" s="6514"/>
      <c r="Z45" s="105"/>
      <c r="AA45" s="6516" t="s">
        <v>1628</v>
      </c>
      <c r="AB45" s="6517"/>
      <c r="AC45" s="826">
        <v>6</v>
      </c>
      <c r="AD45" s="6513"/>
      <c r="AE45" s="6513"/>
      <c r="AF45" s="826"/>
      <c r="AG45" s="106" t="str">
        <f>IF(AND($T$12,PDs!$R$17&gt;=Metamagia!AI42),"","Nv "&amp;Metamagia!AI42)</f>
        <v>Nv 3</v>
      </c>
      <c r="AH45" s="1565"/>
      <c r="AI45" s="1603">
        <v>5</v>
      </c>
      <c r="AJ45" s="1554"/>
      <c r="AK45" s="2601"/>
    </row>
    <row r="46" spans="1:37" ht="12" customHeight="1" thickBot="1">
      <c r="A46" s="442"/>
      <c r="B46" s="95"/>
      <c r="C46" s="108">
        <f>IF(D45&gt;0,1,0)</f>
        <v>0</v>
      </c>
      <c r="D46" s="26"/>
      <c r="E46" s="105"/>
      <c r="F46" s="6514"/>
      <c r="G46" s="6514"/>
      <c r="H46" s="105"/>
      <c r="I46" s="6514"/>
      <c r="J46" s="6514"/>
      <c r="K46" s="105"/>
      <c r="L46" s="6514"/>
      <c r="M46" s="6514"/>
      <c r="N46" s="105"/>
      <c r="O46" s="26"/>
      <c r="P46" s="112"/>
      <c r="Q46" s="113"/>
      <c r="R46" s="6514"/>
      <c r="S46" s="6514"/>
      <c r="T46" s="105"/>
      <c r="W46" s="47"/>
      <c r="X46" s="6514"/>
      <c r="Y46" s="6514"/>
      <c r="Z46" s="105"/>
      <c r="AA46" s="6516"/>
      <c r="AB46" s="6517"/>
      <c r="AC46" s="826"/>
      <c r="AD46" s="6513"/>
      <c r="AE46" s="6513"/>
      <c r="AF46" s="826"/>
      <c r="AG46" s="1609">
        <f>IF(AH45&gt;0,1,0)</f>
        <v>0</v>
      </c>
      <c r="AH46" s="1568"/>
      <c r="AI46" s="1603"/>
      <c r="AJ46" s="1554"/>
      <c r="AK46" s="2601"/>
    </row>
    <row r="47" spans="1:37" ht="12" customHeight="1" thickBot="1">
      <c r="A47" s="442"/>
      <c r="B47" s="95"/>
      <c r="C47" s="114"/>
      <c r="D47" s="26"/>
      <c r="E47" s="105"/>
      <c r="F47" s="106" t="str">
        <f>IF(AND($T$12,PDs!$R$17&gt;=Metamagia!H44),"","Nv "&amp;Metamagia!H44)</f>
        <v>Nv 6</v>
      </c>
      <c r="G47" s="1526"/>
      <c r="H47" s="105">
        <v>10</v>
      </c>
      <c r="I47" s="6514"/>
      <c r="J47" s="6514"/>
      <c r="K47" s="105"/>
      <c r="L47" s="106" t="str">
        <f>IF(AND($T$12,PDs!$R$17&gt;=Metamagia!N44),"","Nv "&amp;Metamagia!N44)</f>
        <v>Nv 9</v>
      </c>
      <c r="M47" s="1526"/>
      <c r="N47" s="105">
        <v>25</v>
      </c>
      <c r="O47" s="114"/>
      <c r="P47" s="26"/>
      <c r="Q47" s="101"/>
      <c r="R47" s="6514"/>
      <c r="S47" s="6514"/>
      <c r="T47" s="105"/>
      <c r="W47" s="131"/>
      <c r="X47" s="106" t="str">
        <f>IF(AND($T$12,PDs!$R$17&gt;=Metamagia!Z44),"","Nv "&amp;Metamagia!Z44)</f>
        <v>Nv 8</v>
      </c>
      <c r="Y47" s="1526"/>
      <c r="Z47" s="105">
        <v>5</v>
      </c>
      <c r="AA47" s="6516"/>
      <c r="AB47" s="6517"/>
      <c r="AC47" s="826"/>
      <c r="AD47" s="106" t="str">
        <f>IF(AND($T$12,PDs!$R$17&gt;=Metamagia!AF44),"","Nv "&amp;Metamagia!AF44)</f>
        <v>Nv 10</v>
      </c>
      <c r="AE47" s="1565"/>
      <c r="AF47" s="826">
        <v>5</v>
      </c>
      <c r="AG47" s="1543"/>
      <c r="AH47" s="1569"/>
      <c r="AI47" s="1603"/>
      <c r="AJ47" s="1554"/>
      <c r="AK47" s="2601"/>
    </row>
    <row r="48" spans="1:37" ht="12" customHeight="1" thickBot="1">
      <c r="A48" s="442"/>
      <c r="B48" s="95"/>
      <c r="C48" s="114"/>
      <c r="D48" s="26"/>
      <c r="E48" s="105"/>
      <c r="F48" s="108">
        <f>IF(G47&gt;0,1,0)</f>
        <v>0</v>
      </c>
      <c r="G48" s="26"/>
      <c r="H48" s="105"/>
      <c r="I48" s="106" t="str">
        <f>IF(AND($T$12,PDs!$R$17&gt;=Metamagia!K45),"","Nv "&amp;Metamagia!K45)</f>
        <v>Nv 6</v>
      </c>
      <c r="J48" s="1526"/>
      <c r="K48" s="105">
        <v>15</v>
      </c>
      <c r="L48" s="87">
        <f>IF(M47&gt;0,1,0)</f>
        <v>0</v>
      </c>
      <c r="M48" s="93"/>
      <c r="N48" s="105"/>
      <c r="O48" s="114"/>
      <c r="P48" s="26"/>
      <c r="Q48" s="101"/>
      <c r="R48" s="106" t="str">
        <f>IF(AND($T$12,PDs!$R$17&gt;=Metamagia!T45),"","Nv "&amp;Metamagia!T45)</f>
        <v>Nv 2</v>
      </c>
      <c r="S48" s="1526"/>
      <c r="T48" s="105">
        <v>5</v>
      </c>
      <c r="W48" s="47"/>
      <c r="X48" s="108">
        <f>IF(Y47&gt;0,1,0)</f>
        <v>0</v>
      </c>
      <c r="Y48" s="26"/>
      <c r="Z48" s="105"/>
      <c r="AA48" s="106" t="str">
        <f>IF(AND($T$12,PDs!$R$17&gt;=Metamagia!AC45),"","Nv "&amp;Metamagia!AC45)</f>
        <v>Nv 6</v>
      </c>
      <c r="AB48" s="1565"/>
      <c r="AC48" s="826">
        <v>5</v>
      </c>
      <c r="AD48" s="625">
        <f>IF(AE47&gt;0,1,0)</f>
        <v>0</v>
      </c>
      <c r="AE48" s="1568"/>
      <c r="AF48" s="826"/>
      <c r="AG48" s="1543"/>
      <c r="AH48" s="1569"/>
      <c r="AI48" s="1603"/>
      <c r="AJ48" s="1554"/>
      <c r="AK48" s="2601"/>
    </row>
    <row r="49" spans="1:37" ht="12" customHeight="1" thickBot="1">
      <c r="A49" s="442"/>
      <c r="B49" s="95"/>
      <c r="C49" s="111"/>
      <c r="D49" s="26"/>
      <c r="E49" s="105"/>
      <c r="F49" s="111"/>
      <c r="G49" s="26"/>
      <c r="H49" s="105"/>
      <c r="I49" s="115">
        <f>IF(J48&gt;0,1,0)</f>
        <v>0</v>
      </c>
      <c r="J49" s="26"/>
      <c r="K49" s="105"/>
      <c r="L49" s="26"/>
      <c r="M49" s="109"/>
      <c r="N49" s="105"/>
      <c r="O49" s="111"/>
      <c r="P49" s="26"/>
      <c r="Q49" s="101"/>
      <c r="R49" s="115">
        <f>IF(S48&gt;0,1,0)</f>
        <v>0</v>
      </c>
      <c r="S49" s="26"/>
      <c r="T49" s="105"/>
      <c r="W49" s="105"/>
      <c r="X49" s="111"/>
      <c r="Y49" s="26"/>
      <c r="Z49" s="105"/>
      <c r="AA49" s="115">
        <f>IF(AB48&gt;0,1,0)</f>
        <v>0</v>
      </c>
      <c r="AB49" s="1543"/>
      <c r="AC49" s="826"/>
      <c r="AD49" s="1543"/>
      <c r="AE49" s="1570"/>
      <c r="AF49" s="826"/>
      <c r="AG49" s="1572"/>
      <c r="AH49" s="1570"/>
      <c r="AI49" s="1603"/>
      <c r="AJ49" s="1554"/>
      <c r="AK49" s="2601"/>
    </row>
    <row r="50" spans="1:37" ht="12" customHeight="1" thickBot="1">
      <c r="A50" s="442"/>
      <c r="B50" s="95"/>
      <c r="C50" s="6514" t="s">
        <v>1629</v>
      </c>
      <c r="D50" s="6514"/>
      <c r="E50" s="105"/>
      <c r="F50" s="6514" t="s">
        <v>1630</v>
      </c>
      <c r="G50" s="6514"/>
      <c r="H50" s="105">
        <v>3</v>
      </c>
      <c r="I50" s="6514" t="s">
        <v>1631</v>
      </c>
      <c r="J50" s="6514"/>
      <c r="K50" s="105">
        <v>3</v>
      </c>
      <c r="L50" s="6514" t="s">
        <v>1632</v>
      </c>
      <c r="M50" s="6514"/>
      <c r="N50" s="105">
        <v>3</v>
      </c>
      <c r="O50" s="6514" t="s">
        <v>1633</v>
      </c>
      <c r="P50" s="6514"/>
      <c r="Q50" s="101"/>
      <c r="R50" s="6514" t="s">
        <v>1624</v>
      </c>
      <c r="S50" s="6514"/>
      <c r="T50" s="105">
        <v>5</v>
      </c>
      <c r="U50" s="6521" t="s">
        <v>1624</v>
      </c>
      <c r="V50" s="6522"/>
      <c r="W50" s="105">
        <v>4</v>
      </c>
      <c r="X50" s="6514" t="s">
        <v>1634</v>
      </c>
      <c r="Y50" s="6514"/>
      <c r="Z50" s="105">
        <v>3</v>
      </c>
      <c r="AA50" s="6514" t="s">
        <v>1624</v>
      </c>
      <c r="AB50" s="6513"/>
      <c r="AC50" s="826">
        <v>6</v>
      </c>
      <c r="AD50" s="6513" t="s">
        <v>1635</v>
      </c>
      <c r="AE50" s="6513"/>
      <c r="AF50" s="826">
        <v>3</v>
      </c>
      <c r="AG50" s="6513" t="s">
        <v>1636</v>
      </c>
      <c r="AH50" s="6513"/>
      <c r="AI50" s="1603">
        <v>3</v>
      </c>
      <c r="AJ50" s="1554"/>
      <c r="AK50" s="2601"/>
    </row>
    <row r="51" spans="1:37" ht="12" customHeight="1" thickBot="1">
      <c r="A51" s="442"/>
      <c r="B51" s="95"/>
      <c r="C51" s="6514"/>
      <c r="D51" s="6514"/>
      <c r="E51" s="102"/>
      <c r="F51" s="6514"/>
      <c r="G51" s="6514"/>
      <c r="H51" s="102"/>
      <c r="I51" s="6514"/>
      <c r="J51" s="6514"/>
      <c r="K51" s="102"/>
      <c r="L51" s="6514"/>
      <c r="M51" s="6514"/>
      <c r="N51" s="102"/>
      <c r="O51" s="6514"/>
      <c r="P51" s="6514"/>
      <c r="Q51" s="101"/>
      <c r="R51" s="6514"/>
      <c r="S51" s="6514"/>
      <c r="T51" s="105"/>
      <c r="U51" s="6523"/>
      <c r="V51" s="6524"/>
      <c r="W51" s="102"/>
      <c r="X51" s="6514"/>
      <c r="Y51" s="6514"/>
      <c r="Z51" s="102"/>
      <c r="AA51" s="6514"/>
      <c r="AB51" s="6513"/>
      <c r="AC51" s="1600"/>
      <c r="AD51" s="6513"/>
      <c r="AE51" s="6513"/>
      <c r="AF51" s="1600"/>
      <c r="AG51" s="6513"/>
      <c r="AH51" s="6513"/>
      <c r="AI51" s="1603"/>
      <c r="AJ51" s="1554"/>
      <c r="AK51" s="2601"/>
    </row>
    <row r="52" spans="1:37" ht="12" customHeight="1">
      <c r="A52" s="442"/>
      <c r="B52" s="95"/>
      <c r="C52" s="6514"/>
      <c r="D52" s="6514"/>
      <c r="E52" s="105"/>
      <c r="F52" s="6514"/>
      <c r="G52" s="6514"/>
      <c r="H52" s="105"/>
      <c r="I52" s="6514"/>
      <c r="J52" s="6514"/>
      <c r="K52" s="105"/>
      <c r="L52" s="6514"/>
      <c r="M52" s="6514"/>
      <c r="N52" s="105"/>
      <c r="O52" s="6514"/>
      <c r="P52" s="6514"/>
      <c r="Q52" s="101"/>
      <c r="R52" s="6514"/>
      <c r="S52" s="6514"/>
      <c r="T52" s="105"/>
      <c r="U52" s="6525"/>
      <c r="V52" s="6526"/>
      <c r="W52" s="105"/>
      <c r="X52" s="6514"/>
      <c r="Y52" s="6514"/>
      <c r="Z52" s="105"/>
      <c r="AA52" s="6514"/>
      <c r="AB52" s="6513"/>
      <c r="AC52" s="826"/>
      <c r="AD52" s="6513"/>
      <c r="AE52" s="6513"/>
      <c r="AF52" s="826"/>
      <c r="AG52" s="6513"/>
      <c r="AH52" s="6513"/>
      <c r="AI52" s="1603"/>
      <c r="AJ52" s="1554"/>
      <c r="AK52" s="2601"/>
    </row>
    <row r="53" spans="1:37" ht="12" customHeight="1" thickBot="1">
      <c r="A53" s="442"/>
      <c r="B53" s="95"/>
      <c r="C53" s="106"/>
      <c r="D53" s="1526"/>
      <c r="E53" s="105">
        <v>5</v>
      </c>
      <c r="F53" s="106" t="str">
        <f>IF(AND($T$12,PDs!$R$17&gt;=Metamagia!H50),"","Nv "&amp;Metamagia!H50)</f>
        <v>Nv 3</v>
      </c>
      <c r="G53" s="1526"/>
      <c r="H53" s="105">
        <v>10</v>
      </c>
      <c r="I53" s="106" t="str">
        <f>IF(AND($T$12,PDs!$R$17&gt;=Metamagia!K50),"","Nv "&amp;Metamagia!K50)</f>
        <v>Nv 3</v>
      </c>
      <c r="J53" s="1526"/>
      <c r="K53" s="105">
        <v>5</v>
      </c>
      <c r="L53" s="106" t="str">
        <f>IF(AND($T$12,PDs!$R$17&gt;=Metamagia!N50),"","Nv "&amp;Metamagia!N50)</f>
        <v>Nv 3</v>
      </c>
      <c r="M53" s="1526"/>
      <c r="N53" s="105">
        <v>10</v>
      </c>
      <c r="O53" s="106"/>
      <c r="P53" s="1526"/>
      <c r="Q53" s="105">
        <v>5</v>
      </c>
      <c r="R53" s="106" t="str">
        <f>IF(AND($T$12,PDs!$R$17&gt;=Metamagia!T50),"","Nv "&amp;Metamagia!T50)</f>
        <v>Nv 5</v>
      </c>
      <c r="S53" s="1526"/>
      <c r="T53" s="105">
        <v>5</v>
      </c>
      <c r="U53" s="106" t="str">
        <f>IF(AND($T$12,PDs!$R$17&gt;=Metamagia!W50),"","Nv "&amp;Metamagia!W50)</f>
        <v>Nv 4</v>
      </c>
      <c r="V53" s="1526"/>
      <c r="W53" s="105">
        <v>5</v>
      </c>
      <c r="X53" s="106" t="str">
        <f>IF(AND($T$12,PDs!$R$17&gt;=Metamagia!Z50),"","Nv "&amp;Metamagia!Z50)</f>
        <v>Nv 3</v>
      </c>
      <c r="Y53" s="1526"/>
      <c r="Z53" s="105">
        <v>5</v>
      </c>
      <c r="AA53" s="106" t="str">
        <f>IF(AND($T$12,PDs!$R$17&gt;=Metamagia!AC50),"","Nv "&amp;Metamagia!AC50)</f>
        <v>Nv 6</v>
      </c>
      <c r="AB53" s="1565"/>
      <c r="AC53" s="826">
        <v>5</v>
      </c>
      <c r="AD53" s="106" t="str">
        <f>IF(AND($T$12,PDs!$R$17&gt;=Metamagia!AF50),"","Nv "&amp;Metamagia!AF50)</f>
        <v>Nv 3</v>
      </c>
      <c r="AE53" s="1565"/>
      <c r="AF53" s="826">
        <v>5</v>
      </c>
      <c r="AG53" s="106" t="str">
        <f>IF(AND($T$12,PDs!$R$17&gt;=Metamagia!AI50),"","Nv "&amp;Metamagia!AI50)</f>
        <v>Nv 3</v>
      </c>
      <c r="AH53" s="1565"/>
      <c r="AI53" s="1603">
        <v>5</v>
      </c>
      <c r="AJ53" s="1554"/>
      <c r="AK53" s="2601"/>
    </row>
    <row r="54" spans="1:37" ht="12" customHeight="1" thickBot="1">
      <c r="A54" s="442"/>
      <c r="B54" s="95"/>
      <c r="C54" s="87">
        <f>IF(D53&gt;0,1,0)</f>
        <v>0</v>
      </c>
      <c r="D54" s="26"/>
      <c r="E54" s="105"/>
      <c r="F54" s="108">
        <f>IF(G53&gt;0,1,0)</f>
        <v>0</v>
      </c>
      <c r="G54" s="26"/>
      <c r="H54" s="105"/>
      <c r="I54" s="87">
        <f>IF(J53&gt;0,1,0)</f>
        <v>0</v>
      </c>
      <c r="J54" s="26"/>
      <c r="K54" s="105"/>
      <c r="L54" s="87">
        <f>IF(M53&gt;0,1,0)</f>
        <v>0</v>
      </c>
      <c r="M54" s="93"/>
      <c r="N54" s="105"/>
      <c r="O54" s="87">
        <f>IF(P53&gt;0,1,0)</f>
        <v>0</v>
      </c>
      <c r="P54" s="26"/>
      <c r="Q54" s="101"/>
      <c r="R54" s="115">
        <f>IF(S53&gt;0,1,0)</f>
        <v>0</v>
      </c>
      <c r="S54" s="26"/>
      <c r="T54" s="105"/>
      <c r="U54" s="108">
        <f>IF(V53&gt;0,1,0)</f>
        <v>0</v>
      </c>
      <c r="W54" s="47"/>
      <c r="X54" s="108">
        <f>IF(Y53&gt;0,1,0)</f>
        <v>0</v>
      </c>
      <c r="Y54" s="26"/>
      <c r="Z54" s="105"/>
      <c r="AA54" s="87">
        <f>IF(AB53&gt;0,1,0)</f>
        <v>0</v>
      </c>
      <c r="AB54" s="1543"/>
      <c r="AC54" s="826"/>
      <c r="AD54" s="625">
        <f>IF(AE53&gt;0,1,0)</f>
        <v>0</v>
      </c>
      <c r="AE54" s="1568"/>
      <c r="AF54" s="826"/>
      <c r="AG54" s="625">
        <f>IF(AH53&gt;0,1,0)</f>
        <v>0</v>
      </c>
      <c r="AH54" s="1543"/>
      <c r="AI54" s="1603"/>
      <c r="AJ54" s="1554"/>
      <c r="AK54" s="2601"/>
    </row>
    <row r="55" spans="1:37" ht="12" customHeight="1" thickBot="1">
      <c r="A55" s="442"/>
      <c r="B55" s="95"/>
      <c r="C55" s="133"/>
      <c r="D55" s="133"/>
      <c r="E55" s="101"/>
      <c r="F55" s="134"/>
      <c r="G55" s="135"/>
      <c r="H55" s="136"/>
      <c r="I55" s="6514" t="s">
        <v>1637</v>
      </c>
      <c r="J55" s="6514"/>
      <c r="K55" s="105"/>
      <c r="L55" s="26"/>
      <c r="M55" s="95"/>
      <c r="N55" s="105"/>
      <c r="O55" s="26"/>
      <c r="P55" s="26"/>
      <c r="Q55" s="101"/>
      <c r="R55" s="6514" t="s">
        <v>1627</v>
      </c>
      <c r="S55" s="6514"/>
      <c r="T55" s="105">
        <v>5</v>
      </c>
      <c r="U55" s="36"/>
      <c r="W55" s="47"/>
      <c r="X55" s="134"/>
      <c r="Y55" s="135"/>
      <c r="Z55" s="136"/>
      <c r="AA55" s="6514" t="s">
        <v>1624</v>
      </c>
      <c r="AB55" s="6513"/>
      <c r="AC55" s="826"/>
      <c r="AD55" s="1543"/>
      <c r="AE55" s="1569"/>
      <c r="AF55" s="826"/>
      <c r="AG55" s="1543"/>
      <c r="AH55" s="1543"/>
      <c r="AI55" s="1603"/>
      <c r="AJ55" s="1554"/>
      <c r="AK55" s="2601"/>
    </row>
    <row r="56" spans="1:37" ht="12" customHeight="1" thickBot="1">
      <c r="A56" s="442"/>
      <c r="B56" s="35"/>
      <c r="C56" s="42"/>
      <c r="D56" s="42"/>
      <c r="E56" s="47"/>
      <c r="F56" s="137"/>
      <c r="G56" s="138"/>
      <c r="H56" s="139"/>
      <c r="I56" s="6514"/>
      <c r="J56" s="6514"/>
      <c r="K56" s="110"/>
      <c r="L56" s="67"/>
      <c r="M56" s="35"/>
      <c r="N56" s="105"/>
      <c r="O56" s="26"/>
      <c r="P56" s="26"/>
      <c r="Q56" s="101"/>
      <c r="R56" s="6514"/>
      <c r="S56" s="6514"/>
      <c r="T56" s="110"/>
      <c r="U56" s="67"/>
      <c r="W56" s="47"/>
      <c r="X56" s="137"/>
      <c r="Y56" s="138"/>
      <c r="Z56" s="139"/>
      <c r="AA56" s="6514"/>
      <c r="AB56" s="6513"/>
      <c r="AC56" s="832"/>
      <c r="AD56" s="1567"/>
      <c r="AE56" s="1569"/>
      <c r="AF56" s="826"/>
      <c r="AG56" s="1543"/>
      <c r="AH56" s="1543"/>
      <c r="AI56" s="1546"/>
      <c r="AJ56" s="1554"/>
      <c r="AK56" s="2601"/>
    </row>
    <row r="57" spans="1:37" ht="12" customHeight="1">
      <c r="A57" s="442"/>
      <c r="B57" s="35"/>
      <c r="C57" s="42"/>
      <c r="D57" s="42"/>
      <c r="E57" s="47"/>
      <c r="F57" s="140"/>
      <c r="G57" s="141"/>
      <c r="H57" s="105"/>
      <c r="I57" s="6514"/>
      <c r="J57" s="6514"/>
      <c r="K57" s="105"/>
      <c r="M57" s="35"/>
      <c r="N57" s="105"/>
      <c r="O57" s="26"/>
      <c r="P57" s="26"/>
      <c r="Q57" s="101"/>
      <c r="R57" s="6514"/>
      <c r="S57" s="6514"/>
      <c r="T57" s="105"/>
      <c r="W57" s="47"/>
      <c r="X57" s="140"/>
      <c r="Y57" s="141"/>
      <c r="Z57" s="105"/>
      <c r="AA57" s="6514"/>
      <c r="AB57" s="6513"/>
      <c r="AC57" s="826"/>
      <c r="AD57" s="1543"/>
      <c r="AE57" s="1569"/>
      <c r="AF57" s="826"/>
      <c r="AG57" s="1543"/>
      <c r="AH57" s="1543"/>
      <c r="AI57" s="1546"/>
      <c r="AJ57" s="1554"/>
      <c r="AK57" s="2601"/>
    </row>
    <row r="58" spans="1:37" ht="12" customHeight="1" thickBot="1">
      <c r="A58" s="442"/>
      <c r="B58" s="35"/>
      <c r="C58" s="42"/>
      <c r="D58" s="42"/>
      <c r="E58" s="84"/>
      <c r="F58" s="142"/>
      <c r="G58" s="141"/>
      <c r="H58" s="105"/>
      <c r="I58" s="106"/>
      <c r="J58" s="1526"/>
      <c r="K58" s="105">
        <v>10</v>
      </c>
      <c r="M58" s="65"/>
      <c r="N58" s="105"/>
      <c r="O58" s="26"/>
      <c r="P58" s="26"/>
      <c r="Q58" s="131"/>
      <c r="R58" s="106" t="str">
        <f>IF(AND($T$12,PDs!$R$17&gt;=Metamagia!T55),"","Nv "&amp;Metamagia!T55)</f>
        <v>Nv 5</v>
      </c>
      <c r="S58" s="1526"/>
      <c r="T58" s="105">
        <v>5</v>
      </c>
      <c r="W58" s="47"/>
      <c r="X58" s="142"/>
      <c r="Y58" s="141"/>
      <c r="Z58" s="105"/>
      <c r="AA58" s="106"/>
      <c r="AB58" s="1565"/>
      <c r="AC58" s="826">
        <v>5</v>
      </c>
      <c r="AD58" s="1543"/>
      <c r="AE58" s="1570"/>
      <c r="AF58" s="826"/>
      <c r="AG58" s="1543"/>
      <c r="AH58" s="1543"/>
      <c r="AI58" s="1546"/>
      <c r="AJ58" s="1554"/>
      <c r="AK58" s="2601"/>
    </row>
    <row r="59" spans="1:37" ht="12" customHeight="1" thickBot="1">
      <c r="A59" s="442"/>
      <c r="B59" s="35"/>
      <c r="C59" s="42"/>
      <c r="D59" s="42"/>
      <c r="E59" s="84"/>
      <c r="F59" s="6514" t="s">
        <v>1638</v>
      </c>
      <c r="G59" s="6514"/>
      <c r="H59" s="105"/>
      <c r="I59" s="115">
        <f>IF(J58&gt;0,1,0)</f>
        <v>0</v>
      </c>
      <c r="K59" s="105"/>
      <c r="L59" s="6514" t="s">
        <v>1623</v>
      </c>
      <c r="M59" s="6514"/>
      <c r="N59" s="105"/>
      <c r="Q59" s="47"/>
      <c r="R59" s="87">
        <f>IF(S58&gt;0,1,0)</f>
        <v>0</v>
      </c>
      <c r="T59" s="47"/>
      <c r="W59" s="47"/>
      <c r="X59" s="6514" t="s">
        <v>1627</v>
      </c>
      <c r="Y59" s="6514"/>
      <c r="Z59" s="105"/>
      <c r="AA59" s="115">
        <f>IF(AB58&gt;0,1,0)</f>
        <v>0</v>
      </c>
      <c r="AB59" s="1543"/>
      <c r="AC59" s="826"/>
      <c r="AD59" s="6513" t="s">
        <v>1636</v>
      </c>
      <c r="AE59" s="6513"/>
      <c r="AF59" s="826"/>
      <c r="AG59" s="1543"/>
      <c r="AH59" s="1543"/>
      <c r="AI59" s="1546"/>
      <c r="AJ59" s="1554"/>
      <c r="AK59" s="2601"/>
    </row>
    <row r="60" spans="1:37" ht="12" customHeight="1" thickBot="1">
      <c r="A60" s="504"/>
      <c r="B60" s="143"/>
      <c r="C60" s="42"/>
      <c r="D60" s="42"/>
      <c r="E60" s="84"/>
      <c r="F60" s="6514"/>
      <c r="G60" s="6514"/>
      <c r="H60" s="102"/>
      <c r="I60" s="6514" t="s">
        <v>1631</v>
      </c>
      <c r="J60" s="6514"/>
      <c r="K60" s="104"/>
      <c r="L60" s="6514"/>
      <c r="M60" s="6514"/>
      <c r="N60" s="105"/>
      <c r="T60" s="47"/>
      <c r="W60" s="47"/>
      <c r="X60" s="6514"/>
      <c r="Y60" s="6514"/>
      <c r="Z60" s="102"/>
      <c r="AA60" s="6514" t="s">
        <v>1624</v>
      </c>
      <c r="AB60" s="6513"/>
      <c r="AC60" s="1600"/>
      <c r="AD60" s="6513"/>
      <c r="AE60" s="6513"/>
      <c r="AF60" s="826"/>
      <c r="AG60" s="1543"/>
      <c r="AH60" s="1543"/>
      <c r="AI60" s="1546"/>
      <c r="AJ60" s="1554"/>
      <c r="AK60" s="2601"/>
    </row>
    <row r="61" spans="1:37" ht="12" customHeight="1" thickBot="1">
      <c r="A61" s="504"/>
      <c r="B61" s="143"/>
      <c r="C61" s="42"/>
      <c r="D61" s="42"/>
      <c r="E61" s="84"/>
      <c r="F61" s="6514"/>
      <c r="G61" s="6514"/>
      <c r="H61" s="105"/>
      <c r="I61" s="6514"/>
      <c r="J61" s="6514"/>
      <c r="K61" s="47"/>
      <c r="L61" s="6514"/>
      <c r="M61" s="6514"/>
      <c r="N61" s="105"/>
      <c r="T61" s="47"/>
      <c r="W61" s="47"/>
      <c r="X61" s="6514"/>
      <c r="Y61" s="6514"/>
      <c r="Z61" s="105"/>
      <c r="AA61" s="6514"/>
      <c r="AB61" s="6513"/>
      <c r="AC61" s="826"/>
      <c r="AD61" s="6513"/>
      <c r="AE61" s="6513"/>
      <c r="AF61" s="826"/>
      <c r="AG61" s="1543"/>
      <c r="AH61" s="1543"/>
      <c r="AI61" s="1546"/>
      <c r="AJ61" s="1554"/>
      <c r="AK61" s="2601"/>
    </row>
    <row r="62" spans="1:37" ht="12" customHeight="1" thickBot="1">
      <c r="A62" s="504"/>
      <c r="B62" s="143"/>
      <c r="C62" s="42"/>
      <c r="D62" s="42"/>
      <c r="F62" s="106"/>
      <c r="G62" s="1526"/>
      <c r="H62" s="105">
        <v>5</v>
      </c>
      <c r="I62" s="6514"/>
      <c r="J62" s="6514"/>
      <c r="K62" s="47"/>
      <c r="L62" s="106"/>
      <c r="M62" s="1526"/>
      <c r="N62" s="105">
        <v>5</v>
      </c>
      <c r="T62" s="47"/>
      <c r="W62" s="131"/>
      <c r="X62" s="106"/>
      <c r="Y62" s="1526"/>
      <c r="Z62" s="105">
        <v>5</v>
      </c>
      <c r="AA62" s="6514"/>
      <c r="AB62" s="6513"/>
      <c r="AC62" s="826"/>
      <c r="AD62" s="1608"/>
      <c r="AE62" s="1565"/>
      <c r="AF62" s="826">
        <v>5</v>
      </c>
      <c r="AG62" s="1543"/>
      <c r="AH62" s="1543"/>
      <c r="AI62" s="1559"/>
      <c r="AJ62" s="1554"/>
      <c r="AK62" s="2601"/>
    </row>
    <row r="63" spans="1:37" ht="12" customHeight="1" thickBot="1">
      <c r="A63" s="504"/>
      <c r="B63" s="143"/>
      <c r="C63" s="42"/>
      <c r="D63" s="42"/>
      <c r="F63" s="87">
        <f>IF(G62&gt;0,1,0)</f>
        <v>0</v>
      </c>
      <c r="G63" s="141"/>
      <c r="H63" s="47"/>
      <c r="I63" s="106"/>
      <c r="J63" s="1526"/>
      <c r="K63" s="105">
        <v>5</v>
      </c>
      <c r="L63" s="87">
        <f>IF(M62&gt;0,1,0)</f>
        <v>0</v>
      </c>
      <c r="N63" s="43"/>
      <c r="X63" s="87">
        <f>IF(Y62&gt;0,1,0)</f>
        <v>0</v>
      </c>
      <c r="Y63" s="141"/>
      <c r="Z63" s="47"/>
      <c r="AA63" s="106"/>
      <c r="AB63" s="1565"/>
      <c r="AC63" s="826">
        <v>5</v>
      </c>
      <c r="AD63" s="625">
        <f>IF(AE62&gt;0,1,0)</f>
        <v>0</v>
      </c>
      <c r="AE63" s="1543"/>
      <c r="AF63" s="1564"/>
      <c r="AG63" s="1543"/>
      <c r="AH63" s="1543"/>
      <c r="AI63" s="1559"/>
      <c r="AJ63" s="1554"/>
      <c r="AK63" s="2601"/>
    </row>
    <row r="64" spans="1:37" ht="12" customHeight="1">
      <c r="A64" s="504"/>
      <c r="B64" s="143"/>
      <c r="D64" s="42"/>
      <c r="E64" s="42"/>
      <c r="G64" s="144"/>
      <c r="H64" s="145"/>
      <c r="I64" s="87">
        <f>IF(J63&gt;0,1,0)</f>
        <v>0</v>
      </c>
      <c r="K64" s="47"/>
      <c r="Z64" s="47"/>
      <c r="AA64" s="87">
        <f>IF(AB63&gt;0,1,0)</f>
        <v>0</v>
      </c>
      <c r="AB64" s="1543"/>
      <c r="AC64" s="1543"/>
      <c r="AD64" s="1543"/>
      <c r="AE64" s="1543"/>
      <c r="AF64" s="1543"/>
      <c r="AG64" s="1543"/>
      <c r="AH64" s="1543"/>
      <c r="AI64" s="1559"/>
      <c r="AJ64" s="1554"/>
      <c r="AK64" s="2601"/>
    </row>
    <row r="65" spans="1:37" ht="12" customHeight="1" thickBot="1">
      <c r="A65" s="504"/>
      <c r="B65" s="146"/>
      <c r="C65" s="66"/>
      <c r="D65" s="147"/>
      <c r="E65" s="147"/>
      <c r="F65" s="66"/>
      <c r="G65" s="148"/>
      <c r="H65" s="149"/>
      <c r="I65" s="66"/>
      <c r="J65" s="66"/>
      <c r="K65" s="66"/>
      <c r="L65" s="66"/>
      <c r="M65" s="66"/>
      <c r="N65" s="66"/>
      <c r="O65" s="66"/>
      <c r="P65" s="66"/>
      <c r="Q65" s="66"/>
      <c r="R65" s="66"/>
      <c r="S65" s="66"/>
      <c r="T65" s="66"/>
      <c r="U65" s="66"/>
      <c r="V65" s="66"/>
      <c r="W65" s="66"/>
      <c r="X65" s="66"/>
      <c r="Y65" s="66"/>
      <c r="Z65" s="66"/>
      <c r="AA65" s="66"/>
      <c r="AB65" s="1572"/>
      <c r="AC65" s="1572"/>
      <c r="AD65" s="1572"/>
      <c r="AE65" s="1572"/>
      <c r="AF65" s="1572"/>
      <c r="AG65" s="1572"/>
      <c r="AH65" s="1572"/>
      <c r="AI65" s="1567"/>
      <c r="AJ65" s="1554"/>
      <c r="AK65" s="2601"/>
    </row>
    <row r="66" spans="1:37" ht="12" customHeight="1">
      <c r="A66" s="442"/>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554"/>
      <c r="AC66" s="1554"/>
      <c r="AD66" s="1554"/>
      <c r="AE66" s="1554"/>
      <c r="AF66" s="1554"/>
      <c r="AG66" s="1554"/>
      <c r="AH66" s="1554"/>
      <c r="AI66" s="1554"/>
      <c r="AJ66" s="1554"/>
      <c r="AK66" s="2607"/>
    </row>
  </sheetData>
  <sheetProtection sheet="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2154" priority="142" stopIfTrue="1" operator="greaterThan">
      <formula>$P$37</formula>
    </cfRule>
  </conditionalFormatting>
  <conditionalFormatting sqref="F11:G13">
    <cfRule type="expression" dxfId="2153" priority="68" stopIfTrue="1">
      <formula>$G$14&gt;0</formula>
    </cfRule>
  </conditionalFormatting>
  <conditionalFormatting sqref="I10:J12">
    <cfRule type="expression" dxfId="2152" priority="67" stopIfTrue="1">
      <formula>$J$13&gt;0</formula>
    </cfRule>
  </conditionalFormatting>
  <conditionalFormatting sqref="L11:M13">
    <cfRule type="expression" dxfId="2151" priority="66" stopIfTrue="1">
      <formula>$M$14&gt;0</formula>
    </cfRule>
  </conditionalFormatting>
  <conditionalFormatting sqref="I15:J17">
    <cfRule type="expression" dxfId="2150" priority="65" stopIfTrue="1">
      <formula>$J$18&gt;0</formula>
    </cfRule>
  </conditionalFormatting>
  <conditionalFormatting sqref="C20:D22">
    <cfRule type="expression" dxfId="2149" priority="64" stopIfTrue="1">
      <formula>$D$23&gt;0</formula>
    </cfRule>
  </conditionalFormatting>
  <conditionalFormatting sqref="F20:G22">
    <cfRule type="expression" dxfId="2148" priority="63" stopIfTrue="1">
      <formula>$G$23&gt;0</formula>
    </cfRule>
  </conditionalFormatting>
  <conditionalFormatting sqref="I20:J22">
    <cfRule type="expression" dxfId="2147" priority="62" stopIfTrue="1">
      <formula>$J$23&gt;0</formula>
    </cfRule>
  </conditionalFormatting>
  <conditionalFormatting sqref="L20:M22">
    <cfRule type="expression" dxfId="2146" priority="61" stopIfTrue="1">
      <formula>$M$23&gt;0</formula>
    </cfRule>
  </conditionalFormatting>
  <conditionalFormatting sqref="O20:P22">
    <cfRule type="expression" dxfId="2145" priority="60" stopIfTrue="1">
      <formula>$P$23&gt;0</formula>
    </cfRule>
  </conditionalFormatting>
  <conditionalFormatting sqref="R15:S17">
    <cfRule type="expression" dxfId="2144" priority="59" stopIfTrue="1">
      <formula>$S$18&gt;0</formula>
    </cfRule>
  </conditionalFormatting>
  <conditionalFormatting sqref="R20:S22">
    <cfRule type="expression" dxfId="2143" priority="58" stopIfTrue="1">
      <formula>$S$23&gt;0</formula>
    </cfRule>
  </conditionalFormatting>
  <conditionalFormatting sqref="R25:S27">
    <cfRule type="expression" dxfId="2142" priority="57" stopIfTrue="1">
      <formula>$S$28&gt;0</formula>
    </cfRule>
  </conditionalFormatting>
  <conditionalFormatting sqref="U20:V22">
    <cfRule type="expression" dxfId="2141" priority="56" stopIfTrue="1">
      <formula>$V$23&gt;0</formula>
    </cfRule>
  </conditionalFormatting>
  <conditionalFormatting sqref="X20:Y22">
    <cfRule type="expression" dxfId="2140" priority="55" stopIfTrue="1">
      <formula>$Y$23&gt;0</formula>
    </cfRule>
  </conditionalFormatting>
  <conditionalFormatting sqref="X11:Y13">
    <cfRule type="expression" dxfId="2139" priority="54" stopIfTrue="1">
      <formula>$Y$14&gt;0</formula>
    </cfRule>
  </conditionalFormatting>
  <conditionalFormatting sqref="AA10:AB12">
    <cfRule type="expression" dxfId="2138" priority="53" stopIfTrue="1">
      <formula>$AB$13&gt;0</formula>
    </cfRule>
  </conditionalFormatting>
  <conditionalFormatting sqref="AD11:AE13">
    <cfRule type="expression" dxfId="2137" priority="52" stopIfTrue="1">
      <formula>$AE$14&gt;0</formula>
    </cfRule>
  </conditionalFormatting>
  <conditionalFormatting sqref="AA15:AB17">
    <cfRule type="expression" dxfId="2136" priority="51" stopIfTrue="1">
      <formula>$AB$18&gt;0</formula>
    </cfRule>
  </conditionalFormatting>
  <conditionalFormatting sqref="AA20:AB22">
    <cfRule type="expression" dxfId="2135" priority="50" stopIfTrue="1">
      <formula>$AB$23&gt;0</formula>
    </cfRule>
  </conditionalFormatting>
  <conditionalFormatting sqref="AD20:AE22">
    <cfRule type="expression" dxfId="2134" priority="49" stopIfTrue="1">
      <formula>$AE$23&gt;0</formula>
    </cfRule>
  </conditionalFormatting>
  <conditionalFormatting sqref="AG20:AH22">
    <cfRule type="expression" dxfId="2133" priority="48" stopIfTrue="1">
      <formula>$AH$23&gt;0</formula>
    </cfRule>
  </conditionalFormatting>
  <conditionalFormatting sqref="AG28:AH30">
    <cfRule type="expression" dxfId="2132" priority="47" stopIfTrue="1">
      <formula>$AH$31&gt;0</formula>
    </cfRule>
  </conditionalFormatting>
  <conditionalFormatting sqref="AD26:AE28">
    <cfRule type="expression" dxfId="2131" priority="46" stopIfTrue="1">
      <formula>$AE$29&gt;0</formula>
    </cfRule>
  </conditionalFormatting>
  <conditionalFormatting sqref="AA25:AB27">
    <cfRule type="expression" dxfId="2130" priority="45" stopIfTrue="1">
      <formula>$AB$28&gt;0</formula>
    </cfRule>
  </conditionalFormatting>
  <conditionalFormatting sqref="X26:Y28">
    <cfRule type="expression" dxfId="2129" priority="44" stopIfTrue="1">
      <formula>$Y$29&gt;0</formula>
    </cfRule>
  </conditionalFormatting>
  <conditionalFormatting sqref="AA30:AB32">
    <cfRule type="expression" dxfId="2128" priority="43" stopIfTrue="1">
      <formula>$AB$33&gt;0</formula>
    </cfRule>
  </conditionalFormatting>
  <conditionalFormatting sqref="X33:Y35">
    <cfRule type="expression" dxfId="2127" priority="42" stopIfTrue="1">
      <formula>$Y$36&gt;0</formula>
    </cfRule>
  </conditionalFormatting>
  <conditionalFormatting sqref="AG35:AH37">
    <cfRule type="expression" dxfId="2126" priority="41" stopIfTrue="1">
      <formula>$AH$38&gt;0</formula>
    </cfRule>
  </conditionalFormatting>
  <conditionalFormatting sqref="AG42:AH44">
    <cfRule type="expression" dxfId="2125" priority="40" stopIfTrue="1">
      <formula>$AH$45&gt;0</formula>
    </cfRule>
  </conditionalFormatting>
  <conditionalFormatting sqref="AG50:AH52">
    <cfRule type="expression" dxfId="2124" priority="39" stopIfTrue="1">
      <formula>$AH$53&gt;0</formula>
    </cfRule>
  </conditionalFormatting>
  <conditionalFormatting sqref="AD50:AE52">
    <cfRule type="expression" dxfId="2123" priority="38" stopIfTrue="1">
      <formula>$AE$53&gt;0</formula>
    </cfRule>
  </conditionalFormatting>
  <conditionalFormatting sqref="AD44:AE46">
    <cfRule type="expression" dxfId="2122" priority="37" stopIfTrue="1">
      <formula>$AE$47&gt;0</formula>
    </cfRule>
  </conditionalFormatting>
  <conditionalFormatting sqref="AA40:AB42">
    <cfRule type="expression" dxfId="2121" priority="36" stopIfTrue="1">
      <formula>$AB$43&gt;0</formula>
    </cfRule>
  </conditionalFormatting>
  <conditionalFormatting sqref="AD37:AE39">
    <cfRule type="expression" dxfId="2120" priority="35" stopIfTrue="1">
      <formula>$AE$40&gt;0</formula>
    </cfRule>
  </conditionalFormatting>
  <conditionalFormatting sqref="X44:Y46">
    <cfRule type="expression" dxfId="2119" priority="34" stopIfTrue="1">
      <formula>$Y$47&gt;0</formula>
    </cfRule>
  </conditionalFormatting>
  <conditionalFormatting sqref="AA50:AB52">
    <cfRule type="expression" dxfId="2118" priority="33" stopIfTrue="1">
      <formula>$AB$53&gt;0</formula>
    </cfRule>
  </conditionalFormatting>
  <conditionalFormatting sqref="X50:Y52">
    <cfRule type="expression" dxfId="2117" priority="32" stopIfTrue="1">
      <formula>$Y$53&gt;0</formula>
    </cfRule>
  </conditionalFormatting>
  <conditionalFormatting sqref="X59:Y61">
    <cfRule type="expression" dxfId="2116" priority="31" stopIfTrue="1">
      <formula>$Y$62&gt;0</formula>
    </cfRule>
  </conditionalFormatting>
  <conditionalFormatting sqref="AA55:AB57">
    <cfRule type="expression" dxfId="2115" priority="30" stopIfTrue="1">
      <formula>$AB$58&gt;0</formula>
    </cfRule>
  </conditionalFormatting>
  <conditionalFormatting sqref="AA60:AB62">
    <cfRule type="expression" dxfId="2114" priority="29" stopIfTrue="1">
      <formula>$AB$63&gt;0</formula>
    </cfRule>
  </conditionalFormatting>
  <conditionalFormatting sqref="AD59:AE61">
    <cfRule type="expression" dxfId="2113" priority="28" stopIfTrue="1">
      <formula>$AE$62&gt;0</formula>
    </cfRule>
  </conditionalFormatting>
  <conditionalFormatting sqref="U50:V52">
    <cfRule type="expression" dxfId="2112" priority="27" stopIfTrue="1">
      <formula>$V$53&gt;0</formula>
    </cfRule>
  </conditionalFormatting>
  <conditionalFormatting sqref="R55:S57">
    <cfRule type="expression" dxfId="2111" priority="26" stopIfTrue="1">
      <formula>$S$58&gt;0</formula>
    </cfRule>
  </conditionalFormatting>
  <conditionalFormatting sqref="R50:S52">
    <cfRule type="expression" dxfId="2110" priority="25" stopIfTrue="1">
      <formula>$S$53&gt;0</formula>
    </cfRule>
  </conditionalFormatting>
  <conditionalFormatting sqref="R45:S47">
    <cfRule type="expression" dxfId="2109" priority="24" stopIfTrue="1">
      <formula>$S$48&gt;0</formula>
    </cfRule>
  </conditionalFormatting>
  <conditionalFormatting sqref="O50:P52">
    <cfRule type="expression" dxfId="2108" priority="23" stopIfTrue="1">
      <formula>$P$53&gt;0</formula>
    </cfRule>
  </conditionalFormatting>
  <conditionalFormatting sqref="L50:M52">
    <cfRule type="expression" dxfId="2107" priority="22" stopIfTrue="1">
      <formula>$M$53&gt;0</formula>
    </cfRule>
  </conditionalFormatting>
  <conditionalFormatting sqref="L44:M46">
    <cfRule type="expression" dxfId="2106" priority="21" stopIfTrue="1">
      <formula>$M$47&gt;0</formula>
    </cfRule>
  </conditionalFormatting>
  <conditionalFormatting sqref="I40:J42">
    <cfRule type="expression" dxfId="2105" priority="20" stopIfTrue="1">
      <formula>$J$43&gt;0</formula>
    </cfRule>
  </conditionalFormatting>
  <conditionalFormatting sqref="L37:M39">
    <cfRule type="expression" dxfId="2104" priority="19" stopIfTrue="1">
      <formula>$M$40&gt;0</formula>
    </cfRule>
  </conditionalFormatting>
  <conditionalFormatting sqref="L59:M61">
    <cfRule type="expression" dxfId="2103" priority="18" stopIfTrue="1">
      <formula>$M$62&gt;0</formula>
    </cfRule>
  </conditionalFormatting>
  <conditionalFormatting sqref="I60:J62">
    <cfRule type="expression" dxfId="2102" priority="17" stopIfTrue="1">
      <formula>$J$63&gt;0</formula>
    </cfRule>
  </conditionalFormatting>
  <conditionalFormatting sqref="F59:G61">
    <cfRule type="expression" dxfId="2101" priority="16" stopIfTrue="1">
      <formula>$G$62&gt;0</formula>
    </cfRule>
  </conditionalFormatting>
  <conditionalFormatting sqref="I55:J57">
    <cfRule type="expression" dxfId="2100" priority="15" stopIfTrue="1">
      <formula>$J$58&gt;0</formula>
    </cfRule>
  </conditionalFormatting>
  <conditionalFormatting sqref="I50:J52">
    <cfRule type="expression" dxfId="2099" priority="14" stopIfTrue="1">
      <formula>$J$53&gt;0</formula>
    </cfRule>
  </conditionalFormatting>
  <conditionalFormatting sqref="F50:G52">
    <cfRule type="expression" dxfId="2098" priority="13" stopIfTrue="1">
      <formula>$G$53&gt;0</formula>
    </cfRule>
  </conditionalFormatting>
  <conditionalFormatting sqref="F44:G46">
    <cfRule type="expression" dxfId="2097" priority="12" stopIfTrue="1">
      <formula>$G$47&gt;0</formula>
    </cfRule>
  </conditionalFormatting>
  <conditionalFormatting sqref="I45:J47">
    <cfRule type="expression" dxfId="2096" priority="11" stopIfTrue="1">
      <formula>$J$48&gt;0</formula>
    </cfRule>
  </conditionalFormatting>
  <conditionalFormatting sqref="C50:D52">
    <cfRule type="expression" dxfId="2095" priority="10" stopIfTrue="1">
      <formula>$D$53&gt;0</formula>
    </cfRule>
  </conditionalFormatting>
  <conditionalFormatting sqref="C42:D44">
    <cfRule type="expression" dxfId="2094" priority="8" stopIfTrue="1">
      <formula>$D$45&gt;0</formula>
    </cfRule>
    <cfRule type="expression" dxfId="2093" priority="9" stopIfTrue="1">
      <formula>$D$45&gt;0</formula>
    </cfRule>
  </conditionalFormatting>
  <conditionalFormatting sqref="C35:D37">
    <cfRule type="expression" dxfId="2092" priority="7" stopIfTrue="1">
      <formula>$D$38&gt;0</formula>
    </cfRule>
  </conditionalFormatting>
  <conditionalFormatting sqref="C28:D30">
    <cfRule type="expression" dxfId="2091" priority="6" stopIfTrue="1">
      <formula>$D$31&gt;0</formula>
    </cfRule>
  </conditionalFormatting>
  <conditionalFormatting sqref="F26:G28">
    <cfRule type="expression" dxfId="2090" priority="5" stopIfTrue="1">
      <formula>$G$29&gt;0</formula>
    </cfRule>
  </conditionalFormatting>
  <conditionalFormatting sqref="I25:J27">
    <cfRule type="expression" dxfId="2089" priority="4" stopIfTrue="1">
      <formula>$J$28&gt;0</formula>
    </cfRule>
  </conditionalFormatting>
  <conditionalFormatting sqref="L26:M28">
    <cfRule type="expression" dxfId="2088" priority="3" stopIfTrue="1">
      <formula>$M$29&gt;0</formula>
    </cfRule>
  </conditionalFormatting>
  <conditionalFormatting sqref="I30:J32">
    <cfRule type="expression" dxfId="2087" priority="2" stopIfTrue="1">
      <formula>$J$33&gt;0</formula>
    </cfRule>
  </conditionalFormatting>
  <conditionalFormatting sqref="F33:G35">
    <cfRule type="expression" dxfId="2086"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view="pageLayout" topLeftCell="A20" zoomScaleNormal="100" workbookViewId="0">
      <selection activeCell="V24" sqref="V24:Z24"/>
    </sheetView>
  </sheetViews>
  <sheetFormatPr baseColWidth="10" defaultColWidth="5.7109375" defaultRowHeight="12" customHeight="1"/>
  <cols>
    <col min="1" max="1" width="1.7109375" style="21" customWidth="1"/>
    <col min="2" max="2" width="4.140625" style="21" customWidth="1"/>
    <col min="3" max="3" width="7.5703125" style="21" customWidth="1"/>
    <col min="4" max="8" width="5.7109375" style="21"/>
    <col min="9" max="9" width="5.7109375" style="21" customWidth="1"/>
    <col min="10" max="15" width="5.7109375" style="21"/>
    <col min="16" max="17" width="6" style="21" bestFit="1" customWidth="1"/>
    <col min="18" max="18" width="4.42578125" style="21" customWidth="1"/>
    <col min="19" max="20" width="1.7109375" style="21" customWidth="1"/>
    <col min="21" max="21" width="4.28515625" style="21" customWidth="1"/>
    <col min="22" max="27" width="5.7109375" style="21"/>
    <col min="28" max="28" width="5.7109375" style="21" customWidth="1"/>
    <col min="29" max="29" width="4.7109375" style="21" customWidth="1"/>
    <col min="30" max="34" width="5.7109375" style="21"/>
    <col min="35" max="35" width="5.28515625" style="21" customWidth="1"/>
    <col min="36" max="36" width="5" style="21" customWidth="1"/>
    <col min="37" max="37" width="7.85546875" style="21" customWidth="1"/>
    <col min="38" max="38" width="5.7109375" style="530" customWidth="1"/>
    <col min="39" max="39" width="1.7109375" style="21" customWidth="1"/>
    <col min="40" max="40" width="1.28515625" style="21" customWidth="1"/>
    <col min="41" max="41" width="15.7109375" style="21" customWidth="1"/>
    <col min="42" max="42" width="9.5703125" style="21" customWidth="1"/>
    <col min="43" max="43" width="1.7109375" style="21" customWidth="1"/>
    <col min="44" max="44" width="8.42578125" style="21" customWidth="1"/>
    <col min="45" max="45" width="7" style="21" bestFit="1" customWidth="1"/>
    <col min="46" max="16384" width="5.7109375" style="21"/>
  </cols>
  <sheetData>
    <row r="1" spans="1:68"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29"/>
      <c r="AM1" s="29"/>
      <c r="AN1" s="530"/>
      <c r="AO1" s="530"/>
      <c r="AP1" s="530"/>
      <c r="AQ1" s="530"/>
      <c r="AR1" s="2265" t="s">
        <v>8292</v>
      </c>
      <c r="AS1" s="530"/>
      <c r="AT1" s="530"/>
      <c r="AU1" s="530"/>
      <c r="AV1" s="530"/>
      <c r="AW1" s="530"/>
      <c r="AX1" s="530"/>
      <c r="AY1" s="530"/>
      <c r="AZ1" s="530"/>
      <c r="BA1" s="530"/>
      <c r="BB1" s="530"/>
      <c r="BC1" s="530"/>
      <c r="BD1" s="530"/>
      <c r="BE1" s="530"/>
      <c r="BF1" s="2617"/>
      <c r="BG1" s="2617"/>
      <c r="BH1" s="2617"/>
      <c r="BI1" s="2617"/>
      <c r="BJ1" s="2617"/>
      <c r="BK1" s="2617"/>
      <c r="BL1" s="2617"/>
      <c r="BM1" s="530"/>
      <c r="BN1" s="530"/>
      <c r="BO1" s="530"/>
      <c r="BP1" s="530"/>
    </row>
    <row r="2" spans="1:68" ht="12" customHeight="1" thickBot="1">
      <c r="A2" s="29"/>
      <c r="B2" s="618"/>
      <c r="C2" s="619"/>
      <c r="D2" s="619"/>
      <c r="E2" s="619"/>
      <c r="F2" s="619"/>
      <c r="G2" s="619"/>
      <c r="H2" s="619"/>
      <c r="I2" s="619"/>
      <c r="J2" s="619"/>
      <c r="K2" s="619"/>
      <c r="L2" s="619"/>
      <c r="M2" s="619"/>
      <c r="N2" s="619"/>
      <c r="O2" s="619"/>
      <c r="P2" s="619"/>
      <c r="Q2" s="619"/>
      <c r="R2" s="944"/>
      <c r="S2" s="4273"/>
      <c r="T2" s="4274"/>
      <c r="U2" s="618"/>
      <c r="V2" s="619"/>
      <c r="W2" s="619"/>
      <c r="X2" s="619"/>
      <c r="Y2" s="619"/>
      <c r="Z2" s="619"/>
      <c r="AA2" s="619"/>
      <c r="AB2" s="619"/>
      <c r="AC2" s="619"/>
      <c r="AD2" s="619"/>
      <c r="AE2" s="619"/>
      <c r="AF2" s="619"/>
      <c r="AG2" s="619"/>
      <c r="AH2" s="619"/>
      <c r="AI2" s="619"/>
      <c r="AJ2" s="619"/>
      <c r="AK2" s="619"/>
      <c r="AL2" s="684"/>
      <c r="AM2" s="29"/>
      <c r="AN2" s="530"/>
      <c r="AO2" s="530"/>
      <c r="AP2" s="530"/>
      <c r="AQ2" s="530"/>
      <c r="AR2" s="530"/>
      <c r="AS2" s="530"/>
      <c r="AT2" s="530"/>
      <c r="AU2" s="530"/>
      <c r="AV2" s="530"/>
      <c r="AW2" s="530"/>
      <c r="AX2" s="530"/>
      <c r="AY2" s="530"/>
      <c r="AZ2" s="530"/>
      <c r="BA2" s="530"/>
      <c r="BB2" s="530"/>
      <c r="BC2" s="530"/>
      <c r="BD2" s="530"/>
      <c r="BE2" s="530"/>
      <c r="BF2" s="2617"/>
      <c r="BG2" s="2617"/>
      <c r="BH2" s="2617"/>
      <c r="BI2" s="2617"/>
      <c r="BJ2" s="2617"/>
      <c r="BK2" s="2617"/>
      <c r="BL2" s="2617"/>
      <c r="BM2" s="530"/>
      <c r="BN2" s="530"/>
      <c r="BO2" s="530"/>
      <c r="BP2" s="530"/>
    </row>
    <row r="3" spans="1:68" ht="12" customHeight="1" thickBot="1">
      <c r="A3" s="29"/>
      <c r="B3" s="443"/>
      <c r="C3" s="4361" t="s">
        <v>9687</v>
      </c>
      <c r="D3" s="4361"/>
      <c r="E3" s="4361"/>
      <c r="F3" s="4361"/>
      <c r="G3" s="4361"/>
      <c r="H3" s="4361"/>
      <c r="I3" s="6"/>
      <c r="J3" s="6"/>
      <c r="K3" s="6"/>
      <c r="L3" s="6"/>
      <c r="M3" s="6"/>
      <c r="N3" s="6"/>
      <c r="O3" s="6"/>
      <c r="P3" s="6"/>
      <c r="Q3" s="7"/>
      <c r="R3" s="36"/>
      <c r="S3" s="29"/>
      <c r="T3" s="29"/>
      <c r="U3" s="443"/>
      <c r="V3" s="6582" t="s">
        <v>9687</v>
      </c>
      <c r="W3" s="6583"/>
      <c r="X3" s="6583"/>
      <c r="Y3" s="6583"/>
      <c r="Z3" s="6583"/>
      <c r="AA3" s="6583"/>
      <c r="AB3" s="474"/>
      <c r="AC3" s="474"/>
      <c r="AD3" s="474"/>
      <c r="AE3" s="474"/>
      <c r="AF3" s="474"/>
      <c r="AG3" s="474"/>
      <c r="AH3" s="474"/>
      <c r="AI3" s="474"/>
      <c r="AJ3" s="474"/>
      <c r="AK3" s="476"/>
      <c r="AL3" s="685"/>
      <c r="AM3" s="29"/>
      <c r="AN3" s="530"/>
      <c r="AO3" s="530"/>
      <c r="AP3" s="530"/>
      <c r="AQ3" s="530"/>
      <c r="AR3" s="530"/>
      <c r="AS3" s="530"/>
      <c r="AT3" s="530"/>
      <c r="AU3" s="530"/>
      <c r="AV3" s="530"/>
      <c r="AW3" s="530"/>
      <c r="AX3" s="530"/>
      <c r="AY3" s="530"/>
      <c r="AZ3" s="530"/>
      <c r="BA3" s="530"/>
      <c r="BB3" s="530"/>
      <c r="BC3" s="530"/>
      <c r="BD3" s="530"/>
      <c r="BE3" s="530"/>
      <c r="BF3" s="2617"/>
      <c r="BG3" s="2617"/>
      <c r="BH3" s="2617"/>
      <c r="BI3" s="2617"/>
      <c r="BJ3" s="2617"/>
      <c r="BK3" s="2617"/>
      <c r="BL3" s="2617"/>
      <c r="BM3" s="530"/>
      <c r="BN3" s="530"/>
      <c r="BO3" s="530"/>
      <c r="BP3" s="530"/>
    </row>
    <row r="4" spans="1:68" ht="12" customHeight="1" thickBot="1">
      <c r="A4" s="29"/>
      <c r="B4" s="443"/>
      <c r="C4" s="4361"/>
      <c r="D4" s="4361"/>
      <c r="E4" s="4361"/>
      <c r="F4" s="4361"/>
      <c r="G4" s="4361"/>
      <c r="H4" s="4361"/>
      <c r="I4" s="9"/>
      <c r="J4" s="4754" t="s">
        <v>1184</v>
      </c>
      <c r="K4" s="4754"/>
      <c r="L4" s="4373" t="str">
        <f>IF(OR(General!$F$22="",General!$F$22=0),"",General!$F$22)</f>
        <v/>
      </c>
      <c r="M4" s="4373"/>
      <c r="N4" s="4373"/>
      <c r="O4" s="4373"/>
      <c r="P4" s="4373"/>
      <c r="Q4" s="1997"/>
      <c r="R4" s="36"/>
      <c r="S4" s="29"/>
      <c r="T4" s="29"/>
      <c r="U4" s="443"/>
      <c r="V4" s="6584"/>
      <c r="W4" s="4361"/>
      <c r="X4" s="4361"/>
      <c r="Y4" s="4361"/>
      <c r="Z4" s="4361"/>
      <c r="AA4" s="4361"/>
      <c r="AB4" s="9"/>
      <c r="AC4" s="4754" t="s">
        <v>1184</v>
      </c>
      <c r="AD4" s="4754"/>
      <c r="AE4" s="4373" t="str">
        <f>IF(OR(General!$F$22="",General!$F$22=0),"",General!$F$22)</f>
        <v/>
      </c>
      <c r="AF4" s="4373"/>
      <c r="AG4" s="4373"/>
      <c r="AH4" s="4373"/>
      <c r="AI4" s="4373"/>
      <c r="AJ4" s="722"/>
      <c r="AK4" s="655"/>
      <c r="AL4" s="1257"/>
      <c r="AM4" s="29"/>
      <c r="AN4" s="530"/>
      <c r="AO4" s="530"/>
      <c r="AP4" s="3691"/>
      <c r="AQ4" s="3691"/>
      <c r="AR4" s="530"/>
      <c r="AS4" s="530"/>
      <c r="AT4" s="530"/>
      <c r="AU4" s="530"/>
      <c r="AV4" s="530"/>
      <c r="AW4" s="530"/>
      <c r="AX4" s="530"/>
      <c r="AY4" s="530"/>
      <c r="AZ4" s="530"/>
      <c r="BA4" s="530"/>
      <c r="BB4" s="530"/>
      <c r="BC4" s="530"/>
      <c r="BD4" s="530"/>
      <c r="BE4" s="530"/>
      <c r="BF4" s="2617"/>
      <c r="BG4" s="2617"/>
      <c r="BH4" s="2617"/>
      <c r="BI4" s="2617"/>
      <c r="BJ4" s="2617"/>
      <c r="BK4" s="2617"/>
      <c r="BL4" s="2617"/>
      <c r="BM4" s="530"/>
      <c r="BN4" s="530"/>
      <c r="BO4" s="530"/>
      <c r="BP4" s="530"/>
    </row>
    <row r="5" spans="1:68" ht="12" customHeight="1" thickBot="1">
      <c r="A5" s="29"/>
      <c r="B5" s="443"/>
      <c r="C5" s="4361"/>
      <c r="D5" s="4361"/>
      <c r="E5" s="4361"/>
      <c r="F5" s="4361"/>
      <c r="G5" s="4361"/>
      <c r="H5" s="4361"/>
      <c r="I5" s="9"/>
      <c r="J5" s="5535" t="s">
        <v>1185</v>
      </c>
      <c r="K5" s="5535"/>
      <c r="L5" s="4738" t="str">
        <f>IF(LEN(PDs!$E$11)&lt;=General!$AO$5,PDs!$E$11,"… /"&amp;RIGHT(PDs!$E$11,General!$AO$5-FIND("/",RIGHT(PDs!$E$11,General!$AO$5))))</f>
        <v/>
      </c>
      <c r="M5" s="4738"/>
      <c r="N5" s="4738"/>
      <c r="O5" s="1998" t="s">
        <v>1186</v>
      </c>
      <c r="P5" s="1993" t="str">
        <f>Principal!$O$6</f>
        <v>1</v>
      </c>
      <c r="Q5" s="2007"/>
      <c r="R5" s="36"/>
      <c r="S5" s="29"/>
      <c r="T5" s="29"/>
      <c r="U5" s="443"/>
      <c r="V5" s="6584"/>
      <c r="W5" s="4361"/>
      <c r="X5" s="4361"/>
      <c r="Y5" s="4361"/>
      <c r="Z5" s="4361"/>
      <c r="AA5" s="4361"/>
      <c r="AB5" s="9"/>
      <c r="AC5" s="5535" t="s">
        <v>1185</v>
      </c>
      <c r="AD5" s="5535"/>
      <c r="AE5" s="4738" t="str">
        <f>IF(LEN(PDs!$E$11)&lt;=General!$AO$5,PDs!$E$11,"… /"&amp;RIGHT(PDs!$E$11,General!$AO$5-FIND("/",RIGHT(PDs!$E$11,General!$AO$5))))</f>
        <v/>
      </c>
      <c r="AF5" s="4738"/>
      <c r="AG5" s="4738"/>
      <c r="AH5" s="1998" t="s">
        <v>1186</v>
      </c>
      <c r="AI5" s="1993" t="str">
        <f>Principal!$O$6</f>
        <v>1</v>
      </c>
      <c r="AJ5" s="9"/>
      <c r="AK5" s="656"/>
      <c r="AL5" s="685"/>
      <c r="AM5" s="29"/>
      <c r="AN5" s="1541"/>
      <c r="AO5" s="1541"/>
      <c r="AP5" s="1542"/>
      <c r="AQ5" s="1542"/>
      <c r="AR5" s="530"/>
      <c r="AS5" s="530"/>
      <c r="AT5" s="530"/>
      <c r="AU5" s="530"/>
      <c r="AV5" s="530"/>
      <c r="AW5" s="530"/>
      <c r="AX5" s="530"/>
      <c r="AY5" s="530"/>
      <c r="AZ5" s="530"/>
      <c r="BA5" s="530"/>
      <c r="BB5" s="530"/>
      <c r="BC5" s="530"/>
      <c r="BD5" s="530"/>
      <c r="BE5" s="530"/>
      <c r="BF5" s="2617"/>
      <c r="BG5" s="2617"/>
      <c r="BH5" s="2617"/>
      <c r="BI5" s="2617"/>
      <c r="BJ5" s="2617"/>
      <c r="BK5" s="2617"/>
      <c r="BL5" s="2617"/>
      <c r="BM5" s="530"/>
      <c r="BN5" s="530"/>
      <c r="BO5" s="530"/>
      <c r="BP5" s="530"/>
    </row>
    <row r="6" spans="1:68" ht="12" customHeight="1" thickBot="1">
      <c r="A6" s="29"/>
      <c r="B6" s="443"/>
      <c r="C6" s="4361"/>
      <c r="D6" s="4361"/>
      <c r="E6" s="4361"/>
      <c r="F6" s="4361"/>
      <c r="G6" s="4361"/>
      <c r="H6" s="4361"/>
      <c r="I6" s="9"/>
      <c r="J6" s="4362" t="s">
        <v>1639</v>
      </c>
      <c r="K6" s="4362"/>
      <c r="L6" s="4362"/>
      <c r="M6" s="4362"/>
      <c r="N6" s="4362"/>
      <c r="O6" s="4362"/>
      <c r="P6" s="4362"/>
      <c r="Q6" s="11"/>
      <c r="R6" s="36"/>
      <c r="S6" s="29"/>
      <c r="T6" s="29"/>
      <c r="U6" s="443"/>
      <c r="V6" s="6584"/>
      <c r="W6" s="4361"/>
      <c r="X6" s="4361"/>
      <c r="Y6" s="4361"/>
      <c r="Z6" s="4361"/>
      <c r="AA6" s="4361"/>
      <c r="AB6" s="9"/>
      <c r="AC6" s="4362" t="s">
        <v>1640</v>
      </c>
      <c r="AD6" s="4362"/>
      <c r="AE6" s="4362"/>
      <c r="AF6" s="4362"/>
      <c r="AG6" s="4362"/>
      <c r="AH6" s="4362"/>
      <c r="AI6" s="4362"/>
      <c r="AJ6" s="9"/>
      <c r="AK6" s="656"/>
      <c r="AL6" s="685"/>
      <c r="AM6" s="29"/>
      <c r="AN6" s="1539"/>
      <c r="AO6" s="1539">
        <f>COUNTIF(AD20:AH76,"Incrementar habilidad")</f>
        <v>0</v>
      </c>
      <c r="AP6" s="1540"/>
      <c r="AQ6" s="1540"/>
      <c r="AR6" s="530"/>
      <c r="AS6" s="530"/>
      <c r="AT6" s="530"/>
      <c r="AU6" s="530"/>
      <c r="AV6" s="530"/>
      <c r="AW6" s="530"/>
      <c r="AX6" s="530"/>
      <c r="AY6" s="530"/>
      <c r="AZ6" s="530"/>
      <c r="BA6" s="530"/>
      <c r="BB6" s="530"/>
      <c r="BC6" s="530"/>
      <c r="BD6" s="530"/>
      <c r="BE6" s="530"/>
      <c r="BF6" s="2617"/>
      <c r="BG6" s="2617"/>
      <c r="BH6" s="2617"/>
      <c r="BI6" s="2617"/>
      <c r="BJ6" s="2617"/>
      <c r="BK6" s="2617"/>
      <c r="BL6" s="2617"/>
      <c r="BM6" s="530"/>
      <c r="BN6" s="530"/>
      <c r="BO6" s="530"/>
      <c r="BP6" s="530"/>
    </row>
    <row r="7" spans="1:68" ht="12" customHeight="1" thickBot="1">
      <c r="A7" s="29"/>
      <c r="B7" s="443"/>
      <c r="C7" s="4361"/>
      <c r="D7" s="4361"/>
      <c r="E7" s="4361"/>
      <c r="F7" s="4361"/>
      <c r="G7" s="4361"/>
      <c r="H7" s="4361"/>
      <c r="I7" s="9"/>
      <c r="J7" s="4362"/>
      <c r="K7" s="4362"/>
      <c r="L7" s="4362"/>
      <c r="M7" s="4362"/>
      <c r="N7" s="4362"/>
      <c r="O7" s="4362"/>
      <c r="P7" s="4362"/>
      <c r="Q7" s="11"/>
      <c r="R7" s="36"/>
      <c r="S7" s="29"/>
      <c r="T7" s="29"/>
      <c r="U7" s="443"/>
      <c r="V7" s="6584"/>
      <c r="W7" s="4361"/>
      <c r="X7" s="4361"/>
      <c r="Y7" s="4361"/>
      <c r="Z7" s="4361"/>
      <c r="AA7" s="4361"/>
      <c r="AB7" s="9"/>
      <c r="AC7" s="4362"/>
      <c r="AD7" s="4362"/>
      <c r="AE7" s="4362"/>
      <c r="AF7" s="4362"/>
      <c r="AG7" s="4362"/>
      <c r="AH7" s="4362"/>
      <c r="AI7" s="4362"/>
      <c r="AJ7" s="9"/>
      <c r="AK7" s="656"/>
      <c r="AL7" s="685"/>
      <c r="AM7" s="29"/>
      <c r="AN7" s="1541"/>
      <c r="AO7" s="1541"/>
      <c r="AP7" s="1542"/>
      <c r="AQ7" s="1542"/>
      <c r="AR7" s="3724" t="s">
        <v>9153</v>
      </c>
      <c r="AS7" s="3724" t="b">
        <f>COUNTIF($AD$20:$AH$79,"Incrementar Habilidad")=0</f>
        <v>1</v>
      </c>
      <c r="AT7" s="530"/>
      <c r="AU7" s="530"/>
      <c r="AV7" s="530"/>
      <c r="AW7" s="530"/>
      <c r="AX7" s="530"/>
      <c r="AY7" s="530"/>
      <c r="AZ7" s="530"/>
      <c r="BA7" s="530"/>
      <c r="BB7" s="530"/>
      <c r="BC7" s="530"/>
      <c r="BD7" s="530"/>
      <c r="BE7" s="530"/>
      <c r="BF7" s="2617"/>
      <c r="BG7" s="2617"/>
      <c r="BH7" s="2617"/>
      <c r="BI7" s="2617"/>
      <c r="BJ7" s="2617"/>
      <c r="BK7" s="2617"/>
      <c r="BL7" s="2617"/>
      <c r="BM7" s="530"/>
      <c r="BN7" s="530"/>
      <c r="BO7" s="530"/>
      <c r="BP7" s="530"/>
    </row>
    <row r="8" spans="1:68" ht="12" customHeight="1" thickBot="1">
      <c r="A8" s="29"/>
      <c r="B8" s="443"/>
      <c r="C8" s="4361"/>
      <c r="D8" s="4361"/>
      <c r="E8" s="4361"/>
      <c r="F8" s="4361"/>
      <c r="G8" s="4361"/>
      <c r="H8" s="4361"/>
      <c r="I8" s="12"/>
      <c r="J8" s="12"/>
      <c r="K8" s="12"/>
      <c r="L8" s="12"/>
      <c r="M8" s="12"/>
      <c r="N8" s="12"/>
      <c r="O8" s="12"/>
      <c r="P8" s="12"/>
      <c r="Q8" s="13"/>
      <c r="R8" s="36"/>
      <c r="S8" s="29"/>
      <c r="T8" s="29"/>
      <c r="U8" s="443"/>
      <c r="V8" s="6585"/>
      <c r="W8" s="6586"/>
      <c r="X8" s="6586"/>
      <c r="Y8" s="6586"/>
      <c r="Z8" s="6586"/>
      <c r="AA8" s="6586"/>
      <c r="AB8" s="657"/>
      <c r="AC8" s="657"/>
      <c r="AD8" s="657"/>
      <c r="AE8" s="657"/>
      <c r="AF8" s="657"/>
      <c r="AG8" s="657"/>
      <c r="AH8" s="657"/>
      <c r="AI8" s="657"/>
      <c r="AJ8" s="657"/>
      <c r="AK8" s="658"/>
      <c r="AL8" s="685"/>
      <c r="AM8" s="29"/>
      <c r="AN8" s="1539"/>
      <c r="AO8" s="1539"/>
      <c r="AP8" s="1540"/>
      <c r="AQ8" s="1540"/>
      <c r="AR8" s="530"/>
      <c r="AS8" s="530"/>
      <c r="AT8" s="530"/>
      <c r="AU8" s="530"/>
      <c r="AV8" s="530"/>
      <c r="AW8" s="530"/>
      <c r="AX8" s="530"/>
      <c r="AY8" s="530"/>
      <c r="AZ8" s="530"/>
      <c r="BA8" s="530"/>
      <c r="BB8" s="530"/>
      <c r="BC8" s="530"/>
      <c r="BD8" s="530"/>
      <c r="BE8" s="530"/>
      <c r="BF8" s="2617"/>
      <c r="BG8" s="2617"/>
      <c r="BH8" s="2617"/>
      <c r="BI8" s="2617"/>
      <c r="BJ8" s="2617"/>
      <c r="BK8" s="2617"/>
      <c r="BL8" s="2617"/>
      <c r="BM8" s="530"/>
      <c r="BN8" s="530"/>
      <c r="BO8" s="530"/>
      <c r="BP8" s="530"/>
    </row>
    <row r="9" spans="1:68" ht="12" customHeight="1" thickBot="1">
      <c r="A9" s="29"/>
      <c r="B9" s="443"/>
      <c r="H9" s="530">
        <f>H11-J14-J13</f>
        <v>0</v>
      </c>
      <c r="R9" s="36"/>
      <c r="S9" s="29"/>
      <c r="T9" s="29"/>
      <c r="U9" s="443"/>
      <c r="AL9" s="685"/>
      <c r="AM9" s="29"/>
      <c r="AN9" s="3725"/>
      <c r="AO9" s="3725"/>
      <c r="AP9" s="3726"/>
      <c r="AQ9" s="3726"/>
      <c r="AR9" s="826" t="str">
        <f>IF(COUNTIF(AD20:AH79,"Incrementar Habilidad")&gt;1,"AGI_DES_AMBOS","AGI_DES")</f>
        <v>AGI_DES</v>
      </c>
      <c r="AS9" s="530"/>
      <c r="AT9" s="530"/>
      <c r="AU9" s="530"/>
      <c r="AV9" s="530"/>
      <c r="AW9" s="530"/>
      <c r="AX9" s="530"/>
      <c r="AY9" s="530"/>
      <c r="AZ9" s="530"/>
      <c r="BA9" s="530"/>
      <c r="BB9" s="530"/>
      <c r="BC9" s="530"/>
      <c r="BD9" s="530"/>
      <c r="BE9" s="530"/>
      <c r="BF9" s="2617"/>
      <c r="BG9" s="2617"/>
      <c r="BH9" s="2617"/>
      <c r="BI9" s="2617"/>
      <c r="BJ9" s="2617"/>
      <c r="BK9" s="2617"/>
      <c r="BL9" s="2617"/>
      <c r="BM9" s="530"/>
      <c r="BN9" s="530"/>
      <c r="BO9" s="530"/>
      <c r="BP9" s="530"/>
    </row>
    <row r="10" spans="1:68" ht="12" customHeight="1" thickBot="1">
      <c r="A10" s="29"/>
      <c r="B10" s="443"/>
      <c r="C10" s="6587" t="s">
        <v>1641</v>
      </c>
      <c r="D10" s="6587"/>
      <c r="E10" s="6587"/>
      <c r="F10" s="6587"/>
      <c r="G10" s="17"/>
      <c r="H10" s="4352" t="s">
        <v>1642</v>
      </c>
      <c r="I10" s="4317"/>
      <c r="J10" s="4317"/>
      <c r="K10" s="6588"/>
      <c r="L10" s="1449" t="s">
        <v>1643</v>
      </c>
      <c r="M10" s="1450"/>
      <c r="O10" s="4372" t="s">
        <v>1644</v>
      </c>
      <c r="P10" s="4372"/>
      <c r="Q10" s="4372"/>
      <c r="R10" s="36"/>
      <c r="S10" s="29"/>
      <c r="T10" s="29"/>
      <c r="U10" s="443"/>
      <c r="V10" s="6762" t="s">
        <v>10069</v>
      </c>
      <c r="W10" s="6763"/>
      <c r="X10" s="6763"/>
      <c r="Y10" s="6763"/>
      <c r="Z10" s="6764"/>
      <c r="AA10" s="2762" t="s">
        <v>1643</v>
      </c>
      <c r="AB10" s="2763"/>
      <c r="AC10" s="1004"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
      </c>
      <c r="AD10" s="6589" t="s">
        <v>7856</v>
      </c>
      <c r="AE10" s="6590"/>
      <c r="AF10" s="6590"/>
      <c r="AG10" s="6590"/>
      <c r="AH10" s="6591"/>
      <c r="AI10" s="6598" t="s">
        <v>1099</v>
      </c>
      <c r="AJ10" s="6599"/>
      <c r="AK10" s="6600"/>
      <c r="AL10" s="685"/>
      <c r="AM10" s="29"/>
      <c r="AN10" s="1259"/>
      <c r="AO10" s="6569" t="s">
        <v>8266</v>
      </c>
      <c r="AP10" s="6570"/>
      <c r="AQ10" s="3727"/>
      <c r="AR10" s="3728" t="s">
        <v>1238</v>
      </c>
      <c r="AS10" s="530"/>
      <c r="AT10" s="530"/>
      <c r="AU10" s="530"/>
      <c r="AV10" s="530"/>
      <c r="AW10" s="530"/>
      <c r="AX10" s="530"/>
      <c r="AY10" s="530"/>
      <c r="AZ10" s="530"/>
      <c r="BA10" s="530"/>
      <c r="BB10" s="530"/>
      <c r="BC10" s="530"/>
      <c r="BD10" s="530"/>
      <c r="BE10" s="530"/>
      <c r="BF10" s="2617"/>
      <c r="BG10" s="2617"/>
      <c r="BH10" s="2617"/>
      <c r="BI10" s="2617"/>
      <c r="BJ10" s="2617"/>
      <c r="BK10" s="2617"/>
      <c r="BL10" s="2617"/>
      <c r="BM10" s="530"/>
      <c r="BN10" s="530"/>
      <c r="BO10" s="530"/>
      <c r="BP10" s="530"/>
    </row>
    <row r="11" spans="1:68" ht="12" customHeight="1">
      <c r="A11" s="29"/>
      <c r="B11" s="443"/>
      <c r="C11" s="6631" t="s">
        <v>1647</v>
      </c>
      <c r="D11" s="6631"/>
      <c r="E11" s="6632" t="s">
        <v>1648</v>
      </c>
      <c r="F11" s="6632"/>
      <c r="H11" s="6610">
        <f>IF(VOL=0,0,VLOOKUP(VOL,Tabla_PotPsi,2))+IF(M10=0,0,VLOOKUP(M10,Tabla_PotPsitporCV,2))+J13+MIN(0,Mod_ATA)+J14</f>
        <v>0</v>
      </c>
      <c r="I11" s="6611"/>
      <c r="J11" s="1447" t="str">
        <f>IF(J13=0,"","Sumar")</f>
        <v/>
      </c>
      <c r="K11" s="1448" t="str">
        <f>IF(J13=0,"",TRUNC(J13/5,0))</f>
        <v/>
      </c>
      <c r="L11" s="6596" t="str">
        <f>IF(J13=0,"","a la Fatiga")</f>
        <v/>
      </c>
      <c r="M11" s="6597"/>
      <c r="O11" s="151" t="s">
        <v>1252</v>
      </c>
      <c r="P11" s="997" t="s">
        <v>1423</v>
      </c>
      <c r="Q11" s="15" t="s">
        <v>1547</v>
      </c>
      <c r="R11" s="36"/>
      <c r="S11" s="29"/>
      <c r="T11" s="29"/>
      <c r="U11" s="443"/>
      <c r="V11" s="6787" t="str">
        <f>IF(AND('Red Neuronal'!Y31=1,Personalización!AJ75="No"),ROUNDDOWN(H11/40,0)+MIN(ROUNDDOWN(AB10/3,0),3),"-")</f>
        <v>-</v>
      </c>
      <c r="W11" s="6788"/>
      <c r="X11" s="6790" t="str">
        <f>IF(AB10&gt;9,"",IF(AB10=9,"3 ranuras extra",IF(AB10&gt;=6,"2 ranuras extra",IF(AB10&gt;=3,"1 ranura extra",""))))</f>
        <v/>
      </c>
      <c r="Y11" s="6791"/>
      <c r="Z11" s="6791"/>
      <c r="AA11" s="6791"/>
      <c r="AB11" s="6792"/>
      <c r="AD11" s="6592"/>
      <c r="AE11" s="6593"/>
      <c r="AF11" s="6593"/>
      <c r="AG11" s="6593"/>
      <c r="AH11" s="6593"/>
      <c r="AI11" s="6601" t="str">
        <f>IF(AD11="","-",IF(AL11="-","Ventaja no escogida",IF(INDEX(Tabla_Dificultades,MATCH(AL11,INDEX(Tabla_Dificultades,,2),0),1)&lt;INDEX(Tabla_Dificultades,MATCH(AL12,INDEX(Tabla_Dificultades,,2),0),1),"Poder no válido",AL11)))</f>
        <v>-</v>
      </c>
      <c r="AJ11" s="6602"/>
      <c r="AK11" s="6603"/>
      <c r="AL11" s="970" t="str">
        <f>IF(Tablas!$G$336&gt;0,"DIF",IF(Tablas!$G$337&gt;0,"MDF",IF(Tablas!$G$338&gt;0,"ABS","-")))</f>
        <v>-</v>
      </c>
      <c r="AM11" s="29"/>
      <c r="AN11" s="1259"/>
      <c r="AO11" s="6571"/>
      <c r="AP11" s="6572"/>
      <c r="AQ11" s="3726"/>
      <c r="AR11" s="3729" t="s">
        <v>1233</v>
      </c>
      <c r="AS11" s="530"/>
      <c r="AT11" s="530"/>
      <c r="AU11" s="530"/>
      <c r="AV11" s="530"/>
      <c r="AW11" s="530"/>
      <c r="AX11" s="530"/>
      <c r="AY11" s="530"/>
      <c r="AZ11" s="530"/>
      <c r="BA11" s="530"/>
      <c r="BB11" s="530"/>
      <c r="BC11" s="530"/>
      <c r="BD11" s="530"/>
      <c r="BE11" s="530"/>
      <c r="BF11" s="2617"/>
      <c r="BG11" s="2617"/>
      <c r="BH11" s="2617"/>
      <c r="BI11" s="2617"/>
      <c r="BJ11" s="2617"/>
      <c r="BK11" s="2617"/>
      <c r="BL11" s="2617"/>
      <c r="BM11" s="530"/>
      <c r="BN11" s="530"/>
      <c r="BO11" s="530"/>
      <c r="BP11" s="530"/>
    </row>
    <row r="12" spans="1:68" ht="12" customHeight="1" thickBot="1">
      <c r="A12" s="29"/>
      <c r="B12" s="443"/>
      <c r="C12" s="6607">
        <f>CV_final</f>
        <v>0</v>
      </c>
      <c r="D12" s="6607"/>
      <c r="E12" s="6608">
        <f>F18+F15+F16+F17+F19+F20+F21</f>
        <v>0</v>
      </c>
      <c r="F12" s="6608"/>
      <c r="H12" s="6612"/>
      <c r="I12" s="6613"/>
      <c r="J12" s="6625" t="str">
        <f>IF(SUM(Tablas!$G$463:$G$475)+SUM(Tablas!$H$1525:$H$1537),"+1 grado: Des. Psíquico.","")</f>
        <v/>
      </c>
      <c r="K12" s="6626"/>
      <c r="L12" s="6626"/>
      <c r="M12" s="6627"/>
      <c r="O12" s="6628">
        <f>Turno_Nat_final</f>
        <v>40</v>
      </c>
      <c r="P12" s="6609">
        <f>IF(PDs!E124="Tabla de Proyección Psíquica",Proyecciónpsíquica_final-PDs!V122+PDs!V25,Proyecciónpsíquica_final)</f>
        <v>0</v>
      </c>
      <c r="Q12" s="6635">
        <f>IF(PDs!E124="Tabla de Proyección Psíquica",Proyecciónpsíquica_final-PDs!V122+MAX(PDs!V26,PDs!V27),Proyecciónpsíquica_final)</f>
        <v>0</v>
      </c>
      <c r="R12" s="36"/>
      <c r="S12" s="29"/>
      <c r="T12" s="29"/>
      <c r="U12" s="443"/>
      <c r="V12" s="6789"/>
      <c r="W12" s="6788"/>
      <c r="X12" s="6793"/>
      <c r="Y12" s="6794"/>
      <c r="Z12" s="6794"/>
      <c r="AA12" s="6794"/>
      <c r="AB12" s="6795"/>
      <c r="AD12" s="6594" t="str">
        <f>IF(AD11=0,"",VLOOKUP(AD11,Tabla_PoderesPsi,2,FALSE))</f>
        <v/>
      </c>
      <c r="AE12" s="4484"/>
      <c r="AF12" s="4484"/>
      <c r="AG12" s="996" t="s">
        <v>1186</v>
      </c>
      <c r="AH12" s="412" t="str">
        <f>IF(AD11=0,"",VLOOKUP(AD11,Tabla_PoderesPsi,3,FALSE))</f>
        <v/>
      </c>
      <c r="AI12" s="6604"/>
      <c r="AJ12" s="6605"/>
      <c r="AK12" s="6606"/>
      <c r="AL12" s="970" t="e" cm="1">
        <f t="array" ref="AL12">INDEX(Lista_Dificultades,1+COUNTIF(INDEX('Tablas psiquica'!$I$7:$R$149,MATCH(AD11,Poderes_psi,0),),"*Fatiga*"))</f>
        <v>#N/A</v>
      </c>
      <c r="AM12" s="29"/>
      <c r="AN12" s="4265"/>
      <c r="AO12" s="6574"/>
      <c r="AP12" s="6575"/>
      <c r="AQ12" s="3727"/>
      <c r="AR12" s="3729" t="s">
        <v>6759</v>
      </c>
      <c r="AS12" s="530"/>
      <c r="AT12" s="530"/>
      <c r="AU12" s="530"/>
      <c r="AV12" s="530"/>
      <c r="AW12" s="530"/>
      <c r="AX12" s="530"/>
      <c r="AY12" s="530"/>
      <c r="AZ12" s="530"/>
      <c r="BA12" s="530"/>
      <c r="BB12" s="530"/>
      <c r="BC12" s="530"/>
      <c r="BD12" s="530"/>
      <c r="BE12" s="530"/>
      <c r="BF12" s="2617"/>
      <c r="BG12" s="2617"/>
      <c r="BH12" s="2617"/>
      <c r="BI12" s="2617"/>
      <c r="BJ12" s="2617"/>
      <c r="BK12" s="2617"/>
      <c r="BL12" s="2617"/>
      <c r="BM12" s="530"/>
      <c r="BN12" s="530"/>
      <c r="BO12" s="530"/>
      <c r="BP12" s="530"/>
    </row>
    <row r="13" spans="1:68" ht="12" customHeight="1" thickBot="1">
      <c r="A13" s="29"/>
      <c r="B13" s="443"/>
      <c r="C13" s="6607"/>
      <c r="D13" s="6607"/>
      <c r="E13" s="6608"/>
      <c r="F13" s="6608"/>
      <c r="H13" s="6633" t="s">
        <v>1649</v>
      </c>
      <c r="I13" s="6634"/>
      <c r="J13" s="2757"/>
      <c r="K13" s="6637" t="s">
        <v>1650</v>
      </c>
      <c r="L13" s="6638"/>
      <c r="M13" s="2758"/>
      <c r="O13" s="6628"/>
      <c r="P13" s="6609"/>
      <c r="Q13" s="6635"/>
      <c r="R13" s="36"/>
      <c r="S13" s="29"/>
      <c r="T13" s="29"/>
      <c r="U13" s="443"/>
      <c r="V13" s="6796" t="str">
        <f>IF(AB10&gt;9,"Exceso de CVs","")</f>
        <v/>
      </c>
      <c r="W13" s="6797"/>
      <c r="X13" s="6797"/>
      <c r="Y13" s="6797"/>
      <c r="Z13" s="6797"/>
      <c r="AA13" s="6797"/>
      <c r="AB13" s="6798"/>
      <c r="AL13" s="685"/>
      <c r="AM13" s="29"/>
      <c r="AN13" s="3725"/>
      <c r="AO13" s="3725"/>
      <c r="AP13" s="3726"/>
      <c r="AQ13" s="3726"/>
      <c r="AR13" s="530"/>
      <c r="AS13" s="530"/>
      <c r="AT13" s="530"/>
      <c r="AU13" s="530"/>
      <c r="AV13" s="530"/>
      <c r="AW13" s="530"/>
      <c r="AX13" s="530"/>
      <c r="AY13" s="530"/>
      <c r="AZ13" s="530"/>
      <c r="BA13" s="530"/>
      <c r="BB13" s="530"/>
      <c r="BC13" s="530"/>
      <c r="BD13" s="530"/>
      <c r="BE13" s="530"/>
      <c r="BF13" s="2617"/>
      <c r="BG13" s="2617"/>
      <c r="BH13" s="2617"/>
      <c r="BI13" s="2617"/>
      <c r="BJ13" s="2617"/>
      <c r="BK13" s="2617"/>
      <c r="BL13" s="2617"/>
      <c r="BM13" s="530"/>
      <c r="BN13" s="530"/>
      <c r="BO13" s="530"/>
      <c r="BP13" s="530"/>
    </row>
    <row r="14" spans="1:68" ht="12" customHeight="1" thickBot="1">
      <c r="A14" s="29"/>
      <c r="B14" s="443"/>
      <c r="C14" s="6595" t="s">
        <v>1651</v>
      </c>
      <c r="D14" s="6595"/>
      <c r="E14" s="6595"/>
      <c r="F14" s="152" t="s">
        <v>1646</v>
      </c>
      <c r="H14" s="4586" t="s">
        <v>6859</v>
      </c>
      <c r="I14" s="6759"/>
      <c r="J14" s="2759"/>
      <c r="K14" s="6760" t="s">
        <v>10076</v>
      </c>
      <c r="L14" s="6761"/>
      <c r="M14" s="2760"/>
      <c r="R14" s="36"/>
      <c r="S14" s="29"/>
      <c r="T14" s="29"/>
      <c r="U14" s="443"/>
      <c r="AD14" s="6778" t="s">
        <v>10068</v>
      </c>
      <c r="AE14" s="6779"/>
      <c r="AF14" s="6779"/>
      <c r="AG14" s="6779"/>
      <c r="AH14" s="6779"/>
      <c r="AI14" s="6779"/>
      <c r="AJ14" s="6779"/>
      <c r="AK14" s="6780"/>
      <c r="AL14" s="685"/>
      <c r="AM14" s="29"/>
      <c r="AN14" s="1539"/>
      <c r="AO14" s="1539"/>
      <c r="AP14" s="1540"/>
      <c r="AQ14" s="1540"/>
      <c r="AR14" s="530" t="s">
        <v>9158</v>
      </c>
      <c r="AS14" s="530"/>
      <c r="AT14" s="530"/>
      <c r="AU14" s="530"/>
      <c r="AV14" s="530"/>
      <c r="AW14" s="530"/>
      <c r="AX14" s="530"/>
      <c r="AY14" s="530"/>
      <c r="AZ14" s="530"/>
      <c r="BA14" s="530"/>
      <c r="BB14" s="530"/>
      <c r="BC14" s="530"/>
      <c r="BD14" s="530"/>
      <c r="BE14" s="530"/>
      <c r="BF14" s="2617"/>
      <c r="BG14" s="2617"/>
      <c r="BH14" s="2617"/>
      <c r="BI14" s="2617"/>
      <c r="BJ14" s="2617"/>
      <c r="BK14" s="2617"/>
      <c r="BL14" s="2617"/>
      <c r="BM14" s="530"/>
      <c r="BN14" s="530"/>
      <c r="BO14" s="530"/>
      <c r="BP14" s="530"/>
    </row>
    <row r="15" spans="1:68" ht="12" customHeight="1" thickBot="1">
      <c r="A15" s="29"/>
      <c r="B15" s="443"/>
      <c r="C15" s="4404" t="s">
        <v>1639</v>
      </c>
      <c r="D15" s="4404"/>
      <c r="E15" s="4404"/>
      <c r="F15" s="79">
        <f>IF(C26=0,0,1)+IF(C28=0,0,1)+IF(C30=0,0,1)+IF(C32=0,0,1)+IF(C34=0,0,1)+IF(C36=0,0,1)</f>
        <v>0</v>
      </c>
      <c r="O15" s="4372" t="s">
        <v>1653</v>
      </c>
      <c r="P15" s="4372"/>
      <c r="Q15" s="4372"/>
      <c r="R15" s="36"/>
      <c r="S15" s="29"/>
      <c r="T15" s="29"/>
      <c r="U15" s="443"/>
      <c r="V15" s="6799" t="s">
        <v>10070</v>
      </c>
      <c r="W15" s="6800"/>
      <c r="X15" s="6801"/>
      <c r="Z15" s="6802" t="s">
        <v>10071</v>
      </c>
      <c r="AA15" s="6803"/>
      <c r="AB15" s="6804"/>
      <c r="AD15" s="6781" t="str">
        <f>IF(AND('Tablas psiquica'!BQ6&lt;&gt;0,'Red Neuronal'!V44=1),'Tablas psiquica'!BQ6,"-")</f>
        <v>-</v>
      </c>
      <c r="AE15" s="6782"/>
      <c r="AF15" s="6782"/>
      <c r="AG15" s="6782"/>
      <c r="AH15" s="6782" t="str">
        <f>IF(AND('Tablas psiquica'!BQ7&lt;&gt;0,'Red Neuronal'!V44=1),'Tablas psiquica'!BQ7,"-")</f>
        <v>-</v>
      </c>
      <c r="AI15" s="6782"/>
      <c r="AJ15" s="6782"/>
      <c r="AK15" s="6487"/>
      <c r="AL15" s="3697"/>
      <c r="AM15" s="29"/>
      <c r="AN15" s="1539"/>
      <c r="AO15" s="1541" t="s">
        <v>11693</v>
      </c>
      <c r="AP15" s="1542"/>
      <c r="AQ15" s="1542"/>
      <c r="AR15" s="530"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c>
      <c r="AS15" s="530"/>
      <c r="AT15" s="530"/>
      <c r="AU15" s="530"/>
      <c r="AV15" s="530"/>
      <c r="AW15" s="530"/>
      <c r="AX15" s="530"/>
      <c r="AY15" s="530"/>
      <c r="AZ15" s="530"/>
      <c r="BA15" s="530"/>
      <c r="BB15" s="530"/>
      <c r="BC15" s="530"/>
      <c r="BD15" s="530"/>
      <c r="BE15" s="530"/>
      <c r="BF15" s="2617"/>
      <c r="BG15" s="2617"/>
      <c r="BH15" s="2617"/>
      <c r="BI15" s="2617"/>
      <c r="BJ15" s="2617"/>
      <c r="BK15" s="2617"/>
      <c r="BL15" s="2617"/>
      <c r="BM15" s="530"/>
      <c r="BN15" s="530"/>
      <c r="BO15" s="530"/>
      <c r="BP15" s="530"/>
    </row>
    <row r="16" spans="1:68" ht="12" customHeight="1" thickBot="1">
      <c r="A16" s="29"/>
      <c r="B16" s="443"/>
      <c r="C16" s="6654" t="s">
        <v>1640</v>
      </c>
      <c r="D16" s="6654"/>
      <c r="E16" s="6654"/>
      <c r="F16" s="153">
        <f>SUM(U20:U76)</f>
        <v>0</v>
      </c>
      <c r="G16" s="154"/>
      <c r="H16" s="4372" t="s">
        <v>1652</v>
      </c>
      <c r="I16" s="4372"/>
      <c r="J16" s="4372"/>
      <c r="K16" s="4372"/>
      <c r="L16" s="4372"/>
      <c r="M16" s="4372"/>
      <c r="O16" s="4429" t="s">
        <v>1576</v>
      </c>
      <c r="P16" s="4429"/>
      <c r="Q16" s="150" t="s">
        <v>1227</v>
      </c>
      <c r="R16" s="36"/>
      <c r="S16" s="29"/>
      <c r="T16" s="29"/>
      <c r="U16" s="443"/>
      <c r="V16" s="6805" t="s">
        <v>10072</v>
      </c>
      <c r="W16" s="6806"/>
      <c r="X16" s="2764" t="str">
        <f>IF('Red Neuronal'!O31=1,ROUNDDOWN(H11/40,0)*100,"-")</f>
        <v>-</v>
      </c>
      <c r="Y16" s="799"/>
      <c r="Z16" s="6807" t="s">
        <v>10073</v>
      </c>
      <c r="AA16" s="6809" t="str">
        <f>IF('Red Neuronal'!K41=1,ROUNDUP(PDs!R17/2,0),"-")</f>
        <v>-</v>
      </c>
      <c r="AB16" s="6810"/>
      <c r="AD16" s="6783" t="str">
        <f>IF(AND('Tablas psiquica'!BQ8&lt;&gt;0,'Red Neuronal'!V44=1),'Tablas psiquica'!BQ8,"-")</f>
        <v>-</v>
      </c>
      <c r="AE16" s="6426"/>
      <c r="AF16" s="6426"/>
      <c r="AG16" s="6784"/>
      <c r="AH16" s="6425" t="str">
        <f>IF(AND('Tablas psiquica'!BQ9&lt;&gt;0,'Red Neuronal'!V44=1),'Tablas psiquica'!BQ9,"-")</f>
        <v>-</v>
      </c>
      <c r="AI16" s="6426"/>
      <c r="AJ16" s="6426"/>
      <c r="AK16" s="6427"/>
      <c r="AL16" s="3695"/>
      <c r="AM16" s="29"/>
      <c r="AN16" s="1539"/>
      <c r="AO16" s="1539"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c>
      <c r="AP16" s="1540"/>
      <c r="AQ16" s="1540"/>
      <c r="AR16" s="530"/>
      <c r="AS16" s="530"/>
      <c r="AT16" s="530"/>
      <c r="AU16" s="530"/>
      <c r="AV16" s="530"/>
      <c r="AW16" s="530"/>
      <c r="AX16" s="530"/>
      <c r="AY16" s="530"/>
      <c r="AZ16" s="530"/>
      <c r="BA16" s="530"/>
      <c r="BB16" s="530"/>
      <c r="BC16" s="530"/>
      <c r="BD16" s="530"/>
      <c r="BE16" s="530"/>
      <c r="BF16" s="2617"/>
      <c r="BG16" s="2617"/>
      <c r="BH16" s="2617"/>
      <c r="BI16" s="2617"/>
      <c r="BJ16" s="2617"/>
      <c r="BK16" s="2617"/>
      <c r="BL16" s="2617"/>
      <c r="BM16" s="530"/>
      <c r="BN16" s="530"/>
      <c r="BO16" s="530"/>
      <c r="BP16" s="530"/>
    </row>
    <row r="17" spans="1:68" ht="12" customHeight="1" thickBot="1">
      <c r="A17" s="29"/>
      <c r="B17" s="443"/>
      <c r="C17" s="6655" t="s">
        <v>1654</v>
      </c>
      <c r="D17" s="6655"/>
      <c r="E17" s="6655"/>
      <c r="F17" s="79">
        <f>SUM(AA20:AA77)</f>
        <v>0</v>
      </c>
      <c r="H17" s="6658" t="s">
        <v>6745</v>
      </c>
      <c r="I17" s="6659">
        <f>F22-SUM(AI20:AI76)</f>
        <v>0</v>
      </c>
      <c r="J17" s="6661"/>
      <c r="K17" s="6661"/>
      <c r="L17" s="6661"/>
      <c r="M17" s="6661"/>
      <c r="O17" s="6663" t="s">
        <v>1581</v>
      </c>
      <c r="P17" s="6663"/>
      <c r="Q17" s="155" t="str">
        <f>IF(OR(Tablas!G558&gt;0,Tablas!H1572&gt;0),"+0",IF(AND(Tablas!G456=0,Tablas!H1523=0),"+10","+20"))</f>
        <v>+10</v>
      </c>
      <c r="R17" s="36"/>
      <c r="S17" s="29"/>
      <c r="T17" s="29"/>
      <c r="U17" s="443"/>
      <c r="V17" s="6813" t="s">
        <v>10074</v>
      </c>
      <c r="W17" s="6814"/>
      <c r="X17" s="2765" t="str">
        <f>IF('Red Neuronal'!O31=1,ROUNDDOWN(H11/40,0)*10,"-")</f>
        <v>-</v>
      </c>
      <c r="Z17" s="6808"/>
      <c r="AA17" s="6811"/>
      <c r="AB17" s="6812"/>
      <c r="AD17" s="6785" t="str">
        <f>IF(AND('Tablas psiquica'!BQ10&lt;&gt;0,'Red Neuronal'!V44=1),'Tablas psiquica'!BQ10,"-")</f>
        <v>-</v>
      </c>
      <c r="AE17" s="6786"/>
      <c r="AF17" s="6786"/>
      <c r="AG17" s="6786"/>
      <c r="AH17" s="6786" t="str">
        <f>IF(AND('Tablas psiquica'!BQ11&lt;&gt;0,'Red Neuronal'!V44=1),'Tablas psiquica'!BQ11,"-")</f>
        <v>-</v>
      </c>
      <c r="AI17" s="6786"/>
      <c r="AJ17" s="6786"/>
      <c r="AK17" s="6488"/>
      <c r="AL17" s="3698"/>
      <c r="AM17" s="29"/>
      <c r="AN17" s="1539"/>
      <c r="AO17" s="1541" t="s">
        <v>10177</v>
      </c>
      <c r="AP17" s="1542"/>
      <c r="AQ17" s="530"/>
      <c r="AR17" s="1602">
        <v>1</v>
      </c>
      <c r="AS17" s="530" t="str" cm="1">
        <f t="array" ref="AS17">IF(INDEX($V$20:$Z$79,AR17,1)=0,"",INDEX($V$20:$Z$79,AR17,1))</f>
        <v/>
      </c>
      <c r="AT17" s="530"/>
      <c r="AU17" s="530"/>
      <c r="AV17" s="530"/>
      <c r="AW17" s="530"/>
      <c r="AX17" s="530"/>
      <c r="AY17" s="530"/>
      <c r="AZ17" s="530"/>
      <c r="BA17" s="530"/>
      <c r="BB17" s="530"/>
      <c r="BC17" s="530"/>
      <c r="BD17" s="530"/>
      <c r="BE17" s="530"/>
      <c r="BF17" s="2617"/>
      <c r="BG17" s="2617"/>
      <c r="BH17" s="2617"/>
      <c r="BI17" s="2617"/>
      <c r="BJ17" s="2617"/>
      <c r="BK17" s="2617"/>
      <c r="BL17" s="2617"/>
      <c r="BM17" s="530"/>
      <c r="BN17" s="530"/>
      <c r="BO17" s="530"/>
      <c r="BP17" s="530"/>
    </row>
    <row r="18" spans="1:68" ht="12" customHeight="1" thickBot="1">
      <c r="A18" s="29"/>
      <c r="B18" s="443"/>
      <c r="C18" s="6662" t="s">
        <v>1655</v>
      </c>
      <c r="D18" s="6662"/>
      <c r="E18" s="6662"/>
      <c r="F18" s="153">
        <f>M10</f>
        <v>0</v>
      </c>
      <c r="H18" s="6658"/>
      <c r="I18" s="6660"/>
      <c r="J18" s="6661"/>
      <c r="K18" s="6661"/>
      <c r="L18" s="6661"/>
      <c r="M18" s="6661"/>
      <c r="O18" s="6657" t="s">
        <v>1584</v>
      </c>
      <c r="P18" s="6657"/>
      <c r="Q18" s="155" t="str">
        <f>IF(OR(Tablas!G558&gt;0,Tablas!H1572&gt;0),"+0",IF(AND(Tablas!G456=0,Tablas!H1523=0),"+20","+40"))</f>
        <v>+20</v>
      </c>
      <c r="R18" s="36"/>
      <c r="S18" s="29"/>
      <c r="T18" s="29"/>
      <c r="U18" s="443"/>
      <c r="AL18" s="3699" t="s">
        <v>6744</v>
      </c>
      <c r="AM18" s="29"/>
      <c r="AN18" s="1539"/>
      <c r="AO18" s="3640">
        <f>IF(AND(AD20&lt;&gt;"",OR(AD20=Personalización!AF79,AD20=Personalización!AF80)),1,0)</f>
        <v>0</v>
      </c>
      <c r="AP18" s="1540"/>
      <c r="AQ18" s="530"/>
      <c r="AR18" s="1602">
        <v>3</v>
      </c>
      <c r="AS18" s="530" t="str" cm="1">
        <f t="array" ref="AS18">IF(INDEX($V$20:$Z$79,AR18,1)=0,"",INDEX($V$20:$Z$79,AR18,1))</f>
        <v/>
      </c>
      <c r="AT18" s="530"/>
      <c r="AU18" s="530"/>
      <c r="AV18" s="530"/>
      <c r="AW18" s="530"/>
      <c r="AX18" s="530"/>
      <c r="AY18" s="530"/>
      <c r="AZ18" s="530"/>
      <c r="BA18" s="530"/>
      <c r="BB18" s="530"/>
      <c r="BC18" s="530"/>
      <c r="BD18" s="530"/>
      <c r="BE18" s="530"/>
      <c r="BF18" s="2617"/>
      <c r="BG18" s="2617"/>
      <c r="BH18" s="2617"/>
      <c r="BI18" s="2617"/>
      <c r="BJ18" s="2617"/>
      <c r="BK18" s="2617"/>
      <c r="BL18" s="2617"/>
      <c r="BM18" s="530"/>
      <c r="BN18" s="530"/>
      <c r="BO18" s="530"/>
      <c r="BP18" s="530"/>
    </row>
    <row r="19" spans="1:68" ht="12" customHeight="1" thickBot="1">
      <c r="A19" s="29"/>
      <c r="B19" s="443"/>
      <c r="C19" s="6664" t="s">
        <v>1657</v>
      </c>
      <c r="D19" s="6664"/>
      <c r="E19" s="6664"/>
      <c r="F19" s="1363">
        <f>2*M13</f>
        <v>0</v>
      </c>
      <c r="H19" s="156" t="s">
        <v>1656</v>
      </c>
      <c r="I19" s="1000"/>
      <c r="J19" s="29"/>
      <c r="K19" s="157" t="str">
        <f>IF(AND(Tablas!G457=0,Tablas!H1524=0),"+10 / CV","+20 / CV")</f>
        <v>+10 / CV</v>
      </c>
      <c r="L19" s="6656" t="str">
        <f>IF(AND(Tablas!G457=0,Tablas!H1569=0),"(Max +50)","(Max +100)")</f>
        <v>(Max +50)</v>
      </c>
      <c r="M19" s="6656"/>
      <c r="O19" s="6657" t="s">
        <v>1586</v>
      </c>
      <c r="P19" s="6657"/>
      <c r="Q19" s="155" t="str">
        <f>IF(OR(Tablas!G558&gt;0,Tablas!H1572&gt;0),"+0",IF(AND(Tablas!G456=0,Tablas!H1523=0),"+30","+60"))</f>
        <v>+30</v>
      </c>
      <c r="R19" s="36"/>
      <c r="S19" s="29"/>
      <c r="T19" s="29"/>
      <c r="U19" s="443"/>
      <c r="V19" s="4338" t="s">
        <v>1645</v>
      </c>
      <c r="W19" s="4340"/>
      <c r="X19" s="4340"/>
      <c r="Y19" s="4340"/>
      <c r="Z19" s="4340"/>
      <c r="AA19" s="1581" t="s">
        <v>1646</v>
      </c>
      <c r="AB19" s="1582" t="s">
        <v>1227</v>
      </c>
      <c r="AD19" s="4352" t="s">
        <v>6743</v>
      </c>
      <c r="AE19" s="4317"/>
      <c r="AF19" s="4317"/>
      <c r="AG19" s="4317"/>
      <c r="AH19" s="6581"/>
      <c r="AI19" s="1798" t="s">
        <v>1646</v>
      </c>
      <c r="AJ19" s="1798" t="s">
        <v>5983</v>
      </c>
      <c r="AK19" s="1799" t="s">
        <v>1099</v>
      </c>
      <c r="AL19" s="3700">
        <f>COUNTA(AD20,AD22,AD24,AD26,AD28,AD30,AD32,AD34,AD36,AD38,AD40,AD42,AD44,AD46,AD48,AD50,AD52,AD54,AD56,AD58,AD60,AD62,AD72)</f>
        <v>0</v>
      </c>
      <c r="AM19" s="29"/>
      <c r="AN19" s="1539"/>
      <c r="AO19" s="3640">
        <f>IF(AND(AD22&lt;&gt;"",OR(AD22=Personalización!AF79,AD22=Personalización!AF80)),1,0)</f>
        <v>0</v>
      </c>
      <c r="AP19" s="1542"/>
      <c r="AQ19" s="530"/>
      <c r="AR19" s="1602">
        <v>5</v>
      </c>
      <c r="AS19" s="530" t="str" cm="1">
        <f t="array" ref="AS19">IF(INDEX($V$20:$Z$79,AR19,1)=0,"",INDEX($V$20:$Z$79,AR19,1))</f>
        <v/>
      </c>
      <c r="AT19" s="530"/>
      <c r="AU19" s="530"/>
      <c r="AV19" s="530"/>
      <c r="AW19" s="530"/>
      <c r="AX19" s="530"/>
      <c r="AY19" s="530"/>
      <c r="AZ19" s="530"/>
      <c r="BA19" s="530"/>
      <c r="BB19" s="530"/>
      <c r="BC19" s="530"/>
      <c r="BD19" s="530"/>
      <c r="BE19" s="530"/>
      <c r="BF19" s="2617"/>
      <c r="BG19" s="2617"/>
      <c r="BH19" s="2617"/>
      <c r="BI19" s="2617"/>
      <c r="BJ19" s="2617"/>
      <c r="BK19" s="2617"/>
      <c r="BL19" s="2617"/>
      <c r="BM19" s="530"/>
      <c r="BN19" s="530"/>
      <c r="BO19" s="530"/>
      <c r="BP19" s="530"/>
    </row>
    <row r="20" spans="1:68" ht="12" customHeight="1">
      <c r="A20" s="29"/>
      <c r="B20" s="443"/>
      <c r="C20" s="6774" t="s">
        <v>10069</v>
      </c>
      <c r="D20" s="6774"/>
      <c r="E20" s="6774"/>
      <c r="F20" s="2768">
        <f>IF(AB10="-",0,AB10)</f>
        <v>0</v>
      </c>
      <c r="H20" s="158" t="s">
        <v>1658</v>
      </c>
      <c r="I20" s="159"/>
      <c r="K20" s="160" t="s">
        <v>1659</v>
      </c>
      <c r="L20" s="6665" t="s">
        <v>1660</v>
      </c>
      <c r="M20" s="6665"/>
      <c r="O20" s="6657" t="s">
        <v>1588</v>
      </c>
      <c r="P20" s="6657"/>
      <c r="Q20" s="155" t="str">
        <f>IF(OR(Tablas!G558&gt;0,Tablas!H1572&gt;0),"+0",IF(AND(Tablas!G456=0,Tablas!H1523=0),"+40","+80"))</f>
        <v>+40</v>
      </c>
      <c r="R20" s="36"/>
      <c r="S20" s="29"/>
      <c r="T20" s="29"/>
      <c r="U20" s="3744">
        <f>IF(V20=0,0,1)</f>
        <v>0</v>
      </c>
      <c r="V20" s="6592"/>
      <c r="W20" s="6593"/>
      <c r="X20" s="6593"/>
      <c r="Y20" s="6593"/>
      <c r="Z20" s="6593"/>
      <c r="AA20" s="6636"/>
      <c r="AB20" s="6649">
        <f>IF(AA20="0","",IF(AA20*10&lt;100,AA20*10,100))+AC20</f>
        <v>0</v>
      </c>
      <c r="AC20" s="3482">
        <f>COUNTIF(Personalización!V75:AA80,Psíquicos!V20)*10</f>
        <v>0</v>
      </c>
      <c r="AD20" s="6538"/>
      <c r="AE20" s="6539"/>
      <c r="AF20" s="6539"/>
      <c r="AG20" s="6539"/>
      <c r="AH20" s="6622"/>
      <c r="AI20" s="6614"/>
      <c r="AJ20" s="6576"/>
      <c r="AK20" s="6650" t="str" cm="1">
        <f t="array" ref="AK20">IF(AD20&lt;&gt;"",INDEX(Tablas!$U$26:$U$38,MAX(MATCH(VLOOKUP(Psíquicos!$AD20,'Tablas psiquica'!$AB$7:$AO$198,2,FALSE),Tablas!$U$26:$U$38,0),MAX(SUMPRODUCT(--(Tablas!$T$26:$T$38&lt;=(AL20-20*AI20)))+IF(OR(Tablas!$G$458&gt;0,Tablas!$H$1520&gt;0),1,0),SUMPRODUCT(--(Tablas!$T$26:$T$38&lt;=(AL20)))+AO18))),"")</f>
        <v/>
      </c>
      <c r="AL20" s="6535">
        <f>$H$11-J14+IF(ISNA(VLOOKUP(AD20,$V$20:$AB$79,7,FALSE)),0,IF(VLOOKUP(AD20,$V$20:$AB$79,7,FALSE)="",0,VLOOKUP(AD20,$V$20:$AB$79,7,FALSE)))+AI20*20+AJ20</f>
        <v>0</v>
      </c>
      <c r="AM20" s="29"/>
      <c r="AN20" s="1539"/>
      <c r="AO20" s="3640">
        <f>IF(AND(AD24&lt;&gt;"",OR(AD24=Personalización!AF79,AD24=Personalización!AF80)),1,0)</f>
        <v>0</v>
      </c>
      <c r="AP20" s="1540"/>
      <c r="AQ20" s="530"/>
      <c r="AR20" s="1602">
        <v>7</v>
      </c>
      <c r="AS20" s="530" t="str" cm="1">
        <f t="array" ref="AS20">IF(INDEX($V$20:$Z$79,AR20,1)=0,"",INDEX($V$20:$Z$79,AR20,1))</f>
        <v/>
      </c>
      <c r="AT20" s="530"/>
      <c r="AU20" s="530"/>
      <c r="AV20" s="530"/>
      <c r="AW20" s="530"/>
      <c r="AX20" s="530"/>
      <c r="AY20" s="530"/>
      <c r="AZ20" s="530"/>
      <c r="BA20" s="530"/>
      <c r="BB20" s="530"/>
      <c r="BC20" s="530"/>
      <c r="BD20" s="530"/>
      <c r="BE20" s="530"/>
      <c r="BF20" s="2617"/>
      <c r="BG20" s="2617"/>
      <c r="BH20" s="2617"/>
      <c r="BI20" s="2617"/>
      <c r="BJ20" s="2617"/>
      <c r="BK20" s="2617"/>
      <c r="BL20" s="2617"/>
      <c r="BM20" s="530"/>
      <c r="BN20" s="530"/>
      <c r="BO20" s="530"/>
      <c r="BP20" s="530"/>
    </row>
    <row r="21" spans="1:68" ht="12" customHeight="1">
      <c r="A21" s="29"/>
      <c r="B21" s="443"/>
      <c r="C21" s="4609" t="s">
        <v>10075</v>
      </c>
      <c r="D21" s="4609"/>
      <c r="E21" s="4609"/>
      <c r="F21" s="945">
        <f>M14</f>
        <v>0</v>
      </c>
      <c r="H21" s="156" t="s">
        <v>1661</v>
      </c>
      <c r="I21" s="29"/>
      <c r="J21" s="29"/>
      <c r="K21" s="157" t="s">
        <v>1659</v>
      </c>
      <c r="L21" s="6656" t="s">
        <v>1660</v>
      </c>
      <c r="M21" s="6656"/>
      <c r="O21" s="6641" t="s">
        <v>1590</v>
      </c>
      <c r="P21" s="6641"/>
      <c r="Q21" s="946" t="str">
        <f>IF(OR(Tablas!G558&gt;0,Tablas!H1572&gt;0),"+0",IF(AND(Tablas!G456=0,Tablas!H1523=0),"+50","+100"))</f>
        <v>+50</v>
      </c>
      <c r="R21" s="36"/>
      <c r="S21" s="29"/>
      <c r="T21" s="29"/>
      <c r="U21" s="3744"/>
      <c r="V21" s="6629" t="str">
        <f>IF(V20=0,"",VLOOKUP(V20,Tabla_PoderesPsi,2,FALSE))</f>
        <v/>
      </c>
      <c r="W21" s="6630"/>
      <c r="X21" s="6630"/>
      <c r="Y21" s="1475" t="s">
        <v>1186</v>
      </c>
      <c r="Z21" s="1476" t="str">
        <f>IF(V20=0,"",VLOOKUP(V20,Tabla_PoderesPsi,3,FALSE))</f>
        <v/>
      </c>
      <c r="AA21" s="6636"/>
      <c r="AB21" s="6646"/>
      <c r="AC21" s="625"/>
      <c r="AD21" s="6623" t="str">
        <f>IF(AD20=0,"",VLOOKUP(AD20,Tabla_PoderesPsi,2,FALSE))</f>
        <v/>
      </c>
      <c r="AE21" s="6624"/>
      <c r="AF21" s="6624"/>
      <c r="AG21" s="1796" t="s">
        <v>1186</v>
      </c>
      <c r="AH21" s="1797" t="str">
        <f>IF(AD20=0,"",VLOOKUP(AD20,Tabla_PoderesPsi,3,FALSE))</f>
        <v/>
      </c>
      <c r="AI21" s="6615"/>
      <c r="AJ21" s="6577"/>
      <c r="AK21" s="6651"/>
      <c r="AL21" s="6535"/>
      <c r="AM21" s="29"/>
      <c r="AN21" s="1539"/>
      <c r="AO21" s="3640">
        <f>IF(AND(AD26&lt;&gt;"",OR(AD26=Personalización!AF79,AD26=Personalización!AF80)),1,0)</f>
        <v>0</v>
      </c>
      <c r="AP21" s="1542"/>
      <c r="AQ21" s="530"/>
      <c r="AR21" s="1602">
        <v>9</v>
      </c>
      <c r="AS21" s="530" t="str" cm="1">
        <f t="array" ref="AS21">IF(INDEX($V$20:$Z$79,AR21,1)=0,"",INDEX($V$20:$Z$79,AR21,1))</f>
        <v/>
      </c>
      <c r="AT21" s="530"/>
      <c r="AU21" s="530"/>
      <c r="AV21" s="530"/>
      <c r="AW21" s="530"/>
      <c r="AX21" s="530"/>
      <c r="AY21" s="530"/>
      <c r="AZ21" s="530"/>
      <c r="BA21" s="530"/>
      <c r="BB21" s="530"/>
      <c r="BC21" s="530"/>
      <c r="BD21" s="530"/>
      <c r="BE21" s="530"/>
      <c r="BF21" s="2617"/>
      <c r="BG21" s="2617"/>
      <c r="BH21" s="2617"/>
      <c r="BI21" s="2617"/>
      <c r="BJ21" s="2617"/>
      <c r="BK21" s="2617"/>
      <c r="BL21" s="2617"/>
      <c r="BM21" s="530"/>
      <c r="BN21" s="530"/>
      <c r="BO21" s="530"/>
      <c r="BP21" s="530"/>
    </row>
    <row r="22" spans="1:68" ht="12" customHeight="1">
      <c r="A22" s="29"/>
      <c r="B22" s="2766"/>
      <c r="C22" s="6775" t="s">
        <v>1652</v>
      </c>
      <c r="D22" s="6776"/>
      <c r="E22" s="6777"/>
      <c r="F22" s="2767">
        <f>C12-E12</f>
        <v>0</v>
      </c>
      <c r="H22" s="158" t="s">
        <v>1662</v>
      </c>
      <c r="I22" s="159"/>
      <c r="K22" s="160" t="s">
        <v>1663</v>
      </c>
      <c r="L22" s="6665" t="s">
        <v>1664</v>
      </c>
      <c r="M22" s="6665"/>
      <c r="O22" s="6641" t="str">
        <f>IF('Red Neuronal'!U21=10,"2 horas","")</f>
        <v/>
      </c>
      <c r="P22" s="6641"/>
      <c r="Q22" s="3166" t="str">
        <f>IF('Red Neuronal'!U21=10,"+60","")</f>
        <v/>
      </c>
      <c r="R22" s="36"/>
      <c r="S22" s="29"/>
      <c r="T22" s="29"/>
      <c r="U22" s="3744">
        <f>IF(V22=0,0,1)</f>
        <v>0</v>
      </c>
      <c r="V22" s="6616"/>
      <c r="W22" s="6617"/>
      <c r="X22" s="6617"/>
      <c r="Y22" s="6617"/>
      <c r="Z22" s="6617"/>
      <c r="AA22" s="6618"/>
      <c r="AB22" s="6620">
        <f>IF(AA22="0","",IF(AA22*10&lt;100,AA22*10,100))+AC22</f>
        <v>0</v>
      </c>
      <c r="AC22" s="3482">
        <f>COUNTIF(Personalización!V75:AA80,Psíquicos!V22)*10</f>
        <v>0</v>
      </c>
      <c r="AD22" s="6538"/>
      <c r="AE22" s="6539"/>
      <c r="AF22" s="6539"/>
      <c r="AG22" s="6539"/>
      <c r="AH22" s="6622"/>
      <c r="AI22" s="6614"/>
      <c r="AJ22" s="6576"/>
      <c r="AK22" s="6579" t="str" cm="1">
        <f t="array" ref="AK22">IF(AD22&lt;&gt;"",INDEX(Tablas!$U$26:$U$38,MAX(MATCH(VLOOKUP(Psíquicos!$AD22,'Tablas psiquica'!$AB$7:$AO$198,2,FALSE),Tablas!$U$26:$U$38,0),MAX(SUMPRODUCT(--(Tablas!$T$26:$T$38&lt;=(AL22-20*AI22)))+IF(OR(Tablas!$G$458&gt;0,Tablas!$H$1520&gt;0),1,0),SUMPRODUCT(--(Tablas!$T$26:$T$38&lt;=(AL22)))+AO19))),"")</f>
        <v/>
      </c>
      <c r="AL22" s="6535">
        <f>$H$11-J14+IF(ISNA(VLOOKUP(AD22,$V$20:$AB$79,7,FALSE)),0,IF(VLOOKUP(AD22,$V$20:$AB$79,7,FALSE)="",0,VLOOKUP(AD22,$V$20:$AB$79,7,FALSE)))+AI22*20+AJ22</f>
        <v>0</v>
      </c>
      <c r="AM22" s="29"/>
      <c r="AN22" s="1539"/>
      <c r="AO22" s="3640">
        <f>IF(AND(AD28&lt;&gt;"",OR(AD28=Personalización!AF79,AD28=Personalización!AF80)),1,0)</f>
        <v>0</v>
      </c>
      <c r="AP22" s="1541"/>
      <c r="AQ22" s="530"/>
      <c r="AR22" s="1602"/>
      <c r="AS22" s="530"/>
      <c r="AT22" s="530"/>
      <c r="AU22" s="530"/>
      <c r="AV22" s="530"/>
      <c r="AW22" s="530"/>
      <c r="AX22" s="530"/>
      <c r="AY22" s="530"/>
      <c r="AZ22" s="530"/>
      <c r="BA22" s="530"/>
      <c r="BB22" s="530"/>
      <c r="BC22" s="530"/>
      <c r="BD22" s="530"/>
      <c r="BE22" s="530"/>
      <c r="BF22" s="2617"/>
      <c r="BG22" s="2617"/>
      <c r="BH22" s="2617"/>
      <c r="BI22" s="2617"/>
      <c r="BJ22" s="2617"/>
      <c r="BK22" s="2617"/>
      <c r="BL22" s="2617"/>
      <c r="BM22" s="530"/>
      <c r="BN22" s="530"/>
      <c r="BO22" s="530"/>
      <c r="BP22" s="530"/>
    </row>
    <row r="23" spans="1:68" ht="12" customHeight="1" thickBot="1">
      <c r="A23" s="29"/>
      <c r="B23" s="443"/>
      <c r="C23" s="6666" t="str">
        <f>IF(F21&lt;0,"Exceso de CVs",IF(AL16&gt;M13,"Exceso de innatos activos",""))</f>
        <v/>
      </c>
      <c r="D23" s="6666"/>
      <c r="E23" s="6666"/>
      <c r="F23" s="6666"/>
      <c r="G23" s="161"/>
      <c r="H23" s="162" t="s">
        <v>1665</v>
      </c>
      <c r="I23" s="44"/>
      <c r="J23" s="44"/>
      <c r="K23" s="163" t="s">
        <v>1663</v>
      </c>
      <c r="L23" s="5646" t="s">
        <v>1666</v>
      </c>
      <c r="M23" s="5646"/>
      <c r="O23" s="6667" t="str">
        <f>IF(OR(Tablas!G558&gt;0,Tablas!H1572&gt;0),"Sin concentración",IF(AND(Tablas!G456=0,Tablas!H1523=0),"","Concentración extrema"))</f>
        <v/>
      </c>
      <c r="P23" s="6667"/>
      <c r="Q23" s="6667"/>
      <c r="R23" s="36"/>
      <c r="S23" s="29"/>
      <c r="T23" s="29"/>
      <c r="U23" s="3744"/>
      <c r="V23" s="6639" t="str">
        <f>IF(V22=0,"",VLOOKUP(V22,Tabla_PoderesPsi,2,FALSE))</f>
        <v/>
      </c>
      <c r="W23" s="6640"/>
      <c r="X23" s="6640"/>
      <c r="Y23" s="1577" t="s">
        <v>1186</v>
      </c>
      <c r="Z23" s="1578" t="str">
        <f>IF(V22=0,"",VLOOKUP(V22,Tabla_PoderesPsi,3,FALSE))</f>
        <v/>
      </c>
      <c r="AA23" s="6619"/>
      <c r="AB23" s="6621"/>
      <c r="AC23" s="530"/>
      <c r="AD23" s="6623" t="str">
        <f>IF(AD22=0,"",VLOOKUP(AD22,Tabla_PoderesPsi,2,FALSE))</f>
        <v/>
      </c>
      <c r="AE23" s="6624"/>
      <c r="AF23" s="6624"/>
      <c r="AG23" s="1796" t="s">
        <v>1186</v>
      </c>
      <c r="AH23" s="1797" t="str">
        <f>IF(AD22=0,"",VLOOKUP(AD22,Tabla_PoderesPsi,3,FALSE))</f>
        <v/>
      </c>
      <c r="AI23" s="6615"/>
      <c r="AJ23" s="6577"/>
      <c r="AK23" s="6580"/>
      <c r="AL23" s="6535"/>
      <c r="AM23" s="29"/>
      <c r="AN23" s="1539"/>
      <c r="AO23" s="3640">
        <f>IF(AND(AD30&lt;&gt;"",OR(AD30=Personalización!AF79,AD30=Personalización!AF80)),1,0)</f>
        <v>0</v>
      </c>
      <c r="AP23" s="1539"/>
      <c r="AQ23" s="530"/>
      <c r="AR23" s="1602">
        <v>11</v>
      </c>
      <c r="AS23" s="530" t="str" cm="1">
        <f t="array" ref="AS23">IF(INDEX($V$20:$Z$79,AR23,1)=0,"",INDEX($V$20:$Z$79,AR23,1))</f>
        <v/>
      </c>
      <c r="AT23" s="530"/>
      <c r="AU23" s="530"/>
      <c r="AV23" s="530"/>
      <c r="AW23" s="530"/>
      <c r="AX23" s="530"/>
      <c r="AY23" s="530"/>
      <c r="AZ23" s="530"/>
      <c r="BA23" s="530"/>
      <c r="BB23" s="530"/>
      <c r="BC23" s="530"/>
      <c r="BD23" s="530"/>
      <c r="BE23" s="530"/>
      <c r="BF23" s="2617"/>
      <c r="BG23" s="2617"/>
      <c r="BH23" s="2617"/>
      <c r="BI23" s="2617"/>
      <c r="BJ23" s="2617"/>
      <c r="BK23" s="2617"/>
      <c r="BL23" s="2617"/>
      <c r="BM23" s="530"/>
      <c r="BN23" s="530"/>
      <c r="BO23" s="530"/>
      <c r="BP23" s="530"/>
    </row>
    <row r="24" spans="1:68" ht="12" customHeight="1" thickBot="1">
      <c r="A24" s="29"/>
      <c r="B24" s="443"/>
      <c r="M24" s="48"/>
      <c r="R24" s="36"/>
      <c r="S24" s="29"/>
      <c r="T24" s="29"/>
      <c r="U24" s="3744">
        <f>IF(V24=0,0,1)</f>
        <v>0</v>
      </c>
      <c r="V24" s="6679"/>
      <c r="W24" s="6680"/>
      <c r="X24" s="6680"/>
      <c r="Y24" s="6680"/>
      <c r="Z24" s="6680"/>
      <c r="AA24" s="6636"/>
      <c r="AB24" s="6645">
        <f>IF(AA24="0","",IF(AA24*10&lt;100,AA24*10,100))+AC24</f>
        <v>0</v>
      </c>
      <c r="AC24" s="3482">
        <f>COUNTIF(Personalización!V75:AA80,Psíquicos!V24)*10</f>
        <v>0</v>
      </c>
      <c r="AD24" s="6538"/>
      <c r="AE24" s="6539"/>
      <c r="AF24" s="6539"/>
      <c r="AG24" s="6539"/>
      <c r="AH24" s="6622"/>
      <c r="AI24" s="6614"/>
      <c r="AJ24" s="6576"/>
      <c r="AK24" s="6579" t="str" cm="1">
        <f t="array" ref="AK24">IF(AD24&lt;&gt;"",INDEX(Tablas!$U$26:$U$38,MAX(MATCH(VLOOKUP(Psíquicos!$AD24,'Tablas psiquica'!$AB$7:$AO$198,2,FALSE),Tablas!$U$26:$U$38,0),MAX(SUMPRODUCT(--(Tablas!$T$26:$T$38&lt;=(AL24-20*AI24)))+IF(OR(Tablas!$G$458&gt;0,Tablas!$H$1520&gt;0),1,0),SUMPRODUCT(--(Tablas!$T$26:$T$38&lt;=(AL24)))+AO20))),"")</f>
        <v/>
      </c>
      <c r="AL24" s="6537">
        <f>$H$11-J14+IF(ISNA(VLOOKUP(AD24,$V$20:$AB$79,7,FALSE)),0,IF(VLOOKUP(AD24,$V$20:$AB$79,7,FALSE)="",0,VLOOKUP(AD24,$V$20:$AB$79,7,FALSE)))+AI24*20+AJ24</f>
        <v>0</v>
      </c>
      <c r="AM24" s="29"/>
      <c r="AN24" s="1541"/>
      <c r="AO24" s="3640">
        <f>IF(AND(AD32&lt;&gt;"",OR(AD32=Personalización!AF79,AD32=Personalización!AF80)),1,0)</f>
        <v>0</v>
      </c>
      <c r="AP24" s="1541"/>
      <c r="AQ24" s="530"/>
      <c r="AR24" s="1602">
        <v>13</v>
      </c>
      <c r="AS24" s="530" t="str" cm="1">
        <f t="array" ref="AS24">IF(INDEX($V$20:$Z$79,AR24,1)=0,"",INDEX($V$20:$Z$79,AR24,1))</f>
        <v/>
      </c>
      <c r="AT24" s="530"/>
      <c r="AU24" s="530"/>
      <c r="AV24" s="530"/>
      <c r="AW24" s="530"/>
      <c r="AX24" s="530"/>
      <c r="AY24" s="530"/>
      <c r="AZ24" s="530"/>
      <c r="BA24" s="530"/>
      <c r="BB24" s="530"/>
      <c r="BC24" s="530"/>
      <c r="BD24" s="530"/>
      <c r="BE24" s="530"/>
      <c r="BF24" s="2617"/>
      <c r="BG24" s="2617"/>
      <c r="BH24" s="2617"/>
      <c r="BI24" s="2617"/>
      <c r="BJ24" s="2617"/>
      <c r="BK24" s="2617"/>
      <c r="BL24" s="2617"/>
      <c r="BM24" s="530"/>
      <c r="BN24" s="530"/>
      <c r="BO24" s="530"/>
      <c r="BP24" s="530"/>
    </row>
    <row r="25" spans="1:68" ht="12" customHeight="1">
      <c r="A25" s="29"/>
      <c r="B25" s="443"/>
      <c r="C25" s="4364" t="s">
        <v>1667</v>
      </c>
      <c r="D25" s="4365"/>
      <c r="E25" s="4365"/>
      <c r="F25" s="6668" t="s">
        <v>1668</v>
      </c>
      <c r="G25" s="6668"/>
      <c r="H25" s="6668"/>
      <c r="I25" s="6668"/>
      <c r="J25" s="6668"/>
      <c r="K25" s="6668"/>
      <c r="L25" s="6668"/>
      <c r="M25" s="6668"/>
      <c r="N25" s="6668"/>
      <c r="O25" s="6668"/>
      <c r="P25" s="6668"/>
      <c r="Q25" s="6669"/>
      <c r="R25" s="36"/>
      <c r="S25" s="29"/>
      <c r="T25" s="29"/>
      <c r="U25" s="3744"/>
      <c r="V25" s="6629" t="str">
        <f>IF(V24=0,"",VLOOKUP(V24,Tabla_PoderesPsi,2,FALSE))</f>
        <v/>
      </c>
      <c r="W25" s="6630"/>
      <c r="X25" s="6630"/>
      <c r="Y25" s="1475" t="s">
        <v>1186</v>
      </c>
      <c r="Z25" s="1476" t="str">
        <f>IF(V24=0,"",VLOOKUP(V24,Tabla_PoderesPsi,3,FALSE))</f>
        <v/>
      </c>
      <c r="AA25" s="6636"/>
      <c r="AB25" s="6646"/>
      <c r="AC25" s="530"/>
      <c r="AD25" s="6623" t="str">
        <f>IF(AD24=0,"",VLOOKUP(AD24,Tabla_PoderesPsi,2,FALSE))</f>
        <v/>
      </c>
      <c r="AE25" s="6624"/>
      <c r="AF25" s="6624"/>
      <c r="AG25" s="1796" t="s">
        <v>1186</v>
      </c>
      <c r="AH25" s="1797" t="str">
        <f>IF(AD24=0,"",VLOOKUP(AD24,Tabla_PoderesPsi,3,FALSE))</f>
        <v/>
      </c>
      <c r="AI25" s="6615"/>
      <c r="AJ25" s="6577"/>
      <c r="AK25" s="6580"/>
      <c r="AL25" s="6537"/>
      <c r="AM25" s="29"/>
      <c r="AN25" s="1539"/>
      <c r="AO25" s="3640">
        <f>IF(AND(AD34&lt;&gt;"",OR(AD34=Personalización!AF79,AD34=Personalización!AF80)),1,0)</f>
        <v>0</v>
      </c>
      <c r="AP25" s="1539"/>
      <c r="AQ25" s="530"/>
      <c r="AR25" s="1602">
        <v>15</v>
      </c>
      <c r="AS25" s="530" t="str" cm="1">
        <f t="array" ref="AS25">IF(INDEX($V$20:$Z$79,AR25,1)=0,"",INDEX($V$20:$Z$79,AR25,1))</f>
        <v/>
      </c>
      <c r="AT25" s="530"/>
      <c r="AU25" s="530"/>
      <c r="AV25" s="530"/>
      <c r="AW25" s="530"/>
      <c r="AX25" s="530"/>
      <c r="AY25" s="530"/>
      <c r="AZ25" s="530"/>
      <c r="BA25" s="530"/>
      <c r="BB25" s="530"/>
      <c r="BC25" s="530"/>
      <c r="BD25" s="530"/>
      <c r="BE25" s="530"/>
      <c r="BF25" s="2617"/>
      <c r="BG25" s="2617"/>
      <c r="BH25" s="2617"/>
      <c r="BI25" s="2617"/>
      <c r="BJ25" s="2617"/>
      <c r="BK25" s="2617"/>
      <c r="BL25" s="2617"/>
      <c r="BM25" s="530"/>
      <c r="BN25" s="530"/>
      <c r="BO25" s="530"/>
      <c r="BP25" s="530"/>
    </row>
    <row r="26" spans="1:68" ht="12" customHeight="1">
      <c r="A26" s="29"/>
      <c r="B26" s="443"/>
      <c r="C26" s="6681"/>
      <c r="D26" s="6682"/>
      <c r="E26" s="6683"/>
      <c r="F26" s="6670" t="str">
        <f>IF(C26=0,"",VLOOKUP(C26,Tabla_DisciplinasPsi,2,FALSE))</f>
        <v/>
      </c>
      <c r="G26" s="6671"/>
      <c r="H26" s="6671"/>
      <c r="I26" s="6671"/>
      <c r="J26" s="6671"/>
      <c r="K26" s="6671"/>
      <c r="L26" s="6671"/>
      <c r="M26" s="6671"/>
      <c r="N26" s="6671"/>
      <c r="O26" s="6671"/>
      <c r="P26" s="6671"/>
      <c r="Q26" s="6672"/>
      <c r="R26" s="36"/>
      <c r="S26" s="29"/>
      <c r="T26" s="29"/>
      <c r="U26" s="3744">
        <f>IF(V26=0,0,1)</f>
        <v>0</v>
      </c>
      <c r="V26" s="6616"/>
      <c r="W26" s="6617"/>
      <c r="X26" s="6617"/>
      <c r="Y26" s="6617"/>
      <c r="Z26" s="6617"/>
      <c r="AA26" s="6618"/>
      <c r="AB26" s="6620">
        <f>IFERROR(IF(AA26="0","",IF(AA26*10&lt;100,AA26*10,100))+AC26,"")</f>
        <v>0</v>
      </c>
      <c r="AC26" s="3482">
        <f>COUNTIF(Personalización!V75:AA80,Psíquicos!V26)*10</f>
        <v>0</v>
      </c>
      <c r="AD26" s="6538"/>
      <c r="AE26" s="6539"/>
      <c r="AF26" s="6539"/>
      <c r="AG26" s="6539"/>
      <c r="AH26" s="6622"/>
      <c r="AI26" s="6614"/>
      <c r="AJ26" s="6576"/>
      <c r="AK26" s="6579" t="str" cm="1">
        <f t="array" ref="AK26">IF(AD26&lt;&gt;"",INDEX(Tablas!$U$26:$U$38,MAX(MATCH(VLOOKUP(Psíquicos!$AD26,'Tablas psiquica'!$AB$7:$AO$198,2,FALSE),Tablas!$U$26:$U$38,0),MAX(SUMPRODUCT(--(Tablas!$T$26:$T$38&lt;=(AL26-20*AI26)))+IF(OR(Tablas!$G$458&gt;0,Tablas!$H$1520&gt;0),1,0),SUMPRODUCT(--(Tablas!$T$26:$T$38&lt;=(AL26)))+AO21))),"")</f>
        <v/>
      </c>
      <c r="AL26" s="6537">
        <f>$H$11-J14+IF(ISNA(VLOOKUP(AD26,$V$20:$AB$79,7,FALSE)),0,IF(VLOOKUP(AD26,$V$20:$AB$79,7,FALSE)="",0,VLOOKUP(AD26,$V$20:$AB$79,7,FALSE)))+AI26*20+AJ26</f>
        <v>0</v>
      </c>
      <c r="AM26" s="29"/>
      <c r="AN26" s="3643"/>
      <c r="AO26" s="3641">
        <f>IF(AND(AD36&lt;&gt;"",OR(AD36=Personalización!AF79,AD36=Personalización!AF80)),1,0)</f>
        <v>0</v>
      </c>
      <c r="AP26" s="530"/>
      <c r="AQ26" s="530"/>
      <c r="AR26" s="1602">
        <v>17</v>
      </c>
      <c r="AS26" s="530" t="str" cm="1">
        <f t="array" ref="AS26">IF(INDEX($V$20:$Z$79,AR26,1)=0,"",INDEX($V$20:$Z$79,AR26,1))</f>
        <v/>
      </c>
      <c r="AT26" s="530"/>
      <c r="AU26" s="530"/>
      <c r="AV26" s="530"/>
      <c r="AW26" s="530"/>
      <c r="AX26" s="530"/>
      <c r="AY26" s="530"/>
      <c r="AZ26" s="530"/>
      <c r="BA26" s="530"/>
      <c r="BB26" s="530"/>
      <c r="BC26" s="530"/>
      <c r="BD26" s="530"/>
      <c r="BE26" s="530"/>
      <c r="BF26" s="2617"/>
      <c r="BG26" s="2617"/>
      <c r="BH26" s="2617"/>
      <c r="BI26" s="2617"/>
      <c r="BJ26" s="2617"/>
      <c r="BK26" s="2617"/>
      <c r="BL26" s="2617"/>
      <c r="BM26" s="530"/>
      <c r="BN26" s="530"/>
      <c r="BO26" s="530"/>
      <c r="BP26" s="530"/>
    </row>
    <row r="27" spans="1:68" ht="12" customHeight="1">
      <c r="A27" s="29"/>
      <c r="B27" s="443"/>
      <c r="C27" s="6684"/>
      <c r="D27" s="6685"/>
      <c r="E27" s="6686"/>
      <c r="F27" s="6670"/>
      <c r="G27" s="6671"/>
      <c r="H27" s="6671"/>
      <c r="I27" s="6671"/>
      <c r="J27" s="6671"/>
      <c r="K27" s="6671"/>
      <c r="L27" s="6671"/>
      <c r="M27" s="6671"/>
      <c r="N27" s="6671"/>
      <c r="O27" s="6671"/>
      <c r="P27" s="6671"/>
      <c r="Q27" s="6672"/>
      <c r="R27" s="36"/>
      <c r="S27" s="29"/>
      <c r="T27" s="29"/>
      <c r="U27" s="3744"/>
      <c r="V27" s="6652" t="str">
        <f>IF(V26=0,"",VLOOKUP(V26,Tabla_PoderesPsi,2,FALSE))</f>
        <v/>
      </c>
      <c r="W27" s="6653"/>
      <c r="X27" s="6653"/>
      <c r="Y27" s="1577" t="s">
        <v>1186</v>
      </c>
      <c r="Z27" s="1578" t="str">
        <f>IF(V26=0,"",VLOOKUP(V26,Tabla_PoderesPsi,3,FALSE))</f>
        <v/>
      </c>
      <c r="AA27" s="6619"/>
      <c r="AB27" s="6621"/>
      <c r="AC27" s="3483"/>
      <c r="AD27" s="6623" t="str">
        <f>IF(AD26=0,"",VLOOKUP(AD26,Tabla_PoderesPsi,2,FALSE))</f>
        <v/>
      </c>
      <c r="AE27" s="6624"/>
      <c r="AF27" s="6624"/>
      <c r="AG27" s="1796" t="s">
        <v>1186</v>
      </c>
      <c r="AH27" s="1797" t="str">
        <f>IF(AD26=0,"",VLOOKUP(AD26,Tabla_PoderesPsi,3,FALSE))</f>
        <v/>
      </c>
      <c r="AI27" s="6615"/>
      <c r="AJ27" s="6577"/>
      <c r="AK27" s="6580"/>
      <c r="AL27" s="6537"/>
      <c r="AM27" s="29"/>
      <c r="AN27" s="530"/>
      <c r="AO27" s="3641">
        <f>IF(AND(AD38&lt;&gt;"",OR(AD38=Personalización!AF79,AD38=Personalización!AF80)),1,0)</f>
        <v>0</v>
      </c>
      <c r="AP27" s="530"/>
      <c r="AQ27" s="530"/>
      <c r="AR27" s="1602">
        <v>19</v>
      </c>
      <c r="AS27" s="530" t="str" cm="1">
        <f t="array" ref="AS27">IF(INDEX($V$20:$Z$79,AR27,1)=0,"",INDEX($V$20:$Z$79,AR27,1))</f>
        <v/>
      </c>
      <c r="AT27" s="530"/>
      <c r="AU27" s="530"/>
      <c r="AV27" s="530"/>
      <c r="AW27" s="530"/>
      <c r="AX27" s="530"/>
      <c r="AY27" s="530"/>
      <c r="AZ27" s="530"/>
      <c r="BA27" s="530"/>
      <c r="BB27" s="530"/>
      <c r="BC27" s="530"/>
      <c r="BD27" s="530"/>
      <c r="BE27" s="530"/>
      <c r="BF27" s="2617"/>
      <c r="BG27" s="2617"/>
      <c r="BH27" s="2617"/>
      <c r="BI27" s="2617"/>
      <c r="BJ27" s="2617"/>
      <c r="BK27" s="2617"/>
      <c r="BL27" s="2617"/>
      <c r="BM27" s="530"/>
      <c r="BN27" s="530"/>
      <c r="BO27" s="530"/>
      <c r="BP27" s="530"/>
    </row>
    <row r="28" spans="1:68" ht="12" customHeight="1">
      <c r="A28" s="29"/>
      <c r="B28" s="443"/>
      <c r="C28" s="6673"/>
      <c r="D28" s="6674"/>
      <c r="E28" s="6675"/>
      <c r="F28" s="6676" t="str">
        <f>IF(C28=0,"",VLOOKUP(C28,Tabla_DisciplinasPsi,2,FALSE))</f>
        <v/>
      </c>
      <c r="G28" s="6677"/>
      <c r="H28" s="6677"/>
      <c r="I28" s="6677"/>
      <c r="J28" s="6677"/>
      <c r="K28" s="6677"/>
      <c r="L28" s="6677"/>
      <c r="M28" s="6677"/>
      <c r="N28" s="6677"/>
      <c r="O28" s="6677"/>
      <c r="P28" s="6677"/>
      <c r="Q28" s="6678"/>
      <c r="R28" s="36"/>
      <c r="S28" s="29"/>
      <c r="T28" s="29"/>
      <c r="U28" s="3744">
        <f>IF(V28=0,0,1)</f>
        <v>0</v>
      </c>
      <c r="V28" s="6642"/>
      <c r="W28" s="6643"/>
      <c r="X28" s="6643"/>
      <c r="Y28" s="6643"/>
      <c r="Z28" s="6644"/>
      <c r="AA28" s="6636"/>
      <c r="AB28" s="6645">
        <f>IFERROR(IF(AA28="0","",IF(AA28*10&lt;100,AA28*10,100))+AC28,"")</f>
        <v>0</v>
      </c>
      <c r="AC28" s="3482">
        <f>COUNTIF(Personalización!V75:AA80,Psíquicos!V28)*10</f>
        <v>0</v>
      </c>
      <c r="AD28" s="6538"/>
      <c r="AE28" s="6539"/>
      <c r="AF28" s="6539"/>
      <c r="AG28" s="6539"/>
      <c r="AH28" s="6622"/>
      <c r="AI28" s="6614"/>
      <c r="AJ28" s="6576"/>
      <c r="AK28" s="6579" t="str" cm="1">
        <f t="array" ref="AK28">IF(AD28&lt;&gt;"",INDEX(Tablas!$U$26:$U$38,MAX(MATCH(VLOOKUP(Psíquicos!$AD28,'Tablas psiquica'!$AB$7:$AO$198,2,FALSE),Tablas!$U$26:$U$38,0),MAX(SUMPRODUCT(--(Tablas!$T$26:$T$38&lt;=(AL28-20*AI28)))+IF(OR(Tablas!$G$458&gt;0,Tablas!$H$1520&gt;0),1,0),SUMPRODUCT(--(Tablas!$T$26:$T$38&lt;=(AL28)))+AO22))),"")</f>
        <v/>
      </c>
      <c r="AL28" s="6537">
        <f>$H$11-J14+IF(ISNA(VLOOKUP(AD28,$V$20:$AB$79,7,FALSE)),0,IF(VLOOKUP(AD28,$V$20:$AB$79,7,FALSE)="",0,VLOOKUP(AD28,$V$20:$AB$79,7,FALSE)))+AI28*20+AJ28</f>
        <v>0</v>
      </c>
      <c r="AM28" s="29"/>
      <c r="AN28" s="530"/>
      <c r="AO28" s="3641">
        <f>IF(AND(AD40&lt;&gt;"",OR(AD40=Personalización!AF79,AD40=Personalización!AF80)),1,0)</f>
        <v>0</v>
      </c>
      <c r="AP28" s="530"/>
      <c r="AQ28" s="530"/>
      <c r="AR28" s="1602">
        <v>21</v>
      </c>
      <c r="AS28" s="530" t="str" cm="1">
        <f t="array" ref="AS28">IF(INDEX($V$20:$Z$79,AR28,1)=0,"",INDEX($V$20:$Z$79,AR28,1))</f>
        <v/>
      </c>
      <c r="AT28" s="530"/>
      <c r="AU28" s="530"/>
      <c r="AV28" s="530"/>
      <c r="AW28" s="530"/>
      <c r="AX28" s="530"/>
      <c r="AY28" s="530"/>
      <c r="AZ28" s="530"/>
      <c r="BA28" s="530"/>
      <c r="BB28" s="530"/>
      <c r="BC28" s="530"/>
      <c r="BD28" s="530"/>
      <c r="BE28" s="530"/>
      <c r="BF28" s="2617"/>
      <c r="BG28" s="2617"/>
      <c r="BH28" s="2617"/>
      <c r="BI28" s="2617"/>
      <c r="BJ28" s="2617"/>
      <c r="BK28" s="2617"/>
      <c r="BL28" s="2617"/>
      <c r="BM28" s="530"/>
      <c r="BN28" s="530"/>
      <c r="BO28" s="530"/>
      <c r="BP28" s="530"/>
    </row>
    <row r="29" spans="1:68" ht="12" customHeight="1">
      <c r="A29" s="29"/>
      <c r="B29" s="443"/>
      <c r="C29" s="6673"/>
      <c r="D29" s="6674"/>
      <c r="E29" s="6675"/>
      <c r="F29" s="6676"/>
      <c r="G29" s="6677"/>
      <c r="H29" s="6677"/>
      <c r="I29" s="6677"/>
      <c r="J29" s="6677"/>
      <c r="K29" s="6677"/>
      <c r="L29" s="6677"/>
      <c r="M29" s="6677"/>
      <c r="N29" s="6677"/>
      <c r="O29" s="6677"/>
      <c r="P29" s="6677"/>
      <c r="Q29" s="6678"/>
      <c r="R29" s="36"/>
      <c r="S29" s="29"/>
      <c r="T29" s="29"/>
      <c r="U29" s="3744"/>
      <c r="V29" s="6647" t="str">
        <f>IF(V28=0,"",VLOOKUP(V28,Tabla_PoderesPsi,2,FALSE))</f>
        <v/>
      </c>
      <c r="W29" s="6648"/>
      <c r="X29" s="6648"/>
      <c r="Y29" s="1475" t="s">
        <v>1186</v>
      </c>
      <c r="Z29" s="1476" t="str">
        <f>IF(V28=0,"",VLOOKUP(V28,Tabla_PoderesPsi,3,FALSE))</f>
        <v/>
      </c>
      <c r="AA29" s="6636"/>
      <c r="AB29" s="6646"/>
      <c r="AC29" s="625"/>
      <c r="AD29" s="6623" t="str">
        <f>IF(AD28=0,"",VLOOKUP(AD28,Tabla_PoderesPsi,2,FALSE))</f>
        <v/>
      </c>
      <c r="AE29" s="6624"/>
      <c r="AF29" s="6624"/>
      <c r="AG29" s="1796" t="s">
        <v>1186</v>
      </c>
      <c r="AH29" s="1797" t="str">
        <f>IF(AD28=0,"",VLOOKUP(AD28,Tabla_PoderesPsi,3,FALSE))</f>
        <v/>
      </c>
      <c r="AI29" s="6615"/>
      <c r="AJ29" s="6577"/>
      <c r="AK29" s="6580"/>
      <c r="AL29" s="6537"/>
      <c r="AM29" s="29"/>
      <c r="AN29" s="530"/>
      <c r="AO29" s="3641">
        <f>IF(AND(AD42&lt;&gt;"",OR(AD42=Personalización!AF79,AD42=Personalización!AF80)),1,0)</f>
        <v>0</v>
      </c>
      <c r="AP29" s="530"/>
      <c r="AQ29" s="530"/>
      <c r="AR29" s="1602">
        <v>23</v>
      </c>
      <c r="AS29" s="530" t="str" cm="1">
        <f t="array" ref="AS29">IF(INDEX($V$20:$Z$79,AR29,1)=0,"",INDEX($V$20:$Z$79,AR29,1))</f>
        <v/>
      </c>
      <c r="AT29" s="530"/>
      <c r="AU29" s="530"/>
      <c r="AV29" s="530"/>
      <c r="AW29" s="530"/>
      <c r="AX29" s="530"/>
      <c r="AY29" s="530"/>
      <c r="AZ29" s="530"/>
      <c r="BA29" s="530"/>
      <c r="BB29" s="530"/>
      <c r="BC29" s="530"/>
      <c r="BD29" s="530"/>
      <c r="BE29" s="530"/>
      <c r="BF29" s="2617"/>
      <c r="BG29" s="2617"/>
      <c r="BH29" s="2617"/>
      <c r="BI29" s="2617"/>
      <c r="BJ29" s="2617"/>
      <c r="BK29" s="2617"/>
      <c r="BL29" s="2617"/>
      <c r="BM29" s="530"/>
      <c r="BN29" s="530"/>
      <c r="BO29" s="530"/>
      <c r="BP29" s="530"/>
    </row>
    <row r="30" spans="1:68" ht="12" customHeight="1">
      <c r="A30" s="29"/>
      <c r="B30" s="443"/>
      <c r="C30" s="6694"/>
      <c r="D30" s="6695"/>
      <c r="E30" s="6696"/>
      <c r="F30" s="6670" t="str">
        <f>IF(C30=0,"",VLOOKUP(C30,Tabla_DisciplinasPsi,2,FALSE))</f>
        <v/>
      </c>
      <c r="G30" s="6671"/>
      <c r="H30" s="6671"/>
      <c r="I30" s="6671"/>
      <c r="J30" s="6671"/>
      <c r="K30" s="6671"/>
      <c r="L30" s="6671"/>
      <c r="M30" s="6671"/>
      <c r="N30" s="6671"/>
      <c r="O30" s="6671"/>
      <c r="P30" s="6671"/>
      <c r="Q30" s="6672"/>
      <c r="R30" s="36"/>
      <c r="S30" s="29"/>
      <c r="T30" s="29"/>
      <c r="U30" s="3744">
        <f>IF(V30=0,0,1)</f>
        <v>0</v>
      </c>
      <c r="V30" s="6687"/>
      <c r="W30" s="6688"/>
      <c r="X30" s="6688"/>
      <c r="Y30" s="6688"/>
      <c r="Z30" s="6689"/>
      <c r="AA30" s="6690"/>
      <c r="AB30" s="6645">
        <f>IF(AA30="0","",IF(AA30*10&lt;100,AA30*10,100))+AC30</f>
        <v>0</v>
      </c>
      <c r="AC30" s="3482">
        <f>COUNTIF(Personalización!V75:AA80,Psíquicos!V30)*10</f>
        <v>0</v>
      </c>
      <c r="AD30" s="6538"/>
      <c r="AE30" s="6539"/>
      <c r="AF30" s="6539"/>
      <c r="AG30" s="6539"/>
      <c r="AH30" s="6622"/>
      <c r="AI30" s="6614"/>
      <c r="AJ30" s="6576"/>
      <c r="AK30" s="6579" t="str" cm="1">
        <f t="array" ref="AK30">IF(AD30&lt;&gt;"",INDEX(Tablas!$U$26:$U$38,MAX(MATCH(VLOOKUP(Psíquicos!$AD30,'Tablas psiquica'!$AB$7:$AO$198,2,FALSE),Tablas!$U$26:$U$38,0),MAX(SUMPRODUCT(--(Tablas!$T$26:$T$38&lt;=(AL30-20*AI30)))+IF(OR(Tablas!$G$458&gt;0,Tablas!$H$1520&gt;0),1,0),SUMPRODUCT(--(Tablas!$T$26:$T$38&lt;=(AL30)))+AO23))),"")</f>
        <v/>
      </c>
      <c r="AL30" s="6537">
        <f>$H$11+IF(ISNA(VLOOKUP(AD30,$V$20:$AB$79,7,FALSE)),0,IF(VLOOKUP(AD30,$V$20:$AB$79,7,FALSE)="",0,VLOOKUP(AD30,$V$20:$AB$79,7,FALSE)))+AI30*20+AJ30-J14</f>
        <v>0</v>
      </c>
      <c r="AM30" s="29"/>
      <c r="AN30" s="530"/>
      <c r="AO30" s="3641">
        <f>IF(AND(AD44&lt;&gt;"",OR(AD44=Personalización!AF79,AD44=Personalización!AF80)),1,0)</f>
        <v>0</v>
      </c>
      <c r="AP30" s="530"/>
      <c r="AQ30" s="530"/>
      <c r="AR30" s="1602">
        <v>25</v>
      </c>
      <c r="AS30" s="530" t="str" cm="1">
        <f t="array" ref="AS30">IF(INDEX($V$20:$Z$79,AR30,1)=0,"",INDEX($V$20:$Z$79,AR30,1))</f>
        <v/>
      </c>
      <c r="AT30" s="530"/>
      <c r="AU30" s="530"/>
      <c r="AV30" s="530"/>
      <c r="AW30" s="530"/>
      <c r="AX30" s="530"/>
      <c r="AY30" s="530"/>
      <c r="AZ30" s="530"/>
      <c r="BA30" s="530"/>
      <c r="BB30" s="530"/>
      <c r="BC30" s="530"/>
      <c r="BD30" s="530"/>
      <c r="BE30" s="530"/>
      <c r="BF30" s="2617"/>
      <c r="BG30" s="2617"/>
      <c r="BH30" s="2617"/>
      <c r="BI30" s="2617"/>
      <c r="BJ30" s="2617"/>
      <c r="BK30" s="2617"/>
      <c r="BL30" s="2617"/>
      <c r="BM30" s="530"/>
      <c r="BN30" s="530"/>
      <c r="BO30" s="530"/>
      <c r="BP30" s="530"/>
    </row>
    <row r="31" spans="1:68" ht="12" customHeight="1">
      <c r="A31" s="29"/>
      <c r="B31" s="443"/>
      <c r="C31" s="6694"/>
      <c r="D31" s="6695"/>
      <c r="E31" s="6696"/>
      <c r="F31" s="6670"/>
      <c r="G31" s="6671"/>
      <c r="H31" s="6671"/>
      <c r="I31" s="6671"/>
      <c r="J31" s="6671"/>
      <c r="K31" s="6671"/>
      <c r="L31" s="6671"/>
      <c r="M31" s="6671"/>
      <c r="N31" s="6671"/>
      <c r="O31" s="6671"/>
      <c r="P31" s="6671"/>
      <c r="Q31" s="6672"/>
      <c r="R31" s="36"/>
      <c r="S31" s="29"/>
      <c r="T31" s="29"/>
      <c r="U31" s="3744"/>
      <c r="V31" s="6692" t="str">
        <f>IF(V30=0,"",VLOOKUP(V30,Tabla_PoderesPsi,2,FALSE))</f>
        <v/>
      </c>
      <c r="W31" s="6693"/>
      <c r="X31" s="6693"/>
      <c r="Y31" s="1579" t="s">
        <v>1186</v>
      </c>
      <c r="Z31" s="1580" t="str">
        <f>IF(V30=0,"",VLOOKUP(V30,Tabla_PoderesPsi,3,FALSE))</f>
        <v/>
      </c>
      <c r="AA31" s="6691"/>
      <c r="AB31" s="6646"/>
      <c r="AC31" s="3483"/>
      <c r="AD31" s="6623" t="str">
        <f>IF(AD30=0,"",VLOOKUP(AD30,Tabla_PoderesPsi,2,FALSE))</f>
        <v/>
      </c>
      <c r="AE31" s="6624"/>
      <c r="AF31" s="6624"/>
      <c r="AG31" s="1796" t="s">
        <v>1186</v>
      </c>
      <c r="AH31" s="1797" t="str">
        <f>IF(AD30=0,"",VLOOKUP(AD30,Tabla_PoderesPsi,3,FALSE))</f>
        <v/>
      </c>
      <c r="AI31" s="6615"/>
      <c r="AJ31" s="6577"/>
      <c r="AK31" s="6580"/>
      <c r="AL31" s="6537"/>
      <c r="AM31" s="29"/>
      <c r="AN31" s="530"/>
      <c r="AO31" s="3641">
        <f>IF(AND(AD46&lt;&gt;"",OR(AD46=Personalización!AF79,AD46=Personalización!AF80)),1,0)</f>
        <v>0</v>
      </c>
      <c r="AP31" s="530"/>
      <c r="AQ31" s="530"/>
      <c r="AR31" s="1602">
        <v>27</v>
      </c>
      <c r="AS31" s="530" t="str" cm="1">
        <f t="array" ref="AS31">IF(INDEX($V$20:$Z$79,AR31,1)=0,"",INDEX($V$20:$Z$79,AR31,1))</f>
        <v/>
      </c>
      <c r="AT31" s="530"/>
      <c r="AU31" s="530"/>
      <c r="AV31" s="530"/>
      <c r="AW31" s="530"/>
      <c r="AX31" s="530"/>
      <c r="AY31" s="530"/>
      <c r="AZ31" s="530"/>
      <c r="BA31" s="530"/>
      <c r="BB31" s="530"/>
      <c r="BC31" s="530"/>
      <c r="BD31" s="530"/>
      <c r="BE31" s="530"/>
      <c r="BF31" s="2617"/>
      <c r="BG31" s="2617"/>
      <c r="BH31" s="2617"/>
      <c r="BI31" s="2617"/>
      <c r="BJ31" s="2617"/>
      <c r="BK31" s="2617"/>
      <c r="BL31" s="2617"/>
      <c r="BM31" s="530"/>
      <c r="BN31" s="530"/>
      <c r="BO31" s="530"/>
      <c r="BP31" s="530"/>
    </row>
    <row r="32" spans="1:68" ht="12" customHeight="1">
      <c r="A32" s="29"/>
      <c r="B32" s="443"/>
      <c r="C32" s="6673"/>
      <c r="D32" s="6674"/>
      <c r="E32" s="6675"/>
      <c r="F32" s="6676" t="str">
        <f>IF(C32=0,"",VLOOKUP(C32,Tabla_DisciplinasPsi,2,FALSE))</f>
        <v/>
      </c>
      <c r="G32" s="6677"/>
      <c r="H32" s="6677"/>
      <c r="I32" s="6677"/>
      <c r="J32" s="6677"/>
      <c r="K32" s="6677"/>
      <c r="L32" s="6677"/>
      <c r="M32" s="6677"/>
      <c r="N32" s="6677"/>
      <c r="O32" s="6677"/>
      <c r="P32" s="6677"/>
      <c r="Q32" s="6678"/>
      <c r="R32" s="36"/>
      <c r="S32" s="29"/>
      <c r="T32" s="29"/>
      <c r="U32" s="3744">
        <f>IF(V32=0,0,1)</f>
        <v>0</v>
      </c>
      <c r="V32" s="6642"/>
      <c r="W32" s="6643"/>
      <c r="X32" s="6643"/>
      <c r="Y32" s="6643"/>
      <c r="Z32" s="6644"/>
      <c r="AA32" s="6636"/>
      <c r="AB32" s="6645">
        <f>IF(AA32="0","",IF(AA32*10&lt;100,AA32*10,100))+AC32</f>
        <v>0</v>
      </c>
      <c r="AC32" s="3482">
        <f>COUNTIF(Personalización!V75:AA80,Psíquicos!V32)*10</f>
        <v>0</v>
      </c>
      <c r="AD32" s="6538"/>
      <c r="AE32" s="6539"/>
      <c r="AF32" s="6539"/>
      <c r="AG32" s="6539"/>
      <c r="AH32" s="6622"/>
      <c r="AI32" s="6614"/>
      <c r="AJ32" s="6576"/>
      <c r="AK32" s="6579" t="str" cm="1">
        <f t="array" ref="AK32">IF(AD32&lt;&gt;"",INDEX(Tablas!$U$26:$U$38,MAX(MATCH(VLOOKUP(Psíquicos!$AD32,'Tablas psiquica'!$AB$7:$AO$198,2,FALSE),Tablas!$U$26:$U$38,0),MAX(SUMPRODUCT(--(Tablas!$T$26:$T$38&lt;=(AL32-20*AI32)))+IF(OR(Tablas!$G$458&gt;0,Tablas!$H$1520&gt;0),1,0),SUMPRODUCT(--(Tablas!$T$26:$T$38&lt;=(AL32)))+AO24))),"")</f>
        <v/>
      </c>
      <c r="AL32" s="6537">
        <f>$H$11+IF(ISNA(VLOOKUP(AD32,$V$20:$AB$79,7,FALSE)),0,IF(VLOOKUP(AD32,$V$20:$AB$79,7,FALSE)="",0,VLOOKUP(AD32,$V$20:$AB$79,7,FALSE)))+AI32*20+AJ32-J14</f>
        <v>0</v>
      </c>
      <c r="AM32" s="29"/>
      <c r="AN32" s="530"/>
      <c r="AO32" s="3641">
        <f>IF(AND(AD48&lt;&gt;"",OR(AD48=Personalización!AF79,AD48=Personalización!AF80)),1,0)</f>
        <v>0</v>
      </c>
      <c r="AP32" s="530"/>
      <c r="AQ32" s="530"/>
      <c r="AR32" s="1602">
        <v>29</v>
      </c>
      <c r="AS32" s="530" t="str" cm="1">
        <f t="array" ref="AS32">IF(INDEX($V$20:$Z$79,AR32,1)=0,"",INDEX($V$20:$Z$79,AR32,1))</f>
        <v/>
      </c>
      <c r="AT32" s="530"/>
      <c r="AU32" s="530"/>
      <c r="AV32" s="530"/>
      <c r="AW32" s="530"/>
      <c r="AX32" s="530"/>
      <c r="AY32" s="530"/>
      <c r="AZ32" s="530"/>
      <c r="BA32" s="530"/>
      <c r="BB32" s="530"/>
      <c r="BC32" s="530"/>
      <c r="BD32" s="530"/>
      <c r="BE32" s="530"/>
      <c r="BF32" s="2617"/>
      <c r="BG32" s="2617"/>
      <c r="BH32" s="2617"/>
      <c r="BI32" s="2617"/>
      <c r="BJ32" s="2617"/>
      <c r="BK32" s="2617"/>
      <c r="BL32" s="2617"/>
      <c r="BM32" s="530"/>
      <c r="BN32" s="530"/>
      <c r="BO32" s="530"/>
      <c r="BP32" s="530"/>
    </row>
    <row r="33" spans="1:68" ht="12" customHeight="1">
      <c r="A33" s="29"/>
      <c r="B33" s="443"/>
      <c r="C33" s="6673"/>
      <c r="D33" s="6674"/>
      <c r="E33" s="6675"/>
      <c r="F33" s="6676"/>
      <c r="G33" s="6677"/>
      <c r="H33" s="6677"/>
      <c r="I33" s="6677"/>
      <c r="J33" s="6677"/>
      <c r="K33" s="6677"/>
      <c r="L33" s="6677"/>
      <c r="M33" s="6677"/>
      <c r="N33" s="6677"/>
      <c r="O33" s="6677"/>
      <c r="P33" s="6677"/>
      <c r="Q33" s="6678"/>
      <c r="R33" s="36"/>
      <c r="S33" s="29"/>
      <c r="T33" s="29"/>
      <c r="U33" s="3744"/>
      <c r="V33" s="6647" t="str">
        <f>IF(V32=0,"",VLOOKUP(V32,Tabla_PoderesPsi,2,FALSE))</f>
        <v/>
      </c>
      <c r="W33" s="6648"/>
      <c r="X33" s="6648"/>
      <c r="Y33" s="1475" t="s">
        <v>1186</v>
      </c>
      <c r="Z33" s="1476" t="str">
        <f>IF(V32=0,"",VLOOKUP(V32,Tabla_PoderesPsi,3,FALSE))</f>
        <v/>
      </c>
      <c r="AA33" s="6636"/>
      <c r="AB33" s="6646"/>
      <c r="AC33" s="3484"/>
      <c r="AD33" s="6623" t="str">
        <f>IF(AD32=0,"",VLOOKUP(AD32,Tabla_PoderesPsi,2,FALSE))</f>
        <v/>
      </c>
      <c r="AE33" s="6624"/>
      <c r="AF33" s="6624"/>
      <c r="AG33" s="1796" t="s">
        <v>1186</v>
      </c>
      <c r="AH33" s="1797" t="str">
        <f>IF(AD32=0,"",VLOOKUP(AD32,Tabla_PoderesPsi,3,FALSE))</f>
        <v/>
      </c>
      <c r="AI33" s="6615"/>
      <c r="AJ33" s="6577"/>
      <c r="AK33" s="6580"/>
      <c r="AL33" s="6537"/>
      <c r="AM33" s="29"/>
      <c r="AN33" s="530"/>
      <c r="AO33" s="3641">
        <f>IF(AND(AD50&lt;&gt;"",OR(AD50=Personalización!AF79,AD50=Personalización!AF80)),1,0)</f>
        <v>0</v>
      </c>
      <c r="AP33" s="530"/>
      <c r="AQ33" s="530"/>
      <c r="AR33" s="1602">
        <v>31</v>
      </c>
      <c r="AS33" s="530" t="str" cm="1">
        <f t="array" ref="AS33">IF(INDEX($V$20:$Z$79,AR33,1)=0,"",INDEX($V$20:$Z$79,AR33,1))</f>
        <v/>
      </c>
      <c r="AT33" s="530"/>
      <c r="AU33" s="530"/>
      <c r="AV33" s="530"/>
      <c r="AW33" s="530"/>
      <c r="AX33" s="530"/>
      <c r="AY33" s="530"/>
      <c r="AZ33" s="530"/>
      <c r="BA33" s="530"/>
      <c r="BB33" s="530"/>
      <c r="BC33" s="530"/>
      <c r="BD33" s="530"/>
      <c r="BE33" s="530"/>
      <c r="BF33" s="2617"/>
      <c r="BG33" s="2617"/>
      <c r="BH33" s="2617"/>
      <c r="BI33" s="2617"/>
      <c r="BJ33" s="2617"/>
      <c r="BK33" s="2617"/>
      <c r="BL33" s="2617"/>
      <c r="BM33" s="530"/>
      <c r="BN33" s="530"/>
      <c r="BO33" s="530"/>
      <c r="BP33" s="530"/>
    </row>
    <row r="34" spans="1:68" ht="12" customHeight="1">
      <c r="A34" s="29"/>
      <c r="B34" s="443"/>
      <c r="C34" s="6694"/>
      <c r="D34" s="6695"/>
      <c r="E34" s="6696"/>
      <c r="F34" s="6670" t="str">
        <f>IF(C34=0,"",VLOOKUP(C34,Tabla_DisciplinasPsi,2,FALSE))</f>
        <v/>
      </c>
      <c r="G34" s="6671"/>
      <c r="H34" s="6671"/>
      <c r="I34" s="6671"/>
      <c r="J34" s="6671"/>
      <c r="K34" s="6671"/>
      <c r="L34" s="6671"/>
      <c r="M34" s="6671"/>
      <c r="N34" s="6671"/>
      <c r="O34" s="6671"/>
      <c r="P34" s="6671"/>
      <c r="Q34" s="6672"/>
      <c r="R34" s="36"/>
      <c r="S34" s="29"/>
      <c r="T34" s="29"/>
      <c r="U34" s="3744">
        <f>IF(V34=0,0,1)</f>
        <v>0</v>
      </c>
      <c r="V34" s="6687"/>
      <c r="W34" s="6688"/>
      <c r="X34" s="6688"/>
      <c r="Y34" s="6688"/>
      <c r="Z34" s="6689"/>
      <c r="AA34" s="6690"/>
      <c r="AB34" s="6645">
        <f>IF(AA34="0","",IF(AA34*10&lt;100,AA34*10,100))+AC34</f>
        <v>0</v>
      </c>
      <c r="AC34" s="3482">
        <f>COUNTIF(Personalización!V75:AA80,Psíquicos!V34)*10</f>
        <v>0</v>
      </c>
      <c r="AD34" s="6538"/>
      <c r="AE34" s="6539"/>
      <c r="AF34" s="6539"/>
      <c r="AG34" s="6539"/>
      <c r="AH34" s="6622"/>
      <c r="AI34" s="6614"/>
      <c r="AJ34" s="6576"/>
      <c r="AK34" s="6579" t="str" cm="1">
        <f t="array" ref="AK34">IF(AD34&lt;&gt;"",INDEX(Tablas!$U$26:$U$38,MAX(MATCH(VLOOKUP(Psíquicos!$AD34,'Tablas psiquica'!$AB$7:$AO$198,2,FALSE),Tablas!$U$26:$U$38,0),MAX(SUMPRODUCT(--(Tablas!$T$26:$T$38&lt;=(AL34-20*AI34)))+IF(OR(Tablas!$G$458&gt;0,Tablas!$H$1520&gt;0),1,0),SUMPRODUCT(--(Tablas!$T$26:$T$38&lt;=(AL34)))+AO25))),"")</f>
        <v/>
      </c>
      <c r="AL34" s="6537">
        <f>$H$11+IF(ISNA(VLOOKUP(AD34,$V$20:$AB$79,7,FALSE)),0,IF(VLOOKUP(AD34,$V$20:$AB$79,7,FALSE)="",0,VLOOKUP(AD34,$V$20:$AB$79,7,FALSE)))+AI34*20+AJ34-J14</f>
        <v>0</v>
      </c>
      <c r="AM34" s="29"/>
      <c r="AN34" s="530"/>
      <c r="AO34" s="3641">
        <f>IF(AND(AD52&lt;&gt;"",OR(AD52=Personalización!AF79,AD52=Personalización!AF80)),1,0)</f>
        <v>0</v>
      </c>
      <c r="AP34" s="530"/>
      <c r="AQ34" s="530"/>
      <c r="AR34" s="1602">
        <v>33</v>
      </c>
      <c r="AS34" s="530" t="str" cm="1">
        <f t="array" ref="AS34">IF(INDEX($V$20:$Z$79,AR34,1)=0,"",INDEX($V$20:$Z$79,AR34,1))</f>
        <v/>
      </c>
      <c r="AT34" s="530"/>
      <c r="AU34" s="530"/>
      <c r="AV34" s="530"/>
      <c r="AW34" s="530"/>
      <c r="AX34" s="530"/>
      <c r="AY34" s="530"/>
      <c r="AZ34" s="530"/>
      <c r="BA34" s="530"/>
      <c r="BB34" s="530"/>
      <c r="BC34" s="530"/>
      <c r="BD34" s="530"/>
      <c r="BE34" s="530"/>
      <c r="BF34" s="2617"/>
      <c r="BG34" s="2617"/>
      <c r="BH34" s="2617"/>
      <c r="BI34" s="2617"/>
      <c r="BJ34" s="2617"/>
      <c r="BK34" s="2617"/>
      <c r="BL34" s="2617"/>
      <c r="BM34" s="530"/>
      <c r="BN34" s="530"/>
      <c r="BO34" s="530"/>
      <c r="BP34" s="530"/>
    </row>
    <row r="35" spans="1:68" ht="12" customHeight="1">
      <c r="A35" s="29"/>
      <c r="B35" s="443"/>
      <c r="C35" s="6694"/>
      <c r="D35" s="6695"/>
      <c r="E35" s="6696"/>
      <c r="F35" s="6670"/>
      <c r="G35" s="6671"/>
      <c r="H35" s="6671"/>
      <c r="I35" s="6671"/>
      <c r="J35" s="6671"/>
      <c r="K35" s="6671"/>
      <c r="L35" s="6671"/>
      <c r="M35" s="6671"/>
      <c r="N35" s="6671"/>
      <c r="O35" s="6671"/>
      <c r="P35" s="6671"/>
      <c r="Q35" s="6672"/>
      <c r="R35" s="36"/>
      <c r="S35" s="29"/>
      <c r="T35" s="29"/>
      <c r="U35" s="3744"/>
      <c r="V35" s="6692" t="str">
        <f>IF(V34=0,"",VLOOKUP(V34,Tabla_PoderesPsi,2,FALSE))</f>
        <v/>
      </c>
      <c r="W35" s="6693"/>
      <c r="X35" s="6693"/>
      <c r="Y35" s="1579" t="s">
        <v>1186</v>
      </c>
      <c r="Z35" s="1580" t="str">
        <f>IF(V34=0,"",VLOOKUP(V34,Tabla_PoderesPsi,3,FALSE))</f>
        <v/>
      </c>
      <c r="AA35" s="6691"/>
      <c r="AB35" s="6646"/>
      <c r="AC35" s="3483"/>
      <c r="AD35" s="6623" t="str">
        <f>IF(AD34=0,"",VLOOKUP(AD34,Tabla_PoderesPsi,2,FALSE))</f>
        <v/>
      </c>
      <c r="AE35" s="6624"/>
      <c r="AF35" s="6624"/>
      <c r="AG35" s="1796" t="s">
        <v>1186</v>
      </c>
      <c r="AH35" s="1797" t="str">
        <f>IF(AD34=0,"",VLOOKUP(AD34,Tabla_PoderesPsi,3,FALSE))</f>
        <v/>
      </c>
      <c r="AI35" s="6615"/>
      <c r="AJ35" s="6577"/>
      <c r="AK35" s="6580"/>
      <c r="AL35" s="6537"/>
      <c r="AM35" s="29"/>
      <c r="AN35" s="530"/>
      <c r="AO35" s="3641">
        <f>IF(AND(AD54&lt;&gt;"",OR(AD54=Personalización!AF79,AD54=Personalización!AF80)),1,0)</f>
        <v>0</v>
      </c>
      <c r="AP35" s="530"/>
      <c r="AQ35" s="530"/>
      <c r="AR35" s="1602">
        <v>35</v>
      </c>
      <c r="AS35" s="530" t="str" cm="1">
        <f t="array" ref="AS35">IF(INDEX($V$20:$Z$79,AR35,1)=0,"",INDEX($V$20:$Z$79,AR35,1))</f>
        <v/>
      </c>
      <c r="AT35" s="530"/>
      <c r="AU35" s="530"/>
      <c r="AV35" s="530"/>
      <c r="AW35" s="530"/>
      <c r="AX35" s="530"/>
      <c r="AY35" s="530"/>
      <c r="AZ35" s="530"/>
      <c r="BA35" s="530"/>
      <c r="BB35" s="530"/>
      <c r="BC35" s="530"/>
      <c r="BD35" s="530"/>
      <c r="BE35" s="530"/>
      <c r="BF35" s="2617"/>
      <c r="BG35" s="2617"/>
      <c r="BH35" s="2617"/>
      <c r="BI35" s="2617"/>
      <c r="BJ35" s="2617"/>
      <c r="BK35" s="2617"/>
      <c r="BL35" s="2617"/>
      <c r="BM35" s="530"/>
      <c r="BN35" s="530"/>
      <c r="BO35" s="530"/>
      <c r="BP35" s="530"/>
    </row>
    <row r="36" spans="1:68" ht="12" customHeight="1" thickBot="1">
      <c r="A36" s="29"/>
      <c r="B36" s="443"/>
      <c r="C36" s="6673"/>
      <c r="D36" s="6674"/>
      <c r="E36" s="6675"/>
      <c r="F36" s="6709" t="str">
        <f>IF(C36=0,"",VLOOKUP(C36,Tabla_DisciplinasPsi,2,FALSE))</f>
        <v/>
      </c>
      <c r="G36" s="6710"/>
      <c r="H36" s="6710"/>
      <c r="I36" s="6710"/>
      <c r="J36" s="6710"/>
      <c r="K36" s="6710"/>
      <c r="L36" s="6710"/>
      <c r="M36" s="6710"/>
      <c r="N36" s="6710"/>
      <c r="O36" s="6710"/>
      <c r="P36" s="6710"/>
      <c r="Q36" s="6711"/>
      <c r="R36" s="36"/>
      <c r="S36" s="29"/>
      <c r="T36" s="29"/>
      <c r="U36" s="3744">
        <f>IF(V36=0,0,1)</f>
        <v>0</v>
      </c>
      <c r="V36" s="6642"/>
      <c r="W36" s="6643"/>
      <c r="X36" s="6643"/>
      <c r="Y36" s="6643"/>
      <c r="Z36" s="6644"/>
      <c r="AA36" s="6636"/>
      <c r="AB36" s="6645">
        <f>IF(AA36="0","",IF(AA36*10&lt;100,AA36*10,100))+AC36</f>
        <v>0</v>
      </c>
      <c r="AC36" s="3482">
        <f>COUNTIF(Personalización!V75:AA80,Psíquicos!V36)*10</f>
        <v>0</v>
      </c>
      <c r="AD36" s="6538"/>
      <c r="AE36" s="6539"/>
      <c r="AF36" s="6539"/>
      <c r="AG36" s="6539"/>
      <c r="AH36" s="6622"/>
      <c r="AI36" s="6614"/>
      <c r="AJ36" s="6576"/>
      <c r="AK36" s="6579" t="str" cm="1">
        <f t="array" ref="AK36">IF(AD36&lt;&gt;"",INDEX(Tablas!$U$26:$U$38,MAX(MATCH(VLOOKUP(Psíquicos!$AD36,'Tablas psiquica'!$AB$7:$AO$198,2,FALSE),Tablas!$U$26:$U$38,0),MAX(SUMPRODUCT(--(Tablas!$T$26:$T$38&lt;=(AL36-20*AI36)))+IF(OR(Tablas!$G$458&gt;0,Tablas!$H$1520&gt;0),1,0),SUMPRODUCT(--(Tablas!$T$26:$T$38&lt;=(AL36)))+AO26))),"")</f>
        <v/>
      </c>
      <c r="AL36" s="6537">
        <f>$H$11+IF(ISNA(VLOOKUP(AD36,$V$20:$AB$79,7,FALSE)),0,IF(VLOOKUP(AD36,$V$20:$AB$79,7,FALSE)="",0,VLOOKUP(AD36,$V$20:$AB$79,7,FALSE)))+AI36*20+AJ36-J14</f>
        <v>0</v>
      </c>
      <c r="AM36" s="29"/>
      <c r="AN36" s="530"/>
      <c r="AO36" s="3641">
        <f>IF(AND(AD56&lt;&gt;"",OR(AD56=Personalización!AF79,AD56=Personalización!AF80)),1,0)</f>
        <v>0</v>
      </c>
      <c r="AP36" s="591"/>
      <c r="AQ36" s="530"/>
      <c r="AR36" s="1602">
        <v>37</v>
      </c>
      <c r="AS36" s="530" t="str" cm="1">
        <f t="array" ref="AS36">IF(INDEX($V$20:$Z$79,AR36,1)=0,"",INDEX($V$20:$Z$79,AR36,1))</f>
        <v/>
      </c>
      <c r="AT36" s="530"/>
      <c r="AU36" s="530"/>
      <c r="AV36" s="530"/>
      <c r="AW36" s="530"/>
      <c r="AX36" s="530"/>
      <c r="AY36" s="530"/>
      <c r="AZ36" s="530"/>
      <c r="BA36" s="530"/>
      <c r="BB36" s="530"/>
      <c r="BC36" s="530"/>
      <c r="BD36" s="530"/>
      <c r="BE36" s="530"/>
      <c r="BF36" s="2617"/>
      <c r="BG36" s="2617"/>
      <c r="BH36" s="2617"/>
      <c r="BI36" s="2617"/>
      <c r="BJ36" s="2617"/>
      <c r="BK36" s="2617"/>
      <c r="BL36" s="2617"/>
      <c r="BM36" s="530"/>
      <c r="BN36" s="530"/>
      <c r="BO36" s="530"/>
      <c r="BP36" s="530"/>
    </row>
    <row r="37" spans="1:68" ht="12" customHeight="1">
      <c r="A37" s="29"/>
      <c r="B37" s="443"/>
      <c r="C37" s="6706"/>
      <c r="D37" s="6707"/>
      <c r="E37" s="6708"/>
      <c r="F37" s="6676"/>
      <c r="G37" s="6677"/>
      <c r="H37" s="6677"/>
      <c r="I37" s="6677"/>
      <c r="J37" s="6677"/>
      <c r="K37" s="6677"/>
      <c r="L37" s="6677"/>
      <c r="M37" s="6677"/>
      <c r="N37" s="6677"/>
      <c r="O37" s="6677"/>
      <c r="P37" s="6677"/>
      <c r="Q37" s="6678"/>
      <c r="R37" s="36"/>
      <c r="S37" s="29"/>
      <c r="T37" s="29"/>
      <c r="U37" s="3744"/>
      <c r="V37" s="6647" t="str">
        <f>IF(V36=0,"",VLOOKUP(V36,Tabla_PoderesPsi,2,FALSE))</f>
        <v/>
      </c>
      <c r="W37" s="6648"/>
      <c r="X37" s="6648"/>
      <c r="Y37" s="1475" t="s">
        <v>1186</v>
      </c>
      <c r="Z37" s="1476" t="str">
        <f>IF(V36=0,"",VLOOKUP(V36,Tabla_PoderesPsi,3,FALSE))</f>
        <v/>
      </c>
      <c r="AA37" s="6636"/>
      <c r="AB37" s="6646"/>
      <c r="AC37" s="2701"/>
      <c r="AD37" s="6623" t="str">
        <f>IF(AD36=0,"",VLOOKUP(AD36,Tabla_PoderesPsi,2,FALSE))</f>
        <v/>
      </c>
      <c r="AE37" s="6624"/>
      <c r="AF37" s="6624"/>
      <c r="AG37" s="1796" t="s">
        <v>1186</v>
      </c>
      <c r="AH37" s="1797" t="str">
        <f>IF(AD36=0,"",VLOOKUP(AD36,Tabla_PoderesPsi,3,FALSE))</f>
        <v/>
      </c>
      <c r="AI37" s="6615"/>
      <c r="AJ37" s="6577"/>
      <c r="AK37" s="6580"/>
      <c r="AL37" s="6537"/>
      <c r="AM37" s="29"/>
      <c r="AN37" s="530"/>
      <c r="AO37" s="3641">
        <f>IF(AND(AD58&lt;&gt;"",OR(AD58=Personalización!AF79,AD58=Personalización!AF80)),1,0)</f>
        <v>0</v>
      </c>
      <c r="AP37" s="530"/>
      <c r="AQ37" s="530"/>
      <c r="AR37" s="1602">
        <v>39</v>
      </c>
      <c r="AS37" s="530" t="str" cm="1">
        <f t="array" ref="AS37">IF(INDEX($V$20:$Z$79,AR37,1)=0,"",INDEX($V$20:$Z$79,AR37,1))</f>
        <v/>
      </c>
      <c r="AT37" s="530"/>
      <c r="AU37" s="530"/>
      <c r="AV37" s="530"/>
      <c r="AW37" s="530"/>
      <c r="AX37" s="530"/>
      <c r="AY37" s="530"/>
      <c r="AZ37" s="530"/>
      <c r="BA37" s="530"/>
      <c r="BB37" s="530"/>
      <c r="BC37" s="530"/>
      <c r="BD37" s="530"/>
      <c r="BE37" s="530"/>
      <c r="BF37" s="2617"/>
      <c r="BG37" s="2617"/>
      <c r="BH37" s="2617"/>
      <c r="BI37" s="2617"/>
      <c r="BJ37" s="2617"/>
      <c r="BK37" s="2617"/>
      <c r="BL37" s="2617"/>
      <c r="BM37" s="530"/>
      <c r="BN37" s="530"/>
      <c r="BO37" s="530"/>
      <c r="BP37" s="530"/>
    </row>
    <row r="38" spans="1:68" ht="12" customHeight="1">
      <c r="A38" s="29"/>
      <c r="B38" s="443"/>
      <c r="C38" s="6697"/>
      <c r="D38" s="6698"/>
      <c r="E38" s="6699"/>
      <c r="F38" s="6670" t="str">
        <f>IF(C38=0,"",VLOOKUP(C38,Tabla_DisciplinasPsi,2,FALSE))</f>
        <v/>
      </c>
      <c r="G38" s="6671"/>
      <c r="H38" s="6671"/>
      <c r="I38" s="6671"/>
      <c r="J38" s="6671"/>
      <c r="K38" s="6671"/>
      <c r="L38" s="6671"/>
      <c r="M38" s="6671"/>
      <c r="N38" s="6671"/>
      <c r="O38" s="6671"/>
      <c r="P38" s="6671"/>
      <c r="Q38" s="6672"/>
      <c r="R38" s="36"/>
      <c r="S38" s="29"/>
      <c r="T38" s="29"/>
      <c r="U38" s="3744">
        <f>IF(V38=0,0,1)</f>
        <v>0</v>
      </c>
      <c r="V38" s="6687"/>
      <c r="W38" s="6688"/>
      <c r="X38" s="6688"/>
      <c r="Y38" s="6688"/>
      <c r="Z38" s="6689"/>
      <c r="AA38" s="6690"/>
      <c r="AB38" s="6645">
        <f>IF(AA38="0","",IF(AA38*10&lt;100,AA38*10,100))+AC38</f>
        <v>0</v>
      </c>
      <c r="AC38" s="3482">
        <f>COUNTIF(Personalización!V75:AA80,Psíquicos!V38)*10</f>
        <v>0</v>
      </c>
      <c r="AD38" s="6538"/>
      <c r="AE38" s="6539"/>
      <c r="AF38" s="6539"/>
      <c r="AG38" s="6539"/>
      <c r="AH38" s="6622"/>
      <c r="AI38" s="6614"/>
      <c r="AJ38" s="6576"/>
      <c r="AK38" s="6579" t="str" cm="1">
        <f t="array" ref="AK38">IF(AD38&lt;&gt;"",INDEX(Tablas!$U$26:$U$38,MAX(MATCH(VLOOKUP(Psíquicos!$AD38,'Tablas psiquica'!$AB$7:$AO$198,2,FALSE),Tablas!$U$26:$U$38,0),MAX(SUMPRODUCT(--(Tablas!$T$26:$T$38&lt;=(AL38-20*AI38)))+IF(OR(Tablas!$G$458&gt;0,Tablas!$H$1520&gt;0),1,0),SUMPRODUCT(--(Tablas!$T$26:$T$38&lt;=(AL38)))+AO27))),"")</f>
        <v/>
      </c>
      <c r="AL38" s="6537">
        <f>$H$11+IF(ISNA(VLOOKUP(AD38,$V$20:$AB$79,7,FALSE)),0,IF(VLOOKUP(AD38,$V$20:$AB$79,7,FALSE)="",0,VLOOKUP(AD38,$V$20:$AB$79,7,FALSE)))+AI38*20+AJ38-J14</f>
        <v>0</v>
      </c>
      <c r="AM38" s="29"/>
      <c r="AN38" s="530"/>
      <c r="AO38" s="3641">
        <f>IF(AND(AD60&lt;&gt;"",OR(AD60=Personalización!AF79,AD60=Personalización!AF80)),1,0)</f>
        <v>0</v>
      </c>
      <c r="AP38" s="530"/>
      <c r="AQ38" s="530"/>
      <c r="AR38" s="1602">
        <v>41</v>
      </c>
      <c r="AS38" s="530" t="str" cm="1">
        <f t="array" ref="AS38">IF(INDEX($V$20:$Z$79,AR38,1)=0,"",INDEX($V$20:$Z$79,AR38,1))</f>
        <v/>
      </c>
      <c r="AT38" s="530"/>
      <c r="AU38" s="530"/>
      <c r="AV38" s="530"/>
      <c r="AW38" s="530"/>
      <c r="AX38" s="530"/>
      <c r="AY38" s="530"/>
      <c r="AZ38" s="530"/>
      <c r="BA38" s="530"/>
      <c r="BB38" s="530"/>
      <c r="BC38" s="530"/>
      <c r="BD38" s="530"/>
      <c r="BE38" s="530"/>
      <c r="BF38" s="2617"/>
      <c r="BG38" s="2617"/>
      <c r="BH38" s="2617"/>
      <c r="BI38" s="2617"/>
      <c r="BJ38" s="2617"/>
      <c r="BK38" s="2617"/>
      <c r="BL38" s="2617"/>
      <c r="BM38" s="530"/>
      <c r="BN38" s="530"/>
      <c r="BO38" s="530"/>
      <c r="BP38" s="530"/>
    </row>
    <row r="39" spans="1:68" ht="12" customHeight="1" thickBot="1">
      <c r="A39" s="29"/>
      <c r="B39" s="443"/>
      <c r="C39" s="6700"/>
      <c r="D39" s="6701"/>
      <c r="E39" s="6702"/>
      <c r="F39" s="6703"/>
      <c r="G39" s="6704"/>
      <c r="H39" s="6704"/>
      <c r="I39" s="6704"/>
      <c r="J39" s="6704"/>
      <c r="K39" s="6704"/>
      <c r="L39" s="6704"/>
      <c r="M39" s="6704"/>
      <c r="N39" s="6704"/>
      <c r="O39" s="6704"/>
      <c r="P39" s="6704"/>
      <c r="Q39" s="6705"/>
      <c r="R39" s="36"/>
      <c r="S39" s="29"/>
      <c r="T39" s="29"/>
      <c r="U39" s="3744"/>
      <c r="V39" s="6692" t="str">
        <f>IF(V38=0,"",VLOOKUP(V38,Tabla_PoderesPsi,2,FALSE))</f>
        <v/>
      </c>
      <c r="W39" s="6693"/>
      <c r="X39" s="6693"/>
      <c r="Y39" s="1579" t="s">
        <v>1186</v>
      </c>
      <c r="Z39" s="1580" t="str">
        <f>IF(V38=0,"",VLOOKUP(V38,Tabla_PoderesPsi,3,FALSE))</f>
        <v/>
      </c>
      <c r="AA39" s="6691"/>
      <c r="AB39" s="6646"/>
      <c r="AC39" s="3483"/>
      <c r="AD39" s="6623" t="str">
        <f>IF(AD38=0,"",VLOOKUP(AD38,Tabla_PoderesPsi,2,FALSE))</f>
        <v/>
      </c>
      <c r="AE39" s="6624"/>
      <c r="AF39" s="6624"/>
      <c r="AG39" s="1796" t="s">
        <v>1186</v>
      </c>
      <c r="AH39" s="1797" t="str">
        <f>IF(AD38=0,"",VLOOKUP(AD38,Tabla_PoderesPsi,3,FALSE))</f>
        <v/>
      </c>
      <c r="AI39" s="6615"/>
      <c r="AJ39" s="6577"/>
      <c r="AK39" s="6580"/>
      <c r="AL39" s="6537"/>
      <c r="AM39" s="29"/>
      <c r="AN39" s="530"/>
      <c r="AO39" s="3641">
        <f>IF(AND(AD62&lt;&gt;"",OR(AD62=Personalización!AF79,AD62=Personalización!AF80)),1,0)</f>
        <v>0</v>
      </c>
      <c r="AP39" s="530"/>
      <c r="AQ39" s="530"/>
      <c r="AR39" s="1602">
        <v>43</v>
      </c>
      <c r="AS39" s="530" t="str" cm="1">
        <f t="array" ref="AS39">IF(INDEX($V$20:$Z$79,AR39,1)=0,"",INDEX($V$20:$Z$79,AR39,1))</f>
        <v/>
      </c>
      <c r="AT39" s="530"/>
      <c r="AU39" s="530"/>
      <c r="AV39" s="530"/>
      <c r="AW39" s="530"/>
      <c r="AX39" s="530"/>
      <c r="AY39" s="530"/>
      <c r="AZ39" s="530"/>
      <c r="BA39" s="530"/>
      <c r="BB39" s="530"/>
      <c r="BC39" s="530"/>
      <c r="BD39" s="530"/>
      <c r="BE39" s="530"/>
      <c r="BF39" s="2617"/>
      <c r="BG39" s="2617"/>
      <c r="BH39" s="2617"/>
      <c r="BI39" s="2617"/>
      <c r="BJ39" s="2617"/>
      <c r="BK39" s="2617"/>
      <c r="BL39" s="2617"/>
      <c r="BM39" s="530"/>
      <c r="BN39" s="530"/>
      <c r="BO39" s="530"/>
      <c r="BP39" s="530"/>
    </row>
    <row r="40" spans="1:68" ht="12" customHeight="1" thickBot="1">
      <c r="A40" s="29"/>
      <c r="B40" s="443"/>
      <c r="C40" s="540"/>
      <c r="R40" s="36"/>
      <c r="S40" s="29"/>
      <c r="T40" s="29"/>
      <c r="U40" s="3744">
        <f>IF(V40=0,0,1)</f>
        <v>0</v>
      </c>
      <c r="V40" s="6642"/>
      <c r="W40" s="6643"/>
      <c r="X40" s="6643"/>
      <c r="Y40" s="6643"/>
      <c r="Z40" s="6644"/>
      <c r="AA40" s="6636"/>
      <c r="AB40" s="6645">
        <f>IF(AA40="0","",IF(AA40*10&lt;100,AA40*10,100))+AC40</f>
        <v>0</v>
      </c>
      <c r="AC40" s="3482">
        <f>COUNTIF(Personalización!V75:AA80,Psíquicos!V40)*10</f>
        <v>0</v>
      </c>
      <c r="AD40" s="6538"/>
      <c r="AE40" s="6539"/>
      <c r="AF40" s="6539"/>
      <c r="AG40" s="6539"/>
      <c r="AH40" s="6622"/>
      <c r="AI40" s="6614"/>
      <c r="AJ40" s="6576"/>
      <c r="AK40" s="6579" t="str" cm="1">
        <f t="array" ref="AK40">IF(AD40&lt;&gt;"",INDEX(Tablas!$U$26:$U$38,MAX(MATCH(VLOOKUP(Psíquicos!$AD40,'Tablas psiquica'!$AB$7:$AO$198,2,FALSE),Tablas!$U$26:$U$38,0),MAX(SUMPRODUCT(--(Tablas!$T$26:$T$38&lt;=(AL40-20*AI40)))+IF(OR(Tablas!$G$458&gt;0,Tablas!$H$1520&gt;0),1,0),SUMPRODUCT(--(Tablas!$T$26:$T$38&lt;=(AL40)))+AO28))),"")</f>
        <v/>
      </c>
      <c r="AL40" s="6537">
        <f>$H$11+IF(ISNA(VLOOKUP(AD40,$V$20:$AB$79,7,FALSE)),0,IF(VLOOKUP(AD40,$V$20:$AB$79,7,FALSE)="",0,VLOOKUP(AD40,$V$20:$AB$79,7,FALSE)))+AI40*20+AJ40-J14</f>
        <v>0</v>
      </c>
      <c r="AM40" s="29"/>
      <c r="AN40" s="530"/>
      <c r="AO40" s="3641">
        <f>IF(AND(AD64&lt;&gt;"",OR(AD64=Personalización!AF79,AD64=Personalización!AF80)),1,0)</f>
        <v>0</v>
      </c>
      <c r="AP40" s="530"/>
      <c r="AQ40" s="530"/>
      <c r="AR40" s="1602">
        <v>45</v>
      </c>
      <c r="AS40" s="530" t="str" cm="1">
        <f t="array" ref="AS40">IF(INDEX($V$20:$Z$79,AR40,1)=0,"",INDEX($V$20:$Z$79,AR40,1))</f>
        <v/>
      </c>
      <c r="AT40" s="530"/>
      <c r="AU40" s="530"/>
      <c r="AV40" s="530"/>
      <c r="AW40" s="530"/>
      <c r="AX40" s="530"/>
      <c r="AY40" s="530"/>
      <c r="AZ40" s="530"/>
      <c r="BA40" s="530"/>
      <c r="BB40" s="530"/>
      <c r="BC40" s="530"/>
      <c r="BD40" s="530"/>
      <c r="BE40" s="530"/>
      <c r="BF40" s="2617"/>
      <c r="BG40" s="2617"/>
      <c r="BH40" s="2617"/>
      <c r="BI40" s="2617"/>
      <c r="BJ40" s="2617"/>
      <c r="BK40" s="2617"/>
      <c r="BL40" s="2617"/>
      <c r="BM40" s="530"/>
      <c r="BN40" s="530"/>
      <c r="BO40" s="530"/>
      <c r="BP40" s="530"/>
    </row>
    <row r="41" spans="1:68" ht="12" customHeight="1">
      <c r="A41" s="29"/>
      <c r="B41" s="443"/>
      <c r="C41" s="4364" t="s">
        <v>1383</v>
      </c>
      <c r="D41" s="4365"/>
      <c r="E41" s="4365"/>
      <c r="F41" s="6668" t="s">
        <v>1668</v>
      </c>
      <c r="G41" s="6668"/>
      <c r="H41" s="6668"/>
      <c r="I41" s="6668"/>
      <c r="J41" s="6668"/>
      <c r="K41" s="6668"/>
      <c r="L41" s="6668"/>
      <c r="M41" s="6668"/>
      <c r="N41" s="6668"/>
      <c r="O41" s="6668"/>
      <c r="P41" s="6668"/>
      <c r="Q41" s="6669"/>
      <c r="R41" s="36"/>
      <c r="S41" s="29"/>
      <c r="T41" s="29"/>
      <c r="U41" s="3744"/>
      <c r="V41" s="6647" t="str">
        <f>IF(V40=0,"",VLOOKUP(V40,Tabla_PoderesPsi,2,FALSE))</f>
        <v/>
      </c>
      <c r="W41" s="6648"/>
      <c r="X41" s="6648"/>
      <c r="Y41" s="1475" t="s">
        <v>1186</v>
      </c>
      <c r="Z41" s="1476" t="str">
        <f>IF(V40=0,"",VLOOKUP(V40,Tabla_PoderesPsi,3,FALSE))</f>
        <v/>
      </c>
      <c r="AA41" s="6636"/>
      <c r="AB41" s="6646"/>
      <c r="AC41" s="3484"/>
      <c r="AD41" s="6623" t="str">
        <f>IF(AD40=0,"",VLOOKUP(AD40,Tabla_PoderesPsi,2,FALSE))</f>
        <v/>
      </c>
      <c r="AE41" s="6624"/>
      <c r="AF41" s="6624"/>
      <c r="AG41" s="1796" t="s">
        <v>1186</v>
      </c>
      <c r="AH41" s="1797" t="str">
        <f>IF(AD40=0,"",VLOOKUP(AD40,Tabla_PoderesPsi,3,FALSE))</f>
        <v/>
      </c>
      <c r="AI41" s="6615"/>
      <c r="AJ41" s="6577"/>
      <c r="AK41" s="6580"/>
      <c r="AL41" s="6537"/>
      <c r="AM41" s="29"/>
      <c r="AN41" s="530"/>
      <c r="AO41" s="3641">
        <f>IF(AND(AD66&lt;&gt;"",OR(AD66=Personalización!AF79,AD66=Personalización!AF80)),1,0)</f>
        <v>0</v>
      </c>
      <c r="AP41" s="530"/>
      <c r="AQ41" s="530"/>
      <c r="AR41" s="1602">
        <v>47</v>
      </c>
      <c r="AS41" s="530" t="str" cm="1">
        <f t="array" ref="AS41">IF(INDEX($V$20:$Z$79,AR41,1)=0,"",INDEX($V$20:$Z$79,AR41,1))</f>
        <v/>
      </c>
      <c r="AT41" s="530"/>
      <c r="AU41" s="530"/>
      <c r="AV41" s="530"/>
      <c r="AW41" s="530"/>
      <c r="AX41" s="530"/>
      <c r="AY41" s="530"/>
      <c r="AZ41" s="530"/>
      <c r="BA41" s="530"/>
      <c r="BB41" s="530"/>
      <c r="BC41" s="530"/>
      <c r="BD41" s="530"/>
      <c r="BE41" s="530"/>
      <c r="BF41" s="2617"/>
      <c r="BG41" s="2617"/>
      <c r="BH41" s="2617"/>
      <c r="BI41" s="2617"/>
      <c r="BJ41" s="2617"/>
      <c r="BK41" s="2617"/>
      <c r="BL41" s="2617"/>
      <c r="BM41" s="530"/>
      <c r="BN41" s="530"/>
      <c r="BO41" s="530"/>
      <c r="BP41" s="530"/>
    </row>
    <row r="42" spans="1:68" ht="12" customHeight="1">
      <c r="A42" s="29"/>
      <c r="B42" s="443"/>
      <c r="C42" s="6731" t="str">
        <f>IF(PDs!E125=0,"",PDs!E125)</f>
        <v/>
      </c>
      <c r="D42" s="6732"/>
      <c r="E42" s="6733"/>
      <c r="F42" s="6737" t="str">
        <f>IF(C42="","",VLOOKUP(C42,Tablas!$D$1328:$R$1341,15,FALSE))</f>
        <v/>
      </c>
      <c r="G42" s="6737"/>
      <c r="H42" s="6737"/>
      <c r="I42" s="6737"/>
      <c r="J42" s="6737"/>
      <c r="K42" s="6737"/>
      <c r="L42" s="6737"/>
      <c r="M42" s="6737"/>
      <c r="N42" s="6737"/>
      <c r="O42" s="6737"/>
      <c r="P42" s="6737"/>
      <c r="Q42" s="6738"/>
      <c r="R42" s="36"/>
      <c r="S42" s="29"/>
      <c r="T42" s="29"/>
      <c r="U42" s="3744">
        <f>IF(V42=0,0,1)</f>
        <v>0</v>
      </c>
      <c r="V42" s="6687"/>
      <c r="W42" s="6688"/>
      <c r="X42" s="6688"/>
      <c r="Y42" s="6688"/>
      <c r="Z42" s="6689"/>
      <c r="AA42" s="6690"/>
      <c r="AB42" s="6645">
        <f>IF(AA42="0","",IF(AA42*10&lt;100,AA42*10,100))+AC42</f>
        <v>0</v>
      </c>
      <c r="AC42" s="3482">
        <f>COUNTIF(Personalización!V75:AA80,V42)*10</f>
        <v>0</v>
      </c>
      <c r="AD42" s="6538"/>
      <c r="AE42" s="6539"/>
      <c r="AF42" s="6539"/>
      <c r="AG42" s="6539"/>
      <c r="AH42" s="6622"/>
      <c r="AI42" s="6614"/>
      <c r="AJ42" s="6576"/>
      <c r="AK42" s="6579" t="str" cm="1">
        <f t="array" ref="AK42">IF(AD42&lt;&gt;"",INDEX(Tablas!$U$26:$U$38,MAX(MATCH(VLOOKUP(Psíquicos!$AD42,'Tablas psiquica'!$AB$7:$AO$198,2,FALSE),Tablas!$U$26:$U$38,0),MAX(SUMPRODUCT(--(Tablas!$T$26:$T$38&lt;=(AL42-20*AI42)))+IF(OR(Tablas!$G$458&gt;0,Tablas!$H$1520&gt;0),1,0),SUMPRODUCT(--(Tablas!$T$26:$T$38&lt;=(AL42)))+AO29))),"")</f>
        <v/>
      </c>
      <c r="AL42" s="6537">
        <f>$H$11+IF(ISNA(VLOOKUP(AD42,$V$20:$AB$79,7,FALSE)),0,IF(VLOOKUP(AD42,$V$20:$AB$79,7,FALSE)="",0,VLOOKUP(AD42,$V$20:$AB$79,7,FALSE)))+AI42*20+AJ42-J14</f>
        <v>0</v>
      </c>
      <c r="AM42" s="29"/>
      <c r="AN42" s="530"/>
      <c r="AO42" s="3641">
        <f>IF(AND(AD68&lt;&gt;"",OR(AD68=Personalización!AF79,AD68=Personalización!AF80)),1,0)</f>
        <v>0</v>
      </c>
      <c r="AP42" s="530"/>
      <c r="AQ42" s="530"/>
      <c r="AR42" s="1602">
        <v>49</v>
      </c>
      <c r="AS42" s="530" t="str" cm="1">
        <f t="array" ref="AS42">IF(INDEX($V$20:$Z$79,AR42,1)=0,"",INDEX($V$20:$Z$79,AR42,1))</f>
        <v/>
      </c>
      <c r="AT42" s="530"/>
      <c r="AU42" s="530"/>
      <c r="AV42" s="530"/>
      <c r="AW42" s="530"/>
      <c r="AX42" s="530"/>
      <c r="AY42" s="530"/>
      <c r="AZ42" s="530"/>
      <c r="BA42" s="530"/>
      <c r="BB42" s="530"/>
      <c r="BC42" s="530"/>
      <c r="BD42" s="530"/>
      <c r="BE42" s="530"/>
      <c r="BF42" s="2617"/>
      <c r="BG42" s="2617"/>
      <c r="BH42" s="2617"/>
      <c r="BI42" s="2617"/>
      <c r="BJ42" s="2617"/>
      <c r="BK42" s="2617"/>
      <c r="BL42" s="2617"/>
      <c r="BM42" s="530"/>
      <c r="BN42" s="530"/>
      <c r="BO42" s="530"/>
      <c r="BP42" s="530"/>
    </row>
    <row r="43" spans="1:68" ht="12" customHeight="1">
      <c r="A43" s="29"/>
      <c r="B43" s="443"/>
      <c r="C43" s="6734"/>
      <c r="D43" s="6735"/>
      <c r="E43" s="6736"/>
      <c r="F43" s="6670" t="str">
        <f>IF(C42="","",VLOOKUP(C42,Tablas!$D$1328:$R$1341,7,FALSE))</f>
        <v/>
      </c>
      <c r="G43" s="6670"/>
      <c r="H43" s="6670"/>
      <c r="I43" s="6670"/>
      <c r="J43" s="6670"/>
      <c r="K43" s="6670"/>
      <c r="L43" s="6670"/>
      <c r="M43" s="6670"/>
      <c r="N43" s="6670"/>
      <c r="O43" s="6670"/>
      <c r="P43" s="6670"/>
      <c r="Q43" s="6712"/>
      <c r="R43" s="36"/>
      <c r="S43" s="29"/>
      <c r="T43" s="29"/>
      <c r="U43" s="3744"/>
      <c r="V43" s="6692" t="str">
        <f>IF(V42=0,"",VLOOKUP(V42,Tabla_PoderesPsi,2,FALSE))</f>
        <v/>
      </c>
      <c r="W43" s="6693"/>
      <c r="X43" s="6693"/>
      <c r="Y43" s="1579" t="s">
        <v>1186</v>
      </c>
      <c r="Z43" s="1580" t="str">
        <f>IF(V42=0,"",VLOOKUP(V42,Tabla_PoderesPsi,3,FALSE))</f>
        <v/>
      </c>
      <c r="AA43" s="6691"/>
      <c r="AB43" s="6646"/>
      <c r="AC43" s="530"/>
      <c r="AD43" s="6623" t="str">
        <f>IF(AD42=0,"",VLOOKUP(AD42,Tabla_PoderesPsi,2,FALSE))</f>
        <v/>
      </c>
      <c r="AE43" s="6624"/>
      <c r="AF43" s="6624"/>
      <c r="AG43" s="1796" t="s">
        <v>1186</v>
      </c>
      <c r="AH43" s="1797" t="str">
        <f>IF(AD42=0,"",VLOOKUP(AD42,Tabla_PoderesPsi,3,FALSE))</f>
        <v/>
      </c>
      <c r="AI43" s="6615"/>
      <c r="AJ43" s="6577"/>
      <c r="AK43" s="6580"/>
      <c r="AL43" s="6537"/>
      <c r="AM43" s="29"/>
      <c r="AN43" s="530"/>
      <c r="AO43" s="3641">
        <f>IF(AND(AD70&lt;&gt;"",OR(AD70=Personalización!AF79,AD70=Personalización!AF80)),1,0)</f>
        <v>0</v>
      </c>
      <c r="AP43" s="530"/>
      <c r="AQ43" s="530"/>
      <c r="AR43" s="1602">
        <v>51</v>
      </c>
      <c r="AS43" s="530" t="str" cm="1">
        <f t="array" ref="AS43">IF(INDEX($V$20:$Z$79,AR43,1)=0,"",INDEX($V$20:$Z$79,AR43,1))</f>
        <v/>
      </c>
      <c r="AT43" s="530"/>
      <c r="AU43" s="530"/>
      <c r="AV43" s="530"/>
      <c r="AW43" s="530"/>
      <c r="AX43" s="530"/>
      <c r="AY43" s="530"/>
      <c r="AZ43" s="530"/>
      <c r="BA43" s="530"/>
      <c r="BB43" s="530"/>
      <c r="BC43" s="530"/>
      <c r="BD43" s="530"/>
      <c r="BE43" s="530"/>
      <c r="BF43" s="2617"/>
      <c r="BG43" s="2617"/>
      <c r="BH43" s="2617"/>
      <c r="BI43" s="2617"/>
      <c r="BJ43" s="2617"/>
      <c r="BK43" s="2617"/>
      <c r="BL43" s="2617"/>
      <c r="BM43" s="530"/>
      <c r="BN43" s="530"/>
      <c r="BO43" s="530"/>
      <c r="BP43" s="530"/>
    </row>
    <row r="44" spans="1:68" ht="12" customHeight="1">
      <c r="A44" s="29"/>
      <c r="B44" s="443"/>
      <c r="C44" s="6713" t="str">
        <f>IF(PDs!E126=0,"",PDs!E126)</f>
        <v/>
      </c>
      <c r="D44" s="6714"/>
      <c r="E44" s="6715"/>
      <c r="F44" s="6676" t="str">
        <f>IF(C44="","",VLOOKUP(C44,Tablas!$D$1328:$R$1341,15,FALSE))</f>
        <v/>
      </c>
      <c r="G44" s="6676"/>
      <c r="H44" s="6676"/>
      <c r="I44" s="6676"/>
      <c r="J44" s="6676"/>
      <c r="K44" s="6676"/>
      <c r="L44" s="6676"/>
      <c r="M44" s="6676"/>
      <c r="N44" s="6676"/>
      <c r="O44" s="6676"/>
      <c r="P44" s="6676"/>
      <c r="Q44" s="6719"/>
      <c r="R44" s="36"/>
      <c r="S44" s="29"/>
      <c r="T44" s="29"/>
      <c r="U44" s="3744">
        <f>IF(V44=0,0,1)</f>
        <v>0</v>
      </c>
      <c r="V44" s="6642"/>
      <c r="W44" s="6643"/>
      <c r="X44" s="6643"/>
      <c r="Y44" s="6643"/>
      <c r="Z44" s="6644"/>
      <c r="AA44" s="6636"/>
      <c r="AB44" s="6645">
        <f>IF(AA44="0","",IF(AA44*10&lt;100,AA44*10,100))+AC44</f>
        <v>0</v>
      </c>
      <c r="AC44" s="3482">
        <f>COUNTIF(Personalización!V75:AA80,V44)*10</f>
        <v>0</v>
      </c>
      <c r="AD44" s="6538"/>
      <c r="AE44" s="6539"/>
      <c r="AF44" s="6539"/>
      <c r="AG44" s="6539"/>
      <c r="AH44" s="6622"/>
      <c r="AI44" s="6614"/>
      <c r="AJ44" s="6576"/>
      <c r="AK44" s="6579" t="str" cm="1">
        <f t="array" ref="AK44">IF(AD44&lt;&gt;"",INDEX(Tablas!$U$26:$U$38,MAX(MATCH(VLOOKUP(Psíquicos!$AD44,'Tablas psiquica'!$AB$7:$AO$198,2,FALSE),Tablas!$U$26:$U$38,0),MAX(SUMPRODUCT(--(Tablas!$T$26:$T$38&lt;=(AL44-20*AI44)))+IF(OR(Tablas!$G$458&gt;0,Tablas!$H$1520&gt;0),1,0),SUMPRODUCT(--(Tablas!$T$26:$T$38&lt;=(AL44)))+AO30))),"")</f>
        <v/>
      </c>
      <c r="AL44" s="6537">
        <f>$H$11+IF(ISNA(VLOOKUP(AD44,$V$20:$AB$79,7,FALSE)),0,IF(VLOOKUP(AD44,$V$20:$AB$79,7,FALSE)="",0,VLOOKUP(AD44,$V$20:$AB$79,7,FALSE)))+AI44*20+AJ44-J14</f>
        <v>0</v>
      </c>
      <c r="AM44" s="29"/>
      <c r="AN44" s="530"/>
      <c r="AO44" s="3641">
        <f>IF(AND(AD72&lt;&gt;"",OR(AD72=Personalización!AF79,AD72=Personalización!AF80)),1,0)</f>
        <v>0</v>
      </c>
      <c r="AP44" s="530"/>
      <c r="AQ44" s="530"/>
      <c r="AR44" s="1602">
        <v>53</v>
      </c>
      <c r="AS44" s="530" t="str" cm="1">
        <f t="array" ref="AS44">IF(INDEX($V$20:$Z$79,AR44,1)=0,"",INDEX($V$20:$Z$79,AR44,1))</f>
        <v/>
      </c>
      <c r="AT44" s="530"/>
      <c r="AU44" s="530"/>
      <c r="AV44" s="530"/>
      <c r="AW44" s="530"/>
      <c r="AX44" s="530"/>
      <c r="AY44" s="530"/>
      <c r="AZ44" s="530"/>
      <c r="BA44" s="530"/>
      <c r="BB44" s="530"/>
      <c r="BC44" s="530"/>
      <c r="BD44" s="530"/>
      <c r="BE44" s="530"/>
      <c r="BF44" s="2617"/>
      <c r="BG44" s="2617"/>
      <c r="BH44" s="2617"/>
      <c r="BI44" s="2617"/>
      <c r="BJ44" s="2617"/>
      <c r="BK44" s="2617"/>
      <c r="BL44" s="2617"/>
      <c r="BM44" s="530"/>
      <c r="BN44" s="530"/>
      <c r="BO44" s="530"/>
      <c r="BP44" s="530"/>
    </row>
    <row r="45" spans="1:68" ht="12" customHeight="1">
      <c r="A45" s="29"/>
      <c r="B45" s="443"/>
      <c r="C45" s="6716"/>
      <c r="D45" s="6717"/>
      <c r="E45" s="6718"/>
      <c r="F45" s="6676" t="str">
        <f>IF(C44="","",VLOOKUP(C44,Tablas!$D$1328:$R$1341,7,FALSE))</f>
        <v/>
      </c>
      <c r="G45" s="6676"/>
      <c r="H45" s="6676"/>
      <c r="I45" s="6676"/>
      <c r="J45" s="6676"/>
      <c r="K45" s="6676"/>
      <c r="L45" s="6676"/>
      <c r="M45" s="6676"/>
      <c r="N45" s="6676"/>
      <c r="O45" s="6676"/>
      <c r="P45" s="6676"/>
      <c r="Q45" s="6719"/>
      <c r="R45" s="36"/>
      <c r="S45" s="29"/>
      <c r="T45" s="29"/>
      <c r="U45" s="3744"/>
      <c r="V45" s="6647" t="str">
        <f>IF(V44=0,"",VLOOKUP(V44,Tabla_PoderesPsi,2,FALSE))</f>
        <v/>
      </c>
      <c r="W45" s="6648"/>
      <c r="X45" s="6648"/>
      <c r="Y45" s="1475" t="s">
        <v>1186</v>
      </c>
      <c r="Z45" s="1476" t="str">
        <f>IF(V44=0,"",VLOOKUP(V44,Tabla_PoderesPsi,3,FALSE))</f>
        <v/>
      </c>
      <c r="AA45" s="6636"/>
      <c r="AB45" s="6646"/>
      <c r="AC45" s="530"/>
      <c r="AD45" s="6623" t="str">
        <f>IF(AD44=0,"",VLOOKUP(AD44,Tabla_PoderesPsi,2,FALSE))</f>
        <v/>
      </c>
      <c r="AE45" s="6624"/>
      <c r="AF45" s="6624"/>
      <c r="AG45" s="1796" t="s">
        <v>1186</v>
      </c>
      <c r="AH45" s="1797" t="str">
        <f>IF(AD44=0,"",VLOOKUP(AD44,Tabla_PoderesPsi,3,FALSE))</f>
        <v/>
      </c>
      <c r="AI45" s="6615"/>
      <c r="AJ45" s="6577"/>
      <c r="AK45" s="6580"/>
      <c r="AL45" s="6537"/>
      <c r="AM45" s="29"/>
      <c r="AN45" s="530"/>
      <c r="AO45" s="3641">
        <f>IF(AND(AD74&lt;&gt;"",OR(AD74=Personalización!AF79,AD74=Personalización!AF80)),1,0)</f>
        <v>0</v>
      </c>
      <c r="AP45" s="530"/>
      <c r="AQ45" s="530"/>
      <c r="AR45" s="826">
        <v>55</v>
      </c>
      <c r="AS45" s="530" t="str" cm="1">
        <f t="array" ref="AS45">IF(INDEX($V$20:$Z$79,AR45,1)=0,"",INDEX($V$20:$Z$79,AR45,1))</f>
        <v/>
      </c>
      <c r="AT45" s="530"/>
      <c r="AU45" s="530"/>
      <c r="AV45" s="530"/>
      <c r="AW45" s="530"/>
      <c r="AX45" s="530"/>
      <c r="AY45" s="530"/>
      <c r="AZ45" s="530"/>
      <c r="BA45" s="530"/>
      <c r="BB45" s="530"/>
      <c r="BC45" s="530"/>
      <c r="BD45" s="530"/>
      <c r="BE45" s="530"/>
      <c r="BF45" s="2617"/>
      <c r="BG45" s="2617"/>
      <c r="BH45" s="2617"/>
      <c r="BI45" s="2617"/>
      <c r="BJ45" s="2617"/>
      <c r="BK45" s="2617"/>
      <c r="BL45" s="2617"/>
      <c r="BM45" s="530"/>
      <c r="BN45" s="530"/>
      <c r="BO45" s="530"/>
      <c r="BP45" s="530"/>
    </row>
    <row r="46" spans="1:68" ht="12" customHeight="1">
      <c r="A46" s="29"/>
      <c r="B46" s="443"/>
      <c r="C46" s="6725" t="str">
        <f>IF(PDs!E127=0,"",PDs!E127)</f>
        <v/>
      </c>
      <c r="D46" s="6726"/>
      <c r="E46" s="6727"/>
      <c r="F46" s="6670" t="str">
        <f>IF(C46="","",VLOOKUP(C46,Tablas!$D$1328:$R$1341,15,FALSE))</f>
        <v/>
      </c>
      <c r="G46" s="6670"/>
      <c r="H46" s="6670"/>
      <c r="I46" s="6670"/>
      <c r="J46" s="6670"/>
      <c r="K46" s="6670"/>
      <c r="L46" s="6670"/>
      <c r="M46" s="6670"/>
      <c r="N46" s="6670"/>
      <c r="O46" s="6670"/>
      <c r="P46" s="6670"/>
      <c r="Q46" s="6712"/>
      <c r="R46" s="36"/>
      <c r="S46" s="29"/>
      <c r="T46" s="29"/>
      <c r="U46" s="3744">
        <f>IF(V46=0,0,1)</f>
        <v>0</v>
      </c>
      <c r="V46" s="6687"/>
      <c r="W46" s="6688"/>
      <c r="X46" s="6688"/>
      <c r="Y46" s="6688"/>
      <c r="Z46" s="6689"/>
      <c r="AA46" s="6690"/>
      <c r="AB46" s="6645">
        <f>IF(AA46="0","",IF(AA46*10&lt;100,AA46*10,100))+AC46</f>
        <v>0</v>
      </c>
      <c r="AC46" s="3482">
        <f>COUNTIF(Personalización!V75:AA80,V46)*10</f>
        <v>0</v>
      </c>
      <c r="AD46" s="6538"/>
      <c r="AE46" s="6539"/>
      <c r="AF46" s="6539"/>
      <c r="AG46" s="6539"/>
      <c r="AH46" s="6622"/>
      <c r="AI46" s="6614"/>
      <c r="AJ46" s="6576"/>
      <c r="AK46" s="6579" t="str" cm="1">
        <f t="array" ref="AK46">IF(AD46&lt;&gt;"",INDEX(Tablas!$U$26:$U$38,MAX(MATCH(VLOOKUP(Psíquicos!$AD46,'Tablas psiquica'!$AB$7:$AO$198,2,FALSE),Tablas!$U$26:$U$38,0),MAX(SUMPRODUCT(--(Tablas!$T$26:$T$38&lt;=(AL46-20*AI46)))+IF(OR(Tablas!$G$458&gt;0,Tablas!$H$1520&gt;0),1,0),SUMPRODUCT(--(Tablas!$T$26:$T$38&lt;=(AL46)))+AO31))),"")</f>
        <v/>
      </c>
      <c r="AL46" s="6537">
        <f>$H$11+IF(ISNA(VLOOKUP(AD46,$V$20:$AB$79,7,FALSE)),0,IF(VLOOKUP(AD46,$V$20:$AB$79,7,FALSE)="",0,VLOOKUP(AD46,$V$20:$AB$79,7,FALSE)))+AI46*20+AJ46-J14</f>
        <v>0</v>
      </c>
      <c r="AM46" s="29"/>
      <c r="AN46" s="530"/>
      <c r="AO46" s="3641">
        <f>IF(AND(AD76&lt;&gt;"",OR(AD76=Personalización!AF79,AD76=Personalización!AF80)),1,0)</f>
        <v>0</v>
      </c>
      <c r="AP46" s="3642"/>
      <c r="AQ46" s="530"/>
      <c r="AR46" s="826">
        <v>57</v>
      </c>
      <c r="AS46" s="530" t="str" cm="1">
        <f t="array" ref="AS46">IF(INDEX($V$20:$Z$79,AR46,1)=0,"",INDEX($V$20:$Z$79,AR46,1))</f>
        <v/>
      </c>
      <c r="AT46" s="530"/>
      <c r="AU46" s="530"/>
      <c r="AV46" s="530"/>
      <c r="AW46" s="530"/>
      <c r="AX46" s="530"/>
      <c r="AY46" s="530"/>
      <c r="AZ46" s="530"/>
      <c r="BA46" s="530"/>
      <c r="BB46" s="530"/>
      <c r="BC46" s="530"/>
      <c r="BD46" s="530"/>
      <c r="BE46" s="530"/>
      <c r="BF46" s="2617"/>
      <c r="BG46" s="2617"/>
      <c r="BH46" s="2617"/>
      <c r="BI46" s="2617"/>
      <c r="BJ46" s="2617"/>
      <c r="BK46" s="2617"/>
      <c r="BL46" s="2617"/>
      <c r="BM46" s="530"/>
      <c r="BN46" s="530"/>
      <c r="BO46" s="530"/>
      <c r="BP46" s="530"/>
    </row>
    <row r="47" spans="1:68" ht="12" customHeight="1">
      <c r="A47" s="29"/>
      <c r="B47" s="443"/>
      <c r="C47" s="6734"/>
      <c r="D47" s="6735"/>
      <c r="E47" s="6736"/>
      <c r="F47" s="6670" t="str">
        <f>IF(C46="","",VLOOKUP(C46,Tablas!$D$1328:$R$1341,7,FALSE))</f>
        <v/>
      </c>
      <c r="G47" s="6670"/>
      <c r="H47" s="6670"/>
      <c r="I47" s="6670"/>
      <c r="J47" s="6670"/>
      <c r="K47" s="6670"/>
      <c r="L47" s="6670"/>
      <c r="M47" s="6670"/>
      <c r="N47" s="6670"/>
      <c r="O47" s="6670"/>
      <c r="P47" s="6670"/>
      <c r="Q47" s="6712"/>
      <c r="R47" s="36"/>
      <c r="S47" s="29"/>
      <c r="T47" s="29"/>
      <c r="U47" s="3744"/>
      <c r="V47" s="6692" t="str">
        <f>IF(V46=0,"",VLOOKUP(V46,Tabla_PoderesPsi,2,FALSE))</f>
        <v/>
      </c>
      <c r="W47" s="6693"/>
      <c r="X47" s="6693"/>
      <c r="Y47" s="1579" t="s">
        <v>1186</v>
      </c>
      <c r="Z47" s="1580" t="str">
        <f>IF(V46=0,"",VLOOKUP(V46,Tabla_PoderesPsi,3,FALSE))</f>
        <v/>
      </c>
      <c r="AA47" s="6691"/>
      <c r="AB47" s="6646"/>
      <c r="AC47" s="530"/>
      <c r="AD47" s="6623" t="str">
        <f>IF(AD46=0,"",VLOOKUP(AD46,Tabla_PoderesPsi,2,FALSE))</f>
        <v/>
      </c>
      <c r="AE47" s="6624"/>
      <c r="AF47" s="6624"/>
      <c r="AG47" s="1796" t="s">
        <v>1186</v>
      </c>
      <c r="AH47" s="1797" t="str">
        <f>IF(AD46=0,"",VLOOKUP(AD46,Tabla_PoderesPsi,3,FALSE))</f>
        <v/>
      </c>
      <c r="AI47" s="6615"/>
      <c r="AJ47" s="6577"/>
      <c r="AK47" s="6580"/>
      <c r="AL47" s="6537"/>
      <c r="AM47" s="29"/>
      <c r="AN47" s="530"/>
      <c r="AO47" s="530"/>
      <c r="AP47" s="530"/>
      <c r="AQ47" s="530"/>
      <c r="AR47" s="530"/>
      <c r="AS47" s="530"/>
      <c r="AT47" s="530"/>
      <c r="AU47" s="530"/>
      <c r="AV47" s="530"/>
      <c r="AW47" s="530"/>
      <c r="AX47" s="530"/>
      <c r="AY47" s="530"/>
      <c r="AZ47" s="530"/>
      <c r="BA47" s="530"/>
      <c r="BB47" s="530"/>
      <c r="BC47" s="530"/>
      <c r="BD47" s="530"/>
      <c r="BE47" s="530"/>
      <c r="BF47" s="2617"/>
      <c r="BG47" s="2617"/>
      <c r="BH47" s="2617"/>
      <c r="BI47" s="2617"/>
      <c r="BJ47" s="2617"/>
      <c r="BK47" s="2617"/>
      <c r="BL47" s="2617"/>
      <c r="BM47" s="530"/>
      <c r="BN47" s="530"/>
      <c r="BO47" s="530"/>
      <c r="BP47" s="530"/>
    </row>
    <row r="48" spans="1:68" ht="12" customHeight="1">
      <c r="A48" s="29"/>
      <c r="B48" s="443"/>
      <c r="C48" s="6713" t="str">
        <f>IF(PDs!E128=0,"",PDs!E128)</f>
        <v/>
      </c>
      <c r="D48" s="6714"/>
      <c r="E48" s="6715"/>
      <c r="F48" s="6676" t="str">
        <f>IF(C48="","",VLOOKUP(C48,Tablas!$D$1328:$R$1341,15,FALSE))</f>
        <v/>
      </c>
      <c r="G48" s="6676"/>
      <c r="H48" s="6676"/>
      <c r="I48" s="6676"/>
      <c r="J48" s="6676"/>
      <c r="K48" s="6676"/>
      <c r="L48" s="6676"/>
      <c r="M48" s="6676"/>
      <c r="N48" s="6676"/>
      <c r="O48" s="6676"/>
      <c r="P48" s="6676"/>
      <c r="Q48" s="6719"/>
      <c r="R48" s="36"/>
      <c r="S48" s="29"/>
      <c r="T48" s="29"/>
      <c r="U48" s="3744">
        <f>IF(V48=0,0,1)</f>
        <v>0</v>
      </c>
      <c r="V48" s="6642"/>
      <c r="W48" s="6643"/>
      <c r="X48" s="6643"/>
      <c r="Y48" s="6643"/>
      <c r="Z48" s="6644"/>
      <c r="AA48" s="6636"/>
      <c r="AB48" s="6645">
        <f>IF(AA48="0","",IF(AA48*10&lt;100,AA48*10,100))+AC48</f>
        <v>0</v>
      </c>
      <c r="AC48" s="3482">
        <f>COUNTIF(Personalización!V75:AA80,V42)*18</f>
        <v>0</v>
      </c>
      <c r="AD48" s="6538"/>
      <c r="AE48" s="6539"/>
      <c r="AF48" s="6539"/>
      <c r="AG48" s="6539"/>
      <c r="AH48" s="6622"/>
      <c r="AI48" s="6614"/>
      <c r="AJ48" s="6576"/>
      <c r="AK48" s="6579" t="str" cm="1">
        <f t="array" ref="AK48">IF(AD48&lt;&gt;"",INDEX(Tablas!$U$26:$U$38,MAX(MATCH(VLOOKUP(Psíquicos!$AD48,'Tablas psiquica'!$AB$7:$AO$198,2,FALSE),Tablas!$U$26:$U$38,0),MAX(SUMPRODUCT(--(Tablas!$T$26:$T$38&lt;=(AL48-20*AI48)))+IF(OR(Tablas!$G$458&gt;0,Tablas!$H$1520&gt;0),1,0),SUMPRODUCT(--(Tablas!$T$26:$T$38&lt;=(AL48)))+AO32))),"")</f>
        <v/>
      </c>
      <c r="AL48" s="6537">
        <f>$H$11+IF(ISNA(VLOOKUP(AD48,$V$20:$AB$79,7,FALSE)),0,IF(VLOOKUP(AD48,$V$20:$AB$79,7,FALSE)="",0,VLOOKUP(AD48,$V$20:$AB$79,7,FALSE)))+AI48*20+AJ48-J14</f>
        <v>0</v>
      </c>
      <c r="AM48" s="29"/>
      <c r="AN48" s="530"/>
      <c r="AO48" s="530"/>
      <c r="AP48" s="530"/>
      <c r="AQ48" s="530"/>
      <c r="AR48" s="530"/>
      <c r="AS48" s="530"/>
      <c r="AT48" s="530"/>
      <c r="AU48" s="530"/>
      <c r="AV48" s="530"/>
      <c r="AW48" s="530"/>
      <c r="AX48" s="530"/>
      <c r="AY48" s="530"/>
      <c r="AZ48" s="530"/>
      <c r="BA48" s="530"/>
      <c r="BB48" s="530"/>
      <c r="BC48" s="530"/>
      <c r="BD48" s="530"/>
      <c r="BE48" s="530"/>
      <c r="BF48" s="2617"/>
      <c r="BG48" s="2617"/>
      <c r="BH48" s="2617"/>
      <c r="BI48" s="2617"/>
      <c r="BJ48" s="2617"/>
      <c r="BK48" s="2617"/>
      <c r="BL48" s="2617"/>
      <c r="BM48" s="530"/>
      <c r="BN48" s="530"/>
      <c r="BO48" s="530"/>
      <c r="BP48" s="530"/>
    </row>
    <row r="49" spans="1:68" ht="12" customHeight="1">
      <c r="A49" s="29"/>
      <c r="B49" s="443"/>
      <c r="C49" s="6716"/>
      <c r="D49" s="6717"/>
      <c r="E49" s="6718"/>
      <c r="F49" s="6676" t="str">
        <f>IF(C48="","",VLOOKUP(C48,Tablas!$D$1328:$R$1341,7,FALSE))</f>
        <v/>
      </c>
      <c r="G49" s="6676"/>
      <c r="H49" s="6676"/>
      <c r="I49" s="6676"/>
      <c r="J49" s="6676"/>
      <c r="K49" s="6676"/>
      <c r="L49" s="6676"/>
      <c r="M49" s="6676"/>
      <c r="N49" s="6676"/>
      <c r="O49" s="6676"/>
      <c r="P49" s="6676"/>
      <c r="Q49" s="6719"/>
      <c r="R49" s="36"/>
      <c r="S49" s="29"/>
      <c r="T49" s="29"/>
      <c r="U49" s="3744"/>
      <c r="V49" s="6647" t="str">
        <f>IF(V48=0,"",VLOOKUP(V48,Tabla_PoderesPsi,2,FALSE))</f>
        <v/>
      </c>
      <c r="W49" s="6648"/>
      <c r="X49" s="6648"/>
      <c r="Y49" s="1475" t="s">
        <v>1186</v>
      </c>
      <c r="Z49" s="1476" t="str">
        <f>IF(V48=0,"",VLOOKUP(V48,Tabla_PoderesPsi,3,FALSE))</f>
        <v/>
      </c>
      <c r="AA49" s="6636"/>
      <c r="AB49" s="6646"/>
      <c r="AC49" s="530"/>
      <c r="AD49" s="6623" t="str">
        <f>IF(AD48=0,"",VLOOKUP(AD48,Tabla_PoderesPsi,2,FALSE))</f>
        <v/>
      </c>
      <c r="AE49" s="6624"/>
      <c r="AF49" s="6624"/>
      <c r="AG49" s="1796" t="s">
        <v>1186</v>
      </c>
      <c r="AH49" s="1797" t="str">
        <f>IF(AD48=0,"",VLOOKUP(AD48,Tabla_PoderesPsi,3,FALSE))</f>
        <v/>
      </c>
      <c r="AI49" s="6615"/>
      <c r="AJ49" s="6577"/>
      <c r="AK49" s="6580"/>
      <c r="AL49" s="6537"/>
      <c r="AM49" s="29"/>
      <c r="AN49" s="530"/>
      <c r="AO49" s="530"/>
      <c r="AP49" s="530"/>
      <c r="AQ49" s="530"/>
      <c r="AR49" s="530"/>
      <c r="AS49" s="530"/>
      <c r="AT49" s="530"/>
      <c r="AU49" s="530"/>
      <c r="AV49" s="530"/>
      <c r="AW49" s="530"/>
      <c r="AX49" s="530"/>
      <c r="AY49" s="530"/>
      <c r="AZ49" s="530"/>
      <c r="BA49" s="530"/>
      <c r="BB49" s="530"/>
      <c r="BC49" s="530"/>
      <c r="BD49" s="530"/>
      <c r="BE49" s="530"/>
      <c r="BF49" s="2617"/>
      <c r="BG49" s="2617"/>
      <c r="BH49" s="2617"/>
      <c r="BI49" s="2617"/>
      <c r="BJ49" s="2617"/>
      <c r="BK49" s="2617"/>
      <c r="BL49" s="2617"/>
      <c r="BM49" s="530"/>
      <c r="BN49" s="530"/>
      <c r="BO49" s="530"/>
      <c r="BP49" s="530"/>
    </row>
    <row r="50" spans="1:68" ht="12" customHeight="1">
      <c r="A50" s="29"/>
      <c r="B50" s="443"/>
      <c r="C50" s="6725" t="str">
        <f>IF(PDs!E129=0,"",PDs!E129)</f>
        <v/>
      </c>
      <c r="D50" s="6726"/>
      <c r="E50" s="6727"/>
      <c r="F50" s="6670" t="str">
        <f>IF(C50="","",VLOOKUP(C50,Tablas!$D$1328:$R$1341,15,FALSE))</f>
        <v/>
      </c>
      <c r="G50" s="6670"/>
      <c r="H50" s="6670"/>
      <c r="I50" s="6670"/>
      <c r="J50" s="6670"/>
      <c r="K50" s="6670"/>
      <c r="L50" s="6670"/>
      <c r="M50" s="6670"/>
      <c r="N50" s="6670"/>
      <c r="O50" s="6670"/>
      <c r="P50" s="6670"/>
      <c r="Q50" s="6712"/>
      <c r="R50" s="36"/>
      <c r="S50" s="29"/>
      <c r="T50" s="29"/>
      <c r="U50" s="3744">
        <f>IF(V50=0,0,1)</f>
        <v>0</v>
      </c>
      <c r="V50" s="6720"/>
      <c r="W50" s="6721"/>
      <c r="X50" s="6721"/>
      <c r="Y50" s="6721"/>
      <c r="Z50" s="6722"/>
      <c r="AA50" s="6690"/>
      <c r="AB50" s="6645">
        <f>IF(AA50="0","",IF(AA50*10&lt;100,AA50*10,100))+AC50</f>
        <v>0</v>
      </c>
      <c r="AC50" s="3482">
        <f>COUNTIF(Personalización!V75:AA80,V50)*10</f>
        <v>0</v>
      </c>
      <c r="AD50" s="6538"/>
      <c r="AE50" s="6539"/>
      <c r="AF50" s="6539"/>
      <c r="AG50" s="6539"/>
      <c r="AH50" s="6622"/>
      <c r="AI50" s="6614"/>
      <c r="AJ50" s="6576"/>
      <c r="AK50" s="6579" t="str" cm="1">
        <f t="array" ref="AK50">IF(AD50&lt;&gt;"",INDEX(Tablas!$U$26:$U$38,MAX(MATCH(VLOOKUP(Psíquicos!$AD50,'Tablas psiquica'!$AB$7:$AO$198,2,FALSE),Tablas!$U$26:$U$38,0),MAX(SUMPRODUCT(--(Tablas!$T$26:$T$38&lt;=(AL50-20*AI50)))+IF(OR(Tablas!$G$458&gt;0,Tablas!$H$1520&gt;0),1,0),SUMPRODUCT(--(Tablas!$T$26:$T$38&lt;=(AL50)))+AO33))),"")</f>
        <v/>
      </c>
      <c r="AL50" s="6537">
        <f>$H$11+IF(ISNA(VLOOKUP(AD50,$V$20:$AB$79,7,FALSE)),0,IF(VLOOKUP(AD50,$V$20:$AB$79,7,FALSE)="",0,VLOOKUP(AD50,$V$20:$AB$79,7,FALSE)))+AI50*20+AJ50-J14</f>
        <v>0</v>
      </c>
      <c r="AM50" s="29"/>
      <c r="AN50" s="530"/>
      <c r="AO50" s="530"/>
      <c r="AP50" s="530"/>
      <c r="AQ50" s="530"/>
      <c r="AR50" s="530"/>
      <c r="AS50" s="530"/>
      <c r="AT50" s="530"/>
      <c r="AU50" s="530"/>
      <c r="AV50" s="530"/>
      <c r="AW50" s="530"/>
      <c r="AX50" s="530"/>
      <c r="AY50" s="530"/>
      <c r="AZ50" s="530"/>
      <c r="BA50" s="530"/>
      <c r="BB50" s="530"/>
      <c r="BC50" s="530"/>
      <c r="BD50" s="530"/>
      <c r="BE50" s="530"/>
      <c r="BF50" s="2617"/>
      <c r="BG50" s="2617"/>
      <c r="BH50" s="2617"/>
      <c r="BI50" s="2617"/>
      <c r="BJ50" s="2617"/>
      <c r="BK50" s="2617"/>
      <c r="BL50" s="2617"/>
      <c r="BM50" s="530"/>
      <c r="BN50" s="530"/>
      <c r="BO50" s="530"/>
      <c r="BP50" s="530"/>
    </row>
    <row r="51" spans="1:68" ht="12" customHeight="1" thickBot="1">
      <c r="A51" s="29"/>
      <c r="B51" s="443"/>
      <c r="C51" s="6728"/>
      <c r="D51" s="6729"/>
      <c r="E51" s="6730"/>
      <c r="F51" s="6703" t="str">
        <f>IF(C50="","",VLOOKUP(C50,Tablas!$D$1328:$R$1341,7,FALSE))</f>
        <v/>
      </c>
      <c r="G51" s="6703"/>
      <c r="H51" s="6703"/>
      <c r="I51" s="6703"/>
      <c r="J51" s="6703"/>
      <c r="K51" s="6703"/>
      <c r="L51" s="6703"/>
      <c r="M51" s="6703"/>
      <c r="N51" s="6703"/>
      <c r="O51" s="6703"/>
      <c r="P51" s="6703"/>
      <c r="Q51" s="4912"/>
      <c r="R51" s="36"/>
      <c r="S51" s="29"/>
      <c r="T51" s="29"/>
      <c r="U51" s="3744"/>
      <c r="V51" s="6723" t="str">
        <f>IF(V50=0,"",VLOOKUP(V50,Tabla_PoderesPsi,2,FALSE))</f>
        <v/>
      </c>
      <c r="W51" s="6724"/>
      <c r="X51" s="6724"/>
      <c r="Y51" s="2545" t="s">
        <v>1186</v>
      </c>
      <c r="Z51" s="2544" t="str">
        <f>IF(V50=0,"",VLOOKUP(V50,Tabla_PoderesPsi,3,FALSE))</f>
        <v/>
      </c>
      <c r="AA51" s="6691"/>
      <c r="AB51" s="6646"/>
      <c r="AC51" s="530"/>
      <c r="AD51" s="6623" t="str">
        <f>IF(AD50=0,"",VLOOKUP(AD50,Tabla_PoderesPsi,2,FALSE))</f>
        <v/>
      </c>
      <c r="AE51" s="6624"/>
      <c r="AF51" s="6624"/>
      <c r="AG51" s="1796" t="s">
        <v>1186</v>
      </c>
      <c r="AH51" s="1797" t="str">
        <f>IF(AD50=0,"",VLOOKUP(AD50,Tabla_PoderesPsi,3,FALSE))</f>
        <v/>
      </c>
      <c r="AI51" s="6615"/>
      <c r="AJ51" s="6577"/>
      <c r="AK51" s="6580"/>
      <c r="AL51" s="6537"/>
      <c r="AM51" s="29"/>
      <c r="AN51" s="530"/>
      <c r="AO51" s="530"/>
      <c r="AP51" s="530"/>
      <c r="AQ51" s="530"/>
      <c r="AR51" s="530"/>
      <c r="AS51" s="530"/>
      <c r="AT51" s="530"/>
      <c r="AU51" s="530"/>
      <c r="AV51" s="530"/>
      <c r="AW51" s="530"/>
      <c r="AX51" s="530"/>
      <c r="AY51" s="530"/>
      <c r="AZ51" s="530"/>
      <c r="BA51" s="530"/>
      <c r="BB51" s="530"/>
      <c r="BC51" s="530"/>
      <c r="BD51" s="530"/>
      <c r="BE51" s="530"/>
      <c r="BF51" s="2617"/>
      <c r="BG51" s="2617"/>
      <c r="BH51" s="2617"/>
      <c r="BI51" s="2617"/>
      <c r="BJ51" s="2617"/>
      <c r="BK51" s="2617"/>
      <c r="BL51" s="2617"/>
      <c r="BM51" s="530"/>
      <c r="BN51" s="530"/>
      <c r="BO51" s="530"/>
      <c r="BP51" s="530"/>
    </row>
    <row r="52" spans="1:68" ht="12" customHeight="1" thickBot="1">
      <c r="A52" s="29"/>
      <c r="B52" s="621"/>
      <c r="C52" s="82"/>
      <c r="E52" s="82"/>
      <c r="F52" s="82"/>
      <c r="G52" s="82"/>
      <c r="H52" s="164"/>
      <c r="I52" s="165"/>
      <c r="K52" s="82"/>
      <c r="L52" s="82"/>
      <c r="M52" s="82"/>
      <c r="N52" s="82"/>
      <c r="O52" s="82"/>
      <c r="P52" s="164"/>
      <c r="Q52" s="165"/>
      <c r="R52" s="38"/>
      <c r="S52" s="166"/>
      <c r="T52" s="166"/>
      <c r="U52" s="3744">
        <f>IF(V52=0,0,1)</f>
        <v>0</v>
      </c>
      <c r="V52" s="6642"/>
      <c r="W52" s="6643"/>
      <c r="X52" s="6643"/>
      <c r="Y52" s="6643"/>
      <c r="Z52" s="6644"/>
      <c r="AA52" s="6636"/>
      <c r="AB52" s="6645">
        <f>IF(AA52="0","",IF(AA52*10&lt;100,AA52*10,100))+AC52</f>
        <v>0</v>
      </c>
      <c r="AC52" s="3482">
        <f>COUNTIF(Personalización!V75:AA80,V52)*10</f>
        <v>0</v>
      </c>
      <c r="AD52" s="6538"/>
      <c r="AE52" s="6539"/>
      <c r="AF52" s="6539"/>
      <c r="AG52" s="6539"/>
      <c r="AH52" s="6622"/>
      <c r="AI52" s="6614"/>
      <c r="AJ52" s="6576"/>
      <c r="AK52" s="6579" t="str" cm="1">
        <f t="array" ref="AK52">IF(AD52&lt;&gt;"",INDEX(Tablas!$U$26:$U$38,MAX(MATCH(VLOOKUP(Psíquicos!$AD52,'Tablas psiquica'!$AB$7:$AO$198,2,FALSE),Tablas!$U$26:$U$38,0),MAX(SUMPRODUCT(--(Tablas!$T$26:$T$38&lt;=(AL52-20*AI52)))+IF(OR(Tablas!$G$458&gt;0,Tablas!$H$1520&gt;0),1,0),SUMPRODUCT(--(Tablas!$T$26:$T$38&lt;=(AL52)))+AO34))),"")</f>
        <v/>
      </c>
      <c r="AL52" s="6535">
        <f>$H$11+IF(ISNA(VLOOKUP(AD52,$V$20:$AB$79,7,FALSE)),0,IF(VLOOKUP(AD52,$V$20:$AB$79,7,FALSE)="",0,VLOOKUP(AD52,$V$20:$AB$79,7,FALSE)))+AI52*20+AJ52-J14</f>
        <v>0</v>
      </c>
      <c r="AM52" s="29"/>
      <c r="AN52" s="530"/>
      <c r="AO52" s="530"/>
      <c r="AP52" s="530"/>
      <c r="AQ52" s="530"/>
      <c r="AR52" s="530"/>
      <c r="AS52" s="530"/>
      <c r="AT52" s="530"/>
      <c r="AU52" s="530"/>
      <c r="AV52" s="530"/>
      <c r="AW52" s="530"/>
      <c r="AX52" s="530"/>
      <c r="AY52" s="530"/>
      <c r="AZ52" s="530"/>
      <c r="BA52" s="530"/>
      <c r="BB52" s="530"/>
      <c r="BC52" s="530"/>
      <c r="BD52" s="530"/>
      <c r="BE52" s="530"/>
      <c r="BF52" s="2617"/>
      <c r="BG52" s="2617"/>
      <c r="BH52" s="2617"/>
      <c r="BI52" s="2617"/>
      <c r="BJ52" s="2617"/>
      <c r="BK52" s="2617"/>
      <c r="BL52" s="2617"/>
      <c r="BM52" s="530"/>
      <c r="BN52" s="530"/>
      <c r="BO52" s="530"/>
      <c r="BP52" s="530"/>
    </row>
    <row r="53" spans="1:68" ht="12" customHeight="1">
      <c r="A53" s="29"/>
      <c r="B53" s="621"/>
      <c r="C53" s="6762" t="s">
        <v>10067</v>
      </c>
      <c r="D53" s="6763"/>
      <c r="E53" s="6763"/>
      <c r="F53" s="6764"/>
      <c r="G53" s="6765" t="s">
        <v>1408</v>
      </c>
      <c r="H53" s="6766"/>
      <c r="I53" s="6766"/>
      <c r="J53" s="6766"/>
      <c r="K53" s="6766"/>
      <c r="L53" s="6766"/>
      <c r="M53" s="6766"/>
      <c r="N53" s="6766"/>
      <c r="O53" s="6766"/>
      <c r="P53" s="6766"/>
      <c r="Q53" s="6767"/>
      <c r="R53" s="38"/>
      <c r="S53" s="166"/>
      <c r="T53" s="166"/>
      <c r="U53" s="3744"/>
      <c r="V53" s="6647" t="str">
        <f>IF(V52=0,"",VLOOKUP(V52,Tabla_PoderesPsi,2,FALSE))</f>
        <v/>
      </c>
      <c r="W53" s="6648"/>
      <c r="X53" s="6648"/>
      <c r="Y53" s="1475" t="s">
        <v>1186</v>
      </c>
      <c r="Z53" s="1476" t="str">
        <f>IF(V52=0,"",VLOOKUP(V52,Tabla_PoderesPsi,3,FALSE))</f>
        <v/>
      </c>
      <c r="AA53" s="6636"/>
      <c r="AB53" s="6646"/>
      <c r="AC53" s="530"/>
      <c r="AD53" s="6623" t="str">
        <f>IF(AD52=0,"",VLOOKUP(AD52,Tabla_PoderesPsi,2,FALSE))</f>
        <v/>
      </c>
      <c r="AE53" s="6624"/>
      <c r="AF53" s="6624"/>
      <c r="AG53" s="1796" t="s">
        <v>1186</v>
      </c>
      <c r="AH53" s="1797" t="str">
        <f>IF(AD52=0,"",VLOOKUP(AD52,Tabla_PoderesPsi,3,FALSE))</f>
        <v/>
      </c>
      <c r="AI53" s="6615"/>
      <c r="AJ53" s="6577"/>
      <c r="AK53" s="6580"/>
      <c r="AL53" s="6535"/>
      <c r="AM53" s="29"/>
      <c r="AN53" s="530"/>
      <c r="AO53" s="530"/>
      <c r="AP53" s="530"/>
      <c r="AQ53" s="530"/>
      <c r="AR53" s="530"/>
      <c r="AS53" s="530"/>
      <c r="AT53" s="530"/>
      <c r="AU53" s="530"/>
      <c r="AV53" s="530"/>
      <c r="AW53" s="530"/>
      <c r="AX53" s="530"/>
      <c r="AY53" s="530"/>
      <c r="AZ53" s="530"/>
      <c r="BA53" s="530"/>
      <c r="BB53" s="530"/>
      <c r="BC53" s="530"/>
      <c r="BD53" s="530"/>
      <c r="BE53" s="530"/>
      <c r="BF53" s="2617"/>
      <c r="BG53" s="2617"/>
      <c r="BH53" s="2617"/>
      <c r="BI53" s="2617"/>
      <c r="BJ53" s="2617"/>
      <c r="BK53" s="2617"/>
      <c r="BL53" s="2617"/>
      <c r="BM53" s="530"/>
      <c r="BN53" s="530"/>
      <c r="BO53" s="530"/>
      <c r="BP53" s="530"/>
    </row>
    <row r="54" spans="1:68" ht="12" customHeight="1">
      <c r="A54" s="29"/>
      <c r="B54" s="621"/>
      <c r="C54" s="6768" t="str">
        <f>IF(SUM('Tablas psiquica'!AU24:AX62)=0,"",IF('Tablas psiquica'!A1&gt;MAX('Tablas psiquica'!AU24:AX62),"",VLOOKUP('Tablas psiquica'!A1,'Tablas psiquica'!AU24:AX62,2,FALSE)))</f>
        <v/>
      </c>
      <c r="D54" s="6769"/>
      <c r="E54" s="6769"/>
      <c r="F54" s="6770"/>
      <c r="G54" s="6771" t="str">
        <f>IF(SUM('Tablas psiquica'!AU24:AX62)=0,"",IF(Tablas!A1&gt;MAX('Tablas psiquica'!AU24:AX62),"",VLOOKUP(Tablas!A1,'Tablas psiquica'!AU24:AX62,4,FALSE)))</f>
        <v/>
      </c>
      <c r="H54" s="6772"/>
      <c r="I54" s="6772"/>
      <c r="J54" s="6772"/>
      <c r="K54" s="6772"/>
      <c r="L54" s="6772"/>
      <c r="M54" s="6772"/>
      <c r="N54" s="6772"/>
      <c r="O54" s="6772"/>
      <c r="P54" s="6772"/>
      <c r="Q54" s="6773"/>
      <c r="R54" s="38"/>
      <c r="S54" s="166"/>
      <c r="T54" s="166"/>
      <c r="U54" s="3744">
        <f>IF(V54=0,0,1)</f>
        <v>0</v>
      </c>
      <c r="V54" s="6687"/>
      <c r="W54" s="6688"/>
      <c r="X54" s="6688"/>
      <c r="Y54" s="6688"/>
      <c r="Z54" s="6689"/>
      <c r="AA54" s="6690"/>
      <c r="AB54" s="6645">
        <f>IF(AA54="0","",IF(AA54*10&lt;100,AA54*10,100))+AC54</f>
        <v>0</v>
      </c>
      <c r="AC54" s="3482">
        <f>COUNTIF(Personalización!V75:AA80,V54)*10</f>
        <v>0</v>
      </c>
      <c r="AD54" s="6538"/>
      <c r="AE54" s="6539"/>
      <c r="AF54" s="6539"/>
      <c r="AG54" s="6539"/>
      <c r="AH54" s="6622"/>
      <c r="AI54" s="6614"/>
      <c r="AJ54" s="6576"/>
      <c r="AK54" s="6579" t="str" cm="1">
        <f t="array" ref="AK54">IF(AD54&lt;&gt;"",INDEX(Tablas!$U$26:$U$38,MAX(MATCH(VLOOKUP(Psíquicos!$AD54,'Tablas psiquica'!$AB$7:$AO$198,2,FALSE),Tablas!$U$26:$U$38,0),MAX(SUMPRODUCT(--(Tablas!$T$26:$T$38&lt;=(AL54-20*AI54)))+IF(OR(Tablas!$G$458&gt;0,Tablas!$H$1520&gt;0),1,0),SUMPRODUCT(--(Tablas!$T$26:$T$38&lt;=(AL54)))+AO35))),"")</f>
        <v/>
      </c>
      <c r="AL54" s="6537">
        <f>$H$11+IF(ISNA(VLOOKUP(AD54,$V$20:$AB$79,7,FALSE)),0,IF(VLOOKUP(AD54,$V$20:$AB$79,7,FALSE)="",0,VLOOKUP(AD54,$V$20:$AB$79,7,FALSE)))+AI54*20+AJ54-J14</f>
        <v>0</v>
      </c>
      <c r="AM54" s="29"/>
      <c r="AN54" s="530"/>
      <c r="AO54" s="530"/>
      <c r="AP54" s="530"/>
      <c r="AQ54" s="530"/>
      <c r="AR54" s="530"/>
      <c r="AS54" s="530"/>
      <c r="AT54" s="530"/>
      <c r="AU54" s="530"/>
      <c r="AV54" s="530"/>
      <c r="AW54" s="530"/>
      <c r="AX54" s="530"/>
      <c r="AY54" s="530"/>
      <c r="AZ54" s="530"/>
      <c r="BA54" s="530"/>
      <c r="BB54" s="530"/>
      <c r="BC54" s="530"/>
      <c r="BD54" s="530"/>
      <c r="BE54" s="530"/>
      <c r="BF54" s="2617"/>
      <c r="BG54" s="2617"/>
      <c r="BH54" s="2617"/>
      <c r="BI54" s="2617"/>
      <c r="BJ54" s="2617"/>
      <c r="BK54" s="2617"/>
      <c r="BL54" s="2617"/>
      <c r="BM54" s="530"/>
      <c r="BN54" s="530"/>
      <c r="BO54" s="530"/>
      <c r="BP54" s="530"/>
    </row>
    <row r="55" spans="1:68" ht="12" customHeight="1">
      <c r="A55" s="29"/>
      <c r="B55" s="621"/>
      <c r="C55" s="6561" t="str">
        <f>IF(SUM('Tablas psiquica'!AU24:AX62)=0,"",IF('Tablas psiquica'!A2&gt;MAX('Tablas psiquica'!AU24:AX62),"",VLOOKUP('Tablas psiquica'!A2,'Tablas psiquica'!AU24:AX62,2,FALSE)))</f>
        <v/>
      </c>
      <c r="D55" s="6545"/>
      <c r="E55" s="6545"/>
      <c r="F55" s="6549"/>
      <c r="G55" s="6562" t="str">
        <f>IF(SUM('Tablas psiquica'!AU24:AX62)=0,"",IF(Tablas!A2&gt;MAX('Tablas psiquica'!AU24:AX62),"",VLOOKUP(Tablas!A2,'Tablas psiquica'!AU24:AX62,4,FALSE)))</f>
        <v/>
      </c>
      <c r="H55" s="6547"/>
      <c r="I55" s="6547"/>
      <c r="J55" s="6547"/>
      <c r="K55" s="6547"/>
      <c r="L55" s="6547"/>
      <c r="M55" s="6547"/>
      <c r="N55" s="6547"/>
      <c r="O55" s="6547"/>
      <c r="P55" s="6547"/>
      <c r="Q55" s="6563"/>
      <c r="R55" s="38"/>
      <c r="S55" s="166"/>
      <c r="T55" s="166"/>
      <c r="U55" s="3744"/>
      <c r="V55" s="6692" t="str">
        <f>IF(V54=0,"",VLOOKUP(V54,Tabla_PoderesPsi,2,FALSE))</f>
        <v/>
      </c>
      <c r="W55" s="6693"/>
      <c r="X55" s="6693"/>
      <c r="Y55" s="1579" t="s">
        <v>1186</v>
      </c>
      <c r="Z55" s="1580" t="str">
        <f>IF(V54=0,"",VLOOKUP(V54,Tabla_PoderesPsi,3,FALSE))</f>
        <v/>
      </c>
      <c r="AA55" s="6691"/>
      <c r="AB55" s="6646"/>
      <c r="AC55" s="530"/>
      <c r="AD55" s="6623" t="str">
        <f>IF(AD54=0,"",VLOOKUP(AD54,Tabla_PoderesPsi,2,FALSE))</f>
        <v/>
      </c>
      <c r="AE55" s="6624"/>
      <c r="AF55" s="6624"/>
      <c r="AG55" s="1796" t="s">
        <v>1186</v>
      </c>
      <c r="AH55" s="1797" t="str">
        <f>IF(AD54=0,"",VLOOKUP(AD54,Tabla_PoderesPsi,3,FALSE))</f>
        <v/>
      </c>
      <c r="AI55" s="6615"/>
      <c r="AJ55" s="6577"/>
      <c r="AK55" s="6580"/>
      <c r="AL55" s="6537"/>
      <c r="AM55" s="29"/>
      <c r="AN55" s="530"/>
      <c r="AO55" s="530"/>
      <c r="AP55" s="530"/>
      <c r="AQ55" s="530"/>
      <c r="AR55" s="530"/>
      <c r="AS55" s="530"/>
      <c r="AT55" s="530"/>
      <c r="AU55" s="530"/>
      <c r="AV55" s="530"/>
      <c r="AW55" s="530"/>
      <c r="AX55" s="530"/>
      <c r="AY55" s="530"/>
      <c r="AZ55" s="530"/>
      <c r="BA55" s="530"/>
      <c r="BB55" s="530"/>
      <c r="BC55" s="530"/>
      <c r="BD55" s="530"/>
      <c r="BE55" s="530"/>
      <c r="BF55" s="2617"/>
      <c r="BG55" s="2617"/>
      <c r="BH55" s="2617"/>
      <c r="BI55" s="2617"/>
      <c r="BJ55" s="2617"/>
      <c r="BK55" s="2617"/>
      <c r="BL55" s="2617"/>
      <c r="BM55" s="530"/>
      <c r="BN55" s="530"/>
      <c r="BO55" s="530"/>
      <c r="BP55" s="530"/>
    </row>
    <row r="56" spans="1:68" ht="12" customHeight="1">
      <c r="A56" s="29"/>
      <c r="B56" s="621"/>
      <c r="C56" s="6561" t="str">
        <f>IF(SUM('Tablas psiquica'!AU25:AX63)=0,"",IF('Tablas psiquica'!A3&gt;MAX('Tablas psiquica'!AU25:AX63),"",VLOOKUP('Tablas psiquica'!A3,'Tablas psiquica'!AU25:AX63,2,FALSE)))</f>
        <v/>
      </c>
      <c r="D56" s="6545"/>
      <c r="E56" s="6545"/>
      <c r="F56" s="6549"/>
      <c r="G56" s="6562" t="str">
        <f>IF(SUM('Tablas psiquica'!AU25:AX63)=0,"",IF(Tablas!A3&gt;MAX('Tablas psiquica'!AU25:AX63),"",VLOOKUP(Tablas!A3,'Tablas psiquica'!AU25:AX63,4,FALSE)))</f>
        <v/>
      </c>
      <c r="H56" s="6547"/>
      <c r="I56" s="6547"/>
      <c r="J56" s="6547"/>
      <c r="K56" s="6547"/>
      <c r="L56" s="6547"/>
      <c r="M56" s="6547"/>
      <c r="N56" s="6547"/>
      <c r="O56" s="6547"/>
      <c r="P56" s="6547"/>
      <c r="Q56" s="6563"/>
      <c r="R56" s="38"/>
      <c r="S56" s="166"/>
      <c r="T56" s="166"/>
      <c r="U56" s="3744">
        <f>IF(V56=0,0,1)</f>
        <v>0</v>
      </c>
      <c r="V56" s="6642"/>
      <c r="W56" s="6643"/>
      <c r="X56" s="6643"/>
      <c r="Y56" s="6643"/>
      <c r="Z56" s="6644"/>
      <c r="AA56" s="6636"/>
      <c r="AB56" s="6645">
        <f>IF(AA56="0","",IF(AA56*10&lt;100,AA56*10,100))+AC56</f>
        <v>0</v>
      </c>
      <c r="AC56" s="3482">
        <f>COUNTIF(Personalización!V75:AA80,V56)*10</f>
        <v>0</v>
      </c>
      <c r="AD56" s="6538"/>
      <c r="AE56" s="6539"/>
      <c r="AF56" s="6539"/>
      <c r="AG56" s="6539"/>
      <c r="AH56" s="6622"/>
      <c r="AI56" s="6614"/>
      <c r="AJ56" s="6576"/>
      <c r="AK56" s="6579" t="str" cm="1">
        <f t="array" ref="AK56">IF(AD56&lt;&gt;"",INDEX(Tablas!$U$26:$U$38,MAX(MATCH(VLOOKUP(Psíquicos!$AD56,'Tablas psiquica'!$AB$7:$AO$198,2,FALSE),Tablas!$U$26:$U$38,0),MAX(SUMPRODUCT(--(Tablas!$T$26:$T$38&lt;=(AL56-20*AI56)))+IF(OR(Tablas!$G$458&gt;0,Tablas!$H$1520&gt;0),1,0),SUMPRODUCT(--(Tablas!$T$26:$T$38&lt;=(AL56)))+AO36))),"")</f>
        <v/>
      </c>
      <c r="AL56" s="6537">
        <f>$H$11+IF(ISNA(VLOOKUP(AD56,$V$20:$AB$79,7,FALSE)),0,IF(VLOOKUP(AD56,$V$20:$AB$79,7,FALSE)="",0,VLOOKUP(AD56,$V$20:$AB$79,7,FALSE)))+AI56*20+AJ56-J14</f>
        <v>0</v>
      </c>
      <c r="AM56" s="29"/>
      <c r="AN56" s="530"/>
      <c r="AO56" s="530"/>
      <c r="AP56" s="530"/>
      <c r="AQ56" s="530"/>
      <c r="AR56" s="530"/>
      <c r="AS56" s="530"/>
      <c r="AT56" s="530"/>
      <c r="AU56" s="530"/>
      <c r="AV56" s="530"/>
      <c r="AW56" s="530"/>
      <c r="AX56" s="530"/>
      <c r="AY56" s="530"/>
      <c r="AZ56" s="530"/>
      <c r="BA56" s="530"/>
      <c r="BB56" s="530"/>
      <c r="BC56" s="530"/>
      <c r="BD56" s="530"/>
      <c r="BE56" s="530"/>
      <c r="BF56" s="2617"/>
      <c r="BG56" s="2617"/>
      <c r="BH56" s="2617"/>
      <c r="BI56" s="2617"/>
      <c r="BJ56" s="2617"/>
      <c r="BK56" s="2617"/>
      <c r="BL56" s="2617"/>
      <c r="BM56" s="530"/>
      <c r="BN56" s="530"/>
      <c r="BO56" s="530"/>
      <c r="BP56" s="530"/>
    </row>
    <row r="57" spans="1:68" ht="12" customHeight="1">
      <c r="A57" s="29"/>
      <c r="B57" s="621"/>
      <c r="C57" s="6561" t="str">
        <f>IF(SUM('Tablas psiquica'!AU26:AX64)=0,"",IF('Tablas psiquica'!A4&gt;MAX('Tablas psiquica'!AU26:AX64),"",VLOOKUP('Tablas psiquica'!A4,'Tablas psiquica'!AU26:AX64,2,FALSE)))</f>
        <v/>
      </c>
      <c r="D57" s="6545"/>
      <c r="E57" s="6545"/>
      <c r="F57" s="6549"/>
      <c r="G57" s="6562" t="str">
        <f>IF(SUM('Tablas psiquica'!AU26:AX64)=0,"",IF(Tablas!A4&gt;MAX('Tablas psiquica'!AU26:AX64),"",VLOOKUP(Tablas!A4,'Tablas psiquica'!AU26:AX64,4,FALSE)))</f>
        <v/>
      </c>
      <c r="H57" s="6547"/>
      <c r="I57" s="6547"/>
      <c r="J57" s="6547"/>
      <c r="K57" s="6547"/>
      <c r="L57" s="6547"/>
      <c r="M57" s="6547"/>
      <c r="N57" s="6547"/>
      <c r="O57" s="6547"/>
      <c r="P57" s="6547"/>
      <c r="Q57" s="6563"/>
      <c r="R57" s="38"/>
      <c r="S57" s="166"/>
      <c r="T57" s="166"/>
      <c r="U57" s="3744"/>
      <c r="V57" s="6647" t="str">
        <f>IF(V56=0,"",VLOOKUP(V56,Tabla_PoderesPsi,2,FALSE))</f>
        <v/>
      </c>
      <c r="W57" s="6648"/>
      <c r="X57" s="6648"/>
      <c r="Y57" s="1475" t="s">
        <v>1186</v>
      </c>
      <c r="Z57" s="1476" t="str">
        <f>IF(V56=0,"",VLOOKUP(V56,Tabla_PoderesPsi,3,FALSE))</f>
        <v/>
      </c>
      <c r="AA57" s="6636"/>
      <c r="AB57" s="6646"/>
      <c r="AC57" s="530"/>
      <c r="AD57" s="6623" t="str">
        <f>IF(AD56=0,"",VLOOKUP(AD56,Tabla_PoderesPsi,2,FALSE))</f>
        <v/>
      </c>
      <c r="AE57" s="6624"/>
      <c r="AF57" s="6624"/>
      <c r="AG57" s="1796" t="s">
        <v>1186</v>
      </c>
      <c r="AH57" s="1797" t="str">
        <f>IF(AD56=0,"",VLOOKUP(AD56,Tabla_PoderesPsi,3,FALSE))</f>
        <v/>
      </c>
      <c r="AI57" s="6615"/>
      <c r="AJ57" s="6577"/>
      <c r="AK57" s="6580"/>
      <c r="AL57" s="6537"/>
      <c r="AM57" s="29"/>
      <c r="AN57" s="530"/>
      <c r="AO57" s="530"/>
      <c r="AP57" s="530"/>
      <c r="AQ57" s="530"/>
      <c r="AR57" s="530"/>
      <c r="AS57" s="530"/>
      <c r="AT57" s="530"/>
      <c r="AU57" s="530"/>
      <c r="AV57" s="530"/>
      <c r="AW57" s="530"/>
      <c r="AX57" s="530"/>
      <c r="AY57" s="530"/>
      <c r="AZ57" s="530"/>
      <c r="BA57" s="530"/>
      <c r="BB57" s="530"/>
      <c r="BC57" s="530"/>
      <c r="BD57" s="530"/>
      <c r="BE57" s="530"/>
      <c r="BF57" s="2617"/>
      <c r="BG57" s="2617"/>
      <c r="BH57" s="2617"/>
      <c r="BI57" s="2617"/>
      <c r="BJ57" s="2617"/>
      <c r="BK57" s="2617"/>
      <c r="BL57" s="2617"/>
      <c r="BM57" s="530"/>
      <c r="BN57" s="530"/>
      <c r="BO57" s="530"/>
      <c r="BP57" s="530"/>
    </row>
    <row r="58" spans="1:68" ht="12" customHeight="1">
      <c r="A58" s="29"/>
      <c r="B58" s="621"/>
      <c r="C58" s="6561" t="str">
        <f>IF(SUM('Tablas psiquica'!AU27:AX65)=0,"",IF('Tablas psiquica'!A5&gt;MAX('Tablas psiquica'!AU27:AX65),"",VLOOKUP('Tablas psiquica'!A5,'Tablas psiquica'!AU27:AX65,2,FALSE)))</f>
        <v/>
      </c>
      <c r="D58" s="6545"/>
      <c r="E58" s="6545"/>
      <c r="F58" s="6549"/>
      <c r="G58" s="6562" t="str">
        <f>IF(SUM('Tablas psiquica'!AU27:AX65)=0,"",IF(Tablas!A5&gt;MAX('Tablas psiquica'!AU27:AX65),"",VLOOKUP(Tablas!A5,'Tablas psiquica'!AU27:AX65,4,FALSE)))</f>
        <v/>
      </c>
      <c r="H58" s="6547"/>
      <c r="I58" s="6547"/>
      <c r="J58" s="6547"/>
      <c r="K58" s="6547"/>
      <c r="L58" s="6547"/>
      <c r="M58" s="6547"/>
      <c r="N58" s="6547"/>
      <c r="O58" s="6547"/>
      <c r="P58" s="6547"/>
      <c r="Q58" s="6563"/>
      <c r="R58" s="38"/>
      <c r="S58" s="166"/>
      <c r="T58" s="166"/>
      <c r="U58" s="3744">
        <f>IF(V58=0,0,1)</f>
        <v>0</v>
      </c>
      <c r="V58" s="6687"/>
      <c r="W58" s="6688"/>
      <c r="X58" s="6688"/>
      <c r="Y58" s="6688"/>
      <c r="Z58" s="6689"/>
      <c r="AA58" s="6690"/>
      <c r="AB58" s="6645">
        <f>IF(AA58="0","",IF(AA58*10&lt;100,AA58*10,100))+AC58</f>
        <v>0</v>
      </c>
      <c r="AC58" s="3482">
        <f>COUNTIF(Personalización!V75:AA80,V58)*10</f>
        <v>0</v>
      </c>
      <c r="AD58" s="6538"/>
      <c r="AE58" s="6539"/>
      <c r="AF58" s="6539"/>
      <c r="AG58" s="6539"/>
      <c r="AH58" s="6622"/>
      <c r="AI58" s="6614"/>
      <c r="AJ58" s="6576"/>
      <c r="AK58" s="6579" t="str" cm="1">
        <f t="array" ref="AK58">IF(AD58&lt;&gt;"",INDEX(Tablas!$U$26:$U$38,MAX(MATCH(VLOOKUP(Psíquicos!$AD58,'Tablas psiquica'!$AB$7:$AO$198,2,FALSE),Tablas!$U$26:$U$38,0),MAX(SUMPRODUCT(--(Tablas!$T$26:$T$38&lt;=(AL58-20*AI58)))+IF(OR(Tablas!$G$458&gt;0,Tablas!$H$1520&gt;0),1,0),SUMPRODUCT(--(Tablas!$T$26:$T$38&lt;=(AL58)))+AO37))),"")</f>
        <v/>
      </c>
      <c r="AL58" s="6537">
        <f>$H$11+IF(ISNA(VLOOKUP(AD58,$V$20:$AB$79,7,FALSE)),0,IF(VLOOKUP(AD58,$V$20:$AB$79,7,FALSE)="",0,VLOOKUP(AD58,$V$20:$AB$79,7,FALSE)))+AI58*20+AJ58-J14</f>
        <v>0</v>
      </c>
      <c r="AM58" s="29"/>
      <c r="AN58" s="530"/>
      <c r="AO58" s="530"/>
      <c r="AP58" s="530"/>
      <c r="AQ58" s="530"/>
      <c r="AR58" s="530"/>
      <c r="AS58" s="530"/>
      <c r="AT58" s="530"/>
      <c r="AU58" s="530"/>
      <c r="AV58" s="530"/>
      <c r="AW58" s="530"/>
      <c r="AX58" s="530"/>
      <c r="AY58" s="530"/>
      <c r="AZ58" s="530"/>
      <c r="BA58" s="530"/>
      <c r="BB58" s="530"/>
      <c r="BC58" s="530"/>
      <c r="BD58" s="530"/>
      <c r="BE58" s="530"/>
      <c r="BF58" s="2617"/>
      <c r="BG58" s="2617"/>
      <c r="BH58" s="2617"/>
      <c r="BI58" s="2617"/>
      <c r="BJ58" s="2617"/>
      <c r="BK58" s="2617"/>
      <c r="BL58" s="2617"/>
      <c r="BM58" s="530"/>
      <c r="BN58" s="530"/>
      <c r="BO58" s="530"/>
      <c r="BP58" s="530"/>
    </row>
    <row r="59" spans="1:68" ht="12" customHeight="1">
      <c r="A59" s="29"/>
      <c r="B59" s="621"/>
      <c r="C59" s="6561" t="str">
        <f>IF(SUM('Tablas psiquica'!AU28:AX66)=0,"",IF('Tablas psiquica'!A6&gt;MAX('Tablas psiquica'!AU28:AX66),"",VLOOKUP('Tablas psiquica'!A6,'Tablas psiquica'!AU28:AX66,2,FALSE)))</f>
        <v/>
      </c>
      <c r="D59" s="6545"/>
      <c r="E59" s="6545"/>
      <c r="F59" s="6549"/>
      <c r="G59" s="6562" t="str">
        <f>IF(SUM('Tablas psiquica'!AU28:AX66)=0,"",IF(Tablas!A6&gt;MAX('Tablas psiquica'!AU28:AX66),"",VLOOKUP(Tablas!A6,'Tablas psiquica'!AU28:AX66,4,FALSE)))</f>
        <v/>
      </c>
      <c r="H59" s="6547"/>
      <c r="I59" s="6547"/>
      <c r="J59" s="6547"/>
      <c r="K59" s="6547"/>
      <c r="L59" s="6547"/>
      <c r="M59" s="6547"/>
      <c r="N59" s="6547"/>
      <c r="O59" s="6547"/>
      <c r="P59" s="6547"/>
      <c r="Q59" s="6563"/>
      <c r="R59" s="38"/>
      <c r="S59" s="166"/>
      <c r="T59" s="166"/>
      <c r="U59" s="3744"/>
      <c r="V59" s="6692" t="str">
        <f>IF(V58=0,"",VLOOKUP(V58,Tabla_PoderesPsi,2,FALSE))</f>
        <v/>
      </c>
      <c r="W59" s="6693"/>
      <c r="X59" s="6693"/>
      <c r="Y59" s="1579" t="s">
        <v>1186</v>
      </c>
      <c r="Z59" s="1580" t="str">
        <f>IF(V58=0,"",VLOOKUP(V58,Tabla_PoderesPsi,3,FALSE))</f>
        <v/>
      </c>
      <c r="AA59" s="6691"/>
      <c r="AB59" s="6646"/>
      <c r="AC59" s="530"/>
      <c r="AD59" s="6623" t="str">
        <f>IF(AD58=0,"",VLOOKUP(AD58,Tabla_PoderesPsi,2,FALSE))</f>
        <v/>
      </c>
      <c r="AE59" s="6624"/>
      <c r="AF59" s="6624"/>
      <c r="AG59" s="1796" t="s">
        <v>1186</v>
      </c>
      <c r="AH59" s="1797" t="str">
        <f>IF(AD58=0,"",VLOOKUP(AD58,Tabla_PoderesPsi,3,FALSE))</f>
        <v/>
      </c>
      <c r="AI59" s="6615"/>
      <c r="AJ59" s="6577"/>
      <c r="AK59" s="6580"/>
      <c r="AL59" s="6537"/>
      <c r="AM59" s="29"/>
      <c r="AN59" s="530"/>
      <c r="AO59" s="530"/>
      <c r="AP59" s="530"/>
      <c r="AQ59" s="530"/>
      <c r="AR59" s="530"/>
      <c r="AS59" s="530"/>
      <c r="AT59" s="530"/>
      <c r="AU59" s="530"/>
      <c r="AV59" s="530"/>
      <c r="AW59" s="530"/>
      <c r="AX59" s="530"/>
      <c r="AY59" s="530"/>
      <c r="AZ59" s="530"/>
      <c r="BA59" s="530"/>
      <c r="BB59" s="530"/>
      <c r="BC59" s="530"/>
      <c r="BD59" s="530"/>
      <c r="BE59" s="530"/>
      <c r="BF59" s="2617"/>
      <c r="BG59" s="2617"/>
      <c r="BH59" s="2617"/>
      <c r="BI59" s="2617"/>
      <c r="BJ59" s="2617"/>
      <c r="BK59" s="2617"/>
      <c r="BL59" s="2617"/>
      <c r="BM59" s="530"/>
      <c r="BN59" s="530"/>
      <c r="BO59" s="530"/>
      <c r="BP59" s="530"/>
    </row>
    <row r="60" spans="1:68" ht="12" customHeight="1">
      <c r="A60" s="29"/>
      <c r="B60" s="621"/>
      <c r="C60" s="6561" t="str">
        <f>IF(SUM('Tablas psiquica'!AU29:AX67)=0,"",IF('Tablas psiquica'!A7&gt;MAX('Tablas psiquica'!AU29:AX67),"",VLOOKUP('Tablas psiquica'!A7,'Tablas psiquica'!AU29:AX67,2,FALSE)))</f>
        <v/>
      </c>
      <c r="D60" s="6545"/>
      <c r="E60" s="6545"/>
      <c r="F60" s="6549"/>
      <c r="G60" s="6562" t="str">
        <f>IF(SUM('Tablas psiquica'!AU29:AX67)=0,"",IF(Tablas!A7&gt;MAX('Tablas psiquica'!AU29:AX67),"",VLOOKUP(Tablas!A7,'Tablas psiquica'!AU29:AX67,4,FALSE)))</f>
        <v/>
      </c>
      <c r="H60" s="6547"/>
      <c r="I60" s="6547"/>
      <c r="J60" s="6547"/>
      <c r="K60" s="6547"/>
      <c r="L60" s="6547"/>
      <c r="M60" s="6547"/>
      <c r="N60" s="6547"/>
      <c r="O60" s="6547"/>
      <c r="P60" s="6547"/>
      <c r="Q60" s="6563"/>
      <c r="R60" s="38"/>
      <c r="S60" s="166"/>
      <c r="T60" s="166"/>
      <c r="U60" s="3744">
        <f>IF(V60=0,0,1)</f>
        <v>0</v>
      </c>
      <c r="V60" s="6642"/>
      <c r="W60" s="6643"/>
      <c r="X60" s="6643"/>
      <c r="Y60" s="6643"/>
      <c r="Z60" s="6644"/>
      <c r="AA60" s="6636"/>
      <c r="AB60" s="6645">
        <f>IF(AA60="0","",IF(AA60*10&lt;100,AA60*10,100))+AC60</f>
        <v>0</v>
      </c>
      <c r="AC60" s="3482">
        <f>COUNTIF(Personalización!V75:AA80,V60)*10</f>
        <v>0</v>
      </c>
      <c r="AD60" s="6538"/>
      <c r="AE60" s="6539"/>
      <c r="AF60" s="6539"/>
      <c r="AG60" s="6539"/>
      <c r="AH60" s="6622"/>
      <c r="AI60" s="6614"/>
      <c r="AJ60" s="6576"/>
      <c r="AK60" s="6579" t="str" cm="1">
        <f t="array" ref="AK60">IF(AD60&lt;&gt;"",INDEX(Tablas!$U$26:$U$38,MAX(MATCH(VLOOKUP(Psíquicos!$AD60,'Tablas psiquica'!$AB$7:$AO$198,2,FALSE),Tablas!$U$26:$U$38,0),MAX(SUMPRODUCT(--(Tablas!$T$26:$T$38&lt;=(AL60-20*AI60)))+IF(OR(Tablas!$G$458&gt;0,Tablas!$H$1520&gt;0),1,0),SUMPRODUCT(--(Tablas!$T$26:$T$38&lt;=(AL60)))+AO38))),"")</f>
        <v/>
      </c>
      <c r="AL60" s="6537">
        <f>$H$11+IF(ISNA(VLOOKUP(AD60,$V$20:$AB$79,7,FALSE)),0,IF(VLOOKUP(AD60,$V$20:$AB$79,7,FALSE)="",0,VLOOKUP(AD60,$V$20:$AB$79,7,FALSE)))+AI60*20+AJ60-J14</f>
        <v>0</v>
      </c>
      <c r="AM60" s="29"/>
      <c r="AN60" s="530"/>
      <c r="AO60" s="530"/>
      <c r="AP60" s="530"/>
      <c r="AQ60" s="530"/>
      <c r="AR60" s="530"/>
      <c r="AS60" s="530"/>
      <c r="AT60" s="530"/>
      <c r="AU60" s="530"/>
      <c r="AV60" s="530"/>
      <c r="AW60" s="530"/>
      <c r="AX60" s="530"/>
      <c r="AY60" s="530"/>
      <c r="AZ60" s="530"/>
      <c r="BA60" s="530"/>
      <c r="BB60" s="530"/>
      <c r="BC60" s="530"/>
      <c r="BD60" s="530"/>
      <c r="BE60" s="530"/>
      <c r="BF60" s="2617"/>
      <c r="BG60" s="2617"/>
      <c r="BH60" s="2617"/>
      <c r="BI60" s="2617"/>
      <c r="BJ60" s="2617"/>
      <c r="BK60" s="2617"/>
      <c r="BL60" s="2617"/>
      <c r="BM60" s="530"/>
      <c r="BN60" s="530"/>
      <c r="BO60" s="530"/>
      <c r="BP60" s="530"/>
    </row>
    <row r="61" spans="1:68" ht="12" customHeight="1">
      <c r="A61" s="29"/>
      <c r="B61" s="621"/>
      <c r="C61" s="6561" t="str">
        <f>IF(SUM('Tablas psiquica'!AU30:AX68)=0,"",IF('Tablas psiquica'!A8&gt;MAX('Tablas psiquica'!AU30:AX68),"",VLOOKUP('Tablas psiquica'!A8,'Tablas psiquica'!AU30:AX68,2,FALSE)))</f>
        <v/>
      </c>
      <c r="D61" s="6545"/>
      <c r="E61" s="6545"/>
      <c r="F61" s="6549"/>
      <c r="G61" s="6562" t="str">
        <f>IF(SUM('Tablas psiquica'!AU30:AX68)=0,"",IF(Tablas!A8&gt;MAX('Tablas psiquica'!AU30:AX68),"",VLOOKUP(Tablas!A8,'Tablas psiquica'!AU30:AX68,4,FALSE)))</f>
        <v/>
      </c>
      <c r="H61" s="6547"/>
      <c r="I61" s="6547"/>
      <c r="J61" s="6547"/>
      <c r="K61" s="6547"/>
      <c r="L61" s="6547"/>
      <c r="M61" s="6547"/>
      <c r="N61" s="6547"/>
      <c r="O61" s="6547"/>
      <c r="P61" s="6547"/>
      <c r="Q61" s="6563"/>
      <c r="R61" s="38"/>
      <c r="S61" s="166"/>
      <c r="T61" s="166"/>
      <c r="U61" s="3744"/>
      <c r="V61" s="6647" t="str">
        <f>IF(V60=0,"",VLOOKUP(V60,Tabla_PoderesPsi,2,FALSE))</f>
        <v/>
      </c>
      <c r="W61" s="6648"/>
      <c r="X61" s="6648"/>
      <c r="Y61" s="1475" t="s">
        <v>1186</v>
      </c>
      <c r="Z61" s="1476" t="str">
        <f>IF(V60=0,"",VLOOKUP(V60,Tabla_PoderesPsi,3,FALSE))</f>
        <v/>
      </c>
      <c r="AA61" s="6636"/>
      <c r="AB61" s="6646"/>
      <c r="AC61" s="530"/>
      <c r="AD61" s="6623" t="str">
        <f>IF(AD60=0,"",VLOOKUP(AD60,Tabla_PoderesPsi,2,FALSE))</f>
        <v/>
      </c>
      <c r="AE61" s="6624"/>
      <c r="AF61" s="6624"/>
      <c r="AG61" s="1796" t="s">
        <v>1186</v>
      </c>
      <c r="AH61" s="1797" t="str">
        <f>IF(AD60=0,"",VLOOKUP(AD60,Tabla_PoderesPsi,3,FALSE))</f>
        <v/>
      </c>
      <c r="AI61" s="6615"/>
      <c r="AJ61" s="6577"/>
      <c r="AK61" s="6580"/>
      <c r="AL61" s="6537"/>
      <c r="AM61" s="29"/>
      <c r="AN61" s="530"/>
      <c r="AO61" s="530"/>
      <c r="AP61" s="530"/>
      <c r="AQ61" s="530"/>
      <c r="AR61" s="530"/>
      <c r="AS61" s="530"/>
      <c r="AT61" s="530"/>
      <c r="AU61" s="530"/>
      <c r="AV61" s="530"/>
      <c r="AW61" s="530"/>
      <c r="AX61" s="530"/>
      <c r="AY61" s="530"/>
      <c r="AZ61" s="530"/>
      <c r="BA61" s="530"/>
      <c r="BB61" s="530"/>
      <c r="BC61" s="530"/>
      <c r="BD61" s="530"/>
      <c r="BE61" s="530"/>
      <c r="BF61" s="2617"/>
      <c r="BG61" s="2617"/>
      <c r="BH61" s="2617"/>
      <c r="BI61" s="2617"/>
      <c r="BJ61" s="2617"/>
      <c r="BK61" s="2617"/>
      <c r="BL61" s="2617"/>
      <c r="BM61" s="530"/>
      <c r="BN61" s="530"/>
      <c r="BO61" s="530"/>
      <c r="BP61" s="530"/>
    </row>
    <row r="62" spans="1:68" ht="12" customHeight="1">
      <c r="A62" s="29"/>
      <c r="B62" s="621"/>
      <c r="C62" s="6561" t="str">
        <f>IF(SUM('Tablas psiquica'!AU31:AX69)=0,"",IF('Tablas psiquica'!A9&gt;MAX('Tablas psiquica'!AU31:AX69),"",VLOOKUP('Tablas psiquica'!A9,'Tablas psiquica'!AU31:AX69,2,FALSE)))</f>
        <v/>
      </c>
      <c r="D62" s="6545"/>
      <c r="E62" s="6545"/>
      <c r="F62" s="6549"/>
      <c r="G62" s="6562" t="str">
        <f>IF(SUM('Tablas psiquica'!AU31:AX69)=0,"",IF(Tablas!A9&gt;MAX('Tablas psiquica'!AU31:AX69),"",VLOOKUP(Tablas!A9,'Tablas psiquica'!AU31:AX69,4,FALSE)))</f>
        <v/>
      </c>
      <c r="H62" s="6547"/>
      <c r="I62" s="6547"/>
      <c r="J62" s="6547"/>
      <c r="K62" s="6547"/>
      <c r="L62" s="6547"/>
      <c r="M62" s="6547"/>
      <c r="N62" s="6547"/>
      <c r="O62" s="6547"/>
      <c r="P62" s="6547"/>
      <c r="Q62" s="6563"/>
      <c r="R62" s="38"/>
      <c r="S62" s="166"/>
      <c r="T62" s="166"/>
      <c r="U62" s="3744">
        <f>IF(V62=0,0,1)</f>
        <v>0</v>
      </c>
      <c r="V62" s="6687"/>
      <c r="W62" s="6688"/>
      <c r="X62" s="6688"/>
      <c r="Y62" s="6688"/>
      <c r="Z62" s="6689"/>
      <c r="AA62" s="6690"/>
      <c r="AB62" s="6645">
        <f>IF(AA62="0","",IF(AA62*10&lt;100,AA62*10,100))+AC62</f>
        <v>0</v>
      </c>
      <c r="AC62" s="3482">
        <f>COUNTIF(Personalización!V75:AA80,V62)*10</f>
        <v>0</v>
      </c>
      <c r="AD62" s="6538"/>
      <c r="AE62" s="6539"/>
      <c r="AF62" s="6539"/>
      <c r="AG62" s="6539"/>
      <c r="AH62" s="6622"/>
      <c r="AI62" s="6614"/>
      <c r="AJ62" s="6576"/>
      <c r="AK62" s="6579" t="str" cm="1">
        <f t="array" ref="AK62">IF(AD62&lt;&gt;"",INDEX(Tablas!$U$26:$U$38,MAX(MATCH(VLOOKUP(Psíquicos!$AD62,'Tablas psiquica'!$AB$7:$AO$198,2,FALSE),Tablas!$U$26:$U$38,0),MAX(SUMPRODUCT(--(Tablas!$T$26:$T$38&lt;=(AL62-20*AI62)))+IF(OR(Tablas!$G$458&gt;0,Tablas!$H$1520&gt;0),1,0),SUMPRODUCT(--(Tablas!$T$26:$T$38&lt;=(AL62)))+AO39))),"")</f>
        <v/>
      </c>
      <c r="AL62" s="6573">
        <f>$H$11+IF(ISNA(VLOOKUP(AD62,$V$20:$AB$79,7,FALSE)),0,IF(VLOOKUP(AD62,$V$20:$AB$79,7,FALSE)="",0,VLOOKUP(AD62,$V$20:$AB$79,7,FALSE)))+AI62*20+AJ62-J14</f>
        <v>0</v>
      </c>
      <c r="AM62" s="29"/>
      <c r="AN62" s="530"/>
      <c r="AO62" s="530"/>
      <c r="AP62" s="530"/>
      <c r="AQ62" s="530"/>
      <c r="AR62" s="530"/>
      <c r="AS62" s="530"/>
      <c r="AT62" s="530"/>
      <c r="AU62" s="530"/>
      <c r="AV62" s="530"/>
      <c r="AW62" s="530"/>
      <c r="AX62" s="530"/>
      <c r="AY62" s="530"/>
      <c r="AZ62" s="530"/>
      <c r="BA62" s="530"/>
      <c r="BB62" s="530"/>
      <c r="BC62" s="530"/>
      <c r="BD62" s="530"/>
      <c r="BE62" s="530"/>
      <c r="BF62" s="2617"/>
      <c r="BG62" s="2617"/>
      <c r="BH62" s="2617"/>
      <c r="BI62" s="2617"/>
      <c r="BJ62" s="2617"/>
      <c r="BK62" s="2617"/>
      <c r="BL62" s="2617"/>
      <c r="BM62" s="530"/>
      <c r="BN62" s="530"/>
      <c r="BO62" s="530"/>
      <c r="BP62" s="530"/>
    </row>
    <row r="63" spans="1:68" ht="12" customHeight="1">
      <c r="A63" s="29"/>
      <c r="B63" s="621"/>
      <c r="C63" s="6561" t="str">
        <f>IF(SUM('Tablas psiquica'!AU32:AX70)=0,"",IF('Tablas psiquica'!A10&gt;MAX('Tablas psiquica'!AU32:AX70),"",VLOOKUP('Tablas psiquica'!A10,'Tablas psiquica'!AU32:AX70,2,FALSE)))</f>
        <v/>
      </c>
      <c r="D63" s="6545"/>
      <c r="E63" s="6545"/>
      <c r="F63" s="6549"/>
      <c r="G63" s="6562" t="str">
        <f>IF(SUM('Tablas psiquica'!AU32:AX70)=0,"",IF(Tablas!A10&gt;MAX('Tablas psiquica'!AU32:AX70),"",VLOOKUP(Tablas!A10,'Tablas psiquica'!AU32:AX70,4,FALSE)))</f>
        <v/>
      </c>
      <c r="H63" s="6547"/>
      <c r="I63" s="6547"/>
      <c r="J63" s="6547"/>
      <c r="K63" s="6547"/>
      <c r="L63" s="6547"/>
      <c r="M63" s="6547"/>
      <c r="N63" s="6547"/>
      <c r="O63" s="6547"/>
      <c r="P63" s="6547"/>
      <c r="Q63" s="6563"/>
      <c r="R63" s="38"/>
      <c r="S63" s="166"/>
      <c r="T63" s="166"/>
      <c r="U63" s="3744"/>
      <c r="V63" s="6692" t="str">
        <f>IF(V62=0,"",VLOOKUP(V62,Tabla_PoderesPsi,2,FALSE))</f>
        <v/>
      </c>
      <c r="W63" s="6693"/>
      <c r="X63" s="6693"/>
      <c r="Y63" s="1579" t="s">
        <v>1186</v>
      </c>
      <c r="Z63" s="1580" t="str">
        <f>IF(V62=0,"",VLOOKUP(V62,Tabla_PoderesPsi,3,FALSE))</f>
        <v/>
      </c>
      <c r="AA63" s="6691"/>
      <c r="AB63" s="6646"/>
      <c r="AC63" s="530"/>
      <c r="AD63" s="6623" t="str">
        <f>IF(AD62=0,"",VLOOKUP(AD62,Tabla_PoderesPsi,2,FALSE))</f>
        <v/>
      </c>
      <c r="AE63" s="6624"/>
      <c r="AF63" s="6624"/>
      <c r="AG63" s="1796" t="s">
        <v>1186</v>
      </c>
      <c r="AH63" s="1797" t="str">
        <f>IF(AD62=0,"",VLOOKUP(AD62,Tabla_PoderesPsi,3,FALSE))</f>
        <v/>
      </c>
      <c r="AI63" s="6615"/>
      <c r="AJ63" s="6577"/>
      <c r="AK63" s="6580"/>
      <c r="AL63" s="6573"/>
      <c r="AM63" s="29"/>
      <c r="AN63" s="530"/>
      <c r="AO63" s="530"/>
      <c r="AP63" s="530"/>
      <c r="AQ63" s="530"/>
      <c r="AR63" s="530"/>
      <c r="AS63" s="530"/>
      <c r="AT63" s="530"/>
      <c r="AU63" s="530"/>
      <c r="AV63" s="530"/>
      <c r="AW63" s="530"/>
      <c r="AX63" s="530"/>
      <c r="AY63" s="530"/>
      <c r="AZ63" s="530"/>
      <c r="BA63" s="530"/>
      <c r="BB63" s="530"/>
      <c r="BC63" s="530"/>
      <c r="BD63" s="530"/>
      <c r="BE63" s="530"/>
      <c r="BF63" s="2617"/>
      <c r="BG63" s="2617"/>
      <c r="BH63" s="2617"/>
      <c r="BI63" s="2617"/>
      <c r="BJ63" s="2617"/>
      <c r="BK63" s="2617"/>
      <c r="BL63" s="2617"/>
      <c r="BM63" s="530"/>
      <c r="BN63" s="530"/>
      <c r="BO63" s="530"/>
      <c r="BP63" s="530"/>
    </row>
    <row r="64" spans="1:68" ht="12" customHeight="1">
      <c r="A64" s="29"/>
      <c r="B64" s="621"/>
      <c r="C64" s="6561" t="str">
        <f>IF(SUM('Tablas psiquica'!AU33:AX71)=0,"",IF('Tablas psiquica'!A11&gt;MAX('Tablas psiquica'!AU33:AX71),"",VLOOKUP('Tablas psiquica'!A11,'Tablas psiquica'!AU33:AX71,2,FALSE)))</f>
        <v/>
      </c>
      <c r="D64" s="6545"/>
      <c r="E64" s="6545"/>
      <c r="F64" s="6549"/>
      <c r="G64" s="6562" t="str">
        <f>IF(SUM('Tablas psiquica'!AU33:AX71)=0,"",IF(Tablas!A11&gt;MAX('Tablas psiquica'!AU33:AX71),"",VLOOKUP(Tablas!A11,'Tablas psiquica'!AU33:AX71,4,FALSE)))</f>
        <v/>
      </c>
      <c r="H64" s="6547"/>
      <c r="I64" s="6547"/>
      <c r="J64" s="6547"/>
      <c r="K64" s="6547"/>
      <c r="L64" s="6547"/>
      <c r="M64" s="6547"/>
      <c r="N64" s="6547"/>
      <c r="O64" s="6547"/>
      <c r="P64" s="6547"/>
      <c r="Q64" s="6563"/>
      <c r="R64" s="38"/>
      <c r="S64" s="166"/>
      <c r="T64" s="166"/>
      <c r="U64" s="3744">
        <f>IF(V64=0,0,1)</f>
        <v>0</v>
      </c>
      <c r="V64" s="6642"/>
      <c r="W64" s="6643"/>
      <c r="X64" s="6643"/>
      <c r="Y64" s="6643"/>
      <c r="Z64" s="6644"/>
      <c r="AA64" s="6636"/>
      <c r="AB64" s="6645">
        <f>IF(AA64="0","",IF(AA64*10&lt;100,AA64*10,100))+AC64</f>
        <v>0</v>
      </c>
      <c r="AC64" s="3482">
        <f>COUNTIF(Personalización!V75:AA80,V64)*10</f>
        <v>0</v>
      </c>
      <c r="AD64" s="6538"/>
      <c r="AE64" s="6539"/>
      <c r="AF64" s="6539"/>
      <c r="AG64" s="6539"/>
      <c r="AH64" s="6622"/>
      <c r="AI64" s="6614"/>
      <c r="AJ64" s="6576"/>
      <c r="AK64" s="6579" t="str" cm="1">
        <f t="array" ref="AK64">IF(AD64&lt;&gt;"",INDEX(Tablas!$U$26:$U$38,MAX(MATCH(VLOOKUP(Psíquicos!$AD64,'Tablas psiquica'!$AB$7:$AO$198,2,FALSE),Tablas!$U$26:$U$38,0),MAX(SUMPRODUCT(--(Tablas!$T$26:$T$38&lt;=(AL64-20*AI64)))+IF(OR(Tablas!$G$458&gt;0,Tablas!$H$1520&gt;0),1,0),SUMPRODUCT(--(Tablas!$T$26:$T$38&lt;=(AL64)))+AO40))),"")</f>
        <v/>
      </c>
      <c r="AL64" s="6536">
        <f>$H$11+IF(ISNA(VLOOKUP(AD64,$V$20:$AB$79,7,FALSE)),0,IF(VLOOKUP(AD64,$V$20:$AB$79,7,FALSE)="",0,VLOOKUP(AD64,$V$20:$AB$79,7,FALSE)))+AI64*20+AJ64-J14</f>
        <v>0</v>
      </c>
      <c r="AM64" s="29"/>
      <c r="AN64" s="530"/>
      <c r="AO64" s="530"/>
      <c r="AP64" s="530"/>
      <c r="AQ64" s="530"/>
      <c r="AR64" s="530"/>
      <c r="AS64" s="530"/>
      <c r="AT64" s="530"/>
      <c r="AU64" s="530"/>
      <c r="AV64" s="530"/>
      <c r="AW64" s="530"/>
      <c r="AX64" s="530"/>
      <c r="AY64" s="530"/>
      <c r="AZ64" s="530"/>
      <c r="BA64" s="530"/>
      <c r="BB64" s="530"/>
      <c r="BC64" s="530"/>
      <c r="BD64" s="530"/>
      <c r="BE64" s="530"/>
      <c r="BF64" s="2617"/>
      <c r="BG64" s="2617"/>
      <c r="BH64" s="2617"/>
      <c r="BI64" s="2617"/>
      <c r="BJ64" s="2617"/>
      <c r="BK64" s="2617"/>
      <c r="BL64" s="2617"/>
      <c r="BM64" s="530"/>
      <c r="BN64" s="530"/>
      <c r="BO64" s="530"/>
      <c r="BP64" s="530"/>
    </row>
    <row r="65" spans="1:68" ht="12" customHeight="1">
      <c r="A65" s="29"/>
      <c r="B65" s="443"/>
      <c r="C65" s="6561" t="str">
        <f>IF(SUM('Tablas psiquica'!AU34:AX72)=0,"",IF('Tablas psiquica'!A12&gt;MAX('Tablas psiquica'!AU34:AX72),"",VLOOKUP('Tablas psiquica'!A12,'Tablas psiquica'!AU34:AX72,2,FALSE)))</f>
        <v/>
      </c>
      <c r="D65" s="6545"/>
      <c r="E65" s="6545"/>
      <c r="F65" s="6549"/>
      <c r="G65" s="6562" t="str">
        <f>IF(SUM('Tablas psiquica'!AU34:AX72)=0,"",IF(Tablas!A12&gt;MAX('Tablas psiquica'!AU34:AX72),"",VLOOKUP(Tablas!A12,'Tablas psiquica'!AU34:AX72,4,FALSE)))</f>
        <v/>
      </c>
      <c r="H65" s="6547"/>
      <c r="I65" s="6547"/>
      <c r="J65" s="6547"/>
      <c r="K65" s="6547"/>
      <c r="L65" s="6547"/>
      <c r="M65" s="6547"/>
      <c r="N65" s="6547"/>
      <c r="O65" s="6547"/>
      <c r="P65" s="6547"/>
      <c r="Q65" s="6563"/>
      <c r="R65" s="36"/>
      <c r="S65" s="29"/>
      <c r="T65" s="29"/>
      <c r="U65" s="3744"/>
      <c r="V65" s="6647" t="str">
        <f>IF(V64=0,"",VLOOKUP(V64,Tabla_PoderesPsi,2,FALSE))</f>
        <v/>
      </c>
      <c r="W65" s="6648"/>
      <c r="X65" s="6648"/>
      <c r="Y65" s="1475" t="s">
        <v>1186</v>
      </c>
      <c r="Z65" s="1476" t="str">
        <f>IF(V64=0,"",VLOOKUP(V64,Tabla_PoderesPsi,3,FALSE))</f>
        <v/>
      </c>
      <c r="AA65" s="6636"/>
      <c r="AB65" s="6646"/>
      <c r="AC65" s="530"/>
      <c r="AD65" s="6623" t="str">
        <f>IF(AD64=0,"",VLOOKUP(AD64,Tabla_PoderesPsi,2,FALSE))</f>
        <v/>
      </c>
      <c r="AE65" s="6624"/>
      <c r="AF65" s="6624"/>
      <c r="AG65" s="1796" t="s">
        <v>1186</v>
      </c>
      <c r="AH65" s="1797" t="str">
        <f>IF(AD64=0,"",VLOOKUP(AD64,Tabla_PoderesPsi,3,FALSE))</f>
        <v/>
      </c>
      <c r="AI65" s="6615"/>
      <c r="AJ65" s="6577"/>
      <c r="AK65" s="6580"/>
      <c r="AL65" s="6536"/>
      <c r="AM65" s="29"/>
      <c r="AN65" s="530"/>
      <c r="AO65" s="530"/>
      <c r="AP65" s="530"/>
      <c r="AQ65" s="530"/>
      <c r="AR65" s="530" t="str">
        <f>V67</f>
        <v/>
      </c>
      <c r="AS65" s="530"/>
      <c r="AT65" s="530"/>
      <c r="AU65" s="530"/>
      <c r="AV65" s="530"/>
      <c r="AW65" s="530"/>
      <c r="AX65" s="530"/>
      <c r="AY65" s="530"/>
      <c r="AZ65" s="530"/>
      <c r="BA65" s="530"/>
      <c r="BB65" s="530"/>
      <c r="BC65" s="530"/>
      <c r="BD65" s="530"/>
      <c r="BE65" s="530"/>
      <c r="BF65" s="2617"/>
      <c r="BG65" s="2617"/>
      <c r="BH65" s="2617"/>
      <c r="BI65" s="2617"/>
      <c r="BJ65" s="2617"/>
      <c r="BK65" s="2617"/>
      <c r="BL65" s="2617"/>
      <c r="BM65" s="530"/>
      <c r="BN65" s="530"/>
      <c r="BO65" s="530"/>
      <c r="BP65" s="530"/>
    </row>
    <row r="66" spans="1:68" ht="12" customHeight="1">
      <c r="A66" s="29"/>
      <c r="B66" s="443"/>
      <c r="C66" s="6561" t="str">
        <f>IF(SUM('Tablas psiquica'!AU35:AX73)=0,"",IF('Tablas psiquica'!A13&gt;MAX('Tablas psiquica'!AU35:AX73),"",VLOOKUP('Tablas psiquica'!A13,'Tablas psiquica'!AU35:AX73,2,FALSE)))</f>
        <v/>
      </c>
      <c r="D66" s="6545"/>
      <c r="E66" s="6545"/>
      <c r="F66" s="6549"/>
      <c r="G66" s="6562" t="str">
        <f>IF(SUM('Tablas psiquica'!AU35:AX73)=0,"",IF(Tablas!A13&gt;MAX('Tablas psiquica'!AU35:AX73),"",VLOOKUP(Tablas!A13,'Tablas psiquica'!AU35:AX73,4,FALSE)))</f>
        <v/>
      </c>
      <c r="H66" s="6547"/>
      <c r="I66" s="6547"/>
      <c r="J66" s="6547"/>
      <c r="K66" s="6547"/>
      <c r="L66" s="6547"/>
      <c r="M66" s="6547"/>
      <c r="N66" s="6547"/>
      <c r="O66" s="6547"/>
      <c r="P66" s="6547"/>
      <c r="Q66" s="6563"/>
      <c r="R66" s="36"/>
      <c r="S66" s="29"/>
      <c r="T66" s="29"/>
      <c r="U66" s="3744">
        <f>IF(V66=0,0,1)</f>
        <v>0</v>
      </c>
      <c r="V66" s="6687"/>
      <c r="W66" s="6688"/>
      <c r="X66" s="6688"/>
      <c r="Y66" s="6688"/>
      <c r="Z66" s="6689"/>
      <c r="AA66" s="6690"/>
      <c r="AB66" s="6645">
        <f>IF(AA66="0","",IF(AA66*10&lt;100,AA66*10,100))+AC66</f>
        <v>0</v>
      </c>
      <c r="AC66" s="3482">
        <f>COUNTIF(Personalización!V75:AA80,V66)*10</f>
        <v>0</v>
      </c>
      <c r="AD66" s="6538"/>
      <c r="AE66" s="6539"/>
      <c r="AF66" s="6539"/>
      <c r="AG66" s="6539"/>
      <c r="AH66" s="6622"/>
      <c r="AI66" s="6614"/>
      <c r="AJ66" s="6576"/>
      <c r="AK66" s="6579" t="str" cm="1">
        <f t="array" ref="AK66">IF(AD66&lt;&gt;"",INDEX(Tablas!$U$26:$U$38,MAX(MATCH(VLOOKUP(Psíquicos!$AD66,'Tablas psiquica'!$AB$7:$AO$198,2,FALSE),Tablas!$U$26:$U$38,0),MAX(SUMPRODUCT(--(Tablas!$T$26:$T$38&lt;=(AL66-20*AI66)))+IF(OR(Tablas!$G$458&gt;0,Tablas!$H$1520&gt;0),1,0),SUMPRODUCT(--(Tablas!$T$26:$T$38&lt;=(AL66)))+AO41))),"")</f>
        <v/>
      </c>
      <c r="AL66" s="6536">
        <f>$H$11+IF(ISNA(VLOOKUP(AD66,$V$20:$AB$79,7,FALSE)),0,IF(VLOOKUP(AD66,$V$20:$AB$79,7,FALSE)="",0,VLOOKUP(AD66,$V$20:$AB$79,7,FALSE)))+AI66*20+AJ66-J14</f>
        <v>0</v>
      </c>
      <c r="AM66" s="29"/>
      <c r="AN66" s="628"/>
      <c r="AO66" s="3643"/>
      <c r="AP66" s="3643"/>
      <c r="AQ66" s="530"/>
      <c r="AR66" s="530"/>
      <c r="AS66" s="530"/>
      <c r="AT66" s="530"/>
      <c r="AU66" s="530"/>
      <c r="AV66" s="530"/>
      <c r="AW66" s="530"/>
      <c r="AX66" s="530"/>
      <c r="AY66" s="530"/>
      <c r="AZ66" s="530"/>
      <c r="BA66" s="530"/>
      <c r="BB66" s="530"/>
      <c r="BC66" s="530"/>
      <c r="BD66" s="530"/>
      <c r="BE66" s="530"/>
      <c r="BF66" s="2617"/>
      <c r="BG66" s="2617"/>
      <c r="BH66" s="2617"/>
      <c r="BI66" s="2617"/>
      <c r="BJ66" s="2617"/>
      <c r="BK66" s="2617"/>
      <c r="BL66" s="2617"/>
      <c r="BM66" s="530"/>
      <c r="BN66" s="530"/>
      <c r="BO66" s="530"/>
      <c r="BP66" s="530"/>
    </row>
    <row r="67" spans="1:68" ht="12" customHeight="1">
      <c r="A67" s="29"/>
      <c r="B67" s="443"/>
      <c r="C67" s="6561" t="str">
        <f>IF(SUM('Tablas psiquica'!AU36:AX74)=0,"",IF('Tablas psiquica'!A14&gt;MAX('Tablas psiquica'!AU36:AX74),"",VLOOKUP('Tablas psiquica'!A14,'Tablas psiquica'!AU36:AX74,2,FALSE)))</f>
        <v/>
      </c>
      <c r="D67" s="6545"/>
      <c r="E67" s="6545"/>
      <c r="F67" s="6549"/>
      <c r="G67" s="6562" t="str">
        <f>IF(SUM('Tablas psiquica'!AU36:AX74)=0,"",IF(Tablas!A14&gt;MAX('Tablas psiquica'!AU36:AX74),"",VLOOKUP(Tablas!A14,'Tablas psiquica'!AU36:AX74,4,FALSE)))</f>
        <v/>
      </c>
      <c r="H67" s="6547"/>
      <c r="I67" s="6547"/>
      <c r="J67" s="6547"/>
      <c r="K67" s="6547"/>
      <c r="L67" s="6547"/>
      <c r="M67" s="6547"/>
      <c r="N67" s="6547"/>
      <c r="O67" s="6547"/>
      <c r="P67" s="6547"/>
      <c r="Q67" s="6563"/>
      <c r="R67" s="36"/>
      <c r="S67" s="29"/>
      <c r="T67" s="29"/>
      <c r="U67" s="3744"/>
      <c r="V67" s="6692" t="str">
        <f>IF(V66=0,"",VLOOKUP(V66,Tabla_PoderesPsi,2,FALSE))</f>
        <v/>
      </c>
      <c r="W67" s="6693"/>
      <c r="X67" s="6693"/>
      <c r="Y67" s="1579" t="s">
        <v>1186</v>
      </c>
      <c r="Z67" s="1580" t="str">
        <f>IF(V66=0,"",VLOOKUP(V66,Tabla_PoderesPsi,3,FALSE))</f>
        <v/>
      </c>
      <c r="AA67" s="6691"/>
      <c r="AB67" s="6646"/>
      <c r="AC67" s="530"/>
      <c r="AD67" s="6623" t="str">
        <f>IF(AD66=0,"",VLOOKUP(AD66,Tabla_PoderesPsi,2,FALSE))</f>
        <v/>
      </c>
      <c r="AE67" s="6624"/>
      <c r="AF67" s="6624"/>
      <c r="AG67" s="1796" t="s">
        <v>1186</v>
      </c>
      <c r="AH67" s="1797" t="str">
        <f>IF(AD66=0,"",VLOOKUP(AD66,Tabla_PoderesPsi,3,FALSE))</f>
        <v/>
      </c>
      <c r="AI67" s="6615"/>
      <c r="AJ67" s="6577"/>
      <c r="AK67" s="6580"/>
      <c r="AL67" s="6536"/>
      <c r="AM67" s="29"/>
      <c r="AN67" s="628"/>
      <c r="AO67" s="628"/>
      <c r="AP67" s="628"/>
      <c r="AQ67" s="628"/>
      <c r="AR67" s="3644"/>
      <c r="AS67" s="530"/>
      <c r="AT67" s="530"/>
      <c r="AU67" s="530"/>
      <c r="AV67" s="530"/>
      <c r="AW67" s="530"/>
      <c r="AX67" s="530"/>
      <c r="AY67" s="530"/>
      <c r="AZ67" s="530"/>
      <c r="BA67" s="530"/>
      <c r="BB67" s="530"/>
      <c r="BC67" s="530"/>
      <c r="BD67" s="530"/>
      <c r="BE67" s="530"/>
      <c r="BF67" s="2617"/>
      <c r="BG67" s="2617"/>
      <c r="BH67" s="2617"/>
      <c r="BI67" s="2617"/>
      <c r="BJ67" s="2617"/>
      <c r="BK67" s="2617"/>
      <c r="BL67" s="2617"/>
      <c r="BM67" s="530"/>
      <c r="BN67" s="530"/>
      <c r="BO67" s="530"/>
      <c r="BP67" s="530"/>
    </row>
    <row r="68" spans="1:68" ht="12" customHeight="1">
      <c r="A68" s="29"/>
      <c r="B68" s="443"/>
      <c r="C68" s="6561" t="str">
        <f>IF(SUM('Tablas psiquica'!AU37:AX75)=0,"",IF('Tablas psiquica'!A15&gt;MAX('Tablas psiquica'!AU37:AX75),"",VLOOKUP('Tablas psiquica'!A15,'Tablas psiquica'!AU37:AX75,2,FALSE)))</f>
        <v/>
      </c>
      <c r="D68" s="6545"/>
      <c r="E68" s="6545"/>
      <c r="F68" s="6549"/>
      <c r="G68" s="6562" t="str">
        <f>IF(SUM('Tablas psiquica'!AU37:AX75)=0,"",IF(Tablas!A15&gt;MAX('Tablas psiquica'!AU37:AX75),"",VLOOKUP(Tablas!A15,'Tablas psiquica'!AU37:AX75,4,FALSE)))</f>
        <v/>
      </c>
      <c r="H68" s="6547"/>
      <c r="I68" s="6547"/>
      <c r="J68" s="6547"/>
      <c r="K68" s="6547"/>
      <c r="L68" s="6547"/>
      <c r="M68" s="6547"/>
      <c r="N68" s="6547"/>
      <c r="O68" s="6547"/>
      <c r="P68" s="6547"/>
      <c r="Q68" s="6563"/>
      <c r="R68" s="36"/>
      <c r="S68" s="29"/>
      <c r="T68" s="29"/>
      <c r="U68" s="3744">
        <f>IF(V68=0,0,1)</f>
        <v>0</v>
      </c>
      <c r="V68" s="6642"/>
      <c r="W68" s="6643"/>
      <c r="X68" s="6643"/>
      <c r="Y68" s="6643"/>
      <c r="Z68" s="6644"/>
      <c r="AA68" s="6636"/>
      <c r="AB68" s="6645">
        <f>IF(AA68="0","",IF(AA68*10&lt;100,AA68*10,100))+AC68</f>
        <v>0</v>
      </c>
      <c r="AC68" s="3482">
        <f>COUNTIF(Personalización!V75:AA80,V68)*10</f>
        <v>0</v>
      </c>
      <c r="AD68" s="6538"/>
      <c r="AE68" s="6539"/>
      <c r="AF68" s="6539"/>
      <c r="AG68" s="6539"/>
      <c r="AH68" s="6622"/>
      <c r="AI68" s="6614"/>
      <c r="AJ68" s="6576"/>
      <c r="AK68" s="6579" t="str" cm="1">
        <f t="array" ref="AK68">IF(AD68&lt;&gt;"",INDEX(Tablas!$U$26:$U$38,MAX(MATCH(VLOOKUP(Psíquicos!$AD68,'Tablas psiquica'!$AB$7:$AO$198,2,FALSE),Tablas!$U$26:$U$38,0),MAX(SUMPRODUCT(--(Tablas!$T$26:$T$38&lt;=(AL68-20*AI68)))+IF(OR(Tablas!$G$458&gt;0,Tablas!$H$1520&gt;0),1,0),SUMPRODUCT(--(Tablas!$T$26:$T$38&lt;=(AL68)))+AO42))),"")</f>
        <v/>
      </c>
      <c r="AL68" s="6536">
        <f>$H$11+IF(ISNA(VLOOKUP(AD68,$V$20:$AB$79,7,FALSE)),0,IF(VLOOKUP(AD68,$V$20:$AB$79,7,FALSE)="",0,VLOOKUP(AD68,$V$20:$AB$79,7,FALSE)))+AI68*20+AJ68-J14</f>
        <v>0</v>
      </c>
      <c r="AM68" s="29"/>
      <c r="AN68" s="2617"/>
      <c r="AO68" s="2617"/>
      <c r="AP68" s="2617"/>
      <c r="AQ68" s="2617"/>
      <c r="AR68" s="2617"/>
      <c r="AS68" s="2617"/>
      <c r="AT68" s="2617"/>
      <c r="AU68" s="2617"/>
      <c r="AV68" s="2617"/>
      <c r="AW68" s="2617"/>
      <c r="AX68" s="2617"/>
      <c r="AY68" s="2617"/>
      <c r="AZ68" s="2617"/>
      <c r="BA68" s="2617"/>
      <c r="BB68" s="2617"/>
      <c r="BC68" s="2617"/>
      <c r="BD68" s="2617"/>
      <c r="BE68" s="2617"/>
      <c r="BF68" s="2617"/>
      <c r="BG68" s="2617"/>
      <c r="BH68" s="2617"/>
      <c r="BI68" s="2617"/>
      <c r="BJ68" s="2617"/>
      <c r="BK68" s="2617"/>
      <c r="BL68" s="2617"/>
      <c r="BM68" s="530"/>
      <c r="BN68" s="530"/>
      <c r="BO68" s="530"/>
      <c r="BP68" s="530"/>
    </row>
    <row r="69" spans="1:68" ht="12" customHeight="1">
      <c r="A69" s="29"/>
      <c r="B69" s="443"/>
      <c r="C69" s="6561" t="str">
        <f>IF(SUM('Tablas psiquica'!AU38:AX76)=0,"",IF('Tablas psiquica'!A16&gt;MAX('Tablas psiquica'!AU38:AX76),"",VLOOKUP('Tablas psiquica'!A16,'Tablas psiquica'!AU38:AX76,2,FALSE)))</f>
        <v/>
      </c>
      <c r="D69" s="6545"/>
      <c r="E69" s="6545"/>
      <c r="F69" s="6549"/>
      <c r="G69" s="6562" t="str">
        <f>IF(SUM('Tablas psiquica'!AU38:AX76)=0,"",IF(Tablas!A16&gt;MAX('Tablas psiquica'!AU38:AX76),"",VLOOKUP(Tablas!A16,'Tablas psiquica'!AU38:AX76,4,FALSE)))</f>
        <v/>
      </c>
      <c r="H69" s="6547"/>
      <c r="I69" s="6547"/>
      <c r="J69" s="6547"/>
      <c r="K69" s="6547"/>
      <c r="L69" s="6547"/>
      <c r="M69" s="6547"/>
      <c r="N69" s="6547"/>
      <c r="O69" s="6547"/>
      <c r="P69" s="6547"/>
      <c r="Q69" s="6563"/>
      <c r="R69" s="36"/>
      <c r="S69" s="29"/>
      <c r="T69" s="29"/>
      <c r="U69" s="3744"/>
      <c r="V69" s="6647" t="str">
        <f>IF(V68=0,"",VLOOKUP(V68,Tabla_PoderesPsi,2,FALSE))</f>
        <v/>
      </c>
      <c r="W69" s="6648"/>
      <c r="X69" s="6648"/>
      <c r="Y69" s="1475" t="s">
        <v>1186</v>
      </c>
      <c r="Z69" s="1476" t="str">
        <f>IF(V68=0,"",VLOOKUP(V68,Tabla_PoderesPsi,3,FALSE))</f>
        <v/>
      </c>
      <c r="AA69" s="6636"/>
      <c r="AB69" s="6646"/>
      <c r="AC69" s="530"/>
      <c r="AD69" s="6623" t="str">
        <f>IF(AD68=0,"",VLOOKUP(AD68,Tabla_PoderesPsi,2,FALSE))</f>
        <v/>
      </c>
      <c r="AE69" s="6624"/>
      <c r="AF69" s="6624"/>
      <c r="AG69" s="1796" t="s">
        <v>1186</v>
      </c>
      <c r="AH69" s="1797" t="str">
        <f>IF(AD68=0,"",VLOOKUP(AD68,Tabla_PoderesPsi,3,FALSE))</f>
        <v/>
      </c>
      <c r="AI69" s="6615"/>
      <c r="AJ69" s="6577"/>
      <c r="AK69" s="6580"/>
      <c r="AL69" s="6536"/>
      <c r="AM69" s="29"/>
      <c r="AN69" s="2617"/>
      <c r="AO69" s="2617"/>
      <c r="AP69" s="2617"/>
      <c r="AQ69" s="2617"/>
      <c r="AR69" s="2617"/>
      <c r="AS69" s="2617"/>
      <c r="AT69" s="2617"/>
      <c r="AU69" s="2617"/>
      <c r="AV69" s="2617"/>
      <c r="AW69" s="2617"/>
      <c r="AX69" s="2617"/>
      <c r="AY69" s="2617"/>
      <c r="AZ69" s="2617"/>
      <c r="BA69" s="2617"/>
      <c r="BB69" s="2617"/>
      <c r="BC69" s="2617"/>
      <c r="BD69" s="2617"/>
      <c r="BE69" s="2617"/>
      <c r="BF69" s="2617"/>
      <c r="BG69" s="2617"/>
      <c r="BH69" s="2617"/>
      <c r="BI69" s="2617"/>
      <c r="BJ69" s="2617"/>
      <c r="BK69" s="2617"/>
      <c r="BL69" s="2617"/>
      <c r="BM69" s="530"/>
      <c r="BN69" s="530"/>
      <c r="BO69" s="530"/>
      <c r="BP69" s="530"/>
    </row>
    <row r="70" spans="1:68" ht="12" customHeight="1">
      <c r="A70" s="29"/>
      <c r="B70" s="443"/>
      <c r="C70" s="6561" t="str">
        <f>IF(SUM('Tablas psiquica'!AU39:AX77)=0,"",IF('Tablas psiquica'!A17&gt;MAX('Tablas psiquica'!AU39:AX77),"",VLOOKUP('Tablas psiquica'!A17,'Tablas psiquica'!AU39:AX77,2,FALSE)))</f>
        <v/>
      </c>
      <c r="D70" s="6545"/>
      <c r="E70" s="6545"/>
      <c r="F70" s="6549"/>
      <c r="G70" s="6562" t="str">
        <f>IF(SUM('Tablas psiquica'!AU39:AX77)=0,"",IF(Tablas!A17&gt;MAX('Tablas psiquica'!AU39:AX77),"",VLOOKUP(Tablas!A17,'Tablas psiquica'!AU39:AX77,4,FALSE)))</f>
        <v/>
      </c>
      <c r="H70" s="6547"/>
      <c r="I70" s="6547"/>
      <c r="J70" s="6547"/>
      <c r="K70" s="6547"/>
      <c r="L70" s="6547"/>
      <c r="M70" s="6547"/>
      <c r="N70" s="6547"/>
      <c r="O70" s="6547"/>
      <c r="P70" s="6547"/>
      <c r="Q70" s="6563"/>
      <c r="R70" s="36"/>
      <c r="S70" s="29"/>
      <c r="T70" s="29"/>
      <c r="U70" s="3744">
        <f>IF(V70=0,0,1)</f>
        <v>0</v>
      </c>
      <c r="V70" s="6687"/>
      <c r="W70" s="6688"/>
      <c r="X70" s="6688"/>
      <c r="Y70" s="6688"/>
      <c r="Z70" s="6689"/>
      <c r="AA70" s="6690"/>
      <c r="AB70" s="6645">
        <f>IF(AA70="0","",IF(AA70*10&lt;100,AA70*10,100))+AC70</f>
        <v>0</v>
      </c>
      <c r="AC70" s="3482">
        <f>COUNTIF(Personalización!V75:AA80,V70)*10</f>
        <v>0</v>
      </c>
      <c r="AD70" s="6538"/>
      <c r="AE70" s="6539"/>
      <c r="AF70" s="6539"/>
      <c r="AG70" s="6539"/>
      <c r="AH70" s="6622"/>
      <c r="AI70" s="6614"/>
      <c r="AJ70" s="6576"/>
      <c r="AK70" s="6579" t="str" cm="1">
        <f t="array" ref="AK70">IF(AD70&lt;&gt;"",INDEX(Tablas!$U$26:$U$38,MAX(MATCH(VLOOKUP(Psíquicos!$AD70,'Tablas psiquica'!$AB$7:$AO$198,2,FALSE),Tablas!$U$26:$U$38,0),MAX(SUMPRODUCT(--(Tablas!$T$26:$T$38&lt;=(AL70-20*AI70)))+IF(OR(Tablas!$G$458&gt;0,Tablas!$H$1520&gt;0),1,0),SUMPRODUCT(--(Tablas!$T$26:$T$38&lt;=(AL70)))+AO43))),"")</f>
        <v/>
      </c>
      <c r="AL70" s="6536">
        <f>$H$11+IF(ISNA(VLOOKUP(AD70,$V$20:$AB$79,7,FALSE)),0,IF(VLOOKUP(AD70,$V$20:$AB$79,7,FALSE)="",0,VLOOKUP(AD70,$V$20:$AB$79,7,FALSE)))+AI70*20+AJ70-J14</f>
        <v>0</v>
      </c>
      <c r="AM70" s="29"/>
      <c r="AN70" s="2617"/>
      <c r="AO70" s="2617"/>
      <c r="AP70" s="2617"/>
      <c r="AQ70" s="2617"/>
      <c r="AR70" s="2617"/>
      <c r="AS70" s="2617"/>
      <c r="AT70" s="2617"/>
      <c r="AU70" s="2617"/>
      <c r="AV70" s="2617"/>
      <c r="AW70" s="2617"/>
      <c r="AX70" s="2617"/>
      <c r="AY70" s="2617"/>
      <c r="AZ70" s="2617"/>
      <c r="BA70" s="2617"/>
      <c r="BB70" s="2617"/>
      <c r="BC70" s="2617"/>
      <c r="BD70" s="2617"/>
      <c r="BE70" s="2617"/>
      <c r="BF70" s="2617"/>
      <c r="BG70" s="2617"/>
      <c r="BH70" s="2617"/>
      <c r="BI70" s="2617"/>
      <c r="BJ70" s="2617"/>
      <c r="BK70" s="2617"/>
      <c r="BL70" s="2617"/>
      <c r="BM70" s="530"/>
      <c r="BN70" s="530"/>
      <c r="BO70" s="530"/>
      <c r="BP70" s="530"/>
    </row>
    <row r="71" spans="1:68" ht="12" customHeight="1">
      <c r="A71" s="29"/>
      <c r="B71" s="443"/>
      <c r="C71" s="6561" t="str">
        <f>IF(SUM('Tablas psiquica'!AU40:AX78)=0,"",IF('Tablas psiquica'!A18&gt;MAX('Tablas psiquica'!AU40:AX78),"",VLOOKUP('Tablas psiquica'!A18,'Tablas psiquica'!AU40:AX78,2,FALSE)))</f>
        <v/>
      </c>
      <c r="D71" s="6545"/>
      <c r="E71" s="6545"/>
      <c r="F71" s="6549"/>
      <c r="G71" s="6562" t="str">
        <f>IF(SUM('Tablas psiquica'!AU40:AX78)=0,"",IF(Tablas!A18&gt;MAX('Tablas psiquica'!AU40:AX78),"",VLOOKUP(Tablas!A18,'Tablas psiquica'!AU40:AX78,4,FALSE)))</f>
        <v/>
      </c>
      <c r="H71" s="6547"/>
      <c r="I71" s="6547"/>
      <c r="J71" s="6547"/>
      <c r="K71" s="6547"/>
      <c r="L71" s="6547"/>
      <c r="M71" s="6547"/>
      <c r="N71" s="6547"/>
      <c r="O71" s="6547"/>
      <c r="P71" s="6547"/>
      <c r="Q71" s="6563"/>
      <c r="R71" s="36"/>
      <c r="S71" s="29"/>
      <c r="T71" s="29"/>
      <c r="U71" s="3744"/>
      <c r="V71" s="6692" t="str">
        <f>IF(V70=0,"",VLOOKUP(V70,Tabla_PoderesPsi,2,FALSE))</f>
        <v/>
      </c>
      <c r="W71" s="6693"/>
      <c r="X71" s="6693"/>
      <c r="Y71" s="1579" t="s">
        <v>1186</v>
      </c>
      <c r="Z71" s="1580" t="str">
        <f>IF(V70=0,"",VLOOKUP(V70,Tabla_PoderesPsi,3,FALSE))</f>
        <v/>
      </c>
      <c r="AA71" s="6691"/>
      <c r="AB71" s="6646"/>
      <c r="AC71" s="530"/>
      <c r="AD71" s="6623" t="str">
        <f>IF(AD70=0,"",VLOOKUP(AD70,Tabla_PoderesPsi,2,FALSE))</f>
        <v/>
      </c>
      <c r="AE71" s="6624"/>
      <c r="AF71" s="6624"/>
      <c r="AG71" s="1796" t="s">
        <v>1186</v>
      </c>
      <c r="AH71" s="1797" t="str">
        <f>IF(AD70=0,"",VLOOKUP(AD70,Tabla_PoderesPsi,3,FALSE))</f>
        <v/>
      </c>
      <c r="AI71" s="6615"/>
      <c r="AJ71" s="6577"/>
      <c r="AK71" s="6580"/>
      <c r="AL71" s="6536"/>
      <c r="AM71" s="29"/>
      <c r="AN71" s="2617"/>
      <c r="AO71" s="2617"/>
      <c r="AP71" s="2617"/>
      <c r="AQ71" s="2617"/>
      <c r="AR71" s="2617"/>
      <c r="AS71" s="2617"/>
      <c r="AT71" s="2617"/>
      <c r="AU71" s="2617"/>
      <c r="AV71" s="2617"/>
      <c r="AW71" s="2617"/>
      <c r="AX71" s="2617"/>
      <c r="AY71" s="2617"/>
      <c r="AZ71" s="2617"/>
      <c r="BA71" s="2617"/>
      <c r="BB71" s="2617"/>
      <c r="BC71" s="2617"/>
      <c r="BD71" s="2617"/>
      <c r="BE71" s="2617"/>
      <c r="BF71" s="2617"/>
      <c r="BG71" s="2617"/>
      <c r="BH71" s="2617"/>
      <c r="BI71" s="2617"/>
      <c r="BJ71" s="2617"/>
      <c r="BK71" s="2617"/>
      <c r="BL71" s="2617"/>
      <c r="BM71" s="530"/>
      <c r="BN71" s="530"/>
      <c r="BO71" s="530"/>
      <c r="BP71" s="530"/>
    </row>
    <row r="72" spans="1:68" ht="12" customHeight="1">
      <c r="A72" s="29"/>
      <c r="B72" s="443"/>
      <c r="C72" s="6561" t="str">
        <f>IF(SUM('Tablas psiquica'!AU41:AX79)=0,"",IF('Tablas psiquica'!A19&gt;MAX('Tablas psiquica'!AU41:AX79),"",VLOOKUP('Tablas psiquica'!A19,'Tablas psiquica'!AU41:AX79,2,FALSE)))</f>
        <v/>
      </c>
      <c r="D72" s="6545"/>
      <c r="E72" s="6545"/>
      <c r="F72" s="6549"/>
      <c r="G72" s="6562" t="str">
        <f>IF(SUM('Tablas psiquica'!AU41:AX79)=0,"",IF(Tablas!A19&gt;MAX('Tablas psiquica'!AU41:AX79),"",VLOOKUP(Tablas!A19,'Tablas psiquica'!AU41:AX79,4,FALSE)))</f>
        <v/>
      </c>
      <c r="H72" s="6547"/>
      <c r="I72" s="6547"/>
      <c r="J72" s="6547"/>
      <c r="K72" s="6547"/>
      <c r="L72" s="6547"/>
      <c r="M72" s="6547"/>
      <c r="N72" s="6547"/>
      <c r="O72" s="6547"/>
      <c r="P72" s="6547"/>
      <c r="Q72" s="6563"/>
      <c r="R72" s="36"/>
      <c r="S72" s="29"/>
      <c r="T72" s="29"/>
      <c r="U72" s="3744">
        <f>IF(V72=0,0,1)</f>
        <v>0</v>
      </c>
      <c r="V72" s="6679"/>
      <c r="W72" s="6680"/>
      <c r="X72" s="6680"/>
      <c r="Y72" s="6680"/>
      <c r="Z72" s="6680"/>
      <c r="AA72" s="6636"/>
      <c r="AB72" s="6746">
        <f>IF(AA72="0","",IF(AA72*10&lt;100,AA72*10,100))+AC72</f>
        <v>0</v>
      </c>
      <c r="AC72" s="3482">
        <f>COUNTIF(Personalización!V75:AA80,V72)*10</f>
        <v>0</v>
      </c>
      <c r="AD72" s="6538"/>
      <c r="AE72" s="6539"/>
      <c r="AF72" s="6539"/>
      <c r="AG72" s="6539"/>
      <c r="AH72" s="6622"/>
      <c r="AI72" s="6614"/>
      <c r="AJ72" s="6576"/>
      <c r="AK72" s="6579" t="str" cm="1">
        <f t="array" ref="AK72">IF(AD72&lt;&gt;"",INDEX(Tablas!$U$26:$U$38,MAX(MATCH(VLOOKUP(Psíquicos!$AD72,'Tablas psiquica'!$AB$7:$AO$198,2,FALSE),Tablas!$U$26:$U$38,0),MAX(SUMPRODUCT(--(Tablas!$T$26:$T$38&lt;=(AL72-20*AI72)))+IF(OR(Tablas!$G$458&gt;0,Tablas!$H$1520&gt;0),1,0),SUMPRODUCT(--(Tablas!$T$26:$T$38&lt;=(AL72)))+AO44))),"")</f>
        <v/>
      </c>
      <c r="AL72" s="6536">
        <f>$H$11+IF(ISNA(VLOOKUP(AD72,$V$20:$AB$79,7,FALSE)),0,IF(VLOOKUP(AD72,$V$20:$AB$79,7,FALSE)="",0,VLOOKUP(AD72,$V$20:$AB$79,7,FALSE)))+AI72*20+AJ72-J14</f>
        <v>0</v>
      </c>
      <c r="AM72" s="29"/>
      <c r="AN72" s="2617"/>
      <c r="AO72" s="2617"/>
      <c r="AP72" s="2617"/>
      <c r="AQ72" s="2617"/>
      <c r="AR72" s="2617"/>
      <c r="AS72" s="2617"/>
      <c r="AT72" s="2617"/>
      <c r="AU72" s="2617"/>
      <c r="AV72" s="2617"/>
      <c r="AW72" s="2617"/>
      <c r="AX72" s="2617"/>
      <c r="AY72" s="2617"/>
      <c r="AZ72" s="2617"/>
      <c r="BA72" s="2617"/>
      <c r="BB72" s="2617"/>
      <c r="BC72" s="2617"/>
      <c r="BD72" s="2617"/>
      <c r="BE72" s="2617"/>
      <c r="BF72" s="2617"/>
      <c r="BG72" s="2617"/>
      <c r="BH72" s="2617"/>
      <c r="BI72" s="2617"/>
      <c r="BJ72" s="2617"/>
      <c r="BK72" s="2617"/>
      <c r="BL72" s="2617"/>
      <c r="BM72" s="530"/>
      <c r="BN72" s="530"/>
      <c r="BO72" s="530"/>
      <c r="BP72" s="530"/>
    </row>
    <row r="73" spans="1:68" ht="12" customHeight="1">
      <c r="A73" s="29"/>
      <c r="B73" s="443"/>
      <c r="C73" s="6561" t="str">
        <f>IF(SUM('Tablas psiquica'!AU42:AX80)=0,"",IF('Tablas psiquica'!A21&gt;MAX('Tablas psiquica'!AU42:AX80),"",VLOOKUP('Tablas psiquica'!A21,'Tablas psiquica'!AU42:AX80,2,FALSE)))</f>
        <v/>
      </c>
      <c r="D73" s="6545"/>
      <c r="E73" s="6545"/>
      <c r="F73" s="6549"/>
      <c r="G73" s="6562" t="str">
        <f>IF(SUM('Tablas psiquica'!AU42:AX80)=0,"",IF(Tablas!A20&gt;MAX('Tablas psiquica'!AU42:AX80),"",VLOOKUP(Tablas!A20,'Tablas psiquica'!AU42:AX80,4,FALSE)))</f>
        <v/>
      </c>
      <c r="H73" s="6547"/>
      <c r="I73" s="6547"/>
      <c r="J73" s="6547"/>
      <c r="K73" s="6547"/>
      <c r="L73" s="6547"/>
      <c r="M73" s="6547"/>
      <c r="N73" s="6547"/>
      <c r="O73" s="6547"/>
      <c r="P73" s="6547"/>
      <c r="Q73" s="6563"/>
      <c r="R73" s="36"/>
      <c r="S73" s="29"/>
      <c r="T73" s="29"/>
      <c r="U73" s="3744"/>
      <c r="V73" s="6540" t="str">
        <f>IF(V72=0,"",VLOOKUP(V72,Tabla_PoderesPsi,2,FALSE))</f>
        <v/>
      </c>
      <c r="W73" s="6541"/>
      <c r="X73" s="6541"/>
      <c r="Y73" s="1475" t="s">
        <v>1186</v>
      </c>
      <c r="Z73" s="1476" t="str">
        <f>IF(V72=0,"",VLOOKUP(V72,Tabla_PoderesPsi,3,FALSE))</f>
        <v/>
      </c>
      <c r="AA73" s="6636"/>
      <c r="AB73" s="6746"/>
      <c r="AC73" s="530"/>
      <c r="AD73" s="6750" t="str">
        <f>IF(AD72=0,"",VLOOKUP(AD72,Tabla_PoderesPsi,2,FALSE))</f>
        <v/>
      </c>
      <c r="AE73" s="6751"/>
      <c r="AF73" s="6751"/>
      <c r="AG73" s="3161" t="s">
        <v>1186</v>
      </c>
      <c r="AH73" s="1032" t="str">
        <f>IF(AD72=0,"",VLOOKUP(AD72,Tabla_PoderesPsi,3,FALSE))</f>
        <v/>
      </c>
      <c r="AI73" s="6749"/>
      <c r="AJ73" s="6578"/>
      <c r="AK73" s="6580"/>
      <c r="AL73" s="6536"/>
      <c r="AM73" s="29"/>
      <c r="AN73" s="2617"/>
      <c r="AO73" s="2617"/>
      <c r="AP73" s="2617"/>
      <c r="AQ73" s="2617"/>
      <c r="AR73" s="2617"/>
      <c r="AS73" s="2617"/>
      <c r="AT73" s="2617"/>
      <c r="AU73" s="2617"/>
      <c r="AV73" s="2617"/>
      <c r="AW73" s="2617"/>
      <c r="AX73" s="2617"/>
      <c r="AY73" s="2617"/>
      <c r="AZ73" s="2617"/>
      <c r="BA73" s="2617"/>
      <c r="BB73" s="2617"/>
      <c r="BC73" s="2617"/>
      <c r="BD73" s="2617"/>
      <c r="BE73" s="2617"/>
      <c r="BF73" s="2617"/>
      <c r="BG73" s="2617"/>
      <c r="BH73" s="2617"/>
      <c r="BI73" s="2617"/>
      <c r="BJ73" s="2617"/>
      <c r="BK73" s="2617"/>
      <c r="BL73" s="2617"/>
      <c r="BM73" s="530"/>
      <c r="BN73" s="530"/>
      <c r="BO73" s="530"/>
      <c r="BP73" s="530"/>
    </row>
    <row r="74" spans="1:68" ht="12" customHeight="1">
      <c r="A74" s="29"/>
      <c r="B74" s="443"/>
      <c r="C74" s="6561" t="str">
        <f>IF(SUM('Tablas psiquica'!AU43:AX81)=0,"",IF('Tablas psiquica'!A22&gt;MAX('Tablas psiquica'!AU43:AX81),"",VLOOKUP('Tablas psiquica'!A22,'Tablas psiquica'!AU43:AX81,2,FALSE)))</f>
        <v/>
      </c>
      <c r="D74" s="6545"/>
      <c r="E74" s="6545"/>
      <c r="F74" s="6549"/>
      <c r="G74" s="6562" t="str">
        <f>IF(SUM('Tablas psiquica'!AU43:AX81)=0,"",IF(Tablas!A21&gt;MAX('Tablas psiquica'!AU43:AX81),"",VLOOKUP(Tablas!A21,'Tablas psiquica'!AU43:AX81,4,FALSE)))</f>
        <v/>
      </c>
      <c r="H74" s="6547"/>
      <c r="I74" s="6547"/>
      <c r="J74" s="6547"/>
      <c r="K74" s="6547"/>
      <c r="L74" s="6547"/>
      <c r="M74" s="6547"/>
      <c r="N74" s="6547"/>
      <c r="O74" s="6547"/>
      <c r="P74" s="6547"/>
      <c r="Q74" s="6563"/>
      <c r="R74" s="36"/>
      <c r="S74" s="29"/>
      <c r="T74" s="29"/>
      <c r="U74" s="3744">
        <f>IF(V74=0,0,1)</f>
        <v>0</v>
      </c>
      <c r="V74" s="6538"/>
      <c r="W74" s="6539"/>
      <c r="X74" s="6539"/>
      <c r="Y74" s="6539"/>
      <c r="Z74" s="6539"/>
      <c r="AA74" s="6744"/>
      <c r="AB74" s="6745">
        <f>IF(AA74="0","",IF(AA74*10&lt;100,AA74*10,100))+AC74</f>
        <v>0</v>
      </c>
      <c r="AC74" s="625">
        <f>COUNTIF(Personalización!V75:AA80,V74)*10</f>
        <v>0</v>
      </c>
      <c r="AD74" s="6538"/>
      <c r="AE74" s="6539"/>
      <c r="AF74" s="6539"/>
      <c r="AG74" s="6539"/>
      <c r="AH74" s="6622"/>
      <c r="AI74" s="6614"/>
      <c r="AJ74" s="6576"/>
      <c r="AK74" s="6579" t="str" cm="1">
        <f t="array" ref="AK74">IF(AD74&lt;&gt;"",INDEX(Tablas!$U$26:$U$38,MAX(MATCH(VLOOKUP(Psíquicos!$AD74,'Tablas psiquica'!$AB$7:$AO$198,2,FALSE),Tablas!$U$26:$U$38,0),MAX(SUMPRODUCT(--(Tablas!$T$26:$T$38&lt;=(AL74-20*AI74)))+IF(OR(Tablas!$G$458&gt;0,Tablas!$H$1520&gt;0),1,0),SUMPRODUCT(--(Tablas!$T$26:$T$38&lt;=(AL74)))+AO45))),"")</f>
        <v/>
      </c>
      <c r="AL74" s="6536">
        <f>$H$11+IF(ISNA(VLOOKUP(AD74,$V$20:$AB$79,7,FALSE)),0,IF(VLOOKUP(AD74,$V$20:$AB$79,7,FALSE)="",0,VLOOKUP(AD74,$V$20:$AB$79,7,FALSE)))+AI74*20+AJ74-J14</f>
        <v>0</v>
      </c>
      <c r="AM74" s="29"/>
      <c r="AN74" s="2617"/>
      <c r="AO74" s="2617"/>
      <c r="AP74" s="2617"/>
      <c r="AQ74" s="2617"/>
      <c r="AR74" s="2617"/>
      <c r="AS74" s="2617"/>
      <c r="AT74" s="2617"/>
      <c r="AU74" s="2617"/>
      <c r="AV74" s="2617"/>
      <c r="AW74" s="2617"/>
      <c r="AX74" s="2617"/>
      <c r="AY74" s="2617"/>
      <c r="AZ74" s="2617"/>
      <c r="BA74" s="2617"/>
      <c r="BB74" s="2617"/>
      <c r="BC74" s="2617"/>
      <c r="BD74" s="2617"/>
      <c r="BE74" s="2617"/>
      <c r="BF74" s="2617"/>
      <c r="BG74" s="2617"/>
      <c r="BH74" s="2617"/>
      <c r="BI74" s="2617"/>
      <c r="BJ74" s="2617"/>
      <c r="BK74" s="2617"/>
      <c r="BL74" s="2617"/>
      <c r="BM74" s="530"/>
      <c r="BN74" s="530"/>
      <c r="BO74" s="530"/>
      <c r="BP74" s="530"/>
    </row>
    <row r="75" spans="1:68" ht="12" customHeight="1">
      <c r="A75" s="29"/>
      <c r="B75" s="443"/>
      <c r="C75" s="6561" t="str">
        <f>IF(SUM('Tablas psiquica'!AU44:AX82)=0,"",IF('Tablas psiquica'!A23&gt;MAX('Tablas psiquica'!AU44:AX82),"",VLOOKUP('Tablas psiquica'!A23,'Tablas psiquica'!AU44:AX82,2,FALSE)))</f>
        <v/>
      </c>
      <c r="D75" s="6545"/>
      <c r="E75" s="6545"/>
      <c r="F75" s="6549"/>
      <c r="G75" s="6562" t="str">
        <f>IF(SUM('Tablas psiquica'!AU44:AX82)=0,"",IF(Tablas!A22&gt;MAX('Tablas psiquica'!AU44:AX82),"",VLOOKUP(Tablas!A22,'Tablas psiquica'!AU44:AX82,4,FALSE)))</f>
        <v/>
      </c>
      <c r="H75" s="6547"/>
      <c r="I75" s="6547"/>
      <c r="J75" s="6547"/>
      <c r="K75" s="6547"/>
      <c r="L75" s="6547"/>
      <c r="M75" s="6547"/>
      <c r="N75" s="6547"/>
      <c r="O75" s="6547"/>
      <c r="P75" s="6547"/>
      <c r="Q75" s="6563"/>
      <c r="R75" s="36"/>
      <c r="S75" s="29"/>
      <c r="T75" s="29"/>
      <c r="U75" s="3744"/>
      <c r="V75" s="6540" t="str">
        <f>IF(V74=0,"",VLOOKUP(V74,Tabla_PoderesPsi,2,FALSE))</f>
        <v/>
      </c>
      <c r="W75" s="6541"/>
      <c r="X75" s="6541"/>
      <c r="Y75" s="1475" t="s">
        <v>1186</v>
      </c>
      <c r="Z75" s="1476" t="str">
        <f>IF(V74=0,"",VLOOKUP(V74,Tabla_PoderesPsi,3,FALSE))</f>
        <v/>
      </c>
      <c r="AA75" s="6636"/>
      <c r="AB75" s="6746"/>
      <c r="AC75" s="625"/>
      <c r="AD75" s="6750" t="str">
        <f>IF(AD74=0,"",VLOOKUP(AD74,Tabla_PoderesPsi,2,FALSE))</f>
        <v/>
      </c>
      <c r="AE75" s="6751"/>
      <c r="AF75" s="6751"/>
      <c r="AG75" s="3161" t="s">
        <v>1186</v>
      </c>
      <c r="AH75" s="1032" t="str">
        <f>IF(AD74=0,"",VLOOKUP(AD74,Tabla_PoderesPsi,3,FALSE))</f>
        <v/>
      </c>
      <c r="AI75" s="6749"/>
      <c r="AJ75" s="6578"/>
      <c r="AK75" s="6580"/>
      <c r="AL75" s="6536"/>
      <c r="AM75" s="29"/>
      <c r="AN75" s="2617"/>
      <c r="AO75" s="2617"/>
      <c r="AP75" s="2617"/>
      <c r="AQ75" s="2617"/>
      <c r="AR75" s="2617"/>
      <c r="AS75" s="2617"/>
      <c r="AT75" s="2617"/>
      <c r="AU75" s="2617"/>
      <c r="AV75" s="2617"/>
      <c r="AW75" s="2617"/>
      <c r="AX75" s="2617"/>
      <c r="AY75" s="2617"/>
      <c r="AZ75" s="2617"/>
      <c r="BA75" s="2617"/>
      <c r="BB75" s="2617"/>
      <c r="BC75" s="2617"/>
      <c r="BD75" s="2617"/>
      <c r="BE75" s="2617"/>
      <c r="BF75" s="2617"/>
      <c r="BG75" s="2617"/>
      <c r="BH75" s="2617"/>
      <c r="BI75" s="2617"/>
      <c r="BJ75" s="2617"/>
      <c r="BK75" s="2617"/>
      <c r="BL75" s="2617"/>
      <c r="BM75" s="530"/>
      <c r="BN75" s="530"/>
      <c r="BO75" s="530"/>
      <c r="BP75" s="530"/>
    </row>
    <row r="76" spans="1:68" ht="12" customHeight="1">
      <c r="A76" s="29"/>
      <c r="B76" s="443"/>
      <c r="C76" s="6561" t="str">
        <f>IF(SUM('Tablas psiquica'!AU45:AX83)=0,"",IF('Tablas psiquica'!A24&gt;MAX('Tablas psiquica'!AU45:AX83),"",VLOOKUP('Tablas psiquica'!A24,'Tablas psiquica'!AU45:AX83,2,FALSE)))</f>
        <v/>
      </c>
      <c r="D76" s="6545"/>
      <c r="E76" s="6545"/>
      <c r="F76" s="6549"/>
      <c r="G76" s="6562" t="str">
        <f>IF(SUM('Tablas psiquica'!AU45:AX83)=0,"",IF(Tablas!A23&gt;MAX('Tablas psiquica'!AU45:AX83),"",VLOOKUP(Tablas!A23,'Tablas psiquica'!AU45:AX83,4,FALSE)))</f>
        <v/>
      </c>
      <c r="H76" s="6547"/>
      <c r="I76" s="6547"/>
      <c r="J76" s="6547"/>
      <c r="K76" s="6547"/>
      <c r="L76" s="6547"/>
      <c r="M76" s="6547"/>
      <c r="N76" s="6547"/>
      <c r="O76" s="6547"/>
      <c r="P76" s="6547"/>
      <c r="Q76" s="6563"/>
      <c r="R76" s="36"/>
      <c r="S76" s="29"/>
      <c r="T76" s="29"/>
      <c r="U76" s="3744">
        <f>IF(V76=0,0,1)</f>
        <v>0</v>
      </c>
      <c r="V76" s="6538"/>
      <c r="W76" s="6539"/>
      <c r="X76" s="6539"/>
      <c r="Y76" s="6539"/>
      <c r="Z76" s="6539"/>
      <c r="AA76" s="6744"/>
      <c r="AB76" s="6745">
        <f>IF(AA76="0","",IF(AA76*10&lt;100,AA76*10,100))+AC76</f>
        <v>0</v>
      </c>
      <c r="AC76" s="625">
        <f>COUNTIF(Personalización!V75:AA80,V76)*10</f>
        <v>0</v>
      </c>
      <c r="AD76" s="6538"/>
      <c r="AE76" s="6539"/>
      <c r="AF76" s="6539"/>
      <c r="AG76" s="6539"/>
      <c r="AH76" s="6622"/>
      <c r="AI76" s="6614"/>
      <c r="AJ76" s="6576"/>
      <c r="AK76" s="6754" t="str" cm="1">
        <f t="array" ref="AK76">IF(AD76&lt;&gt;"",INDEX(Tablas!$U$26:$U$38,MAX(MATCH(VLOOKUP(Psíquicos!$AD76,'Tablas psiquica'!$AB$7:$AO$198,2,FALSE),Tablas!$U$26:$U$38,0),MAX(SUMPRODUCT(--(Tablas!$T$26:$T$38&lt;=(AL76-20*AI76)))+IF(OR(Tablas!$G$458&gt;0,Tablas!$H$1520&gt;0),1,0),SUMPRODUCT(--(Tablas!$T$26:$T$38&lt;=(AL76)))+AO46))),"")</f>
        <v/>
      </c>
      <c r="AL76" s="6536">
        <f>$H$11+IF(ISNA(VLOOKUP(AD76,$V$20:$AB$79,7,FALSE)),0,IF(VLOOKUP(AD76,$V$20:$AB$79,7,FALSE)="",0,VLOOKUP(AD76,$V$20:$AB$79,7,FALSE)))+AI76*20+AJ76-J14</f>
        <v>0</v>
      </c>
      <c r="AM76" s="29"/>
      <c r="AN76" s="2617"/>
      <c r="AO76" s="2617"/>
      <c r="AP76" s="2617"/>
      <c r="AQ76" s="2617"/>
      <c r="AR76" s="2617"/>
      <c r="AS76" s="2617"/>
      <c r="AT76" s="2617"/>
      <c r="AU76" s="2617"/>
      <c r="AV76" s="2617"/>
      <c r="AW76" s="2617"/>
      <c r="AX76" s="2617"/>
      <c r="AY76" s="2617"/>
      <c r="AZ76" s="2617"/>
      <c r="BA76" s="2617"/>
      <c r="BB76" s="2617"/>
      <c r="BC76" s="2617"/>
      <c r="BD76" s="2617"/>
      <c r="BE76" s="2617"/>
      <c r="BF76" s="2617"/>
      <c r="BG76" s="2617"/>
      <c r="BH76" s="2617"/>
      <c r="BI76" s="2617"/>
      <c r="BJ76" s="2617"/>
      <c r="BK76" s="2617"/>
      <c r="BL76" s="2617"/>
      <c r="BM76" s="530"/>
      <c r="BN76" s="530"/>
      <c r="BO76" s="530"/>
      <c r="BP76" s="530"/>
    </row>
    <row r="77" spans="1:68" ht="12" customHeight="1" thickBot="1">
      <c r="A77" s="29"/>
      <c r="B77" s="443"/>
      <c r="C77" s="6561" t="str">
        <f>IF(SUM('Tablas psiquica'!AU46:AX84)=0,"",IF('Tablas psiquica'!A25&gt;MAX('Tablas psiquica'!AU46:AX84),"",VLOOKUP('Tablas psiquica'!A25,'Tablas psiquica'!AU46:AX84,2,FALSE)))</f>
        <v/>
      </c>
      <c r="D77" s="6545"/>
      <c r="E77" s="6545"/>
      <c r="F77" s="6549"/>
      <c r="G77" s="6562" t="str">
        <f>IF(SUM('Tablas psiquica'!AU46:AX84)=0,"",IF(Tablas!A24&gt;MAX('Tablas psiquica'!AU46:AX84),"",VLOOKUP(Tablas!A24,'Tablas psiquica'!AU46:AX84,4,FALSE)))</f>
        <v/>
      </c>
      <c r="H77" s="6547"/>
      <c r="I77" s="6547"/>
      <c r="J77" s="6547"/>
      <c r="K77" s="6547"/>
      <c r="L77" s="6547"/>
      <c r="M77" s="6547"/>
      <c r="N77" s="6547"/>
      <c r="O77" s="6547"/>
      <c r="P77" s="6547"/>
      <c r="Q77" s="6563"/>
      <c r="R77" s="36"/>
      <c r="S77" s="29"/>
      <c r="T77" s="29"/>
      <c r="U77" s="3744"/>
      <c r="V77" s="6542" t="str">
        <f>IF(V76=0,"",VLOOKUP(V76,Tabla_PoderesPsi,2,FALSE))</f>
        <v/>
      </c>
      <c r="W77" s="6543"/>
      <c r="X77" s="6543"/>
      <c r="Y77" s="1583" t="s">
        <v>1186</v>
      </c>
      <c r="Z77" s="1584" t="str">
        <f>IF(V76=0,"",VLOOKUP(V76,Tabla_PoderesPsi,3,FALSE))</f>
        <v/>
      </c>
      <c r="AA77" s="6747"/>
      <c r="AB77" s="6748"/>
      <c r="AC77" s="625"/>
      <c r="AD77" s="6594" t="str">
        <f>IF(AD76=0,"",VLOOKUP(AD76,Tabla_PoderesPsi,2,FALSE))</f>
        <v/>
      </c>
      <c r="AE77" s="4483"/>
      <c r="AF77" s="4483"/>
      <c r="AG77" s="996" t="s">
        <v>1186</v>
      </c>
      <c r="AH77" s="1800" t="str">
        <f>IF(AD76=0,"",VLOOKUP(AD76,Tabla_PoderesPsi,3,FALSE))</f>
        <v/>
      </c>
      <c r="AI77" s="6752"/>
      <c r="AJ77" s="6753"/>
      <c r="AK77" s="6755"/>
      <c r="AL77" s="6536"/>
      <c r="AM77" s="29"/>
      <c r="AN77" s="2617"/>
      <c r="AO77" s="2617"/>
      <c r="AP77" s="2617"/>
      <c r="AQ77" s="2617"/>
      <c r="AR77" s="2617"/>
      <c r="AS77" s="2617"/>
      <c r="AT77" s="2617"/>
      <c r="AU77" s="2617"/>
      <c r="AV77" s="2617"/>
      <c r="AW77" s="2617"/>
      <c r="AX77" s="2617"/>
      <c r="AY77" s="2617"/>
      <c r="AZ77" s="2617"/>
      <c r="BA77" s="2617"/>
      <c r="BB77" s="2617"/>
      <c r="BC77" s="2617"/>
      <c r="BD77" s="2617"/>
      <c r="BE77" s="2617"/>
      <c r="BF77" s="2617"/>
      <c r="BG77" s="2617"/>
      <c r="BH77" s="2617"/>
      <c r="BI77" s="2617"/>
      <c r="BJ77" s="2617"/>
      <c r="BK77" s="2617"/>
      <c r="BL77" s="2617"/>
      <c r="BM77" s="530"/>
      <c r="BN77" s="530"/>
      <c r="BO77" s="530"/>
      <c r="BP77" s="530"/>
    </row>
    <row r="78" spans="1:68" ht="12" customHeight="1">
      <c r="A78" s="29"/>
      <c r="B78" s="443"/>
      <c r="C78" s="6561" t="str">
        <f>IF(SUM('Tablas psiquica'!AU47:AX85)=0,"",IF('Tablas psiquica'!A26&gt;MAX('Tablas psiquica'!AU47:AX85),"",VLOOKUP('Tablas psiquica'!A26,'Tablas psiquica'!AU47:AX85,2,FALSE)))</f>
        <v/>
      </c>
      <c r="D78" s="6545"/>
      <c r="E78" s="6545"/>
      <c r="F78" s="6549"/>
      <c r="G78" s="6562" t="str">
        <f>IF(SUM('Tablas psiquica'!AU47:AX85)=0,"",IF(Tablas!A25&gt;MAX('Tablas psiquica'!AU47:AX85),"",VLOOKUP(Tablas!A25,'Tablas psiquica'!AU47:AX85,4,FALSE)))</f>
        <v/>
      </c>
      <c r="H78" s="6547"/>
      <c r="I78" s="6547"/>
      <c r="J78" s="6547"/>
      <c r="K78" s="6547"/>
      <c r="L78" s="6547"/>
      <c r="M78" s="6547"/>
      <c r="N78" s="6547"/>
      <c r="O78" s="6547"/>
      <c r="P78" s="6547"/>
      <c r="Q78" s="6563"/>
      <c r="R78" s="36"/>
      <c r="S78" s="29"/>
      <c r="T78" s="29"/>
      <c r="U78" s="3743"/>
      <c r="AL78" s="685"/>
      <c r="AM78" s="29"/>
      <c r="AN78" s="2617"/>
      <c r="AO78" s="2617"/>
      <c r="AP78" s="2617"/>
      <c r="AQ78" s="2617"/>
      <c r="AR78" s="2617"/>
      <c r="AS78" s="2617"/>
      <c r="AT78" s="2617"/>
      <c r="AU78" s="2617"/>
      <c r="AV78" s="2617"/>
      <c r="AW78" s="2617"/>
      <c r="AX78" s="2617"/>
      <c r="AY78" s="2617"/>
      <c r="AZ78" s="2617"/>
      <c r="BA78" s="2617"/>
      <c r="BB78" s="2617"/>
      <c r="BC78" s="2617"/>
      <c r="BD78" s="2617"/>
      <c r="BE78" s="2617"/>
      <c r="BF78" s="2617"/>
      <c r="BG78" s="2617"/>
      <c r="BH78" s="2617"/>
      <c r="BI78" s="2617"/>
      <c r="BJ78" s="2617"/>
      <c r="BK78" s="2617"/>
      <c r="BL78" s="2617"/>
      <c r="BM78" s="530"/>
      <c r="BN78" s="530"/>
      <c r="BO78" s="530"/>
      <c r="BP78" s="530"/>
    </row>
    <row r="79" spans="1:68" ht="12" customHeight="1" thickBot="1">
      <c r="A79" s="29"/>
      <c r="B79" s="443"/>
      <c r="C79" s="6561" t="str">
        <f>IF(SUM('Tablas psiquica'!AU48:AX86)=0,"",IF('Tablas psiquica'!A27&gt;MAX('Tablas psiquica'!AU48:AX86),"",VLOOKUP('Tablas psiquica'!A27,'Tablas psiquica'!AU48:AX86,2,FALSE)))</f>
        <v/>
      </c>
      <c r="D79" s="6545"/>
      <c r="E79" s="6545"/>
      <c r="F79" s="6549"/>
      <c r="G79" s="6562" t="str">
        <f>IF(SUM('Tablas psiquica'!AU48:AX86)=0,"",IF(Tablas!A26&gt;MAX('Tablas psiquica'!AU48:AX86),"",VLOOKUP(Tablas!A26,'Tablas psiquica'!AU48:AX86,4,FALSE)))</f>
        <v/>
      </c>
      <c r="H79" s="6547"/>
      <c r="I79" s="6547"/>
      <c r="J79" s="6547"/>
      <c r="K79" s="6547"/>
      <c r="L79" s="6547"/>
      <c r="M79" s="6547"/>
      <c r="N79" s="6547"/>
      <c r="O79" s="6547"/>
      <c r="P79" s="6547"/>
      <c r="Q79" s="6563"/>
      <c r="R79" s="36"/>
      <c r="S79" s="29"/>
      <c r="T79" s="29"/>
      <c r="U79" s="795"/>
      <c r="AL79" s="3696"/>
      <c r="AM79" s="29"/>
      <c r="AN79" s="2617"/>
      <c r="AO79" s="2617"/>
      <c r="AP79" s="2617"/>
      <c r="AQ79" s="2617"/>
      <c r="AR79" s="2617"/>
      <c r="AS79" s="2617"/>
      <c r="AT79" s="2617"/>
      <c r="AU79" s="2617"/>
      <c r="AV79" s="2617"/>
      <c r="AW79" s="2617"/>
      <c r="AX79" s="2617"/>
      <c r="AY79" s="2617"/>
      <c r="AZ79" s="2617"/>
      <c r="BA79" s="2617"/>
      <c r="BB79" s="2617"/>
      <c r="BC79" s="2617"/>
      <c r="BD79" s="2617"/>
      <c r="BE79" s="2617"/>
      <c r="BF79" s="2617"/>
      <c r="BG79" s="2617"/>
      <c r="BH79" s="2617"/>
      <c r="BI79" s="2617"/>
      <c r="BJ79" s="2617"/>
      <c r="BK79" s="2617"/>
      <c r="BL79" s="2617"/>
      <c r="BM79" s="530"/>
      <c r="BN79" s="530"/>
      <c r="BO79" s="530"/>
      <c r="BP79" s="530"/>
    </row>
    <row r="80" spans="1:68" ht="12" customHeight="1" thickBot="1">
      <c r="A80" s="29"/>
      <c r="B80" s="443"/>
      <c r="C80" s="6561" t="str">
        <f>IF(SUM('Tablas psiquica'!AU49:AX87)=0,"",IF('Tablas psiquica'!A28&gt;MAX('Tablas psiquica'!AU49:AX87),"",VLOOKUP('Tablas psiquica'!A28,'Tablas psiquica'!AU49:AX87,2,FALSE)))</f>
        <v/>
      </c>
      <c r="D80" s="6545"/>
      <c r="E80" s="6545"/>
      <c r="F80" s="6549"/>
      <c r="G80" s="6562" t="str">
        <f>IF(SUM('Tablas psiquica'!AU49:AX87)=0,"",IF(Tablas!A27&gt;MAX('Tablas psiquica'!AU49:AX87),"",VLOOKUP(Tablas!A27,'Tablas psiquica'!AU49:AX87,4,FALSE)))</f>
        <v/>
      </c>
      <c r="H80" s="6547"/>
      <c r="I80" s="6547"/>
      <c r="J80" s="6547"/>
      <c r="K80" s="6547"/>
      <c r="L80" s="6547"/>
      <c r="M80" s="6547"/>
      <c r="N80" s="6547"/>
      <c r="O80" s="6547"/>
      <c r="P80" s="6547"/>
      <c r="Q80" s="6563"/>
      <c r="R80" s="36"/>
      <c r="S80" s="29"/>
      <c r="T80" s="29"/>
      <c r="U80" s="795"/>
      <c r="V80" s="6550" t="s">
        <v>9143</v>
      </c>
      <c r="W80" s="6551"/>
      <c r="X80" s="6551"/>
      <c r="Y80" s="6551"/>
      <c r="Z80" s="6551"/>
      <c r="AA80" s="6551"/>
      <c r="AB80" s="6552"/>
      <c r="AD80" s="6742" t="s">
        <v>1574</v>
      </c>
      <c r="AE80" s="6742"/>
      <c r="AF80" s="6742"/>
      <c r="AG80" s="6743" t="s">
        <v>1644</v>
      </c>
      <c r="AH80" s="6743"/>
      <c r="AI80" s="6743"/>
      <c r="AJ80" s="6743"/>
      <c r="AK80" s="6743"/>
      <c r="AL80" s="3696"/>
      <c r="AM80" s="29"/>
      <c r="AN80" s="2617"/>
      <c r="AO80" s="2617"/>
      <c r="AP80" s="2617"/>
      <c r="AQ80" s="2617"/>
      <c r="AR80" s="2617"/>
      <c r="AS80" s="2617"/>
      <c r="AT80" s="2617"/>
      <c r="AU80" s="2617"/>
      <c r="AV80" s="2617"/>
      <c r="AW80" s="2617"/>
      <c r="AX80" s="2617"/>
      <c r="AY80" s="2617"/>
      <c r="AZ80" s="2617"/>
      <c r="BA80" s="2617"/>
      <c r="BB80" s="2617"/>
      <c r="BC80" s="2617"/>
      <c r="BD80" s="2617"/>
      <c r="BE80" s="2617"/>
      <c r="BF80" s="2617"/>
      <c r="BG80" s="2617"/>
      <c r="BH80" s="2617"/>
      <c r="BI80" s="2617"/>
      <c r="BJ80" s="2617"/>
      <c r="BK80" s="2617"/>
      <c r="BL80" s="2617"/>
      <c r="BM80" s="530"/>
      <c r="BN80" s="530"/>
      <c r="BO80" s="530"/>
      <c r="BP80" s="530"/>
    </row>
    <row r="81" spans="1:68" ht="12" customHeight="1">
      <c r="A81" s="29"/>
      <c r="B81" s="443"/>
      <c r="C81" s="6561" t="str">
        <f>IF(SUM('Tablas psiquica'!AU50:AX88)=0,"",IF('Tablas psiquica'!A29&gt;MAX('Tablas psiquica'!AU50:AX88),"",VLOOKUP('Tablas psiquica'!A29,'Tablas psiquica'!AU50:AX88,2,FALSE)))</f>
        <v/>
      </c>
      <c r="D81" s="6545"/>
      <c r="E81" s="6545"/>
      <c r="F81" s="6549"/>
      <c r="G81" s="6562" t="str">
        <f>IF(SUM('Tablas psiquica'!AU50:AX88)=0,"",IF(Tablas!A28&gt;MAX('Tablas psiquica'!AU50:AX88),"",VLOOKUP(Tablas!A28,'Tablas psiquica'!AU50:AX88,4,FALSE)))</f>
        <v/>
      </c>
      <c r="H81" s="6547"/>
      <c r="I81" s="6547"/>
      <c r="J81" s="6547"/>
      <c r="K81" s="6547"/>
      <c r="L81" s="6547"/>
      <c r="M81" s="6547"/>
      <c r="N81" s="6547"/>
      <c r="O81" s="6547"/>
      <c r="P81" s="6547"/>
      <c r="Q81" s="6563"/>
      <c r="R81" s="36"/>
      <c r="S81" s="29"/>
      <c r="T81" s="29"/>
      <c r="U81" s="795"/>
      <c r="V81" s="6553"/>
      <c r="W81" s="6554"/>
      <c r="X81" s="6554"/>
      <c r="Y81" s="6554"/>
      <c r="Z81" s="6554"/>
      <c r="AA81" s="6554"/>
      <c r="AB81" s="6555"/>
      <c r="AD81" s="90">
        <v>20</v>
      </c>
      <c r="AE81" s="6740" t="s">
        <v>1577</v>
      </c>
      <c r="AF81" s="6740"/>
      <c r="AG81" s="6741" t="s">
        <v>1578</v>
      </c>
      <c r="AH81" s="6741"/>
      <c r="AI81" s="6741"/>
      <c r="AJ81" s="6741"/>
      <c r="AK81" s="6741"/>
      <c r="AL81" s="3696"/>
      <c r="AM81" s="29"/>
      <c r="AN81" s="2617"/>
      <c r="AO81" s="2617"/>
      <c r="AP81" s="2617"/>
      <c r="AQ81" s="2617"/>
      <c r="AR81" s="2617"/>
      <c r="AS81" s="2617"/>
      <c r="AT81" s="2617"/>
      <c r="AU81" s="2617"/>
      <c r="AV81" s="2617"/>
      <c r="AW81" s="2617"/>
      <c r="AX81" s="2617"/>
      <c r="AY81" s="2617"/>
      <c r="AZ81" s="2617"/>
      <c r="BA81" s="2617"/>
      <c r="BB81" s="2617"/>
      <c r="BC81" s="2617"/>
      <c r="BD81" s="2617"/>
      <c r="BE81" s="2617"/>
      <c r="BF81" s="2617"/>
      <c r="BG81" s="2617"/>
      <c r="BH81" s="2617"/>
      <c r="BI81" s="2617"/>
      <c r="BJ81" s="2617"/>
      <c r="BK81" s="2617"/>
      <c r="BL81" s="2617"/>
      <c r="BM81" s="530"/>
      <c r="BN81" s="530"/>
      <c r="BO81" s="530"/>
      <c r="BP81" s="530"/>
    </row>
    <row r="82" spans="1:68" ht="12" customHeight="1">
      <c r="A82" s="29"/>
      <c r="B82" s="443"/>
      <c r="C82" s="6561" t="str">
        <f>IF(SUM('Tablas psiquica'!AU51:AX89)=0,"",IF('Tablas psiquica'!A30&gt;MAX('Tablas psiquica'!AU51:AX89),"",VLOOKUP('Tablas psiquica'!A30,'Tablas psiquica'!AU51:AX89,2,FALSE)))</f>
        <v/>
      </c>
      <c r="D82" s="6545"/>
      <c r="E82" s="6545"/>
      <c r="F82" s="6549"/>
      <c r="G82" s="6562" t="str">
        <f>IF(SUM('Tablas psiquica'!AU51:AX89)=0,"",IF(Tablas!A29&gt;MAX('Tablas psiquica'!AU51:AX89),"",VLOOKUP(Tablas!A29,'Tablas psiquica'!AU51:AX89,4,FALSE)))</f>
        <v/>
      </c>
      <c r="H82" s="6547"/>
      <c r="I82" s="6547"/>
      <c r="J82" s="6547"/>
      <c r="K82" s="6547"/>
      <c r="L82" s="6547"/>
      <c r="M82" s="6547"/>
      <c r="N82" s="6547"/>
      <c r="O82" s="6547"/>
      <c r="P82" s="6547"/>
      <c r="Q82" s="6563"/>
      <c r="R82" s="36"/>
      <c r="S82" s="29"/>
      <c r="T82" s="29"/>
      <c r="U82" s="795"/>
      <c r="V82" s="6556"/>
      <c r="W82" s="6503"/>
      <c r="X82" s="6503"/>
      <c r="Y82" s="6503"/>
      <c r="Z82" s="6503"/>
      <c r="AA82" s="6503"/>
      <c r="AB82" s="6557"/>
      <c r="AD82" s="90">
        <v>40</v>
      </c>
      <c r="AE82" s="6740" t="s">
        <v>1579</v>
      </c>
      <c r="AF82" s="6740"/>
      <c r="AG82" s="6739" t="s">
        <v>1580</v>
      </c>
      <c r="AH82" s="6739"/>
      <c r="AI82" s="6739"/>
      <c r="AJ82" s="6739"/>
      <c r="AK82" s="6739"/>
      <c r="AL82" s="3696"/>
      <c r="AM82" s="29"/>
      <c r="AN82" s="2617"/>
      <c r="AO82" s="2617"/>
      <c r="AP82" s="2617"/>
      <c r="AQ82" s="2617"/>
      <c r="AR82" s="2617"/>
      <c r="AS82" s="2617"/>
      <c r="AT82" s="2617"/>
      <c r="AU82" s="2617"/>
      <c r="AV82" s="2617"/>
      <c r="AW82" s="2617"/>
      <c r="AX82" s="2617"/>
      <c r="AY82" s="2617"/>
      <c r="AZ82" s="2617"/>
      <c r="BA82" s="2617"/>
      <c r="BB82" s="2617"/>
      <c r="BC82" s="2617"/>
      <c r="BD82" s="2617"/>
      <c r="BE82" s="2617"/>
      <c r="BF82" s="2617"/>
      <c r="BG82" s="2617"/>
      <c r="BH82" s="2617"/>
      <c r="BI82" s="2617"/>
      <c r="BJ82" s="2617"/>
      <c r="BK82" s="2617"/>
      <c r="BL82" s="2617"/>
      <c r="BM82" s="530"/>
      <c r="BN82" s="530"/>
      <c r="BO82" s="530"/>
      <c r="BP82" s="530"/>
    </row>
    <row r="83" spans="1:68" ht="12" customHeight="1">
      <c r="A83" s="29"/>
      <c r="B83" s="443"/>
      <c r="C83" s="6561" t="str">
        <f>IF(SUM('Tablas psiquica'!AU52:AX90)=0,"",IF('Tablas psiquica'!A31&gt;MAX('Tablas psiquica'!AU52:AX90),"",VLOOKUP('Tablas psiquica'!A31,'Tablas psiquica'!AU52:AX90,2,FALSE)))</f>
        <v/>
      </c>
      <c r="D83" s="6545"/>
      <c r="E83" s="6545"/>
      <c r="F83" s="6549"/>
      <c r="G83" s="6562" t="str">
        <f>IF(SUM('Tablas psiquica'!AU52:AX90)=0,"",IF(Tablas!A30&gt;MAX('Tablas psiquica'!AU52:AX90),"",VLOOKUP(Tablas!A30,'Tablas psiquica'!AU52:AX90,4,FALSE)))</f>
        <v/>
      </c>
      <c r="H83" s="6547"/>
      <c r="I83" s="6547"/>
      <c r="J83" s="6547"/>
      <c r="K83" s="6547"/>
      <c r="L83" s="6547"/>
      <c r="M83" s="6547"/>
      <c r="N83" s="6547"/>
      <c r="O83" s="6547"/>
      <c r="P83" s="6547"/>
      <c r="Q83" s="6563"/>
      <c r="R83" s="36"/>
      <c r="S83" s="29"/>
      <c r="T83" s="29"/>
      <c r="U83" s="795"/>
      <c r="V83" s="6556"/>
      <c r="W83" s="6503"/>
      <c r="X83" s="6503"/>
      <c r="Y83" s="6503"/>
      <c r="Z83" s="6503"/>
      <c r="AA83" s="6503"/>
      <c r="AB83" s="6557"/>
      <c r="AD83" s="90">
        <v>80</v>
      </c>
      <c r="AE83" s="6740" t="s">
        <v>1582</v>
      </c>
      <c r="AF83" s="6740"/>
      <c r="AG83" s="6739" t="s">
        <v>1583</v>
      </c>
      <c r="AH83" s="6739"/>
      <c r="AI83" s="6739"/>
      <c r="AJ83" s="6739"/>
      <c r="AK83" s="6739"/>
      <c r="AL83" s="3696"/>
      <c r="AM83" s="29"/>
      <c r="AN83" s="2617"/>
      <c r="AO83" s="2617"/>
      <c r="AP83" s="2617"/>
      <c r="AQ83" s="2617"/>
      <c r="AR83" s="2617"/>
      <c r="AS83" s="2617"/>
      <c r="AT83" s="2617"/>
      <c r="AU83" s="2617"/>
      <c r="AV83" s="2617"/>
      <c r="AW83" s="2617"/>
      <c r="AX83" s="2617"/>
      <c r="AY83" s="2617"/>
      <c r="AZ83" s="2617"/>
      <c r="BA83" s="2617"/>
      <c r="BB83" s="2617"/>
      <c r="BC83" s="2617"/>
      <c r="BD83" s="2617"/>
      <c r="BE83" s="2617"/>
      <c r="BF83" s="2617"/>
      <c r="BG83" s="2617"/>
      <c r="BH83" s="2617"/>
      <c r="BI83" s="2617"/>
      <c r="BJ83" s="2617"/>
      <c r="BK83" s="2617"/>
      <c r="BL83" s="2617"/>
      <c r="BM83" s="530"/>
      <c r="BN83" s="530"/>
      <c r="BO83" s="530"/>
      <c r="BP83" s="530"/>
    </row>
    <row r="84" spans="1:68" ht="12" customHeight="1">
      <c r="A84" s="29"/>
      <c r="B84" s="443"/>
      <c r="C84" s="6561" t="str">
        <f>IF(SUM('Tablas psiquica'!AU53:AX91)=0,"",IF('Tablas psiquica'!A32&gt;MAX('Tablas psiquica'!AU53:AX91),"",VLOOKUP('Tablas psiquica'!A32,'Tablas psiquica'!AU53:AX91,2,FALSE)))</f>
        <v/>
      </c>
      <c r="D84" s="6545"/>
      <c r="E84" s="6545"/>
      <c r="F84" s="6549"/>
      <c r="G84" s="6562" t="str">
        <f>IF(SUM('Tablas psiquica'!AU53:AX91)=0,"",IF(Tablas!A31&gt;MAX('Tablas psiquica'!AU53:AX91),"",VLOOKUP(Tablas!A31,'Tablas psiquica'!AU53:AX91,4,FALSE)))</f>
        <v/>
      </c>
      <c r="H84" s="6547"/>
      <c r="I84" s="6547"/>
      <c r="J84" s="6547"/>
      <c r="K84" s="6547"/>
      <c r="L84" s="6547"/>
      <c r="M84" s="6547"/>
      <c r="N84" s="6547"/>
      <c r="O84" s="6547"/>
      <c r="P84" s="6547"/>
      <c r="Q84" s="6563"/>
      <c r="R84" s="36"/>
      <c r="S84" s="29"/>
      <c r="T84" s="29"/>
      <c r="U84" s="795"/>
      <c r="V84" s="6556"/>
      <c r="W84" s="6503"/>
      <c r="X84" s="6503"/>
      <c r="Y84" s="6503"/>
      <c r="Z84" s="6503"/>
      <c r="AA84" s="6503"/>
      <c r="AB84" s="6557"/>
      <c r="AD84" s="90">
        <v>120</v>
      </c>
      <c r="AE84" s="6740" t="s">
        <v>1585</v>
      </c>
      <c r="AF84" s="6740"/>
      <c r="AG84" s="6739" t="s">
        <v>1669</v>
      </c>
      <c r="AH84" s="6739"/>
      <c r="AI84" s="6739"/>
      <c r="AJ84" s="6739"/>
      <c r="AK84" s="6739"/>
      <c r="AL84" s="3696"/>
      <c r="AM84" s="29"/>
      <c r="AN84" s="2617"/>
      <c r="AO84" s="2617"/>
      <c r="AP84" s="2617"/>
      <c r="AQ84" s="2617"/>
      <c r="AR84" s="2617"/>
      <c r="AS84" s="2617"/>
      <c r="AT84" s="2617"/>
      <c r="AU84" s="2617"/>
      <c r="AV84" s="2617"/>
      <c r="AW84" s="2617"/>
      <c r="AX84" s="2617"/>
      <c r="AY84" s="2617"/>
      <c r="AZ84" s="2617"/>
      <c r="BA84" s="2617"/>
      <c r="BB84" s="2617"/>
      <c r="BC84" s="2617"/>
      <c r="BD84" s="2617"/>
      <c r="BE84" s="2617"/>
      <c r="BF84" s="2617"/>
      <c r="BG84" s="2617"/>
      <c r="BH84" s="2617"/>
      <c r="BI84" s="2617"/>
      <c r="BJ84" s="2617"/>
      <c r="BK84" s="2617"/>
      <c r="BL84" s="2617"/>
      <c r="BM84" s="530"/>
      <c r="BN84" s="530"/>
      <c r="BO84" s="530"/>
      <c r="BP84" s="530"/>
    </row>
    <row r="85" spans="1:68" ht="12" customHeight="1">
      <c r="A85" s="29"/>
      <c r="B85" s="443"/>
      <c r="C85" s="6561" t="str">
        <f>IF(SUM('Tablas psiquica'!AU54:AX92)=0,"",IF('Tablas psiquica'!A33&gt;MAX('Tablas psiquica'!AU54:AX92),"",VLOOKUP('Tablas psiquica'!A33,'Tablas psiquica'!AU54:AX92,2,FALSE)))</f>
        <v/>
      </c>
      <c r="D85" s="6545"/>
      <c r="E85" s="6545"/>
      <c r="F85" s="6549"/>
      <c r="G85" s="6562" t="str">
        <f>IF(SUM('Tablas psiquica'!AU54:AX92)=0,"",IF(Tablas!A32&gt;MAX('Tablas psiquica'!AU54:AX92),"",VLOOKUP(Tablas!A32,'Tablas psiquica'!AU54:AX92,4,FALSE)))</f>
        <v/>
      </c>
      <c r="H85" s="6547"/>
      <c r="I85" s="6547"/>
      <c r="J85" s="6547"/>
      <c r="K85" s="6547"/>
      <c r="L85" s="6547"/>
      <c r="M85" s="6547"/>
      <c r="N85" s="6547"/>
      <c r="O85" s="6547"/>
      <c r="P85" s="6547"/>
      <c r="Q85" s="6563"/>
      <c r="R85" s="36"/>
      <c r="S85" s="29"/>
      <c r="T85" s="29"/>
      <c r="U85" s="795"/>
      <c r="V85" s="6556"/>
      <c r="W85" s="6503"/>
      <c r="X85" s="6503"/>
      <c r="Y85" s="6503"/>
      <c r="Z85" s="6503"/>
      <c r="AA85" s="6503"/>
      <c r="AB85" s="6557"/>
      <c r="AD85" s="90">
        <v>140</v>
      </c>
      <c r="AE85" s="6740" t="s">
        <v>1587</v>
      </c>
      <c r="AF85" s="6740"/>
      <c r="AG85" s="6739" t="s">
        <v>1670</v>
      </c>
      <c r="AH85" s="6739"/>
      <c r="AI85" s="6739"/>
      <c r="AJ85" s="6739"/>
      <c r="AK85" s="6739"/>
      <c r="AL85" s="3696"/>
      <c r="AM85" s="29"/>
      <c r="AN85" s="2617"/>
      <c r="AO85" s="2617"/>
      <c r="AP85" s="2617"/>
      <c r="AQ85" s="2617"/>
      <c r="AR85" s="2617"/>
      <c r="AS85" s="2617"/>
      <c r="AT85" s="2617"/>
      <c r="AU85" s="2617"/>
      <c r="AV85" s="2617"/>
      <c r="AW85" s="2617"/>
      <c r="AX85" s="2617"/>
      <c r="AY85" s="2617"/>
      <c r="AZ85" s="2617"/>
      <c r="BA85" s="2617"/>
      <c r="BB85" s="2617"/>
      <c r="BC85" s="2617"/>
      <c r="BD85" s="2617"/>
      <c r="BE85" s="2617"/>
      <c r="BF85" s="2617"/>
      <c r="BG85" s="2617"/>
      <c r="BH85" s="2617"/>
      <c r="BI85" s="2617"/>
      <c r="BJ85" s="2617"/>
      <c r="BK85" s="2617"/>
      <c r="BL85" s="2617"/>
      <c r="BM85" s="530"/>
      <c r="BN85" s="530"/>
      <c r="BO85" s="530"/>
      <c r="BP85" s="530"/>
    </row>
    <row r="86" spans="1:68" ht="12" customHeight="1">
      <c r="A86" s="29"/>
      <c r="B86" s="443"/>
      <c r="C86" s="6561" t="str">
        <f>IF(SUM('Tablas psiquica'!AU55:AX93)=0,"",IF('Tablas psiquica'!A34&gt;MAX('Tablas psiquica'!AU55:AX93),"",VLOOKUP('Tablas psiquica'!A34,'Tablas psiquica'!AU55:AX93,2,FALSE)))</f>
        <v/>
      </c>
      <c r="D86" s="6545"/>
      <c r="E86" s="6545"/>
      <c r="F86" s="6549"/>
      <c r="G86" s="6562" t="str">
        <f>IF(SUM('Tablas psiquica'!AU55:AX93)=0,"",IF(Tablas!A33&gt;MAX('Tablas psiquica'!AU55:AX93),"",VLOOKUP(Tablas!A33,'Tablas psiquica'!AU55:AX93,4,FALSE)))</f>
        <v/>
      </c>
      <c r="H86" s="6547"/>
      <c r="I86" s="6547"/>
      <c r="J86" s="6547"/>
      <c r="K86" s="6547"/>
      <c r="L86" s="6547"/>
      <c r="M86" s="6547"/>
      <c r="N86" s="6547"/>
      <c r="O86" s="6547"/>
      <c r="P86" s="6547"/>
      <c r="Q86" s="6563"/>
      <c r="R86" s="36"/>
      <c r="S86" s="29"/>
      <c r="T86" s="29"/>
      <c r="U86" s="795"/>
      <c r="V86" s="6556"/>
      <c r="W86" s="6503"/>
      <c r="X86" s="6503"/>
      <c r="Y86" s="6503"/>
      <c r="Z86" s="6503"/>
      <c r="AA86" s="6503"/>
      <c r="AB86" s="6557"/>
      <c r="AD86" s="90">
        <v>180</v>
      </c>
      <c r="AE86" s="6740" t="s">
        <v>1589</v>
      </c>
      <c r="AF86" s="6740"/>
      <c r="AG86" s="6739" t="s">
        <v>1671</v>
      </c>
      <c r="AH86" s="6739"/>
      <c r="AI86" s="6739"/>
      <c r="AJ86" s="6739"/>
      <c r="AK86" s="6739"/>
      <c r="AL86" s="3696"/>
      <c r="AM86" s="29"/>
      <c r="AN86" s="2617"/>
      <c r="AO86" s="2617"/>
      <c r="AP86" s="2617"/>
      <c r="AQ86" s="2617"/>
      <c r="AR86" s="2617"/>
      <c r="AS86" s="2617"/>
      <c r="AT86" s="2617"/>
      <c r="AU86" s="2617"/>
      <c r="AV86" s="2617"/>
      <c r="AW86" s="2617"/>
      <c r="AX86" s="2617"/>
      <c r="AY86" s="2617"/>
      <c r="AZ86" s="2617"/>
      <c r="BA86" s="2617"/>
      <c r="BB86" s="2617"/>
      <c r="BC86" s="2617"/>
      <c r="BD86" s="2617"/>
      <c r="BE86" s="2617"/>
      <c r="BF86" s="2617"/>
      <c r="BG86" s="2617"/>
      <c r="BH86" s="2617"/>
      <c r="BI86" s="2617"/>
      <c r="BJ86" s="2617"/>
      <c r="BK86" s="2617"/>
      <c r="BL86" s="2617"/>
      <c r="BM86" s="530"/>
      <c r="BN86" s="530"/>
      <c r="BO86" s="530"/>
      <c r="BP86" s="530"/>
    </row>
    <row r="87" spans="1:68" ht="12" customHeight="1">
      <c r="A87" s="29"/>
      <c r="B87" s="443"/>
      <c r="C87" s="6544" t="str">
        <f>IF(SUM('Tablas psiquica'!AU56:AX94)=0,"",IF('Tablas psiquica'!A35&gt;MAX('Tablas psiquica'!AU56:AX94),"",VLOOKUP('Tablas psiquica'!A35,'Tablas psiquica'!AU56:AX94,2,FALSE)))</f>
        <v/>
      </c>
      <c r="D87" s="6545"/>
      <c r="E87" s="6545"/>
      <c r="F87" s="6549"/>
      <c r="G87" s="6546" t="str">
        <f>IF(SUM('Tablas psiquica'!AU56:AX94)=0,"",IF(Tablas!A34&gt;MAX('Tablas psiquica'!AU56:AX94),"",VLOOKUP(Tablas!A34,'Tablas psiquica'!AU56:AX94,4,FALSE)))</f>
        <v/>
      </c>
      <c r="H87" s="6547"/>
      <c r="I87" s="6547"/>
      <c r="J87" s="6547"/>
      <c r="K87" s="6547"/>
      <c r="L87" s="6547"/>
      <c r="M87" s="6547"/>
      <c r="N87" s="6547"/>
      <c r="O87" s="6547"/>
      <c r="P87" s="6547"/>
      <c r="Q87" s="6548"/>
      <c r="R87" s="36"/>
      <c r="S87" s="29"/>
      <c r="T87" s="29"/>
      <c r="U87" s="795"/>
      <c r="V87" s="6556"/>
      <c r="W87" s="6503"/>
      <c r="X87" s="6503"/>
      <c r="Y87" s="6503"/>
      <c r="Z87" s="6503"/>
      <c r="AA87" s="6503"/>
      <c r="AB87" s="6557"/>
      <c r="AD87" s="90">
        <v>240</v>
      </c>
      <c r="AE87" s="6740" t="s">
        <v>1591</v>
      </c>
      <c r="AF87" s="6740"/>
      <c r="AG87" s="6739" t="s">
        <v>1672</v>
      </c>
      <c r="AH87" s="6739"/>
      <c r="AI87" s="6739"/>
      <c r="AJ87" s="6739"/>
      <c r="AK87" s="6739"/>
      <c r="AL87" s="3696"/>
      <c r="AM87" s="29"/>
      <c r="AO87" s="530"/>
      <c r="AP87" s="530"/>
      <c r="AQ87" s="530"/>
      <c r="AR87" s="530"/>
      <c r="AS87" s="530"/>
      <c r="AT87" s="530"/>
      <c r="AU87" s="530"/>
      <c r="AV87" s="530"/>
      <c r="AW87" s="530"/>
      <c r="AX87" s="530"/>
      <c r="AY87" s="530"/>
      <c r="AZ87" s="530"/>
      <c r="BA87" s="530"/>
      <c r="BB87" s="530"/>
      <c r="BC87" s="530"/>
      <c r="BD87" s="530"/>
      <c r="BE87" s="530"/>
      <c r="BF87" s="530"/>
      <c r="BG87" s="530"/>
      <c r="BH87" s="530"/>
      <c r="BI87" s="530"/>
      <c r="BJ87" s="530"/>
      <c r="BK87" s="530"/>
      <c r="BL87" s="530"/>
      <c r="BM87" s="530"/>
      <c r="BN87" s="530"/>
      <c r="BO87" s="530"/>
      <c r="BP87" s="530"/>
    </row>
    <row r="88" spans="1:68" ht="12" customHeight="1">
      <c r="A88" s="29"/>
      <c r="B88" s="443"/>
      <c r="C88" s="6544" t="str">
        <f>IF(SUM('Tablas psiquica'!AU57:AX95)=0,"",IF('Tablas psiquica'!A36&gt;MAX('Tablas psiquica'!AU57:AX95),"",VLOOKUP('Tablas psiquica'!A36,'Tablas psiquica'!AU57:AX95,2,FALSE)))</f>
        <v/>
      </c>
      <c r="D88" s="6545"/>
      <c r="E88" s="6545"/>
      <c r="F88" s="6545"/>
      <c r="G88" s="6546" t="str">
        <f>IF(SUM('Tablas psiquica'!AU57:AX95)=0,"",IF(Tablas!A35&gt;MAX('Tablas psiquica'!AU57:AX95),"",VLOOKUP(Tablas!A35,'Tablas psiquica'!AU57:AX95,4,FALSE)))</f>
        <v/>
      </c>
      <c r="H88" s="6547"/>
      <c r="I88" s="6547"/>
      <c r="J88" s="6547"/>
      <c r="K88" s="6547"/>
      <c r="L88" s="6547"/>
      <c r="M88" s="6547"/>
      <c r="N88" s="6547"/>
      <c r="O88" s="6547"/>
      <c r="P88" s="6547"/>
      <c r="Q88" s="6548"/>
      <c r="R88" s="36"/>
      <c r="S88" s="29"/>
      <c r="T88" s="29"/>
      <c r="U88" s="795"/>
      <c r="V88" s="6556"/>
      <c r="W88" s="6503"/>
      <c r="X88" s="6503"/>
      <c r="Y88" s="6503"/>
      <c r="Z88" s="6503"/>
      <c r="AA88" s="6503"/>
      <c r="AB88" s="6557"/>
      <c r="AD88" s="90">
        <v>280</v>
      </c>
      <c r="AE88" s="6740" t="s">
        <v>1592</v>
      </c>
      <c r="AF88" s="6740"/>
      <c r="AG88" s="6739" t="s">
        <v>1673</v>
      </c>
      <c r="AH88" s="6739"/>
      <c r="AI88" s="6739"/>
      <c r="AJ88" s="6739"/>
      <c r="AK88" s="6739"/>
      <c r="AL88" s="3696"/>
      <c r="AM88" s="29"/>
      <c r="AO88" s="530"/>
      <c r="AP88" s="530"/>
      <c r="AQ88" s="530"/>
      <c r="AR88" s="530"/>
      <c r="AS88" s="530"/>
      <c r="AT88" s="530"/>
      <c r="AU88" s="530"/>
      <c r="AV88" s="530"/>
      <c r="AW88" s="530"/>
      <c r="AX88" s="530"/>
      <c r="AY88" s="530"/>
      <c r="AZ88" s="530"/>
      <c r="BA88" s="530"/>
      <c r="BB88" s="530"/>
      <c r="BC88" s="530"/>
      <c r="BD88" s="530"/>
      <c r="BE88" s="530"/>
      <c r="BF88" s="530"/>
      <c r="BG88" s="530"/>
      <c r="BH88" s="530"/>
      <c r="BI88" s="530"/>
      <c r="BJ88" s="530"/>
      <c r="BK88" s="530"/>
      <c r="BL88" s="530"/>
      <c r="BM88" s="530"/>
      <c r="BN88" s="530"/>
      <c r="BO88" s="530"/>
      <c r="BP88" s="530"/>
    </row>
    <row r="89" spans="1:68" ht="12" customHeight="1">
      <c r="A89" s="29"/>
      <c r="B89" s="443"/>
      <c r="C89" s="6544" t="str">
        <f>IF(SUM('Tablas psiquica'!AU58:AX96)=0,"",IF('Tablas psiquica'!A37&gt;MAX('Tablas psiquica'!AU58:AX96),"",VLOOKUP('Tablas psiquica'!A37,'Tablas psiquica'!AU58:AX96,2,FALSE)))</f>
        <v/>
      </c>
      <c r="D89" s="6545"/>
      <c r="E89" s="6545"/>
      <c r="F89" s="6545"/>
      <c r="G89" s="6546" t="str">
        <f>IF(SUM('Tablas psiquica'!AU58:AX96)=0,"",IF(Tablas!A36&gt;MAX('Tablas psiquica'!AU58:AX96),"",VLOOKUP(Tablas!A36,'Tablas psiquica'!AU58:AX96,4,FALSE)))</f>
        <v/>
      </c>
      <c r="H89" s="6547"/>
      <c r="I89" s="6547"/>
      <c r="J89" s="6547"/>
      <c r="K89" s="6547"/>
      <c r="L89" s="6547"/>
      <c r="M89" s="6547"/>
      <c r="N89" s="6547"/>
      <c r="O89" s="6547"/>
      <c r="P89" s="6547"/>
      <c r="Q89" s="6548"/>
      <c r="R89" s="36"/>
      <c r="S89" s="29"/>
      <c r="T89" s="29"/>
      <c r="U89" s="795"/>
      <c r="V89" s="6556"/>
      <c r="W89" s="6503"/>
      <c r="X89" s="6503"/>
      <c r="Y89" s="6503"/>
      <c r="Z89" s="6503"/>
      <c r="AA89" s="6503"/>
      <c r="AB89" s="6557"/>
      <c r="AD89" s="90">
        <v>320</v>
      </c>
      <c r="AE89" s="6740" t="s">
        <v>1594</v>
      </c>
      <c r="AF89" s="6740"/>
      <c r="AG89" s="6739" t="s">
        <v>1315</v>
      </c>
      <c r="AH89" s="6739"/>
      <c r="AI89" s="6739"/>
      <c r="AJ89" s="6739"/>
      <c r="AK89" s="6739"/>
      <c r="AL89" s="685"/>
      <c r="AM89" s="29"/>
      <c r="AO89" s="530"/>
      <c r="AP89" s="530"/>
      <c r="AQ89" s="530"/>
      <c r="AR89" s="530"/>
      <c r="AS89" s="530"/>
      <c r="AT89" s="530"/>
      <c r="AU89" s="530"/>
      <c r="AV89" s="530"/>
      <c r="AW89" s="530"/>
      <c r="AX89" s="530"/>
      <c r="AY89" s="530"/>
      <c r="AZ89" s="530"/>
      <c r="BA89" s="530"/>
      <c r="BB89" s="530"/>
      <c r="BC89" s="530"/>
      <c r="BD89" s="530"/>
      <c r="BE89" s="530"/>
      <c r="BF89" s="530"/>
      <c r="BG89" s="530"/>
      <c r="BH89" s="530"/>
      <c r="BI89" s="530"/>
      <c r="BJ89" s="530"/>
      <c r="BK89" s="530"/>
      <c r="BL89" s="530"/>
      <c r="BM89" s="530"/>
      <c r="BN89" s="530"/>
      <c r="BO89" s="530"/>
      <c r="BP89" s="530"/>
    </row>
    <row r="90" spans="1:68" ht="12" customHeight="1">
      <c r="A90" s="29"/>
      <c r="B90" s="443"/>
      <c r="C90" s="6544" t="str">
        <f>IF(SUM('Tablas psiquica'!AU59:AX97)=0,"",IF('Tablas psiquica'!A38&gt;MAX('Tablas psiquica'!AU59:AX97),"",VLOOKUP('Tablas psiquica'!A38,'Tablas psiquica'!AU59:AX97,2,FALSE)))</f>
        <v/>
      </c>
      <c r="D90" s="6545"/>
      <c r="E90" s="6545"/>
      <c r="F90" s="6545"/>
      <c r="G90" s="6546" t="str">
        <f>IF(SUM('Tablas psiquica'!AU59:AX97)=0,"",IF(Tablas!A37&gt;MAX('Tablas psiquica'!AU59:AX97),"",VLOOKUP(Tablas!A37,'Tablas psiquica'!AU59:AX97,4,FALSE)))</f>
        <v/>
      </c>
      <c r="H90" s="6547"/>
      <c r="I90" s="6547"/>
      <c r="J90" s="6547"/>
      <c r="K90" s="6547"/>
      <c r="L90" s="6547"/>
      <c r="M90" s="6547"/>
      <c r="N90" s="6547"/>
      <c r="O90" s="6547"/>
      <c r="P90" s="6547"/>
      <c r="Q90" s="6548"/>
      <c r="R90" s="36"/>
      <c r="S90" s="29"/>
      <c r="T90" s="29"/>
      <c r="U90" s="795"/>
      <c r="V90" s="6556"/>
      <c r="W90" s="6503"/>
      <c r="X90" s="6503"/>
      <c r="Y90" s="6503"/>
      <c r="Z90" s="6503"/>
      <c r="AA90" s="6503"/>
      <c r="AB90" s="6557"/>
      <c r="AD90" s="91">
        <v>440</v>
      </c>
      <c r="AE90" s="6758" t="s">
        <v>1537</v>
      </c>
      <c r="AF90" s="6758"/>
      <c r="AG90" s="6756" t="s">
        <v>1315</v>
      </c>
      <c r="AH90" s="6756"/>
      <c r="AI90" s="6756"/>
      <c r="AJ90" s="6756"/>
      <c r="AK90" s="6756"/>
      <c r="AL90" s="685"/>
      <c r="AM90" s="29"/>
      <c r="AO90" s="530"/>
      <c r="AP90" s="530"/>
      <c r="AQ90" s="530"/>
      <c r="AR90" s="530"/>
      <c r="AS90" s="530"/>
      <c r="AT90" s="530"/>
      <c r="AU90" s="530"/>
      <c r="AV90" s="530"/>
      <c r="AW90" s="530"/>
      <c r="AX90" s="530"/>
      <c r="AY90" s="530"/>
      <c r="AZ90" s="530"/>
      <c r="BA90" s="530"/>
      <c r="BB90" s="530"/>
      <c r="BC90" s="530"/>
      <c r="BD90" s="530"/>
      <c r="BE90" s="530"/>
      <c r="BF90" s="530"/>
      <c r="BG90" s="530"/>
      <c r="BH90" s="530"/>
      <c r="BI90" s="530"/>
      <c r="BJ90" s="530"/>
      <c r="BK90" s="530"/>
      <c r="BL90" s="530"/>
      <c r="BM90" s="530"/>
      <c r="BN90" s="530"/>
      <c r="BO90" s="530"/>
      <c r="BP90" s="530"/>
    </row>
    <row r="91" spans="1:68" ht="12" customHeight="1" thickBot="1">
      <c r="A91" s="29"/>
      <c r="B91" s="443"/>
      <c r="C91" s="6544" t="str">
        <f>IF(SUM('Tablas psiquica'!AU60:AX98)=0,"",IF('Tablas psiquica'!A39&gt;MAX('Tablas psiquica'!AU60:AX98),"",VLOOKUP('Tablas psiquica'!A39,'Tablas psiquica'!AU60:AX98,2,FALSE)))</f>
        <v/>
      </c>
      <c r="D91" s="6545"/>
      <c r="E91" s="6545"/>
      <c r="F91" s="6545"/>
      <c r="G91" s="6546" t="str">
        <f>IF(SUM('Tablas psiquica'!AU60:AX98)=0,"",IF(Tablas!A38&gt;MAX('Tablas psiquica'!AU60:AX98),"",VLOOKUP(Tablas!A38,'Tablas psiquica'!AU60:AX98,4,FALSE)))</f>
        <v/>
      </c>
      <c r="H91" s="6547"/>
      <c r="I91" s="6547"/>
      <c r="J91" s="6547"/>
      <c r="K91" s="6547"/>
      <c r="L91" s="6547"/>
      <c r="M91" s="6547"/>
      <c r="N91" s="6547"/>
      <c r="O91" s="6547"/>
      <c r="P91" s="6547"/>
      <c r="Q91" s="6548"/>
      <c r="R91" s="36"/>
      <c r="S91" s="29"/>
      <c r="T91" s="29"/>
      <c r="U91" s="795"/>
      <c r="V91" s="6556"/>
      <c r="W91" s="6503"/>
      <c r="X91" s="6503"/>
      <c r="Y91" s="6503"/>
      <c r="Z91" s="6503"/>
      <c r="AA91" s="6503"/>
      <c r="AB91" s="6557"/>
      <c r="AD91" s="6757"/>
      <c r="AE91" s="6757"/>
      <c r="AF91" s="6757"/>
      <c r="AG91" s="6757"/>
      <c r="AH91" s="6757"/>
      <c r="AI91" s="6757"/>
      <c r="AJ91" s="6757"/>
      <c r="AK91" s="6757"/>
      <c r="AL91" s="685"/>
      <c r="AM91" s="29"/>
      <c r="AO91" s="530"/>
      <c r="AP91" s="530"/>
      <c r="AQ91" s="530"/>
      <c r="AR91" s="530"/>
      <c r="AS91" s="530"/>
      <c r="AT91" s="530"/>
      <c r="AU91" s="530"/>
      <c r="AV91" s="530"/>
      <c r="AW91" s="530"/>
      <c r="AX91" s="530"/>
      <c r="AY91" s="530"/>
      <c r="AZ91" s="530"/>
      <c r="BA91" s="530"/>
      <c r="BB91" s="530"/>
      <c r="BC91" s="530"/>
      <c r="BD91" s="530"/>
      <c r="BE91" s="530"/>
      <c r="BF91" s="530"/>
      <c r="BG91" s="530"/>
      <c r="BH91" s="530"/>
      <c r="BI91" s="530"/>
      <c r="BJ91" s="530"/>
      <c r="BK91" s="530"/>
      <c r="BL91" s="530"/>
      <c r="BM91" s="530"/>
      <c r="BN91" s="530"/>
      <c r="BO91" s="530"/>
      <c r="BP91" s="530"/>
    </row>
    <row r="92" spans="1:68" ht="12" customHeight="1" thickBot="1">
      <c r="A92" s="29"/>
      <c r="B92" s="443"/>
      <c r="C92" s="6564" t="str">
        <f>IF(SUM('Tablas psiquica'!AU61:AX99)=0,"",IF('Tablas psiquica'!A40&gt;MAX('Tablas psiquica'!AU61:AX99),"",VLOOKUP('Tablas psiquica'!A40,'Tablas psiquica'!AU61:AX99,2,FALSE)))</f>
        <v/>
      </c>
      <c r="D92" s="6565"/>
      <c r="E92" s="6565"/>
      <c r="F92" s="6565"/>
      <c r="G92" s="6566" t="str">
        <f>IF(SUM('Tablas psiquica'!AU61:AX99)=0,"",IF(Tablas!A39&gt;MAX('Tablas psiquica'!AU61:AX99),"",VLOOKUP(Tablas!A39,'Tablas psiquica'!AU61:AX99,4,FALSE)))</f>
        <v/>
      </c>
      <c r="H92" s="6567"/>
      <c r="I92" s="6567"/>
      <c r="J92" s="6567"/>
      <c r="K92" s="6567"/>
      <c r="L92" s="6567"/>
      <c r="M92" s="6567"/>
      <c r="N92" s="6567"/>
      <c r="O92" s="6567"/>
      <c r="P92" s="6567"/>
      <c r="Q92" s="6568"/>
      <c r="R92" s="36"/>
      <c r="S92" s="29"/>
      <c r="T92" s="29"/>
      <c r="U92" s="795"/>
      <c r="V92" s="6558"/>
      <c r="W92" s="6559"/>
      <c r="X92" s="6559"/>
      <c r="Y92" s="6559"/>
      <c r="Z92" s="6559"/>
      <c r="AA92" s="6559"/>
      <c r="AB92" s="6560"/>
      <c r="AD92" s="6757"/>
      <c r="AE92" s="6757"/>
      <c r="AF92" s="6757"/>
      <c r="AG92" s="6757"/>
      <c r="AH92" s="6757"/>
      <c r="AI92" s="6757"/>
      <c r="AJ92" s="6757"/>
      <c r="AK92" s="6757"/>
      <c r="AL92" s="685"/>
      <c r="AM92" s="29"/>
      <c r="AO92" s="530"/>
      <c r="AP92" s="530"/>
      <c r="AQ92" s="530"/>
      <c r="AR92" s="530"/>
      <c r="AS92" s="530"/>
      <c r="AT92" s="530"/>
      <c r="AU92" s="530"/>
      <c r="AV92" s="530"/>
      <c r="AW92" s="530"/>
      <c r="AX92" s="530"/>
      <c r="AY92" s="530"/>
      <c r="AZ92" s="530"/>
      <c r="BA92" s="530"/>
      <c r="BB92" s="530"/>
      <c r="BC92" s="530"/>
      <c r="BD92" s="530"/>
      <c r="BE92" s="530"/>
      <c r="BF92" s="530"/>
      <c r="BG92" s="530"/>
      <c r="BH92" s="530"/>
      <c r="BI92" s="530"/>
      <c r="BJ92" s="530"/>
      <c r="BK92" s="530"/>
      <c r="BL92" s="530"/>
      <c r="BM92" s="530"/>
      <c r="BN92" s="530"/>
      <c r="BO92" s="530"/>
      <c r="BP92" s="530"/>
    </row>
    <row r="93" spans="1:68" ht="12" customHeight="1" thickBot="1">
      <c r="A93" s="29"/>
      <c r="B93" s="443"/>
      <c r="R93" s="36"/>
      <c r="S93" s="29"/>
      <c r="T93" s="2761"/>
      <c r="U93" s="528"/>
      <c r="V93" s="528"/>
      <c r="W93" s="528"/>
      <c r="X93" s="528"/>
      <c r="Y93" s="528"/>
      <c r="Z93" s="528"/>
      <c r="AA93" s="528"/>
      <c r="AB93" s="528"/>
      <c r="AC93" s="528"/>
      <c r="AD93" s="528"/>
      <c r="AE93" s="528"/>
      <c r="AF93" s="528"/>
      <c r="AG93" s="528"/>
      <c r="AH93" s="528"/>
      <c r="AI93" s="528"/>
      <c r="AJ93" s="528"/>
      <c r="AK93" s="528"/>
      <c r="AL93" s="688"/>
      <c r="AM93" s="29"/>
      <c r="AO93" s="530"/>
      <c r="AP93" s="530"/>
      <c r="AQ93" s="530"/>
      <c r="AR93" s="530"/>
      <c r="AS93" s="530"/>
      <c r="AT93" s="530"/>
      <c r="AU93" s="530"/>
      <c r="AV93" s="530"/>
      <c r="AW93" s="530"/>
      <c r="AX93" s="530"/>
      <c r="AY93" s="530"/>
      <c r="AZ93" s="530"/>
      <c r="BA93" s="530"/>
      <c r="BB93" s="530"/>
      <c r="BC93" s="530"/>
      <c r="BD93" s="530"/>
      <c r="BE93" s="530"/>
      <c r="BF93" s="530"/>
      <c r="BG93" s="530"/>
      <c r="BH93" s="530"/>
      <c r="BI93" s="530"/>
      <c r="BJ93" s="530"/>
      <c r="BK93" s="530"/>
      <c r="BL93" s="530"/>
      <c r="BM93" s="530"/>
      <c r="BN93" s="530"/>
      <c r="BO93" s="530"/>
      <c r="BP93" s="530"/>
    </row>
    <row r="94" spans="1:68" ht="12" customHeight="1">
      <c r="A94" s="29"/>
      <c r="B94" s="475"/>
      <c r="C94" s="475"/>
      <c r="D94" s="475"/>
      <c r="E94" s="475"/>
      <c r="F94" s="475"/>
      <c r="G94" s="475"/>
      <c r="H94" s="475"/>
      <c r="I94" s="475"/>
      <c r="J94" s="475"/>
      <c r="K94" s="475"/>
      <c r="L94" s="475"/>
      <c r="M94" s="475"/>
      <c r="N94" s="475"/>
      <c r="O94" s="475"/>
      <c r="P94" s="475"/>
      <c r="Q94" s="475"/>
      <c r="R94" s="475"/>
      <c r="S94" s="859"/>
      <c r="T94" s="859"/>
      <c r="U94" s="29"/>
      <c r="V94" s="29"/>
      <c r="W94" s="29"/>
      <c r="X94" s="29"/>
      <c r="Y94" s="29"/>
      <c r="Z94" s="29"/>
      <c r="AA94" s="29"/>
      <c r="AB94" s="29"/>
      <c r="AC94" s="29"/>
      <c r="AD94" s="29"/>
      <c r="AE94" s="29"/>
      <c r="AF94" s="29"/>
      <c r="AG94" s="29"/>
      <c r="AH94" s="29"/>
      <c r="AI94" s="29"/>
      <c r="AJ94" s="29"/>
      <c r="AK94" s="29"/>
      <c r="AL94" s="529"/>
      <c r="AM94" s="29"/>
      <c r="AO94" s="530"/>
      <c r="AP94" s="530"/>
      <c r="AQ94" s="530"/>
      <c r="AR94" s="530"/>
      <c r="AS94" s="530"/>
      <c r="AT94" s="530"/>
      <c r="AU94" s="530"/>
      <c r="AV94" s="530"/>
      <c r="AW94" s="530"/>
      <c r="AX94" s="530"/>
      <c r="AY94" s="530"/>
      <c r="AZ94" s="530"/>
      <c r="BA94" s="530"/>
      <c r="BB94" s="530"/>
      <c r="BC94" s="530"/>
      <c r="BD94" s="530"/>
      <c r="BE94" s="530"/>
    </row>
  </sheetData>
  <sheetProtection sheet="1" selectLockedCells="1"/>
  <mergeCells count="51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 ref="C77:F77"/>
    <mergeCell ref="G77:Q77"/>
    <mergeCell ref="C78:F78"/>
    <mergeCell ref="G78:Q78"/>
    <mergeCell ref="C79:F79"/>
    <mergeCell ref="G79:Q79"/>
    <mergeCell ref="C80:F80"/>
    <mergeCell ref="G80:Q80"/>
    <mergeCell ref="C81:F81"/>
    <mergeCell ref="G81:Q81"/>
    <mergeCell ref="C72:F72"/>
    <mergeCell ref="G72:Q72"/>
    <mergeCell ref="C73:F73"/>
    <mergeCell ref="G73:Q73"/>
    <mergeCell ref="C74:F74"/>
    <mergeCell ref="G74:Q74"/>
    <mergeCell ref="C75:F75"/>
    <mergeCell ref="G75:Q75"/>
    <mergeCell ref="C76:F76"/>
    <mergeCell ref="G76:Q76"/>
    <mergeCell ref="C67:F67"/>
    <mergeCell ref="G67:Q67"/>
    <mergeCell ref="C68:F68"/>
    <mergeCell ref="G68:Q68"/>
    <mergeCell ref="C69:F69"/>
    <mergeCell ref="G69:Q69"/>
    <mergeCell ref="C70:F70"/>
    <mergeCell ref="G70:Q70"/>
    <mergeCell ref="C71:F71"/>
    <mergeCell ref="G71:Q71"/>
    <mergeCell ref="C62:F62"/>
    <mergeCell ref="G62:Q62"/>
    <mergeCell ref="C63:F63"/>
    <mergeCell ref="G63:Q63"/>
    <mergeCell ref="C64:F64"/>
    <mergeCell ref="G64:Q64"/>
    <mergeCell ref="C65:F65"/>
    <mergeCell ref="G65:Q65"/>
    <mergeCell ref="C66:F66"/>
    <mergeCell ref="G66:Q66"/>
    <mergeCell ref="C57:F57"/>
    <mergeCell ref="G57:Q57"/>
    <mergeCell ref="C58:F58"/>
    <mergeCell ref="G58:Q58"/>
    <mergeCell ref="C59:F59"/>
    <mergeCell ref="G59:Q59"/>
    <mergeCell ref="C60:F60"/>
    <mergeCell ref="G60:Q60"/>
    <mergeCell ref="C61:F61"/>
    <mergeCell ref="G61:Q61"/>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AL22:AL23"/>
    <mergeCell ref="AL20:AL21"/>
    <mergeCell ref="AL76:AL77"/>
    <mergeCell ref="AL74:AL75"/>
    <mergeCell ref="AL72:AL73"/>
    <mergeCell ref="AL70:AL71"/>
    <mergeCell ref="AL68:AL69"/>
    <mergeCell ref="AL66:AL67"/>
    <mergeCell ref="AL64:AL65"/>
    <mergeCell ref="AL50:AL51"/>
    <mergeCell ref="AL52:AL53"/>
  </mergeCells>
  <phoneticPr fontId="9" type="noConversion"/>
  <conditionalFormatting sqref="E12:F13">
    <cfRule type="cellIs" dxfId="2085" priority="222" stopIfTrue="1" operator="greaterThan">
      <formula>$C$12</formula>
    </cfRule>
  </conditionalFormatting>
  <conditionalFormatting sqref="AI20:AI77">
    <cfRule type="expression" dxfId="2084" priority="6038">
      <formula>$AI20&gt;5</formula>
    </cfRule>
  </conditionalFormatting>
  <conditionalFormatting sqref="AO12:AP12">
    <cfRule type="expression" dxfId="2083" priority="7129">
      <formula>AND($AO$12="AGI y DES",$AR$9&lt;&gt;"AGI_DES_AMBOS")</formula>
    </cfRule>
  </conditionalFormatting>
  <conditionalFormatting sqref="AD12:AF12">
    <cfRule type="expression" dxfId="2082"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2081" priority="10173">
      <formula>COUNTIF($V$20:$Z$79,$AD20)=0</formula>
    </cfRule>
  </conditionalFormatting>
  <conditionalFormatting sqref="AK20:AK77">
    <cfRule type="expression" dxfId="2080" priority="10200" stopIfTrue="1">
      <formula>COUNTIF($V$20:$Z$79,$AD20)=0</formula>
    </cfRule>
  </conditionalFormatting>
  <conditionalFormatting sqref="AD74:AH74">
    <cfRule type="expression" dxfId="2079" priority="36">
      <formula>COUNTIF($V$20:$Z$79,$AD74)=0</formula>
    </cfRule>
  </conditionalFormatting>
  <conditionalFormatting sqref="AD76:AH76">
    <cfRule type="expression" dxfId="2078" priority="35">
      <formula>COUNTIF($V$20:$Z$79,$AD76)=0</formula>
    </cfRule>
  </conditionalFormatting>
  <conditionalFormatting sqref="AB20:AB21">
    <cfRule type="expression" dxfId="2077" priority="34">
      <formula>$AB$20=0</formula>
    </cfRule>
  </conditionalFormatting>
  <conditionalFormatting sqref="AB22:AB23">
    <cfRule type="expression" dxfId="2076" priority="33">
      <formula>$AB$22=0</formula>
    </cfRule>
  </conditionalFormatting>
  <conditionalFormatting sqref="AB24:AB25">
    <cfRule type="expression" dxfId="2075" priority="32">
      <formula>$AB$24=0</formula>
    </cfRule>
  </conditionalFormatting>
  <conditionalFormatting sqref="AB26:AB27">
    <cfRule type="expression" dxfId="2074" priority="31">
      <formula>$AB$26=0</formula>
    </cfRule>
  </conditionalFormatting>
  <conditionalFormatting sqref="AB28:AB29">
    <cfRule type="expression" dxfId="2073" priority="30">
      <formula>$AB$28=0</formula>
    </cfRule>
  </conditionalFormatting>
  <conditionalFormatting sqref="AB30:AB31">
    <cfRule type="expression" dxfId="2072" priority="29">
      <formula>$AB$30=0</formula>
    </cfRule>
  </conditionalFormatting>
  <conditionalFormatting sqref="AB32:AB33">
    <cfRule type="expression" dxfId="2071" priority="28">
      <formula>$AB$32=0</formula>
    </cfRule>
  </conditionalFormatting>
  <conditionalFormatting sqref="AB34:AB35">
    <cfRule type="expression" dxfId="2070" priority="27">
      <formula>$AB$34=0</formula>
    </cfRule>
  </conditionalFormatting>
  <conditionalFormatting sqref="AB36:AB37">
    <cfRule type="expression" dxfId="2069" priority="26">
      <formula>$AB$36=0</formula>
    </cfRule>
  </conditionalFormatting>
  <conditionalFormatting sqref="AB38:AB39">
    <cfRule type="expression" dxfId="2068" priority="25">
      <formula>$AB$38=0</formula>
    </cfRule>
  </conditionalFormatting>
  <conditionalFormatting sqref="AB40:AB41">
    <cfRule type="expression" dxfId="2067" priority="24">
      <formula>$AB$40=0</formula>
    </cfRule>
  </conditionalFormatting>
  <conditionalFormatting sqref="AB42:AB43">
    <cfRule type="expression" dxfId="2066" priority="23">
      <formula>$AB$42=0</formula>
    </cfRule>
  </conditionalFormatting>
  <conditionalFormatting sqref="AB44:AB45">
    <cfRule type="expression" dxfId="2065" priority="22">
      <formula>$AB$44=0</formula>
    </cfRule>
  </conditionalFormatting>
  <conditionalFormatting sqref="AB46:AB47">
    <cfRule type="expression" dxfId="2064" priority="21">
      <formula>$AB$46=0</formula>
    </cfRule>
  </conditionalFormatting>
  <conditionalFormatting sqref="AB48:AB49">
    <cfRule type="expression" dxfId="2063" priority="20">
      <formula>$AB$48=0</formula>
    </cfRule>
  </conditionalFormatting>
  <conditionalFormatting sqref="AB50:AB51">
    <cfRule type="expression" dxfId="2062" priority="19">
      <formula>$AB$50=0</formula>
    </cfRule>
  </conditionalFormatting>
  <conditionalFormatting sqref="AB52:AB53">
    <cfRule type="expression" dxfId="2061" priority="18">
      <formula>$AB$52=0</formula>
    </cfRule>
  </conditionalFormatting>
  <conditionalFormatting sqref="AB54:AB55">
    <cfRule type="expression" dxfId="2060" priority="17">
      <formula>$AB$54=0</formula>
    </cfRule>
  </conditionalFormatting>
  <conditionalFormatting sqref="AB56:AB57">
    <cfRule type="expression" dxfId="2059" priority="16">
      <formula>$AB$56=0</formula>
    </cfRule>
  </conditionalFormatting>
  <conditionalFormatting sqref="AB58:AB59">
    <cfRule type="expression" dxfId="2058" priority="15">
      <formula>$AB$58=0</formula>
    </cfRule>
  </conditionalFormatting>
  <conditionalFormatting sqref="AB60:AB61">
    <cfRule type="expression" dxfId="2057" priority="14">
      <formula>$AB$60=0</formula>
    </cfRule>
  </conditionalFormatting>
  <conditionalFormatting sqref="AB62:AB63">
    <cfRule type="expression" dxfId="2056" priority="13">
      <formula>$AB$62=0</formula>
    </cfRule>
  </conditionalFormatting>
  <conditionalFormatting sqref="AB64:AB65">
    <cfRule type="expression" dxfId="2055" priority="12">
      <formula>$AB$64=0</formula>
    </cfRule>
  </conditionalFormatting>
  <conditionalFormatting sqref="AB66:AB67">
    <cfRule type="expression" dxfId="2054" priority="11">
      <formula>$AB$66=0</formula>
    </cfRule>
  </conditionalFormatting>
  <conditionalFormatting sqref="AB68:AB69">
    <cfRule type="expression" dxfId="2053" priority="10">
      <formula>$AB$68=0</formula>
    </cfRule>
  </conditionalFormatting>
  <conditionalFormatting sqref="AB70:AB71">
    <cfRule type="expression" dxfId="2052" priority="9">
      <formula>$AB$70=0</formula>
    </cfRule>
  </conditionalFormatting>
  <conditionalFormatting sqref="AB72:AB73">
    <cfRule type="expression" dxfId="2051" priority="7">
      <formula>$AB$72=0</formula>
    </cfRule>
  </conditionalFormatting>
  <conditionalFormatting sqref="AB74:AB75">
    <cfRule type="expression" dxfId="2050" priority="6">
      <formula>$AB$74=0</formula>
    </cfRule>
  </conditionalFormatting>
  <conditionalFormatting sqref="AB76:AB77">
    <cfRule type="expression" dxfId="2049" priority="5">
      <formula>$AB$76=0</formula>
    </cfRule>
  </conditionalFormatting>
  <conditionalFormatting sqref="AN9:AQ13">
    <cfRule type="expression" dxfId="2048"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Tablas!$L$1204:$L$1213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topLeftCell="A16" zoomScaleNormal="100" workbookViewId="0">
      <selection activeCell="T6" sqref="T6:U7"/>
    </sheetView>
  </sheetViews>
  <sheetFormatPr baseColWidth="10" defaultColWidth="5.7109375" defaultRowHeight="12" customHeight="1"/>
  <cols>
    <col min="1" max="1" width="1.7109375" style="505" customWidth="1"/>
    <col min="2" max="2" width="5.85546875" style="2992" customWidth="1"/>
    <col min="3" max="3" width="5.7109375" style="2992" customWidth="1"/>
    <col min="4" max="4" width="5.7109375" style="21" customWidth="1"/>
    <col min="5" max="6" width="3.7109375" style="21" customWidth="1"/>
    <col min="7" max="16" width="5.7109375" style="21"/>
    <col min="17" max="18" width="5.7109375" style="21" customWidth="1"/>
    <col min="19" max="23" width="5.7109375" style="21"/>
    <col min="24" max="24" width="5.7109375" style="21" customWidth="1"/>
    <col min="25" max="34" width="5.7109375" style="21"/>
    <col min="35" max="36" width="3.7109375" style="21" customWidth="1"/>
    <col min="37" max="38" width="5.7109375" style="21"/>
    <col min="39" max="39" width="5.7109375" style="21" customWidth="1"/>
    <col min="40" max="40" width="1.7109375" style="21" customWidth="1"/>
    <col min="41" max="42" width="5.7109375" style="21"/>
    <col min="43" max="43" width="7.140625" style="21" bestFit="1" customWidth="1"/>
    <col min="44" max="16384" width="5.7109375" style="21"/>
  </cols>
  <sheetData>
    <row r="1" spans="1:48" ht="12" customHeight="1" thickBot="1">
      <c r="A1" s="442">
        <v>5</v>
      </c>
      <c r="B1" s="2812"/>
      <c r="C1" s="2812"/>
      <c r="D1" s="92"/>
      <c r="E1" s="92"/>
      <c r="F1" s="92"/>
      <c r="G1" s="92"/>
      <c r="H1" s="92"/>
      <c r="I1" s="92"/>
      <c r="J1" s="92"/>
      <c r="K1" s="92"/>
      <c r="L1" s="92"/>
      <c r="M1" s="92"/>
      <c r="N1" s="92"/>
      <c r="O1" s="92"/>
      <c r="P1" s="92"/>
      <c r="Q1" s="92"/>
      <c r="R1" s="92"/>
      <c r="S1" s="92"/>
      <c r="T1" s="92"/>
      <c r="U1" s="92"/>
      <c r="V1" s="92"/>
      <c r="W1" s="92"/>
      <c r="X1" s="92"/>
      <c r="Y1" s="92"/>
      <c r="Z1" s="29"/>
      <c r="AA1" s="29"/>
      <c r="AB1" s="29"/>
      <c r="AC1" s="29"/>
      <c r="AD1" s="29"/>
      <c r="AE1" s="29"/>
      <c r="AF1" s="1554"/>
      <c r="AG1" s="1554"/>
      <c r="AH1" s="1554"/>
      <c r="AI1" s="1554"/>
      <c r="AJ1" s="1554"/>
      <c r="AK1" s="1554"/>
      <c r="AL1" s="1554"/>
      <c r="AM1" s="1554"/>
      <c r="AN1" s="1554"/>
      <c r="AO1" s="2265" t="s">
        <v>8292</v>
      </c>
      <c r="AP1" s="530"/>
      <c r="AQ1" s="530"/>
      <c r="AR1" s="530"/>
      <c r="AS1" s="530"/>
      <c r="AT1" s="708"/>
      <c r="AU1" s="708"/>
      <c r="AV1" s="708"/>
    </row>
    <row r="2" spans="1:48" ht="12" customHeight="1" thickBot="1">
      <c r="A2" s="442">
        <v>10</v>
      </c>
      <c r="B2" s="2813"/>
      <c r="C2" s="2814"/>
      <c r="D2" s="2815"/>
      <c r="E2" s="2815"/>
      <c r="F2" s="2815"/>
      <c r="G2" s="2815"/>
      <c r="H2" s="2815"/>
      <c r="I2" s="2815"/>
      <c r="J2" s="2815"/>
      <c r="K2" s="2815"/>
      <c r="L2" s="2815"/>
      <c r="M2" s="2815"/>
      <c r="N2" s="2815"/>
      <c r="O2" s="2815"/>
      <c r="P2" s="2815"/>
      <c r="Q2" s="2815"/>
      <c r="R2" s="2815"/>
      <c r="S2" s="2815"/>
      <c r="T2" s="2815"/>
      <c r="U2" s="2815"/>
      <c r="V2" s="2815"/>
      <c r="W2" s="2815"/>
      <c r="X2" s="2815"/>
      <c r="Y2" s="2815"/>
      <c r="Z2" s="2816"/>
      <c r="AA2" s="2816"/>
      <c r="AB2" s="2816"/>
      <c r="AC2" s="2816"/>
      <c r="AD2" s="2816"/>
      <c r="AE2" s="2816"/>
      <c r="AF2" s="2817"/>
      <c r="AG2" s="2817"/>
      <c r="AH2" s="2817"/>
      <c r="AI2" s="2817"/>
      <c r="AJ2" s="2817"/>
      <c r="AK2" s="2817"/>
      <c r="AL2" s="2817"/>
      <c r="AM2" s="2818"/>
      <c r="AN2" s="1554"/>
      <c r="AO2" s="530"/>
      <c r="AP2" s="530"/>
      <c r="AQ2" s="530"/>
      <c r="AR2" s="530"/>
      <c r="AS2" s="530"/>
      <c r="AT2" s="708"/>
      <c r="AU2" s="708"/>
      <c r="AV2" s="708"/>
    </row>
    <row r="3" spans="1:48" ht="12" customHeight="1" thickBot="1">
      <c r="A3" s="442">
        <v>15</v>
      </c>
      <c r="B3" s="2819"/>
      <c r="C3" s="2820"/>
      <c r="D3" s="2821"/>
      <c r="E3" s="6834"/>
      <c r="F3" s="6835"/>
      <c r="G3" s="6835"/>
      <c r="H3" s="6835"/>
      <c r="I3" s="6835"/>
      <c r="J3" s="6835"/>
      <c r="K3" s="2822"/>
      <c r="L3" s="2823"/>
      <c r="M3" s="2823"/>
      <c r="N3" s="2823"/>
      <c r="O3" s="2823"/>
      <c r="P3" s="2823"/>
      <c r="Q3" s="2823"/>
      <c r="R3" s="2823"/>
      <c r="S3" s="2823"/>
      <c r="T3" s="2823"/>
      <c r="U3" s="2823"/>
      <c r="V3" s="2823"/>
      <c r="W3" s="2823"/>
      <c r="X3" s="2823"/>
      <c r="Y3" s="2823"/>
      <c r="Z3" s="2824"/>
      <c r="AA3" s="2824"/>
      <c r="AB3" s="2824"/>
      <c r="AC3" s="2824"/>
      <c r="AD3" s="2824"/>
      <c r="AE3" s="2822"/>
      <c r="AF3" s="2825"/>
      <c r="AG3" s="2825"/>
      <c r="AH3" s="2825"/>
      <c r="AI3" s="2825"/>
      <c r="AJ3" s="2825"/>
      <c r="AK3" s="2825"/>
      <c r="AL3" s="2826"/>
      <c r="AM3" s="1559"/>
      <c r="AN3" s="1554"/>
      <c r="AO3" s="708"/>
      <c r="AP3" s="708"/>
      <c r="AQ3" s="708"/>
      <c r="AR3" s="708"/>
      <c r="AS3" s="708"/>
      <c r="AT3" s="708"/>
      <c r="AU3" s="708"/>
      <c r="AV3" s="708"/>
    </row>
    <row r="4" spans="1:48" ht="12" customHeight="1" thickBot="1">
      <c r="A4" s="442">
        <v>20</v>
      </c>
      <c r="B4" s="2819"/>
      <c r="C4" s="2827"/>
      <c r="D4" s="2828"/>
      <c r="E4" s="6834"/>
      <c r="F4" s="6835"/>
      <c r="G4" s="6835"/>
      <c r="H4" s="6835"/>
      <c r="I4" s="6835"/>
      <c r="J4" s="6835"/>
      <c r="K4" s="9"/>
      <c r="L4" s="92"/>
      <c r="M4" s="92"/>
      <c r="N4" s="92"/>
      <c r="O4" s="92"/>
      <c r="P4" s="92"/>
      <c r="Q4" s="92"/>
      <c r="R4" s="92"/>
      <c r="S4" s="92"/>
      <c r="T4" s="6815" t="s">
        <v>9964</v>
      </c>
      <c r="U4" s="6816"/>
      <c r="V4" s="92"/>
      <c r="W4" s="92"/>
      <c r="X4" s="92"/>
      <c r="Y4" s="92"/>
      <c r="Z4" s="29"/>
      <c r="AA4" s="29"/>
      <c r="AB4" s="29"/>
      <c r="AC4" s="29"/>
      <c r="AD4" s="6824" t="s">
        <v>1184</v>
      </c>
      <c r="AE4" s="6824"/>
      <c r="AF4" s="6825" t="str">
        <f>IF(OR(General!$F$22="",General!$F$22=0),"",General!$F$22)</f>
        <v/>
      </c>
      <c r="AG4" s="6825"/>
      <c r="AH4" s="6825"/>
      <c r="AI4" s="3594"/>
      <c r="AJ4" s="3594"/>
      <c r="AK4" s="3594"/>
      <c r="AL4" s="1560"/>
      <c r="AM4" s="1559"/>
      <c r="AN4" s="1554"/>
      <c r="AO4" s="708"/>
      <c r="AP4" s="708"/>
      <c r="AQ4" s="708"/>
      <c r="AR4" s="708"/>
      <c r="AS4" s="708"/>
      <c r="AT4" s="708"/>
      <c r="AU4" s="708"/>
      <c r="AV4" s="708"/>
    </row>
    <row r="5" spans="1:48" ht="12" customHeight="1" thickBot="1">
      <c r="A5" s="442">
        <v>25</v>
      </c>
      <c r="B5" s="2819"/>
      <c r="C5" s="2827"/>
      <c r="D5" s="2828"/>
      <c r="E5" s="6834"/>
      <c r="F5" s="6835"/>
      <c r="G5" s="6835"/>
      <c r="H5" s="6835"/>
      <c r="I5" s="6835"/>
      <c r="J5" s="6835"/>
      <c r="K5" s="9"/>
      <c r="L5" s="92"/>
      <c r="M5" s="92"/>
      <c r="N5" s="92"/>
      <c r="O5" s="92"/>
      <c r="P5" s="92"/>
      <c r="Q5" s="92"/>
      <c r="R5" s="442" t="s">
        <v>2422</v>
      </c>
      <c r="S5" s="92"/>
      <c r="T5" s="6817"/>
      <c r="U5" s="6818"/>
      <c r="V5" s="92"/>
      <c r="W5" s="92"/>
      <c r="X5" s="92"/>
      <c r="Y5" s="92"/>
      <c r="Z5" s="29"/>
      <c r="AA5" s="29"/>
      <c r="AB5" s="29"/>
      <c r="AC5" s="29"/>
      <c r="AD5" s="6824" t="s">
        <v>1185</v>
      </c>
      <c r="AE5" s="6824"/>
      <c r="AF5" s="6823" t="str">
        <f>IF(LEN(PDs!$E$11)&lt;=General!$AO$5,PDs!$E$11,"… /"&amp;RIGHT(PDs!$E$11,General!$AO$5-FIND("/",RIGHT(PDs!$E$11,General!$AO$5))))</f>
        <v/>
      </c>
      <c r="AG5" s="6823"/>
      <c r="AH5" s="6823"/>
      <c r="AI5" s="2829"/>
      <c r="AJ5" s="2005" t="s">
        <v>1186</v>
      </c>
      <c r="AK5" s="2006">
        <f>PDs!S7</f>
        <v>1</v>
      </c>
      <c r="AL5" s="1561"/>
      <c r="AM5" s="1559"/>
      <c r="AN5" s="1554"/>
      <c r="AO5" s="708"/>
      <c r="AP5" s="708"/>
      <c r="AQ5" s="708"/>
      <c r="AR5" s="708"/>
      <c r="AS5" s="708"/>
      <c r="AT5" s="708"/>
      <c r="AU5" s="708"/>
      <c r="AV5" s="708"/>
    </row>
    <row r="6" spans="1:48" ht="12" customHeight="1" thickBot="1">
      <c r="A6" s="3708"/>
      <c r="B6" s="2830"/>
      <c r="C6" s="2831"/>
      <c r="D6" s="2832"/>
      <c r="E6" s="6834"/>
      <c r="F6" s="6835"/>
      <c r="G6" s="6835"/>
      <c r="H6" s="6835"/>
      <c r="I6" s="6835"/>
      <c r="J6" s="6835"/>
      <c r="K6" s="9"/>
      <c r="L6" s="92"/>
      <c r="M6" s="92"/>
      <c r="N6" s="92"/>
      <c r="O6" s="92"/>
      <c r="P6" s="92"/>
      <c r="Q6" s="92"/>
      <c r="R6" s="442" t="s">
        <v>1241</v>
      </c>
      <c r="S6" s="92"/>
      <c r="T6" s="6819" t="s">
        <v>2422</v>
      </c>
      <c r="U6" s="6820"/>
      <c r="V6" s="92"/>
      <c r="W6" s="442" t="b">
        <f>T6="Sí"</f>
        <v>1</v>
      </c>
      <c r="X6" s="92"/>
      <c r="Y6" s="92"/>
      <c r="Z6" s="29"/>
      <c r="AA6" s="29"/>
      <c r="AB6" s="29"/>
      <c r="AC6" s="29"/>
      <c r="AD6" s="29"/>
      <c r="AE6" s="4362" t="s">
        <v>10159</v>
      </c>
      <c r="AF6" s="6512"/>
      <c r="AG6" s="6512"/>
      <c r="AH6" s="6512"/>
      <c r="AI6" s="6512"/>
      <c r="AJ6" s="6512"/>
      <c r="AK6" s="6512"/>
      <c r="AL6" s="1561"/>
      <c r="AM6" s="1559"/>
      <c r="AN6" s="1554"/>
      <c r="AO6" s="708"/>
      <c r="AP6" s="708"/>
      <c r="AQ6" s="708"/>
      <c r="AR6" s="708"/>
      <c r="AS6" s="708"/>
      <c r="AT6" s="708"/>
      <c r="AU6" s="708"/>
      <c r="AV6" s="708"/>
    </row>
    <row r="7" spans="1:48" ht="12" customHeight="1" thickBot="1">
      <c r="A7" s="3709"/>
      <c r="B7" s="2833"/>
      <c r="C7" s="2834"/>
      <c r="D7" s="2835"/>
      <c r="E7" s="6834"/>
      <c r="F7" s="6835"/>
      <c r="G7" s="6835"/>
      <c r="H7" s="6835"/>
      <c r="I7" s="6835"/>
      <c r="J7" s="6835"/>
      <c r="K7" s="9"/>
      <c r="L7" s="92"/>
      <c r="M7" s="92"/>
      <c r="N7" s="92"/>
      <c r="O7" s="92"/>
      <c r="P7" s="92"/>
      <c r="Q7" s="92"/>
      <c r="R7" s="92"/>
      <c r="S7" s="92"/>
      <c r="T7" s="6821"/>
      <c r="U7" s="6822"/>
      <c r="V7" s="92"/>
      <c r="W7" s="92"/>
      <c r="X7" s="92"/>
      <c r="Y7" s="92"/>
      <c r="Z7" s="29"/>
      <c r="AA7" s="29"/>
      <c r="AB7" s="29"/>
      <c r="AC7" s="29"/>
      <c r="AD7" s="29"/>
      <c r="AE7" s="4362"/>
      <c r="AF7" s="6512"/>
      <c r="AG7" s="6512"/>
      <c r="AH7" s="6512"/>
      <c r="AI7" s="6512"/>
      <c r="AJ7" s="6512"/>
      <c r="AK7" s="6512"/>
      <c r="AL7" s="1561"/>
      <c r="AM7" s="1559"/>
      <c r="AN7" s="1554"/>
      <c r="AO7" s="708"/>
      <c r="AP7" s="708"/>
      <c r="AQ7" s="708"/>
      <c r="AR7" s="708"/>
      <c r="AS7" s="708"/>
      <c r="AT7" s="708"/>
      <c r="AU7" s="708"/>
      <c r="AV7" s="708"/>
    </row>
    <row r="8" spans="1:48" ht="12" customHeight="1" thickBot="1">
      <c r="A8" s="3709"/>
      <c r="B8" s="2833"/>
      <c r="C8" s="2836"/>
      <c r="D8" s="2837"/>
      <c r="E8" s="6834"/>
      <c r="F8" s="6835"/>
      <c r="G8" s="6835"/>
      <c r="H8" s="6835"/>
      <c r="I8" s="6835"/>
      <c r="J8" s="6835"/>
      <c r="K8" s="2838"/>
      <c r="L8" s="2839"/>
      <c r="M8" s="2839"/>
      <c r="N8" s="2839"/>
      <c r="O8" s="2839"/>
      <c r="P8" s="2839"/>
      <c r="Q8" s="2839"/>
      <c r="R8" s="2839"/>
      <c r="S8" s="2839"/>
      <c r="T8" s="2839"/>
      <c r="U8" s="2839"/>
      <c r="V8" s="2839"/>
      <c r="W8" s="2839"/>
      <c r="X8" s="2839"/>
      <c r="Y8" s="2839"/>
      <c r="Z8" s="2840"/>
      <c r="AA8" s="2840"/>
      <c r="AB8" s="2840"/>
      <c r="AC8" s="2840"/>
      <c r="AD8" s="2840"/>
      <c r="AE8" s="2838"/>
      <c r="AF8" s="2841"/>
      <c r="AG8" s="2841"/>
      <c r="AH8" s="2841"/>
      <c r="AI8" s="2841"/>
      <c r="AJ8" s="2841"/>
      <c r="AK8" s="2841"/>
      <c r="AL8" s="2842"/>
      <c r="AM8" s="1559"/>
      <c r="AN8" s="1554"/>
      <c r="AO8" s="708"/>
      <c r="AP8" s="708"/>
      <c r="AQ8" s="708"/>
      <c r="AR8" s="708"/>
      <c r="AS8" s="708"/>
      <c r="AT8" s="708"/>
      <c r="AU8" s="708"/>
      <c r="AV8" s="708"/>
    </row>
    <row r="9" spans="1:48" ht="12" customHeight="1">
      <c r="A9" s="3710"/>
      <c r="B9" s="2843"/>
      <c r="C9" s="2844"/>
      <c r="D9" s="2845"/>
      <c r="E9" s="26"/>
      <c r="F9" s="26"/>
      <c r="G9" s="26"/>
      <c r="AF9" s="1543"/>
      <c r="AG9" s="1543"/>
      <c r="AH9" s="1543"/>
      <c r="AI9" s="1543"/>
      <c r="AJ9" s="1543"/>
      <c r="AK9" s="1543"/>
      <c r="AL9" s="1543"/>
      <c r="AM9" s="1559"/>
      <c r="AN9" s="1554"/>
      <c r="AO9" s="708"/>
      <c r="AP9" s="708"/>
      <c r="AQ9" s="708"/>
      <c r="AR9" s="708"/>
      <c r="AS9" s="708"/>
      <c r="AT9" s="708"/>
      <c r="AU9" s="708"/>
      <c r="AV9" s="708"/>
    </row>
    <row r="10" spans="1:48" ht="12" customHeight="1">
      <c r="A10" s="2846"/>
      <c r="B10" s="2847"/>
      <c r="C10" s="2847"/>
      <c r="D10" s="27"/>
      <c r="E10" s="2848"/>
      <c r="F10" s="2848"/>
      <c r="G10" s="2849"/>
      <c r="H10" s="2850"/>
      <c r="I10" s="2850"/>
      <c r="J10" s="2851"/>
      <c r="K10" s="2332"/>
      <c r="L10" s="2852"/>
      <c r="M10" s="2851"/>
      <c r="N10" s="2850"/>
      <c r="O10" s="2850"/>
      <c r="P10" s="2851"/>
      <c r="Q10" s="928"/>
      <c r="R10" s="928"/>
      <c r="S10" s="928"/>
      <c r="T10" s="928"/>
      <c r="X10" s="928"/>
      <c r="Y10" s="928"/>
      <c r="Z10" s="2853"/>
      <c r="AA10" s="2854"/>
      <c r="AB10" s="928"/>
      <c r="AC10" s="2848"/>
      <c r="AD10" s="2851"/>
      <c r="AE10" s="2332"/>
      <c r="AF10" s="2855"/>
      <c r="AG10" s="2856"/>
      <c r="AH10" s="2857"/>
      <c r="AI10" s="2857"/>
      <c r="AJ10" s="2856"/>
      <c r="AK10" s="2857"/>
      <c r="AL10" s="2857"/>
      <c r="AM10" s="2858"/>
      <c r="AN10" s="2859"/>
      <c r="AO10" s="628"/>
      <c r="AP10" s="628"/>
      <c r="AQ10" s="628"/>
      <c r="AR10" s="628"/>
      <c r="AS10" s="708"/>
      <c r="AT10" s="708"/>
      <c r="AU10" s="708"/>
      <c r="AV10" s="708"/>
    </row>
    <row r="11" spans="1:48" ht="12" customHeight="1" thickBot="1">
      <c r="A11" s="2846"/>
      <c r="B11" s="2847"/>
      <c r="C11" s="2847"/>
      <c r="D11" s="27"/>
      <c r="E11" s="928"/>
      <c r="F11" s="928"/>
      <c r="G11" s="928"/>
      <c r="H11" s="2332"/>
      <c r="I11" s="2852"/>
      <c r="J11" s="2851"/>
      <c r="K11" s="2860"/>
      <c r="L11" s="2848"/>
      <c r="M11" s="2851"/>
      <c r="N11" s="2332"/>
      <c r="O11" s="2852"/>
      <c r="P11" s="2851"/>
      <c r="Q11" s="928"/>
      <c r="R11" s="928"/>
      <c r="S11" s="928"/>
      <c r="T11" s="2850"/>
      <c r="U11" s="2850"/>
      <c r="V11" s="2850"/>
      <c r="W11" s="928"/>
      <c r="X11" s="2850"/>
      <c r="Y11" s="928"/>
      <c r="Z11" s="2861"/>
      <c r="AA11" s="928"/>
      <c r="AB11" s="2848"/>
      <c r="AC11" s="2851"/>
      <c r="AD11" s="2860"/>
      <c r="AE11" s="2857"/>
      <c r="AF11" s="2856"/>
      <c r="AG11" s="2857"/>
      <c r="AH11" s="2857"/>
      <c r="AI11" s="2856"/>
      <c r="AJ11" s="2857"/>
      <c r="AK11" s="2857"/>
      <c r="AL11" s="2862"/>
      <c r="AM11" s="2863"/>
      <c r="AN11" s="2859"/>
      <c r="AO11" s="628"/>
      <c r="AP11" s="628"/>
      <c r="AQ11" s="628"/>
      <c r="AR11" s="628"/>
      <c r="AS11" s="708"/>
      <c r="AT11" s="708"/>
      <c r="AU11" s="708"/>
      <c r="AV11" s="708"/>
    </row>
    <row r="12" spans="1:48" ht="12" customHeight="1">
      <c r="A12" s="2846"/>
      <c r="B12" s="6838" t="s">
        <v>10160</v>
      </c>
      <c r="C12" s="6826" t="s">
        <v>10161</v>
      </c>
      <c r="D12" s="6827"/>
      <c r="E12" s="2864"/>
      <c r="F12" s="2864"/>
      <c r="G12" s="6826" t="s">
        <v>10162</v>
      </c>
      <c r="H12" s="6827"/>
      <c r="I12" s="2865"/>
      <c r="J12" s="2866"/>
      <c r="K12" s="6826" t="str">
        <f>IF(Personalización!AJ76="No","Fortalecer (ofensivo)","Proy. Psíquica Determinada")</f>
        <v>Fortalecer (ofensivo)</v>
      </c>
      <c r="L12" s="6827"/>
      <c r="M12" s="2851"/>
      <c r="N12" s="2860"/>
      <c r="O12" s="6826" t="str">
        <f>IF(Personalización!AJ76="No","Fortalecer (ofensivo)","Proy. Psíquica Determinada")</f>
        <v>Fortalecer (ofensivo)</v>
      </c>
      <c r="P12" s="6827"/>
      <c r="Q12" s="2848"/>
      <c r="R12" s="2848"/>
      <c r="S12" s="2861"/>
      <c r="T12" s="6826" t="s">
        <v>10163</v>
      </c>
      <c r="U12" s="6827"/>
      <c r="V12" s="2850"/>
      <c r="W12" s="928"/>
      <c r="X12" s="2850"/>
      <c r="Y12" s="6826" t="s">
        <v>10164</v>
      </c>
      <c r="Z12" s="6827"/>
      <c r="AA12" s="2850"/>
      <c r="AB12" s="2850"/>
      <c r="AC12" s="6826" t="s">
        <v>10163</v>
      </c>
      <c r="AD12" s="6827"/>
      <c r="AE12" s="2867"/>
      <c r="AF12" s="2856"/>
      <c r="AG12" s="6826" t="s">
        <v>10165</v>
      </c>
      <c r="AH12" s="6827"/>
      <c r="AI12" s="2856"/>
      <c r="AJ12" s="2857"/>
      <c r="AK12" s="6826" t="s">
        <v>10166</v>
      </c>
      <c r="AL12" s="6827"/>
      <c r="AM12" s="6836" t="s">
        <v>10167</v>
      </c>
      <c r="AN12" s="2859"/>
      <c r="AO12" s="628"/>
      <c r="AP12" s="628"/>
      <c r="AQ12" s="628"/>
      <c r="AR12" s="628"/>
      <c r="AS12" s="708"/>
      <c r="AT12" s="708"/>
      <c r="AU12" s="708"/>
      <c r="AV12" s="708"/>
    </row>
    <row r="13" spans="1:48" ht="12" customHeight="1" thickBot="1">
      <c r="A13" s="2846"/>
      <c r="B13" s="6838"/>
      <c r="C13" s="6828"/>
      <c r="D13" s="6829"/>
      <c r="E13" s="2868"/>
      <c r="F13" s="3645"/>
      <c r="G13" s="6828"/>
      <c r="H13" s="6829"/>
      <c r="I13" s="2869"/>
      <c r="J13" s="2870"/>
      <c r="K13" s="6828"/>
      <c r="L13" s="6829"/>
      <c r="M13" s="2851"/>
      <c r="N13" s="2848"/>
      <c r="O13" s="6828"/>
      <c r="P13" s="6829"/>
      <c r="Q13" s="2871"/>
      <c r="R13" s="2872"/>
      <c r="S13" s="2873"/>
      <c r="T13" s="6828"/>
      <c r="U13" s="6829"/>
      <c r="V13" s="2874"/>
      <c r="W13" s="2875"/>
      <c r="X13" s="2876"/>
      <c r="Y13" s="6828"/>
      <c r="Z13" s="6829"/>
      <c r="AA13" s="2850"/>
      <c r="AB13" s="2850"/>
      <c r="AC13" s="6828"/>
      <c r="AD13" s="6829"/>
      <c r="AE13" s="2877"/>
      <c r="AF13" s="2878"/>
      <c r="AG13" s="6828"/>
      <c r="AH13" s="6829"/>
      <c r="AI13" s="2879"/>
      <c r="AJ13" s="2880"/>
      <c r="AK13" s="6828"/>
      <c r="AL13" s="6829"/>
      <c r="AM13" s="6836"/>
      <c r="AN13" s="2859"/>
      <c r="AO13" s="628"/>
      <c r="AP13" s="628"/>
      <c r="AQ13" s="628"/>
      <c r="AR13" s="628"/>
      <c r="AS13" s="708"/>
      <c r="AT13" s="708"/>
      <c r="AU13" s="708"/>
      <c r="AV13" s="708"/>
    </row>
    <row r="14" spans="1:48" ht="12" customHeight="1">
      <c r="A14" s="2846"/>
      <c r="B14" s="6838"/>
      <c r="C14" s="6830"/>
      <c r="D14" s="6831"/>
      <c r="E14" s="2881"/>
      <c r="F14" s="2881"/>
      <c r="G14" s="6830"/>
      <c r="H14" s="6831"/>
      <c r="I14" s="2882"/>
      <c r="J14" s="2851"/>
      <c r="K14" s="6830"/>
      <c r="L14" s="6831"/>
      <c r="M14" s="2851"/>
      <c r="N14" s="2848"/>
      <c r="O14" s="6830"/>
      <c r="P14" s="6831"/>
      <c r="Q14" s="2848"/>
      <c r="R14" s="2848"/>
      <c r="S14" s="2861"/>
      <c r="T14" s="6830"/>
      <c r="U14" s="6831"/>
      <c r="V14" s="2850"/>
      <c r="W14" s="2861"/>
      <c r="X14" s="928"/>
      <c r="Y14" s="6830"/>
      <c r="Z14" s="6831"/>
      <c r="AA14" s="2850"/>
      <c r="AB14" s="2850"/>
      <c r="AC14" s="6830"/>
      <c r="AD14" s="6831"/>
      <c r="AE14" s="2867"/>
      <c r="AF14" s="2856"/>
      <c r="AG14" s="6830"/>
      <c r="AH14" s="6831"/>
      <c r="AI14" s="2856"/>
      <c r="AJ14" s="2857"/>
      <c r="AK14" s="6830"/>
      <c r="AL14" s="6831"/>
      <c r="AM14" s="6836"/>
      <c r="AN14" s="2859"/>
      <c r="AO14" s="628"/>
      <c r="AP14" s="628"/>
      <c r="AQ14" s="628" t="str">
        <f>IF(OR(H30&gt;4,D35&gt;4,D25&gt;4,L15&gt;4,P20&gt;4,P15&gt;4),1,"0")</f>
        <v>0</v>
      </c>
      <c r="AR14" s="628"/>
      <c r="AS14" s="708"/>
      <c r="AT14" s="708"/>
      <c r="AU14" s="708"/>
      <c r="AV14" s="708"/>
    </row>
    <row r="15" spans="1:48" ht="12" customHeight="1" thickBot="1">
      <c r="A15" s="2846"/>
      <c r="B15" s="6838"/>
      <c r="C15" s="2916" t="str">
        <f>IF(AND($W$6,PDs!$R$17&gt;=D16),"","Nv "&amp;D16)</f>
        <v>Nv 10</v>
      </c>
      <c r="D15" s="2884"/>
      <c r="E15" s="2881"/>
      <c r="F15" s="2881"/>
      <c r="G15" s="2916" t="str">
        <f>IF(AND($W$6,PDs!$R$17&gt;=H16),"","Nv "&amp;H16)</f>
        <v>Nv 9</v>
      </c>
      <c r="H15" s="2884"/>
      <c r="I15" s="2882"/>
      <c r="J15" s="2851"/>
      <c r="K15" s="2916" t="str">
        <f>IF(AND($W$6,PDs!$R$17&gt;=L16),"","Nv "&amp;L16)</f>
        <v>Nv 7</v>
      </c>
      <c r="L15" s="2884"/>
      <c r="M15" s="2851"/>
      <c r="N15" s="2848"/>
      <c r="O15" s="2916" t="str">
        <f>IF(AND($W$6,PDs!$R$17&gt;=P16),"","Nv "&amp;P16)</f>
        <v>Nv 4</v>
      </c>
      <c r="P15" s="2884"/>
      <c r="Q15" s="2848"/>
      <c r="R15" s="2848"/>
      <c r="S15" s="2861"/>
      <c r="T15" s="2916" t="str">
        <f>IF(AND($W$6,PDs!$R$17&gt;=U16),"","Nv "&amp;U16)</f>
        <v>Nv 5</v>
      </c>
      <c r="U15" s="2884"/>
      <c r="V15" s="2850"/>
      <c r="W15" s="2861"/>
      <c r="X15" s="928"/>
      <c r="Y15" s="2916" t="str">
        <f>IF(AND($W$6,PDs!$R$17&gt;=Z16),"","Nv "&amp;Z16)</f>
        <v>Nv 4</v>
      </c>
      <c r="Z15" s="2884"/>
      <c r="AA15" s="2885"/>
      <c r="AB15" s="2852"/>
      <c r="AC15" s="2916" t="str">
        <f>IF(AND($W$6,PDs!$R$17&gt;=AD16),"","Nv "&amp;AD16)</f>
        <v>Nv 7</v>
      </c>
      <c r="AD15" s="2884"/>
      <c r="AE15" s="2855"/>
      <c r="AF15" s="2856"/>
      <c r="AG15" s="2916" t="str">
        <f>IF(AND($W$6,PDs!$R$17&gt;=AH16),"","Nv "&amp;AH16)</f>
        <v>Nv 9</v>
      </c>
      <c r="AH15" s="2884"/>
      <c r="AI15" s="2856"/>
      <c r="AJ15" s="2857"/>
      <c r="AK15" s="2916" t="str">
        <f>IF(AND($W$6,PDs!$R$17&gt;=AL16),"","Nv "&amp;AL16)</f>
        <v>Nv 10</v>
      </c>
      <c r="AL15" s="2884"/>
      <c r="AM15" s="6836"/>
      <c r="AN15" s="2859"/>
      <c r="AO15" s="628"/>
      <c r="AP15" s="628"/>
      <c r="AQ15" s="628"/>
      <c r="AR15" s="628"/>
      <c r="AS15" s="708"/>
      <c r="AT15" s="708"/>
      <c r="AU15" s="708"/>
      <c r="AV15" s="708"/>
    </row>
    <row r="16" spans="1:48" ht="12" customHeight="1" thickBot="1">
      <c r="A16" s="2846"/>
      <c r="B16" s="6838"/>
      <c r="C16" s="2886">
        <f>IF(D15&gt;0,1,0)</f>
        <v>0</v>
      </c>
      <c r="D16" s="3180">
        <v>10</v>
      </c>
      <c r="E16" s="2886"/>
      <c r="F16" s="2886"/>
      <c r="G16" s="2886">
        <f>IF(H15&gt;0,1,0)</f>
        <v>0</v>
      </c>
      <c r="H16" s="2933">
        <v>9</v>
      </c>
      <c r="I16" s="2933"/>
      <c r="J16" s="2887"/>
      <c r="K16" s="2888">
        <f>IF(L15&gt;0,1,0)</f>
        <v>0</v>
      </c>
      <c r="L16" s="2933">
        <v>7</v>
      </c>
      <c r="M16" s="2887"/>
      <c r="N16" s="2886"/>
      <c r="O16" s="2886">
        <f>IF(P15&gt;0,1,0)</f>
        <v>0</v>
      </c>
      <c r="P16" s="3181">
        <v>4</v>
      </c>
      <c r="Q16" s="2848"/>
      <c r="R16" s="2848"/>
      <c r="S16" s="928"/>
      <c r="T16" s="2886">
        <f>IF(U15&gt;0,1,0)</f>
        <v>0</v>
      </c>
      <c r="U16" s="2933">
        <v>5</v>
      </c>
      <c r="V16" s="2886"/>
      <c r="W16" s="2887"/>
      <c r="X16" s="2886"/>
      <c r="Y16" s="2886">
        <f>IF(Z15&gt;0,1,0)</f>
        <v>0</v>
      </c>
      <c r="Z16" s="3181">
        <v>4</v>
      </c>
      <c r="AA16" s="2891"/>
      <c r="AB16" s="2886"/>
      <c r="AC16" s="2892">
        <f>IF(AD15&gt;0,1,0)</f>
        <v>0</v>
      </c>
      <c r="AD16" s="3182">
        <v>7</v>
      </c>
      <c r="AE16" s="2886"/>
      <c r="AF16" s="2887"/>
      <c r="AG16" s="2886">
        <f>IF(AH15&gt;0,1,0)</f>
        <v>0</v>
      </c>
      <c r="AH16" s="2886">
        <v>9</v>
      </c>
      <c r="AI16" s="2887"/>
      <c r="AJ16" s="2886"/>
      <c r="AK16" s="2886">
        <f>IF(AL15&gt;0,1,0)</f>
        <v>0</v>
      </c>
      <c r="AL16" s="3183">
        <v>10</v>
      </c>
      <c r="AM16" s="6837"/>
      <c r="AN16" s="2859"/>
      <c r="AO16" s="628"/>
      <c r="AP16" s="628"/>
      <c r="AQ16" s="628"/>
      <c r="AR16" s="628"/>
      <c r="AS16" s="708"/>
      <c r="AT16" s="708"/>
      <c r="AU16" s="708"/>
      <c r="AV16" s="708"/>
    </row>
    <row r="17" spans="1:48" ht="12" customHeight="1" thickBot="1">
      <c r="A17" s="2846"/>
      <c r="B17" s="6838"/>
      <c r="C17" s="6826" t="s">
        <v>10168</v>
      </c>
      <c r="D17" s="6827"/>
      <c r="E17" s="2850"/>
      <c r="F17" s="2850"/>
      <c r="G17" s="2851"/>
      <c r="H17" s="2850"/>
      <c r="I17" s="2850"/>
      <c r="J17" s="2851"/>
      <c r="K17" s="6826" t="s">
        <v>10169</v>
      </c>
      <c r="L17" s="6827"/>
      <c r="M17" s="2851"/>
      <c r="N17" s="2850"/>
      <c r="O17" s="6826" t="str">
        <f>IF(Personalización!AJ76="No","Fortalecer (ofensivo)","Proy. Psíquica Determinada")</f>
        <v>Fortalecer (ofensivo)</v>
      </c>
      <c r="P17" s="6827"/>
      <c r="Q17" s="928"/>
      <c r="R17" s="928"/>
      <c r="S17" s="928"/>
      <c r="T17" s="2850"/>
      <c r="U17" s="2850"/>
      <c r="X17" s="2850"/>
      <c r="Y17" s="6826" t="s">
        <v>10163</v>
      </c>
      <c r="Z17" s="6827"/>
      <c r="AA17" s="928"/>
      <c r="AB17" s="2848"/>
      <c r="AC17" s="6826" t="s">
        <v>10164</v>
      </c>
      <c r="AD17" s="6827"/>
      <c r="AE17" s="2867"/>
      <c r="AF17" s="2856"/>
      <c r="AG17" s="2894"/>
      <c r="AH17" s="2894"/>
      <c r="AI17" s="2856"/>
      <c r="AJ17" s="2856"/>
      <c r="AK17" s="6826" t="s">
        <v>10170</v>
      </c>
      <c r="AL17" s="6827"/>
      <c r="AM17" s="6836"/>
      <c r="AN17" s="2859"/>
      <c r="AO17" s="628"/>
      <c r="AP17" s="628"/>
      <c r="AQ17" s="628"/>
      <c r="AR17" s="628"/>
      <c r="AS17" s="708"/>
      <c r="AT17" s="708"/>
      <c r="AU17" s="708"/>
      <c r="AV17" s="708"/>
    </row>
    <row r="18" spans="1:48" ht="12" customHeight="1" thickBot="1">
      <c r="A18" s="2846"/>
      <c r="B18" s="6838"/>
      <c r="C18" s="6828"/>
      <c r="D18" s="6829"/>
      <c r="E18" s="2850"/>
      <c r="F18" s="2850"/>
      <c r="G18" s="2851"/>
      <c r="H18" s="2850"/>
      <c r="I18" s="2850"/>
      <c r="J18" s="2851"/>
      <c r="K18" s="6828"/>
      <c r="L18" s="6829"/>
      <c r="M18" s="2895"/>
      <c r="N18" s="2896"/>
      <c r="O18" s="6828"/>
      <c r="P18" s="6829"/>
      <c r="Q18" s="928"/>
      <c r="R18" s="928"/>
      <c r="S18" s="928"/>
      <c r="T18" s="6826" t="s">
        <v>2857</v>
      </c>
      <c r="U18" s="6827"/>
      <c r="X18" s="2850"/>
      <c r="Y18" s="6828"/>
      <c r="Z18" s="6829"/>
      <c r="AA18" s="2874"/>
      <c r="AB18" s="2897"/>
      <c r="AC18" s="6828"/>
      <c r="AD18" s="6829"/>
      <c r="AE18" s="2867"/>
      <c r="AF18" s="2856"/>
      <c r="AG18" s="2894"/>
      <c r="AH18" s="2894"/>
      <c r="AI18" s="2856"/>
      <c r="AJ18" s="2898"/>
      <c r="AK18" s="6828"/>
      <c r="AL18" s="6829"/>
      <c r="AM18" s="6836"/>
      <c r="AN18" s="2859"/>
      <c r="AO18" s="628"/>
      <c r="AP18" s="628"/>
      <c r="AQ18" s="628"/>
      <c r="AR18" s="628"/>
      <c r="AS18" s="708"/>
      <c r="AT18" s="708"/>
      <c r="AU18" s="708"/>
      <c r="AV18" s="708"/>
    </row>
    <row r="19" spans="1:48" ht="12" customHeight="1" thickBot="1">
      <c r="A19" s="2846"/>
      <c r="B19" s="6838"/>
      <c r="C19" s="6830"/>
      <c r="D19" s="6831"/>
      <c r="E19" s="2850"/>
      <c r="F19" s="2850"/>
      <c r="G19" s="2851"/>
      <c r="H19" s="2850"/>
      <c r="I19" s="2850"/>
      <c r="J19" s="2851"/>
      <c r="K19" s="6830"/>
      <c r="L19" s="6831"/>
      <c r="M19" s="2851"/>
      <c r="N19" s="2850"/>
      <c r="O19" s="6830"/>
      <c r="P19" s="6831"/>
      <c r="Q19" s="2850"/>
      <c r="T19" s="6828"/>
      <c r="U19" s="6829"/>
      <c r="X19" s="2899"/>
      <c r="Y19" s="6830"/>
      <c r="Z19" s="6831"/>
      <c r="AA19" s="2850"/>
      <c r="AB19" s="2850"/>
      <c r="AC19" s="6830"/>
      <c r="AD19" s="6831"/>
      <c r="AE19" s="2867"/>
      <c r="AF19" s="2856"/>
      <c r="AG19" s="2894"/>
      <c r="AH19" s="2894"/>
      <c r="AI19" s="2856"/>
      <c r="AJ19" s="2856"/>
      <c r="AK19" s="6830"/>
      <c r="AL19" s="6831"/>
      <c r="AM19" s="6836"/>
      <c r="AN19" s="2859"/>
      <c r="AO19" s="628"/>
      <c r="AP19" s="628"/>
      <c r="AQ19" s="628"/>
      <c r="AR19" s="628"/>
      <c r="AS19" s="708"/>
      <c r="AT19" s="708"/>
      <c r="AU19" s="708"/>
      <c r="AV19" s="708"/>
    </row>
    <row r="20" spans="1:48" ht="12" customHeight="1" thickBot="1">
      <c r="A20" s="2846"/>
      <c r="B20" s="6838"/>
      <c r="C20" s="2916" t="str">
        <f>IF(AND($W$6,PDs!$R$17&gt;=D21),"","Nv "&amp;D21)</f>
        <v>Nv 9</v>
      </c>
      <c r="D20" s="2884"/>
      <c r="E20" s="2332"/>
      <c r="F20" s="2852"/>
      <c r="G20" s="2851"/>
      <c r="H20" s="2332"/>
      <c r="I20" s="2852"/>
      <c r="J20" s="2851"/>
      <c r="K20" s="2916" t="str">
        <f>IF(AND($W$6,PDs!$R$17&gt;=L21),"","Nv "&amp;L21)</f>
        <v>Nv 4</v>
      </c>
      <c r="L20" s="2884"/>
      <c r="M20" s="2851"/>
      <c r="O20" s="2916" t="str">
        <f>IF(AND($W$6,PDs!$R$17&gt;=P21),"","Nv "&amp;P21)</f>
        <v>Nv 3</v>
      </c>
      <c r="P20" s="2884"/>
      <c r="Q20" s="2850"/>
      <c r="T20" s="6830"/>
      <c r="U20" s="6831"/>
      <c r="V20" s="2971"/>
      <c r="X20" s="2885"/>
      <c r="Y20" s="2916" t="str">
        <f>IF(AND($W$6,PDs!$R$17&gt;=Z21),"","Nv "&amp;Z21)</f>
        <v>Nv 3</v>
      </c>
      <c r="Z20" s="2884"/>
      <c r="AA20" s="2850"/>
      <c r="AB20" s="2850"/>
      <c r="AC20" s="2916" t="str">
        <f>IF(AND($W$6,PDs!$R$17&gt;=AD21),"","Nv "&amp;AD21)</f>
        <v>Nv 5</v>
      </c>
      <c r="AD20" s="2884"/>
      <c r="AE20" s="2855"/>
      <c r="AF20" s="2856"/>
      <c r="AG20" s="2900"/>
      <c r="AH20" s="2854"/>
      <c r="AI20" s="2856"/>
      <c r="AJ20" s="2901"/>
      <c r="AK20" s="2916" t="str">
        <f>IF(AND($W$6,PDs!$R$17&gt;=AL21),"","Nv "&amp;AL21)</f>
        <v>Nv 9</v>
      </c>
      <c r="AL20" s="2884"/>
      <c r="AM20" s="6836"/>
      <c r="AN20" s="2859"/>
      <c r="AO20" s="628"/>
      <c r="AP20" s="628"/>
      <c r="AQ20" s="628"/>
      <c r="AR20" s="628"/>
      <c r="AS20" s="708"/>
      <c r="AT20" s="708"/>
      <c r="AU20" s="708"/>
      <c r="AV20" s="708"/>
    </row>
    <row r="21" spans="1:48" ht="12" customHeight="1" thickBot="1">
      <c r="A21" s="2846"/>
      <c r="B21" s="6838"/>
      <c r="C21" s="2902">
        <f>IF(D20&gt;0,1,0)</f>
        <v>0</v>
      </c>
      <c r="D21" s="3179">
        <v>9</v>
      </c>
      <c r="E21" s="2903"/>
      <c r="F21" s="2902"/>
      <c r="G21" s="2904"/>
      <c r="H21" s="2903"/>
      <c r="I21" s="2902"/>
      <c r="J21" s="2904"/>
      <c r="K21" s="2905">
        <f>IF(L20&gt;0,1,0)</f>
        <v>0</v>
      </c>
      <c r="L21" s="2902">
        <v>4</v>
      </c>
      <c r="M21" s="2904"/>
      <c r="N21" s="2906"/>
      <c r="O21" s="2902">
        <f>IF(P20&gt;0,1,0)</f>
        <v>0</v>
      </c>
      <c r="P21" s="3181">
        <v>3</v>
      </c>
      <c r="Q21" s="2850"/>
      <c r="T21" s="2916" t="str">
        <f>IF(AND($W$6,PDs!$R$17&gt;=U22),"","Nv "&amp;U22)</f>
        <v>Nv 5</v>
      </c>
      <c r="U21" s="2884"/>
      <c r="V21" s="2863"/>
      <c r="X21" s="609"/>
      <c r="Y21" s="2886">
        <f>IF(Z20&gt;0,1,0)</f>
        <v>0</v>
      </c>
      <c r="Z21" s="2890">
        <v>3</v>
      </c>
      <c r="AA21" s="2907"/>
      <c r="AB21" s="3659"/>
      <c r="AC21" s="2892">
        <f>IF(AD20&gt;0,1,0)</f>
        <v>0</v>
      </c>
      <c r="AD21" s="2893">
        <v>5</v>
      </c>
      <c r="AE21" s="2886"/>
      <c r="AF21" s="2887"/>
      <c r="AG21" s="2908"/>
      <c r="AH21" s="3659"/>
      <c r="AI21" s="2887"/>
      <c r="AJ21" s="2891"/>
      <c r="AK21" s="2886">
        <f>IF(AL20&gt;0,1,0)</f>
        <v>0</v>
      </c>
      <c r="AL21" s="2909">
        <v>9</v>
      </c>
      <c r="AM21" s="6837"/>
      <c r="AN21" s="2859"/>
      <c r="AO21" s="628"/>
      <c r="AP21" s="628"/>
      <c r="AQ21" s="628"/>
      <c r="AR21" s="628"/>
      <c r="AS21" s="708"/>
      <c r="AT21" s="708"/>
      <c r="AU21" s="708"/>
      <c r="AV21" s="708"/>
    </row>
    <row r="22" spans="1:48" ht="12" customHeight="1">
      <c r="A22" s="2846"/>
      <c r="B22" s="6838"/>
      <c r="C22" s="6826" t="str">
        <f>IF(Personalización!AJ76="No","Fortalecer (defensivo)","Proy. Psíquica Determinada")</f>
        <v>Fortalecer (defensivo)</v>
      </c>
      <c r="D22" s="6827"/>
      <c r="E22" s="928"/>
      <c r="F22" s="928"/>
      <c r="G22" s="6826" t="s">
        <v>10169</v>
      </c>
      <c r="H22" s="6827"/>
      <c r="I22" s="2848"/>
      <c r="J22" s="2851"/>
      <c r="K22" s="6826" t="s">
        <v>10173</v>
      </c>
      <c r="L22" s="6827"/>
      <c r="M22" s="2851"/>
      <c r="O22" s="6826" t="s">
        <v>10173</v>
      </c>
      <c r="P22" s="6827"/>
      <c r="Q22" s="2852"/>
      <c r="T22" s="530">
        <f>IF(U21=10,1,0)</f>
        <v>0</v>
      </c>
      <c r="U22" s="530">
        <v>5</v>
      </c>
      <c r="V22" s="2863"/>
      <c r="X22" s="928"/>
      <c r="Y22" s="6826" t="s">
        <v>10164</v>
      </c>
      <c r="Z22" s="6827"/>
      <c r="AA22" s="2860"/>
      <c r="AB22" s="2848"/>
      <c r="AC22" s="6826" t="s">
        <v>3019</v>
      </c>
      <c r="AD22" s="6827"/>
      <c r="AE22" s="2867"/>
      <c r="AF22" s="2910"/>
      <c r="AG22" s="6826" t="s">
        <v>10174</v>
      </c>
      <c r="AH22" s="6827"/>
      <c r="AI22" s="2856"/>
      <c r="AJ22" s="2911"/>
      <c r="AK22" s="6853" t="s">
        <v>3019</v>
      </c>
      <c r="AL22" s="6854"/>
      <c r="AM22" s="6836"/>
      <c r="AN22" s="2859"/>
      <c r="AO22" s="628"/>
      <c r="AP22" s="628"/>
      <c r="AQ22" s="628"/>
      <c r="AR22" s="628"/>
      <c r="AS22" s="708"/>
      <c r="AT22" s="708"/>
      <c r="AU22" s="708"/>
      <c r="AV22" s="708"/>
    </row>
    <row r="23" spans="1:48" ht="12" customHeight="1" thickBot="1">
      <c r="A23" s="2846"/>
      <c r="B23" s="6838"/>
      <c r="C23" s="6828"/>
      <c r="D23" s="6829"/>
      <c r="E23" s="2912"/>
      <c r="F23" s="3646"/>
      <c r="G23" s="6828"/>
      <c r="H23" s="6829"/>
      <c r="I23" s="2913"/>
      <c r="J23" s="2914"/>
      <c r="K23" s="6828"/>
      <c r="L23" s="6829"/>
      <c r="M23" s="2851"/>
      <c r="N23" s="2915"/>
      <c r="O23" s="6828"/>
      <c r="P23" s="6829"/>
      <c r="Q23" s="2848"/>
      <c r="V23" s="3092"/>
      <c r="X23" s="2850"/>
      <c r="Y23" s="6828"/>
      <c r="Z23" s="6829"/>
      <c r="AA23" s="2917"/>
      <c r="AB23" s="2848"/>
      <c r="AC23" s="6828"/>
      <c r="AD23" s="6829"/>
      <c r="AE23" s="2877"/>
      <c r="AF23" s="2918"/>
      <c r="AG23" s="6828"/>
      <c r="AH23" s="6829"/>
      <c r="AI23" s="2919"/>
      <c r="AJ23" s="2920"/>
      <c r="AK23" s="6855"/>
      <c r="AL23" s="6829"/>
      <c r="AM23" s="6836"/>
      <c r="AN23" s="2859"/>
      <c r="AO23" s="628"/>
      <c r="AP23" s="628"/>
      <c r="AQ23" s="628"/>
      <c r="AR23" s="628"/>
      <c r="AS23" s="708"/>
      <c r="AT23" s="708"/>
      <c r="AU23" s="708"/>
      <c r="AV23" s="708"/>
    </row>
    <row r="24" spans="1:48" ht="12" customHeight="1">
      <c r="A24" s="2846"/>
      <c r="B24" s="6838"/>
      <c r="C24" s="6830"/>
      <c r="D24" s="6831"/>
      <c r="E24" s="928"/>
      <c r="F24" s="928"/>
      <c r="G24" s="6830"/>
      <c r="H24" s="6831"/>
      <c r="I24" s="2850"/>
      <c r="J24" s="2851"/>
      <c r="K24" s="6830"/>
      <c r="L24" s="6831"/>
      <c r="M24" s="2851"/>
      <c r="N24" s="2915"/>
      <c r="O24" s="6832"/>
      <c r="P24" s="6833"/>
      <c r="Q24" s="2850"/>
      <c r="R24" s="6826" t="s">
        <v>10490</v>
      </c>
      <c r="S24" s="6827"/>
      <c r="T24" s="2850"/>
      <c r="U24" s="2850"/>
      <c r="V24" s="6826" t="s">
        <v>10172</v>
      </c>
      <c r="W24" s="6827"/>
      <c r="X24" s="2850"/>
      <c r="Y24" s="6832"/>
      <c r="Z24" s="6833"/>
      <c r="AA24" s="2921"/>
      <c r="AB24" s="2848"/>
      <c r="AC24" s="6830"/>
      <c r="AD24" s="6831"/>
      <c r="AE24" s="2867"/>
      <c r="AF24" s="2910"/>
      <c r="AG24" s="6830"/>
      <c r="AH24" s="6831"/>
      <c r="AI24" s="2856"/>
      <c r="AJ24" s="2911"/>
      <c r="AK24" s="6856"/>
      <c r="AL24" s="6831"/>
      <c r="AM24" s="6836"/>
      <c r="AN24" s="2859"/>
      <c r="AO24" s="628"/>
      <c r="AP24" s="628"/>
      <c r="AQ24" s="628"/>
      <c r="AR24" s="628"/>
      <c r="AS24" s="708"/>
      <c r="AT24" s="708"/>
      <c r="AU24" s="708"/>
      <c r="AV24" s="708"/>
    </row>
    <row r="25" spans="1:48" ht="12" customHeight="1" thickBot="1">
      <c r="A25" s="2846"/>
      <c r="B25" s="6838"/>
      <c r="C25" s="2916" t="str">
        <f>IF(AND($W$6,PDs!$R$17&gt;=D26),"","Nv "&amp;D26)</f>
        <v>Nv 7</v>
      </c>
      <c r="D25" s="2884"/>
      <c r="E25" s="2850"/>
      <c r="F25" s="2850"/>
      <c r="G25" s="2916" t="str">
        <f>IF(AND($W$6,PDs!$R$17&gt;=H26),"","Nv "&amp;H26)</f>
        <v>Nv 3</v>
      </c>
      <c r="H25" s="2884"/>
      <c r="I25" s="2850"/>
      <c r="J25" s="2851"/>
      <c r="K25" s="2916" t="str">
        <f>IF(AND($W$6,PDs!$R$17&gt;=L26),"","Nv "&amp;L26)</f>
        <v>Nv 4</v>
      </c>
      <c r="L25" s="2884"/>
      <c r="M25" s="2851"/>
      <c r="N25" s="2915"/>
      <c r="O25" s="2922"/>
      <c r="P25" s="2923"/>
      <c r="Q25" s="2850"/>
      <c r="R25" s="6828"/>
      <c r="S25" s="6829"/>
      <c r="T25" s="3648"/>
      <c r="U25" s="3649"/>
      <c r="V25" s="6828"/>
      <c r="W25" s="6829"/>
      <c r="X25" s="2899"/>
      <c r="Y25" s="2924"/>
      <c r="Z25" s="2884"/>
      <c r="AA25" s="2850"/>
      <c r="AB25" s="2850"/>
      <c r="AC25" s="2916" t="str">
        <f>IF(AND($W$6,PDs!$R$17&gt;=AD26),"","Nv "&amp;AD26)</f>
        <v>Nv 6</v>
      </c>
      <c r="AD25" s="2884"/>
      <c r="AE25" s="2855"/>
      <c r="AF25" s="2910"/>
      <c r="AG25" s="2916" t="str">
        <f>IF(AND($W$6,PDs!$R$17&gt;=AH26),"","Nv "&amp;AH26)</f>
        <v>Nv 5</v>
      </c>
      <c r="AH25" s="2884"/>
      <c r="AI25" s="2856"/>
      <c r="AJ25" s="2925"/>
      <c r="AK25" s="2916" t="str">
        <f>IF(AND($W$6,PDs!$R$17&gt;=AL26),"","Nv "&amp;AL26)</f>
        <v>Nv 8</v>
      </c>
      <c r="AL25" s="2926"/>
      <c r="AM25" s="6836"/>
      <c r="AN25" s="2859"/>
      <c r="AO25" s="628"/>
      <c r="AP25" s="628"/>
      <c r="AQ25" s="628"/>
      <c r="AR25" s="628"/>
      <c r="AS25" s="708"/>
      <c r="AT25" s="708"/>
      <c r="AU25" s="708"/>
      <c r="AV25" s="708"/>
    </row>
    <row r="26" spans="1:48" ht="12" customHeight="1" thickBot="1">
      <c r="A26" s="2846"/>
      <c r="B26" s="6838"/>
      <c r="C26" s="2886">
        <f>IF(D25&gt;0,1,0)</f>
        <v>0</v>
      </c>
      <c r="D26" s="628">
        <v>7</v>
      </c>
      <c r="E26" s="2927"/>
      <c r="F26" s="2927"/>
      <c r="G26" s="2886">
        <f>IF(H25&gt;0,1,0)</f>
        <v>0</v>
      </c>
      <c r="H26" s="3178">
        <v>3</v>
      </c>
      <c r="I26" s="3659"/>
      <c r="J26" s="2887"/>
      <c r="K26" s="2886">
        <f>IF(L25&gt;0,1,0)</f>
        <v>0</v>
      </c>
      <c r="L26" s="3598">
        <v>4</v>
      </c>
      <c r="M26" s="2887"/>
      <c r="N26" s="2907"/>
      <c r="O26" s="2888">
        <f>IF(P25&gt;0,1,0)</f>
        <v>0</v>
      </c>
      <c r="P26" s="2851"/>
      <c r="Q26" s="2848"/>
      <c r="R26" s="6830"/>
      <c r="S26" s="6831"/>
      <c r="U26" s="443"/>
      <c r="V26" s="6830"/>
      <c r="W26" s="6831"/>
      <c r="X26" s="928"/>
      <c r="Y26" s="2886">
        <f>IF(Z25&gt;0,1,0)</f>
        <v>0</v>
      </c>
      <c r="Z26" s="2928"/>
      <c r="AA26" s="2927"/>
      <c r="AB26" s="2927"/>
      <c r="AC26" s="2886">
        <f>IF(AD25&gt;0,1,0)</f>
        <v>0</v>
      </c>
      <c r="AD26" s="2891">
        <v>6</v>
      </c>
      <c r="AE26" s="2886"/>
      <c r="AF26" s="2887"/>
      <c r="AG26" s="2929">
        <f>IF(AH25&gt;0,1,0)</f>
        <v>0</v>
      </c>
      <c r="AH26" s="2930">
        <v>5</v>
      </c>
      <c r="AI26" s="2886"/>
      <c r="AJ26" s="2927"/>
      <c r="AK26" s="2886">
        <f>IF(AL25&gt;0,1,0)</f>
        <v>0</v>
      </c>
      <c r="AL26" s="2931">
        <v>8</v>
      </c>
      <c r="AM26" s="6837"/>
      <c r="AN26" s="2859"/>
      <c r="AO26" s="628"/>
      <c r="AP26" s="628"/>
      <c r="AQ26" s="628"/>
      <c r="AR26" s="628"/>
      <c r="AS26" s="708"/>
      <c r="AT26" s="708"/>
      <c r="AU26" s="708"/>
      <c r="AV26" s="708"/>
    </row>
    <row r="27" spans="1:48" ht="12" customHeight="1" thickBot="1">
      <c r="A27" s="2846"/>
      <c r="B27" s="6838"/>
      <c r="C27" s="6826" t="s">
        <v>10175</v>
      </c>
      <c r="D27" s="6827"/>
      <c r="E27" s="2850"/>
      <c r="F27" s="2850"/>
      <c r="G27" s="6826" t="str">
        <f>IF(Personalización!AJ76="No","Fortalecer (defensivo)","Proy. Psíquica Determinada")</f>
        <v>Fortalecer (defensivo)</v>
      </c>
      <c r="H27" s="6827"/>
      <c r="I27" s="2848"/>
      <c r="J27" s="2851"/>
      <c r="K27" s="6826" t="s">
        <v>10175</v>
      </c>
      <c r="L27" s="6827"/>
      <c r="M27" s="2932"/>
      <c r="N27" s="2860"/>
      <c r="O27" s="6826" t="s">
        <v>10070</v>
      </c>
      <c r="P27" s="6827"/>
      <c r="Q27" s="928"/>
      <c r="R27" s="2916" t="str">
        <f>IF(AND($W$6,PDs!$R$17&gt;=S28),"","Nv "&amp;S28)</f>
        <v>Nv 3</v>
      </c>
      <c r="S27" s="2884"/>
      <c r="U27" s="443"/>
      <c r="V27" s="2883"/>
      <c r="W27" s="2884"/>
      <c r="X27" s="928"/>
      <c r="Y27" s="6826" t="str">
        <f>IF(Personalización!AJ75="Sí","Caos Matricial","Psiónica Salvaje")</f>
        <v>Psiónica Salvaje</v>
      </c>
      <c r="Z27" s="6827"/>
      <c r="AA27" s="2850"/>
      <c r="AB27" s="2850"/>
      <c r="AC27" s="6826" t="s">
        <v>10174</v>
      </c>
      <c r="AD27" s="6827"/>
      <c r="AE27" s="2857"/>
      <c r="AF27" s="2856"/>
      <c r="AG27" s="6828" t="s">
        <v>3019</v>
      </c>
      <c r="AH27" s="6829"/>
      <c r="AI27" s="2933"/>
      <c r="AJ27" s="2867"/>
      <c r="AK27" s="6826" t="s">
        <v>10174</v>
      </c>
      <c r="AL27" s="6829"/>
      <c r="AM27" s="6836"/>
      <c r="AN27" s="2859"/>
      <c r="AO27" s="628"/>
      <c r="AP27" s="628"/>
      <c r="AQ27" s="628"/>
      <c r="AR27" s="628"/>
      <c r="AS27" s="708"/>
      <c r="AT27" s="708"/>
      <c r="AU27" s="708"/>
      <c r="AV27" s="708"/>
    </row>
    <row r="28" spans="1:48" ht="12" customHeight="1" thickBot="1">
      <c r="A28" s="2846"/>
      <c r="B28" s="6838"/>
      <c r="C28" s="6828"/>
      <c r="D28" s="6829"/>
      <c r="E28" s="2934"/>
      <c r="F28" s="3647"/>
      <c r="G28" s="6828"/>
      <c r="H28" s="6829"/>
      <c r="I28" s="2871"/>
      <c r="J28" s="2914"/>
      <c r="K28" s="6828"/>
      <c r="L28" s="6829"/>
      <c r="M28" s="2935"/>
      <c r="N28" s="2936"/>
      <c r="O28" s="6828"/>
      <c r="P28" s="6829"/>
      <c r="Q28" s="2938"/>
      <c r="R28" s="3612">
        <f>IF(S27&gt;0,1,0)</f>
        <v>0</v>
      </c>
      <c r="S28" s="2933">
        <v>3</v>
      </c>
      <c r="U28" s="443"/>
      <c r="V28" s="530">
        <f>IF(W27&gt;0,1,0)</f>
        <v>0</v>
      </c>
      <c r="W28" s="2938"/>
      <c r="X28" s="2939"/>
      <c r="Y28" s="6828"/>
      <c r="Z28" s="6829"/>
      <c r="AA28" s="2940"/>
      <c r="AB28" s="3649"/>
      <c r="AC28" s="6828"/>
      <c r="AD28" s="6829"/>
      <c r="AE28" s="2941"/>
      <c r="AF28" s="2878"/>
      <c r="AG28" s="6828"/>
      <c r="AH28" s="6829"/>
      <c r="AI28" s="2942"/>
      <c r="AJ28" s="2943"/>
      <c r="AK28" s="6828"/>
      <c r="AL28" s="6829"/>
      <c r="AM28" s="6836"/>
      <c r="AN28" s="2859"/>
      <c r="AO28" s="628"/>
      <c r="AP28" s="628"/>
      <c r="AQ28" s="628"/>
      <c r="AR28" s="628"/>
      <c r="AS28" s="708"/>
      <c r="AT28" s="708"/>
      <c r="AU28" s="708"/>
      <c r="AV28" s="708"/>
    </row>
    <row r="29" spans="1:48" ht="12" customHeight="1">
      <c r="A29" s="2846"/>
      <c r="B29" s="6838"/>
      <c r="C29" s="6830"/>
      <c r="D29" s="6831"/>
      <c r="E29" s="2860"/>
      <c r="F29" s="2921"/>
      <c r="G29" s="6830"/>
      <c r="H29" s="6831"/>
      <c r="I29" s="2848"/>
      <c r="J29" s="2851"/>
      <c r="K29" s="6832"/>
      <c r="L29" s="6833"/>
      <c r="M29" s="2932"/>
      <c r="N29" s="2848"/>
      <c r="O29" s="6832"/>
      <c r="P29" s="6833"/>
      <c r="Q29" s="928"/>
      <c r="R29" s="3611"/>
      <c r="S29" s="2944"/>
      <c r="U29" s="443"/>
      <c r="V29" s="2945"/>
      <c r="X29" s="2850"/>
      <c r="Y29" s="6828"/>
      <c r="Z29" s="6831"/>
      <c r="AA29" s="2860"/>
      <c r="AB29" s="928"/>
      <c r="AC29" s="6828"/>
      <c r="AD29" s="6831"/>
      <c r="AE29" s="2857"/>
      <c r="AF29" s="2856"/>
      <c r="AG29" s="6830"/>
      <c r="AH29" s="6831"/>
      <c r="AI29" s="2856"/>
      <c r="AJ29" s="2946"/>
      <c r="AK29" s="6830"/>
      <c r="AL29" s="6831"/>
      <c r="AM29" s="6836"/>
      <c r="AN29" s="2859"/>
      <c r="AO29" s="628"/>
      <c r="AP29" s="628"/>
      <c r="AQ29" s="628"/>
      <c r="AR29" s="628"/>
      <c r="AS29" s="708"/>
      <c r="AT29" s="708"/>
      <c r="AU29" s="708"/>
      <c r="AV29" s="708"/>
    </row>
    <row r="30" spans="1:48" ht="12" customHeight="1" thickBot="1">
      <c r="A30" s="2846"/>
      <c r="B30" s="6838"/>
      <c r="C30" s="2916" t="str">
        <f>IF(AND($W$6,PDs!$R$17&gt;=D31),"","Nv "&amp;D31)</f>
        <v>Nv 4</v>
      </c>
      <c r="D30" s="2884"/>
      <c r="E30" s="928"/>
      <c r="F30" s="928"/>
      <c r="G30" s="2916" t="str">
        <f>IF(AND($W$6,PDs!$R$17&gt;=H31),"","Nv "&amp;H31)</f>
        <v>Nv 3</v>
      </c>
      <c r="H30" s="2884"/>
      <c r="I30" s="2850"/>
      <c r="J30" s="2851"/>
      <c r="K30" s="2924"/>
      <c r="L30" s="2884"/>
      <c r="M30" s="2932"/>
      <c r="N30" s="2848"/>
      <c r="O30" s="2922"/>
      <c r="P30" s="2884"/>
      <c r="Q30" s="928"/>
      <c r="R30" s="928"/>
      <c r="S30" s="2944"/>
      <c r="U30" s="443"/>
      <c r="V30" s="2945"/>
      <c r="X30" s="2850"/>
      <c r="Y30" s="2924"/>
      <c r="Z30" s="2884"/>
      <c r="AA30" s="928"/>
      <c r="AB30" s="928"/>
      <c r="AC30" s="2947"/>
      <c r="AD30" s="2884"/>
      <c r="AE30" s="2857"/>
      <c r="AF30" s="2856"/>
      <c r="AG30" s="2916" t="str">
        <f>IF(AND($W$6,PDs!$R$17&gt;=AH31),"","Nv "&amp;AH31)</f>
        <v>Nv 4</v>
      </c>
      <c r="AH30" s="2884"/>
      <c r="AI30" s="2856"/>
      <c r="AJ30" s="2857"/>
      <c r="AK30" s="2916" t="str">
        <f>IF(AND($W$6,PDs!$R$17&gt;=AL31),"","Nv "&amp;AL31)</f>
        <v>Nv 4</v>
      </c>
      <c r="AL30" s="2884"/>
      <c r="AM30" s="6836"/>
      <c r="AN30" s="2859"/>
      <c r="AO30" s="628"/>
      <c r="AP30" s="628"/>
      <c r="AQ30" s="628"/>
      <c r="AR30" s="628"/>
      <c r="AS30" s="708"/>
      <c r="AT30" s="708"/>
      <c r="AU30" s="708"/>
      <c r="AV30" s="708"/>
    </row>
    <row r="31" spans="1:48" ht="12" customHeight="1" thickBot="1">
      <c r="A31" s="2846"/>
      <c r="B31" s="2948"/>
      <c r="C31" s="2888">
        <f>IF(D30&gt;0,1,0)</f>
        <v>0</v>
      </c>
      <c r="D31" s="628">
        <v>4</v>
      </c>
      <c r="E31" s="2886"/>
      <c r="F31" s="2886"/>
      <c r="G31" s="2886">
        <f>IF(H30&gt;0,1,0)</f>
        <v>0</v>
      </c>
      <c r="H31" s="3177">
        <v>3</v>
      </c>
      <c r="I31" s="2927"/>
      <c r="J31" s="2887"/>
      <c r="K31" s="2886">
        <f>IF(L30&gt;0,1,0)</f>
        <v>0</v>
      </c>
      <c r="L31" s="2886"/>
      <c r="M31" s="2887"/>
      <c r="N31" s="2886"/>
      <c r="O31" s="2886">
        <f>IF(P30&gt;0,1,0)</f>
        <v>0</v>
      </c>
      <c r="P31" s="2949"/>
      <c r="Q31" s="928"/>
      <c r="R31" s="928"/>
      <c r="S31" s="2944"/>
      <c r="U31" s="3650"/>
      <c r="V31" s="2945"/>
      <c r="X31" s="2950"/>
      <c r="Y31" s="2886">
        <f>IF(Z30&gt;0,1,0)</f>
        <v>0</v>
      </c>
      <c r="Z31" s="1290"/>
      <c r="AA31" s="1290"/>
      <c r="AB31" s="1290"/>
      <c r="AC31" s="2886">
        <f>IF(AD30&gt;0,1,0)</f>
        <v>0</v>
      </c>
      <c r="AD31" s="1290"/>
      <c r="AE31" s="1290"/>
      <c r="AF31" s="1290"/>
      <c r="AG31" s="2886">
        <f>IF(AH30&gt;0,1,0)</f>
        <v>0</v>
      </c>
      <c r="AH31" s="1290">
        <v>4</v>
      </c>
      <c r="AI31" s="1290"/>
      <c r="AJ31" s="2886"/>
      <c r="AK31" s="2892">
        <f>IF(AL30&gt;0,1,0)</f>
        <v>0</v>
      </c>
      <c r="AL31" s="2951">
        <v>4</v>
      </c>
      <c r="AM31" s="532"/>
      <c r="AN31" s="2859"/>
      <c r="AO31" s="628"/>
      <c r="AP31" s="628"/>
      <c r="AQ31" s="628"/>
      <c r="AR31" s="628"/>
      <c r="AS31" s="708"/>
      <c r="AT31" s="708"/>
      <c r="AU31" s="708"/>
      <c r="AV31" s="708"/>
    </row>
    <row r="32" spans="1:48" ht="12" customHeight="1">
      <c r="A32" s="2846"/>
      <c r="B32" s="2948"/>
      <c r="C32" s="6826" t="str">
        <f>IF(Personalización!AJ76="No","Fortalecer (defensivo)","Proy. Psíquica Determinada")</f>
        <v>Fortalecer (defensivo)</v>
      </c>
      <c r="D32" s="6827"/>
      <c r="E32" s="2850"/>
      <c r="F32" s="2850"/>
      <c r="G32" s="2851"/>
      <c r="H32" s="2850"/>
      <c r="I32" s="2850"/>
      <c r="J32" s="2851"/>
      <c r="K32" s="2848"/>
      <c r="L32" s="2848"/>
      <c r="M32" s="2851"/>
      <c r="N32" s="928"/>
      <c r="O32" s="928"/>
      <c r="P32" s="2949"/>
      <c r="Q32" s="928"/>
      <c r="R32" s="928"/>
      <c r="S32" s="2952"/>
      <c r="T32" s="6826" t="s">
        <v>10176</v>
      </c>
      <c r="U32" s="6827"/>
      <c r="V32" s="2953"/>
      <c r="X32" s="2332"/>
      <c r="AJ32" s="2856"/>
      <c r="AK32" s="6826" t="s">
        <v>10177</v>
      </c>
      <c r="AL32" s="6827"/>
      <c r="AM32" s="532"/>
      <c r="AN32" s="2859"/>
      <c r="AO32" s="628"/>
      <c r="AP32" s="628"/>
      <c r="AQ32" s="628"/>
      <c r="AR32" s="628"/>
      <c r="AS32" s="708"/>
      <c r="AT32" s="708"/>
      <c r="AU32" s="708"/>
      <c r="AV32" s="708"/>
    </row>
    <row r="33" spans="1:48" ht="12" customHeight="1" thickBot="1">
      <c r="A33" s="2846"/>
      <c r="B33" s="2948"/>
      <c r="C33" s="6828"/>
      <c r="D33" s="6829"/>
      <c r="P33" s="2856"/>
      <c r="Q33" s="928"/>
      <c r="R33" s="928"/>
      <c r="S33" s="2954"/>
      <c r="T33" s="6828"/>
      <c r="U33" s="6829"/>
      <c r="V33" s="2955"/>
      <c r="X33" s="2956"/>
      <c r="AJ33" s="2856"/>
      <c r="AK33" s="6828"/>
      <c r="AL33" s="6829"/>
      <c r="AM33" s="532"/>
      <c r="AN33" s="2859"/>
      <c r="AO33" s="628"/>
      <c r="AP33" s="628" t="s">
        <v>10178</v>
      </c>
      <c r="AQ33" s="628"/>
      <c r="AR33" s="628"/>
      <c r="AS33" s="708"/>
      <c r="AT33" s="708"/>
      <c r="AU33" s="708"/>
      <c r="AV33" s="708"/>
    </row>
    <row r="34" spans="1:48" ht="12" customHeight="1">
      <c r="A34" s="2846"/>
      <c r="B34" s="2948"/>
      <c r="C34" s="6830"/>
      <c r="D34" s="6831"/>
      <c r="P34" s="2901"/>
      <c r="Q34" s="928"/>
      <c r="R34" s="928"/>
      <c r="S34" s="2957"/>
      <c r="T34" s="6832"/>
      <c r="U34" s="6833"/>
      <c r="V34" s="2853"/>
      <c r="W34" s="2958"/>
      <c r="AJ34" s="2856"/>
      <c r="AK34" s="6830"/>
      <c r="AL34" s="6831"/>
      <c r="AM34" s="532"/>
      <c r="AN34" s="2859"/>
      <c r="AO34" s="628"/>
      <c r="AP34" s="628">
        <f>COUNTIF(Principal!C42:F49,"Neurodivergente")</f>
        <v>0</v>
      </c>
      <c r="AQ34" s="628">
        <f>IF(AND(AP34&lt;&gt;1,AP35&gt;1),0,1)</f>
        <v>1</v>
      </c>
      <c r="AR34" s="628"/>
      <c r="AS34" s="708"/>
      <c r="AT34" s="708"/>
      <c r="AU34" s="708"/>
      <c r="AV34" s="708"/>
    </row>
    <row r="35" spans="1:48" ht="12" customHeight="1" thickBot="1">
      <c r="A35" s="2846"/>
      <c r="B35" s="2948"/>
      <c r="C35" s="2916" t="str">
        <f>IF(AND($W$6,PDs!$R$17&gt;=D36),"","Nv "&amp;D36)</f>
        <v>Nv 5</v>
      </c>
      <c r="D35" s="2884"/>
      <c r="E35" s="928"/>
      <c r="F35" s="2861"/>
      <c r="G35" s="928"/>
      <c r="H35" s="928"/>
      <c r="I35" s="2949"/>
      <c r="J35" s="2848"/>
      <c r="K35" s="2857"/>
      <c r="L35" s="2856"/>
      <c r="M35" s="2867"/>
      <c r="N35" s="2867"/>
      <c r="O35" s="2856"/>
      <c r="P35" s="2946"/>
      <c r="Q35" s="928"/>
      <c r="R35" s="928"/>
      <c r="S35" s="2957"/>
      <c r="T35" s="2924"/>
      <c r="U35" s="2884"/>
      <c r="V35" s="2853"/>
      <c r="W35" s="2958"/>
      <c r="AJ35" s="2901"/>
      <c r="AK35" s="2916" t="str">
        <f>IF(AND($W$6,PDs!$R$17&gt;=AL36),"","Nv "&amp;AL36)</f>
        <v>Nv 5</v>
      </c>
      <c r="AL35" s="2959"/>
      <c r="AM35" s="532"/>
      <c r="AN35" s="2859"/>
      <c r="AO35" s="628"/>
      <c r="AP35" s="628">
        <f>SUM(O31,O41,Y41,Y31)</f>
        <v>0</v>
      </c>
      <c r="AQ35" s="628"/>
      <c r="AR35" s="628"/>
      <c r="AS35" s="708"/>
      <c r="AT35" s="708"/>
      <c r="AU35" s="708"/>
      <c r="AV35" s="708"/>
    </row>
    <row r="36" spans="1:48" ht="12" customHeight="1" thickBot="1">
      <c r="A36" s="2846"/>
      <c r="B36" s="2847"/>
      <c r="C36" s="2886">
        <f>IF(D35&gt;0,1,0)</f>
        <v>0</v>
      </c>
      <c r="D36" s="3180">
        <v>5</v>
      </c>
      <c r="E36" s="2860"/>
      <c r="F36" s="2848"/>
      <c r="G36" s="2851"/>
      <c r="H36" s="928"/>
      <c r="I36" s="928"/>
      <c r="J36" s="2949"/>
      <c r="K36" s="2848"/>
      <c r="L36" s="2848"/>
      <c r="M36" s="2851"/>
      <c r="N36" s="928"/>
      <c r="O36" s="2949"/>
      <c r="P36" s="2851"/>
      <c r="Q36" s="928"/>
      <c r="R36" s="928"/>
      <c r="S36" s="2944"/>
      <c r="T36" s="2886">
        <f>IF(U35&gt;0,1,0)</f>
        <v>0</v>
      </c>
      <c r="U36" s="3651"/>
      <c r="V36" s="928"/>
      <c r="W36" s="2944"/>
      <c r="Y36" s="928"/>
      <c r="Z36" s="2861"/>
      <c r="AA36" s="928"/>
      <c r="AB36" s="928"/>
      <c r="AC36" s="2949"/>
      <c r="AD36" s="2848"/>
      <c r="AE36" s="2857"/>
      <c r="AF36" s="2856"/>
      <c r="AG36" s="2867"/>
      <c r="AH36" s="2867"/>
      <c r="AI36" s="2856"/>
      <c r="AJ36" s="2946"/>
      <c r="AK36" s="2892">
        <f>IF(AL35&gt;0,1,0)</f>
        <v>0</v>
      </c>
      <c r="AL36" s="2960">
        <v>5</v>
      </c>
      <c r="AM36" s="532"/>
      <c r="AN36" s="2859"/>
      <c r="AO36" s="628"/>
      <c r="AP36" s="3633"/>
      <c r="AQ36" s="628"/>
      <c r="AR36" s="628"/>
      <c r="AS36" s="708"/>
      <c r="AT36" s="708"/>
      <c r="AU36" s="708"/>
      <c r="AV36" s="708"/>
    </row>
    <row r="37" spans="1:48" ht="12" customHeight="1">
      <c r="A37" s="2846"/>
      <c r="B37" s="6838" t="s">
        <v>10179</v>
      </c>
      <c r="C37" s="6826" t="s">
        <v>10180</v>
      </c>
      <c r="D37" s="6827"/>
      <c r="E37" s="2848"/>
      <c r="F37" s="2848"/>
      <c r="G37" s="6826" t="s">
        <v>10181</v>
      </c>
      <c r="H37" s="6827"/>
      <c r="I37" s="2848"/>
      <c r="J37" s="2851"/>
      <c r="K37" s="6826" t="s">
        <v>10182</v>
      </c>
      <c r="L37" s="6827"/>
      <c r="M37" s="2851"/>
      <c r="N37" s="2332"/>
      <c r="O37" s="6826" t="s">
        <v>10183</v>
      </c>
      <c r="P37" s="6827"/>
      <c r="Q37" s="928"/>
      <c r="R37" s="928"/>
      <c r="S37" s="2944"/>
      <c r="U37" s="443"/>
      <c r="V37" s="928"/>
      <c r="W37" s="2944"/>
      <c r="Y37" s="6826" t="s">
        <v>10184</v>
      </c>
      <c r="Z37" s="6827"/>
      <c r="AA37" s="928"/>
      <c r="AB37" s="928"/>
      <c r="AC37" s="6826" t="s">
        <v>10185</v>
      </c>
      <c r="AD37" s="6827"/>
      <c r="AE37" s="2867"/>
      <c r="AF37" s="2856"/>
      <c r="AG37" s="6826" t="s">
        <v>10177</v>
      </c>
      <c r="AH37" s="6827"/>
      <c r="AI37" s="2856"/>
      <c r="AJ37" s="2857"/>
      <c r="AK37" s="6826" t="s">
        <v>10185</v>
      </c>
      <c r="AL37" s="6827"/>
      <c r="AM37" s="6836" t="s">
        <v>10186</v>
      </c>
      <c r="AN37" s="2859"/>
      <c r="AO37" s="628"/>
      <c r="AP37" s="3633"/>
      <c r="AQ37" s="628"/>
      <c r="AR37" s="628"/>
      <c r="AS37" s="708"/>
      <c r="AT37" s="708"/>
      <c r="AU37" s="708"/>
      <c r="AV37" s="708"/>
    </row>
    <row r="38" spans="1:48" ht="12" customHeight="1" thickBot="1">
      <c r="A38" s="2846"/>
      <c r="B38" s="6838"/>
      <c r="C38" s="6828"/>
      <c r="D38" s="6829"/>
      <c r="E38" s="2912"/>
      <c r="F38" s="3646"/>
      <c r="G38" s="6828"/>
      <c r="H38" s="6829"/>
      <c r="I38" s="2871"/>
      <c r="J38" s="2914"/>
      <c r="K38" s="6828"/>
      <c r="L38" s="6829"/>
      <c r="M38" s="2895"/>
      <c r="N38" s="2961"/>
      <c r="O38" s="6828"/>
      <c r="P38" s="6829"/>
      <c r="Q38" s="2912"/>
      <c r="R38" s="2962"/>
      <c r="S38" s="2944"/>
      <c r="U38" s="443"/>
      <c r="V38" s="928"/>
      <c r="W38" s="2937"/>
      <c r="X38" s="2963"/>
      <c r="Y38" s="6839"/>
      <c r="Z38" s="6829"/>
      <c r="AA38" s="2964"/>
      <c r="AB38" s="2936"/>
      <c r="AC38" s="6828"/>
      <c r="AD38" s="6829"/>
      <c r="AE38" s="2965"/>
      <c r="AF38" s="2966"/>
      <c r="AG38" s="6828"/>
      <c r="AH38" s="6829"/>
      <c r="AI38" s="2919"/>
      <c r="AJ38" s="2967"/>
      <c r="AK38" s="6828"/>
      <c r="AL38" s="6829"/>
      <c r="AM38" s="6836"/>
      <c r="AN38" s="2859"/>
      <c r="AO38" s="628"/>
      <c r="AP38" s="628"/>
      <c r="AQ38" s="628"/>
      <c r="AR38" s="628"/>
      <c r="AS38" s="708"/>
      <c r="AT38" s="708"/>
      <c r="AU38" s="708"/>
      <c r="AV38" s="708"/>
    </row>
    <row r="39" spans="1:48" ht="12" customHeight="1" thickBot="1">
      <c r="A39" s="2846"/>
      <c r="B39" s="6838"/>
      <c r="C39" s="6830"/>
      <c r="D39" s="6831"/>
      <c r="E39" s="2850"/>
      <c r="F39" s="2850"/>
      <c r="G39" s="6830"/>
      <c r="H39" s="6831"/>
      <c r="I39" s="2848"/>
      <c r="J39" s="2851"/>
      <c r="K39" s="6832"/>
      <c r="L39" s="6833"/>
      <c r="M39" s="2849"/>
      <c r="N39" s="2848"/>
      <c r="O39" s="6832"/>
      <c r="P39" s="6833"/>
      <c r="Q39" s="928"/>
      <c r="R39" s="928"/>
      <c r="S39" s="928"/>
      <c r="T39" s="3652"/>
      <c r="U39" s="3607"/>
      <c r="W39" s="928"/>
      <c r="X39" s="928"/>
      <c r="Y39" s="6832"/>
      <c r="Z39" s="6833"/>
      <c r="AA39" s="2848"/>
      <c r="AB39" s="2848"/>
      <c r="AC39" s="6832"/>
      <c r="AD39" s="6833"/>
      <c r="AE39" s="2867"/>
      <c r="AF39" s="2856"/>
      <c r="AG39" s="6830"/>
      <c r="AH39" s="6831"/>
      <c r="AI39" s="2856"/>
      <c r="AJ39" s="2867"/>
      <c r="AK39" s="6830"/>
      <c r="AL39" s="6831"/>
      <c r="AM39" s="6836"/>
      <c r="AN39" s="2859"/>
      <c r="AO39" s="628"/>
      <c r="AP39" s="628"/>
      <c r="AQ39" s="530"/>
      <c r="AR39" s="530"/>
      <c r="AS39" s="708"/>
      <c r="AT39" s="708"/>
      <c r="AU39" s="708"/>
      <c r="AV39" s="708"/>
    </row>
    <row r="40" spans="1:48" ht="12" customHeight="1" thickBot="1">
      <c r="A40" s="2846"/>
      <c r="B40" s="6838"/>
      <c r="C40" s="2916" t="str">
        <f>IF(AND($W$6,PDs!$R$17&gt;=D41),"","Nv "&amp;D41)</f>
        <v>Nv 4</v>
      </c>
      <c r="D40" s="2884"/>
      <c r="E40" s="2850"/>
      <c r="F40" s="2850"/>
      <c r="G40" s="2916" t="str">
        <f>IF(AND($W$6,PDs!$R$17&gt;=H41),"","Nv "&amp;H41)</f>
        <v>Nv 3</v>
      </c>
      <c r="H40" s="2884"/>
      <c r="I40" s="2850"/>
      <c r="J40" s="2851"/>
      <c r="K40" s="2924"/>
      <c r="L40" s="2884"/>
      <c r="M40" s="2851"/>
      <c r="N40" s="2848"/>
      <c r="O40" s="2924"/>
      <c r="P40" s="2884"/>
      <c r="Q40" s="928"/>
      <c r="R40" s="6826" t="s">
        <v>10171</v>
      </c>
      <c r="S40" s="6827"/>
      <c r="T40" s="3608"/>
      <c r="U40" s="3653"/>
      <c r="V40" s="6849" t="s">
        <v>10057</v>
      </c>
      <c r="W40" s="6827"/>
      <c r="X40" s="928"/>
      <c r="Y40" s="2924"/>
      <c r="Z40" s="2884"/>
      <c r="AA40" s="2848"/>
      <c r="AB40" s="2848"/>
      <c r="AC40" s="2924"/>
      <c r="AD40" s="2884"/>
      <c r="AE40" s="2855"/>
      <c r="AF40" s="2856"/>
      <c r="AG40" s="2916" t="str">
        <f>IF(AND($W$6,PDs!$R$17&gt;=AH41),"","Nv "&amp;AH41)</f>
        <v>Nv 4</v>
      </c>
      <c r="AH40" s="2884"/>
      <c r="AI40" s="2856"/>
      <c r="AJ40" s="2867"/>
      <c r="AK40" s="2916" t="str">
        <f>IF(AND($W$6,PDs!$R$17&gt;=AL41),"","Nv "&amp;AL41)</f>
        <v>Nv 4</v>
      </c>
      <c r="AL40" s="2884"/>
      <c r="AM40" s="6836"/>
      <c r="AN40" s="2859"/>
      <c r="AO40" s="628"/>
      <c r="AP40" s="628"/>
      <c r="AQ40" s="530"/>
      <c r="AR40" s="530"/>
      <c r="AS40" s="708"/>
      <c r="AT40" s="708"/>
      <c r="AU40" s="708"/>
      <c r="AV40" s="708"/>
    </row>
    <row r="41" spans="1:48" ht="12" customHeight="1" thickBot="1">
      <c r="A41" s="2846"/>
      <c r="B41" s="6838"/>
      <c r="C41" s="2886">
        <f>IF(D40&gt;0,1,0)</f>
        <v>0</v>
      </c>
      <c r="D41" s="628">
        <v>4</v>
      </c>
      <c r="E41" s="2850"/>
      <c r="F41" s="2850"/>
      <c r="G41" s="2886">
        <f>IF(H40&gt;0,1,0)</f>
        <v>0</v>
      </c>
      <c r="H41" s="3186">
        <v>3</v>
      </c>
      <c r="I41" s="2850"/>
      <c r="J41" s="2851"/>
      <c r="K41" s="2886">
        <f>IF(L40&gt;0,1,0)</f>
        <v>0</v>
      </c>
      <c r="L41" s="2848"/>
      <c r="M41" s="2851"/>
      <c r="N41" s="2850"/>
      <c r="O41" s="2888">
        <f>IF(P40&gt;0,1,0)</f>
        <v>0</v>
      </c>
      <c r="P41" s="2968"/>
      <c r="Q41" s="2848"/>
      <c r="R41" s="6828"/>
      <c r="S41" s="6829"/>
      <c r="T41" s="3654"/>
      <c r="U41" s="3655"/>
      <c r="V41" s="6839"/>
      <c r="W41" s="6829"/>
      <c r="X41" s="928"/>
      <c r="Y41" s="2886">
        <f>IF(Z40&gt;0,1,0)</f>
        <v>0</v>
      </c>
      <c r="Z41" s="2890"/>
      <c r="AA41" s="2927"/>
      <c r="AB41" s="2927"/>
      <c r="AC41" s="2886">
        <f>IF(AD40&gt;0,1,0)</f>
        <v>0</v>
      </c>
      <c r="AD41" s="2891"/>
      <c r="AE41" s="2886"/>
      <c r="AF41" s="2887"/>
      <c r="AG41" s="2886">
        <f>IF(AH40&gt;0,1,0)</f>
        <v>0</v>
      </c>
      <c r="AH41" s="2969">
        <v>4</v>
      </c>
      <c r="AI41" s="2887"/>
      <c r="AJ41" s="2927"/>
      <c r="AK41" s="2886">
        <f>IF(AL40&gt;0,1,0)</f>
        <v>0</v>
      </c>
      <c r="AL41" s="2960">
        <v>4</v>
      </c>
      <c r="AM41" s="6837"/>
      <c r="AN41" s="2859"/>
      <c r="AO41" s="628"/>
      <c r="AP41" s="628"/>
      <c r="AQ41" s="530"/>
      <c r="AR41" s="530"/>
      <c r="AS41" s="708"/>
      <c r="AT41" s="708"/>
      <c r="AU41" s="708"/>
      <c r="AV41" s="708"/>
    </row>
    <row r="42" spans="1:48" ht="12" customHeight="1">
      <c r="A42" s="2846"/>
      <c r="B42" s="6838"/>
      <c r="C42" s="6826" t="s">
        <v>10181</v>
      </c>
      <c r="D42" s="6827"/>
      <c r="E42" s="2332"/>
      <c r="F42" s="2852"/>
      <c r="G42" s="6826" t="s">
        <v>10187</v>
      </c>
      <c r="H42" s="6827"/>
      <c r="I42" s="2850"/>
      <c r="J42" s="2851"/>
      <c r="K42" s="2850"/>
      <c r="L42" s="2850"/>
      <c r="M42" s="2851"/>
      <c r="N42" s="2850"/>
      <c r="O42" s="6826" t="s">
        <v>10188</v>
      </c>
      <c r="P42" s="6827"/>
      <c r="Q42" s="928"/>
      <c r="R42" s="6832"/>
      <c r="S42" s="6833"/>
      <c r="T42" s="3656"/>
      <c r="U42" s="2971"/>
      <c r="V42" s="6830"/>
      <c r="W42" s="6831"/>
      <c r="X42" s="2851"/>
      <c r="Y42" s="6826" t="s">
        <v>10189</v>
      </c>
      <c r="Z42" s="6827"/>
      <c r="AA42" s="2861"/>
      <c r="AB42" s="2850"/>
      <c r="AC42" s="2850"/>
      <c r="AD42" s="2851"/>
      <c r="AE42" s="2850"/>
      <c r="AF42" s="2867"/>
      <c r="AG42" s="6826" t="s">
        <v>10185</v>
      </c>
      <c r="AH42" s="6827"/>
      <c r="AI42" s="2867"/>
      <c r="AJ42" s="2856"/>
      <c r="AK42" s="6826" t="s">
        <v>10185</v>
      </c>
      <c r="AL42" s="6827"/>
      <c r="AM42" s="6836"/>
      <c r="AN42" s="2859"/>
      <c r="AO42" s="628"/>
      <c r="AP42" s="628"/>
      <c r="AQ42" s="530"/>
      <c r="AR42" s="530"/>
      <c r="AS42" s="708"/>
      <c r="AT42" s="708"/>
      <c r="AU42" s="708"/>
      <c r="AV42" s="708"/>
    </row>
    <row r="43" spans="1:48" ht="12" customHeight="1" thickBot="1">
      <c r="A43" s="2846"/>
      <c r="B43" s="6838"/>
      <c r="C43" s="6828"/>
      <c r="D43" s="6829"/>
      <c r="E43" s="2970"/>
      <c r="F43" s="2936"/>
      <c r="G43" s="6828"/>
      <c r="H43" s="6829"/>
      <c r="I43" s="2850"/>
      <c r="J43" s="2851"/>
      <c r="K43" s="2850"/>
      <c r="L43" s="2850"/>
      <c r="M43" s="2851"/>
      <c r="N43" s="2850"/>
      <c r="O43" s="6828"/>
      <c r="P43" s="6829"/>
      <c r="Q43" s="928"/>
      <c r="R43" s="2916" t="str">
        <f>IF(AND($W$6,PDs!$R$17&gt;=S44),"","Nv "&amp;S44)</f>
        <v>Nv 3</v>
      </c>
      <c r="S43" s="2884"/>
      <c r="T43" s="3657"/>
      <c r="U43" s="2863"/>
      <c r="V43" s="2883"/>
      <c r="W43" s="2884"/>
      <c r="X43" s="2851"/>
      <c r="Y43" s="6828"/>
      <c r="Z43" s="6829"/>
      <c r="AA43" s="2861"/>
      <c r="AB43" s="2850"/>
      <c r="AC43" s="2850"/>
      <c r="AD43" s="2851"/>
      <c r="AE43" s="2850"/>
      <c r="AF43" s="2867"/>
      <c r="AG43" s="6828"/>
      <c r="AH43" s="6829"/>
      <c r="AI43" s="2965"/>
      <c r="AJ43" s="2966"/>
      <c r="AK43" s="6828"/>
      <c r="AL43" s="6829"/>
      <c r="AM43" s="6836"/>
      <c r="AN43" s="2859"/>
      <c r="AO43" s="628"/>
      <c r="AP43" s="628"/>
      <c r="AQ43" s="530"/>
      <c r="AR43" s="530"/>
      <c r="AS43" s="708"/>
      <c r="AT43" s="708"/>
      <c r="AU43" s="708"/>
      <c r="AV43" s="708"/>
    </row>
    <row r="44" spans="1:48" ht="12" customHeight="1">
      <c r="A44" s="2846"/>
      <c r="B44" s="6838"/>
      <c r="C44" s="6830"/>
      <c r="D44" s="6831"/>
      <c r="E44" s="2848"/>
      <c r="F44" s="2848"/>
      <c r="G44" s="6830"/>
      <c r="H44" s="6831"/>
      <c r="I44" s="2852"/>
      <c r="J44" s="2851"/>
      <c r="K44" s="2850"/>
      <c r="L44" s="2850"/>
      <c r="M44" s="2851"/>
      <c r="N44" s="2332"/>
      <c r="O44" s="6830"/>
      <c r="P44" s="6831"/>
      <c r="Q44" s="2850"/>
      <c r="R44" s="3176">
        <f>IF(S43&gt;0,1,0)</f>
        <v>0</v>
      </c>
      <c r="S44" s="530">
        <v>3</v>
      </c>
      <c r="V44" s="530">
        <f>IF(W43&gt;0,1,0)</f>
        <v>0</v>
      </c>
      <c r="X44" s="2851"/>
      <c r="Y44" s="6832"/>
      <c r="Z44" s="6833"/>
      <c r="AA44" s="2271"/>
      <c r="AB44" s="2332"/>
      <c r="AC44" s="2852"/>
      <c r="AD44" s="2851"/>
      <c r="AE44" s="2850"/>
      <c r="AF44" s="2867"/>
      <c r="AG44" s="6830"/>
      <c r="AH44" s="6831"/>
      <c r="AI44" s="2855"/>
      <c r="AJ44" s="2856"/>
      <c r="AK44" s="6830"/>
      <c r="AL44" s="6831"/>
      <c r="AM44" s="6836"/>
      <c r="AN44" s="2859"/>
      <c r="AO44" s="628"/>
      <c r="AP44" s="628"/>
      <c r="AQ44" s="530"/>
      <c r="AR44" s="530"/>
      <c r="AS44" s="708"/>
      <c r="AT44" s="708"/>
      <c r="AU44" s="708"/>
      <c r="AV44" s="708"/>
    </row>
    <row r="45" spans="1:48" ht="12" customHeight="1" thickBot="1">
      <c r="A45" s="2846"/>
      <c r="B45" s="6838"/>
      <c r="C45" s="2916" t="str">
        <f>IF(AND($W$6,PDs!$R$17&gt;=D46),"","Nv "&amp;D46)</f>
        <v>Nv 8</v>
      </c>
      <c r="D45" s="2884"/>
      <c r="E45" s="2848"/>
      <c r="F45" s="2848"/>
      <c r="G45" s="2916" t="str">
        <f>IF(AND($W$6,PDs!$R$17&gt;=H46),"","Nv "&amp;H46)</f>
        <v>Nv 5</v>
      </c>
      <c r="H45" s="2884"/>
      <c r="I45" s="2848"/>
      <c r="J45" s="2851"/>
      <c r="K45" s="2332"/>
      <c r="L45" s="2852"/>
      <c r="M45" s="2851"/>
      <c r="N45" s="2860"/>
      <c r="O45" s="2883"/>
      <c r="P45" s="2884"/>
      <c r="Q45" s="2850"/>
      <c r="R45" s="2863"/>
      <c r="S45" s="530"/>
      <c r="X45" s="2851"/>
      <c r="Y45" s="2924"/>
      <c r="Z45" s="2884"/>
      <c r="AA45" s="2861"/>
      <c r="AB45" s="2860"/>
      <c r="AC45" s="2848"/>
      <c r="AD45" s="2851"/>
      <c r="AE45" s="2332"/>
      <c r="AF45" s="2855"/>
      <c r="AG45" s="2916" t="str">
        <f>IF(AND($W$6,PDs!$R$17&gt;=AH46),"","Nv "&amp;AH46)</f>
        <v>Nv 5</v>
      </c>
      <c r="AH45" s="2884"/>
      <c r="AI45" s="2857"/>
      <c r="AJ45" s="2856"/>
      <c r="AK45" s="2916" t="str">
        <f>IF(AND($W$6,PDs!$R$17&gt;=AL46),"","Nv "&amp;AL46)</f>
        <v>Nv 6</v>
      </c>
      <c r="AL45" s="2884"/>
      <c r="AM45" s="6836"/>
      <c r="AN45" s="2859"/>
      <c r="AO45" s="628"/>
      <c r="AP45" s="628"/>
      <c r="AQ45" s="530"/>
      <c r="AR45" s="530"/>
      <c r="AS45" s="708"/>
      <c r="AT45" s="708"/>
      <c r="AU45" s="708"/>
      <c r="AV45" s="708"/>
    </row>
    <row r="46" spans="1:48" ht="12" customHeight="1" thickBot="1">
      <c r="A46" s="2846"/>
      <c r="B46" s="6838"/>
      <c r="C46" s="2886">
        <f>IF(D45&gt;0,1,0)</f>
        <v>0</v>
      </c>
      <c r="D46" s="3184">
        <v>8</v>
      </c>
      <c r="E46" s="2848"/>
      <c r="F46" s="2848"/>
      <c r="G46" s="2886">
        <f>IF(H45&gt;0,1,0)</f>
        <v>0</v>
      </c>
      <c r="H46" s="3184">
        <v>5</v>
      </c>
      <c r="I46" s="2848"/>
      <c r="J46" s="2851"/>
      <c r="K46" s="2860"/>
      <c r="L46" s="2848"/>
      <c r="M46" s="2851"/>
      <c r="N46" s="2848"/>
      <c r="O46" s="2886">
        <f>IF(P45&gt;0,1,0)</f>
        <v>0</v>
      </c>
      <c r="P46" s="2889"/>
      <c r="Q46" s="2850"/>
      <c r="R46" s="2863"/>
      <c r="S46" s="3093"/>
      <c r="T46" s="6849" t="s">
        <v>10171</v>
      </c>
      <c r="U46" s="6827"/>
      <c r="X46" s="2851"/>
      <c r="Y46" s="2886">
        <f>IF(Z45&gt;0,1,0)</f>
        <v>0</v>
      </c>
      <c r="Z46" s="2928"/>
      <c r="AA46" s="2887"/>
      <c r="AB46" s="2886"/>
      <c r="AC46" s="2886"/>
      <c r="AD46" s="2887"/>
      <c r="AE46" s="2891"/>
      <c r="AF46" s="2886"/>
      <c r="AG46" s="2886">
        <f>IF(AH45&gt;0,1,0)</f>
        <v>0</v>
      </c>
      <c r="AH46" s="2928">
        <v>5</v>
      </c>
      <c r="AI46" s="2886"/>
      <c r="AJ46" s="2887"/>
      <c r="AK46" s="2886">
        <f>IF(AL45&gt;0,1,0)</f>
        <v>0</v>
      </c>
      <c r="AL46" s="3184">
        <v>6</v>
      </c>
      <c r="AM46" s="6837"/>
      <c r="AN46" s="2859"/>
      <c r="AO46" s="3730"/>
      <c r="AP46" s="3730"/>
      <c r="AQ46" s="3730"/>
      <c r="AR46" s="3730"/>
      <c r="AS46" s="708"/>
      <c r="AT46" s="708"/>
      <c r="AU46" s="708"/>
      <c r="AV46" s="708"/>
    </row>
    <row r="47" spans="1:48" ht="12" customHeight="1" thickBot="1">
      <c r="A47" s="2846"/>
      <c r="B47" s="6838"/>
      <c r="C47" s="6826" t="s">
        <v>10190</v>
      </c>
      <c r="D47" s="6827"/>
      <c r="E47" s="2850"/>
      <c r="F47" s="2850"/>
      <c r="G47" s="6826" t="s">
        <v>10191</v>
      </c>
      <c r="H47" s="6827"/>
      <c r="I47" s="2850"/>
      <c r="J47" s="2851"/>
      <c r="K47" s="6826" t="s">
        <v>10192</v>
      </c>
      <c r="L47" s="6827"/>
      <c r="M47" s="2851"/>
      <c r="N47" s="2851"/>
      <c r="O47" s="6826" t="s">
        <v>10180</v>
      </c>
      <c r="P47" s="6827"/>
      <c r="S47" s="3094"/>
      <c r="T47" s="6839"/>
      <c r="U47" s="6829"/>
      <c r="X47" s="2851"/>
      <c r="Y47" s="6826" t="s">
        <v>10193</v>
      </c>
      <c r="Z47" s="6827"/>
      <c r="AA47" s="2851"/>
      <c r="AB47" s="2850"/>
      <c r="AC47" s="6826" t="s">
        <v>10189</v>
      </c>
      <c r="AD47" s="6827"/>
      <c r="AE47" s="2850"/>
      <c r="AF47" s="2867"/>
      <c r="AG47" s="6826" t="s">
        <v>10193</v>
      </c>
      <c r="AH47" s="6827"/>
      <c r="AI47" s="2867"/>
      <c r="AJ47" s="2856"/>
      <c r="AK47" s="6826" t="s">
        <v>10194</v>
      </c>
      <c r="AL47" s="6827"/>
      <c r="AM47" s="6836"/>
      <c r="AN47" s="2859"/>
      <c r="AO47" s="3730"/>
      <c r="AP47" s="3730"/>
      <c r="AQ47" s="3730"/>
      <c r="AR47" s="3730"/>
      <c r="AS47" s="708"/>
      <c r="AT47" s="708"/>
      <c r="AU47" s="708"/>
      <c r="AV47" s="708"/>
    </row>
    <row r="48" spans="1:48" ht="12" customHeight="1" thickBot="1">
      <c r="A48" s="2846"/>
      <c r="B48" s="6838"/>
      <c r="C48" s="6828"/>
      <c r="D48" s="6829"/>
      <c r="E48" s="2850"/>
      <c r="F48" s="2850"/>
      <c r="G48" s="6828"/>
      <c r="H48" s="6829"/>
      <c r="I48" s="2913"/>
      <c r="J48" s="2914"/>
      <c r="K48" s="6828"/>
      <c r="L48" s="6829"/>
      <c r="M48" s="2895"/>
      <c r="N48" s="2914"/>
      <c r="O48" s="6828"/>
      <c r="P48" s="6829"/>
      <c r="Q48" s="2850"/>
      <c r="T48" s="6830"/>
      <c r="U48" s="6831"/>
      <c r="X48" s="2851"/>
      <c r="Y48" s="6828"/>
      <c r="Z48" s="6829"/>
      <c r="AA48" s="2895"/>
      <c r="AB48" s="2896"/>
      <c r="AC48" s="6828"/>
      <c r="AD48" s="6829"/>
      <c r="AE48" s="2913"/>
      <c r="AF48" s="2972"/>
      <c r="AG48" s="6828"/>
      <c r="AH48" s="6829"/>
      <c r="AI48" s="2867"/>
      <c r="AJ48" s="2856"/>
      <c r="AK48" s="6828"/>
      <c r="AL48" s="6829"/>
      <c r="AM48" s="6836"/>
      <c r="AN48" s="2859"/>
      <c r="AO48" s="3730"/>
      <c r="AP48" s="3730"/>
      <c r="AQ48" s="3730"/>
      <c r="AR48" s="3730"/>
      <c r="AS48" s="708"/>
      <c r="AT48" s="708"/>
      <c r="AU48" s="708"/>
      <c r="AV48" s="708"/>
    </row>
    <row r="49" spans="1:48" ht="12" customHeight="1" thickBot="1">
      <c r="A49" s="2846"/>
      <c r="B49" s="6838"/>
      <c r="C49" s="6830"/>
      <c r="D49" s="6831"/>
      <c r="E49" s="2850"/>
      <c r="F49" s="2850"/>
      <c r="G49" s="6830"/>
      <c r="H49" s="6831"/>
      <c r="I49" s="2850"/>
      <c r="J49" s="2851"/>
      <c r="K49" s="6830"/>
      <c r="L49" s="6831"/>
      <c r="M49" s="2851"/>
      <c r="N49" s="2851"/>
      <c r="O49" s="6830"/>
      <c r="P49" s="6831"/>
      <c r="Q49" s="2850"/>
      <c r="T49" s="2916" t="str">
        <f>IF(AND($W$6,PDs!$R$17&gt;=U50),"","Nv "&amp;U50)</f>
        <v>Nv 5</v>
      </c>
      <c r="U49" s="2884"/>
      <c r="X49" s="2851"/>
      <c r="Y49" s="6830"/>
      <c r="Z49" s="6831"/>
      <c r="AA49" s="2851"/>
      <c r="AB49" s="2850"/>
      <c r="AC49" s="6830"/>
      <c r="AD49" s="6831"/>
      <c r="AE49" s="2850"/>
      <c r="AF49" s="2867"/>
      <c r="AG49" s="6830"/>
      <c r="AH49" s="6831"/>
      <c r="AI49" s="2867"/>
      <c r="AJ49" s="2856"/>
      <c r="AK49" s="6830"/>
      <c r="AL49" s="6831"/>
      <c r="AM49" s="6836"/>
      <c r="AN49" s="2859"/>
      <c r="AO49" s="3730"/>
      <c r="AP49" s="3730"/>
      <c r="AQ49" s="3730"/>
      <c r="AR49" s="3730"/>
      <c r="AS49" s="708"/>
      <c r="AT49" s="708"/>
      <c r="AU49" s="708"/>
      <c r="AV49" s="708"/>
    </row>
    <row r="50" spans="1:48" ht="12" customHeight="1" thickBot="1">
      <c r="A50" s="2846"/>
      <c r="B50" s="6838"/>
      <c r="C50" s="2916" t="str">
        <f>IF(AND($W$6,PDs!$R$17&gt;=D51),"","Nv "&amp;D51)</f>
        <v>Nv 9</v>
      </c>
      <c r="D50" s="2884"/>
      <c r="E50" s="2332"/>
      <c r="F50" s="2852"/>
      <c r="G50" s="2916" t="str">
        <f>IF(AND($W$6,PDs!$R$17&gt;=H51),"","Nv "&amp;H51)</f>
        <v>Nv 6</v>
      </c>
      <c r="H50" s="2884"/>
      <c r="I50" s="2852"/>
      <c r="J50" s="2851"/>
      <c r="K50" s="2916" t="str">
        <f>IF(AND($W$6,PDs!$R$17&gt;=L51),"","Nv "&amp;L51)</f>
        <v>Nv 5</v>
      </c>
      <c r="L50" s="2884"/>
      <c r="M50" s="2851"/>
      <c r="N50" s="2851"/>
      <c r="O50" s="2916" t="str">
        <f>IF(AND($W$6,PDs!$R$17&gt;=P51),"","Nv "&amp;P51)</f>
        <v>Nv 3</v>
      </c>
      <c r="P50" s="2884"/>
      <c r="Q50" s="2850"/>
      <c r="T50" s="2851">
        <f>IF(U49&gt;0,1,0)</f>
        <v>0</v>
      </c>
      <c r="U50" s="3658">
        <v>5</v>
      </c>
      <c r="X50" s="2851"/>
      <c r="Y50" s="2916" t="str">
        <f>IF(AND($W$6,PDs!$R$17&gt;=Z51),"","Nv "&amp;Z51)</f>
        <v>Nv 3</v>
      </c>
      <c r="Z50" s="2884"/>
      <c r="AA50" s="2851"/>
      <c r="AB50" s="2332"/>
      <c r="AC50" s="2916" t="str">
        <f>IF(AND($W$6,PDs!$R$17&gt;=AD51),"","Nv "&amp;AD51)</f>
        <v>Nv 5</v>
      </c>
      <c r="AD50" s="2884"/>
      <c r="AE50" s="2332"/>
      <c r="AF50" s="2855"/>
      <c r="AG50" s="2916" t="str">
        <f>IF(AND($W$6,PDs!$R$17&gt;=AH51),"","Nv "&amp;AH51)</f>
        <v>Nv 5</v>
      </c>
      <c r="AH50" s="2884"/>
      <c r="AI50" s="2855"/>
      <c r="AJ50" s="2856"/>
      <c r="AK50" s="2916" t="str">
        <f>IF(AND($W$6,PDs!$R$17&gt;=AL51),"","Nv "&amp;AL51)</f>
        <v>Nv 9</v>
      </c>
      <c r="AL50" s="2884"/>
      <c r="AM50" s="6836"/>
      <c r="AN50" s="2859"/>
      <c r="AO50" s="3730"/>
      <c r="AP50" s="3730"/>
      <c r="AQ50" s="3730"/>
      <c r="AR50" s="3730"/>
      <c r="AS50" s="708"/>
      <c r="AT50" s="708"/>
      <c r="AU50" s="708"/>
      <c r="AV50" s="708"/>
    </row>
    <row r="51" spans="1:48" ht="12" customHeight="1" thickBot="1">
      <c r="A51" s="2846"/>
      <c r="B51" s="6838"/>
      <c r="C51" s="2886">
        <f>IF(D50&gt;0,1,0)</f>
        <v>0</v>
      </c>
      <c r="D51" s="3184">
        <v>9</v>
      </c>
      <c r="E51" s="2860"/>
      <c r="F51" s="2848"/>
      <c r="G51" s="2886">
        <f>IF(H50&gt;0,1,0)</f>
        <v>0</v>
      </c>
      <c r="H51" s="2860">
        <v>6</v>
      </c>
      <c r="I51" s="2848"/>
      <c r="J51" s="2851"/>
      <c r="K51" s="2886">
        <f>IF(L50&gt;0,1,0)</f>
        <v>0</v>
      </c>
      <c r="L51" s="3184">
        <v>5</v>
      </c>
      <c r="M51" s="2851"/>
      <c r="N51" s="2860"/>
      <c r="O51" s="2886">
        <f>IF(P50&gt;0,1,0)</f>
        <v>0</v>
      </c>
      <c r="P51" s="3181">
        <v>3</v>
      </c>
      <c r="Q51" s="2850"/>
      <c r="R51" s="2850"/>
      <c r="S51" s="2851"/>
      <c r="T51" s="2849"/>
      <c r="U51" s="2860"/>
      <c r="V51" s="2860"/>
      <c r="W51" s="2848"/>
      <c r="X51" s="2851"/>
      <c r="Y51" s="2886">
        <f>IF(Z50&gt;0,1,0)</f>
        <v>0</v>
      </c>
      <c r="Z51" s="2928">
        <v>3</v>
      </c>
      <c r="AA51" s="2887"/>
      <c r="AB51" s="2891"/>
      <c r="AC51" s="2886">
        <f>IF(AD50&gt;0,1,0)</f>
        <v>0</v>
      </c>
      <c r="AD51" s="2890">
        <v>5</v>
      </c>
      <c r="AE51" s="2891"/>
      <c r="AF51" s="2886"/>
      <c r="AG51" s="2886">
        <f>IF(AH50&gt;0,1,0)</f>
        <v>0</v>
      </c>
      <c r="AH51" s="2891">
        <v>5</v>
      </c>
      <c r="AI51" s="2886"/>
      <c r="AJ51" s="2887"/>
      <c r="AK51" s="2886">
        <f>IF(AL50&gt;0,1,0)</f>
        <v>0</v>
      </c>
      <c r="AL51" s="3185">
        <v>9</v>
      </c>
      <c r="AM51" s="6837"/>
      <c r="AN51" s="2859"/>
      <c r="AO51" s="3730"/>
      <c r="AP51" s="3730"/>
      <c r="AQ51" s="3730"/>
      <c r="AR51" s="3730"/>
      <c r="AS51" s="708"/>
      <c r="AT51" s="708"/>
      <c r="AU51" s="708"/>
      <c r="AV51" s="708"/>
    </row>
    <row r="52" spans="1:48" ht="12" customHeight="1">
      <c r="A52" s="2846"/>
      <c r="B52" s="6838"/>
      <c r="C52" s="6826" t="s">
        <v>10195</v>
      </c>
      <c r="D52" s="6827"/>
      <c r="E52" s="2864"/>
      <c r="F52" s="2864"/>
      <c r="G52" s="6826" t="s">
        <v>10187</v>
      </c>
      <c r="H52" s="6827"/>
      <c r="I52" s="2865"/>
      <c r="J52" s="2866"/>
      <c r="K52" s="6826" t="s">
        <v>10188</v>
      </c>
      <c r="L52" s="6827"/>
      <c r="M52" s="2851"/>
      <c r="N52" s="2848"/>
      <c r="O52" s="6826" t="s">
        <v>10191</v>
      </c>
      <c r="P52" s="6827"/>
      <c r="Q52" s="2848"/>
      <c r="R52" s="2848"/>
      <c r="S52" s="2848"/>
      <c r="T52" s="6826" t="s">
        <v>10192</v>
      </c>
      <c r="U52" s="6827"/>
      <c r="V52" s="2850"/>
      <c r="W52" s="2850"/>
      <c r="X52" s="2851"/>
      <c r="Y52" s="6826" t="s">
        <v>10193</v>
      </c>
      <c r="Z52" s="6827"/>
      <c r="AA52" s="2861"/>
      <c r="AB52" s="2865"/>
      <c r="AC52" s="6826" t="s">
        <v>10193</v>
      </c>
      <c r="AD52" s="6827"/>
      <c r="AE52" s="2850"/>
      <c r="AF52" s="2867"/>
      <c r="AG52" s="6826" t="s">
        <v>10196</v>
      </c>
      <c r="AH52" s="6827"/>
      <c r="AI52" s="2857"/>
      <c r="AJ52" s="2856"/>
      <c r="AK52" s="6826" t="s">
        <v>10197</v>
      </c>
      <c r="AL52" s="6829"/>
      <c r="AM52" s="6836"/>
      <c r="AN52" s="2859"/>
      <c r="AO52" s="3730"/>
      <c r="AP52" s="3730"/>
      <c r="AQ52" s="3730"/>
      <c r="AR52" s="3730"/>
      <c r="AS52" s="708"/>
      <c r="AT52" s="708"/>
      <c r="AU52" s="708"/>
      <c r="AV52" s="708"/>
    </row>
    <row r="53" spans="1:48" ht="12" customHeight="1" thickBot="1">
      <c r="A53" s="2846"/>
      <c r="B53" s="6838"/>
      <c r="C53" s="6828"/>
      <c r="D53" s="6829"/>
      <c r="E53" s="2868"/>
      <c r="F53" s="3645"/>
      <c r="G53" s="6828"/>
      <c r="H53" s="6829"/>
      <c r="I53" s="2973"/>
      <c r="J53" s="2870"/>
      <c r="K53" s="6828"/>
      <c r="L53" s="6829"/>
      <c r="M53" s="2851"/>
      <c r="N53" s="928"/>
      <c r="O53" s="6828"/>
      <c r="P53" s="6829"/>
      <c r="Q53" s="2871"/>
      <c r="R53" s="2872"/>
      <c r="S53" s="2936"/>
      <c r="T53" s="6828"/>
      <c r="U53" s="6829"/>
      <c r="V53" s="2874"/>
      <c r="W53" s="2974"/>
      <c r="X53" s="2914"/>
      <c r="Y53" s="6828"/>
      <c r="Z53" s="6829"/>
      <c r="AA53" s="2861"/>
      <c r="AB53" s="2975"/>
      <c r="AC53" s="6828"/>
      <c r="AD53" s="6829"/>
      <c r="AE53" s="2913"/>
      <c r="AF53" s="2972"/>
      <c r="AG53" s="6828"/>
      <c r="AH53" s="6829"/>
      <c r="AI53" s="2976"/>
      <c r="AJ53" s="2966"/>
      <c r="AK53" s="6828"/>
      <c r="AL53" s="6829"/>
      <c r="AM53" s="6836"/>
      <c r="AN53" s="2859"/>
      <c r="AO53" s="3730"/>
      <c r="AP53" s="3730"/>
      <c r="AQ53" s="3730"/>
      <c r="AR53" s="3730"/>
      <c r="AS53" s="708"/>
      <c r="AT53" s="708"/>
      <c r="AU53" s="708"/>
      <c r="AV53" s="708"/>
    </row>
    <row r="54" spans="1:48" ht="12" customHeight="1">
      <c r="A54" s="2846"/>
      <c r="B54" s="6838"/>
      <c r="C54" s="6830"/>
      <c r="D54" s="6831"/>
      <c r="E54" s="2881"/>
      <c r="F54" s="2881"/>
      <c r="G54" s="6830"/>
      <c r="H54" s="6831"/>
      <c r="I54" s="2882"/>
      <c r="J54" s="2851"/>
      <c r="K54" s="6830"/>
      <c r="L54" s="6831"/>
      <c r="M54" s="2851"/>
      <c r="N54" s="928"/>
      <c r="O54" s="6830"/>
      <c r="P54" s="6831"/>
      <c r="Q54" s="2848"/>
      <c r="R54" s="2848"/>
      <c r="S54" s="2848"/>
      <c r="T54" s="6830"/>
      <c r="U54" s="6831"/>
      <c r="V54" s="2850"/>
      <c r="W54" s="2850"/>
      <c r="X54" s="2851"/>
      <c r="Y54" s="6830"/>
      <c r="Z54" s="6831"/>
      <c r="AA54" s="2861"/>
      <c r="AB54" s="2977"/>
      <c r="AC54" s="6830"/>
      <c r="AD54" s="6831"/>
      <c r="AE54" s="2850"/>
      <c r="AF54" s="2867"/>
      <c r="AG54" s="6830"/>
      <c r="AH54" s="6831"/>
      <c r="AI54" s="2857"/>
      <c r="AJ54" s="2856"/>
      <c r="AK54" s="6830"/>
      <c r="AL54" s="6831"/>
      <c r="AM54" s="6836"/>
      <c r="AN54" s="2859"/>
      <c r="AO54" s="3730"/>
      <c r="AP54" s="3730"/>
      <c r="AQ54" s="3730"/>
      <c r="AR54" s="3730"/>
      <c r="AS54" s="708"/>
      <c r="AT54" s="708"/>
      <c r="AU54" s="708"/>
      <c r="AV54" s="708"/>
    </row>
    <row r="55" spans="1:48" ht="12" customHeight="1" thickBot="1">
      <c r="A55" s="2846"/>
      <c r="B55" s="6838"/>
      <c r="C55" s="2916" t="str">
        <f>IF(AND($W$6,PDs!$R$17&gt;=D56),"","Nv "&amp;D56)</f>
        <v>Nv 10</v>
      </c>
      <c r="D55" s="2884"/>
      <c r="E55" s="2881"/>
      <c r="F55" s="2881"/>
      <c r="G55" s="2916" t="str">
        <f>IF(AND($W$6,PDs!$R$17&gt;=H56),"","Nv "&amp;H56)</f>
        <v>Nv 8</v>
      </c>
      <c r="H55" s="2884"/>
      <c r="I55" s="2882"/>
      <c r="J55" s="2851"/>
      <c r="K55" s="2916" t="str">
        <f>IF(AND($W$6,PDs!$R$17&gt;=L56),"","Nv "&amp;L56)</f>
        <v>Nv 7</v>
      </c>
      <c r="L55" s="2884"/>
      <c r="M55" s="2851"/>
      <c r="N55" s="928"/>
      <c r="O55" s="2916" t="str">
        <f>IF(AND($W$6,PDs!$R$17&gt;=P56),"","Nv "&amp;P56)</f>
        <v>Nv 4</v>
      </c>
      <c r="P55" s="2884"/>
      <c r="Q55" s="2848"/>
      <c r="R55" s="2848"/>
      <c r="S55" s="2848"/>
      <c r="T55" s="2916" t="str">
        <f>IF(AND($W$6,PDs!$R$17&gt;=U56),"","Nv "&amp;U56)</f>
        <v>Nv 5</v>
      </c>
      <c r="U55" s="2884"/>
      <c r="V55" s="2332"/>
      <c r="W55" s="2852"/>
      <c r="X55" s="2851"/>
      <c r="Y55" s="2916" t="str">
        <f>IF(AND($W$6,PDs!$R$17&gt;=Z56),"","Nv "&amp;Z56)</f>
        <v>Nv 5</v>
      </c>
      <c r="Z55" s="2884"/>
      <c r="AA55" s="2861"/>
      <c r="AB55" s="2977"/>
      <c r="AC55" s="2916" t="str">
        <f>IF(AND($W$6,PDs!$R$17&gt;=AD56),"","Nv "&amp;AD56)</f>
        <v>Nv 7</v>
      </c>
      <c r="AD55" s="2884"/>
      <c r="AE55" s="2332"/>
      <c r="AF55" s="2855"/>
      <c r="AG55" s="2916" t="str">
        <f>IF(AND($W$6,PDs!$R$17&gt;=AH56),"","Nv "&amp;AH56)</f>
        <v>Nv 8</v>
      </c>
      <c r="AH55" s="2884"/>
      <c r="AI55" s="2857"/>
      <c r="AJ55" s="2856"/>
      <c r="AK55" s="2916" t="str">
        <f>IF(AND($W$6,PDs!$R$17&gt;=AL56),"","Nv "&amp;AL56)</f>
        <v>Nv 10</v>
      </c>
      <c r="AL55" s="2884"/>
      <c r="AM55" s="6836"/>
      <c r="AN55" s="2859"/>
      <c r="AO55" s="3730"/>
      <c r="AP55" s="3730"/>
      <c r="AQ55" s="3730"/>
      <c r="AR55" s="3730"/>
      <c r="AS55" s="708"/>
      <c r="AT55" s="708"/>
      <c r="AU55" s="708"/>
      <c r="AV55" s="708"/>
    </row>
    <row r="56" spans="1:48" ht="17.25" customHeight="1" thickBot="1">
      <c r="A56" s="2846"/>
      <c r="B56" s="2847"/>
      <c r="C56" s="2886">
        <f>IF(D55&gt;0,1,0)</f>
        <v>0</v>
      </c>
      <c r="D56" s="628">
        <v>10</v>
      </c>
      <c r="E56" s="2881"/>
      <c r="F56" s="2881"/>
      <c r="G56" s="2886">
        <f>IF(H55&gt;0,1,0)</f>
        <v>0</v>
      </c>
      <c r="H56" s="3177">
        <v>8</v>
      </c>
      <c r="I56" s="2850"/>
      <c r="J56" s="2851"/>
      <c r="K56" s="2886">
        <f>IF(L55&gt;0,1,0)</f>
        <v>0</v>
      </c>
      <c r="L56" s="2933">
        <v>7</v>
      </c>
      <c r="M56" s="2851"/>
      <c r="N56" s="2850"/>
      <c r="O56" s="2886">
        <f>IF(P55&gt;0,1,0)</f>
        <v>0</v>
      </c>
      <c r="P56" s="2851">
        <v>4</v>
      </c>
      <c r="Q56" s="928"/>
      <c r="R56" s="928"/>
      <c r="S56" s="928"/>
      <c r="T56" s="2886">
        <f>IF(U55&gt;0,1,0)</f>
        <v>0</v>
      </c>
      <c r="U56" s="2891">
        <v>5</v>
      </c>
      <c r="V56" s="2891"/>
      <c r="W56" s="2886"/>
      <c r="X56" s="2887"/>
      <c r="Y56" s="2886">
        <f>IF(Z55&gt;0,1,0)</f>
        <v>0</v>
      </c>
      <c r="Z56" s="2886">
        <v>5</v>
      </c>
      <c r="AA56" s="2887"/>
      <c r="AB56" s="2927"/>
      <c r="AC56" s="2886">
        <f>IF(AD55&gt;0,1,0)</f>
        <v>0</v>
      </c>
      <c r="AD56" s="2887">
        <v>7</v>
      </c>
      <c r="AE56" s="2891"/>
      <c r="AF56" s="2886"/>
      <c r="AG56" s="2886">
        <f>IF(AH55&gt;0,1,0)</f>
        <v>0</v>
      </c>
      <c r="AH56" s="2927">
        <v>8</v>
      </c>
      <c r="AI56" s="2927"/>
      <c r="AJ56" s="2887"/>
      <c r="AK56" s="2886">
        <f>IF(AL55&gt;0,1,0)</f>
        <v>0</v>
      </c>
      <c r="AL56" s="2933">
        <v>10</v>
      </c>
      <c r="AM56" s="1550"/>
      <c r="AN56" s="2859"/>
      <c r="AO56" s="3730"/>
      <c r="AP56" s="3730"/>
      <c r="AQ56" s="3730"/>
      <c r="AR56" s="3730"/>
      <c r="AS56" s="708"/>
      <c r="AT56" s="708"/>
      <c r="AU56" s="708"/>
      <c r="AV56" s="708"/>
    </row>
    <row r="57" spans="1:48" ht="12" customHeight="1" thickBot="1">
      <c r="A57" s="2978"/>
      <c r="B57" s="2979"/>
      <c r="C57" s="2979"/>
      <c r="D57" s="2980"/>
      <c r="E57" s="2881"/>
      <c r="F57" s="2881"/>
      <c r="G57" s="609"/>
      <c r="H57" s="2850"/>
      <c r="I57" s="2850"/>
      <c r="J57" s="2851"/>
      <c r="K57" s="2850"/>
      <c r="L57" s="2850"/>
      <c r="M57" s="2861"/>
      <c r="N57" s="2850"/>
      <c r="O57" s="2850"/>
      <c r="P57" s="6850" t="s">
        <v>10198</v>
      </c>
      <c r="Q57" s="6851"/>
      <c r="R57" s="6851"/>
      <c r="S57" s="6851"/>
      <c r="T57" s="6851"/>
      <c r="U57" s="6851"/>
      <c r="V57" s="6851"/>
      <c r="W57" s="6851"/>
      <c r="X57" s="6851"/>
      <c r="Y57" s="6852"/>
      <c r="Z57" s="928"/>
      <c r="AA57" s="2861"/>
      <c r="AB57" s="2850"/>
      <c r="AI57" s="2867"/>
      <c r="AJ57" s="2856"/>
      <c r="AK57" s="2857"/>
      <c r="AL57" s="2857"/>
      <c r="AM57" s="1550"/>
      <c r="AN57" s="2859"/>
      <c r="AO57" s="3730"/>
      <c r="AP57" s="3730"/>
      <c r="AQ57" s="3730"/>
      <c r="AR57" s="3730"/>
      <c r="AS57" s="708"/>
      <c r="AT57" s="708"/>
      <c r="AU57" s="708"/>
      <c r="AV57" s="708"/>
    </row>
    <row r="58" spans="1:48" ht="12" customHeight="1">
      <c r="A58" s="2978"/>
      <c r="B58" s="2979"/>
      <c r="C58" s="2979"/>
      <c r="D58" s="2980"/>
      <c r="E58" s="2881"/>
      <c r="F58" s="2881"/>
      <c r="G58" s="609"/>
      <c r="H58" s="2850"/>
      <c r="I58" s="2850"/>
      <c r="J58" s="2851"/>
      <c r="K58" s="2850"/>
      <c r="L58" s="2850"/>
      <c r="M58" s="2861"/>
      <c r="N58" s="2850" t="s">
        <v>2603</v>
      </c>
      <c r="O58" s="2850"/>
      <c r="P58" s="6840" t="s">
        <v>1543</v>
      </c>
      <c r="Q58" s="6841"/>
      <c r="R58" s="6842"/>
      <c r="S58" s="6843" t="s">
        <v>10199</v>
      </c>
      <c r="T58" s="6844"/>
      <c r="U58" s="6845" t="s">
        <v>10030</v>
      </c>
      <c r="V58" s="6846"/>
      <c r="W58" s="6847" t="s">
        <v>1544</v>
      </c>
      <c r="X58" s="6846"/>
      <c r="Y58" s="6848"/>
      <c r="Z58" s="928"/>
      <c r="AI58" s="2867"/>
      <c r="AJ58" s="2856"/>
      <c r="AK58" s="2857"/>
      <c r="AL58" s="2857"/>
      <c r="AM58" s="1550"/>
      <c r="AN58" s="2859"/>
      <c r="AO58" s="3730"/>
      <c r="AP58" s="3730"/>
      <c r="AQ58" s="3730"/>
      <c r="AR58" s="3730"/>
      <c r="AS58" s="708"/>
      <c r="AT58" s="708"/>
      <c r="AU58" s="708"/>
      <c r="AV58" s="708"/>
    </row>
    <row r="59" spans="1:48" ht="12" customHeight="1">
      <c r="A59" s="2978"/>
      <c r="B59" s="2979"/>
      <c r="C59" s="2979"/>
      <c r="D59" s="2980"/>
      <c r="E59" s="2881"/>
      <c r="F59" s="2881"/>
      <c r="G59" s="928"/>
      <c r="H59" s="2332"/>
      <c r="I59" s="2852"/>
      <c r="J59" s="2851"/>
      <c r="K59" s="2850"/>
      <c r="L59" s="2850"/>
      <c r="M59" s="2861"/>
      <c r="N59" s="2332"/>
      <c r="O59" s="2852"/>
      <c r="P59" s="6857">
        <f>PDs!AA123</f>
        <v>0</v>
      </c>
      <c r="Q59" s="6858"/>
      <c r="R59" s="6859"/>
      <c r="S59" s="6862">
        <f>SUM(PDs!AA125:AA129)</f>
        <v>0</v>
      </c>
      <c r="T59" s="6258"/>
      <c r="U59" s="6261">
        <f>SUM(PDs!AA130:AA134)</f>
        <v>0</v>
      </c>
      <c r="V59" s="6865"/>
      <c r="W59" s="6868">
        <f>D15+H15+L15+P15+D20+L20+P20+D25+H25+L25+P25+D30+H30+L30+P30+D35+D40+H40+L40+P40+D45+H45+P45+D50+H50+L50+P50+D55+H55+L55+P55+U55+U15+S27+U35+W43+Z15+AD15+AH15+AL15+Z20+AD20+AL20+Z25+AD25+AH25+Z30+AD30+AH30+AL30+AL35+Z40+AD40+AH40+AL40+Z45+AH45+AL45+Z50+AD50+AH50+AL50+Z55+AD55+AH55+AL55+S59+U59+AL25+W27+S43</f>
        <v>0</v>
      </c>
      <c r="X59" s="6865"/>
      <c r="Y59" s="6262"/>
      <c r="Z59" s="928"/>
      <c r="AI59" s="2855"/>
      <c r="AJ59" s="2856"/>
      <c r="AK59" s="2857"/>
      <c r="AL59" s="2857"/>
      <c r="AM59" s="2858"/>
      <c r="AN59" s="2859"/>
      <c r="AO59" s="3730"/>
      <c r="AP59" s="3730"/>
      <c r="AQ59" s="3730"/>
      <c r="AR59" s="3730"/>
      <c r="AS59" s="708"/>
      <c r="AT59" s="708"/>
      <c r="AU59" s="708"/>
      <c r="AV59" s="708"/>
    </row>
    <row r="60" spans="1:48" ht="12" customHeight="1">
      <c r="A60" s="2978"/>
      <c r="B60" s="2979"/>
      <c r="C60" s="2979"/>
      <c r="D60" s="2980"/>
      <c r="E60" s="2881"/>
      <c r="F60" s="2881"/>
      <c r="G60" s="928"/>
      <c r="H60" s="2860"/>
      <c r="I60" s="2882"/>
      <c r="J60" s="2861"/>
      <c r="K60" s="2332"/>
      <c r="L60" s="2852"/>
      <c r="M60" s="2851"/>
      <c r="N60" s="2860"/>
      <c r="O60" s="928"/>
      <c r="P60" s="6371"/>
      <c r="Q60" s="6860"/>
      <c r="R60" s="6861"/>
      <c r="S60" s="6863"/>
      <c r="T60" s="6864"/>
      <c r="U60" s="6866"/>
      <c r="V60" s="6867"/>
      <c r="W60" s="6869"/>
      <c r="X60" s="6867"/>
      <c r="Y60" s="6870"/>
      <c r="Z60" s="928"/>
      <c r="AI60" s="2857"/>
      <c r="AJ60" s="2981"/>
      <c r="AK60" s="2857"/>
      <c r="AL60" s="2857"/>
      <c r="AM60" s="2858"/>
      <c r="AN60" s="2859"/>
      <c r="AO60" s="3730"/>
      <c r="AP60" s="3730"/>
      <c r="AQ60" s="3730"/>
      <c r="AR60" s="3730"/>
      <c r="AS60" s="708"/>
      <c r="AT60" s="708"/>
      <c r="AU60" s="708"/>
      <c r="AV60" s="708"/>
    </row>
    <row r="61" spans="1:48" ht="12" customHeight="1" thickBot="1">
      <c r="A61" s="2978"/>
      <c r="B61" s="2979"/>
      <c r="C61" s="2979"/>
      <c r="D61" s="2980"/>
      <c r="E61" s="14"/>
      <c r="F61" s="42"/>
      <c r="G61" s="42"/>
      <c r="H61" s="14"/>
      <c r="I61" s="144"/>
      <c r="J61" s="145"/>
      <c r="K61" s="2982"/>
      <c r="L61" s="14"/>
      <c r="M61" s="218"/>
      <c r="N61" s="14"/>
      <c r="O61" s="14"/>
      <c r="P61" s="6871" t="str">
        <f>IF(AND(AO34=0,AO35=1),"Número de puertos insuficientes","")</f>
        <v/>
      </c>
      <c r="Q61" s="6872"/>
      <c r="R61" s="6872"/>
      <c r="S61" s="6872"/>
      <c r="T61" s="6872"/>
      <c r="U61" s="6872"/>
      <c r="V61" s="6872"/>
      <c r="W61" s="6872"/>
      <c r="X61" s="6872"/>
      <c r="Y61" s="6873"/>
      <c r="Z61" s="14"/>
      <c r="AA61" s="14"/>
      <c r="AB61" s="14"/>
      <c r="AC61" s="14"/>
      <c r="AD61" s="218"/>
      <c r="AE61" s="2982"/>
      <c r="AF61" s="2862"/>
      <c r="AG61" s="2862"/>
      <c r="AH61" s="2862"/>
      <c r="AI61" s="2862"/>
      <c r="AJ61" s="2862"/>
      <c r="AK61" s="2862"/>
      <c r="AL61" s="2862"/>
      <c r="AM61" s="2858"/>
      <c r="AN61" s="2859"/>
      <c r="AO61" s="3730"/>
      <c r="AP61" s="3730"/>
      <c r="AQ61" s="3730"/>
      <c r="AR61" s="3730"/>
      <c r="AS61" s="708"/>
      <c r="AT61" s="708"/>
      <c r="AU61" s="708"/>
      <c r="AV61" s="708"/>
    </row>
    <row r="62" spans="1:48" ht="12" customHeight="1" thickBot="1">
      <c r="A62" s="2978"/>
      <c r="B62" s="2983"/>
      <c r="C62" s="2984"/>
      <c r="D62" s="2985"/>
      <c r="E62" s="2986"/>
      <c r="F62" s="2987"/>
      <c r="G62" s="2987"/>
      <c r="H62" s="2986"/>
      <c r="I62" s="2988"/>
      <c r="J62" s="2989"/>
      <c r="K62" s="2986"/>
      <c r="L62" s="2986"/>
      <c r="M62" s="2986"/>
      <c r="N62" s="2986"/>
      <c r="O62" s="2986"/>
      <c r="P62" s="2986"/>
      <c r="Q62" s="2986"/>
      <c r="R62" s="2986"/>
      <c r="S62" s="2986"/>
      <c r="T62" s="2986"/>
      <c r="U62" s="2986"/>
      <c r="V62" s="2986"/>
      <c r="W62" s="2986"/>
      <c r="X62" s="2986"/>
      <c r="Y62" s="2986"/>
      <c r="Z62" s="2986"/>
      <c r="AA62" s="2986"/>
      <c r="AB62" s="2986"/>
      <c r="AC62" s="2986"/>
      <c r="AD62" s="2986"/>
      <c r="AE62" s="2986"/>
      <c r="AF62" s="2990"/>
      <c r="AG62" s="2990"/>
      <c r="AH62" s="2990"/>
      <c r="AI62" s="2990"/>
      <c r="AJ62" s="2990"/>
      <c r="AK62" s="2990"/>
      <c r="AL62" s="2990"/>
      <c r="AM62" s="2991"/>
      <c r="AN62" s="2859"/>
      <c r="AO62" s="3730"/>
      <c r="AP62" s="3730"/>
      <c r="AQ62" s="3730"/>
      <c r="AR62" s="3730"/>
      <c r="AS62" s="708"/>
      <c r="AT62" s="708"/>
      <c r="AU62" s="708"/>
      <c r="AV62" s="708"/>
    </row>
    <row r="63" spans="1:48" ht="12" customHeight="1">
      <c r="A63" s="442"/>
      <c r="B63" s="1905"/>
      <c r="C63" s="1905"/>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1554"/>
      <c r="AG63" s="1554"/>
      <c r="AH63" s="1554"/>
      <c r="AI63" s="1554"/>
      <c r="AJ63" s="1554"/>
      <c r="AK63" s="1554"/>
      <c r="AL63" s="1554"/>
      <c r="AM63" s="1554"/>
      <c r="AN63" s="1554"/>
      <c r="AO63" s="3731"/>
      <c r="AP63" s="708"/>
      <c r="AQ63" s="708"/>
      <c r="AR63" s="708"/>
      <c r="AS63" s="708"/>
      <c r="AT63" s="708"/>
      <c r="AU63" s="708"/>
      <c r="AV63" s="708"/>
    </row>
  </sheetData>
  <sheetProtection sheet="1" selectLockedCells="1"/>
  <dataConsolidate/>
  <mergeCells count="93">
    <mergeCell ref="P59:R60"/>
    <mergeCell ref="S59:T60"/>
    <mergeCell ref="U59:V60"/>
    <mergeCell ref="W59:Y60"/>
    <mergeCell ref="P61:Y61"/>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8:R58"/>
    <mergeCell ref="S58:T58"/>
    <mergeCell ref="U58:V58"/>
    <mergeCell ref="W58:Y58"/>
    <mergeCell ref="AC47:AD49"/>
    <mergeCell ref="Y52:Z54"/>
    <mergeCell ref="AC52:AD5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C27:D29"/>
    <mergeCell ref="G27:H29"/>
    <mergeCell ref="K27:L29"/>
    <mergeCell ref="O27:P29"/>
    <mergeCell ref="E3:J8"/>
    <mergeCell ref="K12:L14"/>
    <mergeCell ref="O12:P14"/>
    <mergeCell ref="G22:H24"/>
    <mergeCell ref="K22:L24"/>
    <mergeCell ref="O22:P24"/>
    <mergeCell ref="T4:U5"/>
    <mergeCell ref="T6:U7"/>
    <mergeCell ref="AE6:AK7"/>
    <mergeCell ref="AF5:AH5"/>
    <mergeCell ref="AD4:AE4"/>
    <mergeCell ref="AD5:AE5"/>
    <mergeCell ref="AF4:AH4"/>
  </mergeCells>
  <conditionalFormatting sqref="T35 Z10">
    <cfRule type="cellIs" dxfId="2045" priority="210" stopIfTrue="1" operator="greaterThan">
      <formula>#REF!</formula>
    </cfRule>
  </conditionalFormatting>
  <conditionalFormatting sqref="Y30">
    <cfRule type="cellIs" dxfId="2044" priority="172" stopIfTrue="1" operator="greaterThan">
      <formula>#REF!</formula>
    </cfRule>
  </conditionalFormatting>
  <conditionalFormatting sqref="Y25">
    <cfRule type="cellIs" dxfId="2043" priority="171" stopIfTrue="1" operator="greaterThan">
      <formula>#REF!</formula>
    </cfRule>
  </conditionalFormatting>
  <conditionalFormatting sqref="AC30">
    <cfRule type="cellIs" dxfId="2042" priority="170" stopIfTrue="1" operator="greaterThan">
      <formula>#REF!</formula>
    </cfRule>
  </conditionalFormatting>
  <conditionalFormatting sqref="Y40">
    <cfRule type="cellIs" dxfId="2041" priority="169" stopIfTrue="1" operator="greaterThan">
      <formula>#REF!</formula>
    </cfRule>
  </conditionalFormatting>
  <conditionalFormatting sqref="AC40">
    <cfRule type="cellIs" dxfId="2040" priority="168" stopIfTrue="1" operator="greaterThan">
      <formula>#REF!</formula>
    </cfRule>
  </conditionalFormatting>
  <conditionalFormatting sqref="Y45">
    <cfRule type="cellIs" dxfId="2039" priority="167" stopIfTrue="1" operator="greaterThan">
      <formula>#REF!</formula>
    </cfRule>
  </conditionalFormatting>
  <conditionalFormatting sqref="O30">
    <cfRule type="cellIs" dxfId="2038" priority="166" stopIfTrue="1" operator="greaterThan">
      <formula>#REF!</formula>
    </cfRule>
  </conditionalFormatting>
  <conditionalFormatting sqref="O40">
    <cfRule type="cellIs" dxfId="2037" priority="165" stopIfTrue="1" operator="greaterThan">
      <formula>#REF!</formula>
    </cfRule>
  </conditionalFormatting>
  <conditionalFormatting sqref="K30">
    <cfRule type="cellIs" dxfId="2036" priority="164" stopIfTrue="1" operator="greaterThan">
      <formula>#REF!</formula>
    </cfRule>
  </conditionalFormatting>
  <conditionalFormatting sqref="K40">
    <cfRule type="cellIs" dxfId="2035" priority="162" stopIfTrue="1" operator="greaterThan">
      <formula>#REF!</formula>
    </cfRule>
  </conditionalFormatting>
  <conditionalFormatting sqref="O25">
    <cfRule type="cellIs" dxfId="2034" priority="158" stopIfTrue="1" operator="greaterThan">
      <formula>#REF!</formula>
    </cfRule>
  </conditionalFormatting>
  <conditionalFormatting sqref="G12:H14">
    <cfRule type="expression" dxfId="2033" priority="154">
      <formula>$H$15&gt;0</formula>
    </cfRule>
  </conditionalFormatting>
  <conditionalFormatting sqref="W59">
    <cfRule type="expression" dxfId="2032" priority="216">
      <formula>$W$59&gt;$P$59</formula>
    </cfRule>
  </conditionalFormatting>
  <conditionalFormatting sqref="T32:U34">
    <cfRule type="expression" dxfId="2031" priority="75">
      <formula>$T$36&gt;0</formula>
    </cfRule>
  </conditionalFormatting>
  <conditionalFormatting sqref="O27:P29">
    <cfRule type="expression" dxfId="2030" priority="74">
      <formula>$O$31&gt;0</formula>
    </cfRule>
  </conditionalFormatting>
  <conditionalFormatting sqref="K27:L29">
    <cfRule type="expression" dxfId="2029" priority="73">
      <formula>$K$31&gt;0</formula>
    </cfRule>
  </conditionalFormatting>
  <conditionalFormatting sqref="G27:H29">
    <cfRule type="expression" dxfId="2028" priority="72">
      <formula>$G$31&gt;0</formula>
    </cfRule>
  </conditionalFormatting>
  <conditionalFormatting sqref="C27:D29">
    <cfRule type="expression" dxfId="2027" priority="71">
      <formula>$C$31&gt;0</formula>
    </cfRule>
  </conditionalFormatting>
  <conditionalFormatting sqref="C22:D24">
    <cfRule type="expression" dxfId="2026" priority="70">
      <formula>$C$26&gt;0</formula>
    </cfRule>
  </conditionalFormatting>
  <conditionalFormatting sqref="C12:D14">
    <cfRule type="expression" dxfId="2025" priority="69">
      <formula>$C$16&gt;0</formula>
    </cfRule>
  </conditionalFormatting>
  <conditionalFormatting sqref="C17:D19">
    <cfRule type="expression" dxfId="2024" priority="68">
      <formula>$C$21&gt;0</formula>
    </cfRule>
  </conditionalFormatting>
  <conditionalFormatting sqref="K12:L14">
    <cfRule type="expression" dxfId="2023" priority="67">
      <formula>$K$16&gt;0</formula>
    </cfRule>
  </conditionalFormatting>
  <conditionalFormatting sqref="K17:L19">
    <cfRule type="expression" dxfId="2022" priority="66">
      <formula>$K$21&gt;0</formula>
    </cfRule>
  </conditionalFormatting>
  <conditionalFormatting sqref="K22:L24">
    <cfRule type="expression" dxfId="2021" priority="65">
      <formula>$K$26&gt;0</formula>
    </cfRule>
  </conditionalFormatting>
  <conditionalFormatting sqref="G22:H24">
    <cfRule type="expression" dxfId="2020" priority="64">
      <formula>$G$26&gt;0</formula>
    </cfRule>
  </conditionalFormatting>
  <conditionalFormatting sqref="O12:P14">
    <cfRule type="expression" dxfId="2019" priority="63">
      <formula>$O$16&gt;0</formula>
    </cfRule>
  </conditionalFormatting>
  <conditionalFormatting sqref="O17:P19">
    <cfRule type="expression" dxfId="2018" priority="62">
      <formula>$O$21&gt;0</formula>
    </cfRule>
  </conditionalFormatting>
  <conditionalFormatting sqref="O22:P24">
    <cfRule type="expression" dxfId="2017" priority="61">
      <formula>$O$26&gt;0</formula>
    </cfRule>
  </conditionalFormatting>
  <conditionalFormatting sqref="R24:S26">
    <cfRule type="expression" dxfId="2016" priority="60">
      <formula>$R$28&gt;0</formula>
    </cfRule>
  </conditionalFormatting>
  <conditionalFormatting sqref="V24:W26">
    <cfRule type="expression" dxfId="2015" priority="59">
      <formula>$V$28&gt;0</formula>
    </cfRule>
  </conditionalFormatting>
  <conditionalFormatting sqref="U21">
    <cfRule type="expression" dxfId="2014" priority="58">
      <formula>$T$22&gt;0</formula>
    </cfRule>
  </conditionalFormatting>
  <conditionalFormatting sqref="T18:U20">
    <cfRule type="expression" dxfId="2013" priority="55">
      <formula>$T$22=1</formula>
    </cfRule>
    <cfRule type="expression" dxfId="2012" priority="57">
      <formula>$T$22&gt;0</formula>
    </cfRule>
  </conditionalFormatting>
  <conditionalFormatting sqref="T12:U14">
    <cfRule type="expression" dxfId="2011" priority="56">
      <formula>$T$16=1</formula>
    </cfRule>
  </conditionalFormatting>
  <conditionalFormatting sqref="Y27:Z29">
    <cfRule type="expression" dxfId="2010" priority="54">
      <formula>$Y$31=1</formula>
    </cfRule>
  </conditionalFormatting>
  <conditionalFormatting sqref="Y17:Z19">
    <cfRule type="expression" dxfId="2009" priority="53">
      <formula>$Y$21=1</formula>
    </cfRule>
  </conditionalFormatting>
  <conditionalFormatting sqref="Y22:Z24">
    <cfRule type="expression" dxfId="2008" priority="52">
      <formula>$Y$26=1</formula>
    </cfRule>
  </conditionalFormatting>
  <conditionalFormatting sqref="Y12:Z14">
    <cfRule type="expression" dxfId="2007" priority="51">
      <formula>$Y$16=1</formula>
    </cfRule>
  </conditionalFormatting>
  <conditionalFormatting sqref="AC27:AD29">
    <cfRule type="expression" dxfId="2006" priority="50">
      <formula>$AC$31=1</formula>
    </cfRule>
  </conditionalFormatting>
  <conditionalFormatting sqref="AC22:AD24">
    <cfRule type="expression" dxfId="2005" priority="49">
      <formula>$AC$26=1</formula>
    </cfRule>
  </conditionalFormatting>
  <conditionalFormatting sqref="AC17:AD19">
    <cfRule type="expression" dxfId="2004" priority="48">
      <formula>$AC$21=1</formula>
    </cfRule>
  </conditionalFormatting>
  <conditionalFormatting sqref="AC12:AD14">
    <cfRule type="expression" dxfId="2003" priority="47">
      <formula>$AC$16=1</formula>
    </cfRule>
  </conditionalFormatting>
  <conditionalFormatting sqref="AG12:AH14">
    <cfRule type="expression" dxfId="2002" priority="46">
      <formula>$AG$16=1</formula>
    </cfRule>
  </conditionalFormatting>
  <conditionalFormatting sqref="AK12:AL14">
    <cfRule type="expression" dxfId="2001" priority="45">
      <formula>$AK$16=1</formula>
    </cfRule>
  </conditionalFormatting>
  <conditionalFormatting sqref="AK17:AL19">
    <cfRule type="expression" dxfId="2000" priority="44">
      <formula>$AK$21=1</formula>
    </cfRule>
  </conditionalFormatting>
  <conditionalFormatting sqref="AK22:AL24">
    <cfRule type="expression" dxfId="1999" priority="43">
      <formula>$AK$26=1</formula>
    </cfRule>
  </conditionalFormatting>
  <conditionalFormatting sqref="AK27:AL29">
    <cfRule type="expression" dxfId="1998" priority="39">
      <formula>$AK$31=1</formula>
    </cfRule>
    <cfRule type="expression" dxfId="1997" priority="42">
      <formula>$AK$31=1</formula>
    </cfRule>
  </conditionalFormatting>
  <conditionalFormatting sqref="AG22:AH24">
    <cfRule type="expression" dxfId="1996" priority="41">
      <formula>$AG$26=1</formula>
    </cfRule>
  </conditionalFormatting>
  <conditionalFormatting sqref="AG27:AH29">
    <cfRule type="expression" dxfId="1995" priority="40">
      <formula>$AG$31=1</formula>
    </cfRule>
  </conditionalFormatting>
  <conditionalFormatting sqref="O37:P39">
    <cfRule type="expression" dxfId="1994" priority="38">
      <formula>$O$41=1</formula>
    </cfRule>
  </conditionalFormatting>
  <conditionalFormatting sqref="K37:L39">
    <cfRule type="expression" dxfId="1993" priority="37">
      <formula>$K$41=1</formula>
    </cfRule>
  </conditionalFormatting>
  <conditionalFormatting sqref="G37:H39">
    <cfRule type="expression" dxfId="1992" priority="36">
      <formula>$G$41=1</formula>
    </cfRule>
  </conditionalFormatting>
  <conditionalFormatting sqref="G42:H44">
    <cfRule type="expression" dxfId="1991" priority="35">
      <formula>$G$46=1</formula>
    </cfRule>
  </conditionalFormatting>
  <conditionalFormatting sqref="G47:H49">
    <cfRule type="expression" dxfId="1990" priority="34">
      <formula>$G$51=1</formula>
    </cfRule>
  </conditionalFormatting>
  <conditionalFormatting sqref="K47:L49">
    <cfRule type="expression" dxfId="1989" priority="33">
      <formula>$K$51=1</formula>
    </cfRule>
  </conditionalFormatting>
  <conditionalFormatting sqref="O42:P44">
    <cfRule type="expression" dxfId="1988" priority="32">
      <formula>$O$46=1</formula>
    </cfRule>
  </conditionalFormatting>
  <conditionalFormatting sqref="O47:P49">
    <cfRule type="expression" dxfId="1987" priority="31">
      <formula>$O$51=1</formula>
    </cfRule>
  </conditionalFormatting>
  <conditionalFormatting sqref="O52:P54">
    <cfRule type="expression" dxfId="1986" priority="30">
      <formula>$O$56=1</formula>
    </cfRule>
  </conditionalFormatting>
  <conditionalFormatting sqref="K52:L54">
    <cfRule type="expression" dxfId="1985" priority="29">
      <formula>$K$56=1</formula>
    </cfRule>
  </conditionalFormatting>
  <conditionalFormatting sqref="G52:H54">
    <cfRule type="expression" dxfId="1984" priority="28">
      <formula>$G$56=1</formula>
    </cfRule>
  </conditionalFormatting>
  <conditionalFormatting sqref="C52:D54">
    <cfRule type="expression" dxfId="1983" priority="27">
      <formula>$C$56=1</formula>
    </cfRule>
  </conditionalFormatting>
  <conditionalFormatting sqref="C47:D49">
    <cfRule type="expression" dxfId="1982" priority="26">
      <formula>$C$51=1</formula>
    </cfRule>
  </conditionalFormatting>
  <conditionalFormatting sqref="C42:D44">
    <cfRule type="expression" dxfId="1981" priority="25">
      <formula>$C$46=1</formula>
    </cfRule>
  </conditionalFormatting>
  <conditionalFormatting sqref="C37:D39">
    <cfRule type="expression" dxfId="1980" priority="24">
      <formula>$C$41=1</formula>
    </cfRule>
  </conditionalFormatting>
  <conditionalFormatting sqref="C32:D34">
    <cfRule type="expression" dxfId="1979" priority="23">
      <formula>$C$36=1</formula>
    </cfRule>
  </conditionalFormatting>
  <conditionalFormatting sqref="V40:W42">
    <cfRule type="expression" dxfId="1978" priority="22">
      <formula>$V$44=1</formula>
    </cfRule>
  </conditionalFormatting>
  <conditionalFormatting sqref="R40:S42">
    <cfRule type="expression" dxfId="1977" priority="21">
      <formula>$R$44=1</formula>
    </cfRule>
  </conditionalFormatting>
  <conditionalFormatting sqref="T46:U48">
    <cfRule type="expression" dxfId="1976" priority="20">
      <formula>$T$50=1</formula>
    </cfRule>
  </conditionalFormatting>
  <conditionalFormatting sqref="T52:U54">
    <cfRule type="expression" dxfId="1975" priority="19">
      <formula>$T$56=1</formula>
    </cfRule>
  </conditionalFormatting>
  <conditionalFormatting sqref="Y37:Z39">
    <cfRule type="expression" dxfId="1974" priority="18">
      <formula>$Y$41=1</formula>
    </cfRule>
  </conditionalFormatting>
  <conditionalFormatting sqref="Y42:Z44">
    <cfRule type="expression" dxfId="1973" priority="17">
      <formula>$Y$46=1</formula>
    </cfRule>
  </conditionalFormatting>
  <conditionalFormatting sqref="AC37:AD39">
    <cfRule type="expression" dxfId="1972" priority="16">
      <formula>$AC$41=1</formula>
    </cfRule>
  </conditionalFormatting>
  <conditionalFormatting sqref="AG37:AH39">
    <cfRule type="expression" dxfId="1971" priority="15">
      <formula>$AG$41=1</formula>
    </cfRule>
  </conditionalFormatting>
  <conditionalFormatting sqref="AK32:AL34">
    <cfRule type="expression" dxfId="1970" priority="14">
      <formula>$AK$36=1</formula>
    </cfRule>
  </conditionalFormatting>
  <conditionalFormatting sqref="AK37:AL39">
    <cfRule type="expression" dxfId="1969" priority="13">
      <formula>$AK$41=1</formula>
    </cfRule>
  </conditionalFormatting>
  <conditionalFormatting sqref="AK42:AL44">
    <cfRule type="expression" dxfId="1968" priority="12">
      <formula>$AK$46=1</formula>
    </cfRule>
  </conditionalFormatting>
  <conditionalFormatting sqref="AG42:AH44">
    <cfRule type="expression" dxfId="1967" priority="11">
      <formula>$AG$46=1</formula>
    </cfRule>
  </conditionalFormatting>
  <conditionalFormatting sqref="AG47:AH49">
    <cfRule type="expression" dxfId="1966" priority="10">
      <formula>$AG$51=1</formula>
    </cfRule>
  </conditionalFormatting>
  <conditionalFormatting sqref="AC47:AD49">
    <cfRule type="expression" dxfId="1965" priority="9">
      <formula>$AC$51=1</formula>
    </cfRule>
  </conditionalFormatting>
  <conditionalFormatting sqref="Y47:Z49">
    <cfRule type="expression" dxfId="1964" priority="8">
      <formula>$Y$51=1</formula>
    </cfRule>
  </conditionalFormatting>
  <conditionalFormatting sqref="Y52:Z54">
    <cfRule type="expression" dxfId="1963" priority="7">
      <formula>$Y$56=1</formula>
    </cfRule>
  </conditionalFormatting>
  <conditionalFormatting sqref="AC52:AD54">
    <cfRule type="expression" dxfId="1962" priority="6">
      <formula>$AC$56=1</formula>
    </cfRule>
  </conditionalFormatting>
  <conditionalFormatting sqref="AG52:AH54">
    <cfRule type="expression" dxfId="1961" priority="5">
      <formula>$AG$56=1</formula>
    </cfRule>
  </conditionalFormatting>
  <conditionalFormatting sqref="AK52:AL54">
    <cfRule type="expression" dxfId="1960" priority="4">
      <formula>$AK$56=1</formula>
    </cfRule>
  </conditionalFormatting>
  <conditionalFormatting sqref="AK47:AL49">
    <cfRule type="expression" dxfId="1959" priority="3">
      <formula>$AK$51=1</formula>
    </cfRule>
  </conditionalFormatting>
  <conditionalFormatting sqref="Y27:Z29 Y37:Z39 O27:P29 O37:P39">
    <cfRule type="expression" dxfId="1958"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baseColWidth="10" defaultColWidth="9.140625" defaultRowHeight="12.75"/>
  <cols>
    <col min="1" max="2" width="2.140625" style="2787" customWidth="1"/>
    <col min="3" max="3" width="9.140625" style="2787"/>
    <col min="4" max="4" width="12.5703125" style="2787" customWidth="1"/>
    <col min="5" max="5" width="5.28515625" style="2787" customWidth="1"/>
    <col min="6" max="6" width="7.140625" style="2787" customWidth="1"/>
    <col min="7" max="7" width="7.7109375" style="2787" customWidth="1"/>
    <col min="8" max="8" width="7.42578125" style="2787" customWidth="1"/>
    <col min="9" max="9" width="2.140625" style="2787" customWidth="1"/>
    <col min="10" max="11" width="9.140625" style="2787" customWidth="1"/>
    <col min="12" max="12" width="3.140625" style="2787" customWidth="1"/>
    <col min="13" max="13" width="10.85546875" style="2787" customWidth="1"/>
    <col min="14" max="14" width="7.5703125" style="2787" customWidth="1"/>
    <col min="15" max="15" width="7.7109375" style="2787" customWidth="1"/>
    <col min="16" max="16" width="3.140625" style="2787" customWidth="1"/>
    <col min="17" max="17" width="9.140625" style="2787" customWidth="1"/>
    <col min="18" max="18" width="4.5703125" style="2787" customWidth="1"/>
    <col min="19" max="19" width="9.140625" style="2787"/>
    <col min="20" max="20" width="5.42578125" style="2787" customWidth="1"/>
    <col min="21" max="21" width="8.7109375" style="2787" customWidth="1"/>
    <col min="22" max="22" width="6.5703125" style="2787" customWidth="1"/>
    <col min="23" max="23" width="2.5703125" style="2787" customWidth="1"/>
    <col min="24" max="24" width="2.7109375" style="2787" customWidth="1"/>
    <col min="25" max="25" width="1.42578125" style="2787" customWidth="1"/>
    <col min="26" max="26" width="9.85546875" style="3096" customWidth="1"/>
    <col min="27" max="27" width="5" style="3097" customWidth="1"/>
    <col min="28" max="28" width="15" style="3097" customWidth="1"/>
    <col min="29" max="36" width="9.140625" style="3097"/>
    <col min="37" max="16384" width="9.140625" style="2787"/>
  </cols>
  <sheetData>
    <row r="1" spans="1:43" ht="13.5" thickBot="1">
      <c r="A1" s="1297"/>
      <c r="B1" s="3095"/>
      <c r="C1" s="3095"/>
      <c r="D1" s="3095"/>
      <c r="E1" s="3095"/>
      <c r="F1" s="3095"/>
      <c r="G1" s="3095"/>
      <c r="H1" s="3095"/>
      <c r="I1" s="3095"/>
      <c r="J1" s="3095"/>
      <c r="K1" s="3095"/>
      <c r="L1" s="3095"/>
      <c r="M1" s="3095"/>
      <c r="N1" s="3095"/>
      <c r="O1" s="3095"/>
      <c r="P1" s="3095"/>
      <c r="Q1" s="3095"/>
      <c r="R1" s="3095"/>
      <c r="S1" s="3095"/>
      <c r="T1" s="3095"/>
      <c r="U1" s="3095"/>
      <c r="V1" s="3095"/>
      <c r="W1" s="3095"/>
      <c r="X1" s="1297"/>
      <c r="Y1" s="3664"/>
      <c r="Z1" s="3665"/>
      <c r="AA1" s="3664"/>
      <c r="AB1" s="3664"/>
      <c r="AC1" s="3664"/>
      <c r="AD1" s="3664"/>
      <c r="AE1" s="3664"/>
      <c r="AF1" s="3664"/>
      <c r="AG1" s="3664"/>
      <c r="AH1" s="3664"/>
      <c r="AI1" s="3664"/>
      <c r="AJ1" s="3664"/>
      <c r="AK1" s="3664"/>
      <c r="AL1" s="3664"/>
      <c r="AM1" s="3664"/>
      <c r="AN1" s="3664"/>
      <c r="AP1" s="3664"/>
      <c r="AQ1" s="3664"/>
    </row>
    <row r="2" spans="1:43" ht="13.5" thickBot="1">
      <c r="A2" s="2104"/>
      <c r="X2" s="2103"/>
      <c r="Y2" s="3664"/>
      <c r="Z2" s="3665"/>
      <c r="AA2" s="3664"/>
      <c r="AB2" s="3664"/>
      <c r="AC2" s="3664"/>
      <c r="AD2" s="3664"/>
      <c r="AE2" s="3664"/>
      <c r="AF2" s="3664"/>
      <c r="AG2" s="3664"/>
      <c r="AH2" s="3664"/>
      <c r="AI2" s="3664"/>
      <c r="AJ2" s="3664"/>
      <c r="AK2" s="3664"/>
      <c r="AL2" s="3664"/>
      <c r="AM2" s="3664"/>
      <c r="AN2" s="3664"/>
      <c r="AP2" s="3664"/>
      <c r="AQ2" s="3664"/>
    </row>
    <row r="3" spans="1:43" ht="13.5" customHeight="1">
      <c r="A3" s="2104"/>
      <c r="C3" s="6874" t="s">
        <v>9687</v>
      </c>
      <c r="D3" s="6875"/>
      <c r="E3" s="6875"/>
      <c r="F3" s="6875"/>
      <c r="G3" s="6875"/>
      <c r="H3" s="3098"/>
      <c r="I3" s="3098"/>
      <c r="J3" s="3098"/>
      <c r="K3" s="3098"/>
      <c r="L3" s="3098"/>
      <c r="M3" s="6"/>
      <c r="N3" s="6"/>
      <c r="O3" s="6"/>
      <c r="P3" s="6"/>
      <c r="Q3" s="6"/>
      <c r="R3" s="6"/>
      <c r="S3" s="6"/>
      <c r="T3" s="6"/>
      <c r="U3" s="6"/>
      <c r="V3" s="7"/>
      <c r="X3" s="2103"/>
      <c r="Y3" s="3664"/>
      <c r="Z3" s="3665"/>
      <c r="AA3" s="3664"/>
      <c r="AB3" s="3664"/>
      <c r="AC3" s="3664"/>
      <c r="AD3" s="3664"/>
      <c r="AE3" s="3664"/>
      <c r="AF3" s="3664"/>
      <c r="AG3" s="3664"/>
      <c r="AH3" s="3664"/>
      <c r="AI3" s="3664"/>
      <c r="AJ3" s="3664"/>
      <c r="AK3" s="3664"/>
      <c r="AL3" s="3664"/>
      <c r="AM3" s="3664"/>
      <c r="AN3" s="3664"/>
      <c r="AP3" s="3664"/>
      <c r="AQ3" s="3664"/>
    </row>
    <row r="4" spans="1:43" ht="13.5" customHeight="1">
      <c r="A4" s="2104"/>
      <c r="C4" s="6876"/>
      <c r="D4" s="6877"/>
      <c r="E4" s="6877"/>
      <c r="F4" s="6877"/>
      <c r="G4" s="6877"/>
      <c r="H4" s="6880" t="s">
        <v>10413</v>
      </c>
      <c r="I4" s="6880"/>
      <c r="J4" s="6880"/>
      <c r="K4" s="6880"/>
      <c r="L4" s="6880"/>
      <c r="M4" s="3099"/>
      <c r="N4" s="3099"/>
      <c r="O4" s="3100"/>
      <c r="P4" s="3100"/>
      <c r="Q4" s="6881" t="s">
        <v>10414</v>
      </c>
      <c r="R4" s="6881"/>
      <c r="S4" s="6881"/>
      <c r="T4" s="6881"/>
      <c r="U4" s="6881"/>
      <c r="V4" s="11"/>
      <c r="X4" s="3101"/>
      <c r="Y4" s="3664"/>
      <c r="Z4" s="3665"/>
      <c r="AA4" s="3664"/>
      <c r="AB4" s="3664"/>
      <c r="AC4" s="3664" t="s">
        <v>11091</v>
      </c>
      <c r="AD4" s="3664"/>
      <c r="AE4" s="3664"/>
      <c r="AF4" s="3664"/>
      <c r="AG4" s="3664"/>
      <c r="AH4" s="3664"/>
      <c r="AI4" s="3664"/>
      <c r="AJ4" s="3664"/>
      <c r="AK4" s="3664"/>
      <c r="AL4" s="3664"/>
      <c r="AM4" s="3664"/>
      <c r="AN4" s="3664"/>
      <c r="AP4" s="3664"/>
      <c r="AQ4" s="3664"/>
    </row>
    <row r="5" spans="1:43" ht="13.5" customHeight="1">
      <c r="A5" s="2104"/>
      <c r="C5" s="6876"/>
      <c r="D5" s="6877"/>
      <c r="E5" s="6877"/>
      <c r="F5" s="6877"/>
      <c r="G5" s="6877"/>
      <c r="H5" s="6880"/>
      <c r="I5" s="6880"/>
      <c r="J5" s="6880"/>
      <c r="K5" s="6880"/>
      <c r="L5" s="6880"/>
      <c r="M5" s="6882" t="s">
        <v>10415</v>
      </c>
      <c r="N5" s="6882"/>
      <c r="O5" s="3102">
        <f>Psíquicos!H9</f>
        <v>0</v>
      </c>
      <c r="P5" s="3100"/>
      <c r="Q5" s="6881"/>
      <c r="R5" s="6881"/>
      <c r="S5" s="6881"/>
      <c r="T5" s="6881"/>
      <c r="U5" s="6881"/>
      <c r="V5" s="11"/>
      <c r="X5" s="3101"/>
      <c r="Y5" s="3664"/>
      <c r="Z5" s="3665"/>
      <c r="AA5" s="3664"/>
      <c r="AB5" s="3664"/>
      <c r="AC5" s="3666">
        <f>IF(COUNTIF(Principal!C43:I49,"Conexión sistemática (1)")=1,1,0)</f>
        <v>0</v>
      </c>
      <c r="AD5" s="3667">
        <f>ROUNDDOWN(O5/50,0)</f>
        <v>0</v>
      </c>
      <c r="AE5" s="3664"/>
      <c r="AF5" s="3664"/>
      <c r="AG5" s="3664"/>
      <c r="AH5" s="3664"/>
      <c r="AI5" s="3664"/>
      <c r="AJ5" s="3664"/>
      <c r="AK5" s="3664"/>
      <c r="AL5" s="3664"/>
      <c r="AM5" s="3664"/>
      <c r="AN5" s="3664"/>
      <c r="AP5" s="3664"/>
      <c r="AQ5" s="3664"/>
    </row>
    <row r="6" spans="1:43" ht="13.5" customHeight="1">
      <c r="A6" s="2104"/>
      <c r="C6" s="6876"/>
      <c r="D6" s="6877"/>
      <c r="E6" s="6877"/>
      <c r="F6" s="6877"/>
      <c r="G6" s="6877"/>
      <c r="H6" s="6880"/>
      <c r="I6" s="6880"/>
      <c r="J6" s="6880"/>
      <c r="K6" s="6880"/>
      <c r="L6" s="6880"/>
      <c r="M6" s="6882" t="s">
        <v>10416</v>
      </c>
      <c r="N6" s="6882"/>
      <c r="O6" s="3102">
        <f>'Red Neuronal'!AQ14+AC8+AD5</f>
        <v>0</v>
      </c>
      <c r="P6" s="3100"/>
      <c r="Q6" s="6883"/>
      <c r="R6" s="6884"/>
      <c r="S6" s="6884"/>
      <c r="T6" s="6884"/>
      <c r="U6" s="6885"/>
      <c r="V6" s="11"/>
      <c r="X6" s="3101"/>
      <c r="Y6" s="3664"/>
      <c r="Z6" s="3665"/>
      <c r="AA6" s="3664"/>
      <c r="AB6" s="3664"/>
      <c r="AC6" s="3666">
        <f>IF(COUNTIF(Principal!C43:I49,"Conexión sistemática (2)")=1,2,0)</f>
        <v>0</v>
      </c>
      <c r="AD6" s="3664"/>
      <c r="AE6" s="3664"/>
      <c r="AF6" s="3664"/>
      <c r="AG6" s="3664"/>
      <c r="AH6" s="3664"/>
      <c r="AI6" s="3664"/>
      <c r="AJ6" s="3664"/>
      <c r="AK6" s="3664"/>
      <c r="AL6" s="3664"/>
      <c r="AM6" s="3664"/>
      <c r="AN6" s="3664"/>
      <c r="AP6" s="3664"/>
      <c r="AQ6" s="3664"/>
    </row>
    <row r="7" spans="1:43" ht="12" customHeight="1">
      <c r="A7" s="2104"/>
      <c r="C7" s="6876"/>
      <c r="D7" s="6877"/>
      <c r="E7" s="6877"/>
      <c r="F7" s="6877"/>
      <c r="G7" s="6877"/>
      <c r="H7" s="6880"/>
      <c r="I7" s="6880"/>
      <c r="J7" s="6880"/>
      <c r="K7" s="6880"/>
      <c r="L7" s="6880"/>
      <c r="M7" s="3099"/>
      <c r="N7" s="3099"/>
      <c r="O7" s="3100"/>
      <c r="P7" s="3100"/>
      <c r="Q7" s="6886"/>
      <c r="R7" s="6887"/>
      <c r="S7" s="6887"/>
      <c r="T7" s="6887"/>
      <c r="U7" s="6888"/>
      <c r="V7" s="11"/>
      <c r="X7" s="3101"/>
      <c r="Y7" s="3664"/>
      <c r="Z7" s="3665"/>
      <c r="AA7" s="3664"/>
      <c r="AB7" s="3664"/>
      <c r="AC7" s="3666">
        <f>IF(COUNTIF(Principal!C43:I49,"Conexión sistemática (3)")=1,3,0)</f>
        <v>0</v>
      </c>
      <c r="AD7" s="3664"/>
      <c r="AE7" s="3664"/>
      <c r="AF7" s="3664"/>
      <c r="AG7" s="3664"/>
      <c r="AH7" s="3664"/>
      <c r="AI7" s="3664"/>
      <c r="AJ7" s="3664"/>
      <c r="AK7" s="3664"/>
      <c r="AL7" s="3664"/>
      <c r="AM7" s="3664"/>
      <c r="AN7" s="3664"/>
      <c r="AP7" s="3664"/>
      <c r="AQ7" s="3664"/>
    </row>
    <row r="8" spans="1:43" ht="15.75" customHeight="1" thickBot="1">
      <c r="A8" s="2104"/>
      <c r="C8" s="6878"/>
      <c r="D8" s="6879"/>
      <c r="E8" s="6879"/>
      <c r="F8" s="6879"/>
      <c r="G8" s="6879"/>
      <c r="H8" s="3103"/>
      <c r="I8" s="3103"/>
      <c r="J8" s="3103"/>
      <c r="K8" s="3103"/>
      <c r="L8" s="3103"/>
      <c r="M8" s="2838"/>
      <c r="N8" s="2838"/>
      <c r="O8" s="2838"/>
      <c r="P8" s="2838"/>
      <c r="Q8" s="2838"/>
      <c r="R8" s="2838"/>
      <c r="S8" s="2838"/>
      <c r="T8" s="2838"/>
      <c r="U8" s="2838"/>
      <c r="V8" s="3104"/>
      <c r="X8" s="3101"/>
      <c r="Y8" s="3664"/>
      <c r="Z8" s="3665"/>
      <c r="AA8" s="3664"/>
      <c r="AB8" s="3664"/>
      <c r="AC8" s="3668">
        <f>SUM(AC5:AC7)</f>
        <v>0</v>
      </c>
      <c r="AD8" s="3664"/>
      <c r="AE8" s="3664"/>
      <c r="AF8" s="3664"/>
      <c r="AG8" s="3664"/>
      <c r="AH8" s="3664"/>
      <c r="AI8" s="3664"/>
      <c r="AJ8" s="3664"/>
      <c r="AK8" s="3664"/>
      <c r="AL8" s="3664"/>
      <c r="AM8" s="3664"/>
      <c r="AN8" s="3664"/>
      <c r="AP8" s="3664"/>
      <c r="AQ8" s="3664"/>
    </row>
    <row r="9" spans="1:43" ht="13.5" customHeight="1" thickBot="1">
      <c r="A9" s="2104"/>
      <c r="X9" s="3101"/>
      <c r="Y9" s="3664"/>
      <c r="Z9" s="3665"/>
      <c r="AA9" s="3664"/>
      <c r="AB9" s="3664"/>
      <c r="AC9" s="3664"/>
      <c r="AD9" s="3664"/>
      <c r="AE9" s="3664"/>
      <c r="AF9" s="3664"/>
      <c r="AG9" s="3664"/>
      <c r="AH9" s="3664"/>
      <c r="AI9" s="3664"/>
      <c r="AJ9" s="3664"/>
      <c r="AK9" s="3664"/>
      <c r="AL9" s="3664"/>
      <c r="AM9" s="3664"/>
      <c r="AN9" s="3664"/>
      <c r="AP9" s="3664"/>
      <c r="AQ9" s="3664"/>
    </row>
    <row r="10" spans="1:43" ht="13.5" customHeight="1" thickBot="1">
      <c r="A10" s="2104"/>
      <c r="C10" s="6889" t="s">
        <v>10417</v>
      </c>
      <c r="D10" s="6890"/>
      <c r="F10" s="6891" t="s">
        <v>1224</v>
      </c>
      <c r="G10" s="317"/>
      <c r="H10" s="3105" t="s">
        <v>1225</v>
      </c>
      <c r="I10" s="6894" t="s">
        <v>1226</v>
      </c>
      <c r="J10" s="6895"/>
      <c r="K10" s="3106" t="s">
        <v>1209</v>
      </c>
      <c r="M10" s="5659" t="s">
        <v>10418</v>
      </c>
      <c r="N10" s="5662"/>
      <c r="O10" s="5663"/>
      <c r="Q10" s="5659" t="s">
        <v>10419</v>
      </c>
      <c r="R10" s="5662"/>
      <c r="S10" s="5662"/>
      <c r="T10" s="6896" t="s">
        <v>10420</v>
      </c>
      <c r="U10" s="6896"/>
      <c r="V10" s="2056">
        <f>SUM(10,'Tablas constructos'!I86-SUMIF(U12:U68,"&gt;0"))</f>
        <v>10</v>
      </c>
      <c r="X10" s="3101"/>
      <c r="Y10" s="3664"/>
      <c r="Z10" s="3665"/>
      <c r="AA10" s="3664"/>
      <c r="AB10" s="3664"/>
      <c r="AC10" s="3664"/>
      <c r="AD10" s="3664"/>
      <c r="AE10" s="3664"/>
      <c r="AF10" s="3664"/>
      <c r="AG10" s="3664"/>
      <c r="AH10" s="3664"/>
      <c r="AI10" s="3664"/>
      <c r="AJ10" s="3664"/>
      <c r="AK10" s="3664"/>
      <c r="AL10" s="3664"/>
      <c r="AM10" s="3664"/>
      <c r="AN10" s="3664"/>
      <c r="AP10" s="3664"/>
      <c r="AQ10" s="3664"/>
    </row>
    <row r="11" spans="1:43" ht="13.5" customHeight="1" thickBot="1">
      <c r="A11" s="2104"/>
      <c r="C11" s="6897" t="s">
        <v>10353</v>
      </c>
      <c r="D11" s="6898"/>
      <c r="F11" s="6892"/>
      <c r="G11" s="3107" t="s">
        <v>1233</v>
      </c>
      <c r="H11" s="2470">
        <f>'Tablas constructos'!F132</f>
        <v>6</v>
      </c>
      <c r="I11" s="6899"/>
      <c r="J11" s="6900"/>
      <c r="K11" s="2059">
        <f>H11+I11</f>
        <v>6</v>
      </c>
      <c r="M11" s="6901">
        <f>IF('Tablas constructos'!I79=1,SUM('Tablas constructos'!C122,'Tablas constructos'!C121),SUM('Tablas constructos'!C120,'Tablas constructos'!C121))</f>
        <v>80</v>
      </c>
      <c r="N11" s="6903"/>
      <c r="O11" s="6904"/>
      <c r="Q11" s="324" t="s">
        <v>1258</v>
      </c>
      <c r="R11" s="6043" t="s">
        <v>1235</v>
      </c>
      <c r="S11" s="6208"/>
      <c r="T11" s="6044"/>
      <c r="U11" s="2146" t="s">
        <v>2651</v>
      </c>
      <c r="V11" s="2060" t="s">
        <v>1209</v>
      </c>
      <c r="X11" s="3101"/>
      <c r="Y11" s="3664"/>
      <c r="Z11" s="3665"/>
      <c r="AA11" s="3664"/>
      <c r="AB11" s="3664"/>
      <c r="AC11" s="3664"/>
      <c r="AD11" s="3664"/>
      <c r="AE11" s="3664"/>
      <c r="AF11" s="3664"/>
      <c r="AG11" s="3664"/>
      <c r="AH11" s="3664"/>
      <c r="AI11" s="3664"/>
      <c r="AJ11" s="3664"/>
      <c r="AK11" s="3664"/>
      <c r="AL11" s="3664"/>
      <c r="AM11" s="3664"/>
      <c r="AN11" s="3664"/>
      <c r="AP11" s="3664"/>
      <c r="AQ11" s="3664"/>
    </row>
    <row r="12" spans="1:43" ht="13.5" customHeight="1" thickBot="1">
      <c r="A12" s="2104"/>
      <c r="F12" s="6892"/>
      <c r="G12" s="3107" t="s">
        <v>1238</v>
      </c>
      <c r="H12" s="2470">
        <f>'Tablas constructos'!G132</f>
        <v>6</v>
      </c>
      <c r="I12" s="6918"/>
      <c r="J12" s="6919"/>
      <c r="K12" s="323">
        <f>H12+I12</f>
        <v>6</v>
      </c>
      <c r="M12" s="6902"/>
      <c r="N12" s="6905"/>
      <c r="O12" s="6906"/>
      <c r="Q12" s="4321" t="s">
        <v>1263</v>
      </c>
      <c r="R12" s="6920" t="s">
        <v>1264</v>
      </c>
      <c r="S12" s="4337"/>
      <c r="T12" s="6921"/>
      <c r="U12" s="1981"/>
      <c r="V12" s="422">
        <f>IF(U12&gt;0,U12*20,0)</f>
        <v>0</v>
      </c>
      <c r="X12" s="3101"/>
      <c r="Y12" s="3664"/>
      <c r="Z12" s="3665"/>
      <c r="AA12" s="3664"/>
      <c r="AB12" s="3664"/>
      <c r="AC12" s="3664"/>
      <c r="AD12" s="3664"/>
      <c r="AE12" s="3664"/>
      <c r="AF12" s="3664"/>
      <c r="AG12" s="3664"/>
      <c r="AH12" s="3664"/>
      <c r="AI12" s="3664"/>
      <c r="AJ12" s="3664"/>
      <c r="AK12" s="3664"/>
      <c r="AL12" s="3664"/>
      <c r="AM12" s="3664"/>
      <c r="AN12" s="3664"/>
      <c r="AP12" s="3664"/>
      <c r="AQ12" s="3664"/>
    </row>
    <row r="13" spans="1:43" ht="13.5" customHeight="1" thickBot="1">
      <c r="A13" s="2104"/>
      <c r="C13" s="3108" t="s">
        <v>10421</v>
      </c>
      <c r="D13" s="3109" t="s">
        <v>6459</v>
      </c>
      <c r="F13" s="6892"/>
      <c r="G13" s="3107" t="s">
        <v>1243</v>
      </c>
      <c r="H13" s="2470">
        <f>'Tablas constructos'!H132</f>
        <v>6</v>
      </c>
      <c r="I13" s="6918"/>
      <c r="J13" s="6919"/>
      <c r="K13" s="323">
        <f>H13+I13</f>
        <v>6</v>
      </c>
      <c r="M13" s="3110" t="str">
        <f>IF('Tablas constructos'!C122=0,"","Acumulación")</f>
        <v/>
      </c>
      <c r="N13" s="6922" t="str">
        <f>IF('Tablas constructos'!$I$58=0,"",CONCATENATE('Tablas constructos'!$I$58*10," PV al día"))</f>
        <v/>
      </c>
      <c r="O13" s="6923"/>
      <c r="Q13" s="4624"/>
      <c r="R13" s="6910" t="s">
        <v>1265</v>
      </c>
      <c r="S13" s="4306"/>
      <c r="T13" s="5233"/>
      <c r="U13" s="1982"/>
      <c r="V13" s="422">
        <f>IF(U13&gt;0,U13*20,0)</f>
        <v>0</v>
      </c>
      <c r="X13" s="3101"/>
      <c r="Y13" s="3664"/>
      <c r="Z13" s="3665"/>
      <c r="AA13" s="3664"/>
      <c r="AB13" s="3664"/>
      <c r="AC13" s="3664"/>
      <c r="AD13" s="3664"/>
      <c r="AE13" s="3664"/>
      <c r="AF13" s="3664"/>
      <c r="AG13" s="3664"/>
      <c r="AH13" s="3664"/>
      <c r="AI13" s="3664"/>
      <c r="AJ13" s="3664"/>
      <c r="AK13" s="3664"/>
      <c r="AL13" s="3664"/>
      <c r="AM13" s="3664"/>
      <c r="AN13" s="3664"/>
      <c r="AP13" s="3664"/>
      <c r="AQ13" s="3664"/>
    </row>
    <row r="14" spans="1:43" ht="13.5" customHeight="1" thickBot="1">
      <c r="A14" s="2104"/>
      <c r="F14" s="6892"/>
      <c r="G14" s="3107" t="s">
        <v>1245</v>
      </c>
      <c r="H14" s="2470" t="str">
        <f>IF('Tablas constructos'!I132=0,"-",'Tablas constructos'!I132)</f>
        <v>-</v>
      </c>
      <c r="I14" s="6918"/>
      <c r="J14" s="6919"/>
      <c r="K14" s="323" t="str">
        <f>IF(H14="-","-",H14+I14)</f>
        <v>-</v>
      </c>
      <c r="Q14" s="4624"/>
      <c r="R14" s="6910" t="s">
        <v>1268</v>
      </c>
      <c r="S14" s="4306"/>
      <c r="T14" s="5233"/>
      <c r="U14" s="1982"/>
      <c r="V14" s="422">
        <f>IF(U14&gt;0,U14*20,0)</f>
        <v>0</v>
      </c>
      <c r="X14" s="3101"/>
      <c r="Y14" s="3664"/>
      <c r="Z14" s="3668"/>
      <c r="AA14" s="3669"/>
      <c r="AB14" s="3669"/>
      <c r="AC14" s="3669"/>
      <c r="AD14" s="3669"/>
      <c r="AE14" s="3664"/>
      <c r="AF14" s="3664"/>
      <c r="AG14" s="3664"/>
      <c r="AH14" s="3664"/>
      <c r="AI14" s="3664"/>
      <c r="AJ14" s="3664"/>
      <c r="AK14" s="3664"/>
      <c r="AL14" s="3664"/>
      <c r="AM14" s="3664"/>
      <c r="AN14" s="3664"/>
      <c r="AP14" s="3664"/>
      <c r="AQ14" s="3664"/>
    </row>
    <row r="15" spans="1:43" ht="13.5" customHeight="1" thickBot="1">
      <c r="A15" s="2104"/>
      <c r="C15" s="3108" t="s">
        <v>1115</v>
      </c>
      <c r="D15" s="3111" t="s">
        <v>10422</v>
      </c>
      <c r="F15" s="6893"/>
      <c r="G15" s="408" t="s">
        <v>1248</v>
      </c>
      <c r="H15" s="3112" t="str">
        <f>IF('Tablas constructos'!J132=0,"-",'Tablas constructos'!J132)</f>
        <v>-</v>
      </c>
      <c r="I15" s="6924"/>
      <c r="J15" s="6925"/>
      <c r="K15" s="3113" t="str">
        <f>IF(H15="-","-",H15+I15)</f>
        <v>-</v>
      </c>
      <c r="M15" s="6907" t="s">
        <v>1407</v>
      </c>
      <c r="N15" s="6908"/>
      <c r="O15" s="6909"/>
      <c r="Q15" s="4624"/>
      <c r="R15" s="6910" t="s">
        <v>1272</v>
      </c>
      <c r="S15" s="4306"/>
      <c r="T15" s="5233"/>
      <c r="U15" s="1982"/>
      <c r="V15" s="422">
        <f>IF(U15&gt;0,U15*20,0)</f>
        <v>0</v>
      </c>
      <c r="X15" s="3101"/>
      <c r="Y15" s="3664"/>
      <c r="Z15" s="3668"/>
      <c r="AA15" s="3669"/>
      <c r="AB15" s="3669"/>
      <c r="AC15" s="3669"/>
      <c r="AD15" s="3669"/>
      <c r="AE15" s="3664"/>
      <c r="AF15" s="3664"/>
      <c r="AG15" s="3664"/>
      <c r="AH15" s="3664"/>
      <c r="AI15" s="3664"/>
      <c r="AJ15" s="3664"/>
      <c r="AK15" s="3664"/>
      <c r="AL15" s="3664"/>
      <c r="AM15" s="3664"/>
      <c r="AN15" s="3664"/>
      <c r="AP15" s="3664"/>
      <c r="AQ15" s="3664"/>
    </row>
    <row r="16" spans="1:43" ht="13.5" customHeight="1" thickBot="1">
      <c r="A16" s="2104"/>
      <c r="M16" s="3114" t="s">
        <v>1410</v>
      </c>
      <c r="N16" s="2610">
        <f>'Tablas constructos'!F124+Constructos!O16</f>
        <v>2</v>
      </c>
      <c r="O16" s="3115"/>
      <c r="Q16" s="4624"/>
      <c r="R16" s="6910" t="s">
        <v>1275</v>
      </c>
      <c r="S16" s="4306"/>
      <c r="T16" s="5233"/>
      <c r="U16" s="1982"/>
      <c r="V16" s="422">
        <f>IF(U16&gt;0,U16*20,0)+'Tablas constructos'!C145</f>
        <v>0</v>
      </c>
      <c r="X16" s="3101"/>
      <c r="Y16" s="3664"/>
      <c r="Z16" s="3670"/>
      <c r="AA16" s="3669"/>
      <c r="AB16" s="3669"/>
      <c r="AC16" s="3669"/>
      <c r="AD16" s="3669"/>
      <c r="AE16" s="3664"/>
      <c r="AF16" s="3664"/>
      <c r="AG16" s="3664"/>
      <c r="AH16" s="3664"/>
      <c r="AI16" s="3664"/>
      <c r="AJ16" s="3664"/>
      <c r="AK16" s="3664"/>
      <c r="AL16" s="3664"/>
      <c r="AM16" s="3664"/>
      <c r="AN16" s="3664"/>
      <c r="AP16" s="3664"/>
      <c r="AQ16" s="3664"/>
    </row>
    <row r="17" spans="1:43" ht="12.75" customHeight="1">
      <c r="A17" s="2104"/>
      <c r="C17" s="6912" t="s">
        <v>10423</v>
      </c>
      <c r="D17" s="6913"/>
      <c r="E17" s="6913"/>
      <c r="F17" s="6913"/>
      <c r="G17" s="6913"/>
      <c r="H17" s="6913"/>
      <c r="I17" s="6913"/>
      <c r="J17" s="6913"/>
      <c r="K17" s="6914"/>
      <c r="M17" s="3114" t="s">
        <v>1357</v>
      </c>
      <c r="N17" s="2610">
        <f>'Tablas constructos'!G124+Constructos!O17</f>
        <v>2</v>
      </c>
      <c r="O17" s="3116"/>
      <c r="Q17" s="4624"/>
      <c r="R17" s="6910" t="s">
        <v>1278</v>
      </c>
      <c r="S17" s="4306"/>
      <c r="T17" s="5233"/>
      <c r="U17" s="1982"/>
      <c r="V17" s="422">
        <f>IF(U17&gt;0,U17*20,0)</f>
        <v>0</v>
      </c>
      <c r="X17" s="3101"/>
      <c r="Y17" s="3664"/>
      <c r="Z17" s="3670"/>
      <c r="AA17" s="3669"/>
      <c r="AB17" s="3669"/>
      <c r="AC17" s="3671"/>
      <c r="AD17" s="3669"/>
      <c r="AE17" s="3664"/>
      <c r="AF17" s="3664"/>
      <c r="AG17" s="3664"/>
      <c r="AH17" s="3664"/>
      <c r="AI17" s="3664"/>
      <c r="AJ17" s="3664"/>
      <c r="AK17" s="3664"/>
      <c r="AL17" s="3664"/>
      <c r="AM17" s="3664"/>
      <c r="AN17" s="3664"/>
      <c r="AP17" s="3664"/>
      <c r="AQ17" s="3664"/>
    </row>
    <row r="18" spans="1:43" ht="12.75" customHeight="1">
      <c r="A18" s="2104"/>
      <c r="C18" s="6915"/>
      <c r="D18" s="6916"/>
      <c r="E18" s="6916"/>
      <c r="F18" s="6916"/>
      <c r="G18" s="6916"/>
      <c r="H18" s="6916"/>
      <c r="I18" s="6916"/>
      <c r="J18" s="6916"/>
      <c r="K18" s="6917"/>
      <c r="M18" s="3114" t="s">
        <v>1411</v>
      </c>
      <c r="N18" s="2610">
        <f>'Tablas constructos'!H124+Constructos!O18</f>
        <v>2</v>
      </c>
      <c r="O18" s="3116"/>
      <c r="Q18" s="4323"/>
      <c r="R18" s="6092" t="s">
        <v>5858</v>
      </c>
      <c r="S18" s="6093"/>
      <c r="T18" s="6911"/>
      <c r="U18" s="1983"/>
      <c r="V18" s="2473">
        <f>IF(U18&gt;0,U18*20,0)</f>
        <v>0</v>
      </c>
      <c r="X18" s="3101"/>
      <c r="Y18" s="3664"/>
      <c r="Z18" s="3665">
        <f>IF('Tablas constructos'!I77&gt;0,"",1)</f>
        <v>1</v>
      </c>
      <c r="AA18" s="3669"/>
      <c r="AB18" s="3669"/>
      <c r="AC18" s="3671"/>
      <c r="AD18" s="3669"/>
      <c r="AE18" s="3664"/>
      <c r="AF18" s="3664"/>
      <c r="AG18" s="3664"/>
      <c r="AH18" s="3664"/>
      <c r="AI18" s="3664"/>
      <c r="AJ18" s="3664"/>
      <c r="AK18" s="3664"/>
      <c r="AL18" s="3664"/>
      <c r="AM18" s="3664"/>
      <c r="AN18" s="3664"/>
      <c r="AP18" s="3664"/>
      <c r="AQ18" s="3664"/>
    </row>
    <row r="19" spans="1:43" ht="12.75" customHeight="1">
      <c r="A19" s="2104"/>
      <c r="C19" s="6932" t="s">
        <v>8376</v>
      </c>
      <c r="D19" s="6933"/>
      <c r="E19" s="6933"/>
      <c r="F19" s="6934">
        <f>IF('Tablas constructos'!C127="-","-",'Tablas constructos'!C127)</f>
        <v>80</v>
      </c>
      <c r="G19" s="6935" t="s">
        <v>10424</v>
      </c>
      <c r="H19" s="6936"/>
      <c r="I19" s="6936"/>
      <c r="J19" s="6937"/>
      <c r="K19" s="6938">
        <f>VLOOKUP(D13,cristales_psi,3,FALSE)+'Tablas constructos'!M152</f>
        <v>3</v>
      </c>
      <c r="M19" s="3114" t="s">
        <v>1412</v>
      </c>
      <c r="N19" s="2610">
        <f>'Tablas constructos'!I124+Constructos!O19</f>
        <v>2</v>
      </c>
      <c r="O19" s="3116"/>
      <c r="Q19" s="4321" t="s">
        <v>1281</v>
      </c>
      <c r="R19" s="6920" t="s">
        <v>1282</v>
      </c>
      <c r="S19" s="4337"/>
      <c r="T19" s="6921"/>
      <c r="U19" s="1981"/>
      <c r="V19" s="422">
        <f>IF('Tablas constructos'!$I$83=1,Constructos!U19*20,0)</f>
        <v>0</v>
      </c>
      <c r="X19" s="3101"/>
      <c r="Y19" s="3664"/>
      <c r="Z19" s="3665"/>
      <c r="AA19" s="3669"/>
      <c r="AB19" s="3669"/>
      <c r="AC19" s="3671"/>
      <c r="AD19" s="3672"/>
      <c r="AE19" s="3664"/>
      <c r="AF19" s="3664"/>
      <c r="AG19" s="3664"/>
      <c r="AH19" s="3664"/>
      <c r="AI19" s="3664"/>
      <c r="AJ19" s="3664"/>
      <c r="AK19" s="3664"/>
      <c r="AL19" s="3664"/>
      <c r="AM19" s="3664"/>
      <c r="AN19" s="3664"/>
      <c r="AP19" s="3664"/>
      <c r="AQ19" s="3664"/>
    </row>
    <row r="20" spans="1:43" ht="12.75" customHeight="1">
      <c r="A20" s="2104"/>
      <c r="C20" s="6932"/>
      <c r="D20" s="6933"/>
      <c r="E20" s="6933"/>
      <c r="F20" s="6934"/>
      <c r="G20" s="6935"/>
      <c r="H20" s="6936"/>
      <c r="I20" s="6936"/>
      <c r="J20" s="6937"/>
      <c r="K20" s="6938"/>
      <c r="M20" s="3114" t="s">
        <v>1414</v>
      </c>
      <c r="N20" s="2610">
        <f>'Tablas constructos'!J124+Constructos!O20</f>
        <v>0</v>
      </c>
      <c r="O20" s="3116"/>
      <c r="Q20" s="4624"/>
      <c r="R20" s="6910" t="s">
        <v>1284</v>
      </c>
      <c r="S20" s="4306"/>
      <c r="T20" s="5233"/>
      <c r="U20" s="1982"/>
      <c r="V20" s="422">
        <f>IF('Tablas constructos'!$I$83=1,Constructos!U20*20,0)</f>
        <v>0</v>
      </c>
      <c r="X20" s="3101"/>
      <c r="Y20" s="3664"/>
      <c r="Z20" s="3665"/>
      <c r="AA20" s="3669"/>
      <c r="AB20" s="3669"/>
      <c r="AC20" s="3671"/>
      <c r="AD20" s="3669"/>
      <c r="AE20" s="3664"/>
      <c r="AF20" s="3664"/>
      <c r="AG20" s="3664"/>
      <c r="AH20" s="3664"/>
      <c r="AI20" s="3664"/>
      <c r="AJ20" s="3664"/>
      <c r="AK20" s="3664"/>
      <c r="AL20" s="3664"/>
      <c r="AM20" s="3664"/>
      <c r="AN20" s="3664"/>
      <c r="AP20" s="3664"/>
      <c r="AQ20" s="3664"/>
    </row>
    <row r="21" spans="1:43" ht="12.75" customHeight="1">
      <c r="A21" s="2104"/>
      <c r="C21" s="6927" t="s">
        <v>10425</v>
      </c>
      <c r="D21" s="6928"/>
      <c r="E21" s="6928"/>
      <c r="F21" s="6926">
        <f>IF('Tablas constructos'!I79&gt;0,"-",IF('Tablas constructos'!C127="-","-",'Tablas constructos'!C127))</f>
        <v>80</v>
      </c>
      <c r="G21" s="6939" t="s">
        <v>1956</v>
      </c>
      <c r="H21" s="6940"/>
      <c r="I21" s="6940"/>
      <c r="J21" s="6941"/>
      <c r="K21" s="6942">
        <f>ROUNDDOWN(O5/60,0)</f>
        <v>0</v>
      </c>
      <c r="M21" s="3114" t="s">
        <v>1413</v>
      </c>
      <c r="N21" s="2610">
        <f>'Tablas constructos'!K124+Constructos!O21</f>
        <v>0</v>
      </c>
      <c r="O21" s="3116"/>
      <c r="Q21" s="4624"/>
      <c r="R21" s="6910" t="s">
        <v>1287</v>
      </c>
      <c r="S21" s="4306"/>
      <c r="T21" s="5233"/>
      <c r="U21" s="1982"/>
      <c r="V21" s="422">
        <f>IF('Tablas constructos'!$I$83=1,Constructos!U21*20,0)</f>
        <v>0</v>
      </c>
      <c r="X21" s="3101"/>
      <c r="Y21" s="3664"/>
      <c r="Z21" s="3665"/>
      <c r="AA21" s="3669"/>
      <c r="AB21" s="3669"/>
      <c r="AC21" s="3671"/>
      <c r="AD21" s="3672"/>
      <c r="AE21" s="3664"/>
      <c r="AF21" s="3664"/>
      <c r="AG21" s="3664"/>
      <c r="AH21" s="3664"/>
      <c r="AI21" s="3664"/>
      <c r="AJ21" s="3664"/>
      <c r="AK21" s="3664"/>
      <c r="AL21" s="3664"/>
      <c r="AM21" s="3664"/>
      <c r="AN21" s="3664"/>
      <c r="AP21" s="3664"/>
      <c r="AQ21" s="3664"/>
    </row>
    <row r="22" spans="1:43" ht="13.5" customHeight="1" thickBot="1">
      <c r="A22" s="2104"/>
      <c r="C22" s="6927"/>
      <c r="D22" s="6928"/>
      <c r="E22" s="6928"/>
      <c r="F22" s="6926"/>
      <c r="G22" s="6939"/>
      <c r="H22" s="6940"/>
      <c r="I22" s="6940"/>
      <c r="J22" s="6941"/>
      <c r="K22" s="6942"/>
      <c r="M22" s="3117" t="s">
        <v>1415</v>
      </c>
      <c r="N22" s="3118">
        <f>'Tablas constructos'!L124+Constructos!O22</f>
        <v>1</v>
      </c>
      <c r="O22" s="3119"/>
      <c r="Q22" s="4624"/>
      <c r="R22" s="6910" t="s">
        <v>1289</v>
      </c>
      <c r="S22" s="4306"/>
      <c r="T22" s="5233"/>
      <c r="U22" s="1982"/>
      <c r="V22" s="422">
        <f>IF('Tablas constructos'!$I$83=1,Constructos!U22*20,0)</f>
        <v>0</v>
      </c>
      <c r="X22" s="3101"/>
      <c r="Y22" s="3664"/>
      <c r="Z22" s="3665"/>
      <c r="AA22" s="3667"/>
      <c r="AB22" s="3669"/>
      <c r="AC22" s="3671"/>
      <c r="AD22" s="3669"/>
      <c r="AE22" s="3664"/>
      <c r="AF22" s="3664"/>
      <c r="AG22" s="3664"/>
      <c r="AH22" s="3664"/>
      <c r="AI22" s="3664"/>
      <c r="AJ22" s="3664"/>
      <c r="AK22" s="3664"/>
      <c r="AL22" s="3664"/>
      <c r="AM22" s="3664"/>
      <c r="AN22" s="3664"/>
      <c r="AP22" s="3664"/>
      <c r="AQ22" s="3664"/>
    </row>
    <row r="23" spans="1:43" ht="13.5" customHeight="1" thickBot="1">
      <c r="A23" s="2104"/>
      <c r="C23" s="6932" t="s">
        <v>1644</v>
      </c>
      <c r="D23" s="6933"/>
      <c r="E23" s="6933"/>
      <c r="F23" s="6934">
        <f>IF(PDs!E119="Tabla de Proyección Psíquica",Proyecciónpsíquica_final-PDs!V117+PDs!V25,Proyecciónpsíquica_final)+'Tablas constructos'!$I$71*10</f>
        <v>0</v>
      </c>
      <c r="G23" s="6935" t="s">
        <v>10426</v>
      </c>
      <c r="H23" s="6936"/>
      <c r="I23" s="6936"/>
      <c r="J23" s="6937"/>
      <c r="K23" s="6943">
        <f>VLOOKUP(C11,Tabla_Constructos,8,FALSE)+'Tablas constructos'!$I$74*10</f>
        <v>-25</v>
      </c>
      <c r="Q23" s="4624"/>
      <c r="R23" s="6910" t="s">
        <v>685</v>
      </c>
      <c r="S23" s="4306"/>
      <c r="T23" s="5233"/>
      <c r="U23" s="1982"/>
      <c r="V23" s="422">
        <f>IF('Tablas constructos'!$I$83=1,Constructos!U23*20,0)</f>
        <v>0</v>
      </c>
      <c r="X23" s="3101"/>
      <c r="Y23" s="3664"/>
      <c r="Z23" s="3665"/>
      <c r="AA23" s="3667"/>
      <c r="AB23" s="3669"/>
      <c r="AC23" s="3669"/>
      <c r="AD23" s="3669"/>
      <c r="AE23" s="3664"/>
      <c r="AF23" s="3664"/>
      <c r="AG23" s="3664"/>
      <c r="AH23" s="3664"/>
      <c r="AI23" s="3664"/>
      <c r="AJ23" s="3664"/>
      <c r="AK23" s="3664"/>
      <c r="AL23" s="3664"/>
      <c r="AM23" s="3664"/>
      <c r="AN23" s="3664"/>
      <c r="AP23" s="3664"/>
      <c r="AQ23" s="3664"/>
    </row>
    <row r="24" spans="1:43" ht="13.5" customHeight="1" thickBot="1">
      <c r="A24" s="2104"/>
      <c r="C24" s="6932"/>
      <c r="D24" s="6933"/>
      <c r="E24" s="6933"/>
      <c r="F24" s="6934"/>
      <c r="G24" s="6935"/>
      <c r="H24" s="6936"/>
      <c r="I24" s="6936"/>
      <c r="J24" s="6937"/>
      <c r="K24" s="6943"/>
      <c r="M24" s="6195" t="s">
        <v>1814</v>
      </c>
      <c r="N24" s="6196"/>
      <c r="O24" s="6197"/>
      <c r="Q24" s="4624"/>
      <c r="R24" s="6910" t="s">
        <v>686</v>
      </c>
      <c r="S24" s="4306"/>
      <c r="T24" s="5233"/>
      <c r="U24" s="1982"/>
      <c r="V24" s="422">
        <f>IF('Tablas constructos'!$I$83=1,Constructos!U24*20,0)</f>
        <v>0</v>
      </c>
      <c r="X24" s="3101"/>
      <c r="Y24" s="3664"/>
      <c r="Z24" s="3665"/>
      <c r="AA24" s="3669"/>
      <c r="AB24" s="3669"/>
      <c r="AC24" s="3669"/>
      <c r="AD24" s="3669"/>
      <c r="AE24" s="3664"/>
      <c r="AF24" s="3664"/>
      <c r="AG24" s="3664"/>
      <c r="AH24" s="3664"/>
      <c r="AI24" s="3664"/>
      <c r="AJ24" s="3664"/>
      <c r="AK24" s="3664"/>
      <c r="AL24" s="3664"/>
      <c r="AM24" s="3664"/>
      <c r="AN24" s="3664"/>
      <c r="AP24" s="3664"/>
      <c r="AQ24" s="3664"/>
    </row>
    <row r="25" spans="1:43" ht="12.75" customHeight="1" thickBot="1">
      <c r="A25" s="2104"/>
      <c r="C25" s="6927" t="s">
        <v>1252</v>
      </c>
      <c r="D25" s="6928"/>
      <c r="E25" s="6928"/>
      <c r="F25" s="6926">
        <f>'Tablas constructos'!M133</f>
        <v>30</v>
      </c>
      <c r="G25" s="6939" t="s">
        <v>10427</v>
      </c>
      <c r="H25" s="6940"/>
      <c r="I25" s="6940"/>
      <c r="J25" s="6941"/>
      <c r="K25" s="7079" t="s">
        <v>10428</v>
      </c>
      <c r="M25" s="6929">
        <f>'Tablas constructos'!C137+Constructos!O27</f>
        <v>3</v>
      </c>
      <c r="N25" s="6930" t="str">
        <f>IF(AND('Tablas constructos'!C135&lt;&gt;"-",'Tablas constructos'!C136&lt;&gt;"-"),CONCATENATE("Vuelo ",'Tablas constructos'!C135," / Acuático"),IF('Tablas constructos'!C135&lt;&gt;"-",CONCATENATE("Vuelo ",'Tablas constructos'!C135),IF('Tablas constructos'!C136&lt;&gt;"-","Aquatico","Normal")))</f>
        <v>Normal</v>
      </c>
      <c r="O25" s="6931"/>
      <c r="Q25" s="4323"/>
      <c r="R25" s="6092" t="s">
        <v>687</v>
      </c>
      <c r="S25" s="6093"/>
      <c r="T25" s="6911"/>
      <c r="U25" s="1984"/>
      <c r="V25" s="1586">
        <f>IF('Tablas constructos'!$I$83=1,Constructos!U25*20,0)</f>
        <v>0</v>
      </c>
      <c r="X25" s="3101"/>
      <c r="Y25" s="3664"/>
      <c r="Z25" s="3108" t="s">
        <v>1912</v>
      </c>
      <c r="AA25" s="4266">
        <f>'Tablas constructos'!I77-AA26-AA27-AA28-1</f>
        <v>-1</v>
      </c>
      <c r="AB25" s="3673" t="s">
        <v>1912</v>
      </c>
      <c r="AC25" s="3669"/>
      <c r="AD25" s="3669"/>
      <c r="AE25" s="3664"/>
      <c r="AF25" s="3664"/>
      <c r="AG25" s="3664"/>
      <c r="AH25" s="3664"/>
      <c r="AI25" s="3664"/>
      <c r="AJ25" s="3664"/>
      <c r="AK25" s="3664"/>
      <c r="AL25" s="3664"/>
      <c r="AM25" s="3664"/>
      <c r="AN25" s="3664"/>
      <c r="AP25" s="3664"/>
      <c r="AQ25" s="3664"/>
    </row>
    <row r="26" spans="1:43" ht="12.75" customHeight="1">
      <c r="A26" s="2104"/>
      <c r="C26" s="6927"/>
      <c r="D26" s="6928"/>
      <c r="E26" s="6928"/>
      <c r="F26" s="6926"/>
      <c r="G26" s="6939"/>
      <c r="H26" s="6940"/>
      <c r="I26" s="6940"/>
      <c r="J26" s="6941"/>
      <c r="K26" s="7079"/>
      <c r="M26" s="6036"/>
      <c r="N26" s="6189" t="str">
        <f>IF(M25&lt;1,"",VLOOKUP(M25,Tabla_TipoMovimiento,2,FALSE))</f>
        <v>8 m / asalto</v>
      </c>
      <c r="O26" s="6190"/>
      <c r="Q26" s="4321" t="s">
        <v>1290</v>
      </c>
      <c r="R26" s="6920" t="s">
        <v>1291</v>
      </c>
      <c r="S26" s="4337"/>
      <c r="T26" s="6921"/>
      <c r="U26" s="1981"/>
      <c r="V26" s="422">
        <f>IF('Tablas constructos'!$I$77&gt;0,SUM(120,Constructos!U26*20,AA26*20),Constructos!U26*20)</f>
        <v>0</v>
      </c>
      <c r="X26" s="3101"/>
      <c r="Y26" s="3664"/>
      <c r="Z26" s="4267" t="s">
        <v>1291</v>
      </c>
      <c r="AA26" s="4268"/>
      <c r="AB26" s="3673"/>
      <c r="AC26" s="3669"/>
      <c r="AD26" s="3669"/>
      <c r="AE26" s="3664"/>
      <c r="AF26" s="3664"/>
      <c r="AG26" s="3664"/>
      <c r="AH26" s="3664"/>
      <c r="AI26" s="3664"/>
      <c r="AJ26" s="3664"/>
      <c r="AK26" s="3664"/>
      <c r="AL26" s="3664"/>
      <c r="AM26" s="3664"/>
      <c r="AN26" s="3664"/>
      <c r="AP26" s="3664"/>
      <c r="AQ26" s="3664"/>
    </row>
    <row r="27" spans="1:43" ht="13.5" customHeight="1" thickBot="1">
      <c r="A27" s="2104"/>
      <c r="C27" s="6932" t="s">
        <v>8169</v>
      </c>
      <c r="D27" s="6933"/>
      <c r="E27" s="6933"/>
      <c r="F27" s="6934">
        <f>IF('Tablas constructos'!C129=0,"0",'Tablas constructos'!C129)</f>
        <v>25</v>
      </c>
      <c r="G27" s="6935" t="s">
        <v>9934</v>
      </c>
      <c r="H27" s="6936"/>
      <c r="I27" s="6936"/>
      <c r="J27" s="6937"/>
      <c r="K27" s="6943">
        <f>IF('Tablas constructos'!I56&gt;=2,SUM(-1,VLOOKUP(K11+K12,Tabla_NumAcciones,2)),IF('Tablas constructos'!I56=1,SUM(-1,VLOOKUP(K11+K12,Tabla_NumAcciones,2)),VLOOKUP(K11+K12,Tabla_NumAcciones,2)))</f>
        <v>2</v>
      </c>
      <c r="M27" s="3120"/>
      <c r="N27" s="3121" t="s">
        <v>1239</v>
      </c>
      <c r="O27" s="2019"/>
      <c r="Q27" s="4624"/>
      <c r="R27" s="6910" t="s">
        <v>1292</v>
      </c>
      <c r="S27" s="4306"/>
      <c r="T27" s="5233"/>
      <c r="U27" s="1982"/>
      <c r="V27" s="422">
        <f>IF('Tablas constructos'!$I$77&gt;0,SUM(120,Constructos!U27*20,AA27*20),Constructos!U27*20)</f>
        <v>0</v>
      </c>
      <c r="X27" s="3101"/>
      <c r="Y27" s="3664"/>
      <c r="Z27" s="4269" t="s">
        <v>1292</v>
      </c>
      <c r="AA27" s="4270"/>
      <c r="AB27" s="3673"/>
      <c r="AC27" s="3673"/>
      <c r="AD27" s="3669"/>
      <c r="AE27" s="3664"/>
      <c r="AF27" s="3664"/>
      <c r="AG27" s="3664"/>
      <c r="AH27" s="3664"/>
      <c r="AI27" s="3664"/>
      <c r="AJ27" s="3664"/>
      <c r="AK27" s="3664"/>
      <c r="AL27" s="3664"/>
      <c r="AM27" s="3664"/>
      <c r="AN27" s="3664"/>
      <c r="AP27" s="3664"/>
      <c r="AQ27" s="3664"/>
    </row>
    <row r="28" spans="1:43" ht="13.5" customHeight="1" thickBot="1">
      <c r="A28" s="2104"/>
      <c r="C28" s="6949"/>
      <c r="D28" s="6950"/>
      <c r="E28" s="6950"/>
      <c r="F28" s="6948"/>
      <c r="G28" s="6945"/>
      <c r="H28" s="6946"/>
      <c r="I28" s="6946"/>
      <c r="J28" s="6947"/>
      <c r="K28" s="6944"/>
      <c r="Q28" s="4323"/>
      <c r="R28" s="6092" t="s">
        <v>1293</v>
      </c>
      <c r="S28" s="6093"/>
      <c r="T28" s="6911"/>
      <c r="U28" s="1983"/>
      <c r="V28" s="1586">
        <f>IF('Tablas constructos'!$I$77&gt;0,SUM(120,Constructos!U28*20,AA28*20),Constructos!U28*20)</f>
        <v>0</v>
      </c>
      <c r="X28" s="3101"/>
      <c r="Y28" s="3664"/>
      <c r="Z28" s="4271" t="s">
        <v>1293</v>
      </c>
      <c r="AA28" s="4272"/>
      <c r="AB28" s="3664"/>
      <c r="AC28" s="3664"/>
      <c r="AD28" s="3667"/>
      <c r="AE28" s="3664"/>
      <c r="AF28" s="3664"/>
      <c r="AG28" s="3664"/>
      <c r="AH28" s="3664"/>
      <c r="AI28" s="3664"/>
      <c r="AJ28" s="3664"/>
      <c r="AK28" s="3664"/>
      <c r="AL28" s="3664"/>
      <c r="AM28" s="3664"/>
      <c r="AN28" s="3664"/>
      <c r="AP28" s="3664"/>
      <c r="AQ28" s="3664"/>
    </row>
    <row r="29" spans="1:43" ht="12.75" customHeight="1" thickBot="1">
      <c r="A29" s="2104"/>
      <c r="C29" s="6959"/>
      <c r="D29" s="6960"/>
      <c r="E29" s="6960"/>
      <c r="F29" s="6960"/>
      <c r="G29" s="6960"/>
      <c r="H29" s="6960"/>
      <c r="I29" s="6960"/>
      <c r="J29" s="6960"/>
      <c r="K29" s="6961"/>
      <c r="M29" s="6954" t="s">
        <v>10376</v>
      </c>
      <c r="N29" s="6955"/>
      <c r="O29" s="6956"/>
      <c r="Q29" s="4321" t="s">
        <v>1294</v>
      </c>
      <c r="R29" s="6920" t="s">
        <v>1295</v>
      </c>
      <c r="S29" s="4337"/>
      <c r="T29" s="6921"/>
      <c r="U29" s="1985"/>
      <c r="V29" s="422">
        <f>IF('Tablas constructos'!$I$83=1,Constructos!U29*20,0)</f>
        <v>0</v>
      </c>
      <c r="X29" s="3101"/>
      <c r="Y29" s="3664"/>
      <c r="Z29" s="3665"/>
      <c r="AA29" s="3664"/>
      <c r="AB29" s="3664"/>
      <c r="AC29" s="3664"/>
      <c r="AD29" s="3664"/>
      <c r="AE29" s="3664"/>
      <c r="AF29" s="3664"/>
      <c r="AG29" s="3664"/>
      <c r="AH29" s="3664"/>
      <c r="AI29" s="3664"/>
      <c r="AJ29" s="3664"/>
      <c r="AK29" s="3664"/>
      <c r="AL29" s="3664"/>
      <c r="AM29" s="3664"/>
      <c r="AN29" s="3664"/>
      <c r="AP29" s="3664"/>
      <c r="AQ29" s="3664"/>
    </row>
    <row r="30" spans="1:43" ht="13.5" customHeight="1" thickBot="1">
      <c r="A30" s="2104"/>
      <c r="M30" s="6962" t="s">
        <v>10429</v>
      </c>
      <c r="N30" s="6963"/>
      <c r="O30" s="3122" t="str">
        <f>'Tablas constructos'!C141</f>
        <v>-</v>
      </c>
      <c r="Q30" s="4624"/>
      <c r="R30" s="6910" t="s">
        <v>1296</v>
      </c>
      <c r="S30" s="4306"/>
      <c r="T30" s="5233"/>
      <c r="U30" s="1982"/>
      <c r="V30" s="422">
        <f>IF('Tablas constructos'!$I$83=1,Constructos!U30*20,0)</f>
        <v>0</v>
      </c>
      <c r="X30" s="3101"/>
      <c r="Y30" s="3664"/>
      <c r="Z30" s="3665"/>
      <c r="AA30" s="3664">
        <f>COUNTIF(H46:H53, "&lt;&gt;")-AB30</f>
        <v>1</v>
      </c>
      <c r="AB30" s="3664">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3664"/>
      <c r="AD30" s="3664"/>
      <c r="AE30" s="3664"/>
      <c r="AF30" s="3664"/>
      <c r="AG30" s="3664"/>
      <c r="AH30" s="3664"/>
      <c r="AI30" s="3664"/>
      <c r="AJ30" s="3664"/>
      <c r="AK30" s="3664"/>
      <c r="AL30" s="3664"/>
      <c r="AM30" s="3664"/>
      <c r="AN30" s="3664"/>
      <c r="AP30" s="3664"/>
      <c r="AQ30" s="3664"/>
    </row>
    <row r="31" spans="1:43" ht="14.25" customHeight="1" thickBot="1">
      <c r="A31" s="2104"/>
      <c r="C31" s="6964" t="s">
        <v>10430</v>
      </c>
      <c r="D31" s="6965"/>
      <c r="E31" s="6965"/>
      <c r="F31" s="6965"/>
      <c r="G31" s="6965"/>
      <c r="H31" s="6965"/>
      <c r="I31" s="6965"/>
      <c r="J31" s="6965"/>
      <c r="K31" s="6966"/>
      <c r="M31" s="6967" t="s">
        <v>10431</v>
      </c>
      <c r="N31" s="6968"/>
      <c r="O31" s="3123" t="str">
        <f>'Tablas constructos'!C142</f>
        <v>-</v>
      </c>
      <c r="Q31" s="4624"/>
      <c r="R31" s="6910" t="s">
        <v>2405</v>
      </c>
      <c r="S31" s="4306"/>
      <c r="T31" s="5233"/>
      <c r="U31" s="1982"/>
      <c r="V31" s="422">
        <f>IF('Tablas constructos'!$I$83=1,Constructos!U31*20,0)</f>
        <v>0</v>
      </c>
      <c r="X31" s="3101"/>
      <c r="Y31" s="3664"/>
      <c r="Z31" s="3665"/>
      <c r="AA31" s="3664">
        <f>COUNTIF(O46:O53, "&lt;&gt;")-AB31</f>
        <v>0</v>
      </c>
      <c r="AB31" s="3664">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3664"/>
      <c r="AD31" s="3664"/>
      <c r="AE31" s="3664"/>
      <c r="AF31" s="3664"/>
      <c r="AG31" s="3664"/>
      <c r="AH31" s="3664"/>
      <c r="AI31" s="3664"/>
      <c r="AJ31" s="3664"/>
      <c r="AK31" s="3664"/>
      <c r="AL31" s="3664"/>
      <c r="AM31" s="3664"/>
      <c r="AN31" s="3664"/>
      <c r="AP31" s="3664"/>
      <c r="AQ31" s="3664"/>
    </row>
    <row r="32" spans="1:43" ht="14.25" customHeight="1" thickBot="1">
      <c r="A32" s="2104"/>
      <c r="C32" s="6969" t="str">
        <f>IF(OR(G43="Nombre del módulo",G43=""),"",G43)</f>
        <v/>
      </c>
      <c r="D32" s="6970"/>
      <c r="E32" s="6970"/>
      <c r="F32" s="6970"/>
      <c r="G32" s="6970"/>
      <c r="H32" s="6970"/>
      <c r="I32" s="6970"/>
      <c r="J32" s="6970"/>
      <c r="K32" s="6971"/>
      <c r="Q32" s="4624"/>
      <c r="R32" s="6910" t="s">
        <v>1297</v>
      </c>
      <c r="S32" s="4306"/>
      <c r="T32" s="5233"/>
      <c r="U32" s="1982"/>
      <c r="V32" s="422">
        <f>IF('Tablas constructos'!$I$83=1,Constructos!U32*20,0)</f>
        <v>0</v>
      </c>
      <c r="X32" s="3101"/>
      <c r="Y32" s="3664"/>
      <c r="Z32" s="3665"/>
      <c r="AA32" s="3664">
        <f>COUNTIF(H64:H71, "&lt;&gt;")</f>
        <v>0</v>
      </c>
      <c r="AB32" s="3673">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3664"/>
      <c r="AD32" s="3664"/>
      <c r="AE32" s="3664"/>
      <c r="AF32" s="3664"/>
      <c r="AG32" s="3664"/>
      <c r="AH32" s="3664"/>
      <c r="AI32" s="3664"/>
      <c r="AJ32" s="3664"/>
      <c r="AK32" s="3664"/>
      <c r="AL32" s="3664"/>
      <c r="AM32" s="3664"/>
      <c r="AN32" s="3664"/>
      <c r="AP32" s="3664"/>
      <c r="AQ32" s="3664"/>
    </row>
    <row r="33" spans="1:43" ht="12.75" customHeight="1">
      <c r="A33" s="2104"/>
      <c r="C33" s="6951" t="str">
        <f>IF(OR(N43="Nombre del módulo",N43=""),"",N43)</f>
        <v/>
      </c>
      <c r="D33" s="6952"/>
      <c r="E33" s="6952"/>
      <c r="F33" s="6952"/>
      <c r="G33" s="6952"/>
      <c r="H33" s="6952"/>
      <c r="I33" s="6952"/>
      <c r="J33" s="6952"/>
      <c r="K33" s="6953"/>
      <c r="M33" s="6954" t="s">
        <v>10432</v>
      </c>
      <c r="N33" s="6955"/>
      <c r="O33" s="6956"/>
      <c r="Q33" s="4624"/>
      <c r="R33" s="6910" t="s">
        <v>1299</v>
      </c>
      <c r="S33" s="4306"/>
      <c r="T33" s="5233"/>
      <c r="U33" s="1982"/>
      <c r="V33" s="422">
        <f>IF('Tablas constructos'!$I$83=1,Constructos!U33*20,0)</f>
        <v>0</v>
      </c>
      <c r="X33" s="3101"/>
      <c r="Y33" s="3664"/>
      <c r="Z33" s="3665"/>
      <c r="AA33" s="3664">
        <f>COUNTIF(O64:O71, "&lt;&gt;")</f>
        <v>1</v>
      </c>
      <c r="AB33" s="3664">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3664"/>
      <c r="AD33" s="3664"/>
      <c r="AE33" s="3664"/>
      <c r="AF33" s="3664"/>
      <c r="AG33" s="3664"/>
      <c r="AH33" s="3664"/>
      <c r="AI33" s="3664"/>
      <c r="AJ33" s="3664"/>
      <c r="AK33" s="3664"/>
      <c r="AL33" s="3664"/>
      <c r="AM33" s="3664"/>
      <c r="AN33" s="3664"/>
      <c r="AP33" s="3664"/>
      <c r="AQ33" s="3664"/>
    </row>
    <row r="34" spans="1:43" ht="12.75" customHeight="1">
      <c r="A34" s="2104"/>
      <c r="C34" s="6951" t="str">
        <f>IF(OR(G61="Nombre del módulo",G61=""),"",G61)</f>
        <v/>
      </c>
      <c r="D34" s="6952"/>
      <c r="E34" s="6952"/>
      <c r="F34" s="6952"/>
      <c r="G34" s="6952"/>
      <c r="H34" s="6952"/>
      <c r="I34" s="6952"/>
      <c r="J34" s="6952"/>
      <c r="K34" s="6953"/>
      <c r="M34" s="6957" t="s">
        <v>10433</v>
      </c>
      <c r="N34" s="6958"/>
      <c r="O34" s="3122" t="str">
        <f>IF('Tablas constructos'!$I$54=0,"-",'Tablas constructos'!$I$54*-1)</f>
        <v>-</v>
      </c>
      <c r="Q34" s="4624"/>
      <c r="R34" s="6910" t="s">
        <v>688</v>
      </c>
      <c r="S34" s="4306"/>
      <c r="T34" s="5233"/>
      <c r="U34" s="1982"/>
      <c r="V34" s="422">
        <f>IF('Tablas constructos'!$I$83=1,Constructos!U34*20,0)</f>
        <v>0</v>
      </c>
      <c r="X34" s="3101"/>
      <c r="Y34" s="3664"/>
      <c r="Z34" s="3665"/>
      <c r="AA34" s="3664">
        <f>COUNTIF(H82:H89, "&lt;&gt;")</f>
        <v>0</v>
      </c>
      <c r="AB34" s="3664">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3664"/>
      <c r="AD34" s="3664"/>
      <c r="AE34" s="3664"/>
      <c r="AF34" s="3664"/>
      <c r="AG34" s="3664"/>
      <c r="AH34" s="3664"/>
      <c r="AI34" s="3664"/>
      <c r="AJ34" s="3664"/>
      <c r="AK34" s="3664"/>
      <c r="AL34" s="3664"/>
      <c r="AM34" s="3664"/>
      <c r="AN34" s="3664"/>
      <c r="AP34" s="3664"/>
      <c r="AQ34" s="3664"/>
    </row>
    <row r="35" spans="1:43" ht="12.75" customHeight="1">
      <c r="A35" s="2104"/>
      <c r="C35" s="6951" t="str">
        <f>IF(OR(N61="Nombre del módulo",N61=""),"",N61)</f>
        <v/>
      </c>
      <c r="D35" s="6952"/>
      <c r="E35" s="6952"/>
      <c r="F35" s="6952"/>
      <c r="G35" s="6952"/>
      <c r="H35" s="6952"/>
      <c r="I35" s="6952"/>
      <c r="J35" s="6952"/>
      <c r="K35" s="6953"/>
      <c r="M35" s="6957" t="s">
        <v>10434</v>
      </c>
      <c r="N35" s="6958"/>
      <c r="O35" s="3122">
        <f>VLOOKUP(K25,'Tablas constructos'!E137:I143,3,0)</f>
        <v>0</v>
      </c>
      <c r="Q35" s="4624"/>
      <c r="R35" s="6910" t="s">
        <v>1302</v>
      </c>
      <c r="S35" s="4306"/>
      <c r="T35" s="5233"/>
      <c r="U35" s="1982"/>
      <c r="V35" s="422">
        <f>IF('Tablas constructos'!$I$83=1,Constructos!U35*20,0)</f>
        <v>0</v>
      </c>
      <c r="X35" s="3101"/>
      <c r="Y35" s="3664"/>
      <c r="Z35" s="3665"/>
      <c r="AA35" s="3664">
        <f>COUNTIF(O82:O89, "&lt;&gt;")</f>
        <v>0</v>
      </c>
      <c r="AB35" s="3664">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3664"/>
      <c r="AD35" s="3664"/>
      <c r="AE35" s="3664"/>
      <c r="AF35" s="3664"/>
      <c r="AG35" s="3664"/>
      <c r="AH35" s="3664"/>
      <c r="AI35" s="3664"/>
      <c r="AJ35" s="3664"/>
      <c r="AK35" s="3664"/>
      <c r="AL35" s="3664"/>
      <c r="AM35" s="3664"/>
      <c r="AN35" s="3664"/>
      <c r="AP35" s="3664"/>
      <c r="AQ35" s="3664"/>
    </row>
    <row r="36" spans="1:43" ht="12.75" customHeight="1">
      <c r="A36" s="2104"/>
      <c r="C36" s="6972" t="str">
        <f>IF(OR(N61="Nombre del módulo",N61=""),"",G79)</f>
        <v/>
      </c>
      <c r="D36" s="6973"/>
      <c r="E36" s="6973"/>
      <c r="F36" s="6973"/>
      <c r="G36" s="6973"/>
      <c r="H36" s="6973"/>
      <c r="I36" s="6973"/>
      <c r="J36" s="6973"/>
      <c r="K36" s="6974"/>
      <c r="M36" s="6957" t="s">
        <v>1691</v>
      </c>
      <c r="N36" s="6958"/>
      <c r="O36" s="3122">
        <f>VLOOKUP(K25,'Tablas constructos'!E136:J144,4,0)</f>
        <v>12</v>
      </c>
      <c r="Q36" s="4624"/>
      <c r="R36" s="6910" t="s">
        <v>1303</v>
      </c>
      <c r="S36" s="4306"/>
      <c r="T36" s="5233"/>
      <c r="U36" s="1982"/>
      <c r="V36" s="422">
        <f>IF('Tablas constructos'!$I$83=1,Constructos!U36*20,0)</f>
        <v>0</v>
      </c>
      <c r="X36" s="3101"/>
      <c r="Y36" s="3664"/>
      <c r="Z36" s="3665"/>
      <c r="AA36" s="3664">
        <f>COUNTIF(H100:H107, "&lt;&gt;")</f>
        <v>0</v>
      </c>
      <c r="AB36" s="3664">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3664"/>
      <c r="AD36" s="3664"/>
      <c r="AE36" s="3664"/>
      <c r="AF36" s="3664"/>
      <c r="AG36" s="3664"/>
      <c r="AH36" s="3664"/>
      <c r="AI36" s="3664"/>
      <c r="AJ36" s="3664"/>
      <c r="AK36" s="3664"/>
      <c r="AL36" s="3664"/>
      <c r="AM36" s="3664"/>
      <c r="AN36" s="3664"/>
      <c r="AP36" s="3664"/>
      <c r="AQ36" s="3664"/>
    </row>
    <row r="37" spans="1:43" ht="12.75" customHeight="1" thickBot="1">
      <c r="A37" s="2104"/>
      <c r="C37" s="6972" t="str">
        <f>IF(OR(N79="Nombre del módulo",N79=""),"",N79)</f>
        <v/>
      </c>
      <c r="D37" s="6973"/>
      <c r="E37" s="6973"/>
      <c r="F37" s="6973"/>
      <c r="G37" s="6973"/>
      <c r="H37" s="6973"/>
      <c r="I37" s="6973"/>
      <c r="J37" s="6973"/>
      <c r="K37" s="6974"/>
      <c r="M37" s="3124" t="s">
        <v>10435</v>
      </c>
      <c r="N37" s="5652" t="s">
        <v>10436</v>
      </c>
      <c r="O37" s="6975"/>
      <c r="Q37" s="4624"/>
      <c r="R37" s="6910" t="s">
        <v>1304</v>
      </c>
      <c r="S37" s="4306"/>
      <c r="T37" s="5233"/>
      <c r="U37" s="1982"/>
      <c r="V37" s="422">
        <f>IF('Tablas constructos'!$I$83=1,Constructos!U37*20,0)</f>
        <v>0</v>
      </c>
      <c r="X37" s="3101"/>
      <c r="Y37" s="3664"/>
      <c r="Z37" s="3665"/>
      <c r="AA37" s="3664">
        <f>COUNTIF(O100:O107, "&lt;&gt;")</f>
        <v>0</v>
      </c>
      <c r="AB37" s="3664">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3664"/>
      <c r="AD37" s="3664"/>
      <c r="AE37" s="3664"/>
      <c r="AF37" s="3664"/>
      <c r="AG37" s="3664"/>
      <c r="AH37" s="3664"/>
      <c r="AI37" s="3664"/>
      <c r="AJ37" s="3664"/>
      <c r="AK37" s="3664"/>
      <c r="AL37" s="3664"/>
      <c r="AM37" s="3664"/>
      <c r="AN37" s="3664"/>
      <c r="AP37" s="3664"/>
      <c r="AQ37" s="3664"/>
    </row>
    <row r="38" spans="1:43" ht="12.75" customHeight="1" thickBot="1">
      <c r="A38" s="2104"/>
      <c r="C38" s="6972" t="str">
        <f>IF(OR(G97="Nombre del módulo",G97=""),"",G97)</f>
        <v/>
      </c>
      <c r="D38" s="6973"/>
      <c r="E38" s="6973"/>
      <c r="F38" s="6973"/>
      <c r="G38" s="6973"/>
      <c r="H38" s="6973"/>
      <c r="I38" s="6973"/>
      <c r="J38" s="6973"/>
      <c r="K38" s="6974"/>
      <c r="Q38" s="4624"/>
      <c r="R38" s="6910" t="s">
        <v>1305</v>
      </c>
      <c r="S38" s="4306"/>
      <c r="T38" s="5233"/>
      <c r="U38" s="1982"/>
      <c r="V38" s="422">
        <f>IF('Tablas constructos'!$I$83=1,Constructos!U38*20,0)</f>
        <v>0</v>
      </c>
      <c r="X38" s="3101"/>
      <c r="Y38" s="3664"/>
      <c r="Z38" s="3665"/>
      <c r="AA38" s="3664">
        <f>COUNTIF(H118:H125, "&lt;&gt;")</f>
        <v>0</v>
      </c>
      <c r="AB38" s="3664">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3664"/>
      <c r="AD38" s="3664"/>
      <c r="AE38" s="3664"/>
      <c r="AF38" s="3664"/>
      <c r="AG38" s="3664"/>
      <c r="AH38" s="3664"/>
      <c r="AI38" s="3664"/>
      <c r="AJ38" s="3664"/>
      <c r="AK38" s="3664"/>
      <c r="AL38" s="3664"/>
      <c r="AM38" s="3664"/>
      <c r="AN38" s="3664"/>
      <c r="AP38" s="3664"/>
      <c r="AQ38" s="3664"/>
    </row>
    <row r="39" spans="1:43" ht="12.75" customHeight="1" thickBot="1">
      <c r="A39" s="2104"/>
      <c r="C39" s="6972" t="str">
        <f>IF(OR(N97="Nombre del módulo",N97=""),"",N97)</f>
        <v/>
      </c>
      <c r="D39" s="6973"/>
      <c r="E39" s="6973"/>
      <c r="F39" s="6973"/>
      <c r="G39" s="6973"/>
      <c r="H39" s="6973"/>
      <c r="I39" s="6973"/>
      <c r="J39" s="6973"/>
      <c r="K39" s="6974"/>
      <c r="M39" s="6976" t="s">
        <v>10437</v>
      </c>
      <c r="N39" s="6977"/>
      <c r="O39" s="6978"/>
      <c r="Q39" s="4624"/>
      <c r="R39" s="6910" t="s">
        <v>1306</v>
      </c>
      <c r="S39" s="4306"/>
      <c r="T39" s="5233"/>
      <c r="U39" s="1982"/>
      <c r="V39" s="422">
        <f>IF('Tablas constructos'!$I$83=1,Constructos!U39*20,0)</f>
        <v>0</v>
      </c>
      <c r="X39" s="3101"/>
      <c r="Y39" s="3664"/>
      <c r="Z39" s="3665"/>
      <c r="AA39" s="3664">
        <f>COUNTIF(O118:O125, "&lt;&gt;")</f>
        <v>0</v>
      </c>
      <c r="AB39" s="3664">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3664"/>
      <c r="AD39" s="3664"/>
      <c r="AE39" s="3664"/>
      <c r="AF39" s="3664"/>
      <c r="AG39" s="3664"/>
      <c r="AH39" s="3664"/>
      <c r="AI39" s="3664"/>
      <c r="AJ39" s="3664"/>
      <c r="AK39" s="3664"/>
      <c r="AL39" s="3664"/>
      <c r="AM39" s="3664"/>
      <c r="AN39" s="3664"/>
      <c r="AP39" s="3664"/>
      <c r="AQ39" s="3664"/>
    </row>
    <row r="40" spans="1:43" ht="12.75" customHeight="1">
      <c r="A40" s="2104"/>
      <c r="C40" s="6972" t="str">
        <f>IF(OR(G115="Nombre del módulo",G115=""),"",G115)</f>
        <v/>
      </c>
      <c r="D40" s="6973"/>
      <c r="E40" s="6973"/>
      <c r="F40" s="6973"/>
      <c r="G40" s="6973"/>
      <c r="H40" s="6973"/>
      <c r="I40" s="6973"/>
      <c r="J40" s="6973"/>
      <c r="K40" s="6974"/>
      <c r="M40" s="6987" t="str">
        <f>_xlfn.CONCAT(VLOOKUP(C11,Tabla_Constructos,1,FALSE),"")</f>
        <v>Hierro</v>
      </c>
      <c r="N40" s="6988"/>
      <c r="O40" s="3596">
        <f>(VLOOKUP(C11,Tabla_Constructos,10,0)-AA40+O41)+(VLOOKUP(D13,'Tablas constructos'!P32:Q37,2,0))+IF(Z134&gt;=2,1,0)</f>
        <v>2</v>
      </c>
      <c r="Q40" s="4624"/>
      <c r="R40" s="6910" t="s">
        <v>1307</v>
      </c>
      <c r="S40" s="4306"/>
      <c r="T40" s="5233"/>
      <c r="U40" s="1984"/>
      <c r="V40" s="422">
        <f>IF('Tablas constructos'!$I$83=1,Constructos!U40*20,0)</f>
        <v>0</v>
      </c>
      <c r="X40" s="3101"/>
      <c r="Y40" s="3664"/>
      <c r="Z40" s="3665"/>
      <c r="AA40" s="3664">
        <f>SUM(AA30:AA39)</f>
        <v>2</v>
      </c>
      <c r="AB40" s="3664"/>
      <c r="AC40" s="3664"/>
      <c r="AD40" s="3664"/>
      <c r="AE40" s="3664"/>
      <c r="AF40" s="3664"/>
      <c r="AG40" s="3664"/>
      <c r="AH40" s="3664"/>
      <c r="AI40" s="3664"/>
      <c r="AJ40" s="3664"/>
      <c r="AK40" s="3664"/>
      <c r="AL40" s="3664"/>
      <c r="AM40" s="3664"/>
      <c r="AN40" s="3664"/>
      <c r="AP40" s="3664"/>
      <c r="AQ40" s="3664"/>
    </row>
    <row r="41" spans="1:43" ht="12.75" customHeight="1" thickBot="1">
      <c r="A41" s="2104"/>
      <c r="C41" s="6989" t="str">
        <f>IF(OR(N115="Nombre del módulo",N115=""),"",N115)</f>
        <v/>
      </c>
      <c r="D41" s="6990"/>
      <c r="E41" s="6990"/>
      <c r="F41" s="6990"/>
      <c r="G41" s="6990"/>
      <c r="H41" s="6990"/>
      <c r="I41" s="6990"/>
      <c r="J41" s="6990"/>
      <c r="K41" s="6991"/>
      <c r="M41" s="6992" t="str">
        <f>IF(O40&lt;0,"Exceso de Atributos","")</f>
        <v/>
      </c>
      <c r="N41" s="6993"/>
      <c r="O41" s="3119"/>
      <c r="Q41" s="4323"/>
      <c r="R41" s="6092" t="s">
        <v>10029</v>
      </c>
      <c r="S41" s="6093"/>
      <c r="T41" s="6911"/>
      <c r="U41" s="1984"/>
      <c r="V41" s="1586">
        <f>IF('Tablas constructos'!$I$83=1,Constructos!U41*20,0)</f>
        <v>0</v>
      </c>
      <c r="X41" s="3101"/>
      <c r="Y41" s="3664"/>
      <c r="Z41" s="3665"/>
      <c r="AA41" s="3664"/>
      <c r="AB41" s="3664"/>
      <c r="AC41" s="3664"/>
      <c r="AD41" s="3664"/>
      <c r="AE41" s="3664"/>
      <c r="AF41" s="3664"/>
      <c r="AG41" s="3664"/>
      <c r="AH41" s="3664"/>
      <c r="AI41" s="3664"/>
      <c r="AJ41" s="3664"/>
      <c r="AK41" s="3664"/>
      <c r="AL41" s="3664"/>
      <c r="AM41" s="3664"/>
      <c r="AN41" s="3664"/>
      <c r="AP41" s="3664"/>
      <c r="AQ41" s="3664"/>
    </row>
    <row r="42" spans="1:43" ht="13.5" customHeight="1" thickBot="1">
      <c r="A42" s="2104"/>
      <c r="C42" s="2787" t="str">
        <f>IF($N$45&lt;0,"Puntos de Atributo insuficientes","")</f>
        <v/>
      </c>
      <c r="Q42" s="4321" t="s">
        <v>1308</v>
      </c>
      <c r="R42" s="6920" t="s">
        <v>1309</v>
      </c>
      <c r="S42" s="4337"/>
      <c r="T42" s="6921"/>
      <c r="U42" s="1981"/>
      <c r="V42" s="422">
        <f t="shared" ref="V42:V51" si="0">IF(U42&gt;0,U42*20,0)</f>
        <v>0</v>
      </c>
      <c r="X42" s="3101"/>
      <c r="Y42" s="3664"/>
      <c r="Z42" s="3665"/>
      <c r="AA42" s="3664"/>
      <c r="AB42" s="3664"/>
      <c r="AC42" s="3664"/>
      <c r="AD42" s="3664"/>
      <c r="AE42" s="3664"/>
      <c r="AF42" s="3664"/>
      <c r="AG42" s="3664"/>
      <c r="AH42" s="3664"/>
      <c r="AI42" s="3664"/>
      <c r="AJ42" s="3664"/>
      <c r="AK42" s="3664"/>
      <c r="AL42" s="3664"/>
      <c r="AM42" s="3664"/>
      <c r="AN42" s="3664"/>
      <c r="AP42" s="3664"/>
      <c r="AQ42" s="3664"/>
    </row>
    <row r="43" spans="1:43" ht="12.75" customHeight="1">
      <c r="A43" s="2104"/>
      <c r="C43" s="6912" t="s">
        <v>10438</v>
      </c>
      <c r="D43" s="6913"/>
      <c r="E43" s="6913"/>
      <c r="F43" s="6979"/>
      <c r="G43" s="6983" t="s">
        <v>10439</v>
      </c>
      <c r="H43" s="6984"/>
      <c r="J43" s="6912" t="s">
        <v>10440</v>
      </c>
      <c r="K43" s="6913"/>
      <c r="L43" s="6913"/>
      <c r="M43" s="6979"/>
      <c r="N43" s="6983" t="s">
        <v>10439</v>
      </c>
      <c r="O43" s="6984"/>
      <c r="Q43" s="4624"/>
      <c r="R43" s="6910" t="s">
        <v>1310</v>
      </c>
      <c r="S43" s="4306"/>
      <c r="T43" s="5233"/>
      <c r="U43" s="1982"/>
      <c r="V43" s="422">
        <f t="shared" si="0"/>
        <v>0</v>
      </c>
      <c r="X43" s="3101"/>
      <c r="Y43" s="3664"/>
      <c r="Z43" s="3665"/>
      <c r="AA43" s="3664"/>
      <c r="AB43" s="3664"/>
      <c r="AC43" s="3664"/>
      <c r="AD43" s="3664"/>
      <c r="AE43" s="3664"/>
      <c r="AF43" s="3664"/>
      <c r="AG43" s="3664"/>
      <c r="AH43" s="3664"/>
      <c r="AI43" s="3664"/>
      <c r="AJ43" s="3664"/>
      <c r="AK43" s="3664"/>
      <c r="AL43" s="3664"/>
      <c r="AM43" s="3664"/>
      <c r="AN43" s="3664"/>
      <c r="AP43" s="3664"/>
      <c r="AQ43" s="3664"/>
    </row>
    <row r="44" spans="1:43" ht="15" customHeight="1" thickBot="1">
      <c r="A44" s="2104"/>
      <c r="C44" s="6980"/>
      <c r="D44" s="6981"/>
      <c r="E44" s="6981"/>
      <c r="F44" s="6982"/>
      <c r="G44" s="6985"/>
      <c r="H44" s="6986"/>
      <c r="J44" s="6980"/>
      <c r="K44" s="6981"/>
      <c r="L44" s="6981"/>
      <c r="M44" s="6982"/>
      <c r="N44" s="6985"/>
      <c r="O44" s="6986"/>
      <c r="Q44" s="4323"/>
      <c r="R44" s="6092" t="s">
        <v>1313</v>
      </c>
      <c r="S44" s="6093"/>
      <c r="T44" s="6911"/>
      <c r="U44" s="1983"/>
      <c r="V44" s="1586">
        <f t="shared" si="0"/>
        <v>0</v>
      </c>
      <c r="X44" s="3101"/>
      <c r="Y44" s="3664"/>
      <c r="Z44" s="3665" t="s">
        <v>10441</v>
      </c>
      <c r="AA44" s="3664"/>
      <c r="AB44" s="3664">
        <f>IF(AND(G43&lt;&gt;"",G43&lt;&gt;"Nombre del módulo"),1,0)</f>
        <v>0</v>
      </c>
      <c r="AC44" s="3664"/>
      <c r="AD44" s="3664"/>
      <c r="AE44" s="3664"/>
      <c r="AF44" s="3664"/>
      <c r="AG44" s="3664"/>
      <c r="AH44" s="3664">
        <f>IF(AND(N43&lt;&gt;"",N43&lt;&gt;"Nombre del módulo"),1,0)</f>
        <v>0</v>
      </c>
      <c r="AI44" s="3664"/>
      <c r="AJ44" s="3664"/>
      <c r="AK44" s="3674"/>
      <c r="AL44" s="3664"/>
      <c r="AM44" s="3664"/>
      <c r="AN44" s="3664"/>
      <c r="AP44" s="3664"/>
      <c r="AQ44" s="3664"/>
    </row>
    <row r="45" spans="1:43" ht="13.5" customHeight="1">
      <c r="A45" s="2104"/>
      <c r="C45" s="3125" t="s">
        <v>10442</v>
      </c>
      <c r="D45" s="6994" t="s">
        <v>10588</v>
      </c>
      <c r="E45" s="6995"/>
      <c r="F45" s="6996"/>
      <c r="G45" s="6997" t="s">
        <v>10443</v>
      </c>
      <c r="H45" s="6998"/>
      <c r="J45" s="3125" t="s">
        <v>10442</v>
      </c>
      <c r="K45" s="6999"/>
      <c r="L45" s="7000"/>
      <c r="M45" s="7001"/>
      <c r="N45" s="6997" t="s">
        <v>10443</v>
      </c>
      <c r="O45" s="6998"/>
      <c r="Q45" s="4321" t="s">
        <v>1316</v>
      </c>
      <c r="R45" s="6920" t="s">
        <v>1317</v>
      </c>
      <c r="S45" s="4337"/>
      <c r="T45" s="6921"/>
      <c r="U45" s="1985"/>
      <c r="V45" s="2059">
        <f t="shared" si="0"/>
        <v>0</v>
      </c>
      <c r="X45" s="3101"/>
      <c r="Y45" s="3664"/>
      <c r="Z45" s="3665" t="s">
        <v>10444</v>
      </c>
      <c r="AA45" s="3664" t="s">
        <v>10445</v>
      </c>
      <c r="AB45" s="3664" t="s">
        <v>9763</v>
      </c>
      <c r="AC45" s="3665" t="s">
        <v>10446</v>
      </c>
      <c r="AD45" s="3665" t="s">
        <v>3016</v>
      </c>
      <c r="AE45" s="3664"/>
      <c r="AF45" s="3665" t="s">
        <v>10444</v>
      </c>
      <c r="AG45" s="3664" t="s">
        <v>10445</v>
      </c>
      <c r="AH45" s="3664" t="s">
        <v>9763</v>
      </c>
      <c r="AI45" s="3665" t="s">
        <v>10446</v>
      </c>
      <c r="AJ45" s="3665" t="s">
        <v>3016</v>
      </c>
      <c r="AK45" s="3674"/>
      <c r="AL45" s="3664"/>
      <c r="AM45" s="3664"/>
      <c r="AN45" s="3664"/>
      <c r="AP45" s="3664"/>
      <c r="AQ45" s="3664"/>
    </row>
    <row r="46" spans="1:43" ht="12.75" customHeight="1">
      <c r="A46" s="2104"/>
      <c r="C46" s="3126" t="s">
        <v>10447</v>
      </c>
      <c r="D46" s="7002" t="s">
        <v>1903</v>
      </c>
      <c r="E46" s="7003"/>
      <c r="F46" s="7004"/>
      <c r="G46" s="3127" t="str">
        <f>IF(D46=0,"",IF($D$46="Desarrollo de secundarias","",IF(VLOOKUP(D46,Constructos_Atributos,3,0)=1,CONCATENATE(VLOOKUP(D46,Constructos_Atributos,3,0)," vez"),CONCATENATE(VLOOKUP(D46,Constructos_Atributos,3,0)," veces"))))</f>
        <v>3 veces</v>
      </c>
      <c r="H46" s="3128">
        <v>1</v>
      </c>
      <c r="J46" s="3126" t="s">
        <v>10447</v>
      </c>
      <c r="K46" s="7002"/>
      <c r="L46" s="7003"/>
      <c r="M46" s="7004"/>
      <c r="N46" s="3127" t="str">
        <f>IF(K46=0,"",IF($K$46="Desarrollo de secundarias","",IF(VLOOKUP(K46,Constructos_Atributos,3,0)=1,CONCATENATE(VLOOKUP(K46,Constructos_Atributos,3,0)," vez"),CONCATENATE(VLOOKUP(K46,Constructos_Atributos,3,0)," veces"))))</f>
        <v/>
      </c>
      <c r="O46" s="3128"/>
      <c r="Q46" s="4624"/>
      <c r="R46" s="6910" t="s">
        <v>1319</v>
      </c>
      <c r="S46" s="4306"/>
      <c r="T46" s="5233"/>
      <c r="U46" s="1982"/>
      <c r="V46" s="422">
        <f t="shared" si="0"/>
        <v>0</v>
      </c>
      <c r="X46" s="3101"/>
      <c r="Y46" s="3664"/>
      <c r="Z46" s="3665">
        <f t="shared" ref="Z46:Z53" si="1">IF(D46="",0,IF($D$46="Desarrollo de secundarias",1,VLOOKUP(D46,Constructos_Atributos,2,0)))</f>
        <v>1</v>
      </c>
      <c r="AA46" s="3665">
        <f>IFERROR(IF(D46=0,"",IF($D$46="Desarrollo de secundarias",0,IF(H46=0,"",MIN(VLOOKUP(D46,Constructos_Atributos,3,0),H46))-AB46)),0)</f>
        <v>1</v>
      </c>
      <c r="AB46" s="3665">
        <f t="shared" ref="AB46:AB53" si="2">COUNTIF($D$46:$F$53,VLOOKUP(D46,Constructos_Atributos,5,0))</f>
        <v>0</v>
      </c>
      <c r="AC46" s="3665">
        <f>IF(D46="",0,AA46*Z46)</f>
        <v>1</v>
      </c>
      <c r="AD46" s="3665">
        <f>IF(VLOOKUP(D46,Constructos_Atributos,4,0)="cualquiera",1,0)</f>
        <v>0</v>
      </c>
      <c r="AE46" s="3664"/>
      <c r="AF46" s="3665">
        <f t="shared" ref="AF46:AF53" si="3">IF(K46="",0,IF($K$46="Desarrollo de secundarias",1,VLOOKUP(K46,Constructos_Atributos,2,0)))</f>
        <v>0</v>
      </c>
      <c r="AG46" s="3665" t="str">
        <f>IFERROR(IF(K46=0,"",IF($K$46="Desarrollo de secundarias",0,IF(O46=0,"",MIN(VLOOKUP(K46,Constructos_Atributos,3,0),O46))-AH46)),0)</f>
        <v/>
      </c>
      <c r="AH46" s="3665">
        <f t="shared" ref="AH46:AH53" si="4">COUNTIF($K$46:$M$53,VLOOKUP(K46,Constructos_Atributos,5,0))</f>
        <v>0</v>
      </c>
      <c r="AI46" s="3665">
        <f>IF(K46="",0,AG46*AF46)</f>
        <v>0</v>
      </c>
      <c r="AJ46" s="3665" t="e">
        <f>IF(VLOOKUP(K46,Constructos_Atributos,4,0)="cualquiera",1,0)</f>
        <v>#N/A</v>
      </c>
      <c r="AK46" s="3674"/>
      <c r="AL46" s="3664"/>
      <c r="AM46" s="3664"/>
      <c r="AN46" s="3664"/>
      <c r="AP46" s="3664"/>
      <c r="AQ46" s="3664"/>
    </row>
    <row r="47" spans="1:43" ht="12.75" customHeight="1">
      <c r="A47" s="2104"/>
      <c r="C47" s="3129" t="s">
        <v>10448</v>
      </c>
      <c r="D47" s="7005"/>
      <c r="E47" s="7006"/>
      <c r="F47" s="7007"/>
      <c r="G47" s="3130" t="str">
        <f t="shared" ref="G47:G53" si="5">IF(D47=0,"",IF($D$46="Desarrollo de secundarias","10 veces",IF(VLOOKUP(D47,Constructos_Atributos,3,0)=1,CONCATENATE(VLOOKUP(D47,Constructos_Atributos,3,0)," vez"),CONCATENATE(VLOOKUP(D47,Constructos_Atributos,3,0)," veces"))))</f>
        <v/>
      </c>
      <c r="H47" s="3131"/>
      <c r="J47" s="3129" t="s">
        <v>10448</v>
      </c>
      <c r="K47" s="7005"/>
      <c r="L47" s="7006"/>
      <c r="M47" s="7007"/>
      <c r="N47" s="3130" t="str">
        <f t="shared" ref="N47:N53" si="6">IF(K47=0,"",IF($K$46="Desarrollo de secundarias","10 veces",IF(VLOOKUP(K47,Constructos_Atributos,3,0)=1,CONCATENATE(VLOOKUP(K47,Constructos_Atributos,3,0)," vez"),CONCATENATE(VLOOKUP(K47,Constructos_Atributos,3,0)," veces"))))</f>
        <v/>
      </c>
      <c r="O47" s="3131"/>
      <c r="Q47" s="4624"/>
      <c r="R47" s="6910" t="s">
        <v>1321</v>
      </c>
      <c r="S47" s="4306"/>
      <c r="T47" s="5233"/>
      <c r="U47" s="1982"/>
      <c r="V47" s="422">
        <f t="shared" si="0"/>
        <v>0</v>
      </c>
      <c r="X47" s="3101"/>
      <c r="Y47" s="3664"/>
      <c r="Z47" s="3665">
        <f t="shared" si="1"/>
        <v>0</v>
      </c>
      <c r="AA47" s="3665" t="str">
        <f t="shared" ref="AA47:AA53" si="7">IFERROR(IF(D47=0,"",IF($D$46="Desarrollo de secundarias",H47,IF(H47=0,"",MIN(VLOOKUP(D47,Constructos_Atributos,3,0),H47))-AB47)),0)</f>
        <v/>
      </c>
      <c r="AB47" s="3665">
        <f t="shared" si="2"/>
        <v>0</v>
      </c>
      <c r="AC47" s="3665">
        <f t="shared" ref="AC47:AC53" si="8">IF(D47="",0,AA47*Z47)</f>
        <v>0</v>
      </c>
      <c r="AD47" s="3665" t="s">
        <v>10449</v>
      </c>
      <c r="AE47" s="3664"/>
      <c r="AF47" s="3665">
        <f t="shared" si="3"/>
        <v>0</v>
      </c>
      <c r="AG47" s="3665" t="str">
        <f t="shared" ref="AG47:AG53" si="9">IFERROR(IF(K47=0,"",IF($K$46="Desarrollo de secundarias",O47,IF(O47=0,"",MIN(VLOOKUP(K47,Constructos_Atributos,3,0),O47))-AH47)),0)</f>
        <v/>
      </c>
      <c r="AH47" s="3665">
        <f t="shared" si="4"/>
        <v>0</v>
      </c>
      <c r="AI47" s="3665">
        <f t="shared" ref="AI47:AI53" si="10">IF(K47="",0,AG47*AF47)</f>
        <v>0</v>
      </c>
      <c r="AJ47" s="3665" t="s">
        <v>10449</v>
      </c>
      <c r="AK47" s="3674"/>
      <c r="AL47" s="3664"/>
      <c r="AM47" s="3664"/>
      <c r="AN47" s="3664"/>
      <c r="AP47" s="3664"/>
      <c r="AQ47" s="3664"/>
    </row>
    <row r="48" spans="1:43" ht="14.25" customHeight="1">
      <c r="A48" s="2104"/>
      <c r="C48" s="3132" t="s">
        <v>10450</v>
      </c>
      <c r="D48" s="7008"/>
      <c r="E48" s="7009"/>
      <c r="F48" s="7010"/>
      <c r="G48" s="3133" t="str">
        <f t="shared" si="5"/>
        <v/>
      </c>
      <c r="H48" s="3134"/>
      <c r="J48" s="3132" t="s">
        <v>10450</v>
      </c>
      <c r="K48" s="7008"/>
      <c r="L48" s="7009"/>
      <c r="M48" s="7010"/>
      <c r="N48" s="3133" t="str">
        <f t="shared" si="6"/>
        <v/>
      </c>
      <c r="O48" s="3134"/>
      <c r="Q48" s="4624"/>
      <c r="R48" s="6910" t="s">
        <v>1323</v>
      </c>
      <c r="S48" s="4306"/>
      <c r="T48" s="5233"/>
      <c r="U48" s="1982"/>
      <c r="V48" s="422">
        <f t="shared" si="0"/>
        <v>0</v>
      </c>
      <c r="X48" s="3101"/>
      <c r="Y48" s="3664"/>
      <c r="Z48" s="3665">
        <f t="shared" si="1"/>
        <v>0</v>
      </c>
      <c r="AA48" s="3665" t="str">
        <f t="shared" si="7"/>
        <v/>
      </c>
      <c r="AB48" s="3665">
        <f t="shared" si="2"/>
        <v>0</v>
      </c>
      <c r="AC48" s="3665">
        <f t="shared" si="8"/>
        <v>0</v>
      </c>
      <c r="AD48" s="3665">
        <f>MIN(AD50,VLOOKUP($D$45,Constructos_Módulos,2,0)-SUM(AC46:AC53,Z54:Z59,AA54:AA57))+IF(AND(D45="Obsidiana",OR(D46="Resistente",D46="Resistencia al frío",D46="Resistencia al fuego",D46="Resistencia a la electricidad"),H46&gt;0),1,0)</f>
        <v>1</v>
      </c>
      <c r="AE48" s="3664"/>
      <c r="AF48" s="3665">
        <f t="shared" si="3"/>
        <v>0</v>
      </c>
      <c r="AG48" s="3665" t="str">
        <f t="shared" si="9"/>
        <v/>
      </c>
      <c r="AH48" s="3665">
        <f t="shared" si="4"/>
        <v>0</v>
      </c>
      <c r="AI48" s="3665">
        <f t="shared" si="10"/>
        <v>0</v>
      </c>
      <c r="AJ48" s="3665" t="e">
        <f>MIN(AJ50,VLOOKUP($K$45,Constructos_Módulos,2,0)-SUM(AI46:AI53,AF54:AF59,AG54:AG57))+IF(AND(K45="Obsidiana",OR(K46="Resistente",K46="Resistencia al frío",K46="Resistencia al fuego",K46="Resistencia a la electricidad"),O46&gt;0),1,0)</f>
        <v>#N/A</v>
      </c>
      <c r="AK48" s="3674"/>
      <c r="AL48" s="3664"/>
      <c r="AM48" s="3664"/>
      <c r="AN48" s="3664"/>
      <c r="AP48" s="3664"/>
      <c r="AQ48" s="3664"/>
    </row>
    <row r="49" spans="1:43" ht="12.75" customHeight="1">
      <c r="A49" s="2104"/>
      <c r="C49" s="3129" t="s">
        <v>10451</v>
      </c>
      <c r="D49" s="7011"/>
      <c r="E49" s="7012"/>
      <c r="F49" s="7013"/>
      <c r="G49" s="3130" t="str">
        <f t="shared" si="5"/>
        <v/>
      </c>
      <c r="H49" s="3131"/>
      <c r="J49" s="3129" t="s">
        <v>10451</v>
      </c>
      <c r="K49" s="7011"/>
      <c r="L49" s="7012"/>
      <c r="M49" s="7013"/>
      <c r="N49" s="3130" t="str">
        <f t="shared" si="6"/>
        <v/>
      </c>
      <c r="O49" s="3131"/>
      <c r="Q49" s="4624"/>
      <c r="R49" s="6910" t="s">
        <v>1325</v>
      </c>
      <c r="S49" s="4306"/>
      <c r="T49" s="5233"/>
      <c r="U49" s="1982"/>
      <c r="V49" s="422">
        <f t="shared" si="0"/>
        <v>0</v>
      </c>
      <c r="X49" s="3101"/>
      <c r="Y49" s="3664"/>
      <c r="Z49" s="3665">
        <f t="shared" si="1"/>
        <v>0</v>
      </c>
      <c r="AA49" s="3665" t="str">
        <f t="shared" si="7"/>
        <v/>
      </c>
      <c r="AB49" s="3665">
        <f t="shared" si="2"/>
        <v>0</v>
      </c>
      <c r="AC49" s="3665">
        <f t="shared" si="8"/>
        <v>0</v>
      </c>
      <c r="AD49" s="3665" t="s">
        <v>10452</v>
      </c>
      <c r="AE49" s="3664"/>
      <c r="AF49" s="3665">
        <f t="shared" si="3"/>
        <v>0</v>
      </c>
      <c r="AG49" s="3665" t="str">
        <f t="shared" si="9"/>
        <v/>
      </c>
      <c r="AH49" s="3665">
        <f t="shared" si="4"/>
        <v>0</v>
      </c>
      <c r="AI49" s="3665">
        <f t="shared" si="10"/>
        <v>0</v>
      </c>
      <c r="AJ49" s="3665" t="s">
        <v>10452</v>
      </c>
      <c r="AK49" s="3674"/>
      <c r="AL49" s="3664"/>
      <c r="AM49" s="3664"/>
      <c r="AN49" s="3664"/>
      <c r="AP49" s="3664"/>
      <c r="AQ49" s="3664"/>
    </row>
    <row r="50" spans="1:43" ht="12.75" customHeight="1">
      <c r="A50" s="2104"/>
      <c r="C50" s="3132" t="s">
        <v>10453</v>
      </c>
      <c r="D50" s="7008"/>
      <c r="E50" s="7009"/>
      <c r="F50" s="7010"/>
      <c r="G50" s="3133" t="str">
        <f t="shared" si="5"/>
        <v/>
      </c>
      <c r="H50" s="3134"/>
      <c r="J50" s="3132" t="s">
        <v>10453</v>
      </c>
      <c r="K50" s="7008"/>
      <c r="L50" s="7009"/>
      <c r="M50" s="7010"/>
      <c r="N50" s="3133" t="str">
        <f t="shared" si="6"/>
        <v/>
      </c>
      <c r="O50" s="3134"/>
      <c r="Q50" s="4624"/>
      <c r="R50" s="6910" t="s">
        <v>1327</v>
      </c>
      <c r="S50" s="4306"/>
      <c r="T50" s="5233"/>
      <c r="U50" s="1982"/>
      <c r="V50" s="422">
        <f t="shared" si="0"/>
        <v>0</v>
      </c>
      <c r="X50" s="3101"/>
      <c r="Y50" s="3664"/>
      <c r="Z50" s="3665">
        <f t="shared" si="1"/>
        <v>0</v>
      </c>
      <c r="AA50" s="3665" t="str">
        <f t="shared" si="7"/>
        <v/>
      </c>
      <c r="AB50" s="3665">
        <f t="shared" si="2"/>
        <v>0</v>
      </c>
      <c r="AC50" s="3665">
        <f t="shared" si="8"/>
        <v>0</v>
      </c>
      <c r="AD50" s="3665">
        <f>VLOOKUP($D$45,Constructos_Módulos,3,0)</f>
        <v>6</v>
      </c>
      <c r="AE50" s="3664"/>
      <c r="AF50" s="3665">
        <f t="shared" si="3"/>
        <v>0</v>
      </c>
      <c r="AG50" s="3665" t="str">
        <f t="shared" si="9"/>
        <v/>
      </c>
      <c r="AH50" s="3665">
        <f t="shared" si="4"/>
        <v>0</v>
      </c>
      <c r="AI50" s="3665">
        <f t="shared" si="10"/>
        <v>0</v>
      </c>
      <c r="AJ50" s="3665" t="e">
        <f>VLOOKUP(K45,Constructos_Módulos,3,0)</f>
        <v>#N/A</v>
      </c>
      <c r="AK50" s="3674"/>
      <c r="AL50" s="3664"/>
      <c r="AM50" s="3664"/>
      <c r="AN50" s="3664"/>
      <c r="AP50" s="3664"/>
      <c r="AQ50" s="3664"/>
    </row>
    <row r="51" spans="1:43" ht="12.75" customHeight="1">
      <c r="A51" s="2104"/>
      <c r="C51" s="3129" t="s">
        <v>10454</v>
      </c>
      <c r="D51" s="7011"/>
      <c r="E51" s="7012"/>
      <c r="F51" s="7013"/>
      <c r="G51" s="3130" t="str">
        <f t="shared" si="5"/>
        <v/>
      </c>
      <c r="H51" s="3131"/>
      <c r="J51" s="3129" t="s">
        <v>10454</v>
      </c>
      <c r="K51" s="7011"/>
      <c r="L51" s="7012"/>
      <c r="M51" s="7013"/>
      <c r="N51" s="3130" t="str">
        <f t="shared" si="6"/>
        <v/>
      </c>
      <c r="O51" s="3131"/>
      <c r="Q51" s="4323"/>
      <c r="R51" s="6092" t="s">
        <v>1328</v>
      </c>
      <c r="S51" s="6093"/>
      <c r="T51" s="6911"/>
      <c r="U51" s="1984"/>
      <c r="V51" s="1586">
        <f t="shared" si="0"/>
        <v>0</v>
      </c>
      <c r="X51" s="3101"/>
      <c r="Y51" s="3664"/>
      <c r="Z51" s="3665">
        <f t="shared" si="1"/>
        <v>0</v>
      </c>
      <c r="AA51" s="3665" t="str">
        <f t="shared" si="7"/>
        <v/>
      </c>
      <c r="AB51" s="3665">
        <f t="shared" si="2"/>
        <v>0</v>
      </c>
      <c r="AC51" s="3665">
        <f t="shared" si="8"/>
        <v>0</v>
      </c>
      <c r="AD51" s="3665" t="s">
        <v>9763</v>
      </c>
      <c r="AE51" s="3664"/>
      <c r="AF51" s="3665">
        <f t="shared" si="3"/>
        <v>0</v>
      </c>
      <c r="AG51" s="3665" t="str">
        <f t="shared" si="9"/>
        <v/>
      </c>
      <c r="AH51" s="3665">
        <f t="shared" si="4"/>
        <v>0</v>
      </c>
      <c r="AI51" s="3665">
        <f t="shared" si="10"/>
        <v>0</v>
      </c>
      <c r="AJ51" s="3665" t="s">
        <v>9763</v>
      </c>
      <c r="AK51" s="3674"/>
      <c r="AL51" s="3664"/>
      <c r="AM51" s="3664"/>
      <c r="AN51" s="3664"/>
      <c r="AP51" s="3664"/>
      <c r="AQ51" s="3664"/>
    </row>
    <row r="52" spans="1:43" ht="12.75" customHeight="1">
      <c r="A52" s="2104"/>
      <c r="C52" s="3132" t="s">
        <v>10455</v>
      </c>
      <c r="D52" s="7008"/>
      <c r="E52" s="7009"/>
      <c r="F52" s="7010"/>
      <c r="G52" s="3133" t="str">
        <f t="shared" si="5"/>
        <v/>
      </c>
      <c r="H52" s="3134"/>
      <c r="J52" s="3132" t="s">
        <v>10455</v>
      </c>
      <c r="K52" s="7008"/>
      <c r="L52" s="7009"/>
      <c r="M52" s="7010"/>
      <c r="N52" s="3133" t="str">
        <f t="shared" si="6"/>
        <v/>
      </c>
      <c r="O52" s="3134"/>
      <c r="Q52" s="4321" t="s">
        <v>1329</v>
      </c>
      <c r="R52" s="6920" t="s">
        <v>1330</v>
      </c>
      <c r="S52" s="4337"/>
      <c r="T52" s="6921"/>
      <c r="U52" s="1981"/>
      <c r="V52" s="422">
        <f>IF('Tablas constructos'!$I$83=1,Constructos!U52*20,0)</f>
        <v>0</v>
      </c>
      <c r="X52" s="3101"/>
      <c r="Y52" s="3664"/>
      <c r="Z52" s="3665">
        <f t="shared" si="1"/>
        <v>0</v>
      </c>
      <c r="AA52" s="3665" t="str">
        <f t="shared" si="7"/>
        <v/>
      </c>
      <c r="AB52" s="3665">
        <f t="shared" si="2"/>
        <v>0</v>
      </c>
      <c r="AC52" s="3665">
        <f t="shared" si="8"/>
        <v>0</v>
      </c>
      <c r="AD52" s="3664" t="str">
        <f>VLOOKUP(D46,Constructos_Atributos,5,0)</f>
        <v>ninguno</v>
      </c>
      <c r="AE52" s="3664"/>
      <c r="AF52" s="3665">
        <f t="shared" si="3"/>
        <v>0</v>
      </c>
      <c r="AG52" s="3665" t="str">
        <f t="shared" si="9"/>
        <v/>
      </c>
      <c r="AH52" s="3665">
        <f t="shared" si="4"/>
        <v>0</v>
      </c>
      <c r="AI52" s="3665">
        <f t="shared" si="10"/>
        <v>0</v>
      </c>
      <c r="AJ52" s="3664" t="e">
        <f>VLOOKUP(K46,Constructos_Atributos,5,0)</f>
        <v>#N/A</v>
      </c>
      <c r="AK52" s="3674"/>
      <c r="AL52" s="3664"/>
      <c r="AM52" s="3664"/>
      <c r="AN52" s="3664"/>
      <c r="AP52" s="3664"/>
      <c r="AQ52" s="3664"/>
    </row>
    <row r="53" spans="1:43" ht="14.25" customHeight="1">
      <c r="A53" s="2104"/>
      <c r="C53" s="3135" t="s">
        <v>10456</v>
      </c>
      <c r="D53" s="7014"/>
      <c r="E53" s="7015"/>
      <c r="F53" s="7016"/>
      <c r="G53" s="3136" t="str">
        <f t="shared" si="5"/>
        <v/>
      </c>
      <c r="H53" s="3137"/>
      <c r="J53" s="3135" t="s">
        <v>10456</v>
      </c>
      <c r="K53" s="7014"/>
      <c r="L53" s="7015"/>
      <c r="M53" s="7016"/>
      <c r="N53" s="3136" t="str">
        <f t="shared" si="6"/>
        <v/>
      </c>
      <c r="O53" s="3137"/>
      <c r="Q53" s="4624"/>
      <c r="R53" s="6910" t="s">
        <v>1331</v>
      </c>
      <c r="S53" s="4306"/>
      <c r="T53" s="5233"/>
      <c r="U53" s="1982"/>
      <c r="V53" s="422">
        <f>IF('Tablas constructos'!$I$83=1,Constructos!U53*20,0)</f>
        <v>0</v>
      </c>
      <c r="X53" s="3101"/>
      <c r="Y53" s="3664"/>
      <c r="Z53" s="3665">
        <f t="shared" si="1"/>
        <v>0</v>
      </c>
      <c r="AA53" s="3665" t="str">
        <f t="shared" si="7"/>
        <v/>
      </c>
      <c r="AB53" s="3665">
        <f t="shared" si="2"/>
        <v>0</v>
      </c>
      <c r="AC53" s="3665">
        <f t="shared" si="8"/>
        <v>0</v>
      </c>
      <c r="AD53" s="3665" t="s">
        <v>10457</v>
      </c>
      <c r="AE53" s="3664"/>
      <c r="AF53" s="3665">
        <f t="shared" si="3"/>
        <v>0</v>
      </c>
      <c r="AG53" s="3665" t="str">
        <f t="shared" si="9"/>
        <v/>
      </c>
      <c r="AH53" s="3665">
        <f t="shared" si="4"/>
        <v>0</v>
      </c>
      <c r="AI53" s="3665">
        <f t="shared" si="10"/>
        <v>0</v>
      </c>
      <c r="AJ53" s="3665" t="s">
        <v>10457</v>
      </c>
      <c r="AK53" s="3674"/>
      <c r="AL53" s="3664"/>
      <c r="AM53" s="3664"/>
      <c r="AN53" s="3664"/>
      <c r="AP53" s="3664"/>
      <c r="AQ53" s="3664"/>
    </row>
    <row r="54" spans="1:43" ht="12.75" customHeight="1">
      <c r="A54" s="2104"/>
      <c r="C54" s="7023" t="s">
        <v>6923</v>
      </c>
      <c r="D54" s="3138"/>
      <c r="E54" s="7025"/>
      <c r="F54" s="7026"/>
      <c r="G54" s="7027" t="s">
        <v>6186</v>
      </c>
      <c r="H54" s="7028"/>
      <c r="J54" s="7023" t="s">
        <v>6923</v>
      </c>
      <c r="K54" s="3138"/>
      <c r="L54" s="7025"/>
      <c r="M54" s="7026"/>
      <c r="N54" s="7027" t="s">
        <v>6186</v>
      </c>
      <c r="O54" s="7028"/>
      <c r="Q54" s="4624"/>
      <c r="R54" s="6910" t="s">
        <v>1332</v>
      </c>
      <c r="S54" s="4306"/>
      <c r="T54" s="5233"/>
      <c r="U54" s="1982"/>
      <c r="V54" s="422">
        <f>IF('Tablas constructos'!$I$83=1,Constructos!U54*20,0)</f>
        <v>0</v>
      </c>
      <c r="X54" s="3101"/>
      <c r="Y54" s="3664"/>
      <c r="Z54" s="3665">
        <f>IF(D54="",0,VLOOKUP(D54,Constructos_AtaqueEspecial,4,0))</f>
        <v>0</v>
      </c>
      <c r="AA54" s="3665">
        <f>IF(E54="",0,VLOOKUP(E54,Constructos_AtaqueEspecial,4,0))</f>
        <v>0</v>
      </c>
      <c r="AB54" s="3675">
        <f>IFERROR(IF(VLOOKUP(D54,Constructos_AtaqueEspecial,3,0)&gt;VLOOKUP($D$45,constructos_modulos,4,0),1,0),0)</f>
        <v>0</v>
      </c>
      <c r="AC54" s="3675">
        <f>IFERROR(IF(VLOOKUP(E54,Constructos_AtaqueEspecial,3,0)&gt;VLOOKUP($D$45,constructos_modulos,4,0),1,0),0)</f>
        <v>0</v>
      </c>
      <c r="AD54" s="3665">
        <f>IF(VLOOKUP(D46,Constructos_Atributos,4,0)="Habilidades",1,0)</f>
        <v>0</v>
      </c>
      <c r="AE54" s="3664"/>
      <c r="AF54" s="3665">
        <f>IF(K54="",0,VLOOKUP(K54,Constructos_AtaqueEspecial,4,0))</f>
        <v>0</v>
      </c>
      <c r="AG54" s="3665">
        <f>IF(L54="",0,VLOOKUP(L54,Constructos_AtaqueEspecial,4,0))</f>
        <v>0</v>
      </c>
      <c r="AH54" s="3675">
        <f>IFERROR(IF(VLOOKUP(K54,Constructos_AtaqueEspecial,3,0)&gt;VLOOKUP($K$45,constructos_modulos,4,0),1,0),0)</f>
        <v>0</v>
      </c>
      <c r="AI54" s="3675">
        <f>IFERROR(IF(VLOOKUP(L54,Constructos_AtaqueEspecial,3,0)&gt;VLOOKUP($K$45,constructos_modulos,4,0),1,0),0)</f>
        <v>0</v>
      </c>
      <c r="AJ54" s="3665" t="e">
        <f>IF(VLOOKUP(K46,Constructos_Atributos,4,0)="Habilidades",1,0)</f>
        <v>#N/A</v>
      </c>
      <c r="AK54" s="3674"/>
      <c r="AL54" s="3664"/>
      <c r="AM54" s="3664"/>
      <c r="AN54" s="3664"/>
      <c r="AP54" s="3664"/>
      <c r="AQ54" s="3664"/>
    </row>
    <row r="55" spans="1:43" ht="13.5" customHeight="1">
      <c r="A55" s="2104"/>
      <c r="C55" s="7024"/>
      <c r="D55" s="3139"/>
      <c r="E55" s="7029"/>
      <c r="F55" s="7030"/>
      <c r="G55" s="7031"/>
      <c r="H55" s="7032"/>
      <c r="J55" s="7024"/>
      <c r="K55" s="3139"/>
      <c r="L55" s="7029"/>
      <c r="M55" s="7030"/>
      <c r="N55" s="7031"/>
      <c r="O55" s="7032"/>
      <c r="Q55" s="4624"/>
      <c r="R55" s="6910" t="s">
        <v>682</v>
      </c>
      <c r="S55" s="4306"/>
      <c r="T55" s="5233"/>
      <c r="U55" s="1982"/>
      <c r="V55" s="422">
        <f>IF('Tablas constructos'!$I$83=1,Constructos!U55*20,0)</f>
        <v>0</v>
      </c>
      <c r="X55" s="3101"/>
      <c r="Y55" s="3664"/>
      <c r="Z55" s="3665">
        <f>IF(D55="",0,VLOOKUP(D55,Constructos_AtaqueEspecial,4,0))</f>
        <v>0</v>
      </c>
      <c r="AA55" s="3665">
        <f>IF(E55="",0,VLOOKUP(E55,Constructos_AtaqueEspecial,4,0))</f>
        <v>0</v>
      </c>
      <c r="AB55" s="3675">
        <f>IFERROR(IF(VLOOKUP(D55,Constructos_AtaqueEspecial,3,0)&gt;VLOOKUP($D$45,constructos_modulos,4,0),1,0),0)</f>
        <v>0</v>
      </c>
      <c r="AC55" s="3675"/>
      <c r="AD55" s="3664"/>
      <c r="AE55" s="3664"/>
      <c r="AF55" s="3665">
        <f>IF(K55="",0,VLOOKUP(K55,Constructos_AtaqueEspecial,4,0))</f>
        <v>0</v>
      </c>
      <c r="AG55" s="3665">
        <f>IF(L55="",0,VLOOKUP(L55,Constructos_AtaqueEspecial,4,0))</f>
        <v>0</v>
      </c>
      <c r="AH55" s="3675">
        <f>IFERROR(IF(VLOOKUP(K55,Constructos_AtaqueEspecial,3,0)&gt;VLOOKUP($K$45,constructos_modulos,4,0),1,0),0)</f>
        <v>0</v>
      </c>
      <c r="AI55" s="3675"/>
      <c r="AJ55" s="3664"/>
      <c r="AK55" s="3674"/>
      <c r="AL55" s="3664"/>
      <c r="AM55" s="3664"/>
      <c r="AN55" s="3664"/>
      <c r="AP55" s="3664"/>
      <c r="AQ55" s="3664"/>
    </row>
    <row r="56" spans="1:43" ht="13.5" customHeight="1">
      <c r="A56" s="2104"/>
      <c r="C56" s="7023" t="s">
        <v>10397</v>
      </c>
      <c r="D56" s="3138"/>
      <c r="E56" s="7025"/>
      <c r="F56" s="7025"/>
      <c r="G56" s="7027" t="s">
        <v>6186</v>
      </c>
      <c r="H56" s="7028"/>
      <c r="J56" s="7023" t="s">
        <v>10397</v>
      </c>
      <c r="K56" s="3138"/>
      <c r="L56" s="7025"/>
      <c r="M56" s="7025"/>
      <c r="N56" s="7027" t="s">
        <v>6186</v>
      </c>
      <c r="O56" s="7028"/>
      <c r="Q56" s="4624"/>
      <c r="R56" s="6910" t="s">
        <v>683</v>
      </c>
      <c r="S56" s="4306"/>
      <c r="T56" s="5233"/>
      <c r="U56" s="1982"/>
      <c r="V56" s="422">
        <f>IF('Tablas constructos'!$I$83=1,Constructos!U56*20,0)</f>
        <v>0</v>
      </c>
      <c r="X56" s="3101"/>
      <c r="Y56" s="3664"/>
      <c r="Z56" s="3665">
        <f>IF(G55="",0,VLOOKUP(G55,Constructos_AtaqueEspecial,4,0))</f>
        <v>0</v>
      </c>
      <c r="AA56" s="3664"/>
      <c r="AB56" s="3675"/>
      <c r="AC56" s="3675"/>
      <c r="AD56" s="3664"/>
      <c r="AE56" s="3664"/>
      <c r="AF56" s="3665">
        <f>IF(N55="",0,VLOOKUP(N55,Constructos_AtaqueEspecial,4,0))</f>
        <v>0</v>
      </c>
      <c r="AG56" s="3664"/>
      <c r="AH56" s="3675"/>
      <c r="AI56" s="3675"/>
      <c r="AJ56" s="3664"/>
      <c r="AK56" s="3674"/>
      <c r="AL56" s="3664"/>
      <c r="AM56" s="3664"/>
      <c r="AN56" s="3664"/>
      <c r="AP56" s="3664"/>
      <c r="AQ56" s="3664"/>
    </row>
    <row r="57" spans="1:43" ht="15" customHeight="1">
      <c r="A57" s="2104"/>
      <c r="C57" s="7024"/>
      <c r="D57" s="7033"/>
      <c r="E57" s="7034"/>
      <c r="F57" s="7035"/>
      <c r="G57" s="7036"/>
      <c r="H57" s="7037"/>
      <c r="J57" s="7024"/>
      <c r="K57" s="7033"/>
      <c r="L57" s="7034"/>
      <c r="M57" s="7035"/>
      <c r="N57" s="7031"/>
      <c r="O57" s="7032"/>
      <c r="Q57" s="4624"/>
      <c r="R57" s="6910" t="s">
        <v>684</v>
      </c>
      <c r="S57" s="4306"/>
      <c r="T57" s="5233"/>
      <c r="U57" s="1982"/>
      <c r="V57" s="422">
        <f>IF('Tablas constructos'!$I$83=1,Constructos!U57*20,0)</f>
        <v>0</v>
      </c>
      <c r="X57" s="3101"/>
      <c r="Y57" s="3664"/>
      <c r="Z57" s="3665">
        <f>IF(D56="",0,VLOOKUP(D56,Constructos_EfectoEspecial,4,0))</f>
        <v>0</v>
      </c>
      <c r="AA57" s="3665">
        <f>IF(E56="",0,VLOOKUP(E56,Constructos_EfectoEspecial,4,0))</f>
        <v>0</v>
      </c>
      <c r="AB57" s="3675">
        <f>IFERROR(IF(VLOOKUP(D56,Constructos_EfectoEspecial,3,0)&gt;VLOOKUP($D$45,constructos_modulos,4,0),1,0),0)</f>
        <v>0</v>
      </c>
      <c r="AC57" s="3675">
        <f>IFERROR(IF(VLOOKUP(E56,Constructos_EfectoEspecial,3,0)&gt;VLOOKUP($D$45,constructos_modulos,4,0),1,0),0)</f>
        <v>0</v>
      </c>
      <c r="AD57" s="3664"/>
      <c r="AE57" s="3664"/>
      <c r="AF57" s="3665">
        <f>IF(K56="",0,VLOOKUP(K56,Constructos_EfectoEspecial,4,0))</f>
        <v>0</v>
      </c>
      <c r="AG57" s="3665">
        <f>IF(L56="",0,VLOOKUP(L56,Constructos_EfectoEspecial,4,0))</f>
        <v>0</v>
      </c>
      <c r="AH57" s="3675">
        <f>IFERROR(IF(VLOOKUP(K56,Constructos_EfectoEspecial,3,0)&gt;VLOOKUP($K$45,constructos_modulos,4,0),1,0),0)</f>
        <v>0</v>
      </c>
      <c r="AI57" s="3675">
        <f>IFERROR(IF(VLOOKUP(L56,Constructos_EfectoEspecial,3,0)&gt;VLOOKUP($K$45,constructos_modulos,4,0),1,0),0)</f>
        <v>0</v>
      </c>
      <c r="AJ57" s="3664" t="s">
        <v>2603</v>
      </c>
      <c r="AK57" s="3674"/>
      <c r="AL57" s="3664"/>
      <c r="AM57" s="3664"/>
      <c r="AN57" s="3664"/>
      <c r="AP57" s="3664"/>
      <c r="AQ57" s="3664"/>
    </row>
    <row r="58" spans="1:43" ht="15" customHeight="1">
      <c r="A58" s="2104"/>
      <c r="C58" s="7017" t="str">
        <f>IF(OR(AB54=1,AB55=1,AC54=1),"Material ataque especial insuficiente",IF(OR(AB57=1,AC57=1,AB58=1),"Material efecto especial insuficiente",IF(H58&lt;0,"Exceso de atributos","Puntos de Atributo restantes")))</f>
        <v>Puntos de Atributo restantes</v>
      </c>
      <c r="D58" s="7018"/>
      <c r="E58" s="7018"/>
      <c r="F58" s="7018"/>
      <c r="G58" s="7018"/>
      <c r="H58" s="7021">
        <f>IF(D45="","",AD48+IF(AND(OR(C11="Acero negro",C11="Acero blanco"),D45="Elektra"),1,0))</f>
        <v>1</v>
      </c>
      <c r="J58" s="7017" t="str">
        <f>IF(OR(AH54=1,AH55=1,AI54=1),"Material ataque especial insuficiente",IF(OR(AH57=1,AI57=1,AH58=1),"Material efecto especial insuficiente",IF(O58&lt;0,"Exceso de atributos","Puntos de Atributo restantes")))</f>
        <v>Puntos de Atributo restantes</v>
      </c>
      <c r="K58" s="7018"/>
      <c r="L58" s="7018"/>
      <c r="M58" s="7018"/>
      <c r="N58" s="7018"/>
      <c r="O58" s="7021" t="str">
        <f>IF(K45=0,"",AJ48+IF(AND(OR(C11="Acero negro",C11="Acero blanco"),K45="Elektra"),1,0))</f>
        <v/>
      </c>
      <c r="Q58" s="4624"/>
      <c r="R58" s="6910" t="s">
        <v>1333</v>
      </c>
      <c r="S58" s="4306"/>
      <c r="T58" s="5233"/>
      <c r="U58" s="1982"/>
      <c r="V58" s="422">
        <f>IF('Tablas constructos'!$I$83=1,Constructos!U58*20,0)</f>
        <v>0</v>
      </c>
      <c r="X58" s="3101"/>
      <c r="Y58" s="3664"/>
      <c r="Z58" s="3665">
        <f>IF(D57="",0,VLOOKUP(D57,Constructos_EfectoEspecial,4,0))</f>
        <v>0</v>
      </c>
      <c r="AA58" s="3664"/>
      <c r="AB58" s="3675">
        <f>IFERROR(IF(VLOOKUP(D57,Constructos_EfectoEspecial,3,0)&gt;VLOOKUP($D$45,constructos_modulos,4,0),1,0),0)</f>
        <v>0</v>
      </c>
      <c r="AC58" s="3675"/>
      <c r="AD58" s="3664"/>
      <c r="AE58" s="3664"/>
      <c r="AF58" s="3665">
        <f>IF(K57="",0,VLOOKUP(K57,Constructos_EfectoEspecial,4,0))</f>
        <v>0</v>
      </c>
      <c r="AG58" s="3664"/>
      <c r="AH58" s="3675">
        <f>IFERROR(IF(VLOOKUP(K57,Constructos_EfectoEspecial,3,0)&gt;VLOOKUP($K$45,constructos_modulos,4,0),1,0),0)</f>
        <v>0</v>
      </c>
      <c r="AI58" s="3675"/>
      <c r="AJ58" s="3664"/>
      <c r="AK58" s="3674"/>
      <c r="AL58" s="3664"/>
      <c r="AM58" s="3664"/>
      <c r="AN58" s="3664"/>
      <c r="AP58" s="3664"/>
      <c r="AQ58" s="3664"/>
    </row>
    <row r="59" spans="1:43" ht="12.75" customHeight="1" thickBot="1">
      <c r="A59" s="2104"/>
      <c r="C59" s="7019"/>
      <c r="D59" s="7020"/>
      <c r="E59" s="7020"/>
      <c r="F59" s="7020"/>
      <c r="G59" s="7020"/>
      <c r="H59" s="7022"/>
      <c r="J59" s="7019"/>
      <c r="K59" s="7020"/>
      <c r="L59" s="7020"/>
      <c r="M59" s="7020"/>
      <c r="N59" s="7020"/>
      <c r="O59" s="7022"/>
      <c r="Q59" s="4624"/>
      <c r="R59" s="6910" t="s">
        <v>1335</v>
      </c>
      <c r="S59" s="4306"/>
      <c r="T59" s="5233"/>
      <c r="U59" s="1982"/>
      <c r="V59" s="422">
        <f>IF('Tablas constructos'!$I$83=1,Constructos!U59*20,0)</f>
        <v>0</v>
      </c>
      <c r="X59" s="3101"/>
      <c r="Y59" s="3664"/>
      <c r="Z59" s="3665">
        <f>IF(G57="",0,VLOOKUP(G57,Constructos_EfectoEspecial,4,0))</f>
        <v>0</v>
      </c>
      <c r="AA59" s="3664"/>
      <c r="AB59" s="3664"/>
      <c r="AC59" s="3664"/>
      <c r="AD59" s="3664"/>
      <c r="AE59" s="3664"/>
      <c r="AF59" s="3665">
        <f>IF(N57="",0,VLOOKUP(N57,Constructos_EfectoEspecial,4,0))</f>
        <v>0</v>
      </c>
      <c r="AG59" s="3664"/>
      <c r="AH59" s="3664"/>
      <c r="AI59" s="3664"/>
      <c r="AJ59" s="3664"/>
      <c r="AK59" s="3674"/>
      <c r="AL59" s="3664"/>
      <c r="AM59" s="3664"/>
      <c r="AN59" s="3664"/>
      <c r="AP59" s="3664"/>
      <c r="AQ59" s="3664"/>
    </row>
    <row r="60" spans="1:43" ht="12.75" customHeight="1" thickBot="1">
      <c r="A60" s="2104"/>
      <c r="K60" s="2737"/>
      <c r="L60" s="2737"/>
      <c r="M60" s="2737"/>
      <c r="N60" s="2737"/>
      <c r="O60" s="2737"/>
      <c r="Q60" s="4624"/>
      <c r="R60" s="6910" t="s">
        <v>5859</v>
      </c>
      <c r="S60" s="4306"/>
      <c r="T60" s="5233"/>
      <c r="U60" s="1982"/>
      <c r="V60" s="422">
        <f>IF('Tablas constructos'!$I$83=1,Constructos!U60*20,0)</f>
        <v>0</v>
      </c>
      <c r="X60" s="3101"/>
      <c r="Y60" s="3664"/>
      <c r="Z60" s="3665"/>
      <c r="AA60" s="3664"/>
      <c r="AB60" s="3664"/>
      <c r="AC60" s="3664"/>
      <c r="AD60" s="3664"/>
      <c r="AE60" s="3676"/>
      <c r="AF60" s="3664"/>
      <c r="AG60" s="3664"/>
      <c r="AH60" s="3664"/>
      <c r="AI60" s="3664"/>
      <c r="AJ60" s="3664"/>
      <c r="AK60" s="3674"/>
      <c r="AL60" s="3664"/>
      <c r="AM60" s="3664"/>
      <c r="AN60" s="3664"/>
      <c r="AP60" s="3664"/>
      <c r="AQ60" s="3664"/>
    </row>
    <row r="61" spans="1:43" ht="12.75" customHeight="1">
      <c r="A61" s="2104"/>
      <c r="C61" s="6912" t="s">
        <v>10458</v>
      </c>
      <c r="D61" s="6913"/>
      <c r="E61" s="6913"/>
      <c r="F61" s="6979"/>
      <c r="G61" s="6983" t="s">
        <v>10439</v>
      </c>
      <c r="H61" s="6984"/>
      <c r="J61" s="6912" t="s">
        <v>10459</v>
      </c>
      <c r="K61" s="6913"/>
      <c r="L61" s="6913"/>
      <c r="M61" s="6979"/>
      <c r="N61" s="6983" t="s">
        <v>10439</v>
      </c>
      <c r="O61" s="6984"/>
      <c r="Q61" s="4624"/>
      <c r="R61" s="6910" t="s">
        <v>5860</v>
      </c>
      <c r="S61" s="4306"/>
      <c r="T61" s="5233"/>
      <c r="U61" s="1982"/>
      <c r="V61" s="422">
        <f>IF('Tablas constructos'!$I$83=1,Constructos!U61*20,0)</f>
        <v>0</v>
      </c>
      <c r="X61" s="3101"/>
      <c r="Y61" s="3664"/>
      <c r="Z61" s="3665"/>
      <c r="AA61" s="3664"/>
      <c r="AB61" s="3664"/>
      <c r="AC61" s="3664"/>
      <c r="AD61" s="3664"/>
      <c r="AE61" s="3676"/>
      <c r="AF61" s="3664"/>
      <c r="AG61" s="3664"/>
      <c r="AH61" s="3664"/>
      <c r="AI61" s="3664"/>
      <c r="AJ61" s="3664"/>
      <c r="AK61" s="3674"/>
      <c r="AL61" s="3664"/>
      <c r="AM61" s="3664"/>
      <c r="AN61" s="3664"/>
      <c r="AP61" s="3664"/>
      <c r="AQ61" s="3664"/>
    </row>
    <row r="62" spans="1:43" ht="13.5" customHeight="1" thickBot="1">
      <c r="A62" s="2104"/>
      <c r="C62" s="6980"/>
      <c r="D62" s="6981"/>
      <c r="E62" s="6981"/>
      <c r="F62" s="6982"/>
      <c r="G62" s="6985"/>
      <c r="H62" s="6986"/>
      <c r="J62" s="6980"/>
      <c r="K62" s="6981"/>
      <c r="L62" s="6981"/>
      <c r="M62" s="6982"/>
      <c r="N62" s="6985"/>
      <c r="O62" s="6986"/>
      <c r="Q62" s="4624"/>
      <c r="R62" s="6910" t="s">
        <v>5861</v>
      </c>
      <c r="S62" s="4306"/>
      <c r="T62" s="5233"/>
      <c r="U62" s="1982"/>
      <c r="V62" s="422">
        <f>IF('Tablas constructos'!$I$83=1,Constructos!U62*20,0)</f>
        <v>0</v>
      </c>
      <c r="X62" s="3101"/>
      <c r="Y62" s="3664"/>
      <c r="Z62" s="3675" t="s">
        <v>10460</v>
      </c>
      <c r="AA62" s="3664"/>
      <c r="AB62" s="3664">
        <f>IF(AND(G61&lt;&gt;"",G61&lt;&gt;"Nombre del módulo"),1,0)</f>
        <v>0</v>
      </c>
      <c r="AC62" s="3664"/>
      <c r="AD62" s="3664"/>
      <c r="AE62" s="3664"/>
      <c r="AF62" s="3664"/>
      <c r="AG62" s="3664"/>
      <c r="AH62" s="3664">
        <f>IF(AND(N61&lt;&gt;"",N61&lt;&gt;"Nombre del módulo"),1,0)</f>
        <v>0</v>
      </c>
      <c r="AI62" s="3664"/>
      <c r="AJ62" s="3664"/>
      <c r="AK62" s="3674"/>
      <c r="AL62" s="3664"/>
      <c r="AM62" s="3664"/>
      <c r="AN62" s="3664"/>
      <c r="AP62" s="3664"/>
      <c r="AQ62" s="3664"/>
    </row>
    <row r="63" spans="1:43" ht="12.75" customHeight="1">
      <c r="A63" s="2104"/>
      <c r="C63" s="3125" t="s">
        <v>10442</v>
      </c>
      <c r="D63" s="6999"/>
      <c r="E63" s="7000"/>
      <c r="F63" s="7001"/>
      <c r="G63" s="6997" t="s">
        <v>10443</v>
      </c>
      <c r="H63" s="6998"/>
      <c r="J63" s="3125" t="s">
        <v>10442</v>
      </c>
      <c r="K63" s="6999"/>
      <c r="L63" s="7000"/>
      <c r="M63" s="7001"/>
      <c r="N63" s="6997" t="s">
        <v>10443</v>
      </c>
      <c r="O63" s="6998"/>
      <c r="Q63" s="4323"/>
      <c r="R63" s="6251" t="s">
        <v>5862</v>
      </c>
      <c r="S63" s="6252"/>
      <c r="T63" s="7038"/>
      <c r="U63" s="1983"/>
      <c r="V63" s="422">
        <f>IF('Tablas constructos'!$I$83=1,Constructos!U63*20,0)</f>
        <v>0</v>
      </c>
      <c r="X63" s="3101"/>
      <c r="Y63" s="3664"/>
      <c r="Z63" s="3665" t="s">
        <v>10444</v>
      </c>
      <c r="AA63" s="3664" t="s">
        <v>10445</v>
      </c>
      <c r="AB63" s="3664" t="s">
        <v>9763</v>
      </c>
      <c r="AC63" s="3665" t="s">
        <v>10446</v>
      </c>
      <c r="AD63" s="3665" t="s">
        <v>3016</v>
      </c>
      <c r="AE63" s="3664"/>
      <c r="AF63" s="3665" t="s">
        <v>10444</v>
      </c>
      <c r="AG63" s="3664" t="s">
        <v>10445</v>
      </c>
      <c r="AH63" s="3664" t="s">
        <v>9763</v>
      </c>
      <c r="AI63" s="3665" t="s">
        <v>10446</v>
      </c>
      <c r="AJ63" s="3665" t="s">
        <v>3016</v>
      </c>
      <c r="AK63" s="3674"/>
      <c r="AL63" s="3664"/>
      <c r="AM63" s="3664"/>
      <c r="AN63" s="3664"/>
      <c r="AP63" s="3664"/>
      <c r="AQ63" s="3664"/>
    </row>
    <row r="64" spans="1:43" ht="12.75" customHeight="1">
      <c r="A64" s="2104"/>
      <c r="C64" s="3126" t="s">
        <v>10447</v>
      </c>
      <c r="D64" s="7002"/>
      <c r="E64" s="7003"/>
      <c r="F64" s="7004"/>
      <c r="G64" s="3127" t="str">
        <f>IF(D64=0,"",IF($D$64="Desarrollo de secundarias","",IF(VLOOKUP(D64,Constructos_Atributos,3,0)=1,CONCATENATE(VLOOKUP(D64,Constructos_Atributos,3,0)," vez"),CONCATENATE(VLOOKUP(D64,Constructos_Atributos,3,0)," veces"))))</f>
        <v/>
      </c>
      <c r="H64" s="3128"/>
      <c r="J64" s="3126" t="s">
        <v>10447</v>
      </c>
      <c r="K64" s="7002"/>
      <c r="L64" s="7003"/>
      <c r="M64" s="7004"/>
      <c r="N64" s="3127" t="str">
        <f>IF(K64=0,"",IF($K$64="Desarrollo de secundarias","",IF(VLOOKUP(K64,Constructos_Atributos,3,0)=1,CONCATENATE(VLOOKUP(K64,Constructos_Atributos,3,0)," vez"),CONCATENATE(VLOOKUP(K64,Constructos_Atributos,3,0)," veces"))))</f>
        <v/>
      </c>
      <c r="O64" s="3128">
        <v>2</v>
      </c>
      <c r="Q64" s="4321" t="s">
        <v>1336</v>
      </c>
      <c r="R64" s="6920" t="str">
        <f>IF(PDs!E191="","-",PDs!E191)</f>
        <v>T. Manos</v>
      </c>
      <c r="S64" s="4337"/>
      <c r="T64" s="6921"/>
      <c r="U64" s="1985"/>
      <c r="V64" s="2059">
        <f>IF(U64&gt;0,U64*20,0)</f>
        <v>0</v>
      </c>
      <c r="X64" s="3101"/>
      <c r="Y64" s="3664"/>
      <c r="Z64" s="3665">
        <f t="shared" ref="Z64:Z71" si="11">IF(D64="",0,IF($D$64="Desarrollo de secundarias",1,VLOOKUP(D64,Constructos_Atributos,2,0)))</f>
        <v>0</v>
      </c>
      <c r="AA64" s="3665" t="str">
        <f>IFERROR(IF(D64=0,"",IF($D$64="Desarrollo de secundarias",0,IF(H64=0,"",MIN(VLOOKUP(D64,Constructos_Atributos,3,0),H64))-AB64)),0)</f>
        <v/>
      </c>
      <c r="AB64" s="3665">
        <f t="shared" ref="AB64:AB71" si="12">COUNTIF($D$64:$F$71,VLOOKUP(D64,Constructos_Atributos,5,0))</f>
        <v>0</v>
      </c>
      <c r="AC64" s="3665">
        <f>IF(D64="",0,AA64*Z64)+IF(Z64=2,"-1","0")</f>
        <v>0</v>
      </c>
      <c r="AD64" s="3665" t="e">
        <f>IF(VLOOKUP(D64,Constructos_Atributos,4,0)="cualquiera",1,0)</f>
        <v>#N/A</v>
      </c>
      <c r="AE64" s="3664"/>
      <c r="AF64" s="3665">
        <f t="shared" ref="AF64:AF71" si="13">IF(K64="",0,IF($K$64="Desarrollo de secundarias",1,VLOOKUP(K64,Constructos_Atributos,2,0)))</f>
        <v>0</v>
      </c>
      <c r="AG64" s="3665" t="str">
        <f>IFERROR(IF(K64=0,"",IF($K$64="Desarrollo de secundarias",0,IF(O64=0,"",MIN(VLOOKUP(K64,Constructos_Atributos,3,0),O64))-AH64)),0)</f>
        <v/>
      </c>
      <c r="AH64" s="3665">
        <f t="shared" ref="AH64:AH71" si="14">COUNTIF($K$64:$M$71,VLOOKUP(K64,Constructos_Atributos,5,0))</f>
        <v>0</v>
      </c>
      <c r="AI64" s="3665">
        <f>IF(K64="",0,AG64*AF64)</f>
        <v>0</v>
      </c>
      <c r="AJ64" s="3665" t="e">
        <f>IF(VLOOKUP(K64,Constructos_Atributos,4,0)="cualquiera",1,0)</f>
        <v>#N/A</v>
      </c>
      <c r="AK64" s="3674"/>
      <c r="AL64" s="3664"/>
      <c r="AM64" s="3664"/>
      <c r="AN64" s="3664"/>
      <c r="AP64" s="3664"/>
      <c r="AQ64" s="3664"/>
    </row>
    <row r="65" spans="1:43" ht="12.75" customHeight="1">
      <c r="A65" s="2104"/>
      <c r="C65" s="3129" t="s">
        <v>10448</v>
      </c>
      <c r="D65" s="7005"/>
      <c r="E65" s="7006"/>
      <c r="F65" s="7007"/>
      <c r="G65" s="3130" t="str">
        <f t="shared" ref="G65:G71" si="15">IF(D65=0,"",IF($D$64="Desarrollo de secundarias","10 veces",IF(VLOOKUP(D65,Constructos_Atributos,3,0)=1,CONCATENATE(VLOOKUP(D65,Constructos_Atributos,3,0)," vez"),CONCATENATE(VLOOKUP(D65,Constructos_Atributos,3,0)," veces"))))</f>
        <v/>
      </c>
      <c r="H65" s="3131"/>
      <c r="J65" s="3129" t="s">
        <v>10448</v>
      </c>
      <c r="K65" s="7005"/>
      <c r="L65" s="7006"/>
      <c r="M65" s="7007"/>
      <c r="N65" s="3130" t="str">
        <f t="shared" ref="N65:N71" si="16">IF(K65=0,"",IF($K$64="Desarrollo de secundarias","10 veces",IF(VLOOKUP(K65,Constructos_Atributos,3,0)=1,CONCATENATE(VLOOKUP(K65,Constructos_Atributos,3,0)," vez"),CONCATENATE(VLOOKUP(K65,Constructos_Atributos,3,0)," veces"))))</f>
        <v/>
      </c>
      <c r="O65" s="3131"/>
      <c r="Q65" s="4624"/>
      <c r="R65" s="6910" t="str">
        <f>IF(PDs!E192="","-",PDs!E192)</f>
        <v>Caligrafía ritual</v>
      </c>
      <c r="S65" s="4306"/>
      <c r="T65" s="5233"/>
      <c r="U65" s="1982"/>
      <c r="V65" s="422">
        <f>IF(U65&gt;0,U65*20,0)</f>
        <v>0</v>
      </c>
      <c r="X65" s="3101"/>
      <c r="Y65" s="3664"/>
      <c r="Z65" s="3665">
        <f t="shared" si="11"/>
        <v>0</v>
      </c>
      <c r="AA65" s="3665" t="str">
        <f t="shared" ref="AA65:AA71" si="17">IFERROR(IF(D65=0,"",IF($D$64="Desarrollo de secundarias",H65,IF(H65=0,"",MIN(VLOOKUP(D65,Constructos_Atributos,3,0),H65))-AB65)),0)</f>
        <v/>
      </c>
      <c r="AB65" s="3665">
        <f t="shared" si="12"/>
        <v>0</v>
      </c>
      <c r="AC65" s="3665">
        <f t="shared" ref="AC65:AC71" si="18">IF(D65="",0,AA65*Z65)+IF(Z65=2,"-1","0")</f>
        <v>0</v>
      </c>
      <c r="AD65" s="3665" t="s">
        <v>10449</v>
      </c>
      <c r="AE65" s="3664"/>
      <c r="AF65" s="3665">
        <f t="shared" si="13"/>
        <v>0</v>
      </c>
      <c r="AG65" s="3665" t="str">
        <f t="shared" ref="AG65:AG71" si="19">IFERROR(IF(K65=0,"",IF($K$64="Desarrollo de secundarias",O65,IF(O65=0,"",MIN(VLOOKUP(K65,Constructos_Atributos,3,0),O65))-AH65)),0)</f>
        <v/>
      </c>
      <c r="AH65" s="3665">
        <f t="shared" si="14"/>
        <v>0</v>
      </c>
      <c r="AI65" s="3665">
        <f t="shared" ref="AI65:AI71" si="20">IF(K65="",0,AG65*AF65)</f>
        <v>0</v>
      </c>
      <c r="AJ65" s="3665" t="s">
        <v>10449</v>
      </c>
      <c r="AK65" s="3674"/>
      <c r="AL65" s="3664"/>
      <c r="AM65" s="3664"/>
      <c r="AN65" s="3664"/>
      <c r="AP65" s="3664"/>
      <c r="AQ65" s="3664"/>
    </row>
    <row r="66" spans="1:43">
      <c r="A66" s="2104"/>
      <c r="C66" s="3132" t="s">
        <v>10450</v>
      </c>
      <c r="D66" s="7008"/>
      <c r="E66" s="7009"/>
      <c r="F66" s="7010"/>
      <c r="G66" s="3133" t="str">
        <f t="shared" si="15"/>
        <v/>
      </c>
      <c r="H66" s="3134"/>
      <c r="J66" s="3132" t="s">
        <v>10450</v>
      </c>
      <c r="K66" s="7008"/>
      <c r="L66" s="7009"/>
      <c r="M66" s="7010"/>
      <c r="N66" s="3133" t="str">
        <f t="shared" si="16"/>
        <v/>
      </c>
      <c r="O66" s="3134"/>
      <c r="Q66" s="4624"/>
      <c r="R66" s="6910" t="str">
        <f>IF(PDs!E193="","-",PDs!E193)</f>
        <v>Orfebrería</v>
      </c>
      <c r="S66" s="4306"/>
      <c r="T66" s="5233"/>
      <c r="U66" s="1982"/>
      <c r="V66" s="422">
        <f>IF(U66&gt;0,U66*20,0)</f>
        <v>0</v>
      </c>
      <c r="X66" s="3101"/>
      <c r="Y66" s="3664"/>
      <c r="Z66" s="3665">
        <f t="shared" si="11"/>
        <v>0</v>
      </c>
      <c r="AA66" s="3665" t="str">
        <f t="shared" si="17"/>
        <v/>
      </c>
      <c r="AB66" s="3665">
        <f t="shared" si="12"/>
        <v>0</v>
      </c>
      <c r="AC66" s="3665">
        <f t="shared" si="18"/>
        <v>0</v>
      </c>
      <c r="AD66" s="3665" t="e">
        <f>MIN(AD68,VLOOKUP($D63,Constructos_Módulos,2,0)-SUM(AC64:AC71,Z72:Z77,AA72:AA77))+IF(AND($D63="Obsidiana",OR($D64="Resistente",$D64="Resistencia al frío",$D64="Resistencia al fuego",$D64="Resistencia a la electricidad"),$H64&gt;0),1,0)</f>
        <v>#N/A</v>
      </c>
      <c r="AE66" s="3664"/>
      <c r="AF66" s="3665">
        <f t="shared" si="13"/>
        <v>0</v>
      </c>
      <c r="AG66" s="3665" t="str">
        <f t="shared" si="19"/>
        <v/>
      </c>
      <c r="AH66" s="3665">
        <f t="shared" si="14"/>
        <v>0</v>
      </c>
      <c r="AI66" s="3665">
        <f t="shared" si="20"/>
        <v>0</v>
      </c>
      <c r="AJ66" s="3665" t="e">
        <f>MIN(AJ68,VLOOKUP($K63,Constructos_Módulos,2,0)-SUM(AI64:AI71,AF72:AF77,AG72:AG77))+IF(AND(K63="Obsidiana",OR(K64="Resistente",K64="Resistencia al frío",K64="Resistencia al fuego",K64="Resistencia a la electricidad"),O64&gt;0),1,0)</f>
        <v>#N/A</v>
      </c>
      <c r="AK66" s="3674"/>
      <c r="AL66" s="3664"/>
      <c r="AM66" s="3664"/>
      <c r="AN66" s="3664"/>
      <c r="AP66" s="3664"/>
      <c r="AQ66" s="3664"/>
    </row>
    <row r="67" spans="1:43">
      <c r="A67" s="2104"/>
      <c r="C67" s="3129" t="s">
        <v>10451</v>
      </c>
      <c r="D67" s="7011"/>
      <c r="E67" s="7012"/>
      <c r="F67" s="7013"/>
      <c r="G67" s="3130" t="str">
        <f t="shared" si="15"/>
        <v/>
      </c>
      <c r="H67" s="3131"/>
      <c r="J67" s="3129" t="s">
        <v>10451</v>
      </c>
      <c r="K67" s="7011"/>
      <c r="L67" s="7012"/>
      <c r="M67" s="7013"/>
      <c r="N67" s="3130" t="str">
        <f t="shared" si="16"/>
        <v/>
      </c>
      <c r="O67" s="3131"/>
      <c r="Q67" s="4624"/>
      <c r="R67" s="6910" t="str">
        <f>IF(PDs!E194="","-",PDs!E194)</f>
        <v>Confección</v>
      </c>
      <c r="S67" s="4306"/>
      <c r="T67" s="5233"/>
      <c r="U67" s="1982"/>
      <c r="V67" s="422">
        <f>IF(U67&gt;0,U67*20,0)</f>
        <v>0</v>
      </c>
      <c r="X67" s="3101"/>
      <c r="Y67" s="3664"/>
      <c r="Z67" s="3665">
        <f t="shared" si="11"/>
        <v>0</v>
      </c>
      <c r="AA67" s="3665" t="str">
        <f t="shared" si="17"/>
        <v/>
      </c>
      <c r="AB67" s="3665">
        <f t="shared" si="12"/>
        <v>0</v>
      </c>
      <c r="AC67" s="3665">
        <f t="shared" si="18"/>
        <v>0</v>
      </c>
      <c r="AD67" s="3665" t="s">
        <v>10452</v>
      </c>
      <c r="AE67" s="3664"/>
      <c r="AF67" s="3665">
        <f t="shared" si="13"/>
        <v>0</v>
      </c>
      <c r="AG67" s="3665" t="str">
        <f t="shared" si="19"/>
        <v/>
      </c>
      <c r="AH67" s="3665">
        <f t="shared" si="14"/>
        <v>0</v>
      </c>
      <c r="AI67" s="3665">
        <f t="shared" si="20"/>
        <v>0</v>
      </c>
      <c r="AJ67" s="3665" t="s">
        <v>10452</v>
      </c>
      <c r="AK67" s="3674"/>
      <c r="AL67" s="3664"/>
      <c r="AM67" s="3664"/>
      <c r="AN67" s="3664"/>
      <c r="AP67" s="3664"/>
      <c r="AQ67" s="3664"/>
    </row>
    <row r="68" spans="1:43" ht="13.5" thickBot="1">
      <c r="A68" s="2104"/>
      <c r="C68" s="3132" t="s">
        <v>10453</v>
      </c>
      <c r="D68" s="7008"/>
      <c r="E68" s="7009"/>
      <c r="F68" s="7010"/>
      <c r="G68" s="3133" t="str">
        <f t="shared" si="15"/>
        <v/>
      </c>
      <c r="H68" s="3134"/>
      <c r="J68" s="3132" t="s">
        <v>10453</v>
      </c>
      <c r="K68" s="7008"/>
      <c r="L68" s="7009"/>
      <c r="M68" s="7010"/>
      <c r="N68" s="3133" t="str">
        <f t="shared" si="16"/>
        <v/>
      </c>
      <c r="O68" s="3134"/>
      <c r="Q68" s="4523"/>
      <c r="R68" s="7039" t="str">
        <f>IF(PDs!E195="","-",PDs!E195)</f>
        <v>Conf. marionetas</v>
      </c>
      <c r="S68" s="7040"/>
      <c r="T68" s="7041"/>
      <c r="U68" s="3140"/>
      <c r="V68" s="3113">
        <f>IF(U68&gt;0,U68*20,0)</f>
        <v>0</v>
      </c>
      <c r="X68" s="3101"/>
      <c r="Y68" s="3664"/>
      <c r="Z68" s="3665">
        <f t="shared" si="11"/>
        <v>0</v>
      </c>
      <c r="AA68" s="3665" t="str">
        <f t="shared" si="17"/>
        <v/>
      </c>
      <c r="AB68" s="3665">
        <f t="shared" si="12"/>
        <v>0</v>
      </c>
      <c r="AC68" s="3665">
        <f t="shared" si="18"/>
        <v>0</v>
      </c>
      <c r="AD68" s="3665" t="e">
        <f>VLOOKUP($D63,Constructos_Módulos,3,0)</f>
        <v>#N/A</v>
      </c>
      <c r="AE68" s="3664"/>
      <c r="AF68" s="3665">
        <f t="shared" si="13"/>
        <v>0</v>
      </c>
      <c r="AG68" s="3665" t="str">
        <f t="shared" si="19"/>
        <v/>
      </c>
      <c r="AH68" s="3665">
        <f t="shared" si="14"/>
        <v>0</v>
      </c>
      <c r="AI68" s="3665">
        <f t="shared" si="20"/>
        <v>0</v>
      </c>
      <c r="AJ68" s="3665" t="e">
        <f>VLOOKUP(K63,Constructos_Módulos,3,0)</f>
        <v>#N/A</v>
      </c>
      <c r="AK68" s="3674"/>
      <c r="AL68" s="3664"/>
      <c r="AM68" s="3664"/>
      <c r="AN68" s="3664"/>
      <c r="AP68" s="3664"/>
      <c r="AQ68" s="3664"/>
    </row>
    <row r="69" spans="1:43" ht="13.5" thickBot="1">
      <c r="A69" s="2104"/>
      <c r="C69" s="3129" t="s">
        <v>10454</v>
      </c>
      <c r="D69" s="7011"/>
      <c r="E69" s="7012"/>
      <c r="F69" s="7013"/>
      <c r="G69" s="3130" t="str">
        <f t="shared" si="15"/>
        <v/>
      </c>
      <c r="H69" s="3131"/>
      <c r="J69" s="3129" t="s">
        <v>10454</v>
      </c>
      <c r="K69" s="7011"/>
      <c r="L69" s="7012"/>
      <c r="M69" s="7013"/>
      <c r="N69" s="3130" t="str">
        <f t="shared" si="16"/>
        <v/>
      </c>
      <c r="O69" s="3131"/>
      <c r="Q69" s="3141"/>
      <c r="R69" s="3142"/>
      <c r="S69" s="3142"/>
      <c r="T69" s="3142"/>
      <c r="U69" s="3143"/>
      <c r="V69" s="3144"/>
      <c r="X69" s="3101"/>
      <c r="Y69" s="3664"/>
      <c r="Z69" s="3665">
        <f t="shared" si="11"/>
        <v>0</v>
      </c>
      <c r="AA69" s="3665" t="str">
        <f t="shared" si="17"/>
        <v/>
      </c>
      <c r="AB69" s="3665">
        <f t="shared" si="12"/>
        <v>0</v>
      </c>
      <c r="AC69" s="3665">
        <f t="shared" si="18"/>
        <v>0</v>
      </c>
      <c r="AD69" s="3665" t="s">
        <v>9763</v>
      </c>
      <c r="AE69" s="3664"/>
      <c r="AF69" s="3665">
        <f t="shared" si="13"/>
        <v>0</v>
      </c>
      <c r="AG69" s="3665" t="str">
        <f t="shared" si="19"/>
        <v/>
      </c>
      <c r="AH69" s="3665">
        <f t="shared" si="14"/>
        <v>0</v>
      </c>
      <c r="AI69" s="3665">
        <f t="shared" si="20"/>
        <v>0</v>
      </c>
      <c r="AJ69" s="3665" t="s">
        <v>9763</v>
      </c>
      <c r="AK69" s="3674"/>
      <c r="AL69" s="3664"/>
      <c r="AM69" s="3664"/>
      <c r="AN69" s="3664"/>
      <c r="AP69" s="3664"/>
      <c r="AQ69" s="3664"/>
    </row>
    <row r="70" spans="1:43" ht="13.5" customHeight="1">
      <c r="A70" s="2104"/>
      <c r="C70" s="3132" t="s">
        <v>10455</v>
      </c>
      <c r="D70" s="7008"/>
      <c r="E70" s="7009"/>
      <c r="F70" s="7010"/>
      <c r="G70" s="3133" t="str">
        <f t="shared" si="15"/>
        <v/>
      </c>
      <c r="H70" s="3134"/>
      <c r="J70" s="3132" t="s">
        <v>10455</v>
      </c>
      <c r="K70" s="7008"/>
      <c r="L70" s="7009"/>
      <c r="M70" s="7010"/>
      <c r="N70" s="3133" t="str">
        <f t="shared" si="16"/>
        <v/>
      </c>
      <c r="O70" s="3134"/>
      <c r="Q70" s="7067" t="s">
        <v>11754</v>
      </c>
      <c r="R70" s="7068"/>
      <c r="S70" s="7068"/>
      <c r="T70" s="7068"/>
      <c r="U70" s="7068"/>
      <c r="V70" s="7069"/>
      <c r="X70" s="3101"/>
      <c r="Y70" s="3664"/>
      <c r="Z70" s="3665">
        <f t="shared" si="11"/>
        <v>0</v>
      </c>
      <c r="AA70" s="3665" t="str">
        <f t="shared" si="17"/>
        <v/>
      </c>
      <c r="AB70" s="3665">
        <f t="shared" si="12"/>
        <v>0</v>
      </c>
      <c r="AC70" s="3665">
        <f t="shared" si="18"/>
        <v>0</v>
      </c>
      <c r="AD70" s="3664" t="e">
        <f>VLOOKUP(D64,Constructos_Atributos,5,0)</f>
        <v>#N/A</v>
      </c>
      <c r="AE70" s="3664"/>
      <c r="AF70" s="3665">
        <f t="shared" si="13"/>
        <v>0</v>
      </c>
      <c r="AG70" s="3665" t="str">
        <f t="shared" si="19"/>
        <v/>
      </c>
      <c r="AH70" s="3665">
        <f t="shared" si="14"/>
        <v>0</v>
      </c>
      <c r="AI70" s="3665">
        <f t="shared" si="20"/>
        <v>0</v>
      </c>
      <c r="AJ70" s="3664" t="e">
        <f>VLOOKUP(K64,Constructos_Atributos,5,0)</f>
        <v>#N/A</v>
      </c>
      <c r="AK70" s="3674"/>
      <c r="AL70" s="3664"/>
      <c r="AM70" s="3664"/>
      <c r="AN70" s="3664"/>
      <c r="AP70" s="3664"/>
      <c r="AQ70" s="3664"/>
    </row>
    <row r="71" spans="1:43" ht="13.5" customHeight="1" thickBot="1">
      <c r="A71" s="2104"/>
      <c r="C71" s="3135" t="s">
        <v>10456</v>
      </c>
      <c r="D71" s="7014"/>
      <c r="E71" s="7015"/>
      <c r="F71" s="7016"/>
      <c r="G71" s="3136" t="str">
        <f t="shared" si="15"/>
        <v/>
      </c>
      <c r="H71" s="3137"/>
      <c r="I71" s="2737"/>
      <c r="J71" s="3135" t="s">
        <v>10456</v>
      </c>
      <c r="K71" s="7014"/>
      <c r="L71" s="7015"/>
      <c r="M71" s="7016"/>
      <c r="N71" s="3136" t="str">
        <f t="shared" si="16"/>
        <v/>
      </c>
      <c r="O71" s="3137"/>
      <c r="Q71" s="7070"/>
      <c r="R71" s="7071"/>
      <c r="S71" s="7071"/>
      <c r="T71" s="7071"/>
      <c r="U71" s="7071"/>
      <c r="V71" s="7072"/>
      <c r="X71" s="3101"/>
      <c r="Y71" s="3664"/>
      <c r="Z71" s="3665">
        <f t="shared" si="11"/>
        <v>0</v>
      </c>
      <c r="AA71" s="3665" t="str">
        <f t="shared" si="17"/>
        <v/>
      </c>
      <c r="AB71" s="3665">
        <f t="shared" si="12"/>
        <v>0</v>
      </c>
      <c r="AC71" s="3665">
        <f t="shared" si="18"/>
        <v>0</v>
      </c>
      <c r="AD71" s="3665" t="s">
        <v>10457</v>
      </c>
      <c r="AE71" s="3664"/>
      <c r="AF71" s="3665">
        <f t="shared" si="13"/>
        <v>0</v>
      </c>
      <c r="AG71" s="3665" t="str">
        <f t="shared" si="19"/>
        <v/>
      </c>
      <c r="AH71" s="3665">
        <f t="shared" si="14"/>
        <v>0</v>
      </c>
      <c r="AI71" s="3665">
        <f t="shared" si="20"/>
        <v>0</v>
      </c>
      <c r="AJ71" s="3665" t="s">
        <v>10457</v>
      </c>
      <c r="AK71" s="3674"/>
      <c r="AL71" s="3664"/>
      <c r="AM71" s="3664"/>
      <c r="AN71" s="3664"/>
      <c r="AP71" s="3664"/>
      <c r="AQ71" s="3664"/>
    </row>
    <row r="72" spans="1:43" ht="12.75" customHeight="1">
      <c r="A72" s="2104"/>
      <c r="C72" s="7023" t="s">
        <v>6923</v>
      </c>
      <c r="D72" s="3138"/>
      <c r="E72" s="7025"/>
      <c r="F72" s="7026"/>
      <c r="G72" s="7027" t="s">
        <v>6186</v>
      </c>
      <c r="H72" s="7028"/>
      <c r="I72" s="2737"/>
      <c r="J72" s="7023" t="s">
        <v>6923</v>
      </c>
      <c r="K72" s="3138"/>
      <c r="L72" s="7025"/>
      <c r="M72" s="7026"/>
      <c r="N72" s="7027" t="s">
        <v>6186</v>
      </c>
      <c r="O72" s="7028"/>
      <c r="Q72" s="7077"/>
      <c r="R72" s="7078"/>
      <c r="S72" s="3679" t="s">
        <v>1225</v>
      </c>
      <c r="T72" s="3679" t="s">
        <v>1227</v>
      </c>
      <c r="U72" s="3679" t="s">
        <v>1336</v>
      </c>
      <c r="V72" s="3680" t="s">
        <v>6855</v>
      </c>
      <c r="X72" s="3101"/>
      <c r="Y72" s="3664"/>
      <c r="Z72" s="3665">
        <f>IF(D72="",0,VLOOKUP(D72,Constructos_AtaqueEspecial,4,0))</f>
        <v>0</v>
      </c>
      <c r="AA72" s="3665">
        <f>IF(E72="",0,VLOOKUP(E72,Constructos_AtaqueEspecial,4,0))</f>
        <v>0</v>
      </c>
      <c r="AB72" s="3675">
        <f>IFERROR(IF(VLOOKUP(D72,Constructos_AtaqueEspecial,3,0)&gt;VLOOKUP($D$63,constructos_modulos,4,0),1,0),0)</f>
        <v>0</v>
      </c>
      <c r="AC72" s="3675">
        <f>IFERROR(IF(VLOOKUP(E72,Constructos_AtaqueEspecial,3,0)&gt;VLOOKUP($D$63,constructos_modulos,4,0),1,0),0)</f>
        <v>0</v>
      </c>
      <c r="AD72" s="3665" t="e">
        <f>IF(VLOOKUP(D64,Constructos_Atributos,4,0)="Habilidades",1,0)</f>
        <v>#N/A</v>
      </c>
      <c r="AE72" s="3664"/>
      <c r="AF72" s="3665">
        <f>IF(K72="",0,VLOOKUP(K72,Constructos_AtaqueEspecial,4,0))</f>
        <v>0</v>
      </c>
      <c r="AG72" s="3665">
        <f>IF(L72="",0,VLOOKUP(L72,Constructos_AtaqueEspecial,4,0))</f>
        <v>0</v>
      </c>
      <c r="AH72" s="3675">
        <f>IFERROR(IF(VLOOKUP(K72,Constructos_AtaqueEspecial,3,0)&gt;VLOOKUP($K$63,constructos_modulos,4,0),1,0),0)</f>
        <v>0</v>
      </c>
      <c r="AI72" s="3675">
        <f>IFERROR(IF(VLOOKUP(L72,Constructos_AtaqueEspecial,3,0)&gt;VLOOKUP($K$63,constructos_modulos,4,0),1,0),0)</f>
        <v>0</v>
      </c>
      <c r="AJ72" s="3665" t="e">
        <f>IF(VLOOKUP(K64,Constructos_Atributos,4,0)="Habilidades",1,0)</f>
        <v>#N/A</v>
      </c>
      <c r="AK72" s="3674"/>
      <c r="AL72" s="3664"/>
      <c r="AM72" s="3664"/>
      <c r="AN72" s="3664"/>
      <c r="AP72" s="3664"/>
      <c r="AQ72" s="3664"/>
    </row>
    <row r="73" spans="1:43" ht="13.5" customHeight="1">
      <c r="A73" s="2104"/>
      <c r="C73" s="7024"/>
      <c r="D73" s="3139"/>
      <c r="E73" s="7029"/>
      <c r="F73" s="7030"/>
      <c r="G73" s="7031"/>
      <c r="H73" s="7032"/>
      <c r="I73" s="2737"/>
      <c r="J73" s="7024"/>
      <c r="K73" s="3139"/>
      <c r="L73" s="7029"/>
      <c r="M73" s="7030"/>
      <c r="N73" s="7031"/>
      <c r="O73" s="7032"/>
      <c r="Q73" s="7073" t="s">
        <v>1952</v>
      </c>
      <c r="R73" s="7074"/>
      <c r="S73" s="2610">
        <f>(VLOOKUP(C11,Tabla_Constructos,3,0))</f>
        <v>25</v>
      </c>
      <c r="T73" s="2610">
        <f>AJ134*5</f>
        <v>0</v>
      </c>
      <c r="U73" s="3703"/>
      <c r="V73" s="3681">
        <f>S73+T73+U73</f>
        <v>25</v>
      </c>
      <c r="X73" s="3101"/>
      <c r="Y73" s="3664"/>
      <c r="Z73" s="3665">
        <f>IF(D73="",0,VLOOKUP(D73,Constructos_AtaqueEspecial,4,0))</f>
        <v>0</v>
      </c>
      <c r="AA73" s="3665">
        <f>IF(E73="",0,VLOOKUP(E73,Constructos_AtaqueEspecial,4,0))</f>
        <v>0</v>
      </c>
      <c r="AB73" s="3675">
        <f>IFERROR(IF(VLOOKUP(D73,Constructos_AtaqueEspecial,3,0)&gt;VLOOKUP($D$63,constructos_modulos,4,0),1,0),0)</f>
        <v>0</v>
      </c>
      <c r="AC73" s="3675"/>
      <c r="AD73" s="3664"/>
      <c r="AE73" s="3664"/>
      <c r="AF73" s="3665">
        <f>IF(K73="",0,VLOOKUP(K73,Constructos_AtaqueEspecial,4,0))</f>
        <v>0</v>
      </c>
      <c r="AG73" s="3665">
        <f>IF(L73="",0,VLOOKUP(L73,Constructos_AtaqueEspecial,4,0))</f>
        <v>0</v>
      </c>
      <c r="AH73" s="3675">
        <f>IFERROR(IF(VLOOKUP(K73,Constructos_AtaqueEspecial,3,0)&gt;VLOOKUP($K$63,constructos_modulos,4,0),1,0),0)</f>
        <v>0</v>
      </c>
      <c r="AI73" s="3675"/>
      <c r="AJ73" s="3664"/>
      <c r="AK73" s="3674"/>
      <c r="AL73" s="3664"/>
      <c r="AM73" s="3664"/>
      <c r="AN73" s="3664"/>
      <c r="AP73" s="3664"/>
      <c r="AQ73" s="3664"/>
    </row>
    <row r="74" spans="1:43" ht="12.75" customHeight="1">
      <c r="A74" s="2104"/>
      <c r="C74" s="7023" t="s">
        <v>10397</v>
      </c>
      <c r="D74" s="3138"/>
      <c r="E74" s="7025"/>
      <c r="F74" s="7025"/>
      <c r="G74" s="7027" t="s">
        <v>6186</v>
      </c>
      <c r="H74" s="7028"/>
      <c r="I74" s="2737"/>
      <c r="J74" s="7023" t="s">
        <v>10397</v>
      </c>
      <c r="K74" s="3138"/>
      <c r="L74" s="7025"/>
      <c r="M74" s="7025"/>
      <c r="N74" s="7027" t="s">
        <v>6186</v>
      </c>
      <c r="O74" s="7028"/>
      <c r="Q74" s="7073" t="s">
        <v>1318</v>
      </c>
      <c r="R74" s="7074"/>
      <c r="S74" s="2610">
        <f>V73</f>
        <v>25</v>
      </c>
      <c r="T74" s="2610">
        <f>'Tablas constructos'!I49*5+'Tablas constructos'!I51*5+'Tablas constructos'!I52*5+'Tablas constructos'!I53*5</f>
        <v>0</v>
      </c>
      <c r="U74" s="3704"/>
      <c r="V74" s="3681">
        <f>S74+T74+U74</f>
        <v>25</v>
      </c>
      <c r="X74" s="3101"/>
      <c r="Y74" s="3664"/>
      <c r="Z74" s="3665">
        <f>IF(G73="",0,VLOOKUP(G73,Constructos_AtaqueEspecial,4,0))</f>
        <v>0</v>
      </c>
      <c r="AA74" s="3664"/>
      <c r="AB74" s="3675"/>
      <c r="AC74" s="3675"/>
      <c r="AD74" s="3664"/>
      <c r="AE74" s="3664"/>
      <c r="AF74" s="3665">
        <f>IF(N73="",0,VLOOKUP(N73,Constructos_AtaqueEspecial,4,0))</f>
        <v>0</v>
      </c>
      <c r="AG74" s="3664"/>
      <c r="AH74" s="3675"/>
      <c r="AI74" s="3675"/>
      <c r="AJ74" s="3664"/>
      <c r="AK74" s="3674"/>
      <c r="AL74" s="3664"/>
      <c r="AM74" s="3664"/>
      <c r="AN74" s="3664"/>
      <c r="AP74" s="3664"/>
      <c r="AQ74" s="3664"/>
    </row>
    <row r="75" spans="1:43">
      <c r="A75" s="2104"/>
      <c r="C75" s="7024"/>
      <c r="D75" s="7033"/>
      <c r="E75" s="7034"/>
      <c r="F75" s="7035"/>
      <c r="G75" s="7031"/>
      <c r="H75" s="7032"/>
      <c r="I75" s="2737"/>
      <c r="J75" s="7024"/>
      <c r="K75" s="7033"/>
      <c r="L75" s="7034"/>
      <c r="M75" s="7035"/>
      <c r="N75" s="7031"/>
      <c r="O75" s="7032"/>
      <c r="Q75" s="7073" t="s">
        <v>1324</v>
      </c>
      <c r="R75" s="7074"/>
      <c r="S75" s="2610">
        <f>V73</f>
        <v>25</v>
      </c>
      <c r="T75" s="2610">
        <f>'Tablas constructos'!I50*5</f>
        <v>0</v>
      </c>
      <c r="U75" s="3704"/>
      <c r="V75" s="3681">
        <f>S75+T75+U75</f>
        <v>25</v>
      </c>
      <c r="X75" s="3101"/>
      <c r="Y75" s="3664"/>
      <c r="Z75" s="3665">
        <f>IF(D74="",0,VLOOKUP(D74,Constructos_EfectoEspecial,4,0))</f>
        <v>0</v>
      </c>
      <c r="AA75" s="3665">
        <f>IF(E74="",0,VLOOKUP(E74,Constructos_EfectoEspecial,4,0))</f>
        <v>0</v>
      </c>
      <c r="AB75" s="3675">
        <f>IFERROR(IF(VLOOKUP(D74,Constructos_EfectoEspecial,3,0)&gt;VLOOKUP($D$63,constructos_modulos,4,0),1,0),0)</f>
        <v>0</v>
      </c>
      <c r="AC75" s="3675">
        <f>IFERROR(IF(VLOOKUP(E74,Constructos_EfectoEspecial,3,0)&gt;VLOOKUP($D$63,constructos_modulos,4,0),1,0),0)</f>
        <v>0</v>
      </c>
      <c r="AD75" s="3664"/>
      <c r="AE75" s="3664"/>
      <c r="AF75" s="3665">
        <f>IF(K74="",0,VLOOKUP(K74,Constructos_EfectoEspecial,4,0))</f>
        <v>0</v>
      </c>
      <c r="AG75" s="3665">
        <f>IF(L74="",0,VLOOKUP(L74,Constructos_EfectoEspecial,4,0))</f>
        <v>0</v>
      </c>
      <c r="AH75" s="3675">
        <f>IFERROR(IF(VLOOKUP(K74,Constructos_EfectoEspecial,3,0)&gt;VLOOKUP($K$63,constructos_modulos,4,0),1,0),0)</f>
        <v>0</v>
      </c>
      <c r="AI75" s="3675">
        <f>IFERROR(IF(VLOOKUP(L74,Constructos_EfectoEspecial,3,0)&gt;VLOOKUP($K$63,constructos_modulos,4,0),1,0),0)</f>
        <v>0</v>
      </c>
      <c r="AJ75" s="3664" t="s">
        <v>2603</v>
      </c>
      <c r="AK75" s="3674"/>
      <c r="AL75" s="3664"/>
      <c r="AM75" s="3664"/>
      <c r="AN75" s="3664"/>
      <c r="AP75" s="3664"/>
      <c r="AQ75" s="3664"/>
    </row>
    <row r="76" spans="1:43" ht="12.75" customHeight="1">
      <c r="A76" s="2104"/>
      <c r="C76" s="7017" t="str">
        <f>IF(OR(AB72=1,AB73=1,AC72=1),"Material ataque especial insuficiente",IF(OR(AB75=1,AC75=1,AB76=1),"Material efecto especial insuficiente",IF(H76&lt;0,"Exceso de atributos","Puntos de Atributo restantes")))</f>
        <v>Puntos de Atributo restantes</v>
      </c>
      <c r="D76" s="7018"/>
      <c r="E76" s="7018"/>
      <c r="F76" s="7018"/>
      <c r="G76" s="7018"/>
      <c r="H76" s="7021" t="str">
        <f>IF(D63=0,"",AD66+IF(AND(OR(C11="Acero negro",C11="Acero blanco"),D63="Elektra"),1,0))</f>
        <v/>
      </c>
      <c r="I76" s="2737"/>
      <c r="J76" s="7017" t="str">
        <f>IF(OR(AH72=1,AH73=1,AI72=1),"Material ataque especial insuficiente",IF(OR(AH75=1,AI75=1,AH76=1),"Material efecto especial insuficiente",IF(O76&lt;0,"Exceso de atributos","Puntos de Atributo restantes")))</f>
        <v>Puntos de Atributo restantes</v>
      </c>
      <c r="K76" s="7018"/>
      <c r="L76" s="7018"/>
      <c r="M76" s="7018"/>
      <c r="N76" s="7018"/>
      <c r="O76" s="7021" t="str">
        <f>IF(K63=0,"",AJ66+IF(AND(OR(C11="Acero negro",C11="Acero blanco"),K63="Elektra"),1,0))</f>
        <v/>
      </c>
      <c r="Q76" s="7073" t="s">
        <v>1326</v>
      </c>
      <c r="R76" s="7074"/>
      <c r="S76" s="2610">
        <f>V73</f>
        <v>25</v>
      </c>
      <c r="T76" s="2610">
        <f>'Tablas constructos'!I50*5</f>
        <v>0</v>
      </c>
      <c r="U76" s="3705"/>
      <c r="V76" s="3681">
        <f>S76+T76+U76</f>
        <v>25</v>
      </c>
      <c r="X76" s="3101"/>
      <c r="Y76" s="3664"/>
      <c r="Z76" s="3665">
        <f>IF(D75="",0,VLOOKUP(D75,Constructos_EfectoEspecial,4,0))</f>
        <v>0</v>
      </c>
      <c r="AA76" s="3664"/>
      <c r="AB76" s="3675">
        <f>IFERROR(IF(VLOOKUP(D75,Constructos_EfectoEspecial,3,0)&gt;VLOOKUP($D$63,constructos_modulos,4,0),1,0),0)</f>
        <v>0</v>
      </c>
      <c r="AC76" s="3675"/>
      <c r="AD76" s="3664"/>
      <c r="AE76" s="3664"/>
      <c r="AF76" s="3665">
        <f>IF(K75="",0,VLOOKUP(K75,Constructos_EfectoEspecial,4,0))</f>
        <v>0</v>
      </c>
      <c r="AG76" s="3664"/>
      <c r="AH76" s="3675">
        <f>IFERROR(IF(VLOOKUP(K75,Constructos_EfectoEspecial,3,0)&gt;VLOOKUP($K$63,constructos_modulos,4,0),1,0),0)</f>
        <v>0</v>
      </c>
      <c r="AI76" s="3675"/>
      <c r="AJ76" s="3664"/>
      <c r="AK76" s="3674"/>
      <c r="AL76" s="3664"/>
      <c r="AM76" s="3664"/>
      <c r="AN76" s="3664"/>
      <c r="AP76" s="3664"/>
      <c r="AQ76" s="3664"/>
    </row>
    <row r="77" spans="1:43" ht="12.75" customHeight="1" thickBot="1">
      <c r="A77" s="2104"/>
      <c r="C77" s="7019"/>
      <c r="D77" s="7020"/>
      <c r="E77" s="7020"/>
      <c r="F77" s="7020"/>
      <c r="G77" s="7020"/>
      <c r="H77" s="7022"/>
      <c r="I77" s="2737"/>
      <c r="J77" s="7019"/>
      <c r="K77" s="7020"/>
      <c r="L77" s="7020"/>
      <c r="M77" s="7020"/>
      <c r="N77" s="7020"/>
      <c r="O77" s="7022"/>
      <c r="Q77" s="7075"/>
      <c r="R77" s="7076"/>
      <c r="S77" s="3682"/>
      <c r="T77" s="3682"/>
      <c r="U77" s="3682"/>
      <c r="V77" s="3683"/>
      <c r="X77" s="3101"/>
      <c r="Y77" s="3664"/>
      <c r="Z77" s="3665">
        <f>IF(G75="",0,VLOOKUP(G75,Constructos_EfectoEspecial,4,0))</f>
        <v>0</v>
      </c>
      <c r="AA77" s="3664"/>
      <c r="AB77" s="3664"/>
      <c r="AC77" s="3664"/>
      <c r="AD77" s="3664"/>
      <c r="AE77" s="3664"/>
      <c r="AF77" s="3665">
        <f>IF(N75="",0,VLOOKUP(N75,Constructos_EfectoEspecial,4,0))</f>
        <v>0</v>
      </c>
      <c r="AG77" s="3664"/>
      <c r="AH77" s="3664"/>
      <c r="AI77" s="3664"/>
      <c r="AJ77" s="3664"/>
      <c r="AK77" s="3674"/>
      <c r="AL77" s="3664"/>
      <c r="AM77" s="3664"/>
      <c r="AN77" s="3664"/>
      <c r="AP77" s="3664"/>
      <c r="AQ77" s="3664"/>
    </row>
    <row r="78" spans="1:43" ht="13.5" customHeight="1" thickBot="1">
      <c r="A78" s="2104"/>
      <c r="I78" s="2737"/>
      <c r="J78" s="2737"/>
      <c r="X78" s="3101"/>
      <c r="Y78" s="3664"/>
      <c r="Z78" s="3665"/>
      <c r="AA78" s="3664"/>
      <c r="AB78" s="3664"/>
      <c r="AC78" s="3664"/>
      <c r="AD78" s="3664"/>
      <c r="AE78" s="3664"/>
      <c r="AF78" s="3664"/>
      <c r="AG78" s="3664"/>
      <c r="AH78" s="3664"/>
      <c r="AI78" s="3664"/>
      <c r="AJ78" s="3664"/>
      <c r="AK78" s="3674"/>
      <c r="AL78" s="3664"/>
      <c r="AM78" s="3664"/>
      <c r="AN78" s="3664"/>
      <c r="AP78" s="3664"/>
      <c r="AQ78" s="3664"/>
    </row>
    <row r="79" spans="1:43" ht="12.75" customHeight="1">
      <c r="A79" s="2104"/>
      <c r="C79" s="6912" t="s">
        <v>10462</v>
      </c>
      <c r="D79" s="6913"/>
      <c r="E79" s="6913"/>
      <c r="F79" s="6979"/>
      <c r="G79" s="6983" t="s">
        <v>10439</v>
      </c>
      <c r="H79" s="6984"/>
      <c r="J79" s="6912" t="s">
        <v>10463</v>
      </c>
      <c r="K79" s="6913"/>
      <c r="L79" s="6913"/>
      <c r="M79" s="6979"/>
      <c r="N79" s="6983" t="s">
        <v>10439</v>
      </c>
      <c r="O79" s="6984"/>
      <c r="Q79" s="7086" t="s">
        <v>10442</v>
      </c>
      <c r="R79" s="7087"/>
      <c r="S79" s="7087"/>
      <c r="T79" s="7087" t="s">
        <v>10461</v>
      </c>
      <c r="U79" s="7087"/>
      <c r="V79" s="7088"/>
      <c r="X79" s="3101"/>
      <c r="Y79" s="3664"/>
      <c r="Z79" s="3665"/>
      <c r="AA79" s="3664"/>
      <c r="AB79" s="3664"/>
      <c r="AC79" s="3664"/>
      <c r="AD79" s="3664"/>
      <c r="AE79" s="3664"/>
      <c r="AF79" s="3664"/>
      <c r="AG79" s="3664"/>
      <c r="AH79" s="3664"/>
      <c r="AI79" s="3664"/>
      <c r="AJ79" s="3664"/>
      <c r="AK79" s="3674"/>
      <c r="AL79" s="3664"/>
      <c r="AM79" s="3664"/>
      <c r="AN79" s="3664"/>
      <c r="AP79" s="3664"/>
      <c r="AQ79" s="3664"/>
    </row>
    <row r="80" spans="1:43" ht="13.5" thickBot="1">
      <c r="A80" s="2104"/>
      <c r="C80" s="6980"/>
      <c r="D80" s="6981"/>
      <c r="E80" s="6981"/>
      <c r="F80" s="6982"/>
      <c r="G80" s="6985"/>
      <c r="H80" s="6986"/>
      <c r="J80" s="6980"/>
      <c r="K80" s="6981"/>
      <c r="L80" s="6981"/>
      <c r="M80" s="6982"/>
      <c r="N80" s="6985"/>
      <c r="O80" s="6986"/>
      <c r="Q80" s="7089" t="s">
        <v>11086</v>
      </c>
      <c r="R80" s="7090"/>
      <c r="S80" s="7090"/>
      <c r="T80" s="7091">
        <v>60</v>
      </c>
      <c r="U80" s="7091"/>
      <c r="V80" s="7092"/>
      <c r="X80" s="3101"/>
      <c r="Y80" s="3664"/>
      <c r="Z80" s="3675" t="s">
        <v>10464</v>
      </c>
      <c r="AA80" s="3664"/>
      <c r="AB80" s="3664">
        <f>IF(AND(G79&lt;&gt;"",G79&lt;&gt;"Nombre del módulo"),1,0)</f>
        <v>0</v>
      </c>
      <c r="AC80" s="3664"/>
      <c r="AD80" s="3664"/>
      <c r="AE80" s="3664"/>
      <c r="AF80" s="3664"/>
      <c r="AG80" s="3664"/>
      <c r="AH80" s="3664">
        <f>IF(AND(N79&lt;&gt;"",N79&lt;&gt;"Nombre del módulo"),1,0)</f>
        <v>0</v>
      </c>
      <c r="AI80" s="3664"/>
      <c r="AJ80" s="3664"/>
      <c r="AK80" s="3674"/>
      <c r="AL80" s="3664"/>
      <c r="AM80" s="3664"/>
      <c r="AN80" s="3664"/>
      <c r="AP80" s="3664"/>
      <c r="AQ80" s="3664"/>
    </row>
    <row r="81" spans="1:43">
      <c r="A81" s="2104"/>
      <c r="C81" s="3125" t="s">
        <v>10442</v>
      </c>
      <c r="D81" s="6999"/>
      <c r="E81" s="7000"/>
      <c r="F81" s="7001"/>
      <c r="G81" s="6997" t="s">
        <v>10443</v>
      </c>
      <c r="H81" s="6998"/>
      <c r="J81" s="3125" t="s">
        <v>10442</v>
      </c>
      <c r="K81" s="6999"/>
      <c r="L81" s="7000"/>
      <c r="M81" s="7001"/>
      <c r="N81" s="6997" t="s">
        <v>10443</v>
      </c>
      <c r="O81" s="6998"/>
      <c r="Q81" s="7054" t="s">
        <v>11087</v>
      </c>
      <c r="R81" s="7047"/>
      <c r="S81" s="7047"/>
      <c r="T81" s="7048">
        <v>60</v>
      </c>
      <c r="U81" s="7048"/>
      <c r="V81" s="7049"/>
      <c r="X81" s="3101"/>
      <c r="Y81" s="3664"/>
      <c r="Z81" s="3665" t="s">
        <v>10444</v>
      </c>
      <c r="AA81" s="3664" t="s">
        <v>10445</v>
      </c>
      <c r="AB81" s="3664" t="s">
        <v>9763</v>
      </c>
      <c r="AC81" s="3665" t="s">
        <v>10446</v>
      </c>
      <c r="AD81" s="3665" t="s">
        <v>3016</v>
      </c>
      <c r="AE81" s="3664"/>
      <c r="AF81" s="3665" t="s">
        <v>10444</v>
      </c>
      <c r="AG81" s="3664" t="s">
        <v>10445</v>
      </c>
      <c r="AH81" s="3664" t="s">
        <v>9763</v>
      </c>
      <c r="AI81" s="3665" t="s">
        <v>10446</v>
      </c>
      <c r="AJ81" s="3665" t="s">
        <v>3016</v>
      </c>
      <c r="AK81" s="3674"/>
      <c r="AL81" s="3664"/>
      <c r="AM81" s="3664"/>
      <c r="AN81" s="3664"/>
      <c r="AP81" s="3664"/>
      <c r="AQ81" s="3664"/>
    </row>
    <row r="82" spans="1:43">
      <c r="A82" s="2104"/>
      <c r="C82" s="3126" t="s">
        <v>10447</v>
      </c>
      <c r="D82" s="7002"/>
      <c r="E82" s="7003"/>
      <c r="F82" s="7004"/>
      <c r="G82" s="3127" t="str">
        <f>IF(D82=0,"",IF($D$82="Desarrollo de secundarias","",IF(VLOOKUP(D82,Constructos_Atributos,3,0)=1,CONCATENATE(VLOOKUP(D82,Constructos_Atributos,3,0)," vez"),CONCATENATE(VLOOKUP(D82,Constructos_Atributos,3,0)," veces"))))</f>
        <v/>
      </c>
      <c r="H82" s="3128"/>
      <c r="J82" s="3126" t="s">
        <v>10447</v>
      </c>
      <c r="K82" s="7002"/>
      <c r="L82" s="7003"/>
      <c r="M82" s="7004"/>
      <c r="N82" s="3127" t="str">
        <f>IF(K82=0,"",IF($K$82="Desarrollo de secundarias","",IF(VLOOKUP(K82,Constructos_Atributos,3,0)=1,CONCATENATE(VLOOKUP(K82,Constructos_Atributos,3,0)," vez"),CONCATENATE(VLOOKUP(K82,Constructos_Atributos,3,0)," veces"))))</f>
        <v/>
      </c>
      <c r="O82" s="3128"/>
      <c r="Q82" s="7054" t="s">
        <v>10352</v>
      </c>
      <c r="R82" s="7047"/>
      <c r="S82" s="7047"/>
      <c r="T82" s="7048">
        <v>80</v>
      </c>
      <c r="U82" s="7048"/>
      <c r="V82" s="7049"/>
      <c r="X82" s="3101"/>
      <c r="Y82" s="3664"/>
      <c r="Z82" s="3665">
        <f t="shared" ref="Z82:Z89" si="21">IF(D82="",0,IF($D$82="Desarrollo de secundarias",1,VLOOKUP(D82,Constructos_Atributos,2,0)))</f>
        <v>0</v>
      </c>
      <c r="AA82" s="3665" t="str">
        <f>IFERROR(IF(D82=0,"",IF($D$82="Desarrollo de secundarias",0,IF(H82=0,"",MIN(VLOOKUP(D82,Constructos_Atributos,3,0),H82))-AB82)),0)</f>
        <v/>
      </c>
      <c r="AB82" s="3665">
        <f t="shared" ref="AB82:AB89" si="22">COUNTIF($D$82:$F$89,VLOOKUP(D82,Constructos_Atributos,5,0))</f>
        <v>0</v>
      </c>
      <c r="AC82" s="3665">
        <f>IF(D82="",0,AA82*Z82)</f>
        <v>0</v>
      </c>
      <c r="AD82" s="3665" t="e">
        <f>IF(VLOOKUP(D82,Constructos_Atributos,4,0)="cualquiera",1,0)</f>
        <v>#N/A</v>
      </c>
      <c r="AE82" s="3664"/>
      <c r="AF82" s="3665">
        <f t="shared" ref="AF82:AF89" si="23">IF(K82="",0,IF($K$82="Desarrollo de secundarias",1,VLOOKUP(K82,Constructos_Atributos,2,0)))</f>
        <v>0</v>
      </c>
      <c r="AG82" s="3665" t="str">
        <f>IFERROR(IF(K82=0,"",IF($K$82="Desarrollo de secundarias",0,IF(O82=0,"",MIN(VLOOKUP(K82,Constructos_Atributos,3,0),O82))-AH82)),0)</f>
        <v/>
      </c>
      <c r="AH82" s="3665">
        <f t="shared" ref="AH82:AH89" si="24">COUNTIF($K$82:$M$89,VLOOKUP(K82,Constructos_Atributos,5,0))</f>
        <v>0</v>
      </c>
      <c r="AI82" s="3665">
        <f>IF(K82="",0,AG82*AF82)</f>
        <v>0</v>
      </c>
      <c r="AJ82" s="3665" t="e">
        <f>IF(VLOOKUP(K82,Constructos_Atributos,4,0)="cualquiera",1,0)</f>
        <v>#N/A</v>
      </c>
      <c r="AK82" s="3674"/>
      <c r="AL82" s="3664"/>
      <c r="AM82" s="3664"/>
      <c r="AN82" s="3664"/>
      <c r="AP82" s="3664"/>
      <c r="AQ82" s="3664"/>
    </row>
    <row r="83" spans="1:43">
      <c r="A83" s="2104"/>
      <c r="C83" s="3129" t="s">
        <v>10448</v>
      </c>
      <c r="D83" s="7005"/>
      <c r="E83" s="7006"/>
      <c r="F83" s="7007"/>
      <c r="G83" s="3130" t="str">
        <f t="shared" ref="G83:G89" si="25">IF(D83=0,"",IF($D$82="Desarrollo de secundarias","10 veces",IF(VLOOKUP(D83,Constructos_Atributos,3,0)=1,CONCATENATE(VLOOKUP(D83,Constructos_Atributos,3,0)," vez"),CONCATENATE(VLOOKUP(D83,Constructos_Atributos,3,0)," veces"))))</f>
        <v/>
      </c>
      <c r="H83" s="3131"/>
      <c r="J83" s="3129" t="s">
        <v>10448</v>
      </c>
      <c r="K83" s="7005"/>
      <c r="L83" s="7006"/>
      <c r="M83" s="7007"/>
      <c r="N83" s="3130" t="str">
        <f t="shared" ref="N83:N89" si="26">IF(K83=0,"",IF($K$82="Desarrollo de secundarias","10 veces",IF(VLOOKUP(K83,Constructos_Atributos,3,0)=1,CONCATENATE(VLOOKUP(K83,Constructos_Atributos,3,0)," vez"),CONCATENATE(VLOOKUP(K83,Constructos_Atributos,3,0)," veces"))))</f>
        <v/>
      </c>
      <c r="O83" s="3131"/>
      <c r="Q83" s="7054" t="s">
        <v>11088</v>
      </c>
      <c r="R83" s="7047"/>
      <c r="S83" s="7047"/>
      <c r="T83" s="7048">
        <v>100</v>
      </c>
      <c r="U83" s="7048"/>
      <c r="V83" s="7049"/>
      <c r="X83" s="3101"/>
      <c r="Y83" s="3664"/>
      <c r="Z83" s="3665">
        <f t="shared" si="21"/>
        <v>0</v>
      </c>
      <c r="AA83" s="3665" t="str">
        <f t="shared" ref="AA83:AA89" si="27">IFERROR(IF(D83=0,"",IF($D$82="Desarrollo de secundarias",H83,IF(H83=0,"",MIN(VLOOKUP(D83,Constructos_Atributos,3,0),H83))-AB83)),0)</f>
        <v/>
      </c>
      <c r="AB83" s="3665">
        <f t="shared" si="22"/>
        <v>0</v>
      </c>
      <c r="AC83" s="3665">
        <f t="shared" ref="AC83:AC89" si="28">IF(D83="",0,AA83*Z83)</f>
        <v>0</v>
      </c>
      <c r="AD83" s="3665" t="s">
        <v>10449</v>
      </c>
      <c r="AE83" s="3664"/>
      <c r="AF83" s="3665">
        <f t="shared" si="23"/>
        <v>0</v>
      </c>
      <c r="AG83" s="3665" t="str">
        <f t="shared" ref="AG83:AG89" si="29">IFERROR(IF(K83=0,"",IF($K$82="Desarrollo de secundarias",O83,IF(O83=0,"",MIN(VLOOKUP(K83,Constructos_Atributos,3,0),O83))-AH83)),0)</f>
        <v/>
      </c>
      <c r="AH83" s="3665">
        <f t="shared" si="24"/>
        <v>0</v>
      </c>
      <c r="AI83" s="3665">
        <f t="shared" ref="AI83:AI89" si="30">IF(K83="",0,AG83*AF83)</f>
        <v>0</v>
      </c>
      <c r="AJ83" s="3665" t="s">
        <v>10449</v>
      </c>
      <c r="AK83" s="3674"/>
      <c r="AL83" s="3664"/>
      <c r="AM83" s="3664"/>
      <c r="AN83" s="3664"/>
      <c r="AP83" s="3664"/>
      <c r="AQ83" s="3664"/>
    </row>
    <row r="84" spans="1:43" ht="12.75" customHeight="1">
      <c r="A84" s="2104"/>
      <c r="C84" s="3132" t="s">
        <v>10450</v>
      </c>
      <c r="D84" s="7008"/>
      <c r="E84" s="7009"/>
      <c r="F84" s="7010"/>
      <c r="G84" s="3133" t="str">
        <f t="shared" si="25"/>
        <v/>
      </c>
      <c r="H84" s="3134"/>
      <c r="J84" s="3132" t="s">
        <v>10450</v>
      </c>
      <c r="K84" s="7008"/>
      <c r="L84" s="7009"/>
      <c r="M84" s="7010"/>
      <c r="N84" s="3133" t="str">
        <f t="shared" si="26"/>
        <v/>
      </c>
      <c r="O84" s="3134"/>
      <c r="Q84" s="7054" t="s">
        <v>11089</v>
      </c>
      <c r="R84" s="7047"/>
      <c r="S84" s="7047"/>
      <c r="T84" s="7048">
        <v>120</v>
      </c>
      <c r="U84" s="7048"/>
      <c r="V84" s="7049"/>
      <c r="X84" s="3101"/>
      <c r="Y84" s="3664"/>
      <c r="Z84" s="3665">
        <f t="shared" si="21"/>
        <v>0</v>
      </c>
      <c r="AA84" s="3665" t="str">
        <f t="shared" si="27"/>
        <v/>
      </c>
      <c r="AB84" s="3665">
        <f t="shared" si="22"/>
        <v>0</v>
      </c>
      <c r="AC84" s="3665">
        <f t="shared" si="28"/>
        <v>0</v>
      </c>
      <c r="AD84" s="3665" t="e">
        <f>MIN(AD86,VLOOKUP($D81,Constructos_Módulos,2,0)-SUM(AC82:AC89,Z90:Z95,AA90:AA95))+IF(AND(D81="Obsidiana",OR(D82="Resistente",D82="Resistencia al frío",D82="Resistencia al fuego",D82="Resistencia a la electricidad"),H82&gt;0),1,0)</f>
        <v>#N/A</v>
      </c>
      <c r="AE84" s="3664"/>
      <c r="AF84" s="3665">
        <f t="shared" si="23"/>
        <v>0</v>
      </c>
      <c r="AG84" s="3665" t="str">
        <f t="shared" si="29"/>
        <v/>
      </c>
      <c r="AH84" s="3665">
        <f t="shared" si="24"/>
        <v>0</v>
      </c>
      <c r="AI84" s="3665">
        <f t="shared" si="30"/>
        <v>0</v>
      </c>
      <c r="AJ84" s="3665" t="e">
        <f>MIN(AJ86,VLOOKUP($K81,Constructos_Módulos,2,0)-SUM(AI82:AI89,AF90:AF95,AG90:AG95))+IF(AND(K82="Obsidiana",OR(K82="Resistente",K82="Resistencia al frío",K82="Resistencia al fuego",K82="Resistencia a la electricidad"),O82&gt;0),1,0)</f>
        <v>#N/A</v>
      </c>
      <c r="AK84" s="3674"/>
      <c r="AL84" s="3664"/>
      <c r="AM84" s="3664"/>
      <c r="AN84" s="3664"/>
      <c r="AP84" s="3664"/>
      <c r="AQ84" s="3664"/>
    </row>
    <row r="85" spans="1:43" ht="13.5" customHeight="1">
      <c r="A85" s="2104"/>
      <c r="C85" s="3129" t="s">
        <v>10451</v>
      </c>
      <c r="D85" s="7011"/>
      <c r="E85" s="7012"/>
      <c r="F85" s="7013"/>
      <c r="G85" s="3130" t="str">
        <f t="shared" si="25"/>
        <v/>
      </c>
      <c r="H85" s="3131"/>
      <c r="J85" s="3129" t="s">
        <v>10451</v>
      </c>
      <c r="K85" s="7011"/>
      <c r="L85" s="7012"/>
      <c r="M85" s="7013"/>
      <c r="N85" s="3130" t="str">
        <f t="shared" si="26"/>
        <v/>
      </c>
      <c r="O85" s="3131"/>
      <c r="Q85" s="7054" t="s">
        <v>11090</v>
      </c>
      <c r="R85" s="7047"/>
      <c r="S85" s="7047"/>
      <c r="T85" s="7048">
        <v>160</v>
      </c>
      <c r="U85" s="7048"/>
      <c r="V85" s="7049"/>
      <c r="X85" s="3101"/>
      <c r="Y85" s="3664"/>
      <c r="Z85" s="3665">
        <f t="shared" si="21"/>
        <v>0</v>
      </c>
      <c r="AA85" s="3665" t="str">
        <f t="shared" si="27"/>
        <v/>
      </c>
      <c r="AB85" s="3665">
        <f t="shared" si="22"/>
        <v>0</v>
      </c>
      <c r="AC85" s="3665">
        <f t="shared" si="28"/>
        <v>0</v>
      </c>
      <c r="AD85" s="3665" t="s">
        <v>10452</v>
      </c>
      <c r="AE85" s="3664"/>
      <c r="AF85" s="3665">
        <f t="shared" si="23"/>
        <v>0</v>
      </c>
      <c r="AG85" s="3665" t="str">
        <f t="shared" si="29"/>
        <v/>
      </c>
      <c r="AH85" s="3665">
        <f t="shared" si="24"/>
        <v>0</v>
      </c>
      <c r="AI85" s="3665">
        <f t="shared" si="30"/>
        <v>0</v>
      </c>
      <c r="AJ85" s="3665" t="s">
        <v>10452</v>
      </c>
      <c r="AK85" s="3674"/>
      <c r="AL85" s="3664"/>
      <c r="AM85" s="3664"/>
      <c r="AN85" s="3664"/>
      <c r="AP85" s="3664"/>
      <c r="AQ85" s="3664"/>
    </row>
    <row r="86" spans="1:43" ht="12.75" customHeight="1">
      <c r="A86" s="2104"/>
      <c r="C86" s="3132" t="s">
        <v>10453</v>
      </c>
      <c r="D86" s="7008"/>
      <c r="E86" s="7009"/>
      <c r="F86" s="7010"/>
      <c r="G86" s="3133" t="str">
        <f t="shared" si="25"/>
        <v/>
      </c>
      <c r="H86" s="3134"/>
      <c r="J86" s="3132" t="s">
        <v>10453</v>
      </c>
      <c r="K86" s="7008"/>
      <c r="L86" s="7009"/>
      <c r="M86" s="7010"/>
      <c r="N86" s="3133" t="str">
        <f t="shared" si="26"/>
        <v/>
      </c>
      <c r="O86" s="3134"/>
      <c r="Q86" s="7054" t="s">
        <v>10357</v>
      </c>
      <c r="R86" s="7047"/>
      <c r="S86" s="7047"/>
      <c r="T86" s="7048">
        <v>140</v>
      </c>
      <c r="U86" s="7048"/>
      <c r="V86" s="7049"/>
      <c r="X86" s="3101"/>
      <c r="Y86" s="3664"/>
      <c r="Z86" s="3665">
        <f t="shared" si="21"/>
        <v>0</v>
      </c>
      <c r="AA86" s="3665" t="str">
        <f t="shared" si="27"/>
        <v/>
      </c>
      <c r="AB86" s="3665">
        <f t="shared" si="22"/>
        <v>0</v>
      </c>
      <c r="AC86" s="3665">
        <f t="shared" si="28"/>
        <v>0</v>
      </c>
      <c r="AD86" s="3665" t="e">
        <f>VLOOKUP($D81,Constructos_Módulos,3,0)</f>
        <v>#N/A</v>
      </c>
      <c r="AE86" s="3664"/>
      <c r="AF86" s="3665">
        <f t="shared" si="23"/>
        <v>0</v>
      </c>
      <c r="AG86" s="3665" t="str">
        <f t="shared" si="29"/>
        <v/>
      </c>
      <c r="AH86" s="3665">
        <f t="shared" si="24"/>
        <v>0</v>
      </c>
      <c r="AI86" s="3665">
        <f t="shared" si="30"/>
        <v>0</v>
      </c>
      <c r="AJ86" s="3665" t="e">
        <f>VLOOKUP(K81,Constructos_Módulos,3,0)</f>
        <v>#N/A</v>
      </c>
      <c r="AK86" s="3674"/>
      <c r="AL86" s="3664"/>
      <c r="AM86" s="3664"/>
      <c r="AN86" s="3664"/>
      <c r="AP86" s="3664"/>
      <c r="AQ86" s="3664"/>
    </row>
    <row r="87" spans="1:43" ht="13.5" customHeight="1">
      <c r="A87" s="2104"/>
      <c r="C87" s="3129" t="s">
        <v>10454</v>
      </c>
      <c r="D87" s="7011"/>
      <c r="E87" s="7012"/>
      <c r="F87" s="7013"/>
      <c r="G87" s="3130" t="str">
        <f t="shared" si="25"/>
        <v/>
      </c>
      <c r="H87" s="3131"/>
      <c r="J87" s="3129" t="s">
        <v>10454</v>
      </c>
      <c r="K87" s="7011"/>
      <c r="L87" s="7012"/>
      <c r="M87" s="7013"/>
      <c r="N87" s="3130" t="str">
        <f t="shared" si="26"/>
        <v/>
      </c>
      <c r="O87" s="3131"/>
      <c r="Q87" s="7054" t="s">
        <v>10358</v>
      </c>
      <c r="R87" s="7047"/>
      <c r="S87" s="7047"/>
      <c r="T87" s="7048">
        <v>180</v>
      </c>
      <c r="U87" s="7048"/>
      <c r="V87" s="7049"/>
      <c r="X87" s="3101"/>
      <c r="Y87" s="3664"/>
      <c r="Z87" s="3665">
        <f t="shared" si="21"/>
        <v>0</v>
      </c>
      <c r="AA87" s="3665" t="str">
        <f t="shared" si="27"/>
        <v/>
      </c>
      <c r="AB87" s="3665">
        <f t="shared" si="22"/>
        <v>0</v>
      </c>
      <c r="AC87" s="3665">
        <f t="shared" si="28"/>
        <v>0</v>
      </c>
      <c r="AD87" s="3665" t="s">
        <v>9763</v>
      </c>
      <c r="AE87" s="3664"/>
      <c r="AF87" s="3665">
        <f t="shared" si="23"/>
        <v>0</v>
      </c>
      <c r="AG87" s="3665" t="str">
        <f t="shared" si="29"/>
        <v/>
      </c>
      <c r="AH87" s="3665">
        <f t="shared" si="24"/>
        <v>0</v>
      </c>
      <c r="AI87" s="3665">
        <f t="shared" si="30"/>
        <v>0</v>
      </c>
      <c r="AJ87" s="3665" t="s">
        <v>9763</v>
      </c>
      <c r="AK87" s="3674"/>
      <c r="AL87" s="3664"/>
      <c r="AM87" s="3664"/>
      <c r="AN87" s="3664"/>
      <c r="AP87" s="3664"/>
      <c r="AQ87" s="3664"/>
    </row>
    <row r="88" spans="1:43" ht="13.5" customHeight="1">
      <c r="A88" s="2104"/>
      <c r="C88" s="3132" t="s">
        <v>10455</v>
      </c>
      <c r="D88" s="7008"/>
      <c r="E88" s="7009"/>
      <c r="F88" s="7010"/>
      <c r="G88" s="3133" t="str">
        <f t="shared" si="25"/>
        <v/>
      </c>
      <c r="H88" s="3134"/>
      <c r="J88" s="3132" t="s">
        <v>10455</v>
      </c>
      <c r="K88" s="7008"/>
      <c r="L88" s="7009"/>
      <c r="M88" s="7010"/>
      <c r="N88" s="3133" t="str">
        <f t="shared" si="26"/>
        <v/>
      </c>
      <c r="O88" s="3134"/>
      <c r="Q88" s="7054" t="s">
        <v>10359</v>
      </c>
      <c r="R88" s="7047"/>
      <c r="S88" s="7047"/>
      <c r="T88" s="7048">
        <v>240</v>
      </c>
      <c r="U88" s="7048"/>
      <c r="V88" s="7049"/>
      <c r="X88" s="3101"/>
      <c r="Y88" s="3664"/>
      <c r="Z88" s="3665">
        <f t="shared" si="21"/>
        <v>0</v>
      </c>
      <c r="AA88" s="3665" t="str">
        <f t="shared" si="27"/>
        <v/>
      </c>
      <c r="AB88" s="3665">
        <f t="shared" si="22"/>
        <v>0</v>
      </c>
      <c r="AC88" s="3665">
        <f t="shared" si="28"/>
        <v>0</v>
      </c>
      <c r="AD88" s="3664" t="e">
        <f>VLOOKUP(D82,Constructos_Atributos,5,0)</f>
        <v>#N/A</v>
      </c>
      <c r="AE88" s="3664"/>
      <c r="AF88" s="3665">
        <f t="shared" si="23"/>
        <v>0</v>
      </c>
      <c r="AG88" s="3665" t="str">
        <f t="shared" si="29"/>
        <v/>
      </c>
      <c r="AH88" s="3665">
        <f t="shared" si="24"/>
        <v>0</v>
      </c>
      <c r="AI88" s="3665">
        <f t="shared" si="30"/>
        <v>0</v>
      </c>
      <c r="AJ88" s="3664" t="e">
        <f>VLOOKUP(K82,Constructos_Atributos,5,0)</f>
        <v>#N/A</v>
      </c>
      <c r="AK88" s="3674"/>
      <c r="AL88" s="3664"/>
      <c r="AM88" s="3664"/>
      <c r="AN88" s="3664"/>
      <c r="AP88" s="3664"/>
      <c r="AQ88" s="3664"/>
    </row>
    <row r="89" spans="1:43" ht="12.75" customHeight="1">
      <c r="A89" s="2104"/>
      <c r="C89" s="3135" t="s">
        <v>10456</v>
      </c>
      <c r="D89" s="7014"/>
      <c r="E89" s="7015"/>
      <c r="F89" s="7016"/>
      <c r="G89" s="3136" t="str">
        <f t="shared" si="25"/>
        <v/>
      </c>
      <c r="H89" s="3137"/>
      <c r="I89" s="2737"/>
      <c r="J89" s="3135" t="s">
        <v>10456</v>
      </c>
      <c r="K89" s="7014"/>
      <c r="L89" s="7015"/>
      <c r="M89" s="7016"/>
      <c r="N89" s="3136" t="str">
        <f t="shared" si="26"/>
        <v/>
      </c>
      <c r="O89" s="3137"/>
      <c r="Q89" s="7054" t="s">
        <v>10360</v>
      </c>
      <c r="R89" s="7047"/>
      <c r="S89" s="7047"/>
      <c r="T89" s="7048">
        <v>240</v>
      </c>
      <c r="U89" s="7048"/>
      <c r="V89" s="7049"/>
      <c r="X89" s="3101"/>
      <c r="Y89" s="3664"/>
      <c r="Z89" s="3665">
        <f t="shared" si="21"/>
        <v>0</v>
      </c>
      <c r="AA89" s="3665" t="str">
        <f t="shared" si="27"/>
        <v/>
      </c>
      <c r="AB89" s="3665">
        <f t="shared" si="22"/>
        <v>0</v>
      </c>
      <c r="AC89" s="3665">
        <f t="shared" si="28"/>
        <v>0</v>
      </c>
      <c r="AD89" s="3665" t="s">
        <v>10457</v>
      </c>
      <c r="AE89" s="3664"/>
      <c r="AF89" s="3665">
        <f t="shared" si="23"/>
        <v>0</v>
      </c>
      <c r="AG89" s="3665" t="str">
        <f t="shared" si="29"/>
        <v/>
      </c>
      <c r="AH89" s="3665">
        <f t="shared" si="24"/>
        <v>0</v>
      </c>
      <c r="AI89" s="3665">
        <f t="shared" si="30"/>
        <v>0</v>
      </c>
      <c r="AJ89" s="3665" t="s">
        <v>10457</v>
      </c>
      <c r="AK89" s="3674"/>
      <c r="AL89" s="3664"/>
      <c r="AM89" s="3664"/>
      <c r="AN89" s="3664"/>
      <c r="AP89" s="3664"/>
      <c r="AQ89" s="3664"/>
    </row>
    <row r="90" spans="1:43" ht="12.75" customHeight="1" thickBot="1">
      <c r="A90" s="2104"/>
      <c r="C90" s="7023" t="s">
        <v>6923</v>
      </c>
      <c r="D90" s="3138"/>
      <c r="E90" s="7025"/>
      <c r="F90" s="7026"/>
      <c r="G90" s="7027" t="s">
        <v>6186</v>
      </c>
      <c r="H90" s="7028"/>
      <c r="I90" s="2737"/>
      <c r="J90" s="7023" t="s">
        <v>6923</v>
      </c>
      <c r="K90" s="3138"/>
      <c r="L90" s="7025"/>
      <c r="M90" s="7026"/>
      <c r="N90" s="7027" t="s">
        <v>6186</v>
      </c>
      <c r="O90" s="7028"/>
      <c r="Q90" s="7055" t="s">
        <v>10361</v>
      </c>
      <c r="R90" s="7056"/>
      <c r="S90" s="7056"/>
      <c r="T90" s="7057">
        <v>280</v>
      </c>
      <c r="U90" s="7057"/>
      <c r="V90" s="7058"/>
      <c r="X90" s="3101"/>
      <c r="Y90" s="3664"/>
      <c r="Z90" s="3665">
        <f>IF(D90="",0,VLOOKUP(D90,Constructos_AtaqueEspecial,4,0))</f>
        <v>0</v>
      </c>
      <c r="AA90" s="3665">
        <f>IF(E90="",0,VLOOKUP(E90,Constructos_AtaqueEspecial,4,0))</f>
        <v>0</v>
      </c>
      <c r="AB90" s="3675">
        <f>IFERROR(IF(VLOOKUP(D90,Constructos_AtaqueEspecial,3,0)&gt;VLOOKUP($D$81,constructos_modulos,4,0),1,0),0)</f>
        <v>0</v>
      </c>
      <c r="AC90" s="3675">
        <f>IFERROR(IF(VLOOKUP(E90,Constructos_AtaqueEspecial,3,0)&gt;VLOOKUP($D$81,constructos_modulos,4,0),1,0),0)</f>
        <v>0</v>
      </c>
      <c r="AD90" s="3665" t="e">
        <f>IF(VLOOKUP(D82,Constructos_Atributos,4,0)="Habilidades",1,0)</f>
        <v>#N/A</v>
      </c>
      <c r="AE90" s="3664"/>
      <c r="AF90" s="3665">
        <f>IF(K90="",0,VLOOKUP(K90,Constructos_AtaqueEspecial,4,0))</f>
        <v>0</v>
      </c>
      <c r="AG90" s="3665">
        <f>IF(L90="",0,VLOOKUP(L90,Constructos_AtaqueEspecial,4,0))</f>
        <v>0</v>
      </c>
      <c r="AH90" s="3675">
        <f>IFERROR(IF(VLOOKUP(K90,Constructos_AtaqueEspecial,3,0)&gt;VLOOKUP($K$81,constructos_modulos,4,0),1,0),0)</f>
        <v>0</v>
      </c>
      <c r="AI90" s="3675">
        <f>IFERROR(IF(VLOOKUP(L90,Constructos_AtaqueEspecial,3,0)&gt;VLOOKUP($K$81,constructos_modulos,4,0),1,0),0)</f>
        <v>0</v>
      </c>
      <c r="AJ90" s="3665" t="e">
        <f>IF(VLOOKUP(K82,Constructos_Atributos,4,0)="Habilidades",1,0)</f>
        <v>#N/A</v>
      </c>
      <c r="AK90" s="3674"/>
      <c r="AL90" s="3664"/>
      <c r="AM90" s="3664"/>
      <c r="AN90" s="3664"/>
      <c r="AP90" s="3664"/>
      <c r="AQ90" s="3664"/>
    </row>
    <row r="91" spans="1:43" ht="13.5" thickBot="1">
      <c r="A91" s="2104"/>
      <c r="C91" s="7024"/>
      <c r="D91" s="3139"/>
      <c r="E91" s="7029"/>
      <c r="F91" s="7030"/>
      <c r="G91" s="7031"/>
      <c r="H91" s="7032"/>
      <c r="I91" s="2737"/>
      <c r="J91" s="7024"/>
      <c r="K91" s="3139"/>
      <c r="L91" s="7029"/>
      <c r="M91" s="7030"/>
      <c r="N91" s="7031"/>
      <c r="O91" s="7032"/>
      <c r="X91" s="3101"/>
      <c r="Y91" s="3664"/>
      <c r="Z91" s="3665">
        <f>IF(D91="",0,VLOOKUP(D91,Constructos_AtaqueEspecial,4,0))</f>
        <v>0</v>
      </c>
      <c r="AA91" s="3665">
        <f>IF(E91="",0,VLOOKUP(E91,Constructos_AtaqueEspecial,4,0))</f>
        <v>0</v>
      </c>
      <c r="AB91" s="3675">
        <f>IFERROR(IF(VLOOKUP(D91,Constructos_AtaqueEspecial,3,0)&gt;VLOOKUP($D$81,constructos_modulos,4,0),1,0),0)</f>
        <v>0</v>
      </c>
      <c r="AC91" s="3675"/>
      <c r="AD91" s="3664"/>
      <c r="AE91" s="3664"/>
      <c r="AF91" s="3665">
        <f>IF(K91="",0,VLOOKUP(K91,Constructos_AtaqueEspecial,4,0))</f>
        <v>0</v>
      </c>
      <c r="AG91" s="3665">
        <f>IF(L91="",0,VLOOKUP(L91,Constructos_AtaqueEspecial,4,0))</f>
        <v>0</v>
      </c>
      <c r="AH91" s="3675">
        <f>IFERROR(IF(VLOOKUP(K91,Constructos_AtaqueEspecial,3,0)&gt;VLOOKUP($K$81,constructos_modulos,4,0),1,0),0)</f>
        <v>0</v>
      </c>
      <c r="AI91" s="3675"/>
      <c r="AJ91" s="3664"/>
      <c r="AK91" s="3674"/>
      <c r="AL91" s="3664"/>
      <c r="AM91" s="3664"/>
      <c r="AN91" s="3664"/>
      <c r="AP91" s="3664"/>
      <c r="AQ91" s="3664"/>
    </row>
    <row r="92" spans="1:43">
      <c r="A92" s="2104"/>
      <c r="C92" s="7023" t="s">
        <v>10397</v>
      </c>
      <c r="D92" s="3138"/>
      <c r="E92" s="7025"/>
      <c r="F92" s="7025"/>
      <c r="G92" s="7027" t="s">
        <v>6186</v>
      </c>
      <c r="H92" s="7028"/>
      <c r="I92" s="2737"/>
      <c r="J92" s="7023" t="s">
        <v>10397</v>
      </c>
      <c r="K92" s="3138"/>
      <c r="L92" s="7025"/>
      <c r="M92" s="7025"/>
      <c r="N92" s="7027" t="s">
        <v>6186</v>
      </c>
      <c r="O92" s="7028"/>
      <c r="Q92" s="6954" t="s">
        <v>10465</v>
      </c>
      <c r="R92" s="6955"/>
      <c r="S92" s="6955"/>
      <c r="T92" s="6955" t="s">
        <v>10466</v>
      </c>
      <c r="U92" s="6955"/>
      <c r="V92" s="6956"/>
      <c r="X92" s="3101"/>
      <c r="Y92" s="3664"/>
      <c r="Z92" s="3665">
        <f>IF(G91="",0,VLOOKUP(G91,Constructos_AtaqueEspecial,4,0))</f>
        <v>0</v>
      </c>
      <c r="AA92" s="3664"/>
      <c r="AB92" s="3675"/>
      <c r="AC92" s="3675"/>
      <c r="AD92" s="3664"/>
      <c r="AE92" s="3664"/>
      <c r="AF92" s="3665">
        <f>IF(N91="",0,VLOOKUP(N91,Constructos_AtaqueEspecial,4,0))</f>
        <v>0</v>
      </c>
      <c r="AG92" s="3664"/>
      <c r="AH92" s="3675"/>
      <c r="AI92" s="3675"/>
      <c r="AJ92" s="3664"/>
      <c r="AK92" s="3674"/>
      <c r="AL92" s="3664"/>
      <c r="AM92" s="3664"/>
      <c r="AN92" s="3664"/>
      <c r="AP92" s="3664"/>
      <c r="AQ92" s="3664"/>
    </row>
    <row r="93" spans="1:43">
      <c r="A93" s="2104"/>
      <c r="C93" s="7024"/>
      <c r="D93" s="7033"/>
      <c r="E93" s="7034"/>
      <c r="F93" s="7035"/>
      <c r="G93" s="7031"/>
      <c r="H93" s="7032"/>
      <c r="I93" s="2737"/>
      <c r="J93" s="7024"/>
      <c r="K93" s="7033"/>
      <c r="L93" s="7034"/>
      <c r="M93" s="7035"/>
      <c r="N93" s="7031"/>
      <c r="O93" s="7032"/>
      <c r="Q93" s="7042" t="s">
        <v>10467</v>
      </c>
      <c r="R93" s="7043"/>
      <c r="S93" s="7043"/>
      <c r="T93" s="7044" t="s">
        <v>10468</v>
      </c>
      <c r="U93" s="7044"/>
      <c r="V93" s="7045"/>
      <c r="X93" s="3101"/>
      <c r="Y93" s="3664"/>
      <c r="Z93" s="3665">
        <f>IF(D92="",0,VLOOKUP(D92,Constructos_EfectoEspecial,4,0))</f>
        <v>0</v>
      </c>
      <c r="AA93" s="3665">
        <f>IF(E92="",0,VLOOKUP(E92,Constructos_EfectoEspecial,4,0))</f>
        <v>0</v>
      </c>
      <c r="AB93" s="3675">
        <f>IFERROR(IF(VLOOKUP(D92,Constructos_EfectoEspecial,3,0)&gt;VLOOKUP($D$81,constructos_modulos,4,0),1,0),0)</f>
        <v>0</v>
      </c>
      <c r="AC93" s="3675">
        <f>IFERROR(IF(VLOOKUP(E92,Constructos_EfectoEspecial,3,0)&gt;VLOOKUP($D$81,constructos_modulos,4,0),1,0),0)</f>
        <v>0</v>
      </c>
      <c r="AD93" s="3664"/>
      <c r="AE93" s="3664"/>
      <c r="AF93" s="3665">
        <f>IF(K92="",0,VLOOKUP(K92,Constructos_EfectoEspecial,4,0))</f>
        <v>0</v>
      </c>
      <c r="AG93" s="3665">
        <f>IF(L92="",0,VLOOKUP(L92,Constructos_EfectoEspecial,4,0))</f>
        <v>0</v>
      </c>
      <c r="AH93" s="3675">
        <f>IFERROR(IF(VLOOKUP(K92,Constructos_EfectoEspecial,3,0)&gt;VLOOKUP($K$81,constructos_modulos,4,0),1,0),0)</f>
        <v>0</v>
      </c>
      <c r="AI93" s="3675">
        <f>IFERROR(IF(VLOOKUP(L92,Constructos_EfectoEspecial,3,0)&gt;VLOOKUP($K$81,constructos_modulos,4,0),1,0),0)</f>
        <v>0</v>
      </c>
      <c r="AJ93" s="3664" t="s">
        <v>2603</v>
      </c>
      <c r="AK93" s="3674"/>
      <c r="AL93" s="3664"/>
      <c r="AM93" s="3664"/>
      <c r="AN93" s="3664"/>
      <c r="AP93" s="3664"/>
      <c r="AQ93" s="3664"/>
    </row>
    <row r="94" spans="1:43" ht="12.75" customHeight="1">
      <c r="A94" s="2104"/>
      <c r="C94" s="7017" t="str">
        <f>IF(OR(AB90=1,AB91=1,AC90=1),"Material ataque especial insuficiente",IF(OR(AB93=1,AC93=1,AB94=1),"Material efecto especial insuficiente",IF(H94&lt;0,"Exceso de atributos","Puntos de Atributo restantes")))</f>
        <v>Puntos de Atributo restantes</v>
      </c>
      <c r="D94" s="7018"/>
      <c r="E94" s="7018"/>
      <c r="F94" s="7018"/>
      <c r="G94" s="7018"/>
      <c r="H94" s="7021" t="str">
        <f>IF(D81="","",AD84+IF(AND(OR(C11="Acero negro",C11="Acero blanco"),D81="Elektra"),1,0))</f>
        <v/>
      </c>
      <c r="I94" s="2737"/>
      <c r="J94" s="7017" t="str">
        <f>IF(OR(AH90=1,AH91=1,AI90=1),"Material ataque especial insuficiente",IF(OR(AH93=1,AI93=1,AH94=1),"Material efecto especial insuficiente",IF(O94&lt;0,"Exceso de atributos","Puntos de Atributo restantes")))</f>
        <v>Puntos de Atributo restantes</v>
      </c>
      <c r="K94" s="7018"/>
      <c r="L94" s="7018"/>
      <c r="M94" s="7018"/>
      <c r="N94" s="7018"/>
      <c r="O94" s="7021" t="str">
        <f>IF(K81="","",AJ84+IF(AND(OR(C11="Acero negro",C11="Acero blanco"),K81="Elektra"),1,0))</f>
        <v/>
      </c>
      <c r="Q94" s="7046" t="s">
        <v>10469</v>
      </c>
      <c r="R94" s="7047"/>
      <c r="S94" s="7047"/>
      <c r="T94" s="7048" t="s">
        <v>10470</v>
      </c>
      <c r="U94" s="7048"/>
      <c r="V94" s="7049"/>
      <c r="X94" s="3101"/>
      <c r="Y94" s="3664"/>
      <c r="Z94" s="3665">
        <f>IF(D93="",0,VLOOKUP(D93,Constructos_EfectoEspecial,4,0))</f>
        <v>0</v>
      </c>
      <c r="AA94" s="3664"/>
      <c r="AB94" s="3675">
        <f>IFERROR(IF(VLOOKUP(D93,Constructos_EfectoEspecial,3,0)&gt;VLOOKUP($D$81,constructos_modulos,4,0),1,0),0)</f>
        <v>0</v>
      </c>
      <c r="AC94" s="3675"/>
      <c r="AD94" s="3664"/>
      <c r="AE94" s="3664"/>
      <c r="AF94" s="3665">
        <f>IF(K93="",0,VLOOKUP(K93,Constructos_EfectoEspecial,4,0))</f>
        <v>0</v>
      </c>
      <c r="AG94" s="3664"/>
      <c r="AH94" s="3675">
        <f>IFERROR(IF(VLOOKUP(K93,Constructos_EfectoEspecial,3,0)&gt;VLOOKUP($K$81,constructos_modulos,4,0),1,0),0)</f>
        <v>0</v>
      </c>
      <c r="AI94" s="3675"/>
      <c r="AJ94" s="3664"/>
      <c r="AK94" s="3674"/>
      <c r="AL94" s="3664"/>
      <c r="AM94" s="3664"/>
      <c r="AN94" s="3664"/>
      <c r="AP94" s="3664"/>
      <c r="AQ94" s="3664"/>
    </row>
    <row r="95" spans="1:43" ht="13.5" customHeight="1" thickBot="1">
      <c r="A95" s="2104"/>
      <c r="C95" s="7019"/>
      <c r="D95" s="7020"/>
      <c r="E95" s="7020"/>
      <c r="F95" s="7020"/>
      <c r="G95" s="7020"/>
      <c r="H95" s="7022"/>
      <c r="I95" s="2737"/>
      <c r="J95" s="7019"/>
      <c r="K95" s="7020"/>
      <c r="L95" s="7020"/>
      <c r="M95" s="7020"/>
      <c r="N95" s="7020"/>
      <c r="O95" s="7022"/>
      <c r="Q95" s="7046" t="s">
        <v>10471</v>
      </c>
      <c r="R95" s="7047"/>
      <c r="S95" s="7047"/>
      <c r="T95" s="7048" t="s">
        <v>10472</v>
      </c>
      <c r="U95" s="7048"/>
      <c r="V95" s="7049"/>
      <c r="X95" s="3101"/>
      <c r="Y95" s="3664"/>
      <c r="Z95" s="3665">
        <f>IF(G93="",0,VLOOKUP(G93,Constructos_EfectoEspecial,4,0))</f>
        <v>0</v>
      </c>
      <c r="AA95" s="3664"/>
      <c r="AB95" s="3664"/>
      <c r="AC95" s="3664"/>
      <c r="AD95" s="3664"/>
      <c r="AE95" s="3664"/>
      <c r="AF95" s="3665">
        <f>IF(N93="",0,VLOOKUP(N93,Constructos_EfectoEspecial,4,0))</f>
        <v>0</v>
      </c>
      <c r="AG95" s="3664"/>
      <c r="AH95" s="3664"/>
      <c r="AI95" s="3664"/>
      <c r="AJ95" s="3664"/>
      <c r="AK95" s="3674"/>
      <c r="AL95" s="3664"/>
      <c r="AM95" s="3664"/>
      <c r="AN95" s="3664"/>
      <c r="AP95" s="3664"/>
      <c r="AQ95" s="3664"/>
    </row>
    <row r="96" spans="1:43" ht="13.5" thickBot="1">
      <c r="A96" s="2104"/>
      <c r="Q96" s="7050" t="s">
        <v>10473</v>
      </c>
      <c r="R96" s="7051"/>
      <c r="S96" s="7051"/>
      <c r="T96" s="7052" t="s">
        <v>10474</v>
      </c>
      <c r="U96" s="7052"/>
      <c r="V96" s="7053"/>
      <c r="X96" s="3101"/>
      <c r="Y96" s="3664"/>
      <c r="Z96" s="3665"/>
      <c r="AA96" s="3664"/>
      <c r="AB96" s="3664"/>
      <c r="AC96" s="3664"/>
      <c r="AD96" s="3664"/>
      <c r="AE96" s="3664"/>
      <c r="AF96" s="3664"/>
      <c r="AG96" s="3664"/>
      <c r="AH96" s="3664"/>
      <c r="AI96" s="3664"/>
      <c r="AJ96" s="3664"/>
      <c r="AK96" s="3674"/>
      <c r="AL96" s="3664"/>
      <c r="AM96" s="3664"/>
      <c r="AN96" s="3664"/>
      <c r="AP96" s="3664"/>
      <c r="AQ96" s="3664"/>
    </row>
    <row r="97" spans="1:43" ht="13.5" thickBot="1">
      <c r="A97" s="2104"/>
      <c r="C97" s="6912" t="s">
        <v>10480</v>
      </c>
      <c r="D97" s="6913"/>
      <c r="E97" s="6913"/>
      <c r="F97" s="6979"/>
      <c r="G97" s="6983" t="s">
        <v>10439</v>
      </c>
      <c r="H97" s="6984"/>
      <c r="J97" s="6912" t="s">
        <v>10481</v>
      </c>
      <c r="K97" s="6913"/>
      <c r="L97" s="6913"/>
      <c r="M97" s="6979"/>
      <c r="N97" s="6983" t="s">
        <v>10439</v>
      </c>
      <c r="O97" s="6984"/>
      <c r="X97" s="3101"/>
      <c r="Y97" s="3664"/>
      <c r="Z97" s="3665"/>
      <c r="AA97" s="3664"/>
      <c r="AB97" s="3664"/>
      <c r="AC97" s="3664"/>
      <c r="AD97" s="3664"/>
      <c r="AE97" s="3664"/>
      <c r="AF97" s="3664"/>
      <c r="AG97" s="3664"/>
      <c r="AH97" s="3664"/>
      <c r="AI97" s="3664"/>
      <c r="AJ97" s="3664"/>
      <c r="AK97" s="3674"/>
      <c r="AL97" s="3664"/>
      <c r="AM97" s="3664"/>
      <c r="AN97" s="3664"/>
      <c r="AP97" s="3664"/>
      <c r="AQ97" s="3664"/>
    </row>
    <row r="98" spans="1:43" ht="13.5" thickBot="1">
      <c r="A98" s="2104"/>
      <c r="C98" s="6980"/>
      <c r="D98" s="6981"/>
      <c r="E98" s="6981"/>
      <c r="F98" s="6982"/>
      <c r="G98" s="6985"/>
      <c r="H98" s="6986"/>
      <c r="J98" s="6980"/>
      <c r="K98" s="6981"/>
      <c r="L98" s="6981"/>
      <c r="M98" s="6982"/>
      <c r="N98" s="6985"/>
      <c r="O98" s="6986"/>
      <c r="Q98" s="6954" t="s">
        <v>10475</v>
      </c>
      <c r="R98" s="6955"/>
      <c r="S98" s="6955"/>
      <c r="T98" s="6955" t="s">
        <v>859</v>
      </c>
      <c r="U98" s="6955"/>
      <c r="V98" s="6956"/>
      <c r="X98" s="3101"/>
      <c r="Y98" s="3664"/>
      <c r="Z98" s="3675" t="s">
        <v>10483</v>
      </c>
      <c r="AA98" s="3664"/>
      <c r="AB98" s="3664">
        <f>IF(AND(G97&lt;&gt;"",G97&lt;&gt;"Nombre del módulo"),1,0)</f>
        <v>0</v>
      </c>
      <c r="AC98" s="3664"/>
      <c r="AD98" s="3664"/>
      <c r="AE98" s="3664"/>
      <c r="AF98" s="3664"/>
      <c r="AG98" s="3664"/>
      <c r="AH98" s="3664">
        <f>IF(AND(N97&lt;&gt;"",N97&lt;&gt;"Nombre del módulo"),1,0)</f>
        <v>0</v>
      </c>
      <c r="AI98" s="3664"/>
      <c r="AJ98" s="3664"/>
      <c r="AK98" s="3674"/>
      <c r="AL98" s="3664"/>
      <c r="AM98" s="3664"/>
      <c r="AN98" s="3664"/>
      <c r="AP98" s="3664"/>
      <c r="AQ98" s="3664"/>
    </row>
    <row r="99" spans="1:43">
      <c r="A99" s="2104"/>
      <c r="C99" s="3125" t="s">
        <v>10442</v>
      </c>
      <c r="D99" s="6999"/>
      <c r="E99" s="7000"/>
      <c r="F99" s="7001"/>
      <c r="G99" s="6997" t="s">
        <v>10443</v>
      </c>
      <c r="H99" s="6998"/>
      <c r="J99" s="3125" t="s">
        <v>10442</v>
      </c>
      <c r="K99" s="6999"/>
      <c r="L99" s="7000"/>
      <c r="M99" s="7001"/>
      <c r="N99" s="6997" t="s">
        <v>10443</v>
      </c>
      <c r="O99" s="6998"/>
      <c r="Q99" s="7060" t="s">
        <v>11757</v>
      </c>
      <c r="R99" s="7043"/>
      <c r="S99" s="7043"/>
      <c r="T99" s="7061" t="s">
        <v>2537</v>
      </c>
      <c r="U99" s="7044"/>
      <c r="V99" s="7045"/>
      <c r="X99" s="3101"/>
      <c r="Y99" s="3664"/>
      <c r="Z99" s="3665" t="s">
        <v>10444</v>
      </c>
      <c r="AA99" s="3664" t="s">
        <v>10445</v>
      </c>
      <c r="AB99" s="3664" t="s">
        <v>9763</v>
      </c>
      <c r="AC99" s="3665" t="s">
        <v>10446</v>
      </c>
      <c r="AD99" s="3665" t="s">
        <v>3016</v>
      </c>
      <c r="AE99" s="3664"/>
      <c r="AF99" s="3665" t="s">
        <v>10444</v>
      </c>
      <c r="AG99" s="3664" t="s">
        <v>10445</v>
      </c>
      <c r="AH99" s="3664" t="s">
        <v>9763</v>
      </c>
      <c r="AI99" s="3665" t="s">
        <v>10446</v>
      </c>
      <c r="AJ99" s="3665" t="s">
        <v>3016</v>
      </c>
      <c r="AK99" s="3674"/>
      <c r="AL99" s="3664"/>
      <c r="AM99" s="3664"/>
      <c r="AN99" s="3664"/>
      <c r="AP99" s="3664"/>
      <c r="AQ99" s="3664"/>
    </row>
    <row r="100" spans="1:43" ht="12.75" customHeight="1" thickBot="1">
      <c r="A100" s="2104"/>
      <c r="C100" s="3126" t="s">
        <v>10447</v>
      </c>
      <c r="D100" s="7002"/>
      <c r="E100" s="7003"/>
      <c r="F100" s="7004"/>
      <c r="G100" s="3127" t="str">
        <f>IF(D100=0,"",IF($D$100="Desarrollo de secundarias","",IF(VLOOKUP(D100,Constructos_Atributos,3,0)=1,CONCATENATE(VLOOKUP(D100,Constructos_Atributos,3,0)," vez"),CONCATENATE(VLOOKUP(D100,Constructos_Atributos,3,0)," veces"))))</f>
        <v/>
      </c>
      <c r="H100" s="3128"/>
      <c r="J100" s="3126" t="s">
        <v>10447</v>
      </c>
      <c r="K100" s="7002"/>
      <c r="L100" s="7003"/>
      <c r="M100" s="7004"/>
      <c r="N100" s="3127" t="str">
        <f>IF(K100=0,"",IF($K$100="Desarrollo de secundarias","",IF(VLOOKUP(K100,Constructos_Atributos,3,0)=1,CONCATENATE(VLOOKUP(K100,Constructos_Atributos,3,0)," vez"),CONCATENATE(VLOOKUP(K100,Constructos_Atributos,3,0)," veces"))))</f>
        <v/>
      </c>
      <c r="O100" s="3128"/>
      <c r="Q100" s="7054" t="s">
        <v>11755</v>
      </c>
      <c r="R100" s="7047"/>
      <c r="S100" s="7047"/>
      <c r="T100" s="7059" t="s">
        <v>7057</v>
      </c>
      <c r="U100" s="7048"/>
      <c r="V100" s="7049"/>
      <c r="X100" s="3101"/>
      <c r="Y100" s="3664"/>
      <c r="Z100" s="3665">
        <f t="shared" ref="Z100:Z107" si="31">IF(D100="",0,IF($D$100="Desarrollo de secundarias",1,VLOOKUP(D100,Constructos_Atributos,2,0)))</f>
        <v>0</v>
      </c>
      <c r="AA100" s="3665" t="str">
        <f>IFERROR(IF(D100=0,"",IF($D$100="Desarrollo de secundarias",0,IF(H100=0,"",MIN(VLOOKUP(D100,Constructos_Atributos,3,0),H100))-AB100)),0)</f>
        <v/>
      </c>
      <c r="AB100" s="3665">
        <f t="shared" ref="AB100:AB107" si="32">COUNTIF($D$100:$F$107,VLOOKUP(D100,Constructos_Atributos,5,0))</f>
        <v>0</v>
      </c>
      <c r="AC100" s="3665">
        <f>IF(D100="",0,AA100*Z100)</f>
        <v>0</v>
      </c>
      <c r="AD100" s="3665" t="e">
        <f>IF(VLOOKUP(D100,Constructos_Atributos,4,0)="cualquiera",1,0)</f>
        <v>#N/A</v>
      </c>
      <c r="AE100" s="3664"/>
      <c r="AF100" s="3665">
        <f t="shared" ref="AF100:AF107" si="33">IF(K100="",0,IF($K$100="Desarrollo de secundarias",1,VLOOKUP(K100,Constructos_Atributos,2,0)))</f>
        <v>0</v>
      </c>
      <c r="AG100" s="3665" t="str">
        <f>IFERROR(IF(K100=0,"",IF($K$100="Desarrollo de secundarias",0,IF(O100=0,"",MIN(VLOOKUP(K100,Constructos_Atributos,3,0),O100))-AH100)),0)</f>
        <v/>
      </c>
      <c r="AH100" s="3665">
        <f t="shared" ref="AH100:AH107" si="34">COUNTIF($K$100:$M$107,VLOOKUP(K100,Constructos_Atributos,5,0))</f>
        <v>0</v>
      </c>
      <c r="AI100" s="3665">
        <f>IF(K100="",0,AG100*AF100)</f>
        <v>0</v>
      </c>
      <c r="AJ100" s="3665" t="e">
        <f>IF(VLOOKUP(K100,Constructos_Atributos,4,0)="cualquiera",1,0)</f>
        <v>#N/A</v>
      </c>
      <c r="AK100" s="3674"/>
      <c r="AL100" s="3664"/>
      <c r="AM100" s="3664"/>
      <c r="AN100" s="3664"/>
      <c r="AP100" s="3664"/>
      <c r="AQ100" s="3664"/>
    </row>
    <row r="101" spans="1:43" ht="13.5" customHeight="1">
      <c r="A101" s="2104"/>
      <c r="C101" s="3129" t="s">
        <v>10448</v>
      </c>
      <c r="D101" s="7005"/>
      <c r="E101" s="7006"/>
      <c r="F101" s="7007"/>
      <c r="G101" s="3130" t="str">
        <f t="shared" ref="G101:G107" si="35">IF(D101=0,"",IF($D$100="Desarrollo de secundarias","10 veces",IF(VLOOKUP(D101,Constructos_Atributos,3,0)=1,CONCATENATE(VLOOKUP(D101,Constructos_Atributos,3,0)," vez"),CONCATENATE(VLOOKUP(D101,Constructos_Atributos,3,0)," veces"))))</f>
        <v/>
      </c>
      <c r="H101" s="3131"/>
      <c r="J101" s="3129" t="s">
        <v>10448</v>
      </c>
      <c r="K101" s="7005"/>
      <c r="L101" s="7006"/>
      <c r="M101" s="7007"/>
      <c r="N101" s="3130" t="str">
        <f t="shared" ref="N101:N107" si="36">IF(K101=0,"",IF($K$100="Desarrollo de secundarias","10 veces",IF(VLOOKUP(K101,Constructos_Atributos,3,0)=1,CONCATENATE(VLOOKUP(K101,Constructos_Atributos,3,0)," vez"),CONCATENATE(VLOOKUP(K101,Constructos_Atributos,3,0)," veces"))))</f>
        <v/>
      </c>
      <c r="O101" s="3131"/>
      <c r="Q101" s="7064" t="s">
        <v>10476</v>
      </c>
      <c r="R101" s="7065"/>
      <c r="S101" s="7065"/>
      <c r="T101" s="7065" t="s">
        <v>859</v>
      </c>
      <c r="U101" s="7065"/>
      <c r="V101" s="7066"/>
      <c r="X101" s="3101"/>
      <c r="Y101" s="3664"/>
      <c r="Z101" s="3665">
        <f t="shared" si="31"/>
        <v>0</v>
      </c>
      <c r="AA101" s="3665" t="str">
        <f t="shared" ref="AA101:AA107" si="37">IFERROR(IF(D101=0,"",IF($D$100="Desarrollo de secundarias",H101,IF(H101=0,"",MIN(VLOOKUP(D101,Constructos_Atributos,3,0),H101))-AB101)),0)</f>
        <v/>
      </c>
      <c r="AB101" s="3665">
        <f t="shared" si="32"/>
        <v>0</v>
      </c>
      <c r="AC101" s="3665">
        <f t="shared" ref="AC101:AC107" si="38">IF(D101="",0,AA101*Z101)</f>
        <v>0</v>
      </c>
      <c r="AD101" s="3665" t="s">
        <v>10449</v>
      </c>
      <c r="AE101" s="3664"/>
      <c r="AF101" s="3665">
        <f t="shared" si="33"/>
        <v>0</v>
      </c>
      <c r="AG101" s="3665" t="str">
        <f t="shared" ref="AG101:AG107" si="39">IFERROR(IF(K101=0,"",IF($K$100="Desarrollo de secundarias",O101,IF(O101=0,"",MIN(VLOOKUP(K101,Constructos_Atributos,3,0),O101))-AH101)),0)</f>
        <v/>
      </c>
      <c r="AH101" s="3665">
        <f t="shared" si="34"/>
        <v>0</v>
      </c>
      <c r="AI101" s="3665">
        <f t="shared" ref="AI101:AI107" si="40">IF(K101="",0,AG101*AF101)</f>
        <v>0</v>
      </c>
      <c r="AJ101" s="3665" t="s">
        <v>10449</v>
      </c>
      <c r="AK101" s="3674"/>
      <c r="AL101" s="3664"/>
      <c r="AM101" s="3664"/>
      <c r="AN101" s="3664"/>
      <c r="AP101" s="3664"/>
      <c r="AQ101" s="3664"/>
    </row>
    <row r="102" spans="1:43">
      <c r="A102" s="2104"/>
      <c r="C102" s="3132" t="s">
        <v>10450</v>
      </c>
      <c r="D102" s="7008"/>
      <c r="E102" s="7009"/>
      <c r="F102" s="7010"/>
      <c r="G102" s="3133" t="str">
        <f t="shared" si="35"/>
        <v/>
      </c>
      <c r="H102" s="3134"/>
      <c r="J102" s="3132" t="s">
        <v>10450</v>
      </c>
      <c r="K102" s="7008"/>
      <c r="L102" s="7009"/>
      <c r="M102" s="7010"/>
      <c r="N102" s="3133" t="str">
        <f t="shared" si="36"/>
        <v/>
      </c>
      <c r="O102" s="3134"/>
      <c r="Q102" s="7054" t="s">
        <v>10477</v>
      </c>
      <c r="R102" s="7047"/>
      <c r="S102" s="7047"/>
      <c r="T102" s="7059" t="s">
        <v>7057</v>
      </c>
      <c r="U102" s="7048"/>
      <c r="V102" s="7049"/>
      <c r="X102" s="3101"/>
      <c r="Y102" s="3664"/>
      <c r="Z102" s="3665">
        <f t="shared" si="31"/>
        <v>0</v>
      </c>
      <c r="AA102" s="3665" t="str">
        <f t="shared" si="37"/>
        <v/>
      </c>
      <c r="AB102" s="3665">
        <f t="shared" si="32"/>
        <v>0</v>
      </c>
      <c r="AC102" s="3665">
        <f t="shared" si="38"/>
        <v>0</v>
      </c>
      <c r="AD102" s="3665" t="e">
        <f>MIN(AD104,VLOOKUP($D99,Constructos_Módulos,2,0)-SUM(AC100:AC107,Z108:Z113,AA108:AA113))+IF(AND(D100="Obsidiana",OR(D100="Resistente",D100="Resistencia al frío",D100="Resistencia al fuego",D100="Resistencia a la electricidad"),H100&gt;0),1,0)</f>
        <v>#N/A</v>
      </c>
      <c r="AE102" s="3664"/>
      <c r="AF102" s="3665">
        <f t="shared" si="33"/>
        <v>0</v>
      </c>
      <c r="AG102" s="3665" t="str">
        <f t="shared" si="39"/>
        <v/>
      </c>
      <c r="AH102" s="3665">
        <f t="shared" si="34"/>
        <v>0</v>
      </c>
      <c r="AI102" s="3665">
        <f t="shared" si="40"/>
        <v>0</v>
      </c>
      <c r="AJ102" s="3665" t="e">
        <f>MIN(AJ104,VLOOKUP($K99,Constructos_Módulos,2,0)-SUM(AI100:AI107,AF108:AF113,AG108:AG113))+IF(AND(K100="Obsidiana",OR(K100="Resistente",K100="Resistencia al frío",K100="Resistencia al fuego",K100="Resistencia a la electricidad"),O100&gt;0),1,0)</f>
        <v>#N/A</v>
      </c>
      <c r="AK102" s="3674"/>
      <c r="AL102" s="3664"/>
      <c r="AM102" s="3664"/>
      <c r="AN102" s="3664"/>
      <c r="AP102" s="3664"/>
      <c r="AQ102" s="3664"/>
    </row>
    <row r="103" spans="1:43" ht="13.5" thickBot="1">
      <c r="A103" s="2104"/>
      <c r="C103" s="3129" t="s">
        <v>10451</v>
      </c>
      <c r="D103" s="7011"/>
      <c r="E103" s="7012"/>
      <c r="F103" s="7013"/>
      <c r="G103" s="3130" t="str">
        <f t="shared" si="35"/>
        <v/>
      </c>
      <c r="H103" s="3131"/>
      <c r="J103" s="3129" t="s">
        <v>10451</v>
      </c>
      <c r="K103" s="7011"/>
      <c r="L103" s="7012"/>
      <c r="M103" s="7013"/>
      <c r="N103" s="3130" t="str">
        <f t="shared" si="36"/>
        <v/>
      </c>
      <c r="O103" s="3131"/>
      <c r="Q103" s="7062" t="s">
        <v>10478</v>
      </c>
      <c r="R103" s="7051"/>
      <c r="S103" s="7051"/>
      <c r="T103" s="7063" t="s">
        <v>7059</v>
      </c>
      <c r="U103" s="7052"/>
      <c r="V103" s="7053"/>
      <c r="X103" s="3101"/>
      <c r="Y103" s="3664"/>
      <c r="Z103" s="3665">
        <f t="shared" si="31"/>
        <v>0</v>
      </c>
      <c r="AA103" s="3665" t="str">
        <f t="shared" si="37"/>
        <v/>
      </c>
      <c r="AB103" s="3665">
        <f t="shared" si="32"/>
        <v>0</v>
      </c>
      <c r="AC103" s="3665">
        <f t="shared" si="38"/>
        <v>0</v>
      </c>
      <c r="AD103" s="3665" t="s">
        <v>10452</v>
      </c>
      <c r="AE103" s="3664"/>
      <c r="AF103" s="3665">
        <f t="shared" si="33"/>
        <v>0</v>
      </c>
      <c r="AG103" s="3665" t="str">
        <f t="shared" si="39"/>
        <v/>
      </c>
      <c r="AH103" s="3665">
        <f t="shared" si="34"/>
        <v>0</v>
      </c>
      <c r="AI103" s="3665">
        <f t="shared" si="40"/>
        <v>0</v>
      </c>
      <c r="AJ103" s="3665" t="s">
        <v>10452</v>
      </c>
      <c r="AK103" s="3674"/>
      <c r="AL103" s="3664"/>
      <c r="AM103" s="3664"/>
      <c r="AN103" s="3664"/>
      <c r="AP103" s="3664"/>
      <c r="AQ103" s="3664"/>
    </row>
    <row r="104" spans="1:43" ht="13.5" thickBot="1">
      <c r="A104" s="2104"/>
      <c r="C104" s="3132" t="s">
        <v>10453</v>
      </c>
      <c r="D104" s="7008"/>
      <c r="E104" s="7009"/>
      <c r="F104" s="7010"/>
      <c r="G104" s="3133" t="str">
        <f t="shared" si="35"/>
        <v/>
      </c>
      <c r="H104" s="3134"/>
      <c r="J104" s="3132" t="s">
        <v>10453</v>
      </c>
      <c r="K104" s="7008"/>
      <c r="L104" s="7009"/>
      <c r="M104" s="7010"/>
      <c r="N104" s="3133" t="str">
        <f t="shared" si="36"/>
        <v/>
      </c>
      <c r="O104" s="3134"/>
      <c r="X104" s="3101"/>
      <c r="Y104" s="3664"/>
      <c r="Z104" s="3665">
        <f t="shared" si="31"/>
        <v>0</v>
      </c>
      <c r="AA104" s="3665" t="str">
        <f t="shared" si="37"/>
        <v/>
      </c>
      <c r="AB104" s="3665">
        <f t="shared" si="32"/>
        <v>0</v>
      </c>
      <c r="AC104" s="3665">
        <f t="shared" si="38"/>
        <v>0</v>
      </c>
      <c r="AD104" s="3665" t="e">
        <f>VLOOKUP($D99,Constructos_Módulos,3,0)</f>
        <v>#N/A</v>
      </c>
      <c r="AE104" s="3664"/>
      <c r="AF104" s="3665">
        <f t="shared" si="33"/>
        <v>0</v>
      </c>
      <c r="AG104" s="3665" t="str">
        <f t="shared" si="39"/>
        <v/>
      </c>
      <c r="AH104" s="3665">
        <f t="shared" si="34"/>
        <v>0</v>
      </c>
      <c r="AI104" s="3665">
        <f t="shared" si="40"/>
        <v>0</v>
      </c>
      <c r="AJ104" s="3665" t="e">
        <f>VLOOKUP(K99,Constructos_Módulos,3,0)</f>
        <v>#N/A</v>
      </c>
      <c r="AK104" s="3674"/>
      <c r="AL104" s="3664"/>
      <c r="AM104" s="3664"/>
      <c r="AN104" s="3664"/>
      <c r="AP104" s="3664"/>
      <c r="AQ104" s="3664"/>
    </row>
    <row r="105" spans="1:43">
      <c r="A105" s="2104"/>
      <c r="C105" s="3129" t="s">
        <v>10454</v>
      </c>
      <c r="D105" s="7011"/>
      <c r="E105" s="7012"/>
      <c r="F105" s="7013"/>
      <c r="G105" s="3130" t="str">
        <f t="shared" si="35"/>
        <v/>
      </c>
      <c r="H105" s="3131"/>
      <c r="J105" s="3129" t="s">
        <v>10454</v>
      </c>
      <c r="K105" s="7011"/>
      <c r="L105" s="7012"/>
      <c r="M105" s="7013"/>
      <c r="N105" s="3130" t="str">
        <f t="shared" si="36"/>
        <v/>
      </c>
      <c r="O105" s="3131"/>
      <c r="Q105" s="6954" t="s">
        <v>10479</v>
      </c>
      <c r="R105" s="6955"/>
      <c r="S105" s="6955"/>
      <c r="T105" s="6955" t="s">
        <v>859</v>
      </c>
      <c r="U105" s="6955"/>
      <c r="V105" s="6956"/>
      <c r="X105" s="3101"/>
      <c r="Y105" s="3664"/>
      <c r="Z105" s="3665">
        <f t="shared" si="31"/>
        <v>0</v>
      </c>
      <c r="AA105" s="3665" t="str">
        <f t="shared" si="37"/>
        <v/>
      </c>
      <c r="AB105" s="3665">
        <f t="shared" si="32"/>
        <v>0</v>
      </c>
      <c r="AC105" s="3665">
        <f t="shared" si="38"/>
        <v>0</v>
      </c>
      <c r="AD105" s="3665" t="s">
        <v>9763</v>
      </c>
      <c r="AE105" s="3664"/>
      <c r="AF105" s="3665">
        <f t="shared" si="33"/>
        <v>0</v>
      </c>
      <c r="AG105" s="3665" t="str">
        <f t="shared" si="39"/>
        <v/>
      </c>
      <c r="AH105" s="3665">
        <f t="shared" si="34"/>
        <v>0</v>
      </c>
      <c r="AI105" s="3665">
        <f t="shared" si="40"/>
        <v>0</v>
      </c>
      <c r="AJ105" s="3665" t="s">
        <v>9763</v>
      </c>
      <c r="AK105" s="3674"/>
      <c r="AL105" s="3664"/>
      <c r="AM105" s="3664"/>
      <c r="AN105" s="3664"/>
      <c r="AP105" s="3664"/>
      <c r="AQ105" s="3664"/>
    </row>
    <row r="106" spans="1:43">
      <c r="A106" s="2104"/>
      <c r="C106" s="3132" t="s">
        <v>10455</v>
      </c>
      <c r="D106" s="7008"/>
      <c r="E106" s="7009"/>
      <c r="F106" s="7010"/>
      <c r="G106" s="3133" t="str">
        <f t="shared" si="35"/>
        <v/>
      </c>
      <c r="H106" s="3134"/>
      <c r="J106" s="3132" t="s">
        <v>10455</v>
      </c>
      <c r="K106" s="7008"/>
      <c r="L106" s="7009"/>
      <c r="M106" s="7010"/>
      <c r="N106" s="3133" t="str">
        <f t="shared" si="36"/>
        <v/>
      </c>
      <c r="O106" s="3134"/>
      <c r="Q106" s="7060" t="s">
        <v>11756</v>
      </c>
      <c r="R106" s="7043"/>
      <c r="S106" s="7043"/>
      <c r="T106" s="7061" t="s">
        <v>2537</v>
      </c>
      <c r="U106" s="7044"/>
      <c r="V106" s="7045"/>
      <c r="X106" s="3101"/>
      <c r="Y106" s="3664"/>
      <c r="Z106" s="3665">
        <f t="shared" si="31"/>
        <v>0</v>
      </c>
      <c r="AA106" s="3665" t="str">
        <f t="shared" si="37"/>
        <v/>
      </c>
      <c r="AB106" s="3665">
        <f t="shared" si="32"/>
        <v>0</v>
      </c>
      <c r="AC106" s="3665">
        <f t="shared" si="38"/>
        <v>0</v>
      </c>
      <c r="AD106" s="3664" t="e">
        <f>VLOOKUP(D100,Constructos_Atributos,5,0)</f>
        <v>#N/A</v>
      </c>
      <c r="AE106" s="3664"/>
      <c r="AF106" s="3665">
        <f t="shared" si="33"/>
        <v>0</v>
      </c>
      <c r="AG106" s="3665" t="str">
        <f t="shared" si="39"/>
        <v/>
      </c>
      <c r="AH106" s="3665">
        <f t="shared" si="34"/>
        <v>0</v>
      </c>
      <c r="AI106" s="3665">
        <f t="shared" si="40"/>
        <v>0</v>
      </c>
      <c r="AJ106" s="3664" t="e">
        <f>VLOOKUP(K100,Constructos_Atributos,5,0)</f>
        <v>#N/A</v>
      </c>
      <c r="AK106" s="3674"/>
      <c r="AL106" s="3664"/>
      <c r="AM106" s="3664"/>
      <c r="AN106" s="3664"/>
      <c r="AP106" s="3664"/>
      <c r="AQ106" s="3664"/>
    </row>
    <row r="107" spans="1:43" ht="13.5" thickBot="1">
      <c r="A107" s="2104"/>
      <c r="C107" s="3135" t="s">
        <v>10456</v>
      </c>
      <c r="D107" s="7014"/>
      <c r="E107" s="7015"/>
      <c r="F107" s="7016"/>
      <c r="G107" s="3136" t="str">
        <f t="shared" si="35"/>
        <v/>
      </c>
      <c r="H107" s="3137"/>
      <c r="I107" s="2737"/>
      <c r="J107" s="3135" t="s">
        <v>10456</v>
      </c>
      <c r="K107" s="7014"/>
      <c r="L107" s="7015"/>
      <c r="M107" s="7016"/>
      <c r="N107" s="3136" t="str">
        <f t="shared" si="36"/>
        <v/>
      </c>
      <c r="O107" s="3137"/>
      <c r="Q107" s="7054" t="s">
        <v>10482</v>
      </c>
      <c r="R107" s="7047"/>
      <c r="S107" s="7047"/>
      <c r="T107" s="7059" t="s">
        <v>7057</v>
      </c>
      <c r="U107" s="7048"/>
      <c r="V107" s="7049"/>
      <c r="X107" s="3101"/>
      <c r="Y107" s="3664"/>
      <c r="Z107" s="3665">
        <f t="shared" si="31"/>
        <v>0</v>
      </c>
      <c r="AA107" s="3665" t="str">
        <f t="shared" si="37"/>
        <v/>
      </c>
      <c r="AB107" s="3665">
        <f t="shared" si="32"/>
        <v>0</v>
      </c>
      <c r="AC107" s="3665">
        <f t="shared" si="38"/>
        <v>0</v>
      </c>
      <c r="AD107" s="3665" t="s">
        <v>10457</v>
      </c>
      <c r="AE107" s="3664"/>
      <c r="AF107" s="3665">
        <f t="shared" si="33"/>
        <v>0</v>
      </c>
      <c r="AG107" s="3665" t="str">
        <f t="shared" si="39"/>
        <v/>
      </c>
      <c r="AH107" s="3665">
        <f t="shared" si="34"/>
        <v>0</v>
      </c>
      <c r="AI107" s="3665">
        <f t="shared" si="40"/>
        <v>0</v>
      </c>
      <c r="AJ107" s="3665" t="s">
        <v>10457</v>
      </c>
      <c r="AK107" s="3674"/>
      <c r="AL107" s="3664"/>
      <c r="AM107" s="3664"/>
      <c r="AN107" s="3664"/>
      <c r="AP107" s="3664"/>
      <c r="AQ107" s="3664"/>
    </row>
    <row r="108" spans="1:43">
      <c r="A108" s="2104"/>
      <c r="C108" s="7023" t="s">
        <v>6923</v>
      </c>
      <c r="D108" s="3138"/>
      <c r="E108" s="7025"/>
      <c r="F108" s="7026"/>
      <c r="G108" s="7027" t="s">
        <v>6186</v>
      </c>
      <c r="H108" s="7028"/>
      <c r="I108" s="2737"/>
      <c r="J108" s="7023" t="s">
        <v>6923</v>
      </c>
      <c r="K108" s="3138"/>
      <c r="L108" s="7025"/>
      <c r="M108" s="7026"/>
      <c r="N108" s="7027" t="s">
        <v>6186</v>
      </c>
      <c r="O108" s="7028"/>
      <c r="Q108" s="7064" t="s">
        <v>10476</v>
      </c>
      <c r="R108" s="7065"/>
      <c r="S108" s="7065"/>
      <c r="T108" s="7065" t="s">
        <v>859</v>
      </c>
      <c r="U108" s="7065"/>
      <c r="V108" s="7066"/>
      <c r="X108" s="3101"/>
      <c r="Y108" s="3664"/>
      <c r="Z108" s="3665">
        <f>IF(D108="",0,VLOOKUP(D108,Constructos_AtaqueEspecial,4,0))</f>
        <v>0</v>
      </c>
      <c r="AA108" s="3665">
        <f>IF(E108="",0,VLOOKUP(E108,Constructos_AtaqueEspecial,4,0))</f>
        <v>0</v>
      </c>
      <c r="AB108" s="3675">
        <f>IFERROR(IF(VLOOKUP(D108,Constructos_AtaqueEspecial,3,0)&gt;VLOOKUP($D$99,constructos_modulos,4,0),1,0),0)</f>
        <v>0</v>
      </c>
      <c r="AC108" s="3675">
        <f>IFERROR(IF(VLOOKUP(E108,Constructos_AtaqueEspecial,3,0)&gt;VLOOKUP($D$99,constructos_modulos,4,0),1,0),0)</f>
        <v>0</v>
      </c>
      <c r="AD108" s="3665" t="e">
        <f>IF(VLOOKUP(D100,Constructos_Atributos,4,0)="Habilidades",1,0)</f>
        <v>#N/A</v>
      </c>
      <c r="AE108" s="3664"/>
      <c r="AF108" s="3665">
        <f>IF(K108="",0,VLOOKUP(K108,Constructos_AtaqueEspecial,4,0))</f>
        <v>0</v>
      </c>
      <c r="AG108" s="3665">
        <f>IF(L108="",0,VLOOKUP(L108,Constructos_AtaqueEspecial,4,0))</f>
        <v>0</v>
      </c>
      <c r="AH108" s="3675">
        <f>IFERROR(IF(VLOOKUP(K108,Constructos_AtaqueEspecial,3,0)&gt;VLOOKUP($K$99,constructos_modulos,4,0),1,0),0)</f>
        <v>0</v>
      </c>
      <c r="AI108" s="3675">
        <f>IFERROR(IF(VLOOKUP(L108,Constructos_AtaqueEspecial,3,0)&gt;VLOOKUP($K$99,constructos_modulos,4,0),1,0),0)</f>
        <v>0</v>
      </c>
      <c r="AJ108" s="3665" t="e">
        <f>IF(VLOOKUP(K100,Constructos_Atributos,4,0)="Habilidades",1,0)</f>
        <v>#N/A</v>
      </c>
      <c r="AK108" s="3674"/>
      <c r="AL108" s="3664"/>
      <c r="AM108" s="3664"/>
      <c r="AN108" s="3664"/>
      <c r="AP108" s="3664"/>
      <c r="AQ108" s="3664"/>
    </row>
    <row r="109" spans="1:43">
      <c r="A109" s="2104"/>
      <c r="C109" s="7024"/>
      <c r="D109" s="3139"/>
      <c r="E109" s="7029"/>
      <c r="F109" s="7030"/>
      <c r="G109" s="7031"/>
      <c r="H109" s="7032"/>
      <c r="I109" s="2737"/>
      <c r="J109" s="7024"/>
      <c r="K109" s="3139"/>
      <c r="L109" s="7029"/>
      <c r="M109" s="7030"/>
      <c r="N109" s="7031"/>
      <c r="O109" s="7032"/>
      <c r="Q109" s="7054" t="s">
        <v>10484</v>
      </c>
      <c r="R109" s="7047"/>
      <c r="S109" s="7047"/>
      <c r="T109" s="7059" t="s">
        <v>7057</v>
      </c>
      <c r="U109" s="7048"/>
      <c r="V109" s="7049"/>
      <c r="X109" s="3101"/>
      <c r="Y109" s="3664"/>
      <c r="Z109" s="3665">
        <f>IF(D109="",0,VLOOKUP(D109,Constructos_AtaqueEspecial,4,0))</f>
        <v>0</v>
      </c>
      <c r="AA109" s="3665">
        <f>IF(E109="",0,VLOOKUP(E109,Constructos_AtaqueEspecial,4,0))</f>
        <v>0</v>
      </c>
      <c r="AB109" s="3675">
        <f>IFERROR(IF(VLOOKUP(D109,Constructos_AtaqueEspecial,3,0)&gt;VLOOKUP($D$99,constructos_modulos,4,0),1,0),0)</f>
        <v>0</v>
      </c>
      <c r="AC109" s="3675"/>
      <c r="AD109" s="3664"/>
      <c r="AE109" s="3664"/>
      <c r="AF109" s="3665">
        <f>IF(K109="",0,VLOOKUP(K109,Constructos_AtaqueEspecial,4,0))</f>
        <v>0</v>
      </c>
      <c r="AG109" s="3665">
        <f>IF(L109="",0,VLOOKUP(L109,Constructos_AtaqueEspecial,4,0))</f>
        <v>0</v>
      </c>
      <c r="AH109" s="3675">
        <f>IFERROR(IF(VLOOKUP(K109,Constructos_AtaqueEspecial,3,0)&gt;VLOOKUP($K$99,constructos_modulos,4,0),1,0),0)</f>
        <v>0</v>
      </c>
      <c r="AI109" s="3675"/>
      <c r="AJ109" s="3664"/>
      <c r="AK109" s="3674"/>
      <c r="AL109" s="3664"/>
      <c r="AM109" s="3664"/>
      <c r="AN109" s="3664"/>
      <c r="AP109" s="3664"/>
      <c r="AQ109" s="3664"/>
    </row>
    <row r="110" spans="1:43" ht="13.5" thickBot="1">
      <c r="A110" s="2104"/>
      <c r="C110" s="7023" t="s">
        <v>10397</v>
      </c>
      <c r="D110" s="3138"/>
      <c r="E110" s="7025"/>
      <c r="F110" s="7025"/>
      <c r="G110" s="7027" t="s">
        <v>6186</v>
      </c>
      <c r="H110" s="7028"/>
      <c r="I110" s="2737"/>
      <c r="J110" s="7023" t="s">
        <v>10397</v>
      </c>
      <c r="K110" s="3138"/>
      <c r="L110" s="7025"/>
      <c r="M110" s="7025"/>
      <c r="N110" s="7027" t="s">
        <v>6186</v>
      </c>
      <c r="O110" s="7028"/>
      <c r="Q110" s="7062" t="s">
        <v>10485</v>
      </c>
      <c r="R110" s="7051"/>
      <c r="S110" s="7051"/>
      <c r="T110" s="7063" t="s">
        <v>7059</v>
      </c>
      <c r="U110" s="7052"/>
      <c r="V110" s="7053"/>
      <c r="X110" s="3101"/>
      <c r="Y110" s="3664"/>
      <c r="Z110" s="3665">
        <f>IF(G109="",0,VLOOKUP(G109,Constructos_AtaqueEspecial,4,0))</f>
        <v>0</v>
      </c>
      <c r="AA110" s="3664"/>
      <c r="AB110" s="3675"/>
      <c r="AC110" s="3675"/>
      <c r="AD110" s="3664"/>
      <c r="AE110" s="3664"/>
      <c r="AF110" s="3665">
        <f>IF(N109="",0,VLOOKUP(N109,Constructos_AtaqueEspecial,4,0))</f>
        <v>0</v>
      </c>
      <c r="AG110" s="3664"/>
      <c r="AH110" s="3675"/>
      <c r="AI110" s="3675"/>
      <c r="AJ110" s="3664"/>
      <c r="AK110" s="3674"/>
      <c r="AL110" s="3664"/>
      <c r="AM110" s="3664"/>
      <c r="AN110" s="3664"/>
      <c r="AP110" s="3664"/>
      <c r="AQ110" s="3664"/>
    </row>
    <row r="111" spans="1:43" ht="13.5" thickBot="1">
      <c r="A111" s="2104"/>
      <c r="C111" s="7024"/>
      <c r="D111" s="7033"/>
      <c r="E111" s="7034"/>
      <c r="F111" s="7035"/>
      <c r="G111" s="7031"/>
      <c r="H111" s="7032"/>
      <c r="I111" s="2737"/>
      <c r="J111" s="7024"/>
      <c r="K111" s="7033"/>
      <c r="L111" s="7034"/>
      <c r="M111" s="7035"/>
      <c r="N111" s="7031"/>
      <c r="O111" s="7032"/>
      <c r="X111" s="3101"/>
      <c r="Y111" s="3664"/>
      <c r="Z111" s="3665">
        <f>IF(D110="",0,VLOOKUP(D110,Constructos_EfectoEspecial,4,0))</f>
        <v>0</v>
      </c>
      <c r="AA111" s="3665">
        <f>IF(E110="",0,VLOOKUP(E110,Constructos_EfectoEspecial,4,0))</f>
        <v>0</v>
      </c>
      <c r="AB111" s="3675">
        <f>IFERROR(IF(VLOOKUP(D110,Constructos_EfectoEspecial,3,0)&gt;VLOOKUP($D$99,constructos_modulos,4,0),1,0),0)</f>
        <v>0</v>
      </c>
      <c r="AC111" s="3675">
        <f>IFERROR(IF(VLOOKUP(E110,Constructos_EfectoEspecial,3,0)&gt;VLOOKUP($D$99,constructos_modulos,4,0),1,0),0)</f>
        <v>0</v>
      </c>
      <c r="AD111" s="3664"/>
      <c r="AE111" s="3664"/>
      <c r="AF111" s="3665">
        <f>IF(K110="",0,VLOOKUP(K110,Constructos_EfectoEspecial,4,0))</f>
        <v>0</v>
      </c>
      <c r="AG111" s="3665">
        <f>IF(L110="",0,VLOOKUP(L110,Constructos_EfectoEspecial,4,0))</f>
        <v>0</v>
      </c>
      <c r="AH111" s="3675">
        <f>IFERROR(IF(VLOOKUP(K110,Constructos_EfectoEspecial,3,0)&gt;VLOOKUP($K$99,constructos_modulos,4,0),1,0),0)</f>
        <v>0</v>
      </c>
      <c r="AI111" s="3675">
        <f>IFERROR(IF(VLOOKUP(L110,Constructos_EfectoEspecial,3,0)&gt;VLOOKUP($K$99,constructos_modulos,4,0),1,0),0)</f>
        <v>0</v>
      </c>
      <c r="AJ111" s="3664" t="s">
        <v>2603</v>
      </c>
      <c r="AK111" s="3674"/>
      <c r="AL111" s="3664"/>
      <c r="AM111" s="3664"/>
      <c r="AN111" s="3664"/>
      <c r="AP111" s="3664"/>
      <c r="AQ111" s="3664"/>
    </row>
    <row r="112" spans="1:43" ht="12.75" customHeight="1">
      <c r="A112" s="2104"/>
      <c r="C112" s="7017" t="str">
        <f>IF(OR(AB108=1,AB109=1,AC108=1),"Material ataque especial insuficiente",IF(OR(AB111=1,AC111=1,AB112=1),"Material efecto especial insuficiente",IF(H112&lt;0,"Exceso de atributos","Puntos de Atributo restantes")))</f>
        <v>Puntos de Atributo restantes</v>
      </c>
      <c r="D112" s="7018"/>
      <c r="E112" s="7018"/>
      <c r="F112" s="7018"/>
      <c r="G112" s="7018"/>
      <c r="H112" s="7021" t="str">
        <f>IF(D99="","",AD102+IF(AND(OR(C11="Acero negro",C11="Acero blanco"),D99="Elektra"),1,0))</f>
        <v/>
      </c>
      <c r="I112" s="2737"/>
      <c r="J112" s="7017" t="str">
        <f>IF(OR(AH108=1,AH109=1,AI108=1),"Material ataque especial insuficiente",IF(OR(AH111=1,AI111=1,AH112=1),"Material efecto especial insuficiente",IF(O112&lt;0,"Exceso de atributos","Puntos de Atributo restantes")))</f>
        <v>Puntos de Atributo restantes</v>
      </c>
      <c r="K112" s="7018"/>
      <c r="L112" s="7018"/>
      <c r="M112" s="7018"/>
      <c r="N112" s="7018"/>
      <c r="O112" s="7021" t="str">
        <f>IF(K99="","",AJ102+IF(AND(OR(C11="Acero negro",C11="Acero blanco"),K99="Elektra"),1,0))</f>
        <v/>
      </c>
      <c r="Q112" s="7093" t="s">
        <v>10486</v>
      </c>
      <c r="R112" s="7094"/>
      <c r="S112" s="7094"/>
      <c r="T112" s="7094"/>
      <c r="U112" s="7094"/>
      <c r="V112" s="7095"/>
      <c r="X112" s="3101"/>
      <c r="Y112" s="3664"/>
      <c r="Z112" s="3665">
        <f>IF(D111="",0,VLOOKUP(D111,Constructos_EfectoEspecial,4,0))</f>
        <v>0</v>
      </c>
      <c r="AA112" s="3664"/>
      <c r="AB112" s="3675">
        <f>IFERROR(IF(VLOOKUP(D111,Constructos_EfectoEspecial,3,0)&gt;VLOOKUP($D$99,constructos_modulos,4,0),1,0),0)</f>
        <v>0</v>
      </c>
      <c r="AC112" s="3675"/>
      <c r="AD112" s="3664"/>
      <c r="AE112" s="3664"/>
      <c r="AF112" s="3665">
        <f>IF(K111="",0,VLOOKUP(K111,Constructos_EfectoEspecial,4,0))</f>
        <v>0</v>
      </c>
      <c r="AG112" s="3664"/>
      <c r="AH112" s="3675">
        <f>IFERROR(IF(VLOOKUP(K111,Constructos_EfectoEspecial,3,0)&gt;VLOOKUP($K$99,constructos_modulos,4,0),1,0),0)</f>
        <v>0</v>
      </c>
      <c r="AI112" s="3675"/>
      <c r="AJ112" s="3664"/>
      <c r="AK112" s="3674"/>
      <c r="AL112" s="3664"/>
      <c r="AM112" s="3664"/>
      <c r="AN112" s="3664"/>
      <c r="AP112" s="3664"/>
      <c r="AQ112" s="3664"/>
    </row>
    <row r="113" spans="1:43" ht="13.5" customHeight="1" thickBot="1">
      <c r="A113" s="2104"/>
      <c r="C113" s="7019"/>
      <c r="D113" s="7020"/>
      <c r="E113" s="7020"/>
      <c r="F113" s="7020"/>
      <c r="G113" s="7020"/>
      <c r="H113" s="7022"/>
      <c r="I113" s="2737"/>
      <c r="J113" s="7019"/>
      <c r="K113" s="7020"/>
      <c r="L113" s="7020"/>
      <c r="M113" s="7020"/>
      <c r="N113" s="7020"/>
      <c r="O113" s="7022"/>
      <c r="Q113" s="7080"/>
      <c r="R113" s="7081"/>
      <c r="S113" s="7081"/>
      <c r="T113" s="7081"/>
      <c r="U113" s="7081"/>
      <c r="V113" s="7082"/>
      <c r="X113" s="3101"/>
      <c r="Y113" s="3664"/>
      <c r="Z113" s="3665">
        <f>IF(G111="",0,VLOOKUP(G111,Constructos_EfectoEspecial,4,0))</f>
        <v>0</v>
      </c>
      <c r="AA113" s="3664"/>
      <c r="AB113" s="3664"/>
      <c r="AC113" s="3664"/>
      <c r="AD113" s="3664"/>
      <c r="AE113" s="3664"/>
      <c r="AF113" s="3665">
        <f>IF(N111="",0,VLOOKUP(N111,Constructos_EfectoEspecial,4,0))</f>
        <v>0</v>
      </c>
      <c r="AG113" s="3664"/>
      <c r="AH113" s="3664"/>
      <c r="AI113" s="3664"/>
      <c r="AJ113" s="3664"/>
      <c r="AK113" s="3674"/>
      <c r="AL113" s="3664"/>
      <c r="AM113" s="3664"/>
      <c r="AN113" s="3664"/>
      <c r="AP113" s="3664"/>
      <c r="AQ113" s="3664"/>
    </row>
    <row r="114" spans="1:43" ht="12.75" customHeight="1" thickBot="1">
      <c r="A114" s="2104"/>
      <c r="Q114" s="7080"/>
      <c r="R114" s="7081"/>
      <c r="S114" s="7081"/>
      <c r="T114" s="7081"/>
      <c r="U114" s="7081"/>
      <c r="V114" s="7082"/>
      <c r="X114" s="3101"/>
      <c r="Y114" s="3664"/>
      <c r="Z114" s="3665"/>
      <c r="AA114" s="3664"/>
      <c r="AB114" s="3664"/>
      <c r="AC114" s="3664"/>
      <c r="AD114" s="3664"/>
      <c r="AE114" s="3664"/>
      <c r="AF114" s="3664"/>
      <c r="AG114" s="3664"/>
      <c r="AH114" s="3664"/>
      <c r="AI114" s="3664"/>
      <c r="AJ114" s="3664"/>
      <c r="AK114" s="3674"/>
      <c r="AL114" s="3664"/>
      <c r="AM114" s="3664"/>
      <c r="AN114" s="3664"/>
      <c r="AP114" s="3664"/>
      <c r="AQ114" s="3664"/>
    </row>
    <row r="115" spans="1:43" ht="13.5" customHeight="1">
      <c r="A115" s="2104"/>
      <c r="C115" s="6912" t="s">
        <v>10487</v>
      </c>
      <c r="D115" s="6913"/>
      <c r="E115" s="6913"/>
      <c r="F115" s="6979"/>
      <c r="G115" s="6983" t="s">
        <v>10439</v>
      </c>
      <c r="H115" s="6984"/>
      <c r="J115" s="6912" t="s">
        <v>10488</v>
      </c>
      <c r="K115" s="6913"/>
      <c r="L115" s="6913"/>
      <c r="M115" s="6979"/>
      <c r="N115" s="6983" t="s">
        <v>10439</v>
      </c>
      <c r="O115" s="6984"/>
      <c r="Q115" s="7080"/>
      <c r="R115" s="7081"/>
      <c r="S115" s="7081"/>
      <c r="T115" s="7081"/>
      <c r="U115" s="7081"/>
      <c r="V115" s="7082"/>
      <c r="X115" s="3101"/>
      <c r="Y115" s="3664"/>
      <c r="Z115" s="3665"/>
      <c r="AA115" s="3664"/>
      <c r="AB115" s="3664"/>
      <c r="AC115" s="3664"/>
      <c r="AD115" s="3664"/>
      <c r="AE115" s="3664"/>
      <c r="AF115" s="3664"/>
      <c r="AG115" s="3664"/>
      <c r="AH115" s="3664"/>
      <c r="AI115" s="3664"/>
      <c r="AJ115" s="3664"/>
      <c r="AK115" s="3674"/>
      <c r="AL115" s="3664"/>
      <c r="AM115" s="3664"/>
      <c r="AN115" s="3664"/>
      <c r="AP115" s="3664"/>
      <c r="AQ115" s="3664"/>
    </row>
    <row r="116" spans="1:43" ht="13.5" thickBot="1">
      <c r="A116" s="2104"/>
      <c r="C116" s="6980"/>
      <c r="D116" s="6981"/>
      <c r="E116" s="6981"/>
      <c r="F116" s="6982"/>
      <c r="G116" s="6985"/>
      <c r="H116" s="6986"/>
      <c r="J116" s="6980"/>
      <c r="K116" s="6981"/>
      <c r="L116" s="6981"/>
      <c r="M116" s="6982"/>
      <c r="N116" s="6985"/>
      <c r="O116" s="6986"/>
      <c r="Q116" s="7080"/>
      <c r="R116" s="7081"/>
      <c r="S116" s="7081"/>
      <c r="T116" s="7081"/>
      <c r="U116" s="7081"/>
      <c r="V116" s="7082"/>
      <c r="X116" s="3101"/>
      <c r="Y116" s="3664"/>
      <c r="Z116" s="3675" t="s">
        <v>10489</v>
      </c>
      <c r="AA116" s="3664"/>
      <c r="AB116" s="3664">
        <f>IF(AND(G115&lt;&gt;"",G115&lt;&gt;"Nombre del módulo"),1,0)</f>
        <v>0</v>
      </c>
      <c r="AC116" s="3664"/>
      <c r="AD116" s="3664"/>
      <c r="AE116" s="3664"/>
      <c r="AF116" s="3664"/>
      <c r="AG116" s="3664"/>
      <c r="AH116" s="3664">
        <f>IF(AND(N115&lt;&gt;"",N115&lt;&gt;"Nombre del módulo"),1,0)</f>
        <v>0</v>
      </c>
      <c r="AI116" s="3664"/>
      <c r="AJ116" s="3664"/>
      <c r="AK116" s="3674"/>
      <c r="AL116" s="3664"/>
      <c r="AM116" s="3664"/>
      <c r="AN116" s="3664"/>
      <c r="AP116" s="3664"/>
      <c r="AQ116" s="3664"/>
    </row>
    <row r="117" spans="1:43" ht="12.75" customHeight="1">
      <c r="A117" s="2104"/>
      <c r="C117" s="3125" t="s">
        <v>10442</v>
      </c>
      <c r="D117" s="6999"/>
      <c r="E117" s="7000"/>
      <c r="F117" s="7001"/>
      <c r="G117" s="6997" t="s">
        <v>10443</v>
      </c>
      <c r="H117" s="6998"/>
      <c r="J117" s="3125" t="s">
        <v>10442</v>
      </c>
      <c r="K117" s="6999"/>
      <c r="L117" s="7000"/>
      <c r="M117" s="7001"/>
      <c r="N117" s="6997" t="s">
        <v>10443</v>
      </c>
      <c r="O117" s="6998"/>
      <c r="Q117" s="7080"/>
      <c r="R117" s="7081"/>
      <c r="S117" s="7081"/>
      <c r="T117" s="7081"/>
      <c r="U117" s="7081"/>
      <c r="V117" s="7082"/>
      <c r="X117" s="3101"/>
      <c r="Y117" s="3664"/>
      <c r="Z117" s="3665" t="s">
        <v>10444</v>
      </c>
      <c r="AA117" s="3664" t="s">
        <v>10445</v>
      </c>
      <c r="AB117" s="3664" t="s">
        <v>9763</v>
      </c>
      <c r="AC117" s="3665" t="s">
        <v>10446</v>
      </c>
      <c r="AD117" s="3665" t="s">
        <v>3016</v>
      </c>
      <c r="AE117" s="3664"/>
      <c r="AF117" s="3665" t="s">
        <v>10444</v>
      </c>
      <c r="AG117" s="3664" t="s">
        <v>10445</v>
      </c>
      <c r="AH117" s="3664" t="s">
        <v>9763</v>
      </c>
      <c r="AI117" s="3665" t="s">
        <v>10446</v>
      </c>
      <c r="AJ117" s="3665" t="s">
        <v>3016</v>
      </c>
      <c r="AK117" s="3674"/>
      <c r="AL117" s="3664"/>
      <c r="AM117" s="3664"/>
      <c r="AN117" s="3664"/>
      <c r="AP117" s="3664"/>
      <c r="AQ117" s="3664"/>
    </row>
    <row r="118" spans="1:43" ht="13.5" customHeight="1">
      <c r="A118" s="2104"/>
      <c r="C118" s="3126" t="s">
        <v>10447</v>
      </c>
      <c r="D118" s="7002"/>
      <c r="E118" s="7003"/>
      <c r="F118" s="7004"/>
      <c r="G118" s="3127" t="str">
        <f>IF(D118=0,"",IF($D$118="Desarrollo de secundarias","",IF(VLOOKUP(D118,Constructos_Atributos,3,0)=1,CONCATENATE(VLOOKUP(D118,Constructos_Atributos,3,0)," vez"),CONCATENATE(VLOOKUP(D118,Constructos_Atributos,3,0)," veces"))))</f>
        <v/>
      </c>
      <c r="H118" s="3128"/>
      <c r="J118" s="3126" t="s">
        <v>10447</v>
      </c>
      <c r="K118" s="7002"/>
      <c r="L118" s="7003"/>
      <c r="M118" s="7004"/>
      <c r="N118" s="3127" t="str">
        <f>IF(K118=0,"",IF($K$118="Desarrollo de secundarias","",IF(VLOOKUP(K118,Constructos_Atributos,3,0)=1,CONCATENATE(VLOOKUP(K118,Constructos_Atributos,3,0)," vez"),CONCATENATE(VLOOKUP(K118,Constructos_Atributos,3,0)," veces"))))</f>
        <v/>
      </c>
      <c r="O118" s="3128"/>
      <c r="Q118" s="7080"/>
      <c r="R118" s="7081"/>
      <c r="S118" s="7081"/>
      <c r="T118" s="7081"/>
      <c r="U118" s="7081"/>
      <c r="V118" s="7082"/>
      <c r="X118" s="3101"/>
      <c r="Y118" s="3664"/>
      <c r="Z118" s="3665">
        <f t="shared" ref="Z118:Z125" si="41">IF(D118="",0,IF($D$118="Desarrollo de secundarias",1,VLOOKUP(D118,Constructos_Atributos,2,0)))</f>
        <v>0</v>
      </c>
      <c r="AA118" s="3665" t="str">
        <f>IFERROR(IF(D118=0,"",IF($D$118="Desarrollo de secundarias",0,IF(H118=0,"",MIN(VLOOKUP(D118,Constructos_Atributos,3,0),H118))-AB118)),0)</f>
        <v/>
      </c>
      <c r="AB118" s="3665">
        <f t="shared" ref="AB118:AB125" si="42">COUNTIF($D$118:$F$125,VLOOKUP(D118,Constructos_Atributos,5,0))</f>
        <v>0</v>
      </c>
      <c r="AC118" s="3665">
        <f>IF(D118="",0,AA118*Z118)</f>
        <v>0</v>
      </c>
      <c r="AD118" s="3665" t="e">
        <f>IF(VLOOKUP(D118,Constructos_Atributos,4,0)="cualquiera",1,0)</f>
        <v>#N/A</v>
      </c>
      <c r="AE118" s="3664"/>
      <c r="AF118" s="3665">
        <f t="shared" ref="AF118:AF125" si="43">IF(K118="",0,IF($K$118="Desarrollo de secundarias",1,VLOOKUP(K118,Constructos_Atributos,2,0)))</f>
        <v>0</v>
      </c>
      <c r="AG118" s="3665" t="str">
        <f>IFERROR(IF(K118=0,"",IF($K$118="Desarrollo de secundarias",0,IF(O118=0,"",MIN(VLOOKUP(K118,Constructos_Atributos,3,0),O118))-AH118)),0)</f>
        <v/>
      </c>
      <c r="AH118" s="3665">
        <f t="shared" ref="AH118:AH125" si="44">COUNTIF($K$118:$M$125,VLOOKUP(K118,Constructos_Atributos,5,0))</f>
        <v>0</v>
      </c>
      <c r="AI118" s="3665">
        <f>IF(K118="",0,AG118*AF118)</f>
        <v>0</v>
      </c>
      <c r="AJ118" s="3665" t="e">
        <f>IF(VLOOKUP(K118,Constructos_Atributos,4,0)="cualquiera",1,0)</f>
        <v>#N/A</v>
      </c>
      <c r="AK118" s="3674"/>
      <c r="AL118" s="3664"/>
      <c r="AM118" s="3664"/>
      <c r="AN118" s="3664"/>
      <c r="AP118" s="3664"/>
      <c r="AQ118" s="3664"/>
    </row>
    <row r="119" spans="1:43">
      <c r="A119" s="2104"/>
      <c r="C119" s="3129" t="s">
        <v>10448</v>
      </c>
      <c r="D119" s="7005"/>
      <c r="E119" s="7006"/>
      <c r="F119" s="7007"/>
      <c r="G119" s="3130" t="str">
        <f t="shared" ref="G119:G125" si="45">IF(D119=0,"",IF($D$118="Desarrollo de secundarias","10 veces",IF(VLOOKUP(D119,Constructos_Atributos,3,0)=1,CONCATENATE(VLOOKUP(D119,Constructos_Atributos,3,0)," vez"),CONCATENATE(VLOOKUP(D119,Constructos_Atributos,3,0)," veces"))))</f>
        <v/>
      </c>
      <c r="H119" s="3131"/>
      <c r="J119" s="3129" t="s">
        <v>10448</v>
      </c>
      <c r="K119" s="7005"/>
      <c r="L119" s="7006"/>
      <c r="M119" s="7007"/>
      <c r="N119" s="3130" t="str">
        <f t="shared" ref="N119:N125" si="46">IF(K119=0,"",IF($K$118="Desarrollo de secundarias","10 veces",IF(VLOOKUP(K119,Constructos_Atributos,3,0)=1,CONCATENATE(VLOOKUP(K119,Constructos_Atributos,3,0)," vez"),CONCATENATE(VLOOKUP(K119,Constructos_Atributos,3,0)," veces"))))</f>
        <v/>
      </c>
      <c r="O119" s="3131"/>
      <c r="Q119" s="7080"/>
      <c r="R119" s="7081"/>
      <c r="S119" s="7081"/>
      <c r="T119" s="7081"/>
      <c r="U119" s="7081"/>
      <c r="V119" s="7082"/>
      <c r="X119" s="3101"/>
      <c r="Y119" s="3664"/>
      <c r="Z119" s="3665">
        <f t="shared" si="41"/>
        <v>0</v>
      </c>
      <c r="AA119" s="3665" t="str">
        <f t="shared" ref="AA119:AA125" si="47">IFERROR(IF(D119=0,"",IF($D$118="Desarrollo de secundarias",H119,IF(H119=0,"",MIN(VLOOKUP(D119,Constructos_Atributos,3,0),H119))-AB119)),0)</f>
        <v/>
      </c>
      <c r="AB119" s="3665">
        <f t="shared" si="42"/>
        <v>0</v>
      </c>
      <c r="AC119" s="3665">
        <f t="shared" ref="AC119:AC125" si="48">IF(D119="",0,AA119*Z119)</f>
        <v>0</v>
      </c>
      <c r="AD119" s="3665" t="s">
        <v>10449</v>
      </c>
      <c r="AE119" s="3664"/>
      <c r="AF119" s="3665">
        <f t="shared" si="43"/>
        <v>0</v>
      </c>
      <c r="AG119" s="3665" t="str">
        <f t="shared" ref="AG119:AG125" si="49">IFERROR(IF(K119=0,"",IF($K$118="Desarrollo de secundarias",O119,IF(O119=0,"",MIN(VLOOKUP(K119,Constructos_Atributos,3,0),O119))-AH119)),0)</f>
        <v/>
      </c>
      <c r="AH119" s="3665">
        <f t="shared" si="44"/>
        <v>0</v>
      </c>
      <c r="AI119" s="3665">
        <f t="shared" ref="AI119:AI125" si="50">IF(K119="",0,AG119*AF119)</f>
        <v>0</v>
      </c>
      <c r="AJ119" s="3665" t="s">
        <v>10449</v>
      </c>
      <c r="AK119" s="3674"/>
      <c r="AL119" s="3664"/>
      <c r="AM119" s="3664"/>
      <c r="AN119" s="3664"/>
      <c r="AP119" s="3664"/>
      <c r="AQ119" s="3664"/>
    </row>
    <row r="120" spans="1:43">
      <c r="A120" s="2104"/>
      <c r="C120" s="3132" t="s">
        <v>10450</v>
      </c>
      <c r="D120" s="7008"/>
      <c r="E120" s="7009"/>
      <c r="F120" s="7010"/>
      <c r="G120" s="3133" t="str">
        <f t="shared" si="45"/>
        <v/>
      </c>
      <c r="H120" s="3134"/>
      <c r="J120" s="3132" t="s">
        <v>10450</v>
      </c>
      <c r="K120" s="7008"/>
      <c r="L120" s="7009"/>
      <c r="M120" s="7010"/>
      <c r="N120" s="3133" t="str">
        <f t="shared" si="46"/>
        <v/>
      </c>
      <c r="O120" s="3134"/>
      <c r="Q120" s="7080"/>
      <c r="R120" s="7081"/>
      <c r="S120" s="7081"/>
      <c r="T120" s="7081"/>
      <c r="U120" s="7081"/>
      <c r="V120" s="7082"/>
      <c r="X120" s="3101"/>
      <c r="Y120" s="3664"/>
      <c r="Z120" s="3665">
        <f t="shared" si="41"/>
        <v>0</v>
      </c>
      <c r="AA120" s="3665" t="str">
        <f t="shared" si="47"/>
        <v/>
      </c>
      <c r="AB120" s="3665">
        <f t="shared" si="42"/>
        <v>0</v>
      </c>
      <c r="AC120" s="3665">
        <f t="shared" si="48"/>
        <v>0</v>
      </c>
      <c r="AD120" s="3665" t="e">
        <f>MIN(AD122,VLOOKUP($D117,Constructos_Módulos,2,0)-SUM(AC118:AC125,Z126:Z131,AA126:AA131))+IF(AND(D118="Obsidiana",OR(D118="Resistente",D118="Resistencia al frío",D118="Resistencia al fuego",D118="Resistencia a la electricidad"),H118&gt;0),1,0)</f>
        <v>#N/A</v>
      </c>
      <c r="AE120" s="3664"/>
      <c r="AF120" s="3665">
        <f t="shared" si="43"/>
        <v>0</v>
      </c>
      <c r="AG120" s="3665" t="str">
        <f t="shared" si="49"/>
        <v/>
      </c>
      <c r="AH120" s="3665">
        <f t="shared" si="44"/>
        <v>0</v>
      </c>
      <c r="AI120" s="3665">
        <f t="shared" si="50"/>
        <v>0</v>
      </c>
      <c r="AJ120" s="3665" t="e">
        <f>MIN(AJ122,VLOOKUP($K117,Constructos_Módulos,2,0)-SUM(AI118:AI125,AF126:AF131,AG126:AG131))+IF(AND(K118="Obsidiana",OR(K118="Resistente",K118="Resistencia al frío",K118="Resistencia al fuego",K118="Resistencia a la electricidad"),O118&gt;0),1,0)</f>
        <v>#N/A</v>
      </c>
      <c r="AK120" s="3674"/>
      <c r="AL120" s="3664"/>
      <c r="AM120" s="3664"/>
      <c r="AN120" s="3664"/>
      <c r="AP120" s="3664"/>
      <c r="AQ120" s="3664"/>
    </row>
    <row r="121" spans="1:43">
      <c r="A121" s="2104"/>
      <c r="C121" s="3129" t="s">
        <v>10451</v>
      </c>
      <c r="D121" s="7011"/>
      <c r="E121" s="7012"/>
      <c r="F121" s="7013"/>
      <c r="G121" s="3130" t="str">
        <f t="shared" si="45"/>
        <v/>
      </c>
      <c r="H121" s="3131"/>
      <c r="J121" s="3129" t="s">
        <v>10451</v>
      </c>
      <c r="K121" s="7011"/>
      <c r="L121" s="7012"/>
      <c r="M121" s="7013"/>
      <c r="N121" s="3130" t="str">
        <f t="shared" si="46"/>
        <v/>
      </c>
      <c r="O121" s="3131"/>
      <c r="Q121" s="7080"/>
      <c r="R121" s="7081"/>
      <c r="S121" s="7081"/>
      <c r="T121" s="7081"/>
      <c r="U121" s="7081"/>
      <c r="V121" s="7082"/>
      <c r="X121" s="3101"/>
      <c r="Y121" s="3664"/>
      <c r="Z121" s="3665">
        <f t="shared" si="41"/>
        <v>0</v>
      </c>
      <c r="AA121" s="3665" t="str">
        <f t="shared" si="47"/>
        <v/>
      </c>
      <c r="AB121" s="3665">
        <f t="shared" si="42"/>
        <v>0</v>
      </c>
      <c r="AC121" s="3665">
        <f t="shared" si="48"/>
        <v>0</v>
      </c>
      <c r="AD121" s="3665" t="s">
        <v>10452</v>
      </c>
      <c r="AE121" s="3664"/>
      <c r="AF121" s="3665">
        <f t="shared" si="43"/>
        <v>0</v>
      </c>
      <c r="AG121" s="3665" t="str">
        <f t="shared" si="49"/>
        <v/>
      </c>
      <c r="AH121" s="3665">
        <f t="shared" si="44"/>
        <v>0</v>
      </c>
      <c r="AI121" s="3665">
        <f t="shared" si="50"/>
        <v>0</v>
      </c>
      <c r="AJ121" s="3665" t="s">
        <v>10452</v>
      </c>
      <c r="AK121" s="3674"/>
      <c r="AL121" s="3664"/>
      <c r="AM121" s="3664"/>
      <c r="AN121" s="3664"/>
      <c r="AP121" s="3664"/>
      <c r="AQ121" s="3664"/>
    </row>
    <row r="122" spans="1:43">
      <c r="A122" s="2104"/>
      <c r="C122" s="3132" t="s">
        <v>10453</v>
      </c>
      <c r="D122" s="7008"/>
      <c r="E122" s="7009"/>
      <c r="F122" s="7010"/>
      <c r="G122" s="3133" t="str">
        <f t="shared" si="45"/>
        <v/>
      </c>
      <c r="H122" s="3134"/>
      <c r="J122" s="3132" t="s">
        <v>10453</v>
      </c>
      <c r="K122" s="7008"/>
      <c r="L122" s="7009"/>
      <c r="M122" s="7010"/>
      <c r="N122" s="3133" t="str">
        <f t="shared" si="46"/>
        <v/>
      </c>
      <c r="O122" s="3134"/>
      <c r="Q122" s="7080"/>
      <c r="R122" s="7081"/>
      <c r="S122" s="7081"/>
      <c r="T122" s="7081"/>
      <c r="U122" s="7081"/>
      <c r="V122" s="7082"/>
      <c r="X122" s="3101"/>
      <c r="Y122" s="3664"/>
      <c r="Z122" s="3665">
        <f t="shared" si="41"/>
        <v>0</v>
      </c>
      <c r="AA122" s="3665" t="str">
        <f t="shared" si="47"/>
        <v/>
      </c>
      <c r="AB122" s="3665">
        <f t="shared" si="42"/>
        <v>0</v>
      </c>
      <c r="AC122" s="3665">
        <f t="shared" si="48"/>
        <v>0</v>
      </c>
      <c r="AD122" s="3665" t="e">
        <f>VLOOKUP($D117,Constructos_Módulos,3,0)</f>
        <v>#N/A</v>
      </c>
      <c r="AE122" s="3664"/>
      <c r="AF122" s="3665">
        <f t="shared" si="43"/>
        <v>0</v>
      </c>
      <c r="AG122" s="3665" t="str">
        <f t="shared" si="49"/>
        <v/>
      </c>
      <c r="AH122" s="3665">
        <f t="shared" si="44"/>
        <v>0</v>
      </c>
      <c r="AI122" s="3665">
        <f t="shared" si="50"/>
        <v>0</v>
      </c>
      <c r="AJ122" s="3665" t="e">
        <f>VLOOKUP(K117,Constructos_Módulos,3,0)</f>
        <v>#N/A</v>
      </c>
      <c r="AK122" s="3674"/>
      <c r="AL122" s="3664"/>
      <c r="AM122" s="3664"/>
      <c r="AN122" s="3664"/>
      <c r="AP122" s="3664"/>
      <c r="AQ122" s="3664"/>
    </row>
    <row r="123" spans="1:43">
      <c r="A123" s="2104"/>
      <c r="C123" s="3129" t="s">
        <v>10454</v>
      </c>
      <c r="D123" s="7011"/>
      <c r="E123" s="7012"/>
      <c r="F123" s="7013"/>
      <c r="G123" s="3130" t="str">
        <f t="shared" si="45"/>
        <v/>
      </c>
      <c r="H123" s="3131"/>
      <c r="J123" s="3129" t="s">
        <v>10454</v>
      </c>
      <c r="K123" s="7011"/>
      <c r="L123" s="7012"/>
      <c r="M123" s="7013"/>
      <c r="N123" s="3130" t="str">
        <f t="shared" si="46"/>
        <v/>
      </c>
      <c r="O123" s="3131"/>
      <c r="Q123" s="7080"/>
      <c r="R123" s="7081"/>
      <c r="S123" s="7081"/>
      <c r="T123" s="7081"/>
      <c r="U123" s="7081"/>
      <c r="V123" s="7082"/>
      <c r="X123" s="3101"/>
      <c r="Y123" s="3664"/>
      <c r="Z123" s="3665">
        <f t="shared" si="41"/>
        <v>0</v>
      </c>
      <c r="AA123" s="3665" t="str">
        <f t="shared" si="47"/>
        <v/>
      </c>
      <c r="AB123" s="3665">
        <f t="shared" si="42"/>
        <v>0</v>
      </c>
      <c r="AC123" s="3665">
        <f t="shared" si="48"/>
        <v>0</v>
      </c>
      <c r="AD123" s="3665" t="s">
        <v>9763</v>
      </c>
      <c r="AE123" s="3664"/>
      <c r="AF123" s="3665">
        <f t="shared" si="43"/>
        <v>0</v>
      </c>
      <c r="AG123" s="3665" t="str">
        <f t="shared" si="49"/>
        <v/>
      </c>
      <c r="AH123" s="3665">
        <f t="shared" si="44"/>
        <v>0</v>
      </c>
      <c r="AI123" s="3665">
        <f t="shared" si="50"/>
        <v>0</v>
      </c>
      <c r="AJ123" s="3665" t="s">
        <v>9763</v>
      </c>
      <c r="AK123" s="3674"/>
      <c r="AL123" s="3664"/>
      <c r="AM123" s="3664"/>
      <c r="AN123" s="3664"/>
      <c r="AP123" s="3664"/>
      <c r="AQ123" s="3664"/>
    </row>
    <row r="124" spans="1:43">
      <c r="A124" s="2104"/>
      <c r="C124" s="3132" t="s">
        <v>10455</v>
      </c>
      <c r="D124" s="7008"/>
      <c r="E124" s="7009"/>
      <c r="F124" s="7010"/>
      <c r="G124" s="3133" t="str">
        <f t="shared" si="45"/>
        <v/>
      </c>
      <c r="H124" s="3134"/>
      <c r="J124" s="3132" t="s">
        <v>10455</v>
      </c>
      <c r="K124" s="7008"/>
      <c r="L124" s="7009"/>
      <c r="M124" s="7010"/>
      <c r="N124" s="3133" t="str">
        <f t="shared" si="46"/>
        <v/>
      </c>
      <c r="O124" s="3134"/>
      <c r="Q124" s="7080"/>
      <c r="R124" s="7081"/>
      <c r="S124" s="7081"/>
      <c r="T124" s="7081"/>
      <c r="U124" s="7081"/>
      <c r="V124" s="7082"/>
      <c r="X124" s="3101"/>
      <c r="Y124" s="3664"/>
      <c r="Z124" s="3665">
        <f t="shared" si="41"/>
        <v>0</v>
      </c>
      <c r="AA124" s="3665" t="str">
        <f t="shared" si="47"/>
        <v/>
      </c>
      <c r="AB124" s="3665">
        <f t="shared" si="42"/>
        <v>0</v>
      </c>
      <c r="AC124" s="3665">
        <f t="shared" si="48"/>
        <v>0</v>
      </c>
      <c r="AD124" s="3664" t="e">
        <f>VLOOKUP(D118,Constructos_Atributos,5,0)</f>
        <v>#N/A</v>
      </c>
      <c r="AE124" s="3664"/>
      <c r="AF124" s="3665">
        <f t="shared" si="43"/>
        <v>0</v>
      </c>
      <c r="AG124" s="3665" t="str">
        <f t="shared" si="49"/>
        <v/>
      </c>
      <c r="AH124" s="3665">
        <f t="shared" si="44"/>
        <v>0</v>
      </c>
      <c r="AI124" s="3665">
        <f t="shared" si="50"/>
        <v>0</v>
      </c>
      <c r="AJ124" s="3664" t="e">
        <f>VLOOKUP(K118,Constructos_Atributos,5,0)</f>
        <v>#N/A</v>
      </c>
      <c r="AK124" s="3674"/>
      <c r="AL124" s="3664"/>
      <c r="AM124" s="3664"/>
      <c r="AN124" s="3664"/>
      <c r="AP124" s="3664"/>
      <c r="AQ124" s="3664"/>
    </row>
    <row r="125" spans="1:43">
      <c r="A125" s="2104"/>
      <c r="C125" s="3135" t="s">
        <v>10456</v>
      </c>
      <c r="D125" s="7014"/>
      <c r="E125" s="7015"/>
      <c r="F125" s="7016"/>
      <c r="G125" s="3136" t="str">
        <f t="shared" si="45"/>
        <v/>
      </c>
      <c r="H125" s="3137"/>
      <c r="I125" s="2737"/>
      <c r="J125" s="3135" t="s">
        <v>10456</v>
      </c>
      <c r="K125" s="7014"/>
      <c r="L125" s="7015"/>
      <c r="M125" s="7016"/>
      <c r="N125" s="3136" t="str">
        <f t="shared" si="46"/>
        <v/>
      </c>
      <c r="O125" s="3137"/>
      <c r="Q125" s="7080"/>
      <c r="R125" s="7081"/>
      <c r="S125" s="7081"/>
      <c r="T125" s="7081"/>
      <c r="U125" s="7081"/>
      <c r="V125" s="7082"/>
      <c r="X125" s="3101"/>
      <c r="Y125" s="3664"/>
      <c r="Z125" s="3665">
        <f t="shared" si="41"/>
        <v>0</v>
      </c>
      <c r="AA125" s="3665" t="str">
        <f t="shared" si="47"/>
        <v/>
      </c>
      <c r="AB125" s="3665">
        <f t="shared" si="42"/>
        <v>0</v>
      </c>
      <c r="AC125" s="3665">
        <f t="shared" si="48"/>
        <v>0</v>
      </c>
      <c r="AD125" s="3665" t="s">
        <v>10457</v>
      </c>
      <c r="AE125" s="3664"/>
      <c r="AF125" s="3665">
        <f t="shared" si="43"/>
        <v>0</v>
      </c>
      <c r="AG125" s="3665" t="str">
        <f t="shared" si="49"/>
        <v/>
      </c>
      <c r="AH125" s="3665">
        <f t="shared" si="44"/>
        <v>0</v>
      </c>
      <c r="AI125" s="3665">
        <f t="shared" si="50"/>
        <v>0</v>
      </c>
      <c r="AJ125" s="3665" t="s">
        <v>10457</v>
      </c>
      <c r="AK125" s="3674"/>
      <c r="AL125" s="3664"/>
      <c r="AM125" s="3664"/>
      <c r="AN125" s="3664"/>
      <c r="AP125" s="3664"/>
      <c r="AQ125" s="3664"/>
    </row>
    <row r="126" spans="1:43">
      <c r="A126" s="2104"/>
      <c r="C126" s="7023" t="s">
        <v>6923</v>
      </c>
      <c r="D126" s="3138"/>
      <c r="E126" s="7025"/>
      <c r="F126" s="7026"/>
      <c r="G126" s="7027" t="s">
        <v>6186</v>
      </c>
      <c r="H126" s="7028"/>
      <c r="I126" s="2737"/>
      <c r="J126" s="7023" t="s">
        <v>6923</v>
      </c>
      <c r="K126" s="3138"/>
      <c r="L126" s="7025"/>
      <c r="M126" s="7026"/>
      <c r="N126" s="7027" t="s">
        <v>6186</v>
      </c>
      <c r="O126" s="7028"/>
      <c r="Q126" s="7080"/>
      <c r="R126" s="7081"/>
      <c r="S126" s="7081"/>
      <c r="T126" s="7081"/>
      <c r="U126" s="7081"/>
      <c r="V126" s="7082"/>
      <c r="X126" s="3101"/>
      <c r="Y126" s="3664"/>
      <c r="Z126" s="3665">
        <f>IF(D126="",0,VLOOKUP(D126,Constructos_AtaqueEspecial,4,0))</f>
        <v>0</v>
      </c>
      <c r="AA126" s="3665">
        <f>IF(E126="",0,VLOOKUP(E126,Constructos_AtaqueEspecial,4,0))</f>
        <v>0</v>
      </c>
      <c r="AB126" s="3675">
        <f>IFERROR(IF(VLOOKUP(D126,Constructos_AtaqueEspecial,3,0)&gt;VLOOKUP($D$117,constructos_modulos,4,0),1,0),0)</f>
        <v>0</v>
      </c>
      <c r="AC126" s="3675">
        <f>IFERROR(IF(VLOOKUP(E126,Constructos_AtaqueEspecial,3,0)&gt;VLOOKUP($D$117,constructos_modulos,4,0),1,0),0)</f>
        <v>0</v>
      </c>
      <c r="AD126" s="3665" t="e">
        <f>IF(VLOOKUP(D118,Constructos_Atributos,4,0)="Habilidades",1,0)</f>
        <v>#N/A</v>
      </c>
      <c r="AE126" s="3664"/>
      <c r="AF126" s="3665">
        <f>IF(K126="",0,VLOOKUP(K126,Constructos_AtaqueEspecial,4,0))</f>
        <v>0</v>
      </c>
      <c r="AG126" s="3665">
        <f>IF(L126="",0,VLOOKUP(L126,Constructos_AtaqueEspecial,4,0))</f>
        <v>0</v>
      </c>
      <c r="AH126" s="3675">
        <f>IFERROR(IF(VLOOKUP(K126,Constructos_AtaqueEspecial,3,0)&gt;VLOOKUP($K$117,constructos_modulos,4,0),1,0),0)</f>
        <v>0</v>
      </c>
      <c r="AI126" s="3675">
        <f>IFERROR(IF(VLOOKUP(L126,Constructos_AtaqueEspecial,3,0)&gt;VLOOKUP($K$117,constructos_modulos,4,0),1,0),0)</f>
        <v>0</v>
      </c>
      <c r="AJ126" s="3665" t="e">
        <f>IF(VLOOKUP(K118,Constructos_Atributos,4,0)="Habilidades",1,0)</f>
        <v>#N/A</v>
      </c>
      <c r="AK126" s="3674"/>
      <c r="AL126" s="3664"/>
      <c r="AM126" s="3664"/>
      <c r="AN126" s="3664"/>
      <c r="AP126" s="3664"/>
      <c r="AQ126" s="3664"/>
    </row>
    <row r="127" spans="1:43">
      <c r="A127" s="2104"/>
      <c r="C127" s="7024"/>
      <c r="D127" s="3139"/>
      <c r="E127" s="7029"/>
      <c r="F127" s="7030"/>
      <c r="G127" s="7031"/>
      <c r="H127" s="7032"/>
      <c r="I127" s="2737"/>
      <c r="J127" s="7024"/>
      <c r="K127" s="3139"/>
      <c r="L127" s="7029"/>
      <c r="M127" s="7030"/>
      <c r="N127" s="7031"/>
      <c r="O127" s="7032"/>
      <c r="Q127" s="7080"/>
      <c r="R127" s="7081"/>
      <c r="S127" s="7081"/>
      <c r="T127" s="7081"/>
      <c r="U127" s="7081"/>
      <c r="V127" s="7082"/>
      <c r="X127" s="3101"/>
      <c r="Y127" s="3664"/>
      <c r="Z127" s="3665">
        <f>IF(D127="",0,VLOOKUP(D127,Constructos_AtaqueEspecial,4,0))</f>
        <v>0</v>
      </c>
      <c r="AA127" s="3665">
        <f>IF(E127="",0,VLOOKUP(E127,Constructos_AtaqueEspecial,4,0))</f>
        <v>0</v>
      </c>
      <c r="AB127" s="3675">
        <f>IFERROR(IF(VLOOKUP(D127,Constructos_AtaqueEspecial,3,0)&gt;VLOOKUP($D$117,constructos_modulos,4,0),1,0),0)</f>
        <v>0</v>
      </c>
      <c r="AC127" s="3675"/>
      <c r="AD127" s="3664"/>
      <c r="AE127" s="3664"/>
      <c r="AF127" s="3665">
        <f>IF(K127="",0,VLOOKUP(K127,Constructos_AtaqueEspecial,4,0))</f>
        <v>0</v>
      </c>
      <c r="AG127" s="3665">
        <f>IF(L127="",0,VLOOKUP(L127,Constructos_AtaqueEspecial,4,0))</f>
        <v>0</v>
      </c>
      <c r="AH127" s="3675">
        <f>IFERROR(IF(VLOOKUP(K127,Constructos_AtaqueEspecial,3,0)&gt;VLOOKUP($K$117,constructos_modulos,4,0),1,0),0)</f>
        <v>0</v>
      </c>
      <c r="AI127" s="3675"/>
      <c r="AJ127" s="3664"/>
      <c r="AK127" s="3674"/>
      <c r="AL127" s="3664"/>
      <c r="AM127" s="3664"/>
      <c r="AN127" s="3664"/>
      <c r="AP127" s="3664"/>
      <c r="AQ127" s="3664"/>
    </row>
    <row r="128" spans="1:43" ht="12.75" customHeight="1">
      <c r="A128" s="2104"/>
      <c r="C128" s="7023" t="s">
        <v>10397</v>
      </c>
      <c r="D128" s="3138"/>
      <c r="E128" s="7025"/>
      <c r="F128" s="7025"/>
      <c r="G128" s="7027" t="s">
        <v>6186</v>
      </c>
      <c r="H128" s="7028"/>
      <c r="I128" s="2737"/>
      <c r="J128" s="7023" t="s">
        <v>10397</v>
      </c>
      <c r="K128" s="3138"/>
      <c r="L128" s="7025"/>
      <c r="M128" s="7025"/>
      <c r="N128" s="7027" t="s">
        <v>6186</v>
      </c>
      <c r="O128" s="7028"/>
      <c r="P128" s="3145"/>
      <c r="Q128" s="7080"/>
      <c r="R128" s="7081"/>
      <c r="S128" s="7081"/>
      <c r="T128" s="7081"/>
      <c r="U128" s="7081"/>
      <c r="V128" s="7082"/>
      <c r="X128" s="3101"/>
      <c r="Y128" s="3664"/>
      <c r="Z128" s="3665">
        <f>IF(G127="",0,VLOOKUP(G127,Constructos_AtaqueEspecial,4,0))</f>
        <v>0</v>
      </c>
      <c r="AA128" s="3664"/>
      <c r="AB128" s="3675"/>
      <c r="AC128" s="3675"/>
      <c r="AD128" s="3664"/>
      <c r="AE128" s="3664"/>
      <c r="AF128" s="3665">
        <f>IF(N127="",0,VLOOKUP(N127,Constructos_AtaqueEspecial,4,0))</f>
        <v>0</v>
      </c>
      <c r="AG128" s="3664"/>
      <c r="AH128" s="3675"/>
      <c r="AI128" s="3675"/>
      <c r="AJ128" s="3664"/>
      <c r="AK128" s="3674"/>
      <c r="AL128" s="3664"/>
      <c r="AM128" s="3664"/>
      <c r="AN128" s="3664"/>
      <c r="AP128" s="3664"/>
      <c r="AQ128" s="3664"/>
    </row>
    <row r="129" spans="1:43" ht="13.5" customHeight="1">
      <c r="A129" s="2104"/>
      <c r="C129" s="7024"/>
      <c r="D129" s="7033"/>
      <c r="E129" s="7034"/>
      <c r="F129" s="7035"/>
      <c r="G129" s="7031"/>
      <c r="H129" s="7032"/>
      <c r="I129" s="2737"/>
      <c r="J129" s="7024"/>
      <c r="K129" s="7033"/>
      <c r="L129" s="7034"/>
      <c r="M129" s="7035"/>
      <c r="N129" s="7031"/>
      <c r="O129" s="7032"/>
      <c r="P129" s="3145"/>
      <c r="Q129" s="7080"/>
      <c r="R129" s="7081"/>
      <c r="S129" s="7081"/>
      <c r="T129" s="7081"/>
      <c r="U129" s="7081"/>
      <c r="V129" s="7082"/>
      <c r="X129" s="3101"/>
      <c r="Y129" s="3664"/>
      <c r="Z129" s="3665">
        <f>IF(D128="",0,VLOOKUP(D128,Constructos_EfectoEspecial,4,0))</f>
        <v>0</v>
      </c>
      <c r="AA129" s="3665">
        <f>IF(E128="",0,VLOOKUP(E128,Constructos_EfectoEspecial,4,0))</f>
        <v>0</v>
      </c>
      <c r="AB129" s="3675">
        <f>IFERROR(IF(VLOOKUP(D128,Constructos_EfectoEspecial,3,0)&gt;VLOOKUP($D$117,constructos_modulos,4,0),1,0),0)</f>
        <v>0</v>
      </c>
      <c r="AC129" s="3675">
        <f>IFERROR(IF(VLOOKUP(E128,Constructos_EfectoEspecial,3,0)&gt;VLOOKUP($D$117,constructos_modulos,4,0),1,0),0)</f>
        <v>0</v>
      </c>
      <c r="AD129" s="3664"/>
      <c r="AE129" s="3664"/>
      <c r="AF129" s="3665">
        <f>IF(K128="",0,VLOOKUP(K128,Constructos_EfectoEspecial,4,0))</f>
        <v>0</v>
      </c>
      <c r="AG129" s="3665">
        <f>IF(L128="",0,VLOOKUP(L128,Constructos_EfectoEspecial,4,0))</f>
        <v>0</v>
      </c>
      <c r="AH129" s="3675">
        <f>IFERROR(IF(VLOOKUP(K128,Constructos_EfectoEspecial,3,0)&gt;VLOOKUP($K$117,constructos_modulos,4,0),1,0),0)</f>
        <v>0</v>
      </c>
      <c r="AI129" s="3675">
        <f>IFERROR(IF(VLOOKUP(L128,Constructos_EfectoEspecial,3,0)&gt;VLOOKUP($K$117,constructos_modulos,4,0),1,0),0)</f>
        <v>0</v>
      </c>
      <c r="AJ129" s="3664" t="s">
        <v>2603</v>
      </c>
      <c r="AK129" s="3674"/>
      <c r="AL129" s="3664"/>
      <c r="AM129" s="3664"/>
      <c r="AN129" s="3664"/>
      <c r="AP129" s="3664"/>
      <c r="AQ129" s="3664"/>
    </row>
    <row r="130" spans="1:43" ht="12.75" customHeight="1">
      <c r="A130" s="2104"/>
      <c r="C130" s="7017" t="str">
        <f>IF(OR(AB126=1,AB127=1,AC126=1),"Material ataque especial insuficiente",IF(OR(AB129=1,AC129=1,AB130=1),"Material efecto especial insuficiente",IF(H130&lt;0,"Exceso de atributos","Puntos de Atributo restantes")))</f>
        <v>Puntos de Atributo restantes</v>
      </c>
      <c r="D130" s="7018"/>
      <c r="E130" s="7018"/>
      <c r="F130" s="7018"/>
      <c r="G130" s="7018"/>
      <c r="H130" s="7021" t="str">
        <f>IF(D117="","",AD120+IF(AND(OR(C11="Acero negro",C11="Acero blanco"),D117="Elektra"),1,0))</f>
        <v/>
      </c>
      <c r="I130" s="2737"/>
      <c r="J130" s="7017" t="str">
        <f>IF(OR(AH126=1,AH127=1,AI126=1),"Material ataque especial insuficiente",IF(OR(AH129=1,AI129=1,AH130=1),"Material efecto especial insuficiente",IF(O130&lt;0,"Exceso de atributos","Puntos de Atributo restantes")))</f>
        <v>Puntos de Atributo restantes</v>
      </c>
      <c r="K130" s="7018"/>
      <c r="L130" s="7018"/>
      <c r="M130" s="7018"/>
      <c r="N130" s="7018"/>
      <c r="O130" s="7021" t="str">
        <f>IF(K117="","",AJ120+IF(AND(OR(C11="Acero negro",C11="Acero blanco"),K117="Elektra"),1,0))</f>
        <v/>
      </c>
      <c r="P130" s="3145"/>
      <c r="Q130" s="7080"/>
      <c r="R130" s="7081"/>
      <c r="S130" s="7081"/>
      <c r="T130" s="7081"/>
      <c r="U130" s="7081"/>
      <c r="V130" s="7082"/>
      <c r="X130" s="3101"/>
      <c r="Y130" s="3664"/>
      <c r="Z130" s="3665">
        <f>IF(D129="",0,VLOOKUP(D129,Constructos_EfectoEspecial,4,0))</f>
        <v>0</v>
      </c>
      <c r="AA130" s="3664"/>
      <c r="AB130" s="3675">
        <f>IFERROR(IF(VLOOKUP(D129,Constructos_EfectoEspecial,3,0)&gt;VLOOKUP($D$117,constructos_modulos,4,0),1,0),0)</f>
        <v>0</v>
      </c>
      <c r="AC130" s="3675"/>
      <c r="AD130" s="3664"/>
      <c r="AE130" s="3664"/>
      <c r="AF130" s="3665">
        <f>IF(K129="",0,VLOOKUP(K129,Constructos_EfectoEspecial,4,0))</f>
        <v>0</v>
      </c>
      <c r="AG130" s="3664"/>
      <c r="AH130" s="3675">
        <f>IFERROR(IF(VLOOKUP(K129,Constructos_EfectoEspecial,3,0)&gt;VLOOKUP($K$117,constructos_modulos,4,0),1,0),0)</f>
        <v>0</v>
      </c>
      <c r="AI130" s="3675"/>
      <c r="AJ130" s="3664"/>
      <c r="AK130" s="3674"/>
      <c r="AL130" s="3664"/>
      <c r="AM130" s="3664"/>
      <c r="AN130" s="3664"/>
      <c r="AP130" s="3664"/>
      <c r="AQ130" s="3664"/>
    </row>
    <row r="131" spans="1:43" ht="13.5" customHeight="1" thickBot="1">
      <c r="A131" s="2104"/>
      <c r="C131" s="7019"/>
      <c r="D131" s="7020"/>
      <c r="E131" s="7020"/>
      <c r="F131" s="7020"/>
      <c r="G131" s="7020"/>
      <c r="H131" s="7022"/>
      <c r="I131" s="2737"/>
      <c r="J131" s="7019"/>
      <c r="K131" s="7020"/>
      <c r="L131" s="7020"/>
      <c r="M131" s="7020"/>
      <c r="N131" s="7020"/>
      <c r="O131" s="7022"/>
      <c r="P131" s="3145"/>
      <c r="Q131" s="7083"/>
      <c r="R131" s="7084"/>
      <c r="S131" s="7084"/>
      <c r="T131" s="7084"/>
      <c r="U131" s="7084"/>
      <c r="V131" s="7085"/>
      <c r="X131" s="3101"/>
      <c r="Y131" s="3664"/>
      <c r="Z131" s="3665">
        <f>IF(G129="",0,VLOOKUP(G129,Constructos_EfectoEspecial,4,0))</f>
        <v>0</v>
      </c>
      <c r="AA131" s="3664"/>
      <c r="AB131" s="3664"/>
      <c r="AC131" s="3664"/>
      <c r="AD131" s="3664"/>
      <c r="AE131" s="3664"/>
      <c r="AF131" s="3665">
        <f>IF(N129="",0,VLOOKUP(N129,Constructos_EfectoEspecial,4,0))</f>
        <v>0</v>
      </c>
      <c r="AG131" s="3664"/>
      <c r="AH131" s="3664"/>
      <c r="AI131" s="3664"/>
      <c r="AJ131" s="3664"/>
      <c r="AK131" s="3674"/>
      <c r="AL131" s="3664"/>
      <c r="AM131" s="3664"/>
      <c r="AN131" s="3664"/>
      <c r="AP131" s="3664"/>
      <c r="AQ131" s="3664"/>
    </row>
    <row r="132" spans="1:43" ht="13.5" thickBot="1">
      <c r="A132" s="2104"/>
      <c r="B132" s="3146"/>
      <c r="C132" s="3147"/>
      <c r="D132" s="3147"/>
      <c r="E132" s="3147"/>
      <c r="F132" s="3147"/>
      <c r="G132" s="3147"/>
      <c r="H132" s="3147"/>
      <c r="I132" s="3147"/>
      <c r="J132" s="3147"/>
      <c r="K132" s="3147"/>
      <c r="L132" s="3147"/>
      <c r="M132" s="3147"/>
      <c r="N132" s="3147"/>
      <c r="O132" s="3147"/>
      <c r="P132" s="3147"/>
      <c r="Q132" s="3148"/>
      <c r="R132" s="3148"/>
      <c r="S132" s="3148"/>
      <c r="T132" s="3148"/>
      <c r="U132" s="3148"/>
      <c r="V132" s="3148"/>
      <c r="W132" s="3149"/>
      <c r="X132" s="3101"/>
      <c r="Y132" s="3664"/>
      <c r="Z132" s="3665"/>
      <c r="AA132" s="3664"/>
      <c r="AB132" s="3664"/>
      <c r="AC132" s="3664"/>
      <c r="AD132" s="3664"/>
      <c r="AE132" s="3664"/>
      <c r="AF132" s="3664"/>
      <c r="AG132" s="3664"/>
      <c r="AH132" s="3664"/>
      <c r="AI132" s="3664"/>
      <c r="AJ132" s="3664"/>
      <c r="AK132" s="3674"/>
      <c r="AL132" s="3664"/>
      <c r="AM132" s="3664"/>
      <c r="AN132" s="3664"/>
      <c r="AP132" s="3664"/>
      <c r="AQ132" s="3664"/>
    </row>
    <row r="133" spans="1:43" ht="12.75" customHeight="1">
      <c r="A133" s="1297"/>
      <c r="B133" s="1297"/>
      <c r="C133" s="3150"/>
      <c r="D133" s="3150"/>
      <c r="E133" s="3150"/>
      <c r="F133" s="3150"/>
      <c r="G133" s="3151"/>
      <c r="H133" s="3151"/>
      <c r="I133" s="1297"/>
      <c r="J133" s="3150"/>
      <c r="K133" s="3150"/>
      <c r="L133" s="3150"/>
      <c r="M133" s="3150"/>
      <c r="N133" s="3151"/>
      <c r="O133" s="3151"/>
      <c r="P133" s="1297"/>
      <c r="Q133" s="3152"/>
      <c r="R133" s="3152"/>
      <c r="S133" s="3152"/>
      <c r="T133" s="3152"/>
      <c r="U133" s="3152"/>
      <c r="V133" s="3152"/>
      <c r="W133" s="1297"/>
      <c r="X133" s="1297"/>
      <c r="Z133" s="3665"/>
      <c r="AA133" s="3664"/>
      <c r="AB133" s="3664"/>
      <c r="AC133" s="3664"/>
      <c r="AD133" s="3664"/>
      <c r="AE133" s="3664"/>
      <c r="AF133" s="3664"/>
      <c r="AG133" s="3664"/>
      <c r="AH133" s="3664"/>
      <c r="AI133" s="3664"/>
      <c r="AJ133" s="3664"/>
      <c r="AK133" s="3674"/>
      <c r="AL133" s="3664"/>
      <c r="AM133" s="3664"/>
      <c r="AN133" s="3664"/>
    </row>
    <row r="134" spans="1:43" ht="12.75" customHeight="1">
      <c r="C134" s="3154"/>
      <c r="D134" s="3154"/>
      <c r="E134" s="3154"/>
      <c r="F134" s="3154"/>
      <c r="G134" s="3155"/>
      <c r="H134" s="3155"/>
      <c r="J134" s="3154"/>
      <c r="K134" s="3154"/>
      <c r="L134" s="3154"/>
      <c r="M134" s="3154"/>
      <c r="N134" s="3155"/>
      <c r="O134" s="3155"/>
      <c r="Z134" s="3665">
        <f>COUNTIF(C43:O131,"Latón")</f>
        <v>1</v>
      </c>
      <c r="AA134" s="3664"/>
      <c r="AB134" s="3664"/>
      <c r="AC134" s="3664"/>
      <c r="AD134" s="3664"/>
      <c r="AE134" s="3664"/>
      <c r="AF134" s="3664"/>
      <c r="AG134" s="3664"/>
      <c r="AH134" s="3664"/>
      <c r="AI134" s="3664"/>
      <c r="AJ134" s="3664">
        <f>AB44+AH44+AB62+AH62+AB80+AH80+AB98+AH98+AB116+AH116</f>
        <v>0</v>
      </c>
      <c r="AK134" s="3674"/>
      <c r="AL134" s="3664"/>
      <c r="AM134" s="3664"/>
      <c r="AN134" s="3664"/>
    </row>
    <row r="135" spans="1:43">
      <c r="C135" s="3156"/>
      <c r="D135" s="3153"/>
      <c r="E135" s="3153"/>
      <c r="F135" s="3153"/>
      <c r="G135" s="2608"/>
      <c r="H135" s="2608"/>
      <c r="J135" s="3156"/>
      <c r="K135" s="3153"/>
      <c r="L135" s="3153"/>
      <c r="M135" s="3153"/>
      <c r="N135" s="2608"/>
      <c r="O135" s="2608"/>
      <c r="Z135" s="3665"/>
      <c r="AA135" s="3664"/>
      <c r="AB135" s="3664"/>
      <c r="AC135" s="3664"/>
      <c r="AD135" s="3664"/>
      <c r="AE135" s="3664"/>
      <c r="AF135" s="3664"/>
      <c r="AG135" s="3664"/>
      <c r="AH135" s="3664"/>
      <c r="AI135" s="3664"/>
      <c r="AJ135" s="3664"/>
      <c r="AK135" s="3674"/>
      <c r="AL135" s="3664"/>
      <c r="AM135" s="3664"/>
      <c r="AN135" s="3664"/>
    </row>
    <row r="136" spans="1:43">
      <c r="C136" s="3156"/>
      <c r="D136" s="2737"/>
      <c r="E136" s="2737"/>
      <c r="F136" s="2737"/>
      <c r="G136" s="3157"/>
      <c r="H136" s="3156"/>
      <c r="J136" s="3156"/>
      <c r="K136" s="2737"/>
      <c r="L136" s="2737"/>
      <c r="M136" s="2737"/>
      <c r="N136" s="3157"/>
      <c r="O136" s="3156"/>
      <c r="Z136" s="3665"/>
      <c r="AA136" s="3664"/>
      <c r="AB136" s="3664"/>
      <c r="AC136" s="3664"/>
      <c r="AD136" s="3664"/>
      <c r="AE136" s="3664"/>
      <c r="AF136" s="3664"/>
      <c r="AG136" s="3664"/>
      <c r="AH136" s="3664"/>
      <c r="AI136" s="3664"/>
      <c r="AJ136" s="3664"/>
      <c r="AK136" s="3674"/>
      <c r="AL136" s="3664"/>
      <c r="AM136" s="3664"/>
      <c r="AN136" s="3664"/>
    </row>
    <row r="137" spans="1:43">
      <c r="C137" s="3157"/>
      <c r="D137" s="2737"/>
      <c r="E137" s="2737"/>
      <c r="F137" s="2737"/>
      <c r="G137" s="3156"/>
      <c r="H137" s="3153"/>
      <c r="J137" s="3157"/>
      <c r="K137" s="2737"/>
      <c r="L137" s="2737"/>
      <c r="M137" s="2737"/>
      <c r="N137" s="3156"/>
      <c r="O137" s="3153"/>
      <c r="Z137" s="3665"/>
      <c r="AA137" s="3664"/>
      <c r="AB137" s="3664"/>
      <c r="AC137" s="3664"/>
      <c r="AD137" s="3664"/>
      <c r="AE137" s="3664"/>
      <c r="AF137" s="3664"/>
      <c r="AG137" s="3664"/>
      <c r="AH137" s="3664"/>
      <c r="AI137" s="3664"/>
      <c r="AJ137" s="3664"/>
      <c r="AK137" s="3674"/>
      <c r="AL137" s="3664"/>
      <c r="AM137" s="3664"/>
      <c r="AN137" s="3664"/>
    </row>
    <row r="138" spans="1:43">
      <c r="C138" s="3157"/>
      <c r="D138" s="2737"/>
      <c r="E138" s="2737"/>
      <c r="F138" s="2737"/>
      <c r="G138" s="3156"/>
      <c r="H138" s="3153"/>
      <c r="J138" s="3157"/>
      <c r="K138" s="2737"/>
      <c r="L138" s="2737"/>
      <c r="M138" s="2737"/>
      <c r="N138" s="3156"/>
      <c r="O138" s="3153"/>
      <c r="Z138" s="3665"/>
      <c r="AA138" s="3664"/>
      <c r="AB138" s="3664"/>
      <c r="AC138" s="3664"/>
      <c r="AD138" s="3664"/>
      <c r="AE138" s="3664"/>
      <c r="AF138" s="3664"/>
      <c r="AG138" s="3664"/>
      <c r="AH138" s="3664"/>
      <c r="AI138" s="3664"/>
      <c r="AJ138" s="3664"/>
      <c r="AK138" s="3674"/>
      <c r="AL138" s="3664"/>
      <c r="AM138" s="3664"/>
      <c r="AN138" s="3664"/>
    </row>
    <row r="139" spans="1:43">
      <c r="C139" s="3157"/>
      <c r="D139" s="2737"/>
      <c r="E139" s="2737"/>
      <c r="F139" s="2737"/>
      <c r="G139" s="3156"/>
      <c r="H139" s="3153"/>
      <c r="J139" s="3157"/>
      <c r="K139" s="2737"/>
      <c r="L139" s="2737"/>
      <c r="M139" s="2737"/>
      <c r="N139" s="3156"/>
      <c r="O139" s="3153"/>
      <c r="Z139" s="3665"/>
      <c r="AA139" s="3664"/>
      <c r="AB139" s="3664"/>
      <c r="AC139" s="3664"/>
      <c r="AD139" s="3664"/>
      <c r="AE139" s="3664"/>
      <c r="AF139" s="3664"/>
      <c r="AG139" s="3664"/>
      <c r="AH139" s="3664"/>
      <c r="AI139" s="3664"/>
      <c r="AJ139" s="3664"/>
      <c r="AK139" s="3674"/>
      <c r="AL139" s="3664"/>
      <c r="AM139" s="3664"/>
      <c r="AN139" s="3664"/>
    </row>
    <row r="140" spans="1:43">
      <c r="C140" s="3157"/>
      <c r="D140" s="2737"/>
      <c r="E140" s="2737"/>
      <c r="F140" s="2737"/>
      <c r="G140" s="3156"/>
      <c r="H140" s="3153"/>
      <c r="J140" s="3157"/>
      <c r="K140" s="2737"/>
      <c r="L140" s="2737"/>
      <c r="M140" s="2737"/>
      <c r="N140" s="3156"/>
      <c r="O140" s="3153"/>
      <c r="Z140" s="3665"/>
      <c r="AA140" s="3664"/>
      <c r="AB140" s="3664"/>
      <c r="AC140" s="3664"/>
      <c r="AD140" s="3664"/>
      <c r="AE140" s="3664"/>
      <c r="AF140" s="3664"/>
      <c r="AG140" s="3664"/>
      <c r="AH140" s="3664"/>
      <c r="AI140" s="3664"/>
      <c r="AJ140" s="3664"/>
      <c r="AK140" s="3674"/>
      <c r="AL140" s="3664"/>
      <c r="AM140" s="3664"/>
      <c r="AN140" s="3664"/>
    </row>
    <row r="141" spans="1:43">
      <c r="C141" s="3157"/>
      <c r="D141" s="2737"/>
      <c r="E141" s="2737"/>
      <c r="F141" s="2737"/>
      <c r="G141" s="3156"/>
      <c r="H141" s="3153"/>
      <c r="J141" s="3157"/>
      <c r="K141" s="2737"/>
      <c r="L141" s="2737"/>
      <c r="M141" s="2737"/>
      <c r="N141" s="3156"/>
      <c r="O141" s="3153"/>
      <c r="Z141" s="3665"/>
      <c r="AA141" s="3664"/>
      <c r="AB141" s="3664"/>
      <c r="AC141" s="3664"/>
      <c r="AD141" s="3664"/>
      <c r="AE141" s="3664"/>
      <c r="AF141" s="3664"/>
      <c r="AG141" s="3664"/>
      <c r="AH141" s="3664"/>
      <c r="AI141" s="3664"/>
      <c r="AJ141" s="3664"/>
      <c r="AK141" s="3674"/>
      <c r="AL141" s="3664"/>
      <c r="AM141" s="3664"/>
      <c r="AN141" s="3664"/>
    </row>
    <row r="142" spans="1:43" ht="12.75" customHeight="1">
      <c r="C142" s="3157"/>
      <c r="D142" s="2737"/>
      <c r="E142" s="2737"/>
      <c r="F142" s="2737"/>
      <c r="G142" s="3156"/>
      <c r="H142" s="3153"/>
      <c r="J142" s="3157"/>
      <c r="K142" s="2737"/>
      <c r="L142" s="2737"/>
      <c r="M142" s="2737"/>
      <c r="N142" s="3156"/>
      <c r="O142" s="3153"/>
      <c r="Z142" s="3665"/>
      <c r="AA142" s="3664"/>
      <c r="AB142" s="3664"/>
      <c r="AC142" s="3664"/>
      <c r="AD142" s="3664"/>
      <c r="AE142" s="3664"/>
      <c r="AF142" s="3664"/>
      <c r="AG142" s="3664"/>
      <c r="AH142" s="3664"/>
      <c r="AI142" s="3664"/>
      <c r="AJ142" s="3664"/>
      <c r="AK142" s="3674"/>
      <c r="AL142" s="3664"/>
      <c r="AM142" s="3664"/>
      <c r="AN142" s="3664"/>
    </row>
    <row r="143" spans="1:43" ht="13.5" customHeight="1">
      <c r="C143" s="3157"/>
      <c r="D143" s="2737"/>
      <c r="E143" s="2737"/>
      <c r="F143" s="2737"/>
      <c r="G143" s="3156"/>
      <c r="H143" s="3153"/>
      <c r="I143" s="2737"/>
      <c r="J143" s="3157"/>
      <c r="K143" s="2737"/>
      <c r="L143" s="2737"/>
      <c r="M143" s="2737"/>
      <c r="N143" s="3156"/>
      <c r="O143" s="3153"/>
      <c r="Z143" s="3665"/>
      <c r="AA143" s="3664"/>
      <c r="AB143" s="3664"/>
      <c r="AC143" s="3664"/>
      <c r="AD143" s="3664"/>
      <c r="AE143" s="3664"/>
      <c r="AF143" s="3664"/>
      <c r="AG143" s="3664"/>
      <c r="AH143" s="3664"/>
      <c r="AI143" s="3664"/>
      <c r="AJ143" s="3664"/>
      <c r="AK143" s="3674"/>
      <c r="AL143" s="3664"/>
      <c r="AM143" s="3664"/>
      <c r="AN143" s="3664"/>
    </row>
    <row r="144" spans="1:43">
      <c r="C144" s="3158"/>
      <c r="D144" s="3156"/>
      <c r="E144" s="3156"/>
      <c r="F144" s="3156"/>
      <c r="G144" s="3157"/>
      <c r="H144" s="3157"/>
      <c r="I144" s="2737"/>
      <c r="J144" s="3158"/>
      <c r="K144" s="3156"/>
      <c r="L144" s="3156"/>
      <c r="M144" s="3156"/>
      <c r="N144" s="3157"/>
      <c r="O144" s="3157"/>
      <c r="Z144" s="3665"/>
      <c r="AA144" s="3664"/>
      <c r="AB144" s="3664"/>
      <c r="AC144" s="3664"/>
      <c r="AD144" s="3664"/>
      <c r="AE144" s="3664"/>
      <c r="AF144" s="3664"/>
      <c r="AG144" s="3664"/>
      <c r="AH144" s="3664"/>
      <c r="AI144" s="3664"/>
      <c r="AJ144" s="3664"/>
      <c r="AK144" s="3674"/>
      <c r="AL144" s="3664"/>
      <c r="AM144" s="3664"/>
      <c r="AN144" s="3664"/>
    </row>
    <row r="145" spans="3:40">
      <c r="C145" s="3158"/>
      <c r="D145" s="3156"/>
      <c r="E145" s="3156"/>
      <c r="F145" s="3156"/>
      <c r="G145" s="3153"/>
      <c r="H145" s="3153"/>
      <c r="I145" s="2737"/>
      <c r="J145" s="3158"/>
      <c r="K145" s="3156"/>
      <c r="L145" s="3156"/>
      <c r="M145" s="3156"/>
      <c r="N145" s="3153"/>
      <c r="O145" s="3153"/>
      <c r="Z145" s="3665"/>
      <c r="AA145" s="3664"/>
      <c r="AB145" s="3664"/>
      <c r="AC145" s="3664"/>
      <c r="AD145" s="3664"/>
      <c r="AE145" s="3664"/>
      <c r="AF145" s="3664"/>
      <c r="AG145" s="3664"/>
      <c r="AH145" s="3664"/>
      <c r="AI145" s="3664"/>
      <c r="AJ145" s="3664"/>
      <c r="AK145" s="3674"/>
      <c r="AL145" s="3664"/>
      <c r="AM145" s="3664"/>
      <c r="AN145" s="3664"/>
    </row>
    <row r="146" spans="3:40">
      <c r="C146" s="3158"/>
      <c r="D146" s="3156"/>
      <c r="E146" s="3156"/>
      <c r="F146" s="3156"/>
      <c r="G146" s="3157"/>
      <c r="H146" s="3157"/>
      <c r="I146" s="2737"/>
      <c r="J146" s="3158"/>
      <c r="K146" s="3156"/>
      <c r="L146" s="3156"/>
      <c r="M146" s="3156"/>
      <c r="N146" s="3157"/>
      <c r="O146" s="3157"/>
      <c r="Z146" s="3665"/>
      <c r="AA146" s="3664"/>
      <c r="AB146" s="3664"/>
      <c r="AC146" s="3664"/>
      <c r="AD146" s="3664"/>
      <c r="AE146" s="3664"/>
      <c r="AF146" s="3664"/>
      <c r="AG146" s="3664"/>
      <c r="AH146" s="3664"/>
      <c r="AI146" s="3664"/>
      <c r="AJ146" s="3664"/>
      <c r="AK146" s="3674"/>
      <c r="AL146" s="3664"/>
      <c r="AM146" s="3664"/>
      <c r="AN146" s="3664"/>
    </row>
    <row r="147" spans="3:40">
      <c r="C147" s="3158"/>
      <c r="D147" s="3156"/>
      <c r="E147" s="3156"/>
      <c r="F147" s="3156"/>
      <c r="G147" s="3153"/>
      <c r="H147" s="3153"/>
      <c r="I147" s="2737"/>
      <c r="J147" s="3158"/>
      <c r="K147" s="3156"/>
      <c r="L147" s="3156"/>
      <c r="M147" s="3156"/>
      <c r="N147" s="3153"/>
      <c r="O147" s="3153"/>
      <c r="Z147" s="3665"/>
      <c r="AA147" s="3664"/>
      <c r="AB147" s="3664"/>
      <c r="AC147" s="3664"/>
      <c r="AD147" s="3664"/>
      <c r="AE147" s="3664"/>
      <c r="AF147" s="3664"/>
      <c r="AG147" s="3664"/>
      <c r="AH147" s="3664"/>
      <c r="AI147" s="3664"/>
      <c r="AJ147" s="3664"/>
      <c r="AK147" s="3674"/>
      <c r="AL147" s="3664"/>
      <c r="AM147" s="3664"/>
      <c r="AN147" s="3664"/>
    </row>
    <row r="148" spans="3:40">
      <c r="C148" s="3156"/>
      <c r="D148" s="3156"/>
      <c r="E148" s="3156"/>
      <c r="F148" s="3156"/>
      <c r="G148" s="3153"/>
      <c r="H148" s="3153"/>
      <c r="I148" s="2737"/>
      <c r="J148" s="3156"/>
      <c r="K148" s="3156"/>
      <c r="L148" s="3156"/>
      <c r="M148" s="3156"/>
      <c r="N148" s="3153"/>
      <c r="O148" s="3153"/>
      <c r="Z148" s="3665"/>
      <c r="AA148" s="3664"/>
      <c r="AB148" s="3664"/>
      <c r="AC148" s="3664"/>
      <c r="AD148" s="3664"/>
      <c r="AE148" s="3664"/>
      <c r="AF148" s="3664"/>
      <c r="AG148" s="3664"/>
      <c r="AH148" s="3664"/>
      <c r="AI148" s="3664"/>
      <c r="AJ148" s="3664"/>
      <c r="AK148" s="3684"/>
      <c r="AL148" s="3664"/>
      <c r="AM148" s="3664"/>
      <c r="AN148" s="3664"/>
    </row>
    <row r="149" spans="3:40">
      <c r="C149" s="3156"/>
      <c r="D149" s="3156"/>
      <c r="E149" s="3156"/>
      <c r="F149" s="3156"/>
      <c r="G149" s="3156"/>
      <c r="H149" s="3156"/>
      <c r="I149" s="2737"/>
      <c r="J149" s="3156"/>
      <c r="K149" s="3156"/>
      <c r="L149" s="3156"/>
      <c r="M149" s="3156"/>
      <c r="N149" s="3156"/>
      <c r="O149" s="3156"/>
      <c r="Z149" s="3665"/>
      <c r="AA149" s="3664"/>
      <c r="AB149" s="3664"/>
      <c r="AC149" s="3664"/>
      <c r="AD149" s="3664"/>
      <c r="AE149" s="3664"/>
      <c r="AF149" s="3664"/>
      <c r="AG149" s="3664"/>
      <c r="AH149" s="3664"/>
      <c r="AI149" s="3664"/>
      <c r="AJ149" s="3664"/>
      <c r="AK149" s="3685"/>
      <c r="AL149" s="3664"/>
      <c r="AM149" s="3664"/>
      <c r="AN149" s="3664"/>
    </row>
    <row r="150" spans="3:40">
      <c r="Z150" s="3665"/>
      <c r="AA150" s="3664"/>
      <c r="AB150" s="3664"/>
      <c r="AC150" s="3664"/>
      <c r="AD150" s="3664"/>
      <c r="AE150" s="3664"/>
      <c r="AF150" s="3664"/>
      <c r="AG150" s="3664"/>
      <c r="AH150" s="3664"/>
      <c r="AI150" s="3664"/>
      <c r="AJ150" s="3664"/>
      <c r="AK150" s="3684"/>
      <c r="AL150" s="3664"/>
      <c r="AM150" s="3664"/>
      <c r="AN150" s="3664"/>
    </row>
    <row r="151" spans="3:40">
      <c r="Z151" s="3665"/>
      <c r="AA151" s="3664"/>
      <c r="AB151" s="3664"/>
      <c r="AC151" s="3664"/>
      <c r="AD151" s="3664"/>
      <c r="AE151" s="3664"/>
      <c r="AF151" s="3664"/>
      <c r="AG151" s="3664"/>
      <c r="AH151" s="3664"/>
      <c r="AI151" s="3664"/>
      <c r="AJ151" s="3664"/>
      <c r="AK151" s="3685"/>
      <c r="AL151" s="3664"/>
      <c r="AM151" s="3664"/>
      <c r="AN151" s="3664"/>
    </row>
    <row r="152" spans="3:40">
      <c r="Z152" s="3665"/>
      <c r="AA152" s="3664"/>
      <c r="AB152" s="3664"/>
      <c r="AC152" s="3664"/>
      <c r="AD152" s="3664"/>
      <c r="AE152" s="3664"/>
      <c r="AF152" s="3664"/>
      <c r="AG152" s="3664"/>
      <c r="AH152" s="3664"/>
      <c r="AI152" s="3664"/>
      <c r="AJ152" s="3664"/>
      <c r="AK152" s="3684"/>
      <c r="AL152" s="3664"/>
      <c r="AM152" s="3664"/>
      <c r="AN152" s="3664"/>
    </row>
    <row r="153" spans="3:40">
      <c r="Z153" s="3665"/>
      <c r="AA153" s="3664"/>
      <c r="AB153" s="3664"/>
      <c r="AC153" s="3664"/>
      <c r="AD153" s="3664"/>
      <c r="AE153" s="3664"/>
      <c r="AF153" s="3664"/>
      <c r="AG153" s="3664"/>
      <c r="AH153" s="3664"/>
      <c r="AI153" s="3664"/>
      <c r="AJ153" s="3664"/>
      <c r="AK153" s="3685"/>
      <c r="AL153" s="3664"/>
      <c r="AM153" s="3664"/>
      <c r="AN153" s="3664"/>
    </row>
    <row r="154" spans="3:40">
      <c r="Z154" s="3665"/>
      <c r="AA154" s="3664"/>
      <c r="AB154" s="3664"/>
      <c r="AC154" s="3664"/>
      <c r="AD154" s="3664"/>
      <c r="AE154" s="3664"/>
      <c r="AF154" s="3664"/>
      <c r="AG154" s="3664"/>
      <c r="AH154" s="3664"/>
      <c r="AI154" s="3664"/>
      <c r="AJ154" s="3664"/>
      <c r="AK154" s="3684"/>
      <c r="AL154" s="3664"/>
      <c r="AM154" s="3664"/>
      <c r="AN154" s="3664"/>
    </row>
    <row r="155" spans="3:40">
      <c r="Z155" s="3665"/>
      <c r="AA155" s="3664"/>
      <c r="AB155" s="3664"/>
      <c r="AC155" s="3664"/>
      <c r="AD155" s="3664"/>
      <c r="AE155" s="3664"/>
      <c r="AF155" s="3664"/>
      <c r="AG155" s="3664"/>
      <c r="AH155" s="3664"/>
      <c r="AI155" s="3664"/>
      <c r="AJ155" s="3664"/>
      <c r="AK155" s="3685"/>
      <c r="AL155" s="3664"/>
      <c r="AM155" s="3664"/>
      <c r="AN155" s="3664"/>
    </row>
    <row r="156" spans="3:40" ht="12.75" customHeight="1">
      <c r="Z156" s="3665"/>
      <c r="AA156" s="3664"/>
      <c r="AB156" s="3664"/>
      <c r="AC156" s="3664"/>
      <c r="AD156" s="3664"/>
      <c r="AE156" s="3664"/>
      <c r="AF156" s="3664"/>
      <c r="AG156" s="3664"/>
      <c r="AH156" s="3664"/>
      <c r="AI156" s="3664"/>
      <c r="AJ156" s="3664"/>
      <c r="AK156" s="3684"/>
      <c r="AL156" s="3664"/>
      <c r="AM156" s="3664"/>
      <c r="AN156" s="3664"/>
    </row>
    <row r="157" spans="3:40" ht="13.5" customHeight="1">
      <c r="Z157" s="3665"/>
      <c r="AA157" s="3664"/>
      <c r="AB157" s="3664"/>
      <c r="AC157" s="3664"/>
      <c r="AD157" s="3664"/>
      <c r="AE157" s="3664"/>
      <c r="AF157" s="3664"/>
      <c r="AG157" s="3664"/>
      <c r="AH157" s="3664"/>
      <c r="AI157" s="3664"/>
      <c r="AJ157" s="3664"/>
      <c r="AK157" s="3685"/>
      <c r="AL157" s="3664"/>
      <c r="AM157" s="3664"/>
      <c r="AN157" s="3664"/>
    </row>
    <row r="158" spans="3:40">
      <c r="Z158" s="3665"/>
      <c r="AA158" s="3664"/>
      <c r="AB158" s="3664"/>
      <c r="AC158" s="3664"/>
      <c r="AD158" s="3664"/>
      <c r="AE158" s="3664"/>
      <c r="AF158" s="3664"/>
      <c r="AG158" s="3664"/>
      <c r="AH158" s="3664"/>
      <c r="AI158" s="3664"/>
      <c r="AJ158" s="3664"/>
      <c r="AK158" s="3684"/>
      <c r="AL158" s="3664"/>
      <c r="AM158" s="3664"/>
      <c r="AN158" s="3664"/>
    </row>
    <row r="159" spans="3:40">
      <c r="Z159" s="3665"/>
      <c r="AA159" s="3664"/>
      <c r="AB159" s="3664"/>
      <c r="AC159" s="3664"/>
      <c r="AD159" s="3664"/>
      <c r="AE159" s="3664"/>
      <c r="AF159" s="3664"/>
      <c r="AG159" s="3664"/>
      <c r="AH159" s="3664"/>
      <c r="AI159" s="3664"/>
      <c r="AJ159" s="3664"/>
      <c r="AK159" s="3685"/>
      <c r="AL159" s="3664"/>
      <c r="AM159" s="3664"/>
      <c r="AN159" s="3664"/>
    </row>
    <row r="160" spans="3:40">
      <c r="Z160" s="3665"/>
      <c r="AA160" s="3664"/>
      <c r="AB160" s="3664"/>
      <c r="AC160" s="3664"/>
      <c r="AD160" s="3664"/>
      <c r="AE160" s="3664"/>
      <c r="AF160" s="3664"/>
      <c r="AG160" s="3664"/>
      <c r="AH160" s="3664"/>
      <c r="AI160" s="3664"/>
      <c r="AJ160" s="3664"/>
      <c r="AK160" s="3684"/>
      <c r="AL160" s="3664"/>
      <c r="AM160" s="3664"/>
      <c r="AN160" s="3664"/>
    </row>
    <row r="161" spans="26:40">
      <c r="Z161" s="3665"/>
      <c r="AA161" s="3664"/>
      <c r="AB161" s="3664"/>
      <c r="AC161" s="3664"/>
      <c r="AD161" s="3664"/>
      <c r="AE161" s="3664"/>
      <c r="AF161" s="3664"/>
      <c r="AG161" s="3664"/>
      <c r="AH161" s="3664"/>
      <c r="AI161" s="3664"/>
      <c r="AJ161" s="3664"/>
      <c r="AK161" s="3685"/>
      <c r="AL161" s="3664"/>
      <c r="AM161" s="3664"/>
      <c r="AN161" s="3664"/>
    </row>
    <row r="162" spans="26:40">
      <c r="AK162" s="3159"/>
    </row>
    <row r="163" spans="26:40">
      <c r="AK163" s="3160"/>
    </row>
    <row r="164" spans="26:40">
      <c r="AK164" s="3159"/>
    </row>
    <row r="165" spans="26:40">
      <c r="AK165" s="3160"/>
    </row>
    <row r="166" spans="26:40">
      <c r="AK166" s="3159"/>
    </row>
    <row r="167" spans="26:40">
      <c r="AK167" s="3160"/>
    </row>
    <row r="168" spans="26:40">
      <c r="AK168" s="3159"/>
    </row>
    <row r="169" spans="26:40">
      <c r="AK169" s="3160"/>
    </row>
    <row r="170" spans="26:40">
      <c r="AK170" s="3159"/>
    </row>
    <row r="171" spans="26:40">
      <c r="AK171" s="3160"/>
    </row>
    <row r="172" spans="26:40">
      <c r="AK172" s="3159"/>
    </row>
    <row r="173" spans="26:40">
      <c r="AK173" s="3160"/>
    </row>
    <row r="174" spans="26:40">
      <c r="AK174" s="3159"/>
    </row>
    <row r="175" spans="26:40">
      <c r="AK175" s="3160"/>
    </row>
    <row r="176" spans="26:40">
      <c r="AK176" s="3159"/>
    </row>
    <row r="177" spans="37:37">
      <c r="AK177" s="2788"/>
    </row>
    <row r="178" spans="37:37">
      <c r="AK178" s="3160"/>
    </row>
    <row r="179" spans="37:37">
      <c r="AK179" s="3159"/>
    </row>
    <row r="180" spans="37:37">
      <c r="AK180" s="3160"/>
    </row>
    <row r="181" spans="37:37">
      <c r="AK181" s="3159"/>
    </row>
    <row r="182" spans="37:37">
      <c r="AK182" s="3160"/>
    </row>
    <row r="183" spans="37:37">
      <c r="AK183" s="3159"/>
    </row>
    <row r="184" spans="37:37">
      <c r="AK184" s="3160"/>
    </row>
    <row r="185" spans="37:37">
      <c r="AK185" s="3159"/>
    </row>
    <row r="186" spans="37:37">
      <c r="AK186" s="3160"/>
    </row>
    <row r="187" spans="37:37">
      <c r="AK187" s="3159"/>
    </row>
    <row r="188" spans="37:37">
      <c r="AK188" s="3160"/>
    </row>
    <row r="189" spans="37:37">
      <c r="AK189" s="3159"/>
    </row>
    <row r="190" spans="37:37">
      <c r="AK190" s="3160"/>
    </row>
    <row r="191" spans="37:37">
      <c r="AK191" s="3159"/>
    </row>
    <row r="192" spans="37:37">
      <c r="AK192" s="3160"/>
    </row>
    <row r="193" spans="37:37">
      <c r="AK193" s="3159"/>
    </row>
    <row r="194" spans="37:37">
      <c r="AK194" s="3160"/>
    </row>
    <row r="195" spans="37:37">
      <c r="AK195" s="3159"/>
    </row>
    <row r="196" spans="37:37">
      <c r="AK196" s="3160"/>
    </row>
    <row r="197" spans="37:37">
      <c r="AK197" s="3159"/>
    </row>
    <row r="198" spans="37:37">
      <c r="AK198" s="3160"/>
    </row>
    <row r="199" spans="37:37">
      <c r="AK199" s="3159"/>
    </row>
    <row r="200" spans="37:37">
      <c r="AK200" s="3153"/>
    </row>
    <row r="201" spans="37:37">
      <c r="AK201" s="3153"/>
    </row>
    <row r="202" spans="37:37">
      <c r="AK202" s="3153"/>
    </row>
    <row r="203" spans="37:37">
      <c r="AK203" s="3153"/>
    </row>
    <row r="204" spans="37:37">
      <c r="AK204" s="3153"/>
    </row>
    <row r="205" spans="37:37">
      <c r="AK205" s="3153"/>
    </row>
    <row r="206" spans="37:37">
      <c r="AK206" s="3153"/>
    </row>
    <row r="207" spans="37:37">
      <c r="AK207" s="3153"/>
    </row>
    <row r="208" spans="37:37">
      <c r="AK208" s="3153"/>
    </row>
    <row r="209" spans="37:37">
      <c r="AK209" s="3153"/>
    </row>
    <row r="210" spans="37:37">
      <c r="AK210" s="3153"/>
    </row>
    <row r="211" spans="37:37">
      <c r="AK211" s="3153"/>
    </row>
    <row r="212" spans="37:37">
      <c r="AK212" s="3153"/>
    </row>
    <row r="213" spans="37:37">
      <c r="AK213" s="3153"/>
    </row>
    <row r="214" spans="37:37">
      <c r="AK214" s="3153"/>
    </row>
    <row r="215" spans="37:37">
      <c r="AK215" s="3153"/>
    </row>
    <row r="216" spans="37:37">
      <c r="AK216" s="3153"/>
    </row>
    <row r="217" spans="37:37">
      <c r="AK217" s="3153"/>
    </row>
    <row r="218" spans="37:37">
      <c r="AK218" s="3153"/>
    </row>
    <row r="219" spans="37:37">
      <c r="AK219" s="3153"/>
    </row>
    <row r="220" spans="37:37">
      <c r="AK220" s="3153"/>
    </row>
    <row r="221" spans="37:37">
      <c r="AK221" s="3153"/>
    </row>
    <row r="222" spans="37:37">
      <c r="AK222" s="3153"/>
    </row>
    <row r="223" spans="37:37">
      <c r="AK223" s="3153"/>
    </row>
    <row r="224" spans="37:37">
      <c r="AK224" s="3153"/>
    </row>
    <row r="225" spans="37:37">
      <c r="AK225" s="3153"/>
    </row>
    <row r="226" spans="37:37">
      <c r="AK226" s="3153"/>
    </row>
    <row r="227" spans="37:37">
      <c r="AK227" s="3153"/>
    </row>
    <row r="228" spans="37:37">
      <c r="AK228" s="3153"/>
    </row>
    <row r="229" spans="37:37">
      <c r="AK229" s="3153"/>
    </row>
    <row r="230" spans="37:37">
      <c r="AK230" s="3153"/>
    </row>
    <row r="231" spans="37:37">
      <c r="AK231" s="3153"/>
    </row>
    <row r="232" spans="37:37">
      <c r="AK232" s="3153"/>
    </row>
    <row r="233" spans="37:37">
      <c r="AK233" s="3153"/>
    </row>
    <row r="234" spans="37:37">
      <c r="AK234" s="3153"/>
    </row>
    <row r="235" spans="37:37">
      <c r="AK235" s="3153"/>
    </row>
    <row r="236" spans="37:37">
      <c r="AK236" s="3153"/>
    </row>
    <row r="237" spans="37:37">
      <c r="AK237" s="3153"/>
    </row>
    <row r="238" spans="37:37">
      <c r="AK238" s="3153"/>
    </row>
    <row r="239" spans="37:37">
      <c r="AK239" s="3153"/>
    </row>
    <row r="240" spans="37:37">
      <c r="AK240" s="3153"/>
    </row>
    <row r="241" spans="37:37">
      <c r="AK241" s="3153"/>
    </row>
    <row r="242" spans="37:37">
      <c r="AK242" s="3153"/>
    </row>
  </sheetData>
  <sheetProtection sheet="1" selectLockedCells="1"/>
  <protectedRanges>
    <protectedRange sqref="H11:H15" name="Características"/>
  </protectedRanges>
  <dataConsolidate/>
  <mergeCells count="443">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N115:O116"/>
    <mergeCell ref="G111:H111"/>
    <mergeCell ref="K111:M111"/>
    <mergeCell ref="N111:O111"/>
    <mergeCell ref="C112:G113"/>
    <mergeCell ref="H112:H113"/>
    <mergeCell ref="J112:N113"/>
    <mergeCell ref="O112:O113"/>
    <mergeCell ref="N110:O110"/>
    <mergeCell ref="D111:F111"/>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96:S96"/>
    <mergeCell ref="T96:V96"/>
    <mergeCell ref="Q87:S87"/>
    <mergeCell ref="Q88:S88"/>
    <mergeCell ref="Q89:S89"/>
    <mergeCell ref="T87:V87"/>
    <mergeCell ref="T88:V88"/>
    <mergeCell ref="T89:V89"/>
    <mergeCell ref="E91:F91"/>
    <mergeCell ref="G91:H91"/>
    <mergeCell ref="L91:M91"/>
    <mergeCell ref="N91:O91"/>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69:F69"/>
    <mergeCell ref="K69:M69"/>
    <mergeCell ref="D70:F70"/>
    <mergeCell ref="K70:M70"/>
    <mergeCell ref="E73:F73"/>
    <mergeCell ref="G73:H73"/>
    <mergeCell ref="L73:M73"/>
    <mergeCell ref="N73:O73"/>
    <mergeCell ref="D71:F71"/>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C56:C57"/>
    <mergeCell ref="E56:F56"/>
    <mergeCell ref="G56:H56"/>
    <mergeCell ref="J56:J57"/>
    <mergeCell ref="L56:M56"/>
    <mergeCell ref="N56:O56"/>
    <mergeCell ref="D57:F57"/>
    <mergeCell ref="G57:H57"/>
    <mergeCell ref="K57:M57"/>
    <mergeCell ref="N57:O57"/>
    <mergeCell ref="C54:C55"/>
    <mergeCell ref="E54:F54"/>
    <mergeCell ref="G54:H54"/>
    <mergeCell ref="J54:J55"/>
    <mergeCell ref="L54:M54"/>
    <mergeCell ref="N54:O54"/>
    <mergeCell ref="E55:F55"/>
    <mergeCell ref="G55:H55"/>
    <mergeCell ref="L55:M55"/>
    <mergeCell ref="N55:O55"/>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R42:T42"/>
    <mergeCell ref="C43:F44"/>
    <mergeCell ref="G43:H44"/>
    <mergeCell ref="J43:M44"/>
    <mergeCell ref="N43:O44"/>
    <mergeCell ref="R43:T43"/>
    <mergeCell ref="R44:T44"/>
    <mergeCell ref="C40:K40"/>
    <mergeCell ref="M40:N40"/>
    <mergeCell ref="R40:T40"/>
    <mergeCell ref="C41:K41"/>
    <mergeCell ref="M41:N41"/>
    <mergeCell ref="R41:T41"/>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s>
  <conditionalFormatting sqref="V10">
    <cfRule type="cellIs" dxfId="1957" priority="9" stopIfTrue="1" operator="lessThan">
      <formula>0</formula>
    </cfRule>
  </conditionalFormatting>
  <conditionalFormatting sqref="H58:H59 O58:O59 H76:H77 O76:O77 H94:H95 O94:O95 H112:H113 O112:O113 H130:H131 O130:O131">
    <cfRule type="cellIs" dxfId="1956" priority="8" operator="lessThan">
      <formula>0</formula>
    </cfRule>
  </conditionalFormatting>
  <conditionalFormatting sqref="C58:G59 J58:N59 C76:G77 C94:G95 C112:G113 C130:G131 J76:N77 J94:N95 J112:N113 J130:N131">
    <cfRule type="containsText" dxfId="1955" priority="7" operator="containsText" text="Exceso de atributos">
      <formula>NOT(ISERROR(SEARCH("Exceso de atributos",C58)))</formula>
    </cfRule>
  </conditionalFormatting>
  <conditionalFormatting sqref="J130:N131 C130:G131 J112:N113 C112:G113 J94:N95 C94:G95 J76:N77 C76:G77 J58:N59 C58:G59">
    <cfRule type="containsText" dxfId="1954" priority="5" operator="containsText" text="Material efecto especial insuficiente">
      <formula>NOT(ISERROR(SEARCH("Material efecto especial insuficiente",C58)))</formula>
    </cfRule>
    <cfRule type="containsText" dxfId="1953" priority="6" operator="containsText" text="Material ataque especial insuficiente">
      <formula>NOT(ISERROR(SEARCH("Material ataque especial insuficiente",C58)))</formula>
    </cfRule>
  </conditionalFormatting>
  <conditionalFormatting sqref="Z25:AA25">
    <cfRule type="expression" dxfId="1952" priority="4">
      <formula>$Z$18=1</formula>
    </cfRule>
  </conditionalFormatting>
  <conditionalFormatting sqref="Z26:AA28">
    <cfRule type="expression" dxfId="1951"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G11" sqref="G11:G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08" customWidth="1"/>
    <col min="21" max="21" width="7.7109375" style="70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30" customWidth="1"/>
    <col min="37" max="37" width="1.7109375" style="530" customWidth="1"/>
    <col min="38" max="38" width="7.5703125" style="826" customWidth="1"/>
    <col min="39" max="39" width="7" style="826"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769"/>
      <c r="S1" s="769"/>
      <c r="T1" s="769"/>
      <c r="U1" s="769"/>
      <c r="V1" s="29"/>
      <c r="W1" s="29"/>
      <c r="X1" s="29"/>
      <c r="Y1" s="29"/>
      <c r="Z1" s="29"/>
      <c r="AA1" s="29"/>
      <c r="AB1" s="29"/>
      <c r="AC1" s="29"/>
      <c r="AD1" s="29"/>
      <c r="AE1" s="29"/>
      <c r="AF1" s="29"/>
      <c r="AG1" s="29"/>
      <c r="AH1" s="29"/>
      <c r="AI1" s="29"/>
      <c r="AJ1" s="529"/>
      <c r="AK1" s="529"/>
      <c r="AL1" s="2600" t="s">
        <v>8292</v>
      </c>
      <c r="AM1" s="2603"/>
    </row>
    <row r="2" spans="1:39" ht="12" customHeight="1" thickBot="1">
      <c r="A2" s="29"/>
      <c r="B2" s="618"/>
      <c r="C2" s="619"/>
      <c r="D2" s="619"/>
      <c r="E2" s="619"/>
      <c r="F2" s="619"/>
      <c r="G2" s="619"/>
      <c r="H2" s="619"/>
      <c r="I2" s="619"/>
      <c r="J2" s="619"/>
      <c r="K2" s="619"/>
      <c r="L2" s="619"/>
      <c r="M2" s="619"/>
      <c r="N2" s="619"/>
      <c r="O2" s="619"/>
      <c r="P2" s="619"/>
      <c r="Q2" s="619"/>
      <c r="R2" s="619"/>
      <c r="S2" s="619"/>
      <c r="T2" s="619"/>
      <c r="U2" s="619"/>
      <c r="V2" s="619"/>
      <c r="W2" s="619"/>
      <c r="X2" s="619"/>
      <c r="Y2" s="619"/>
      <c r="Z2" s="619"/>
      <c r="AA2" s="619"/>
      <c r="AB2" s="619"/>
      <c r="AC2" s="619"/>
      <c r="AD2" s="619"/>
      <c r="AE2" s="619"/>
      <c r="AF2" s="619"/>
      <c r="AG2" s="619"/>
      <c r="AH2" s="619"/>
      <c r="AI2" s="619"/>
      <c r="AJ2" s="684"/>
      <c r="AK2" s="529"/>
      <c r="AL2" s="2603"/>
      <c r="AM2" s="2603"/>
    </row>
    <row r="3" spans="1:39" ht="12" customHeight="1" thickBot="1">
      <c r="A3" s="29"/>
      <c r="B3" s="443"/>
      <c r="C3" s="6582" t="s">
        <v>9687</v>
      </c>
      <c r="D3" s="6583"/>
      <c r="E3" s="6583"/>
      <c r="F3" s="6583"/>
      <c r="G3" s="6583"/>
      <c r="H3" s="6583"/>
      <c r="I3" s="474"/>
      <c r="J3" s="474"/>
      <c r="K3" s="474"/>
      <c r="L3" s="474"/>
      <c r="M3" s="474"/>
      <c r="N3" s="474"/>
      <c r="O3" s="474"/>
      <c r="P3" s="474"/>
      <c r="Q3" s="856"/>
      <c r="R3" s="856"/>
      <c r="S3" s="856"/>
      <c r="T3" s="856"/>
      <c r="U3" s="856"/>
      <c r="V3" s="856"/>
      <c r="W3" s="856"/>
      <c r="X3" s="856"/>
      <c r="Y3" s="856"/>
      <c r="Z3" s="856"/>
      <c r="AA3" s="856"/>
      <c r="AB3" s="856"/>
      <c r="AC3" s="856"/>
      <c r="AD3" s="856"/>
      <c r="AE3" s="856"/>
      <c r="AF3" s="856"/>
      <c r="AG3" s="856"/>
      <c r="AH3" s="856"/>
      <c r="AI3" s="853"/>
      <c r="AJ3" s="685"/>
      <c r="AK3" s="529"/>
      <c r="AL3" s="2603"/>
      <c r="AM3" s="2603"/>
    </row>
    <row r="4" spans="1:39" ht="12" customHeight="1" thickBot="1">
      <c r="A4" s="29"/>
      <c r="B4" s="443"/>
      <c r="C4" s="6584"/>
      <c r="D4" s="4361"/>
      <c r="E4" s="4361"/>
      <c r="F4" s="4361"/>
      <c r="G4" s="4361"/>
      <c r="H4" s="4361"/>
      <c r="I4" s="9"/>
      <c r="J4" s="4754" t="s">
        <v>1184</v>
      </c>
      <c r="K4" s="4754"/>
      <c r="L4" s="4373" t="str">
        <f>IF(OR(General!$F$22="",General!$F$22=0),"",General!$F$22)</f>
        <v/>
      </c>
      <c r="M4" s="4373"/>
      <c r="N4" s="4373"/>
      <c r="O4" s="4373"/>
      <c r="P4" s="4373"/>
      <c r="Q4" s="849"/>
      <c r="R4" s="849"/>
      <c r="S4" s="849"/>
      <c r="T4" s="849"/>
      <c r="U4" s="849"/>
      <c r="V4" s="849"/>
      <c r="W4" s="849"/>
      <c r="X4" s="849"/>
      <c r="Y4" s="849"/>
      <c r="Z4" s="849"/>
      <c r="AA4" s="849"/>
      <c r="AB4" s="849"/>
      <c r="AC4" s="849"/>
      <c r="AD4" s="849"/>
      <c r="AE4" s="849"/>
      <c r="AF4" s="849"/>
      <c r="AG4" s="849"/>
      <c r="AH4" s="849"/>
      <c r="AI4" s="854"/>
      <c r="AJ4" s="685"/>
      <c r="AK4" s="529"/>
      <c r="AL4" s="2603"/>
      <c r="AM4" s="2603"/>
    </row>
    <row r="5" spans="1:39" ht="12" customHeight="1" thickBot="1">
      <c r="A5" s="29"/>
      <c r="B5" s="443"/>
      <c r="C5" s="6584"/>
      <c r="D5" s="4361"/>
      <c r="E5" s="4361"/>
      <c r="F5" s="4361"/>
      <c r="G5" s="4361"/>
      <c r="H5" s="4361"/>
      <c r="I5" s="9"/>
      <c r="J5" s="5535" t="s">
        <v>1185</v>
      </c>
      <c r="K5" s="5535"/>
      <c r="L5" s="4738" t="str">
        <f>IF(LEN(PDs!$E$11)&lt;=General!$AO$5,PDs!$E$11,"… /"&amp;RIGHT(PDs!$E$11,General!$AO$5-FIND("/",RIGHT(PDs!$E$11,General!$AO$5))))</f>
        <v/>
      </c>
      <c r="M5" s="4738"/>
      <c r="N5" s="4738"/>
      <c r="O5" s="1998" t="s">
        <v>1186</v>
      </c>
      <c r="P5" s="1993" t="str">
        <f>Principal!$O$6</f>
        <v>1</v>
      </c>
      <c r="Q5" s="848"/>
      <c r="R5" s="848"/>
      <c r="S5" s="848"/>
      <c r="T5" s="848"/>
      <c r="U5" s="848"/>
      <c r="V5" s="848"/>
      <c r="W5" s="848"/>
      <c r="X5" s="848"/>
      <c r="Y5" s="848"/>
      <c r="Z5" s="848"/>
      <c r="AA5" s="848"/>
      <c r="AB5" s="848"/>
      <c r="AC5" s="848"/>
      <c r="AD5" s="848"/>
      <c r="AE5" s="848"/>
      <c r="AF5" s="848"/>
      <c r="AG5" s="848"/>
      <c r="AH5" s="848"/>
      <c r="AI5" s="850"/>
      <c r="AJ5" s="685"/>
      <c r="AK5" s="529"/>
      <c r="AL5" s="2603"/>
      <c r="AM5" s="2603"/>
    </row>
    <row r="6" spans="1:39" ht="12" customHeight="1" thickBot="1">
      <c r="A6" s="29"/>
      <c r="B6" s="443"/>
      <c r="C6" s="6584"/>
      <c r="D6" s="4361"/>
      <c r="E6" s="4361"/>
      <c r="F6" s="4361"/>
      <c r="G6" s="4361"/>
      <c r="H6" s="4361"/>
      <c r="I6" s="9"/>
      <c r="J6" s="4362" t="s">
        <v>1674</v>
      </c>
      <c r="K6" s="4362"/>
      <c r="L6" s="4362"/>
      <c r="M6" s="4362"/>
      <c r="N6" s="4362"/>
      <c r="O6" s="4362"/>
      <c r="P6" s="4362"/>
      <c r="Q6" s="848"/>
      <c r="R6" s="848"/>
      <c r="S6" s="848"/>
      <c r="T6" s="848"/>
      <c r="U6" s="848"/>
      <c r="V6" s="848"/>
      <c r="W6" s="848"/>
      <c r="X6" s="848"/>
      <c r="Y6" s="848"/>
      <c r="Z6" s="848"/>
      <c r="AA6" s="848"/>
      <c r="AB6" s="848"/>
      <c r="AC6" s="848"/>
      <c r="AD6" s="848"/>
      <c r="AE6" s="848"/>
      <c r="AF6" s="848"/>
      <c r="AG6" s="848"/>
      <c r="AH6" s="848"/>
      <c r="AI6" s="850"/>
      <c r="AJ6" s="685"/>
      <c r="AK6" s="529"/>
      <c r="AL6" s="2603"/>
      <c r="AM6" s="2603"/>
    </row>
    <row r="7" spans="1:39" ht="12" customHeight="1" thickBot="1">
      <c r="A7" s="29"/>
      <c r="B7" s="443"/>
      <c r="C7" s="6584"/>
      <c r="D7" s="4361"/>
      <c r="E7" s="4361"/>
      <c r="F7" s="4361"/>
      <c r="G7" s="4361"/>
      <c r="H7" s="4361"/>
      <c r="I7" s="9"/>
      <c r="J7" s="4362"/>
      <c r="K7" s="4362"/>
      <c r="L7" s="4362"/>
      <c r="M7" s="4362"/>
      <c r="N7" s="4362"/>
      <c r="O7" s="4362"/>
      <c r="P7" s="4362"/>
      <c r="Q7" s="848"/>
      <c r="R7" s="848"/>
      <c r="S7" s="848"/>
      <c r="T7" s="848"/>
      <c r="U7" s="848"/>
      <c r="V7" s="848"/>
      <c r="W7" s="848"/>
      <c r="X7" s="848"/>
      <c r="Y7" s="848"/>
      <c r="Z7" s="848"/>
      <c r="AA7" s="848"/>
      <c r="AB7" s="848"/>
      <c r="AC7" s="848"/>
      <c r="AD7" s="848"/>
      <c r="AE7" s="848"/>
      <c r="AF7" s="848"/>
      <c r="AG7" s="848"/>
      <c r="AH7" s="848"/>
      <c r="AI7" s="850"/>
      <c r="AJ7" s="685"/>
      <c r="AK7" s="529"/>
      <c r="AL7" s="2603"/>
      <c r="AM7" s="2603"/>
    </row>
    <row r="8" spans="1:39" ht="12" customHeight="1" thickBot="1">
      <c r="A8" s="29"/>
      <c r="B8" s="443"/>
      <c r="C8" s="6585"/>
      <c r="D8" s="6586"/>
      <c r="E8" s="6586"/>
      <c r="F8" s="6586"/>
      <c r="G8" s="6586"/>
      <c r="H8" s="6586"/>
      <c r="I8" s="657"/>
      <c r="J8" s="657"/>
      <c r="K8" s="657"/>
      <c r="L8" s="657"/>
      <c r="M8" s="657"/>
      <c r="N8" s="657"/>
      <c r="O8" s="657"/>
      <c r="P8" s="657"/>
      <c r="Q8" s="851"/>
      <c r="R8" s="851"/>
      <c r="S8" s="851"/>
      <c r="T8" s="851"/>
      <c r="U8" s="851"/>
      <c r="V8" s="851"/>
      <c r="W8" s="851"/>
      <c r="X8" s="851"/>
      <c r="Y8" s="851"/>
      <c r="Z8" s="851"/>
      <c r="AA8" s="851"/>
      <c r="AB8" s="851"/>
      <c r="AC8" s="851"/>
      <c r="AD8" s="851"/>
      <c r="AE8" s="851"/>
      <c r="AF8" s="851"/>
      <c r="AG8" s="851"/>
      <c r="AH8" s="851"/>
      <c r="AI8" s="852"/>
      <c r="AJ8" s="685"/>
      <c r="AK8" s="529"/>
      <c r="AL8" s="2603" t="s">
        <v>6873</v>
      </c>
      <c r="AM8" s="2603" t="s">
        <v>6874</v>
      </c>
    </row>
    <row r="9" spans="1:39" ht="12" customHeight="1" thickBot="1">
      <c r="A9" s="29"/>
      <c r="B9" s="443"/>
      <c r="R9" s="21"/>
      <c r="U9" s="21"/>
      <c r="AJ9" s="685"/>
      <c r="AK9" s="529"/>
      <c r="AL9" s="2603" t="str">
        <f>IF(ISNUMBER(MATCH($C$11,Lista_LuzyOscuridad,0)),$C$11,"ElanPersonalizado")</f>
        <v>ElanPersonalizado</v>
      </c>
      <c r="AM9" s="2603" t="str">
        <f>IF(ISNUMBER(MATCH($U$11,Lista_LuzyOscuridad,0)),$U$11,"ElanPersonalizado")</f>
        <v>ElanPersonalizado</v>
      </c>
    </row>
    <row r="10" spans="1:39" ht="12" customHeight="1" thickBot="1">
      <c r="A10" s="29"/>
      <c r="B10" s="443"/>
      <c r="C10" s="7096" t="s">
        <v>1674</v>
      </c>
      <c r="D10" s="7097"/>
      <c r="E10" s="7097"/>
      <c r="F10" s="7097"/>
      <c r="G10" s="7098"/>
      <c r="I10" s="4368" t="str">
        <f>"Modificadores Elan: "&amp;C11</f>
        <v xml:space="preserve">Modificadores Elan: </v>
      </c>
      <c r="J10" s="4369"/>
      <c r="K10" s="4369"/>
      <c r="L10" s="4369"/>
      <c r="M10" s="4369"/>
      <c r="N10" s="4369"/>
      <c r="O10" s="4369"/>
      <c r="P10" s="4369"/>
      <c r="Q10" s="4370"/>
      <c r="R10" s="21"/>
      <c r="S10" s="1002"/>
      <c r="U10" s="7096" t="s">
        <v>1674</v>
      </c>
      <c r="V10" s="7097"/>
      <c r="W10" s="7097"/>
      <c r="X10" s="7097"/>
      <c r="Y10" s="7098"/>
      <c r="AA10" s="4422" t="str">
        <f>"Modificadores Elan: "&amp;U11</f>
        <v xml:space="preserve">Modificadores Elan: </v>
      </c>
      <c r="AB10" s="4423"/>
      <c r="AC10" s="4423"/>
      <c r="AD10" s="4423"/>
      <c r="AE10" s="4423"/>
      <c r="AF10" s="4423"/>
      <c r="AG10" s="4423"/>
      <c r="AH10" s="4423"/>
      <c r="AI10" s="4424"/>
      <c r="AJ10" s="685"/>
      <c r="AK10" s="529"/>
      <c r="AL10" s="2603"/>
      <c r="AM10" s="2603"/>
    </row>
    <row r="11" spans="1:39" ht="12" customHeight="1" thickBot="1">
      <c r="A11" s="29"/>
      <c r="B11" s="443"/>
      <c r="C11" s="7111"/>
      <c r="D11" s="7112"/>
      <c r="E11" s="7112"/>
      <c r="F11" s="7112"/>
      <c r="G11" s="7113"/>
      <c r="I11" s="7107" t="s">
        <v>6184</v>
      </c>
      <c r="J11" s="7108"/>
      <c r="K11" s="7108"/>
      <c r="L11" s="7108"/>
      <c r="M11" s="7108"/>
      <c r="N11" s="7109"/>
      <c r="O11" s="7110" t="s">
        <v>6186</v>
      </c>
      <c r="P11" s="7108"/>
      <c r="Q11" s="6397"/>
      <c r="R11" s="21"/>
      <c r="S11" s="1002"/>
      <c r="U11" s="7099"/>
      <c r="V11" s="7100"/>
      <c r="W11" s="7100"/>
      <c r="X11" s="7101"/>
      <c r="Y11" s="7105"/>
      <c r="AA11" s="7107" t="s">
        <v>6184</v>
      </c>
      <c r="AB11" s="7108"/>
      <c r="AC11" s="7108"/>
      <c r="AD11" s="7108"/>
      <c r="AE11" s="7108"/>
      <c r="AF11" s="7109"/>
      <c r="AG11" s="7110" t="s">
        <v>6186</v>
      </c>
      <c r="AH11" s="7108"/>
      <c r="AI11" s="6397"/>
      <c r="AJ11" s="685"/>
      <c r="AK11" s="529"/>
      <c r="AL11" s="2603" t="s">
        <v>7857</v>
      </c>
      <c r="AM11" s="2603"/>
    </row>
    <row r="12" spans="1:39" ht="12" customHeight="1">
      <c r="A12" s="29"/>
      <c r="B12" s="443"/>
      <c r="C12" s="7111"/>
      <c r="D12" s="7112"/>
      <c r="E12" s="7112"/>
      <c r="F12" s="7112"/>
      <c r="G12" s="7113"/>
      <c r="I12" s="7114" t="str">
        <f>IF(C$11="","",INDEX(Tabla_ModElan,MATCH(C$11,INDEX(Tabla_ModElan,,1),0)+Tablas!$A1,1))</f>
        <v/>
      </c>
      <c r="J12" s="7115"/>
      <c r="K12" s="7115"/>
      <c r="L12" s="7115"/>
      <c r="M12" s="7116"/>
      <c r="N12" s="863" t="str">
        <f t="shared" ref="N12:N18" si="0">IF(I12="","",INDEX(Tabla_ModElan,MATCH(I12,INDEX(Tabla_ModElan,,1),0),2))</f>
        <v/>
      </c>
      <c r="O12" s="7117" t="str">
        <f>IF(C$11="","",INDEX(Tabla_ModElan,MATCH(C$11,INDEX(Tabla_ModElan,,1),0)+Tablas!$A1,5))</f>
        <v/>
      </c>
      <c r="P12" s="7118"/>
      <c r="Q12" s="7123" t="str">
        <f>IF(O12="","",INDEX(Tabla_ModElan,MATCH(O12,INDEX(Tabla_ModElan,,5),0),6))</f>
        <v/>
      </c>
      <c r="R12" s="21"/>
      <c r="S12" s="1002"/>
      <c r="U12" s="7102"/>
      <c r="V12" s="7103"/>
      <c r="W12" s="7103"/>
      <c r="X12" s="7104"/>
      <c r="Y12" s="7106"/>
      <c r="AA12" s="7114" t="str">
        <f>IF(U$11="","",INDEX(Tabla_ModElan,MATCH(U$11,INDEX(Tabla_ModElan,,1),0)+Tablas!$A1,1))</f>
        <v/>
      </c>
      <c r="AB12" s="7115"/>
      <c r="AC12" s="7115"/>
      <c r="AD12" s="7115"/>
      <c r="AE12" s="7116"/>
      <c r="AF12" s="863" t="str">
        <f t="shared" ref="AF12:AF18" si="1">IF(AA12="","",INDEX(Tabla_ModElan,MATCH(AA12,INDEX(Tabla_ModElan,,1),0),2))</f>
        <v/>
      </c>
      <c r="AG12" s="7117" t="str">
        <f>IF(U$11="","",INDEX(Tabla_ModElan,MATCH(U$11,INDEX(Tabla_ModElan,,1),0)+Tablas!$A1,5))</f>
        <v/>
      </c>
      <c r="AH12" s="7118"/>
      <c r="AI12" s="7123" t="str">
        <f>IF(AG12="","",INDEX(Tabla_ModElan,MATCH(AG12,INDEX(Tabla_ModElan,,5),0),6))</f>
        <v/>
      </c>
      <c r="AJ12" s="685"/>
      <c r="AK12" s="529"/>
      <c r="AL12" s="2603" t="s">
        <v>6876</v>
      </c>
      <c r="AM12" s="2603" t="s">
        <v>6877</v>
      </c>
    </row>
    <row r="13" spans="1:39" ht="12" customHeight="1">
      <c r="A13" s="29"/>
      <c r="B13" s="443"/>
      <c r="C13" s="6459"/>
      <c r="D13" s="6460"/>
      <c r="E13" s="6460"/>
      <c r="F13" s="6460"/>
      <c r="G13" s="703" t="str">
        <f t="shared" ref="G13:G25" si="2">IF(C13="","",VLOOKUP(C13,Tabla_Elan,5,FALSE))</f>
        <v/>
      </c>
      <c r="I13" s="7127" t="str">
        <f>IF(C$11="","",INDEX(Tabla_ModElan,MATCH(C$11,INDEX(Tabla_ModElan,,1),0)+Tablas!$A2,1))</f>
        <v/>
      </c>
      <c r="J13" s="6284"/>
      <c r="K13" s="6284"/>
      <c r="L13" s="6284"/>
      <c r="M13" s="7128"/>
      <c r="N13" s="864" t="str">
        <f t="shared" si="0"/>
        <v/>
      </c>
      <c r="O13" s="7119"/>
      <c r="P13" s="7120"/>
      <c r="Q13" s="7124"/>
      <c r="R13" s="21"/>
      <c r="S13" s="1002"/>
      <c r="U13" s="6459"/>
      <c r="V13" s="6460"/>
      <c r="W13" s="6460"/>
      <c r="X13" s="6460"/>
      <c r="Y13" s="703" t="str">
        <f t="shared" ref="Y13:Y25" si="3">IF(U13="","",VLOOKUP(U13,Tabla_Elan,5,FALSE))</f>
        <v/>
      </c>
      <c r="AA13" s="7127" t="str">
        <f>IF(U$11="","",INDEX(Tabla_ModElan,MATCH(U$11,INDEX(Tabla_ModElan,,1),0)+Tablas!$A2,1))</f>
        <v/>
      </c>
      <c r="AB13" s="6284"/>
      <c r="AC13" s="6284"/>
      <c r="AD13" s="6284"/>
      <c r="AE13" s="7128"/>
      <c r="AF13" s="864" t="str">
        <f t="shared" si="1"/>
        <v/>
      </c>
      <c r="AG13" s="7119"/>
      <c r="AH13" s="7120"/>
      <c r="AI13" s="7124"/>
      <c r="AJ13" s="685"/>
      <c r="AK13" s="529"/>
      <c r="AL13" s="2603" t="b">
        <f>IF(OR($G$11="",Elan!C13=""),FALSE,$G$11&lt;VLOOKUP(C13,Tabla_Elan,3,FALSE))</f>
        <v>0</v>
      </c>
      <c r="AM13" s="2603" t="b">
        <f>IF(OR($Y$11="",Elan!U13=""),FALSE,$Y$11&lt;VLOOKUP(U13,Tabla_Elan,3,FALSE))</f>
        <v>0</v>
      </c>
    </row>
    <row r="14" spans="1:39" ht="12" customHeight="1">
      <c r="A14" s="29"/>
      <c r="B14" s="443"/>
      <c r="C14" s="7129"/>
      <c r="D14" s="7130"/>
      <c r="E14" s="7130"/>
      <c r="F14" s="7130"/>
      <c r="G14" s="704" t="str">
        <f t="shared" si="2"/>
        <v/>
      </c>
      <c r="H14" s="964" t="s">
        <v>2467</v>
      </c>
      <c r="I14" s="7127" t="str">
        <f>IF(C$11="","",INDEX(Tabla_ModElan,MATCH(C$11,INDEX(Tabla_ModElan,,1),0)+Tablas!$A3,1))</f>
        <v/>
      </c>
      <c r="J14" s="6284"/>
      <c r="K14" s="6284"/>
      <c r="L14" s="6284"/>
      <c r="M14" s="7128"/>
      <c r="N14" s="864" t="str">
        <f t="shared" si="0"/>
        <v/>
      </c>
      <c r="O14" s="7121"/>
      <c r="P14" s="7122"/>
      <c r="Q14" s="7125"/>
      <c r="R14" s="21"/>
      <c r="S14" s="1002"/>
      <c r="U14" s="7129"/>
      <c r="V14" s="7130"/>
      <c r="W14" s="7130"/>
      <c r="X14" s="7130"/>
      <c r="Y14" s="704" t="str">
        <f t="shared" si="3"/>
        <v/>
      </c>
      <c r="Z14" s="964" t="s">
        <v>2467</v>
      </c>
      <c r="AA14" s="7127" t="str">
        <f>IF(U$11="","",INDEX(Tabla_ModElan,MATCH(U$11,INDEX(Tabla_ModElan,,1),0)+Tablas!$A3,1))</f>
        <v/>
      </c>
      <c r="AB14" s="6284"/>
      <c r="AC14" s="6284"/>
      <c r="AD14" s="6284"/>
      <c r="AE14" s="7128"/>
      <c r="AF14" s="864" t="str">
        <f t="shared" si="1"/>
        <v/>
      </c>
      <c r="AG14" s="7126"/>
      <c r="AH14" s="7122"/>
      <c r="AI14" s="7125"/>
      <c r="AJ14" s="685"/>
      <c r="AK14" s="529"/>
      <c r="AL14" s="2603" t="b">
        <f>IF(OR($G$11="",Elan!C14=""),FALSE,$G$11&lt;VLOOKUP(C14,Tabla_Elan,3,FALSE))</f>
        <v>0</v>
      </c>
      <c r="AM14" s="2603" t="b">
        <f>IF(OR($Y$11="",Elan!U14=""),FALSE,$Y$11&lt;VLOOKUP(U14,Tabla_Elan,3,FALSE))</f>
        <v>0</v>
      </c>
    </row>
    <row r="15" spans="1:39" ht="12" customHeight="1">
      <c r="A15" s="29"/>
      <c r="B15" s="443"/>
      <c r="C15" s="6428"/>
      <c r="D15" s="6429"/>
      <c r="E15" s="6429"/>
      <c r="F15" s="6429"/>
      <c r="G15" s="705" t="str">
        <f t="shared" si="2"/>
        <v/>
      </c>
      <c r="H15" s="964" t="s">
        <v>2465</v>
      </c>
      <c r="I15" s="7127" t="str">
        <f>IF(C$11="","",INDEX(Tabla_ModElan,MATCH(C$11,INDEX(Tabla_ModElan,,1),0)+Tablas!$A4,1))</f>
        <v/>
      </c>
      <c r="J15" s="6284"/>
      <c r="K15" s="6284"/>
      <c r="L15" s="6284"/>
      <c r="M15" s="7128"/>
      <c r="N15" s="864" t="str">
        <f t="shared" si="0"/>
        <v/>
      </c>
      <c r="O15" s="7117" t="str">
        <f>IF(C$11="","",INDEX(Tabla_ModElan,MATCH(C$11,INDEX(Tabla_ModElan,,1),0)+Tablas!$A2,5))</f>
        <v/>
      </c>
      <c r="P15" s="7118"/>
      <c r="Q15" s="7123" t="str">
        <f>IF(O15="","",INDEX(Tabla_ModElan,MATCH(O15,INDEX(Tabla_ModElan,,5),0),6))</f>
        <v/>
      </c>
      <c r="R15" s="21"/>
      <c r="S15" s="1002"/>
      <c r="U15" s="6428"/>
      <c r="V15" s="6429"/>
      <c r="W15" s="6429"/>
      <c r="X15" s="6429"/>
      <c r="Y15" s="705" t="str">
        <f t="shared" si="3"/>
        <v/>
      </c>
      <c r="Z15" s="964" t="s">
        <v>2465</v>
      </c>
      <c r="AA15" s="7127" t="str">
        <f>IF(U$11="","",INDEX(Tabla_ModElan,MATCH(U$11,INDEX(Tabla_ModElan,,1),0)+Tablas!$A4,1))</f>
        <v/>
      </c>
      <c r="AB15" s="6284"/>
      <c r="AC15" s="6284"/>
      <c r="AD15" s="6284"/>
      <c r="AE15" s="7128"/>
      <c r="AF15" s="864" t="str">
        <f t="shared" si="1"/>
        <v/>
      </c>
      <c r="AG15" s="7117" t="str">
        <f>IF(U$11="","",INDEX(Tabla_ModElan,MATCH(U$11,INDEX(Tabla_ModElan,,1),0)+Tablas!$A2,5))</f>
        <v/>
      </c>
      <c r="AH15" s="7118"/>
      <c r="AI15" s="7123" t="str">
        <f>IF(AG15="","",INDEX(Tabla_ModElan,MATCH(AG15,INDEX(Tabla_ModElan,,5),0),6))</f>
        <v/>
      </c>
      <c r="AJ15" s="685"/>
      <c r="AK15" s="529"/>
      <c r="AL15" s="2603" t="b">
        <f>IF(OR($G$11="",Elan!C15=""),FALSE,$G$11&lt;VLOOKUP(C15,Tabla_Elan,3,FALSE))</f>
        <v>0</v>
      </c>
      <c r="AM15" s="2603" t="b">
        <f>IF(OR($Y$11="",Elan!U15=""),FALSE,$Y$11&lt;VLOOKUP(U15,Tabla_Elan,3,FALSE))</f>
        <v>0</v>
      </c>
    </row>
    <row r="16" spans="1:39" ht="12" customHeight="1">
      <c r="A16" s="29"/>
      <c r="B16" s="443"/>
      <c r="C16" s="7129"/>
      <c r="D16" s="7130"/>
      <c r="E16" s="7130"/>
      <c r="F16" s="7130"/>
      <c r="G16" s="704" t="str">
        <f t="shared" si="2"/>
        <v/>
      </c>
      <c r="I16" s="7127" t="str">
        <f>IF(C$11="","",INDEX(Tabla_ModElan,MATCH(C$11,INDEX(Tabla_ModElan,,1),0)+Tablas!$A5,1))</f>
        <v/>
      </c>
      <c r="J16" s="6284"/>
      <c r="K16" s="6284"/>
      <c r="L16" s="6284"/>
      <c r="M16" s="7128"/>
      <c r="N16" s="864" t="str">
        <f t="shared" si="0"/>
        <v/>
      </c>
      <c r="O16" s="7119"/>
      <c r="P16" s="7120"/>
      <c r="Q16" s="7124"/>
      <c r="R16" s="21"/>
      <c r="S16" s="1002"/>
      <c r="U16" s="7129"/>
      <c r="V16" s="7130"/>
      <c r="W16" s="7130"/>
      <c r="X16" s="7130"/>
      <c r="Y16" s="704" t="str">
        <f t="shared" si="3"/>
        <v/>
      </c>
      <c r="AA16" s="7127" t="str">
        <f>IF(U$11="","",INDEX(Tabla_ModElan,MATCH(U$11,INDEX(Tabla_ModElan,,1),0)+Tablas!$A5,1))</f>
        <v/>
      </c>
      <c r="AB16" s="6284"/>
      <c r="AC16" s="6284"/>
      <c r="AD16" s="6284"/>
      <c r="AE16" s="7128"/>
      <c r="AF16" s="864" t="str">
        <f t="shared" si="1"/>
        <v/>
      </c>
      <c r="AG16" s="7119"/>
      <c r="AH16" s="7120"/>
      <c r="AI16" s="7124"/>
      <c r="AJ16" s="685"/>
      <c r="AK16" s="529"/>
      <c r="AL16" s="2603" t="b">
        <f>IF(OR($G$11="",Elan!C16=""),FALSE,$G$11&lt;VLOOKUP(C16,Tabla_Elan,3,FALSE))</f>
        <v>0</v>
      </c>
      <c r="AM16" s="2603" t="b">
        <f>IF(OR($Y$11="",Elan!U16=""),FALSE,$Y$11&lt;VLOOKUP(U16,Tabla_Elan,3,FALSE))</f>
        <v>0</v>
      </c>
    </row>
    <row r="17" spans="1:39" ht="12" customHeight="1">
      <c r="A17" s="29"/>
      <c r="B17" s="443"/>
      <c r="C17" s="6428"/>
      <c r="D17" s="6429"/>
      <c r="E17" s="6429"/>
      <c r="F17" s="6429"/>
      <c r="G17" s="705" t="str">
        <f t="shared" si="2"/>
        <v/>
      </c>
      <c r="I17" s="7127" t="str">
        <f>IF(C$11="","",INDEX(Tabla_ModElan,MATCH(C$11,INDEX(Tabla_ModElan,,1),0)+Tablas!$A6,1))</f>
        <v/>
      </c>
      <c r="J17" s="6284"/>
      <c r="K17" s="6284"/>
      <c r="L17" s="6284"/>
      <c r="M17" s="7128"/>
      <c r="N17" s="864" t="str">
        <f t="shared" si="0"/>
        <v/>
      </c>
      <c r="O17" s="7121"/>
      <c r="P17" s="7122"/>
      <c r="Q17" s="7125"/>
      <c r="R17" s="21"/>
      <c r="S17" s="1002"/>
      <c r="U17" s="6428"/>
      <c r="V17" s="6429"/>
      <c r="W17" s="6429"/>
      <c r="X17" s="6429"/>
      <c r="Y17" s="705" t="str">
        <f t="shared" si="3"/>
        <v/>
      </c>
      <c r="AA17" s="7127" t="str">
        <f>IF(U$11="","",INDEX(Tabla_ModElan,MATCH(U$11,INDEX(Tabla_ModElan,,1),0)+Tablas!$A6,1))</f>
        <v/>
      </c>
      <c r="AB17" s="6284"/>
      <c r="AC17" s="6284"/>
      <c r="AD17" s="6284"/>
      <c r="AE17" s="7128"/>
      <c r="AF17" s="864" t="str">
        <f t="shared" si="1"/>
        <v/>
      </c>
      <c r="AG17" s="7121"/>
      <c r="AH17" s="7122"/>
      <c r="AI17" s="7125"/>
      <c r="AJ17" s="685"/>
      <c r="AK17" s="529"/>
      <c r="AL17" s="2603" t="b">
        <f>IF(OR($G$11="",Elan!C17=""),FALSE,$G$11&lt;VLOOKUP(C17,Tabla_Elan,3,FALSE))</f>
        <v>0</v>
      </c>
      <c r="AM17" s="2603" t="b">
        <f>IF(OR($Y$11="",Elan!U17=""),FALSE,$Y$11&lt;VLOOKUP(U17,Tabla_Elan,3,FALSE))</f>
        <v>0</v>
      </c>
    </row>
    <row r="18" spans="1:39" ht="12" customHeight="1">
      <c r="A18" s="29"/>
      <c r="B18" s="443"/>
      <c r="C18" s="7129"/>
      <c r="D18" s="7130"/>
      <c r="E18" s="7130"/>
      <c r="F18" s="7130"/>
      <c r="G18" s="704" t="str">
        <f t="shared" si="2"/>
        <v/>
      </c>
      <c r="I18" s="7134" t="str">
        <f>IF(C$11="","",INDEX(Tabla_ModElan,MATCH(C$11,INDEX(Tabla_ModElan,,1),0)+Tablas!$A7,1))</f>
        <v/>
      </c>
      <c r="J18" s="7135"/>
      <c r="K18" s="7135"/>
      <c r="L18" s="7135"/>
      <c r="M18" s="7136"/>
      <c r="N18" s="864" t="str">
        <f t="shared" si="0"/>
        <v/>
      </c>
      <c r="O18" s="7117" t="str">
        <f>IF(C$11="","",INDEX(Tabla_ModElan,MATCH(C$11,INDEX(Tabla_ModElan,,1),0)+Tablas!$A3,5))</f>
        <v/>
      </c>
      <c r="P18" s="7118"/>
      <c r="Q18" s="7123" t="str">
        <f>IF(O18="","",INDEX(Tabla_ModElan,MATCH(O18,INDEX(Tabla_ModElan,,5),0),6))</f>
        <v/>
      </c>
      <c r="R18" s="21"/>
      <c r="S18" s="1002"/>
      <c r="U18" s="7129"/>
      <c r="V18" s="7130"/>
      <c r="W18" s="7130"/>
      <c r="X18" s="7130"/>
      <c r="Y18" s="704" t="str">
        <f t="shared" si="3"/>
        <v/>
      </c>
      <c r="AA18" s="7134" t="str">
        <f>IF(U$11="","",INDEX(Tabla_ModElan,MATCH(U$11,INDEX(Tabla_ModElan,,1),0)+Tablas!$A7,1))</f>
        <v/>
      </c>
      <c r="AB18" s="7135"/>
      <c r="AC18" s="7135"/>
      <c r="AD18" s="7135"/>
      <c r="AE18" s="7136"/>
      <c r="AF18" s="864" t="str">
        <f t="shared" si="1"/>
        <v/>
      </c>
      <c r="AG18" s="7117" t="str">
        <f>IF(U$11="","",INDEX(Tabla_ModElan,MATCH(U$11,INDEX(Tabla_ModElan,,1),0)+Tablas!$A3,5))</f>
        <v/>
      </c>
      <c r="AH18" s="7118"/>
      <c r="AI18" s="7123" t="str">
        <f>IF(AG18="","",INDEX(Tabla_ModElan,MATCH(AG18,INDEX(Tabla_ModElan,,5),0),6))</f>
        <v/>
      </c>
      <c r="AJ18" s="685"/>
      <c r="AK18" s="529"/>
      <c r="AL18" s="2603" t="b">
        <f>IF(OR($G$11="",Elan!C18=""),FALSE,$G$11&lt;VLOOKUP(C18,Tabla_Elan,3,FALSE))</f>
        <v>0</v>
      </c>
      <c r="AM18" s="2603" t="b">
        <f>IF(OR($Y$11="",Elan!U18=""),FALSE,$Y$11&lt;VLOOKUP(U18,Tabla_Elan,3,FALSE))</f>
        <v>0</v>
      </c>
    </row>
    <row r="19" spans="1:39" ht="12" customHeight="1">
      <c r="A19" s="29"/>
      <c r="B19" s="443"/>
      <c r="C19" s="6428"/>
      <c r="D19" s="6429"/>
      <c r="E19" s="6429"/>
      <c r="F19" s="6429"/>
      <c r="G19" s="705" t="str">
        <f t="shared" si="2"/>
        <v/>
      </c>
      <c r="I19" s="7131" t="s">
        <v>6185</v>
      </c>
      <c r="J19" s="7132"/>
      <c r="K19" s="7132"/>
      <c r="L19" s="7132"/>
      <c r="M19" s="7132"/>
      <c r="N19" s="7133"/>
      <c r="O19" s="7119"/>
      <c r="P19" s="7120"/>
      <c r="Q19" s="7124"/>
      <c r="R19" s="21"/>
      <c r="S19" s="1002"/>
      <c r="U19" s="6428"/>
      <c r="V19" s="6429"/>
      <c r="W19" s="6429"/>
      <c r="X19" s="6429"/>
      <c r="Y19" s="705" t="str">
        <f t="shared" si="3"/>
        <v/>
      </c>
      <c r="AA19" s="7131" t="s">
        <v>6185</v>
      </c>
      <c r="AB19" s="7132"/>
      <c r="AC19" s="7132"/>
      <c r="AD19" s="7132"/>
      <c r="AE19" s="7132"/>
      <c r="AF19" s="7133"/>
      <c r="AG19" s="7119"/>
      <c r="AH19" s="7120"/>
      <c r="AI19" s="7124"/>
      <c r="AJ19" s="685"/>
      <c r="AK19" s="529"/>
      <c r="AL19" s="2603" t="b">
        <f>IF(OR($G$11="",Elan!C19=""),FALSE,$G$11&lt;VLOOKUP(C19,Tabla_Elan,3,FALSE))</f>
        <v>0</v>
      </c>
      <c r="AM19" s="2603" t="b">
        <f>IF(OR($Y$11="",Elan!U19=""),FALSE,$Y$11&lt;VLOOKUP(U19,Tabla_Elan,3,FALSE))</f>
        <v>0</v>
      </c>
    </row>
    <row r="20" spans="1:39" ht="12" customHeight="1">
      <c r="A20" s="29"/>
      <c r="B20" s="443"/>
      <c r="C20" s="7129"/>
      <c r="D20" s="7130"/>
      <c r="E20" s="7130"/>
      <c r="F20" s="7130"/>
      <c r="G20" s="706" t="str">
        <f t="shared" si="2"/>
        <v/>
      </c>
      <c r="I20" s="7114" t="str">
        <f>IF(C$11="","",INDEX(Tabla_ModElan,MATCH(C$11,INDEX(Tabla_ModElan,,1),0)+Tablas!$A1,3))</f>
        <v/>
      </c>
      <c r="J20" s="7115"/>
      <c r="K20" s="7115"/>
      <c r="L20" s="7115"/>
      <c r="M20" s="7116"/>
      <c r="N20" s="863" t="str">
        <f t="shared" ref="N20:N26" si="4">IFERROR(INDEX(Tabla_ModElan,MATCH(I20,INDEX(Tabla_ModElan,,3),0),4),"")</f>
        <v/>
      </c>
      <c r="O20" s="7121"/>
      <c r="P20" s="7122"/>
      <c r="Q20" s="7125"/>
      <c r="R20" s="21"/>
      <c r="S20" s="1002"/>
      <c r="U20" s="7129"/>
      <c r="V20" s="7130"/>
      <c r="W20" s="7130"/>
      <c r="X20" s="7130"/>
      <c r="Y20" s="706" t="str">
        <f t="shared" si="3"/>
        <v/>
      </c>
      <c r="AA20" s="7114" t="str">
        <f>IF(U$11="","",INDEX(Tabla_ModElan,MATCH(U$11,INDEX(Tabla_ModElan,,1),0)+Tablas!$A1,3))</f>
        <v/>
      </c>
      <c r="AB20" s="7115"/>
      <c r="AC20" s="7115"/>
      <c r="AD20" s="7115"/>
      <c r="AE20" s="7116"/>
      <c r="AF20" s="863" t="str">
        <f t="shared" ref="AF20:AF26" si="5">IFERROR(INDEX(Tabla_ModElan,MATCH(AA20,INDEX(Tabla_ModElan,,3),0),4),"")</f>
        <v/>
      </c>
      <c r="AG20" s="7121"/>
      <c r="AH20" s="7122"/>
      <c r="AI20" s="7125"/>
      <c r="AJ20" s="685"/>
      <c r="AK20" s="529"/>
      <c r="AL20" s="2603" t="b">
        <f>IF(OR($G$11="",Elan!C20=""),FALSE,$G$11&lt;VLOOKUP(C20,Tabla_Elan,3,FALSE))</f>
        <v>0</v>
      </c>
      <c r="AM20" s="2603" t="b">
        <f>IF(OR($Y$11="",Elan!U20=""),FALSE,$Y$11&lt;VLOOKUP(U20,Tabla_Elan,3,FALSE))</f>
        <v>0</v>
      </c>
    </row>
    <row r="21" spans="1:39" ht="12" customHeight="1">
      <c r="A21" s="29"/>
      <c r="B21" s="443"/>
      <c r="C21" s="6428"/>
      <c r="D21" s="6429"/>
      <c r="E21" s="6429"/>
      <c r="F21" s="6429"/>
      <c r="G21" s="705" t="str">
        <f t="shared" si="2"/>
        <v/>
      </c>
      <c r="I21" s="7127" t="str">
        <f>IF(C$11="","",INDEX(Tabla_ModElan,MATCH(C$11,INDEX(Tabla_ModElan,,1),0)+Tablas!$A2,3))</f>
        <v/>
      </c>
      <c r="J21" s="6284"/>
      <c r="K21" s="6284"/>
      <c r="L21" s="6284"/>
      <c r="M21" s="6284"/>
      <c r="N21" s="864" t="str">
        <f t="shared" si="4"/>
        <v/>
      </c>
      <c r="O21" s="7117" t="str">
        <f>IF(C$11="","",INDEX(Tabla_ModElan,MATCH(C$11,INDEX(Tabla_ModElan,,1),0)+Tablas!$A4,5))</f>
        <v/>
      </c>
      <c r="P21" s="7118"/>
      <c r="Q21" s="7123" t="str">
        <f>IF(O21="","",INDEX(Tabla_ModElan,MATCH(O21,INDEX(Tabla_ModElan,,5),0),6))</f>
        <v/>
      </c>
      <c r="R21" s="21"/>
      <c r="S21" s="1002"/>
      <c r="U21" s="6428"/>
      <c r="V21" s="6429"/>
      <c r="W21" s="6429"/>
      <c r="X21" s="6429"/>
      <c r="Y21" s="705" t="str">
        <f t="shared" si="3"/>
        <v/>
      </c>
      <c r="AA21" s="7127" t="str">
        <f>IF(U$11="","",INDEX(Tabla_ModElan,MATCH(U$11,INDEX(Tabla_ModElan,,1),0)+Tablas!$A2,3))</f>
        <v/>
      </c>
      <c r="AB21" s="6284"/>
      <c r="AC21" s="6284"/>
      <c r="AD21" s="6284"/>
      <c r="AE21" s="6284"/>
      <c r="AF21" s="864" t="str">
        <f t="shared" si="5"/>
        <v/>
      </c>
      <c r="AG21" s="7117" t="str">
        <f>IF(U$11="","",INDEX(Tabla_ModElan,MATCH(U$11,INDEX(Tabla_ModElan,,1),0)+Tablas!$A4,5))</f>
        <v/>
      </c>
      <c r="AH21" s="7118"/>
      <c r="AI21" s="7123" t="str">
        <f>IF(AG21="","",INDEX(Tabla_ModElan,MATCH(AG21,INDEX(Tabla_ModElan,,5),0),6))</f>
        <v/>
      </c>
      <c r="AJ21" s="685"/>
      <c r="AK21" s="529"/>
      <c r="AL21" s="2603" t="b">
        <f>IF(OR($G$11="",Elan!C21=""),FALSE,$G$11&lt;VLOOKUP(C21,Tabla_Elan,3,FALSE))</f>
        <v>0</v>
      </c>
      <c r="AM21" s="2603" t="b">
        <f>IF(OR($Y$11="",Elan!U21=""),FALSE,$Y$11&lt;VLOOKUP(U21,Tabla_Elan,3,FALSE))</f>
        <v>0</v>
      </c>
    </row>
    <row r="22" spans="1:39" ht="12" customHeight="1">
      <c r="A22" s="29"/>
      <c r="B22" s="443"/>
      <c r="C22" s="7129"/>
      <c r="D22" s="7130"/>
      <c r="E22" s="7130"/>
      <c r="F22" s="7130"/>
      <c r="G22" s="706" t="str">
        <f t="shared" si="2"/>
        <v/>
      </c>
      <c r="I22" s="7127" t="str">
        <f>IF(C$11="","",INDEX(Tabla_ModElan,MATCH(C$11,INDEX(Tabla_ModElan,,1),0)+Tablas!$A3,3))</f>
        <v/>
      </c>
      <c r="J22" s="6284"/>
      <c r="K22" s="6284"/>
      <c r="L22" s="6284"/>
      <c r="M22" s="6284"/>
      <c r="N22" s="864" t="str">
        <f t="shared" si="4"/>
        <v/>
      </c>
      <c r="O22" s="7119"/>
      <c r="P22" s="7120"/>
      <c r="Q22" s="7124"/>
      <c r="R22" s="21"/>
      <c r="S22" s="1002"/>
      <c r="U22" s="7129"/>
      <c r="V22" s="7130"/>
      <c r="W22" s="7130"/>
      <c r="X22" s="7130"/>
      <c r="Y22" s="706" t="str">
        <f t="shared" si="3"/>
        <v/>
      </c>
      <c r="AA22" s="7127" t="str">
        <f>IF(U$11="","",INDEX(Tabla_ModElan,MATCH(U$11,INDEX(Tabla_ModElan,,1),0)+Tablas!$A3,3))</f>
        <v/>
      </c>
      <c r="AB22" s="6284"/>
      <c r="AC22" s="6284"/>
      <c r="AD22" s="6284"/>
      <c r="AE22" s="6284"/>
      <c r="AF22" s="864" t="str">
        <f t="shared" si="5"/>
        <v/>
      </c>
      <c r="AG22" s="7119"/>
      <c r="AH22" s="7120"/>
      <c r="AI22" s="7124"/>
      <c r="AJ22" s="685"/>
      <c r="AK22" s="529"/>
      <c r="AL22" s="2603" t="b">
        <f>IF(OR($G$11="",Elan!C22=""),FALSE,$G$11&lt;VLOOKUP(C22,Tabla_Elan,3,FALSE))</f>
        <v>0</v>
      </c>
      <c r="AM22" s="2603" t="b">
        <f>IF(OR($Y$11="",Elan!U22=""),FALSE,$Y$11&lt;VLOOKUP(U22,Tabla_Elan,3,FALSE))</f>
        <v>0</v>
      </c>
    </row>
    <row r="23" spans="1:39" ht="12" customHeight="1">
      <c r="A23" s="29"/>
      <c r="B23" s="443"/>
      <c r="C23" s="6428"/>
      <c r="D23" s="6429"/>
      <c r="E23" s="6429"/>
      <c r="F23" s="6429"/>
      <c r="G23" s="705" t="str">
        <f t="shared" si="2"/>
        <v/>
      </c>
      <c r="I23" s="7127" t="str">
        <f>IF(C$11="","",INDEX(Tabla_ModElan,MATCH(C$11,INDEX(Tabla_ModElan,,1),0)+Tablas!$A4,3))</f>
        <v/>
      </c>
      <c r="J23" s="6284"/>
      <c r="K23" s="6284"/>
      <c r="L23" s="6284"/>
      <c r="M23" s="6284"/>
      <c r="N23" s="864" t="str">
        <f t="shared" si="4"/>
        <v/>
      </c>
      <c r="O23" s="7121"/>
      <c r="P23" s="7122"/>
      <c r="Q23" s="7125"/>
      <c r="R23" s="21"/>
      <c r="S23" s="1002"/>
      <c r="U23" s="6428"/>
      <c r="V23" s="6429"/>
      <c r="W23" s="6429"/>
      <c r="X23" s="6429"/>
      <c r="Y23" s="705" t="str">
        <f t="shared" si="3"/>
        <v/>
      </c>
      <c r="AA23" s="7127" t="str">
        <f>IF(U$11="","",INDEX(Tabla_ModElan,MATCH(U$11,INDEX(Tabla_ModElan,,1),0)+Tablas!$A4,3))</f>
        <v/>
      </c>
      <c r="AB23" s="6284"/>
      <c r="AC23" s="6284"/>
      <c r="AD23" s="6284"/>
      <c r="AE23" s="6284"/>
      <c r="AF23" s="864" t="str">
        <f t="shared" si="5"/>
        <v/>
      </c>
      <c r="AG23" s="7121"/>
      <c r="AH23" s="7122"/>
      <c r="AI23" s="7125"/>
      <c r="AJ23" s="685"/>
      <c r="AK23" s="529"/>
      <c r="AL23" s="2603" t="b">
        <f>IF(OR($G$11="",Elan!C23=""),FALSE,$G$11&lt;VLOOKUP(C23,Tabla_Elan,3,FALSE))</f>
        <v>0</v>
      </c>
      <c r="AM23" s="2603" t="b">
        <f>IF(OR($Y$11="",Elan!U23=""),FALSE,$Y$11&lt;VLOOKUP(U23,Tabla_Elan,3,FALSE))</f>
        <v>0</v>
      </c>
    </row>
    <row r="24" spans="1:39" ht="12" customHeight="1">
      <c r="A24" s="29"/>
      <c r="B24" s="443"/>
      <c r="C24" s="7129"/>
      <c r="D24" s="7130"/>
      <c r="E24" s="7130"/>
      <c r="F24" s="7130"/>
      <c r="G24" s="706" t="str">
        <f t="shared" si="2"/>
        <v/>
      </c>
      <c r="I24" s="7127" t="str">
        <f>IF(C$11="","",INDEX(Tabla_ModElan,MATCH(C$11,INDEX(Tabla_ModElan,,1),0)+Tablas!$A5,3))</f>
        <v/>
      </c>
      <c r="J24" s="6284"/>
      <c r="K24" s="6284"/>
      <c r="L24" s="6284"/>
      <c r="M24" s="6284"/>
      <c r="N24" s="864" t="str">
        <f t="shared" si="4"/>
        <v/>
      </c>
      <c r="O24" s="7117" t="str">
        <f>IF(C$11="","",INDEX(Tabla_ModElan,MATCH(C$11,INDEX(Tabla_ModElan,,1),0)+Tablas!$A5,5))</f>
        <v/>
      </c>
      <c r="P24" s="7118"/>
      <c r="Q24" s="7123" t="str">
        <f>IF(O24="","",INDEX(Tabla_ModElan,MATCH(O24,INDEX(Tabla_ModElan,,5),0),6))</f>
        <v/>
      </c>
      <c r="R24" s="21"/>
      <c r="S24" s="1002"/>
      <c r="U24" s="7129"/>
      <c r="V24" s="7130"/>
      <c r="W24" s="7130"/>
      <c r="X24" s="7130"/>
      <c r="Y24" s="706" t="str">
        <f t="shared" si="3"/>
        <v/>
      </c>
      <c r="AA24" s="7127" t="str">
        <f>IF(U$11="","",INDEX(Tabla_ModElan,MATCH(U$11,INDEX(Tabla_ModElan,,1),0)+Tablas!$A5,3))</f>
        <v/>
      </c>
      <c r="AB24" s="6284"/>
      <c r="AC24" s="6284"/>
      <c r="AD24" s="6284"/>
      <c r="AE24" s="6284"/>
      <c r="AF24" s="864" t="str">
        <f t="shared" si="5"/>
        <v/>
      </c>
      <c r="AG24" s="7117" t="str">
        <f>IF(U$11="","",INDEX(Tabla_ModElan,MATCH(U$11,INDEX(Tabla_ModElan,,1),0)+Tablas!$A5,5))</f>
        <v/>
      </c>
      <c r="AH24" s="7118"/>
      <c r="AI24" s="7123" t="str">
        <f>IF(AG24="","",INDEX(Tabla_ModElan,MATCH(AG24,INDEX(Tabla_ModElan,,5),0),6))</f>
        <v/>
      </c>
      <c r="AJ24" s="685"/>
      <c r="AK24" s="529"/>
      <c r="AL24" s="2603" t="b">
        <f>IF(OR($G$11="",Elan!C24=""),FALSE,$G$11&lt;VLOOKUP(C24,Tabla_Elan,3,FALSE))</f>
        <v>0</v>
      </c>
      <c r="AM24" s="2603" t="b">
        <f>IF(OR($Y$11="",Elan!U24=""),FALSE,$Y$11&lt;VLOOKUP(U24,Tabla_Elan,3,FALSE))</f>
        <v>0</v>
      </c>
    </row>
    <row r="25" spans="1:39" ht="12" customHeight="1">
      <c r="A25" s="29"/>
      <c r="B25" s="443"/>
      <c r="C25" s="6428"/>
      <c r="D25" s="6429"/>
      <c r="E25" s="6429"/>
      <c r="F25" s="6429"/>
      <c r="G25" s="705" t="str">
        <f t="shared" si="2"/>
        <v/>
      </c>
      <c r="I25" s="7127" t="str">
        <f>IF(C$11="","",INDEX(Tabla_ModElan,MATCH(C$11,INDEX(Tabla_ModElan,,1),0)+Tablas!$A6,3))</f>
        <v/>
      </c>
      <c r="J25" s="6284"/>
      <c r="K25" s="6284"/>
      <c r="L25" s="6284"/>
      <c r="M25" s="6284"/>
      <c r="N25" s="864" t="str">
        <f t="shared" si="4"/>
        <v/>
      </c>
      <c r="O25" s="7119"/>
      <c r="P25" s="7120"/>
      <c r="Q25" s="7124"/>
      <c r="R25" s="21"/>
      <c r="S25" s="1002"/>
      <c r="U25" s="6428"/>
      <c r="V25" s="6429"/>
      <c r="W25" s="6429"/>
      <c r="X25" s="6429"/>
      <c r="Y25" s="705" t="str">
        <f t="shared" si="3"/>
        <v/>
      </c>
      <c r="AA25" s="7127" t="s">
        <v>2603</v>
      </c>
      <c r="AB25" s="6284"/>
      <c r="AC25" s="6284"/>
      <c r="AD25" s="6284"/>
      <c r="AE25" s="6284"/>
      <c r="AF25" s="864" t="str">
        <f t="shared" si="5"/>
        <v/>
      </c>
      <c r="AG25" s="7119"/>
      <c r="AH25" s="7120"/>
      <c r="AI25" s="7124"/>
      <c r="AJ25" s="685"/>
      <c r="AK25" s="529"/>
      <c r="AL25" s="2603" t="b">
        <f>IF(OR($G$11="",Elan!C25=""),FALSE,$G$11&lt;VLOOKUP(C25,Tabla_Elan,3,FALSE))</f>
        <v>0</v>
      </c>
      <c r="AM25" s="2603" t="b">
        <f>IF(OR($Y$11="",Elan!U25=""),FALSE,$Y$11&lt;VLOOKUP(U25,Tabla_Elan,3,FALSE))</f>
        <v>0</v>
      </c>
    </row>
    <row r="26" spans="1:39" ht="12" customHeight="1" thickBot="1">
      <c r="A26" s="29"/>
      <c r="B26" s="443"/>
      <c r="C26" s="7137" t="str">
        <f>IF(SUM(G13:G25)&gt;G11,"Exceso de Elán utilizado","")</f>
        <v/>
      </c>
      <c r="D26" s="7138"/>
      <c r="E26" s="7138"/>
      <c r="F26" s="7138"/>
      <c r="G26" s="7139"/>
      <c r="I26" s="7140" t="str">
        <f>IF(C$11="","",INDEX(Tabla_ModElan,MATCH(C$11,INDEX(Tabla_ModElan,,1),0)+Tablas!$A7,3))</f>
        <v/>
      </c>
      <c r="J26" s="4905"/>
      <c r="K26" s="4905"/>
      <c r="L26" s="4905"/>
      <c r="M26" s="4905"/>
      <c r="N26" s="865" t="str">
        <f t="shared" si="4"/>
        <v/>
      </c>
      <c r="O26" s="7141"/>
      <c r="P26" s="7142"/>
      <c r="Q26" s="7143"/>
      <c r="R26" s="21"/>
      <c r="S26" s="1002"/>
      <c r="U26" s="7137" t="str">
        <f>IF(SUM(Y13:Y25)&gt;Y11,"Exceso de Elán utilizado","")</f>
        <v/>
      </c>
      <c r="V26" s="7138"/>
      <c r="W26" s="7138"/>
      <c r="X26" s="7138"/>
      <c r="Y26" s="7139"/>
      <c r="AA26" s="7140" t="str">
        <f>IF(U$11="","",INDEX(Tabla_ModElan,MATCH(U$11,INDEX(Tabla_ModElan,,1),0)+Tablas!$A7,3))</f>
        <v/>
      </c>
      <c r="AB26" s="4905"/>
      <c r="AC26" s="4905"/>
      <c r="AD26" s="4905"/>
      <c r="AE26" s="4905"/>
      <c r="AF26" s="865" t="str">
        <f t="shared" si="5"/>
        <v/>
      </c>
      <c r="AG26" s="7141"/>
      <c r="AH26" s="7142"/>
      <c r="AI26" s="7143"/>
      <c r="AJ26" s="685"/>
      <c r="AK26" s="529"/>
      <c r="AL26" s="2603"/>
      <c r="AM26" s="2603"/>
    </row>
    <row r="27" spans="1:39" ht="12" customHeight="1" thickBot="1">
      <c r="A27" s="29"/>
      <c r="B27" s="443"/>
      <c r="R27" s="21"/>
      <c r="S27" s="21"/>
      <c r="T27" s="21"/>
      <c r="U27" s="21"/>
      <c r="AJ27" s="685"/>
      <c r="AK27" s="529"/>
      <c r="AL27" s="2603"/>
      <c r="AM27" s="2603"/>
    </row>
    <row r="28" spans="1:39" ht="12" customHeight="1" thickBot="1">
      <c r="A28" s="29"/>
      <c r="B28" s="443"/>
      <c r="C28" s="4422" t="s">
        <v>6423</v>
      </c>
      <c r="D28" s="4423"/>
      <c r="E28" s="4423"/>
      <c r="F28" s="4424"/>
      <c r="G28" s="7144" t="s">
        <v>1408</v>
      </c>
      <c r="H28" s="7144"/>
      <c r="I28" s="7144"/>
      <c r="J28" s="7144"/>
      <c r="K28" s="7144"/>
      <c r="L28" s="7144"/>
      <c r="M28" s="7144"/>
      <c r="N28" s="7144"/>
      <c r="O28" s="7144"/>
      <c r="P28" s="7144"/>
      <c r="Q28" s="7144"/>
      <c r="R28" s="7144"/>
      <c r="S28" s="7144"/>
      <c r="T28" s="7144"/>
      <c r="U28" s="7144"/>
      <c r="V28" s="7144"/>
      <c r="W28" s="7144"/>
      <c r="X28" s="7144"/>
      <c r="Y28" s="7144"/>
      <c r="Z28" s="7144"/>
      <c r="AA28" s="7144"/>
      <c r="AB28" s="7144"/>
      <c r="AC28" s="7144"/>
      <c r="AD28" s="7144"/>
      <c r="AE28" s="7144"/>
      <c r="AF28" s="7144"/>
      <c r="AG28" s="7144"/>
      <c r="AH28" s="7144"/>
      <c r="AI28" s="5153"/>
      <c r="AJ28" s="685"/>
      <c r="AK28" s="529"/>
      <c r="AL28" s="2603" t="str">
        <f>IF(C13="","",C13&amp;", ")&amp;IF(C14="","",C14&amp;", ")&amp;IF(C15="","",C15&amp;", ")&amp;IF(C16="","",C16&amp;", ")&amp;IF(C17="","",C17&amp;", ")&amp;IF(C18="","",C18&amp;", ")&amp;IF(C19="","",C19&amp;", ")&amp;IF(C20="","",C20&amp;", ")&amp;IF(C21="","",C21&amp;", ")&amp;IF(C22="","",C22&amp;", ")&amp;IF(C23="","",C23&amp;", ")&amp;IF(C24="","",C24&amp;", ")&amp;IF(C25="","",C25&amp;", ")</f>
        <v/>
      </c>
      <c r="AM28" s="2603"/>
    </row>
    <row r="29" spans="1:39" ht="12" customHeight="1">
      <c r="A29" s="29"/>
      <c r="B29" s="443"/>
      <c r="C29" s="647"/>
      <c r="D29" s="157"/>
      <c r="E29" s="157"/>
      <c r="F29" s="646" t="str">
        <f>IF(ISNA(MATCH(Tablas!$A1,INDEX(Tabla_Elan,,14),0)),"",INDEX(INDEX(Tabla_Elan,,1),MATCH(Tablas!$A1,INDEX(Tabla_Elan,,14),0)))</f>
        <v/>
      </c>
      <c r="G29" s="5463" t="str">
        <f t="shared" ref="G29:G49" si="6">IF(F29="","",VLOOKUP(F29,Tabla_Elan,8,FALSE))</f>
        <v/>
      </c>
      <c r="H29" s="4447"/>
      <c r="I29" s="4447"/>
      <c r="J29" s="4447"/>
      <c r="K29" s="4447"/>
      <c r="L29" s="4447"/>
      <c r="M29" s="4447"/>
      <c r="N29" s="4447"/>
      <c r="O29" s="4447"/>
      <c r="P29" s="4447"/>
      <c r="Q29" s="4447"/>
      <c r="R29" s="4447"/>
      <c r="S29" s="4447"/>
      <c r="T29" s="4447"/>
      <c r="U29" s="4447"/>
      <c r="V29" s="4447"/>
      <c r="W29" s="4447"/>
      <c r="X29" s="4447"/>
      <c r="Y29" s="4447"/>
      <c r="Z29" s="4447"/>
      <c r="AA29" s="4447"/>
      <c r="AB29" s="4447"/>
      <c r="AC29" s="4447"/>
      <c r="AD29" s="4447"/>
      <c r="AE29" s="4447"/>
      <c r="AF29" s="4447"/>
      <c r="AG29" s="4447"/>
      <c r="AH29" s="4447"/>
      <c r="AI29" s="5464"/>
      <c r="AJ29" s="685"/>
      <c r="AK29" s="529"/>
      <c r="AL29" s="2603" t="str">
        <f>IF(U13="","",U13&amp;", ")&amp;IF(U14="","",U14&amp;", ")&amp;IF(U15="","",U15&amp;", ")&amp;IF(U16="","",U16&amp;", ")&amp;IF(U17="","",U17&amp;", ")&amp;IF(U18="","",U18&amp;", ")&amp;IF(U19="","",U19&amp;", ")&amp;IF(U20="","",U20&amp;", ")&amp;IF(U21="","",U21&amp;", ")&amp;IF(U22="","",U22&amp;", ")&amp;IF(U23="","",U23&amp;", ")&amp;IF(U24="","",U24&amp;", ")&amp;IF(U25="","",U25&amp;", ")</f>
        <v/>
      </c>
      <c r="AM29" s="2603"/>
    </row>
    <row r="30" spans="1:39" ht="12" customHeight="1">
      <c r="A30" s="29"/>
      <c r="B30" s="443"/>
      <c r="C30" s="647"/>
      <c r="D30" s="157"/>
      <c r="E30" s="157"/>
      <c r="F30" s="646" t="str">
        <f>IF(ISNA(MATCH(Tablas!$A2,INDEX(Tabla_Elan,,14),0)),"",INDEX(INDEX(Tabla_Elan,,1),MATCH(Tablas!$A2,INDEX(Tabla_Elan,,14),0)))</f>
        <v/>
      </c>
      <c r="G30" s="5463" t="str">
        <f t="shared" si="6"/>
        <v/>
      </c>
      <c r="H30" s="4447"/>
      <c r="I30" s="4447"/>
      <c r="J30" s="4447"/>
      <c r="K30" s="4447"/>
      <c r="L30" s="4447"/>
      <c r="M30" s="4447"/>
      <c r="N30" s="4447"/>
      <c r="O30" s="4447"/>
      <c r="P30" s="4447"/>
      <c r="Q30" s="4447"/>
      <c r="R30" s="4447"/>
      <c r="S30" s="4447"/>
      <c r="T30" s="4447"/>
      <c r="U30" s="4447"/>
      <c r="V30" s="4447"/>
      <c r="W30" s="4447"/>
      <c r="X30" s="4447"/>
      <c r="Y30" s="4447"/>
      <c r="Z30" s="4447"/>
      <c r="AA30" s="4447"/>
      <c r="AB30" s="4447"/>
      <c r="AC30" s="4447"/>
      <c r="AD30" s="4447"/>
      <c r="AE30" s="4447"/>
      <c r="AF30" s="4447"/>
      <c r="AG30" s="4447"/>
      <c r="AH30" s="4447"/>
      <c r="AI30" s="5464"/>
      <c r="AJ30" s="685"/>
      <c r="AK30" s="529"/>
      <c r="AL30" s="2603"/>
      <c r="AM30" s="2603"/>
    </row>
    <row r="31" spans="1:39" ht="12" customHeight="1">
      <c r="A31" s="29"/>
      <c r="B31" s="443"/>
      <c r="C31" s="647"/>
      <c r="D31" s="157"/>
      <c r="E31" s="157"/>
      <c r="F31" s="646" t="str">
        <f>IF(ISNA(MATCH(Tablas!$A3,INDEX(Tabla_Elan,,14),0)),"",INDEX(INDEX(Tabla_Elan,,1),MATCH(Tablas!$A3,INDEX(Tabla_Elan,,14),0)))</f>
        <v/>
      </c>
      <c r="G31" s="5463" t="str">
        <f t="shared" si="6"/>
        <v/>
      </c>
      <c r="H31" s="4447"/>
      <c r="I31" s="4447"/>
      <c r="J31" s="4447"/>
      <c r="K31" s="4447"/>
      <c r="L31" s="4447"/>
      <c r="M31" s="4447"/>
      <c r="N31" s="4447"/>
      <c r="O31" s="4447"/>
      <c r="P31" s="4447"/>
      <c r="Q31" s="4447"/>
      <c r="R31" s="4447"/>
      <c r="S31" s="4447"/>
      <c r="T31" s="4447"/>
      <c r="U31" s="4447"/>
      <c r="V31" s="4447"/>
      <c r="W31" s="4447"/>
      <c r="X31" s="4447"/>
      <c r="Y31" s="4447"/>
      <c r="Z31" s="4447"/>
      <c r="AA31" s="4447"/>
      <c r="AB31" s="4447"/>
      <c r="AC31" s="4447"/>
      <c r="AD31" s="4447"/>
      <c r="AE31" s="4447"/>
      <c r="AF31" s="4447"/>
      <c r="AG31" s="4447"/>
      <c r="AH31" s="4447"/>
      <c r="AI31" s="5464"/>
      <c r="AJ31" s="685"/>
      <c r="AK31" s="529"/>
      <c r="AL31" s="2603"/>
      <c r="AM31" s="2603"/>
    </row>
    <row r="32" spans="1:39" ht="12" customHeight="1">
      <c r="A32" s="29"/>
      <c r="B32" s="443"/>
      <c r="C32" s="647"/>
      <c r="D32" s="157"/>
      <c r="E32" s="157"/>
      <c r="F32" s="646" t="str">
        <f>IF(ISNA(MATCH(Tablas!$A4,INDEX(Tabla_Elan,,14),0)),"",INDEX(INDEX(Tabla_Elan,,1),MATCH(Tablas!$A4,INDEX(Tabla_Elan,,14),0)))</f>
        <v/>
      </c>
      <c r="G32" s="5463" t="str">
        <f t="shared" si="6"/>
        <v/>
      </c>
      <c r="H32" s="4447"/>
      <c r="I32" s="4447"/>
      <c r="J32" s="4447"/>
      <c r="K32" s="4447"/>
      <c r="L32" s="4447"/>
      <c r="M32" s="4447"/>
      <c r="N32" s="4447"/>
      <c r="O32" s="4447"/>
      <c r="P32" s="4447"/>
      <c r="Q32" s="4447"/>
      <c r="R32" s="4447"/>
      <c r="S32" s="4447"/>
      <c r="T32" s="4447"/>
      <c r="U32" s="4447"/>
      <c r="V32" s="4447"/>
      <c r="W32" s="4447"/>
      <c r="X32" s="4447"/>
      <c r="Y32" s="4447"/>
      <c r="Z32" s="4447"/>
      <c r="AA32" s="4447"/>
      <c r="AB32" s="4447"/>
      <c r="AC32" s="4447"/>
      <c r="AD32" s="4447"/>
      <c r="AE32" s="4447"/>
      <c r="AF32" s="4447"/>
      <c r="AG32" s="4447"/>
      <c r="AH32" s="4447"/>
      <c r="AI32" s="5464"/>
      <c r="AJ32" s="685"/>
      <c r="AK32" s="529"/>
      <c r="AL32" s="2603"/>
      <c r="AM32" s="2603"/>
    </row>
    <row r="33" spans="1:39" ht="12" customHeight="1">
      <c r="A33" s="29"/>
      <c r="B33" s="443"/>
      <c r="C33" s="647"/>
      <c r="D33" s="157"/>
      <c r="E33" s="157"/>
      <c r="F33" s="646" t="str">
        <f>IF(ISNA(MATCH(Tablas!$A5,INDEX(Tabla_Elan,,14),0)),"",INDEX(INDEX(Tabla_Elan,,1),MATCH(Tablas!$A5,INDEX(Tabla_Elan,,14),0)))</f>
        <v/>
      </c>
      <c r="G33" s="5463" t="str">
        <f t="shared" si="6"/>
        <v/>
      </c>
      <c r="H33" s="4447"/>
      <c r="I33" s="4447"/>
      <c r="J33" s="4447"/>
      <c r="K33" s="4447"/>
      <c r="L33" s="4447"/>
      <c r="M33" s="4447"/>
      <c r="N33" s="4447"/>
      <c r="O33" s="4447"/>
      <c r="P33" s="4447"/>
      <c r="Q33" s="4447"/>
      <c r="R33" s="4447"/>
      <c r="S33" s="4447"/>
      <c r="T33" s="4447"/>
      <c r="U33" s="4447"/>
      <c r="V33" s="4447"/>
      <c r="W33" s="4447"/>
      <c r="X33" s="4447"/>
      <c r="Y33" s="4447"/>
      <c r="Z33" s="4447"/>
      <c r="AA33" s="4447"/>
      <c r="AB33" s="4447"/>
      <c r="AC33" s="4447"/>
      <c r="AD33" s="4447"/>
      <c r="AE33" s="4447"/>
      <c r="AF33" s="4447"/>
      <c r="AG33" s="4447"/>
      <c r="AH33" s="4447"/>
      <c r="AI33" s="5464"/>
      <c r="AJ33" s="685"/>
      <c r="AK33" s="529"/>
      <c r="AL33" s="2603"/>
      <c r="AM33" s="2603"/>
    </row>
    <row r="34" spans="1:39" ht="12" customHeight="1">
      <c r="A34" s="29"/>
      <c r="B34" s="443"/>
      <c r="C34" s="647"/>
      <c r="D34" s="157"/>
      <c r="E34" s="157"/>
      <c r="F34" s="646" t="str">
        <f>IF(ISNA(MATCH(Tablas!$A6,INDEX(Tabla_Elan,,14),0)),"",INDEX(INDEX(Tabla_Elan,,1),MATCH(Tablas!$A6,INDEX(Tabla_Elan,,14),0)))</f>
        <v/>
      </c>
      <c r="G34" s="5463" t="str">
        <f t="shared" si="6"/>
        <v/>
      </c>
      <c r="H34" s="4447"/>
      <c r="I34" s="4447"/>
      <c r="J34" s="4447"/>
      <c r="K34" s="4447"/>
      <c r="L34" s="4447"/>
      <c r="M34" s="4447"/>
      <c r="N34" s="4447"/>
      <c r="O34" s="4447"/>
      <c r="P34" s="4447"/>
      <c r="Q34" s="4447"/>
      <c r="R34" s="4447"/>
      <c r="S34" s="4447"/>
      <c r="T34" s="4447"/>
      <c r="U34" s="4447"/>
      <c r="V34" s="4447"/>
      <c r="W34" s="4447"/>
      <c r="X34" s="4447"/>
      <c r="Y34" s="4447"/>
      <c r="Z34" s="4447"/>
      <c r="AA34" s="4447"/>
      <c r="AB34" s="4447"/>
      <c r="AC34" s="4447"/>
      <c r="AD34" s="4447"/>
      <c r="AE34" s="4447"/>
      <c r="AF34" s="4447"/>
      <c r="AG34" s="4447"/>
      <c r="AH34" s="4447"/>
      <c r="AI34" s="5464"/>
      <c r="AJ34" s="685"/>
      <c r="AK34" s="529"/>
      <c r="AL34" s="2603"/>
      <c r="AM34" s="2603"/>
    </row>
    <row r="35" spans="1:39" ht="12" customHeight="1">
      <c r="A35" s="29"/>
      <c r="B35" s="443"/>
      <c r="C35" s="647"/>
      <c r="D35" s="157"/>
      <c r="E35" s="157"/>
      <c r="F35" s="646" t="str">
        <f>IF(ISNA(MATCH(Tablas!$A7,INDEX(Tabla_Elan,,14),0)),"",INDEX(INDEX(Tabla_Elan,,1),MATCH(Tablas!$A7,INDEX(Tabla_Elan,,14),0)))</f>
        <v/>
      </c>
      <c r="G35" s="5463" t="str">
        <f t="shared" si="6"/>
        <v/>
      </c>
      <c r="H35" s="4447"/>
      <c r="I35" s="4447"/>
      <c r="J35" s="4447"/>
      <c r="K35" s="4447"/>
      <c r="L35" s="4447"/>
      <c r="M35" s="4447"/>
      <c r="N35" s="4447"/>
      <c r="O35" s="4447"/>
      <c r="P35" s="4447"/>
      <c r="Q35" s="4447"/>
      <c r="R35" s="4447"/>
      <c r="S35" s="4447"/>
      <c r="T35" s="4447"/>
      <c r="U35" s="4447"/>
      <c r="V35" s="4447"/>
      <c r="W35" s="4447"/>
      <c r="X35" s="4447"/>
      <c r="Y35" s="4447"/>
      <c r="Z35" s="4447"/>
      <c r="AA35" s="4447"/>
      <c r="AB35" s="4447"/>
      <c r="AC35" s="4447"/>
      <c r="AD35" s="4447"/>
      <c r="AE35" s="4447"/>
      <c r="AF35" s="4447"/>
      <c r="AG35" s="4447"/>
      <c r="AH35" s="4447"/>
      <c r="AI35" s="5464"/>
      <c r="AJ35" s="685"/>
      <c r="AK35" s="529"/>
      <c r="AL35" s="2603"/>
      <c r="AM35" s="2603"/>
    </row>
    <row r="36" spans="1:39" ht="12" customHeight="1">
      <c r="A36" s="29"/>
      <c r="B36" s="443"/>
      <c r="C36" s="647"/>
      <c r="D36" s="157"/>
      <c r="E36" s="157"/>
      <c r="F36" s="646" t="str">
        <f>IF(ISNA(MATCH(Tablas!$A8,INDEX(Tabla_Elan,,14),0)),"",INDEX(INDEX(Tabla_Elan,,1),MATCH(Tablas!$A8,INDEX(Tabla_Elan,,14),0)))</f>
        <v/>
      </c>
      <c r="G36" s="5463" t="str">
        <f t="shared" si="6"/>
        <v/>
      </c>
      <c r="H36" s="4447"/>
      <c r="I36" s="4447"/>
      <c r="J36" s="4447"/>
      <c r="K36" s="4447"/>
      <c r="L36" s="4447"/>
      <c r="M36" s="4447"/>
      <c r="N36" s="4447"/>
      <c r="O36" s="4447"/>
      <c r="P36" s="4447"/>
      <c r="Q36" s="4447"/>
      <c r="R36" s="4447"/>
      <c r="S36" s="4447"/>
      <c r="T36" s="4447"/>
      <c r="U36" s="4447"/>
      <c r="V36" s="4447"/>
      <c r="W36" s="4447"/>
      <c r="X36" s="4447"/>
      <c r="Y36" s="4447"/>
      <c r="Z36" s="4447"/>
      <c r="AA36" s="4447"/>
      <c r="AB36" s="4447"/>
      <c r="AC36" s="4447"/>
      <c r="AD36" s="4447"/>
      <c r="AE36" s="4447"/>
      <c r="AF36" s="4447"/>
      <c r="AG36" s="4447"/>
      <c r="AH36" s="4447"/>
      <c r="AI36" s="5464"/>
      <c r="AJ36" s="685"/>
      <c r="AK36" s="529"/>
      <c r="AL36" s="2603"/>
      <c r="AM36" s="2603"/>
    </row>
    <row r="37" spans="1:39" ht="12" customHeight="1">
      <c r="A37" s="29"/>
      <c r="B37" s="443"/>
      <c r="C37" s="647"/>
      <c r="D37" s="157"/>
      <c r="E37" s="157"/>
      <c r="F37" s="646" t="str">
        <f>IF(ISNA(MATCH(Tablas!$A9,INDEX(Tabla_Elan,,14),0)),"",INDEX(INDEX(Tabla_Elan,,1),MATCH(Tablas!$A9,INDEX(Tabla_Elan,,14),0)))</f>
        <v/>
      </c>
      <c r="G37" s="5463" t="str">
        <f t="shared" si="6"/>
        <v/>
      </c>
      <c r="H37" s="4447"/>
      <c r="I37" s="4447"/>
      <c r="J37" s="4447"/>
      <c r="K37" s="4447"/>
      <c r="L37" s="4447"/>
      <c r="M37" s="4447"/>
      <c r="N37" s="4447"/>
      <c r="O37" s="4447"/>
      <c r="P37" s="4447"/>
      <c r="Q37" s="4447"/>
      <c r="R37" s="4447"/>
      <c r="S37" s="4447"/>
      <c r="T37" s="4447"/>
      <c r="U37" s="4447"/>
      <c r="V37" s="4447"/>
      <c r="W37" s="4447"/>
      <c r="X37" s="4447"/>
      <c r="Y37" s="4447"/>
      <c r="Z37" s="4447"/>
      <c r="AA37" s="4447"/>
      <c r="AB37" s="4447"/>
      <c r="AC37" s="4447"/>
      <c r="AD37" s="4447"/>
      <c r="AE37" s="4447"/>
      <c r="AF37" s="4447"/>
      <c r="AG37" s="4447"/>
      <c r="AH37" s="4447"/>
      <c r="AI37" s="5464"/>
      <c r="AJ37" s="685"/>
      <c r="AK37" s="529"/>
      <c r="AL37" s="2603"/>
      <c r="AM37" s="2603"/>
    </row>
    <row r="38" spans="1:39" ht="12" customHeight="1">
      <c r="A38" s="29"/>
      <c r="B38" s="443"/>
      <c r="C38" s="647"/>
      <c r="D38" s="157"/>
      <c r="E38" s="157"/>
      <c r="F38" s="646" t="str">
        <f>IF(ISNA(MATCH(Tablas!$A10,INDEX(Tabla_Elan,,14),0)),"",INDEX(INDEX(Tabla_Elan,,1),MATCH(Tablas!$A10,INDEX(Tabla_Elan,,14),0)))</f>
        <v/>
      </c>
      <c r="G38" s="5463" t="str">
        <f t="shared" si="6"/>
        <v/>
      </c>
      <c r="H38" s="4447"/>
      <c r="I38" s="4447"/>
      <c r="J38" s="4447"/>
      <c r="K38" s="4447"/>
      <c r="L38" s="4447"/>
      <c r="M38" s="4447"/>
      <c r="N38" s="4447"/>
      <c r="O38" s="4447"/>
      <c r="P38" s="4447"/>
      <c r="Q38" s="4447"/>
      <c r="R38" s="4447"/>
      <c r="S38" s="4447"/>
      <c r="T38" s="4447"/>
      <c r="U38" s="4447"/>
      <c r="V38" s="4447"/>
      <c r="W38" s="4447"/>
      <c r="X38" s="4447"/>
      <c r="Y38" s="4447"/>
      <c r="Z38" s="4447"/>
      <c r="AA38" s="4447"/>
      <c r="AB38" s="4447"/>
      <c r="AC38" s="4447"/>
      <c r="AD38" s="4447"/>
      <c r="AE38" s="4447"/>
      <c r="AF38" s="4447"/>
      <c r="AG38" s="4447"/>
      <c r="AH38" s="4447"/>
      <c r="AI38" s="5464"/>
      <c r="AJ38" s="685"/>
      <c r="AK38" s="529"/>
      <c r="AL38" s="2603"/>
      <c r="AM38" s="2603"/>
    </row>
    <row r="39" spans="1:39" ht="12" customHeight="1">
      <c r="A39" s="29"/>
      <c r="B39" s="443"/>
      <c r="C39" s="647"/>
      <c r="D39" s="157"/>
      <c r="E39" s="157"/>
      <c r="F39" s="646" t="str">
        <f>IF(ISNA(MATCH(Tablas!$A11,INDEX(Tabla_Elan,,14),0)),"",INDEX(INDEX(Tabla_Elan,,1),MATCH(Tablas!$A11,INDEX(Tabla_Elan,,14),0)))</f>
        <v/>
      </c>
      <c r="G39" s="5463" t="str">
        <f t="shared" si="6"/>
        <v/>
      </c>
      <c r="H39" s="4447"/>
      <c r="I39" s="4447"/>
      <c r="J39" s="4447"/>
      <c r="K39" s="4447"/>
      <c r="L39" s="4447"/>
      <c r="M39" s="4447"/>
      <c r="N39" s="4447"/>
      <c r="O39" s="4447"/>
      <c r="P39" s="4447"/>
      <c r="Q39" s="4447"/>
      <c r="R39" s="4447"/>
      <c r="S39" s="4447"/>
      <c r="T39" s="4447"/>
      <c r="U39" s="4447"/>
      <c r="V39" s="4447"/>
      <c r="W39" s="4447"/>
      <c r="X39" s="4447"/>
      <c r="Y39" s="4447"/>
      <c r="Z39" s="4447"/>
      <c r="AA39" s="4447"/>
      <c r="AB39" s="4447"/>
      <c r="AC39" s="4447"/>
      <c r="AD39" s="4447"/>
      <c r="AE39" s="4447"/>
      <c r="AF39" s="4447"/>
      <c r="AG39" s="4447"/>
      <c r="AH39" s="4447"/>
      <c r="AI39" s="5464"/>
      <c r="AJ39" s="685"/>
      <c r="AK39" s="529"/>
      <c r="AL39" s="2603"/>
      <c r="AM39" s="2603"/>
    </row>
    <row r="40" spans="1:39" ht="12" customHeight="1">
      <c r="A40" s="29"/>
      <c r="B40" s="443"/>
      <c r="C40" s="647"/>
      <c r="D40" s="157"/>
      <c r="E40" s="157"/>
      <c r="F40" s="646" t="str">
        <f>IF(ISNA(MATCH(Tablas!$A12,INDEX(Tabla_Elan,,14),0)),"",INDEX(INDEX(Tabla_Elan,,1),MATCH(Tablas!$A12,INDEX(Tabla_Elan,,14),0)))</f>
        <v/>
      </c>
      <c r="G40" s="5463" t="str">
        <f t="shared" si="6"/>
        <v/>
      </c>
      <c r="H40" s="4447"/>
      <c r="I40" s="4447"/>
      <c r="J40" s="4447"/>
      <c r="K40" s="4447"/>
      <c r="L40" s="4447"/>
      <c r="M40" s="4447"/>
      <c r="N40" s="4447"/>
      <c r="O40" s="4447"/>
      <c r="P40" s="4447"/>
      <c r="Q40" s="4447"/>
      <c r="R40" s="4447"/>
      <c r="S40" s="4447"/>
      <c r="T40" s="4447"/>
      <c r="U40" s="4447"/>
      <c r="V40" s="4447"/>
      <c r="W40" s="4447"/>
      <c r="X40" s="4447"/>
      <c r="Y40" s="4447"/>
      <c r="Z40" s="4447"/>
      <c r="AA40" s="4447"/>
      <c r="AB40" s="4447"/>
      <c r="AC40" s="4447"/>
      <c r="AD40" s="4447"/>
      <c r="AE40" s="4447"/>
      <c r="AF40" s="4447"/>
      <c r="AG40" s="4447"/>
      <c r="AH40" s="4447"/>
      <c r="AI40" s="5464"/>
      <c r="AJ40" s="685"/>
      <c r="AK40" s="529"/>
      <c r="AL40" s="2603"/>
      <c r="AM40" s="2603"/>
    </row>
    <row r="41" spans="1:39" ht="12" customHeight="1">
      <c r="A41" s="29"/>
      <c r="B41" s="443"/>
      <c r="C41" s="647"/>
      <c r="D41" s="157"/>
      <c r="E41" s="157"/>
      <c r="F41" s="646" t="str">
        <f>IF(ISNA(MATCH(Tablas!$A13,INDEX(Tabla_Elan,,14),0)),"",INDEX(INDEX(Tabla_Elan,,1),MATCH(Tablas!$A13,INDEX(Tabla_Elan,,14),0)))</f>
        <v/>
      </c>
      <c r="G41" s="5463" t="str">
        <f t="shared" si="6"/>
        <v/>
      </c>
      <c r="H41" s="4447"/>
      <c r="I41" s="4447"/>
      <c r="J41" s="4447"/>
      <c r="K41" s="4447"/>
      <c r="L41" s="4447"/>
      <c r="M41" s="4447"/>
      <c r="N41" s="4447"/>
      <c r="O41" s="4447"/>
      <c r="P41" s="4447"/>
      <c r="Q41" s="4447"/>
      <c r="R41" s="4447"/>
      <c r="S41" s="4447"/>
      <c r="T41" s="4447"/>
      <c r="U41" s="4447"/>
      <c r="V41" s="4447"/>
      <c r="W41" s="4447"/>
      <c r="X41" s="4447"/>
      <c r="Y41" s="4447"/>
      <c r="Z41" s="4447"/>
      <c r="AA41" s="4447"/>
      <c r="AB41" s="4447"/>
      <c r="AC41" s="4447"/>
      <c r="AD41" s="4447"/>
      <c r="AE41" s="4447"/>
      <c r="AF41" s="4447"/>
      <c r="AG41" s="4447"/>
      <c r="AH41" s="4447"/>
      <c r="AI41" s="5464"/>
      <c r="AJ41" s="685"/>
      <c r="AK41" s="529"/>
      <c r="AL41" s="2603"/>
      <c r="AM41" s="2603"/>
    </row>
    <row r="42" spans="1:39" ht="12" customHeight="1">
      <c r="A42" s="29"/>
      <c r="B42" s="443"/>
      <c r="C42" s="647"/>
      <c r="D42" s="157"/>
      <c r="E42" s="157"/>
      <c r="F42" s="646" t="str">
        <f>IF(ISNA(MATCH(Tablas!$A14,INDEX(Tabla_Elan,,14),0)),"",INDEX(INDEX(Tabla_Elan,,1),MATCH(Tablas!$A14,INDEX(Tabla_Elan,,14),0)))</f>
        <v/>
      </c>
      <c r="G42" s="5463" t="str">
        <f t="shared" si="6"/>
        <v/>
      </c>
      <c r="H42" s="4447"/>
      <c r="I42" s="4447"/>
      <c r="J42" s="4447"/>
      <c r="K42" s="4447"/>
      <c r="L42" s="4447"/>
      <c r="M42" s="4447"/>
      <c r="N42" s="4447"/>
      <c r="O42" s="4447"/>
      <c r="P42" s="4447"/>
      <c r="Q42" s="4447"/>
      <c r="R42" s="4447"/>
      <c r="S42" s="4447"/>
      <c r="T42" s="4447"/>
      <c r="U42" s="4447"/>
      <c r="V42" s="4447"/>
      <c r="W42" s="4447"/>
      <c r="X42" s="4447"/>
      <c r="Y42" s="4447"/>
      <c r="Z42" s="4447"/>
      <c r="AA42" s="4447"/>
      <c r="AB42" s="4447"/>
      <c r="AC42" s="4447"/>
      <c r="AD42" s="4447"/>
      <c r="AE42" s="4447"/>
      <c r="AF42" s="4447"/>
      <c r="AG42" s="4447"/>
      <c r="AH42" s="4447"/>
      <c r="AI42" s="5464"/>
      <c r="AJ42" s="685"/>
      <c r="AK42" s="529"/>
      <c r="AL42" s="2603"/>
      <c r="AM42" s="2603"/>
    </row>
    <row r="43" spans="1:39" ht="12" customHeight="1">
      <c r="A43" s="29"/>
      <c r="B43" s="443"/>
      <c r="C43" s="647"/>
      <c r="D43" s="157"/>
      <c r="E43" s="157"/>
      <c r="F43" s="646" t="str">
        <f>IF(ISNA(MATCH(Tablas!$A15,INDEX(Tabla_Elan,,14),0)),"",INDEX(INDEX(Tabla_Elan,,1),MATCH(Tablas!$A15,INDEX(Tabla_Elan,,14),0)))</f>
        <v/>
      </c>
      <c r="G43" s="5463" t="str">
        <f t="shared" si="6"/>
        <v/>
      </c>
      <c r="H43" s="4447"/>
      <c r="I43" s="4447"/>
      <c r="J43" s="4447"/>
      <c r="K43" s="4447"/>
      <c r="L43" s="4447"/>
      <c r="M43" s="4447"/>
      <c r="N43" s="4447"/>
      <c r="O43" s="4447"/>
      <c r="P43" s="4447"/>
      <c r="Q43" s="4447"/>
      <c r="R43" s="4447"/>
      <c r="S43" s="4447"/>
      <c r="T43" s="4447"/>
      <c r="U43" s="4447"/>
      <c r="V43" s="4447"/>
      <c r="W43" s="4447"/>
      <c r="X43" s="4447"/>
      <c r="Y43" s="4447"/>
      <c r="Z43" s="4447"/>
      <c r="AA43" s="4447"/>
      <c r="AB43" s="4447"/>
      <c r="AC43" s="4447"/>
      <c r="AD43" s="4447"/>
      <c r="AE43" s="4447"/>
      <c r="AF43" s="4447"/>
      <c r="AG43" s="4447"/>
      <c r="AH43" s="4447"/>
      <c r="AI43" s="5464"/>
      <c r="AJ43" s="685"/>
      <c r="AK43" s="529"/>
      <c r="AL43" s="2603"/>
      <c r="AM43" s="2603"/>
    </row>
    <row r="44" spans="1:39" ht="12" customHeight="1">
      <c r="A44" s="29"/>
      <c r="B44" s="443"/>
      <c r="C44" s="647"/>
      <c r="D44" s="157"/>
      <c r="E44" s="157"/>
      <c r="F44" s="646" t="str">
        <f>IF(ISNA(MATCH(Tablas!$A16,INDEX(Tabla_Elan,,14),0)),"",INDEX(INDEX(Tabla_Elan,,1),MATCH(Tablas!$A16,INDEX(Tabla_Elan,,14),0)))</f>
        <v/>
      </c>
      <c r="G44" s="5463" t="str">
        <f t="shared" si="6"/>
        <v/>
      </c>
      <c r="H44" s="4447"/>
      <c r="I44" s="4447"/>
      <c r="J44" s="4447"/>
      <c r="K44" s="4447"/>
      <c r="L44" s="4447"/>
      <c r="M44" s="4447"/>
      <c r="N44" s="4447"/>
      <c r="O44" s="4447"/>
      <c r="P44" s="4447"/>
      <c r="Q44" s="4447"/>
      <c r="R44" s="4447"/>
      <c r="S44" s="4447"/>
      <c r="T44" s="4447"/>
      <c r="U44" s="4447"/>
      <c r="V44" s="4447"/>
      <c r="W44" s="4447"/>
      <c r="X44" s="4447"/>
      <c r="Y44" s="4447"/>
      <c r="Z44" s="4447"/>
      <c r="AA44" s="4447"/>
      <c r="AB44" s="4447"/>
      <c r="AC44" s="4447"/>
      <c r="AD44" s="4447"/>
      <c r="AE44" s="4447"/>
      <c r="AF44" s="4447"/>
      <c r="AG44" s="4447"/>
      <c r="AH44" s="4447"/>
      <c r="AI44" s="5464"/>
      <c r="AJ44" s="685"/>
      <c r="AK44" s="529"/>
      <c r="AL44" s="2603"/>
      <c r="AM44" s="2603"/>
    </row>
    <row r="45" spans="1:39" ht="12" customHeight="1">
      <c r="A45" s="29"/>
      <c r="B45" s="443"/>
      <c r="C45" s="647"/>
      <c r="D45" s="157"/>
      <c r="E45" s="157"/>
      <c r="F45" s="646" t="str">
        <f>IF(ISNA(MATCH(Tablas!$A17,INDEX(Tabla_Elan,,14),0)),"",INDEX(INDEX(Tabla_Elan,,1),MATCH(Tablas!$A17,INDEX(Tabla_Elan,,14),0)))</f>
        <v/>
      </c>
      <c r="G45" s="999" t="str">
        <f t="shared" si="6"/>
        <v/>
      </c>
      <c r="H45" s="995"/>
      <c r="I45" s="995"/>
      <c r="J45" s="995"/>
      <c r="K45" s="995"/>
      <c r="L45" s="995"/>
      <c r="M45" s="995"/>
      <c r="N45" s="995"/>
      <c r="O45" s="995"/>
      <c r="P45" s="995"/>
      <c r="Q45" s="995"/>
      <c r="R45" s="995"/>
      <c r="S45" s="995"/>
      <c r="T45" s="995"/>
      <c r="U45" s="995"/>
      <c r="V45" s="995"/>
      <c r="W45" s="995"/>
      <c r="X45" s="995"/>
      <c r="Y45" s="995"/>
      <c r="Z45" s="995"/>
      <c r="AA45" s="995"/>
      <c r="AB45" s="995"/>
      <c r="AC45" s="995"/>
      <c r="AD45" s="995"/>
      <c r="AE45" s="995"/>
      <c r="AF45" s="995"/>
      <c r="AG45" s="995"/>
      <c r="AH45" s="995"/>
      <c r="AI45" s="998"/>
      <c r="AJ45" s="685"/>
      <c r="AK45" s="529"/>
      <c r="AL45" s="2603"/>
      <c r="AM45" s="2603"/>
    </row>
    <row r="46" spans="1:39" ht="12" customHeight="1">
      <c r="A46" s="29"/>
      <c r="B46" s="443"/>
      <c r="C46" s="647"/>
      <c r="D46" s="157"/>
      <c r="E46" s="157"/>
      <c r="F46" s="646" t="str">
        <f>IF(ISNA(MATCH(Tablas!$A18,INDEX(Tabla_Elan,,14),0)),"",INDEX(INDEX(Tabla_Elan,,1),MATCH(Tablas!$A18,INDEX(Tabla_Elan,,14),0)))</f>
        <v/>
      </c>
      <c r="G46" s="999" t="str">
        <f t="shared" si="6"/>
        <v/>
      </c>
      <c r="H46" s="995"/>
      <c r="I46" s="995"/>
      <c r="J46" s="995"/>
      <c r="K46" s="995"/>
      <c r="L46" s="995"/>
      <c r="M46" s="995"/>
      <c r="N46" s="995"/>
      <c r="O46" s="995"/>
      <c r="P46" s="995"/>
      <c r="Q46" s="995"/>
      <c r="R46" s="995"/>
      <c r="S46" s="995"/>
      <c r="T46" s="995"/>
      <c r="U46" s="995"/>
      <c r="V46" s="995"/>
      <c r="W46" s="995"/>
      <c r="X46" s="995"/>
      <c r="Y46" s="995"/>
      <c r="Z46" s="995"/>
      <c r="AA46" s="995"/>
      <c r="AB46" s="995"/>
      <c r="AC46" s="995"/>
      <c r="AD46" s="995"/>
      <c r="AE46" s="995"/>
      <c r="AF46" s="995"/>
      <c r="AG46" s="995"/>
      <c r="AH46" s="995"/>
      <c r="AI46" s="998"/>
      <c r="AJ46" s="685"/>
      <c r="AK46" s="529"/>
      <c r="AL46" s="2603"/>
      <c r="AM46" s="2603"/>
    </row>
    <row r="47" spans="1:39" ht="12" customHeight="1">
      <c r="A47" s="29"/>
      <c r="B47" s="443"/>
      <c r="C47" s="647"/>
      <c r="D47" s="157"/>
      <c r="E47" s="157"/>
      <c r="F47" s="646" t="str">
        <f>IF(ISNA(MATCH(Tablas!$A19,INDEX(Tabla_Elan,,14),0)),"",INDEX(INDEX(Tabla_Elan,,1),MATCH(Tablas!$A19,INDEX(Tabla_Elan,,14),0)))</f>
        <v/>
      </c>
      <c r="G47" s="999" t="str">
        <f t="shared" si="6"/>
        <v/>
      </c>
      <c r="H47" s="995"/>
      <c r="I47" s="995"/>
      <c r="J47" s="995"/>
      <c r="K47" s="995"/>
      <c r="L47" s="995"/>
      <c r="M47" s="995"/>
      <c r="N47" s="995"/>
      <c r="O47" s="995"/>
      <c r="P47" s="995"/>
      <c r="Q47" s="995"/>
      <c r="R47" s="995"/>
      <c r="S47" s="995"/>
      <c r="T47" s="995"/>
      <c r="U47" s="995"/>
      <c r="V47" s="995"/>
      <c r="W47" s="995"/>
      <c r="X47" s="995"/>
      <c r="Y47" s="995"/>
      <c r="Z47" s="995"/>
      <c r="AA47" s="995"/>
      <c r="AB47" s="995"/>
      <c r="AC47" s="995"/>
      <c r="AD47" s="995"/>
      <c r="AE47" s="995"/>
      <c r="AF47" s="995"/>
      <c r="AG47" s="995"/>
      <c r="AH47" s="995"/>
      <c r="AI47" s="998"/>
      <c r="AJ47" s="685"/>
      <c r="AK47" s="529"/>
      <c r="AL47" s="2603"/>
      <c r="AM47" s="2603"/>
    </row>
    <row r="48" spans="1:39" ht="12" customHeight="1">
      <c r="A48" s="29"/>
      <c r="B48" s="443"/>
      <c r="C48" s="647"/>
      <c r="D48" s="157"/>
      <c r="E48" s="157"/>
      <c r="F48" s="646" t="str">
        <f>IF(ISNA(MATCH(Tablas!$A20,INDEX(Tabla_Elan,,14),0)),"",INDEX(INDEX(Tabla_Elan,,1),MATCH(Tablas!$A20,INDEX(Tabla_Elan,,14),0)))</f>
        <v/>
      </c>
      <c r="G48" s="999" t="str">
        <f t="shared" si="6"/>
        <v/>
      </c>
      <c r="H48" s="995"/>
      <c r="I48" s="995"/>
      <c r="J48" s="995"/>
      <c r="K48" s="995"/>
      <c r="L48" s="995"/>
      <c r="M48" s="995"/>
      <c r="N48" s="995"/>
      <c r="O48" s="995"/>
      <c r="P48" s="995"/>
      <c r="Q48" s="995"/>
      <c r="R48" s="995"/>
      <c r="S48" s="995"/>
      <c r="T48" s="995"/>
      <c r="U48" s="995"/>
      <c r="V48" s="995"/>
      <c r="W48" s="995"/>
      <c r="X48" s="995"/>
      <c r="Y48" s="995"/>
      <c r="Z48" s="995"/>
      <c r="AA48" s="995"/>
      <c r="AB48" s="995"/>
      <c r="AC48" s="995"/>
      <c r="AD48" s="995"/>
      <c r="AE48" s="995"/>
      <c r="AF48" s="995"/>
      <c r="AG48" s="995"/>
      <c r="AH48" s="995"/>
      <c r="AI48" s="998"/>
      <c r="AJ48" s="685"/>
      <c r="AK48" s="529"/>
      <c r="AL48" s="2603"/>
      <c r="AM48" s="2603"/>
    </row>
    <row r="49" spans="1:39" ht="12" customHeight="1" thickBot="1">
      <c r="A49" s="29"/>
      <c r="B49" s="443"/>
      <c r="C49" s="648"/>
      <c r="D49" s="649"/>
      <c r="E49" s="649"/>
      <c r="F49" s="650" t="str">
        <f>IF(ISNA(MATCH(Tablas!$A21,INDEX(Tabla_Elan,,14),0)),"",INDEX(INDEX(Tabla_Elan,,1),MATCH(Tablas!$A21,INDEX(Tabla_Elan,,14),0)))</f>
        <v/>
      </c>
      <c r="G49" s="845" t="str">
        <f t="shared" si="6"/>
        <v/>
      </c>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7"/>
      <c r="AJ49" s="685"/>
      <c r="AK49" s="529"/>
      <c r="AL49" s="2603"/>
      <c r="AM49" s="2603"/>
    </row>
    <row r="50" spans="1:39" ht="12" customHeight="1" thickBot="1">
      <c r="A50" s="29"/>
      <c r="B50" s="445"/>
      <c r="C50" s="528"/>
      <c r="D50" s="528"/>
      <c r="E50" s="528"/>
      <c r="F50" s="528"/>
      <c r="G50" s="528"/>
      <c r="H50" s="528"/>
      <c r="I50" s="528"/>
      <c r="J50" s="528"/>
      <c r="K50" s="528"/>
      <c r="L50" s="528"/>
      <c r="M50" s="528"/>
      <c r="N50" s="1003"/>
      <c r="O50" s="1003"/>
      <c r="P50" s="1003"/>
      <c r="Q50" s="1003"/>
      <c r="R50" s="528"/>
      <c r="S50" s="528"/>
      <c r="T50" s="528"/>
      <c r="U50" s="528"/>
      <c r="V50" s="528"/>
      <c r="W50" s="528"/>
      <c r="X50" s="528"/>
      <c r="Y50" s="528"/>
      <c r="Z50" s="528"/>
      <c r="AA50" s="528"/>
      <c r="AB50" s="528"/>
      <c r="AC50" s="528"/>
      <c r="AD50" s="528"/>
      <c r="AE50" s="528"/>
      <c r="AF50" s="528"/>
      <c r="AG50" s="528"/>
      <c r="AH50" s="528"/>
      <c r="AI50" s="528"/>
      <c r="AJ50" s="688"/>
      <c r="AK50" s="529"/>
      <c r="AL50" s="2603"/>
      <c r="AM50" s="2603"/>
    </row>
    <row r="51" spans="1:39" ht="12" customHeight="1">
      <c r="A51" s="769"/>
      <c r="B51" s="769"/>
      <c r="C51" s="29"/>
      <c r="D51" s="29"/>
      <c r="E51" s="29"/>
      <c r="F51" s="29"/>
      <c r="G51" s="29"/>
      <c r="H51" s="769"/>
      <c r="I51" s="769"/>
      <c r="J51" s="769"/>
      <c r="K51" s="769"/>
      <c r="L51" s="769"/>
      <c r="M51" s="769"/>
      <c r="N51" s="769"/>
      <c r="O51" s="769"/>
      <c r="P51" s="769"/>
      <c r="Q51" s="769"/>
      <c r="R51" s="769"/>
      <c r="S51" s="769"/>
      <c r="T51" s="769"/>
      <c r="U51" s="769"/>
      <c r="V51" s="769"/>
      <c r="W51" s="769"/>
      <c r="X51" s="769"/>
      <c r="Y51" s="769"/>
      <c r="Z51" s="769"/>
      <c r="AA51" s="769"/>
      <c r="AB51" s="769"/>
      <c r="AC51" s="769"/>
      <c r="AD51" s="769"/>
      <c r="AE51" s="769"/>
      <c r="AF51" s="769"/>
      <c r="AG51" s="769"/>
      <c r="AH51" s="769"/>
      <c r="AI51" s="769"/>
      <c r="AJ51" s="529"/>
      <c r="AK51" s="529"/>
      <c r="AL51" s="2607"/>
      <c r="AM51" s="260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949" priority="11" operator="equal">
      <formula>0</formula>
    </cfRule>
  </conditionalFormatting>
  <conditionalFormatting sqref="C13:F25">
    <cfRule type="expression" dxfId="1948" priority="9">
      <formula>$AL13</formula>
    </cfRule>
  </conditionalFormatting>
  <conditionalFormatting sqref="AA10:AI26">
    <cfRule type="cellIs" dxfId="1947" priority="5" operator="equal">
      <formula>0</formula>
    </cfRule>
  </conditionalFormatting>
  <conditionalFormatting sqref="U13:X25">
    <cfRule type="expression" dxfId="1946" priority="2">
      <formula>$AM13</formula>
    </cfRule>
  </conditionalFormatting>
  <conditionalFormatting sqref="N20:N26">
    <cfRule type="cellIs" dxfId="194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Tablas!$C$1932:$C$1945</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935"/>
  <sheetViews>
    <sheetView topLeftCell="A120" zoomScale="85" zoomScaleNormal="85" workbookViewId="0">
      <selection activeCell="T134" sqref="T134"/>
    </sheetView>
  </sheetViews>
  <sheetFormatPr baseColWidth="10" defaultColWidth="11.42578125" defaultRowHeight="12" customHeight="1"/>
  <cols>
    <col min="1" max="1" width="2.42578125" style="1743" customWidth="1"/>
    <col min="2" max="2" width="2.7109375" customWidth="1"/>
    <col min="3" max="4" width="9.7109375" style="219" customWidth="1"/>
    <col min="5" max="6" width="9.7109375" style="88" customWidth="1"/>
    <col min="7" max="12" width="9.7109375" style="219" customWidth="1"/>
    <col min="13" max="13" width="9.7109375" style="825" customWidth="1"/>
    <col min="14" max="14" width="9.7109375" style="219" customWidth="1"/>
    <col min="15" max="15" width="40.140625" style="88" customWidth="1"/>
    <col min="16" max="16" width="9.7109375" style="219" customWidth="1"/>
    <col min="17" max="18" width="9.7109375" style="88" customWidth="1"/>
    <col min="19" max="19" width="9.7109375" style="1844" customWidth="1"/>
    <col min="20" max="21" width="9.7109375" style="88" customWidth="1"/>
    <col min="22" max="22" width="10.7109375" style="219" customWidth="1"/>
    <col min="23" max="23" width="31.7109375" style="219" customWidth="1"/>
    <col min="24" max="24" width="10.7109375" style="219" customWidth="1"/>
    <col min="25" max="16384" width="11.42578125" style="219"/>
  </cols>
  <sheetData>
    <row r="2" spans="1:24" ht="12" customHeight="1">
      <c r="A2" s="7172"/>
      <c r="B2" s="7146" t="s">
        <v>8369</v>
      </c>
      <c r="C2" s="7146"/>
      <c r="D2" s="7146"/>
      <c r="E2" s="7146"/>
      <c r="F2" s="7146"/>
      <c r="G2" s="7146"/>
      <c r="H2" s="7146"/>
      <c r="I2" s="7146"/>
      <c r="J2" s="7146"/>
      <c r="K2" s="7146"/>
      <c r="L2" s="7146"/>
      <c r="M2" s="7146"/>
      <c r="N2" s="7146"/>
      <c r="O2" s="7146"/>
      <c r="P2" s="7146"/>
      <c r="Q2" s="7146"/>
      <c r="R2" s="7146"/>
      <c r="S2" s="7146"/>
      <c r="T2" s="7146"/>
      <c r="U2" s="7146"/>
      <c r="V2" s="7146"/>
      <c r="W2" s="7146"/>
      <c r="X2" s="7146"/>
    </row>
    <row r="3" spans="1:24" ht="12" customHeight="1">
      <c r="A3" s="7172"/>
      <c r="B3" s="7146"/>
      <c r="C3" s="7146"/>
      <c r="D3" s="7146"/>
      <c r="E3" s="7146"/>
      <c r="F3" s="7146"/>
      <c r="G3" s="7146"/>
      <c r="H3" s="7146"/>
      <c r="I3" s="7146"/>
      <c r="J3" s="7146"/>
      <c r="K3" s="7146"/>
      <c r="L3" s="7146"/>
      <c r="M3" s="7146"/>
      <c r="N3" s="7146"/>
      <c r="O3" s="7146"/>
      <c r="P3" s="7146"/>
      <c r="Q3" s="7146"/>
      <c r="R3" s="7146"/>
      <c r="S3" s="7146"/>
      <c r="T3" s="7146"/>
      <c r="U3" s="7146"/>
      <c r="V3" s="7146"/>
      <c r="W3" s="7146"/>
      <c r="X3" s="7146"/>
    </row>
    <row r="4" spans="1:24" ht="12" customHeight="1">
      <c r="A4" s="7172"/>
      <c r="B4" s="7146"/>
      <c r="C4" s="7146"/>
      <c r="D4" s="7146"/>
      <c r="E4" s="7146"/>
      <c r="F4" s="7146"/>
      <c r="G4" s="7146"/>
      <c r="H4" s="7146"/>
      <c r="I4" s="7146"/>
      <c r="J4" s="7146"/>
      <c r="K4" s="7146"/>
      <c r="L4" s="7146"/>
      <c r="M4" s="7146"/>
      <c r="N4" s="7146"/>
      <c r="O4" s="7146"/>
      <c r="P4" s="7146"/>
      <c r="Q4" s="7146"/>
      <c r="R4" s="7146"/>
      <c r="S4" s="7146"/>
      <c r="T4" s="7146"/>
      <c r="U4" s="7146"/>
      <c r="V4" s="7146"/>
      <c r="W4" s="7146"/>
      <c r="X4" s="7146"/>
    </row>
    <row r="5" spans="1:24" ht="12" customHeight="1" thickBot="1">
      <c r="A5" s="7172"/>
      <c r="C5"/>
      <c r="D5" s="510"/>
      <c r="E5"/>
      <c r="F5"/>
      <c r="G5"/>
      <c r="H5"/>
      <c r="I5"/>
      <c r="J5"/>
      <c r="L5" s="1735"/>
      <c r="M5" s="1734"/>
      <c r="N5" s="1735"/>
      <c r="O5" s="1734"/>
      <c r="Q5" s="1734"/>
      <c r="R5" s="1734"/>
      <c r="S5" s="1842"/>
      <c r="T5" s="1734"/>
      <c r="U5" s="1734"/>
      <c r="V5"/>
      <c r="W5"/>
    </row>
    <row r="6" spans="1:24" ht="12" customHeight="1">
      <c r="A6" s="7172"/>
      <c r="B6" s="7166"/>
      <c r="C6" s="7147" t="s">
        <v>8371</v>
      </c>
      <c r="D6" s="7147"/>
      <c r="E6" s="7147"/>
      <c r="F6" s="7147"/>
      <c r="G6" s="7147"/>
      <c r="H6" s="7147"/>
      <c r="I6" s="7147"/>
      <c r="J6" s="7147"/>
      <c r="K6" s="7147"/>
      <c r="L6" s="7148"/>
      <c r="M6" s="219"/>
      <c r="N6" s="7163"/>
      <c r="O6" s="7147" t="s">
        <v>8370</v>
      </c>
      <c r="P6" s="7147"/>
      <c r="Q6" s="7147"/>
      <c r="R6" s="7147"/>
      <c r="S6" s="7147"/>
      <c r="T6" s="7147"/>
      <c r="U6" s="7147"/>
      <c r="V6" s="7147"/>
      <c r="W6" s="7147"/>
      <c r="X6" s="7148"/>
    </row>
    <row r="7" spans="1:24" ht="12" customHeight="1">
      <c r="A7" s="7172"/>
      <c r="B7" s="7167"/>
      <c r="C7" s="6493"/>
      <c r="D7" s="6493"/>
      <c r="E7" s="6493"/>
      <c r="F7" s="6493"/>
      <c r="G7" s="6493"/>
      <c r="H7" s="6493"/>
      <c r="I7" s="6493"/>
      <c r="J7" s="6493"/>
      <c r="K7" s="6493"/>
      <c r="L7" s="7149"/>
      <c r="M7" s="219"/>
      <c r="N7" s="7164"/>
      <c r="O7" s="6493"/>
      <c r="P7" s="6493"/>
      <c r="Q7" s="6493"/>
      <c r="R7" s="6493"/>
      <c r="S7" s="6493"/>
      <c r="T7" s="6493"/>
      <c r="U7" s="6493"/>
      <c r="V7" s="6493"/>
      <c r="W7" s="6493"/>
      <c r="X7" s="7149"/>
    </row>
    <row r="8" spans="1:24" ht="12" customHeight="1">
      <c r="A8" s="7172"/>
      <c r="B8" s="7167"/>
      <c r="C8" s="1817" t="s">
        <v>1095</v>
      </c>
      <c r="D8" s="1817" t="s">
        <v>2665</v>
      </c>
      <c r="E8" s="1817" t="s">
        <v>8374</v>
      </c>
      <c r="F8" s="1817" t="s">
        <v>1696</v>
      </c>
      <c r="G8" s="1817" t="s">
        <v>1359</v>
      </c>
      <c r="H8" s="1817" t="s">
        <v>8375</v>
      </c>
      <c r="I8" s="1817" t="s">
        <v>2667</v>
      </c>
      <c r="J8" s="1817" t="s">
        <v>2668</v>
      </c>
      <c r="K8" s="1817" t="s">
        <v>2659</v>
      </c>
      <c r="L8" s="1737" t="s">
        <v>8011</v>
      </c>
      <c r="M8" s="219"/>
      <c r="N8" s="7164"/>
      <c r="O8" s="1816" t="s">
        <v>8372</v>
      </c>
      <c r="P8" s="1816" t="s">
        <v>8373</v>
      </c>
      <c r="Q8" s="1817" t="s">
        <v>1258</v>
      </c>
      <c r="R8" s="1817" t="s">
        <v>1230</v>
      </c>
      <c r="S8" s="1843" t="s">
        <v>1224</v>
      </c>
      <c r="T8" s="1816" t="s">
        <v>8852</v>
      </c>
      <c r="U8" s="1816" t="s">
        <v>8853</v>
      </c>
      <c r="V8" s="1816" t="s">
        <v>8854</v>
      </c>
      <c r="W8" s="1816" t="s">
        <v>8855</v>
      </c>
      <c r="X8" s="1736" t="s">
        <v>8851</v>
      </c>
    </row>
    <row r="9" spans="1:24" ht="12" customHeight="1">
      <c r="A9" s="7172"/>
      <c r="B9" s="7167"/>
      <c r="C9" s="1817">
        <f>Tablas!A1</f>
        <v>1</v>
      </c>
      <c r="D9" s="1817">
        <f>Tablas!B1</f>
        <v>2</v>
      </c>
      <c r="E9" s="1817">
        <f>Tablas!C1</f>
        <v>3</v>
      </c>
      <c r="F9" s="1817">
        <f>Tablas!D1</f>
        <v>4</v>
      </c>
      <c r="G9" s="1817">
        <f>Tablas!E1</f>
        <v>5</v>
      </c>
      <c r="H9" s="1817">
        <f>Tablas!F1</f>
        <v>6</v>
      </c>
      <c r="I9" s="1817">
        <f>Tablas!G1</f>
        <v>7</v>
      </c>
      <c r="J9" s="1817">
        <f>Tablas!H1</f>
        <v>8</v>
      </c>
      <c r="K9" s="1817">
        <f>Tablas!I1</f>
        <v>9</v>
      </c>
      <c r="L9" s="1737">
        <f>Tablas!J1</f>
        <v>10</v>
      </c>
      <c r="M9" s="219"/>
      <c r="N9" s="7164"/>
      <c r="O9" s="76" t="s">
        <v>2656</v>
      </c>
      <c r="P9" s="76"/>
      <c r="Q9" s="70" t="s">
        <v>1315</v>
      </c>
      <c r="R9" s="70" t="s">
        <v>1315</v>
      </c>
      <c r="S9" s="78" t="s">
        <v>1315</v>
      </c>
      <c r="T9" s="76" t="s">
        <v>1315</v>
      </c>
      <c r="U9" s="76"/>
      <c r="V9" s="76"/>
      <c r="W9" s="76"/>
      <c r="X9" s="1738"/>
    </row>
    <row r="10" spans="1:24" ht="12" customHeight="1">
      <c r="A10" s="7172"/>
      <c r="B10" s="7167"/>
      <c r="C10" s="39" t="s">
        <v>8379</v>
      </c>
      <c r="D10" s="76"/>
      <c r="E10" s="1035"/>
      <c r="F10" s="1036"/>
      <c r="G10" s="1035"/>
      <c r="H10" s="1035"/>
      <c r="I10" s="1035"/>
      <c r="J10" s="1035"/>
      <c r="K10" s="1035"/>
      <c r="L10" s="3830"/>
      <c r="M10" s="219"/>
      <c r="N10" s="7164"/>
      <c r="O10" s="76" t="s">
        <v>8376</v>
      </c>
      <c r="P10" s="76" t="str">
        <f t="shared" ref="P10:P17" si="0">IF(ISNUMBER(FIND("&gt;&gt;",O10)),"","'Tablas Técnicas'!"&amp;ADDRESS(ROW($D$9)+MATCH(O10,$C$10:$C$644,0),COLUMN($D$9))&amp;":"&amp;ADDRESS(ROW($D$9)+MATCH(O10,$C$10:$C$644,0)+COUNTIF($C$10:$C$644,O10)-1,COLUMN($D$9)))</f>
        <v>'Tablas Técnicas'!$D$11:$D$21</v>
      </c>
      <c r="Q10" s="70" t="s">
        <v>2658</v>
      </c>
      <c r="R10" s="70" t="s">
        <v>1093</v>
      </c>
      <c r="S10" s="78" t="s">
        <v>8377</v>
      </c>
      <c r="T10" s="76" t="s">
        <v>1461</v>
      </c>
      <c r="U10" s="76" t="s">
        <v>1468</v>
      </c>
      <c r="V10" s="76" t="s">
        <v>1554</v>
      </c>
      <c r="W10" s="76" t="s">
        <v>8378</v>
      </c>
      <c r="X10" s="1738" t="b">
        <f t="shared" ref="X10:X41" si="1">IFERROR(IF(VLOOKUP(T10,$O$100:$P$105,2,0),TRUE,IF(VLOOKUP(U10,$O$100:$P$105,2,0),TRUE,IF(VLOOKUP(V10,$O$100:$P$105,2,0),TRUE,FALSE))),FALSE)</f>
        <v>0</v>
      </c>
    </row>
    <row r="11" spans="1:24" ht="12" customHeight="1">
      <c r="A11" s="7172"/>
      <c r="B11" s="7167"/>
      <c r="C11" s="3831" t="s">
        <v>8381</v>
      </c>
      <c r="D11" s="3832" t="s">
        <v>7056</v>
      </c>
      <c r="E11" s="3833">
        <v>1</v>
      </c>
      <c r="F11" s="3834">
        <v>3</v>
      </c>
      <c r="G11" s="3833">
        <v>5</v>
      </c>
      <c r="H11" s="3833">
        <v>1</v>
      </c>
      <c r="I11" s="3833">
        <v>2</v>
      </c>
      <c r="J11" s="3833">
        <v>4</v>
      </c>
      <c r="K11" s="3833">
        <v>1</v>
      </c>
      <c r="L11" s="3835" t="str">
        <f t="shared" ref="L11:L74" si="2">C11&amp;D11</f>
        <v>Habilidad De Ataque+10</v>
      </c>
      <c r="M11" s="219"/>
      <c r="N11" s="7164"/>
      <c r="O11" s="76" t="s">
        <v>8380</v>
      </c>
      <c r="P11" s="76" t="str">
        <f t="shared" si="0"/>
        <v>'Tablas Técnicas'!$D$23:$D$29</v>
      </c>
      <c r="Q11" s="70" t="s">
        <v>2661</v>
      </c>
      <c r="R11" s="70" t="s">
        <v>1093</v>
      </c>
      <c r="S11" s="78" t="s">
        <v>8377</v>
      </c>
      <c r="T11" s="76" t="s">
        <v>1461</v>
      </c>
      <c r="U11" s="76" t="s">
        <v>1468</v>
      </c>
      <c r="V11" s="76" t="s">
        <v>1554</v>
      </c>
      <c r="W11" s="76" t="s">
        <v>8378</v>
      </c>
      <c r="X11" s="1738" t="b">
        <f t="shared" si="1"/>
        <v>0</v>
      </c>
    </row>
    <row r="12" spans="1:24" ht="12" customHeight="1">
      <c r="A12" s="7172"/>
      <c r="B12" s="7167"/>
      <c r="C12" s="3831" t="s">
        <v>8381</v>
      </c>
      <c r="D12" s="3832" t="s">
        <v>7200</v>
      </c>
      <c r="E12" s="3833">
        <v>3</v>
      </c>
      <c r="F12" s="3834">
        <v>5</v>
      </c>
      <c r="G12" s="3833">
        <v>5</v>
      </c>
      <c r="H12" s="3833">
        <v>2</v>
      </c>
      <c r="I12" s="3833">
        <v>4</v>
      </c>
      <c r="J12" s="3833">
        <v>7</v>
      </c>
      <c r="K12" s="3833">
        <v>1</v>
      </c>
      <c r="L12" s="3835" t="str">
        <f t="shared" si="2"/>
        <v>Habilidad De Ataque+25</v>
      </c>
      <c r="M12" s="219"/>
      <c r="N12" s="7164"/>
      <c r="O12" s="76" t="s">
        <v>8382</v>
      </c>
      <c r="P12" s="76" t="e">
        <f t="shared" si="0"/>
        <v>#N/A</v>
      </c>
      <c r="Q12" s="70" t="s">
        <v>2658</v>
      </c>
      <c r="R12" s="70" t="s">
        <v>1093</v>
      </c>
      <c r="S12" s="78" t="s">
        <v>8383</v>
      </c>
      <c r="T12" s="76" t="s">
        <v>1553</v>
      </c>
      <c r="U12" s="76" t="s">
        <v>1554</v>
      </c>
      <c r="V12" s="76" t="s">
        <v>1558</v>
      </c>
      <c r="W12" s="76" t="s">
        <v>8384</v>
      </c>
      <c r="X12" s="1738" t="b">
        <f t="shared" si="1"/>
        <v>0</v>
      </c>
    </row>
    <row r="13" spans="1:24" ht="12" customHeight="1">
      <c r="A13" s="7172"/>
      <c r="B13" s="7167"/>
      <c r="C13" s="3831" t="s">
        <v>8381</v>
      </c>
      <c r="D13" s="3832" t="s">
        <v>7058</v>
      </c>
      <c r="E13" s="3833">
        <v>4</v>
      </c>
      <c r="F13" s="3834">
        <v>6</v>
      </c>
      <c r="G13" s="3833">
        <v>10</v>
      </c>
      <c r="H13" s="3833">
        <v>3</v>
      </c>
      <c r="I13" s="3833">
        <v>6</v>
      </c>
      <c r="J13" s="3833">
        <v>11</v>
      </c>
      <c r="K13" s="3833">
        <v>1</v>
      </c>
      <c r="L13" s="3835" t="str">
        <f t="shared" si="2"/>
        <v>Habilidad De Ataque+40</v>
      </c>
      <c r="M13" s="219"/>
      <c r="N13" s="7164"/>
      <c r="O13" s="76" t="s">
        <v>8386</v>
      </c>
      <c r="P13" s="76" t="str">
        <f t="shared" si="0"/>
        <v>'Tablas Técnicas'!$D$40:$D$50</v>
      </c>
      <c r="Q13" s="70" t="s">
        <v>2658</v>
      </c>
      <c r="R13" s="70" t="s">
        <v>2727</v>
      </c>
      <c r="S13" s="78" t="s">
        <v>8377</v>
      </c>
      <c r="T13" s="76" t="s">
        <v>1464</v>
      </c>
      <c r="U13" s="76" t="s">
        <v>1461</v>
      </c>
      <c r="V13" s="76" t="s">
        <v>1558</v>
      </c>
      <c r="W13" s="76" t="s">
        <v>8387</v>
      </c>
      <c r="X13" s="1738" t="b">
        <f t="shared" si="1"/>
        <v>0</v>
      </c>
    </row>
    <row r="14" spans="1:24" ht="12" customHeight="1">
      <c r="A14" s="7172"/>
      <c r="B14" s="7167"/>
      <c r="C14" s="3831" t="s">
        <v>8381</v>
      </c>
      <c r="D14" s="3832" t="s">
        <v>7059</v>
      </c>
      <c r="E14" s="3833">
        <v>5</v>
      </c>
      <c r="F14" s="3834">
        <v>8</v>
      </c>
      <c r="G14" s="3833">
        <v>15</v>
      </c>
      <c r="H14" s="3833">
        <v>4</v>
      </c>
      <c r="I14" s="3833">
        <v>8</v>
      </c>
      <c r="J14" s="3833">
        <v>14</v>
      </c>
      <c r="K14" s="3833">
        <v>2</v>
      </c>
      <c r="L14" s="3835" t="str">
        <f t="shared" si="2"/>
        <v>Habilidad De Ataque+50</v>
      </c>
      <c r="M14" s="219"/>
      <c r="N14" s="7164"/>
      <c r="O14" s="76" t="s">
        <v>8389</v>
      </c>
      <c r="P14" s="76" t="str">
        <f t="shared" si="0"/>
        <v>'Tablas Técnicas'!$D$52:$D$57</v>
      </c>
      <c r="Q14" s="70" t="s">
        <v>2658</v>
      </c>
      <c r="R14" s="70" t="s">
        <v>1093</v>
      </c>
      <c r="S14" s="78" t="s">
        <v>8390</v>
      </c>
      <c r="T14" s="76" t="s">
        <v>1461</v>
      </c>
      <c r="U14" s="76" t="s">
        <v>6506</v>
      </c>
      <c r="V14" s="76" t="s">
        <v>6506</v>
      </c>
      <c r="W14" s="76" t="s">
        <v>1461</v>
      </c>
      <c r="X14" s="1738" t="b">
        <f t="shared" si="1"/>
        <v>0</v>
      </c>
    </row>
    <row r="15" spans="1:24" ht="12" customHeight="1">
      <c r="A15" s="7172"/>
      <c r="B15" s="7167"/>
      <c r="C15" s="3831" t="s">
        <v>8381</v>
      </c>
      <c r="D15" s="3832" t="s">
        <v>8392</v>
      </c>
      <c r="E15" s="3833">
        <v>9</v>
      </c>
      <c r="F15" s="3834">
        <v>12</v>
      </c>
      <c r="G15" s="3833">
        <v>20</v>
      </c>
      <c r="H15" s="3833">
        <v>6</v>
      </c>
      <c r="I15" s="3833">
        <v>12</v>
      </c>
      <c r="J15" s="3833">
        <v>21</v>
      </c>
      <c r="K15" s="3833">
        <v>2</v>
      </c>
      <c r="L15" s="3835" t="str">
        <f t="shared" si="2"/>
        <v>Habilidad De Ataque+75</v>
      </c>
      <c r="M15" s="219"/>
      <c r="N15" s="7164"/>
      <c r="O15" s="76" t="s">
        <v>8391</v>
      </c>
      <c r="P15" s="76" t="str">
        <f t="shared" si="0"/>
        <v>'Tablas Técnicas'!$D$59:$D$61</v>
      </c>
      <c r="Q15" s="70" t="s">
        <v>2661</v>
      </c>
      <c r="R15" s="70" t="s">
        <v>1093</v>
      </c>
      <c r="S15" s="78" t="s">
        <v>8390</v>
      </c>
      <c r="T15" s="76" t="s">
        <v>1461</v>
      </c>
      <c r="U15" s="76" t="s">
        <v>6506</v>
      </c>
      <c r="V15" s="76" t="s">
        <v>6506</v>
      </c>
      <c r="W15" s="76" t="s">
        <v>1461</v>
      </c>
      <c r="X15" s="1738" t="b">
        <f t="shared" si="1"/>
        <v>0</v>
      </c>
    </row>
    <row r="16" spans="1:24" ht="12" customHeight="1">
      <c r="A16" s="7172"/>
      <c r="B16" s="7167"/>
      <c r="C16" s="3831" t="s">
        <v>8381</v>
      </c>
      <c r="D16" s="3832" t="s">
        <v>8396</v>
      </c>
      <c r="E16" s="3833">
        <v>12</v>
      </c>
      <c r="F16" s="3834">
        <v>15</v>
      </c>
      <c r="G16" s="3833">
        <v>25</v>
      </c>
      <c r="H16" s="3833">
        <v>8</v>
      </c>
      <c r="I16" s="3833">
        <v>16</v>
      </c>
      <c r="J16" s="3833">
        <v>28</v>
      </c>
      <c r="K16" s="3833">
        <v>2</v>
      </c>
      <c r="L16" s="3835" t="str">
        <f t="shared" si="2"/>
        <v>Habilidad De Ataque+90</v>
      </c>
      <c r="M16" s="219"/>
      <c r="N16" s="7164"/>
      <c r="O16" s="76" t="s">
        <v>8393</v>
      </c>
      <c r="P16" s="76" t="str">
        <f t="shared" si="0"/>
        <v>'Tablas Técnicas'!$D$63:$D$65</v>
      </c>
      <c r="Q16" s="70" t="s">
        <v>2658</v>
      </c>
      <c r="R16" s="70" t="s">
        <v>1093</v>
      </c>
      <c r="S16" s="78" t="s">
        <v>8394</v>
      </c>
      <c r="T16" s="76" t="s">
        <v>1464</v>
      </c>
      <c r="U16" s="76" t="s">
        <v>1461</v>
      </c>
      <c r="V16" s="76" t="s">
        <v>1554</v>
      </c>
      <c r="W16" s="76" t="s">
        <v>8395</v>
      </c>
      <c r="X16" s="1738" t="b">
        <f t="shared" si="1"/>
        <v>0</v>
      </c>
    </row>
    <row r="17" spans="1:24" ht="12" customHeight="1">
      <c r="A17" s="7172"/>
      <c r="B17" s="7167"/>
      <c r="C17" s="3831" t="s">
        <v>8381</v>
      </c>
      <c r="D17" s="3832" t="s">
        <v>8399</v>
      </c>
      <c r="E17" s="3833">
        <v>14</v>
      </c>
      <c r="F17" s="3834">
        <v>18</v>
      </c>
      <c r="G17" s="3833">
        <v>30</v>
      </c>
      <c r="H17" s="3833">
        <v>10</v>
      </c>
      <c r="I17" s="3833">
        <v>20</v>
      </c>
      <c r="J17" s="3833">
        <v>35</v>
      </c>
      <c r="K17" s="3833">
        <v>2</v>
      </c>
      <c r="L17" s="3835" t="str">
        <f t="shared" si="2"/>
        <v>Habilidad De Ataque+100</v>
      </c>
      <c r="M17" s="219"/>
      <c r="N17" s="7164"/>
      <c r="O17" s="76" t="s">
        <v>8397</v>
      </c>
      <c r="P17" s="76" t="str">
        <f t="shared" si="0"/>
        <v>'Tablas Técnicas'!$D$67:$D$74</v>
      </c>
      <c r="Q17" s="70" t="s">
        <v>2658</v>
      </c>
      <c r="R17" s="70" t="s">
        <v>1093</v>
      </c>
      <c r="S17" s="78" t="s">
        <v>8398</v>
      </c>
      <c r="T17" s="76" t="s">
        <v>1464</v>
      </c>
      <c r="U17" s="76" t="s">
        <v>1461</v>
      </c>
      <c r="V17" s="76" t="s">
        <v>1554</v>
      </c>
      <c r="W17" s="76" t="s">
        <v>8395</v>
      </c>
      <c r="X17" s="1738" t="b">
        <f t="shared" si="1"/>
        <v>0</v>
      </c>
    </row>
    <row r="18" spans="1:24" ht="12" customHeight="1">
      <c r="A18" s="7172"/>
      <c r="B18" s="7167"/>
      <c r="C18" s="3831" t="s">
        <v>8381</v>
      </c>
      <c r="D18" s="3832" t="s">
        <v>8400</v>
      </c>
      <c r="E18" s="3833">
        <v>18</v>
      </c>
      <c r="F18" s="3834">
        <v>22</v>
      </c>
      <c r="G18" s="3833">
        <v>35</v>
      </c>
      <c r="H18" s="3833">
        <v>12</v>
      </c>
      <c r="I18" s="3833">
        <v>24</v>
      </c>
      <c r="J18" s="3833">
        <v>42</v>
      </c>
      <c r="K18" s="3833">
        <v>3</v>
      </c>
      <c r="L18" s="3835" t="str">
        <f t="shared" si="2"/>
        <v>Habilidad De Ataque+125</v>
      </c>
      <c r="M18" s="219"/>
      <c r="N18" s="7164"/>
      <c r="O18" s="76" t="s">
        <v>2664</v>
      </c>
      <c r="P18" s="76"/>
      <c r="Q18" s="70"/>
      <c r="R18" s="70"/>
      <c r="S18" s="78"/>
      <c r="T18" s="76"/>
      <c r="U18" s="76" t="s">
        <v>6506</v>
      </c>
      <c r="V18" s="76" t="s">
        <v>6506</v>
      </c>
      <c r="W18" s="76" t="s">
        <v>6506</v>
      </c>
      <c r="X18" s="1738" t="b">
        <f t="shared" si="1"/>
        <v>0</v>
      </c>
    </row>
    <row r="19" spans="1:24" ht="12" customHeight="1">
      <c r="A19" s="7172"/>
      <c r="B19" s="7167"/>
      <c r="C19" s="3831" t="s">
        <v>8381</v>
      </c>
      <c r="D19" s="3832" t="s">
        <v>8402</v>
      </c>
      <c r="E19" s="3833">
        <v>22</v>
      </c>
      <c r="F19" s="3834">
        <v>26</v>
      </c>
      <c r="G19" s="3833">
        <v>40</v>
      </c>
      <c r="H19" s="3833">
        <v>14</v>
      </c>
      <c r="I19" s="3833">
        <v>28</v>
      </c>
      <c r="J19" s="3833">
        <v>49</v>
      </c>
      <c r="K19" s="3833">
        <v>3</v>
      </c>
      <c r="L19" s="3835" t="str">
        <f t="shared" si="2"/>
        <v>Habilidad De Ataque+150</v>
      </c>
      <c r="M19" s="219"/>
      <c r="N19" s="7164"/>
      <c r="O19" s="76" t="s">
        <v>2644</v>
      </c>
      <c r="P19" s="76" t="str">
        <f t="shared" ref="P19:P25" si="3">IF(ISNUMBER(FIND("&gt;&gt;",O19)),"","'Tablas Técnicas'!"&amp;ADDRESS(ROW($D$9)+MATCH(O19,$C$10:$C$644,0),COLUMN($D$9))&amp;":"&amp;ADDRESS(ROW($D$9)+MATCH(O19,$C$10:$C$644,0)+COUNTIF($C$10:$C$644,O19)-1,COLUMN($D$9)))</f>
        <v>'Tablas Técnicas'!$D$77:$D$87</v>
      </c>
      <c r="Q19" s="70" t="s">
        <v>2658</v>
      </c>
      <c r="R19" s="70" t="s">
        <v>1424</v>
      </c>
      <c r="S19" s="78" t="s">
        <v>8377</v>
      </c>
      <c r="T19" s="76" t="s">
        <v>1464</v>
      </c>
      <c r="U19" s="76" t="s">
        <v>1553</v>
      </c>
      <c r="V19" s="76" t="s">
        <v>1558</v>
      </c>
      <c r="W19" s="76" t="s">
        <v>8401</v>
      </c>
      <c r="X19" s="1738" t="b">
        <f t="shared" si="1"/>
        <v>0</v>
      </c>
    </row>
    <row r="20" spans="1:24" ht="12" customHeight="1">
      <c r="A20" s="7172"/>
      <c r="B20" s="7167"/>
      <c r="C20" s="3831" t="s">
        <v>8381</v>
      </c>
      <c r="D20" s="3832" t="s">
        <v>8405</v>
      </c>
      <c r="E20" s="3833">
        <v>26</v>
      </c>
      <c r="F20" s="3834">
        <v>32</v>
      </c>
      <c r="G20" s="3833">
        <v>45</v>
      </c>
      <c r="H20" s="3833">
        <v>16</v>
      </c>
      <c r="I20" s="3833">
        <v>32</v>
      </c>
      <c r="J20" s="3833">
        <v>56</v>
      </c>
      <c r="K20" s="3833">
        <v>3</v>
      </c>
      <c r="L20" s="3835" t="str">
        <f t="shared" si="2"/>
        <v>Habilidad De Ataque+175</v>
      </c>
      <c r="M20" s="219"/>
      <c r="N20" s="7164"/>
      <c r="O20" s="76" t="s">
        <v>8404</v>
      </c>
      <c r="P20" s="76" t="str">
        <f t="shared" si="3"/>
        <v>'Tablas Técnicas'!$D$89:$D$95</v>
      </c>
      <c r="Q20" s="70" t="s">
        <v>2661</v>
      </c>
      <c r="R20" s="70" t="s">
        <v>1424</v>
      </c>
      <c r="S20" s="78" t="s">
        <v>8377</v>
      </c>
      <c r="T20" s="76" t="s">
        <v>1464</v>
      </c>
      <c r="U20" s="76" t="s">
        <v>1553</v>
      </c>
      <c r="V20" s="76" t="s">
        <v>1558</v>
      </c>
      <c r="W20" s="76" t="s">
        <v>8401</v>
      </c>
      <c r="X20" s="1738" t="b">
        <f t="shared" si="1"/>
        <v>0</v>
      </c>
    </row>
    <row r="21" spans="1:24" ht="12" customHeight="1">
      <c r="A21" s="7172"/>
      <c r="B21" s="7167"/>
      <c r="C21" s="3831" t="s">
        <v>8381</v>
      </c>
      <c r="D21" s="3832" t="s">
        <v>8407</v>
      </c>
      <c r="E21" s="3833">
        <v>30</v>
      </c>
      <c r="F21" s="3834">
        <v>36</v>
      </c>
      <c r="G21" s="3833">
        <v>50</v>
      </c>
      <c r="H21" s="3833">
        <v>18</v>
      </c>
      <c r="I21" s="3833">
        <v>36</v>
      </c>
      <c r="J21" s="3833">
        <v>63</v>
      </c>
      <c r="K21" s="3833">
        <v>3</v>
      </c>
      <c r="L21" s="3835" t="str">
        <f t="shared" si="2"/>
        <v>Habilidad De Ataque+200</v>
      </c>
      <c r="M21" s="219"/>
      <c r="N21" s="7164"/>
      <c r="O21" s="76" t="s">
        <v>8406</v>
      </c>
      <c r="P21" s="76" t="str">
        <f t="shared" si="3"/>
        <v>'Tablas Técnicas'!$D$97:$D$107</v>
      </c>
      <c r="Q21" s="70" t="s">
        <v>2658</v>
      </c>
      <c r="R21" s="70" t="s">
        <v>1424</v>
      </c>
      <c r="S21" s="78" t="s">
        <v>8377</v>
      </c>
      <c r="T21" s="76" t="s">
        <v>1464</v>
      </c>
      <c r="U21" s="76" t="s">
        <v>1553</v>
      </c>
      <c r="V21" s="76" t="s">
        <v>1558</v>
      </c>
      <c r="W21" s="76" t="s">
        <v>8401</v>
      </c>
      <c r="X21" s="1738" t="b">
        <f t="shared" si="1"/>
        <v>0</v>
      </c>
    </row>
    <row r="22" spans="1:24" ht="12" customHeight="1">
      <c r="A22" s="7172"/>
      <c r="B22" s="7167"/>
      <c r="C22" s="39" t="s">
        <v>8410</v>
      </c>
      <c r="D22" s="76"/>
      <c r="E22" s="1035"/>
      <c r="F22" s="1036"/>
      <c r="G22" s="1035"/>
      <c r="H22" s="1035"/>
      <c r="I22" s="1035"/>
      <c r="J22" s="1035"/>
      <c r="K22" s="1035"/>
      <c r="L22" s="3830" t="str">
        <f t="shared" si="2"/>
        <v>&gt; HABILIDAD DE ATAQUE COMPLETA</v>
      </c>
      <c r="M22" s="219"/>
      <c r="N22" s="7164"/>
      <c r="O22" s="76" t="s">
        <v>2642</v>
      </c>
      <c r="P22" s="76" t="str">
        <f t="shared" si="3"/>
        <v>'Tablas Técnicas'!$D$109:$D$119</v>
      </c>
      <c r="Q22" s="70" t="s">
        <v>2658</v>
      </c>
      <c r="R22" s="70" t="s">
        <v>1424</v>
      </c>
      <c r="S22" s="78" t="s">
        <v>8408</v>
      </c>
      <c r="T22" s="76" t="s">
        <v>1464</v>
      </c>
      <c r="U22" s="76" t="s">
        <v>1461</v>
      </c>
      <c r="V22" s="76" t="s">
        <v>1553</v>
      </c>
      <c r="W22" s="76" t="s">
        <v>8409</v>
      </c>
      <c r="X22" s="1738" t="b">
        <f t="shared" si="1"/>
        <v>0</v>
      </c>
    </row>
    <row r="23" spans="1:24" ht="12" customHeight="1">
      <c r="A23" s="7172"/>
      <c r="B23" s="7167"/>
      <c r="C23" s="3831" t="s">
        <v>8412</v>
      </c>
      <c r="D23" s="3832" t="s">
        <v>7056</v>
      </c>
      <c r="E23" s="3833">
        <v>4</v>
      </c>
      <c r="F23" s="3834">
        <v>6</v>
      </c>
      <c r="G23" s="3833">
        <v>10</v>
      </c>
      <c r="H23" s="3833">
        <v>2</v>
      </c>
      <c r="I23" s="3833">
        <v>4</v>
      </c>
      <c r="J23" s="3833">
        <v>7</v>
      </c>
      <c r="K23" s="3833">
        <v>1</v>
      </c>
      <c r="L23" s="3835" t="str">
        <f t="shared" si="2"/>
        <v>Habilidad De Ataque Completa+10</v>
      </c>
      <c r="M23" s="219"/>
      <c r="N23" s="7164"/>
      <c r="O23" s="76" t="s">
        <v>8411</v>
      </c>
      <c r="P23" s="76" t="str">
        <f t="shared" si="3"/>
        <v>'Tablas Técnicas'!$D$121:$D$127</v>
      </c>
      <c r="Q23" s="70" t="s">
        <v>2661</v>
      </c>
      <c r="R23" s="70" t="s">
        <v>1424</v>
      </c>
      <c r="S23" s="78" t="s">
        <v>8408</v>
      </c>
      <c r="T23" s="76" t="s">
        <v>1464</v>
      </c>
      <c r="U23" s="76" t="s">
        <v>1461</v>
      </c>
      <c r="V23" s="76" t="s">
        <v>1553</v>
      </c>
      <c r="W23" s="76" t="s">
        <v>8409</v>
      </c>
      <c r="X23" s="1738" t="b">
        <f t="shared" si="1"/>
        <v>0</v>
      </c>
    </row>
    <row r="24" spans="1:24" ht="12" customHeight="1">
      <c r="A24" s="7172"/>
      <c r="B24" s="7167"/>
      <c r="C24" s="3831" t="s">
        <v>8412</v>
      </c>
      <c r="D24" s="3832" t="s">
        <v>7200</v>
      </c>
      <c r="E24" s="3833">
        <v>8</v>
      </c>
      <c r="F24" s="3834">
        <v>11</v>
      </c>
      <c r="G24" s="3833">
        <v>15</v>
      </c>
      <c r="H24" s="3833">
        <v>5</v>
      </c>
      <c r="I24" s="3833">
        <v>10</v>
      </c>
      <c r="J24" s="3833">
        <v>18</v>
      </c>
      <c r="K24" s="3833">
        <v>1</v>
      </c>
      <c r="L24" s="3835" t="str">
        <f t="shared" si="2"/>
        <v>Habilidad De Ataque Completa+25</v>
      </c>
      <c r="M24" s="219"/>
      <c r="N24" s="7164"/>
      <c r="O24" s="76" t="s">
        <v>8413</v>
      </c>
      <c r="P24" s="76" t="str">
        <f t="shared" si="3"/>
        <v>'Tablas Técnicas'!$D$129:$D$139</v>
      </c>
      <c r="Q24" s="70" t="s">
        <v>2658</v>
      </c>
      <c r="R24" s="70" t="s">
        <v>1424</v>
      </c>
      <c r="S24" s="78" t="s">
        <v>8408</v>
      </c>
      <c r="T24" s="76" t="s">
        <v>1461</v>
      </c>
      <c r="U24" s="76" t="s">
        <v>1553</v>
      </c>
      <c r="V24" s="76" t="s">
        <v>1554</v>
      </c>
      <c r="W24" s="76" t="s">
        <v>8414</v>
      </c>
      <c r="X24" s="1738" t="b">
        <f t="shared" si="1"/>
        <v>0</v>
      </c>
    </row>
    <row r="25" spans="1:24" ht="12" customHeight="1">
      <c r="A25" s="7172"/>
      <c r="B25" s="7167"/>
      <c r="C25" s="3831" t="s">
        <v>8412</v>
      </c>
      <c r="D25" s="3832" t="s">
        <v>7058</v>
      </c>
      <c r="E25" s="3833">
        <v>10</v>
      </c>
      <c r="F25" s="3834">
        <v>13</v>
      </c>
      <c r="G25" s="3833">
        <v>20</v>
      </c>
      <c r="H25" s="3833">
        <v>8</v>
      </c>
      <c r="I25" s="3833">
        <v>16</v>
      </c>
      <c r="J25" s="3833">
        <v>28</v>
      </c>
      <c r="K25" s="3833">
        <v>1</v>
      </c>
      <c r="L25" s="3835" t="str">
        <f t="shared" si="2"/>
        <v>Habilidad De Ataque Completa+40</v>
      </c>
      <c r="M25" s="219"/>
      <c r="N25" s="7164"/>
      <c r="O25" s="76" t="s">
        <v>8415</v>
      </c>
      <c r="P25" s="76" t="e">
        <f t="shared" si="3"/>
        <v>#N/A</v>
      </c>
      <c r="Q25" s="70" t="s">
        <v>2658</v>
      </c>
      <c r="R25" s="70" t="s">
        <v>1424</v>
      </c>
      <c r="S25" s="78" t="s">
        <v>8416</v>
      </c>
      <c r="T25" s="76" t="s">
        <v>1464</v>
      </c>
      <c r="U25" s="76" t="s">
        <v>1553</v>
      </c>
      <c r="V25" s="76" t="s">
        <v>1558</v>
      </c>
      <c r="W25" s="76" t="s">
        <v>8401</v>
      </c>
      <c r="X25" s="1738" t="b">
        <f t="shared" si="1"/>
        <v>0</v>
      </c>
    </row>
    <row r="26" spans="1:24" ht="12" customHeight="1">
      <c r="A26" s="7172"/>
      <c r="B26" s="7167"/>
      <c r="C26" s="3831" t="s">
        <v>8412</v>
      </c>
      <c r="D26" s="3832" t="s">
        <v>7059</v>
      </c>
      <c r="E26" s="3833">
        <v>12</v>
      </c>
      <c r="F26" s="3834">
        <v>15</v>
      </c>
      <c r="G26" s="3833">
        <v>30</v>
      </c>
      <c r="H26" s="3833">
        <v>10</v>
      </c>
      <c r="I26" s="3833">
        <v>20</v>
      </c>
      <c r="J26" s="3833">
        <v>35</v>
      </c>
      <c r="K26" s="3833">
        <v>2</v>
      </c>
      <c r="L26" s="3835" t="str">
        <f t="shared" si="2"/>
        <v>Habilidad De Ataque Completa+50</v>
      </c>
      <c r="M26" s="219"/>
      <c r="N26" s="7164"/>
      <c r="O26" s="76" t="s">
        <v>8578</v>
      </c>
      <c r="P26" s="76"/>
      <c r="Q26" s="70"/>
      <c r="R26" s="70"/>
      <c r="S26" s="78"/>
      <c r="T26" s="76"/>
      <c r="U26" s="76" t="s">
        <v>6506</v>
      </c>
      <c r="V26" s="76" t="s">
        <v>6506</v>
      </c>
      <c r="W26" s="76" t="s">
        <v>6506</v>
      </c>
      <c r="X26" s="1738" t="b">
        <f t="shared" si="1"/>
        <v>0</v>
      </c>
    </row>
    <row r="27" spans="1:24" ht="12" customHeight="1">
      <c r="A27" s="7172"/>
      <c r="B27" s="7167"/>
      <c r="C27" s="3831" t="s">
        <v>8412</v>
      </c>
      <c r="D27" s="3832" t="s">
        <v>8392</v>
      </c>
      <c r="E27" s="3833">
        <v>18</v>
      </c>
      <c r="F27" s="3834">
        <v>22</v>
      </c>
      <c r="G27" s="3833">
        <v>50</v>
      </c>
      <c r="H27" s="3833">
        <v>14</v>
      </c>
      <c r="I27" s="3833">
        <v>28</v>
      </c>
      <c r="J27" s="3833">
        <v>49</v>
      </c>
      <c r="K27" s="3833">
        <v>2</v>
      </c>
      <c r="L27" s="3835" t="str">
        <f t="shared" si="2"/>
        <v>Habilidad De Ataque Completa+75</v>
      </c>
      <c r="M27" s="219"/>
      <c r="N27" s="7164"/>
      <c r="O27" s="76" t="s">
        <v>8417</v>
      </c>
      <c r="P27" s="76" t="str">
        <f t="shared" ref="P27:P32" si="4">IF(ISNUMBER(FIND("&gt;&gt;",O27)),"","'Tablas Técnicas'!"&amp;ADDRESS(ROW($D$9)+MATCH(O27,$C$10:$C$644,0),COLUMN($D$9))&amp;":"&amp;ADDRESS(ROW($D$9)+MATCH(O27,$C$10:$C$644,0)+COUNTIF($C$10:$C$644,O27)-1,COLUMN($D$9)))</f>
        <v>'Tablas Técnicas'!$D$151:$D$166</v>
      </c>
      <c r="Q27" s="70" t="s">
        <v>2658</v>
      </c>
      <c r="R27" s="70" t="s">
        <v>1093</v>
      </c>
      <c r="S27" s="78" t="s">
        <v>8418</v>
      </c>
      <c r="T27" s="76" t="s">
        <v>1468</v>
      </c>
      <c r="U27" s="76" t="s">
        <v>1558</v>
      </c>
      <c r="V27" s="76" t="s">
        <v>6506</v>
      </c>
      <c r="W27" s="76" t="s">
        <v>8874</v>
      </c>
      <c r="X27" s="1738" t="b">
        <f t="shared" si="1"/>
        <v>0</v>
      </c>
    </row>
    <row r="28" spans="1:24" ht="12" customHeight="1">
      <c r="A28" s="7172"/>
      <c r="B28" s="7167"/>
      <c r="C28" s="3831" t="s">
        <v>8412</v>
      </c>
      <c r="D28" s="3832" t="s">
        <v>8396</v>
      </c>
      <c r="E28" s="3833">
        <v>24</v>
      </c>
      <c r="F28" s="3834">
        <v>29</v>
      </c>
      <c r="G28" s="3833">
        <v>60</v>
      </c>
      <c r="H28" s="3833">
        <v>18</v>
      </c>
      <c r="I28" s="3833">
        <v>36</v>
      </c>
      <c r="J28" s="3833">
        <v>63</v>
      </c>
      <c r="K28" s="3833">
        <v>3</v>
      </c>
      <c r="L28" s="3835" t="str">
        <f t="shared" si="2"/>
        <v>Habilidad De Ataque Completa+90</v>
      </c>
      <c r="M28" s="219"/>
      <c r="N28" s="7164"/>
      <c r="O28" s="76" t="s">
        <v>8419</v>
      </c>
      <c r="P28" s="76" t="str">
        <f t="shared" si="4"/>
        <v>'Tablas Técnicas'!$D$168:$D$174</v>
      </c>
      <c r="Q28" s="70" t="s">
        <v>2661</v>
      </c>
      <c r="R28" s="70" t="s">
        <v>1093</v>
      </c>
      <c r="S28" s="78" t="s">
        <v>8420</v>
      </c>
      <c r="T28" s="76" t="s">
        <v>1468</v>
      </c>
      <c r="U28" s="76" t="s">
        <v>1558</v>
      </c>
      <c r="V28" s="76" t="s">
        <v>6506</v>
      </c>
      <c r="W28" s="76" t="s">
        <v>8874</v>
      </c>
      <c r="X28" s="1738" t="b">
        <f t="shared" si="1"/>
        <v>0</v>
      </c>
    </row>
    <row r="29" spans="1:24" ht="12" customHeight="1">
      <c r="A29" s="7172"/>
      <c r="B29" s="7167"/>
      <c r="C29" s="3831" t="s">
        <v>8412</v>
      </c>
      <c r="D29" s="3832" t="s">
        <v>8399</v>
      </c>
      <c r="E29" s="3833">
        <v>28</v>
      </c>
      <c r="F29" s="3834">
        <v>32</v>
      </c>
      <c r="G29" s="3833">
        <v>70</v>
      </c>
      <c r="H29" s="3833">
        <v>20</v>
      </c>
      <c r="I29" s="3833">
        <v>40</v>
      </c>
      <c r="J29" s="3833">
        <v>70</v>
      </c>
      <c r="K29" s="3833">
        <v>3</v>
      </c>
      <c r="L29" s="3835" t="str">
        <f t="shared" si="2"/>
        <v>Habilidad De Ataque Completa+100</v>
      </c>
      <c r="M29" s="219"/>
      <c r="N29" s="7164"/>
      <c r="O29" s="76" t="s">
        <v>8421</v>
      </c>
      <c r="P29" s="76" t="str">
        <f t="shared" si="4"/>
        <v>'Tablas Técnicas'!$D$176:$D$178</v>
      </c>
      <c r="Q29" s="70" t="s">
        <v>2658</v>
      </c>
      <c r="R29" s="70" t="s">
        <v>1093</v>
      </c>
      <c r="S29" s="78" t="s">
        <v>8422</v>
      </c>
      <c r="T29" s="76" t="s">
        <v>1468</v>
      </c>
      <c r="U29" s="76" t="s">
        <v>1558</v>
      </c>
      <c r="V29" s="76" t="s">
        <v>6506</v>
      </c>
      <c r="W29" s="76" t="s">
        <v>8874</v>
      </c>
      <c r="X29" s="1738" t="b">
        <f t="shared" si="1"/>
        <v>0</v>
      </c>
    </row>
    <row r="30" spans="1:24" ht="12" customHeight="1">
      <c r="A30" s="7172"/>
      <c r="B30" s="7167"/>
      <c r="C30" s="39" t="s">
        <v>11796</v>
      </c>
      <c r="D30" s="76"/>
      <c r="E30" s="1035"/>
      <c r="F30" s="1036"/>
      <c r="G30" s="1035"/>
      <c r="H30" s="1035"/>
      <c r="I30" s="1035"/>
      <c r="J30" s="1035"/>
      <c r="K30" s="1035"/>
      <c r="L30" s="3830" t="str">
        <f t="shared" si="2"/>
        <v>&gt; ATAQUE DETERMINADO</v>
      </c>
      <c r="M30" s="219"/>
      <c r="N30" s="7164"/>
      <c r="O30" s="76" t="s">
        <v>8423</v>
      </c>
      <c r="P30" s="76" t="str">
        <f t="shared" si="4"/>
        <v>'Tablas Técnicas'!$D$180:$D$182</v>
      </c>
      <c r="Q30" s="70" t="s">
        <v>2661</v>
      </c>
      <c r="R30" s="70" t="s">
        <v>1093</v>
      </c>
      <c r="S30" s="78" t="s">
        <v>8422</v>
      </c>
      <c r="T30" s="76" t="s">
        <v>1468</v>
      </c>
      <c r="U30" s="76" t="s">
        <v>1558</v>
      </c>
      <c r="V30" s="76" t="s">
        <v>6506</v>
      </c>
      <c r="W30" s="76" t="s">
        <v>8874</v>
      </c>
      <c r="X30" s="1738" t="b">
        <f t="shared" si="1"/>
        <v>0</v>
      </c>
    </row>
    <row r="31" spans="1:24" ht="12" customHeight="1">
      <c r="A31" s="7172"/>
      <c r="B31" s="7167"/>
      <c r="C31" s="3831" t="s">
        <v>11797</v>
      </c>
      <c r="D31" s="3832" t="s">
        <v>11798</v>
      </c>
      <c r="E31" s="3833">
        <v>2</v>
      </c>
      <c r="F31" s="3834">
        <v>4</v>
      </c>
      <c r="G31" s="3833">
        <v>5</v>
      </c>
      <c r="H31" s="3833">
        <v>1</v>
      </c>
      <c r="I31" s="3833">
        <v>2</v>
      </c>
      <c r="J31" s="3833">
        <v>4</v>
      </c>
      <c r="K31" s="3833">
        <v>1</v>
      </c>
      <c r="L31" s="3835" t="str">
        <f t="shared" si="2"/>
        <v>Ataque DeterminadoPresencia + 40</v>
      </c>
      <c r="M31" s="219"/>
      <c r="N31" s="7164"/>
      <c r="O31" s="76" t="s">
        <v>8424</v>
      </c>
      <c r="P31" s="76" t="str">
        <f t="shared" si="4"/>
        <v>'Tablas Técnicas'!$D$184:$D$190</v>
      </c>
      <c r="Q31" s="70" t="s">
        <v>2658</v>
      </c>
      <c r="R31" s="70" t="s">
        <v>1093</v>
      </c>
      <c r="S31" s="78" t="s">
        <v>8420</v>
      </c>
      <c r="T31" s="76" t="s">
        <v>1468</v>
      </c>
      <c r="U31" s="76" t="s">
        <v>1558</v>
      </c>
      <c r="V31" s="76" t="s">
        <v>6506</v>
      </c>
      <c r="W31" s="76" t="s">
        <v>8874</v>
      </c>
      <c r="X31" s="1738" t="b">
        <f t="shared" si="1"/>
        <v>0</v>
      </c>
    </row>
    <row r="32" spans="1:24" ht="12" customHeight="1">
      <c r="A32" s="7172"/>
      <c r="B32" s="7167"/>
      <c r="C32" s="3831" t="s">
        <v>11797</v>
      </c>
      <c r="D32" s="3832" t="s">
        <v>11799</v>
      </c>
      <c r="E32" s="3833">
        <v>4</v>
      </c>
      <c r="F32" s="3834">
        <v>6</v>
      </c>
      <c r="G32" s="3833">
        <v>5</v>
      </c>
      <c r="H32" s="3833">
        <v>2</v>
      </c>
      <c r="I32" s="3833">
        <v>4</v>
      </c>
      <c r="J32" s="3833">
        <v>7</v>
      </c>
      <c r="K32" s="3833">
        <v>1</v>
      </c>
      <c r="L32" s="3835" t="str">
        <f t="shared" si="2"/>
        <v>Ataque DeterminadoPresencia + 60</v>
      </c>
      <c r="M32" s="219"/>
      <c r="N32" s="7164"/>
      <c r="O32" s="76" t="s">
        <v>8425</v>
      </c>
      <c r="P32" s="76" t="str">
        <f t="shared" si="4"/>
        <v>'Tablas Técnicas'!$D$192:$D$197</v>
      </c>
      <c r="Q32" s="70" t="s">
        <v>2661</v>
      </c>
      <c r="R32" s="70" t="s">
        <v>1093</v>
      </c>
      <c r="S32" s="78" t="s">
        <v>8420</v>
      </c>
      <c r="T32" s="76" t="s">
        <v>1468</v>
      </c>
      <c r="U32" s="76" t="s">
        <v>1558</v>
      </c>
      <c r="V32" s="76" t="s">
        <v>6506</v>
      </c>
      <c r="W32" s="76" t="s">
        <v>8874</v>
      </c>
      <c r="X32" s="1738" t="b">
        <f t="shared" si="1"/>
        <v>0</v>
      </c>
    </row>
    <row r="33" spans="1:24" ht="12" customHeight="1">
      <c r="A33" s="7172"/>
      <c r="B33" s="7167"/>
      <c r="C33" s="3831" t="s">
        <v>11797</v>
      </c>
      <c r="D33" s="3832" t="s">
        <v>11800</v>
      </c>
      <c r="E33" s="3833">
        <v>6</v>
      </c>
      <c r="F33" s="3834">
        <v>9</v>
      </c>
      <c r="G33" s="3833">
        <v>5</v>
      </c>
      <c r="H33" s="3833">
        <v>3</v>
      </c>
      <c r="I33" s="3833">
        <v>6</v>
      </c>
      <c r="J33" s="3833">
        <v>11</v>
      </c>
      <c r="K33" s="3833">
        <v>1</v>
      </c>
      <c r="L33" s="3835" t="str">
        <f t="shared" si="2"/>
        <v>Ataque DeterminadoPresencia + 80</v>
      </c>
      <c r="M33" s="219"/>
      <c r="N33" s="7164"/>
      <c r="O33" s="76" t="s">
        <v>2685</v>
      </c>
      <c r="P33" s="76"/>
      <c r="Q33" s="70"/>
      <c r="R33" s="70"/>
      <c r="S33" s="78"/>
      <c r="T33" s="76" t="s">
        <v>2603</v>
      </c>
      <c r="U33" s="76" t="s">
        <v>6506</v>
      </c>
      <c r="V33" s="76" t="s">
        <v>6506</v>
      </c>
      <c r="W33" s="76" t="s">
        <v>2603</v>
      </c>
      <c r="X33" s="1738" t="b">
        <f t="shared" si="1"/>
        <v>0</v>
      </c>
    </row>
    <row r="34" spans="1:24" ht="12" customHeight="1">
      <c r="A34" s="7172"/>
      <c r="B34" s="7167"/>
      <c r="C34" s="3831" t="s">
        <v>11797</v>
      </c>
      <c r="D34" s="3832" t="s">
        <v>11801</v>
      </c>
      <c r="E34" s="3833">
        <v>8</v>
      </c>
      <c r="F34" s="3834">
        <v>11</v>
      </c>
      <c r="G34" s="3833">
        <v>10</v>
      </c>
      <c r="H34" s="3833">
        <v>4</v>
      </c>
      <c r="I34" s="3833">
        <v>8</v>
      </c>
      <c r="J34" s="3833">
        <v>14</v>
      </c>
      <c r="K34" s="3833">
        <v>2</v>
      </c>
      <c r="L34" s="3835" t="str">
        <f t="shared" si="2"/>
        <v>Ataque DeterminadoPresencia + 100</v>
      </c>
      <c r="M34" s="219"/>
      <c r="N34" s="7164"/>
      <c r="O34" s="76" t="s">
        <v>8428</v>
      </c>
      <c r="P34" s="76" t="str">
        <f>IF(ISNUMBER(FIND("&gt;&gt;",O34)),"","'Tablas Técnicas'!"&amp;ADDRESS(ROW($D$9)+MATCH(O34,$C$10:$C$644,0),COLUMN($D$9))&amp;":"&amp;ADDRESS(ROW($D$9)+MATCH(O34,$C$10:$C$644,0)+COUNTIF($C$10:$C$644,O34)-1,COLUMN($D$9)))</f>
        <v>'Tablas Técnicas'!$D$200:$D$209</v>
      </c>
      <c r="Q34" s="70" t="s">
        <v>2658</v>
      </c>
      <c r="R34" s="70" t="s">
        <v>1093</v>
      </c>
      <c r="S34" s="78" t="s">
        <v>8429</v>
      </c>
      <c r="T34" s="76" t="s">
        <v>1464</v>
      </c>
      <c r="U34" s="76" t="s">
        <v>1461</v>
      </c>
      <c r="V34" s="76" t="s">
        <v>6506</v>
      </c>
      <c r="W34" s="76" t="s">
        <v>9168</v>
      </c>
      <c r="X34" s="1738" t="b">
        <f t="shared" si="1"/>
        <v>0</v>
      </c>
    </row>
    <row r="35" spans="1:24" ht="12" customHeight="1">
      <c r="A35" s="7172"/>
      <c r="B35" s="7167"/>
      <c r="C35" s="3831" t="s">
        <v>11797</v>
      </c>
      <c r="D35" s="3832" t="s">
        <v>11802</v>
      </c>
      <c r="E35" s="3833">
        <v>12</v>
      </c>
      <c r="F35" s="3834">
        <v>15</v>
      </c>
      <c r="G35" s="3833">
        <v>15</v>
      </c>
      <c r="H35" s="3833">
        <v>6</v>
      </c>
      <c r="I35" s="3833">
        <v>12</v>
      </c>
      <c r="J35" s="3833">
        <v>21</v>
      </c>
      <c r="K35" s="3833">
        <v>2</v>
      </c>
      <c r="L35" s="3835" t="str">
        <f t="shared" si="2"/>
        <v>Ataque DeterminadoPresencia + 120</v>
      </c>
      <c r="M35" s="219"/>
      <c r="N35" s="7164"/>
      <c r="O35" s="76" t="s">
        <v>8431</v>
      </c>
      <c r="P35" s="76" t="str">
        <f>IF(ISNUMBER(FIND("&gt;&gt;",O35)),"","'Tablas Técnicas'!"&amp;ADDRESS(ROW($D$9)+MATCH(O35,$C$10:$C$644,0),COLUMN($D$9))&amp;":"&amp;ADDRESS(ROW($D$9)+MATCH(O35,$C$10:$C$644,0)+COUNTIF($C$10:$C$644,O35)-1,COLUMN($D$9)))</f>
        <v>'Tablas Técnicas'!$D$211:$D$220</v>
      </c>
      <c r="Q35" s="70" t="s">
        <v>2658</v>
      </c>
      <c r="R35" s="70" t="s">
        <v>1093</v>
      </c>
      <c r="S35" s="78" t="s">
        <v>8429</v>
      </c>
      <c r="T35" s="76" t="s">
        <v>1464</v>
      </c>
      <c r="U35" s="76" t="s">
        <v>1461</v>
      </c>
      <c r="V35" s="76" t="s">
        <v>1554</v>
      </c>
      <c r="W35" s="76" t="s">
        <v>8395</v>
      </c>
      <c r="X35" s="1738" t="b">
        <f t="shared" si="1"/>
        <v>0</v>
      </c>
    </row>
    <row r="36" spans="1:24" ht="12" customHeight="1">
      <c r="A36" s="7172"/>
      <c r="B36" s="7167"/>
      <c r="C36" s="3831" t="s">
        <v>11797</v>
      </c>
      <c r="D36" s="3832" t="s">
        <v>11803</v>
      </c>
      <c r="E36" s="3833">
        <v>16</v>
      </c>
      <c r="F36" s="3834">
        <v>20</v>
      </c>
      <c r="G36" s="3833">
        <v>25</v>
      </c>
      <c r="H36" s="3833">
        <v>8</v>
      </c>
      <c r="I36" s="3833">
        <v>16</v>
      </c>
      <c r="J36" s="3833">
        <v>28</v>
      </c>
      <c r="K36" s="3833">
        <v>2</v>
      </c>
      <c r="L36" s="3835" t="str">
        <f t="shared" si="2"/>
        <v>Ataque DeterminadoPresencia + 140</v>
      </c>
      <c r="M36" s="219"/>
      <c r="N36" s="7164"/>
      <c r="O36" s="76" t="s">
        <v>8433</v>
      </c>
      <c r="P36" s="76" t="str">
        <f>IF(ISNUMBER(FIND("&gt;&gt;",O36)),"","'Tablas Técnicas'!"&amp;ADDRESS(ROW($D$9)+MATCH(O36,$C$10:$C$644,0),COLUMN($D$9))&amp;":"&amp;ADDRESS(ROW($D$9)+MATCH(O36,$C$10:$C$644,0)+COUNTIF($C$10:$C$644,O36)-1,COLUMN($D$9)))</f>
        <v>'Tablas Técnicas'!$D$222:$D$230</v>
      </c>
      <c r="Q36" s="70" t="s">
        <v>2658</v>
      </c>
      <c r="R36" s="70" t="s">
        <v>1424</v>
      </c>
      <c r="S36" s="78" t="s">
        <v>8434</v>
      </c>
      <c r="T36" s="76" t="s">
        <v>1553</v>
      </c>
      <c r="U36" s="76" t="s">
        <v>6506</v>
      </c>
      <c r="V36" s="76" t="s">
        <v>6506</v>
      </c>
      <c r="W36" s="76" t="s">
        <v>1553</v>
      </c>
      <c r="X36" s="1738" t="b">
        <f t="shared" si="1"/>
        <v>0</v>
      </c>
    </row>
    <row r="37" spans="1:24" ht="12" customHeight="1">
      <c r="A37" s="7172"/>
      <c r="B37" s="7167"/>
      <c r="C37" s="3831" t="s">
        <v>11797</v>
      </c>
      <c r="D37" s="3832" t="s">
        <v>11804</v>
      </c>
      <c r="E37" s="3833">
        <v>20</v>
      </c>
      <c r="F37" s="3834">
        <v>24</v>
      </c>
      <c r="G37" s="3833">
        <v>35</v>
      </c>
      <c r="H37" s="3833">
        <v>10</v>
      </c>
      <c r="I37" s="3833">
        <v>20</v>
      </c>
      <c r="J37" s="3833">
        <v>35</v>
      </c>
      <c r="K37" s="3833">
        <v>3</v>
      </c>
      <c r="L37" s="3835" t="str">
        <f t="shared" si="2"/>
        <v>Ataque DeterminadoPresencia + 180</v>
      </c>
      <c r="M37" s="219"/>
      <c r="N37" s="7164"/>
      <c r="O37" s="76" t="s">
        <v>8436</v>
      </c>
      <c r="P37" s="76" t="str">
        <f>IF(ISNUMBER(FIND("&gt;&gt;",O37)),"","'Tablas Técnicas'!"&amp;ADDRESS(ROW($D$9)+MATCH(O37,$C$10:$C$644,0),COLUMN($D$9))&amp;":"&amp;ADDRESS(ROW($D$9)+MATCH(O37,$C$10:$C$644,0)+COUNTIF($C$10:$C$644,O37)-1,COLUMN($D$9)))</f>
        <v>'Tablas Técnicas'!$D$232:$D$241</v>
      </c>
      <c r="Q37" s="70" t="s">
        <v>2661</v>
      </c>
      <c r="R37" s="70" t="s">
        <v>2972</v>
      </c>
      <c r="S37" s="78" t="s">
        <v>8437</v>
      </c>
      <c r="T37" s="76" t="s">
        <v>1461</v>
      </c>
      <c r="U37" s="76" t="s">
        <v>6506</v>
      </c>
      <c r="V37" s="76" t="s">
        <v>6506</v>
      </c>
      <c r="W37" s="76" t="s">
        <v>1461</v>
      </c>
      <c r="X37" s="1738" t="b">
        <f t="shared" si="1"/>
        <v>0</v>
      </c>
    </row>
    <row r="38" spans="1:24" ht="12" customHeight="1">
      <c r="A38" s="7172"/>
      <c r="B38" s="7167"/>
      <c r="C38" s="3831" t="s">
        <v>11797</v>
      </c>
      <c r="D38" s="3832" t="s">
        <v>11805</v>
      </c>
      <c r="E38" s="3833">
        <v>26</v>
      </c>
      <c r="F38" s="3834">
        <v>32</v>
      </c>
      <c r="G38" s="3833">
        <v>45</v>
      </c>
      <c r="H38" s="3833">
        <v>12</v>
      </c>
      <c r="I38" s="3833">
        <v>24</v>
      </c>
      <c r="J38" s="3833">
        <v>42</v>
      </c>
      <c r="K38" s="3833">
        <v>3</v>
      </c>
      <c r="L38" s="3835" t="str">
        <f t="shared" si="2"/>
        <v>Ataque DeterminadoPresencia + 200</v>
      </c>
      <c r="M38" s="219"/>
      <c r="N38" s="7164"/>
      <c r="O38" s="76" t="s">
        <v>2695</v>
      </c>
      <c r="P38" s="76"/>
      <c r="Q38" s="70"/>
      <c r="R38" s="70"/>
      <c r="S38" s="78"/>
      <c r="T38" s="76" t="s">
        <v>6506</v>
      </c>
      <c r="U38" s="76" t="s">
        <v>6506</v>
      </c>
      <c r="V38" s="76" t="s">
        <v>6506</v>
      </c>
      <c r="W38" s="76" t="s">
        <v>6506</v>
      </c>
      <c r="X38" s="1738" t="b">
        <f t="shared" si="1"/>
        <v>0</v>
      </c>
    </row>
    <row r="39" spans="1:24" ht="12" customHeight="1">
      <c r="A39" s="7172"/>
      <c r="B39" s="7167"/>
      <c r="C39" s="39" t="s">
        <v>8444</v>
      </c>
      <c r="D39" s="76"/>
      <c r="E39" s="1035"/>
      <c r="F39" s="1036"/>
      <c r="G39" s="1035"/>
      <c r="H39" s="1035"/>
      <c r="I39" s="1035"/>
      <c r="J39" s="1035"/>
      <c r="K39" s="1035"/>
      <c r="L39" s="3830" t="str">
        <f t="shared" si="2"/>
        <v>&gt; HABILIDAD DE CONTRAATAQUE</v>
      </c>
      <c r="M39" s="219"/>
      <c r="N39" s="7164"/>
      <c r="O39" s="76" t="s">
        <v>8440</v>
      </c>
      <c r="P39" s="76" t="str">
        <f>IF(ISNUMBER(FIND("&gt;&gt;",O39)),"","'Tablas Técnicas'!"&amp;ADDRESS(ROW($D$9)+MATCH(O39,$C$10:$C$644,0),COLUMN($D$9))&amp;":"&amp;ADDRESS(ROW($D$9)+MATCH(O39,$C$10:$C$644,0)+COUNTIF($C$10:$C$644,O39)-1,COLUMN($D$9)))</f>
        <v>'Tablas Técnicas'!$D$244:$D$251</v>
      </c>
      <c r="Q39" s="70" t="s">
        <v>2661</v>
      </c>
      <c r="R39" s="70" t="s">
        <v>2972</v>
      </c>
      <c r="S39" s="78" t="s">
        <v>8434</v>
      </c>
      <c r="T39" s="76" t="s">
        <v>1461</v>
      </c>
      <c r="U39" s="76" t="s">
        <v>6506</v>
      </c>
      <c r="V39" s="76" t="s">
        <v>6506</v>
      </c>
      <c r="W39" s="76" t="s">
        <v>1461</v>
      </c>
      <c r="X39" s="1738" t="b">
        <f t="shared" si="1"/>
        <v>0</v>
      </c>
    </row>
    <row r="40" spans="1:24" ht="12" customHeight="1">
      <c r="A40" s="7172"/>
      <c r="B40" s="7167"/>
      <c r="C40" s="39" t="s">
        <v>8447</v>
      </c>
      <c r="D40" s="76" t="s">
        <v>7056</v>
      </c>
      <c r="E40" s="1035">
        <v>1</v>
      </c>
      <c r="F40" s="1036">
        <v>2</v>
      </c>
      <c r="G40" s="1035">
        <v>5</v>
      </c>
      <c r="H40" s="1035">
        <v>1</v>
      </c>
      <c r="I40" s="1035">
        <v>2</v>
      </c>
      <c r="J40" s="1035">
        <v>4</v>
      </c>
      <c r="K40" s="1035">
        <v>1</v>
      </c>
      <c r="L40" s="3830" t="str">
        <f t="shared" si="2"/>
        <v>Habilidad De Contraataque+10</v>
      </c>
      <c r="M40" s="219"/>
      <c r="N40" s="7164"/>
      <c r="O40" s="76" t="s">
        <v>2973</v>
      </c>
      <c r="P40" s="76" t="str">
        <f>IF(ISNUMBER(FIND("&gt;&gt;",O40)),"","'Tablas Técnicas'!"&amp;ADDRESS(ROW($D$9)+MATCH(O40,$C$10:$C$644,0),COLUMN($D$9))&amp;":"&amp;ADDRESS(ROW($D$9)+MATCH(O40,$C$10:$C$644,0)+COUNTIF($C$10:$C$644,O40)-1,COLUMN($D$9)))</f>
        <v>'Tablas Técnicas'!$D$253:$D$253</v>
      </c>
      <c r="Q40" s="70" t="s">
        <v>2658</v>
      </c>
      <c r="R40" s="70" t="s">
        <v>2972</v>
      </c>
      <c r="S40" s="78" t="s">
        <v>8442</v>
      </c>
      <c r="T40" s="76" t="s">
        <v>1461</v>
      </c>
      <c r="U40" s="76" t="s">
        <v>1553</v>
      </c>
      <c r="V40" s="76" t="s">
        <v>1464</v>
      </c>
      <c r="W40" s="76" t="s">
        <v>8443</v>
      </c>
      <c r="X40" s="1738" t="b">
        <f t="shared" si="1"/>
        <v>0</v>
      </c>
    </row>
    <row r="41" spans="1:24" ht="12" customHeight="1">
      <c r="A41" s="7172"/>
      <c r="B41" s="7167"/>
      <c r="C41" s="39" t="s">
        <v>8447</v>
      </c>
      <c r="D41" s="76" t="s">
        <v>7200</v>
      </c>
      <c r="E41" s="1035">
        <v>2</v>
      </c>
      <c r="F41" s="1036">
        <v>4</v>
      </c>
      <c r="G41" s="1035">
        <v>5</v>
      </c>
      <c r="H41" s="1035">
        <v>2</v>
      </c>
      <c r="I41" s="1035">
        <v>4</v>
      </c>
      <c r="J41" s="1035">
        <v>7</v>
      </c>
      <c r="K41" s="1035">
        <v>1</v>
      </c>
      <c r="L41" s="3830" t="str">
        <f t="shared" si="2"/>
        <v>Habilidad De Contraataque+25</v>
      </c>
      <c r="M41" s="219"/>
      <c r="N41" s="7164"/>
      <c r="O41" s="76" t="s">
        <v>2702</v>
      </c>
      <c r="P41" s="76" t="str">
        <f>IF(ISNUMBER(FIND("&gt;&gt;",O41)),"","'Tablas Técnicas'!"&amp;ADDRESS(ROW($D$9)+MATCH(O41,$C$10:$C$644,0),COLUMN($D$9))&amp;":"&amp;ADDRESS(ROW($D$9)+MATCH(O41,$C$10:$C$644,0)+COUNTIF($C$10:$C$644,O41)-1,COLUMN($D$9)))</f>
        <v>'Tablas Técnicas'!$D$255:$D$256</v>
      </c>
      <c r="Q41" s="70" t="s">
        <v>2661</v>
      </c>
      <c r="R41" s="70" t="s">
        <v>2972</v>
      </c>
      <c r="S41" s="78" t="s">
        <v>8445</v>
      </c>
      <c r="T41" s="76" t="s">
        <v>1461</v>
      </c>
      <c r="U41" s="76" t="s">
        <v>1468</v>
      </c>
      <c r="V41" s="76" t="s">
        <v>1553</v>
      </c>
      <c r="W41" s="76" t="s">
        <v>8446</v>
      </c>
      <c r="X41" s="1738" t="b">
        <f t="shared" si="1"/>
        <v>0</v>
      </c>
    </row>
    <row r="42" spans="1:24" ht="12" customHeight="1">
      <c r="A42" s="7172"/>
      <c r="B42" s="7167"/>
      <c r="C42" s="39" t="s">
        <v>8447</v>
      </c>
      <c r="D42" s="76" t="s">
        <v>7058</v>
      </c>
      <c r="E42" s="1035">
        <v>3</v>
      </c>
      <c r="F42" s="1036">
        <v>5</v>
      </c>
      <c r="G42" s="1035">
        <v>10</v>
      </c>
      <c r="H42" s="1035">
        <v>3</v>
      </c>
      <c r="I42" s="1035">
        <v>6</v>
      </c>
      <c r="J42" s="1035">
        <v>11</v>
      </c>
      <c r="K42" s="1035">
        <v>1</v>
      </c>
      <c r="L42" s="3830" t="str">
        <f t="shared" si="2"/>
        <v>Habilidad De Contraataque+40</v>
      </c>
      <c r="M42" s="219"/>
      <c r="N42" s="7164"/>
      <c r="O42" s="76" t="s">
        <v>2705</v>
      </c>
      <c r="P42" s="76"/>
      <c r="Q42" s="70"/>
      <c r="R42" s="70"/>
      <c r="S42" s="78"/>
      <c r="T42" s="76" t="s">
        <v>6506</v>
      </c>
      <c r="U42" s="76" t="s">
        <v>6506</v>
      </c>
      <c r="V42" s="76" t="s">
        <v>6506</v>
      </c>
      <c r="W42" s="76" t="s">
        <v>6506</v>
      </c>
      <c r="X42" s="1738" t="b">
        <f t="shared" ref="X42:X73" si="5">IFERROR(IF(VLOOKUP(T42,$O$100:$P$105,2,0),TRUE,IF(VLOOKUP(U42,$O$100:$P$105,2,0),TRUE,IF(VLOOKUP(V42,$O$100:$P$105,2,0),TRUE,FALSE))),FALSE)</f>
        <v>0</v>
      </c>
    </row>
    <row r="43" spans="1:24" ht="12" customHeight="1">
      <c r="A43" s="7172"/>
      <c r="B43" s="7167"/>
      <c r="C43" s="39" t="s">
        <v>8447</v>
      </c>
      <c r="D43" s="76" t="s">
        <v>7059</v>
      </c>
      <c r="E43" s="1035">
        <v>4</v>
      </c>
      <c r="F43" s="1036">
        <v>6</v>
      </c>
      <c r="G43" s="1035">
        <v>10</v>
      </c>
      <c r="H43" s="1035">
        <v>4</v>
      </c>
      <c r="I43" s="1035">
        <v>8</v>
      </c>
      <c r="J43" s="1035">
        <v>14</v>
      </c>
      <c r="K43" s="1035">
        <v>1</v>
      </c>
      <c r="L43" s="3830" t="str">
        <f t="shared" si="2"/>
        <v>Habilidad De Contraataque+50</v>
      </c>
      <c r="M43" s="219"/>
      <c r="N43" s="7164"/>
      <c r="O43" s="76" t="s">
        <v>8448</v>
      </c>
      <c r="P43" s="76" t="str">
        <f t="shared" ref="P43:P48" si="6">IF(ISNUMBER(FIND("&gt;&gt;",O43)),"","'Tablas Técnicas'!"&amp;ADDRESS(ROW($D$9)+MATCH(O43,$C$10:$C$644,0),COLUMN($D$9))&amp;":"&amp;ADDRESS(ROW($D$9)+MATCH(O43,$C$10:$C$644,0)+COUNTIF($C$10:$C$644,O43)-1,COLUMN($D$9)))</f>
        <v>'Tablas Técnicas'!$D$259:$D$273</v>
      </c>
      <c r="Q43" s="70" t="s">
        <v>2658</v>
      </c>
      <c r="R43" s="70" t="s">
        <v>1093</v>
      </c>
      <c r="S43" s="78" t="s">
        <v>8449</v>
      </c>
      <c r="T43" s="76" t="s">
        <v>1464</v>
      </c>
      <c r="U43" s="76" t="s">
        <v>1461</v>
      </c>
      <c r="V43" s="76" t="s">
        <v>1468</v>
      </c>
      <c r="W43" s="76" t="s">
        <v>8450</v>
      </c>
      <c r="X43" s="1738" t="b">
        <f t="shared" si="5"/>
        <v>0</v>
      </c>
    </row>
    <row r="44" spans="1:24" ht="12" customHeight="1">
      <c r="A44" s="7172"/>
      <c r="B44" s="7167"/>
      <c r="C44" s="39" t="s">
        <v>8447</v>
      </c>
      <c r="D44" s="76" t="s">
        <v>8392</v>
      </c>
      <c r="E44" s="1035">
        <v>6</v>
      </c>
      <c r="F44" s="1036">
        <v>9</v>
      </c>
      <c r="G44" s="1035">
        <v>15</v>
      </c>
      <c r="H44" s="1035">
        <v>6</v>
      </c>
      <c r="I44" s="1035">
        <v>12</v>
      </c>
      <c r="J44" s="1035">
        <v>21</v>
      </c>
      <c r="K44" s="1035">
        <v>1</v>
      </c>
      <c r="L44" s="3830" t="str">
        <f t="shared" si="2"/>
        <v>Habilidad De Contraataque+75</v>
      </c>
      <c r="M44" s="219"/>
      <c r="N44" s="7164"/>
      <c r="O44" s="76" t="s">
        <v>8451</v>
      </c>
      <c r="P44" s="76" t="str">
        <f t="shared" si="6"/>
        <v>'Tablas Técnicas'!$D$275:$D$284</v>
      </c>
      <c r="Q44" s="70" t="s">
        <v>2661</v>
      </c>
      <c r="R44" s="70" t="s">
        <v>1093</v>
      </c>
      <c r="S44" s="78" t="s">
        <v>8449</v>
      </c>
      <c r="T44" s="76" t="s">
        <v>1464</v>
      </c>
      <c r="U44" s="76" t="s">
        <v>1461</v>
      </c>
      <c r="V44" s="76" t="s">
        <v>1468</v>
      </c>
      <c r="W44" s="76" t="s">
        <v>8450</v>
      </c>
      <c r="X44" s="1738" t="b">
        <f t="shared" si="5"/>
        <v>0</v>
      </c>
    </row>
    <row r="45" spans="1:24" ht="12" customHeight="1">
      <c r="A45" s="7172"/>
      <c r="B45" s="7167"/>
      <c r="C45" s="3831" t="s">
        <v>8447</v>
      </c>
      <c r="D45" s="3832" t="s">
        <v>8396</v>
      </c>
      <c r="E45" s="3833">
        <v>9</v>
      </c>
      <c r="F45" s="3834">
        <v>12</v>
      </c>
      <c r="G45" s="3833">
        <v>20</v>
      </c>
      <c r="H45" s="3833">
        <v>8</v>
      </c>
      <c r="I45" s="3833">
        <v>16</v>
      </c>
      <c r="J45" s="3833">
        <v>28</v>
      </c>
      <c r="K45" s="3833">
        <v>2</v>
      </c>
      <c r="L45" s="3835" t="str">
        <f t="shared" si="2"/>
        <v>Habilidad De Contraataque+90</v>
      </c>
      <c r="M45" s="219"/>
      <c r="N45" s="7164"/>
      <c r="O45" s="76" t="s">
        <v>8452</v>
      </c>
      <c r="P45" s="76" t="str">
        <f t="shared" si="6"/>
        <v>'Tablas Técnicas'!$D$286:$D$297</v>
      </c>
      <c r="Q45" s="70" t="s">
        <v>2658</v>
      </c>
      <c r="R45" s="70" t="s">
        <v>1093</v>
      </c>
      <c r="S45" s="78" t="s">
        <v>8453</v>
      </c>
      <c r="T45" s="76" t="s">
        <v>1468</v>
      </c>
      <c r="U45" s="76" t="s">
        <v>1553</v>
      </c>
      <c r="V45" s="76" t="s">
        <v>1554</v>
      </c>
      <c r="W45" s="76" t="s">
        <v>8454</v>
      </c>
      <c r="X45" s="1738" t="b">
        <f t="shared" si="5"/>
        <v>0</v>
      </c>
    </row>
    <row r="46" spans="1:24" ht="12" customHeight="1">
      <c r="A46" s="7172"/>
      <c r="B46" s="7167"/>
      <c r="C46" s="3831" t="s">
        <v>8447</v>
      </c>
      <c r="D46" s="3832" t="s">
        <v>8399</v>
      </c>
      <c r="E46" s="3833">
        <v>12</v>
      </c>
      <c r="F46" s="3834">
        <v>15</v>
      </c>
      <c r="G46" s="3833">
        <v>25</v>
      </c>
      <c r="H46" s="3833">
        <v>10</v>
      </c>
      <c r="I46" s="3833">
        <v>20</v>
      </c>
      <c r="J46" s="3833">
        <v>35</v>
      </c>
      <c r="K46" s="3833">
        <v>2</v>
      </c>
      <c r="L46" s="3835" t="str">
        <f t="shared" si="2"/>
        <v>Habilidad De Contraataque+100</v>
      </c>
      <c r="M46" s="219"/>
      <c r="N46" s="7164"/>
      <c r="O46" s="76" t="s">
        <v>8455</v>
      </c>
      <c r="P46" s="76" t="str">
        <f t="shared" si="6"/>
        <v>'Tablas Técnicas'!$D$299:$D$306</v>
      </c>
      <c r="Q46" s="70" t="s">
        <v>2661</v>
      </c>
      <c r="R46" s="70" t="s">
        <v>1093</v>
      </c>
      <c r="S46" s="78" t="s">
        <v>8453</v>
      </c>
      <c r="T46" s="76" t="s">
        <v>1468</v>
      </c>
      <c r="U46" s="76" t="s">
        <v>1553</v>
      </c>
      <c r="V46" s="76" t="s">
        <v>1554</v>
      </c>
      <c r="W46" s="76" t="s">
        <v>8454</v>
      </c>
      <c r="X46" s="1738" t="b">
        <f t="shared" si="5"/>
        <v>0</v>
      </c>
    </row>
    <row r="47" spans="1:24" ht="12" customHeight="1">
      <c r="A47" s="7172"/>
      <c r="B47" s="7167"/>
      <c r="C47" s="3831" t="s">
        <v>8447</v>
      </c>
      <c r="D47" s="3832" t="s">
        <v>8400</v>
      </c>
      <c r="E47" s="3833">
        <v>14</v>
      </c>
      <c r="F47" s="3834">
        <v>18</v>
      </c>
      <c r="G47" s="3833">
        <v>30</v>
      </c>
      <c r="H47" s="3833">
        <v>12</v>
      </c>
      <c r="I47" s="3833">
        <v>24</v>
      </c>
      <c r="J47" s="3833">
        <v>42</v>
      </c>
      <c r="K47" s="3833">
        <v>2</v>
      </c>
      <c r="L47" s="3835" t="str">
        <f t="shared" si="2"/>
        <v>Habilidad De Contraataque+125</v>
      </c>
      <c r="M47" s="219"/>
      <c r="N47" s="7164"/>
      <c r="O47" s="76" t="s">
        <v>8456</v>
      </c>
      <c r="P47" s="76" t="str">
        <f t="shared" si="6"/>
        <v>'Tablas Técnicas'!$D$308:$D$316</v>
      </c>
      <c r="Q47" s="70" t="s">
        <v>2658</v>
      </c>
      <c r="R47" s="70" t="s">
        <v>1424</v>
      </c>
      <c r="S47" s="78" t="s">
        <v>8457</v>
      </c>
      <c r="T47" s="76" t="s">
        <v>1553</v>
      </c>
      <c r="U47" s="76" t="s">
        <v>1558</v>
      </c>
      <c r="V47" s="76" t="s">
        <v>1464</v>
      </c>
      <c r="W47" s="76" t="s">
        <v>8458</v>
      </c>
      <c r="X47" s="1738" t="b">
        <f t="shared" si="5"/>
        <v>0</v>
      </c>
    </row>
    <row r="48" spans="1:24" ht="12" customHeight="1">
      <c r="A48" s="7172"/>
      <c r="B48" s="7167"/>
      <c r="C48" s="3831" t="s">
        <v>8447</v>
      </c>
      <c r="D48" s="3832" t="s">
        <v>8402</v>
      </c>
      <c r="E48" s="3833">
        <v>18</v>
      </c>
      <c r="F48" s="3834">
        <v>22</v>
      </c>
      <c r="G48" s="3833">
        <v>35</v>
      </c>
      <c r="H48" s="3833">
        <v>14</v>
      </c>
      <c r="I48" s="3833">
        <v>28</v>
      </c>
      <c r="J48" s="3833">
        <v>49</v>
      </c>
      <c r="K48" s="3833">
        <v>3</v>
      </c>
      <c r="L48" s="3835" t="str">
        <f t="shared" si="2"/>
        <v>Habilidad De Contraataque+150</v>
      </c>
      <c r="M48" s="219"/>
      <c r="N48" s="7164"/>
      <c r="O48" s="76" t="s">
        <v>8459</v>
      </c>
      <c r="P48" s="76" t="str">
        <f t="shared" si="6"/>
        <v>'Tablas Técnicas'!$D$318:$D$327</v>
      </c>
      <c r="Q48" s="70" t="s">
        <v>2658</v>
      </c>
      <c r="R48" s="70" t="s">
        <v>2972</v>
      </c>
      <c r="S48" s="78" t="s">
        <v>8460</v>
      </c>
      <c r="T48" s="76" t="s">
        <v>1461</v>
      </c>
      <c r="U48" s="76" t="s">
        <v>1553</v>
      </c>
      <c r="V48" s="76" t="s">
        <v>1554</v>
      </c>
      <c r="W48" s="76" t="s">
        <v>8414</v>
      </c>
      <c r="X48" s="1738" t="b">
        <f t="shared" si="5"/>
        <v>0</v>
      </c>
    </row>
    <row r="49" spans="1:24" ht="12" customHeight="1">
      <c r="A49" s="7172"/>
      <c r="B49" s="7167"/>
      <c r="C49" s="3831" t="s">
        <v>8447</v>
      </c>
      <c r="D49" s="3832" t="s">
        <v>8405</v>
      </c>
      <c r="E49" s="3833">
        <v>22</v>
      </c>
      <c r="F49" s="3834">
        <v>26</v>
      </c>
      <c r="G49" s="3833">
        <v>40</v>
      </c>
      <c r="H49" s="3833">
        <v>16</v>
      </c>
      <c r="I49" s="3833">
        <v>32</v>
      </c>
      <c r="J49" s="3833">
        <v>56</v>
      </c>
      <c r="K49" s="3833">
        <v>3</v>
      </c>
      <c r="L49" s="3835" t="str">
        <f t="shared" si="2"/>
        <v>Habilidad De Contraataque+175</v>
      </c>
      <c r="M49" s="219"/>
      <c r="N49" s="7164"/>
      <c r="O49" s="76" t="s">
        <v>2719</v>
      </c>
      <c r="P49" s="76"/>
      <c r="Q49" s="70"/>
      <c r="R49" s="70"/>
      <c r="S49" s="78"/>
      <c r="T49" s="76" t="s">
        <v>6506</v>
      </c>
      <c r="U49" s="76" t="s">
        <v>6506</v>
      </c>
      <c r="V49" s="76" t="s">
        <v>6506</v>
      </c>
      <c r="W49" s="76" t="s">
        <v>6506</v>
      </c>
      <c r="X49" s="1738" t="b">
        <f t="shared" si="5"/>
        <v>0</v>
      </c>
    </row>
    <row r="50" spans="1:24" ht="12" customHeight="1">
      <c r="A50" s="7172"/>
      <c r="B50" s="7167"/>
      <c r="C50" s="3831" t="s">
        <v>8447</v>
      </c>
      <c r="D50" s="3832" t="s">
        <v>8407</v>
      </c>
      <c r="E50" s="3833">
        <v>26</v>
      </c>
      <c r="F50" s="3834">
        <v>32</v>
      </c>
      <c r="G50" s="3833">
        <v>45</v>
      </c>
      <c r="H50" s="3833">
        <v>18</v>
      </c>
      <c r="I50" s="3833">
        <v>36</v>
      </c>
      <c r="J50" s="3833">
        <v>63</v>
      </c>
      <c r="K50" s="3833">
        <v>3</v>
      </c>
      <c r="L50" s="3835" t="str">
        <f t="shared" si="2"/>
        <v>Habilidad De Contraataque+200</v>
      </c>
      <c r="M50" s="219"/>
      <c r="N50" s="7164"/>
      <c r="O50" s="76" t="s">
        <v>8461</v>
      </c>
      <c r="P50" s="76" t="str">
        <f>IF(ISNUMBER(FIND("&gt;&gt;",O50)),"","'Tablas Técnicas'!"&amp;ADDRESS(ROW($D$9)+MATCH(O50,$C$10:$C$644,0),COLUMN($D$9))&amp;":"&amp;ADDRESS(ROW($D$9)+MATCH(O50,$C$10:$C$644,0)+COUNTIF($C$10:$C$644,O50)-1,COLUMN($D$9)))</f>
        <v>'Tablas Técnicas'!$D$330:$D$337</v>
      </c>
      <c r="Q50" s="70" t="s">
        <v>2661</v>
      </c>
      <c r="R50" s="70" t="s">
        <v>1093</v>
      </c>
      <c r="S50" s="78" t="s">
        <v>8462</v>
      </c>
      <c r="T50" s="76" t="s">
        <v>1468</v>
      </c>
      <c r="U50" s="76" t="s">
        <v>6506</v>
      </c>
      <c r="V50" s="76" t="s">
        <v>6506</v>
      </c>
      <c r="W50" s="76" t="s">
        <v>1468</v>
      </c>
      <c r="X50" s="1738" t="b">
        <f t="shared" si="5"/>
        <v>0</v>
      </c>
    </row>
    <row r="51" spans="1:24" ht="12" customHeight="1">
      <c r="A51" s="7172"/>
      <c r="B51" s="7167"/>
      <c r="C51" s="39" t="s">
        <v>8468</v>
      </c>
      <c r="D51" s="76"/>
      <c r="E51" s="1035"/>
      <c r="F51" s="1036"/>
      <c r="G51" s="1035"/>
      <c r="H51" s="1035"/>
      <c r="I51" s="1035"/>
      <c r="J51" s="1035"/>
      <c r="K51" s="1035"/>
      <c r="L51" s="3830" t="str">
        <f t="shared" si="2"/>
        <v>&gt; MANIOBRAS DE COMBATE Y APUNTAR</v>
      </c>
      <c r="M51" s="219"/>
      <c r="N51" s="7164"/>
      <c r="O51" s="76" t="s">
        <v>8463</v>
      </c>
      <c r="P51" s="76" t="str">
        <f>IF(ISNUMBER(FIND("&gt;&gt;",O51)),"","'Tablas Técnicas'!"&amp;ADDRESS(ROW($D$9)+MATCH(O51,$C$10:$C$644,0),COLUMN($D$9))&amp;":"&amp;ADDRESS(ROW($D$9)+MATCH(O51,$C$10:$C$644,0)+COUNTIF($C$10:$C$644,O51)-1,COLUMN($D$9)))</f>
        <v>'Tablas Técnicas'!$D$339:$D$345</v>
      </c>
      <c r="Q51" s="70" t="s">
        <v>2661</v>
      </c>
      <c r="R51" s="70" t="s">
        <v>1424</v>
      </c>
      <c r="S51" s="78" t="s">
        <v>8464</v>
      </c>
      <c r="T51" s="76" t="s">
        <v>1468</v>
      </c>
      <c r="U51" s="76" t="s">
        <v>1553</v>
      </c>
      <c r="V51" s="76" t="s">
        <v>1558</v>
      </c>
      <c r="W51" s="76" t="s">
        <v>8465</v>
      </c>
      <c r="X51" s="1738" t="b">
        <f t="shared" si="5"/>
        <v>0</v>
      </c>
    </row>
    <row r="52" spans="1:24" ht="12" customHeight="1">
      <c r="A52" s="7172"/>
      <c r="B52" s="7167"/>
      <c r="C52" s="39" t="s">
        <v>8470</v>
      </c>
      <c r="D52" s="76" t="s">
        <v>8471</v>
      </c>
      <c r="E52" s="1035">
        <v>1</v>
      </c>
      <c r="F52" s="1036">
        <v>2</v>
      </c>
      <c r="G52" s="1035">
        <v>5</v>
      </c>
      <c r="H52" s="1035">
        <v>1</v>
      </c>
      <c r="I52" s="1035">
        <v>2</v>
      </c>
      <c r="J52" s="1035">
        <v>4</v>
      </c>
      <c r="K52" s="1035">
        <v>1</v>
      </c>
      <c r="L52" s="3830" t="str">
        <f t="shared" si="2"/>
        <v>Maniobras De Combate Y Apuntar-10</v>
      </c>
      <c r="M52" s="219"/>
      <c r="N52" s="7164"/>
      <c r="O52" s="76" t="s">
        <v>8466</v>
      </c>
      <c r="P52" s="76" t="str">
        <f>IF(ISNUMBER(FIND("&gt;&gt;",O52)),"","'Tablas Técnicas'!"&amp;ADDRESS(ROW($D$9)+MATCH(O52,$C$10:$C$644,0),COLUMN($D$9))&amp;":"&amp;ADDRESS(ROW($D$9)+MATCH(O52,$C$10:$C$644,0)+COUNTIF($C$10:$C$644,O52)-1,COLUMN($D$9)))</f>
        <v>'Tablas Técnicas'!$D$347:$D$355</v>
      </c>
      <c r="Q52" s="70" t="s">
        <v>2658</v>
      </c>
      <c r="R52" s="70" t="s">
        <v>1093</v>
      </c>
      <c r="S52" s="78" t="s">
        <v>8467</v>
      </c>
      <c r="T52" s="76" t="s">
        <v>1468</v>
      </c>
      <c r="U52" s="76" t="s">
        <v>1554</v>
      </c>
      <c r="V52" s="76" t="s">
        <v>6506</v>
      </c>
      <c r="W52" s="76" t="s">
        <v>8856</v>
      </c>
      <c r="X52" s="1738" t="b">
        <f t="shared" si="5"/>
        <v>0</v>
      </c>
    </row>
    <row r="53" spans="1:24" ht="12" customHeight="1">
      <c r="A53" s="7172"/>
      <c r="B53" s="7167"/>
      <c r="C53" s="39" t="s">
        <v>8470</v>
      </c>
      <c r="D53" s="76" t="s">
        <v>8472</v>
      </c>
      <c r="E53" s="1035">
        <v>2</v>
      </c>
      <c r="F53" s="1036">
        <v>4</v>
      </c>
      <c r="G53" s="1035">
        <v>5</v>
      </c>
      <c r="H53" s="1035">
        <v>1</v>
      </c>
      <c r="I53" s="1035">
        <v>2</v>
      </c>
      <c r="J53" s="1035">
        <v>4</v>
      </c>
      <c r="K53" s="1035">
        <v>1</v>
      </c>
      <c r="L53" s="3830" t="str">
        <f t="shared" si="2"/>
        <v>Maniobras De Combate Y Apuntar-25</v>
      </c>
      <c r="M53" s="219"/>
      <c r="N53" s="7164"/>
      <c r="O53" s="76" t="s">
        <v>1407</v>
      </c>
      <c r="P53" s="76" t="str">
        <f>IF(ISNUMBER(FIND("&gt;&gt;",O53)),"","'Tablas Técnicas'!"&amp;ADDRESS(ROW($D$9)+MATCH(O53,$C$10:$C$644,0),COLUMN($D$9))&amp;":"&amp;ADDRESS(ROW($D$9)+MATCH(O53,$C$10:$C$644,0)+COUNTIF($C$10:$C$644,O53)-1,COLUMN($D$9)))</f>
        <v>'Tablas Técnicas'!$D$357:$D$367</v>
      </c>
      <c r="Q53" s="70" t="s">
        <v>2661</v>
      </c>
      <c r="R53" s="70" t="s">
        <v>1424</v>
      </c>
      <c r="S53" s="78" t="s">
        <v>8469</v>
      </c>
      <c r="T53" s="76" t="s">
        <v>1464</v>
      </c>
      <c r="U53" s="76" t="s">
        <v>1553</v>
      </c>
      <c r="V53" s="76" t="s">
        <v>1558</v>
      </c>
      <c r="W53" s="76" t="s">
        <v>8401</v>
      </c>
      <c r="X53" s="1738" t="b">
        <f t="shared" si="5"/>
        <v>0</v>
      </c>
    </row>
    <row r="54" spans="1:24" ht="12" customHeight="1">
      <c r="A54" s="7172"/>
      <c r="B54" s="7167"/>
      <c r="C54" s="3831" t="s">
        <v>8470</v>
      </c>
      <c r="D54" s="3832" t="s">
        <v>8475</v>
      </c>
      <c r="E54" s="3833">
        <v>3</v>
      </c>
      <c r="F54" s="3834">
        <v>5</v>
      </c>
      <c r="G54" s="3833">
        <v>10</v>
      </c>
      <c r="H54" s="3833">
        <v>2</v>
      </c>
      <c r="I54" s="3833">
        <v>4</v>
      </c>
      <c r="J54" s="3833">
        <v>7</v>
      </c>
      <c r="K54" s="3833">
        <v>1</v>
      </c>
      <c r="L54" s="3835" t="str">
        <f t="shared" si="2"/>
        <v>Maniobras De Combate Y Apuntar-50</v>
      </c>
      <c r="M54" s="219"/>
      <c r="N54" s="7164"/>
      <c r="O54" s="76" t="s">
        <v>2730</v>
      </c>
      <c r="P54" s="76"/>
      <c r="Q54" s="70"/>
      <c r="R54" s="70"/>
      <c r="S54" s="78"/>
      <c r="T54" s="76" t="s">
        <v>6506</v>
      </c>
      <c r="U54" s="76" t="s">
        <v>6506</v>
      </c>
      <c r="V54" s="76" t="s">
        <v>6506</v>
      </c>
      <c r="W54" s="76" t="s">
        <v>6506</v>
      </c>
      <c r="X54" s="1738" t="b">
        <f t="shared" si="5"/>
        <v>0</v>
      </c>
    </row>
    <row r="55" spans="1:24" ht="12" customHeight="1">
      <c r="A55" s="7172"/>
      <c r="B55" s="7167"/>
      <c r="C55" s="3831" t="s">
        <v>8470</v>
      </c>
      <c r="D55" s="3832" t="s">
        <v>8478</v>
      </c>
      <c r="E55" s="3833">
        <v>4</v>
      </c>
      <c r="F55" s="3834">
        <v>6</v>
      </c>
      <c r="G55" s="3833">
        <v>10</v>
      </c>
      <c r="H55" s="3833">
        <v>2</v>
      </c>
      <c r="I55" s="3833">
        <v>4</v>
      </c>
      <c r="J55" s="3833">
        <v>7</v>
      </c>
      <c r="K55" s="3833">
        <v>2</v>
      </c>
      <c r="L55" s="3835" t="str">
        <f t="shared" si="2"/>
        <v>Maniobras De Combate Y Apuntar-75</v>
      </c>
      <c r="M55" s="219"/>
      <c r="N55" s="7164"/>
      <c r="O55" s="76" t="s">
        <v>8473</v>
      </c>
      <c r="P55" s="76" t="str">
        <f t="shared" ref="P55:P63" si="7">IF(ISNUMBER(FIND("&gt;&gt;",O55)),"","'Tablas Técnicas'!"&amp;ADDRESS(ROW($D$9)+MATCH(O55,$C$10:$C$644,0),COLUMN($D$9))&amp;":"&amp;ADDRESS(ROW($D$9)+MATCH(O55,$C$10:$C$644,0)+COUNTIF($C$10:$C$644,O55)-1,COLUMN($D$9)))</f>
        <v>'Tablas Técnicas'!$D$370:$D$374</v>
      </c>
      <c r="Q55" s="70" t="s">
        <v>2661</v>
      </c>
      <c r="R55" s="70" t="s">
        <v>2972</v>
      </c>
      <c r="S55" s="78" t="s">
        <v>8474</v>
      </c>
      <c r="T55" s="76" t="s">
        <v>1461</v>
      </c>
      <c r="U55" s="76" t="s">
        <v>1468</v>
      </c>
      <c r="V55" s="76" t="s">
        <v>1553</v>
      </c>
      <c r="W55" s="76" t="s">
        <v>8446</v>
      </c>
      <c r="X55" s="1738" t="b">
        <f t="shared" si="5"/>
        <v>0</v>
      </c>
    </row>
    <row r="56" spans="1:24" ht="12" customHeight="1">
      <c r="A56" s="7172"/>
      <c r="B56" s="7167"/>
      <c r="C56" s="3831" t="s">
        <v>8470</v>
      </c>
      <c r="D56" s="3832" t="s">
        <v>8481</v>
      </c>
      <c r="E56" s="3833">
        <v>6</v>
      </c>
      <c r="F56" s="3834">
        <v>9</v>
      </c>
      <c r="G56" s="3833">
        <v>15</v>
      </c>
      <c r="H56" s="3833">
        <v>3</v>
      </c>
      <c r="I56" s="3833">
        <v>6</v>
      </c>
      <c r="J56" s="3833">
        <v>11</v>
      </c>
      <c r="K56" s="3833">
        <v>2</v>
      </c>
      <c r="L56" s="3835" t="str">
        <f t="shared" si="2"/>
        <v>Maniobras De Combate Y Apuntar-100</v>
      </c>
      <c r="M56" s="219"/>
      <c r="N56" s="7164"/>
      <c r="O56" s="76" t="s">
        <v>8476</v>
      </c>
      <c r="P56" s="76" t="str">
        <f t="shared" si="7"/>
        <v>'Tablas Técnicas'!$D$376:$D$381</v>
      </c>
      <c r="Q56" s="70" t="s">
        <v>2661</v>
      </c>
      <c r="R56" s="70" t="s">
        <v>2972</v>
      </c>
      <c r="S56" s="78" t="s">
        <v>8477</v>
      </c>
      <c r="T56" s="76" t="s">
        <v>1464</v>
      </c>
      <c r="U56" s="76" t="s">
        <v>1558</v>
      </c>
      <c r="V56" s="76" t="s">
        <v>1553</v>
      </c>
      <c r="W56" s="76" t="s">
        <v>9741</v>
      </c>
      <c r="X56" s="1738" t="b">
        <f t="shared" si="5"/>
        <v>0</v>
      </c>
    </row>
    <row r="57" spans="1:24" ht="12" customHeight="1">
      <c r="A57" s="7172"/>
      <c r="B57" s="7167"/>
      <c r="C57" s="3831" t="s">
        <v>8470</v>
      </c>
      <c r="D57" s="3832" t="s">
        <v>8483</v>
      </c>
      <c r="E57" s="3833">
        <v>8</v>
      </c>
      <c r="F57" s="3834">
        <v>11</v>
      </c>
      <c r="G57" s="3833">
        <v>20</v>
      </c>
      <c r="H57" s="3833">
        <v>3</v>
      </c>
      <c r="I57" s="3833">
        <v>6</v>
      </c>
      <c r="J57" s="3833">
        <v>11</v>
      </c>
      <c r="K57" s="3833">
        <v>3</v>
      </c>
      <c r="L57" s="3835" t="str">
        <f t="shared" si="2"/>
        <v>Maniobras De Combate Y Apuntar-120</v>
      </c>
      <c r="M57" s="219"/>
      <c r="N57" s="7164"/>
      <c r="O57" s="76" t="s">
        <v>8479</v>
      </c>
      <c r="P57" s="76" t="str">
        <f t="shared" si="7"/>
        <v>'Tablas Técnicas'!$D$383:$D$390</v>
      </c>
      <c r="Q57" s="70" t="s">
        <v>2658</v>
      </c>
      <c r="R57" s="70" t="s">
        <v>2972</v>
      </c>
      <c r="S57" s="78" t="s">
        <v>9533</v>
      </c>
      <c r="T57" s="76" t="s">
        <v>1464</v>
      </c>
      <c r="U57" s="76" t="s">
        <v>1468</v>
      </c>
      <c r="V57" s="76" t="s">
        <v>1554</v>
      </c>
      <c r="W57" s="76" t="s">
        <v>8480</v>
      </c>
      <c r="X57" s="1738" t="b">
        <f t="shared" si="5"/>
        <v>0</v>
      </c>
    </row>
    <row r="58" spans="1:24" ht="12" customHeight="1">
      <c r="A58" s="7172"/>
      <c r="B58" s="7167"/>
      <c r="C58" s="39" t="s">
        <v>8485</v>
      </c>
      <c r="D58" s="76"/>
      <c r="E58" s="1035"/>
      <c r="F58" s="1036"/>
      <c r="G58" s="1035"/>
      <c r="H58" s="1035"/>
      <c r="I58" s="1035"/>
      <c r="J58" s="1035"/>
      <c r="K58" s="1035"/>
      <c r="L58" s="3830" t="str">
        <f t="shared" si="2"/>
        <v>&gt; MANIOBRAS DE COMBATE Y APUNTAR REALES</v>
      </c>
      <c r="M58" s="219"/>
      <c r="N58" s="7164"/>
      <c r="O58" s="76" t="s">
        <v>8482</v>
      </c>
      <c r="P58" s="76" t="str">
        <f t="shared" si="7"/>
        <v>'Tablas Técnicas'!$D$392:$D$399</v>
      </c>
      <c r="Q58" s="70" t="s">
        <v>2658</v>
      </c>
      <c r="R58" s="70" t="s">
        <v>2972</v>
      </c>
      <c r="S58" s="78" t="s">
        <v>9534</v>
      </c>
      <c r="T58" s="76" t="s">
        <v>1464</v>
      </c>
      <c r="U58" s="76" t="s">
        <v>1468</v>
      </c>
      <c r="V58" s="76" t="s">
        <v>1554</v>
      </c>
      <c r="W58" s="76" t="s">
        <v>8480</v>
      </c>
      <c r="X58" s="1738" t="b">
        <f t="shared" si="5"/>
        <v>0</v>
      </c>
    </row>
    <row r="59" spans="1:24" ht="12" customHeight="1">
      <c r="A59" s="7172"/>
      <c r="B59" s="7167"/>
      <c r="C59" s="39" t="s">
        <v>8488</v>
      </c>
      <c r="D59" s="76" t="s">
        <v>8471</v>
      </c>
      <c r="E59" s="1035">
        <v>2</v>
      </c>
      <c r="F59" s="1036">
        <v>4</v>
      </c>
      <c r="G59" s="1035">
        <v>10</v>
      </c>
      <c r="H59" s="1035">
        <v>2</v>
      </c>
      <c r="I59" s="1035">
        <v>4</v>
      </c>
      <c r="J59" s="1035">
        <v>7</v>
      </c>
      <c r="K59" s="1035">
        <v>1</v>
      </c>
      <c r="L59" s="3830" t="str">
        <f t="shared" si="2"/>
        <v>Maniobras De Combate Y Apuntar Reales-10</v>
      </c>
      <c r="M59" s="219"/>
      <c r="N59" s="7164"/>
      <c r="O59" s="76" t="s">
        <v>8484</v>
      </c>
      <c r="P59" s="76" t="str">
        <f t="shared" si="7"/>
        <v>'Tablas Técnicas'!$D$401:$D$408</v>
      </c>
      <c r="Q59" s="70" t="s">
        <v>2658</v>
      </c>
      <c r="R59" s="70" t="s">
        <v>2972</v>
      </c>
      <c r="S59" s="78" t="s">
        <v>9535</v>
      </c>
      <c r="T59" s="76" t="s">
        <v>1464</v>
      </c>
      <c r="U59" s="76" t="s">
        <v>1468</v>
      </c>
      <c r="V59" s="76" t="s">
        <v>1554</v>
      </c>
      <c r="W59" s="76" t="s">
        <v>8480</v>
      </c>
      <c r="X59" s="1738" t="b">
        <f t="shared" si="5"/>
        <v>0</v>
      </c>
    </row>
    <row r="60" spans="1:24" ht="12" customHeight="1">
      <c r="A60" s="7172"/>
      <c r="B60" s="7167"/>
      <c r="C60" s="3831" t="s">
        <v>8488</v>
      </c>
      <c r="D60" s="3832" t="s">
        <v>8472</v>
      </c>
      <c r="E60" s="3833">
        <v>4</v>
      </c>
      <c r="F60" s="3834">
        <v>6</v>
      </c>
      <c r="G60" s="3833">
        <v>15</v>
      </c>
      <c r="H60" s="3833">
        <v>3</v>
      </c>
      <c r="I60" s="3833">
        <v>6</v>
      </c>
      <c r="J60" s="3833">
        <v>11</v>
      </c>
      <c r="K60" s="3833">
        <v>2</v>
      </c>
      <c r="L60" s="3835" t="str">
        <f t="shared" si="2"/>
        <v>Maniobras De Combate Y Apuntar Reales-25</v>
      </c>
      <c r="M60" s="219"/>
      <c r="N60" s="7164"/>
      <c r="O60" s="76" t="s">
        <v>8486</v>
      </c>
      <c r="P60" s="76" t="str">
        <f t="shared" si="7"/>
        <v>'Tablas Técnicas'!$D$410:$D$419</v>
      </c>
      <c r="Q60" s="70" t="s">
        <v>2661</v>
      </c>
      <c r="R60" s="70" t="s">
        <v>2972</v>
      </c>
      <c r="S60" s="78" t="s">
        <v>8487</v>
      </c>
      <c r="T60" s="76" t="s">
        <v>1464</v>
      </c>
      <c r="U60" s="76" t="s">
        <v>1553</v>
      </c>
      <c r="V60" s="76" t="s">
        <v>1558</v>
      </c>
      <c r="W60" s="76" t="s">
        <v>8401</v>
      </c>
      <c r="X60" s="1738" t="b">
        <f t="shared" si="5"/>
        <v>0</v>
      </c>
    </row>
    <row r="61" spans="1:24" ht="12" customHeight="1">
      <c r="A61" s="7172"/>
      <c r="B61" s="7167"/>
      <c r="C61" s="3831" t="s">
        <v>8488</v>
      </c>
      <c r="D61" s="3832" t="s">
        <v>8475</v>
      </c>
      <c r="E61" s="3833">
        <v>6</v>
      </c>
      <c r="F61" s="3834">
        <v>9</v>
      </c>
      <c r="G61" s="3833">
        <v>20</v>
      </c>
      <c r="H61" s="3833">
        <v>4</v>
      </c>
      <c r="I61" s="3833">
        <v>8</v>
      </c>
      <c r="J61" s="3833">
        <v>14</v>
      </c>
      <c r="K61" s="3833">
        <v>3</v>
      </c>
      <c r="L61" s="3835" t="str">
        <f t="shared" si="2"/>
        <v>Maniobras De Combate Y Apuntar Reales-50</v>
      </c>
      <c r="M61" s="219"/>
      <c r="N61" s="7164"/>
      <c r="O61" s="76" t="s">
        <v>8489</v>
      </c>
      <c r="P61" s="76" t="str">
        <f t="shared" si="7"/>
        <v>'Tablas Técnicas'!$D$421:$D$428</v>
      </c>
      <c r="Q61" s="70" t="s">
        <v>2661</v>
      </c>
      <c r="R61" s="70" t="s">
        <v>2972</v>
      </c>
      <c r="S61" s="78" t="s">
        <v>8490</v>
      </c>
      <c r="T61" s="76" t="s">
        <v>1461</v>
      </c>
      <c r="U61" s="76" t="s">
        <v>1468</v>
      </c>
      <c r="V61" s="76" t="s">
        <v>1553</v>
      </c>
      <c r="W61" s="76" t="s">
        <v>8446</v>
      </c>
      <c r="X61" s="1738" t="b">
        <f t="shared" si="5"/>
        <v>0</v>
      </c>
    </row>
    <row r="62" spans="1:24" ht="12" customHeight="1">
      <c r="A62" s="7172"/>
      <c r="B62" s="7167"/>
      <c r="C62" s="39" t="s">
        <v>8496</v>
      </c>
      <c r="D62" s="76"/>
      <c r="E62" s="1035"/>
      <c r="F62" s="1036"/>
      <c r="G62" s="1035"/>
      <c r="H62" s="1035"/>
      <c r="I62" s="1035"/>
      <c r="J62" s="1035"/>
      <c r="K62" s="1035"/>
      <c r="L62" s="3830" t="str">
        <f t="shared" si="2"/>
        <v>&gt; ATAQUE INDIRECTO</v>
      </c>
      <c r="M62" s="219"/>
      <c r="N62" s="7164"/>
      <c r="O62" s="76" t="s">
        <v>8491</v>
      </c>
      <c r="P62" s="76" t="str">
        <f t="shared" si="7"/>
        <v>'Tablas Técnicas'!$D$430:$D$437</v>
      </c>
      <c r="Q62" s="70" t="s">
        <v>2661</v>
      </c>
      <c r="R62" s="70" t="s">
        <v>2972</v>
      </c>
      <c r="S62" s="78" t="s">
        <v>8492</v>
      </c>
      <c r="T62" s="76" t="s">
        <v>1461</v>
      </c>
      <c r="U62" s="76" t="s">
        <v>1464</v>
      </c>
      <c r="V62" s="76" t="s">
        <v>1553</v>
      </c>
      <c r="W62" s="76" t="s">
        <v>8493</v>
      </c>
      <c r="X62" s="1738" t="b">
        <f t="shared" si="5"/>
        <v>0</v>
      </c>
    </row>
    <row r="63" spans="1:24" ht="12" customHeight="1">
      <c r="A63" s="7172"/>
      <c r="B63" s="7167"/>
      <c r="C63" s="39" t="s">
        <v>8393</v>
      </c>
      <c r="D63" s="76" t="s">
        <v>8624</v>
      </c>
      <c r="E63" s="1035">
        <v>3</v>
      </c>
      <c r="F63" s="1036">
        <v>5</v>
      </c>
      <c r="G63" s="1035">
        <v>10</v>
      </c>
      <c r="H63" s="1035">
        <v>2</v>
      </c>
      <c r="I63" s="1035">
        <v>4</v>
      </c>
      <c r="J63" s="1035">
        <v>7</v>
      </c>
      <c r="K63" s="1035">
        <v>1</v>
      </c>
      <c r="L63" s="3830" t="str">
        <f t="shared" si="2"/>
        <v>Ataque IndirectoNv 1</v>
      </c>
      <c r="M63" s="219"/>
      <c r="N63" s="7164"/>
      <c r="O63" s="76" t="s">
        <v>8494</v>
      </c>
      <c r="P63" s="76" t="str">
        <f t="shared" si="7"/>
        <v>'Tablas Técnicas'!$D$439:$D$445</v>
      </c>
      <c r="Q63" s="70" t="s">
        <v>2661</v>
      </c>
      <c r="R63" s="70" t="s">
        <v>2972</v>
      </c>
      <c r="S63" s="78" t="s">
        <v>8495</v>
      </c>
      <c r="T63" s="76" t="s">
        <v>1464</v>
      </c>
      <c r="U63" s="76" t="s">
        <v>1461</v>
      </c>
      <c r="V63" s="76" t="s">
        <v>1553</v>
      </c>
      <c r="W63" s="76" t="s">
        <v>8409</v>
      </c>
      <c r="X63" s="1738" t="b">
        <f t="shared" si="5"/>
        <v>0</v>
      </c>
    </row>
    <row r="64" spans="1:24" ht="12" customHeight="1">
      <c r="A64" s="7172"/>
      <c r="B64" s="7167"/>
      <c r="C64" s="39" t="s">
        <v>8393</v>
      </c>
      <c r="D64" s="76" t="s">
        <v>8626</v>
      </c>
      <c r="E64" s="1035">
        <v>6</v>
      </c>
      <c r="F64" s="1036">
        <v>9</v>
      </c>
      <c r="G64" s="1035">
        <v>20</v>
      </c>
      <c r="H64" s="1035">
        <v>4</v>
      </c>
      <c r="I64" s="1035">
        <v>8</v>
      </c>
      <c r="J64" s="1035">
        <v>14</v>
      </c>
      <c r="K64" s="1035">
        <v>2</v>
      </c>
      <c r="L64" s="3830" t="str">
        <f t="shared" si="2"/>
        <v>Ataque IndirectoNv 2</v>
      </c>
      <c r="M64" s="219"/>
      <c r="N64" s="7164"/>
      <c r="O64" s="76" t="s">
        <v>2749</v>
      </c>
      <c r="P64" s="76"/>
      <c r="Q64" s="70"/>
      <c r="R64" s="70"/>
      <c r="S64" s="78"/>
      <c r="T64" s="76" t="s">
        <v>6506</v>
      </c>
      <c r="U64" s="76" t="s">
        <v>6506</v>
      </c>
      <c r="V64" s="76" t="s">
        <v>6506</v>
      </c>
      <c r="W64" s="76" t="s">
        <v>6506</v>
      </c>
      <c r="X64" s="1738" t="b">
        <f t="shared" si="5"/>
        <v>0</v>
      </c>
    </row>
    <row r="65" spans="1:24" ht="12" customHeight="1">
      <c r="A65" s="7172"/>
      <c r="B65" s="7167"/>
      <c r="C65" s="39" t="s">
        <v>8393</v>
      </c>
      <c r="D65" s="76" t="s">
        <v>8627</v>
      </c>
      <c r="E65" s="1035">
        <v>9</v>
      </c>
      <c r="F65" s="1036">
        <v>12</v>
      </c>
      <c r="G65" s="1035">
        <v>30</v>
      </c>
      <c r="H65" s="1035">
        <v>6</v>
      </c>
      <c r="I65" s="1035">
        <v>12</v>
      </c>
      <c r="J65" s="1035">
        <v>21</v>
      </c>
      <c r="K65" s="1035">
        <v>3</v>
      </c>
      <c r="L65" s="3830" t="str">
        <f t="shared" si="2"/>
        <v>Ataque IndirectoNv 3</v>
      </c>
      <c r="M65" s="219"/>
      <c r="N65" s="7164"/>
      <c r="O65" s="76" t="s">
        <v>2980</v>
      </c>
      <c r="P65" s="76" t="str">
        <f t="shared" ref="P65:P82" si="8">IF(ISNUMBER(FIND("&gt;&gt;",O65)),"","'Tablas Técnicas'!"&amp;ADDRESS(ROW($D$9)+MATCH(O65,$C$10:$C$644,0),COLUMN($D$9))&amp;":"&amp;ADDRESS(ROW($D$9)+MATCH(O65,$C$10:$C$644,0)+COUNTIF($C$10:$C$644,O65)-1,COLUMN($D$9)))</f>
        <v>'Tablas Técnicas'!$D$448:$D$448</v>
      </c>
      <c r="Q65" s="70" t="s">
        <v>2658</v>
      </c>
      <c r="R65" s="70" t="s">
        <v>1093</v>
      </c>
      <c r="S65" s="78" t="s">
        <v>8497</v>
      </c>
      <c r="T65" s="76" t="s">
        <v>1468</v>
      </c>
      <c r="U65" s="76" t="s">
        <v>1553</v>
      </c>
      <c r="V65" s="76" t="s">
        <v>1554</v>
      </c>
      <c r="W65" s="76" t="s">
        <v>8454</v>
      </c>
      <c r="X65" s="1738" t="b">
        <f t="shared" si="5"/>
        <v>0</v>
      </c>
    </row>
    <row r="66" spans="1:24" ht="12" customHeight="1">
      <c r="A66" s="7172"/>
      <c r="B66" s="7167"/>
      <c r="C66" s="39" t="s">
        <v>8501</v>
      </c>
      <c r="D66" s="76"/>
      <c r="E66" s="1035"/>
      <c r="F66" s="1036"/>
      <c r="G66" s="1035"/>
      <c r="H66" s="1035"/>
      <c r="I66" s="1035"/>
      <c r="J66" s="1035"/>
      <c r="K66" s="1035"/>
      <c r="L66" s="3830" t="str">
        <f t="shared" si="2"/>
        <v>&gt; CAMUFLAR ATAQUE</v>
      </c>
      <c r="M66" s="219"/>
      <c r="N66" s="7164"/>
      <c r="O66" s="76" t="s">
        <v>8498</v>
      </c>
      <c r="P66" s="76" t="str">
        <f t="shared" si="8"/>
        <v>'Tablas Técnicas'!$D$450:$D$455</v>
      </c>
      <c r="Q66" s="70" t="s">
        <v>2661</v>
      </c>
      <c r="R66" s="70" t="s">
        <v>1093</v>
      </c>
      <c r="S66" s="78" t="s">
        <v>8497</v>
      </c>
      <c r="T66" s="76"/>
      <c r="U66" s="76" t="s">
        <v>6506</v>
      </c>
      <c r="V66" s="76" t="s">
        <v>6506</v>
      </c>
      <c r="W66" s="76" t="s">
        <v>6506</v>
      </c>
      <c r="X66" s="1738" t="b">
        <f t="shared" si="5"/>
        <v>0</v>
      </c>
    </row>
    <row r="67" spans="1:24" ht="12" customHeight="1">
      <c r="A67" s="7172"/>
      <c r="B67" s="7167"/>
      <c r="C67" s="39" t="s">
        <v>8397</v>
      </c>
      <c r="D67" s="76" t="s">
        <v>8426</v>
      </c>
      <c r="E67" s="1035">
        <v>1</v>
      </c>
      <c r="F67" s="1036">
        <v>2</v>
      </c>
      <c r="G67" s="1035">
        <v>5</v>
      </c>
      <c r="H67" s="1035">
        <v>1</v>
      </c>
      <c r="I67" s="1035">
        <v>2</v>
      </c>
      <c r="J67" s="1035">
        <v>4</v>
      </c>
      <c r="K67" s="1035">
        <v>1</v>
      </c>
      <c r="L67" s="3830" t="str">
        <f t="shared" si="2"/>
        <v>Camuflar AtaqueMedia (80)</v>
      </c>
      <c r="M67" s="219"/>
      <c r="N67" s="7164"/>
      <c r="O67" s="76" t="s">
        <v>8499</v>
      </c>
      <c r="P67" s="76" t="str">
        <f t="shared" si="8"/>
        <v>'Tablas Técnicas'!$D$457:$D$466</v>
      </c>
      <c r="Q67" s="70" t="s">
        <v>2661</v>
      </c>
      <c r="R67" s="70" t="s">
        <v>2972</v>
      </c>
      <c r="S67" s="78" t="s">
        <v>8500</v>
      </c>
      <c r="T67" s="76" t="s">
        <v>1553</v>
      </c>
      <c r="U67" s="76" t="s">
        <v>1554</v>
      </c>
      <c r="V67" s="76" t="s">
        <v>1558</v>
      </c>
      <c r="W67" s="76" t="s">
        <v>8384</v>
      </c>
      <c r="X67" s="1738" t="b">
        <f t="shared" si="5"/>
        <v>0</v>
      </c>
    </row>
    <row r="68" spans="1:24" ht="12" customHeight="1">
      <c r="A68" s="7172"/>
      <c r="B68" s="7167"/>
      <c r="C68" s="39" t="s">
        <v>8397</v>
      </c>
      <c r="D68" s="76" t="s">
        <v>8427</v>
      </c>
      <c r="E68" s="1035">
        <v>2</v>
      </c>
      <c r="F68" s="1036">
        <v>4</v>
      </c>
      <c r="G68" s="1035">
        <v>5</v>
      </c>
      <c r="H68" s="1035">
        <v>1</v>
      </c>
      <c r="I68" s="1035">
        <v>2</v>
      </c>
      <c r="J68" s="1035">
        <v>4</v>
      </c>
      <c r="K68" s="1035">
        <v>1</v>
      </c>
      <c r="L68" s="3830" t="str">
        <f t="shared" si="2"/>
        <v>Camuflar AtaqueDifícil (120)</v>
      </c>
      <c r="M68" s="219"/>
      <c r="N68" s="7164"/>
      <c r="O68" s="76" t="s">
        <v>2986</v>
      </c>
      <c r="P68" s="76" t="str">
        <f t="shared" si="8"/>
        <v>'Tablas Técnicas'!$D$468:$D$468</v>
      </c>
      <c r="Q68" s="70" t="s">
        <v>2658</v>
      </c>
      <c r="R68" s="70" t="s">
        <v>1093</v>
      </c>
      <c r="S68" s="78" t="s">
        <v>8497</v>
      </c>
      <c r="T68" s="76" t="s">
        <v>1553</v>
      </c>
      <c r="U68" s="76" t="s">
        <v>1554</v>
      </c>
      <c r="V68" s="76" t="s">
        <v>6506</v>
      </c>
      <c r="W68" s="76" t="s">
        <v>8512</v>
      </c>
      <c r="X68" s="1738" t="b">
        <f t="shared" si="5"/>
        <v>0</v>
      </c>
    </row>
    <row r="69" spans="1:24" ht="12" customHeight="1">
      <c r="A69" s="7172"/>
      <c r="B69" s="7167"/>
      <c r="C69" s="39" t="s">
        <v>8397</v>
      </c>
      <c r="D69" s="76" t="s">
        <v>8430</v>
      </c>
      <c r="E69" s="1035">
        <v>3</v>
      </c>
      <c r="F69" s="1036">
        <v>5</v>
      </c>
      <c r="G69" s="1035">
        <v>5</v>
      </c>
      <c r="H69" s="1035">
        <v>1</v>
      </c>
      <c r="I69" s="1035">
        <v>2</v>
      </c>
      <c r="J69" s="1035">
        <v>4</v>
      </c>
      <c r="K69" s="1035">
        <v>1</v>
      </c>
      <c r="L69" s="3830" t="str">
        <f t="shared" si="2"/>
        <v>Camuflar AtaqueMuy Difícil (140)</v>
      </c>
      <c r="M69" s="219"/>
      <c r="N69" s="7164"/>
      <c r="O69" s="76" t="s">
        <v>8502</v>
      </c>
      <c r="P69" s="76" t="str">
        <f t="shared" si="8"/>
        <v>'Tablas Técnicas'!$D$470:$D$475</v>
      </c>
      <c r="Q69" s="70" t="s">
        <v>2658</v>
      </c>
      <c r="R69" s="70" t="s">
        <v>1424</v>
      </c>
      <c r="S69" s="78" t="s">
        <v>8503</v>
      </c>
      <c r="T69" s="76" t="s">
        <v>1464</v>
      </c>
      <c r="U69" s="76" t="s">
        <v>1461</v>
      </c>
      <c r="V69" s="76" t="s">
        <v>1558</v>
      </c>
      <c r="W69" s="76" t="s">
        <v>8387</v>
      </c>
      <c r="X69" s="1738" t="b">
        <f t="shared" si="5"/>
        <v>0</v>
      </c>
    </row>
    <row r="70" spans="1:24" ht="12" customHeight="1">
      <c r="A70" s="7172"/>
      <c r="B70" s="7167"/>
      <c r="C70" s="3831" t="s">
        <v>8397</v>
      </c>
      <c r="D70" s="3832" t="s">
        <v>8432</v>
      </c>
      <c r="E70" s="3833">
        <v>5</v>
      </c>
      <c r="F70" s="3834">
        <v>8</v>
      </c>
      <c r="G70" s="3833">
        <v>10</v>
      </c>
      <c r="H70" s="3833">
        <v>2</v>
      </c>
      <c r="I70" s="3833">
        <v>4</v>
      </c>
      <c r="J70" s="3833">
        <v>7</v>
      </c>
      <c r="K70" s="3833">
        <v>2</v>
      </c>
      <c r="L70" s="3835" t="str">
        <f t="shared" si="2"/>
        <v>Camuflar AtaqueAbsurdo (180)</v>
      </c>
      <c r="M70" s="219"/>
      <c r="N70" s="7164"/>
      <c r="O70" s="76" t="s">
        <v>2761</v>
      </c>
      <c r="P70" s="76" t="str">
        <f t="shared" si="8"/>
        <v>'Tablas Técnicas'!$D$477:$D$486</v>
      </c>
      <c r="Q70" s="70" t="s">
        <v>2658</v>
      </c>
      <c r="R70" s="70" t="s">
        <v>1093</v>
      </c>
      <c r="S70" s="78" t="s">
        <v>8504</v>
      </c>
      <c r="T70" s="76" t="s">
        <v>1558</v>
      </c>
      <c r="U70" s="76" t="s">
        <v>6506</v>
      </c>
      <c r="V70" s="76" t="s">
        <v>6506</v>
      </c>
      <c r="W70" s="76" t="s">
        <v>1558</v>
      </c>
      <c r="X70" s="1738" t="b">
        <f t="shared" si="5"/>
        <v>0</v>
      </c>
    </row>
    <row r="71" spans="1:24" ht="12" customHeight="1">
      <c r="A71" s="7172"/>
      <c r="B71" s="7167"/>
      <c r="C71" s="3831" t="s">
        <v>8397</v>
      </c>
      <c r="D71" s="3832" t="s">
        <v>8435</v>
      </c>
      <c r="E71" s="3833">
        <v>6</v>
      </c>
      <c r="F71" s="3834">
        <v>9</v>
      </c>
      <c r="G71" s="3833">
        <v>10</v>
      </c>
      <c r="H71" s="3833">
        <v>3</v>
      </c>
      <c r="I71" s="3833">
        <v>6</v>
      </c>
      <c r="J71" s="3833">
        <v>11</v>
      </c>
      <c r="K71" s="3833">
        <v>2</v>
      </c>
      <c r="L71" s="3835" t="str">
        <f t="shared" si="2"/>
        <v>Camuflar AtaqueCasi Imposible (240)</v>
      </c>
      <c r="M71" s="219"/>
      <c r="N71" s="7164"/>
      <c r="O71" s="76" t="s">
        <v>2988</v>
      </c>
      <c r="P71" s="76" t="str">
        <f t="shared" si="8"/>
        <v>'Tablas Técnicas'!$D$488:$D$488</v>
      </c>
      <c r="Q71" s="70" t="s">
        <v>2658</v>
      </c>
      <c r="R71" s="70" t="s">
        <v>1093</v>
      </c>
      <c r="S71" s="78" t="s">
        <v>8505</v>
      </c>
      <c r="T71" s="76" t="s">
        <v>1464</v>
      </c>
      <c r="U71" s="76" t="s">
        <v>1553</v>
      </c>
      <c r="V71" s="76" t="s">
        <v>1558</v>
      </c>
      <c r="W71" s="76" t="s">
        <v>8401</v>
      </c>
      <c r="X71" s="1738" t="b">
        <f t="shared" si="5"/>
        <v>0</v>
      </c>
    </row>
    <row r="72" spans="1:24" ht="12" customHeight="1">
      <c r="A72" s="7172"/>
      <c r="B72" s="7167"/>
      <c r="C72" s="3831" t="s">
        <v>8397</v>
      </c>
      <c r="D72" s="3832" t="s">
        <v>8438</v>
      </c>
      <c r="E72" s="3833">
        <v>7</v>
      </c>
      <c r="F72" s="3834">
        <v>10</v>
      </c>
      <c r="G72" s="3833">
        <v>15</v>
      </c>
      <c r="H72" s="3833">
        <v>4</v>
      </c>
      <c r="I72" s="3833">
        <v>8</v>
      </c>
      <c r="J72" s="3833">
        <v>14</v>
      </c>
      <c r="K72" s="3833">
        <v>2</v>
      </c>
      <c r="L72" s="3835" t="str">
        <f t="shared" si="2"/>
        <v>Camuflar AtaqueImposible (280)</v>
      </c>
      <c r="M72" s="219"/>
      <c r="N72" s="7164"/>
      <c r="O72" s="76" t="s">
        <v>1540</v>
      </c>
      <c r="P72" s="76" t="str">
        <f t="shared" si="8"/>
        <v>'Tablas Técnicas'!$D$490:$D$501</v>
      </c>
      <c r="Q72" s="70" t="s">
        <v>2661</v>
      </c>
      <c r="R72" s="70" t="s">
        <v>1424</v>
      </c>
      <c r="S72" s="78" t="s">
        <v>8506</v>
      </c>
      <c r="T72" s="76" t="s">
        <v>1558</v>
      </c>
      <c r="U72" s="76" t="s">
        <v>6506</v>
      </c>
      <c r="V72" s="76" t="s">
        <v>6506</v>
      </c>
      <c r="W72" s="76" t="s">
        <v>1558</v>
      </c>
      <c r="X72" s="1738" t="b">
        <f t="shared" si="5"/>
        <v>0</v>
      </c>
    </row>
    <row r="73" spans="1:24" ht="12" customHeight="1">
      <c r="A73" s="7172"/>
      <c r="B73" s="7167"/>
      <c r="C73" s="3831" t="s">
        <v>8397</v>
      </c>
      <c r="D73" s="3832" t="s">
        <v>8439</v>
      </c>
      <c r="E73" s="3833">
        <v>8</v>
      </c>
      <c r="F73" s="3834">
        <v>11</v>
      </c>
      <c r="G73" s="3833">
        <v>20</v>
      </c>
      <c r="H73" s="3833">
        <v>5</v>
      </c>
      <c r="I73" s="3833">
        <v>10</v>
      </c>
      <c r="J73" s="3833">
        <v>18</v>
      </c>
      <c r="K73" s="3833">
        <v>3</v>
      </c>
      <c r="L73" s="3835" t="str">
        <f t="shared" si="2"/>
        <v>Camuflar AtaqueInhumano (320)</v>
      </c>
      <c r="M73" s="219"/>
      <c r="N73" s="7164"/>
      <c r="O73" s="76" t="s">
        <v>2768</v>
      </c>
      <c r="P73" s="76" t="str">
        <f t="shared" si="8"/>
        <v>'Tablas Técnicas'!$D$503:$D$522</v>
      </c>
      <c r="Q73" s="70" t="s">
        <v>2661</v>
      </c>
      <c r="R73" s="70" t="s">
        <v>2972</v>
      </c>
      <c r="S73" s="78" t="s">
        <v>8507</v>
      </c>
      <c r="T73" s="76" t="s">
        <v>1464</v>
      </c>
      <c r="U73" s="76" t="s">
        <v>1554</v>
      </c>
      <c r="V73" s="76" t="s">
        <v>6506</v>
      </c>
      <c r="W73" s="76" t="s">
        <v>9623</v>
      </c>
      <c r="X73" s="1738" t="b">
        <f t="shared" si="5"/>
        <v>0</v>
      </c>
    </row>
    <row r="74" spans="1:24" ht="12" customHeight="1">
      <c r="A74" s="7172"/>
      <c r="B74" s="7167"/>
      <c r="C74" s="3831" t="s">
        <v>8397</v>
      </c>
      <c r="D74" s="3832" t="s">
        <v>8441</v>
      </c>
      <c r="E74" s="3833">
        <v>10</v>
      </c>
      <c r="F74" s="3834">
        <v>13</v>
      </c>
      <c r="G74" s="3833">
        <v>25</v>
      </c>
      <c r="H74" s="3833">
        <v>6</v>
      </c>
      <c r="I74" s="3833">
        <v>12</v>
      </c>
      <c r="J74" s="3833">
        <v>21</v>
      </c>
      <c r="K74" s="3833">
        <v>3</v>
      </c>
      <c r="L74" s="3835" t="str">
        <f t="shared" si="2"/>
        <v>Camuflar AtaqueZen (440)</v>
      </c>
      <c r="M74" s="219"/>
      <c r="N74" s="7164"/>
      <c r="O74" s="76" t="s">
        <v>8508</v>
      </c>
      <c r="P74" s="76" t="str">
        <f t="shared" si="8"/>
        <v>'Tablas Técnicas'!$D$524:$D$536</v>
      </c>
      <c r="Q74" s="70" t="s">
        <v>2661</v>
      </c>
      <c r="R74" s="70" t="s">
        <v>1424</v>
      </c>
      <c r="S74" s="78" t="s">
        <v>8509</v>
      </c>
      <c r="T74" s="76" t="s">
        <v>1464</v>
      </c>
      <c r="U74" s="76" t="s">
        <v>1553</v>
      </c>
      <c r="V74" s="76" t="s">
        <v>6506</v>
      </c>
      <c r="W74" s="76" t="s">
        <v>9584</v>
      </c>
      <c r="X74" s="1738" t="b">
        <f t="shared" ref="X74:X82" si="9">IFERROR(IF(VLOOKUP(T74,$O$100:$P$105,2,0),TRUE,IF(VLOOKUP(U74,$O$100:$P$105,2,0),TRUE,IF(VLOOKUP(V74,$O$100:$P$105,2,0),TRUE,FALSE))),FALSE)</f>
        <v>0</v>
      </c>
    </row>
    <row r="75" spans="1:24" ht="12" customHeight="1">
      <c r="A75" s="7172"/>
      <c r="B75" s="7167"/>
      <c r="C75" s="39" t="s">
        <v>2664</v>
      </c>
      <c r="D75" s="76"/>
      <c r="E75" s="1035"/>
      <c r="F75" s="1036"/>
      <c r="G75" s="1035"/>
      <c r="H75" s="1035"/>
      <c r="I75" s="1035"/>
      <c r="J75" s="1035"/>
      <c r="K75" s="1035"/>
      <c r="L75" s="3830" t="str">
        <f t="shared" ref="L75:L138" si="10">C75&amp;D75</f>
        <v>&gt;&gt;EFECTOS DEFENSIVOS</v>
      </c>
      <c r="M75" s="219"/>
      <c r="N75" s="7164"/>
      <c r="O75" s="76" t="s">
        <v>8510</v>
      </c>
      <c r="P75" s="76" t="str">
        <f t="shared" si="8"/>
        <v>'Tablas Técnicas'!$D$538:$D$593</v>
      </c>
      <c r="Q75" s="70" t="s">
        <v>2658</v>
      </c>
      <c r="R75" s="70" t="s">
        <v>1093</v>
      </c>
      <c r="S75" s="78" t="s">
        <v>8511</v>
      </c>
      <c r="T75" s="76" t="s">
        <v>1553</v>
      </c>
      <c r="U75" s="76" t="s">
        <v>1554</v>
      </c>
      <c r="V75" s="76" t="s">
        <v>6506</v>
      </c>
      <c r="W75" s="76" t="s">
        <v>8512</v>
      </c>
      <c r="X75" s="1738" t="b">
        <f t="shared" si="9"/>
        <v>0</v>
      </c>
    </row>
    <row r="76" spans="1:24" ht="12" customHeight="1">
      <c r="A76" s="7172"/>
      <c r="B76" s="7167"/>
      <c r="C76" s="39" t="s">
        <v>8514</v>
      </c>
      <c r="D76" s="76"/>
      <c r="E76" s="1035"/>
      <c r="F76" s="1036"/>
      <c r="G76" s="1035"/>
      <c r="H76" s="1035"/>
      <c r="I76" s="1035"/>
      <c r="J76" s="1035"/>
      <c r="K76" s="1035"/>
      <c r="L76" s="3830" t="str">
        <f t="shared" si="10"/>
        <v>&gt; HABILIDAD DE PARADA</v>
      </c>
      <c r="M76" s="219"/>
      <c r="N76" s="7164"/>
      <c r="O76" s="76" t="s">
        <v>2774</v>
      </c>
      <c r="P76" s="76" t="str">
        <f t="shared" si="8"/>
        <v>'Tablas Técnicas'!$D$595:$D$604</v>
      </c>
      <c r="Q76" s="70" t="s">
        <v>2658</v>
      </c>
      <c r="R76" s="70" t="s">
        <v>1093</v>
      </c>
      <c r="S76" s="78" t="s">
        <v>8422</v>
      </c>
      <c r="T76" s="76" t="s">
        <v>1468</v>
      </c>
      <c r="U76" s="76" t="s">
        <v>1558</v>
      </c>
      <c r="V76" s="76" t="s">
        <v>6506</v>
      </c>
      <c r="W76" s="76" t="s">
        <v>8874</v>
      </c>
      <c r="X76" s="1738" t="b">
        <f t="shared" si="9"/>
        <v>0</v>
      </c>
    </row>
    <row r="77" spans="1:24" ht="12" customHeight="1">
      <c r="A77" s="7172"/>
      <c r="B77" s="7167"/>
      <c r="C77" s="39" t="s">
        <v>8517</v>
      </c>
      <c r="D77" s="76" t="s">
        <v>7056</v>
      </c>
      <c r="E77" s="1035">
        <v>1</v>
      </c>
      <c r="F77" s="1036">
        <v>3</v>
      </c>
      <c r="G77" s="1035">
        <v>5</v>
      </c>
      <c r="H77" s="1035">
        <v>1</v>
      </c>
      <c r="I77" s="1035">
        <v>2</v>
      </c>
      <c r="J77" s="1035">
        <v>4</v>
      </c>
      <c r="K77" s="1035">
        <v>1</v>
      </c>
      <c r="L77" s="3830" t="str">
        <f t="shared" si="10"/>
        <v>Habilidad De Parada+10</v>
      </c>
      <c r="M77" s="219"/>
      <c r="N77" s="7164"/>
      <c r="O77" s="76" t="s">
        <v>2778</v>
      </c>
      <c r="P77" s="76" t="str">
        <f t="shared" si="8"/>
        <v>'Tablas Técnicas'!$D$606:$D$615</v>
      </c>
      <c r="Q77" s="70" t="s">
        <v>2658</v>
      </c>
      <c r="R77" s="70" t="s">
        <v>1093</v>
      </c>
      <c r="S77" s="78" t="s">
        <v>8513</v>
      </c>
      <c r="T77" s="76" t="s">
        <v>1464</v>
      </c>
      <c r="U77" s="76" t="s">
        <v>1461</v>
      </c>
      <c r="V77" s="76" t="s">
        <v>1553</v>
      </c>
      <c r="W77" s="76" t="s">
        <v>8409</v>
      </c>
      <c r="X77" s="1738" t="b">
        <f t="shared" si="9"/>
        <v>0</v>
      </c>
    </row>
    <row r="78" spans="1:24" ht="12" customHeight="1">
      <c r="A78" s="7172"/>
      <c r="B78" s="7167"/>
      <c r="C78" s="39" t="s">
        <v>8517</v>
      </c>
      <c r="D78" s="76" t="s">
        <v>7200</v>
      </c>
      <c r="E78" s="1035">
        <v>3</v>
      </c>
      <c r="F78" s="1036">
        <v>5</v>
      </c>
      <c r="G78" s="1035">
        <v>5</v>
      </c>
      <c r="H78" s="1035">
        <v>1</v>
      </c>
      <c r="I78" s="1035">
        <v>2</v>
      </c>
      <c r="J78" s="1035">
        <v>4</v>
      </c>
      <c r="K78" s="1035">
        <v>1</v>
      </c>
      <c r="L78" s="3830" t="str">
        <f t="shared" si="10"/>
        <v>Habilidad De Parada+25</v>
      </c>
      <c r="M78" s="219"/>
      <c r="N78" s="7164"/>
      <c r="O78" s="76" t="s">
        <v>2781</v>
      </c>
      <c r="P78" s="76" t="str">
        <f t="shared" si="8"/>
        <v>'Tablas Técnicas'!$D$617:$D$620</v>
      </c>
      <c r="Q78" s="70" t="s">
        <v>2661</v>
      </c>
      <c r="R78" s="70" t="s">
        <v>2972</v>
      </c>
      <c r="S78" s="78" t="s">
        <v>8515</v>
      </c>
      <c r="T78" s="76" t="s">
        <v>1464</v>
      </c>
      <c r="U78" s="76" t="s">
        <v>1553</v>
      </c>
      <c r="V78" s="76" t="s">
        <v>1554</v>
      </c>
      <c r="W78" s="76" t="s">
        <v>8516</v>
      </c>
      <c r="X78" s="1738" t="b">
        <f t="shared" si="9"/>
        <v>0</v>
      </c>
    </row>
    <row r="79" spans="1:24" ht="12" customHeight="1">
      <c r="A79" s="7172"/>
      <c r="B79" s="7167"/>
      <c r="C79" s="39" t="s">
        <v>8517</v>
      </c>
      <c r="D79" s="76" t="s">
        <v>7058</v>
      </c>
      <c r="E79" s="1035">
        <v>4</v>
      </c>
      <c r="F79" s="1036">
        <v>6</v>
      </c>
      <c r="G79" s="1035">
        <v>10</v>
      </c>
      <c r="H79" s="1035">
        <v>2</v>
      </c>
      <c r="I79" s="1035">
        <v>4</v>
      </c>
      <c r="J79" s="1035">
        <v>7</v>
      </c>
      <c r="K79" s="1035">
        <v>1</v>
      </c>
      <c r="L79" s="3830" t="str">
        <f t="shared" si="10"/>
        <v>Habilidad De Parada+40</v>
      </c>
      <c r="M79" s="219"/>
      <c r="N79" s="7164"/>
      <c r="O79" s="76" t="s">
        <v>2784</v>
      </c>
      <c r="P79" s="76" t="str">
        <f t="shared" si="8"/>
        <v>'Tablas Técnicas'!$D$622:$D$627</v>
      </c>
      <c r="Q79" s="70" t="s">
        <v>2658</v>
      </c>
      <c r="R79" s="70" t="s">
        <v>1093</v>
      </c>
      <c r="S79" s="78" t="s">
        <v>8497</v>
      </c>
      <c r="T79" s="76" t="s">
        <v>1461</v>
      </c>
      <c r="U79" s="76" t="s">
        <v>1553</v>
      </c>
      <c r="V79" s="76" t="s">
        <v>1554</v>
      </c>
      <c r="W79" s="76" t="s">
        <v>8414</v>
      </c>
      <c r="X79" s="1738" t="b">
        <f t="shared" si="9"/>
        <v>0</v>
      </c>
    </row>
    <row r="80" spans="1:24" ht="12" customHeight="1">
      <c r="A80" s="7172"/>
      <c r="B80" s="7167"/>
      <c r="C80" s="3831" t="s">
        <v>8517</v>
      </c>
      <c r="D80" s="3832" t="s">
        <v>7059</v>
      </c>
      <c r="E80" s="3833">
        <v>5</v>
      </c>
      <c r="F80" s="3834">
        <v>8</v>
      </c>
      <c r="G80" s="3833">
        <v>15</v>
      </c>
      <c r="H80" s="3833">
        <v>3</v>
      </c>
      <c r="I80" s="3833">
        <v>6</v>
      </c>
      <c r="J80" s="3833">
        <v>11</v>
      </c>
      <c r="K80" s="3833">
        <v>2</v>
      </c>
      <c r="L80" s="3835" t="str">
        <f t="shared" si="10"/>
        <v>Habilidad De Parada+50</v>
      </c>
      <c r="M80" s="219"/>
      <c r="N80" s="7164"/>
      <c r="O80" s="76" t="s">
        <v>8518</v>
      </c>
      <c r="P80" s="76" t="str">
        <f t="shared" si="8"/>
        <v>'Tablas Técnicas'!$D$629:$D$640</v>
      </c>
      <c r="Q80" s="70" t="s">
        <v>2658</v>
      </c>
      <c r="R80" s="70" t="s">
        <v>1093</v>
      </c>
      <c r="S80" s="78" t="s">
        <v>8519</v>
      </c>
      <c r="T80" s="76" t="s">
        <v>1468</v>
      </c>
      <c r="U80" s="76" t="s">
        <v>1558</v>
      </c>
      <c r="V80" s="76" t="s">
        <v>6506</v>
      </c>
      <c r="W80" s="76" t="s">
        <v>8874</v>
      </c>
      <c r="X80" s="1738" t="b">
        <f t="shared" si="9"/>
        <v>0</v>
      </c>
    </row>
    <row r="81" spans="1:24" ht="12" customHeight="1">
      <c r="A81" s="7172"/>
      <c r="B81" s="7167"/>
      <c r="C81" s="3831" t="s">
        <v>8517</v>
      </c>
      <c r="D81" s="3832" t="s">
        <v>8392</v>
      </c>
      <c r="E81" s="3833">
        <v>9</v>
      </c>
      <c r="F81" s="3834">
        <v>12</v>
      </c>
      <c r="G81" s="3833">
        <v>20</v>
      </c>
      <c r="H81" s="3833">
        <v>4</v>
      </c>
      <c r="I81" s="3833">
        <v>8</v>
      </c>
      <c r="J81" s="3833">
        <v>14</v>
      </c>
      <c r="K81" s="3833">
        <v>2</v>
      </c>
      <c r="L81" s="3835" t="str">
        <f t="shared" si="10"/>
        <v>Habilidad De Parada+75</v>
      </c>
      <c r="M81" s="219"/>
      <c r="N81" s="7164"/>
      <c r="O81" s="76" t="s">
        <v>8520</v>
      </c>
      <c r="P81" s="76" t="str">
        <f t="shared" si="8"/>
        <v>'Tablas Técnicas'!$D$642:$D$644</v>
      </c>
      <c r="Q81" s="70" t="s">
        <v>2661</v>
      </c>
      <c r="R81" s="70" t="s">
        <v>1093</v>
      </c>
      <c r="S81" s="78" t="s">
        <v>8519</v>
      </c>
      <c r="T81" s="76" t="s">
        <v>1468</v>
      </c>
      <c r="U81" s="76" t="s">
        <v>1558</v>
      </c>
      <c r="V81" s="76" t="s">
        <v>6506</v>
      </c>
      <c r="W81" s="76" t="s">
        <v>8874</v>
      </c>
      <c r="X81" s="1738" t="b">
        <f t="shared" si="9"/>
        <v>0</v>
      </c>
    </row>
    <row r="82" spans="1:24" ht="12" customHeight="1">
      <c r="A82" s="7172"/>
      <c r="B82" s="7167"/>
      <c r="C82" s="3831" t="s">
        <v>8517</v>
      </c>
      <c r="D82" s="3832" t="s">
        <v>8396</v>
      </c>
      <c r="E82" s="3833">
        <v>12</v>
      </c>
      <c r="F82" s="3834">
        <v>15</v>
      </c>
      <c r="G82" s="3833">
        <v>25</v>
      </c>
      <c r="H82" s="3833">
        <v>5</v>
      </c>
      <c r="I82" s="3833">
        <v>10</v>
      </c>
      <c r="J82" s="3833">
        <v>18</v>
      </c>
      <c r="K82" s="3833">
        <v>2</v>
      </c>
      <c r="L82" s="3835" t="str">
        <f t="shared" si="10"/>
        <v>Habilidad De Parada+90</v>
      </c>
      <c r="M82" s="219"/>
      <c r="N82" s="7164"/>
      <c r="O82" s="76" t="s">
        <v>3014</v>
      </c>
      <c r="P82" s="76" t="e">
        <f t="shared" si="8"/>
        <v>#N/A</v>
      </c>
      <c r="Q82" s="76" t="s">
        <v>2658</v>
      </c>
      <c r="R82" s="76" t="s">
        <v>1424</v>
      </c>
      <c r="S82" s="76" t="s">
        <v>8521</v>
      </c>
      <c r="T82" s="76" t="s">
        <v>1464</v>
      </c>
      <c r="U82" s="76" t="s">
        <v>1553</v>
      </c>
      <c r="V82" s="76" t="s">
        <v>1554</v>
      </c>
      <c r="W82" s="76" t="s">
        <v>8516</v>
      </c>
      <c r="X82" s="1738" t="b">
        <f t="shared" si="9"/>
        <v>0</v>
      </c>
    </row>
    <row r="83" spans="1:24" ht="12" customHeight="1">
      <c r="A83" s="7172"/>
      <c r="B83" s="7167"/>
      <c r="C83" s="3831" t="s">
        <v>8517</v>
      </c>
      <c r="D83" s="3832" t="s">
        <v>8399</v>
      </c>
      <c r="E83" s="3833">
        <v>14</v>
      </c>
      <c r="F83" s="3834">
        <v>18</v>
      </c>
      <c r="G83" s="3833">
        <v>30</v>
      </c>
      <c r="H83" s="3833">
        <v>8</v>
      </c>
      <c r="I83" s="3833">
        <v>16</v>
      </c>
      <c r="J83" s="3833">
        <v>28</v>
      </c>
      <c r="K83" s="3833">
        <v>2</v>
      </c>
      <c r="L83" s="3835" t="str">
        <f t="shared" si="10"/>
        <v>Habilidad De Parada+100</v>
      </c>
      <c r="M83" s="219"/>
      <c r="N83" s="7164"/>
      <c r="O83" s="76" t="s">
        <v>9123</v>
      </c>
      <c r="P83" s="76"/>
      <c r="Q83" s="76"/>
      <c r="R83" s="76"/>
      <c r="S83" s="76"/>
      <c r="T83" s="76"/>
      <c r="U83" s="76"/>
      <c r="V83" s="76"/>
      <c r="W83" s="76"/>
      <c r="X83" s="1738"/>
    </row>
    <row r="84" spans="1:24" ht="12" customHeight="1">
      <c r="A84" s="7172"/>
      <c r="B84" s="7167"/>
      <c r="C84" s="3831" t="s">
        <v>8517</v>
      </c>
      <c r="D84" s="3832" t="s">
        <v>8400</v>
      </c>
      <c r="E84" s="3833">
        <v>18</v>
      </c>
      <c r="F84" s="3834">
        <v>22</v>
      </c>
      <c r="G84" s="3833">
        <v>35</v>
      </c>
      <c r="H84" s="3833">
        <v>10</v>
      </c>
      <c r="I84" s="3833">
        <v>20</v>
      </c>
      <c r="J84" s="3833">
        <v>35</v>
      </c>
      <c r="K84" s="3833">
        <v>3</v>
      </c>
      <c r="L84" s="3835" t="str">
        <f t="shared" si="10"/>
        <v>Habilidad De Parada+125</v>
      </c>
      <c r="M84" s="219"/>
      <c r="N84" s="7164"/>
      <c r="O84" s="76" t="str">
        <f>IF(Personalización!AM48=0,"Efecto Personalizado #1",Personalización!AM48)</f>
        <v>Efecto Personalizado #1</v>
      </c>
      <c r="P84" s="76"/>
      <c r="Q84" s="76" t="str">
        <f>IF(Personalización!AN48=0,"",Personalización!AN48)</f>
        <v/>
      </c>
      <c r="R84" s="76" t="str">
        <f>IF(Personalización!AO48=0,"",Personalización!AO48)</f>
        <v/>
      </c>
      <c r="S84" s="76" t="str">
        <f>IF(Personalización!AP48=0,"",Personalización!AP48&amp;" ("&amp;Personalización!AQ48&amp;IF(Personalización!AR48=" ","",", "&amp;Personalización!AR48)&amp;IF(Personalización!AS48=" ","",", "&amp;Personalización!AS48)&amp;IF(Personalización!AT48=" ","",", "&amp;Personalización!AT48)&amp;")")</f>
        <v/>
      </c>
      <c r="T84" s="76" t="str">
        <f>IF(Personalización!BB48=0,"",Personalización!BB48)</f>
        <v/>
      </c>
      <c r="U84" s="76" t="str">
        <f>IF(Personalización!BC48=0,"",Personalización!BC48)</f>
        <v/>
      </c>
      <c r="V84" s="76" t="str">
        <f>IF(Personalización!BD48=0,"",Personalización!BD48)</f>
        <v/>
      </c>
      <c r="W84" s="76" t="str">
        <f>SUBSTITUTE(TRIM(T84&amp;" "&amp;U84&amp;" "&amp;V84)," ",", ")</f>
        <v/>
      </c>
      <c r="X84" s="1738" t="b">
        <f>IFERROR(IF(VLOOKUP(T84,$O$100:$P$105,2,0),TRUE,IF(VLOOKUP(U84,$O$100:$P$105,2,0),TRUE,IF(VLOOKUP(V84,$O$100:$P$105,2,0),TRUE,FALSE))),FALSE)</f>
        <v>0</v>
      </c>
    </row>
    <row r="85" spans="1:24" ht="12" customHeight="1">
      <c r="A85" s="7172"/>
      <c r="B85" s="7167"/>
      <c r="C85" s="3831" t="s">
        <v>8517</v>
      </c>
      <c r="D85" s="3832" t="s">
        <v>8402</v>
      </c>
      <c r="E85" s="3833">
        <v>22</v>
      </c>
      <c r="F85" s="3834">
        <v>26</v>
      </c>
      <c r="G85" s="3833">
        <v>40</v>
      </c>
      <c r="H85" s="3833">
        <v>12</v>
      </c>
      <c r="I85" s="3833">
        <v>24</v>
      </c>
      <c r="J85" s="3833">
        <v>42</v>
      </c>
      <c r="K85" s="3833">
        <v>3</v>
      </c>
      <c r="L85" s="3835" t="str">
        <f t="shared" si="10"/>
        <v>Habilidad De Parada+150</v>
      </c>
      <c r="M85" s="219"/>
      <c r="N85" s="7164"/>
      <c r="O85" s="76" t="str">
        <f>IF(Personalización!AM49=0,"Efecto Personalizado #2",Personalización!AM49)</f>
        <v>Efecto Personalizado #2</v>
      </c>
      <c r="P85" s="76"/>
      <c r="Q85" s="76" t="str">
        <f>IF(Personalización!AN49=0,"",Personalización!AN49)</f>
        <v/>
      </c>
      <c r="R85" s="76" t="str">
        <f>IF(Personalización!AO49=0,"",Personalización!AO49)</f>
        <v/>
      </c>
      <c r="S85" s="76" t="str">
        <f>IF(Personalización!AP49=0,"",Personalización!AP49&amp;" ("&amp;Personalización!AQ49&amp;IF(Personalización!AR49=" ","",", "&amp;Personalización!AR49)&amp;IF(Personalización!AS49=" ","",", "&amp;Personalización!AS49)&amp;IF(Personalización!AT49=" ","",", "&amp;Personalización!AT49)&amp;")")</f>
        <v/>
      </c>
      <c r="T85" s="76" t="str">
        <f>IF(Personalización!BB49=0,"",Personalización!BB49)</f>
        <v/>
      </c>
      <c r="U85" s="76" t="str">
        <f>IF(Personalización!BC49=0,"",Personalización!BC49)</f>
        <v/>
      </c>
      <c r="V85" s="76" t="str">
        <f>IF(Personalización!BD49=0,"",Personalización!BD49)</f>
        <v/>
      </c>
      <c r="W85" s="76" t="str">
        <f>SUBSTITUTE(TRIM(T85&amp;" "&amp;U85&amp;" "&amp;V85)," ",", ")</f>
        <v/>
      </c>
      <c r="X85" s="1738" t="b">
        <f>IFERROR(IF(VLOOKUP(T85,$O$100:$P$105,2,0),TRUE,IF(VLOOKUP(U85,$O$100:$P$105,2,0),TRUE,IF(VLOOKUP(V85,$O$100:$P$105,2,0),TRUE,FALSE))),FALSE)</f>
        <v>0</v>
      </c>
    </row>
    <row r="86" spans="1:24" ht="12" customHeight="1">
      <c r="A86" s="7172"/>
      <c r="B86" s="7167"/>
      <c r="C86" s="3831" t="s">
        <v>8517</v>
      </c>
      <c r="D86" s="3832" t="s">
        <v>8405</v>
      </c>
      <c r="E86" s="3833">
        <v>26</v>
      </c>
      <c r="F86" s="3834">
        <v>32</v>
      </c>
      <c r="G86" s="3833">
        <v>45</v>
      </c>
      <c r="H86" s="3833">
        <v>14</v>
      </c>
      <c r="I86" s="3833">
        <v>28</v>
      </c>
      <c r="J86" s="3833">
        <v>49</v>
      </c>
      <c r="K86" s="3833">
        <v>3</v>
      </c>
      <c r="L86" s="3835" t="str">
        <f t="shared" si="10"/>
        <v>Habilidad De Parada+175</v>
      </c>
      <c r="M86" s="219"/>
      <c r="N86" s="7164"/>
      <c r="O86" s="76" t="str">
        <f>IF(Personalización!AM50=0,"Efecto Personalizado #3",Personalización!AM50)</f>
        <v>Efecto Personalizado #3</v>
      </c>
      <c r="P86" s="76"/>
      <c r="Q86" s="76" t="str">
        <f>IF(Personalización!AN50=0,"",Personalización!AN50)</f>
        <v/>
      </c>
      <c r="R86" s="76" t="str">
        <f>IF(Personalización!AO50=0,"",Personalización!AO50)</f>
        <v/>
      </c>
      <c r="S86" s="76" t="str">
        <f>IF(Personalización!AP50=0,"",Personalización!AP50&amp;" ("&amp;Personalización!AQ50&amp;IF(Personalización!AR50=" ","",", "&amp;Personalización!AR50)&amp;IF(Personalización!AS50=" ","",", "&amp;Personalización!AS50)&amp;IF(Personalización!AT50=" ","",", "&amp;Personalización!AT50)&amp;")")</f>
        <v/>
      </c>
      <c r="T86" s="76" t="str">
        <f>IF(Personalización!BB50=0,"",Personalización!BB50)</f>
        <v/>
      </c>
      <c r="U86" s="76" t="str">
        <f>IF(Personalización!BC50=0,"",Personalización!BC50)</f>
        <v/>
      </c>
      <c r="V86" s="76" t="str">
        <f>IF(Personalización!BD50=0,"",Personalización!BD50)</f>
        <v/>
      </c>
      <c r="W86" s="76" t="str">
        <f>SUBSTITUTE(TRIM(T86&amp;" "&amp;U86&amp;" "&amp;V86)," ",", ")</f>
        <v/>
      </c>
      <c r="X86" s="1738" t="b">
        <f>IFERROR(IF(VLOOKUP(T86,$O$100:$P$105,2,0),TRUE,IF(VLOOKUP(U86,$O$100:$P$105,2,0),TRUE,IF(VLOOKUP(V86,$O$100:$P$105,2,0),TRUE,FALSE))),FALSE)</f>
        <v>0</v>
      </c>
    </row>
    <row r="87" spans="1:24" ht="12" customHeight="1">
      <c r="A87" s="7172"/>
      <c r="B87" s="7167"/>
      <c r="C87" s="3831" t="s">
        <v>8517</v>
      </c>
      <c r="D87" s="3832" t="s">
        <v>8407</v>
      </c>
      <c r="E87" s="3833">
        <v>30</v>
      </c>
      <c r="F87" s="3834">
        <v>36</v>
      </c>
      <c r="G87" s="3833">
        <v>50</v>
      </c>
      <c r="H87" s="3833">
        <v>16</v>
      </c>
      <c r="I87" s="3833">
        <v>32</v>
      </c>
      <c r="J87" s="3833">
        <v>56</v>
      </c>
      <c r="K87" s="3833">
        <v>3</v>
      </c>
      <c r="L87" s="3835" t="str">
        <f t="shared" si="10"/>
        <v>Habilidad De Parada+200</v>
      </c>
      <c r="M87" s="219"/>
      <c r="N87" s="7164"/>
      <c r="O87" s="76" t="str">
        <f>IF(Personalización!AM51=0,"Efecto Personalizado #4",Personalización!AM51)</f>
        <v>Efecto Personalizado #4</v>
      </c>
      <c r="P87" s="76"/>
      <c r="Q87" s="76" t="str">
        <f>IF(Personalización!AN51=0,"",Personalización!AN51)</f>
        <v/>
      </c>
      <c r="R87" s="76" t="str">
        <f>IF(Personalización!AO51=0,"",Personalización!AO51)</f>
        <v/>
      </c>
      <c r="S87" s="76" t="str">
        <f>IF(Personalización!AP51=0,"",Personalización!AP51&amp;" ("&amp;Personalización!AQ51&amp;IF(Personalización!AR51=" ","",", "&amp;Personalización!AR51)&amp;IF(Personalización!AS51=" ","",", "&amp;Personalización!AS51)&amp;IF(Personalización!AT51=" ","",", "&amp;Personalización!AT51)&amp;")")</f>
        <v/>
      </c>
      <c r="T87" s="76" t="str">
        <f>IF(Personalización!BB51=0,"",Personalización!BB51)</f>
        <v/>
      </c>
      <c r="U87" s="76" t="str">
        <f>IF(Personalización!BC51=0,"",Personalización!BC51)</f>
        <v/>
      </c>
      <c r="V87" s="76" t="str">
        <f>IF(Personalización!BD51=0,"",Personalización!BD51)</f>
        <v/>
      </c>
      <c r="W87" s="76" t="str">
        <f>SUBSTITUTE(TRIM(T87&amp;" "&amp;U87&amp;" "&amp;V87)," ",", ")</f>
        <v/>
      </c>
      <c r="X87" s="1738" t="b">
        <f>IFERROR(IF(VLOOKUP(T87,$O$100:$P$105,2,0),TRUE,IF(VLOOKUP(U87,$O$100:$P$105,2,0),TRUE,IF(VLOOKUP(V87,$O$100:$P$105,2,0),TRUE,FALSE))),FALSE)</f>
        <v>0</v>
      </c>
    </row>
    <row r="88" spans="1:24" ht="12" customHeight="1" thickBot="1">
      <c r="A88" s="7172"/>
      <c r="B88" s="7167"/>
      <c r="C88" s="39" t="s">
        <v>8525</v>
      </c>
      <c r="D88" s="76"/>
      <c r="E88" s="1035"/>
      <c r="F88" s="1036"/>
      <c r="G88" s="1035"/>
      <c r="H88" s="1035"/>
      <c r="I88" s="1035"/>
      <c r="J88" s="1035"/>
      <c r="K88" s="1035"/>
      <c r="L88" s="3830" t="str">
        <f t="shared" si="10"/>
        <v>&gt; HABILIDAD DE PARADA COMPLETA</v>
      </c>
      <c r="M88" s="219"/>
      <c r="N88" s="7165"/>
      <c r="O88" s="836" t="str">
        <f>IF(Personalización!AM52=0,"Efecto Personalizado #5",Personalización!AM52)</f>
        <v>Efecto Personalizado #5</v>
      </c>
      <c r="P88" s="836"/>
      <c r="Q88" s="836" t="str">
        <f>IF(Personalización!AN52=0,"",Personalización!AN52)</f>
        <v/>
      </c>
      <c r="R88" s="836" t="str">
        <f>IF(Personalización!AO52=0,"",Personalización!AO52)</f>
        <v/>
      </c>
      <c r="S88" s="836" t="str">
        <f>IF(Personalización!AP52=0,"",Personalización!AP52&amp;" ("&amp;Personalización!AQ52&amp;IF(Personalización!AR52=" ","",", "&amp;Personalización!AR52)&amp;IF(Personalización!AS52=" ","",", "&amp;Personalización!AS52)&amp;IF(Personalización!AT52=" ","",", "&amp;Personalización!AT52)&amp;")")</f>
        <v/>
      </c>
      <c r="T88" s="836" t="str">
        <f>IF(Personalización!BB52=0,"",Personalización!BB52)</f>
        <v/>
      </c>
      <c r="U88" s="836" t="str">
        <f>IF(Personalización!BC52=0,"",Personalización!BC52)</f>
        <v/>
      </c>
      <c r="V88" s="836" t="str">
        <f>IF(Personalización!BD52=0,"",Personalización!BD52)</f>
        <v/>
      </c>
      <c r="W88" s="836" t="str">
        <f>SUBSTITUTE(TRIM(T88&amp;" "&amp;U88&amp;" "&amp;V88)," ",", ")</f>
        <v/>
      </c>
      <c r="X88" s="1742" t="b">
        <f>IFERROR(IF(VLOOKUP(T88,$O$100:$P$105,2,0),TRUE,IF(VLOOKUP(U88,$O$100:$P$105,2,0),TRUE,IF(VLOOKUP(V88,$O$100:$P$105,2,0),TRUE,FALSE))),FALSE)</f>
        <v>0</v>
      </c>
    </row>
    <row r="89" spans="1:24" ht="12" customHeight="1">
      <c r="A89" s="7172"/>
      <c r="B89" s="7167"/>
      <c r="C89" s="39" t="s">
        <v>8527</v>
      </c>
      <c r="D89" s="76" t="s">
        <v>7056</v>
      </c>
      <c r="E89" s="1035">
        <v>4</v>
      </c>
      <c r="F89" s="1036">
        <v>6</v>
      </c>
      <c r="G89" s="1035">
        <v>10</v>
      </c>
      <c r="H89" s="1035">
        <v>2</v>
      </c>
      <c r="I89" s="1035">
        <v>4</v>
      </c>
      <c r="J89" s="1035">
        <v>7</v>
      </c>
      <c r="K89" s="1035">
        <v>1</v>
      </c>
      <c r="L89" s="3830" t="str">
        <f t="shared" si="10"/>
        <v>Habilidad De Parada Completa+10</v>
      </c>
      <c r="M89" s="219"/>
    </row>
    <row r="90" spans="1:24" ht="12" customHeight="1" thickBot="1">
      <c r="A90" s="7172"/>
      <c r="B90" s="7167"/>
      <c r="C90" s="39" t="s">
        <v>8527</v>
      </c>
      <c r="D90" s="76" t="s">
        <v>7200</v>
      </c>
      <c r="E90" s="1035">
        <v>6</v>
      </c>
      <c r="F90" s="1036">
        <v>9</v>
      </c>
      <c r="G90" s="1035">
        <v>15</v>
      </c>
      <c r="H90" s="1035">
        <v>4</v>
      </c>
      <c r="I90" s="1035">
        <v>8</v>
      </c>
      <c r="J90" s="1035">
        <v>14</v>
      </c>
      <c r="K90" s="1035">
        <v>1</v>
      </c>
      <c r="L90" s="3830" t="str">
        <f t="shared" si="10"/>
        <v>Habilidad De Parada Completa+25</v>
      </c>
      <c r="M90" s="219"/>
    </row>
    <row r="91" spans="1:24" ht="12" customHeight="1">
      <c r="A91" s="7172"/>
      <c r="B91" s="7167"/>
      <c r="C91" s="39" t="s">
        <v>8527</v>
      </c>
      <c r="D91" s="76" t="s">
        <v>7058</v>
      </c>
      <c r="E91" s="1035">
        <v>9</v>
      </c>
      <c r="F91" s="1036">
        <v>12</v>
      </c>
      <c r="G91" s="1035">
        <v>20</v>
      </c>
      <c r="H91" s="1035">
        <v>6</v>
      </c>
      <c r="I91" s="1035">
        <v>12</v>
      </c>
      <c r="J91" s="1035">
        <v>21</v>
      </c>
      <c r="K91" s="1035">
        <v>1</v>
      </c>
      <c r="L91" s="3830" t="str">
        <f t="shared" si="10"/>
        <v>Habilidad De Parada Completa+40</v>
      </c>
      <c r="M91" s="219"/>
      <c r="O91" s="1739" t="s">
        <v>8403</v>
      </c>
      <c r="P91" s="1739" t="s">
        <v>8841</v>
      </c>
    </row>
    <row r="92" spans="1:24" ht="12" customHeight="1">
      <c r="A92" s="7172"/>
      <c r="B92" s="7167"/>
      <c r="C92" s="3831" t="s">
        <v>8527</v>
      </c>
      <c r="D92" s="3832" t="s">
        <v>7059</v>
      </c>
      <c r="E92" s="3833">
        <v>12</v>
      </c>
      <c r="F92" s="3834">
        <v>15</v>
      </c>
      <c r="G92" s="3833">
        <v>35</v>
      </c>
      <c r="H92" s="3833">
        <v>9</v>
      </c>
      <c r="I92" s="3833">
        <v>18</v>
      </c>
      <c r="J92" s="3833">
        <v>32</v>
      </c>
      <c r="K92" s="3833">
        <v>2</v>
      </c>
      <c r="L92" s="3835" t="str">
        <f t="shared" si="10"/>
        <v>Habilidad De Parada Completa+50</v>
      </c>
      <c r="M92" s="219"/>
      <c r="O92" s="1740">
        <v>0</v>
      </c>
      <c r="P92" s="1740">
        <v>0</v>
      </c>
    </row>
    <row r="93" spans="1:24" ht="12" customHeight="1">
      <c r="A93" s="7172"/>
      <c r="B93" s="7167"/>
      <c r="C93" s="3831" t="s">
        <v>8527</v>
      </c>
      <c r="D93" s="3832" t="s">
        <v>8392</v>
      </c>
      <c r="E93" s="3833">
        <v>18</v>
      </c>
      <c r="F93" s="3834">
        <v>22</v>
      </c>
      <c r="G93" s="3833">
        <v>50</v>
      </c>
      <c r="H93" s="3833">
        <v>12</v>
      </c>
      <c r="I93" s="3833">
        <v>24</v>
      </c>
      <c r="J93" s="3833">
        <v>42</v>
      </c>
      <c r="K93" s="3833">
        <v>2</v>
      </c>
      <c r="L93" s="3835" t="str">
        <f t="shared" si="10"/>
        <v>Habilidad De Parada Completa+75</v>
      </c>
      <c r="M93" s="219"/>
      <c r="O93" s="1740">
        <v>-5</v>
      </c>
      <c r="P93" s="1740">
        <v>-1</v>
      </c>
    </row>
    <row r="94" spans="1:24" ht="12" customHeight="1">
      <c r="A94" s="7172"/>
      <c r="B94" s="7167"/>
      <c r="C94" s="3831" t="s">
        <v>8527</v>
      </c>
      <c r="D94" s="3832" t="s">
        <v>8396</v>
      </c>
      <c r="E94" s="3833">
        <v>26</v>
      </c>
      <c r="F94" s="3834">
        <v>32</v>
      </c>
      <c r="G94" s="3833">
        <v>65</v>
      </c>
      <c r="H94" s="3833">
        <v>15</v>
      </c>
      <c r="I94" s="3833">
        <v>30</v>
      </c>
      <c r="J94" s="3833">
        <v>53</v>
      </c>
      <c r="K94" s="3833">
        <v>3</v>
      </c>
      <c r="L94" s="3835" t="str">
        <f t="shared" si="10"/>
        <v>Habilidad De Parada Completa+90</v>
      </c>
      <c r="M94" s="219"/>
      <c r="O94" s="1740">
        <v>-10</v>
      </c>
      <c r="P94" s="1740">
        <v>-2</v>
      </c>
    </row>
    <row r="95" spans="1:24" ht="12" customHeight="1">
      <c r="A95" s="7172"/>
      <c r="B95" s="7167"/>
      <c r="C95" s="3831" t="s">
        <v>8527</v>
      </c>
      <c r="D95" s="3832" t="s">
        <v>8399</v>
      </c>
      <c r="E95" s="3833">
        <v>30</v>
      </c>
      <c r="F95" s="3834">
        <v>36</v>
      </c>
      <c r="G95" s="3833">
        <v>75</v>
      </c>
      <c r="H95" s="3833">
        <v>18</v>
      </c>
      <c r="I95" s="3833">
        <v>36</v>
      </c>
      <c r="J95" s="3833">
        <v>63</v>
      </c>
      <c r="K95" s="3833">
        <v>3</v>
      </c>
      <c r="L95" s="3835" t="str">
        <f t="shared" si="10"/>
        <v>Habilidad De Parada Completa+100</v>
      </c>
      <c r="M95" s="219"/>
      <c r="O95" s="1740">
        <v>-15</v>
      </c>
      <c r="P95" s="1740">
        <v>-3</v>
      </c>
    </row>
    <row r="96" spans="1:24" ht="12" customHeight="1" thickBot="1">
      <c r="A96" s="7172"/>
      <c r="B96" s="7167"/>
      <c r="C96" s="39" t="s">
        <v>8531</v>
      </c>
      <c r="D96" s="76"/>
      <c r="E96" s="1035"/>
      <c r="F96" s="1036"/>
      <c r="G96" s="1035"/>
      <c r="H96" s="1035"/>
      <c r="I96" s="1035"/>
      <c r="J96" s="1035"/>
      <c r="K96" s="1035"/>
      <c r="L96" s="3830" t="str">
        <f t="shared" si="10"/>
        <v>&gt; HABILIDAD DE PARADA LIMITADA</v>
      </c>
      <c r="M96" s="219"/>
      <c r="O96" s="1741">
        <v>-20</v>
      </c>
      <c r="P96" s="1740">
        <v>-4</v>
      </c>
    </row>
    <row r="97" spans="1:16" ht="12" customHeight="1" thickBot="1">
      <c r="A97" s="7172"/>
      <c r="B97" s="7167"/>
      <c r="C97" s="39" t="s">
        <v>8533</v>
      </c>
      <c r="D97" s="76" t="s">
        <v>7056</v>
      </c>
      <c r="E97" s="1035">
        <v>1</v>
      </c>
      <c r="F97" s="1036">
        <v>2</v>
      </c>
      <c r="G97" s="1035">
        <v>5</v>
      </c>
      <c r="H97" s="1035">
        <v>1</v>
      </c>
      <c r="I97" s="1035">
        <v>2</v>
      </c>
      <c r="J97" s="1035">
        <v>4</v>
      </c>
      <c r="K97" s="1035">
        <v>1</v>
      </c>
      <c r="L97" s="3830" t="str">
        <f t="shared" si="10"/>
        <v>Habilidad De Parada Limitada+10</v>
      </c>
      <c r="M97" s="219"/>
      <c r="O97" s="219"/>
      <c r="P97" s="1741">
        <v>-5</v>
      </c>
    </row>
    <row r="98" spans="1:16" ht="12" customHeight="1" thickBot="1">
      <c r="A98" s="7172"/>
      <c r="B98" s="7167"/>
      <c r="C98" s="39" t="s">
        <v>8533</v>
      </c>
      <c r="D98" s="76" t="s">
        <v>7200</v>
      </c>
      <c r="E98" s="1035">
        <v>2</v>
      </c>
      <c r="F98" s="1036">
        <v>4</v>
      </c>
      <c r="G98" s="1035">
        <v>5</v>
      </c>
      <c r="H98" s="1035">
        <v>1</v>
      </c>
      <c r="I98" s="1035">
        <v>2</v>
      </c>
      <c r="J98" s="1035">
        <v>4</v>
      </c>
      <c r="K98" s="1035">
        <v>1</v>
      </c>
      <c r="L98" s="3830" t="str">
        <f t="shared" si="10"/>
        <v>Habilidad De Parada Limitada+25</v>
      </c>
      <c r="M98" s="219"/>
      <c r="O98" s="219"/>
    </row>
    <row r="99" spans="1:16" ht="12" customHeight="1">
      <c r="A99" s="7172"/>
      <c r="B99" s="7167"/>
      <c r="C99" s="39" t="s">
        <v>8533</v>
      </c>
      <c r="D99" s="76" t="s">
        <v>7058</v>
      </c>
      <c r="E99" s="1035">
        <v>3</v>
      </c>
      <c r="F99" s="1036">
        <v>5</v>
      </c>
      <c r="G99" s="1035">
        <v>10</v>
      </c>
      <c r="H99" s="1035">
        <v>1</v>
      </c>
      <c r="I99" s="1035">
        <v>2</v>
      </c>
      <c r="J99" s="1035">
        <v>4</v>
      </c>
      <c r="K99" s="1035">
        <v>1</v>
      </c>
      <c r="L99" s="3830" t="str">
        <f t="shared" si="10"/>
        <v>Habilidad De Parada Limitada+40</v>
      </c>
      <c r="M99" s="219"/>
      <c r="O99" s="1739" t="s">
        <v>8353</v>
      </c>
      <c r="P99" s="1739" t="s">
        <v>8850</v>
      </c>
    </row>
    <row r="100" spans="1:16" ht="12" customHeight="1">
      <c r="A100" s="7172"/>
      <c r="B100" s="7167"/>
      <c r="C100" s="39" t="s">
        <v>8533</v>
      </c>
      <c r="D100" s="76" t="s">
        <v>7059</v>
      </c>
      <c r="E100" s="1035">
        <v>4</v>
      </c>
      <c r="F100" s="1036">
        <v>6</v>
      </c>
      <c r="G100" s="1035">
        <v>10</v>
      </c>
      <c r="H100" s="1035">
        <v>2</v>
      </c>
      <c r="I100" s="1035">
        <v>4</v>
      </c>
      <c r="J100" s="1035">
        <v>7</v>
      </c>
      <c r="K100" s="1035">
        <v>1</v>
      </c>
      <c r="L100" s="3830" t="str">
        <f t="shared" si="10"/>
        <v>Habilidad De Parada Limitada+50</v>
      </c>
      <c r="M100" s="219"/>
      <c r="O100" s="1740" t="s">
        <v>1461</v>
      </c>
      <c r="P100" s="1740" t="b">
        <f>ISNUMBER(FIND("Empatía Elemental ("&amp;O100&amp;")",Principal!$AF$30))</f>
        <v>0</v>
      </c>
    </row>
    <row r="101" spans="1:16" ht="12" customHeight="1">
      <c r="A101" s="7172"/>
      <c r="B101" s="7167"/>
      <c r="C101" s="39" t="s">
        <v>8533</v>
      </c>
      <c r="D101" s="76" t="s">
        <v>8392</v>
      </c>
      <c r="E101" s="1035">
        <v>6</v>
      </c>
      <c r="F101" s="1036">
        <v>9</v>
      </c>
      <c r="G101" s="1035">
        <v>15</v>
      </c>
      <c r="H101" s="1035">
        <v>3</v>
      </c>
      <c r="I101" s="1035">
        <v>6</v>
      </c>
      <c r="J101" s="1035">
        <v>11</v>
      </c>
      <c r="K101" s="1035">
        <v>1</v>
      </c>
      <c r="L101" s="3830" t="str">
        <f t="shared" si="10"/>
        <v>Habilidad De Parada Limitada+75</v>
      </c>
      <c r="M101" s="219"/>
      <c r="O101" s="1740" t="s">
        <v>1464</v>
      </c>
      <c r="P101" s="1740" t="b">
        <f>ISNUMBER(FIND("Empatía Elemental ("&amp;O101&amp;")",Principal!$AF$30))</f>
        <v>0</v>
      </c>
    </row>
    <row r="102" spans="1:16" ht="12" customHeight="1">
      <c r="A102" s="7172"/>
      <c r="B102" s="7167"/>
      <c r="C102" s="3831" t="s">
        <v>8533</v>
      </c>
      <c r="D102" s="3832" t="s">
        <v>8396</v>
      </c>
      <c r="E102" s="3833">
        <v>8</v>
      </c>
      <c r="F102" s="3834">
        <v>11</v>
      </c>
      <c r="G102" s="3833">
        <v>20</v>
      </c>
      <c r="H102" s="3833">
        <v>4</v>
      </c>
      <c r="I102" s="3833">
        <v>8</v>
      </c>
      <c r="J102" s="3833">
        <v>14</v>
      </c>
      <c r="K102" s="3833">
        <v>2</v>
      </c>
      <c r="L102" s="3835" t="str">
        <f t="shared" si="10"/>
        <v>Habilidad De Parada Limitada+90</v>
      </c>
      <c r="M102" s="219"/>
      <c r="O102" s="1740" t="s">
        <v>1468</v>
      </c>
      <c r="P102" s="1740" t="b">
        <f>ISNUMBER(FIND("Empatía Elemental ("&amp;O102&amp;")",Principal!$AF$30))</f>
        <v>0</v>
      </c>
    </row>
    <row r="103" spans="1:16" ht="12" customHeight="1">
      <c r="A103" s="7172"/>
      <c r="B103" s="7167"/>
      <c r="C103" s="3831" t="s">
        <v>8533</v>
      </c>
      <c r="D103" s="3832" t="s">
        <v>8399</v>
      </c>
      <c r="E103" s="3833">
        <v>10</v>
      </c>
      <c r="F103" s="3834">
        <v>13</v>
      </c>
      <c r="G103" s="3833">
        <v>25</v>
      </c>
      <c r="H103" s="3833">
        <v>6</v>
      </c>
      <c r="I103" s="3833">
        <v>12</v>
      </c>
      <c r="J103" s="3833">
        <v>21</v>
      </c>
      <c r="K103" s="3833">
        <v>2</v>
      </c>
      <c r="L103" s="3835" t="str">
        <f t="shared" si="10"/>
        <v>Habilidad De Parada Limitada+100</v>
      </c>
      <c r="M103" s="219"/>
      <c r="O103" s="1740" t="s">
        <v>1558</v>
      </c>
      <c r="P103" s="1740" t="b">
        <f>ISNUMBER(FIND("Empatía Elemental ("&amp;O103&amp;")",Principal!$AF$30))</f>
        <v>0</v>
      </c>
    </row>
    <row r="104" spans="1:16" ht="12" customHeight="1">
      <c r="A104" s="7172"/>
      <c r="B104" s="7167"/>
      <c r="C104" s="3831" t="s">
        <v>8533</v>
      </c>
      <c r="D104" s="3832" t="s">
        <v>8400</v>
      </c>
      <c r="E104" s="3833">
        <v>12</v>
      </c>
      <c r="F104" s="3834">
        <v>15</v>
      </c>
      <c r="G104" s="3833">
        <v>30</v>
      </c>
      <c r="H104" s="3833">
        <v>8</v>
      </c>
      <c r="I104" s="3833">
        <v>16</v>
      </c>
      <c r="J104" s="3833">
        <v>28</v>
      </c>
      <c r="K104" s="3833">
        <v>2</v>
      </c>
      <c r="L104" s="3835" t="str">
        <f t="shared" si="10"/>
        <v>Habilidad De Parada Limitada+125</v>
      </c>
      <c r="M104" s="219"/>
      <c r="O104" s="1740" t="s">
        <v>1553</v>
      </c>
      <c r="P104" s="1740" t="b">
        <f>ISNUMBER(FIND("Empatía Elemental ("&amp;O104&amp;")",Principal!$AF$30))</f>
        <v>0</v>
      </c>
    </row>
    <row r="105" spans="1:16" ht="12" customHeight="1" thickBot="1">
      <c r="A105" s="7172"/>
      <c r="B105" s="7167"/>
      <c r="C105" s="3831" t="s">
        <v>8533</v>
      </c>
      <c r="D105" s="3832" t="s">
        <v>8402</v>
      </c>
      <c r="E105" s="3833">
        <v>16</v>
      </c>
      <c r="F105" s="3834">
        <v>20</v>
      </c>
      <c r="G105" s="3833">
        <v>35</v>
      </c>
      <c r="H105" s="3833">
        <v>10</v>
      </c>
      <c r="I105" s="3833">
        <v>20</v>
      </c>
      <c r="J105" s="3833">
        <v>35</v>
      </c>
      <c r="K105" s="3833">
        <v>3</v>
      </c>
      <c r="L105" s="3835" t="str">
        <f t="shared" si="10"/>
        <v>Habilidad De Parada Limitada+150</v>
      </c>
      <c r="M105" s="219"/>
      <c r="O105" s="1741" t="s">
        <v>1554</v>
      </c>
      <c r="P105" s="1741" t="b">
        <f>ISNUMBER(FIND("Empatía Elemental ("&amp;O105&amp;")",Principal!$AF$30))</f>
        <v>0</v>
      </c>
    </row>
    <row r="106" spans="1:16" ht="12" customHeight="1">
      <c r="A106" s="7172"/>
      <c r="B106" s="7167"/>
      <c r="C106" s="3831" t="s">
        <v>8533</v>
      </c>
      <c r="D106" s="3832" t="s">
        <v>8405</v>
      </c>
      <c r="E106" s="3833">
        <v>20</v>
      </c>
      <c r="F106" s="3834">
        <v>24</v>
      </c>
      <c r="G106" s="3833">
        <v>40</v>
      </c>
      <c r="H106" s="3833">
        <v>12</v>
      </c>
      <c r="I106" s="3833">
        <v>24</v>
      </c>
      <c r="J106" s="3833">
        <v>42</v>
      </c>
      <c r="K106" s="3833">
        <v>3</v>
      </c>
      <c r="L106" s="3835" t="str">
        <f t="shared" si="10"/>
        <v>Habilidad De Parada Limitada+175</v>
      </c>
      <c r="M106" s="219"/>
    </row>
    <row r="107" spans="1:16" ht="12" customHeight="1">
      <c r="A107" s="7172"/>
      <c r="B107" s="7167"/>
      <c r="C107" s="3831" t="s">
        <v>8533</v>
      </c>
      <c r="D107" s="3832" t="s">
        <v>8407</v>
      </c>
      <c r="E107" s="3833">
        <v>24</v>
      </c>
      <c r="F107" s="3834">
        <v>29</v>
      </c>
      <c r="G107" s="3833">
        <v>45</v>
      </c>
      <c r="H107" s="3833">
        <v>14</v>
      </c>
      <c r="I107" s="3833">
        <v>28</v>
      </c>
      <c r="J107" s="3833">
        <v>49</v>
      </c>
      <c r="K107" s="3833">
        <v>3</v>
      </c>
      <c r="L107" s="3835" t="str">
        <f t="shared" si="10"/>
        <v>Habilidad De Parada Limitada+200</v>
      </c>
      <c r="M107" s="219"/>
    </row>
    <row r="108" spans="1:16" ht="12" customHeight="1">
      <c r="A108" s="7172"/>
      <c r="B108" s="7167"/>
      <c r="C108" s="39" t="s">
        <v>8542</v>
      </c>
      <c r="D108" s="76"/>
      <c r="E108" s="1035"/>
      <c r="F108" s="1036"/>
      <c r="G108" s="1035"/>
      <c r="H108" s="1035"/>
      <c r="I108" s="1035"/>
      <c r="J108" s="1035"/>
      <c r="K108" s="1035"/>
      <c r="L108" s="3830" t="str">
        <f t="shared" si="10"/>
        <v>&gt; HABILIDAD DE ESQUIVA</v>
      </c>
      <c r="M108" s="219"/>
    </row>
    <row r="109" spans="1:16" ht="12" customHeight="1">
      <c r="A109" s="7172"/>
      <c r="B109" s="7167"/>
      <c r="C109" s="39" t="s">
        <v>8543</v>
      </c>
      <c r="D109" s="76" t="s">
        <v>7056</v>
      </c>
      <c r="E109" s="1035">
        <v>1</v>
      </c>
      <c r="F109" s="1036">
        <v>3</v>
      </c>
      <c r="G109" s="1035">
        <v>5</v>
      </c>
      <c r="H109" s="1035">
        <v>1</v>
      </c>
      <c r="I109" s="1035">
        <v>2</v>
      </c>
      <c r="J109" s="1035">
        <v>4</v>
      </c>
      <c r="K109" s="1035">
        <v>1</v>
      </c>
      <c r="L109" s="3830" t="str">
        <f t="shared" si="10"/>
        <v>Habilidad De Esquiva+10</v>
      </c>
      <c r="M109" s="219"/>
    </row>
    <row r="110" spans="1:16" ht="12" customHeight="1">
      <c r="A110" s="7172"/>
      <c r="B110" s="7167"/>
      <c r="C110" s="39" t="s">
        <v>8543</v>
      </c>
      <c r="D110" s="76" t="s">
        <v>7200</v>
      </c>
      <c r="E110" s="1035">
        <v>3</v>
      </c>
      <c r="F110" s="1036">
        <v>5</v>
      </c>
      <c r="G110" s="1035">
        <v>5</v>
      </c>
      <c r="H110" s="1035">
        <v>1</v>
      </c>
      <c r="I110" s="1035">
        <v>2</v>
      </c>
      <c r="J110" s="1035">
        <v>4</v>
      </c>
      <c r="K110" s="1035">
        <v>1</v>
      </c>
      <c r="L110" s="3830" t="str">
        <f t="shared" si="10"/>
        <v>Habilidad De Esquiva+25</v>
      </c>
      <c r="M110" s="219"/>
    </row>
    <row r="111" spans="1:16" ht="12" customHeight="1">
      <c r="A111" s="7172"/>
      <c r="B111" s="7167"/>
      <c r="C111" s="39" t="s">
        <v>8543</v>
      </c>
      <c r="D111" s="76" t="s">
        <v>7058</v>
      </c>
      <c r="E111" s="1035">
        <v>4</v>
      </c>
      <c r="F111" s="1036">
        <v>6</v>
      </c>
      <c r="G111" s="1035">
        <v>10</v>
      </c>
      <c r="H111" s="1035">
        <v>2</v>
      </c>
      <c r="I111" s="1035">
        <v>4</v>
      </c>
      <c r="J111" s="1035">
        <v>7</v>
      </c>
      <c r="K111" s="1035">
        <v>1</v>
      </c>
      <c r="L111" s="3830" t="str">
        <f t="shared" si="10"/>
        <v>Habilidad De Esquiva+40</v>
      </c>
      <c r="M111" s="219"/>
    </row>
    <row r="112" spans="1:16" ht="12" customHeight="1">
      <c r="A112" s="7172"/>
      <c r="B112" s="7167"/>
      <c r="C112" s="3831" t="s">
        <v>8543</v>
      </c>
      <c r="D112" s="3832" t="s">
        <v>7059</v>
      </c>
      <c r="E112" s="3833">
        <v>5</v>
      </c>
      <c r="F112" s="3834">
        <v>8</v>
      </c>
      <c r="G112" s="3833">
        <v>15</v>
      </c>
      <c r="H112" s="3833">
        <v>3</v>
      </c>
      <c r="I112" s="3833">
        <v>6</v>
      </c>
      <c r="J112" s="3833">
        <v>11</v>
      </c>
      <c r="K112" s="3833">
        <v>2</v>
      </c>
      <c r="L112" s="3835" t="str">
        <f t="shared" si="10"/>
        <v>Habilidad De Esquiva+50</v>
      </c>
      <c r="M112" s="219"/>
    </row>
    <row r="113" spans="1:17" ht="12" customHeight="1" thickBot="1">
      <c r="A113" s="7172"/>
      <c r="B113" s="7167"/>
      <c r="C113" s="3831" t="s">
        <v>8543</v>
      </c>
      <c r="D113" s="3832" t="s">
        <v>8392</v>
      </c>
      <c r="E113" s="3833">
        <v>8</v>
      </c>
      <c r="F113" s="3834">
        <v>11</v>
      </c>
      <c r="G113" s="3833">
        <v>20</v>
      </c>
      <c r="H113" s="3833">
        <v>4</v>
      </c>
      <c r="I113" s="3833">
        <v>8</v>
      </c>
      <c r="J113" s="3833">
        <v>14</v>
      </c>
      <c r="K113" s="3833">
        <v>2</v>
      </c>
      <c r="L113" s="3835" t="str">
        <f t="shared" si="10"/>
        <v>Habilidad De Esquiva+75</v>
      </c>
      <c r="M113" s="219"/>
    </row>
    <row r="114" spans="1:17" ht="12" customHeight="1">
      <c r="A114" s="7172"/>
      <c r="B114" s="7167"/>
      <c r="C114" s="3831" t="s">
        <v>8543</v>
      </c>
      <c r="D114" s="3832" t="s">
        <v>8396</v>
      </c>
      <c r="E114" s="3833">
        <v>12</v>
      </c>
      <c r="F114" s="3834">
        <v>15</v>
      </c>
      <c r="G114" s="3833">
        <v>25</v>
      </c>
      <c r="H114" s="3833">
        <v>5</v>
      </c>
      <c r="I114" s="3833">
        <v>10</v>
      </c>
      <c r="J114" s="3833">
        <v>18</v>
      </c>
      <c r="K114" s="3833">
        <v>2</v>
      </c>
      <c r="L114" s="3835" t="str">
        <f t="shared" si="10"/>
        <v>Habilidad De Esquiva+90</v>
      </c>
      <c r="M114" s="219"/>
      <c r="N114" s="7168"/>
      <c r="O114" s="7150" t="s">
        <v>8522</v>
      </c>
      <c r="P114" s="7150"/>
      <c r="Q114" s="7151"/>
    </row>
    <row r="115" spans="1:17" ht="12" customHeight="1">
      <c r="A115" s="7172"/>
      <c r="B115" s="7167"/>
      <c r="C115" s="3831" t="s">
        <v>8543</v>
      </c>
      <c r="D115" s="3832" t="s">
        <v>8399</v>
      </c>
      <c r="E115" s="3833">
        <v>14</v>
      </c>
      <c r="F115" s="3834">
        <v>18</v>
      </c>
      <c r="G115" s="3833">
        <v>30</v>
      </c>
      <c r="H115" s="3833">
        <v>8</v>
      </c>
      <c r="I115" s="3833">
        <v>16</v>
      </c>
      <c r="J115" s="3833">
        <v>28</v>
      </c>
      <c r="K115" s="3833">
        <v>2</v>
      </c>
      <c r="L115" s="3835" t="str">
        <f t="shared" si="10"/>
        <v>Habilidad De Esquiva+100</v>
      </c>
      <c r="M115" s="219"/>
      <c r="N115" s="7169"/>
      <c r="O115" s="6493"/>
      <c r="P115" s="6493"/>
      <c r="Q115" s="7152"/>
    </row>
    <row r="116" spans="1:17" ht="12" customHeight="1">
      <c r="A116" s="7172"/>
      <c r="B116" s="7167"/>
      <c r="C116" s="3831" t="s">
        <v>8543</v>
      </c>
      <c r="D116" s="3832" t="s">
        <v>8400</v>
      </c>
      <c r="E116" s="3833">
        <v>18</v>
      </c>
      <c r="F116" s="3834">
        <v>22</v>
      </c>
      <c r="G116" s="3833">
        <v>35</v>
      </c>
      <c r="H116" s="3833">
        <v>10</v>
      </c>
      <c r="I116" s="3833">
        <v>20</v>
      </c>
      <c r="J116" s="3833">
        <v>35</v>
      </c>
      <c r="K116" s="3833">
        <v>3</v>
      </c>
      <c r="L116" s="3835" t="str">
        <f t="shared" si="10"/>
        <v>Habilidad De Esquiva+125</v>
      </c>
      <c r="M116" s="219"/>
      <c r="N116" s="7169"/>
      <c r="O116" s="1816" t="s">
        <v>8372</v>
      </c>
      <c r="P116" s="1816" t="s">
        <v>8373</v>
      </c>
      <c r="Q116" s="3849" t="s">
        <v>1230</v>
      </c>
    </row>
    <row r="117" spans="1:17" ht="12" customHeight="1">
      <c r="A117" s="7172"/>
      <c r="B117" s="7167"/>
      <c r="C117" s="3831" t="s">
        <v>8543</v>
      </c>
      <c r="D117" s="3832" t="s">
        <v>8402</v>
      </c>
      <c r="E117" s="3833">
        <v>22</v>
      </c>
      <c r="F117" s="3834">
        <v>26</v>
      </c>
      <c r="G117" s="3833">
        <v>40</v>
      </c>
      <c r="H117" s="3833">
        <v>12</v>
      </c>
      <c r="I117" s="3833">
        <v>24</v>
      </c>
      <c r="J117" s="3833">
        <v>42</v>
      </c>
      <c r="K117" s="3833">
        <v>3</v>
      </c>
      <c r="L117" s="3835" t="str">
        <f t="shared" si="10"/>
        <v>Habilidad De Esquiva+150</v>
      </c>
      <c r="M117" s="219"/>
      <c r="N117" s="7169"/>
      <c r="O117" s="76" t="s">
        <v>8523</v>
      </c>
      <c r="P117" s="76" t="str">
        <f t="shared" ref="P117:P142" si="11">IF(ISNUMBER(FIND("&gt;&gt;",O117)),"","'Tablas Técnicas'!"&amp;ADDRESS(ROW($P$151)+MATCH(O117,$O$152:$O$267,0),COLUMN($P$151))&amp;":"&amp;ADDRESS(ROW($P$151)+MATCH(O117,$O$152:$O$267,0)+COUNTIF($O$152:$O$267,O117)-1,COLUMN($P$151)))</f>
        <v>'Tablas Técnicas'!$P$153:$P$155</v>
      </c>
      <c r="Q117" s="3850" t="s">
        <v>3016</v>
      </c>
    </row>
    <row r="118" spans="1:17" ht="12" customHeight="1">
      <c r="A118" s="7172"/>
      <c r="B118" s="7167"/>
      <c r="C118" s="3831" t="s">
        <v>8543</v>
      </c>
      <c r="D118" s="3832" t="s">
        <v>8405</v>
      </c>
      <c r="E118" s="3833">
        <v>26</v>
      </c>
      <c r="F118" s="3834">
        <v>32</v>
      </c>
      <c r="G118" s="3833">
        <v>45</v>
      </c>
      <c r="H118" s="3833">
        <v>14</v>
      </c>
      <c r="I118" s="3833">
        <v>28</v>
      </c>
      <c r="J118" s="3833">
        <v>49</v>
      </c>
      <c r="K118" s="3833">
        <v>3</v>
      </c>
      <c r="L118" s="3835" t="str">
        <f t="shared" si="10"/>
        <v>Habilidad De Esquiva+175</v>
      </c>
      <c r="M118" s="219"/>
      <c r="N118" s="7169"/>
      <c r="O118" s="76" t="s">
        <v>8357</v>
      </c>
      <c r="P118" s="76" t="str">
        <f t="shared" si="11"/>
        <v>'Tablas Técnicas'!$P$157:$P$158</v>
      </c>
      <c r="Q118" s="3850" t="s">
        <v>3016</v>
      </c>
    </row>
    <row r="119" spans="1:17" ht="12" customHeight="1">
      <c r="A119" s="7172"/>
      <c r="B119" s="7167"/>
      <c r="C119" s="3831" t="s">
        <v>8543</v>
      </c>
      <c r="D119" s="3832" t="s">
        <v>8407</v>
      </c>
      <c r="E119" s="3833">
        <v>30</v>
      </c>
      <c r="F119" s="3834">
        <v>36</v>
      </c>
      <c r="G119" s="3833">
        <v>50</v>
      </c>
      <c r="H119" s="3833">
        <v>16</v>
      </c>
      <c r="I119" s="3833">
        <v>32</v>
      </c>
      <c r="J119" s="3833">
        <v>56</v>
      </c>
      <c r="K119" s="3833">
        <v>3</v>
      </c>
      <c r="L119" s="3835" t="str">
        <f t="shared" si="10"/>
        <v>Habilidad De Esquiva+200</v>
      </c>
      <c r="M119" s="219"/>
      <c r="N119" s="7169"/>
      <c r="O119" s="76" t="s">
        <v>8524</v>
      </c>
      <c r="P119" s="76" t="str">
        <f t="shared" si="11"/>
        <v>'Tablas Técnicas'!$P$160:$P$162</v>
      </c>
      <c r="Q119" s="3850" t="s">
        <v>1093</v>
      </c>
    </row>
    <row r="120" spans="1:17" ht="12" customHeight="1">
      <c r="A120" s="7172"/>
      <c r="B120" s="7167"/>
      <c r="C120" s="39" t="s">
        <v>8549</v>
      </c>
      <c r="D120" s="76"/>
      <c r="E120" s="1035"/>
      <c r="F120" s="1036"/>
      <c r="G120" s="1035"/>
      <c r="H120" s="1035"/>
      <c r="I120" s="1035"/>
      <c r="J120" s="1035"/>
      <c r="K120" s="1035"/>
      <c r="L120" s="3830" t="str">
        <f t="shared" si="10"/>
        <v>&gt; HABILIDAD DE ESQUIVA COMPLETA</v>
      </c>
      <c r="M120" s="219"/>
      <c r="N120" s="7169"/>
      <c r="O120" s="76" t="s">
        <v>8526</v>
      </c>
      <c r="P120" s="76" t="str">
        <f t="shared" si="11"/>
        <v>'Tablas Técnicas'!$P$164:$P$165</v>
      </c>
      <c r="Q120" s="3850" t="s">
        <v>3016</v>
      </c>
    </row>
    <row r="121" spans="1:17" ht="12" customHeight="1">
      <c r="A121" s="7172"/>
      <c r="B121" s="7167"/>
      <c r="C121" s="39" t="s">
        <v>8551</v>
      </c>
      <c r="D121" s="76" t="s">
        <v>7056</v>
      </c>
      <c r="E121" s="1035">
        <v>4</v>
      </c>
      <c r="F121" s="1036">
        <v>6</v>
      </c>
      <c r="G121" s="1035">
        <v>10</v>
      </c>
      <c r="H121" s="1035">
        <v>2</v>
      </c>
      <c r="I121" s="1035">
        <v>4</v>
      </c>
      <c r="J121" s="1035">
        <v>7</v>
      </c>
      <c r="K121" s="1035">
        <v>1</v>
      </c>
      <c r="L121" s="3830" t="str">
        <f t="shared" si="10"/>
        <v>Habilidad De Esquiva Completa+10</v>
      </c>
      <c r="M121" s="219"/>
      <c r="N121" s="7169"/>
      <c r="O121" s="76" t="s">
        <v>8528</v>
      </c>
      <c r="P121" s="76" t="str">
        <f t="shared" si="11"/>
        <v>'Tablas Técnicas'!$P$167:$P$170</v>
      </c>
      <c r="Q121" s="3850" t="s">
        <v>3016</v>
      </c>
    </row>
    <row r="122" spans="1:17" ht="12" customHeight="1">
      <c r="A122" s="7172"/>
      <c r="B122" s="7167"/>
      <c r="C122" s="39" t="s">
        <v>8551</v>
      </c>
      <c r="D122" s="76" t="s">
        <v>7200</v>
      </c>
      <c r="E122" s="1035">
        <v>6</v>
      </c>
      <c r="F122" s="1036">
        <v>9</v>
      </c>
      <c r="G122" s="1035">
        <v>15</v>
      </c>
      <c r="H122" s="1035">
        <v>4</v>
      </c>
      <c r="I122" s="1035">
        <v>8</v>
      </c>
      <c r="J122" s="1035">
        <v>14</v>
      </c>
      <c r="K122" s="1035">
        <v>1</v>
      </c>
      <c r="L122" s="3830" t="str">
        <f t="shared" si="10"/>
        <v>Habilidad De Esquiva Completa+25</v>
      </c>
      <c r="M122" s="219"/>
      <c r="N122" s="7169"/>
      <c r="O122" s="76" t="s">
        <v>8529</v>
      </c>
      <c r="P122" s="76" t="str">
        <f t="shared" si="11"/>
        <v>'Tablas Técnicas'!$P$173:$P$173</v>
      </c>
      <c r="Q122" s="3850" t="s">
        <v>1093</v>
      </c>
    </row>
    <row r="123" spans="1:17" ht="12" customHeight="1">
      <c r="A123" s="7172"/>
      <c r="B123" s="7167"/>
      <c r="C123" s="39" t="s">
        <v>8551</v>
      </c>
      <c r="D123" s="76" t="s">
        <v>7058</v>
      </c>
      <c r="E123" s="1035">
        <v>9</v>
      </c>
      <c r="F123" s="1036">
        <v>12</v>
      </c>
      <c r="G123" s="1035">
        <v>20</v>
      </c>
      <c r="H123" s="1035">
        <v>6</v>
      </c>
      <c r="I123" s="1035">
        <v>12</v>
      </c>
      <c r="J123" s="1035">
        <v>21</v>
      </c>
      <c r="K123" s="1035">
        <v>1</v>
      </c>
      <c r="L123" s="3830" t="str">
        <f t="shared" si="10"/>
        <v>Habilidad De Esquiva Completa+40</v>
      </c>
      <c r="M123" s="219"/>
      <c r="N123" s="7169"/>
      <c r="O123" s="76" t="s">
        <v>2004</v>
      </c>
      <c r="P123" s="76" t="str">
        <f t="shared" si="11"/>
        <v>'Tablas Técnicas'!$P$175:$P$175</v>
      </c>
      <c r="Q123" s="3850" t="s">
        <v>3016</v>
      </c>
    </row>
    <row r="124" spans="1:17" ht="12" customHeight="1">
      <c r="A124" s="7172"/>
      <c r="B124" s="7167"/>
      <c r="C124" s="39" t="s">
        <v>8551</v>
      </c>
      <c r="D124" s="76" t="s">
        <v>7059</v>
      </c>
      <c r="E124" s="1035">
        <v>12</v>
      </c>
      <c r="F124" s="1036">
        <v>15</v>
      </c>
      <c r="G124" s="1035">
        <v>35</v>
      </c>
      <c r="H124" s="1035">
        <v>9</v>
      </c>
      <c r="I124" s="1035">
        <v>18</v>
      </c>
      <c r="J124" s="1035">
        <v>32</v>
      </c>
      <c r="K124" s="1035">
        <v>2</v>
      </c>
      <c r="L124" s="3830" t="str">
        <f t="shared" si="10"/>
        <v>Habilidad De Esquiva Completa+50</v>
      </c>
      <c r="M124" s="219"/>
      <c r="N124" s="7169"/>
      <c r="O124" s="76" t="s">
        <v>7094</v>
      </c>
      <c r="P124" s="76" t="str">
        <f t="shared" si="11"/>
        <v>'Tablas Técnicas'!$P$177:$P$184</v>
      </c>
      <c r="Q124" s="3850" t="s">
        <v>3016</v>
      </c>
    </row>
    <row r="125" spans="1:17" ht="12" customHeight="1">
      <c r="A125" s="7172"/>
      <c r="B125" s="7167"/>
      <c r="C125" s="39" t="s">
        <v>8551</v>
      </c>
      <c r="D125" s="76" t="s">
        <v>8392</v>
      </c>
      <c r="E125" s="1035">
        <v>18</v>
      </c>
      <c r="F125" s="1036">
        <v>22</v>
      </c>
      <c r="G125" s="1035">
        <v>50</v>
      </c>
      <c r="H125" s="1035">
        <v>12</v>
      </c>
      <c r="I125" s="1035">
        <v>24</v>
      </c>
      <c r="J125" s="1035">
        <v>42</v>
      </c>
      <c r="K125" s="1035">
        <v>2</v>
      </c>
      <c r="L125" s="3830" t="str">
        <f t="shared" si="10"/>
        <v>Habilidad De Esquiva Completa+75</v>
      </c>
      <c r="M125" s="219"/>
      <c r="N125" s="7169"/>
      <c r="O125" s="76" t="s">
        <v>8359</v>
      </c>
      <c r="P125" s="76" t="str">
        <f t="shared" si="11"/>
        <v>'Tablas Técnicas'!$P$186:$P$187</v>
      </c>
      <c r="Q125" s="3850" t="s">
        <v>1093</v>
      </c>
    </row>
    <row r="126" spans="1:17" ht="12" customHeight="1">
      <c r="A126" s="7172"/>
      <c r="B126" s="7167"/>
      <c r="C126" s="39" t="s">
        <v>8551</v>
      </c>
      <c r="D126" s="76" t="s">
        <v>8396</v>
      </c>
      <c r="E126" s="1035">
        <v>26</v>
      </c>
      <c r="F126" s="1036">
        <v>32</v>
      </c>
      <c r="G126" s="1035">
        <v>65</v>
      </c>
      <c r="H126" s="1035">
        <v>15</v>
      </c>
      <c r="I126" s="1035">
        <v>30</v>
      </c>
      <c r="J126" s="1035">
        <v>53</v>
      </c>
      <c r="K126" s="1035">
        <v>3</v>
      </c>
      <c r="L126" s="3830" t="str">
        <f t="shared" si="10"/>
        <v>Habilidad De Esquiva Completa+90</v>
      </c>
      <c r="M126" s="219"/>
      <c r="N126" s="7169"/>
      <c r="O126" s="76" t="s">
        <v>8530</v>
      </c>
      <c r="P126" s="76" t="str">
        <f t="shared" si="11"/>
        <v>'Tablas Técnicas'!$P$189:$P$193</v>
      </c>
      <c r="Q126" s="3850" t="s">
        <v>1424</v>
      </c>
    </row>
    <row r="127" spans="1:17" ht="12" customHeight="1">
      <c r="A127" s="7172"/>
      <c r="B127" s="7167"/>
      <c r="C127" s="39" t="s">
        <v>8551</v>
      </c>
      <c r="D127" s="76" t="s">
        <v>8399</v>
      </c>
      <c r="E127" s="1035">
        <v>30</v>
      </c>
      <c r="F127" s="1036">
        <v>36</v>
      </c>
      <c r="G127" s="1035">
        <v>75</v>
      </c>
      <c r="H127" s="1035">
        <v>18</v>
      </c>
      <c r="I127" s="1035">
        <v>36</v>
      </c>
      <c r="J127" s="1035">
        <v>63</v>
      </c>
      <c r="K127" s="1035">
        <v>3</v>
      </c>
      <c r="L127" s="3830" t="str">
        <f t="shared" si="10"/>
        <v>Habilidad De Esquiva Completa+100</v>
      </c>
      <c r="M127" s="219"/>
      <c r="N127" s="7169"/>
      <c r="O127" s="76" t="s">
        <v>6679</v>
      </c>
      <c r="P127" s="76" t="str">
        <f t="shared" si="11"/>
        <v>'Tablas Técnicas'!$P$195:$P$197</v>
      </c>
      <c r="Q127" s="3850" t="s">
        <v>1093</v>
      </c>
    </row>
    <row r="128" spans="1:17" ht="12" customHeight="1">
      <c r="A128" s="7172"/>
      <c r="B128" s="7167"/>
      <c r="C128" s="39" t="s">
        <v>8558</v>
      </c>
      <c r="D128" s="76"/>
      <c r="E128" s="1035"/>
      <c r="F128" s="1036"/>
      <c r="G128" s="1035"/>
      <c r="H128" s="1035"/>
      <c r="I128" s="1035"/>
      <c r="J128" s="1035"/>
      <c r="K128" s="1035"/>
      <c r="L128" s="3830" t="str">
        <f t="shared" si="10"/>
        <v>&gt; HABILIDAD DE ESQUIVA LIMITADA</v>
      </c>
      <c r="M128" s="219"/>
      <c r="N128" s="7169"/>
      <c r="O128" s="76" t="s">
        <v>8532</v>
      </c>
      <c r="P128" s="76" t="str">
        <f t="shared" si="11"/>
        <v>'Tablas Técnicas'!$P$199:$P$200</v>
      </c>
      <c r="Q128" s="3850" t="s">
        <v>3016</v>
      </c>
    </row>
    <row r="129" spans="1:17" ht="12" customHeight="1">
      <c r="A129" s="7172"/>
      <c r="B129" s="7167"/>
      <c r="C129" s="39" t="s">
        <v>8560</v>
      </c>
      <c r="D129" s="76" t="s">
        <v>7056</v>
      </c>
      <c r="E129" s="1035">
        <v>1</v>
      </c>
      <c r="F129" s="1036">
        <v>2</v>
      </c>
      <c r="G129" s="1035">
        <v>5</v>
      </c>
      <c r="H129" s="1035">
        <v>1</v>
      </c>
      <c r="I129" s="1035">
        <v>2</v>
      </c>
      <c r="J129" s="1035">
        <v>4</v>
      </c>
      <c r="K129" s="1035">
        <v>1</v>
      </c>
      <c r="L129" s="3830" t="str">
        <f t="shared" si="10"/>
        <v>Habilidad De Esquiva Limitada+10</v>
      </c>
      <c r="M129" s="219"/>
      <c r="N129" s="7169"/>
      <c r="O129" s="76" t="s">
        <v>8534</v>
      </c>
      <c r="P129" s="76" t="str">
        <f t="shared" si="11"/>
        <v>'Tablas Técnicas'!$P$202:$P$202</v>
      </c>
      <c r="Q129" s="3850" t="s">
        <v>3016</v>
      </c>
    </row>
    <row r="130" spans="1:17" ht="12" customHeight="1">
      <c r="A130" s="7172"/>
      <c r="B130" s="7167"/>
      <c r="C130" s="39" t="s">
        <v>8560</v>
      </c>
      <c r="D130" s="76" t="s">
        <v>7200</v>
      </c>
      <c r="E130" s="1035">
        <v>2</v>
      </c>
      <c r="F130" s="1036">
        <v>4</v>
      </c>
      <c r="G130" s="1035">
        <v>5</v>
      </c>
      <c r="H130" s="1035">
        <v>1</v>
      </c>
      <c r="I130" s="1035">
        <v>2</v>
      </c>
      <c r="J130" s="1035">
        <v>4</v>
      </c>
      <c r="K130" s="1035">
        <v>1</v>
      </c>
      <c r="L130" s="3830" t="str">
        <f t="shared" si="10"/>
        <v>Habilidad De Esquiva Limitada+25</v>
      </c>
      <c r="M130" s="219"/>
      <c r="N130" s="7169"/>
      <c r="O130" s="76" t="s">
        <v>8535</v>
      </c>
      <c r="P130" s="76" t="str">
        <f t="shared" si="11"/>
        <v>'Tablas Técnicas'!$P$204:$P$210</v>
      </c>
      <c r="Q130" s="3850" t="s">
        <v>3016</v>
      </c>
    </row>
    <row r="131" spans="1:17" ht="12" customHeight="1">
      <c r="A131" s="7172"/>
      <c r="B131" s="7167"/>
      <c r="C131" s="39" t="s">
        <v>8560</v>
      </c>
      <c r="D131" s="76" t="s">
        <v>7058</v>
      </c>
      <c r="E131" s="1035">
        <v>3</v>
      </c>
      <c r="F131" s="1036">
        <v>5</v>
      </c>
      <c r="G131" s="1035">
        <v>10</v>
      </c>
      <c r="H131" s="1035">
        <v>1</v>
      </c>
      <c r="I131" s="1035">
        <v>2</v>
      </c>
      <c r="J131" s="1035">
        <v>4</v>
      </c>
      <c r="K131" s="1035">
        <v>1</v>
      </c>
      <c r="L131" s="3830" t="str">
        <f t="shared" si="10"/>
        <v>Habilidad De Esquiva Limitada+40</v>
      </c>
      <c r="M131" s="219"/>
      <c r="N131" s="7169"/>
      <c r="O131" s="76" t="s">
        <v>3017</v>
      </c>
      <c r="P131" s="76" t="str">
        <f t="shared" si="11"/>
        <v>'Tablas Técnicas'!$P$212:$P$212</v>
      </c>
      <c r="Q131" s="3850" t="s">
        <v>3016</v>
      </c>
    </row>
    <row r="132" spans="1:17" ht="12" customHeight="1">
      <c r="A132" s="7172"/>
      <c r="B132" s="7167"/>
      <c r="C132" s="39" t="s">
        <v>8560</v>
      </c>
      <c r="D132" s="76" t="s">
        <v>7059</v>
      </c>
      <c r="E132" s="1035">
        <v>4</v>
      </c>
      <c r="F132" s="1036">
        <v>6</v>
      </c>
      <c r="G132" s="1035">
        <v>10</v>
      </c>
      <c r="H132" s="1035">
        <v>2</v>
      </c>
      <c r="I132" s="1035">
        <v>4</v>
      </c>
      <c r="J132" s="1035">
        <v>7</v>
      </c>
      <c r="K132" s="1035">
        <v>1</v>
      </c>
      <c r="L132" s="3830" t="str">
        <f t="shared" si="10"/>
        <v>Habilidad De Esquiva Limitada+50</v>
      </c>
      <c r="M132" s="219"/>
      <c r="N132" s="7169"/>
      <c r="O132" s="76" t="s">
        <v>8536</v>
      </c>
      <c r="P132" s="76" t="str">
        <f t="shared" si="11"/>
        <v>'Tablas Técnicas'!$P$214:$P$216</v>
      </c>
      <c r="Q132" s="3850" t="s">
        <v>3016</v>
      </c>
    </row>
    <row r="133" spans="1:17" ht="12" customHeight="1">
      <c r="A133" s="7172"/>
      <c r="B133" s="7167"/>
      <c r="C133" s="39" t="s">
        <v>8560</v>
      </c>
      <c r="D133" s="76" t="s">
        <v>8392</v>
      </c>
      <c r="E133" s="1035">
        <v>6</v>
      </c>
      <c r="F133" s="1036">
        <v>9</v>
      </c>
      <c r="G133" s="1035">
        <v>15</v>
      </c>
      <c r="H133" s="1035">
        <v>3</v>
      </c>
      <c r="I133" s="1035">
        <v>6</v>
      </c>
      <c r="J133" s="1035">
        <v>11</v>
      </c>
      <c r="K133" s="1035">
        <v>1</v>
      </c>
      <c r="L133" s="3830" t="str">
        <f t="shared" si="10"/>
        <v>Habilidad De Esquiva Limitada+75</v>
      </c>
      <c r="M133" s="219"/>
      <c r="N133" s="7169"/>
      <c r="O133" s="76" t="s">
        <v>8537</v>
      </c>
      <c r="P133" s="76" t="str">
        <f t="shared" si="11"/>
        <v>'Tablas Técnicas'!$P$218:$P$219</v>
      </c>
      <c r="Q133" s="3850" t="s">
        <v>3016</v>
      </c>
    </row>
    <row r="134" spans="1:17" ht="12" customHeight="1">
      <c r="A134" s="7172"/>
      <c r="B134" s="7167"/>
      <c r="C134" s="3831" t="s">
        <v>8560</v>
      </c>
      <c r="D134" s="3832" t="s">
        <v>8396</v>
      </c>
      <c r="E134" s="3833">
        <v>8</v>
      </c>
      <c r="F134" s="3834">
        <v>11</v>
      </c>
      <c r="G134" s="3833">
        <v>20</v>
      </c>
      <c r="H134" s="3833">
        <v>4</v>
      </c>
      <c r="I134" s="3833">
        <v>8</v>
      </c>
      <c r="J134" s="3833">
        <v>14</v>
      </c>
      <c r="K134" s="3833">
        <v>2</v>
      </c>
      <c r="L134" s="3835" t="str">
        <f t="shared" si="10"/>
        <v>Habilidad De Esquiva Limitada+90</v>
      </c>
      <c r="M134" s="219"/>
      <c r="N134" s="7169"/>
      <c r="O134" s="76" t="s">
        <v>8538</v>
      </c>
      <c r="P134" s="76" t="str">
        <f t="shared" si="11"/>
        <v>'Tablas Técnicas'!$P$221:$P$226</v>
      </c>
      <c r="Q134" s="3850" t="s">
        <v>3016</v>
      </c>
    </row>
    <row r="135" spans="1:17" ht="12" customHeight="1">
      <c r="A135" s="7172"/>
      <c r="B135" s="7167"/>
      <c r="C135" s="3831" t="s">
        <v>8560</v>
      </c>
      <c r="D135" s="3832" t="s">
        <v>8399</v>
      </c>
      <c r="E135" s="3833">
        <v>10</v>
      </c>
      <c r="F135" s="3834">
        <v>13</v>
      </c>
      <c r="G135" s="3833">
        <v>25</v>
      </c>
      <c r="H135" s="3833">
        <v>6</v>
      </c>
      <c r="I135" s="3833">
        <v>12</v>
      </c>
      <c r="J135" s="3833">
        <v>21</v>
      </c>
      <c r="K135" s="3833">
        <v>2</v>
      </c>
      <c r="L135" s="3835" t="str">
        <f t="shared" si="10"/>
        <v>Habilidad De Esquiva Limitada+100</v>
      </c>
      <c r="M135" s="219"/>
      <c r="N135" s="7169"/>
      <c r="O135" s="76" t="s">
        <v>8539</v>
      </c>
      <c r="P135" s="76" t="str">
        <f t="shared" si="11"/>
        <v>'Tablas Técnicas'!$P$228:$P$237</v>
      </c>
      <c r="Q135" s="3850" t="s">
        <v>3016</v>
      </c>
    </row>
    <row r="136" spans="1:17" ht="12" customHeight="1">
      <c r="A136" s="7172"/>
      <c r="B136" s="7167"/>
      <c r="C136" s="3831" t="s">
        <v>8560</v>
      </c>
      <c r="D136" s="3832" t="s">
        <v>8400</v>
      </c>
      <c r="E136" s="3833">
        <v>12</v>
      </c>
      <c r="F136" s="3834">
        <v>15</v>
      </c>
      <c r="G136" s="3833">
        <v>30</v>
      </c>
      <c r="H136" s="3833">
        <v>8</v>
      </c>
      <c r="I136" s="3833">
        <v>16</v>
      </c>
      <c r="J136" s="3833">
        <v>28</v>
      </c>
      <c r="K136" s="3833">
        <v>2</v>
      </c>
      <c r="L136" s="3835" t="str">
        <f t="shared" si="10"/>
        <v>Habilidad De Esquiva Limitada+125</v>
      </c>
      <c r="M136" s="219"/>
      <c r="N136" s="7169"/>
      <c r="O136" s="76" t="s">
        <v>3018</v>
      </c>
      <c r="P136" s="76" t="str">
        <f t="shared" si="11"/>
        <v>'Tablas Técnicas'!$P$239:$P$239</v>
      </c>
      <c r="Q136" s="3850" t="s">
        <v>1093</v>
      </c>
    </row>
    <row r="137" spans="1:17" ht="12" customHeight="1">
      <c r="A137" s="7172"/>
      <c r="B137" s="7167"/>
      <c r="C137" s="3831" t="s">
        <v>8560</v>
      </c>
      <c r="D137" s="3832" t="s">
        <v>8402</v>
      </c>
      <c r="E137" s="3833">
        <v>16</v>
      </c>
      <c r="F137" s="3834">
        <v>20</v>
      </c>
      <c r="G137" s="3833">
        <v>35</v>
      </c>
      <c r="H137" s="3833">
        <v>10</v>
      </c>
      <c r="I137" s="3833">
        <v>20</v>
      </c>
      <c r="J137" s="3833">
        <v>35</v>
      </c>
      <c r="K137" s="3833">
        <v>3</v>
      </c>
      <c r="L137" s="3835" t="str">
        <f t="shared" si="10"/>
        <v>Habilidad De Esquiva Limitada+150</v>
      </c>
      <c r="M137" s="219"/>
      <c r="N137" s="7169"/>
      <c r="O137" s="76" t="s">
        <v>3019</v>
      </c>
      <c r="P137" s="76" t="str">
        <f t="shared" si="11"/>
        <v>'Tablas Técnicas'!$P$241:$P$242</v>
      </c>
      <c r="Q137" s="3850" t="s">
        <v>3016</v>
      </c>
    </row>
    <row r="138" spans="1:17" ht="12" customHeight="1">
      <c r="A138" s="7172"/>
      <c r="B138" s="7167"/>
      <c r="C138" s="3831" t="s">
        <v>8560</v>
      </c>
      <c r="D138" s="3832" t="s">
        <v>8405</v>
      </c>
      <c r="E138" s="3833">
        <v>20</v>
      </c>
      <c r="F138" s="3834">
        <v>24</v>
      </c>
      <c r="G138" s="3833">
        <v>40</v>
      </c>
      <c r="H138" s="3833">
        <v>12</v>
      </c>
      <c r="I138" s="3833">
        <v>24</v>
      </c>
      <c r="J138" s="3833">
        <v>42</v>
      </c>
      <c r="K138" s="3833">
        <v>3</v>
      </c>
      <c r="L138" s="3835" t="str">
        <f t="shared" si="10"/>
        <v>Habilidad De Esquiva Limitada+175</v>
      </c>
      <c r="M138" s="219"/>
      <c r="N138" s="7169"/>
      <c r="O138" s="76" t="s">
        <v>9626</v>
      </c>
      <c r="P138" s="76" t="str">
        <f t="shared" si="11"/>
        <v>'Tablas Técnicas'!$P$245:$P$245</v>
      </c>
      <c r="Q138" s="3850" t="s">
        <v>3016</v>
      </c>
    </row>
    <row r="139" spans="1:17" ht="12" customHeight="1">
      <c r="A139" s="7172"/>
      <c r="B139" s="7167"/>
      <c r="C139" s="3831" t="s">
        <v>8560</v>
      </c>
      <c r="D139" s="3832" t="s">
        <v>8407</v>
      </c>
      <c r="E139" s="3833">
        <v>24</v>
      </c>
      <c r="F139" s="3834">
        <v>29</v>
      </c>
      <c r="G139" s="3833">
        <v>45</v>
      </c>
      <c r="H139" s="3833">
        <v>14</v>
      </c>
      <c r="I139" s="3833">
        <v>28</v>
      </c>
      <c r="J139" s="3833">
        <v>49</v>
      </c>
      <c r="K139" s="3833">
        <v>3</v>
      </c>
      <c r="L139" s="3835" t="str">
        <f t="shared" ref="L139:L202" si="12">C139&amp;D139</f>
        <v>Habilidad De Esquiva Limitada+200</v>
      </c>
      <c r="M139" s="219"/>
      <c r="N139" s="7169"/>
      <c r="O139" s="76" t="s">
        <v>8540</v>
      </c>
      <c r="P139" s="76" t="str">
        <f t="shared" si="11"/>
        <v>'Tablas Técnicas'!$P$247:$P$249</v>
      </c>
      <c r="Q139" s="3850" t="s">
        <v>3016</v>
      </c>
    </row>
    <row r="140" spans="1:17" ht="12" customHeight="1">
      <c r="A140" s="7172"/>
      <c r="B140" s="7167"/>
      <c r="C140" s="39" t="s">
        <v>11806</v>
      </c>
      <c r="D140" s="76"/>
      <c r="E140" s="1035"/>
      <c r="F140" s="1036"/>
      <c r="G140" s="1035"/>
      <c r="H140" s="1035"/>
      <c r="I140" s="1035"/>
      <c r="J140" s="1035"/>
      <c r="K140" s="1035"/>
      <c r="L140" s="3830" t="str">
        <f t="shared" si="12"/>
        <v>&gt; DEFENSA DETERMINADA</v>
      </c>
      <c r="M140" s="219"/>
      <c r="N140" s="7169"/>
      <c r="O140" s="76" t="s">
        <v>8541</v>
      </c>
      <c r="P140" s="76" t="str">
        <f t="shared" si="11"/>
        <v>'Tablas Técnicas'!$P$251:$P$255</v>
      </c>
      <c r="Q140" s="3850" t="s">
        <v>3016</v>
      </c>
    </row>
    <row r="141" spans="1:17" ht="12" customHeight="1">
      <c r="A141" s="7172"/>
      <c r="B141" s="7167"/>
      <c r="C141" s="3831" t="s">
        <v>11807</v>
      </c>
      <c r="D141" s="3832" t="s">
        <v>11798</v>
      </c>
      <c r="E141" s="3833">
        <v>2</v>
      </c>
      <c r="F141" s="3834">
        <v>4</v>
      </c>
      <c r="G141" s="3833">
        <v>5</v>
      </c>
      <c r="H141" s="3833">
        <v>1</v>
      </c>
      <c r="I141" s="3833">
        <v>2</v>
      </c>
      <c r="J141" s="3833">
        <v>4</v>
      </c>
      <c r="K141" s="3833">
        <v>1</v>
      </c>
      <c r="L141" s="3835" t="str">
        <f t="shared" si="12"/>
        <v>Defensa DeterminadaPresencia + 40</v>
      </c>
      <c r="M141" s="219"/>
      <c r="N141" s="7169"/>
      <c r="O141" s="3832" t="s">
        <v>11818</v>
      </c>
      <c r="P141" s="3832" t="str">
        <f t="shared" si="11"/>
        <v>'Tablas Técnicas'!$P$257:$P$259</v>
      </c>
      <c r="Q141" s="3851" t="s">
        <v>1093</v>
      </c>
    </row>
    <row r="142" spans="1:17" ht="12" customHeight="1">
      <c r="A142" s="7172"/>
      <c r="B142" s="7167"/>
      <c r="C142" s="3831" t="s">
        <v>11807</v>
      </c>
      <c r="D142" s="3832" t="s">
        <v>11799</v>
      </c>
      <c r="E142" s="3833">
        <v>4</v>
      </c>
      <c r="F142" s="3834">
        <v>6</v>
      </c>
      <c r="G142" s="3833">
        <v>5</v>
      </c>
      <c r="H142" s="3833">
        <v>2</v>
      </c>
      <c r="I142" s="3833">
        <v>4</v>
      </c>
      <c r="J142" s="3833">
        <v>7</v>
      </c>
      <c r="K142" s="3833">
        <v>1</v>
      </c>
      <c r="L142" s="3835" t="str">
        <f t="shared" si="12"/>
        <v>Defensa DeterminadaPresencia + 60</v>
      </c>
      <c r="M142" s="219"/>
      <c r="N142" s="7169"/>
      <c r="O142" s="3832" t="s">
        <v>11819</v>
      </c>
      <c r="P142" s="3832" t="str">
        <f t="shared" si="11"/>
        <v>'Tablas Técnicas'!$P$261:$P$261</v>
      </c>
      <c r="Q142" s="3851" t="s">
        <v>1093</v>
      </c>
    </row>
    <row r="143" spans="1:17" ht="12" customHeight="1">
      <c r="A143" s="7172"/>
      <c r="B143" s="7167"/>
      <c r="C143" s="3831" t="s">
        <v>11807</v>
      </c>
      <c r="D143" s="3832" t="s">
        <v>11800</v>
      </c>
      <c r="E143" s="3833">
        <v>6</v>
      </c>
      <c r="F143" s="3834">
        <v>9</v>
      </c>
      <c r="G143" s="3833">
        <v>5</v>
      </c>
      <c r="H143" s="3833">
        <v>3</v>
      </c>
      <c r="I143" s="3833">
        <v>6</v>
      </c>
      <c r="J143" s="3833">
        <v>11</v>
      </c>
      <c r="K143" s="3833">
        <v>1</v>
      </c>
      <c r="L143" s="3835" t="str">
        <f t="shared" si="12"/>
        <v>Defensa DeterminadaPresencia + 80</v>
      </c>
      <c r="M143" s="219"/>
      <c r="N143" s="7169"/>
      <c r="O143" s="76" t="s">
        <v>8346</v>
      </c>
      <c r="P143" s="76"/>
      <c r="Q143" s="3850"/>
    </row>
    <row r="144" spans="1:17" ht="12" customHeight="1">
      <c r="A144" s="7172"/>
      <c r="B144" s="7167"/>
      <c r="C144" s="3831" t="s">
        <v>11807</v>
      </c>
      <c r="D144" s="3832" t="s">
        <v>11801</v>
      </c>
      <c r="E144" s="3833">
        <v>8</v>
      </c>
      <c r="F144" s="3834">
        <v>11</v>
      </c>
      <c r="G144" s="3833">
        <v>10</v>
      </c>
      <c r="H144" s="3833">
        <v>4</v>
      </c>
      <c r="I144" s="3833">
        <v>8</v>
      </c>
      <c r="J144" s="3833">
        <v>14</v>
      </c>
      <c r="K144" s="3833">
        <v>1</v>
      </c>
      <c r="L144" s="3835" t="str">
        <f t="shared" si="12"/>
        <v>Defensa DeterminadaPresencia + 100</v>
      </c>
      <c r="M144" s="219"/>
      <c r="N144" s="7169"/>
      <c r="O144" s="76" t="str">
        <f>IF(Personalización!F79="","Desventaja Personalizada #1",Personalización!F79)</f>
        <v>Desventaja Personalizada #1</v>
      </c>
      <c r="P144" s="76" t="str">
        <f>IF(ISNUMBER(FIND("&gt;&gt;",O144)),"","'Tablas Técnicas'!"&amp;ADDRESS(ROW($P$151)+MATCH(O144,$O$152:$O$267,0),COLUMN($P$151))&amp;":"&amp;ADDRESS(ROW($P$151)+MATCH(O144,$O$152:$O$267,0)+COUNTIF($O$152:$O$267,O144)-1,COLUMN($P$151)))</f>
        <v>'Tablas Técnicas'!$P$263:$P$263</v>
      </c>
      <c r="Q144" s="3850" t="str">
        <f>IF(Personalización!O78="","",Personalización!O78)</f>
        <v>Clase</v>
      </c>
    </row>
    <row r="145" spans="1:19" ht="12" customHeight="1">
      <c r="A145" s="7172"/>
      <c r="B145" s="7167"/>
      <c r="C145" s="3831" t="s">
        <v>11807</v>
      </c>
      <c r="D145" s="3832" t="s">
        <v>11802</v>
      </c>
      <c r="E145" s="3833">
        <v>12</v>
      </c>
      <c r="F145" s="3834">
        <v>15</v>
      </c>
      <c r="G145" s="3833">
        <v>15</v>
      </c>
      <c r="H145" s="3833">
        <v>6</v>
      </c>
      <c r="I145" s="3833">
        <v>12</v>
      </c>
      <c r="J145" s="3833">
        <v>21</v>
      </c>
      <c r="K145" s="3833">
        <v>1</v>
      </c>
      <c r="L145" s="3835" t="str">
        <f t="shared" si="12"/>
        <v>Defensa DeterminadaPresencia + 120</v>
      </c>
      <c r="M145" s="219"/>
      <c r="N145" s="7169"/>
      <c r="O145" s="76" t="str">
        <f>IF(Personalización!F80="","Desventaja Personalizada #2",Personalización!F80)</f>
        <v>Desventaja Personalizada #2</v>
      </c>
      <c r="P145" s="76" t="str">
        <f>IF(ISNUMBER(FIND("&gt;&gt;",O145)),"","'Tablas Técnicas'!"&amp;ADDRESS(ROW($P$151)+MATCH(O145,$O$152:$O$267,0),COLUMN($P$151))&amp;":"&amp;ADDRESS(ROW($P$151)+MATCH(O145,$O$152:$O$267,0)+COUNTIF($O$152:$O$267,O145)-1,COLUMN($P$151)))</f>
        <v>'Tablas Técnicas'!$P$265:$P$265</v>
      </c>
      <c r="Q145" s="3850" t="str">
        <f>IF(Personalización!O79="","",Personalización!O79)</f>
        <v/>
      </c>
    </row>
    <row r="146" spans="1:19" ht="12" customHeight="1" thickBot="1">
      <c r="A146" s="7172"/>
      <c r="B146" s="7167"/>
      <c r="C146" s="3831" t="s">
        <v>11807</v>
      </c>
      <c r="D146" s="3832" t="s">
        <v>11803</v>
      </c>
      <c r="E146" s="3833">
        <v>16</v>
      </c>
      <c r="F146" s="3834">
        <v>20</v>
      </c>
      <c r="G146" s="3833">
        <v>25</v>
      </c>
      <c r="H146" s="3833">
        <v>8</v>
      </c>
      <c r="I146" s="3833">
        <v>16</v>
      </c>
      <c r="J146" s="3833">
        <v>28</v>
      </c>
      <c r="K146" s="3833">
        <v>2</v>
      </c>
      <c r="L146" s="3835" t="str">
        <f t="shared" si="12"/>
        <v>Defensa DeterminadaPresencia + 140</v>
      </c>
      <c r="M146" s="219"/>
      <c r="N146" s="7170"/>
      <c r="O146" s="3852" t="str">
        <f>IF(Personalización!F81="","Desventaja Personalizada #3",Personalización!F81)</f>
        <v>Desventaja Personalizada #3</v>
      </c>
      <c r="P146" s="76" t="str">
        <f>IF(ISNUMBER(FIND("&gt;&gt;",O146)),"","'Tablas Técnicas'!"&amp;ADDRESS(ROW($P$151)+MATCH(O146,$O$152:$O$267,0),COLUMN($P$151))&amp;":"&amp;ADDRESS(ROW($P$151)+MATCH(O146,$O$152:$O$267,0)+COUNTIF($O$152:$O$267,O146)-1,COLUMN($P$151)))</f>
        <v>'Tablas Técnicas'!$P$267:$P$267</v>
      </c>
      <c r="Q146" s="3853" t="str">
        <f>IF(Personalización!O80="","",Personalización!O80)</f>
        <v/>
      </c>
    </row>
    <row r="147" spans="1:19" ht="12" customHeight="1" thickBot="1">
      <c r="A147" s="7172"/>
      <c r="B147" s="7167"/>
      <c r="C147" s="3831" t="s">
        <v>11807</v>
      </c>
      <c r="D147" s="3832" t="s">
        <v>11804</v>
      </c>
      <c r="E147" s="3833">
        <v>20</v>
      </c>
      <c r="F147" s="3834">
        <v>24</v>
      </c>
      <c r="G147" s="3833">
        <v>35</v>
      </c>
      <c r="H147" s="3833">
        <v>10</v>
      </c>
      <c r="I147" s="3833">
        <v>20</v>
      </c>
      <c r="J147" s="3833">
        <v>35</v>
      </c>
      <c r="K147" s="3833">
        <v>2</v>
      </c>
      <c r="L147" s="3835" t="str">
        <f t="shared" si="12"/>
        <v>Defensa DeterminadaPresencia + 180</v>
      </c>
      <c r="M147" s="219"/>
    </row>
    <row r="148" spans="1:19" ht="12" customHeight="1">
      <c r="A148" s="7172"/>
      <c r="B148" s="7167"/>
      <c r="C148" s="3831" t="s">
        <v>11807</v>
      </c>
      <c r="D148" s="3832" t="s">
        <v>11805</v>
      </c>
      <c r="E148" s="3833">
        <v>26</v>
      </c>
      <c r="F148" s="3834">
        <v>32</v>
      </c>
      <c r="G148" s="3833">
        <v>45</v>
      </c>
      <c r="H148" s="3833">
        <v>12</v>
      </c>
      <c r="I148" s="3833">
        <v>24</v>
      </c>
      <c r="J148" s="3833">
        <v>42</v>
      </c>
      <c r="K148" s="3833">
        <v>3</v>
      </c>
      <c r="L148" s="3835" t="str">
        <f t="shared" si="12"/>
        <v>Defensa DeterminadaPresencia + 200</v>
      </c>
      <c r="M148" s="219"/>
      <c r="N148" s="7171"/>
      <c r="O148" s="7150" t="s">
        <v>8544</v>
      </c>
      <c r="P148" s="7150"/>
      <c r="Q148" s="7150"/>
      <c r="R148" s="7150"/>
      <c r="S148" s="7151"/>
    </row>
    <row r="149" spans="1:19" ht="12" customHeight="1">
      <c r="A149" s="7172"/>
      <c r="B149" s="7167"/>
      <c r="C149" s="39" t="s">
        <v>8578</v>
      </c>
      <c r="D149" s="76"/>
      <c r="E149" s="1035"/>
      <c r="F149" s="1036"/>
      <c r="G149" s="1035"/>
      <c r="H149" s="1035"/>
      <c r="I149" s="1035"/>
      <c r="J149" s="1035"/>
      <c r="K149" s="1035"/>
      <c r="L149" s="3830" t="str">
        <f t="shared" si="12"/>
        <v>&gt;&gt;EFECTOS DESTRUCTIVOS</v>
      </c>
      <c r="M149" s="219"/>
      <c r="N149" s="7164"/>
      <c r="O149" s="6493"/>
      <c r="P149" s="6493"/>
      <c r="Q149" s="6493"/>
      <c r="R149" s="6493"/>
      <c r="S149" s="7152"/>
    </row>
    <row r="150" spans="1:19" ht="12" customHeight="1">
      <c r="A150" s="7172"/>
      <c r="B150" s="7167"/>
      <c r="C150" s="39" t="s">
        <v>8580</v>
      </c>
      <c r="D150" s="76"/>
      <c r="E150" s="1035"/>
      <c r="F150" s="1036"/>
      <c r="G150" s="1035"/>
      <c r="H150" s="1035"/>
      <c r="I150" s="1035"/>
      <c r="J150" s="1035"/>
      <c r="K150" s="1035"/>
      <c r="L150" s="3830" t="str">
        <f t="shared" si="12"/>
        <v>&gt; AUMENTO DE DAÑO</v>
      </c>
      <c r="M150" s="219"/>
      <c r="N150" s="7164"/>
      <c r="O150" s="1817" t="s">
        <v>8545</v>
      </c>
      <c r="P150" s="1816" t="s">
        <v>2665</v>
      </c>
      <c r="Q150" s="1817" t="s">
        <v>1359</v>
      </c>
      <c r="R150" s="1817" t="s">
        <v>1262</v>
      </c>
      <c r="S150" s="3849" t="s">
        <v>8011</v>
      </c>
    </row>
    <row r="151" spans="1:19" ht="12" customHeight="1">
      <c r="A151" s="7172"/>
      <c r="B151" s="7167"/>
      <c r="C151" s="39" t="s">
        <v>8581</v>
      </c>
      <c r="D151" s="76" t="s">
        <v>7056</v>
      </c>
      <c r="E151" s="1035">
        <v>1</v>
      </c>
      <c r="F151" s="1036">
        <v>2</v>
      </c>
      <c r="G151" s="1035">
        <v>5</v>
      </c>
      <c r="H151" s="1035">
        <v>1</v>
      </c>
      <c r="I151" s="1035">
        <v>2</v>
      </c>
      <c r="J151" s="1035">
        <v>4</v>
      </c>
      <c r="K151" s="1035">
        <v>1</v>
      </c>
      <c r="L151" s="3830" t="str">
        <f t="shared" si="12"/>
        <v>Aumento De Daño+10</v>
      </c>
      <c r="M151" s="219"/>
      <c r="N151" s="7164"/>
      <c r="O151" s="1817">
        <v>1</v>
      </c>
      <c r="P151" s="1816">
        <v>2</v>
      </c>
      <c r="Q151" s="1817">
        <v>3</v>
      </c>
      <c r="R151" s="1817">
        <v>4</v>
      </c>
      <c r="S151" s="3849">
        <v>5</v>
      </c>
    </row>
    <row r="152" spans="1:19" ht="12" customHeight="1">
      <c r="A152" s="7172"/>
      <c r="B152" s="7167"/>
      <c r="C152" s="39" t="s">
        <v>8581</v>
      </c>
      <c r="D152" s="76" t="s">
        <v>7200</v>
      </c>
      <c r="E152" s="1035">
        <v>2</v>
      </c>
      <c r="F152" s="1036">
        <v>4</v>
      </c>
      <c r="G152" s="1035">
        <v>5</v>
      </c>
      <c r="H152" s="1035">
        <v>1</v>
      </c>
      <c r="I152" s="1035">
        <v>2</v>
      </c>
      <c r="J152" s="1035">
        <v>4</v>
      </c>
      <c r="K152" s="1035">
        <v>1</v>
      </c>
      <c r="L152" s="3830" t="str">
        <f t="shared" si="12"/>
        <v>Aumento De Daño+25</v>
      </c>
      <c r="M152" s="219"/>
      <c r="N152" s="7164"/>
      <c r="O152" s="76" t="s">
        <v>8546</v>
      </c>
      <c r="P152" s="76"/>
      <c r="Q152" s="70"/>
      <c r="R152" s="70"/>
      <c r="S152" s="3830" t="str">
        <f>O152&amp;P152</f>
        <v>&gt; AGOTAMIENTO</v>
      </c>
    </row>
    <row r="153" spans="1:19" ht="12" customHeight="1">
      <c r="A153" s="7172"/>
      <c r="B153" s="7167"/>
      <c r="C153" s="39" t="s">
        <v>8581</v>
      </c>
      <c r="D153" s="76" t="s">
        <v>7058</v>
      </c>
      <c r="E153" s="1035">
        <v>3</v>
      </c>
      <c r="F153" s="1036">
        <v>5</v>
      </c>
      <c r="G153" s="1035">
        <v>10</v>
      </c>
      <c r="H153" s="1035">
        <v>1</v>
      </c>
      <c r="I153" s="1035">
        <v>2</v>
      </c>
      <c r="J153" s="1035">
        <v>4</v>
      </c>
      <c r="K153" s="1035">
        <v>1</v>
      </c>
      <c r="L153" s="3830" t="str">
        <f t="shared" si="12"/>
        <v>Aumento De Daño+40</v>
      </c>
      <c r="M153" s="219"/>
      <c r="N153" s="7164"/>
      <c r="O153" s="3832" t="s">
        <v>8523</v>
      </c>
      <c r="P153" s="3841" t="s">
        <v>11820</v>
      </c>
      <c r="Q153" s="3854">
        <v>-10</v>
      </c>
      <c r="R153" s="3855">
        <v>1</v>
      </c>
      <c r="S153" s="3835" t="str">
        <f t="shared" ref="S153:S216" si="13">O153&amp;P153</f>
        <v>Agotamiento-1 Cansancio</v>
      </c>
    </row>
    <row r="154" spans="1:19" ht="12" customHeight="1">
      <c r="A154" s="7172"/>
      <c r="B154" s="7167"/>
      <c r="C154" s="3831" t="s">
        <v>8581</v>
      </c>
      <c r="D154" s="3832" t="s">
        <v>7059</v>
      </c>
      <c r="E154" s="3833">
        <v>4</v>
      </c>
      <c r="F154" s="3834">
        <v>6</v>
      </c>
      <c r="G154" s="3833">
        <v>15</v>
      </c>
      <c r="H154" s="3833">
        <v>2</v>
      </c>
      <c r="I154" s="3833">
        <v>4</v>
      </c>
      <c r="J154" s="3833">
        <v>7</v>
      </c>
      <c r="K154" s="3833">
        <v>2</v>
      </c>
      <c r="L154" s="3835" t="str">
        <f t="shared" si="12"/>
        <v>Aumento De Daño+50</v>
      </c>
      <c r="M154" s="219"/>
      <c r="N154" s="7164"/>
      <c r="O154" s="3832" t="s">
        <v>8523</v>
      </c>
      <c r="P154" s="3841" t="s">
        <v>11821</v>
      </c>
      <c r="Q154" s="3854">
        <v>-15</v>
      </c>
      <c r="R154" s="3855">
        <v>1</v>
      </c>
      <c r="S154" s="3835" t="str">
        <f t="shared" si="13"/>
        <v>Agotamiento-3 Cansancio</v>
      </c>
    </row>
    <row r="155" spans="1:19" ht="12" customHeight="1">
      <c r="A155" s="7172"/>
      <c r="B155" s="7167"/>
      <c r="C155" s="3831" t="s">
        <v>8581</v>
      </c>
      <c r="D155" s="3832" t="s">
        <v>8392</v>
      </c>
      <c r="E155" s="3833">
        <v>6</v>
      </c>
      <c r="F155" s="3834">
        <v>9</v>
      </c>
      <c r="G155" s="3833">
        <v>20</v>
      </c>
      <c r="H155" s="3833">
        <v>3</v>
      </c>
      <c r="I155" s="3833">
        <v>6</v>
      </c>
      <c r="J155" s="3833">
        <v>11</v>
      </c>
      <c r="K155" s="3833">
        <v>2</v>
      </c>
      <c r="L155" s="3835" t="str">
        <f t="shared" si="12"/>
        <v>Aumento De Daño+75</v>
      </c>
      <c r="M155" s="219"/>
      <c r="N155" s="7164"/>
      <c r="O155" s="3832" t="s">
        <v>8523</v>
      </c>
      <c r="P155" s="3841" t="s">
        <v>11822</v>
      </c>
      <c r="Q155" s="3854">
        <v>-20</v>
      </c>
      <c r="R155" s="3855">
        <v>2</v>
      </c>
      <c r="S155" s="3835" t="str">
        <f t="shared" si="13"/>
        <v>Agotamiento-5 Cansancio</v>
      </c>
    </row>
    <row r="156" spans="1:19" ht="12" customHeight="1">
      <c r="A156" s="7172"/>
      <c r="B156" s="7167"/>
      <c r="C156" s="3831" t="s">
        <v>8581</v>
      </c>
      <c r="D156" s="3832" t="s">
        <v>8396</v>
      </c>
      <c r="E156" s="3833">
        <v>8</v>
      </c>
      <c r="F156" s="3834">
        <v>11</v>
      </c>
      <c r="G156" s="3833">
        <v>25</v>
      </c>
      <c r="H156" s="3833">
        <v>4</v>
      </c>
      <c r="I156" s="3833">
        <v>8</v>
      </c>
      <c r="J156" s="3833">
        <v>14</v>
      </c>
      <c r="K156" s="3833">
        <v>2</v>
      </c>
      <c r="L156" s="3835" t="str">
        <f t="shared" si="12"/>
        <v>Aumento De Daño+90</v>
      </c>
      <c r="M156" s="219"/>
      <c r="N156" s="7164"/>
      <c r="O156" s="76" t="s">
        <v>8547</v>
      </c>
      <c r="P156" s="76"/>
      <c r="Q156" s="70"/>
      <c r="R156" s="70"/>
      <c r="S156" s="3830" t="str">
        <f t="shared" si="13"/>
        <v>&gt; ATADURA ELEMENTAL</v>
      </c>
    </row>
    <row r="157" spans="1:19" ht="12" customHeight="1">
      <c r="A157" s="7172"/>
      <c r="B157" s="7167"/>
      <c r="C157" s="3831" t="s">
        <v>8581</v>
      </c>
      <c r="D157" s="3832" t="s">
        <v>8399</v>
      </c>
      <c r="E157" s="3833">
        <v>10</v>
      </c>
      <c r="F157" s="3834">
        <v>13</v>
      </c>
      <c r="G157" s="3833">
        <v>30</v>
      </c>
      <c r="H157" s="3833">
        <v>5</v>
      </c>
      <c r="I157" s="3833">
        <v>10</v>
      </c>
      <c r="J157" s="3833">
        <v>18</v>
      </c>
      <c r="K157" s="3833">
        <v>2</v>
      </c>
      <c r="L157" s="3835" t="str">
        <f t="shared" si="12"/>
        <v>Aumento De Daño+100</v>
      </c>
      <c r="M157" s="219"/>
      <c r="N157" s="7164"/>
      <c r="O157" s="3832" t="s">
        <v>8357</v>
      </c>
      <c r="P157" s="3832" t="s">
        <v>8548</v>
      </c>
      <c r="Q157" s="3855">
        <v>-15</v>
      </c>
      <c r="R157" s="3855">
        <v>1</v>
      </c>
      <c r="S157" s="3835" t="str">
        <f t="shared" si="13"/>
        <v>Atadura ElementalA Un Elemento</v>
      </c>
    </row>
    <row r="158" spans="1:19" ht="12" customHeight="1">
      <c r="A158" s="7172"/>
      <c r="B158" s="7167"/>
      <c r="C158" s="3831" t="s">
        <v>8581</v>
      </c>
      <c r="D158" s="3832" t="s">
        <v>8400</v>
      </c>
      <c r="E158" s="3833">
        <v>14</v>
      </c>
      <c r="F158" s="3834">
        <v>18</v>
      </c>
      <c r="G158" s="3833">
        <v>35</v>
      </c>
      <c r="H158" s="3833">
        <v>6</v>
      </c>
      <c r="I158" s="3833">
        <v>12</v>
      </c>
      <c r="J158" s="3833">
        <v>21</v>
      </c>
      <c r="K158" s="3833">
        <v>3</v>
      </c>
      <c r="L158" s="3835" t="str">
        <f t="shared" si="12"/>
        <v>Aumento De Daño+125</v>
      </c>
      <c r="M158" s="219"/>
      <c r="N158" s="7164"/>
      <c r="O158" s="3832" t="s">
        <v>8357</v>
      </c>
      <c r="P158" s="3832" t="s">
        <v>8358</v>
      </c>
      <c r="Q158" s="3855">
        <v>-10</v>
      </c>
      <c r="R158" s="3855">
        <v>1</v>
      </c>
      <c r="S158" s="3835" t="str">
        <f t="shared" si="13"/>
        <v>Atadura ElementalA Dos Elementos</v>
      </c>
    </row>
    <row r="159" spans="1:19" ht="12" customHeight="1">
      <c r="A159" s="7172"/>
      <c r="B159" s="7167"/>
      <c r="C159" s="3831" t="s">
        <v>8581</v>
      </c>
      <c r="D159" s="3832" t="s">
        <v>8402</v>
      </c>
      <c r="E159" s="3833">
        <v>16</v>
      </c>
      <c r="F159" s="3834">
        <v>20</v>
      </c>
      <c r="G159" s="3833">
        <v>40</v>
      </c>
      <c r="H159" s="3833">
        <v>8</v>
      </c>
      <c r="I159" s="3833">
        <v>16</v>
      </c>
      <c r="J159" s="3833">
        <v>28</v>
      </c>
      <c r="K159" s="3833">
        <v>3</v>
      </c>
      <c r="L159" s="3835" t="str">
        <f t="shared" si="12"/>
        <v>Aumento De Daño+150</v>
      </c>
      <c r="M159" s="219"/>
      <c r="N159" s="7164"/>
      <c r="O159" s="76" t="s">
        <v>8550</v>
      </c>
      <c r="P159" s="76"/>
      <c r="Q159" s="70"/>
      <c r="R159" s="70"/>
      <c r="S159" s="3830" t="str">
        <f t="shared" si="13"/>
        <v>&gt; ATAQUE ESPECIALIZADO</v>
      </c>
    </row>
    <row r="160" spans="1:19" ht="12" customHeight="1">
      <c r="A160" s="7172"/>
      <c r="B160" s="7167"/>
      <c r="C160" s="3831" t="s">
        <v>8581</v>
      </c>
      <c r="D160" s="3832" t="s">
        <v>8405</v>
      </c>
      <c r="E160" s="3833">
        <v>18</v>
      </c>
      <c r="F160" s="3834">
        <v>22</v>
      </c>
      <c r="G160" s="3833">
        <v>45</v>
      </c>
      <c r="H160" s="3833">
        <v>10</v>
      </c>
      <c r="I160" s="3833">
        <v>20</v>
      </c>
      <c r="J160" s="3833">
        <v>35</v>
      </c>
      <c r="K160" s="3833">
        <v>3</v>
      </c>
      <c r="L160" s="3835" t="str">
        <f t="shared" si="12"/>
        <v>Aumento De Daño+175</v>
      </c>
      <c r="M160" s="219"/>
      <c r="N160" s="7164"/>
      <c r="O160" s="76" t="s">
        <v>8524</v>
      </c>
      <c r="P160" s="76" t="s">
        <v>8552</v>
      </c>
      <c r="Q160" s="70">
        <v>-10</v>
      </c>
      <c r="R160" s="70">
        <v>1</v>
      </c>
      <c r="S160" s="3830" t="str">
        <f t="shared" si="13"/>
        <v>Ataque EspecializadoParada</v>
      </c>
    </row>
    <row r="161" spans="1:19" ht="12" customHeight="1">
      <c r="A161" s="7172"/>
      <c r="B161" s="7167"/>
      <c r="C161" s="3831" t="s">
        <v>8581</v>
      </c>
      <c r="D161" s="3832" t="s">
        <v>8407</v>
      </c>
      <c r="E161" s="3833">
        <v>20</v>
      </c>
      <c r="F161" s="3834">
        <v>24</v>
      </c>
      <c r="G161" s="3833">
        <v>50</v>
      </c>
      <c r="H161" s="3833">
        <v>12</v>
      </c>
      <c r="I161" s="3833">
        <v>24</v>
      </c>
      <c r="J161" s="3833">
        <v>42</v>
      </c>
      <c r="K161" s="3833">
        <v>3</v>
      </c>
      <c r="L161" s="3835" t="str">
        <f t="shared" si="12"/>
        <v>Aumento De Daño+200</v>
      </c>
      <c r="M161" s="219"/>
      <c r="N161" s="7164"/>
      <c r="O161" s="76" t="s">
        <v>8524</v>
      </c>
      <c r="P161" s="76" t="s">
        <v>8553</v>
      </c>
      <c r="Q161" s="70">
        <v>-10</v>
      </c>
      <c r="R161" s="70">
        <v>1</v>
      </c>
      <c r="S161" s="3830" t="str">
        <f t="shared" si="13"/>
        <v>Ataque EspecializadoEsquiva</v>
      </c>
    </row>
    <row r="162" spans="1:19" ht="12" customHeight="1">
      <c r="A162" s="7172"/>
      <c r="B162" s="7167"/>
      <c r="C162" s="39" t="s">
        <v>8581</v>
      </c>
      <c r="D162" s="76" t="s">
        <v>2955</v>
      </c>
      <c r="E162" s="1035">
        <v>4</v>
      </c>
      <c r="F162" s="1036">
        <v>4</v>
      </c>
      <c r="G162" s="1035">
        <v>15</v>
      </c>
      <c r="H162" s="1035">
        <v>3</v>
      </c>
      <c r="I162" s="1035">
        <v>6</v>
      </c>
      <c r="J162" s="1035">
        <v>11</v>
      </c>
      <c r="K162" s="1035"/>
      <c r="L162" s="3830" t="str">
        <f t="shared" si="12"/>
        <v>Aumento De DañoSacrificio Vital</v>
      </c>
      <c r="M162" s="219"/>
      <c r="N162" s="7164"/>
      <c r="O162" s="76" t="s">
        <v>8524</v>
      </c>
      <c r="P162" s="76" t="s">
        <v>1540</v>
      </c>
      <c r="Q162" s="70">
        <v>-10</v>
      </c>
      <c r="R162" s="70">
        <v>1</v>
      </c>
      <c r="S162" s="3830" t="str">
        <f t="shared" si="13"/>
        <v>Ataque EspecializadoAcumulación</v>
      </c>
    </row>
    <row r="163" spans="1:19" ht="12" customHeight="1">
      <c r="A163" s="7172"/>
      <c r="B163" s="7167"/>
      <c r="C163" s="39" t="s">
        <v>8581</v>
      </c>
      <c r="D163" s="76" t="s">
        <v>2958</v>
      </c>
      <c r="E163" s="1035">
        <v>10</v>
      </c>
      <c r="F163" s="1036">
        <v>10</v>
      </c>
      <c r="G163" s="1035">
        <v>50</v>
      </c>
      <c r="H163" s="1035">
        <v>4</v>
      </c>
      <c r="I163" s="1035">
        <v>8</v>
      </c>
      <c r="J163" s="1035">
        <v>14</v>
      </c>
      <c r="K163" s="1035"/>
      <c r="L163" s="3830" t="str">
        <f t="shared" si="12"/>
        <v>Aumento De DañoSacrificio Vital Doble</v>
      </c>
      <c r="M163" s="219"/>
      <c r="N163" s="7164"/>
      <c r="O163" s="76" t="s">
        <v>8554</v>
      </c>
      <c r="P163" s="76"/>
      <c r="Q163" s="70"/>
      <c r="R163" s="70"/>
      <c r="S163" s="3830" t="str">
        <f t="shared" si="13"/>
        <v>&gt; ATADA A UN ARMA</v>
      </c>
    </row>
    <row r="164" spans="1:19" ht="12" customHeight="1">
      <c r="A164" s="7172"/>
      <c r="B164" s="7167"/>
      <c r="C164" s="39" t="s">
        <v>8581</v>
      </c>
      <c r="D164" s="76" t="s">
        <v>2961</v>
      </c>
      <c r="E164" s="1035">
        <v>2</v>
      </c>
      <c r="F164" s="1036">
        <v>2</v>
      </c>
      <c r="G164" s="1035">
        <v>10</v>
      </c>
      <c r="H164" s="1035">
        <v>2</v>
      </c>
      <c r="I164" s="1035">
        <v>4</v>
      </c>
      <c r="J164" s="1035">
        <v>7</v>
      </c>
      <c r="K164" s="1035"/>
      <c r="L164" s="3830" t="str">
        <f t="shared" si="12"/>
        <v>Aumento De DañoSacrificio de Salud</v>
      </c>
      <c r="M164" s="219"/>
      <c r="N164" s="7164"/>
      <c r="O164" s="76" t="s">
        <v>8526</v>
      </c>
      <c r="P164" s="76" t="s">
        <v>8555</v>
      </c>
      <c r="Q164" s="3856">
        <v>-10</v>
      </c>
      <c r="R164" s="70">
        <v>1</v>
      </c>
      <c r="S164" s="3830" t="str">
        <f t="shared" si="13"/>
        <v>Atada A Un ArmaGenérica</v>
      </c>
    </row>
    <row r="165" spans="1:19" ht="12" customHeight="1">
      <c r="A165" s="7172"/>
      <c r="B165" s="7167"/>
      <c r="C165" s="39" t="s">
        <v>8581</v>
      </c>
      <c r="D165" s="76" t="s">
        <v>2964</v>
      </c>
      <c r="E165" s="1035">
        <v>2</v>
      </c>
      <c r="F165" s="1036">
        <v>2</v>
      </c>
      <c r="G165" s="1035">
        <v>10</v>
      </c>
      <c r="H165" s="1035">
        <v>2</v>
      </c>
      <c r="I165" s="1035">
        <v>4</v>
      </c>
      <c r="J165" s="1035">
        <v>7</v>
      </c>
      <c r="K165" s="1035"/>
      <c r="L165" s="3830" t="str">
        <f t="shared" si="12"/>
        <v>Aumento De DañoSacrificio de Características</v>
      </c>
      <c r="M165" s="219"/>
      <c r="N165" s="7164"/>
      <c r="O165" s="76" t="s">
        <v>8526</v>
      </c>
      <c r="P165" s="76" t="s">
        <v>8556</v>
      </c>
      <c r="Q165" s="3856">
        <v>-15</v>
      </c>
      <c r="R165" s="70">
        <v>1</v>
      </c>
      <c r="S165" s="3830" t="str">
        <f t="shared" si="13"/>
        <v>Atada A Un ArmaÚnica</v>
      </c>
    </row>
    <row r="166" spans="1:19" ht="12" customHeight="1">
      <c r="A166" s="7172"/>
      <c r="B166" s="7167"/>
      <c r="C166" s="39" t="s">
        <v>8581</v>
      </c>
      <c r="D166" s="76" t="s">
        <v>2969</v>
      </c>
      <c r="E166" s="1035">
        <v>12</v>
      </c>
      <c r="F166" s="1036">
        <v>12</v>
      </c>
      <c r="G166" s="1035">
        <v>30</v>
      </c>
      <c r="H166" s="1035">
        <v>4</v>
      </c>
      <c r="I166" s="1035">
        <v>8</v>
      </c>
      <c r="J166" s="1035">
        <v>14</v>
      </c>
      <c r="K166" s="1035"/>
      <c r="L166" s="3830" t="str">
        <f t="shared" si="12"/>
        <v>Aumento De DañoDaño Límite</v>
      </c>
      <c r="M166" s="219"/>
      <c r="N166" s="7164"/>
      <c r="O166" s="76" t="s">
        <v>8557</v>
      </c>
      <c r="P166" s="76"/>
      <c r="Q166" s="70"/>
      <c r="R166" s="70"/>
      <c r="S166" s="3830" t="str">
        <f t="shared" si="13"/>
        <v>&gt; CIRCUNSTANCIA LÍMITE</v>
      </c>
    </row>
    <row r="167" spans="1:19" ht="12" customHeight="1">
      <c r="A167" s="7172"/>
      <c r="B167" s="7167"/>
      <c r="C167" s="39" t="s">
        <v>8591</v>
      </c>
      <c r="D167" s="76"/>
      <c r="E167" s="1035"/>
      <c r="F167" s="1036"/>
      <c r="G167" s="1035"/>
      <c r="H167" s="1035"/>
      <c r="I167" s="1035"/>
      <c r="J167" s="1035"/>
      <c r="K167" s="1035"/>
      <c r="L167" s="3830" t="str">
        <f t="shared" si="12"/>
        <v>&gt; AUMENTO DE DAÑO REAL</v>
      </c>
      <c r="M167" s="219"/>
      <c r="N167" s="7164"/>
      <c r="O167" s="76" t="s">
        <v>8528</v>
      </c>
      <c r="P167" s="76" t="s">
        <v>8559</v>
      </c>
      <c r="Q167" s="70">
        <v>-10</v>
      </c>
      <c r="R167" s="70">
        <v>1</v>
      </c>
      <c r="S167" s="3830" t="str">
        <f t="shared" si="13"/>
        <v>Circunstancia LímiteMitad de PV</v>
      </c>
    </row>
    <row r="168" spans="1:19" ht="12" customHeight="1">
      <c r="A168" s="7172"/>
      <c r="B168" s="7167"/>
      <c r="C168" s="39" t="s">
        <v>8592</v>
      </c>
      <c r="D168" s="76" t="s">
        <v>7056</v>
      </c>
      <c r="E168" s="1035">
        <v>2</v>
      </c>
      <c r="F168" s="1036">
        <v>4</v>
      </c>
      <c r="G168" s="1035">
        <v>10</v>
      </c>
      <c r="H168" s="1035">
        <v>1</v>
      </c>
      <c r="I168" s="1035">
        <v>2</v>
      </c>
      <c r="J168" s="1035">
        <v>4</v>
      </c>
      <c r="K168" s="1035">
        <v>1</v>
      </c>
      <c r="L168" s="3830" t="str">
        <f t="shared" si="12"/>
        <v>Aumento De Daño Real+10</v>
      </c>
      <c r="M168" s="219"/>
      <c r="N168" s="7164"/>
      <c r="O168" s="76" t="s">
        <v>8528</v>
      </c>
      <c r="P168" s="76" t="s">
        <v>8561</v>
      </c>
      <c r="Q168" s="70">
        <v>-15</v>
      </c>
      <c r="R168" s="70">
        <v>1</v>
      </c>
      <c r="S168" s="3830" t="str">
        <f t="shared" si="13"/>
        <v>Circunstancia LímiteUna 1/4 de PV</v>
      </c>
    </row>
    <row r="169" spans="1:19" ht="12" customHeight="1">
      <c r="A169" s="7172"/>
      <c r="B169" s="7167"/>
      <c r="C169" s="39" t="s">
        <v>8592</v>
      </c>
      <c r="D169" s="76" t="s">
        <v>7200</v>
      </c>
      <c r="E169" s="1035">
        <v>3</v>
      </c>
      <c r="F169" s="1036">
        <v>5</v>
      </c>
      <c r="G169" s="1035">
        <v>15</v>
      </c>
      <c r="H169" s="1035">
        <v>2</v>
      </c>
      <c r="I169" s="1035">
        <v>4</v>
      </c>
      <c r="J169" s="1035">
        <v>7</v>
      </c>
      <c r="K169" s="1035">
        <v>1</v>
      </c>
      <c r="L169" s="3830" t="str">
        <f t="shared" si="12"/>
        <v>Aumento De Daño Real+25</v>
      </c>
      <c r="M169" s="219"/>
      <c r="N169" s="7164"/>
      <c r="O169" s="76" t="s">
        <v>8528</v>
      </c>
      <c r="P169" s="76" t="s">
        <v>8562</v>
      </c>
      <c r="Q169" s="70">
        <v>-25</v>
      </c>
      <c r="R169" s="70">
        <v>2</v>
      </c>
      <c r="S169" s="3830" t="str">
        <f t="shared" si="13"/>
        <v>Circunstancia LímitePV Negativos</v>
      </c>
    </row>
    <row r="170" spans="1:19" ht="12" customHeight="1">
      <c r="A170" s="7172"/>
      <c r="B170" s="7167"/>
      <c r="C170" s="39" t="s">
        <v>8592</v>
      </c>
      <c r="D170" s="76" t="s">
        <v>7058</v>
      </c>
      <c r="E170" s="1035">
        <v>5</v>
      </c>
      <c r="F170" s="1036">
        <v>8</v>
      </c>
      <c r="G170" s="1035">
        <v>20</v>
      </c>
      <c r="H170" s="1035">
        <v>3</v>
      </c>
      <c r="I170" s="1035">
        <v>6</v>
      </c>
      <c r="J170" s="1035">
        <v>11</v>
      </c>
      <c r="K170" s="1035">
        <v>1</v>
      </c>
      <c r="L170" s="3830" t="str">
        <f t="shared" si="12"/>
        <v>Aumento De Daño Real+40</v>
      </c>
      <c r="M170" s="219"/>
      <c r="N170" s="7164"/>
      <c r="O170" s="76" t="s">
        <v>8528</v>
      </c>
      <c r="P170" s="76" t="s">
        <v>8563</v>
      </c>
      <c r="Q170" s="70">
        <v>-10</v>
      </c>
      <c r="R170" s="70">
        <v>1</v>
      </c>
      <c r="S170" s="3830" t="str">
        <f t="shared" si="13"/>
        <v>Circunstancia LímiteRecibir Daño</v>
      </c>
    </row>
    <row r="171" spans="1:19" ht="12" customHeight="1">
      <c r="A171" s="7172"/>
      <c r="B171" s="7167"/>
      <c r="C171" s="39" t="s">
        <v>8592</v>
      </c>
      <c r="D171" s="76" t="s">
        <v>7059</v>
      </c>
      <c r="E171" s="1035">
        <v>7</v>
      </c>
      <c r="F171" s="1036">
        <v>10</v>
      </c>
      <c r="G171" s="1035">
        <v>25</v>
      </c>
      <c r="H171" s="1035">
        <v>4</v>
      </c>
      <c r="I171" s="1035">
        <v>8</v>
      </c>
      <c r="J171" s="1035">
        <v>14</v>
      </c>
      <c r="K171" s="1035">
        <v>2</v>
      </c>
      <c r="L171" s="3830" t="str">
        <f t="shared" si="12"/>
        <v>Aumento De Daño Real+50</v>
      </c>
      <c r="M171" s="219"/>
      <c r="N171" s="7164"/>
      <c r="O171" s="76"/>
      <c r="P171" s="76"/>
      <c r="Q171" s="70"/>
      <c r="R171" s="70"/>
      <c r="S171" s="3830"/>
    </row>
    <row r="172" spans="1:19" ht="12" customHeight="1">
      <c r="A172" s="7172"/>
      <c r="B172" s="7167"/>
      <c r="C172" s="39" t="s">
        <v>8592</v>
      </c>
      <c r="D172" s="76" t="s">
        <v>8392</v>
      </c>
      <c r="E172" s="1035">
        <v>10</v>
      </c>
      <c r="F172" s="1036">
        <v>13</v>
      </c>
      <c r="G172" s="1035">
        <v>35</v>
      </c>
      <c r="H172" s="1035">
        <v>6</v>
      </c>
      <c r="I172" s="1035">
        <v>12</v>
      </c>
      <c r="J172" s="1035">
        <v>21</v>
      </c>
      <c r="K172" s="1035">
        <v>2</v>
      </c>
      <c r="L172" s="3830" t="str">
        <f t="shared" si="12"/>
        <v>Aumento De Daño Real+75</v>
      </c>
      <c r="M172" s="219"/>
      <c r="N172" s="7164"/>
      <c r="O172" s="76" t="s">
        <v>8564</v>
      </c>
      <c r="P172" s="76"/>
      <c r="Q172" s="70"/>
      <c r="R172" s="70"/>
      <c r="S172" s="3830" t="str">
        <f t="shared" si="13"/>
        <v>&gt; CIRCUNSTANCIA DE COMBATE</v>
      </c>
    </row>
    <row r="173" spans="1:19" ht="12" customHeight="1">
      <c r="A173" s="7172"/>
      <c r="B173" s="7167"/>
      <c r="C173" s="39" t="s">
        <v>8592</v>
      </c>
      <c r="D173" s="76" t="s">
        <v>8396</v>
      </c>
      <c r="E173" s="1035">
        <v>12</v>
      </c>
      <c r="F173" s="1036">
        <v>15</v>
      </c>
      <c r="G173" s="1035">
        <v>40</v>
      </c>
      <c r="H173" s="1035">
        <v>8</v>
      </c>
      <c r="I173" s="1035">
        <v>16</v>
      </c>
      <c r="J173" s="1035">
        <v>28</v>
      </c>
      <c r="K173" s="1035">
        <v>3</v>
      </c>
      <c r="L173" s="3830" t="str">
        <f t="shared" si="12"/>
        <v>Aumento De Daño Real+90</v>
      </c>
      <c r="M173" s="219"/>
      <c r="N173" s="7164"/>
      <c r="O173" s="76" t="s">
        <v>8529</v>
      </c>
      <c r="P173" s="76"/>
      <c r="Q173" s="70">
        <v>-5</v>
      </c>
      <c r="R173" s="70">
        <v>1</v>
      </c>
      <c r="S173" s="3830" t="str">
        <f t="shared" si="13"/>
        <v>Circunstancia De Combate</v>
      </c>
    </row>
    <row r="174" spans="1:19" ht="12" customHeight="1">
      <c r="A174" s="7172"/>
      <c r="B174" s="7167"/>
      <c r="C174" s="39" t="s">
        <v>8592</v>
      </c>
      <c r="D174" s="76" t="s">
        <v>8399</v>
      </c>
      <c r="E174" s="1035">
        <v>14</v>
      </c>
      <c r="F174" s="1036">
        <v>18</v>
      </c>
      <c r="G174" s="1035">
        <v>50</v>
      </c>
      <c r="H174" s="1035">
        <v>10</v>
      </c>
      <c r="I174" s="1035">
        <v>20</v>
      </c>
      <c r="J174" s="1035">
        <v>35</v>
      </c>
      <c r="K174" s="1035">
        <v>3</v>
      </c>
      <c r="L174" s="3830" t="str">
        <f t="shared" si="12"/>
        <v>Aumento De Daño Real+100</v>
      </c>
      <c r="M174" s="219"/>
      <c r="N174" s="7164"/>
      <c r="O174" s="76" t="s">
        <v>8565</v>
      </c>
      <c r="P174" s="76"/>
      <c r="Q174" s="70"/>
      <c r="R174" s="70"/>
      <c r="S174" s="3830" t="str">
        <f t="shared" si="13"/>
        <v>&gt; COMPLEJA</v>
      </c>
    </row>
    <row r="175" spans="1:19" ht="12" customHeight="1">
      <c r="A175" s="7172"/>
      <c r="B175" s="7167"/>
      <c r="C175" s="39" t="s">
        <v>8596</v>
      </c>
      <c r="D175" s="76"/>
      <c r="E175" s="1035"/>
      <c r="F175" s="1036"/>
      <c r="G175" s="1035"/>
      <c r="H175" s="1035"/>
      <c r="I175" s="1035"/>
      <c r="J175" s="1035"/>
      <c r="K175" s="1035"/>
      <c r="L175" s="3830" t="str">
        <f t="shared" si="12"/>
        <v>&gt; MULTIPLICADOR AL DAÑO</v>
      </c>
      <c r="M175" s="219"/>
      <c r="N175" s="7164"/>
      <c r="O175" s="76" t="s">
        <v>2004</v>
      </c>
      <c r="P175" s="76"/>
      <c r="Q175" s="70">
        <v>-5</v>
      </c>
      <c r="R175" s="70">
        <v>2</v>
      </c>
      <c r="S175" s="3830" t="str">
        <f t="shared" si="13"/>
        <v>Compleja</v>
      </c>
    </row>
    <row r="176" spans="1:19" ht="12" customHeight="1">
      <c r="A176" s="7172"/>
      <c r="B176" s="7167"/>
      <c r="C176" s="39" t="s">
        <v>8598</v>
      </c>
      <c r="D176" s="76" t="s">
        <v>8599</v>
      </c>
      <c r="E176" s="1035">
        <v>10</v>
      </c>
      <c r="F176" s="1036">
        <v>15</v>
      </c>
      <c r="G176" s="1035">
        <v>25</v>
      </c>
      <c r="H176" s="1035">
        <v>4</v>
      </c>
      <c r="I176" s="1035">
        <v>8</v>
      </c>
      <c r="J176" s="1035">
        <v>14</v>
      </c>
      <c r="K176" s="1035">
        <v>1</v>
      </c>
      <c r="L176" s="3830" t="str">
        <f t="shared" si="12"/>
        <v>Multiplicador Al Dañox2</v>
      </c>
      <c r="M176" s="219"/>
      <c r="N176" s="7164"/>
      <c r="O176" s="76" t="s">
        <v>8566</v>
      </c>
      <c r="P176" s="76"/>
      <c r="Q176" s="70"/>
      <c r="R176" s="70"/>
      <c r="S176" s="3830" t="str">
        <f t="shared" si="13"/>
        <v>&gt; CONDICIONES</v>
      </c>
    </row>
    <row r="177" spans="1:19" ht="12" customHeight="1">
      <c r="A177" s="7172"/>
      <c r="B177" s="7167"/>
      <c r="C177" s="39" t="s">
        <v>8598</v>
      </c>
      <c r="D177" s="76" t="s">
        <v>8601</v>
      </c>
      <c r="E177" s="1035">
        <v>15</v>
      </c>
      <c r="F177" s="1036">
        <v>20</v>
      </c>
      <c r="G177" s="1035">
        <v>40</v>
      </c>
      <c r="H177" s="1035">
        <v>8</v>
      </c>
      <c r="I177" s="1035">
        <v>16</v>
      </c>
      <c r="J177" s="1035">
        <v>28</v>
      </c>
      <c r="K177" s="1035">
        <v>2</v>
      </c>
      <c r="L177" s="3830" t="str">
        <f t="shared" si="12"/>
        <v>Multiplicador Al Dañox3</v>
      </c>
      <c r="M177" s="219"/>
      <c r="N177" s="7164"/>
      <c r="O177" s="76" t="s">
        <v>7094</v>
      </c>
      <c r="P177" s="76" t="s">
        <v>8567</v>
      </c>
      <c r="Q177" s="70">
        <v>-5</v>
      </c>
      <c r="R177" s="70">
        <v>1</v>
      </c>
      <c r="S177" s="3830" t="str">
        <f t="shared" si="13"/>
        <v>CondiciónDesenvainar</v>
      </c>
    </row>
    <row r="178" spans="1:19" ht="12" customHeight="1">
      <c r="A178" s="7172"/>
      <c r="B178" s="7167"/>
      <c r="C178" s="39" t="s">
        <v>8598</v>
      </c>
      <c r="D178" s="76" t="s">
        <v>8603</v>
      </c>
      <c r="E178" s="1035">
        <v>20</v>
      </c>
      <c r="F178" s="1036">
        <v>30</v>
      </c>
      <c r="G178" s="1035">
        <v>80</v>
      </c>
      <c r="H178" s="1035">
        <v>12</v>
      </c>
      <c r="I178" s="1035">
        <v>24</v>
      </c>
      <c r="J178" s="1035">
        <v>42</v>
      </c>
      <c r="K178" s="1035">
        <v>3</v>
      </c>
      <c r="L178" s="3830" t="str">
        <f t="shared" si="12"/>
        <v>Multiplicador Al Dañox4</v>
      </c>
      <c r="M178" s="219"/>
      <c r="N178" s="7164"/>
      <c r="O178" s="76" t="s">
        <v>7094</v>
      </c>
      <c r="P178" s="76" t="s">
        <v>8568</v>
      </c>
      <c r="Q178" s="70">
        <v>-5</v>
      </c>
      <c r="R178" s="70">
        <v>1</v>
      </c>
      <c r="S178" s="3830" t="str">
        <f t="shared" si="13"/>
        <v>CondiciónEn Vuelo</v>
      </c>
    </row>
    <row r="179" spans="1:19" ht="12" customHeight="1">
      <c r="A179" s="7172"/>
      <c r="B179" s="7167"/>
      <c r="C179" s="39" t="s">
        <v>8605</v>
      </c>
      <c r="D179" s="76"/>
      <c r="E179" s="1035"/>
      <c r="F179" s="1036"/>
      <c r="G179" s="1035"/>
      <c r="H179" s="1035"/>
      <c r="I179" s="1035"/>
      <c r="J179" s="1035"/>
      <c r="K179" s="1035"/>
      <c r="L179" s="3830" t="str">
        <f t="shared" si="12"/>
        <v>&gt; MULTIPLICADOR AL DAÑO REAL</v>
      </c>
      <c r="M179" s="219"/>
      <c r="N179" s="7164"/>
      <c r="O179" s="76" t="s">
        <v>7094</v>
      </c>
      <c r="P179" s="76" t="s">
        <v>8569</v>
      </c>
      <c r="Q179" s="70">
        <v>-5</v>
      </c>
      <c r="R179" s="70">
        <v>1</v>
      </c>
      <c r="S179" s="3830" t="str">
        <f t="shared" si="13"/>
        <v>CondiciónEn Carga</v>
      </c>
    </row>
    <row r="180" spans="1:19" ht="12" customHeight="1">
      <c r="A180" s="7172"/>
      <c r="B180" s="7167"/>
      <c r="C180" s="39" t="s">
        <v>8607</v>
      </c>
      <c r="D180" s="76" t="s">
        <v>8599</v>
      </c>
      <c r="E180" s="1035">
        <v>20</v>
      </c>
      <c r="F180" s="1036">
        <v>30</v>
      </c>
      <c r="G180" s="1035">
        <v>40</v>
      </c>
      <c r="H180" s="1035">
        <v>8</v>
      </c>
      <c r="I180" s="1035">
        <v>16</v>
      </c>
      <c r="J180" s="1035">
        <v>28</v>
      </c>
      <c r="K180" s="1035">
        <v>1</v>
      </c>
      <c r="L180" s="3830" t="str">
        <f t="shared" si="12"/>
        <v>Multiplicador Al Daño Realx2</v>
      </c>
      <c r="M180" s="219"/>
      <c r="N180" s="7164"/>
      <c r="O180" s="76" t="s">
        <v>7094</v>
      </c>
      <c r="P180" s="76" t="s">
        <v>8570</v>
      </c>
      <c r="Q180" s="70">
        <v>-5</v>
      </c>
      <c r="R180" s="70">
        <v>1</v>
      </c>
      <c r="S180" s="3830" t="str">
        <f t="shared" si="13"/>
        <v>CondiciónMontado</v>
      </c>
    </row>
    <row r="181" spans="1:19" ht="12" customHeight="1">
      <c r="A181" s="7172"/>
      <c r="B181" s="7167"/>
      <c r="C181" s="39" t="s">
        <v>8607</v>
      </c>
      <c r="D181" s="76" t="s">
        <v>8601</v>
      </c>
      <c r="E181" s="1035">
        <v>30</v>
      </c>
      <c r="F181" s="1036">
        <v>36</v>
      </c>
      <c r="G181" s="1035">
        <v>70</v>
      </c>
      <c r="H181" s="1035">
        <v>16</v>
      </c>
      <c r="I181" s="1035">
        <v>32</v>
      </c>
      <c r="J181" s="1035">
        <v>56</v>
      </c>
      <c r="K181" s="1035">
        <v>2</v>
      </c>
      <c r="L181" s="3830" t="str">
        <f t="shared" si="12"/>
        <v>Multiplicador Al Daño Realx3</v>
      </c>
      <c r="M181" s="219"/>
      <c r="N181" s="7164"/>
      <c r="O181" s="76" t="s">
        <v>7094</v>
      </c>
      <c r="P181" s="76" t="s">
        <v>8571</v>
      </c>
      <c r="Q181" s="70">
        <v>-10</v>
      </c>
      <c r="R181" s="70">
        <v>1</v>
      </c>
      <c r="S181" s="3830" t="str">
        <f t="shared" si="13"/>
        <v>CondiciónDiurno</v>
      </c>
    </row>
    <row r="182" spans="1:19" ht="12" customHeight="1">
      <c r="A182" s="7172"/>
      <c r="B182" s="7167"/>
      <c r="C182" s="39" t="s">
        <v>8607</v>
      </c>
      <c r="D182" s="76" t="s">
        <v>8603</v>
      </c>
      <c r="E182" s="1035">
        <v>40</v>
      </c>
      <c r="F182" s="1036">
        <v>48</v>
      </c>
      <c r="G182" s="1035">
        <v>100</v>
      </c>
      <c r="H182" s="1035">
        <v>22</v>
      </c>
      <c r="I182" s="1035">
        <v>44</v>
      </c>
      <c r="J182" s="1035">
        <v>77</v>
      </c>
      <c r="K182" s="1035">
        <v>3</v>
      </c>
      <c r="L182" s="3830" t="str">
        <f t="shared" si="12"/>
        <v>Multiplicador Al Daño Realx4</v>
      </c>
      <c r="M182" s="219"/>
      <c r="N182" s="7164"/>
      <c r="O182" s="76" t="s">
        <v>7094</v>
      </c>
      <c r="P182" s="76" t="s">
        <v>8572</v>
      </c>
      <c r="Q182" s="70">
        <v>-10</v>
      </c>
      <c r="R182" s="70">
        <v>1</v>
      </c>
      <c r="S182" s="3830" t="str">
        <f t="shared" si="13"/>
        <v>CondiciónNocturno</v>
      </c>
    </row>
    <row r="183" spans="1:19" ht="12" customHeight="1">
      <c r="A183" s="7172"/>
      <c r="B183" s="7167"/>
      <c r="C183" s="39" t="s">
        <v>8610</v>
      </c>
      <c r="D183" s="76"/>
      <c r="E183" s="1035"/>
      <c r="F183" s="1036"/>
      <c r="G183" s="1035"/>
      <c r="H183" s="1035"/>
      <c r="I183" s="1035"/>
      <c r="J183" s="1035"/>
      <c r="K183" s="1035"/>
      <c r="L183" s="3830" t="str">
        <f t="shared" si="12"/>
        <v>&gt; SUSTITUCIÓN DE DAÑO</v>
      </c>
      <c r="M183" s="219"/>
      <c r="N183" s="7164"/>
      <c r="O183" s="76" t="s">
        <v>7094</v>
      </c>
      <c r="P183" s="76" t="s">
        <v>8573</v>
      </c>
      <c r="Q183" s="70">
        <v>-10</v>
      </c>
      <c r="R183" s="70">
        <v>1</v>
      </c>
      <c r="S183" s="3830" t="str">
        <f t="shared" si="13"/>
        <v>CondiciónTerreno Determinado</v>
      </c>
    </row>
    <row r="184" spans="1:19" ht="12" customHeight="1">
      <c r="A184" s="7172"/>
      <c r="B184" s="7167"/>
      <c r="C184" s="39" t="s">
        <v>8612</v>
      </c>
      <c r="D184" s="76" t="s">
        <v>8613</v>
      </c>
      <c r="E184" s="1035">
        <v>1</v>
      </c>
      <c r="F184" s="1036">
        <v>2</v>
      </c>
      <c r="G184" s="1035">
        <v>5</v>
      </c>
      <c r="H184" s="1035">
        <v>1</v>
      </c>
      <c r="I184" s="1035">
        <v>2</v>
      </c>
      <c r="J184" s="1035">
        <v>4</v>
      </c>
      <c r="K184" s="1035">
        <v>1</v>
      </c>
      <c r="L184" s="3830" t="str">
        <f t="shared" si="12"/>
        <v>Sustitución De Daño50</v>
      </c>
      <c r="M184" s="219"/>
      <c r="N184" s="7164"/>
      <c r="O184" s="76" t="s">
        <v>7094</v>
      </c>
      <c r="P184" s="76" t="s">
        <v>8574</v>
      </c>
      <c r="Q184" s="70">
        <v>-20</v>
      </c>
      <c r="R184" s="70">
        <v>2</v>
      </c>
      <c r="S184" s="3830" t="str">
        <f t="shared" si="13"/>
        <v>CondiciónUn Momento Concreto</v>
      </c>
    </row>
    <row r="185" spans="1:19" ht="12" customHeight="1">
      <c r="A185" s="7172"/>
      <c r="B185" s="7167"/>
      <c r="C185" s="39" t="s">
        <v>8612</v>
      </c>
      <c r="D185" s="76" t="s">
        <v>7105</v>
      </c>
      <c r="E185" s="1035">
        <v>3</v>
      </c>
      <c r="F185" s="1036">
        <v>5</v>
      </c>
      <c r="G185" s="1035">
        <v>10</v>
      </c>
      <c r="H185" s="1035">
        <v>2</v>
      </c>
      <c r="I185" s="1035">
        <v>4</v>
      </c>
      <c r="J185" s="1035">
        <v>7</v>
      </c>
      <c r="K185" s="1035">
        <v>1</v>
      </c>
      <c r="L185" s="3830" t="str">
        <f t="shared" si="12"/>
        <v>Sustitución De Daño100</v>
      </c>
      <c r="M185" s="219"/>
      <c r="N185" s="7164"/>
      <c r="O185" s="76" t="s">
        <v>8575</v>
      </c>
      <c r="P185" s="76"/>
      <c r="Q185" s="70"/>
      <c r="R185" s="70"/>
      <c r="S185" s="3830" t="str">
        <f t="shared" si="13"/>
        <v>&gt; DAÑO REDUCIDO</v>
      </c>
    </row>
    <row r="186" spans="1:19" ht="12" customHeight="1">
      <c r="A186" s="7172"/>
      <c r="B186" s="7167"/>
      <c r="C186" s="39" t="s">
        <v>8612</v>
      </c>
      <c r="D186" s="76" t="s">
        <v>7106</v>
      </c>
      <c r="E186" s="1035">
        <v>5</v>
      </c>
      <c r="F186" s="1036">
        <v>8</v>
      </c>
      <c r="G186" s="1035">
        <v>15</v>
      </c>
      <c r="H186" s="1035">
        <v>3</v>
      </c>
      <c r="I186" s="1035">
        <v>6</v>
      </c>
      <c r="J186" s="1035">
        <v>11</v>
      </c>
      <c r="K186" s="1035">
        <v>1</v>
      </c>
      <c r="L186" s="3830" t="str">
        <f t="shared" si="12"/>
        <v>Sustitución De Daño120</v>
      </c>
      <c r="M186" s="219"/>
      <c r="N186" s="7164"/>
      <c r="O186" s="76" t="s">
        <v>8359</v>
      </c>
      <c r="P186" s="76" t="s">
        <v>8360</v>
      </c>
      <c r="Q186" s="70">
        <v>-20</v>
      </c>
      <c r="R186" s="70">
        <v>1</v>
      </c>
      <c r="S186" s="3830" t="str">
        <f t="shared" si="13"/>
        <v>Daño ReducidoNingún Daño</v>
      </c>
    </row>
    <row r="187" spans="1:19" ht="12" customHeight="1">
      <c r="A187" s="7172"/>
      <c r="B187" s="7167"/>
      <c r="C187" s="39" t="s">
        <v>8612</v>
      </c>
      <c r="D187" s="76" t="s">
        <v>8615</v>
      </c>
      <c r="E187" s="1035">
        <v>7</v>
      </c>
      <c r="F187" s="1036">
        <v>10</v>
      </c>
      <c r="G187" s="1035">
        <v>20</v>
      </c>
      <c r="H187" s="1035">
        <v>5</v>
      </c>
      <c r="I187" s="1035">
        <v>10</v>
      </c>
      <c r="J187" s="1035">
        <v>18</v>
      </c>
      <c r="K187" s="1035">
        <v>2</v>
      </c>
      <c r="L187" s="3830" t="str">
        <f t="shared" si="12"/>
        <v>Sustitución De Daño150</v>
      </c>
      <c r="M187" s="219"/>
      <c r="N187" s="7164"/>
      <c r="O187" s="76" t="s">
        <v>8359</v>
      </c>
      <c r="P187" s="76" t="s">
        <v>8576</v>
      </c>
      <c r="Q187" s="70">
        <v>-10</v>
      </c>
      <c r="R187" s="70">
        <v>1</v>
      </c>
      <c r="S187" s="3830" t="str">
        <f t="shared" si="13"/>
        <v>Daño ReducidoMitad de Daño</v>
      </c>
    </row>
    <row r="188" spans="1:19" ht="12" customHeight="1">
      <c r="A188" s="7172"/>
      <c r="B188" s="7167"/>
      <c r="C188" s="39" t="s">
        <v>8612</v>
      </c>
      <c r="D188" s="76" t="s">
        <v>8617</v>
      </c>
      <c r="E188" s="1035">
        <v>9</v>
      </c>
      <c r="F188" s="1036">
        <v>12</v>
      </c>
      <c r="G188" s="1035">
        <v>25</v>
      </c>
      <c r="H188" s="1035">
        <v>7</v>
      </c>
      <c r="I188" s="1035">
        <v>14</v>
      </c>
      <c r="J188" s="1035">
        <v>25</v>
      </c>
      <c r="K188" s="1035">
        <v>2</v>
      </c>
      <c r="L188" s="3830" t="str">
        <f t="shared" si="12"/>
        <v>Sustitución De Daño180</v>
      </c>
      <c r="M188" s="219"/>
      <c r="N188" s="7164"/>
      <c r="O188" s="76" t="s">
        <v>8577</v>
      </c>
      <c r="P188" s="76"/>
      <c r="Q188" s="70"/>
      <c r="R188" s="70"/>
      <c r="S188" s="3830" t="str">
        <f t="shared" si="13"/>
        <v>&gt; DEFENSA ESPECIALIZADA</v>
      </c>
    </row>
    <row r="189" spans="1:19" ht="12" customHeight="1">
      <c r="A189" s="7172"/>
      <c r="B189" s="7167"/>
      <c r="C189" s="39" t="s">
        <v>8612</v>
      </c>
      <c r="D189" s="76" t="s">
        <v>8619</v>
      </c>
      <c r="E189" s="1035">
        <v>12</v>
      </c>
      <c r="F189" s="1036">
        <v>15</v>
      </c>
      <c r="G189" s="1035">
        <v>30</v>
      </c>
      <c r="H189" s="1035">
        <v>9</v>
      </c>
      <c r="I189" s="1035">
        <v>18</v>
      </c>
      <c r="J189" s="1035">
        <v>32</v>
      </c>
      <c r="K189" s="1035">
        <v>3</v>
      </c>
      <c r="L189" s="3830" t="str">
        <f t="shared" si="12"/>
        <v>Sustitución De Daño200</v>
      </c>
      <c r="M189" s="219"/>
      <c r="N189" s="7164"/>
      <c r="O189" s="76" t="s">
        <v>8530</v>
      </c>
      <c r="P189" s="76" t="s">
        <v>8579</v>
      </c>
      <c r="Q189" s="70">
        <v>-5</v>
      </c>
      <c r="R189" s="70">
        <v>1</v>
      </c>
      <c r="S189" s="3830" t="str">
        <f t="shared" si="13"/>
        <v>Defensa EspecializadaFísicos</v>
      </c>
    </row>
    <row r="190" spans="1:19" ht="12" customHeight="1">
      <c r="A190" s="7172"/>
      <c r="B190" s="7167"/>
      <c r="C190" s="39" t="s">
        <v>8612</v>
      </c>
      <c r="D190" s="76" t="s">
        <v>8621</v>
      </c>
      <c r="E190" s="1035">
        <v>15</v>
      </c>
      <c r="F190" s="1036">
        <v>19</v>
      </c>
      <c r="G190" s="1035">
        <v>35</v>
      </c>
      <c r="H190" s="1035">
        <v>12</v>
      </c>
      <c r="I190" s="1035">
        <v>24</v>
      </c>
      <c r="J190" s="1035">
        <v>42</v>
      </c>
      <c r="K190" s="1035">
        <v>3</v>
      </c>
      <c r="L190" s="3830" t="str">
        <f t="shared" si="12"/>
        <v>Sustitución De Daño250</v>
      </c>
      <c r="M190" s="219"/>
      <c r="N190" s="7164"/>
      <c r="O190" s="76" t="s">
        <v>8530</v>
      </c>
      <c r="P190" s="76" t="s">
        <v>2042</v>
      </c>
      <c r="Q190" s="70">
        <v>-10</v>
      </c>
      <c r="R190" s="70">
        <v>1</v>
      </c>
      <c r="S190" s="3830" t="str">
        <f t="shared" si="13"/>
        <v>Defensa EspecializadaProyectiles</v>
      </c>
    </row>
    <row r="191" spans="1:19" ht="12" customHeight="1">
      <c r="A191" s="7172"/>
      <c r="B191" s="7167"/>
      <c r="C191" s="39" t="s">
        <v>8623</v>
      </c>
      <c r="D191" s="76"/>
      <c r="E191" s="1035"/>
      <c r="F191" s="1036"/>
      <c r="G191" s="1035"/>
      <c r="H191" s="1035"/>
      <c r="I191" s="1035"/>
      <c r="J191" s="1035"/>
      <c r="K191" s="1035"/>
      <c r="L191" s="3830" t="str">
        <f t="shared" si="12"/>
        <v>&gt; SUSTITUCIÓN DE DAÑO REAL</v>
      </c>
      <c r="M191" s="219"/>
      <c r="N191" s="7164"/>
      <c r="O191" s="76" t="s">
        <v>8530</v>
      </c>
      <c r="P191" s="76" t="s">
        <v>8582</v>
      </c>
      <c r="Q191" s="70">
        <v>-10</v>
      </c>
      <c r="R191" s="70">
        <v>1</v>
      </c>
      <c r="S191" s="3830" t="str">
        <f t="shared" si="13"/>
        <v>Defensa EspecializadaTécnicas Ki</v>
      </c>
    </row>
    <row r="192" spans="1:19" ht="12" customHeight="1">
      <c r="A192" s="7172"/>
      <c r="B192" s="7167"/>
      <c r="C192" s="39" t="s">
        <v>8625</v>
      </c>
      <c r="D192" s="76" t="s">
        <v>8613</v>
      </c>
      <c r="E192" s="1035">
        <v>3</v>
      </c>
      <c r="F192" s="1036">
        <v>5</v>
      </c>
      <c r="G192" s="1035">
        <v>10</v>
      </c>
      <c r="H192" s="1035">
        <v>2</v>
      </c>
      <c r="I192" s="1035">
        <v>4</v>
      </c>
      <c r="J192" s="1035">
        <v>7</v>
      </c>
      <c r="K192" s="1035">
        <v>1</v>
      </c>
      <c r="L192" s="3830" t="str">
        <f t="shared" si="12"/>
        <v>Sustitución De Daño Real50</v>
      </c>
      <c r="M192" s="219"/>
      <c r="N192" s="7164"/>
      <c r="O192" s="76" t="s">
        <v>8530</v>
      </c>
      <c r="P192" s="76" t="s">
        <v>214</v>
      </c>
      <c r="Q192" s="70">
        <v>-15</v>
      </c>
      <c r="R192" s="70">
        <v>1</v>
      </c>
      <c r="S192" s="3830" t="str">
        <f t="shared" si="13"/>
        <v>Defensa EspecializadaConjuros</v>
      </c>
    </row>
    <row r="193" spans="1:20" ht="12" customHeight="1">
      <c r="A193" s="7172"/>
      <c r="B193" s="7167"/>
      <c r="C193" s="39" t="s">
        <v>8625</v>
      </c>
      <c r="D193" s="76" t="s">
        <v>7105</v>
      </c>
      <c r="E193" s="1035">
        <v>5</v>
      </c>
      <c r="F193" s="1036">
        <v>8</v>
      </c>
      <c r="G193" s="1035">
        <v>15</v>
      </c>
      <c r="H193" s="1035">
        <v>5</v>
      </c>
      <c r="I193" s="1035">
        <v>10</v>
      </c>
      <c r="J193" s="1035">
        <v>18</v>
      </c>
      <c r="K193" s="1035">
        <v>1</v>
      </c>
      <c r="L193" s="3830" t="str">
        <f t="shared" si="12"/>
        <v>Sustitución De Daño Real100</v>
      </c>
      <c r="M193" s="219"/>
      <c r="N193" s="7164"/>
      <c r="O193" s="76" t="s">
        <v>8530</v>
      </c>
      <c r="P193" s="76" t="s">
        <v>8583</v>
      </c>
      <c r="Q193" s="70">
        <v>-15</v>
      </c>
      <c r="R193" s="70">
        <v>1</v>
      </c>
      <c r="S193" s="3830" t="str">
        <f t="shared" si="13"/>
        <v>Defensa EspecializadaPsíquica</v>
      </c>
    </row>
    <row r="194" spans="1:20" ht="12" customHeight="1">
      <c r="A194" s="7172"/>
      <c r="B194" s="7167"/>
      <c r="C194" s="39" t="s">
        <v>8625</v>
      </c>
      <c r="D194" s="76" t="s">
        <v>7106</v>
      </c>
      <c r="E194" s="1035">
        <v>8</v>
      </c>
      <c r="F194" s="1036">
        <v>11</v>
      </c>
      <c r="G194" s="1035">
        <v>20</v>
      </c>
      <c r="H194" s="1035">
        <v>6</v>
      </c>
      <c r="I194" s="1035">
        <v>12</v>
      </c>
      <c r="J194" s="1035">
        <v>21</v>
      </c>
      <c r="K194" s="1035">
        <v>1</v>
      </c>
      <c r="L194" s="3830" t="str">
        <f t="shared" si="12"/>
        <v>Sustitución De Daño Real120</v>
      </c>
      <c r="M194" s="219"/>
      <c r="N194" s="7164"/>
      <c r="O194" s="76" t="s">
        <v>8584</v>
      </c>
      <c r="P194" s="76"/>
      <c r="Q194" s="70"/>
      <c r="R194" s="70"/>
      <c r="S194" s="3830" t="str">
        <f t="shared" si="13"/>
        <v>&gt; EXTERMINADOR</v>
      </c>
    </row>
    <row r="195" spans="1:20" ht="12" customHeight="1">
      <c r="A195" s="7172"/>
      <c r="B195" s="7167"/>
      <c r="C195" s="39" t="s">
        <v>8625</v>
      </c>
      <c r="D195" s="76" t="s">
        <v>8615</v>
      </c>
      <c r="E195" s="1035">
        <v>12</v>
      </c>
      <c r="F195" s="1036">
        <v>15</v>
      </c>
      <c r="G195" s="1035">
        <v>30</v>
      </c>
      <c r="H195" s="1035">
        <v>8</v>
      </c>
      <c r="I195" s="1035">
        <v>16</v>
      </c>
      <c r="J195" s="1035">
        <v>28</v>
      </c>
      <c r="K195" s="1035">
        <v>2</v>
      </c>
      <c r="L195" s="3830" t="str">
        <f t="shared" si="12"/>
        <v>Sustitución De Daño Real150</v>
      </c>
      <c r="M195" s="219"/>
      <c r="N195" s="7164"/>
      <c r="O195" s="76" t="s">
        <v>6679</v>
      </c>
      <c r="P195" s="76" t="s">
        <v>8585</v>
      </c>
      <c r="Q195" s="3856">
        <v>-10</v>
      </c>
      <c r="R195" s="70">
        <v>1</v>
      </c>
      <c r="S195" s="3830" t="str">
        <f t="shared" si="13"/>
        <v>ExterminadorSeres Humanoides</v>
      </c>
    </row>
    <row r="196" spans="1:20" ht="12" customHeight="1">
      <c r="A196" s="7172"/>
      <c r="B196" s="7167"/>
      <c r="C196" s="39" t="s">
        <v>8625</v>
      </c>
      <c r="D196" s="76" t="s">
        <v>8617</v>
      </c>
      <c r="E196" s="1035">
        <v>15</v>
      </c>
      <c r="F196" s="1036">
        <v>19</v>
      </c>
      <c r="G196" s="1035">
        <v>40</v>
      </c>
      <c r="H196" s="1035">
        <v>10</v>
      </c>
      <c r="I196" s="1035">
        <v>20</v>
      </c>
      <c r="J196" s="1035">
        <v>35</v>
      </c>
      <c r="K196" s="1035">
        <v>2</v>
      </c>
      <c r="L196" s="3830" t="str">
        <f t="shared" si="12"/>
        <v>Sustitución De Daño Real180</v>
      </c>
      <c r="M196" s="219"/>
      <c r="N196" s="7164"/>
      <c r="O196" s="76" t="s">
        <v>6679</v>
      </c>
      <c r="P196" s="76" t="s">
        <v>8586</v>
      </c>
      <c r="Q196" s="3856">
        <v>-20</v>
      </c>
      <c r="R196" s="70">
        <v>1</v>
      </c>
      <c r="S196" s="3830" t="str">
        <f t="shared" si="13"/>
        <v>ExterminadorUna Clase de Ser</v>
      </c>
      <c r="T196" s="219"/>
    </row>
    <row r="197" spans="1:20" ht="12" customHeight="1">
      <c r="A197" s="7172"/>
      <c r="B197" s="7167"/>
      <c r="C197" s="39" t="s">
        <v>8625</v>
      </c>
      <c r="D197" s="76" t="s">
        <v>8619</v>
      </c>
      <c r="E197" s="1035">
        <v>18</v>
      </c>
      <c r="F197" s="1036">
        <v>22</v>
      </c>
      <c r="G197" s="1035">
        <v>50</v>
      </c>
      <c r="H197" s="1035">
        <v>12</v>
      </c>
      <c r="I197" s="1035">
        <v>24</v>
      </c>
      <c r="J197" s="1035">
        <v>42</v>
      </c>
      <c r="K197" s="1035">
        <v>3</v>
      </c>
      <c r="L197" s="3830" t="str">
        <f t="shared" si="12"/>
        <v>Sustitución De Daño Real200</v>
      </c>
      <c r="M197" s="219"/>
      <c r="N197" s="7164"/>
      <c r="O197" s="76" t="s">
        <v>6679</v>
      </c>
      <c r="P197" s="76" t="s">
        <v>8587</v>
      </c>
      <c r="Q197" s="3856">
        <v>-50</v>
      </c>
      <c r="R197" s="70">
        <v>2</v>
      </c>
      <c r="S197" s="3830" t="str">
        <f t="shared" si="13"/>
        <v>ExterminadorUn Ser Determinado</v>
      </c>
      <c r="T197" s="219"/>
    </row>
    <row r="198" spans="1:20" ht="12" customHeight="1">
      <c r="A198" s="7172"/>
      <c r="B198" s="7167"/>
      <c r="C198" s="39" t="s">
        <v>2685</v>
      </c>
      <c r="D198" s="76"/>
      <c r="E198" s="1035"/>
      <c r="F198" s="1036"/>
      <c r="G198" s="1035"/>
      <c r="H198" s="1035"/>
      <c r="I198" s="1035"/>
      <c r="J198" s="1035"/>
      <c r="K198" s="1035"/>
      <c r="L198" s="3830" t="str">
        <f t="shared" si="12"/>
        <v>&gt;&gt;EFECTOS DE ACCION</v>
      </c>
      <c r="M198" s="219"/>
      <c r="N198" s="7164"/>
      <c r="O198" s="76" t="s">
        <v>8588</v>
      </c>
      <c r="P198" s="76"/>
      <c r="Q198" s="70"/>
      <c r="R198" s="70"/>
      <c r="S198" s="3830" t="str">
        <f t="shared" si="13"/>
        <v>&gt; EXCESO DE ENERGÍA</v>
      </c>
      <c r="T198" s="219"/>
    </row>
    <row r="199" spans="1:20" ht="12" customHeight="1">
      <c r="A199" s="7172"/>
      <c r="B199" s="7167"/>
      <c r="C199" s="39" t="s">
        <v>8629</v>
      </c>
      <c r="D199" s="76"/>
      <c r="E199" s="1035"/>
      <c r="F199" s="1036"/>
      <c r="G199" s="1035"/>
      <c r="H199" s="1035"/>
      <c r="I199" s="1035"/>
      <c r="J199" s="1035"/>
      <c r="K199" s="1035"/>
      <c r="L199" s="3830" t="str">
        <f t="shared" si="12"/>
        <v>&gt; ATAQUE ADICIONAL</v>
      </c>
      <c r="M199" s="219"/>
      <c r="N199" s="7164"/>
      <c r="O199" s="3832" t="s">
        <v>8532</v>
      </c>
      <c r="P199" s="3832" t="s">
        <v>8344</v>
      </c>
      <c r="Q199" s="3855">
        <v>-15</v>
      </c>
      <c r="R199" s="3855">
        <v>1</v>
      </c>
      <c r="S199" s="3835" t="str">
        <f t="shared" si="13"/>
        <v>Exceso De EnergíaMitad</v>
      </c>
      <c r="T199" s="219"/>
    </row>
    <row r="200" spans="1:20" ht="12" customHeight="1">
      <c r="A200" s="7172"/>
      <c r="B200" s="7167"/>
      <c r="C200" s="39" t="s">
        <v>8428</v>
      </c>
      <c r="D200" s="76" t="s">
        <v>2708</v>
      </c>
      <c r="E200" s="1035">
        <v>6</v>
      </c>
      <c r="F200" s="1036">
        <v>9</v>
      </c>
      <c r="G200" s="1035">
        <v>20</v>
      </c>
      <c r="H200" s="1035">
        <v>3</v>
      </c>
      <c r="I200" s="1035">
        <v>6</v>
      </c>
      <c r="J200" s="1035">
        <v>11</v>
      </c>
      <c r="K200" s="1035">
        <v>1</v>
      </c>
      <c r="L200" s="3830" t="str">
        <f t="shared" si="12"/>
        <v>Ataque Adicional+1</v>
      </c>
      <c r="M200" s="219"/>
      <c r="N200" s="7164"/>
      <c r="O200" s="3832" t="s">
        <v>8532</v>
      </c>
      <c r="P200" s="2698" t="s">
        <v>1014</v>
      </c>
      <c r="Q200" s="3842">
        <v>-30</v>
      </c>
      <c r="R200" s="3842">
        <v>2</v>
      </c>
      <c r="S200" s="3857" t="str">
        <f t="shared" si="13"/>
        <v>Exceso De EnergíaCompleta</v>
      </c>
      <c r="T200" s="219"/>
    </row>
    <row r="201" spans="1:20" ht="12" customHeight="1">
      <c r="A201" s="7172"/>
      <c r="B201" s="7167"/>
      <c r="C201" s="39" t="s">
        <v>8428</v>
      </c>
      <c r="D201" s="76" t="s">
        <v>2669</v>
      </c>
      <c r="E201" s="1035">
        <v>12</v>
      </c>
      <c r="F201" s="1036">
        <v>15</v>
      </c>
      <c r="G201" s="1035">
        <v>30</v>
      </c>
      <c r="H201" s="1035">
        <v>6</v>
      </c>
      <c r="I201" s="1035">
        <v>12</v>
      </c>
      <c r="J201" s="1035">
        <v>21</v>
      </c>
      <c r="K201" s="1035">
        <v>1</v>
      </c>
      <c r="L201" s="3830" t="str">
        <f t="shared" si="12"/>
        <v>Ataque Adicional+2</v>
      </c>
      <c r="M201" s="219"/>
      <c r="N201" s="7164"/>
      <c r="O201" s="76" t="s">
        <v>8589</v>
      </c>
      <c r="P201" s="76"/>
      <c r="Q201" s="70"/>
      <c r="R201" s="70"/>
      <c r="S201" s="3830" t="str">
        <f t="shared" si="13"/>
        <v>&gt; PÉRDIDA DEL ARMA</v>
      </c>
      <c r="T201" s="219"/>
    </row>
    <row r="202" spans="1:20" ht="12" customHeight="1">
      <c r="A202" s="7172"/>
      <c r="B202" s="7167"/>
      <c r="C202" s="39" t="s">
        <v>8428</v>
      </c>
      <c r="D202" s="76" t="s">
        <v>2670</v>
      </c>
      <c r="E202" s="1035">
        <v>18</v>
      </c>
      <c r="F202" s="1036">
        <v>22</v>
      </c>
      <c r="G202" s="1035">
        <v>40</v>
      </c>
      <c r="H202" s="1035">
        <v>9</v>
      </c>
      <c r="I202" s="1035">
        <v>18</v>
      </c>
      <c r="J202" s="1035">
        <v>32</v>
      </c>
      <c r="K202" s="1035">
        <v>1</v>
      </c>
      <c r="L202" s="3830" t="str">
        <f t="shared" si="12"/>
        <v>Ataque Adicional+3</v>
      </c>
      <c r="M202" s="219"/>
      <c r="N202" s="7164"/>
      <c r="O202" s="76" t="s">
        <v>8534</v>
      </c>
      <c r="P202" s="76"/>
      <c r="Q202" s="70">
        <v>-10</v>
      </c>
      <c r="R202" s="70">
        <v>1</v>
      </c>
      <c r="S202" s="3830" t="str">
        <f t="shared" si="13"/>
        <v>Pérdida Del Arma</v>
      </c>
      <c r="T202" s="219"/>
    </row>
    <row r="203" spans="1:20" ht="12" customHeight="1">
      <c r="A203" s="7172"/>
      <c r="B203" s="7167"/>
      <c r="C203" s="39" t="s">
        <v>8428</v>
      </c>
      <c r="D203" s="76" t="s">
        <v>2974</v>
      </c>
      <c r="E203" s="1035">
        <v>24</v>
      </c>
      <c r="F203" s="1036">
        <v>29</v>
      </c>
      <c r="G203" s="1035">
        <v>50</v>
      </c>
      <c r="H203" s="1035">
        <v>12</v>
      </c>
      <c r="I203" s="1035">
        <v>24</v>
      </c>
      <c r="J203" s="1035">
        <v>42</v>
      </c>
      <c r="K203" s="1035">
        <v>2</v>
      </c>
      <c r="L203" s="3830" t="str">
        <f t="shared" ref="L203:L208" si="14">C203&amp;D203</f>
        <v>Ataque Adicional+4</v>
      </c>
      <c r="M203" s="219"/>
      <c r="N203" s="7164"/>
      <c r="O203" s="76" t="s">
        <v>8590</v>
      </c>
      <c r="P203" s="76"/>
      <c r="Q203" s="70"/>
      <c r="R203" s="70"/>
      <c r="S203" s="3830" t="str">
        <f t="shared" si="13"/>
        <v>&gt; PENALIZADOR A TODA ACCIÓN</v>
      </c>
      <c r="T203" s="219"/>
    </row>
    <row r="204" spans="1:20" ht="12" customHeight="1">
      <c r="A204" s="7172"/>
      <c r="B204" s="7167"/>
      <c r="C204" s="39" t="s">
        <v>8428</v>
      </c>
      <c r="D204" s="76" t="s">
        <v>6459</v>
      </c>
      <c r="E204" s="1035">
        <v>30</v>
      </c>
      <c r="F204" s="1036">
        <v>36</v>
      </c>
      <c r="G204" s="1035">
        <v>60</v>
      </c>
      <c r="H204" s="1035">
        <v>15</v>
      </c>
      <c r="I204" s="1035">
        <v>30</v>
      </c>
      <c r="J204" s="1035">
        <v>53</v>
      </c>
      <c r="K204" s="1035">
        <v>3</v>
      </c>
      <c r="L204" s="3830" t="str">
        <f t="shared" si="14"/>
        <v>Ataque Adicional+5</v>
      </c>
      <c r="M204" s="219"/>
      <c r="N204" s="7164"/>
      <c r="O204" s="3832" t="s">
        <v>8535</v>
      </c>
      <c r="P204" s="3841">
        <v>-10</v>
      </c>
      <c r="Q204" s="3854">
        <v>-5</v>
      </c>
      <c r="R204" s="3855">
        <v>1</v>
      </c>
      <c r="S204" s="3835" t="str">
        <f t="shared" si="13"/>
        <v>Penalizador A Toda Acción-10</v>
      </c>
      <c r="T204" s="219"/>
    </row>
    <row r="205" spans="1:20" ht="12" customHeight="1">
      <c r="A205" s="7172"/>
      <c r="B205" s="7167"/>
      <c r="C205" s="39" t="s">
        <v>8428</v>
      </c>
      <c r="D205" s="76" t="s">
        <v>8870</v>
      </c>
      <c r="E205" s="1035">
        <v>10</v>
      </c>
      <c r="F205" s="1036">
        <v>10</v>
      </c>
      <c r="G205" s="1035">
        <v>30</v>
      </c>
      <c r="H205" s="1035">
        <v>5</v>
      </c>
      <c r="I205" s="1035">
        <v>10</v>
      </c>
      <c r="J205" s="1035">
        <v>18</v>
      </c>
      <c r="K205" s="1035"/>
      <c r="L205" s="3830" t="str">
        <f t="shared" si="14"/>
        <v>Ataque AdicionalAtaque Continuo</v>
      </c>
      <c r="M205" s="219"/>
      <c r="N205" s="7164"/>
      <c r="O205" s="3832" t="s">
        <v>8535</v>
      </c>
      <c r="P205" s="3841">
        <v>-25</v>
      </c>
      <c r="Q205" s="3854">
        <v>-10</v>
      </c>
      <c r="R205" s="3855">
        <v>1</v>
      </c>
      <c r="S205" s="3835" t="str">
        <f t="shared" si="13"/>
        <v>Penalizador A Toda Acción-25</v>
      </c>
      <c r="T205" s="219"/>
    </row>
    <row r="206" spans="1:20" ht="12" customHeight="1">
      <c r="A206" s="7172"/>
      <c r="B206" s="7167"/>
      <c r="C206" s="39" t="s">
        <v>8428</v>
      </c>
      <c r="D206" s="76" t="s">
        <v>2971</v>
      </c>
      <c r="E206" s="1035">
        <v>6</v>
      </c>
      <c r="F206" s="1036">
        <v>6</v>
      </c>
      <c r="G206" s="1035">
        <v>20</v>
      </c>
      <c r="H206" s="1035">
        <v>2</v>
      </c>
      <c r="I206" s="1035">
        <v>4</v>
      </c>
      <c r="J206" s="1035">
        <v>7</v>
      </c>
      <c r="K206" s="1035"/>
      <c r="L206" s="3830" t="str">
        <f t="shared" si="14"/>
        <v>Ataque AdicionalBono de Cansancio Añadido</v>
      </c>
      <c r="M206" s="219"/>
      <c r="N206" s="7164"/>
      <c r="O206" s="3832" t="s">
        <v>8535</v>
      </c>
      <c r="P206" s="3841">
        <v>-50</v>
      </c>
      <c r="Q206" s="3854">
        <v>-15</v>
      </c>
      <c r="R206" s="3855">
        <v>1</v>
      </c>
      <c r="S206" s="3835" t="str">
        <f t="shared" si="13"/>
        <v>Penalizador A Toda Acción-50</v>
      </c>
      <c r="T206" s="219"/>
    </row>
    <row r="207" spans="1:20" ht="12" customHeight="1">
      <c r="A207" s="7172"/>
      <c r="B207" s="7167"/>
      <c r="C207" s="39" t="s">
        <v>8428</v>
      </c>
      <c r="D207" s="76" t="s">
        <v>8875</v>
      </c>
      <c r="E207" s="1035">
        <v>-3</v>
      </c>
      <c r="F207" s="1036">
        <v>-3</v>
      </c>
      <c r="G207" s="1035">
        <v>-10</v>
      </c>
      <c r="H207" s="1035"/>
      <c r="I207" s="1035"/>
      <c r="J207" s="1035"/>
      <c r="K207" s="1035"/>
      <c r="L207" s="3830" t="str">
        <f t="shared" si="14"/>
        <v>Ataque AdicionalCombo: Hasta 2</v>
      </c>
      <c r="M207" s="219"/>
      <c r="N207" s="7164"/>
      <c r="O207" s="3832" t="s">
        <v>8535</v>
      </c>
      <c r="P207" s="3841">
        <v>-75</v>
      </c>
      <c r="Q207" s="3854">
        <v>-20</v>
      </c>
      <c r="R207" s="3855">
        <v>2</v>
      </c>
      <c r="S207" s="3835" t="str">
        <f t="shared" si="13"/>
        <v>Penalizador A Toda Acción-75</v>
      </c>
      <c r="T207" s="219"/>
    </row>
    <row r="208" spans="1:20" ht="12" customHeight="1">
      <c r="A208" s="7172"/>
      <c r="B208" s="7167"/>
      <c r="C208" s="39" t="s">
        <v>8428</v>
      </c>
      <c r="D208" s="76" t="s">
        <v>8876</v>
      </c>
      <c r="E208" s="1035">
        <v>-6</v>
      </c>
      <c r="F208" s="1036">
        <v>-6</v>
      </c>
      <c r="G208" s="1035">
        <v>-20</v>
      </c>
      <c r="H208" s="1035"/>
      <c r="I208" s="1035"/>
      <c r="J208" s="1035"/>
      <c r="K208" s="1035"/>
      <c r="L208" s="3830" t="str">
        <f t="shared" si="14"/>
        <v xml:space="preserve">Ataque AdicionalCombo: 3+ </v>
      </c>
      <c r="M208" s="219"/>
      <c r="N208" s="7164"/>
      <c r="O208" s="3832" t="s">
        <v>8535</v>
      </c>
      <c r="P208" s="3841">
        <v>-100</v>
      </c>
      <c r="Q208" s="3854">
        <v>-25</v>
      </c>
      <c r="R208" s="3855">
        <v>2</v>
      </c>
      <c r="S208" s="3835" t="str">
        <f t="shared" si="13"/>
        <v>Penalizador A Toda Acción-100</v>
      </c>
      <c r="T208" s="219"/>
    </row>
    <row r="209" spans="1:20" ht="12" customHeight="1">
      <c r="A209" s="7172"/>
      <c r="B209" s="7167"/>
      <c r="C209" s="3831" t="s">
        <v>8428</v>
      </c>
      <c r="D209" s="3832" t="s">
        <v>11808</v>
      </c>
      <c r="E209" s="3833">
        <v>-4</v>
      </c>
      <c r="F209" s="3834">
        <v>-4</v>
      </c>
      <c r="G209" s="3833">
        <v>10</v>
      </c>
      <c r="H209" s="3833"/>
      <c r="I209" s="3833"/>
      <c r="J209" s="3833"/>
      <c r="K209" s="3833"/>
      <c r="L209" s="3835" t="str">
        <f t="shared" ref="L209:L240" si="15">C209&amp;D209</f>
        <v>Ataque AdicionalCambio de enfoque</v>
      </c>
      <c r="M209" s="219"/>
      <c r="N209" s="7164"/>
      <c r="O209" s="3832" t="s">
        <v>8535</v>
      </c>
      <c r="P209" s="3858">
        <v>-125</v>
      </c>
      <c r="Q209" s="3859">
        <v>-30</v>
      </c>
      <c r="R209" s="3842">
        <v>3</v>
      </c>
      <c r="S209" s="3857" t="str">
        <f t="shared" si="13"/>
        <v>Penalizador A Toda Acción-125</v>
      </c>
      <c r="T209" s="219"/>
    </row>
    <row r="210" spans="1:20" ht="12" customHeight="1">
      <c r="A210" s="7172"/>
      <c r="B210" s="7167"/>
      <c r="C210" s="39" t="s">
        <v>8630</v>
      </c>
      <c r="D210" s="76"/>
      <c r="E210" s="1035"/>
      <c r="F210" s="1036"/>
      <c r="G210" s="1035"/>
      <c r="H210" s="1035"/>
      <c r="I210" s="1035"/>
      <c r="J210" s="1035"/>
      <c r="K210" s="1035"/>
      <c r="L210" s="3830" t="str">
        <f t="shared" si="15"/>
        <v>&gt; ATAQUE ADICIONAL LIMITADO</v>
      </c>
      <c r="M210" s="219"/>
      <c r="N210" s="7164"/>
      <c r="O210" s="3832" t="s">
        <v>8535</v>
      </c>
      <c r="P210" s="3832">
        <v>-150</v>
      </c>
      <c r="Q210" s="3859">
        <v>-50</v>
      </c>
      <c r="R210" s="3842">
        <v>3</v>
      </c>
      <c r="S210" s="3857" t="str">
        <f t="shared" si="13"/>
        <v>Penalizador A Toda Acción-150</v>
      </c>
      <c r="T210" s="219"/>
    </row>
    <row r="211" spans="1:20" ht="12" customHeight="1">
      <c r="A211" s="7172"/>
      <c r="B211" s="7167"/>
      <c r="C211" s="39" t="s">
        <v>8431</v>
      </c>
      <c r="D211" s="76" t="s">
        <v>2708</v>
      </c>
      <c r="E211" s="1035">
        <v>3</v>
      </c>
      <c r="F211" s="1036">
        <v>5</v>
      </c>
      <c r="G211" s="1035">
        <v>5</v>
      </c>
      <c r="H211" s="1035">
        <v>1</v>
      </c>
      <c r="I211" s="1035">
        <v>2</v>
      </c>
      <c r="J211" s="1035">
        <v>4</v>
      </c>
      <c r="K211" s="1035">
        <v>1</v>
      </c>
      <c r="L211" s="3830" t="str">
        <f t="shared" si="15"/>
        <v>Ataque Adicional Limitado+1</v>
      </c>
      <c r="M211" s="219"/>
      <c r="N211" s="7164"/>
      <c r="O211" s="76" t="s">
        <v>8593</v>
      </c>
      <c r="P211" s="76"/>
      <c r="Q211" s="70"/>
      <c r="R211" s="70"/>
      <c r="S211" s="3830" t="str">
        <f t="shared" si="13"/>
        <v>&gt; PREDETERMINACIÓN</v>
      </c>
      <c r="T211" s="219"/>
    </row>
    <row r="212" spans="1:20" ht="12" customHeight="1">
      <c r="A212" s="7172"/>
      <c r="B212" s="7167"/>
      <c r="C212" s="39" t="s">
        <v>8431</v>
      </c>
      <c r="D212" s="76" t="s">
        <v>2669</v>
      </c>
      <c r="E212" s="1035">
        <v>6</v>
      </c>
      <c r="F212" s="1036">
        <v>9</v>
      </c>
      <c r="G212" s="1035">
        <v>10</v>
      </c>
      <c r="H212" s="1035">
        <v>2</v>
      </c>
      <c r="I212" s="1035">
        <v>4</v>
      </c>
      <c r="J212" s="1035">
        <v>7</v>
      </c>
      <c r="K212" s="1035">
        <v>1</v>
      </c>
      <c r="L212" s="3830" t="str">
        <f t="shared" si="15"/>
        <v>Ataque Adicional Limitado+2</v>
      </c>
      <c r="M212" s="219"/>
      <c r="N212" s="7164"/>
      <c r="O212" s="76" t="s">
        <v>3017</v>
      </c>
      <c r="P212" s="76"/>
      <c r="Q212" s="70">
        <v>-20</v>
      </c>
      <c r="R212" s="70">
        <v>2</v>
      </c>
      <c r="S212" s="3830" t="str">
        <f t="shared" si="13"/>
        <v>Predeterminación</v>
      </c>
      <c r="T212" s="219"/>
    </row>
    <row r="213" spans="1:20" ht="12" customHeight="1">
      <c r="A213" s="7172"/>
      <c r="B213" s="7167"/>
      <c r="C213" s="39" t="s">
        <v>8431</v>
      </c>
      <c r="D213" s="76" t="s">
        <v>2670</v>
      </c>
      <c r="E213" s="1035">
        <v>9</v>
      </c>
      <c r="F213" s="1036">
        <v>12</v>
      </c>
      <c r="G213" s="1035">
        <v>15</v>
      </c>
      <c r="H213" s="1035">
        <v>3</v>
      </c>
      <c r="I213" s="1035">
        <v>6</v>
      </c>
      <c r="J213" s="1035">
        <v>11</v>
      </c>
      <c r="K213" s="1035">
        <v>1</v>
      </c>
      <c r="L213" s="3830" t="str">
        <f t="shared" si="15"/>
        <v>Ataque Adicional Limitado+3</v>
      </c>
      <c r="M213" s="219"/>
      <c r="N213" s="7164"/>
      <c r="O213" s="76" t="s">
        <v>8594</v>
      </c>
      <c r="P213" s="76"/>
      <c r="Q213" s="70"/>
      <c r="R213" s="70"/>
      <c r="S213" s="3830" t="str">
        <f t="shared" si="13"/>
        <v>&gt; PREPARACIÓN PREVIA</v>
      </c>
      <c r="T213" s="219"/>
    </row>
    <row r="214" spans="1:20" ht="12" customHeight="1">
      <c r="A214" s="7172"/>
      <c r="B214" s="7167"/>
      <c r="C214" s="39" t="s">
        <v>8431</v>
      </c>
      <c r="D214" s="76" t="s">
        <v>2974</v>
      </c>
      <c r="E214" s="1035">
        <v>12</v>
      </c>
      <c r="F214" s="1036">
        <v>15</v>
      </c>
      <c r="G214" s="1035">
        <v>20</v>
      </c>
      <c r="H214" s="1035">
        <v>4</v>
      </c>
      <c r="I214" s="1035">
        <v>8</v>
      </c>
      <c r="J214" s="1035">
        <v>14</v>
      </c>
      <c r="K214" s="1035">
        <v>1</v>
      </c>
      <c r="L214" s="3830" t="str">
        <f t="shared" si="15"/>
        <v>Ataque Adicional Limitado+4</v>
      </c>
      <c r="M214" s="219"/>
      <c r="N214" s="7164"/>
      <c r="O214" s="3832" t="s">
        <v>8536</v>
      </c>
      <c r="P214" s="3832" t="s">
        <v>1588</v>
      </c>
      <c r="Q214" s="3855">
        <v>-10</v>
      </c>
      <c r="R214" s="3855">
        <v>1</v>
      </c>
      <c r="S214" s="3835" t="str">
        <f t="shared" si="13"/>
        <v>Preparación Previa1 minuto</v>
      </c>
      <c r="T214" s="219"/>
    </row>
    <row r="215" spans="1:20" ht="12" customHeight="1">
      <c r="A215" s="7172"/>
      <c r="B215" s="7167"/>
      <c r="C215" s="39" t="s">
        <v>8431</v>
      </c>
      <c r="D215" s="76" t="s">
        <v>6459</v>
      </c>
      <c r="E215" s="1035">
        <v>15</v>
      </c>
      <c r="F215" s="1036">
        <v>19</v>
      </c>
      <c r="G215" s="1035">
        <v>30</v>
      </c>
      <c r="H215" s="1035">
        <v>6</v>
      </c>
      <c r="I215" s="1035">
        <v>12</v>
      </c>
      <c r="J215" s="1035">
        <v>21</v>
      </c>
      <c r="K215" s="1035">
        <v>1</v>
      </c>
      <c r="L215" s="3830" t="str">
        <f t="shared" si="15"/>
        <v>Ataque Adicional Limitado+5</v>
      </c>
      <c r="M215" s="219"/>
      <c r="N215" s="7164"/>
      <c r="O215" s="3832" t="s">
        <v>8536</v>
      </c>
      <c r="P215" s="3832" t="s">
        <v>1590</v>
      </c>
      <c r="Q215" s="3855">
        <v>-15</v>
      </c>
      <c r="R215" s="3855">
        <v>2</v>
      </c>
      <c r="S215" s="3835" t="str">
        <f t="shared" si="13"/>
        <v>Preparación Previa1 hora</v>
      </c>
      <c r="T215" s="219"/>
    </row>
    <row r="216" spans="1:20" ht="12" customHeight="1">
      <c r="A216" s="7172"/>
      <c r="B216" s="7167"/>
      <c r="C216" s="39" t="s">
        <v>8431</v>
      </c>
      <c r="D216" s="76" t="s">
        <v>8631</v>
      </c>
      <c r="E216" s="1035">
        <v>18</v>
      </c>
      <c r="F216" s="1036">
        <v>22</v>
      </c>
      <c r="G216" s="1035">
        <v>40</v>
      </c>
      <c r="H216" s="1035">
        <v>8</v>
      </c>
      <c r="I216" s="1035">
        <v>16</v>
      </c>
      <c r="J216" s="1035">
        <v>28</v>
      </c>
      <c r="K216" s="1035">
        <v>2</v>
      </c>
      <c r="L216" s="3830" t="str">
        <f t="shared" si="15"/>
        <v>Ataque Adicional Limitado+6</v>
      </c>
      <c r="M216" s="219"/>
      <c r="N216" s="7164"/>
      <c r="O216" s="3832" t="s">
        <v>8536</v>
      </c>
      <c r="P216" s="3832" t="s">
        <v>1593</v>
      </c>
      <c r="Q216" s="3855">
        <v>-25</v>
      </c>
      <c r="R216" s="3855">
        <v>3</v>
      </c>
      <c r="S216" s="3835" t="str">
        <f t="shared" si="13"/>
        <v>Preparación Previa1 día</v>
      </c>
      <c r="T216" s="219"/>
    </row>
    <row r="217" spans="1:20" ht="12" customHeight="1">
      <c r="A217" s="7172"/>
      <c r="B217" s="7167"/>
      <c r="C217" s="39" t="s">
        <v>8431</v>
      </c>
      <c r="D217" s="76" t="s">
        <v>6474</v>
      </c>
      <c r="E217" s="1035">
        <v>22</v>
      </c>
      <c r="F217" s="1036">
        <v>26</v>
      </c>
      <c r="G217" s="1035">
        <v>50</v>
      </c>
      <c r="H217" s="1035">
        <v>10</v>
      </c>
      <c r="I217" s="1035">
        <v>20</v>
      </c>
      <c r="J217" s="1035">
        <v>35</v>
      </c>
      <c r="K217" s="1035">
        <v>2</v>
      </c>
      <c r="L217" s="3830" t="str">
        <f t="shared" si="15"/>
        <v>Ataque Adicional Limitado+8</v>
      </c>
      <c r="M217" s="219"/>
      <c r="N217" s="7164"/>
      <c r="O217" s="76" t="s">
        <v>8595</v>
      </c>
      <c r="P217" s="76"/>
      <c r="Q217" s="70"/>
      <c r="R217" s="70"/>
      <c r="S217" s="3830" t="str">
        <f t="shared" ref="S217:S234" si="16">O217&amp;P217</f>
        <v>&gt; REQUERIMIENTOS ELEMENTALES</v>
      </c>
      <c r="T217" s="219"/>
    </row>
    <row r="218" spans="1:20" ht="12" customHeight="1">
      <c r="A218" s="7172"/>
      <c r="B218" s="7167"/>
      <c r="C218" s="39" t="s">
        <v>8431</v>
      </c>
      <c r="D218" s="76" t="s">
        <v>7056</v>
      </c>
      <c r="E218" s="1035">
        <v>26</v>
      </c>
      <c r="F218" s="1036">
        <v>32</v>
      </c>
      <c r="G218" s="1035">
        <v>60</v>
      </c>
      <c r="H218" s="1035">
        <v>12</v>
      </c>
      <c r="I218" s="1035">
        <v>24</v>
      </c>
      <c r="J218" s="1035">
        <v>42</v>
      </c>
      <c r="K218" s="1035">
        <v>3</v>
      </c>
      <c r="L218" s="3830" t="str">
        <f t="shared" si="15"/>
        <v>Ataque Adicional Limitado+10</v>
      </c>
      <c r="M218" s="219"/>
      <c r="N218" s="7164"/>
      <c r="O218" s="76" t="s">
        <v>8537</v>
      </c>
      <c r="P218" s="76" t="s">
        <v>8597</v>
      </c>
      <c r="Q218" s="70">
        <v>-5</v>
      </c>
      <c r="R218" s="70">
        <v>1</v>
      </c>
      <c r="S218" s="3830" t="str">
        <f t="shared" si="16"/>
        <v>Requerimientos ElementalesIntensidad Menor</v>
      </c>
      <c r="T218" s="219"/>
    </row>
    <row r="219" spans="1:20" ht="12" customHeight="1">
      <c r="A219" s="7172"/>
      <c r="B219" s="7167"/>
      <c r="C219" s="39" t="s">
        <v>8431</v>
      </c>
      <c r="D219" s="76" t="s">
        <v>2970</v>
      </c>
      <c r="E219" s="1035">
        <v>10</v>
      </c>
      <c r="F219" s="1036">
        <v>10</v>
      </c>
      <c r="G219" s="1035">
        <v>30</v>
      </c>
      <c r="H219" s="1035">
        <v>5</v>
      </c>
      <c r="I219" s="1035">
        <v>10</v>
      </c>
      <c r="J219" s="1035">
        <v>18</v>
      </c>
      <c r="K219" s="1035"/>
      <c r="L219" s="3830" t="str">
        <f t="shared" si="15"/>
        <v>Ataque Adicional LimitadoAtaque Contínuo</v>
      </c>
      <c r="M219" s="219"/>
      <c r="N219" s="7164"/>
      <c r="O219" s="76" t="s">
        <v>8537</v>
      </c>
      <c r="P219" s="76" t="s">
        <v>8600</v>
      </c>
      <c r="Q219" s="70">
        <v>-10</v>
      </c>
      <c r="R219" s="70">
        <v>1</v>
      </c>
      <c r="S219" s="3830" t="str">
        <f t="shared" si="16"/>
        <v>Requerimientos ElementalesIntensidad Mayor</v>
      </c>
      <c r="T219" s="219"/>
    </row>
    <row r="220" spans="1:20" ht="12" customHeight="1">
      <c r="A220" s="7172"/>
      <c r="B220" s="7167"/>
      <c r="C220" s="3831" t="s">
        <v>8431</v>
      </c>
      <c r="D220" s="3832" t="s">
        <v>11808</v>
      </c>
      <c r="E220" s="3833">
        <v>-4</v>
      </c>
      <c r="F220" s="3834">
        <v>-4</v>
      </c>
      <c r="G220" s="3833">
        <v>10</v>
      </c>
      <c r="H220" s="3833"/>
      <c r="I220" s="3833"/>
      <c r="J220" s="3833"/>
      <c r="K220" s="3833"/>
      <c r="L220" s="3835" t="str">
        <f t="shared" si="15"/>
        <v>Ataque Adicional LimitadoCambio de enfoque</v>
      </c>
      <c r="M220" s="219"/>
      <c r="N220" s="7164"/>
      <c r="O220" s="76" t="s">
        <v>8602</v>
      </c>
      <c r="P220" s="76"/>
      <c r="Q220" s="70"/>
      <c r="R220" s="70"/>
      <c r="S220" s="3830" t="str">
        <f t="shared" si="16"/>
        <v>&gt; SACRIFICIO</v>
      </c>
      <c r="T220" s="219"/>
    </row>
    <row r="221" spans="1:20" ht="12" customHeight="1">
      <c r="A221" s="7172"/>
      <c r="B221" s="7167"/>
      <c r="C221" s="39" t="s">
        <v>8632</v>
      </c>
      <c r="D221" s="76"/>
      <c r="E221" s="1035"/>
      <c r="F221" s="1036"/>
      <c r="G221" s="1035"/>
      <c r="H221" s="1035"/>
      <c r="I221" s="1035"/>
      <c r="J221" s="1035"/>
      <c r="K221" s="1035"/>
      <c r="L221" s="3830" t="str">
        <f t="shared" si="15"/>
        <v>&gt; DEFENSAS ADICIONALES</v>
      </c>
      <c r="M221" s="219"/>
      <c r="N221" s="7164"/>
      <c r="O221" s="3832" t="s">
        <v>8538</v>
      </c>
      <c r="P221" s="3841" t="s">
        <v>11823</v>
      </c>
      <c r="Q221" s="3855">
        <v>-5</v>
      </c>
      <c r="R221" s="3855">
        <v>1</v>
      </c>
      <c r="S221" s="3835" t="str">
        <f t="shared" si="16"/>
        <v>Sacrificio-10 PV</v>
      </c>
      <c r="T221" s="219"/>
    </row>
    <row r="222" spans="1:20" ht="12" customHeight="1">
      <c r="A222" s="7172"/>
      <c r="B222" s="7167"/>
      <c r="C222" s="39" t="s">
        <v>8433</v>
      </c>
      <c r="D222" s="76" t="s">
        <v>2708</v>
      </c>
      <c r="E222" s="1035">
        <v>1</v>
      </c>
      <c r="F222" s="1036">
        <v>2</v>
      </c>
      <c r="G222" s="1035">
        <v>5</v>
      </c>
      <c r="H222" s="1035">
        <v>1</v>
      </c>
      <c r="I222" s="1035">
        <v>2</v>
      </c>
      <c r="J222" s="1035">
        <v>4</v>
      </c>
      <c r="K222" s="1035">
        <v>1</v>
      </c>
      <c r="L222" s="3830" t="str">
        <f t="shared" si="15"/>
        <v>Defensas Adicionales+1</v>
      </c>
      <c r="M222" s="219"/>
      <c r="N222" s="7164"/>
      <c r="O222" s="3832" t="s">
        <v>8538</v>
      </c>
      <c r="P222" s="3841" t="s">
        <v>8604</v>
      </c>
      <c r="Q222" s="3855">
        <v>-10</v>
      </c>
      <c r="R222" s="3855">
        <v>1</v>
      </c>
      <c r="S222" s="3835" t="str">
        <f t="shared" si="16"/>
        <v>Sacrificio-25 PV</v>
      </c>
      <c r="T222" s="219"/>
    </row>
    <row r="223" spans="1:20" ht="12" customHeight="1">
      <c r="A223" s="7172"/>
      <c r="B223" s="7167"/>
      <c r="C223" s="39" t="s">
        <v>8433</v>
      </c>
      <c r="D223" s="76" t="s">
        <v>2669</v>
      </c>
      <c r="E223" s="1035">
        <v>2</v>
      </c>
      <c r="F223" s="1036">
        <v>4</v>
      </c>
      <c r="G223" s="1035">
        <v>5</v>
      </c>
      <c r="H223" s="1035">
        <v>2</v>
      </c>
      <c r="I223" s="1035">
        <v>4</v>
      </c>
      <c r="J223" s="1035">
        <v>7</v>
      </c>
      <c r="K223" s="1035">
        <v>1</v>
      </c>
      <c r="L223" s="3830" t="str">
        <f t="shared" si="15"/>
        <v>Defensas Adicionales+2</v>
      </c>
      <c r="M223" s="219"/>
      <c r="N223" s="7164"/>
      <c r="O223" s="3832" t="s">
        <v>8538</v>
      </c>
      <c r="P223" s="3832" t="s">
        <v>8606</v>
      </c>
      <c r="Q223" s="3855">
        <v>-15</v>
      </c>
      <c r="R223" s="3855">
        <v>2</v>
      </c>
      <c r="S223" s="3835" t="str">
        <f t="shared" si="16"/>
        <v>Sacrificio-50 PV</v>
      </c>
      <c r="T223" s="219"/>
    </row>
    <row r="224" spans="1:20" ht="12" customHeight="1">
      <c r="A224" s="7172"/>
      <c r="B224" s="7167"/>
      <c r="C224" s="39" t="s">
        <v>8433</v>
      </c>
      <c r="D224" s="76" t="s">
        <v>2670</v>
      </c>
      <c r="E224" s="1035">
        <v>3</v>
      </c>
      <c r="F224" s="1036">
        <v>5</v>
      </c>
      <c r="G224" s="1035">
        <v>10</v>
      </c>
      <c r="H224" s="1035">
        <v>3</v>
      </c>
      <c r="I224" s="1035">
        <v>6</v>
      </c>
      <c r="J224" s="1035">
        <v>11</v>
      </c>
      <c r="K224" s="1035">
        <v>1</v>
      </c>
      <c r="L224" s="3830" t="str">
        <f t="shared" si="15"/>
        <v>Defensas Adicionales+3</v>
      </c>
      <c r="M224" s="219"/>
      <c r="N224" s="7164"/>
      <c r="O224" s="3832" t="s">
        <v>8538</v>
      </c>
      <c r="P224" s="3832" t="s">
        <v>8608</v>
      </c>
      <c r="Q224" s="3854">
        <v>-25</v>
      </c>
      <c r="R224" s="3855">
        <v>2</v>
      </c>
      <c r="S224" s="3835" t="str">
        <f t="shared" si="16"/>
        <v>Sacrificio-75 PV</v>
      </c>
      <c r="T224" s="219"/>
    </row>
    <row r="225" spans="1:20" ht="12" customHeight="1">
      <c r="A225" s="7172"/>
      <c r="B225" s="7167"/>
      <c r="C225" s="3831" t="s">
        <v>8433</v>
      </c>
      <c r="D225" s="3832" t="s">
        <v>2974</v>
      </c>
      <c r="E225" s="3833">
        <v>4</v>
      </c>
      <c r="F225" s="3834">
        <v>6</v>
      </c>
      <c r="G225" s="3833">
        <v>15</v>
      </c>
      <c r="H225" s="3833">
        <v>4</v>
      </c>
      <c r="I225" s="3833">
        <v>8</v>
      </c>
      <c r="J225" s="3833">
        <v>14</v>
      </c>
      <c r="K225" s="3833">
        <v>1</v>
      </c>
      <c r="L225" s="3835" t="str">
        <f t="shared" si="15"/>
        <v>Defensas Adicionales+4</v>
      </c>
      <c r="M225" s="219"/>
      <c r="N225" s="7164"/>
      <c r="O225" s="3832" t="s">
        <v>8538</v>
      </c>
      <c r="P225" s="3832" t="s">
        <v>8609</v>
      </c>
      <c r="Q225" s="3854">
        <v>-30</v>
      </c>
      <c r="R225" s="3855">
        <v>3</v>
      </c>
      <c r="S225" s="3835" t="str">
        <f t="shared" si="16"/>
        <v>Sacrificio-100 PV</v>
      </c>
      <c r="T225" s="219"/>
    </row>
    <row r="226" spans="1:20" ht="12" customHeight="1">
      <c r="A226" s="7172"/>
      <c r="B226" s="7167"/>
      <c r="C226" s="3831" t="s">
        <v>8433</v>
      </c>
      <c r="D226" s="3832" t="s">
        <v>8631</v>
      </c>
      <c r="E226" s="3833">
        <v>5</v>
      </c>
      <c r="F226" s="3834">
        <v>8</v>
      </c>
      <c r="G226" s="3833">
        <v>20</v>
      </c>
      <c r="H226" s="3833">
        <v>6</v>
      </c>
      <c r="I226" s="3833">
        <v>12</v>
      </c>
      <c r="J226" s="3833">
        <v>21</v>
      </c>
      <c r="K226" s="3833">
        <v>2</v>
      </c>
      <c r="L226" s="3835" t="str">
        <f t="shared" si="15"/>
        <v>Defensas Adicionales+6</v>
      </c>
      <c r="M226" s="219"/>
      <c r="N226" s="7164"/>
      <c r="O226" s="3832" t="s">
        <v>8538</v>
      </c>
      <c r="P226" s="3832" t="s">
        <v>6922</v>
      </c>
      <c r="Q226" s="3855">
        <v>-25</v>
      </c>
      <c r="R226" s="3855">
        <v>3</v>
      </c>
      <c r="S226" s="3835" t="str">
        <f t="shared" si="16"/>
        <v>SacrificioCompleto</v>
      </c>
      <c r="T226" s="219"/>
    </row>
    <row r="227" spans="1:20" ht="12" customHeight="1">
      <c r="A227" s="7172"/>
      <c r="B227" s="7167"/>
      <c r="C227" s="3831" t="s">
        <v>8433</v>
      </c>
      <c r="D227" s="3832" t="s">
        <v>6474</v>
      </c>
      <c r="E227" s="3833">
        <v>6</v>
      </c>
      <c r="F227" s="3834">
        <v>9</v>
      </c>
      <c r="G227" s="3833">
        <v>25</v>
      </c>
      <c r="H227" s="3833">
        <v>8</v>
      </c>
      <c r="I227" s="3833">
        <v>16</v>
      </c>
      <c r="J227" s="3833">
        <v>28</v>
      </c>
      <c r="K227" s="3833">
        <v>2</v>
      </c>
      <c r="L227" s="3835" t="str">
        <f t="shared" si="15"/>
        <v>Defensas Adicionales+8</v>
      </c>
      <c r="M227" s="219"/>
      <c r="N227" s="7164"/>
      <c r="O227" s="76" t="s">
        <v>8611</v>
      </c>
      <c r="P227" s="76"/>
      <c r="Q227" s="70"/>
      <c r="R227" s="70"/>
      <c r="S227" s="3830" t="str">
        <f t="shared" si="16"/>
        <v>&gt; SACRIFICIO DE CARACTERÍSTICAS</v>
      </c>
      <c r="T227" s="219"/>
    </row>
    <row r="228" spans="1:20" ht="12" customHeight="1">
      <c r="A228" s="7172"/>
      <c r="B228" s="7167"/>
      <c r="C228" s="3831" t="s">
        <v>8433</v>
      </c>
      <c r="D228" s="3832" t="s">
        <v>7056</v>
      </c>
      <c r="E228" s="3833">
        <v>7</v>
      </c>
      <c r="F228" s="3834">
        <v>10</v>
      </c>
      <c r="G228" s="3833">
        <v>30</v>
      </c>
      <c r="H228" s="3833">
        <v>10</v>
      </c>
      <c r="I228" s="3833">
        <v>20</v>
      </c>
      <c r="J228" s="3833">
        <v>35</v>
      </c>
      <c r="K228" s="3833">
        <v>3</v>
      </c>
      <c r="L228" s="3835" t="str">
        <f t="shared" si="15"/>
        <v>Defensas Adicionales+10</v>
      </c>
      <c r="M228" s="219"/>
      <c r="N228" s="7164"/>
      <c r="O228" s="3832" t="s">
        <v>8539</v>
      </c>
      <c r="P228" s="3832" t="s">
        <v>1233</v>
      </c>
      <c r="Q228" s="3855">
        <v>0</v>
      </c>
      <c r="R228" s="3855">
        <v>1</v>
      </c>
      <c r="S228" s="3835" t="str">
        <f t="shared" si="16"/>
        <v>Sacrificio De CaracterísticasAGI</v>
      </c>
      <c r="T228" s="219"/>
    </row>
    <row r="229" spans="1:20" ht="12" customHeight="1">
      <c r="A229" s="7172"/>
      <c r="B229" s="7167"/>
      <c r="C229" s="3831" t="s">
        <v>8433</v>
      </c>
      <c r="D229" s="3832" t="s">
        <v>8633</v>
      </c>
      <c r="E229" s="3833">
        <v>8</v>
      </c>
      <c r="F229" s="3834">
        <v>11</v>
      </c>
      <c r="G229" s="3833">
        <v>35</v>
      </c>
      <c r="H229" s="3833">
        <v>12</v>
      </c>
      <c r="I229" s="3833">
        <v>24</v>
      </c>
      <c r="J229" s="3833">
        <v>42</v>
      </c>
      <c r="K229" s="3833">
        <v>3</v>
      </c>
      <c r="L229" s="3835" t="str">
        <f t="shared" si="15"/>
        <v>Defensas AdicionalesIlimitadas</v>
      </c>
      <c r="M229" s="219"/>
      <c r="N229" s="7164"/>
      <c r="O229" s="3832" t="s">
        <v>8539</v>
      </c>
      <c r="P229" s="3832" t="s">
        <v>1357</v>
      </c>
      <c r="Q229" s="3855">
        <v>0</v>
      </c>
      <c r="R229" s="3855">
        <v>1</v>
      </c>
      <c r="S229" s="3835" t="str">
        <f t="shared" si="16"/>
        <v>Sacrificio De CaracterísticasCON</v>
      </c>
      <c r="T229" s="219"/>
    </row>
    <row r="230" spans="1:20" ht="12" customHeight="1">
      <c r="A230" s="7172"/>
      <c r="B230" s="7167"/>
      <c r="C230" s="39" t="s">
        <v>8433</v>
      </c>
      <c r="D230" s="76" t="s">
        <v>2971</v>
      </c>
      <c r="E230" s="1035">
        <v>6</v>
      </c>
      <c r="F230" s="1036">
        <v>6</v>
      </c>
      <c r="G230" s="1035">
        <v>20</v>
      </c>
      <c r="H230" s="1035">
        <v>2</v>
      </c>
      <c r="I230" s="1035">
        <v>4</v>
      </c>
      <c r="J230" s="1035">
        <v>7</v>
      </c>
      <c r="K230" s="1035"/>
      <c r="L230" s="3830" t="str">
        <f t="shared" si="15"/>
        <v>Defensas AdicionalesBono de Cansancio Añadido</v>
      </c>
      <c r="M230" s="219"/>
      <c r="N230" s="7164"/>
      <c r="O230" s="3832" t="s">
        <v>8539</v>
      </c>
      <c r="P230" s="3832" t="s">
        <v>1238</v>
      </c>
      <c r="Q230" s="3855">
        <v>0</v>
      </c>
      <c r="R230" s="3855">
        <v>1</v>
      </c>
      <c r="S230" s="3835" t="str">
        <f t="shared" si="16"/>
        <v>Sacrificio De CaracterísticasDES</v>
      </c>
      <c r="T230" s="219"/>
    </row>
    <row r="231" spans="1:20" ht="12" customHeight="1">
      <c r="A231" s="7172"/>
      <c r="B231" s="7167"/>
      <c r="C231" s="39" t="s">
        <v>8634</v>
      </c>
      <c r="D231" s="76"/>
      <c r="E231" s="1035"/>
      <c r="F231" s="1036"/>
      <c r="G231" s="1035"/>
      <c r="H231" s="1035"/>
      <c r="I231" s="1035"/>
      <c r="J231" s="1035"/>
      <c r="K231" s="1035"/>
      <c r="L231" s="3830" t="str">
        <f t="shared" si="15"/>
        <v>&gt; ACCIONES ADICIONALES</v>
      </c>
      <c r="M231" s="219"/>
      <c r="N231" s="7164"/>
      <c r="O231" s="3832" t="s">
        <v>8539</v>
      </c>
      <c r="P231" s="3832" t="s">
        <v>1243</v>
      </c>
      <c r="Q231" s="3855">
        <v>0</v>
      </c>
      <c r="R231" s="3855">
        <v>1</v>
      </c>
      <c r="S231" s="3835" t="str">
        <f t="shared" si="16"/>
        <v>Sacrificio De CaracterísticasFUE</v>
      </c>
      <c r="T231" s="219"/>
    </row>
    <row r="232" spans="1:20" ht="12" customHeight="1">
      <c r="A232" s="7172"/>
      <c r="B232" s="7167"/>
      <c r="C232" s="39" t="s">
        <v>8436</v>
      </c>
      <c r="D232" s="76" t="s">
        <v>2708</v>
      </c>
      <c r="E232" s="1035">
        <v>1</v>
      </c>
      <c r="F232" s="1036">
        <v>2</v>
      </c>
      <c r="G232" s="1035">
        <v>5</v>
      </c>
      <c r="H232" s="1035">
        <v>1</v>
      </c>
      <c r="I232" s="1035">
        <v>2</v>
      </c>
      <c r="J232" s="1035">
        <v>4</v>
      </c>
      <c r="K232" s="1035">
        <v>1</v>
      </c>
      <c r="L232" s="3830" t="str">
        <f t="shared" si="15"/>
        <v>Acciones Adicionales+1</v>
      </c>
      <c r="M232" s="219"/>
      <c r="N232" s="7164"/>
      <c r="O232" s="3832" t="s">
        <v>8539</v>
      </c>
      <c r="P232" s="3832" t="s">
        <v>1245</v>
      </c>
      <c r="Q232" s="3855">
        <v>0</v>
      </c>
      <c r="R232" s="3855">
        <v>1</v>
      </c>
      <c r="S232" s="3835" t="str">
        <f t="shared" si="16"/>
        <v>Sacrificio De CaracterísticasINT</v>
      </c>
      <c r="T232" s="219"/>
    </row>
    <row r="233" spans="1:20" ht="12" customHeight="1">
      <c r="A233" s="7172"/>
      <c r="B233" s="7167"/>
      <c r="C233" s="39" t="s">
        <v>8436</v>
      </c>
      <c r="D233" s="76" t="s">
        <v>2669</v>
      </c>
      <c r="E233" s="1035">
        <v>2</v>
      </c>
      <c r="F233" s="1036">
        <v>4</v>
      </c>
      <c r="G233" s="1035">
        <v>5</v>
      </c>
      <c r="H233" s="1035">
        <v>2</v>
      </c>
      <c r="I233" s="1035">
        <v>4</v>
      </c>
      <c r="J233" s="1035">
        <v>7</v>
      </c>
      <c r="K233" s="1035">
        <v>1</v>
      </c>
      <c r="L233" s="3830" t="str">
        <f t="shared" si="15"/>
        <v>Acciones Adicionales+2</v>
      </c>
      <c r="M233" s="219"/>
      <c r="N233" s="7164"/>
      <c r="O233" s="3832" t="s">
        <v>8539</v>
      </c>
      <c r="P233" s="3832" t="s">
        <v>1248</v>
      </c>
      <c r="Q233" s="3855">
        <v>0</v>
      </c>
      <c r="R233" s="3855">
        <v>1</v>
      </c>
      <c r="S233" s="3835" t="str">
        <f t="shared" si="16"/>
        <v>Sacrificio De CaracterísticasPER</v>
      </c>
      <c r="T233" s="219"/>
    </row>
    <row r="234" spans="1:20" ht="12" customHeight="1">
      <c r="A234" s="7172"/>
      <c r="B234" s="7167"/>
      <c r="C234" s="39" t="s">
        <v>8436</v>
      </c>
      <c r="D234" s="76" t="s">
        <v>2670</v>
      </c>
      <c r="E234" s="1035">
        <v>3</v>
      </c>
      <c r="F234" s="1036">
        <v>5</v>
      </c>
      <c r="G234" s="1035">
        <v>10</v>
      </c>
      <c r="H234" s="1035">
        <v>3</v>
      </c>
      <c r="I234" s="1035">
        <v>6</v>
      </c>
      <c r="J234" s="1035">
        <v>11</v>
      </c>
      <c r="K234" s="1035">
        <v>1</v>
      </c>
      <c r="L234" s="3830" t="str">
        <f t="shared" si="15"/>
        <v>Acciones Adicionales+3</v>
      </c>
      <c r="M234" s="219"/>
      <c r="N234" s="7164"/>
      <c r="O234" s="3832" t="s">
        <v>8539</v>
      </c>
      <c r="P234" s="3832" t="s">
        <v>1250</v>
      </c>
      <c r="Q234" s="3855">
        <v>0</v>
      </c>
      <c r="R234" s="3855">
        <v>1</v>
      </c>
      <c r="S234" s="3835" t="str">
        <f t="shared" si="16"/>
        <v>Sacrificio De CaracterísticasPOD</v>
      </c>
      <c r="T234" s="219"/>
    </row>
    <row r="235" spans="1:20" ht="12" customHeight="1">
      <c r="A235" s="7172"/>
      <c r="B235" s="7167"/>
      <c r="C235" s="39" t="s">
        <v>8436</v>
      </c>
      <c r="D235" s="76" t="s">
        <v>2974</v>
      </c>
      <c r="E235" s="1035">
        <v>4</v>
      </c>
      <c r="F235" s="1036">
        <v>6</v>
      </c>
      <c r="G235" s="1035">
        <v>15</v>
      </c>
      <c r="H235" s="1035">
        <v>4</v>
      </c>
      <c r="I235" s="1035">
        <v>8</v>
      </c>
      <c r="J235" s="1035">
        <v>14</v>
      </c>
      <c r="K235" s="1035">
        <v>1</v>
      </c>
      <c r="L235" s="3830" t="str">
        <f t="shared" si="15"/>
        <v>Acciones Adicionales+4</v>
      </c>
      <c r="M235" s="219"/>
      <c r="N235" s="7164"/>
      <c r="O235" s="3832" t="s">
        <v>8539</v>
      </c>
      <c r="P235" s="3832" t="s">
        <v>1251</v>
      </c>
      <c r="Q235" s="3855">
        <v>0</v>
      </c>
      <c r="R235" s="3855">
        <v>1</v>
      </c>
      <c r="S235" s="3835" t="str">
        <f>O235&amp;P235</f>
        <v>Sacrificio De CaracterísticasVOL</v>
      </c>
      <c r="T235" s="219"/>
    </row>
    <row r="236" spans="1:20" ht="12" customHeight="1">
      <c r="A236" s="7172"/>
      <c r="B236" s="7167"/>
      <c r="C236" s="3831" t="s">
        <v>8436</v>
      </c>
      <c r="D236" s="3832" t="s">
        <v>6459</v>
      </c>
      <c r="E236" s="3833">
        <v>5</v>
      </c>
      <c r="F236" s="3834">
        <v>8</v>
      </c>
      <c r="G236" s="3833">
        <v>20</v>
      </c>
      <c r="H236" s="3833">
        <v>6</v>
      </c>
      <c r="I236" s="3833">
        <v>12</v>
      </c>
      <c r="J236" s="3833">
        <v>21</v>
      </c>
      <c r="K236" s="3833">
        <v>2</v>
      </c>
      <c r="L236" s="3835" t="str">
        <f t="shared" si="15"/>
        <v>Acciones Adicionales+5</v>
      </c>
      <c r="M236" s="219"/>
      <c r="N236" s="7164"/>
      <c r="O236" s="3832" t="s">
        <v>8539</v>
      </c>
      <c r="P236" s="3832" t="s">
        <v>11824</v>
      </c>
      <c r="Q236" s="3854">
        <v>-15</v>
      </c>
      <c r="R236" s="3855">
        <v>1</v>
      </c>
      <c r="S236" s="3835" t="str">
        <f>O236&amp;P236</f>
        <v>Sacrificio De CaracterísticasPérdida temporal</v>
      </c>
      <c r="T236" s="219"/>
    </row>
    <row r="237" spans="1:20" ht="12" customHeight="1">
      <c r="A237" s="7172"/>
      <c r="B237" s="7167"/>
      <c r="C237" s="3831" t="s">
        <v>8436</v>
      </c>
      <c r="D237" s="3832" t="s">
        <v>8631</v>
      </c>
      <c r="E237" s="3833">
        <v>6</v>
      </c>
      <c r="F237" s="3834">
        <v>9</v>
      </c>
      <c r="G237" s="3833">
        <v>25</v>
      </c>
      <c r="H237" s="3833">
        <v>8</v>
      </c>
      <c r="I237" s="3833">
        <v>16</v>
      </c>
      <c r="J237" s="3833">
        <v>28</v>
      </c>
      <c r="K237" s="3833">
        <v>2</v>
      </c>
      <c r="L237" s="3835" t="str">
        <f t="shared" si="15"/>
        <v>Acciones Adicionales+6</v>
      </c>
      <c r="M237" s="219"/>
      <c r="N237" s="7164"/>
      <c r="O237" s="3832" t="s">
        <v>8539</v>
      </c>
      <c r="P237" s="2698" t="s">
        <v>11825</v>
      </c>
      <c r="Q237" s="3859">
        <v>-30</v>
      </c>
      <c r="R237" s="3842">
        <v>2</v>
      </c>
      <c r="S237" s="3857" t="str">
        <f>O237&amp;P237</f>
        <v>Sacrificio De CaracterísticasPérdida permanente</v>
      </c>
      <c r="T237" s="219"/>
    </row>
    <row r="238" spans="1:20" ht="12" customHeight="1">
      <c r="A238" s="7172"/>
      <c r="B238" s="7167"/>
      <c r="C238" s="3831" t="s">
        <v>8436</v>
      </c>
      <c r="D238" s="3832" t="s">
        <v>6474</v>
      </c>
      <c r="E238" s="3833">
        <v>7</v>
      </c>
      <c r="F238" s="3834">
        <v>10</v>
      </c>
      <c r="G238" s="3833">
        <v>30</v>
      </c>
      <c r="H238" s="3833">
        <v>10</v>
      </c>
      <c r="I238" s="3833">
        <v>20</v>
      </c>
      <c r="J238" s="3833">
        <v>35</v>
      </c>
      <c r="K238" s="3833">
        <v>3</v>
      </c>
      <c r="L238" s="3835" t="str">
        <f t="shared" si="15"/>
        <v>Acciones Adicionales+8</v>
      </c>
      <c r="M238" s="219"/>
      <c r="N238" s="7164"/>
      <c r="O238" s="76" t="s">
        <v>8614</v>
      </c>
      <c r="P238" s="76"/>
      <c r="Q238" s="70"/>
      <c r="R238" s="70"/>
      <c r="S238" s="3830" t="str">
        <f t="shared" ref="S238:S245" si="17">O238&amp;P238</f>
        <v>&gt; SIN DEFENSA</v>
      </c>
      <c r="T238" s="219"/>
    </row>
    <row r="239" spans="1:20" ht="12" customHeight="1">
      <c r="A239" s="7172"/>
      <c r="B239" s="7167"/>
      <c r="C239" s="3831" t="s">
        <v>8436</v>
      </c>
      <c r="D239" s="3832" t="s">
        <v>7056</v>
      </c>
      <c r="E239" s="3833">
        <v>8</v>
      </c>
      <c r="F239" s="3834">
        <v>11</v>
      </c>
      <c r="G239" s="3833">
        <v>35</v>
      </c>
      <c r="H239" s="3833">
        <v>12</v>
      </c>
      <c r="I239" s="3833">
        <v>24</v>
      </c>
      <c r="J239" s="3833">
        <v>42</v>
      </c>
      <c r="K239" s="3833">
        <v>3</v>
      </c>
      <c r="L239" s="3835" t="str">
        <f t="shared" si="15"/>
        <v>Acciones Adicionales+10</v>
      </c>
      <c r="M239" s="219"/>
      <c r="N239" s="7164"/>
      <c r="O239" s="76" t="s">
        <v>3018</v>
      </c>
      <c r="P239" s="76"/>
      <c r="Q239" s="70">
        <v>-15</v>
      </c>
      <c r="R239" s="70">
        <v>1</v>
      </c>
      <c r="S239" s="3830" t="str">
        <f t="shared" si="17"/>
        <v>Sin Defensa</v>
      </c>
      <c r="T239" s="219"/>
    </row>
    <row r="240" spans="1:20" ht="12" customHeight="1">
      <c r="A240" s="7172"/>
      <c r="B240" s="7167"/>
      <c r="C240" s="3831" t="s">
        <v>8436</v>
      </c>
      <c r="D240" s="3832" t="s">
        <v>2971</v>
      </c>
      <c r="E240" s="3833">
        <v>6</v>
      </c>
      <c r="F240" s="3834">
        <v>6</v>
      </c>
      <c r="G240" s="3833">
        <v>20</v>
      </c>
      <c r="H240" s="3833">
        <v>1</v>
      </c>
      <c r="I240" s="3833">
        <v>2</v>
      </c>
      <c r="J240" s="3833">
        <v>4</v>
      </c>
      <c r="K240" s="3833"/>
      <c r="L240" s="3835" t="str">
        <f t="shared" si="15"/>
        <v>Acciones AdicionalesBono de Cansancio Añadido</v>
      </c>
      <c r="M240" s="219"/>
      <c r="N240" s="7164"/>
      <c r="O240" s="76" t="s">
        <v>8616</v>
      </c>
      <c r="P240" s="76"/>
      <c r="Q240" s="70"/>
      <c r="R240" s="70"/>
      <c r="S240" s="3830" t="str">
        <f t="shared" si="17"/>
        <v>&gt; SOBRECARGA</v>
      </c>
      <c r="T240" s="219"/>
    </row>
    <row r="241" spans="1:20" ht="12" customHeight="1">
      <c r="A241" s="7172"/>
      <c r="B241" s="7167"/>
      <c r="C241" s="3831" t="s">
        <v>8436</v>
      </c>
      <c r="D241" s="3832" t="s">
        <v>11809</v>
      </c>
      <c r="E241" s="3833">
        <v>5</v>
      </c>
      <c r="F241" s="3834">
        <v>5</v>
      </c>
      <c r="G241" s="3833">
        <v>15</v>
      </c>
      <c r="H241" s="3833">
        <v>4</v>
      </c>
      <c r="I241" s="3833">
        <v>7</v>
      </c>
      <c r="J241" s="3833">
        <v>11</v>
      </c>
      <c r="K241" s="3833"/>
      <c r="L241" s="3835" t="str">
        <f t="shared" ref="L241:L269" si="18">C241&amp;D241</f>
        <v>Acciones AdicionalesAcción doble</v>
      </c>
      <c r="M241" s="219"/>
      <c r="N241" s="7164"/>
      <c r="O241" s="76" t="s">
        <v>3019</v>
      </c>
      <c r="P241" s="76" t="s">
        <v>8618</v>
      </c>
      <c r="Q241" s="70">
        <v>-5</v>
      </c>
      <c r="R241" s="70">
        <v>1</v>
      </c>
      <c r="S241" s="3830" t="str">
        <f t="shared" si="17"/>
        <v>SobrecargaEspera de 5 asaltos</v>
      </c>
      <c r="T241" s="219"/>
    </row>
    <row r="242" spans="1:20" ht="12" customHeight="1">
      <c r="A242" s="7172"/>
      <c r="B242" s="7167"/>
      <c r="C242" s="39" t="s">
        <v>2695</v>
      </c>
      <c r="D242" s="76"/>
      <c r="E242" s="1035"/>
      <c r="F242" s="1036"/>
      <c r="G242" s="1035"/>
      <c r="H242" s="1035"/>
      <c r="I242" s="1035"/>
      <c r="J242" s="1035"/>
      <c r="K242" s="1035"/>
      <c r="L242" s="3830" t="str">
        <f t="shared" si="18"/>
        <v>&gt;&gt;EFECTOS DE REACCIÓN</v>
      </c>
      <c r="M242" s="219"/>
      <c r="N242" s="7164"/>
      <c r="O242" s="76" t="s">
        <v>3019</v>
      </c>
      <c r="P242" s="76" t="s">
        <v>8620</v>
      </c>
      <c r="Q242" s="70">
        <v>-10</v>
      </c>
      <c r="R242" s="70">
        <v>1</v>
      </c>
      <c r="S242" s="3830" t="str">
        <f t="shared" si="17"/>
        <v>SobrecargaEspera de 20 asaltos</v>
      </c>
      <c r="T242" s="219"/>
    </row>
    <row r="243" spans="1:20" ht="12" customHeight="1">
      <c r="A243" s="7172"/>
      <c r="B243" s="7167"/>
      <c r="C243" s="39" t="s">
        <v>8635</v>
      </c>
      <c r="D243" s="76"/>
      <c r="E243" s="1035"/>
      <c r="F243" s="1036"/>
      <c r="G243" s="1035"/>
      <c r="H243" s="1035"/>
      <c r="I243" s="1035"/>
      <c r="J243" s="1035"/>
      <c r="K243" s="1035"/>
      <c r="L243" s="3830" t="str">
        <f t="shared" si="18"/>
        <v>&gt; INCREMENTAR TURNO</v>
      </c>
      <c r="M243" s="219"/>
      <c r="N243" s="7164"/>
      <c r="O243" s="76"/>
      <c r="P243" s="76"/>
      <c r="Q243" s="70"/>
      <c r="R243" s="70"/>
      <c r="S243" s="3830"/>
      <c r="T243" s="219"/>
    </row>
    <row r="244" spans="1:20" ht="12" customHeight="1">
      <c r="A244" s="7172"/>
      <c r="B244" s="7167"/>
      <c r="C244" s="39" t="s">
        <v>8440</v>
      </c>
      <c r="D244" s="76" t="s">
        <v>7200</v>
      </c>
      <c r="E244" s="1035">
        <v>1</v>
      </c>
      <c r="F244" s="1036">
        <v>2</v>
      </c>
      <c r="G244" s="1035">
        <v>5</v>
      </c>
      <c r="H244" s="1035">
        <v>1</v>
      </c>
      <c r="I244" s="1035">
        <v>2</v>
      </c>
      <c r="J244" s="1035">
        <v>4</v>
      </c>
      <c r="K244" s="1035">
        <v>1</v>
      </c>
      <c r="L244" s="3830" t="str">
        <f t="shared" si="18"/>
        <v>Incrementar Turno+25</v>
      </c>
      <c r="M244" s="219"/>
      <c r="N244" s="7164"/>
      <c r="O244" s="76" t="s">
        <v>9627</v>
      </c>
      <c r="P244" s="76"/>
      <c r="Q244" s="70"/>
      <c r="R244" s="70"/>
      <c r="S244" s="3830" t="str">
        <f t="shared" si="17"/>
        <v>&gt; TÉCNICA FINAL</v>
      </c>
      <c r="T244" s="219"/>
    </row>
    <row r="245" spans="1:20" ht="12" customHeight="1">
      <c r="A245" s="7172"/>
      <c r="B245" s="7167"/>
      <c r="C245" s="39" t="s">
        <v>8440</v>
      </c>
      <c r="D245" s="76" t="s">
        <v>7059</v>
      </c>
      <c r="E245" s="1035">
        <v>2</v>
      </c>
      <c r="F245" s="1036">
        <v>4</v>
      </c>
      <c r="G245" s="1035">
        <v>10</v>
      </c>
      <c r="H245" s="1035">
        <v>1</v>
      </c>
      <c r="I245" s="1035">
        <v>2</v>
      </c>
      <c r="J245" s="1035">
        <v>4</v>
      </c>
      <c r="K245" s="1035">
        <v>1</v>
      </c>
      <c r="L245" s="3830" t="str">
        <f t="shared" si="18"/>
        <v>Incrementar Turno+50</v>
      </c>
      <c r="M245" s="219"/>
      <c r="N245" s="7164"/>
      <c r="O245" s="3832" t="s">
        <v>9628</v>
      </c>
      <c r="P245" s="3832"/>
      <c r="Q245" s="3855">
        <v>-80</v>
      </c>
      <c r="R245" s="3855">
        <v>2</v>
      </c>
      <c r="S245" s="3835" t="str">
        <f t="shared" si="17"/>
        <v>Técnica final</v>
      </c>
      <c r="T245" s="219"/>
    </row>
    <row r="246" spans="1:20" ht="12" customHeight="1">
      <c r="A246" s="7172"/>
      <c r="B246" s="7167"/>
      <c r="C246" s="3831" t="s">
        <v>8440</v>
      </c>
      <c r="D246" s="3832" t="s">
        <v>8392</v>
      </c>
      <c r="E246" s="3833">
        <v>4</v>
      </c>
      <c r="F246" s="3834">
        <v>6</v>
      </c>
      <c r="G246" s="3833">
        <v>15</v>
      </c>
      <c r="H246" s="3833">
        <v>2</v>
      </c>
      <c r="I246" s="3833">
        <v>4</v>
      </c>
      <c r="J246" s="3833">
        <v>7</v>
      </c>
      <c r="K246" s="3833">
        <v>2</v>
      </c>
      <c r="L246" s="3835" t="str">
        <f t="shared" si="18"/>
        <v>Incrementar Turno+75</v>
      </c>
      <c r="M246" s="219"/>
      <c r="N246" s="7164"/>
      <c r="O246" s="76" t="s">
        <v>8622</v>
      </c>
      <c r="P246" s="76"/>
      <c r="Q246" s="70"/>
      <c r="R246" s="70"/>
      <c r="S246" s="3830" t="str">
        <f>O246&amp;P246</f>
        <v>&gt; TÉCNICA MANTENIDA</v>
      </c>
      <c r="T246" s="219"/>
    </row>
    <row r="247" spans="1:20" ht="12" customHeight="1">
      <c r="A247" s="7172"/>
      <c r="B247" s="7167"/>
      <c r="C247" s="3831" t="s">
        <v>8440</v>
      </c>
      <c r="D247" s="3832" t="s">
        <v>8399</v>
      </c>
      <c r="E247" s="3833">
        <v>6</v>
      </c>
      <c r="F247" s="3834">
        <v>9</v>
      </c>
      <c r="G247" s="3833">
        <v>20</v>
      </c>
      <c r="H247" s="3833">
        <v>3</v>
      </c>
      <c r="I247" s="3833">
        <v>6</v>
      </c>
      <c r="J247" s="3833">
        <v>11</v>
      </c>
      <c r="K247" s="3833">
        <v>2</v>
      </c>
      <c r="L247" s="3835" t="str">
        <f t="shared" si="18"/>
        <v>Incrementar Turno+100</v>
      </c>
      <c r="M247" s="219"/>
      <c r="N247" s="7164"/>
      <c r="O247" s="76" t="s">
        <v>8540</v>
      </c>
      <c r="P247" s="76" t="s">
        <v>8624</v>
      </c>
      <c r="Q247" s="70">
        <v>-5</v>
      </c>
      <c r="R247" s="70">
        <v>1</v>
      </c>
      <c r="S247" s="3830" t="str">
        <f>O247&amp;P247</f>
        <v>Técnica MantenidaNv 1</v>
      </c>
      <c r="T247" s="219"/>
    </row>
    <row r="248" spans="1:20" ht="12" customHeight="1">
      <c r="A248" s="7172"/>
      <c r="B248" s="7167"/>
      <c r="C248" s="3831" t="s">
        <v>8440</v>
      </c>
      <c r="D248" s="3832" t="s">
        <v>8400</v>
      </c>
      <c r="E248" s="3833">
        <v>8</v>
      </c>
      <c r="F248" s="3834">
        <v>11</v>
      </c>
      <c r="G248" s="3833">
        <v>25</v>
      </c>
      <c r="H248" s="3833">
        <v>4</v>
      </c>
      <c r="I248" s="3833">
        <v>8</v>
      </c>
      <c r="J248" s="3833">
        <v>14</v>
      </c>
      <c r="K248" s="3833">
        <v>2</v>
      </c>
      <c r="L248" s="3835" t="str">
        <f t="shared" si="18"/>
        <v>Incrementar Turno+125</v>
      </c>
      <c r="M248" s="219"/>
      <c r="N248" s="7164"/>
      <c r="O248" s="76" t="s">
        <v>8540</v>
      </c>
      <c r="P248" s="76" t="s">
        <v>8626</v>
      </c>
      <c r="Q248" s="70">
        <v>-10</v>
      </c>
      <c r="R248" s="70">
        <v>2</v>
      </c>
      <c r="S248" s="3830" t="str">
        <f>O248&amp;P248</f>
        <v>Técnica MantenidaNv 2</v>
      </c>
      <c r="T248" s="219"/>
    </row>
    <row r="249" spans="1:20" ht="12" customHeight="1">
      <c r="A249" s="7172"/>
      <c r="B249" s="7167"/>
      <c r="C249" s="3831" t="s">
        <v>8440</v>
      </c>
      <c r="D249" s="3832" t="s">
        <v>8402</v>
      </c>
      <c r="E249" s="3833">
        <v>10</v>
      </c>
      <c r="F249" s="3834">
        <v>13</v>
      </c>
      <c r="G249" s="3833">
        <v>30</v>
      </c>
      <c r="H249" s="3833">
        <v>5</v>
      </c>
      <c r="I249" s="3833">
        <v>10</v>
      </c>
      <c r="J249" s="3833">
        <v>18</v>
      </c>
      <c r="K249" s="3833">
        <v>3</v>
      </c>
      <c r="L249" s="3835" t="str">
        <f t="shared" si="18"/>
        <v>Incrementar Turno+150</v>
      </c>
      <c r="M249" s="219"/>
      <c r="N249" s="7164"/>
      <c r="O249" s="76" t="s">
        <v>8540</v>
      </c>
      <c r="P249" s="76" t="s">
        <v>8627</v>
      </c>
      <c r="Q249" s="70">
        <v>-15</v>
      </c>
      <c r="R249" s="70">
        <v>3</v>
      </c>
      <c r="S249" s="3830" t="str">
        <f t="shared" ref="S249:S267" si="19">O249&amp;P249</f>
        <v>Técnica MantenidaNv 3</v>
      </c>
      <c r="T249" s="219"/>
    </row>
    <row r="250" spans="1:20" ht="12" customHeight="1">
      <c r="A250" s="7172"/>
      <c r="B250" s="7167"/>
      <c r="C250" s="3831" t="s">
        <v>8440</v>
      </c>
      <c r="D250" s="3832" t="s">
        <v>8405</v>
      </c>
      <c r="E250" s="3833">
        <v>12</v>
      </c>
      <c r="F250" s="3834">
        <v>15</v>
      </c>
      <c r="G250" s="3833">
        <v>35</v>
      </c>
      <c r="H250" s="3833">
        <v>6</v>
      </c>
      <c r="I250" s="3833">
        <v>12</v>
      </c>
      <c r="J250" s="3833">
        <v>21</v>
      </c>
      <c r="K250" s="3833">
        <v>3</v>
      </c>
      <c r="L250" s="3835" t="str">
        <f t="shared" si="18"/>
        <v>Incrementar Turno+175</v>
      </c>
      <c r="M250" s="219"/>
      <c r="N250" s="7164"/>
      <c r="O250" s="76" t="s">
        <v>8628</v>
      </c>
      <c r="P250" s="76"/>
      <c r="Q250" s="70"/>
      <c r="R250" s="70"/>
      <c r="S250" s="3830" t="str">
        <f t="shared" si="19"/>
        <v>&gt; USOS LIMITADOS</v>
      </c>
      <c r="T250" s="219"/>
    </row>
    <row r="251" spans="1:20" ht="12" customHeight="1">
      <c r="A251" s="7172"/>
      <c r="B251" s="7167"/>
      <c r="C251" s="3831" t="s">
        <v>8440</v>
      </c>
      <c r="D251" s="3832" t="s">
        <v>8407</v>
      </c>
      <c r="E251" s="3833">
        <v>14</v>
      </c>
      <c r="F251" s="3834">
        <v>18</v>
      </c>
      <c r="G251" s="3833">
        <v>40</v>
      </c>
      <c r="H251" s="3833">
        <v>7</v>
      </c>
      <c r="I251" s="3833">
        <v>14</v>
      </c>
      <c r="J251" s="3833">
        <v>25</v>
      </c>
      <c r="K251" s="3833">
        <v>3</v>
      </c>
      <c r="L251" s="3835" t="str">
        <f t="shared" si="18"/>
        <v>Incrementar Turno+200</v>
      </c>
      <c r="M251" s="219"/>
      <c r="N251" s="7164"/>
      <c r="O251" s="3832" t="s">
        <v>8541</v>
      </c>
      <c r="P251" s="3832" t="s">
        <v>11826</v>
      </c>
      <c r="Q251" s="3855">
        <v>-10</v>
      </c>
      <c r="R251" s="3855">
        <v>1</v>
      </c>
      <c r="S251" s="3835" t="str">
        <f t="shared" si="19"/>
        <v>Usos LimitadosUn uso por día</v>
      </c>
      <c r="T251" s="219"/>
    </row>
    <row r="252" spans="1:20" ht="12" customHeight="1">
      <c r="A252" s="7172"/>
      <c r="B252" s="7167"/>
      <c r="C252" s="39" t="s">
        <v>8636</v>
      </c>
      <c r="D252" s="76"/>
      <c r="E252" s="1035"/>
      <c r="F252" s="1036"/>
      <c r="G252" s="1035"/>
      <c r="H252" s="1035"/>
      <c r="I252" s="1035"/>
      <c r="J252" s="1035"/>
      <c r="K252" s="1035"/>
      <c r="L252" s="3830" t="str">
        <f t="shared" si="18"/>
        <v>&gt; RECUPERAR ACCIÓN</v>
      </c>
      <c r="M252" s="219"/>
      <c r="N252" s="7164"/>
      <c r="O252" s="3832" t="s">
        <v>8541</v>
      </c>
      <c r="P252" s="3832" t="s">
        <v>11827</v>
      </c>
      <c r="Q252" s="3855">
        <v>-20</v>
      </c>
      <c r="R252" s="3855">
        <v>1</v>
      </c>
      <c r="S252" s="3835" t="str">
        <f t="shared" si="19"/>
        <v>Usos LimitadosUn uso por semana</v>
      </c>
      <c r="T252" s="219"/>
    </row>
    <row r="253" spans="1:20" ht="12" customHeight="1">
      <c r="A253" s="7172"/>
      <c r="B253" s="7167"/>
      <c r="C253" s="3831" t="s">
        <v>2973</v>
      </c>
      <c r="D253" s="3832"/>
      <c r="E253" s="3833">
        <v>4</v>
      </c>
      <c r="F253" s="3834">
        <v>7</v>
      </c>
      <c r="G253" s="3833">
        <v>20</v>
      </c>
      <c r="H253" s="3833">
        <v>2</v>
      </c>
      <c r="I253" s="3833">
        <v>4</v>
      </c>
      <c r="J253" s="3833">
        <v>7</v>
      </c>
      <c r="K253" s="3833">
        <v>1</v>
      </c>
      <c r="L253" s="3835" t="str">
        <f t="shared" si="18"/>
        <v>Recuperar Acción</v>
      </c>
      <c r="M253" s="219"/>
      <c r="N253" s="7164"/>
      <c r="O253" s="3832" t="s">
        <v>8541</v>
      </c>
      <c r="P253" s="3832" t="s">
        <v>11828</v>
      </c>
      <c r="Q253" s="3855">
        <v>-30</v>
      </c>
      <c r="R253" s="3855">
        <v>2</v>
      </c>
      <c r="S253" s="3835" t="str">
        <f t="shared" si="19"/>
        <v>Usos LimitadosUn uso por mes</v>
      </c>
      <c r="T253" s="219"/>
    </row>
    <row r="254" spans="1:20" ht="12" customHeight="1">
      <c r="A254" s="7172"/>
      <c r="B254" s="7167"/>
      <c r="C254" s="39" t="s">
        <v>8637</v>
      </c>
      <c r="D254" s="76"/>
      <c r="E254" s="1035"/>
      <c r="F254" s="1036"/>
      <c r="G254" s="1035"/>
      <c r="H254" s="1035"/>
      <c r="I254" s="1035"/>
      <c r="J254" s="1035"/>
      <c r="K254" s="1035"/>
      <c r="L254" s="3830" t="str">
        <f t="shared" si="18"/>
        <v>&gt; PREVISIÓN</v>
      </c>
      <c r="M254" s="219"/>
      <c r="N254" s="7164"/>
      <c r="O254" s="3832" t="s">
        <v>8541</v>
      </c>
      <c r="P254" s="3832" t="s">
        <v>11829</v>
      </c>
      <c r="Q254" s="3855">
        <v>-40</v>
      </c>
      <c r="R254" s="3855">
        <v>2</v>
      </c>
      <c r="S254" s="3835" t="str">
        <f t="shared" si="19"/>
        <v>Usos LimitadosUn uso por año</v>
      </c>
      <c r="T254" s="219"/>
    </row>
    <row r="255" spans="1:20" ht="12" customHeight="1">
      <c r="A255" s="7172"/>
      <c r="B255" s="7167"/>
      <c r="C255" s="3831" t="s">
        <v>2702</v>
      </c>
      <c r="D255" s="3832" t="s">
        <v>8638</v>
      </c>
      <c r="E255" s="3833">
        <v>2</v>
      </c>
      <c r="F255" s="3834">
        <v>3</v>
      </c>
      <c r="G255" s="3833">
        <v>10</v>
      </c>
      <c r="H255" s="3833">
        <v>1</v>
      </c>
      <c r="I255" s="3833">
        <v>2</v>
      </c>
      <c r="J255" s="3833">
        <v>3</v>
      </c>
      <c r="K255" s="3833">
        <v>1</v>
      </c>
      <c r="L255" s="3835" t="str">
        <f t="shared" si="18"/>
        <v>PrevisiónA Mitad</v>
      </c>
      <c r="M255" s="219"/>
      <c r="N255" s="7164"/>
      <c r="O255" s="3832" t="s">
        <v>8541</v>
      </c>
      <c r="P255" s="3832" t="s">
        <v>11830</v>
      </c>
      <c r="Q255" s="3855">
        <v>-50</v>
      </c>
      <c r="R255" s="3855">
        <v>3</v>
      </c>
      <c r="S255" s="3835" t="str">
        <f t="shared" si="19"/>
        <v>Usos LimitadosUn único uso</v>
      </c>
      <c r="T255" s="219"/>
    </row>
    <row r="256" spans="1:20" ht="12" customHeight="1">
      <c r="A256" s="7172"/>
      <c r="B256" s="7167"/>
      <c r="C256" s="3831" t="s">
        <v>2702</v>
      </c>
      <c r="D256" s="3832" t="s">
        <v>6922</v>
      </c>
      <c r="E256" s="3833">
        <v>4</v>
      </c>
      <c r="F256" s="3834">
        <v>6</v>
      </c>
      <c r="G256" s="3833">
        <v>20</v>
      </c>
      <c r="H256" s="3833">
        <v>2</v>
      </c>
      <c r="I256" s="3833">
        <v>4</v>
      </c>
      <c r="J256" s="3833">
        <v>8</v>
      </c>
      <c r="K256" s="3833">
        <v>1</v>
      </c>
      <c r="L256" s="3835" t="str">
        <f t="shared" si="18"/>
        <v>PrevisiónCompleto</v>
      </c>
      <c r="M256" s="219"/>
      <c r="N256" s="7164"/>
      <c r="O256" s="2698" t="s">
        <v>11831</v>
      </c>
      <c r="P256" s="2698"/>
      <c r="Q256" s="3842"/>
      <c r="R256" s="3842"/>
      <c r="S256" s="3835"/>
      <c r="T256" s="219"/>
    </row>
    <row r="257" spans="1:20" ht="12" customHeight="1">
      <c r="A257" s="7172"/>
      <c r="B257" s="7167"/>
      <c r="C257" s="39" t="s">
        <v>2705</v>
      </c>
      <c r="D257" s="76"/>
      <c r="E257" s="1035"/>
      <c r="F257" s="1036"/>
      <c r="G257" s="1035"/>
      <c r="H257" s="1035"/>
      <c r="I257" s="1035"/>
      <c r="J257" s="1035"/>
      <c r="K257" s="1035"/>
      <c r="L257" s="3830" t="str">
        <f t="shared" si="18"/>
        <v>&gt;&gt;EFECTOS ESPACIALES</v>
      </c>
      <c r="M257" s="219"/>
      <c r="N257" s="7164"/>
      <c r="O257" s="2698" t="s">
        <v>11818</v>
      </c>
      <c r="P257" s="2698" t="s">
        <v>11832</v>
      </c>
      <c r="Q257" s="3842">
        <v>-5</v>
      </c>
      <c r="R257" s="3842">
        <v>1</v>
      </c>
      <c r="S257" s="3835" t="str">
        <f t="shared" si="19"/>
        <v>Área restringida10 metros de diámetro</v>
      </c>
      <c r="T257" s="219"/>
    </row>
    <row r="258" spans="1:20" ht="12" customHeight="1">
      <c r="A258" s="7172"/>
      <c r="B258" s="7167"/>
      <c r="C258" s="39" t="s">
        <v>8639</v>
      </c>
      <c r="D258" s="76"/>
      <c r="E258" s="1035"/>
      <c r="F258" s="1036"/>
      <c r="G258" s="1035"/>
      <c r="H258" s="1035"/>
      <c r="I258" s="1035"/>
      <c r="J258" s="1035"/>
      <c r="K258" s="1035"/>
      <c r="L258" s="3830" t="str">
        <f t="shared" si="18"/>
        <v>&gt; ATAQUE A DISTANCIA</v>
      </c>
      <c r="M258" s="219"/>
      <c r="N258" s="7164"/>
      <c r="O258" s="2698" t="s">
        <v>11818</v>
      </c>
      <c r="P258" s="2698" t="s">
        <v>11833</v>
      </c>
      <c r="Q258" s="3842">
        <v>-10</v>
      </c>
      <c r="R258" s="3842">
        <v>1</v>
      </c>
      <c r="S258" s="3835" t="str">
        <f t="shared" si="19"/>
        <v>Área restringida5 metros de diámetro</v>
      </c>
      <c r="T258" s="219"/>
    </row>
    <row r="259" spans="1:20" ht="12" customHeight="1">
      <c r="A259" s="7172"/>
      <c r="B259" s="7167"/>
      <c r="C259" s="39" t="s">
        <v>8640</v>
      </c>
      <c r="D259" s="76" t="s">
        <v>4594</v>
      </c>
      <c r="E259" s="1035">
        <v>1</v>
      </c>
      <c r="F259" s="1036">
        <v>2</v>
      </c>
      <c r="G259" s="1035">
        <v>5</v>
      </c>
      <c r="H259" s="1035">
        <v>1</v>
      </c>
      <c r="I259" s="1035">
        <v>2</v>
      </c>
      <c r="J259" s="1035">
        <v>4</v>
      </c>
      <c r="K259" s="1035">
        <v>1</v>
      </c>
      <c r="L259" s="3830" t="str">
        <f t="shared" si="18"/>
        <v>Ataque A Distancia5 metros</v>
      </c>
      <c r="M259" s="219"/>
      <c r="N259" s="7164"/>
      <c r="O259" s="2698" t="s">
        <v>11818</v>
      </c>
      <c r="P259" s="2698" t="s">
        <v>11834</v>
      </c>
      <c r="Q259" s="3842">
        <v>-20</v>
      </c>
      <c r="R259" s="3842">
        <v>1</v>
      </c>
      <c r="S259" s="3835" t="str">
        <f t="shared" si="19"/>
        <v>Área restringidaQuieto</v>
      </c>
      <c r="T259" s="219"/>
    </row>
    <row r="260" spans="1:20" ht="12" customHeight="1">
      <c r="A260" s="7172"/>
      <c r="B260" s="7167"/>
      <c r="C260" s="39" t="s">
        <v>8640</v>
      </c>
      <c r="D260" s="76" t="s">
        <v>8641</v>
      </c>
      <c r="E260" s="1035">
        <v>2</v>
      </c>
      <c r="F260" s="1036">
        <v>4</v>
      </c>
      <c r="G260" s="1035">
        <v>10</v>
      </c>
      <c r="H260" s="1035">
        <v>1</v>
      </c>
      <c r="I260" s="1035">
        <v>2</v>
      </c>
      <c r="J260" s="1035">
        <v>4</v>
      </c>
      <c r="K260" s="1035">
        <v>1</v>
      </c>
      <c r="L260" s="3830" t="str">
        <f t="shared" si="18"/>
        <v>Ataque A Distancia10 metros</v>
      </c>
      <c r="M260" s="219"/>
      <c r="N260" s="7164"/>
      <c r="O260" s="2698" t="s">
        <v>11835</v>
      </c>
      <c r="P260" s="2698"/>
      <c r="Q260" s="3842"/>
      <c r="R260" s="3842"/>
      <c r="S260" s="3835"/>
      <c r="T260" s="219"/>
    </row>
    <row r="261" spans="1:20" ht="12" customHeight="1">
      <c r="A261" s="7172"/>
      <c r="B261" s="7167"/>
      <c r="C261" s="39" t="s">
        <v>8640</v>
      </c>
      <c r="D261" s="76" t="s">
        <v>8365</v>
      </c>
      <c r="E261" s="1035">
        <v>3</v>
      </c>
      <c r="F261" s="1036">
        <v>5</v>
      </c>
      <c r="G261" s="1035">
        <v>10</v>
      </c>
      <c r="H261" s="1035">
        <v>2</v>
      </c>
      <c r="I261" s="1035">
        <v>4</v>
      </c>
      <c r="J261" s="1035">
        <v>7</v>
      </c>
      <c r="K261" s="1035">
        <v>1</v>
      </c>
      <c r="L261" s="3830" t="str">
        <f t="shared" si="18"/>
        <v>Ataque A Distancia20 metros</v>
      </c>
      <c r="M261" s="219"/>
      <c r="N261" s="7164"/>
      <c r="O261" s="2698" t="s">
        <v>11819</v>
      </c>
      <c r="P261" s="2698"/>
      <c r="Q261" s="3842">
        <v>-10</v>
      </c>
      <c r="R261" s="3842">
        <v>1</v>
      </c>
      <c r="S261" s="3835" t="str">
        <f t="shared" si="19"/>
        <v>Conocimiento general</v>
      </c>
      <c r="T261" s="219"/>
    </row>
    <row r="262" spans="1:20" ht="12" customHeight="1">
      <c r="A262" s="7172"/>
      <c r="B262" s="7167"/>
      <c r="C262" s="39" t="s">
        <v>8640</v>
      </c>
      <c r="D262" s="76" t="s">
        <v>4596</v>
      </c>
      <c r="E262" s="1035">
        <v>4</v>
      </c>
      <c r="F262" s="1036">
        <v>6</v>
      </c>
      <c r="G262" s="1035">
        <v>15</v>
      </c>
      <c r="H262" s="1035">
        <v>3</v>
      </c>
      <c r="I262" s="1035">
        <v>6</v>
      </c>
      <c r="J262" s="1035">
        <v>11</v>
      </c>
      <c r="K262" s="1035">
        <v>1</v>
      </c>
      <c r="L262" s="3830" t="str">
        <f t="shared" si="18"/>
        <v>Ataque A Distancia50 metros</v>
      </c>
      <c r="M262" s="219"/>
      <c r="N262" s="7164"/>
      <c r="O262" s="76" t="str">
        <f>"&gt; "&amp;UPPER(O144)</f>
        <v>&gt; DESVENTAJA PERSONALIZADA #1</v>
      </c>
      <c r="P262" s="76"/>
      <c r="Q262" s="70"/>
      <c r="R262" s="70"/>
      <c r="S262" s="3830" t="str">
        <f t="shared" si="19"/>
        <v>&gt; DESVENTAJA PERSONALIZADA #1</v>
      </c>
      <c r="T262" s="219"/>
    </row>
    <row r="263" spans="1:20" ht="12" customHeight="1">
      <c r="A263" s="7172"/>
      <c r="B263" s="7167"/>
      <c r="C263" s="3831" t="s">
        <v>8640</v>
      </c>
      <c r="D263" s="3832" t="s">
        <v>4631</v>
      </c>
      <c r="E263" s="3833">
        <v>5</v>
      </c>
      <c r="F263" s="3834">
        <v>8</v>
      </c>
      <c r="G263" s="3833">
        <v>20</v>
      </c>
      <c r="H263" s="3833">
        <v>4</v>
      </c>
      <c r="I263" s="3833">
        <v>8</v>
      </c>
      <c r="J263" s="3833">
        <v>14</v>
      </c>
      <c r="K263" s="3833">
        <v>2</v>
      </c>
      <c r="L263" s="3835" t="str">
        <f t="shared" si="18"/>
        <v>Ataque A Distancia100 metros</v>
      </c>
      <c r="M263" s="219"/>
      <c r="N263" s="7164"/>
      <c r="O263" s="76" t="str">
        <f>IF(Personalización!F45="","Desventaja Personalizada #1",Personalización!F45)</f>
        <v>Desventaja Personalizada #1</v>
      </c>
      <c r="P263" s="76"/>
      <c r="Q263" s="70">
        <f>Personalización!M45</f>
        <v>0</v>
      </c>
      <c r="R263" s="70">
        <f>Personalización!Q45</f>
        <v>0</v>
      </c>
      <c r="S263" s="3830" t="str">
        <f t="shared" si="19"/>
        <v>Desventaja Personalizada #1</v>
      </c>
      <c r="T263" s="219"/>
    </row>
    <row r="264" spans="1:20" ht="12" customHeight="1">
      <c r="A264" s="7172"/>
      <c r="B264" s="7167"/>
      <c r="C264" s="3831" t="s">
        <v>8640</v>
      </c>
      <c r="D264" s="3832" t="s">
        <v>5026</v>
      </c>
      <c r="E264" s="3833">
        <v>6</v>
      </c>
      <c r="F264" s="3834">
        <v>9</v>
      </c>
      <c r="G264" s="3833">
        <v>25</v>
      </c>
      <c r="H264" s="3833">
        <v>5</v>
      </c>
      <c r="I264" s="3833">
        <v>10</v>
      </c>
      <c r="J264" s="3833">
        <v>18</v>
      </c>
      <c r="K264" s="3833">
        <v>2</v>
      </c>
      <c r="L264" s="3835" t="str">
        <f t="shared" si="18"/>
        <v>Ataque A Distancia250 metros</v>
      </c>
      <c r="M264" s="219"/>
      <c r="N264" s="7164"/>
      <c r="O264" s="76" t="str">
        <f>"&gt; "&amp;UPPER($O$145)</f>
        <v>&gt; DESVENTAJA PERSONALIZADA #2</v>
      </c>
      <c r="P264" s="76"/>
      <c r="Q264" s="70"/>
      <c r="R264" s="70"/>
      <c r="S264" s="3830" t="str">
        <f t="shared" si="19"/>
        <v>&gt; DESVENTAJA PERSONALIZADA #2</v>
      </c>
      <c r="T264" s="219"/>
    </row>
    <row r="265" spans="1:20" ht="12" customHeight="1">
      <c r="A265" s="7172"/>
      <c r="B265" s="7167"/>
      <c r="C265" s="3831" t="s">
        <v>8640</v>
      </c>
      <c r="D265" s="3832" t="s">
        <v>4923</v>
      </c>
      <c r="E265" s="3833">
        <v>8</v>
      </c>
      <c r="F265" s="3834">
        <v>11</v>
      </c>
      <c r="G265" s="3833">
        <v>30</v>
      </c>
      <c r="H265" s="3833">
        <v>6</v>
      </c>
      <c r="I265" s="3833">
        <v>12</v>
      </c>
      <c r="J265" s="3833">
        <v>21</v>
      </c>
      <c r="K265" s="3833">
        <v>2</v>
      </c>
      <c r="L265" s="3835" t="str">
        <f t="shared" si="18"/>
        <v>Ataque A Distancia500 metros</v>
      </c>
      <c r="M265" s="219"/>
      <c r="N265" s="7164"/>
      <c r="O265" s="76" t="str">
        <f>IF(Personalización!F46="","Desventaja Personalizada #2",Personalización!F46)</f>
        <v>Desventaja Personalizada #2</v>
      </c>
      <c r="P265" s="76"/>
      <c r="Q265" s="70">
        <f>Personalización!M46</f>
        <v>0</v>
      </c>
      <c r="R265" s="70">
        <f>Personalización!Q46</f>
        <v>0</v>
      </c>
      <c r="S265" s="3830" t="str">
        <f t="shared" si="19"/>
        <v>Desventaja Personalizada #2</v>
      </c>
      <c r="T265" s="219"/>
    </row>
    <row r="266" spans="1:20" ht="12" customHeight="1">
      <c r="A266" s="7172"/>
      <c r="B266" s="7167"/>
      <c r="C266" s="3831" t="s">
        <v>8640</v>
      </c>
      <c r="D266" s="3832" t="s">
        <v>4924</v>
      </c>
      <c r="E266" s="3833">
        <v>10</v>
      </c>
      <c r="F266" s="3834">
        <v>13</v>
      </c>
      <c r="G266" s="3833">
        <v>35</v>
      </c>
      <c r="H266" s="3833">
        <v>8</v>
      </c>
      <c r="I266" s="3833">
        <v>16</v>
      </c>
      <c r="J266" s="3833">
        <v>28</v>
      </c>
      <c r="K266" s="3833">
        <v>3</v>
      </c>
      <c r="L266" s="3835" t="str">
        <f t="shared" si="18"/>
        <v>Ataque A Distancia1 kilómetro</v>
      </c>
      <c r="M266" s="219"/>
      <c r="N266" s="7164"/>
      <c r="O266" s="76" t="str">
        <f>"&gt; "&amp;UPPER($O$146)</f>
        <v>&gt; DESVENTAJA PERSONALIZADA #3</v>
      </c>
      <c r="P266" s="76"/>
      <c r="Q266" s="70"/>
      <c r="R266" s="70"/>
      <c r="S266" s="3830" t="str">
        <f t="shared" si="19"/>
        <v>&gt; DESVENTAJA PERSONALIZADA #3</v>
      </c>
      <c r="T266" s="219"/>
    </row>
    <row r="267" spans="1:20" ht="12" customHeight="1" thickBot="1">
      <c r="A267" s="7172"/>
      <c r="B267" s="7167"/>
      <c r="C267" s="3831" t="s">
        <v>8640</v>
      </c>
      <c r="D267" s="3832" t="s">
        <v>8642</v>
      </c>
      <c r="E267" s="3833">
        <v>14</v>
      </c>
      <c r="F267" s="3834">
        <v>18</v>
      </c>
      <c r="G267" s="3833">
        <v>40</v>
      </c>
      <c r="H267" s="3833">
        <v>10</v>
      </c>
      <c r="I267" s="3833">
        <v>20</v>
      </c>
      <c r="J267" s="3833">
        <v>35</v>
      </c>
      <c r="K267" s="3833">
        <v>3</v>
      </c>
      <c r="L267" s="3835" t="str">
        <f t="shared" si="18"/>
        <v>Ataque A Distancia5 kilómetros</v>
      </c>
      <c r="M267" s="219"/>
      <c r="N267" s="7165"/>
      <c r="O267" s="3999" t="str">
        <f>IF(Personalización!F47="","Desventaja Personalizada #3",Personalización!F47)</f>
        <v>Desventaja Personalizada #3</v>
      </c>
      <c r="P267" s="3999"/>
      <c r="Q267" s="3888">
        <f>Personalización!M47</f>
        <v>0</v>
      </c>
      <c r="R267" s="3888">
        <f>Personalización!Q47</f>
        <v>0</v>
      </c>
      <c r="S267" s="4000" t="str">
        <f t="shared" si="19"/>
        <v>Desventaja Personalizada #3</v>
      </c>
      <c r="T267" s="219"/>
    </row>
    <row r="268" spans="1:20" ht="12" customHeight="1">
      <c r="A268" s="7172"/>
      <c r="B268" s="7167"/>
      <c r="C268" s="3831" t="s">
        <v>8640</v>
      </c>
      <c r="D268" s="3832" t="s">
        <v>4974</v>
      </c>
      <c r="E268" s="3833">
        <v>18</v>
      </c>
      <c r="F268" s="3834">
        <v>22</v>
      </c>
      <c r="G268" s="3833">
        <v>45</v>
      </c>
      <c r="H268" s="3833">
        <v>12</v>
      </c>
      <c r="I268" s="3833">
        <v>24</v>
      </c>
      <c r="J268" s="3833">
        <v>42</v>
      </c>
      <c r="K268" s="3833">
        <v>3</v>
      </c>
      <c r="L268" s="3835" t="str">
        <f t="shared" si="18"/>
        <v>Ataque A Distancia10 kilómetros</v>
      </c>
      <c r="M268" s="219"/>
      <c r="T268" s="219"/>
    </row>
    <row r="269" spans="1:20" ht="12" customHeight="1">
      <c r="A269" s="7172"/>
      <c r="B269" s="7167"/>
      <c r="C269" s="3831" t="s">
        <v>8640</v>
      </c>
      <c r="D269" s="3832" t="s">
        <v>4975</v>
      </c>
      <c r="E269" s="3833">
        <v>22</v>
      </c>
      <c r="F269" s="3834">
        <v>26</v>
      </c>
      <c r="G269" s="3833">
        <v>50</v>
      </c>
      <c r="H269" s="3833">
        <v>14</v>
      </c>
      <c r="I269" s="3833">
        <v>28</v>
      </c>
      <c r="J269" s="3833">
        <v>49</v>
      </c>
      <c r="K269" s="3833">
        <v>3</v>
      </c>
      <c r="L269" s="3835" t="str">
        <f t="shared" si="18"/>
        <v>Ataque A Distancia100 kilómetros</v>
      </c>
      <c r="M269" s="219"/>
      <c r="T269" s="219"/>
    </row>
    <row r="270" spans="1:20" ht="12" customHeight="1">
      <c r="A270" s="7172"/>
      <c r="B270" s="7167"/>
      <c r="C270" s="39" t="s">
        <v>8640</v>
      </c>
      <c r="D270" s="76" t="s">
        <v>2501</v>
      </c>
      <c r="E270" s="1035">
        <v>4</v>
      </c>
      <c r="F270" s="1036">
        <v>4</v>
      </c>
      <c r="G270" s="1035">
        <v>10</v>
      </c>
      <c r="H270" s="1035">
        <v>1</v>
      </c>
      <c r="I270" s="1035">
        <v>2</v>
      </c>
      <c r="J270" s="1035">
        <v>4</v>
      </c>
      <c r="K270" s="1035"/>
      <c r="L270" s="3830" t="str">
        <f t="shared" ref="L270:L341" si="20">C270&amp;D270</f>
        <v>Ataque A DistanciaProyección</v>
      </c>
      <c r="M270" s="219"/>
      <c r="T270" s="219"/>
    </row>
    <row r="271" spans="1:20" ht="12" customHeight="1">
      <c r="A271" s="7172"/>
      <c r="B271" s="7167"/>
      <c r="C271" s="39" t="s">
        <v>8640</v>
      </c>
      <c r="D271" s="76" t="s">
        <v>2975</v>
      </c>
      <c r="E271" s="1035">
        <v>8</v>
      </c>
      <c r="F271" s="1036">
        <v>8</v>
      </c>
      <c r="G271" s="1035">
        <v>20</v>
      </c>
      <c r="H271" s="1035">
        <v>1</v>
      </c>
      <c r="I271" s="1035">
        <v>2</v>
      </c>
      <c r="J271" s="1035">
        <v>4</v>
      </c>
      <c r="K271" s="1035"/>
      <c r="L271" s="3830" t="str">
        <f t="shared" si="20"/>
        <v>Ataque A DistanciaEstela de Destrucción</v>
      </c>
      <c r="M271" s="219"/>
      <c r="T271" s="219"/>
    </row>
    <row r="272" spans="1:20" ht="12" customHeight="1">
      <c r="A272" s="7172"/>
      <c r="B272" s="7167"/>
      <c r="C272" s="3831" t="s">
        <v>8640</v>
      </c>
      <c r="D272" s="3832" t="s">
        <v>28</v>
      </c>
      <c r="E272" s="3833">
        <v>1</v>
      </c>
      <c r="F272" s="3834">
        <v>1</v>
      </c>
      <c r="G272" s="3833">
        <v>5</v>
      </c>
      <c r="H272" s="3833">
        <v>2</v>
      </c>
      <c r="I272" s="3833">
        <v>4</v>
      </c>
      <c r="J272" s="3833">
        <v>7</v>
      </c>
      <c r="K272" s="3833"/>
      <c r="L272" s="3835" t="str">
        <f t="shared" si="20"/>
        <v>Ataque A DistanciaDaño existencial</v>
      </c>
      <c r="M272" s="219"/>
      <c r="T272" s="219"/>
    </row>
    <row r="273" spans="1:20" ht="12" customHeight="1">
      <c r="A273" s="7172"/>
      <c r="B273" s="7167"/>
      <c r="C273" s="3831" t="s">
        <v>8640</v>
      </c>
      <c r="D273" s="3832" t="s">
        <v>11810</v>
      </c>
      <c r="E273" s="3833">
        <v>3</v>
      </c>
      <c r="F273" s="3834">
        <v>3</v>
      </c>
      <c r="G273" s="3833">
        <v>20</v>
      </c>
      <c r="H273" s="3833">
        <v>2</v>
      </c>
      <c r="I273" s="3833">
        <v>4</v>
      </c>
      <c r="J273" s="3833">
        <v>6</v>
      </c>
      <c r="K273" s="3833"/>
      <c r="L273" s="3835" t="str">
        <f t="shared" si="20"/>
        <v>Ataque A DistanciaPropulsión alternativa</v>
      </c>
      <c r="M273" s="219"/>
      <c r="T273" s="219"/>
    </row>
    <row r="274" spans="1:20" ht="12" customHeight="1">
      <c r="A274" s="7172"/>
      <c r="B274" s="7167"/>
      <c r="C274" s="39" t="s">
        <v>8643</v>
      </c>
      <c r="D274" s="76"/>
      <c r="E274" s="1035"/>
      <c r="F274" s="1036"/>
      <c r="G274" s="1035"/>
      <c r="H274" s="1035"/>
      <c r="I274" s="1035"/>
      <c r="J274" s="1035"/>
      <c r="K274" s="1035"/>
      <c r="L274" s="3830" t="str">
        <f t="shared" si="20"/>
        <v>&gt; ATAQUE A DISTANCIA REAL</v>
      </c>
      <c r="M274" s="219"/>
      <c r="T274" s="219"/>
    </row>
    <row r="275" spans="1:20" ht="12" customHeight="1">
      <c r="A275" s="7172"/>
      <c r="B275" s="7167"/>
      <c r="C275" s="39" t="s">
        <v>8644</v>
      </c>
      <c r="D275" s="76" t="s">
        <v>4594</v>
      </c>
      <c r="E275" s="1035">
        <v>2</v>
      </c>
      <c r="F275" s="1036">
        <v>4</v>
      </c>
      <c r="G275" s="1035">
        <v>10</v>
      </c>
      <c r="H275" s="1035">
        <v>2</v>
      </c>
      <c r="I275" s="1035">
        <v>4</v>
      </c>
      <c r="J275" s="1035">
        <v>7</v>
      </c>
      <c r="K275" s="1035">
        <v>1</v>
      </c>
      <c r="L275" s="3830" t="str">
        <f t="shared" si="20"/>
        <v>Ataque A Distancia Real5 metros</v>
      </c>
      <c r="M275" s="219"/>
      <c r="T275" s="219"/>
    </row>
    <row r="276" spans="1:20" ht="12" customHeight="1">
      <c r="A276" s="7172"/>
      <c r="B276" s="7167"/>
      <c r="C276" s="39" t="s">
        <v>8644</v>
      </c>
      <c r="D276" s="76" t="s">
        <v>8641</v>
      </c>
      <c r="E276" s="1035">
        <v>4</v>
      </c>
      <c r="F276" s="1036">
        <v>6</v>
      </c>
      <c r="G276" s="1035">
        <v>15</v>
      </c>
      <c r="H276" s="1035">
        <v>3</v>
      </c>
      <c r="I276" s="1035">
        <v>6</v>
      </c>
      <c r="J276" s="1035">
        <v>11</v>
      </c>
      <c r="K276" s="1035">
        <v>1</v>
      </c>
      <c r="L276" s="3830" t="str">
        <f t="shared" si="20"/>
        <v>Ataque A Distancia Real10 metros</v>
      </c>
      <c r="M276" s="219"/>
      <c r="T276" s="219"/>
    </row>
    <row r="277" spans="1:20" ht="12" customHeight="1">
      <c r="A277" s="7172"/>
      <c r="B277" s="7167"/>
      <c r="C277" s="39" t="s">
        <v>8644</v>
      </c>
      <c r="D277" s="76" t="s">
        <v>8365</v>
      </c>
      <c r="E277" s="1035">
        <v>6</v>
      </c>
      <c r="F277" s="1036">
        <v>9</v>
      </c>
      <c r="G277" s="1035">
        <v>20</v>
      </c>
      <c r="H277" s="1035">
        <v>4</v>
      </c>
      <c r="I277" s="1035">
        <v>8</v>
      </c>
      <c r="J277" s="1035">
        <v>14</v>
      </c>
      <c r="K277" s="1035">
        <v>1</v>
      </c>
      <c r="L277" s="3830" t="str">
        <f t="shared" si="20"/>
        <v>Ataque A Distancia Real20 metros</v>
      </c>
      <c r="M277" s="219"/>
      <c r="T277" s="219"/>
    </row>
    <row r="278" spans="1:20" ht="12" customHeight="1">
      <c r="A278" s="7172"/>
      <c r="B278" s="7167"/>
      <c r="C278" s="39" t="s">
        <v>8644</v>
      </c>
      <c r="D278" s="76" t="s">
        <v>4596</v>
      </c>
      <c r="E278" s="1035">
        <v>8</v>
      </c>
      <c r="F278" s="1036">
        <v>11</v>
      </c>
      <c r="G278" s="1035">
        <v>25</v>
      </c>
      <c r="H278" s="1035">
        <v>5</v>
      </c>
      <c r="I278" s="1035">
        <v>10</v>
      </c>
      <c r="J278" s="1035">
        <v>18</v>
      </c>
      <c r="K278" s="1035">
        <v>1</v>
      </c>
      <c r="L278" s="3830" t="str">
        <f t="shared" si="20"/>
        <v>Ataque A Distancia Real50 metros</v>
      </c>
      <c r="M278" s="219"/>
      <c r="T278" s="219"/>
    </row>
    <row r="279" spans="1:20" ht="12" customHeight="1">
      <c r="A279" s="7172"/>
      <c r="B279" s="7167"/>
      <c r="C279" s="39" t="s">
        <v>8644</v>
      </c>
      <c r="D279" s="76" t="s">
        <v>4631</v>
      </c>
      <c r="E279" s="1035">
        <v>10</v>
      </c>
      <c r="F279" s="1036">
        <v>13</v>
      </c>
      <c r="G279" s="1035">
        <v>35</v>
      </c>
      <c r="H279" s="1035">
        <v>6</v>
      </c>
      <c r="I279" s="1035">
        <v>12</v>
      </c>
      <c r="J279" s="1035">
        <v>21</v>
      </c>
      <c r="K279" s="1035">
        <v>2</v>
      </c>
      <c r="L279" s="3830" t="str">
        <f t="shared" si="20"/>
        <v>Ataque A Distancia Real100 metros</v>
      </c>
      <c r="M279" s="219"/>
      <c r="T279" s="219"/>
    </row>
    <row r="280" spans="1:20" ht="12" customHeight="1">
      <c r="A280" s="7172"/>
      <c r="B280" s="7167"/>
      <c r="C280" s="39" t="s">
        <v>8644</v>
      </c>
      <c r="D280" s="76" t="s">
        <v>5026</v>
      </c>
      <c r="E280" s="1035">
        <v>12</v>
      </c>
      <c r="F280" s="1036">
        <v>15</v>
      </c>
      <c r="G280" s="1035">
        <v>45</v>
      </c>
      <c r="H280" s="1035">
        <v>8</v>
      </c>
      <c r="I280" s="1035">
        <v>16</v>
      </c>
      <c r="J280" s="1035">
        <v>28</v>
      </c>
      <c r="K280" s="1035">
        <v>2</v>
      </c>
      <c r="L280" s="3830" t="str">
        <f t="shared" si="20"/>
        <v>Ataque A Distancia Real250 metros</v>
      </c>
      <c r="M280" s="219"/>
      <c r="T280" s="219"/>
    </row>
    <row r="281" spans="1:20" ht="12" customHeight="1">
      <c r="A281" s="7172"/>
      <c r="B281" s="7167"/>
      <c r="C281" s="39" t="s">
        <v>8644</v>
      </c>
      <c r="D281" s="76" t="s">
        <v>4923</v>
      </c>
      <c r="E281" s="1035">
        <v>16</v>
      </c>
      <c r="F281" s="1036">
        <v>20</v>
      </c>
      <c r="G281" s="1035">
        <v>55</v>
      </c>
      <c r="H281" s="1035">
        <v>10</v>
      </c>
      <c r="I281" s="1035">
        <v>20</v>
      </c>
      <c r="J281" s="1035">
        <v>35</v>
      </c>
      <c r="K281" s="1035">
        <v>2</v>
      </c>
      <c r="L281" s="3830" t="str">
        <f t="shared" si="20"/>
        <v>Ataque A Distancia Real500 metros</v>
      </c>
      <c r="M281" s="219"/>
      <c r="T281" s="219"/>
    </row>
    <row r="282" spans="1:20" ht="12" customHeight="1">
      <c r="A282" s="7172"/>
      <c r="B282" s="7167"/>
      <c r="C282" s="39" t="s">
        <v>8644</v>
      </c>
      <c r="D282" s="76" t="s">
        <v>4924</v>
      </c>
      <c r="E282" s="1035">
        <v>20</v>
      </c>
      <c r="F282" s="1036">
        <v>24</v>
      </c>
      <c r="G282" s="1035">
        <v>70</v>
      </c>
      <c r="H282" s="1035">
        <v>12</v>
      </c>
      <c r="I282" s="1035">
        <v>24</v>
      </c>
      <c r="J282" s="1035">
        <v>42</v>
      </c>
      <c r="K282" s="1035">
        <v>3</v>
      </c>
      <c r="L282" s="3830" t="str">
        <f t="shared" si="20"/>
        <v>Ataque A Distancia Real1 kilómetro</v>
      </c>
      <c r="M282" s="219"/>
      <c r="T282" s="219"/>
    </row>
    <row r="283" spans="1:20" ht="12" customHeight="1">
      <c r="A283" s="7172"/>
      <c r="B283" s="7167"/>
      <c r="C283" s="3831" t="s">
        <v>8644</v>
      </c>
      <c r="D283" s="3832" t="s">
        <v>28</v>
      </c>
      <c r="E283" s="3833">
        <v>2</v>
      </c>
      <c r="F283" s="3834">
        <v>2</v>
      </c>
      <c r="G283" s="3833">
        <v>5</v>
      </c>
      <c r="H283" s="3833">
        <v>3</v>
      </c>
      <c r="I283" s="3833">
        <v>7</v>
      </c>
      <c r="J283" s="3833">
        <v>11</v>
      </c>
      <c r="K283" s="3833"/>
      <c r="L283" s="3835" t="str">
        <f t="shared" si="20"/>
        <v>Ataque A Distancia RealDaño existencial</v>
      </c>
      <c r="M283" s="219"/>
      <c r="T283" s="219"/>
    </row>
    <row r="284" spans="1:20" ht="12" customHeight="1">
      <c r="A284" s="7172"/>
      <c r="B284" s="7167"/>
      <c r="C284" s="3831" t="s">
        <v>8644</v>
      </c>
      <c r="D284" s="3832" t="s">
        <v>11810</v>
      </c>
      <c r="E284" s="3833">
        <v>5</v>
      </c>
      <c r="F284" s="3834">
        <v>5</v>
      </c>
      <c r="G284" s="3833">
        <v>20</v>
      </c>
      <c r="H284" s="3833">
        <v>5</v>
      </c>
      <c r="I284" s="3833">
        <v>9</v>
      </c>
      <c r="J284" s="3833">
        <v>14</v>
      </c>
      <c r="K284" s="3833"/>
      <c r="L284" s="3835" t="str">
        <f t="shared" si="20"/>
        <v>Ataque A Distancia RealPropulsión alternativa</v>
      </c>
      <c r="M284" s="219"/>
      <c r="T284" s="219"/>
    </row>
    <row r="285" spans="1:20" ht="12" customHeight="1">
      <c r="A285" s="7172"/>
      <c r="B285" s="7167"/>
      <c r="C285" s="39" t="s">
        <v>8645</v>
      </c>
      <c r="D285" s="76"/>
      <c r="E285" s="1035"/>
      <c r="F285" s="1036"/>
      <c r="G285" s="1035"/>
      <c r="H285" s="1035"/>
      <c r="I285" s="1035"/>
      <c r="J285" s="1035"/>
      <c r="K285" s="1035"/>
      <c r="L285" s="3830" t="str">
        <f t="shared" si="20"/>
        <v>&gt; ATAQUE CON ÁREA</v>
      </c>
      <c r="M285" s="219"/>
      <c r="T285" s="219"/>
    </row>
    <row r="286" spans="1:20" ht="12" customHeight="1">
      <c r="A286" s="7172"/>
      <c r="B286" s="7167"/>
      <c r="C286" s="39" t="s">
        <v>8646</v>
      </c>
      <c r="D286" s="76" t="s">
        <v>8647</v>
      </c>
      <c r="E286" s="1035">
        <v>1</v>
      </c>
      <c r="F286" s="1036">
        <v>2</v>
      </c>
      <c r="G286" s="1035">
        <v>5</v>
      </c>
      <c r="H286" s="1035">
        <v>1</v>
      </c>
      <c r="I286" s="1035">
        <v>2</v>
      </c>
      <c r="J286" s="1035">
        <v>4</v>
      </c>
      <c r="K286" s="1035">
        <v>1</v>
      </c>
      <c r="L286" s="3830" t="str">
        <f t="shared" si="20"/>
        <v>Ataque Con Área1 metro de radio</v>
      </c>
      <c r="M286" s="219"/>
      <c r="T286" s="219"/>
    </row>
    <row r="287" spans="1:20" ht="12" customHeight="1">
      <c r="A287" s="7172"/>
      <c r="B287" s="7167"/>
      <c r="C287" s="39" t="s">
        <v>8646</v>
      </c>
      <c r="D287" s="76" t="s">
        <v>3220</v>
      </c>
      <c r="E287" s="1035">
        <v>2</v>
      </c>
      <c r="F287" s="1036">
        <v>4</v>
      </c>
      <c r="G287" s="1035">
        <v>10</v>
      </c>
      <c r="H287" s="1035">
        <v>1</v>
      </c>
      <c r="I287" s="1035">
        <v>2</v>
      </c>
      <c r="J287" s="1035">
        <v>4</v>
      </c>
      <c r="K287" s="1035">
        <v>1</v>
      </c>
      <c r="L287" s="3830" t="str">
        <f t="shared" si="20"/>
        <v>Ataque Con Área5 metros de radio</v>
      </c>
      <c r="M287" s="219"/>
      <c r="T287" s="219"/>
    </row>
    <row r="288" spans="1:20" ht="12" customHeight="1">
      <c r="A288" s="7172"/>
      <c r="B288" s="7167"/>
      <c r="C288" s="39" t="s">
        <v>8646</v>
      </c>
      <c r="D288" s="76" t="s">
        <v>4021</v>
      </c>
      <c r="E288" s="1035">
        <v>3</v>
      </c>
      <c r="F288" s="1036">
        <v>5</v>
      </c>
      <c r="G288" s="1035">
        <v>15</v>
      </c>
      <c r="H288" s="1035">
        <v>2</v>
      </c>
      <c r="I288" s="1035">
        <v>4</v>
      </c>
      <c r="J288" s="1035">
        <v>7</v>
      </c>
      <c r="K288" s="1035">
        <v>1</v>
      </c>
      <c r="L288" s="3830" t="str">
        <f t="shared" si="20"/>
        <v>Ataque Con Área10 metros de radio</v>
      </c>
      <c r="M288" s="219"/>
      <c r="T288" s="219"/>
    </row>
    <row r="289" spans="1:20" ht="12" customHeight="1">
      <c r="A289" s="7172"/>
      <c r="B289" s="7167"/>
      <c r="C289" s="39" t="s">
        <v>8646</v>
      </c>
      <c r="D289" s="76" t="s">
        <v>3221</v>
      </c>
      <c r="E289" s="1035">
        <v>4</v>
      </c>
      <c r="F289" s="1036">
        <v>6</v>
      </c>
      <c r="G289" s="1035">
        <v>20</v>
      </c>
      <c r="H289" s="1035">
        <v>3</v>
      </c>
      <c r="I289" s="1035">
        <v>6</v>
      </c>
      <c r="J289" s="1035">
        <v>11</v>
      </c>
      <c r="K289" s="1035">
        <v>1</v>
      </c>
      <c r="L289" s="3830" t="str">
        <f t="shared" si="20"/>
        <v>Ataque Con Área25 metros de radio</v>
      </c>
      <c r="M289" s="219"/>
      <c r="T289" s="219"/>
    </row>
    <row r="290" spans="1:20" ht="12" customHeight="1">
      <c r="A290" s="7172"/>
      <c r="B290" s="7167"/>
      <c r="C290" s="39" t="s">
        <v>8646</v>
      </c>
      <c r="D290" s="76" t="s">
        <v>3313</v>
      </c>
      <c r="E290" s="1035">
        <v>5</v>
      </c>
      <c r="F290" s="1036">
        <v>9</v>
      </c>
      <c r="G290" s="1035">
        <v>25</v>
      </c>
      <c r="H290" s="1035">
        <v>4</v>
      </c>
      <c r="I290" s="1035">
        <v>8</v>
      </c>
      <c r="J290" s="1035">
        <v>14</v>
      </c>
      <c r="K290" s="1035">
        <v>2</v>
      </c>
      <c r="L290" s="3830" t="str">
        <f t="shared" si="20"/>
        <v>Ataque Con Área50 metros de radio</v>
      </c>
      <c r="M290" s="219"/>
      <c r="T290" s="219"/>
    </row>
    <row r="291" spans="1:20" ht="12" customHeight="1">
      <c r="A291" s="7172"/>
      <c r="B291" s="7167"/>
      <c r="C291" s="39" t="s">
        <v>8646</v>
      </c>
      <c r="D291" s="76" t="s">
        <v>3222</v>
      </c>
      <c r="E291" s="1035">
        <v>6</v>
      </c>
      <c r="F291" s="1036">
        <v>11</v>
      </c>
      <c r="G291" s="1035">
        <v>30</v>
      </c>
      <c r="H291" s="1035">
        <v>5</v>
      </c>
      <c r="I291" s="1035">
        <v>10</v>
      </c>
      <c r="J291" s="1035">
        <v>18</v>
      </c>
      <c r="K291" s="1035">
        <v>2</v>
      </c>
      <c r="L291" s="3830" t="str">
        <f t="shared" si="20"/>
        <v>Ataque Con Área100 metros de radio</v>
      </c>
      <c r="M291" s="219"/>
      <c r="T291" s="219"/>
    </row>
    <row r="292" spans="1:20" ht="12" customHeight="1">
      <c r="A292" s="7172"/>
      <c r="B292" s="7167"/>
      <c r="C292" s="3831" t="s">
        <v>8646</v>
      </c>
      <c r="D292" s="3832" t="s">
        <v>3284</v>
      </c>
      <c r="E292" s="3833">
        <v>8</v>
      </c>
      <c r="F292" s="3834">
        <v>13</v>
      </c>
      <c r="G292" s="3833">
        <v>35</v>
      </c>
      <c r="H292" s="3833">
        <v>5</v>
      </c>
      <c r="I292" s="3833">
        <v>10</v>
      </c>
      <c r="J292" s="3833">
        <v>18</v>
      </c>
      <c r="K292" s="3833">
        <v>2</v>
      </c>
      <c r="L292" s="3835" t="str">
        <f t="shared" si="20"/>
        <v>Ataque Con Área250 metros de radio</v>
      </c>
      <c r="M292" s="219"/>
      <c r="T292" s="219"/>
    </row>
    <row r="293" spans="1:20" ht="12" customHeight="1">
      <c r="A293" s="7172"/>
      <c r="B293" s="7167"/>
      <c r="C293" s="39" t="s">
        <v>8646</v>
      </c>
      <c r="D293" s="76" t="s">
        <v>3223</v>
      </c>
      <c r="E293" s="1035">
        <v>10</v>
      </c>
      <c r="F293" s="1036">
        <v>15</v>
      </c>
      <c r="G293" s="1035">
        <v>40</v>
      </c>
      <c r="H293" s="1035">
        <v>6</v>
      </c>
      <c r="I293" s="1035">
        <v>12</v>
      </c>
      <c r="J293" s="1035">
        <v>21</v>
      </c>
      <c r="K293" s="1035">
        <v>2</v>
      </c>
      <c r="L293" s="3830" t="str">
        <f t="shared" si="20"/>
        <v>Ataque Con Área500 metros de radio</v>
      </c>
      <c r="M293" s="219"/>
      <c r="T293" s="219"/>
    </row>
    <row r="294" spans="1:20" ht="12" customHeight="1">
      <c r="A294" s="7172"/>
      <c r="B294" s="7167"/>
      <c r="C294" s="39" t="s">
        <v>8646</v>
      </c>
      <c r="D294" s="76" t="s">
        <v>3314</v>
      </c>
      <c r="E294" s="1035">
        <v>12</v>
      </c>
      <c r="F294" s="1036">
        <v>20</v>
      </c>
      <c r="G294" s="1035">
        <v>50</v>
      </c>
      <c r="H294" s="1035">
        <v>8</v>
      </c>
      <c r="I294" s="1035">
        <v>16</v>
      </c>
      <c r="J294" s="1035">
        <v>28</v>
      </c>
      <c r="K294" s="1035">
        <v>3</v>
      </c>
      <c r="L294" s="3830" t="str">
        <f t="shared" si="20"/>
        <v>Ataque Con Área1 kilómetro de radio</v>
      </c>
      <c r="M294" s="219"/>
    </row>
    <row r="295" spans="1:20" ht="12" customHeight="1">
      <c r="A295" s="7172"/>
      <c r="B295" s="7167"/>
      <c r="C295" s="39" t="s">
        <v>8646</v>
      </c>
      <c r="D295" s="76" t="s">
        <v>8648</v>
      </c>
      <c r="E295" s="1035">
        <v>16</v>
      </c>
      <c r="F295" s="1036">
        <v>24</v>
      </c>
      <c r="G295" s="1035">
        <v>60</v>
      </c>
      <c r="H295" s="1035">
        <v>10</v>
      </c>
      <c r="I295" s="1035">
        <v>20</v>
      </c>
      <c r="J295" s="1035">
        <v>35</v>
      </c>
      <c r="K295" s="1035">
        <v>3</v>
      </c>
      <c r="L295" s="3830" t="str">
        <f t="shared" si="20"/>
        <v>Ataque Con Área5 kilómetros de radio</v>
      </c>
      <c r="M295" s="219"/>
    </row>
    <row r="296" spans="1:20" ht="12" customHeight="1">
      <c r="A296" s="7172"/>
      <c r="B296" s="7167"/>
      <c r="C296" s="39" t="s">
        <v>8646</v>
      </c>
      <c r="D296" s="76" t="s">
        <v>2976</v>
      </c>
      <c r="E296" s="1035">
        <v>2</v>
      </c>
      <c r="F296" s="1036">
        <v>2</v>
      </c>
      <c r="G296" s="1035">
        <v>10</v>
      </c>
      <c r="H296" s="1035">
        <v>1</v>
      </c>
      <c r="I296" s="1035">
        <v>2</v>
      </c>
      <c r="J296" s="1035">
        <v>4</v>
      </c>
      <c r="K296" s="1035"/>
      <c r="L296" s="3830" t="str">
        <f t="shared" si="20"/>
        <v>Ataque Con ÁreaElección de Blanco</v>
      </c>
      <c r="M296" s="219"/>
    </row>
    <row r="297" spans="1:20" ht="12" customHeight="1">
      <c r="A297" s="7172"/>
      <c r="B297" s="7167"/>
      <c r="C297" s="3831" t="s">
        <v>8646</v>
      </c>
      <c r="D297" s="3832" t="s">
        <v>28</v>
      </c>
      <c r="E297" s="3833">
        <v>1</v>
      </c>
      <c r="F297" s="3834">
        <v>1</v>
      </c>
      <c r="G297" s="3833">
        <v>5</v>
      </c>
      <c r="H297" s="3833">
        <v>2</v>
      </c>
      <c r="I297" s="3833">
        <v>3</v>
      </c>
      <c r="J297" s="3833">
        <v>5</v>
      </c>
      <c r="K297" s="3833"/>
      <c r="L297" s="3835" t="str">
        <f t="shared" si="20"/>
        <v>Ataque Con ÁreaDaño existencial</v>
      </c>
      <c r="M297" s="219"/>
    </row>
    <row r="298" spans="1:20" ht="12" customHeight="1">
      <c r="A298" s="7172"/>
      <c r="B298" s="7167"/>
      <c r="C298" s="39" t="s">
        <v>8649</v>
      </c>
      <c r="D298" s="76"/>
      <c r="E298" s="1035"/>
      <c r="F298" s="1036"/>
      <c r="G298" s="1035"/>
      <c r="H298" s="1035"/>
      <c r="I298" s="1035"/>
      <c r="J298" s="1035"/>
      <c r="K298" s="1035"/>
      <c r="L298" s="3830" t="str">
        <f t="shared" si="20"/>
        <v>&gt; ATAQUE CON ÁREA REAL</v>
      </c>
      <c r="M298" s="219"/>
    </row>
    <row r="299" spans="1:20" ht="12" customHeight="1">
      <c r="A299" s="7172"/>
      <c r="B299" s="7167"/>
      <c r="C299" s="39" t="s">
        <v>8650</v>
      </c>
      <c r="D299" s="76" t="s">
        <v>8647</v>
      </c>
      <c r="E299" s="1035">
        <v>2</v>
      </c>
      <c r="F299" s="1036">
        <v>4</v>
      </c>
      <c r="G299" s="1035">
        <v>10</v>
      </c>
      <c r="H299" s="1035">
        <v>2</v>
      </c>
      <c r="I299" s="1035">
        <v>4</v>
      </c>
      <c r="J299" s="1035">
        <v>7</v>
      </c>
      <c r="K299" s="1035">
        <v>1</v>
      </c>
      <c r="L299" s="3830" t="str">
        <f t="shared" si="20"/>
        <v>Ataque Con Área Real1 metro de radio</v>
      </c>
      <c r="M299" s="219"/>
    </row>
    <row r="300" spans="1:20" ht="12" customHeight="1">
      <c r="A300" s="7172"/>
      <c r="B300" s="7167"/>
      <c r="C300" s="39" t="s">
        <v>8650</v>
      </c>
      <c r="D300" s="76" t="s">
        <v>3220</v>
      </c>
      <c r="E300" s="1035">
        <v>4</v>
      </c>
      <c r="F300" s="1036">
        <v>6</v>
      </c>
      <c r="G300" s="1035">
        <v>15</v>
      </c>
      <c r="H300" s="1035">
        <v>3</v>
      </c>
      <c r="I300" s="1035">
        <v>6</v>
      </c>
      <c r="J300" s="1035">
        <v>11</v>
      </c>
      <c r="K300" s="1035">
        <v>1</v>
      </c>
      <c r="L300" s="3830" t="str">
        <f t="shared" si="20"/>
        <v>Ataque Con Área Real5 metros de radio</v>
      </c>
      <c r="M300" s="219"/>
    </row>
    <row r="301" spans="1:20" ht="12" customHeight="1">
      <c r="A301" s="7172"/>
      <c r="B301" s="7167"/>
      <c r="C301" s="39" t="s">
        <v>8650</v>
      </c>
      <c r="D301" s="76" t="s">
        <v>4021</v>
      </c>
      <c r="E301" s="1035">
        <v>6</v>
      </c>
      <c r="F301" s="1036">
        <v>9</v>
      </c>
      <c r="G301" s="1035">
        <v>20</v>
      </c>
      <c r="H301" s="1035">
        <v>4</v>
      </c>
      <c r="I301" s="1035">
        <v>8</v>
      </c>
      <c r="J301" s="1035">
        <v>14</v>
      </c>
      <c r="K301" s="1035">
        <v>1</v>
      </c>
      <c r="L301" s="3830" t="str">
        <f t="shared" si="20"/>
        <v>Ataque Con Área Real10 metros de radio</v>
      </c>
      <c r="M301" s="219"/>
    </row>
    <row r="302" spans="1:20" ht="12" customHeight="1">
      <c r="A302" s="7172"/>
      <c r="B302" s="7167"/>
      <c r="C302" s="39" t="s">
        <v>8650</v>
      </c>
      <c r="D302" s="76" t="s">
        <v>3221</v>
      </c>
      <c r="E302" s="1035">
        <v>8</v>
      </c>
      <c r="F302" s="1036">
        <v>11</v>
      </c>
      <c r="G302" s="1035">
        <v>30</v>
      </c>
      <c r="H302" s="1035">
        <v>5</v>
      </c>
      <c r="I302" s="1035">
        <v>10</v>
      </c>
      <c r="J302" s="1035">
        <v>18</v>
      </c>
      <c r="K302" s="1035">
        <v>2</v>
      </c>
      <c r="L302" s="3830" t="str">
        <f t="shared" si="20"/>
        <v>Ataque Con Área Real25 metros de radio</v>
      </c>
      <c r="M302" s="219"/>
    </row>
    <row r="303" spans="1:20" ht="12" customHeight="1">
      <c r="A303" s="7172"/>
      <c r="B303" s="7167"/>
      <c r="C303" s="39" t="s">
        <v>8650</v>
      </c>
      <c r="D303" s="76" t="s">
        <v>3313</v>
      </c>
      <c r="E303" s="1035">
        <v>12</v>
      </c>
      <c r="F303" s="1036">
        <v>15</v>
      </c>
      <c r="G303" s="1035">
        <v>45</v>
      </c>
      <c r="H303" s="1035">
        <v>6</v>
      </c>
      <c r="I303" s="1035">
        <v>12</v>
      </c>
      <c r="J303" s="1035">
        <v>21</v>
      </c>
      <c r="K303" s="1035">
        <v>2</v>
      </c>
      <c r="L303" s="3830" t="str">
        <f t="shared" si="20"/>
        <v>Ataque Con Área Real50 metros de radio</v>
      </c>
      <c r="M303" s="219"/>
    </row>
    <row r="304" spans="1:20" ht="12" customHeight="1">
      <c r="A304" s="7172"/>
      <c r="B304" s="7167"/>
      <c r="C304" s="39" t="s">
        <v>8650</v>
      </c>
      <c r="D304" s="76" t="s">
        <v>3222</v>
      </c>
      <c r="E304" s="1035">
        <v>16</v>
      </c>
      <c r="F304" s="1036">
        <v>20</v>
      </c>
      <c r="G304" s="1035">
        <v>65</v>
      </c>
      <c r="H304" s="1035">
        <v>8</v>
      </c>
      <c r="I304" s="1035">
        <v>16</v>
      </c>
      <c r="J304" s="1035">
        <v>28</v>
      </c>
      <c r="K304" s="1035">
        <v>3</v>
      </c>
      <c r="L304" s="3830" t="str">
        <f t="shared" si="20"/>
        <v>Ataque Con Área Real100 metros de radio</v>
      </c>
      <c r="M304" s="219"/>
    </row>
    <row r="305" spans="1:13" ht="12" customHeight="1">
      <c r="A305" s="7172"/>
      <c r="B305" s="7167"/>
      <c r="C305" s="39" t="s">
        <v>8650</v>
      </c>
      <c r="D305" s="76" t="s">
        <v>2976</v>
      </c>
      <c r="E305" s="1035">
        <v>2</v>
      </c>
      <c r="F305" s="1036">
        <v>2</v>
      </c>
      <c r="G305" s="1035">
        <v>10</v>
      </c>
      <c r="H305" s="1035">
        <v>1</v>
      </c>
      <c r="I305" s="1035">
        <v>2</v>
      </c>
      <c r="J305" s="1035">
        <v>4</v>
      </c>
      <c r="K305" s="1035"/>
      <c r="L305" s="3830" t="str">
        <f t="shared" si="20"/>
        <v>Ataque Con Área RealElección de Blanco</v>
      </c>
      <c r="M305" s="219"/>
    </row>
    <row r="306" spans="1:13" ht="12" customHeight="1">
      <c r="A306" s="7172"/>
      <c r="B306" s="7167"/>
      <c r="C306" s="3831" t="s">
        <v>8650</v>
      </c>
      <c r="D306" s="3832" t="s">
        <v>28</v>
      </c>
      <c r="E306" s="3833">
        <v>3</v>
      </c>
      <c r="F306" s="3834">
        <v>3</v>
      </c>
      <c r="G306" s="3833">
        <v>5</v>
      </c>
      <c r="H306" s="3833">
        <v>3</v>
      </c>
      <c r="I306" s="3833">
        <v>5</v>
      </c>
      <c r="J306" s="3833">
        <v>7</v>
      </c>
      <c r="K306" s="3833"/>
      <c r="L306" s="3835" t="str">
        <f t="shared" si="20"/>
        <v>Ataque Con Área RealDaño existencial</v>
      </c>
      <c r="M306" s="219"/>
    </row>
    <row r="307" spans="1:13" ht="12" customHeight="1">
      <c r="A307" s="7172"/>
      <c r="B307" s="7167"/>
      <c r="C307" s="39" t="s">
        <v>8651</v>
      </c>
      <c r="D307" s="76"/>
      <c r="E307" s="1035"/>
      <c r="F307" s="1036"/>
      <c r="G307" s="1035"/>
      <c r="H307" s="1035"/>
      <c r="I307" s="1035"/>
      <c r="J307" s="1035"/>
      <c r="K307" s="1035"/>
      <c r="L307" s="3830" t="str">
        <f t="shared" si="20"/>
        <v>&gt; PARADA EN ÁREA</v>
      </c>
      <c r="M307" s="219"/>
    </row>
    <row r="308" spans="1:13" ht="12" customHeight="1">
      <c r="A308" s="7172"/>
      <c r="B308" s="7167"/>
      <c r="C308" s="39" t="s">
        <v>8652</v>
      </c>
      <c r="D308" s="76" t="s">
        <v>8647</v>
      </c>
      <c r="E308" s="1035">
        <v>1</v>
      </c>
      <c r="F308" s="1036">
        <v>2</v>
      </c>
      <c r="G308" s="1035">
        <v>5</v>
      </c>
      <c r="H308" s="1035">
        <v>1</v>
      </c>
      <c r="I308" s="1035">
        <v>2</v>
      </c>
      <c r="J308" s="1035">
        <v>4</v>
      </c>
      <c r="K308" s="1035">
        <v>1</v>
      </c>
      <c r="L308" s="3830" t="str">
        <f t="shared" si="20"/>
        <v>Parada En Área1 metro de radio</v>
      </c>
      <c r="M308" s="219"/>
    </row>
    <row r="309" spans="1:13" ht="12" customHeight="1">
      <c r="A309" s="7172"/>
      <c r="B309" s="7167"/>
      <c r="C309" s="39" t="s">
        <v>8652</v>
      </c>
      <c r="D309" s="76" t="s">
        <v>3220</v>
      </c>
      <c r="E309" s="1035">
        <v>2</v>
      </c>
      <c r="F309" s="1036">
        <v>4</v>
      </c>
      <c r="G309" s="1035">
        <v>5</v>
      </c>
      <c r="H309" s="1035">
        <v>2</v>
      </c>
      <c r="I309" s="1035">
        <v>4</v>
      </c>
      <c r="J309" s="1035">
        <v>7</v>
      </c>
      <c r="K309" s="1035">
        <v>1</v>
      </c>
      <c r="L309" s="3830" t="str">
        <f t="shared" si="20"/>
        <v>Parada En Área5 metros de radio</v>
      </c>
      <c r="M309" s="219"/>
    </row>
    <row r="310" spans="1:13" ht="12" customHeight="1">
      <c r="A310" s="7172"/>
      <c r="B310" s="7167"/>
      <c r="C310" s="3836" t="s">
        <v>8652</v>
      </c>
      <c r="D310" s="3837" t="s">
        <v>4021</v>
      </c>
      <c r="E310" s="3838">
        <v>3</v>
      </c>
      <c r="F310" s="3839">
        <v>5</v>
      </c>
      <c r="G310" s="3838">
        <v>10</v>
      </c>
      <c r="H310" s="3838">
        <v>3</v>
      </c>
      <c r="I310" s="3838">
        <v>6</v>
      </c>
      <c r="J310" s="3838">
        <v>11</v>
      </c>
      <c r="K310" s="3838">
        <v>1</v>
      </c>
      <c r="L310" s="3840" t="str">
        <f t="shared" si="20"/>
        <v>Parada En Área10 metros de radio</v>
      </c>
      <c r="M310" s="219"/>
    </row>
    <row r="311" spans="1:13" ht="12" customHeight="1">
      <c r="A311" s="7172"/>
      <c r="B311" s="7167"/>
      <c r="C311" s="3831" t="s">
        <v>8652</v>
      </c>
      <c r="D311" s="3832" t="s">
        <v>3221</v>
      </c>
      <c r="E311" s="3833">
        <v>4</v>
      </c>
      <c r="F311" s="3834">
        <v>6</v>
      </c>
      <c r="G311" s="3833">
        <v>15</v>
      </c>
      <c r="H311" s="3833">
        <v>4</v>
      </c>
      <c r="I311" s="3833">
        <v>8</v>
      </c>
      <c r="J311" s="3833">
        <v>14</v>
      </c>
      <c r="K311" s="3833">
        <v>2</v>
      </c>
      <c r="L311" s="3835" t="str">
        <f t="shared" si="20"/>
        <v>Parada En Área25 metros de radio</v>
      </c>
      <c r="M311" s="219"/>
    </row>
    <row r="312" spans="1:13" ht="12" customHeight="1">
      <c r="A312" s="7172"/>
      <c r="B312" s="7167"/>
      <c r="C312" s="3831" t="s">
        <v>8652</v>
      </c>
      <c r="D312" s="3832" t="s">
        <v>3313</v>
      </c>
      <c r="E312" s="3833">
        <v>5</v>
      </c>
      <c r="F312" s="3834">
        <v>7</v>
      </c>
      <c r="G312" s="3833">
        <v>20</v>
      </c>
      <c r="H312" s="3833">
        <v>5</v>
      </c>
      <c r="I312" s="3833">
        <v>10</v>
      </c>
      <c r="J312" s="3833">
        <v>18</v>
      </c>
      <c r="K312" s="3833">
        <v>2</v>
      </c>
      <c r="L312" s="3835" t="str">
        <f t="shared" si="20"/>
        <v>Parada En Área50 metros de radio</v>
      </c>
      <c r="M312" s="219"/>
    </row>
    <row r="313" spans="1:13" ht="12" customHeight="1">
      <c r="A313" s="7172"/>
      <c r="B313" s="7167"/>
      <c r="C313" s="3831" t="s">
        <v>8652</v>
      </c>
      <c r="D313" s="3832" t="s">
        <v>3222</v>
      </c>
      <c r="E313" s="3833">
        <v>6</v>
      </c>
      <c r="F313" s="3834">
        <v>8</v>
      </c>
      <c r="G313" s="3833">
        <v>25</v>
      </c>
      <c r="H313" s="3833">
        <v>6</v>
      </c>
      <c r="I313" s="3833">
        <v>12</v>
      </c>
      <c r="J313" s="3833">
        <v>21</v>
      </c>
      <c r="K313" s="3833">
        <v>3</v>
      </c>
      <c r="L313" s="3835" t="str">
        <f t="shared" si="20"/>
        <v>Parada En Área100 metros de radio</v>
      </c>
      <c r="M313" s="219"/>
    </row>
    <row r="314" spans="1:13" ht="12" customHeight="1">
      <c r="A314" s="7172"/>
      <c r="B314" s="7167"/>
      <c r="C314" s="3831" t="s">
        <v>8652</v>
      </c>
      <c r="D314" s="3832" t="s">
        <v>3284</v>
      </c>
      <c r="E314" s="3833">
        <v>7</v>
      </c>
      <c r="F314" s="3834">
        <v>9</v>
      </c>
      <c r="G314" s="3833">
        <v>30</v>
      </c>
      <c r="H314" s="3833">
        <v>7</v>
      </c>
      <c r="I314" s="3833">
        <v>14</v>
      </c>
      <c r="J314" s="3833">
        <v>25</v>
      </c>
      <c r="K314" s="3833">
        <v>3</v>
      </c>
      <c r="L314" s="3835" t="str">
        <f t="shared" si="20"/>
        <v>Parada En Área250 metros de radio</v>
      </c>
      <c r="M314" s="219"/>
    </row>
    <row r="315" spans="1:13" ht="12" customHeight="1">
      <c r="A315" s="7172"/>
      <c r="B315" s="7167"/>
      <c r="C315" s="3831" t="s">
        <v>8652</v>
      </c>
      <c r="D315" s="3832" t="s">
        <v>3223</v>
      </c>
      <c r="E315" s="3833">
        <v>8</v>
      </c>
      <c r="F315" s="3834">
        <v>11</v>
      </c>
      <c r="G315" s="3833">
        <v>35</v>
      </c>
      <c r="H315" s="3833">
        <v>8</v>
      </c>
      <c r="I315" s="3833">
        <v>16</v>
      </c>
      <c r="J315" s="3833">
        <v>28</v>
      </c>
      <c r="K315" s="3833">
        <v>3</v>
      </c>
      <c r="L315" s="3835" t="str">
        <f t="shared" si="20"/>
        <v>Parada En Área500 metros de radio</v>
      </c>
      <c r="M315" s="219"/>
    </row>
    <row r="316" spans="1:13" ht="12" customHeight="1">
      <c r="A316" s="7172"/>
      <c r="B316" s="7167"/>
      <c r="C316" s="3831" t="s">
        <v>8652</v>
      </c>
      <c r="D316" s="3832" t="s">
        <v>3314</v>
      </c>
      <c r="E316" s="3833">
        <v>10</v>
      </c>
      <c r="F316" s="3834">
        <v>13</v>
      </c>
      <c r="G316" s="3833">
        <v>40</v>
      </c>
      <c r="H316" s="3833">
        <v>9</v>
      </c>
      <c r="I316" s="3833">
        <v>18</v>
      </c>
      <c r="J316" s="3833">
        <v>31</v>
      </c>
      <c r="K316" s="3833">
        <v>3</v>
      </c>
      <c r="L316" s="3835" t="str">
        <f t="shared" si="20"/>
        <v>Parada En Área1 kilómetro de radio</v>
      </c>
      <c r="M316" s="219"/>
    </row>
    <row r="317" spans="1:13" ht="12" customHeight="1">
      <c r="A317" s="7172"/>
      <c r="B317" s="7167"/>
      <c r="C317" s="39" t="s">
        <v>8653</v>
      </c>
      <c r="D317" s="76"/>
      <c r="E317" s="1035"/>
      <c r="F317" s="1036"/>
      <c r="G317" s="1035"/>
      <c r="H317" s="1035"/>
      <c r="I317" s="1035"/>
      <c r="J317" s="1035"/>
      <c r="K317" s="1035"/>
      <c r="L317" s="3830" t="str">
        <f t="shared" si="20"/>
        <v>&gt; TRANSPORTE AUTOMÁTICO</v>
      </c>
      <c r="M317" s="219"/>
    </row>
    <row r="318" spans="1:13" ht="12" customHeight="1">
      <c r="A318" s="7172"/>
      <c r="B318" s="7167"/>
      <c r="C318" s="39" t="s">
        <v>8459</v>
      </c>
      <c r="D318" s="76" t="s">
        <v>8641</v>
      </c>
      <c r="E318" s="1035">
        <v>2</v>
      </c>
      <c r="F318" s="1036">
        <v>4</v>
      </c>
      <c r="G318" s="1035">
        <v>5</v>
      </c>
      <c r="H318" s="1035">
        <v>1</v>
      </c>
      <c r="I318" s="1035">
        <v>2</v>
      </c>
      <c r="J318" s="1035">
        <v>4</v>
      </c>
      <c r="K318" s="1035">
        <v>1</v>
      </c>
      <c r="L318" s="3830" t="str">
        <f t="shared" si="20"/>
        <v>Transporte Automático10 metros</v>
      </c>
      <c r="M318" s="219"/>
    </row>
    <row r="319" spans="1:13" ht="12" customHeight="1">
      <c r="A319" s="7172"/>
      <c r="B319" s="7167"/>
      <c r="C319" s="39" t="s">
        <v>8459</v>
      </c>
      <c r="D319" s="76" t="s">
        <v>8365</v>
      </c>
      <c r="E319" s="1035">
        <v>3</v>
      </c>
      <c r="F319" s="1036">
        <v>5</v>
      </c>
      <c r="G319" s="1035">
        <v>10</v>
      </c>
      <c r="H319" s="1035">
        <v>2</v>
      </c>
      <c r="I319" s="1035">
        <v>4</v>
      </c>
      <c r="J319" s="1035">
        <v>7</v>
      </c>
      <c r="K319" s="1035">
        <v>1</v>
      </c>
      <c r="L319" s="3830" t="str">
        <f t="shared" si="20"/>
        <v>Transporte Automático20 metros</v>
      </c>
      <c r="M319" s="219"/>
    </row>
    <row r="320" spans="1:13" ht="12" customHeight="1">
      <c r="A320" s="7172"/>
      <c r="B320" s="7167"/>
      <c r="C320" s="39" t="s">
        <v>8459</v>
      </c>
      <c r="D320" s="76" t="s">
        <v>4596</v>
      </c>
      <c r="E320" s="1035">
        <v>4</v>
      </c>
      <c r="F320" s="1036">
        <v>6</v>
      </c>
      <c r="G320" s="1035">
        <v>10</v>
      </c>
      <c r="H320" s="1035">
        <v>3</v>
      </c>
      <c r="I320" s="1035">
        <v>6</v>
      </c>
      <c r="J320" s="1035">
        <v>11</v>
      </c>
      <c r="K320" s="1035">
        <v>1</v>
      </c>
      <c r="L320" s="3830" t="str">
        <f t="shared" si="20"/>
        <v>Transporte Automático50 metros</v>
      </c>
      <c r="M320" s="219"/>
    </row>
    <row r="321" spans="1:13" ht="12" customHeight="1">
      <c r="A321" s="7172"/>
      <c r="B321" s="7167"/>
      <c r="C321" s="39" t="s">
        <v>8459</v>
      </c>
      <c r="D321" s="76" t="s">
        <v>4631</v>
      </c>
      <c r="E321" s="1035">
        <v>5</v>
      </c>
      <c r="F321" s="1036">
        <v>8</v>
      </c>
      <c r="G321" s="1035">
        <v>15</v>
      </c>
      <c r="H321" s="1035">
        <v>4</v>
      </c>
      <c r="I321" s="1035">
        <v>8</v>
      </c>
      <c r="J321" s="1035">
        <v>14</v>
      </c>
      <c r="K321" s="1035">
        <v>1</v>
      </c>
      <c r="L321" s="3830" t="str">
        <f t="shared" si="20"/>
        <v>Transporte Automático100 metros</v>
      </c>
      <c r="M321" s="219"/>
    </row>
    <row r="322" spans="1:13" ht="12" customHeight="1">
      <c r="A322" s="7172"/>
      <c r="B322" s="7167"/>
      <c r="C322" s="39" t="s">
        <v>8459</v>
      </c>
      <c r="D322" s="76" t="s">
        <v>5026</v>
      </c>
      <c r="E322" s="1035">
        <v>6</v>
      </c>
      <c r="F322" s="1036">
        <v>9</v>
      </c>
      <c r="G322" s="1035">
        <v>20</v>
      </c>
      <c r="H322" s="1035">
        <v>5</v>
      </c>
      <c r="I322" s="1035">
        <v>10</v>
      </c>
      <c r="J322" s="1035">
        <v>18</v>
      </c>
      <c r="K322" s="1035">
        <v>1</v>
      </c>
      <c r="L322" s="3830" t="str">
        <f t="shared" si="20"/>
        <v>Transporte Automático250 metros</v>
      </c>
      <c r="M322" s="219"/>
    </row>
    <row r="323" spans="1:13" ht="12" customHeight="1">
      <c r="A323" s="7172"/>
      <c r="B323" s="7167"/>
      <c r="C323" s="39" t="s">
        <v>8459</v>
      </c>
      <c r="D323" s="76" t="s">
        <v>4923</v>
      </c>
      <c r="E323" s="1035">
        <v>8</v>
      </c>
      <c r="F323" s="1036">
        <v>11</v>
      </c>
      <c r="G323" s="1035">
        <v>25</v>
      </c>
      <c r="H323" s="1035">
        <v>6</v>
      </c>
      <c r="I323" s="1035">
        <v>12</v>
      </c>
      <c r="J323" s="1035">
        <v>21</v>
      </c>
      <c r="K323" s="1035">
        <v>2</v>
      </c>
      <c r="L323" s="3830" t="str">
        <f t="shared" si="20"/>
        <v>Transporte Automático500 metros</v>
      </c>
      <c r="M323" s="219"/>
    </row>
    <row r="324" spans="1:13" ht="12" customHeight="1">
      <c r="A324" s="7172"/>
      <c r="B324" s="7167"/>
      <c r="C324" s="39" t="s">
        <v>8459</v>
      </c>
      <c r="D324" s="76" t="s">
        <v>4924</v>
      </c>
      <c r="E324" s="1035">
        <v>10</v>
      </c>
      <c r="F324" s="1036">
        <v>13</v>
      </c>
      <c r="G324" s="1035">
        <v>30</v>
      </c>
      <c r="H324" s="1035">
        <v>7</v>
      </c>
      <c r="I324" s="1035">
        <v>14</v>
      </c>
      <c r="J324" s="1035">
        <v>25</v>
      </c>
      <c r="K324" s="1035">
        <v>2</v>
      </c>
      <c r="L324" s="3830" t="str">
        <f t="shared" si="20"/>
        <v>Transporte Automático1 kilómetro</v>
      </c>
      <c r="M324" s="219"/>
    </row>
    <row r="325" spans="1:13" ht="12" customHeight="1">
      <c r="A325" s="7172"/>
      <c r="B325" s="7167"/>
      <c r="C325" s="39" t="s">
        <v>8459</v>
      </c>
      <c r="D325" s="76" t="s">
        <v>8642</v>
      </c>
      <c r="E325" s="1035">
        <v>14</v>
      </c>
      <c r="F325" s="1036">
        <v>18</v>
      </c>
      <c r="G325" s="1035">
        <v>35</v>
      </c>
      <c r="H325" s="1035">
        <v>8</v>
      </c>
      <c r="I325" s="1035">
        <v>16</v>
      </c>
      <c r="J325" s="1035">
        <v>28</v>
      </c>
      <c r="K325" s="1035">
        <v>2</v>
      </c>
      <c r="L325" s="3830" t="str">
        <f t="shared" si="20"/>
        <v>Transporte Automático5 kilómetros</v>
      </c>
      <c r="M325" s="219"/>
    </row>
    <row r="326" spans="1:13" ht="12" customHeight="1">
      <c r="A326" s="7172"/>
      <c r="B326" s="7167"/>
      <c r="C326" s="39" t="s">
        <v>8459</v>
      </c>
      <c r="D326" s="76" t="s">
        <v>4974</v>
      </c>
      <c r="E326" s="1035">
        <v>18</v>
      </c>
      <c r="F326" s="1036">
        <v>22</v>
      </c>
      <c r="G326" s="1035">
        <v>40</v>
      </c>
      <c r="H326" s="1035">
        <v>10</v>
      </c>
      <c r="I326" s="1035">
        <v>20</v>
      </c>
      <c r="J326" s="1035">
        <v>35</v>
      </c>
      <c r="K326" s="1035">
        <v>3</v>
      </c>
      <c r="L326" s="3830" t="str">
        <f t="shared" si="20"/>
        <v>Transporte Automático10 kilómetros</v>
      </c>
      <c r="M326" s="219"/>
    </row>
    <row r="327" spans="1:13" ht="12" customHeight="1">
      <c r="A327" s="7172"/>
      <c r="B327" s="7167"/>
      <c r="C327" s="39" t="s">
        <v>8459</v>
      </c>
      <c r="D327" s="76" t="s">
        <v>4975</v>
      </c>
      <c r="E327" s="1035">
        <v>22</v>
      </c>
      <c r="F327" s="1036">
        <v>26</v>
      </c>
      <c r="G327" s="1035">
        <v>50</v>
      </c>
      <c r="H327" s="1035">
        <v>12</v>
      </c>
      <c r="I327" s="1035">
        <v>24</v>
      </c>
      <c r="J327" s="1035">
        <v>42</v>
      </c>
      <c r="K327" s="1035">
        <v>3</v>
      </c>
      <c r="L327" s="3830" t="str">
        <f t="shared" si="20"/>
        <v>Transporte Automático100 kilómetros</v>
      </c>
      <c r="M327" s="219"/>
    </row>
    <row r="328" spans="1:13" ht="12" customHeight="1">
      <c r="A328" s="7172"/>
      <c r="B328" s="7167"/>
      <c r="C328" s="39" t="s">
        <v>2719</v>
      </c>
      <c r="D328" s="76"/>
      <c r="E328" s="1035"/>
      <c r="F328" s="1036"/>
      <c r="G328" s="1035"/>
      <c r="H328" s="1035"/>
      <c r="I328" s="1035"/>
      <c r="J328" s="1035"/>
      <c r="K328" s="1035"/>
      <c r="L328" s="3830" t="str">
        <f t="shared" si="20"/>
        <v>&gt;&gt;EFECTOS DE ENTEREZA</v>
      </c>
      <c r="M328" s="219"/>
    </row>
    <row r="329" spans="1:13" ht="12" customHeight="1">
      <c r="A329" s="7172"/>
      <c r="B329" s="7167"/>
      <c r="C329" s="39" t="s">
        <v>8654</v>
      </c>
      <c r="D329" s="76"/>
      <c r="E329" s="1035"/>
      <c r="F329" s="1036"/>
      <c r="G329" s="1035"/>
      <c r="H329" s="1035"/>
      <c r="I329" s="1035"/>
      <c r="J329" s="1035"/>
      <c r="K329" s="1035"/>
      <c r="L329" s="3830" t="str">
        <f t="shared" si="20"/>
        <v>&gt; AUMENTAR ROTURA</v>
      </c>
      <c r="M329" s="219"/>
    </row>
    <row r="330" spans="1:13" ht="12" customHeight="1">
      <c r="A330" s="7172"/>
      <c r="B330" s="7167"/>
      <c r="C330" s="39" t="s">
        <v>8461</v>
      </c>
      <c r="D330" s="76" t="s">
        <v>6459</v>
      </c>
      <c r="E330" s="1035">
        <v>1</v>
      </c>
      <c r="F330" s="1036">
        <v>2</v>
      </c>
      <c r="G330" s="1035">
        <v>5</v>
      </c>
      <c r="H330" s="1035">
        <v>1</v>
      </c>
      <c r="I330" s="1035">
        <v>2</v>
      </c>
      <c r="J330" s="1035">
        <v>4</v>
      </c>
      <c r="K330" s="1035">
        <v>1</v>
      </c>
      <c r="L330" s="3830" t="str">
        <f t="shared" si="20"/>
        <v>Aumentar Rotura+5</v>
      </c>
      <c r="M330" s="219"/>
    </row>
    <row r="331" spans="1:13" ht="12" customHeight="1">
      <c r="A331" s="7172"/>
      <c r="B331" s="7167"/>
      <c r="C331" s="39" t="s">
        <v>8461</v>
      </c>
      <c r="D331" s="76" t="s">
        <v>7056</v>
      </c>
      <c r="E331" s="1035">
        <v>2</v>
      </c>
      <c r="F331" s="1036">
        <v>4</v>
      </c>
      <c r="G331" s="1035">
        <v>10</v>
      </c>
      <c r="H331" s="1035">
        <v>1</v>
      </c>
      <c r="I331" s="1035">
        <v>2</v>
      </c>
      <c r="J331" s="1035">
        <v>4</v>
      </c>
      <c r="K331" s="1035">
        <v>1</v>
      </c>
      <c r="L331" s="3830" t="str">
        <f t="shared" si="20"/>
        <v>Aumentar Rotura+10</v>
      </c>
      <c r="M331" s="219"/>
    </row>
    <row r="332" spans="1:13" ht="12" customHeight="1">
      <c r="A332" s="7172"/>
      <c r="B332" s="7167"/>
      <c r="C332" s="39" t="s">
        <v>8461</v>
      </c>
      <c r="D332" s="76" t="s">
        <v>7199</v>
      </c>
      <c r="E332" s="1035">
        <v>4</v>
      </c>
      <c r="F332" s="1036">
        <v>6</v>
      </c>
      <c r="G332" s="1035">
        <v>15</v>
      </c>
      <c r="H332" s="1035">
        <v>2</v>
      </c>
      <c r="I332" s="1035">
        <v>4</v>
      </c>
      <c r="J332" s="1035">
        <v>7</v>
      </c>
      <c r="K332" s="1035">
        <v>1</v>
      </c>
      <c r="L332" s="3830" t="str">
        <f t="shared" si="20"/>
        <v>Aumentar Rotura+15</v>
      </c>
      <c r="M332" s="219"/>
    </row>
    <row r="333" spans="1:13" ht="12" customHeight="1">
      <c r="A333" s="7172"/>
      <c r="B333" s="7167"/>
      <c r="C333" s="3831" t="s">
        <v>8461</v>
      </c>
      <c r="D333" s="3832" t="s">
        <v>2537</v>
      </c>
      <c r="E333" s="3833">
        <v>6</v>
      </c>
      <c r="F333" s="3834">
        <v>9</v>
      </c>
      <c r="G333" s="3833">
        <v>20</v>
      </c>
      <c r="H333" s="3833">
        <v>3</v>
      </c>
      <c r="I333" s="3833">
        <v>6</v>
      </c>
      <c r="J333" s="3833">
        <v>11</v>
      </c>
      <c r="K333" s="3833">
        <v>2</v>
      </c>
      <c r="L333" s="3835" t="str">
        <f t="shared" si="20"/>
        <v>Aumentar Rotura+20</v>
      </c>
      <c r="M333" s="219"/>
    </row>
    <row r="334" spans="1:13" ht="12" customHeight="1">
      <c r="A334" s="7172"/>
      <c r="B334" s="7167"/>
      <c r="C334" s="3831" t="s">
        <v>8461</v>
      </c>
      <c r="D334" s="3832" t="s">
        <v>7200</v>
      </c>
      <c r="E334" s="3833">
        <v>8</v>
      </c>
      <c r="F334" s="3834">
        <v>11</v>
      </c>
      <c r="G334" s="3833">
        <v>25</v>
      </c>
      <c r="H334" s="3833">
        <v>4</v>
      </c>
      <c r="I334" s="3833">
        <v>8</v>
      </c>
      <c r="J334" s="3833">
        <v>14</v>
      </c>
      <c r="K334" s="3833">
        <v>2</v>
      </c>
      <c r="L334" s="3835" t="str">
        <f t="shared" si="20"/>
        <v>Aumentar Rotura+25</v>
      </c>
      <c r="M334" s="219"/>
    </row>
    <row r="335" spans="1:13" ht="12" customHeight="1">
      <c r="A335" s="7172"/>
      <c r="B335" s="7167"/>
      <c r="C335" s="3831" t="s">
        <v>8461</v>
      </c>
      <c r="D335" s="3832" t="s">
        <v>7057</v>
      </c>
      <c r="E335" s="3833">
        <v>12</v>
      </c>
      <c r="F335" s="3834">
        <v>15</v>
      </c>
      <c r="G335" s="3833">
        <v>30</v>
      </c>
      <c r="H335" s="3833">
        <v>5</v>
      </c>
      <c r="I335" s="3833">
        <v>10</v>
      </c>
      <c r="J335" s="3833">
        <v>18</v>
      </c>
      <c r="K335" s="3833">
        <v>2</v>
      </c>
      <c r="L335" s="3835" t="str">
        <f t="shared" si="20"/>
        <v>Aumentar Rotura+30</v>
      </c>
      <c r="M335" s="219"/>
    </row>
    <row r="336" spans="1:13" ht="12" customHeight="1">
      <c r="A336" s="7172"/>
      <c r="B336" s="7167"/>
      <c r="C336" s="3831" t="s">
        <v>8461</v>
      </c>
      <c r="D336" s="3832" t="s">
        <v>8655</v>
      </c>
      <c r="E336" s="3833">
        <v>14</v>
      </c>
      <c r="F336" s="3834">
        <v>18</v>
      </c>
      <c r="G336" s="3833">
        <v>35</v>
      </c>
      <c r="H336" s="3833">
        <v>6</v>
      </c>
      <c r="I336" s="3833">
        <v>12</v>
      </c>
      <c r="J336" s="3833">
        <v>21</v>
      </c>
      <c r="K336" s="3833">
        <v>3</v>
      </c>
      <c r="L336" s="3835" t="str">
        <f t="shared" si="20"/>
        <v>Aumentar Rotura+35</v>
      </c>
      <c r="M336" s="219"/>
    </row>
    <row r="337" spans="1:13" ht="12" customHeight="1">
      <c r="A337" s="7172"/>
      <c r="B337" s="7167"/>
      <c r="C337" s="3831" t="s">
        <v>8461</v>
      </c>
      <c r="D337" s="3832" t="s">
        <v>7058</v>
      </c>
      <c r="E337" s="3833">
        <v>18</v>
      </c>
      <c r="F337" s="3834">
        <v>22</v>
      </c>
      <c r="G337" s="3833">
        <v>40</v>
      </c>
      <c r="H337" s="3833">
        <v>8</v>
      </c>
      <c r="I337" s="3833">
        <v>16</v>
      </c>
      <c r="J337" s="3833">
        <v>28</v>
      </c>
      <c r="K337" s="3833">
        <v>3</v>
      </c>
      <c r="L337" s="3835" t="str">
        <f t="shared" si="20"/>
        <v>Aumentar Rotura+40</v>
      </c>
      <c r="M337" s="219"/>
    </row>
    <row r="338" spans="1:13" ht="12" customHeight="1">
      <c r="A338" s="7172"/>
      <c r="B338" s="7167"/>
      <c r="C338" s="39" t="s">
        <v>8656</v>
      </c>
      <c r="D338" s="76"/>
      <c r="E338" s="1035"/>
      <c r="F338" s="1036"/>
      <c r="G338" s="1035"/>
      <c r="H338" s="1035"/>
      <c r="I338" s="1035"/>
      <c r="J338" s="1035"/>
      <c r="K338" s="1035"/>
      <c r="L338" s="3830" t="str">
        <f t="shared" si="20"/>
        <v>&gt; AUMENTAR ENTEREZA</v>
      </c>
      <c r="M338" s="219"/>
    </row>
    <row r="339" spans="1:13" ht="12" customHeight="1">
      <c r="A339" s="7172"/>
      <c r="B339" s="7167"/>
      <c r="C339" s="39" t="s">
        <v>8463</v>
      </c>
      <c r="D339" s="76" t="s">
        <v>7056</v>
      </c>
      <c r="E339" s="1035">
        <v>1</v>
      </c>
      <c r="F339" s="1036">
        <v>2</v>
      </c>
      <c r="G339" s="1035">
        <v>5</v>
      </c>
      <c r="H339" s="1035">
        <v>1</v>
      </c>
      <c r="I339" s="1035">
        <v>2</v>
      </c>
      <c r="J339" s="1035">
        <v>4</v>
      </c>
      <c r="K339" s="1035">
        <v>1</v>
      </c>
      <c r="L339" s="3830" t="str">
        <f t="shared" si="20"/>
        <v>Aumentar Entereza+10</v>
      </c>
      <c r="M339" s="219"/>
    </row>
    <row r="340" spans="1:13" ht="12" customHeight="1">
      <c r="A340" s="7172"/>
      <c r="B340" s="7167"/>
      <c r="C340" s="39" t="s">
        <v>8463</v>
      </c>
      <c r="D340" s="76" t="s">
        <v>7199</v>
      </c>
      <c r="E340" s="1035">
        <v>2</v>
      </c>
      <c r="F340" s="1036">
        <v>4</v>
      </c>
      <c r="G340" s="1035">
        <v>5</v>
      </c>
      <c r="H340" s="1035">
        <v>1</v>
      </c>
      <c r="I340" s="1035">
        <v>2</v>
      </c>
      <c r="J340" s="1035">
        <v>4</v>
      </c>
      <c r="K340" s="1035">
        <v>1</v>
      </c>
      <c r="L340" s="3830" t="str">
        <f t="shared" si="20"/>
        <v>Aumentar Entereza+15</v>
      </c>
      <c r="M340" s="219"/>
    </row>
    <row r="341" spans="1:13" ht="12" customHeight="1">
      <c r="A341" s="7172"/>
      <c r="B341" s="7167"/>
      <c r="C341" s="39" t="s">
        <v>8463</v>
      </c>
      <c r="D341" s="76" t="s">
        <v>2537</v>
      </c>
      <c r="E341" s="1035">
        <v>3</v>
      </c>
      <c r="F341" s="1036">
        <v>5</v>
      </c>
      <c r="G341" s="1035">
        <v>10</v>
      </c>
      <c r="H341" s="1035">
        <v>2</v>
      </c>
      <c r="I341" s="1035">
        <v>4</v>
      </c>
      <c r="J341" s="1035">
        <v>7</v>
      </c>
      <c r="K341" s="1035">
        <v>1</v>
      </c>
      <c r="L341" s="3830" t="str">
        <f t="shared" si="20"/>
        <v>Aumentar Entereza+20</v>
      </c>
      <c r="M341" s="219"/>
    </row>
    <row r="342" spans="1:13" ht="12" customHeight="1">
      <c r="A342" s="7172"/>
      <c r="B342" s="7167"/>
      <c r="C342" s="3831" t="s">
        <v>8463</v>
      </c>
      <c r="D342" s="3832" t="s">
        <v>7200</v>
      </c>
      <c r="E342" s="3833">
        <v>4</v>
      </c>
      <c r="F342" s="3834">
        <v>6</v>
      </c>
      <c r="G342" s="3833">
        <v>10</v>
      </c>
      <c r="H342" s="3833">
        <v>2</v>
      </c>
      <c r="I342" s="3833">
        <v>4</v>
      </c>
      <c r="J342" s="3833">
        <v>7</v>
      </c>
      <c r="K342" s="3833">
        <v>2</v>
      </c>
      <c r="L342" s="3835" t="str">
        <f t="shared" ref="L342:L405" si="21">C342&amp;D342</f>
        <v>Aumentar Entereza+25</v>
      </c>
      <c r="M342" s="219"/>
    </row>
    <row r="343" spans="1:13" ht="12" customHeight="1">
      <c r="A343" s="7172"/>
      <c r="B343" s="7167"/>
      <c r="C343" s="3831" t="s">
        <v>8463</v>
      </c>
      <c r="D343" s="3832" t="s">
        <v>7057</v>
      </c>
      <c r="E343" s="3833">
        <v>5</v>
      </c>
      <c r="F343" s="3834">
        <v>8</v>
      </c>
      <c r="G343" s="3833">
        <v>15</v>
      </c>
      <c r="H343" s="3833">
        <v>3</v>
      </c>
      <c r="I343" s="3833">
        <v>6</v>
      </c>
      <c r="J343" s="3833">
        <v>11</v>
      </c>
      <c r="K343" s="3833">
        <v>2</v>
      </c>
      <c r="L343" s="3835" t="str">
        <f t="shared" si="21"/>
        <v>Aumentar Entereza+30</v>
      </c>
      <c r="M343" s="219"/>
    </row>
    <row r="344" spans="1:13" ht="12" customHeight="1">
      <c r="A344" s="7172"/>
      <c r="B344" s="7167"/>
      <c r="C344" s="3831" t="s">
        <v>8463</v>
      </c>
      <c r="D344" s="3832" t="s">
        <v>8655</v>
      </c>
      <c r="E344" s="3833">
        <v>6</v>
      </c>
      <c r="F344" s="3834">
        <v>9</v>
      </c>
      <c r="G344" s="3833">
        <v>20</v>
      </c>
      <c r="H344" s="3833">
        <v>3</v>
      </c>
      <c r="I344" s="3833">
        <v>6</v>
      </c>
      <c r="J344" s="3833">
        <v>11</v>
      </c>
      <c r="K344" s="3833">
        <v>3</v>
      </c>
      <c r="L344" s="3835" t="str">
        <f t="shared" si="21"/>
        <v>Aumentar Entereza+35</v>
      </c>
      <c r="M344" s="219"/>
    </row>
    <row r="345" spans="1:13" ht="12" customHeight="1">
      <c r="A345" s="7172"/>
      <c r="B345" s="7167"/>
      <c r="C345" s="39" t="s">
        <v>8463</v>
      </c>
      <c r="D345" s="76" t="s">
        <v>7058</v>
      </c>
      <c r="E345" s="1035">
        <v>7</v>
      </c>
      <c r="F345" s="1036">
        <v>10</v>
      </c>
      <c r="G345" s="1035">
        <v>25</v>
      </c>
      <c r="H345" s="1035">
        <v>4</v>
      </c>
      <c r="I345" s="1035">
        <v>8</v>
      </c>
      <c r="J345" s="1035">
        <v>14</v>
      </c>
      <c r="K345" s="1035">
        <v>3</v>
      </c>
      <c r="L345" s="3830" t="str">
        <f t="shared" si="21"/>
        <v>Aumentar Entereza+40</v>
      </c>
      <c r="M345" s="219"/>
    </row>
    <row r="346" spans="1:13" ht="12" customHeight="1">
      <c r="A346" s="7172"/>
      <c r="B346" s="7167"/>
      <c r="C346" s="39" t="s">
        <v>8657</v>
      </c>
      <c r="D346" s="76"/>
      <c r="E346" s="1035"/>
      <c r="F346" s="1036"/>
      <c r="G346" s="1035"/>
      <c r="H346" s="1035"/>
      <c r="I346" s="1035"/>
      <c r="J346" s="1035"/>
      <c r="K346" s="1035"/>
      <c r="L346" s="3830" t="str">
        <f t="shared" si="21"/>
        <v>&gt; DESTRUIR ARMADURA</v>
      </c>
      <c r="M346" s="219"/>
    </row>
    <row r="347" spans="1:13" ht="12" customHeight="1">
      <c r="A347" s="7172"/>
      <c r="B347" s="7167"/>
      <c r="C347" s="39" t="s">
        <v>8466</v>
      </c>
      <c r="D347" s="76" t="s">
        <v>8658</v>
      </c>
      <c r="E347" s="1035">
        <v>1</v>
      </c>
      <c r="F347" s="1036">
        <v>2</v>
      </c>
      <c r="G347" s="1035">
        <v>5</v>
      </c>
      <c r="H347" s="1035">
        <v>1</v>
      </c>
      <c r="I347" s="1035">
        <v>2</v>
      </c>
      <c r="J347" s="1035">
        <v>4</v>
      </c>
      <c r="K347" s="1035">
        <v>1</v>
      </c>
      <c r="L347" s="3830" t="str">
        <f t="shared" si="21"/>
        <v>Destruir Armadura-1 TA</v>
      </c>
      <c r="M347" s="219"/>
    </row>
    <row r="348" spans="1:13" ht="12" customHeight="1">
      <c r="A348" s="7172"/>
      <c r="B348" s="7167"/>
      <c r="C348" s="39" t="s">
        <v>8466</v>
      </c>
      <c r="D348" s="76" t="s">
        <v>8659</v>
      </c>
      <c r="E348" s="1035">
        <v>2</v>
      </c>
      <c r="F348" s="1036">
        <v>4</v>
      </c>
      <c r="G348" s="1035">
        <v>5</v>
      </c>
      <c r="H348" s="1035">
        <v>1</v>
      </c>
      <c r="I348" s="1035">
        <v>2</v>
      </c>
      <c r="J348" s="1035">
        <v>4</v>
      </c>
      <c r="K348" s="1035">
        <v>1</v>
      </c>
      <c r="L348" s="3830" t="str">
        <f t="shared" si="21"/>
        <v>Destruir Armadura-2 TA</v>
      </c>
      <c r="M348" s="219"/>
    </row>
    <row r="349" spans="1:13" ht="12" customHeight="1">
      <c r="A349" s="7172"/>
      <c r="B349" s="7167"/>
      <c r="C349" s="39" t="s">
        <v>8466</v>
      </c>
      <c r="D349" s="76" t="s">
        <v>8660</v>
      </c>
      <c r="E349" s="1035">
        <v>3</v>
      </c>
      <c r="F349" s="1036">
        <v>5</v>
      </c>
      <c r="G349" s="1035">
        <v>10</v>
      </c>
      <c r="H349" s="1035">
        <v>2</v>
      </c>
      <c r="I349" s="1035">
        <v>4</v>
      </c>
      <c r="J349" s="1035">
        <v>7</v>
      </c>
      <c r="K349" s="1035">
        <v>1</v>
      </c>
      <c r="L349" s="3830" t="str">
        <f t="shared" si="21"/>
        <v>Destruir Armadura-3 TA</v>
      </c>
      <c r="M349" s="219"/>
    </row>
    <row r="350" spans="1:13" ht="12" customHeight="1">
      <c r="A350" s="7172"/>
      <c r="B350" s="7167"/>
      <c r="C350" s="39" t="s">
        <v>8466</v>
      </c>
      <c r="D350" s="76" t="s">
        <v>8661</v>
      </c>
      <c r="E350" s="1035">
        <v>4</v>
      </c>
      <c r="F350" s="1036">
        <v>6</v>
      </c>
      <c r="G350" s="1035">
        <v>10</v>
      </c>
      <c r="H350" s="1035">
        <v>2</v>
      </c>
      <c r="I350" s="1035">
        <v>4</v>
      </c>
      <c r="J350" s="1035">
        <v>7</v>
      </c>
      <c r="K350" s="1035">
        <v>1</v>
      </c>
      <c r="L350" s="3830" t="str">
        <f t="shared" si="21"/>
        <v>Destruir Armadura-4 TA</v>
      </c>
      <c r="M350" s="219"/>
    </row>
    <row r="351" spans="1:13" ht="12" customHeight="1">
      <c r="A351" s="7172"/>
      <c r="B351" s="7167"/>
      <c r="C351" s="39" t="s">
        <v>8466</v>
      </c>
      <c r="D351" s="76" t="s">
        <v>8662</v>
      </c>
      <c r="E351" s="1035">
        <v>5</v>
      </c>
      <c r="F351" s="1036">
        <v>8</v>
      </c>
      <c r="G351" s="1035">
        <v>15</v>
      </c>
      <c r="H351" s="1035">
        <v>3</v>
      </c>
      <c r="I351" s="1035">
        <v>6</v>
      </c>
      <c r="J351" s="1035">
        <v>11</v>
      </c>
      <c r="K351" s="1035">
        <v>2</v>
      </c>
      <c r="L351" s="3830" t="str">
        <f t="shared" si="21"/>
        <v>Destruir Armadura-5 TA</v>
      </c>
      <c r="M351" s="219"/>
    </row>
    <row r="352" spans="1:13" ht="12" customHeight="1">
      <c r="A352" s="7172"/>
      <c r="B352" s="7167"/>
      <c r="C352" s="39" t="s">
        <v>8466</v>
      </c>
      <c r="D352" s="76" t="s">
        <v>8663</v>
      </c>
      <c r="E352" s="1035">
        <v>6</v>
      </c>
      <c r="F352" s="1036">
        <v>9</v>
      </c>
      <c r="G352" s="1035">
        <v>20</v>
      </c>
      <c r="H352" s="1035">
        <v>3</v>
      </c>
      <c r="I352" s="1035">
        <v>6</v>
      </c>
      <c r="J352" s="1035">
        <v>11</v>
      </c>
      <c r="K352" s="1035">
        <v>2</v>
      </c>
      <c r="L352" s="3830" t="str">
        <f t="shared" si="21"/>
        <v>Destruir Armadura-6 TA</v>
      </c>
      <c r="M352" s="219"/>
    </row>
    <row r="353" spans="1:13" ht="12" customHeight="1">
      <c r="A353" s="7172"/>
      <c r="B353" s="7167"/>
      <c r="C353" s="39" t="s">
        <v>8466</v>
      </c>
      <c r="D353" s="76" t="s">
        <v>8664</v>
      </c>
      <c r="E353" s="1035">
        <v>8</v>
      </c>
      <c r="F353" s="1036">
        <v>11</v>
      </c>
      <c r="G353" s="1035">
        <v>25</v>
      </c>
      <c r="H353" s="1035">
        <v>4</v>
      </c>
      <c r="I353" s="1035">
        <v>8</v>
      </c>
      <c r="J353" s="1035">
        <v>14</v>
      </c>
      <c r="K353" s="1035">
        <v>2</v>
      </c>
      <c r="L353" s="3830" t="str">
        <f t="shared" si="21"/>
        <v>Destruir Armadura-7 TA</v>
      </c>
      <c r="M353" s="219"/>
    </row>
    <row r="354" spans="1:13" ht="12" customHeight="1">
      <c r="A354" s="7172"/>
      <c r="B354" s="7167"/>
      <c r="C354" s="39" t="s">
        <v>8466</v>
      </c>
      <c r="D354" s="76" t="s">
        <v>8665</v>
      </c>
      <c r="E354" s="1035">
        <v>10</v>
      </c>
      <c r="F354" s="1036">
        <v>13</v>
      </c>
      <c r="G354" s="1035">
        <v>30</v>
      </c>
      <c r="H354" s="1035">
        <v>5</v>
      </c>
      <c r="I354" s="1035">
        <v>10</v>
      </c>
      <c r="J354" s="1035">
        <v>18</v>
      </c>
      <c r="K354" s="1035">
        <v>3</v>
      </c>
      <c r="L354" s="3830" t="str">
        <f t="shared" si="21"/>
        <v>Destruir Armadura-8 TA</v>
      </c>
      <c r="M354" s="219"/>
    </row>
    <row r="355" spans="1:13" ht="12" customHeight="1">
      <c r="A355" s="7172"/>
      <c r="B355" s="7167"/>
      <c r="C355" s="39" t="s">
        <v>8466</v>
      </c>
      <c r="D355" s="76" t="s">
        <v>8666</v>
      </c>
      <c r="E355" s="1035">
        <v>12</v>
      </c>
      <c r="F355" s="1036">
        <v>15</v>
      </c>
      <c r="G355" s="1035">
        <v>40</v>
      </c>
      <c r="H355" s="1035">
        <v>6</v>
      </c>
      <c r="I355" s="1035">
        <v>12</v>
      </c>
      <c r="J355" s="1035">
        <v>21</v>
      </c>
      <c r="K355" s="1035">
        <v>3</v>
      </c>
      <c r="L355" s="3830" t="str">
        <f t="shared" si="21"/>
        <v>Destruir ArmaduraSin Armadura</v>
      </c>
      <c r="M355" s="219"/>
    </row>
    <row r="356" spans="1:13" ht="12" customHeight="1">
      <c r="A356" s="7172"/>
      <c r="B356" s="7167"/>
      <c r="C356" s="39" t="s">
        <v>8667</v>
      </c>
      <c r="D356" s="76"/>
      <c r="E356" s="1035"/>
      <c r="F356" s="1036"/>
      <c r="G356" s="1035"/>
      <c r="H356" s="1035"/>
      <c r="I356" s="1035"/>
      <c r="J356" s="1035"/>
      <c r="K356" s="1035"/>
      <c r="L356" s="3830" t="str">
        <f t="shared" si="21"/>
        <v>&gt; ARMADURA</v>
      </c>
      <c r="M356" s="219"/>
    </row>
    <row r="357" spans="1:13" ht="12" customHeight="1">
      <c r="A357" s="7172"/>
      <c r="B357" s="7167"/>
      <c r="C357" s="39" t="s">
        <v>1407</v>
      </c>
      <c r="D357" s="76" t="s">
        <v>5445</v>
      </c>
      <c r="E357" s="1035">
        <v>1</v>
      </c>
      <c r="F357" s="1036">
        <v>2</v>
      </c>
      <c r="G357" s="1035">
        <v>5</v>
      </c>
      <c r="H357" s="1035">
        <v>1</v>
      </c>
      <c r="I357" s="1035">
        <v>2</v>
      </c>
      <c r="J357" s="1035">
        <v>4</v>
      </c>
      <c r="K357" s="1035">
        <v>1</v>
      </c>
      <c r="L357" s="3830" t="str">
        <f t="shared" si="21"/>
        <v>ArmaduraTA 1</v>
      </c>
      <c r="M357" s="219"/>
    </row>
    <row r="358" spans="1:13" ht="12" customHeight="1">
      <c r="A358" s="7172"/>
      <c r="B358" s="7167"/>
      <c r="C358" s="39" t="s">
        <v>1407</v>
      </c>
      <c r="D358" s="76" t="s">
        <v>4052</v>
      </c>
      <c r="E358" s="1035">
        <v>2</v>
      </c>
      <c r="F358" s="1036">
        <v>4</v>
      </c>
      <c r="G358" s="1035">
        <v>5</v>
      </c>
      <c r="H358" s="1035">
        <v>1</v>
      </c>
      <c r="I358" s="1035">
        <v>2</v>
      </c>
      <c r="J358" s="1035">
        <v>4</v>
      </c>
      <c r="K358" s="1035">
        <v>1</v>
      </c>
      <c r="L358" s="3830" t="str">
        <f t="shared" si="21"/>
        <v>ArmaduraTA 2</v>
      </c>
      <c r="M358" s="219"/>
    </row>
    <row r="359" spans="1:13" ht="12" customHeight="1">
      <c r="A359" s="7172"/>
      <c r="B359" s="7167"/>
      <c r="C359" s="39" t="s">
        <v>1407</v>
      </c>
      <c r="D359" s="76" t="s">
        <v>7109</v>
      </c>
      <c r="E359" s="1035">
        <v>4</v>
      </c>
      <c r="F359" s="1036">
        <v>6</v>
      </c>
      <c r="G359" s="1035">
        <v>10</v>
      </c>
      <c r="H359" s="1035">
        <v>2</v>
      </c>
      <c r="I359" s="1035">
        <v>4</v>
      </c>
      <c r="J359" s="1035">
        <v>7</v>
      </c>
      <c r="K359" s="1035">
        <v>1</v>
      </c>
      <c r="L359" s="3830" t="str">
        <f t="shared" si="21"/>
        <v>ArmaduraTA 3</v>
      </c>
      <c r="M359" s="219"/>
    </row>
    <row r="360" spans="1:13" ht="12" customHeight="1">
      <c r="A360" s="7172"/>
      <c r="B360" s="7167"/>
      <c r="C360" s="39" t="s">
        <v>1407</v>
      </c>
      <c r="D360" s="76" t="s">
        <v>4053</v>
      </c>
      <c r="E360" s="1035">
        <v>6</v>
      </c>
      <c r="F360" s="1036">
        <v>9</v>
      </c>
      <c r="G360" s="1035">
        <v>15</v>
      </c>
      <c r="H360" s="1035">
        <v>2</v>
      </c>
      <c r="I360" s="1035">
        <v>4</v>
      </c>
      <c r="J360" s="1035">
        <v>7</v>
      </c>
      <c r="K360" s="1035">
        <v>1</v>
      </c>
      <c r="L360" s="3830" t="str">
        <f t="shared" si="21"/>
        <v>ArmaduraTA 4</v>
      </c>
      <c r="M360" s="219"/>
    </row>
    <row r="361" spans="1:13" ht="12" customHeight="1">
      <c r="A361" s="7172"/>
      <c r="B361" s="7167"/>
      <c r="C361" s="39" t="s">
        <v>1407</v>
      </c>
      <c r="D361" s="76" t="s">
        <v>7110</v>
      </c>
      <c r="E361" s="1035">
        <v>8</v>
      </c>
      <c r="F361" s="1036">
        <v>11</v>
      </c>
      <c r="G361" s="1035">
        <v>20</v>
      </c>
      <c r="H361" s="1035">
        <v>3</v>
      </c>
      <c r="I361" s="1035">
        <v>6</v>
      </c>
      <c r="J361" s="1035">
        <v>11</v>
      </c>
      <c r="K361" s="1035">
        <v>2</v>
      </c>
      <c r="L361" s="3830" t="str">
        <f t="shared" si="21"/>
        <v>ArmaduraTA 5</v>
      </c>
      <c r="M361" s="219"/>
    </row>
    <row r="362" spans="1:13" ht="12" customHeight="1">
      <c r="A362" s="7172"/>
      <c r="B362" s="7167"/>
      <c r="C362" s="39" t="s">
        <v>1407</v>
      </c>
      <c r="D362" s="76" t="s">
        <v>4054</v>
      </c>
      <c r="E362" s="1035">
        <v>10</v>
      </c>
      <c r="F362" s="1036">
        <v>13</v>
      </c>
      <c r="G362" s="1035">
        <v>25</v>
      </c>
      <c r="H362" s="1035">
        <v>3</v>
      </c>
      <c r="I362" s="1035">
        <v>6</v>
      </c>
      <c r="J362" s="1035">
        <v>11</v>
      </c>
      <c r="K362" s="1035">
        <v>2</v>
      </c>
      <c r="L362" s="3830" t="str">
        <f t="shared" si="21"/>
        <v>ArmaduraTA 6</v>
      </c>
      <c r="M362" s="219"/>
    </row>
    <row r="363" spans="1:13" ht="12" customHeight="1">
      <c r="A363" s="7172"/>
      <c r="B363" s="7167"/>
      <c r="C363" s="39" t="s">
        <v>1407</v>
      </c>
      <c r="D363" s="76" t="s">
        <v>7111</v>
      </c>
      <c r="E363" s="1035">
        <v>12</v>
      </c>
      <c r="F363" s="1036">
        <v>15</v>
      </c>
      <c r="G363" s="1035">
        <v>30</v>
      </c>
      <c r="H363" s="1035">
        <v>4</v>
      </c>
      <c r="I363" s="1035">
        <v>8</v>
      </c>
      <c r="J363" s="1035">
        <v>14</v>
      </c>
      <c r="K363" s="1035">
        <v>3</v>
      </c>
      <c r="L363" s="3830" t="str">
        <f t="shared" si="21"/>
        <v>ArmaduraTA 7</v>
      </c>
      <c r="M363" s="219"/>
    </row>
    <row r="364" spans="1:13" ht="12" customHeight="1">
      <c r="A364" s="7172"/>
      <c r="B364" s="7167"/>
      <c r="C364" s="39" t="s">
        <v>1407</v>
      </c>
      <c r="D364" s="76" t="s">
        <v>4055</v>
      </c>
      <c r="E364" s="1035">
        <v>14</v>
      </c>
      <c r="F364" s="1036">
        <v>18</v>
      </c>
      <c r="G364" s="1035">
        <v>40</v>
      </c>
      <c r="H364" s="1035">
        <v>5</v>
      </c>
      <c r="I364" s="1035">
        <v>10</v>
      </c>
      <c r="J364" s="1035">
        <v>18</v>
      </c>
      <c r="K364" s="1035">
        <v>3</v>
      </c>
      <c r="L364" s="3830" t="str">
        <f t="shared" si="21"/>
        <v>ArmaduraTA 8</v>
      </c>
      <c r="M364" s="219"/>
    </row>
    <row r="365" spans="1:13" ht="12" customHeight="1">
      <c r="A365" s="7172"/>
      <c r="B365" s="7167"/>
      <c r="C365" s="39" t="s">
        <v>1407</v>
      </c>
      <c r="D365" s="76" t="s">
        <v>2977</v>
      </c>
      <c r="E365" s="1035">
        <v>4</v>
      </c>
      <c r="F365" s="1036">
        <v>4</v>
      </c>
      <c r="G365" s="1035">
        <v>15</v>
      </c>
      <c r="H365" s="1035">
        <v>2</v>
      </c>
      <c r="I365" s="1035">
        <v>4</v>
      </c>
      <c r="J365" s="1035">
        <v>7</v>
      </c>
      <c r="K365" s="1035"/>
      <c r="L365" s="3830" t="str">
        <f t="shared" si="21"/>
        <v>ArmaduraInmodificable</v>
      </c>
      <c r="M365" s="219"/>
    </row>
    <row r="366" spans="1:13" ht="12" customHeight="1">
      <c r="A366" s="7172"/>
      <c r="B366" s="7167"/>
      <c r="C366" s="39" t="s">
        <v>1407</v>
      </c>
      <c r="D366" s="76" t="s">
        <v>8668</v>
      </c>
      <c r="E366" s="1035">
        <v>-1</v>
      </c>
      <c r="F366" s="1036">
        <v>-1</v>
      </c>
      <c r="G366" s="1035">
        <v>-5</v>
      </c>
      <c r="H366" s="1035"/>
      <c r="I366" s="1035"/>
      <c r="J366" s="1035"/>
      <c r="K366" s="1035"/>
      <c r="L366" s="3830" t="str">
        <f t="shared" si="21"/>
        <v>ArmaduraFísica</v>
      </c>
      <c r="M366" s="219"/>
    </row>
    <row r="367" spans="1:13" ht="12" customHeight="1">
      <c r="A367" s="7172"/>
      <c r="B367" s="7167"/>
      <c r="C367" s="39" t="s">
        <v>1407</v>
      </c>
      <c r="D367" s="76" t="s">
        <v>2777</v>
      </c>
      <c r="E367" s="1035">
        <v>-1</v>
      </c>
      <c r="F367" s="1036">
        <v>-1</v>
      </c>
      <c r="G367" s="1035">
        <v>-10</v>
      </c>
      <c r="H367" s="1035"/>
      <c r="I367" s="1035"/>
      <c r="J367" s="1035"/>
      <c r="K367" s="1035"/>
      <c r="L367" s="3830" t="str">
        <f t="shared" si="21"/>
        <v>ArmaduraLentitud</v>
      </c>
      <c r="M367" s="219"/>
    </row>
    <row r="368" spans="1:13" ht="12" customHeight="1">
      <c r="A368" s="7172"/>
      <c r="B368" s="7167"/>
      <c r="C368" s="39" t="s">
        <v>2730</v>
      </c>
      <c r="D368" s="76"/>
      <c r="E368" s="1035"/>
      <c r="F368" s="1036"/>
      <c r="G368" s="1035"/>
      <c r="H368" s="1035"/>
      <c r="I368" s="1035"/>
      <c r="J368" s="1035"/>
      <c r="K368" s="1035"/>
      <c r="L368" s="3830" t="str">
        <f t="shared" si="21"/>
        <v>&gt;&gt;EFECTOS DE INCREMENTO</v>
      </c>
      <c r="M368" s="219"/>
    </row>
    <row r="369" spans="1:13" ht="12" customHeight="1">
      <c r="A369" s="7172"/>
      <c r="B369" s="7167"/>
      <c r="C369" s="39" t="s">
        <v>8669</v>
      </c>
      <c r="D369" s="76"/>
      <c r="E369" s="1035"/>
      <c r="F369" s="1036"/>
      <c r="G369" s="1035"/>
      <c r="H369" s="1035"/>
      <c r="I369" s="1035"/>
      <c r="J369" s="1035"/>
      <c r="K369" s="1035"/>
      <c r="L369" s="3830" t="str">
        <f t="shared" si="21"/>
        <v>&gt; INCREMENTO DE MOVIMIENTO</v>
      </c>
      <c r="M369" s="219"/>
    </row>
    <row r="370" spans="1:13" ht="12" customHeight="1">
      <c r="A370" s="7172"/>
      <c r="B370" s="7167"/>
      <c r="C370" s="39" t="s">
        <v>8670</v>
      </c>
      <c r="D370" s="76" t="s">
        <v>2708</v>
      </c>
      <c r="E370" s="1035">
        <v>1</v>
      </c>
      <c r="F370" s="1036">
        <v>2</v>
      </c>
      <c r="G370" s="1035">
        <v>5</v>
      </c>
      <c r="H370" s="1035">
        <v>1</v>
      </c>
      <c r="I370" s="1035">
        <v>2</v>
      </c>
      <c r="J370" s="1035">
        <v>4</v>
      </c>
      <c r="K370" s="1035">
        <v>1</v>
      </c>
      <c r="L370" s="3830" t="str">
        <f t="shared" si="21"/>
        <v>Incremento De Movimiento+1</v>
      </c>
      <c r="M370" s="219"/>
    </row>
    <row r="371" spans="1:13" ht="12" customHeight="1">
      <c r="A371" s="7172"/>
      <c r="B371" s="7167"/>
      <c r="C371" s="39" t="s">
        <v>8670</v>
      </c>
      <c r="D371" s="76" t="s">
        <v>2669</v>
      </c>
      <c r="E371" s="1035">
        <v>2</v>
      </c>
      <c r="F371" s="1036">
        <v>4</v>
      </c>
      <c r="G371" s="1035">
        <v>10</v>
      </c>
      <c r="H371" s="1035">
        <v>2</v>
      </c>
      <c r="I371" s="1035">
        <v>4</v>
      </c>
      <c r="J371" s="1035">
        <v>7</v>
      </c>
      <c r="K371" s="1035">
        <v>1</v>
      </c>
      <c r="L371" s="3830" t="str">
        <f t="shared" si="21"/>
        <v>Incremento De Movimiento+2</v>
      </c>
      <c r="M371" s="219"/>
    </row>
    <row r="372" spans="1:13" ht="12" customHeight="1">
      <c r="A372" s="7172"/>
      <c r="B372" s="7167"/>
      <c r="C372" s="3831" t="s">
        <v>8670</v>
      </c>
      <c r="D372" s="3832" t="s">
        <v>2670</v>
      </c>
      <c r="E372" s="3833">
        <v>4</v>
      </c>
      <c r="F372" s="3834">
        <v>6</v>
      </c>
      <c r="G372" s="3833">
        <v>15</v>
      </c>
      <c r="H372" s="3833">
        <v>3</v>
      </c>
      <c r="I372" s="3833">
        <v>6</v>
      </c>
      <c r="J372" s="3833">
        <v>11</v>
      </c>
      <c r="K372" s="3833">
        <v>2</v>
      </c>
      <c r="L372" s="3835" t="str">
        <f t="shared" si="21"/>
        <v>Incremento De Movimiento+3</v>
      </c>
      <c r="M372" s="219"/>
    </row>
    <row r="373" spans="1:13" ht="12" customHeight="1">
      <c r="A373" s="7172"/>
      <c r="B373" s="7167"/>
      <c r="C373" s="39" t="s">
        <v>8670</v>
      </c>
      <c r="D373" s="76" t="s">
        <v>2974</v>
      </c>
      <c r="E373" s="1035">
        <v>6</v>
      </c>
      <c r="F373" s="1036">
        <v>9</v>
      </c>
      <c r="G373" s="1035">
        <v>20</v>
      </c>
      <c r="H373" s="1035">
        <v>4</v>
      </c>
      <c r="I373" s="1035">
        <v>8</v>
      </c>
      <c r="J373" s="1035">
        <v>14</v>
      </c>
      <c r="K373" s="1035">
        <v>2</v>
      </c>
      <c r="L373" s="3830" t="str">
        <f t="shared" si="21"/>
        <v>Incremento De Movimiento+4</v>
      </c>
      <c r="M373" s="219"/>
    </row>
    <row r="374" spans="1:13" ht="12" customHeight="1">
      <c r="A374" s="7172"/>
      <c r="B374" s="7167"/>
      <c r="C374" s="39" t="s">
        <v>8670</v>
      </c>
      <c r="D374" s="76" t="s">
        <v>6459</v>
      </c>
      <c r="E374" s="1035">
        <v>8</v>
      </c>
      <c r="F374" s="1036">
        <v>11</v>
      </c>
      <c r="G374" s="1035">
        <v>25</v>
      </c>
      <c r="H374" s="1035">
        <v>5</v>
      </c>
      <c r="I374" s="1035">
        <v>10</v>
      </c>
      <c r="J374" s="1035">
        <v>18</v>
      </c>
      <c r="K374" s="1035">
        <v>3</v>
      </c>
      <c r="L374" s="3830" t="str">
        <f t="shared" si="21"/>
        <v>Incremento De Movimiento+5</v>
      </c>
      <c r="M374" s="219"/>
    </row>
    <row r="375" spans="1:13" ht="12" customHeight="1">
      <c r="A375" s="7172"/>
      <c r="B375" s="7167"/>
      <c r="C375" s="39" t="s">
        <v>8671</v>
      </c>
      <c r="D375" s="76"/>
      <c r="E375" s="1035"/>
      <c r="F375" s="1036"/>
      <c r="G375" s="1035"/>
      <c r="H375" s="1035"/>
      <c r="I375" s="1035"/>
      <c r="J375" s="1035"/>
      <c r="K375" s="1035"/>
      <c r="L375" s="3830" t="str">
        <f t="shared" si="21"/>
        <v>&gt; INCREMENTO DE HABILIDAD</v>
      </c>
      <c r="M375" s="219"/>
    </row>
    <row r="376" spans="1:13" ht="12" customHeight="1">
      <c r="A376" s="7172"/>
      <c r="B376" s="7167"/>
      <c r="C376" s="3831" t="s">
        <v>8672</v>
      </c>
      <c r="D376" s="3832" t="s">
        <v>7200</v>
      </c>
      <c r="E376" s="3833">
        <v>1</v>
      </c>
      <c r="F376" s="3834">
        <v>3</v>
      </c>
      <c r="G376" s="3833">
        <v>5</v>
      </c>
      <c r="H376" s="3833">
        <v>1</v>
      </c>
      <c r="I376" s="3833">
        <v>2</v>
      </c>
      <c r="J376" s="3833">
        <v>4</v>
      </c>
      <c r="K376" s="3833">
        <v>1</v>
      </c>
      <c r="L376" s="3835" t="str">
        <f t="shared" si="21"/>
        <v>Incremento De Habilidad+25</v>
      </c>
      <c r="M376" s="219"/>
    </row>
    <row r="377" spans="1:13" ht="12" customHeight="1">
      <c r="A377" s="7172"/>
      <c r="B377" s="7167"/>
      <c r="C377" s="3831" t="s">
        <v>8672</v>
      </c>
      <c r="D377" s="3832" t="s">
        <v>7059</v>
      </c>
      <c r="E377" s="3833">
        <v>3</v>
      </c>
      <c r="F377" s="3834">
        <v>5</v>
      </c>
      <c r="G377" s="3833">
        <v>5</v>
      </c>
      <c r="H377" s="3833">
        <v>2</v>
      </c>
      <c r="I377" s="3833">
        <v>4</v>
      </c>
      <c r="J377" s="3833">
        <v>7</v>
      </c>
      <c r="K377" s="3833">
        <v>1</v>
      </c>
      <c r="L377" s="3835" t="str">
        <f t="shared" si="21"/>
        <v>Incremento De Habilidad+50</v>
      </c>
      <c r="M377" s="219"/>
    </row>
    <row r="378" spans="1:13" ht="12" customHeight="1">
      <c r="A378" s="7172"/>
      <c r="B378" s="7167"/>
      <c r="C378" s="39" t="s">
        <v>8672</v>
      </c>
      <c r="D378" s="76" t="s">
        <v>8392</v>
      </c>
      <c r="E378" s="1035">
        <v>6</v>
      </c>
      <c r="F378" s="1036">
        <v>9</v>
      </c>
      <c r="G378" s="1035">
        <v>10</v>
      </c>
      <c r="H378" s="1035">
        <v>3</v>
      </c>
      <c r="I378" s="1035">
        <v>6</v>
      </c>
      <c r="J378" s="1035">
        <v>11</v>
      </c>
      <c r="K378" s="1035">
        <v>2</v>
      </c>
      <c r="L378" s="3830" t="str">
        <f t="shared" si="21"/>
        <v>Incremento De Habilidad+75</v>
      </c>
      <c r="M378" s="219"/>
    </row>
    <row r="379" spans="1:13" ht="12" customHeight="1">
      <c r="A379" s="7172"/>
      <c r="B379" s="7167"/>
      <c r="C379" s="39" t="s">
        <v>8672</v>
      </c>
      <c r="D379" s="76" t="s">
        <v>8399</v>
      </c>
      <c r="E379" s="1035">
        <v>9</v>
      </c>
      <c r="F379" s="1036">
        <v>12</v>
      </c>
      <c r="G379" s="1035">
        <v>15</v>
      </c>
      <c r="H379" s="1035">
        <v>4</v>
      </c>
      <c r="I379" s="1035">
        <v>8</v>
      </c>
      <c r="J379" s="1035">
        <v>14</v>
      </c>
      <c r="K379" s="1035">
        <v>2</v>
      </c>
      <c r="L379" s="3830" t="str">
        <f t="shared" si="21"/>
        <v>Incremento De Habilidad+100</v>
      </c>
      <c r="M379" s="219"/>
    </row>
    <row r="380" spans="1:13" ht="12" customHeight="1">
      <c r="A380" s="7172"/>
      <c r="B380" s="7167"/>
      <c r="C380" s="39" t="s">
        <v>8672</v>
      </c>
      <c r="D380" s="76" t="s">
        <v>8400</v>
      </c>
      <c r="E380" s="1035">
        <v>12</v>
      </c>
      <c r="F380" s="1036">
        <v>15</v>
      </c>
      <c r="G380" s="1035">
        <v>20</v>
      </c>
      <c r="H380" s="1035">
        <v>5</v>
      </c>
      <c r="I380" s="1035">
        <v>10</v>
      </c>
      <c r="J380" s="1035">
        <v>18</v>
      </c>
      <c r="K380" s="1035">
        <v>3</v>
      </c>
      <c r="L380" s="3830" t="str">
        <f t="shared" si="21"/>
        <v>Incremento De Habilidad+125</v>
      </c>
      <c r="M380" s="219"/>
    </row>
    <row r="381" spans="1:13" ht="12" customHeight="1">
      <c r="A381" s="7172"/>
      <c r="B381" s="7167"/>
      <c r="C381" s="39" t="s">
        <v>8672</v>
      </c>
      <c r="D381" s="76" t="s">
        <v>8402</v>
      </c>
      <c r="E381" s="1035">
        <v>15</v>
      </c>
      <c r="F381" s="1036">
        <v>19</v>
      </c>
      <c r="G381" s="1035">
        <v>25</v>
      </c>
      <c r="H381" s="1035">
        <v>6</v>
      </c>
      <c r="I381" s="1035">
        <v>12</v>
      </c>
      <c r="J381" s="1035">
        <v>21</v>
      </c>
      <c r="K381" s="1035">
        <v>3</v>
      </c>
      <c r="L381" s="3830" t="str">
        <f t="shared" si="21"/>
        <v>Incremento De Habilidad+150</v>
      </c>
      <c r="M381" s="219"/>
    </row>
    <row r="382" spans="1:13" ht="12" customHeight="1">
      <c r="A382" s="7172"/>
      <c r="B382" s="7167"/>
      <c r="C382" s="39" t="s">
        <v>8673</v>
      </c>
      <c r="D382" s="76"/>
      <c r="E382" s="1035"/>
      <c r="F382" s="1036"/>
      <c r="G382" s="1035"/>
      <c r="H382" s="1035"/>
      <c r="I382" s="1035"/>
      <c r="J382" s="1035"/>
      <c r="K382" s="1035"/>
      <c r="L382" s="3830" t="str">
        <f t="shared" si="21"/>
        <v>&gt; CAPACIDAD INCREMENTADA AGI</v>
      </c>
      <c r="M382" s="219"/>
    </row>
    <row r="383" spans="1:13" ht="12" customHeight="1">
      <c r="A383" s="7172"/>
      <c r="B383" s="7167"/>
      <c r="C383" s="3831" t="s">
        <v>8479</v>
      </c>
      <c r="D383" s="3841" t="s">
        <v>2708</v>
      </c>
      <c r="E383" s="3833">
        <v>1</v>
      </c>
      <c r="F383" s="3834">
        <v>2</v>
      </c>
      <c r="G383" s="3833">
        <v>5</v>
      </c>
      <c r="H383" s="3833">
        <v>1</v>
      </c>
      <c r="I383" s="3833">
        <v>2</v>
      </c>
      <c r="J383" s="3833">
        <v>4</v>
      </c>
      <c r="K383" s="3833">
        <v>1</v>
      </c>
      <c r="L383" s="3835" t="str">
        <f t="shared" si="21"/>
        <v>Capacidad Incrementada AGI+1</v>
      </c>
      <c r="M383" s="219"/>
    </row>
    <row r="384" spans="1:13" ht="12" customHeight="1">
      <c r="A384" s="7172"/>
      <c r="B384" s="7167"/>
      <c r="C384" s="3831" t="s">
        <v>8479</v>
      </c>
      <c r="D384" s="3841" t="s">
        <v>2669</v>
      </c>
      <c r="E384" s="3833">
        <v>2</v>
      </c>
      <c r="F384" s="3834">
        <v>4</v>
      </c>
      <c r="G384" s="3833">
        <v>5</v>
      </c>
      <c r="H384" s="3833">
        <v>2</v>
      </c>
      <c r="I384" s="3833">
        <v>3</v>
      </c>
      <c r="J384" s="3833">
        <v>5</v>
      </c>
      <c r="K384" s="3833">
        <v>1</v>
      </c>
      <c r="L384" s="3835" t="str">
        <f t="shared" si="21"/>
        <v>Capacidad Incrementada AGI+2</v>
      </c>
      <c r="M384" s="219"/>
    </row>
    <row r="385" spans="1:13" ht="12" customHeight="1">
      <c r="A385" s="7172"/>
      <c r="B385" s="7167"/>
      <c r="C385" s="3831" t="s">
        <v>8479</v>
      </c>
      <c r="D385" s="3841" t="s">
        <v>2670</v>
      </c>
      <c r="E385" s="3833">
        <v>4</v>
      </c>
      <c r="F385" s="3834">
        <v>6</v>
      </c>
      <c r="G385" s="3833">
        <v>5</v>
      </c>
      <c r="H385" s="3833">
        <v>3</v>
      </c>
      <c r="I385" s="3833">
        <v>5</v>
      </c>
      <c r="J385" s="3833">
        <v>7</v>
      </c>
      <c r="K385" s="3833">
        <v>1</v>
      </c>
      <c r="L385" s="3835" t="str">
        <f t="shared" si="21"/>
        <v>Capacidad Incrementada AGI+3</v>
      </c>
      <c r="M385" s="219"/>
    </row>
    <row r="386" spans="1:13" ht="12" customHeight="1">
      <c r="A386" s="7172"/>
      <c r="B386" s="7167"/>
      <c r="C386" s="3831" t="s">
        <v>8479</v>
      </c>
      <c r="D386" s="3841" t="s">
        <v>2974</v>
      </c>
      <c r="E386" s="3833">
        <v>6</v>
      </c>
      <c r="F386" s="3834">
        <v>9</v>
      </c>
      <c r="G386" s="3833">
        <v>10</v>
      </c>
      <c r="H386" s="3833">
        <v>4</v>
      </c>
      <c r="I386" s="3833">
        <v>7</v>
      </c>
      <c r="J386" s="3833">
        <v>9</v>
      </c>
      <c r="K386" s="3833">
        <v>1</v>
      </c>
      <c r="L386" s="3835" t="str">
        <f t="shared" si="21"/>
        <v>Capacidad Incrementada AGI+4</v>
      </c>
      <c r="M386" s="219"/>
    </row>
    <row r="387" spans="1:13" ht="12" customHeight="1">
      <c r="A387" s="7172"/>
      <c r="B387" s="7167"/>
      <c r="C387" s="3831" t="s">
        <v>8479</v>
      </c>
      <c r="D387" s="3841" t="s">
        <v>6459</v>
      </c>
      <c r="E387" s="3833">
        <v>8</v>
      </c>
      <c r="F387" s="3834">
        <v>11</v>
      </c>
      <c r="G387" s="3833">
        <v>15</v>
      </c>
      <c r="H387" s="3833">
        <v>5</v>
      </c>
      <c r="I387" s="3833">
        <v>9</v>
      </c>
      <c r="J387" s="3833">
        <v>14</v>
      </c>
      <c r="K387" s="3833">
        <v>2</v>
      </c>
      <c r="L387" s="3835" t="str">
        <f t="shared" si="21"/>
        <v>Capacidad Incrementada AGI+5</v>
      </c>
      <c r="M387" s="219"/>
    </row>
    <row r="388" spans="1:13" ht="12" customHeight="1">
      <c r="A388" s="7172"/>
      <c r="B388" s="7167"/>
      <c r="C388" s="3831" t="s">
        <v>8479</v>
      </c>
      <c r="D388" s="3841" t="s">
        <v>8631</v>
      </c>
      <c r="E388" s="3833">
        <v>10</v>
      </c>
      <c r="F388" s="3834">
        <v>13</v>
      </c>
      <c r="G388" s="3833">
        <v>20</v>
      </c>
      <c r="H388" s="3833">
        <v>6</v>
      </c>
      <c r="I388" s="3833">
        <v>11</v>
      </c>
      <c r="J388" s="3833">
        <v>17</v>
      </c>
      <c r="K388" s="3833">
        <v>2</v>
      </c>
      <c r="L388" s="3835" t="str">
        <f t="shared" si="21"/>
        <v>Capacidad Incrementada AGI+6</v>
      </c>
      <c r="M388" s="219"/>
    </row>
    <row r="389" spans="1:13" ht="12" customHeight="1">
      <c r="A389" s="7172"/>
      <c r="B389" s="7167"/>
      <c r="C389" s="3831" t="s">
        <v>8479</v>
      </c>
      <c r="D389" s="3841" t="s">
        <v>8877</v>
      </c>
      <c r="E389" s="3833">
        <v>12</v>
      </c>
      <c r="F389" s="3834">
        <v>15</v>
      </c>
      <c r="G389" s="3833">
        <v>25</v>
      </c>
      <c r="H389" s="3833">
        <v>7</v>
      </c>
      <c r="I389" s="3833">
        <v>13</v>
      </c>
      <c r="J389" s="3833">
        <v>20</v>
      </c>
      <c r="K389" s="3833">
        <v>3</v>
      </c>
      <c r="L389" s="3835" t="str">
        <f t="shared" si="21"/>
        <v>Capacidad Incrementada AGI+7</v>
      </c>
      <c r="M389" s="219"/>
    </row>
    <row r="390" spans="1:13" ht="12" customHeight="1">
      <c r="A390" s="7172"/>
      <c r="B390" s="7167"/>
      <c r="C390" s="3831" t="s">
        <v>8479</v>
      </c>
      <c r="D390" s="3841" t="s">
        <v>6474</v>
      </c>
      <c r="E390" s="3833">
        <v>14</v>
      </c>
      <c r="F390" s="3834">
        <v>18</v>
      </c>
      <c r="G390" s="3833">
        <v>30</v>
      </c>
      <c r="H390" s="3833">
        <v>8</v>
      </c>
      <c r="I390" s="3833">
        <v>15</v>
      </c>
      <c r="J390" s="3833">
        <v>24</v>
      </c>
      <c r="K390" s="3833">
        <v>3</v>
      </c>
      <c r="L390" s="3835" t="str">
        <f t="shared" si="21"/>
        <v>Capacidad Incrementada AGI+8</v>
      </c>
      <c r="M390" s="219"/>
    </row>
    <row r="391" spans="1:13" ht="12" customHeight="1">
      <c r="A391" s="7172"/>
      <c r="B391" s="7167"/>
      <c r="C391" s="39" t="s">
        <v>8674</v>
      </c>
      <c r="D391" s="76"/>
      <c r="E391" s="1035"/>
      <c r="F391" s="1036"/>
      <c r="G391" s="1035"/>
      <c r="H391" s="1035"/>
      <c r="I391" s="1035"/>
      <c r="J391" s="1035"/>
      <c r="K391" s="1035"/>
      <c r="L391" s="3830" t="str">
        <f t="shared" si="21"/>
        <v>&gt; CAPACIDAD INCREMENTADA FUE</v>
      </c>
      <c r="M391" s="219"/>
    </row>
    <row r="392" spans="1:13" ht="12" customHeight="1">
      <c r="A392" s="7172"/>
      <c r="B392" s="7167"/>
      <c r="C392" s="3831" t="s">
        <v>8675</v>
      </c>
      <c r="D392" s="3832" t="s">
        <v>2708</v>
      </c>
      <c r="E392" s="3833">
        <v>1</v>
      </c>
      <c r="F392" s="3834">
        <v>2</v>
      </c>
      <c r="G392" s="3833">
        <v>5</v>
      </c>
      <c r="H392" s="3833">
        <v>1</v>
      </c>
      <c r="I392" s="3833">
        <v>2</v>
      </c>
      <c r="J392" s="3833">
        <v>4</v>
      </c>
      <c r="K392" s="3833">
        <v>1</v>
      </c>
      <c r="L392" s="3835" t="str">
        <f t="shared" si="21"/>
        <v>Capacidad Incrementada Fue+1</v>
      </c>
      <c r="M392" s="219"/>
    </row>
    <row r="393" spans="1:13" ht="12" customHeight="1">
      <c r="A393" s="7172"/>
      <c r="B393" s="7167"/>
      <c r="C393" s="3831" t="s">
        <v>8675</v>
      </c>
      <c r="D393" s="3832" t="s">
        <v>2669</v>
      </c>
      <c r="E393" s="3833">
        <v>2</v>
      </c>
      <c r="F393" s="3834">
        <v>4</v>
      </c>
      <c r="G393" s="3833">
        <v>5</v>
      </c>
      <c r="H393" s="3833">
        <v>2</v>
      </c>
      <c r="I393" s="3833">
        <v>3</v>
      </c>
      <c r="J393" s="3833">
        <v>5</v>
      </c>
      <c r="K393" s="3833">
        <v>1</v>
      </c>
      <c r="L393" s="3835" t="str">
        <f t="shared" si="21"/>
        <v>Capacidad Incrementada Fue+2</v>
      </c>
      <c r="M393" s="219"/>
    </row>
    <row r="394" spans="1:13" ht="12" customHeight="1">
      <c r="A394" s="7172"/>
      <c r="B394" s="7167"/>
      <c r="C394" s="3831" t="s">
        <v>8675</v>
      </c>
      <c r="D394" s="3832" t="s">
        <v>2670</v>
      </c>
      <c r="E394" s="3833">
        <v>4</v>
      </c>
      <c r="F394" s="3834">
        <v>6</v>
      </c>
      <c r="G394" s="3833">
        <v>5</v>
      </c>
      <c r="H394" s="3833">
        <v>3</v>
      </c>
      <c r="I394" s="3833">
        <v>5</v>
      </c>
      <c r="J394" s="3833">
        <v>7</v>
      </c>
      <c r="K394" s="3833">
        <v>1</v>
      </c>
      <c r="L394" s="3835" t="str">
        <f t="shared" si="21"/>
        <v>Capacidad Incrementada Fue+3</v>
      </c>
      <c r="M394" s="219"/>
    </row>
    <row r="395" spans="1:13" ht="12" customHeight="1">
      <c r="A395" s="7172"/>
      <c r="B395" s="7167"/>
      <c r="C395" s="3831" t="s">
        <v>8675</v>
      </c>
      <c r="D395" s="3832" t="s">
        <v>2974</v>
      </c>
      <c r="E395" s="3833">
        <v>6</v>
      </c>
      <c r="F395" s="3834">
        <v>9</v>
      </c>
      <c r="G395" s="3833">
        <v>10</v>
      </c>
      <c r="H395" s="3833">
        <v>4</v>
      </c>
      <c r="I395" s="3833">
        <v>7</v>
      </c>
      <c r="J395" s="3833">
        <v>9</v>
      </c>
      <c r="K395" s="3833">
        <v>1</v>
      </c>
      <c r="L395" s="3835" t="str">
        <f t="shared" si="21"/>
        <v>Capacidad Incrementada Fue+4</v>
      </c>
      <c r="M395" s="219"/>
    </row>
    <row r="396" spans="1:13" ht="12" customHeight="1">
      <c r="A396" s="7172"/>
      <c r="B396" s="7167"/>
      <c r="C396" s="3831" t="s">
        <v>8675</v>
      </c>
      <c r="D396" s="3832" t="s">
        <v>6459</v>
      </c>
      <c r="E396" s="3833">
        <v>8</v>
      </c>
      <c r="F396" s="3834">
        <v>11</v>
      </c>
      <c r="G396" s="3833">
        <v>15</v>
      </c>
      <c r="H396" s="3833">
        <v>5</v>
      </c>
      <c r="I396" s="3833">
        <v>9</v>
      </c>
      <c r="J396" s="3833">
        <v>14</v>
      </c>
      <c r="K396" s="3833">
        <v>2</v>
      </c>
      <c r="L396" s="3835" t="str">
        <f t="shared" si="21"/>
        <v>Capacidad Incrementada Fue+5</v>
      </c>
      <c r="M396" s="219"/>
    </row>
    <row r="397" spans="1:13" ht="12" customHeight="1">
      <c r="A397" s="7172"/>
      <c r="B397" s="7167"/>
      <c r="C397" s="3831" t="s">
        <v>8675</v>
      </c>
      <c r="D397" s="3832" t="s">
        <v>8631</v>
      </c>
      <c r="E397" s="3833">
        <v>10</v>
      </c>
      <c r="F397" s="3834">
        <v>13</v>
      </c>
      <c r="G397" s="3833">
        <v>20</v>
      </c>
      <c r="H397" s="3833">
        <v>6</v>
      </c>
      <c r="I397" s="3833">
        <v>11</v>
      </c>
      <c r="J397" s="3833">
        <v>17</v>
      </c>
      <c r="K397" s="3833">
        <v>2</v>
      </c>
      <c r="L397" s="3835" t="str">
        <f t="shared" si="21"/>
        <v>Capacidad Incrementada Fue+6</v>
      </c>
      <c r="M397" s="219"/>
    </row>
    <row r="398" spans="1:13" ht="12" customHeight="1">
      <c r="A398" s="7172"/>
      <c r="B398" s="7167"/>
      <c r="C398" s="3831" t="s">
        <v>8675</v>
      </c>
      <c r="D398" s="3832" t="s">
        <v>8877</v>
      </c>
      <c r="E398" s="3833">
        <v>12</v>
      </c>
      <c r="F398" s="3834">
        <v>15</v>
      </c>
      <c r="G398" s="3833">
        <v>25</v>
      </c>
      <c r="H398" s="3833">
        <v>7</v>
      </c>
      <c r="I398" s="3833">
        <v>13</v>
      </c>
      <c r="J398" s="3833">
        <v>20</v>
      </c>
      <c r="K398" s="3833">
        <v>3</v>
      </c>
      <c r="L398" s="3835" t="str">
        <f t="shared" si="21"/>
        <v>Capacidad Incrementada Fue+7</v>
      </c>
      <c r="M398" s="219"/>
    </row>
    <row r="399" spans="1:13" ht="12" customHeight="1">
      <c r="A399" s="7172"/>
      <c r="B399" s="7167"/>
      <c r="C399" s="3831" t="s">
        <v>8675</v>
      </c>
      <c r="D399" s="3832" t="s">
        <v>6474</v>
      </c>
      <c r="E399" s="3833">
        <v>14</v>
      </c>
      <c r="F399" s="3834">
        <v>18</v>
      </c>
      <c r="G399" s="3833">
        <v>30</v>
      </c>
      <c r="H399" s="3833">
        <v>8</v>
      </c>
      <c r="I399" s="3833">
        <v>15</v>
      </c>
      <c r="J399" s="3833">
        <v>24</v>
      </c>
      <c r="K399" s="3833">
        <v>3</v>
      </c>
      <c r="L399" s="3835" t="str">
        <f t="shared" si="21"/>
        <v>Capacidad Incrementada Fue+8</v>
      </c>
      <c r="M399" s="219"/>
    </row>
    <row r="400" spans="1:13" ht="12" customHeight="1">
      <c r="A400" s="7172"/>
      <c r="B400" s="7167"/>
      <c r="C400" s="39" t="s">
        <v>8676</v>
      </c>
      <c r="D400" s="76"/>
      <c r="E400" s="1035"/>
      <c r="F400" s="1036"/>
      <c r="G400" s="1035"/>
      <c r="H400" s="1035"/>
      <c r="I400" s="1035"/>
      <c r="J400" s="1035"/>
      <c r="K400" s="1035"/>
      <c r="L400" s="3830" t="str">
        <f t="shared" si="21"/>
        <v>&gt; CAPACIDAD INCREMENTADA DES</v>
      </c>
      <c r="M400" s="219"/>
    </row>
    <row r="401" spans="1:13" ht="12" customHeight="1">
      <c r="A401" s="7172"/>
      <c r="B401" s="7167"/>
      <c r="C401" s="3831" t="s">
        <v>8677</v>
      </c>
      <c r="D401" s="3832" t="s">
        <v>2708</v>
      </c>
      <c r="E401" s="3833">
        <v>1</v>
      </c>
      <c r="F401" s="3834">
        <v>2</v>
      </c>
      <c r="G401" s="3833">
        <v>5</v>
      </c>
      <c r="H401" s="3833">
        <v>1</v>
      </c>
      <c r="I401" s="3833">
        <v>2</v>
      </c>
      <c r="J401" s="3833">
        <v>4</v>
      </c>
      <c r="K401" s="3833">
        <v>1</v>
      </c>
      <c r="L401" s="3835" t="str">
        <f t="shared" si="21"/>
        <v>Capacidad Incrementada Des+1</v>
      </c>
      <c r="M401" s="219"/>
    </row>
    <row r="402" spans="1:13" ht="12" customHeight="1">
      <c r="A402" s="7172"/>
      <c r="B402" s="7167"/>
      <c r="C402" s="3831" t="s">
        <v>8677</v>
      </c>
      <c r="D402" s="3832" t="s">
        <v>2669</v>
      </c>
      <c r="E402" s="3833">
        <v>2</v>
      </c>
      <c r="F402" s="3834">
        <v>4</v>
      </c>
      <c r="G402" s="3833">
        <v>5</v>
      </c>
      <c r="H402" s="3833">
        <v>2</v>
      </c>
      <c r="I402" s="3833">
        <v>3</v>
      </c>
      <c r="J402" s="3833">
        <v>5</v>
      </c>
      <c r="K402" s="3833">
        <v>1</v>
      </c>
      <c r="L402" s="3835" t="str">
        <f t="shared" si="21"/>
        <v>Capacidad Incrementada Des+2</v>
      </c>
      <c r="M402" s="219"/>
    </row>
    <row r="403" spans="1:13" ht="12" customHeight="1">
      <c r="A403" s="7172"/>
      <c r="B403" s="7167"/>
      <c r="C403" s="3831" t="s">
        <v>8677</v>
      </c>
      <c r="D403" s="3832" t="s">
        <v>2670</v>
      </c>
      <c r="E403" s="3833">
        <v>4</v>
      </c>
      <c r="F403" s="3834">
        <v>6</v>
      </c>
      <c r="G403" s="3833">
        <v>5</v>
      </c>
      <c r="H403" s="3833">
        <v>3</v>
      </c>
      <c r="I403" s="3833">
        <v>5</v>
      </c>
      <c r="J403" s="3833">
        <v>7</v>
      </c>
      <c r="K403" s="3833">
        <v>1</v>
      </c>
      <c r="L403" s="3835" t="str">
        <f t="shared" si="21"/>
        <v>Capacidad Incrementada Des+3</v>
      </c>
      <c r="M403" s="219"/>
    </row>
    <row r="404" spans="1:13" ht="12" customHeight="1">
      <c r="A404" s="7172"/>
      <c r="B404" s="7167"/>
      <c r="C404" s="3831" t="s">
        <v>8677</v>
      </c>
      <c r="D404" s="3832" t="s">
        <v>2974</v>
      </c>
      <c r="E404" s="3833">
        <v>6</v>
      </c>
      <c r="F404" s="3834">
        <v>9</v>
      </c>
      <c r="G404" s="3833">
        <v>10</v>
      </c>
      <c r="H404" s="3833">
        <v>4</v>
      </c>
      <c r="I404" s="3833">
        <v>7</v>
      </c>
      <c r="J404" s="3833">
        <v>9</v>
      </c>
      <c r="K404" s="3833">
        <v>1</v>
      </c>
      <c r="L404" s="3835" t="str">
        <f t="shared" si="21"/>
        <v>Capacidad Incrementada Des+4</v>
      </c>
      <c r="M404" s="219"/>
    </row>
    <row r="405" spans="1:13" ht="12" customHeight="1">
      <c r="A405" s="7172"/>
      <c r="B405" s="7167"/>
      <c r="C405" s="3831" t="s">
        <v>8677</v>
      </c>
      <c r="D405" s="3832" t="s">
        <v>6459</v>
      </c>
      <c r="E405" s="3833">
        <v>8</v>
      </c>
      <c r="F405" s="3834">
        <v>11</v>
      </c>
      <c r="G405" s="3833">
        <v>15</v>
      </c>
      <c r="H405" s="3833">
        <v>5</v>
      </c>
      <c r="I405" s="3833">
        <v>9</v>
      </c>
      <c r="J405" s="3833">
        <v>14</v>
      </c>
      <c r="K405" s="3833">
        <v>2</v>
      </c>
      <c r="L405" s="3835" t="str">
        <f t="shared" si="21"/>
        <v>Capacidad Incrementada Des+5</v>
      </c>
      <c r="M405" s="219"/>
    </row>
    <row r="406" spans="1:13" ht="12" customHeight="1">
      <c r="A406" s="7172"/>
      <c r="B406" s="7167"/>
      <c r="C406" s="3831" t="s">
        <v>8677</v>
      </c>
      <c r="D406" s="3832" t="s">
        <v>8631</v>
      </c>
      <c r="E406" s="3833">
        <v>10</v>
      </c>
      <c r="F406" s="3834">
        <v>13</v>
      </c>
      <c r="G406" s="3833">
        <v>20</v>
      </c>
      <c r="H406" s="3833">
        <v>6</v>
      </c>
      <c r="I406" s="3833">
        <v>11</v>
      </c>
      <c r="J406" s="3833">
        <v>17</v>
      </c>
      <c r="K406" s="3833">
        <v>2</v>
      </c>
      <c r="L406" s="3835" t="str">
        <f t="shared" ref="L406:L469" si="22">C406&amp;D406</f>
        <v>Capacidad Incrementada Des+6</v>
      </c>
      <c r="M406" s="219"/>
    </row>
    <row r="407" spans="1:13" ht="12" customHeight="1">
      <c r="A407" s="7172"/>
      <c r="B407" s="7167"/>
      <c r="C407" s="3831" t="s">
        <v>8677</v>
      </c>
      <c r="D407" s="3832" t="s">
        <v>8877</v>
      </c>
      <c r="E407" s="3833">
        <v>12</v>
      </c>
      <c r="F407" s="3834">
        <v>15</v>
      </c>
      <c r="G407" s="3833">
        <v>25</v>
      </c>
      <c r="H407" s="3833">
        <v>7</v>
      </c>
      <c r="I407" s="3833">
        <v>13</v>
      </c>
      <c r="J407" s="3833">
        <v>20</v>
      </c>
      <c r="K407" s="3833">
        <v>3</v>
      </c>
      <c r="L407" s="3835" t="str">
        <f t="shared" si="22"/>
        <v>Capacidad Incrementada Des+7</v>
      </c>
      <c r="M407" s="219"/>
    </row>
    <row r="408" spans="1:13" ht="12" customHeight="1">
      <c r="A408" s="7172"/>
      <c r="B408" s="7167"/>
      <c r="C408" s="3831" t="s">
        <v>8677</v>
      </c>
      <c r="D408" s="3832" t="s">
        <v>6474</v>
      </c>
      <c r="E408" s="3833">
        <v>14</v>
      </c>
      <c r="F408" s="3834">
        <v>18</v>
      </c>
      <c r="G408" s="3833">
        <v>30</v>
      </c>
      <c r="H408" s="3833">
        <v>8</v>
      </c>
      <c r="I408" s="3833">
        <v>15</v>
      </c>
      <c r="J408" s="3833">
        <v>24</v>
      </c>
      <c r="K408" s="3833">
        <v>3</v>
      </c>
      <c r="L408" s="3835" t="str">
        <f t="shared" si="22"/>
        <v>Capacidad Incrementada Des+8</v>
      </c>
      <c r="M408" s="219"/>
    </row>
    <row r="409" spans="1:13" ht="12" customHeight="1">
      <c r="A409" s="7172"/>
      <c r="B409" s="7167"/>
      <c r="C409" s="39" t="s">
        <v>8678</v>
      </c>
      <c r="D409" s="76"/>
      <c r="E409" s="1035"/>
      <c r="F409" s="1036"/>
      <c r="G409" s="1035"/>
      <c r="H409" s="1035"/>
      <c r="I409" s="1035"/>
      <c r="J409" s="1035"/>
      <c r="K409" s="1035"/>
      <c r="L409" s="3830" t="str">
        <f t="shared" si="22"/>
        <v>&gt; INCREMENTO DE RESISTENCIA FÍSICA</v>
      </c>
      <c r="M409" s="219"/>
    </row>
    <row r="410" spans="1:13" ht="12" customHeight="1">
      <c r="A410" s="7172"/>
      <c r="B410" s="7167"/>
      <c r="C410" s="39" t="s">
        <v>8679</v>
      </c>
      <c r="D410" s="76" t="s">
        <v>8680</v>
      </c>
      <c r="E410" s="1035">
        <v>1</v>
      </c>
      <c r="F410" s="1036">
        <v>2</v>
      </c>
      <c r="G410" s="1035">
        <v>5</v>
      </c>
      <c r="H410" s="1035">
        <v>1</v>
      </c>
      <c r="I410" s="1035">
        <v>2</v>
      </c>
      <c r="J410" s="1035">
        <v>4</v>
      </c>
      <c r="K410" s="1035">
        <v>1</v>
      </c>
      <c r="L410" s="3830" t="str">
        <f t="shared" si="22"/>
        <v>Incremento De Resistencia Física+10 RF</v>
      </c>
      <c r="M410" s="219"/>
    </row>
    <row r="411" spans="1:13" ht="12" customHeight="1">
      <c r="A411" s="7172"/>
      <c r="B411" s="7167"/>
      <c r="C411" s="39" t="s">
        <v>8679</v>
      </c>
      <c r="D411" s="76" t="s">
        <v>8681</v>
      </c>
      <c r="E411" s="1035">
        <v>2</v>
      </c>
      <c r="F411" s="1036">
        <v>4</v>
      </c>
      <c r="G411" s="1035">
        <v>5</v>
      </c>
      <c r="H411" s="1035">
        <v>2</v>
      </c>
      <c r="I411" s="1035">
        <v>4</v>
      </c>
      <c r="J411" s="1035">
        <v>7</v>
      </c>
      <c r="K411" s="1035">
        <v>1</v>
      </c>
      <c r="L411" s="3830" t="str">
        <f t="shared" si="22"/>
        <v>Incremento De Resistencia Física+20 RF</v>
      </c>
      <c r="M411" s="219"/>
    </row>
    <row r="412" spans="1:13" ht="12" customHeight="1">
      <c r="A412" s="7172"/>
      <c r="B412" s="7167"/>
      <c r="C412" s="39" t="s">
        <v>8679</v>
      </c>
      <c r="D412" s="76" t="s">
        <v>8682</v>
      </c>
      <c r="E412" s="1035">
        <v>4</v>
      </c>
      <c r="F412" s="1036">
        <v>6</v>
      </c>
      <c r="G412" s="1035">
        <v>10</v>
      </c>
      <c r="H412" s="1035">
        <v>3</v>
      </c>
      <c r="I412" s="1035">
        <v>6</v>
      </c>
      <c r="J412" s="1035">
        <v>11</v>
      </c>
      <c r="K412" s="1035">
        <v>1</v>
      </c>
      <c r="L412" s="3830" t="str">
        <f t="shared" si="22"/>
        <v>Incremento De Resistencia Física+30 RF</v>
      </c>
      <c r="M412" s="219"/>
    </row>
    <row r="413" spans="1:13" ht="12" customHeight="1">
      <c r="A413" s="7172"/>
      <c r="B413" s="7167"/>
      <c r="C413" s="39" t="s">
        <v>8679</v>
      </c>
      <c r="D413" s="76" t="s">
        <v>8683</v>
      </c>
      <c r="E413" s="1035">
        <v>6</v>
      </c>
      <c r="F413" s="1036">
        <v>9</v>
      </c>
      <c r="G413" s="1035">
        <v>15</v>
      </c>
      <c r="H413" s="1035">
        <v>4</v>
      </c>
      <c r="I413" s="1035">
        <v>8</v>
      </c>
      <c r="J413" s="1035">
        <v>14</v>
      </c>
      <c r="K413" s="1035">
        <v>1</v>
      </c>
      <c r="L413" s="3830" t="str">
        <f t="shared" si="22"/>
        <v>Incremento De Resistencia Física+40 RF</v>
      </c>
      <c r="M413" s="219"/>
    </row>
    <row r="414" spans="1:13" ht="12" customHeight="1">
      <c r="A414" s="7172"/>
      <c r="B414" s="7167"/>
      <c r="C414" s="39" t="s">
        <v>8679</v>
      </c>
      <c r="D414" s="76" t="s">
        <v>8684</v>
      </c>
      <c r="E414" s="1035">
        <v>8</v>
      </c>
      <c r="F414" s="1036">
        <v>11</v>
      </c>
      <c r="G414" s="1035">
        <v>20</v>
      </c>
      <c r="H414" s="1035">
        <v>5</v>
      </c>
      <c r="I414" s="1035">
        <v>10</v>
      </c>
      <c r="J414" s="1035">
        <v>18</v>
      </c>
      <c r="K414" s="1035">
        <v>2</v>
      </c>
      <c r="L414" s="3830" t="str">
        <f t="shared" si="22"/>
        <v>Incremento De Resistencia Física+50 RF</v>
      </c>
      <c r="M414" s="219"/>
    </row>
    <row r="415" spans="1:13" ht="12" customHeight="1">
      <c r="A415" s="7172"/>
      <c r="B415" s="7167"/>
      <c r="C415" s="39" t="s">
        <v>8679</v>
      </c>
      <c r="D415" s="76" t="s">
        <v>8685</v>
      </c>
      <c r="E415" s="1035">
        <v>10</v>
      </c>
      <c r="F415" s="1036">
        <v>13</v>
      </c>
      <c r="G415" s="1035">
        <v>25</v>
      </c>
      <c r="H415" s="1035">
        <v>6</v>
      </c>
      <c r="I415" s="1035">
        <v>12</v>
      </c>
      <c r="J415" s="1035">
        <v>21</v>
      </c>
      <c r="K415" s="1035">
        <v>2</v>
      </c>
      <c r="L415" s="3830" t="str">
        <f t="shared" si="22"/>
        <v>Incremento De Resistencia Física+60 RF</v>
      </c>
      <c r="M415" s="219"/>
    </row>
    <row r="416" spans="1:13" ht="12" customHeight="1">
      <c r="A416" s="7172"/>
      <c r="B416" s="7167"/>
      <c r="C416" s="39" t="s">
        <v>8679</v>
      </c>
      <c r="D416" s="76" t="s">
        <v>8686</v>
      </c>
      <c r="E416" s="1035">
        <v>14</v>
      </c>
      <c r="F416" s="1036">
        <v>18</v>
      </c>
      <c r="G416" s="1035">
        <v>30</v>
      </c>
      <c r="H416" s="1035">
        <v>7</v>
      </c>
      <c r="I416" s="1035">
        <v>14</v>
      </c>
      <c r="J416" s="1035">
        <v>25</v>
      </c>
      <c r="K416" s="1035">
        <v>3</v>
      </c>
      <c r="L416" s="3830" t="str">
        <f t="shared" si="22"/>
        <v>Incremento De Resistencia Física+80 RF</v>
      </c>
      <c r="M416" s="219"/>
    </row>
    <row r="417" spans="1:13" ht="12" customHeight="1">
      <c r="A417" s="7172"/>
      <c r="B417" s="7167"/>
      <c r="C417" s="39" t="s">
        <v>8679</v>
      </c>
      <c r="D417" s="76" t="s">
        <v>8687</v>
      </c>
      <c r="E417" s="1035">
        <v>18</v>
      </c>
      <c r="F417" s="1036">
        <v>22</v>
      </c>
      <c r="G417" s="1035">
        <v>40</v>
      </c>
      <c r="H417" s="1035">
        <v>8</v>
      </c>
      <c r="I417" s="1035">
        <v>16</v>
      </c>
      <c r="J417" s="1035">
        <v>28</v>
      </c>
      <c r="K417" s="1035">
        <v>3</v>
      </c>
      <c r="L417" s="3830" t="str">
        <f t="shared" si="22"/>
        <v>Incremento De Resistencia Física+100 RF</v>
      </c>
      <c r="M417" s="219"/>
    </row>
    <row r="418" spans="1:13" ht="12" customHeight="1">
      <c r="A418" s="7172"/>
      <c r="B418" s="7167"/>
      <c r="C418" s="39" t="s">
        <v>8679</v>
      </c>
      <c r="D418" s="76" t="s">
        <v>2978</v>
      </c>
      <c r="E418" s="1035">
        <v>1</v>
      </c>
      <c r="F418" s="1036">
        <v>1</v>
      </c>
      <c r="G418" s="1035">
        <v>5</v>
      </c>
      <c r="H418" s="1035">
        <v>1</v>
      </c>
      <c r="I418" s="1035">
        <v>2</v>
      </c>
      <c r="J418" s="1035">
        <v>4</v>
      </c>
      <c r="K418" s="1035"/>
      <c r="L418" s="3830" t="str">
        <f t="shared" si="22"/>
        <v>Incremento De Resistencia FísicaIncremento también a RE</v>
      </c>
      <c r="M418" s="219"/>
    </row>
    <row r="419" spans="1:13" ht="12" customHeight="1">
      <c r="A419" s="7172"/>
      <c r="B419" s="7167"/>
      <c r="C419" s="39" t="s">
        <v>8679</v>
      </c>
      <c r="D419" s="76" t="s">
        <v>2979</v>
      </c>
      <c r="E419" s="1035">
        <v>1</v>
      </c>
      <c r="F419" s="1036">
        <v>1</v>
      </c>
      <c r="G419" s="1035">
        <v>5</v>
      </c>
      <c r="H419" s="1035">
        <v>1</v>
      </c>
      <c r="I419" s="1035">
        <v>2</v>
      </c>
      <c r="J419" s="1035">
        <v>4</v>
      </c>
      <c r="K419" s="1035"/>
      <c r="L419" s="3830" t="str">
        <f t="shared" si="22"/>
        <v>Incremento De Resistencia FísicaIncremento también a RV</v>
      </c>
      <c r="M419" s="219"/>
    </row>
    <row r="420" spans="1:13" ht="12" customHeight="1">
      <c r="A420" s="7172"/>
      <c r="B420" s="7167"/>
      <c r="C420" s="39" t="s">
        <v>8688</v>
      </c>
      <c r="D420" s="76"/>
      <c r="E420" s="1035"/>
      <c r="F420" s="1036"/>
      <c r="G420" s="1035"/>
      <c r="H420" s="1035"/>
      <c r="I420" s="1035"/>
      <c r="J420" s="1035"/>
      <c r="K420" s="1035"/>
      <c r="L420" s="3830" t="str">
        <f t="shared" si="22"/>
        <v>&gt; INCREMENTO DE RESISTENCIA MÁGICA</v>
      </c>
      <c r="M420" s="219"/>
    </row>
    <row r="421" spans="1:13" ht="12" customHeight="1">
      <c r="A421" s="7172"/>
      <c r="B421" s="7167"/>
      <c r="C421" s="39" t="s">
        <v>8689</v>
      </c>
      <c r="D421" s="76" t="s">
        <v>7068</v>
      </c>
      <c r="E421" s="1035">
        <v>1</v>
      </c>
      <c r="F421" s="1036">
        <v>2</v>
      </c>
      <c r="G421" s="1035">
        <v>5</v>
      </c>
      <c r="H421" s="1035">
        <v>1</v>
      </c>
      <c r="I421" s="1035">
        <v>2</v>
      </c>
      <c r="J421" s="1035">
        <v>4</v>
      </c>
      <c r="K421" s="1035">
        <v>1</v>
      </c>
      <c r="L421" s="3830" t="str">
        <f t="shared" si="22"/>
        <v>Incremento De Resistencia Mágica+10 RM</v>
      </c>
      <c r="M421" s="219"/>
    </row>
    <row r="422" spans="1:13" ht="12" customHeight="1">
      <c r="A422" s="7172"/>
      <c r="B422" s="7167"/>
      <c r="C422" s="39" t="s">
        <v>8689</v>
      </c>
      <c r="D422" s="76" t="s">
        <v>7069</v>
      </c>
      <c r="E422" s="1035">
        <v>2</v>
      </c>
      <c r="F422" s="1036">
        <v>4</v>
      </c>
      <c r="G422" s="1035">
        <v>5</v>
      </c>
      <c r="H422" s="1035">
        <v>2</v>
      </c>
      <c r="I422" s="1035">
        <v>4</v>
      </c>
      <c r="J422" s="1035">
        <v>7</v>
      </c>
      <c r="K422" s="1035">
        <v>1</v>
      </c>
      <c r="L422" s="3830" t="str">
        <f t="shared" si="22"/>
        <v>Incremento De Resistencia Mágica+20 RM</v>
      </c>
      <c r="M422" s="219"/>
    </row>
    <row r="423" spans="1:13" ht="12" customHeight="1">
      <c r="A423" s="7172"/>
      <c r="B423" s="7167"/>
      <c r="C423" s="39" t="s">
        <v>8689</v>
      </c>
      <c r="D423" s="76" t="s">
        <v>7070</v>
      </c>
      <c r="E423" s="1035">
        <v>4</v>
      </c>
      <c r="F423" s="1036">
        <v>6</v>
      </c>
      <c r="G423" s="1035">
        <v>10</v>
      </c>
      <c r="H423" s="1035">
        <v>3</v>
      </c>
      <c r="I423" s="1035">
        <v>6</v>
      </c>
      <c r="J423" s="1035">
        <v>11</v>
      </c>
      <c r="K423" s="1035">
        <v>1</v>
      </c>
      <c r="L423" s="3830" t="str">
        <f t="shared" si="22"/>
        <v>Incremento De Resistencia Mágica+30 RM</v>
      </c>
      <c r="M423" s="219"/>
    </row>
    <row r="424" spans="1:13" ht="12" customHeight="1">
      <c r="A424" s="7172"/>
      <c r="B424" s="7167"/>
      <c r="C424" s="39" t="s">
        <v>8689</v>
      </c>
      <c r="D424" s="76" t="s">
        <v>7071</v>
      </c>
      <c r="E424" s="1035">
        <v>6</v>
      </c>
      <c r="F424" s="1036">
        <v>9</v>
      </c>
      <c r="G424" s="1035">
        <v>15</v>
      </c>
      <c r="H424" s="1035">
        <v>4</v>
      </c>
      <c r="I424" s="1035">
        <v>8</v>
      </c>
      <c r="J424" s="1035">
        <v>14</v>
      </c>
      <c r="K424" s="1035">
        <v>1</v>
      </c>
      <c r="L424" s="3830" t="str">
        <f t="shared" si="22"/>
        <v>Incremento De Resistencia Mágica+40 RM</v>
      </c>
      <c r="M424" s="219"/>
    </row>
    <row r="425" spans="1:13" ht="12" customHeight="1">
      <c r="A425" s="7172"/>
      <c r="B425" s="7167"/>
      <c r="C425" s="39" t="s">
        <v>8689</v>
      </c>
      <c r="D425" s="76" t="s">
        <v>7072</v>
      </c>
      <c r="E425" s="1035">
        <v>8</v>
      </c>
      <c r="F425" s="1036">
        <v>11</v>
      </c>
      <c r="G425" s="1035">
        <v>20</v>
      </c>
      <c r="H425" s="1035">
        <v>5</v>
      </c>
      <c r="I425" s="1035">
        <v>10</v>
      </c>
      <c r="J425" s="1035">
        <v>18</v>
      </c>
      <c r="K425" s="1035">
        <v>2</v>
      </c>
      <c r="L425" s="3830" t="str">
        <f t="shared" si="22"/>
        <v>Incremento De Resistencia Mágica+50 RM</v>
      </c>
      <c r="M425" s="219"/>
    </row>
    <row r="426" spans="1:13" ht="12" customHeight="1">
      <c r="A426" s="7172"/>
      <c r="B426" s="7167"/>
      <c r="C426" s="39" t="s">
        <v>8689</v>
      </c>
      <c r="D426" s="76" t="s">
        <v>8690</v>
      </c>
      <c r="E426" s="1035">
        <v>10</v>
      </c>
      <c r="F426" s="1036">
        <v>13</v>
      </c>
      <c r="G426" s="1035">
        <v>25</v>
      </c>
      <c r="H426" s="1035">
        <v>6</v>
      </c>
      <c r="I426" s="1035">
        <v>12</v>
      </c>
      <c r="J426" s="1035">
        <v>21</v>
      </c>
      <c r="K426" s="1035">
        <v>2</v>
      </c>
      <c r="L426" s="3830" t="str">
        <f t="shared" si="22"/>
        <v>Incremento De Resistencia Mágica+60 RM</v>
      </c>
      <c r="M426" s="219"/>
    </row>
    <row r="427" spans="1:13" ht="12" customHeight="1">
      <c r="A427" s="7172"/>
      <c r="B427" s="7167"/>
      <c r="C427" s="39" t="s">
        <v>8689</v>
      </c>
      <c r="D427" s="76" t="s">
        <v>8691</v>
      </c>
      <c r="E427" s="1035">
        <v>14</v>
      </c>
      <c r="F427" s="1036">
        <v>18</v>
      </c>
      <c r="G427" s="1035">
        <v>30</v>
      </c>
      <c r="H427" s="1035">
        <v>7</v>
      </c>
      <c r="I427" s="1035">
        <v>14</v>
      </c>
      <c r="J427" s="1035">
        <v>25</v>
      </c>
      <c r="K427" s="1035">
        <v>3</v>
      </c>
      <c r="L427" s="3830" t="str">
        <f t="shared" si="22"/>
        <v>Incremento De Resistencia Mágica+80 RM</v>
      </c>
      <c r="M427" s="219"/>
    </row>
    <row r="428" spans="1:13" ht="12" customHeight="1">
      <c r="A428" s="7172"/>
      <c r="B428" s="7167"/>
      <c r="C428" s="39" t="s">
        <v>8689</v>
      </c>
      <c r="D428" s="76" t="s">
        <v>8692</v>
      </c>
      <c r="E428" s="1035">
        <v>18</v>
      </c>
      <c r="F428" s="1036">
        <v>22</v>
      </c>
      <c r="G428" s="1035">
        <v>40</v>
      </c>
      <c r="H428" s="1035">
        <v>8</v>
      </c>
      <c r="I428" s="1035">
        <v>16</v>
      </c>
      <c r="J428" s="1035">
        <v>28</v>
      </c>
      <c r="K428" s="1035">
        <v>3</v>
      </c>
      <c r="L428" s="3830" t="str">
        <f t="shared" si="22"/>
        <v>Incremento De Resistencia Mágica+100 RM</v>
      </c>
      <c r="M428" s="219"/>
    </row>
    <row r="429" spans="1:13" ht="12" customHeight="1">
      <c r="A429" s="7172"/>
      <c r="B429" s="7167"/>
      <c r="C429" s="39" t="s">
        <v>8693</v>
      </c>
      <c r="D429" s="76"/>
      <c r="E429" s="1035"/>
      <c r="F429" s="1036"/>
      <c r="G429" s="1035"/>
      <c r="H429" s="1035"/>
      <c r="I429" s="1035"/>
      <c r="J429" s="1035"/>
      <c r="K429" s="1035"/>
      <c r="L429" s="3830" t="str">
        <f t="shared" si="22"/>
        <v>&gt; INCREMENTO DE RESISTENCIA PSÍQUICA</v>
      </c>
      <c r="M429" s="219"/>
    </row>
    <row r="430" spans="1:13" ht="12" customHeight="1">
      <c r="A430" s="7172"/>
      <c r="B430" s="7167"/>
      <c r="C430" s="39" t="s">
        <v>8694</v>
      </c>
      <c r="D430" s="76" t="s">
        <v>7063</v>
      </c>
      <c r="E430" s="1035">
        <v>1</v>
      </c>
      <c r="F430" s="1036">
        <v>2</v>
      </c>
      <c r="G430" s="1035">
        <v>5</v>
      </c>
      <c r="H430" s="1035">
        <v>1</v>
      </c>
      <c r="I430" s="1035">
        <v>2</v>
      </c>
      <c r="J430" s="1035">
        <v>4</v>
      </c>
      <c r="K430" s="1035">
        <v>1</v>
      </c>
      <c r="L430" s="3830" t="str">
        <f t="shared" si="22"/>
        <v>Incremento De Resistencia Psíquica+10 RP</v>
      </c>
      <c r="M430" s="219"/>
    </row>
    <row r="431" spans="1:13" ht="12" customHeight="1">
      <c r="A431" s="7172"/>
      <c r="B431" s="7167"/>
      <c r="C431" s="39" t="s">
        <v>8694</v>
      </c>
      <c r="D431" s="76" t="s">
        <v>7064</v>
      </c>
      <c r="E431" s="1035">
        <v>2</v>
      </c>
      <c r="F431" s="1036">
        <v>4</v>
      </c>
      <c r="G431" s="1035">
        <v>5</v>
      </c>
      <c r="H431" s="1035">
        <v>2</v>
      </c>
      <c r="I431" s="1035">
        <v>4</v>
      </c>
      <c r="J431" s="1035">
        <v>7</v>
      </c>
      <c r="K431" s="1035">
        <v>1</v>
      </c>
      <c r="L431" s="3830" t="str">
        <f t="shared" si="22"/>
        <v>Incremento De Resistencia Psíquica+20 RP</v>
      </c>
      <c r="M431" s="219"/>
    </row>
    <row r="432" spans="1:13" ht="12" customHeight="1">
      <c r="A432" s="7172"/>
      <c r="B432" s="7167"/>
      <c r="C432" s="39" t="s">
        <v>8694</v>
      </c>
      <c r="D432" s="76" t="s">
        <v>7065</v>
      </c>
      <c r="E432" s="1035">
        <v>4</v>
      </c>
      <c r="F432" s="1036">
        <v>6</v>
      </c>
      <c r="G432" s="1035">
        <v>10</v>
      </c>
      <c r="H432" s="1035">
        <v>3</v>
      </c>
      <c r="I432" s="1035">
        <v>6</v>
      </c>
      <c r="J432" s="1035">
        <v>11</v>
      </c>
      <c r="K432" s="1035">
        <v>1</v>
      </c>
      <c r="L432" s="3830" t="str">
        <f t="shared" si="22"/>
        <v>Incremento De Resistencia Psíquica+30 RP</v>
      </c>
      <c r="M432" s="219"/>
    </row>
    <row r="433" spans="1:13" ht="12" customHeight="1">
      <c r="A433" s="7172"/>
      <c r="B433" s="7167"/>
      <c r="C433" s="39" t="s">
        <v>8694</v>
      </c>
      <c r="D433" s="76" t="s">
        <v>7066</v>
      </c>
      <c r="E433" s="1035">
        <v>6</v>
      </c>
      <c r="F433" s="1036">
        <v>9</v>
      </c>
      <c r="G433" s="1035">
        <v>15</v>
      </c>
      <c r="H433" s="1035">
        <v>4</v>
      </c>
      <c r="I433" s="1035">
        <v>8</v>
      </c>
      <c r="J433" s="1035">
        <v>14</v>
      </c>
      <c r="K433" s="1035">
        <v>1</v>
      </c>
      <c r="L433" s="3830" t="str">
        <f t="shared" si="22"/>
        <v>Incremento De Resistencia Psíquica+40 RP</v>
      </c>
      <c r="M433" s="219"/>
    </row>
    <row r="434" spans="1:13" ht="12" customHeight="1">
      <c r="A434" s="7172"/>
      <c r="B434" s="7167"/>
      <c r="C434" s="39" t="s">
        <v>8694</v>
      </c>
      <c r="D434" s="76" t="s">
        <v>7067</v>
      </c>
      <c r="E434" s="1035">
        <v>8</v>
      </c>
      <c r="F434" s="1036">
        <v>11</v>
      </c>
      <c r="G434" s="1035">
        <v>20</v>
      </c>
      <c r="H434" s="1035">
        <v>5</v>
      </c>
      <c r="I434" s="1035">
        <v>10</v>
      </c>
      <c r="J434" s="1035">
        <v>18</v>
      </c>
      <c r="K434" s="1035">
        <v>2</v>
      </c>
      <c r="L434" s="3830" t="str">
        <f t="shared" si="22"/>
        <v>Incremento De Resistencia Psíquica+50 RP</v>
      </c>
      <c r="M434" s="219"/>
    </row>
    <row r="435" spans="1:13" ht="12" customHeight="1">
      <c r="A435" s="7172"/>
      <c r="B435" s="7167"/>
      <c r="C435" s="39" t="s">
        <v>8694</v>
      </c>
      <c r="D435" s="76" t="s">
        <v>8695</v>
      </c>
      <c r="E435" s="1035">
        <v>10</v>
      </c>
      <c r="F435" s="1036">
        <v>13</v>
      </c>
      <c r="G435" s="1035">
        <v>25</v>
      </c>
      <c r="H435" s="1035">
        <v>6</v>
      </c>
      <c r="I435" s="1035">
        <v>12</v>
      </c>
      <c r="J435" s="1035">
        <v>21</v>
      </c>
      <c r="K435" s="1035">
        <v>2</v>
      </c>
      <c r="L435" s="3830" t="str">
        <f t="shared" si="22"/>
        <v>Incremento De Resistencia Psíquica+60 RP</v>
      </c>
      <c r="M435" s="219"/>
    </row>
    <row r="436" spans="1:13" ht="12" customHeight="1">
      <c r="A436" s="7172"/>
      <c r="B436" s="7167"/>
      <c r="C436" s="39" t="s">
        <v>8694</v>
      </c>
      <c r="D436" s="76" t="s">
        <v>8696</v>
      </c>
      <c r="E436" s="1035">
        <v>14</v>
      </c>
      <c r="F436" s="1036">
        <v>18</v>
      </c>
      <c r="G436" s="1035">
        <v>30</v>
      </c>
      <c r="H436" s="1035">
        <v>7</v>
      </c>
      <c r="I436" s="1035">
        <v>14</v>
      </c>
      <c r="J436" s="1035">
        <v>25</v>
      </c>
      <c r="K436" s="1035">
        <v>3</v>
      </c>
      <c r="L436" s="3830" t="str">
        <f t="shared" si="22"/>
        <v>Incremento De Resistencia Psíquica+80 RP</v>
      </c>
      <c r="M436" s="219"/>
    </row>
    <row r="437" spans="1:13" ht="12" customHeight="1">
      <c r="A437" s="7172"/>
      <c r="B437" s="7167"/>
      <c r="C437" s="39" t="s">
        <v>8694</v>
      </c>
      <c r="D437" s="76" t="s">
        <v>8697</v>
      </c>
      <c r="E437" s="1035">
        <v>18</v>
      </c>
      <c r="F437" s="1036">
        <v>22</v>
      </c>
      <c r="G437" s="1035">
        <v>40</v>
      </c>
      <c r="H437" s="1035">
        <v>8</v>
      </c>
      <c r="I437" s="1035">
        <v>16</v>
      </c>
      <c r="J437" s="1035">
        <v>28</v>
      </c>
      <c r="K437" s="1035">
        <v>3</v>
      </c>
      <c r="L437" s="3830" t="str">
        <f t="shared" si="22"/>
        <v>Incremento De Resistencia Psíquica+100 RP</v>
      </c>
      <c r="M437" s="219"/>
    </row>
    <row r="438" spans="1:13" ht="12" customHeight="1">
      <c r="A438" s="7172"/>
      <c r="B438" s="7167"/>
      <c r="C438" s="39" t="s">
        <v>8698</v>
      </c>
      <c r="D438" s="76"/>
      <c r="E438" s="1035"/>
      <c r="F438" s="1036"/>
      <c r="G438" s="1035"/>
      <c r="H438" s="1035"/>
      <c r="I438" s="1035"/>
      <c r="J438" s="1035"/>
      <c r="K438" s="1035"/>
      <c r="L438" s="3830" t="str">
        <f t="shared" si="22"/>
        <v>&gt; HABILIDADES PERCEPTIVAS</v>
      </c>
      <c r="M438" s="219"/>
    </row>
    <row r="439" spans="1:13" ht="12" customHeight="1">
      <c r="A439" s="7172"/>
      <c r="B439" s="7167"/>
      <c r="C439" s="39" t="s">
        <v>8494</v>
      </c>
      <c r="D439" s="76" t="s">
        <v>8699</v>
      </c>
      <c r="E439" s="1035">
        <v>2</v>
      </c>
      <c r="F439" s="1036">
        <v>4</v>
      </c>
      <c r="G439" s="1035">
        <v>5</v>
      </c>
      <c r="H439" s="1035">
        <v>1</v>
      </c>
      <c r="I439" s="1035">
        <v>2</v>
      </c>
      <c r="J439" s="1035">
        <v>4</v>
      </c>
      <c r="K439" s="1035">
        <v>1</v>
      </c>
      <c r="L439" s="3830" t="str">
        <f t="shared" si="22"/>
        <v>Habilidades PerceptivasVisión Nocturna</v>
      </c>
      <c r="M439" s="219"/>
    </row>
    <row r="440" spans="1:13" ht="12" customHeight="1">
      <c r="A440" s="7172"/>
      <c r="B440" s="7167"/>
      <c r="C440" s="39" t="s">
        <v>8494</v>
      </c>
      <c r="D440" s="76" t="s">
        <v>8700</v>
      </c>
      <c r="E440" s="1035">
        <v>4</v>
      </c>
      <c r="F440" s="1036">
        <v>6</v>
      </c>
      <c r="G440" s="1035">
        <v>10</v>
      </c>
      <c r="H440" s="1035">
        <v>2</v>
      </c>
      <c r="I440" s="1035">
        <v>4</v>
      </c>
      <c r="J440" s="1035">
        <v>7</v>
      </c>
      <c r="K440" s="1035">
        <v>1</v>
      </c>
      <c r="L440" s="3830" t="str">
        <f t="shared" si="22"/>
        <v>Habilidades PerceptivasVisión Radial</v>
      </c>
      <c r="M440" s="219"/>
    </row>
    <row r="441" spans="1:13" ht="12" customHeight="1">
      <c r="A441" s="7172"/>
      <c r="B441" s="7167"/>
      <c r="C441" s="39" t="s">
        <v>8494</v>
      </c>
      <c r="D441" s="76" t="s">
        <v>8701</v>
      </c>
      <c r="E441" s="1035">
        <v>3</v>
      </c>
      <c r="F441" s="1036">
        <v>5</v>
      </c>
      <c r="G441" s="1035">
        <v>5</v>
      </c>
      <c r="H441" s="1035">
        <v>1</v>
      </c>
      <c r="I441" s="1035">
        <v>2</v>
      </c>
      <c r="J441" s="1035">
        <v>4</v>
      </c>
      <c r="K441" s="1035">
        <v>1</v>
      </c>
      <c r="L441" s="3830" t="str">
        <f t="shared" si="22"/>
        <v>Habilidades PerceptivasVisión Espiritual</v>
      </c>
      <c r="M441" s="219"/>
    </row>
    <row r="442" spans="1:13" ht="12" customHeight="1">
      <c r="A442" s="7172"/>
      <c r="B442" s="7167"/>
      <c r="C442" s="39" t="s">
        <v>8494</v>
      </c>
      <c r="D442" s="76" t="s">
        <v>8702</v>
      </c>
      <c r="E442" s="1035">
        <v>3</v>
      </c>
      <c r="F442" s="1036">
        <v>5</v>
      </c>
      <c r="G442" s="1035">
        <v>5</v>
      </c>
      <c r="H442" s="1035">
        <v>1</v>
      </c>
      <c r="I442" s="1035">
        <v>2</v>
      </c>
      <c r="J442" s="1035">
        <v>4</v>
      </c>
      <c r="K442" s="1035">
        <v>1</v>
      </c>
      <c r="L442" s="3830" t="str">
        <f t="shared" si="22"/>
        <v>Habilidades PerceptivasVisión de Magia</v>
      </c>
      <c r="M442" s="219"/>
    </row>
    <row r="443" spans="1:13" ht="12" customHeight="1">
      <c r="A443" s="7172"/>
      <c r="B443" s="7167"/>
      <c r="C443" s="39" t="s">
        <v>8494</v>
      </c>
      <c r="D443" s="76" t="s">
        <v>8703</v>
      </c>
      <c r="E443" s="1035">
        <v>3</v>
      </c>
      <c r="F443" s="1036">
        <v>5</v>
      </c>
      <c r="G443" s="1035">
        <v>5</v>
      </c>
      <c r="H443" s="1035">
        <v>1</v>
      </c>
      <c r="I443" s="1035">
        <v>2</v>
      </c>
      <c r="J443" s="1035">
        <v>4</v>
      </c>
      <c r="K443" s="1035">
        <v>1</v>
      </c>
      <c r="L443" s="3830" t="str">
        <f t="shared" si="22"/>
        <v>Habilidades PerceptivasVisión de Matrices</v>
      </c>
      <c r="M443" s="219"/>
    </row>
    <row r="444" spans="1:13" ht="12" customHeight="1">
      <c r="A444" s="7172"/>
      <c r="B444" s="7167"/>
      <c r="C444" s="39" t="s">
        <v>8494</v>
      </c>
      <c r="D444" s="76" t="s">
        <v>8704</v>
      </c>
      <c r="E444" s="1035">
        <v>5</v>
      </c>
      <c r="F444" s="1036">
        <v>8</v>
      </c>
      <c r="G444" s="1035">
        <v>15</v>
      </c>
      <c r="H444" s="1035">
        <v>2</v>
      </c>
      <c r="I444" s="1035">
        <v>4</v>
      </c>
      <c r="J444" s="1035">
        <v>7</v>
      </c>
      <c r="K444" s="1035">
        <v>1</v>
      </c>
      <c r="L444" s="3830" t="str">
        <f t="shared" si="22"/>
        <v>Habilidades PerceptivasVer lo Sobrenatural</v>
      </c>
      <c r="M444" s="219"/>
    </row>
    <row r="445" spans="1:13" ht="12" customHeight="1">
      <c r="A445" s="7172"/>
      <c r="B445" s="7167"/>
      <c r="C445" s="39" t="s">
        <v>8494</v>
      </c>
      <c r="D445" s="76" t="s">
        <v>8705</v>
      </c>
      <c r="E445" s="1035">
        <v>8</v>
      </c>
      <c r="F445" s="1036">
        <v>11</v>
      </c>
      <c r="G445" s="1035">
        <v>25</v>
      </c>
      <c r="H445" s="1035">
        <v>2</v>
      </c>
      <c r="I445" s="1035">
        <v>4</v>
      </c>
      <c r="J445" s="1035">
        <v>7</v>
      </c>
      <c r="K445" s="1035">
        <v>2</v>
      </c>
      <c r="L445" s="3830" t="str">
        <f t="shared" si="22"/>
        <v>Habilidades PerceptivasVer Realmente</v>
      </c>
      <c r="M445" s="219"/>
    </row>
    <row r="446" spans="1:13" ht="12" customHeight="1">
      <c r="A446" s="7172"/>
      <c r="B446" s="7167"/>
      <c r="C446" s="39" t="s">
        <v>2749</v>
      </c>
      <c r="D446" s="76"/>
      <c r="E446" s="1035"/>
      <c r="F446" s="1036"/>
      <c r="G446" s="1035"/>
      <c r="H446" s="1035"/>
      <c r="I446" s="1035"/>
      <c r="J446" s="1035"/>
      <c r="K446" s="1035"/>
      <c r="L446" s="3830" t="str">
        <f t="shared" si="22"/>
        <v>&gt;&gt;EFECTOS VARIADOS</v>
      </c>
      <c r="M446" s="219"/>
    </row>
    <row r="447" spans="1:13" ht="12" customHeight="1">
      <c r="A447" s="7172"/>
      <c r="B447" s="7167"/>
      <c r="C447" s="39" t="s">
        <v>8706</v>
      </c>
      <c r="D447" s="76"/>
      <c r="E447" s="1035"/>
      <c r="F447" s="1036"/>
      <c r="G447" s="1035"/>
      <c r="H447" s="1035"/>
      <c r="I447" s="1035"/>
      <c r="J447" s="1035"/>
      <c r="K447" s="1035"/>
      <c r="L447" s="3830" t="str">
        <f t="shared" si="22"/>
        <v>&gt; ATAQUE CAPAZ DE DAÑAR ENERGÍA</v>
      </c>
      <c r="M447" s="219"/>
    </row>
    <row r="448" spans="1:13" ht="12" customHeight="1">
      <c r="A448" s="7172"/>
      <c r="B448" s="7167"/>
      <c r="C448" s="39" t="s">
        <v>8707</v>
      </c>
      <c r="D448" s="76"/>
      <c r="E448" s="1035">
        <v>1</v>
      </c>
      <c r="F448" s="1036">
        <v>2</v>
      </c>
      <c r="G448" s="1035">
        <v>5</v>
      </c>
      <c r="H448" s="1035">
        <v>1</v>
      </c>
      <c r="I448" s="1035">
        <v>2</v>
      </c>
      <c r="J448" s="1035">
        <v>4</v>
      </c>
      <c r="K448" s="1035">
        <v>1</v>
      </c>
      <c r="L448" s="3830" t="str">
        <f t="shared" si="22"/>
        <v>Ataque Capaz De Dañar Energía</v>
      </c>
      <c r="M448" s="219"/>
    </row>
    <row r="449" spans="1:13" ht="12" customHeight="1">
      <c r="A449" s="7172"/>
      <c r="B449" s="7167"/>
      <c r="C449" s="39" t="s">
        <v>8708</v>
      </c>
      <c r="D449" s="76"/>
      <c r="E449" s="1035"/>
      <c r="F449" s="1036"/>
      <c r="G449" s="1035"/>
      <c r="H449" s="1035"/>
      <c r="I449" s="1035"/>
      <c r="J449" s="1035"/>
      <c r="K449" s="1035"/>
      <c r="L449" s="3830" t="str">
        <f t="shared" si="22"/>
        <v>&gt; ATAQUE ELEMENTAL</v>
      </c>
      <c r="M449" s="219"/>
    </row>
    <row r="450" spans="1:13" ht="12" customHeight="1">
      <c r="A450" s="7172"/>
      <c r="B450" s="7167"/>
      <c r="C450" s="39" t="s">
        <v>8498</v>
      </c>
      <c r="D450" s="76" t="s">
        <v>1461</v>
      </c>
      <c r="E450" s="1035">
        <v>2</v>
      </c>
      <c r="F450" s="1036">
        <v>4</v>
      </c>
      <c r="G450" s="1035">
        <v>5</v>
      </c>
      <c r="H450" s="1035">
        <v>1</v>
      </c>
      <c r="I450" s="1035">
        <v>2</v>
      </c>
      <c r="J450" s="1035">
        <v>4</v>
      </c>
      <c r="K450" s="1035">
        <v>1</v>
      </c>
      <c r="L450" s="3830" t="str">
        <f t="shared" si="22"/>
        <v>Ataque ElementalAire</v>
      </c>
      <c r="M450" s="219"/>
    </row>
    <row r="451" spans="1:13" ht="12" customHeight="1">
      <c r="A451" s="7172"/>
      <c r="B451" s="7167"/>
      <c r="C451" s="39" t="s">
        <v>8498</v>
      </c>
      <c r="D451" s="76" t="s">
        <v>1464</v>
      </c>
      <c r="E451" s="1035">
        <v>2</v>
      </c>
      <c r="F451" s="1036">
        <v>4</v>
      </c>
      <c r="G451" s="1035">
        <v>5</v>
      </c>
      <c r="H451" s="1035">
        <v>1</v>
      </c>
      <c r="I451" s="1035">
        <v>2</v>
      </c>
      <c r="J451" s="1035">
        <v>4</v>
      </c>
      <c r="K451" s="1035">
        <v>1</v>
      </c>
      <c r="L451" s="3830" t="str">
        <f t="shared" si="22"/>
        <v>Ataque ElementalAgua</v>
      </c>
      <c r="M451" s="219"/>
    </row>
    <row r="452" spans="1:13" ht="12" customHeight="1">
      <c r="A452" s="7172"/>
      <c r="B452" s="7167"/>
      <c r="C452" s="39" t="s">
        <v>8498</v>
      </c>
      <c r="D452" s="76" t="s">
        <v>1468</v>
      </c>
      <c r="E452" s="1035">
        <v>2</v>
      </c>
      <c r="F452" s="1036">
        <v>4</v>
      </c>
      <c r="G452" s="1035">
        <v>5</v>
      </c>
      <c r="H452" s="1035">
        <v>1</v>
      </c>
      <c r="I452" s="1035">
        <v>2</v>
      </c>
      <c r="J452" s="1035">
        <v>4</v>
      </c>
      <c r="K452" s="1035">
        <v>1</v>
      </c>
      <c r="L452" s="3830" t="str">
        <f t="shared" si="22"/>
        <v>Ataque ElementalFuego</v>
      </c>
      <c r="M452" s="219"/>
    </row>
    <row r="453" spans="1:13" ht="12" customHeight="1">
      <c r="A453" s="7172"/>
      <c r="B453" s="7167"/>
      <c r="C453" s="39" t="s">
        <v>8498</v>
      </c>
      <c r="D453" s="76" t="s">
        <v>1558</v>
      </c>
      <c r="E453" s="1035">
        <v>2</v>
      </c>
      <c r="F453" s="1036">
        <v>4</v>
      </c>
      <c r="G453" s="1035">
        <v>5</v>
      </c>
      <c r="H453" s="1035">
        <v>1</v>
      </c>
      <c r="I453" s="1035">
        <v>2</v>
      </c>
      <c r="J453" s="1035">
        <v>4</v>
      </c>
      <c r="K453" s="1035">
        <v>1</v>
      </c>
      <c r="L453" s="3830" t="str">
        <f t="shared" si="22"/>
        <v>Ataque ElementalTierra</v>
      </c>
      <c r="M453" s="219"/>
    </row>
    <row r="454" spans="1:13" ht="12" customHeight="1">
      <c r="A454" s="7172"/>
      <c r="B454" s="7167"/>
      <c r="C454" s="39" t="s">
        <v>8498</v>
      </c>
      <c r="D454" s="76" t="s">
        <v>1553</v>
      </c>
      <c r="E454" s="1035">
        <v>2</v>
      </c>
      <c r="F454" s="1036">
        <v>4</v>
      </c>
      <c r="G454" s="1035">
        <v>5</v>
      </c>
      <c r="H454" s="1035">
        <v>1</v>
      </c>
      <c r="I454" s="1035">
        <v>2</v>
      </c>
      <c r="J454" s="1035">
        <v>4</v>
      </c>
      <c r="K454" s="1035">
        <v>1</v>
      </c>
      <c r="L454" s="3830" t="str">
        <f t="shared" si="22"/>
        <v>Ataque ElementalLuz</v>
      </c>
      <c r="M454" s="219"/>
    </row>
    <row r="455" spans="1:13" ht="12" customHeight="1">
      <c r="A455" s="7172"/>
      <c r="B455" s="7167"/>
      <c r="C455" s="39" t="s">
        <v>8498</v>
      </c>
      <c r="D455" s="76" t="s">
        <v>1554</v>
      </c>
      <c r="E455" s="1035">
        <v>2</v>
      </c>
      <c r="F455" s="1036">
        <v>4</v>
      </c>
      <c r="G455" s="1035">
        <v>5</v>
      </c>
      <c r="H455" s="1035">
        <v>1</v>
      </c>
      <c r="I455" s="1035">
        <v>2</v>
      </c>
      <c r="J455" s="1035">
        <v>4</v>
      </c>
      <c r="K455" s="1035">
        <v>1</v>
      </c>
      <c r="L455" s="3830" t="str">
        <f t="shared" si="22"/>
        <v>Ataque ElementalOscuridad</v>
      </c>
      <c r="M455" s="219"/>
    </row>
    <row r="456" spans="1:13" ht="12" customHeight="1">
      <c r="A456" s="7172"/>
      <c r="B456" s="7167"/>
      <c r="C456" s="39" t="s">
        <v>8709</v>
      </c>
      <c r="D456" s="76"/>
      <c r="E456" s="1035"/>
      <c r="F456" s="1036"/>
      <c r="G456" s="1035"/>
      <c r="H456" s="1035"/>
      <c r="I456" s="1035"/>
      <c r="J456" s="1035"/>
      <c r="K456" s="1035"/>
      <c r="L456" s="3830" t="str">
        <f t="shared" si="22"/>
        <v>&gt; ARMAS FÍSICAS DE KI</v>
      </c>
      <c r="M456" s="219"/>
    </row>
    <row r="457" spans="1:13" ht="12" customHeight="1">
      <c r="A457" s="7172"/>
      <c r="B457" s="7167"/>
      <c r="C457" s="39" t="s">
        <v>8710</v>
      </c>
      <c r="D457" s="76" t="s">
        <v>6458</v>
      </c>
      <c r="E457" s="1035">
        <v>2</v>
      </c>
      <c r="F457" s="1036">
        <v>4</v>
      </c>
      <c r="G457" s="1035">
        <v>5</v>
      </c>
      <c r="H457" s="1035">
        <v>1</v>
      </c>
      <c r="I457" s="1035">
        <v>2</v>
      </c>
      <c r="J457" s="1035">
        <v>4</v>
      </c>
      <c r="K457" s="1035">
        <v>1</v>
      </c>
      <c r="L457" s="3830" t="str">
        <f t="shared" si="22"/>
        <v>Armas Físicas De Ki+0</v>
      </c>
      <c r="M457" s="219"/>
    </row>
    <row r="458" spans="1:13" ht="12" customHeight="1">
      <c r="A458" s="7172"/>
      <c r="B458" s="7167"/>
      <c r="C458" s="39" t="s">
        <v>8710</v>
      </c>
      <c r="D458" s="76" t="s">
        <v>6459</v>
      </c>
      <c r="E458" s="1035">
        <v>4</v>
      </c>
      <c r="F458" s="1036">
        <v>6</v>
      </c>
      <c r="G458" s="1035">
        <v>5</v>
      </c>
      <c r="H458" s="1035">
        <v>1</v>
      </c>
      <c r="I458" s="1035">
        <v>2</v>
      </c>
      <c r="J458" s="1035">
        <v>4</v>
      </c>
      <c r="K458" s="1035">
        <v>1</v>
      </c>
      <c r="L458" s="3830" t="str">
        <f t="shared" si="22"/>
        <v>Armas Físicas De Ki+5</v>
      </c>
      <c r="M458" s="219"/>
    </row>
    <row r="459" spans="1:13" ht="12" customHeight="1">
      <c r="A459" s="7172"/>
      <c r="B459" s="7167"/>
      <c r="C459" s="39" t="s">
        <v>8710</v>
      </c>
      <c r="D459" s="76" t="s">
        <v>7056</v>
      </c>
      <c r="E459" s="1035">
        <v>6</v>
      </c>
      <c r="F459" s="1036">
        <v>9</v>
      </c>
      <c r="G459" s="1035">
        <v>10</v>
      </c>
      <c r="H459" s="1035">
        <v>2</v>
      </c>
      <c r="I459" s="1035">
        <v>4</v>
      </c>
      <c r="J459" s="1035">
        <v>7</v>
      </c>
      <c r="K459" s="1035">
        <v>1</v>
      </c>
      <c r="L459" s="3830" t="str">
        <f t="shared" si="22"/>
        <v>Armas Físicas De Ki+10</v>
      </c>
      <c r="M459" s="219"/>
    </row>
    <row r="460" spans="1:13" ht="12" customHeight="1">
      <c r="A460" s="7172"/>
      <c r="B460" s="7167"/>
      <c r="C460" s="39" t="s">
        <v>8710</v>
      </c>
      <c r="D460" s="76" t="s">
        <v>7199</v>
      </c>
      <c r="E460" s="1035">
        <v>8</v>
      </c>
      <c r="F460" s="1036">
        <v>11</v>
      </c>
      <c r="G460" s="1035">
        <v>15</v>
      </c>
      <c r="H460" s="1035">
        <v>3</v>
      </c>
      <c r="I460" s="1035">
        <v>6</v>
      </c>
      <c r="J460" s="1035">
        <v>11</v>
      </c>
      <c r="K460" s="1035">
        <v>2</v>
      </c>
      <c r="L460" s="3830" t="str">
        <f t="shared" si="22"/>
        <v>Armas Físicas De Ki+15</v>
      </c>
      <c r="M460" s="219"/>
    </row>
    <row r="461" spans="1:13" ht="12" customHeight="1">
      <c r="A461" s="7172"/>
      <c r="B461" s="7167"/>
      <c r="C461" s="39" t="s">
        <v>8710</v>
      </c>
      <c r="D461" s="76" t="s">
        <v>2537</v>
      </c>
      <c r="E461" s="1035">
        <v>10</v>
      </c>
      <c r="F461" s="1036">
        <v>13</v>
      </c>
      <c r="G461" s="1035">
        <v>20</v>
      </c>
      <c r="H461" s="1035">
        <v>4</v>
      </c>
      <c r="I461" s="1035">
        <v>8</v>
      </c>
      <c r="J461" s="1035">
        <v>14</v>
      </c>
      <c r="K461" s="1035">
        <v>3</v>
      </c>
      <c r="L461" s="3830" t="str">
        <f t="shared" si="22"/>
        <v>Armas Físicas De Ki+20</v>
      </c>
      <c r="M461" s="219"/>
    </row>
    <row r="462" spans="1:13" ht="12" customHeight="1">
      <c r="A462" s="7172"/>
      <c r="B462" s="7167"/>
      <c r="C462" s="39" t="s">
        <v>8710</v>
      </c>
      <c r="D462" s="76" t="s">
        <v>2981</v>
      </c>
      <c r="E462" s="1035">
        <v>2</v>
      </c>
      <c r="F462" s="1036">
        <v>2</v>
      </c>
      <c r="G462" s="1035">
        <v>10</v>
      </c>
      <c r="H462" s="1035">
        <v>1</v>
      </c>
      <c r="I462" s="1035">
        <v>2</v>
      </c>
      <c r="J462" s="1035">
        <v>4</v>
      </c>
      <c r="K462" s="1035"/>
      <c r="L462" s="3830" t="str">
        <f t="shared" si="22"/>
        <v>Armas Físicas De KiArma de Proyectil</v>
      </c>
      <c r="M462" s="219"/>
    </row>
    <row r="463" spans="1:13" ht="12" customHeight="1">
      <c r="A463" s="7172"/>
      <c r="B463" s="7167"/>
      <c r="C463" s="39" t="s">
        <v>8710</v>
      </c>
      <c r="D463" s="76" t="s">
        <v>2982</v>
      </c>
      <c r="E463" s="1035">
        <v>1</v>
      </c>
      <c r="F463" s="1036">
        <v>1</v>
      </c>
      <c r="G463" s="1035">
        <v>5</v>
      </c>
      <c r="H463" s="1035">
        <v>1</v>
      </c>
      <c r="I463" s="1035">
        <v>2</v>
      </c>
      <c r="J463" s="1035">
        <v>4</v>
      </c>
      <c r="K463" s="1035"/>
      <c r="L463" s="3830" t="str">
        <f t="shared" si="22"/>
        <v>Armas Físicas De Ki1 Arma Adicional</v>
      </c>
      <c r="M463" s="219"/>
    </row>
    <row r="464" spans="1:13" ht="12" customHeight="1">
      <c r="A464" s="7172"/>
      <c r="B464" s="7167"/>
      <c r="C464" s="39" t="s">
        <v>8710</v>
      </c>
      <c r="D464" s="76" t="s">
        <v>2983</v>
      </c>
      <c r="E464" s="1035">
        <v>2</v>
      </c>
      <c r="F464" s="1036">
        <v>2</v>
      </c>
      <c r="G464" s="1035">
        <v>10</v>
      </c>
      <c r="H464" s="1035">
        <v>2</v>
      </c>
      <c r="I464" s="1035">
        <v>4</v>
      </c>
      <c r="J464" s="1035">
        <v>7</v>
      </c>
      <c r="K464" s="1035"/>
      <c r="L464" s="3830" t="str">
        <f t="shared" si="22"/>
        <v>Armas Físicas De KiDe 2 a 3 Armas Adicionales</v>
      </c>
      <c r="M464" s="219"/>
    </row>
    <row r="465" spans="1:13" ht="12" customHeight="1">
      <c r="A465" s="7172"/>
      <c r="B465" s="7167"/>
      <c r="C465" s="39" t="s">
        <v>8710</v>
      </c>
      <c r="D465" s="76" t="s">
        <v>2984</v>
      </c>
      <c r="E465" s="1035">
        <v>4</v>
      </c>
      <c r="F465" s="1036">
        <v>4</v>
      </c>
      <c r="G465" s="1035">
        <v>15</v>
      </c>
      <c r="H465" s="1035">
        <v>3</v>
      </c>
      <c r="I465" s="1035">
        <v>6</v>
      </c>
      <c r="J465" s="1035">
        <v>11</v>
      </c>
      <c r="K465" s="1035"/>
      <c r="L465" s="3830" t="str">
        <f t="shared" si="22"/>
        <v>Armas Físicas De KiDe 4 a 10 Armas Adicionales</v>
      </c>
      <c r="M465" s="219"/>
    </row>
    <row r="466" spans="1:13" ht="12" customHeight="1">
      <c r="A466" s="7172"/>
      <c r="B466" s="7167"/>
      <c r="C466" s="39" t="s">
        <v>8710</v>
      </c>
      <c r="D466" s="76" t="s">
        <v>2985</v>
      </c>
      <c r="E466" s="1035">
        <v>6</v>
      </c>
      <c r="F466" s="1036">
        <v>6</v>
      </c>
      <c r="G466" s="1035">
        <v>20</v>
      </c>
      <c r="H466" s="1035">
        <v>4</v>
      </c>
      <c r="I466" s="1035">
        <v>8</v>
      </c>
      <c r="J466" s="1035">
        <v>14</v>
      </c>
      <c r="K466" s="1035"/>
      <c r="L466" s="3830" t="str">
        <f t="shared" si="22"/>
        <v>Armas Físicas De KiArmas Adicionales Ilimitadas</v>
      </c>
      <c r="M466" s="219"/>
    </row>
    <row r="467" spans="1:13" ht="12" customHeight="1">
      <c r="A467" s="7172"/>
      <c r="B467" s="7167"/>
      <c r="C467" s="39" t="s">
        <v>8711</v>
      </c>
      <c r="D467" s="76"/>
      <c r="E467" s="1035"/>
      <c r="F467" s="1036"/>
      <c r="G467" s="1035"/>
      <c r="H467" s="1035"/>
      <c r="I467" s="1035"/>
      <c r="J467" s="1035"/>
      <c r="K467" s="1035"/>
      <c r="L467" s="3830" t="str">
        <f t="shared" si="22"/>
        <v>&gt; ATAQUE SOBRENATURAL</v>
      </c>
      <c r="M467" s="219"/>
    </row>
    <row r="468" spans="1:13" ht="12" customHeight="1">
      <c r="A468" s="7172"/>
      <c r="B468" s="7167"/>
      <c r="C468" s="39" t="s">
        <v>2986</v>
      </c>
      <c r="D468" s="76"/>
      <c r="E468" s="1035">
        <v>5</v>
      </c>
      <c r="F468" s="1036">
        <v>8</v>
      </c>
      <c r="G468" s="1035">
        <v>10</v>
      </c>
      <c r="H468" s="1035">
        <v>1</v>
      </c>
      <c r="I468" s="1035">
        <v>2</v>
      </c>
      <c r="J468" s="1035">
        <v>4</v>
      </c>
      <c r="K468" s="1035">
        <v>1</v>
      </c>
      <c r="L468" s="3830" t="str">
        <f t="shared" si="22"/>
        <v>Ataque Sobrenatural</v>
      </c>
      <c r="M468" s="219"/>
    </row>
    <row r="469" spans="1:13" ht="12" customHeight="1">
      <c r="A469" s="7172"/>
      <c r="B469" s="7167"/>
      <c r="C469" s="39" t="s">
        <v>8712</v>
      </c>
      <c r="D469" s="76"/>
      <c r="E469" s="1035"/>
      <c r="F469" s="1036"/>
      <c r="G469" s="1035"/>
      <c r="H469" s="1035"/>
      <c r="I469" s="1035"/>
      <c r="J469" s="1035"/>
      <c r="K469" s="1035"/>
      <c r="L469" s="3830" t="str">
        <f t="shared" si="22"/>
        <v>&gt; ABSORCIÓN DE KI</v>
      </c>
      <c r="M469" s="219"/>
    </row>
    <row r="470" spans="1:13" ht="12" customHeight="1">
      <c r="A470" s="7172"/>
      <c r="B470" s="7167"/>
      <c r="C470" s="3831" t="s">
        <v>8713</v>
      </c>
      <c r="D470" s="3832" t="s">
        <v>8714</v>
      </c>
      <c r="E470" s="3833">
        <v>1</v>
      </c>
      <c r="F470" s="3834">
        <v>2</v>
      </c>
      <c r="G470" s="3833">
        <v>5</v>
      </c>
      <c r="H470" s="3833">
        <v>1</v>
      </c>
      <c r="I470" s="3833">
        <v>2</v>
      </c>
      <c r="J470" s="3833">
        <v>4</v>
      </c>
      <c r="K470" s="3833">
        <v>1</v>
      </c>
      <c r="L470" s="3835" t="str">
        <f t="shared" ref="L470:L533" si="23">C470&amp;D470</f>
        <v>Absorción De KiHasta 5 Ki</v>
      </c>
      <c r="M470" s="219"/>
    </row>
    <row r="471" spans="1:13" ht="12" customHeight="1">
      <c r="A471" s="7172"/>
      <c r="B471" s="7167"/>
      <c r="C471" s="3831" t="s">
        <v>8713</v>
      </c>
      <c r="D471" s="3832" t="s">
        <v>8715</v>
      </c>
      <c r="E471" s="3833">
        <v>2</v>
      </c>
      <c r="F471" s="3834">
        <v>4</v>
      </c>
      <c r="G471" s="3833">
        <v>10</v>
      </c>
      <c r="H471" s="3833">
        <v>2</v>
      </c>
      <c r="I471" s="3833">
        <v>4</v>
      </c>
      <c r="J471" s="3833">
        <v>7</v>
      </c>
      <c r="K471" s="3833">
        <v>1</v>
      </c>
      <c r="L471" s="3835" t="str">
        <f t="shared" si="23"/>
        <v>Absorción De KiHasta 10 Ki</v>
      </c>
      <c r="M471" s="219"/>
    </row>
    <row r="472" spans="1:13" ht="12" customHeight="1">
      <c r="A472" s="7172"/>
      <c r="B472" s="7167"/>
      <c r="C472" s="3831" t="s">
        <v>8713</v>
      </c>
      <c r="D472" s="3832" t="s">
        <v>8716</v>
      </c>
      <c r="E472" s="3833">
        <v>4</v>
      </c>
      <c r="F472" s="3834">
        <v>6</v>
      </c>
      <c r="G472" s="3833">
        <v>15</v>
      </c>
      <c r="H472" s="3833">
        <v>3</v>
      </c>
      <c r="I472" s="3833">
        <v>6</v>
      </c>
      <c r="J472" s="3833">
        <v>11</v>
      </c>
      <c r="K472" s="3833">
        <v>2</v>
      </c>
      <c r="L472" s="3835" t="str">
        <f t="shared" si="23"/>
        <v>Absorción De KiHasta 15 Ki</v>
      </c>
      <c r="M472" s="219"/>
    </row>
    <row r="473" spans="1:13" ht="12" customHeight="1">
      <c r="A473" s="7172"/>
      <c r="B473" s="7167"/>
      <c r="C473" s="3831" t="s">
        <v>8713</v>
      </c>
      <c r="D473" s="3832" t="s">
        <v>8717</v>
      </c>
      <c r="E473" s="3833">
        <v>6</v>
      </c>
      <c r="F473" s="3834">
        <v>9</v>
      </c>
      <c r="G473" s="3833">
        <v>20</v>
      </c>
      <c r="H473" s="3833">
        <v>4</v>
      </c>
      <c r="I473" s="3833">
        <v>8</v>
      </c>
      <c r="J473" s="3833">
        <v>14</v>
      </c>
      <c r="K473" s="3833">
        <v>2</v>
      </c>
      <c r="L473" s="3835" t="str">
        <f t="shared" si="23"/>
        <v>Absorción De KiHasta 20 Ki</v>
      </c>
      <c r="M473" s="219"/>
    </row>
    <row r="474" spans="1:13" ht="12" customHeight="1">
      <c r="A474" s="7172"/>
      <c r="B474" s="7167"/>
      <c r="C474" s="3831" t="s">
        <v>8713</v>
      </c>
      <c r="D474" s="3832" t="s">
        <v>8718</v>
      </c>
      <c r="E474" s="3833">
        <v>8</v>
      </c>
      <c r="F474" s="3834">
        <v>11</v>
      </c>
      <c r="G474" s="3833">
        <v>25</v>
      </c>
      <c r="H474" s="3833">
        <v>6</v>
      </c>
      <c r="I474" s="3833">
        <v>12</v>
      </c>
      <c r="J474" s="3833">
        <v>21</v>
      </c>
      <c r="K474" s="3833">
        <v>2</v>
      </c>
      <c r="L474" s="3835" t="str">
        <f t="shared" si="23"/>
        <v>Absorción De KiHasta 25 Ki</v>
      </c>
      <c r="M474" s="219"/>
    </row>
    <row r="475" spans="1:13" ht="12" customHeight="1">
      <c r="A475" s="7172"/>
      <c r="B475" s="7167"/>
      <c r="C475" s="3831" t="s">
        <v>8713</v>
      </c>
      <c r="D475" s="3832" t="s">
        <v>4965</v>
      </c>
      <c r="E475" s="3833">
        <v>10</v>
      </c>
      <c r="F475" s="3834">
        <v>13</v>
      </c>
      <c r="G475" s="3833">
        <v>30</v>
      </c>
      <c r="H475" s="3833">
        <v>8</v>
      </c>
      <c r="I475" s="3833">
        <v>16</v>
      </c>
      <c r="J475" s="3833">
        <v>28</v>
      </c>
      <c r="K475" s="3833">
        <v>3</v>
      </c>
      <c r="L475" s="3835" t="str">
        <f t="shared" si="23"/>
        <v>Absorción De KiSin Límite</v>
      </c>
      <c r="M475" s="219"/>
    </row>
    <row r="476" spans="1:13" ht="12" customHeight="1">
      <c r="A476" s="7172"/>
      <c r="B476" s="7167"/>
      <c r="C476" s="39" t="s">
        <v>8719</v>
      </c>
      <c r="D476" s="76"/>
      <c r="E476" s="1035"/>
      <c r="F476" s="1036"/>
      <c r="G476" s="1035"/>
      <c r="H476" s="1035"/>
      <c r="I476" s="1035"/>
      <c r="J476" s="1035"/>
      <c r="K476" s="1035"/>
      <c r="L476" s="3830" t="str">
        <f t="shared" si="23"/>
        <v>&gt; APRESAMIENTO</v>
      </c>
      <c r="M476" s="219"/>
    </row>
    <row r="477" spans="1:13" ht="12" customHeight="1">
      <c r="A477" s="7172"/>
      <c r="B477" s="7167"/>
      <c r="C477" s="39" t="s">
        <v>2761</v>
      </c>
      <c r="D477" s="76" t="s">
        <v>8777</v>
      </c>
      <c r="E477" s="1035">
        <v>2</v>
      </c>
      <c r="F477" s="1036">
        <v>4</v>
      </c>
      <c r="G477" s="1035">
        <v>5</v>
      </c>
      <c r="H477" s="1035">
        <v>1</v>
      </c>
      <c r="I477" s="1035">
        <v>2</v>
      </c>
      <c r="J477" s="1035">
        <v>4</v>
      </c>
      <c r="K477" s="1035">
        <v>1</v>
      </c>
      <c r="L477" s="3830" t="str">
        <f t="shared" si="23"/>
        <v>ApresamientoFUE 4</v>
      </c>
      <c r="M477" s="219"/>
    </row>
    <row r="478" spans="1:13" ht="12" customHeight="1">
      <c r="A478" s="7172"/>
      <c r="B478" s="7167"/>
      <c r="C478" s="39" t="s">
        <v>2761</v>
      </c>
      <c r="D478" s="76" t="s">
        <v>8778</v>
      </c>
      <c r="E478" s="1035">
        <v>3</v>
      </c>
      <c r="F478" s="1036">
        <v>5</v>
      </c>
      <c r="G478" s="1035">
        <v>10</v>
      </c>
      <c r="H478" s="1035">
        <v>2</v>
      </c>
      <c r="I478" s="1035">
        <v>4</v>
      </c>
      <c r="J478" s="1035">
        <v>7</v>
      </c>
      <c r="K478" s="1035">
        <v>1</v>
      </c>
      <c r="L478" s="3830" t="str">
        <f t="shared" si="23"/>
        <v>ApresamientoFUE 6</v>
      </c>
      <c r="M478" s="219"/>
    </row>
    <row r="479" spans="1:13" ht="12" customHeight="1">
      <c r="A479" s="7172"/>
      <c r="B479" s="7167"/>
      <c r="C479" s="39" t="s">
        <v>2761</v>
      </c>
      <c r="D479" s="76" t="s">
        <v>8779</v>
      </c>
      <c r="E479" s="1035">
        <v>4</v>
      </c>
      <c r="F479" s="1036">
        <v>6</v>
      </c>
      <c r="G479" s="1035">
        <v>10</v>
      </c>
      <c r="H479" s="1035">
        <v>3</v>
      </c>
      <c r="I479" s="1035">
        <v>6</v>
      </c>
      <c r="J479" s="1035">
        <v>11</v>
      </c>
      <c r="K479" s="1035">
        <v>1</v>
      </c>
      <c r="L479" s="3830" t="str">
        <f t="shared" si="23"/>
        <v>ApresamientoFUE 8</v>
      </c>
      <c r="M479" s="219"/>
    </row>
    <row r="480" spans="1:13" ht="12" customHeight="1">
      <c r="A480" s="7172"/>
      <c r="B480" s="7167"/>
      <c r="C480" s="39" t="s">
        <v>2761</v>
      </c>
      <c r="D480" s="76" t="s">
        <v>8780</v>
      </c>
      <c r="E480" s="1035">
        <v>5</v>
      </c>
      <c r="F480" s="1036">
        <v>8</v>
      </c>
      <c r="G480" s="1035">
        <v>15</v>
      </c>
      <c r="H480" s="1035">
        <v>4</v>
      </c>
      <c r="I480" s="1035">
        <v>8</v>
      </c>
      <c r="J480" s="1035">
        <v>14</v>
      </c>
      <c r="K480" s="1035">
        <v>1</v>
      </c>
      <c r="L480" s="3830" t="str">
        <f t="shared" si="23"/>
        <v>ApresamientoFUE 10</v>
      </c>
      <c r="M480" s="219"/>
    </row>
    <row r="481" spans="1:13" ht="12" customHeight="1">
      <c r="A481" s="7172"/>
      <c r="B481" s="7167"/>
      <c r="C481" s="39" t="s">
        <v>2761</v>
      </c>
      <c r="D481" s="76" t="s">
        <v>8781</v>
      </c>
      <c r="E481" s="1035">
        <v>6</v>
      </c>
      <c r="F481" s="1036">
        <v>9</v>
      </c>
      <c r="G481" s="1035">
        <v>20</v>
      </c>
      <c r="H481" s="1035">
        <v>5</v>
      </c>
      <c r="I481" s="1035">
        <v>10</v>
      </c>
      <c r="J481" s="1035">
        <v>18</v>
      </c>
      <c r="K481" s="1035">
        <v>1</v>
      </c>
      <c r="L481" s="3830" t="str">
        <f t="shared" si="23"/>
        <v>ApresamientoFUE 12</v>
      </c>
      <c r="M481" s="219"/>
    </row>
    <row r="482" spans="1:13" ht="12" customHeight="1">
      <c r="A482" s="7172"/>
      <c r="B482" s="7167"/>
      <c r="C482" s="39" t="s">
        <v>2761</v>
      </c>
      <c r="D482" s="76" t="s">
        <v>8782</v>
      </c>
      <c r="E482" s="1035">
        <v>8</v>
      </c>
      <c r="F482" s="1036">
        <v>11</v>
      </c>
      <c r="G482" s="1035">
        <v>25</v>
      </c>
      <c r="H482" s="1035">
        <v>6</v>
      </c>
      <c r="I482" s="1035">
        <v>12</v>
      </c>
      <c r="J482" s="1035">
        <v>21</v>
      </c>
      <c r="K482" s="1035">
        <v>2</v>
      </c>
      <c r="L482" s="3830" t="str">
        <f t="shared" si="23"/>
        <v>ApresamientoFUE 14</v>
      </c>
      <c r="M482" s="219"/>
    </row>
    <row r="483" spans="1:13" ht="12" customHeight="1">
      <c r="A483" s="7172"/>
      <c r="B483" s="7167"/>
      <c r="C483" s="39" t="s">
        <v>2761</v>
      </c>
      <c r="D483" s="76" t="s">
        <v>8783</v>
      </c>
      <c r="E483" s="1035">
        <v>10</v>
      </c>
      <c r="F483" s="1036">
        <v>13</v>
      </c>
      <c r="G483" s="1035">
        <v>30</v>
      </c>
      <c r="H483" s="1035">
        <v>7</v>
      </c>
      <c r="I483" s="1035">
        <v>14</v>
      </c>
      <c r="J483" s="1035">
        <v>25</v>
      </c>
      <c r="K483" s="1035">
        <v>2</v>
      </c>
      <c r="L483" s="3830" t="str">
        <f t="shared" si="23"/>
        <v>ApresamientoFUE 16</v>
      </c>
      <c r="M483" s="219"/>
    </row>
    <row r="484" spans="1:13" ht="12" customHeight="1">
      <c r="A484" s="7172"/>
      <c r="B484" s="7167"/>
      <c r="C484" s="39" t="s">
        <v>2761</v>
      </c>
      <c r="D484" s="76" t="s">
        <v>8784</v>
      </c>
      <c r="E484" s="1035">
        <v>14</v>
      </c>
      <c r="F484" s="1036">
        <v>18</v>
      </c>
      <c r="G484" s="1035">
        <v>35</v>
      </c>
      <c r="H484" s="1035">
        <v>8</v>
      </c>
      <c r="I484" s="1035">
        <v>16</v>
      </c>
      <c r="J484" s="1035">
        <v>28</v>
      </c>
      <c r="K484" s="1035">
        <v>3</v>
      </c>
      <c r="L484" s="3830" t="str">
        <f t="shared" si="23"/>
        <v>ApresamientoFUE 18</v>
      </c>
      <c r="M484" s="219"/>
    </row>
    <row r="485" spans="1:13" ht="12" customHeight="1">
      <c r="A485" s="7172"/>
      <c r="B485" s="7167"/>
      <c r="C485" s="39" t="s">
        <v>2761</v>
      </c>
      <c r="D485" s="76" t="s">
        <v>8785</v>
      </c>
      <c r="E485" s="1035">
        <v>18</v>
      </c>
      <c r="F485" s="1036">
        <v>22</v>
      </c>
      <c r="G485" s="1035">
        <v>40</v>
      </c>
      <c r="H485" s="1035">
        <v>10</v>
      </c>
      <c r="I485" s="1035">
        <v>20</v>
      </c>
      <c r="J485" s="1035">
        <v>35</v>
      </c>
      <c r="K485" s="1035">
        <v>3</v>
      </c>
      <c r="L485" s="3830" t="str">
        <f t="shared" si="23"/>
        <v>ApresamientoFUE 20</v>
      </c>
      <c r="M485" s="219"/>
    </row>
    <row r="486" spans="1:13" ht="12" customHeight="1">
      <c r="A486" s="7172"/>
      <c r="B486" s="7167"/>
      <c r="C486" s="39" t="s">
        <v>2761</v>
      </c>
      <c r="D486" s="76" t="s">
        <v>2987</v>
      </c>
      <c r="E486" s="1035">
        <v>1</v>
      </c>
      <c r="F486" s="1036">
        <v>1</v>
      </c>
      <c r="G486" s="1035">
        <v>5</v>
      </c>
      <c r="H486" s="1035">
        <v>1</v>
      </c>
      <c r="I486" s="1035">
        <v>2</v>
      </c>
      <c r="J486" s="1035">
        <v>4</v>
      </c>
      <c r="K486" s="1035"/>
      <c r="L486" s="3830" t="str">
        <f t="shared" si="23"/>
        <v>ApresamientoPresa Existencial</v>
      </c>
      <c r="M486" s="219"/>
    </row>
    <row r="487" spans="1:13" ht="12" customHeight="1">
      <c r="A487" s="7172"/>
      <c r="B487" s="7167"/>
      <c r="C487" s="39" t="s">
        <v>8720</v>
      </c>
      <c r="D487" s="76"/>
      <c r="E487" s="1035"/>
      <c r="F487" s="1036"/>
      <c r="G487" s="1035"/>
      <c r="H487" s="1035"/>
      <c r="I487" s="1035"/>
      <c r="J487" s="1035"/>
      <c r="K487" s="1035"/>
      <c r="L487" s="3830" t="str">
        <f t="shared" si="23"/>
        <v>&gt; CHOQUE FÍSICO</v>
      </c>
      <c r="M487" s="219"/>
    </row>
    <row r="488" spans="1:13" ht="12" customHeight="1">
      <c r="A488" s="7172"/>
      <c r="B488" s="7167"/>
      <c r="C488" s="3831" t="s">
        <v>2988</v>
      </c>
      <c r="D488" s="3832"/>
      <c r="E488" s="3833">
        <v>1</v>
      </c>
      <c r="F488" s="3834">
        <v>2</v>
      </c>
      <c r="G488" s="3833">
        <v>5</v>
      </c>
      <c r="H488" s="3833">
        <v>1</v>
      </c>
      <c r="I488" s="3833">
        <v>2</v>
      </c>
      <c r="J488" s="3833">
        <v>4</v>
      </c>
      <c r="K488" s="3833">
        <v>1</v>
      </c>
      <c r="L488" s="3835" t="str">
        <f t="shared" si="23"/>
        <v>Choque Físico</v>
      </c>
      <c r="M488" s="219"/>
    </row>
    <row r="489" spans="1:13" ht="12" customHeight="1">
      <c r="A489" s="7172"/>
      <c r="B489" s="7167"/>
      <c r="C489" s="39" t="s">
        <v>8721</v>
      </c>
      <c r="D489" s="76"/>
      <c r="E489" s="1035"/>
      <c r="F489" s="1036"/>
      <c r="G489" s="1035"/>
      <c r="H489" s="1035"/>
      <c r="I489" s="1035"/>
      <c r="J489" s="1035"/>
      <c r="K489" s="1035"/>
      <c r="L489" s="3830" t="str">
        <f t="shared" si="23"/>
        <v>&gt; ACUMULACIÓN</v>
      </c>
      <c r="M489" s="219"/>
    </row>
    <row r="490" spans="1:13" ht="12" customHeight="1">
      <c r="A490" s="7172"/>
      <c r="B490" s="7167"/>
      <c r="C490" s="3831" t="s">
        <v>1540</v>
      </c>
      <c r="D490" s="3832" t="s">
        <v>8724</v>
      </c>
      <c r="E490" s="3833">
        <v>4</v>
      </c>
      <c r="F490" s="3834">
        <v>6</v>
      </c>
      <c r="G490" s="3833">
        <v>5</v>
      </c>
      <c r="H490" s="3833">
        <v>1</v>
      </c>
      <c r="I490" s="3833">
        <v>2</v>
      </c>
      <c r="J490" s="3833">
        <v>4</v>
      </c>
      <c r="K490" s="3833">
        <v>1</v>
      </c>
      <c r="L490" s="3835" t="str">
        <f>C490&amp;D490</f>
        <v>Acumulación300 PV</v>
      </c>
      <c r="M490" s="219"/>
    </row>
    <row r="491" spans="1:13" ht="12" customHeight="1">
      <c r="A491" s="7172"/>
      <c r="B491" s="7167"/>
      <c r="C491" s="3831" t="s">
        <v>1540</v>
      </c>
      <c r="D491" s="3832" t="s">
        <v>8725</v>
      </c>
      <c r="E491" s="3833">
        <v>5</v>
      </c>
      <c r="F491" s="3834">
        <v>8</v>
      </c>
      <c r="G491" s="3833">
        <v>5</v>
      </c>
      <c r="H491" s="3833">
        <v>1</v>
      </c>
      <c r="I491" s="3833">
        <v>2</v>
      </c>
      <c r="J491" s="3833">
        <v>4</v>
      </c>
      <c r="K491" s="3833">
        <v>1</v>
      </c>
      <c r="L491" s="3835" t="str">
        <f t="shared" ref="L491:L497" si="24">C491&amp;D491</f>
        <v>Acumulación400 PV</v>
      </c>
      <c r="M491" s="219"/>
    </row>
    <row r="492" spans="1:13" ht="12" customHeight="1">
      <c r="A492" s="7172"/>
      <c r="B492" s="7167"/>
      <c r="C492" s="3831" t="s">
        <v>1540</v>
      </c>
      <c r="D492" s="3832" t="s">
        <v>8726</v>
      </c>
      <c r="E492" s="3833">
        <v>6</v>
      </c>
      <c r="F492" s="3834">
        <v>10</v>
      </c>
      <c r="G492" s="3833">
        <v>10</v>
      </c>
      <c r="H492" s="3833">
        <v>2</v>
      </c>
      <c r="I492" s="3833">
        <v>4</v>
      </c>
      <c r="J492" s="3833">
        <v>7</v>
      </c>
      <c r="K492" s="3833">
        <v>1</v>
      </c>
      <c r="L492" s="3835" t="str">
        <f t="shared" si="24"/>
        <v>Acumulación600 PV</v>
      </c>
      <c r="M492" s="219"/>
    </row>
    <row r="493" spans="1:13" ht="12" customHeight="1">
      <c r="A493" s="7172"/>
      <c r="B493" s="7167"/>
      <c r="C493" s="3831" t="s">
        <v>1540</v>
      </c>
      <c r="D493" s="3832" t="s">
        <v>8727</v>
      </c>
      <c r="E493" s="3833">
        <v>8</v>
      </c>
      <c r="F493" s="3834">
        <v>14</v>
      </c>
      <c r="G493" s="3833">
        <v>15</v>
      </c>
      <c r="H493" s="3833">
        <v>3</v>
      </c>
      <c r="I493" s="3833">
        <v>6</v>
      </c>
      <c r="J493" s="3833">
        <v>11</v>
      </c>
      <c r="K493" s="3833">
        <v>2</v>
      </c>
      <c r="L493" s="3835" t="str">
        <f t="shared" si="24"/>
        <v>Acumulación800 PV</v>
      </c>
      <c r="M493" s="219"/>
    </row>
    <row r="494" spans="1:13" ht="12" customHeight="1">
      <c r="A494" s="7172"/>
      <c r="B494" s="7167"/>
      <c r="C494" s="3831" t="s">
        <v>1540</v>
      </c>
      <c r="D494" s="3832" t="s">
        <v>8728</v>
      </c>
      <c r="E494" s="3833">
        <v>12</v>
      </c>
      <c r="F494" s="3834">
        <v>16</v>
      </c>
      <c r="G494" s="3833">
        <v>20</v>
      </c>
      <c r="H494" s="3833">
        <v>4</v>
      </c>
      <c r="I494" s="3833">
        <v>8</v>
      </c>
      <c r="J494" s="3833">
        <v>14</v>
      </c>
      <c r="K494" s="3833">
        <v>2</v>
      </c>
      <c r="L494" s="3835" t="str">
        <f t="shared" si="24"/>
        <v>Acumulación1.000 PV</v>
      </c>
      <c r="M494" s="219"/>
    </row>
    <row r="495" spans="1:13" ht="12" customHeight="1">
      <c r="A495" s="7172"/>
      <c r="B495" s="7167"/>
      <c r="C495" s="3831" t="s">
        <v>1540</v>
      </c>
      <c r="D495" s="3832" t="s">
        <v>8729</v>
      </c>
      <c r="E495" s="3833">
        <v>14</v>
      </c>
      <c r="F495" s="3834">
        <v>20</v>
      </c>
      <c r="G495" s="3833">
        <v>25</v>
      </c>
      <c r="H495" s="3833">
        <v>5</v>
      </c>
      <c r="I495" s="3833">
        <v>10</v>
      </c>
      <c r="J495" s="3833">
        <v>18</v>
      </c>
      <c r="K495" s="3833">
        <v>2</v>
      </c>
      <c r="L495" s="3835" t="str">
        <f t="shared" si="24"/>
        <v>Acumulación1.500 PV</v>
      </c>
      <c r="M495" s="219"/>
    </row>
    <row r="496" spans="1:13" ht="12" customHeight="1">
      <c r="A496" s="7172"/>
      <c r="B496" s="7167"/>
      <c r="C496" s="3831" t="s">
        <v>1540</v>
      </c>
      <c r="D496" s="3832" t="s">
        <v>8743</v>
      </c>
      <c r="E496" s="3833">
        <v>18</v>
      </c>
      <c r="F496" s="3834">
        <v>24</v>
      </c>
      <c r="G496" s="3833">
        <v>30</v>
      </c>
      <c r="H496" s="3833">
        <v>8</v>
      </c>
      <c r="I496" s="3833">
        <v>16</v>
      </c>
      <c r="J496" s="3833">
        <v>28</v>
      </c>
      <c r="K496" s="3833">
        <v>3</v>
      </c>
      <c r="L496" s="3835" t="str">
        <f t="shared" si="24"/>
        <v>Acumulación2.000 PV</v>
      </c>
      <c r="M496" s="219"/>
    </row>
    <row r="497" spans="1:13" ht="12" customHeight="1">
      <c r="A497" s="7172"/>
      <c r="B497" s="7167"/>
      <c r="C497" s="3831" t="s">
        <v>1540</v>
      </c>
      <c r="D497" s="3832" t="s">
        <v>12453</v>
      </c>
      <c r="E497" s="3833">
        <v>20</v>
      </c>
      <c r="F497" s="3834">
        <v>28</v>
      </c>
      <c r="G497" s="3833">
        <v>40</v>
      </c>
      <c r="H497" s="3833">
        <v>10</v>
      </c>
      <c r="I497" s="3833">
        <v>20</v>
      </c>
      <c r="J497" s="3833">
        <v>35</v>
      </c>
      <c r="K497" s="3833">
        <v>3</v>
      </c>
      <c r="L497" s="3835" t="str">
        <f t="shared" si="24"/>
        <v>Acumulación3.000 PV</v>
      </c>
      <c r="M497" s="219"/>
    </row>
    <row r="498" spans="1:13" ht="12" customHeight="1">
      <c r="A498" s="7172"/>
      <c r="B498" s="7167"/>
      <c r="C498" s="3831" t="s">
        <v>1540</v>
      </c>
      <c r="D498" s="3832" t="s">
        <v>2989</v>
      </c>
      <c r="E498" s="3833">
        <v>1</v>
      </c>
      <c r="F498" s="3834">
        <v>1</v>
      </c>
      <c r="G498" s="3833">
        <v>5</v>
      </c>
      <c r="H498" s="3833">
        <v>1</v>
      </c>
      <c r="I498" s="3833">
        <v>2</v>
      </c>
      <c r="J498" s="3833">
        <v>4</v>
      </c>
      <c r="K498" s="3833"/>
      <c r="L498" s="3835" t="str">
        <f>C498&amp;D498</f>
        <v>AcumulaciónRegeneración 100</v>
      </c>
      <c r="M498" s="219"/>
    </row>
    <row r="499" spans="1:13" ht="12" customHeight="1">
      <c r="A499" s="7172"/>
      <c r="B499" s="7167"/>
      <c r="C499" s="3831" t="s">
        <v>1540</v>
      </c>
      <c r="D499" s="3832" t="s">
        <v>12454</v>
      </c>
      <c r="E499" s="3833">
        <v>2</v>
      </c>
      <c r="F499" s="3834">
        <v>2</v>
      </c>
      <c r="G499" s="3833">
        <v>5</v>
      </c>
      <c r="H499" s="3833">
        <v>1</v>
      </c>
      <c r="I499" s="3833">
        <v>4</v>
      </c>
      <c r="J499" s="3833">
        <v>7</v>
      </c>
      <c r="K499" s="3833"/>
      <c r="L499" s="3835" t="str">
        <f t="shared" ref="L499" si="25">C499&amp;D499</f>
        <v>AcumulaciónRegeneración 200</v>
      </c>
      <c r="M499" s="219"/>
    </row>
    <row r="500" spans="1:13" ht="12" customHeight="1">
      <c r="A500" s="7172"/>
      <c r="B500" s="7167"/>
      <c r="C500" s="3831" t="s">
        <v>1540</v>
      </c>
      <c r="D500" s="3832" t="s">
        <v>12455</v>
      </c>
      <c r="E500" s="3833">
        <v>3</v>
      </c>
      <c r="F500" s="3834">
        <v>3</v>
      </c>
      <c r="G500" s="3833">
        <v>10</v>
      </c>
      <c r="H500" s="3833">
        <v>2</v>
      </c>
      <c r="I500" s="3833">
        <v>6</v>
      </c>
      <c r="J500" s="3833">
        <v>11</v>
      </c>
      <c r="K500" s="3833"/>
      <c r="L500" s="3835" t="str">
        <f t="shared" si="23"/>
        <v>AcumulaciónRegeneración 300</v>
      </c>
      <c r="M500" s="219"/>
    </row>
    <row r="501" spans="1:13" ht="12" customHeight="1">
      <c r="A501" s="7172"/>
      <c r="B501" s="7167"/>
      <c r="C501" s="3831" t="s">
        <v>1540</v>
      </c>
      <c r="D501" s="3832" t="s">
        <v>2991</v>
      </c>
      <c r="E501" s="3833">
        <v>4</v>
      </c>
      <c r="F501" s="3834">
        <v>4</v>
      </c>
      <c r="G501" s="3833">
        <v>15</v>
      </c>
      <c r="H501" s="3833">
        <v>2</v>
      </c>
      <c r="I501" s="3833">
        <v>8</v>
      </c>
      <c r="J501" s="3833">
        <v>14</v>
      </c>
      <c r="K501" s="3833"/>
      <c r="L501" s="3835" t="str">
        <f t="shared" si="23"/>
        <v>AcumulaciónRegeneración 500</v>
      </c>
      <c r="M501" s="219"/>
    </row>
    <row r="502" spans="1:13" ht="12" customHeight="1">
      <c r="A502" s="7172"/>
      <c r="B502" s="7167"/>
      <c r="C502" s="39" t="s">
        <v>8730</v>
      </c>
      <c r="D502" s="76"/>
      <c r="E502" s="1035"/>
      <c r="F502" s="1036"/>
      <c r="G502" s="1035"/>
      <c r="H502" s="1035"/>
      <c r="I502" s="1035"/>
      <c r="J502" s="1035"/>
      <c r="K502" s="1035"/>
      <c r="L502" s="3830" t="str">
        <f t="shared" si="23"/>
        <v>&gt; ESPEJISMO</v>
      </c>
      <c r="M502" s="219"/>
    </row>
    <row r="503" spans="1:13" ht="12" customHeight="1">
      <c r="A503" s="7172"/>
      <c r="B503" s="7167"/>
      <c r="C503" s="39" t="s">
        <v>2768</v>
      </c>
      <c r="D503" s="76" t="s">
        <v>8731</v>
      </c>
      <c r="E503" s="1035">
        <v>1</v>
      </c>
      <c r="F503" s="1036">
        <v>2</v>
      </c>
      <c r="G503" s="1035">
        <v>5</v>
      </c>
      <c r="H503" s="1035">
        <v>1</v>
      </c>
      <c r="I503" s="1035">
        <v>2</v>
      </c>
      <c r="J503" s="1035">
        <v>4</v>
      </c>
      <c r="K503" s="1035">
        <v>1</v>
      </c>
      <c r="L503" s="3830" t="str">
        <f t="shared" si="23"/>
        <v>Espejismo1 Imagen</v>
      </c>
      <c r="M503" s="219"/>
    </row>
    <row r="504" spans="1:13" ht="12" customHeight="1">
      <c r="A504" s="7172"/>
      <c r="B504" s="7167"/>
      <c r="C504" s="39" t="s">
        <v>2768</v>
      </c>
      <c r="D504" s="76" t="s">
        <v>8732</v>
      </c>
      <c r="E504" s="1035">
        <v>2</v>
      </c>
      <c r="F504" s="1036">
        <v>4</v>
      </c>
      <c r="G504" s="1035">
        <v>5</v>
      </c>
      <c r="H504" s="1035">
        <v>2</v>
      </c>
      <c r="I504" s="1035">
        <v>4</v>
      </c>
      <c r="J504" s="1035">
        <v>7</v>
      </c>
      <c r="K504" s="1035">
        <v>1</v>
      </c>
      <c r="L504" s="3830" t="str">
        <f t="shared" si="23"/>
        <v>Espejismo2 Imágenes</v>
      </c>
      <c r="M504" s="219"/>
    </row>
    <row r="505" spans="1:13" ht="12" customHeight="1">
      <c r="A505" s="7172"/>
      <c r="B505" s="7167"/>
      <c r="C505" s="39" t="s">
        <v>2768</v>
      </c>
      <c r="D505" s="76" t="s">
        <v>8733</v>
      </c>
      <c r="E505" s="1035">
        <v>4</v>
      </c>
      <c r="F505" s="1036">
        <v>6</v>
      </c>
      <c r="G505" s="1035">
        <v>10</v>
      </c>
      <c r="H505" s="1035">
        <v>3</v>
      </c>
      <c r="I505" s="1035">
        <v>6</v>
      </c>
      <c r="J505" s="1035">
        <v>11</v>
      </c>
      <c r="K505" s="1035">
        <v>1</v>
      </c>
      <c r="L505" s="3830" t="str">
        <f t="shared" si="23"/>
        <v>Espejismo4 Imágenes</v>
      </c>
      <c r="M505" s="219"/>
    </row>
    <row r="506" spans="1:13" ht="12" customHeight="1">
      <c r="A506" s="7172"/>
      <c r="B506" s="7167"/>
      <c r="C506" s="39" t="s">
        <v>2768</v>
      </c>
      <c r="D506" s="76" t="s">
        <v>8734</v>
      </c>
      <c r="E506" s="1035">
        <v>6</v>
      </c>
      <c r="F506" s="1036">
        <v>9</v>
      </c>
      <c r="G506" s="1035">
        <v>10</v>
      </c>
      <c r="H506" s="1035">
        <v>4</v>
      </c>
      <c r="I506" s="1035">
        <v>8</v>
      </c>
      <c r="J506" s="1035">
        <v>14</v>
      </c>
      <c r="K506" s="1035">
        <v>1</v>
      </c>
      <c r="L506" s="3830" t="str">
        <f t="shared" si="23"/>
        <v>Espejismo6 Imágenes</v>
      </c>
      <c r="M506" s="219"/>
    </row>
    <row r="507" spans="1:13" ht="12" customHeight="1">
      <c r="A507" s="7172"/>
      <c r="B507" s="7167"/>
      <c r="C507" s="39" t="s">
        <v>2768</v>
      </c>
      <c r="D507" s="76" t="s">
        <v>8735</v>
      </c>
      <c r="E507" s="1035">
        <v>8</v>
      </c>
      <c r="F507" s="1036">
        <v>11</v>
      </c>
      <c r="G507" s="1035">
        <v>15</v>
      </c>
      <c r="H507" s="1035">
        <v>6</v>
      </c>
      <c r="I507" s="1035">
        <v>12</v>
      </c>
      <c r="J507" s="1035">
        <v>21</v>
      </c>
      <c r="K507" s="1035">
        <v>2</v>
      </c>
      <c r="L507" s="3830" t="str">
        <f t="shared" si="23"/>
        <v>Espejismo10 Imágenes</v>
      </c>
      <c r="M507" s="219"/>
    </row>
    <row r="508" spans="1:13" ht="12" customHeight="1">
      <c r="A508" s="7172"/>
      <c r="B508" s="7167"/>
      <c r="C508" s="39" t="s">
        <v>2768</v>
      </c>
      <c r="D508" s="76" t="s">
        <v>8736</v>
      </c>
      <c r="E508" s="1035">
        <v>10</v>
      </c>
      <c r="F508" s="1036">
        <v>13</v>
      </c>
      <c r="G508" s="1035">
        <v>20</v>
      </c>
      <c r="H508" s="1035">
        <v>8</v>
      </c>
      <c r="I508" s="1035">
        <v>16</v>
      </c>
      <c r="J508" s="1035">
        <v>28</v>
      </c>
      <c r="K508" s="1035">
        <v>2</v>
      </c>
      <c r="L508" s="3830" t="str">
        <f t="shared" si="23"/>
        <v>Espejismo15 Imágenes</v>
      </c>
      <c r="M508" s="219"/>
    </row>
    <row r="509" spans="1:13" ht="12" customHeight="1">
      <c r="A509" s="7172"/>
      <c r="B509" s="7167"/>
      <c r="C509" s="39" t="s">
        <v>2768</v>
      </c>
      <c r="D509" s="76" t="s">
        <v>8737</v>
      </c>
      <c r="E509" s="1035">
        <v>12</v>
      </c>
      <c r="F509" s="1036">
        <v>15</v>
      </c>
      <c r="G509" s="1035">
        <v>25</v>
      </c>
      <c r="H509" s="1035">
        <v>10</v>
      </c>
      <c r="I509" s="1035">
        <v>20</v>
      </c>
      <c r="J509" s="1035">
        <v>35</v>
      </c>
      <c r="K509" s="1035">
        <v>2</v>
      </c>
      <c r="L509" s="3830" t="str">
        <f t="shared" si="23"/>
        <v>Espejismo20 Imágenes</v>
      </c>
      <c r="M509" s="219"/>
    </row>
    <row r="510" spans="1:13" ht="12" customHeight="1">
      <c r="A510" s="7172"/>
      <c r="B510" s="7167"/>
      <c r="C510" s="39" t="s">
        <v>2768</v>
      </c>
      <c r="D510" s="76" t="s">
        <v>8738</v>
      </c>
      <c r="E510" s="1035">
        <v>14</v>
      </c>
      <c r="F510" s="1036">
        <v>18</v>
      </c>
      <c r="G510" s="1035">
        <v>30</v>
      </c>
      <c r="H510" s="1035">
        <v>12</v>
      </c>
      <c r="I510" s="1035">
        <v>24</v>
      </c>
      <c r="J510" s="1035">
        <v>42</v>
      </c>
      <c r="K510" s="1035">
        <v>3</v>
      </c>
      <c r="L510" s="3830" t="str">
        <f t="shared" si="23"/>
        <v>Espejismo25 Imágenes</v>
      </c>
      <c r="M510" s="219"/>
    </row>
    <row r="511" spans="1:13" ht="12" customHeight="1">
      <c r="A511" s="7172"/>
      <c r="B511" s="7167"/>
      <c r="C511" s="39" t="s">
        <v>2768</v>
      </c>
      <c r="D511" s="76" t="s">
        <v>2992</v>
      </c>
      <c r="E511" s="1035">
        <v>1</v>
      </c>
      <c r="F511" s="1036">
        <v>1</v>
      </c>
      <c r="G511" s="1035">
        <v>5</v>
      </c>
      <c r="H511" s="1035">
        <v>1</v>
      </c>
      <c r="I511" s="1035">
        <v>2</v>
      </c>
      <c r="J511" s="1035">
        <v>4</v>
      </c>
      <c r="K511" s="1035">
        <v>1</v>
      </c>
      <c r="L511" s="3830" t="str">
        <f t="shared" si="23"/>
        <v>EspejismoIndetección Media (80)</v>
      </c>
      <c r="M511" s="219"/>
    </row>
    <row r="512" spans="1:13" ht="12" customHeight="1">
      <c r="A512" s="7172"/>
      <c r="B512" s="7167"/>
      <c r="C512" s="39" t="s">
        <v>2768</v>
      </c>
      <c r="D512" s="76" t="s">
        <v>2993</v>
      </c>
      <c r="E512" s="1035">
        <v>2</v>
      </c>
      <c r="F512" s="1036">
        <v>2</v>
      </c>
      <c r="G512" s="1035">
        <v>10</v>
      </c>
      <c r="H512" s="1035">
        <v>1</v>
      </c>
      <c r="I512" s="1035">
        <v>2</v>
      </c>
      <c r="J512" s="1035">
        <v>4</v>
      </c>
      <c r="K512" s="1035">
        <v>1</v>
      </c>
      <c r="L512" s="3830" t="str">
        <f t="shared" si="23"/>
        <v>EspejismoIndetección Difícil (120)</v>
      </c>
      <c r="M512" s="219"/>
    </row>
    <row r="513" spans="1:13" ht="12" customHeight="1">
      <c r="A513" s="7172"/>
      <c r="B513" s="7167"/>
      <c r="C513" s="39" t="s">
        <v>2768</v>
      </c>
      <c r="D513" s="76" t="s">
        <v>2994</v>
      </c>
      <c r="E513" s="1035">
        <v>3</v>
      </c>
      <c r="F513" s="1036">
        <v>3</v>
      </c>
      <c r="G513" s="1035">
        <v>10</v>
      </c>
      <c r="H513" s="1035">
        <v>2</v>
      </c>
      <c r="I513" s="1035">
        <v>4</v>
      </c>
      <c r="J513" s="1035">
        <v>7</v>
      </c>
      <c r="K513" s="1035">
        <v>1</v>
      </c>
      <c r="L513" s="3830" t="str">
        <f t="shared" si="23"/>
        <v>EspejismoIndetección Muy Difícil (140)</v>
      </c>
      <c r="M513" s="219"/>
    </row>
    <row r="514" spans="1:13" ht="12" customHeight="1">
      <c r="A514" s="7172"/>
      <c r="B514" s="7167"/>
      <c r="C514" s="39" t="s">
        <v>2768</v>
      </c>
      <c r="D514" s="76" t="s">
        <v>2995</v>
      </c>
      <c r="E514" s="1035">
        <v>4</v>
      </c>
      <c r="F514" s="1036">
        <v>4</v>
      </c>
      <c r="G514" s="1035">
        <v>15</v>
      </c>
      <c r="H514" s="1035">
        <v>2</v>
      </c>
      <c r="I514" s="1035">
        <v>4</v>
      </c>
      <c r="J514" s="1035">
        <v>7</v>
      </c>
      <c r="K514" s="1035">
        <v>1</v>
      </c>
      <c r="L514" s="3830" t="str">
        <f t="shared" si="23"/>
        <v>EspejismoIndetección Absurdo (180)</v>
      </c>
      <c r="M514" s="219"/>
    </row>
    <row r="515" spans="1:13" ht="12" customHeight="1">
      <c r="A515" s="7172"/>
      <c r="B515" s="7167"/>
      <c r="C515" s="39" t="s">
        <v>2768</v>
      </c>
      <c r="D515" s="76" t="s">
        <v>2996</v>
      </c>
      <c r="E515" s="1035">
        <v>5</v>
      </c>
      <c r="F515" s="1036">
        <v>5</v>
      </c>
      <c r="G515" s="1035">
        <v>15</v>
      </c>
      <c r="H515" s="1035">
        <v>3</v>
      </c>
      <c r="I515" s="1035">
        <v>6</v>
      </c>
      <c r="J515" s="1035">
        <v>11</v>
      </c>
      <c r="K515" s="1035">
        <v>1</v>
      </c>
      <c r="L515" s="3830" t="str">
        <f t="shared" si="23"/>
        <v>EspejismoIndetección Casi Imposible (240)</v>
      </c>
      <c r="M515" s="219"/>
    </row>
    <row r="516" spans="1:13" ht="12" customHeight="1">
      <c r="A516" s="7172"/>
      <c r="B516" s="7167"/>
      <c r="C516" s="39" t="s">
        <v>2768</v>
      </c>
      <c r="D516" s="76" t="s">
        <v>2997</v>
      </c>
      <c r="E516" s="1035">
        <v>6</v>
      </c>
      <c r="F516" s="1036">
        <v>6</v>
      </c>
      <c r="G516" s="1035">
        <v>20</v>
      </c>
      <c r="H516" s="1035">
        <v>3</v>
      </c>
      <c r="I516" s="1035">
        <v>6</v>
      </c>
      <c r="J516" s="1035">
        <v>11</v>
      </c>
      <c r="K516" s="1035">
        <v>2</v>
      </c>
      <c r="L516" s="3830" t="str">
        <f t="shared" si="23"/>
        <v>EspejismoIndetección Imposible (280)</v>
      </c>
      <c r="M516" s="219"/>
    </row>
    <row r="517" spans="1:13" ht="12" customHeight="1">
      <c r="A517" s="7172"/>
      <c r="B517" s="7167"/>
      <c r="C517" s="39" t="s">
        <v>2768</v>
      </c>
      <c r="D517" s="76" t="s">
        <v>2998</v>
      </c>
      <c r="E517" s="1035">
        <v>7</v>
      </c>
      <c r="F517" s="1036">
        <v>7</v>
      </c>
      <c r="G517" s="1035">
        <v>20</v>
      </c>
      <c r="H517" s="1035">
        <v>4</v>
      </c>
      <c r="I517" s="1035">
        <v>8</v>
      </c>
      <c r="J517" s="1035">
        <v>14</v>
      </c>
      <c r="K517" s="1035">
        <v>2</v>
      </c>
      <c r="L517" s="3830" t="str">
        <f t="shared" si="23"/>
        <v>EspejismoIndetección Inhumano (320)</v>
      </c>
      <c r="M517" s="219"/>
    </row>
    <row r="518" spans="1:13" ht="12" customHeight="1">
      <c r="A518" s="7172"/>
      <c r="B518" s="7167"/>
      <c r="C518" s="39" t="s">
        <v>2768</v>
      </c>
      <c r="D518" s="76" t="s">
        <v>2999</v>
      </c>
      <c r="E518" s="1035">
        <v>8</v>
      </c>
      <c r="F518" s="1036">
        <v>8</v>
      </c>
      <c r="G518" s="1035">
        <v>30</v>
      </c>
      <c r="H518" s="1035">
        <v>4</v>
      </c>
      <c r="I518" s="1035">
        <v>8</v>
      </c>
      <c r="J518" s="1035">
        <v>14</v>
      </c>
      <c r="K518" s="1035">
        <v>3</v>
      </c>
      <c r="L518" s="3830" t="str">
        <f t="shared" si="23"/>
        <v>EspejismoIndetección Zen (440)</v>
      </c>
      <c r="M518" s="219"/>
    </row>
    <row r="519" spans="1:13" ht="12" customHeight="1">
      <c r="A519" s="7172"/>
      <c r="B519" s="7167"/>
      <c r="C519" s="39" t="s">
        <v>2768</v>
      </c>
      <c r="D519" s="76" t="s">
        <v>3000</v>
      </c>
      <c r="E519" s="1035">
        <v>2</v>
      </c>
      <c r="F519" s="1036">
        <v>2</v>
      </c>
      <c r="G519" s="1035">
        <v>10</v>
      </c>
      <c r="H519" s="1035">
        <v>2</v>
      </c>
      <c r="I519" s="1035">
        <v>4</v>
      </c>
      <c r="J519" s="1035">
        <v>7</v>
      </c>
      <c r="K519" s="1035">
        <v>1</v>
      </c>
      <c r="L519" s="3830" t="str">
        <f t="shared" si="23"/>
        <v>EspejismoModificación de Aspecto</v>
      </c>
      <c r="M519" s="219"/>
    </row>
    <row r="520" spans="1:13" ht="12" customHeight="1">
      <c r="A520" s="7172"/>
      <c r="B520" s="7167"/>
      <c r="C520" s="39" t="s">
        <v>2768</v>
      </c>
      <c r="D520" s="76" t="s">
        <v>8871</v>
      </c>
      <c r="E520" s="1035">
        <v>3</v>
      </c>
      <c r="F520" s="1036">
        <v>3</v>
      </c>
      <c r="G520" s="1035">
        <v>10</v>
      </c>
      <c r="H520" s="1035">
        <v>2</v>
      </c>
      <c r="I520" s="1035">
        <v>4</v>
      </c>
      <c r="J520" s="1035">
        <v>7</v>
      </c>
      <c r="K520" s="1035">
        <v>1</v>
      </c>
      <c r="L520" s="3830" t="str">
        <f t="shared" si="23"/>
        <v>EspejismoIlusión Fantasmal RP 140</v>
      </c>
      <c r="M520" s="219"/>
    </row>
    <row r="521" spans="1:13" ht="12" customHeight="1">
      <c r="A521" s="7172"/>
      <c r="B521" s="7167"/>
      <c r="C521" s="39" t="s">
        <v>2768</v>
      </c>
      <c r="D521" s="76" t="s">
        <v>8872</v>
      </c>
      <c r="E521" s="1035">
        <v>4</v>
      </c>
      <c r="F521" s="1036">
        <v>4</v>
      </c>
      <c r="G521" s="1035">
        <v>15</v>
      </c>
      <c r="H521" s="1035">
        <v>3</v>
      </c>
      <c r="I521" s="1035">
        <v>6</v>
      </c>
      <c r="J521" s="1035">
        <v>11</v>
      </c>
      <c r="K521" s="1035">
        <v>1</v>
      </c>
      <c r="L521" s="3830" t="str">
        <f t="shared" si="23"/>
        <v>EspejismoIlusión Fantasmal RP 180</v>
      </c>
      <c r="M521" s="219"/>
    </row>
    <row r="522" spans="1:13" ht="12" customHeight="1">
      <c r="A522" s="7172"/>
      <c r="B522" s="7167"/>
      <c r="C522" s="39" t="s">
        <v>2768</v>
      </c>
      <c r="D522" s="76" t="s">
        <v>8873</v>
      </c>
      <c r="E522" s="1035">
        <v>6</v>
      </c>
      <c r="F522" s="1036">
        <v>6</v>
      </c>
      <c r="G522" s="1035">
        <v>20</v>
      </c>
      <c r="H522" s="1035">
        <v>4</v>
      </c>
      <c r="I522" s="1035">
        <v>8</v>
      </c>
      <c r="J522" s="1035">
        <v>14</v>
      </c>
      <c r="K522" s="1035">
        <v>1</v>
      </c>
      <c r="L522" s="3830" t="str">
        <f t="shared" si="23"/>
        <v>EspejismoIlusión Fantasmal RP 240</v>
      </c>
      <c r="M522" s="219"/>
    </row>
    <row r="523" spans="1:13" ht="12" customHeight="1">
      <c r="A523" s="7172"/>
      <c r="B523" s="7167"/>
      <c r="C523" s="39" t="s">
        <v>8739</v>
      </c>
      <c r="D523" s="76"/>
      <c r="E523" s="1035"/>
      <c r="F523" s="1036"/>
      <c r="G523" s="1035"/>
      <c r="H523" s="1035"/>
      <c r="I523" s="1035"/>
      <c r="J523" s="1035"/>
      <c r="K523" s="1035"/>
      <c r="L523" s="3830" t="str">
        <f t="shared" si="23"/>
        <v>&gt; ESCUDO DE ENERGÍA</v>
      </c>
      <c r="M523" s="219"/>
    </row>
    <row r="524" spans="1:13" ht="12" customHeight="1">
      <c r="A524" s="7172"/>
      <c r="B524" s="7167"/>
      <c r="C524" s="39" t="s">
        <v>8740</v>
      </c>
      <c r="D524" s="76" t="s">
        <v>8722</v>
      </c>
      <c r="E524" s="1035">
        <v>2</v>
      </c>
      <c r="F524" s="1036">
        <v>4</v>
      </c>
      <c r="G524" s="1035">
        <v>5</v>
      </c>
      <c r="H524" s="1035">
        <v>1</v>
      </c>
      <c r="I524" s="1035">
        <v>2</v>
      </c>
      <c r="J524" s="1035">
        <v>4</v>
      </c>
      <c r="K524" s="1035">
        <v>1</v>
      </c>
      <c r="L524" s="3830" t="str">
        <f t="shared" si="23"/>
        <v>Escudo De Energía100 PV</v>
      </c>
      <c r="M524" s="219"/>
    </row>
    <row r="525" spans="1:13" ht="12" customHeight="1">
      <c r="A525" s="7172"/>
      <c r="B525" s="7167"/>
      <c r="C525" s="39" t="s">
        <v>8740</v>
      </c>
      <c r="D525" s="76" t="s">
        <v>8723</v>
      </c>
      <c r="E525" s="1035">
        <v>3</v>
      </c>
      <c r="F525" s="1036">
        <v>5</v>
      </c>
      <c r="G525" s="1035">
        <v>5</v>
      </c>
      <c r="H525" s="1035">
        <v>1</v>
      </c>
      <c r="I525" s="1035">
        <v>2</v>
      </c>
      <c r="J525" s="1035">
        <v>4</v>
      </c>
      <c r="K525" s="1035">
        <v>1</v>
      </c>
      <c r="L525" s="3830" t="str">
        <f t="shared" si="23"/>
        <v>Escudo De Energía200 PV</v>
      </c>
      <c r="M525" s="219"/>
    </row>
    <row r="526" spans="1:13" ht="12" customHeight="1">
      <c r="A526" s="7172"/>
      <c r="B526" s="7167"/>
      <c r="C526" s="39" t="s">
        <v>8740</v>
      </c>
      <c r="D526" s="76" t="s">
        <v>8724</v>
      </c>
      <c r="E526" s="1035">
        <v>4</v>
      </c>
      <c r="F526" s="1036">
        <v>6</v>
      </c>
      <c r="G526" s="1035">
        <v>10</v>
      </c>
      <c r="H526" s="1035">
        <v>2</v>
      </c>
      <c r="I526" s="1035">
        <v>4</v>
      </c>
      <c r="J526" s="1035">
        <v>7</v>
      </c>
      <c r="K526" s="1035">
        <v>1</v>
      </c>
      <c r="L526" s="3830" t="str">
        <f t="shared" si="23"/>
        <v>Escudo De Energía300 PV</v>
      </c>
      <c r="M526" s="219"/>
    </row>
    <row r="527" spans="1:13" ht="12" customHeight="1">
      <c r="A527" s="7172"/>
      <c r="B527" s="7167"/>
      <c r="C527" s="39" t="s">
        <v>8740</v>
      </c>
      <c r="D527" s="76" t="s">
        <v>8725</v>
      </c>
      <c r="E527" s="1035">
        <v>5</v>
      </c>
      <c r="F527" s="1036">
        <v>8</v>
      </c>
      <c r="G527" s="1035">
        <v>15</v>
      </c>
      <c r="H527" s="1035">
        <v>3</v>
      </c>
      <c r="I527" s="1035">
        <v>6</v>
      </c>
      <c r="J527" s="1035">
        <v>11</v>
      </c>
      <c r="K527" s="1035">
        <v>1</v>
      </c>
      <c r="L527" s="3830" t="str">
        <f t="shared" si="23"/>
        <v>Escudo De Energía400 PV</v>
      </c>
      <c r="M527" s="219"/>
    </row>
    <row r="528" spans="1:13" ht="12" customHeight="1">
      <c r="A528" s="7172"/>
      <c r="B528" s="7167"/>
      <c r="C528" s="39" t="s">
        <v>8740</v>
      </c>
      <c r="D528" s="76" t="s">
        <v>8741</v>
      </c>
      <c r="E528" s="1035">
        <v>8</v>
      </c>
      <c r="F528" s="1036">
        <v>11</v>
      </c>
      <c r="G528" s="1035">
        <v>20</v>
      </c>
      <c r="H528" s="1035">
        <v>4</v>
      </c>
      <c r="I528" s="1035">
        <v>8</v>
      </c>
      <c r="J528" s="1035">
        <v>14</v>
      </c>
      <c r="K528" s="1035">
        <v>1</v>
      </c>
      <c r="L528" s="3830" t="str">
        <f t="shared" si="23"/>
        <v>Escudo De Energía500 PV</v>
      </c>
      <c r="M528" s="219"/>
    </row>
    <row r="529" spans="1:13" ht="12" customHeight="1">
      <c r="A529" s="7172"/>
      <c r="B529" s="7167"/>
      <c r="C529" s="39" t="s">
        <v>8740</v>
      </c>
      <c r="D529" s="76" t="s">
        <v>8727</v>
      </c>
      <c r="E529" s="1035">
        <v>12</v>
      </c>
      <c r="F529" s="1036">
        <v>15</v>
      </c>
      <c r="G529" s="1035">
        <v>25</v>
      </c>
      <c r="H529" s="1035">
        <v>5</v>
      </c>
      <c r="I529" s="1035">
        <v>10</v>
      </c>
      <c r="J529" s="1035">
        <v>18</v>
      </c>
      <c r="K529" s="1035">
        <v>2</v>
      </c>
      <c r="L529" s="3830" t="str">
        <f t="shared" si="23"/>
        <v>Escudo De Energía800 PV</v>
      </c>
      <c r="M529" s="219"/>
    </row>
    <row r="530" spans="1:13" ht="12" customHeight="1">
      <c r="A530" s="7172"/>
      <c r="B530" s="7167"/>
      <c r="C530" s="39" t="s">
        <v>8740</v>
      </c>
      <c r="D530" s="76" t="s">
        <v>8728</v>
      </c>
      <c r="E530" s="1035">
        <v>14</v>
      </c>
      <c r="F530" s="1036">
        <v>18</v>
      </c>
      <c r="G530" s="1035">
        <v>30</v>
      </c>
      <c r="H530" s="1035">
        <v>8</v>
      </c>
      <c r="I530" s="1035">
        <v>16</v>
      </c>
      <c r="J530" s="1035">
        <v>28</v>
      </c>
      <c r="K530" s="1035">
        <v>2</v>
      </c>
      <c r="L530" s="3830" t="str">
        <f t="shared" si="23"/>
        <v>Escudo De Energía1.000 PV</v>
      </c>
      <c r="M530" s="219"/>
    </row>
    <row r="531" spans="1:13" ht="12" customHeight="1">
      <c r="A531" s="7172"/>
      <c r="B531" s="7167"/>
      <c r="C531" s="39" t="s">
        <v>8740</v>
      </c>
      <c r="D531" s="76" t="s">
        <v>8742</v>
      </c>
      <c r="E531" s="1035">
        <v>18</v>
      </c>
      <c r="F531" s="1036">
        <v>22</v>
      </c>
      <c r="G531" s="1035">
        <v>35</v>
      </c>
      <c r="H531" s="1035">
        <v>10</v>
      </c>
      <c r="I531" s="1035">
        <v>20</v>
      </c>
      <c r="J531" s="1035">
        <v>35</v>
      </c>
      <c r="K531" s="1035">
        <v>2</v>
      </c>
      <c r="L531" s="3830" t="str">
        <f t="shared" si="23"/>
        <v>Escudo De Energía1.250 PV</v>
      </c>
      <c r="M531" s="219"/>
    </row>
    <row r="532" spans="1:13" ht="12" customHeight="1">
      <c r="A532" s="7172"/>
      <c r="B532" s="7167"/>
      <c r="C532" s="39" t="s">
        <v>8740</v>
      </c>
      <c r="D532" s="76" t="s">
        <v>8729</v>
      </c>
      <c r="E532" s="1035">
        <v>22</v>
      </c>
      <c r="F532" s="1036">
        <v>26</v>
      </c>
      <c r="G532" s="1035">
        <v>40</v>
      </c>
      <c r="H532" s="1035">
        <v>12</v>
      </c>
      <c r="I532" s="1035">
        <v>24</v>
      </c>
      <c r="J532" s="1035">
        <v>42</v>
      </c>
      <c r="K532" s="1035">
        <v>3</v>
      </c>
      <c r="L532" s="3830" t="str">
        <f t="shared" si="23"/>
        <v>Escudo De Energía1.500 PV</v>
      </c>
      <c r="M532" s="219"/>
    </row>
    <row r="533" spans="1:13" ht="12" customHeight="1">
      <c r="A533" s="7172"/>
      <c r="B533" s="7167"/>
      <c r="C533" s="39" t="s">
        <v>8740</v>
      </c>
      <c r="D533" s="76" t="s">
        <v>8743</v>
      </c>
      <c r="E533" s="1035">
        <v>26</v>
      </c>
      <c r="F533" s="1036">
        <v>32</v>
      </c>
      <c r="G533" s="1035">
        <v>45</v>
      </c>
      <c r="H533" s="1035">
        <v>14</v>
      </c>
      <c r="I533" s="1035">
        <v>28</v>
      </c>
      <c r="J533" s="1035">
        <v>49</v>
      </c>
      <c r="K533" s="1035">
        <v>3</v>
      </c>
      <c r="L533" s="3830" t="str">
        <f t="shared" si="23"/>
        <v>Escudo De Energía2.000 PV</v>
      </c>
      <c r="M533" s="219"/>
    </row>
    <row r="534" spans="1:13" ht="12" customHeight="1">
      <c r="A534" s="7172"/>
      <c r="B534" s="7167"/>
      <c r="C534" s="39" t="s">
        <v>8740</v>
      </c>
      <c r="D534" s="76" t="s">
        <v>2989</v>
      </c>
      <c r="E534" s="1035">
        <v>1</v>
      </c>
      <c r="F534" s="1036">
        <v>1</v>
      </c>
      <c r="G534" s="1035">
        <v>5</v>
      </c>
      <c r="H534" s="1035">
        <v>1</v>
      </c>
      <c r="I534" s="1035">
        <v>2</v>
      </c>
      <c r="J534" s="1035">
        <v>4</v>
      </c>
      <c r="K534" s="1035"/>
      <c r="L534" s="3830" t="str">
        <f t="shared" ref="L534:L600" si="26">C534&amp;D534</f>
        <v>Escudo De EnergíaRegeneración 100</v>
      </c>
      <c r="M534" s="219"/>
    </row>
    <row r="535" spans="1:13" ht="12" customHeight="1">
      <c r="A535" s="7172"/>
      <c r="B535" s="7167"/>
      <c r="C535" s="39" t="s">
        <v>8740</v>
      </c>
      <c r="D535" s="76" t="s">
        <v>2990</v>
      </c>
      <c r="E535" s="1035">
        <v>2</v>
      </c>
      <c r="F535" s="1036">
        <v>2</v>
      </c>
      <c r="G535" s="1035">
        <v>10</v>
      </c>
      <c r="H535" s="1035">
        <v>2</v>
      </c>
      <c r="I535" s="1035">
        <v>4</v>
      </c>
      <c r="J535" s="1035">
        <v>7</v>
      </c>
      <c r="K535" s="1035"/>
      <c r="L535" s="3830" t="str">
        <f t="shared" si="26"/>
        <v>Escudo De EnergíaRegeneración 250</v>
      </c>
      <c r="M535" s="219"/>
    </row>
    <row r="536" spans="1:13" ht="12" customHeight="1">
      <c r="A536" s="7172"/>
      <c r="B536" s="7167"/>
      <c r="C536" s="39" t="s">
        <v>8740</v>
      </c>
      <c r="D536" s="76" t="s">
        <v>2991</v>
      </c>
      <c r="E536" s="1035">
        <v>4</v>
      </c>
      <c r="F536" s="1036">
        <v>4</v>
      </c>
      <c r="G536" s="1035">
        <v>15</v>
      </c>
      <c r="H536" s="1035">
        <v>3</v>
      </c>
      <c r="I536" s="1035">
        <v>6</v>
      </c>
      <c r="J536" s="1035">
        <v>11</v>
      </c>
      <c r="K536" s="1035"/>
      <c r="L536" s="3830" t="str">
        <f t="shared" si="26"/>
        <v>Escudo De EnergíaRegeneración 500</v>
      </c>
      <c r="M536" s="219"/>
    </row>
    <row r="537" spans="1:13" ht="12" customHeight="1">
      <c r="A537" s="7172"/>
      <c r="B537" s="7167"/>
      <c r="C537" s="39" t="s">
        <v>8744</v>
      </c>
      <c r="D537" s="76"/>
      <c r="E537" s="1035"/>
      <c r="F537" s="1036"/>
      <c r="G537" s="1035"/>
      <c r="H537" s="1035"/>
      <c r="I537" s="1035"/>
      <c r="J537" s="1035"/>
      <c r="K537" s="1035"/>
      <c r="L537" s="3830" t="str">
        <f t="shared" si="26"/>
        <v>&gt; ESTADOS SOBRENATURALES</v>
      </c>
      <c r="M537" s="219"/>
    </row>
    <row r="538" spans="1:13" ht="12" customHeight="1">
      <c r="A538" s="7172"/>
      <c r="B538" s="7167"/>
      <c r="C538" s="3831" t="s">
        <v>8510</v>
      </c>
      <c r="D538" s="3832" t="s">
        <v>8746</v>
      </c>
      <c r="E538" s="3833">
        <v>2</v>
      </c>
      <c r="F538" s="3834">
        <v>4</v>
      </c>
      <c r="G538" s="3833">
        <v>5</v>
      </c>
      <c r="H538" s="3833">
        <v>1</v>
      </c>
      <c r="I538" s="3833">
        <v>2</v>
      </c>
      <c r="J538" s="3833">
        <v>4</v>
      </c>
      <c r="K538" s="3833">
        <v>1</v>
      </c>
      <c r="L538" s="3835" t="str">
        <f t="shared" si="26"/>
        <v>Estados SobrenaturalesRF 80</v>
      </c>
      <c r="M538" s="219"/>
    </row>
    <row r="539" spans="1:13" ht="12" customHeight="1">
      <c r="A539" s="7172"/>
      <c r="B539" s="7167"/>
      <c r="C539" s="3831" t="s">
        <v>8510</v>
      </c>
      <c r="D539" s="3832" t="s">
        <v>8747</v>
      </c>
      <c r="E539" s="3833">
        <v>4</v>
      </c>
      <c r="F539" s="3834">
        <v>6</v>
      </c>
      <c r="G539" s="3833">
        <v>10</v>
      </c>
      <c r="H539" s="3833">
        <v>1</v>
      </c>
      <c r="I539" s="3833">
        <v>2</v>
      </c>
      <c r="J539" s="3833">
        <v>4</v>
      </c>
      <c r="K539" s="3833">
        <v>1</v>
      </c>
      <c r="L539" s="3835" t="str">
        <f t="shared" si="26"/>
        <v>Estados SobrenaturalesRF 100</v>
      </c>
      <c r="M539" s="219"/>
    </row>
    <row r="540" spans="1:13" ht="12" customHeight="1">
      <c r="A540" s="7172"/>
      <c r="B540" s="7167"/>
      <c r="C540" s="3831" t="s">
        <v>8510</v>
      </c>
      <c r="D540" s="3832" t="s">
        <v>8748</v>
      </c>
      <c r="E540" s="3833">
        <v>6</v>
      </c>
      <c r="F540" s="3834">
        <v>8</v>
      </c>
      <c r="G540" s="3833">
        <v>20</v>
      </c>
      <c r="H540" s="3833">
        <v>2</v>
      </c>
      <c r="I540" s="3833">
        <v>4</v>
      </c>
      <c r="J540" s="3833">
        <v>7</v>
      </c>
      <c r="K540" s="3833">
        <v>1</v>
      </c>
      <c r="L540" s="3835" t="str">
        <f t="shared" si="26"/>
        <v>Estados SobrenaturalesRF 120</v>
      </c>
      <c r="M540" s="219"/>
    </row>
    <row r="541" spans="1:13" ht="12" customHeight="1">
      <c r="A541" s="7172"/>
      <c r="B541" s="7167"/>
      <c r="C541" s="3831" t="s">
        <v>8510</v>
      </c>
      <c r="D541" s="3832" t="s">
        <v>8749</v>
      </c>
      <c r="E541" s="3833">
        <v>8</v>
      </c>
      <c r="F541" s="3834">
        <v>14</v>
      </c>
      <c r="G541" s="3833">
        <v>25</v>
      </c>
      <c r="H541" s="3833">
        <v>3</v>
      </c>
      <c r="I541" s="3833">
        <v>6</v>
      </c>
      <c r="J541" s="3833">
        <v>11</v>
      </c>
      <c r="K541" s="3833">
        <v>2</v>
      </c>
      <c r="L541" s="3835" t="str">
        <f t="shared" si="26"/>
        <v>Estados SobrenaturalesRF 140</v>
      </c>
      <c r="M541" s="219"/>
    </row>
    <row r="542" spans="1:13" ht="12" customHeight="1">
      <c r="A542" s="7172"/>
      <c r="B542" s="7167"/>
      <c r="C542" s="3831" t="s">
        <v>8510</v>
      </c>
      <c r="D542" s="3832" t="s">
        <v>8750</v>
      </c>
      <c r="E542" s="3833">
        <v>14</v>
      </c>
      <c r="F542" s="3834">
        <v>20</v>
      </c>
      <c r="G542" s="3833">
        <v>30</v>
      </c>
      <c r="H542" s="3833">
        <v>4</v>
      </c>
      <c r="I542" s="3833">
        <v>8</v>
      </c>
      <c r="J542" s="3833">
        <v>14</v>
      </c>
      <c r="K542" s="3833">
        <v>2</v>
      </c>
      <c r="L542" s="3835" t="str">
        <f t="shared" si="26"/>
        <v>Estados SobrenaturalesRF 160</v>
      </c>
      <c r="M542" s="219"/>
    </row>
    <row r="543" spans="1:13" ht="12" customHeight="1">
      <c r="A543" s="7172"/>
      <c r="B543" s="7167"/>
      <c r="C543" s="3831" t="s">
        <v>8510</v>
      </c>
      <c r="D543" s="3832" t="s">
        <v>8751</v>
      </c>
      <c r="E543" s="3833">
        <v>20</v>
      </c>
      <c r="F543" s="3834">
        <v>28</v>
      </c>
      <c r="G543" s="3833">
        <v>35</v>
      </c>
      <c r="H543" s="3833">
        <v>5</v>
      </c>
      <c r="I543" s="3833">
        <v>10</v>
      </c>
      <c r="J543" s="3833">
        <v>18</v>
      </c>
      <c r="K543" s="3833">
        <v>2</v>
      </c>
      <c r="L543" s="3835" t="str">
        <f t="shared" si="26"/>
        <v>Estados SobrenaturalesRF 180</v>
      </c>
      <c r="M543" s="219"/>
    </row>
    <row r="544" spans="1:13" ht="12" customHeight="1">
      <c r="A544" s="7172"/>
      <c r="B544" s="7167"/>
      <c r="C544" s="3831" t="s">
        <v>8510</v>
      </c>
      <c r="D544" s="3832" t="s">
        <v>8752</v>
      </c>
      <c r="E544" s="3833">
        <v>28</v>
      </c>
      <c r="F544" s="3834">
        <v>32</v>
      </c>
      <c r="G544" s="3833">
        <v>40</v>
      </c>
      <c r="H544" s="3833">
        <v>6</v>
      </c>
      <c r="I544" s="3833">
        <v>12</v>
      </c>
      <c r="J544" s="3833">
        <v>21</v>
      </c>
      <c r="K544" s="3833">
        <v>3</v>
      </c>
      <c r="L544" s="3835" t="str">
        <f t="shared" si="26"/>
        <v>Estados SobrenaturalesRF 200</v>
      </c>
      <c r="M544" s="219"/>
    </row>
    <row r="545" spans="1:13" ht="12" customHeight="1">
      <c r="A545" s="7172"/>
      <c r="B545" s="7167"/>
      <c r="C545" s="3831" t="s">
        <v>8510</v>
      </c>
      <c r="D545" s="3832" t="s">
        <v>11811</v>
      </c>
      <c r="E545" s="3833">
        <v>32</v>
      </c>
      <c r="F545" s="3834">
        <v>40</v>
      </c>
      <c r="G545" s="3833">
        <v>50</v>
      </c>
      <c r="H545" s="3833">
        <v>8</v>
      </c>
      <c r="I545" s="3833">
        <v>16</v>
      </c>
      <c r="J545" s="3833">
        <v>28</v>
      </c>
      <c r="K545" s="3833">
        <v>3</v>
      </c>
      <c r="L545" s="3835" t="str">
        <f t="shared" si="26"/>
        <v>Estados SobrenaturalesRF 240</v>
      </c>
      <c r="M545" s="219"/>
    </row>
    <row r="546" spans="1:13" ht="12" customHeight="1">
      <c r="A546" s="7172"/>
      <c r="B546" s="7167"/>
      <c r="C546" s="3831" t="s">
        <v>8510</v>
      </c>
      <c r="D546" s="3832" t="s">
        <v>8034</v>
      </c>
      <c r="E546" s="3833">
        <v>4</v>
      </c>
      <c r="F546" s="3834">
        <v>4</v>
      </c>
      <c r="G546" s="3833">
        <v>15</v>
      </c>
      <c r="H546" s="3833"/>
      <c r="I546" s="3833"/>
      <c r="J546" s="3833"/>
      <c r="K546" s="3833">
        <v>1</v>
      </c>
      <c r="L546" s="3835" t="str">
        <f t="shared" si="26"/>
        <v>Estados SobrenaturalesEstado añadido: Ceguera</v>
      </c>
      <c r="M546" s="219"/>
    </row>
    <row r="547" spans="1:13" ht="12" customHeight="1">
      <c r="A547" s="7172"/>
      <c r="B547" s="7167"/>
      <c r="C547" s="3831" t="s">
        <v>8510</v>
      </c>
      <c r="D547" s="3832" t="s">
        <v>8035</v>
      </c>
      <c r="E547" s="3833">
        <v>10</v>
      </c>
      <c r="F547" s="3834">
        <v>10</v>
      </c>
      <c r="G547" s="3833">
        <v>40</v>
      </c>
      <c r="H547" s="3833"/>
      <c r="I547" s="3833"/>
      <c r="J547" s="3833"/>
      <c r="K547" s="3833">
        <v>2</v>
      </c>
      <c r="L547" s="3835" t="str">
        <f t="shared" si="26"/>
        <v>Estados SobrenaturalesEstado añadido: Coma</v>
      </c>
      <c r="M547" s="219"/>
    </row>
    <row r="548" spans="1:13" ht="12" customHeight="1">
      <c r="A548" s="7172"/>
      <c r="B548" s="7167"/>
      <c r="C548" s="3831" t="s">
        <v>8510</v>
      </c>
      <c r="D548" s="3832" t="s">
        <v>8036</v>
      </c>
      <c r="E548" s="3833">
        <v>10</v>
      </c>
      <c r="F548" s="3834">
        <v>10</v>
      </c>
      <c r="G548" s="3833">
        <v>40</v>
      </c>
      <c r="H548" s="3833"/>
      <c r="I548" s="3833"/>
      <c r="J548" s="3833"/>
      <c r="K548" s="3833">
        <v>2</v>
      </c>
      <c r="L548" s="3835" t="str">
        <f t="shared" si="26"/>
        <v>Estados SobrenaturalesEstado añadido: Control</v>
      </c>
      <c r="M548" s="219"/>
    </row>
    <row r="549" spans="1:13" ht="12" customHeight="1">
      <c r="A549" s="7172"/>
      <c r="B549" s="7167"/>
      <c r="C549" s="3831" t="s">
        <v>8510</v>
      </c>
      <c r="D549" s="3832" t="s">
        <v>8037</v>
      </c>
      <c r="E549" s="3833">
        <v>1</v>
      </c>
      <c r="F549" s="3834">
        <v>1</v>
      </c>
      <c r="G549" s="3833">
        <v>5</v>
      </c>
      <c r="H549" s="3833"/>
      <c r="I549" s="3833"/>
      <c r="J549" s="3833"/>
      <c r="K549" s="3833">
        <v>1</v>
      </c>
      <c r="L549" s="3835" t="str">
        <f t="shared" si="26"/>
        <v>Estados SobrenaturalesEstado añadido: Daño</v>
      </c>
      <c r="M549" s="219"/>
    </row>
    <row r="550" spans="1:13" ht="12" customHeight="1">
      <c r="A550" s="7172"/>
      <c r="B550" s="7167"/>
      <c r="C550" s="3831" t="s">
        <v>8510</v>
      </c>
      <c r="D550" s="3832" t="s">
        <v>8038</v>
      </c>
      <c r="E550" s="3833">
        <v>4</v>
      </c>
      <c r="F550" s="3834">
        <v>4</v>
      </c>
      <c r="G550" s="3833">
        <v>10</v>
      </c>
      <c r="H550" s="3833"/>
      <c r="I550" s="3833"/>
      <c r="J550" s="3833"/>
      <c r="K550" s="3833">
        <v>1</v>
      </c>
      <c r="L550" s="3835" t="str">
        <f t="shared" si="26"/>
        <v>Estados SobrenaturalesEstado añadido: Doble Daño</v>
      </c>
      <c r="M550" s="219"/>
    </row>
    <row r="551" spans="1:13" ht="12" customHeight="1">
      <c r="A551" s="7172"/>
      <c r="B551" s="7167"/>
      <c r="C551" s="3831" t="s">
        <v>8510</v>
      </c>
      <c r="D551" s="3832" t="s">
        <v>8039</v>
      </c>
      <c r="E551" s="3833">
        <v>1</v>
      </c>
      <c r="F551" s="3834">
        <v>1</v>
      </c>
      <c r="G551" s="3833">
        <v>10</v>
      </c>
      <c r="H551" s="3833"/>
      <c r="I551" s="3833"/>
      <c r="J551" s="3833"/>
      <c r="K551" s="3833">
        <v>1</v>
      </c>
      <c r="L551" s="3835" t="str">
        <f t="shared" si="26"/>
        <v>Estados SobrenaturalesEstado añadido: Dolor</v>
      </c>
      <c r="M551" s="219"/>
    </row>
    <row r="552" spans="1:13" ht="12" customHeight="1">
      <c r="A552" s="7172"/>
      <c r="B552" s="7167"/>
      <c r="C552" s="3831" t="s">
        <v>8510</v>
      </c>
      <c r="D552" s="3832" t="s">
        <v>8040</v>
      </c>
      <c r="E552" s="3833">
        <v>4</v>
      </c>
      <c r="F552" s="3834">
        <v>4</v>
      </c>
      <c r="G552" s="3833">
        <v>15</v>
      </c>
      <c r="H552" s="3833"/>
      <c r="I552" s="3833"/>
      <c r="J552" s="3833"/>
      <c r="K552" s="3833">
        <v>1</v>
      </c>
      <c r="L552" s="3835" t="str">
        <f t="shared" si="26"/>
        <v>Estados SobrenaturalesEstado añadido: Dolor Extremo</v>
      </c>
      <c r="M552" s="219"/>
    </row>
    <row r="553" spans="1:13" ht="12" customHeight="1">
      <c r="A553" s="7172"/>
      <c r="B553" s="7167"/>
      <c r="C553" s="3831" t="s">
        <v>8510</v>
      </c>
      <c r="D553" s="3832" t="s">
        <v>8041</v>
      </c>
      <c r="E553" s="3833">
        <v>4</v>
      </c>
      <c r="F553" s="3834">
        <v>4</v>
      </c>
      <c r="G553" s="3833">
        <v>15</v>
      </c>
      <c r="H553" s="3833"/>
      <c r="I553" s="3833"/>
      <c r="J553" s="3833"/>
      <c r="K553" s="3833">
        <v>2</v>
      </c>
      <c r="L553" s="3835" t="str">
        <f t="shared" si="26"/>
        <v>Estados SobrenaturalesEstado añadido: Drenaje de Vida</v>
      </c>
      <c r="M553" s="219"/>
    </row>
    <row r="554" spans="1:13" ht="12" customHeight="1">
      <c r="A554" s="7172"/>
      <c r="B554" s="7167"/>
      <c r="C554" s="3831" t="s">
        <v>8510</v>
      </c>
      <c r="D554" s="3832" t="s">
        <v>8042</v>
      </c>
      <c r="E554" s="3833">
        <v>6</v>
      </c>
      <c r="F554" s="3834">
        <v>6</v>
      </c>
      <c r="G554" s="3833">
        <v>20</v>
      </c>
      <c r="H554" s="3833"/>
      <c r="I554" s="3833"/>
      <c r="J554" s="3833"/>
      <c r="K554" s="3833">
        <v>1</v>
      </c>
      <c r="L554" s="3835" t="str">
        <f t="shared" si="26"/>
        <v>Estados SobrenaturalesEstado añadido: Drenaje de Ki</v>
      </c>
      <c r="M554" s="219"/>
    </row>
    <row r="555" spans="1:13" ht="12" customHeight="1">
      <c r="A555" s="7172"/>
      <c r="B555" s="7167"/>
      <c r="C555" s="3831" t="s">
        <v>8510</v>
      </c>
      <c r="D555" s="3832" t="s">
        <v>8043</v>
      </c>
      <c r="E555" s="3833">
        <v>3</v>
      </c>
      <c r="F555" s="3834">
        <v>3</v>
      </c>
      <c r="G555" s="3833">
        <v>10</v>
      </c>
      <c r="H555" s="3833"/>
      <c r="I555" s="3833"/>
      <c r="J555" s="3833"/>
      <c r="K555" s="3833">
        <v>1</v>
      </c>
      <c r="L555" s="3835" t="str">
        <f t="shared" si="26"/>
        <v>Estados SobrenaturalesEstado añadido: Fascinación</v>
      </c>
      <c r="M555" s="219"/>
    </row>
    <row r="556" spans="1:13" ht="12" customHeight="1">
      <c r="A556" s="7172"/>
      <c r="B556" s="7167"/>
      <c r="C556" s="3831" t="s">
        <v>8510</v>
      </c>
      <c r="D556" s="3832" t="s">
        <v>8044</v>
      </c>
      <c r="E556" s="3833">
        <v>4</v>
      </c>
      <c r="F556" s="3834">
        <v>4</v>
      </c>
      <c r="G556" s="3833">
        <v>10</v>
      </c>
      <c r="H556" s="3833"/>
      <c r="I556" s="3833"/>
      <c r="J556" s="3833"/>
      <c r="K556" s="3833">
        <v>1</v>
      </c>
      <c r="L556" s="3835" t="str">
        <f t="shared" si="26"/>
        <v>Estados SobrenaturalesEstado añadido: Ilusión</v>
      </c>
      <c r="M556" s="219"/>
    </row>
    <row r="557" spans="1:13" ht="12" customHeight="1">
      <c r="A557" s="7172"/>
      <c r="B557" s="7167"/>
      <c r="C557" s="3831" t="s">
        <v>8510</v>
      </c>
      <c r="D557" s="3832" t="s">
        <v>8045</v>
      </c>
      <c r="E557" s="3833">
        <v>6</v>
      </c>
      <c r="F557" s="3834">
        <v>6</v>
      </c>
      <c r="G557" s="3833">
        <v>20</v>
      </c>
      <c r="H557" s="3833"/>
      <c r="I557" s="3833"/>
      <c r="J557" s="3833"/>
      <c r="K557" s="3833">
        <v>1</v>
      </c>
      <c r="L557" s="3835" t="str">
        <f t="shared" si="26"/>
        <v>Estados SobrenaturalesEstado añadido: Ilusión Fantasmal</v>
      </c>
      <c r="M557" s="219"/>
    </row>
    <row r="558" spans="1:13" ht="12" customHeight="1">
      <c r="A558" s="7172"/>
      <c r="B558" s="7167"/>
      <c r="C558" s="3831" t="s">
        <v>8510</v>
      </c>
      <c r="D558" s="3832" t="s">
        <v>8046</v>
      </c>
      <c r="E558" s="3833">
        <v>4</v>
      </c>
      <c r="F558" s="3834">
        <v>4</v>
      </c>
      <c r="G558" s="3833">
        <v>15</v>
      </c>
      <c r="H558" s="3833"/>
      <c r="I558" s="3833"/>
      <c r="J558" s="3833"/>
      <c r="K558" s="3833">
        <v>1</v>
      </c>
      <c r="L558" s="3835" t="str">
        <f t="shared" si="26"/>
        <v>Estados SobrenaturalesEstado añadido: Ilusión Mayor</v>
      </c>
      <c r="M558" s="219"/>
    </row>
    <row r="559" spans="1:13" ht="12" customHeight="1">
      <c r="A559" s="7172"/>
      <c r="B559" s="7167"/>
      <c r="C559" s="3831" t="s">
        <v>8510</v>
      </c>
      <c r="D559" s="3832" t="s">
        <v>8047</v>
      </c>
      <c r="E559" s="3833">
        <v>7</v>
      </c>
      <c r="F559" s="3834">
        <v>7</v>
      </c>
      <c r="G559" s="3833">
        <v>35</v>
      </c>
      <c r="H559" s="3833"/>
      <c r="I559" s="3833"/>
      <c r="J559" s="3833"/>
      <c r="K559" s="3833">
        <v>2</v>
      </c>
      <c r="L559" s="3835" t="str">
        <f t="shared" si="26"/>
        <v>Estados SobrenaturalesEstado añadido: Inconsciencia</v>
      </c>
      <c r="M559" s="219"/>
    </row>
    <row r="560" spans="1:13" ht="12" customHeight="1">
      <c r="A560" s="7172"/>
      <c r="B560" s="7167"/>
      <c r="C560" s="3831" t="s">
        <v>8510</v>
      </c>
      <c r="D560" s="3832" t="s">
        <v>8048</v>
      </c>
      <c r="E560" s="3833">
        <v>1</v>
      </c>
      <c r="F560" s="3834">
        <v>1</v>
      </c>
      <c r="G560" s="3833">
        <v>10</v>
      </c>
      <c r="H560" s="3833"/>
      <c r="I560" s="3833"/>
      <c r="J560" s="3833"/>
      <c r="K560" s="3833">
        <v>1</v>
      </c>
      <c r="L560" s="3835" t="str">
        <f t="shared" si="26"/>
        <v>Estados SobrenaturalesEstado añadido: Miedo</v>
      </c>
      <c r="M560" s="219"/>
    </row>
    <row r="561" spans="1:13" ht="12" customHeight="1">
      <c r="A561" s="7172"/>
      <c r="B561" s="7167"/>
      <c r="C561" s="3831" t="s">
        <v>8510</v>
      </c>
      <c r="D561" s="3832" t="s">
        <v>8049</v>
      </c>
      <c r="E561" s="3833">
        <v>14</v>
      </c>
      <c r="F561" s="3834">
        <v>14</v>
      </c>
      <c r="G561" s="3833">
        <v>50</v>
      </c>
      <c r="H561" s="3833"/>
      <c r="I561" s="3833"/>
      <c r="J561" s="3833"/>
      <c r="K561" s="3833">
        <v>3</v>
      </c>
      <c r="L561" s="3835" t="str">
        <f t="shared" si="26"/>
        <v>Estados SobrenaturalesEstado añadido: Muerte</v>
      </c>
      <c r="M561" s="219"/>
    </row>
    <row r="562" spans="1:13" ht="12" customHeight="1">
      <c r="A562" s="7172"/>
      <c r="B562" s="7167"/>
      <c r="C562" s="3831" t="s">
        <v>8510</v>
      </c>
      <c r="D562" s="3832" t="s">
        <v>8050</v>
      </c>
      <c r="E562" s="3833">
        <v>4</v>
      </c>
      <c r="F562" s="3834">
        <v>4</v>
      </c>
      <c r="G562" s="3833">
        <v>10</v>
      </c>
      <c r="H562" s="3833"/>
      <c r="I562" s="3833"/>
      <c r="J562" s="3833"/>
      <c r="K562" s="3833">
        <v>1</v>
      </c>
      <c r="L562" s="3835" t="str">
        <f t="shared" si="26"/>
        <v>Estados SobrenaturalesEstado añadido: Paralización Parcial</v>
      </c>
      <c r="M562" s="219"/>
    </row>
    <row r="563" spans="1:13" ht="12" customHeight="1">
      <c r="A563" s="7172"/>
      <c r="B563" s="7167"/>
      <c r="C563" s="3831" t="s">
        <v>8510</v>
      </c>
      <c r="D563" s="3832" t="s">
        <v>8051</v>
      </c>
      <c r="E563" s="3833">
        <v>8</v>
      </c>
      <c r="F563" s="3834">
        <v>8</v>
      </c>
      <c r="G563" s="3833">
        <v>20</v>
      </c>
      <c r="H563" s="3833"/>
      <c r="I563" s="3833"/>
      <c r="J563" s="3833"/>
      <c r="K563" s="3833">
        <v>2</v>
      </c>
      <c r="L563" s="3835" t="str">
        <f t="shared" si="26"/>
        <v>Estados SobrenaturalesEstado añadido: Paralización Total</v>
      </c>
      <c r="M563" s="219"/>
    </row>
    <row r="564" spans="1:13" ht="12" customHeight="1">
      <c r="A564" s="7172"/>
      <c r="B564" s="7167"/>
      <c r="C564" s="3831" t="s">
        <v>8510</v>
      </c>
      <c r="D564" s="3832" t="s">
        <v>8753</v>
      </c>
      <c r="E564" s="3833">
        <v>2</v>
      </c>
      <c r="F564" s="3834">
        <v>2</v>
      </c>
      <c r="G564" s="3833">
        <v>5</v>
      </c>
      <c r="H564" s="3833"/>
      <c r="I564" s="3833"/>
      <c r="J564" s="3833"/>
      <c r="K564" s="3833">
        <v>1</v>
      </c>
      <c r="L564" s="3835" t="str">
        <f t="shared" si="26"/>
        <v>Estados SobrenaturalesEstado añadido: Pen. a la Acción Mayor</v>
      </c>
      <c r="M564" s="219"/>
    </row>
    <row r="565" spans="1:13" ht="12" customHeight="1">
      <c r="A565" s="7172"/>
      <c r="B565" s="7167"/>
      <c r="C565" s="3831" t="s">
        <v>8510</v>
      </c>
      <c r="D565" s="3832" t="s">
        <v>8754</v>
      </c>
      <c r="E565" s="3833">
        <v>1</v>
      </c>
      <c r="F565" s="3834">
        <v>1</v>
      </c>
      <c r="G565" s="3833">
        <v>5</v>
      </c>
      <c r="H565" s="3833"/>
      <c r="I565" s="3833"/>
      <c r="J565" s="3833"/>
      <c r="K565" s="3833">
        <v>1</v>
      </c>
      <c r="L565" s="3835" t="str">
        <f t="shared" si="26"/>
        <v>Estados SobrenaturalesEstado añadido: Pen. a la Acción Menor</v>
      </c>
      <c r="M565" s="219"/>
    </row>
    <row r="566" spans="1:13" ht="12" customHeight="1">
      <c r="A566" s="7172"/>
      <c r="B566" s="7167"/>
      <c r="C566" s="3831" t="s">
        <v>8510</v>
      </c>
      <c r="D566" s="3832" t="s">
        <v>8755</v>
      </c>
      <c r="E566" s="3833">
        <v>4</v>
      </c>
      <c r="F566" s="3834">
        <v>4</v>
      </c>
      <c r="G566" s="3833">
        <v>15</v>
      </c>
      <c r="H566" s="3833"/>
      <c r="I566" s="3833"/>
      <c r="J566" s="3833"/>
      <c r="K566" s="3833">
        <v>1</v>
      </c>
      <c r="L566" s="3835" t="str">
        <f t="shared" si="26"/>
        <v>Estados SobrenaturalesEstado añadido: Reducción de Car.</v>
      </c>
      <c r="M566" s="219"/>
    </row>
    <row r="567" spans="1:13" ht="12" customHeight="1">
      <c r="A567" s="7172"/>
      <c r="B567" s="7167"/>
      <c r="C567" s="3831" t="s">
        <v>8510</v>
      </c>
      <c r="D567" s="3832" t="s">
        <v>8756</v>
      </c>
      <c r="E567" s="3833">
        <v>1</v>
      </c>
      <c r="F567" s="3834">
        <v>1</v>
      </c>
      <c r="G567" s="3833">
        <v>10</v>
      </c>
      <c r="H567" s="3833"/>
      <c r="I567" s="3833"/>
      <c r="J567" s="3833"/>
      <c r="K567" s="3833">
        <v>1</v>
      </c>
      <c r="L567" s="3835" t="str">
        <f t="shared" si="26"/>
        <v>Estados SobrenaturalesEstado añadido: Reducción de una Car.</v>
      </c>
      <c r="M567" s="219"/>
    </row>
    <row r="568" spans="1:13" ht="12" customHeight="1">
      <c r="A568" s="7172"/>
      <c r="B568" s="7167"/>
      <c r="C568" s="3831" t="s">
        <v>8510</v>
      </c>
      <c r="D568" s="3832" t="s">
        <v>8052</v>
      </c>
      <c r="E568" s="3833">
        <v>1</v>
      </c>
      <c r="F568" s="3834">
        <v>1</v>
      </c>
      <c r="G568" s="3833">
        <v>10</v>
      </c>
      <c r="H568" s="3833"/>
      <c r="I568" s="3833"/>
      <c r="J568" s="3833"/>
      <c r="K568" s="3833">
        <v>1</v>
      </c>
      <c r="L568" s="3835" t="str">
        <f t="shared" si="26"/>
        <v>Estados SobrenaturalesEstado añadido: Reducción de RF</v>
      </c>
      <c r="M568" s="219"/>
    </row>
    <row r="569" spans="1:13" ht="12" customHeight="1">
      <c r="A569" s="7172"/>
      <c r="B569" s="7167"/>
      <c r="C569" s="3831" t="s">
        <v>8510</v>
      </c>
      <c r="D569" s="3832" t="s">
        <v>8053</v>
      </c>
      <c r="E569" s="3833">
        <v>1</v>
      </c>
      <c r="F569" s="3834">
        <v>1</v>
      </c>
      <c r="G569" s="3833">
        <v>10</v>
      </c>
      <c r="H569" s="3833"/>
      <c r="I569" s="3833"/>
      <c r="J569" s="3833"/>
      <c r="K569" s="3833">
        <v>1</v>
      </c>
      <c r="L569" s="3835" t="str">
        <f t="shared" si="26"/>
        <v>Estados SobrenaturalesEstado añadido: Reducción de RP</v>
      </c>
      <c r="M569" s="219"/>
    </row>
    <row r="570" spans="1:13" ht="12" customHeight="1">
      <c r="A570" s="7172"/>
      <c r="B570" s="7167"/>
      <c r="C570" s="3831" t="s">
        <v>8510</v>
      </c>
      <c r="D570" s="3832" t="s">
        <v>8054</v>
      </c>
      <c r="E570" s="3833">
        <v>4</v>
      </c>
      <c r="F570" s="3834">
        <v>4</v>
      </c>
      <c r="G570" s="3833">
        <v>15</v>
      </c>
      <c r="H570" s="3833"/>
      <c r="I570" s="3833"/>
      <c r="J570" s="3833"/>
      <c r="K570" s="3833">
        <v>1</v>
      </c>
      <c r="L570" s="3835" t="str">
        <f t="shared" si="26"/>
        <v>Estados SobrenaturalesEstado añadido: Terror</v>
      </c>
      <c r="M570" s="219"/>
    </row>
    <row r="571" spans="1:13" ht="12" customHeight="1">
      <c r="A571" s="7172"/>
      <c r="B571" s="7167"/>
      <c r="C571" s="3831" t="s">
        <v>8510</v>
      </c>
      <c r="D571" s="3832" t="s">
        <v>8757</v>
      </c>
      <c r="E571" s="3833">
        <v>0</v>
      </c>
      <c r="F571" s="3834">
        <v>0</v>
      </c>
      <c r="G571" s="3833">
        <v>0</v>
      </c>
      <c r="H571" s="3833"/>
      <c r="I571" s="3833"/>
      <c r="J571" s="3833"/>
      <c r="K571" s="3833">
        <v>1</v>
      </c>
      <c r="L571" s="3835" t="str">
        <f t="shared" si="26"/>
        <v>Estados SobrenaturalesCondición: Conseguir dar un ataque</v>
      </c>
      <c r="M571" s="219"/>
    </row>
    <row r="572" spans="1:13" ht="12" customHeight="1">
      <c r="A572" s="7172"/>
      <c r="B572" s="7167"/>
      <c r="C572" s="3831" t="s">
        <v>8510</v>
      </c>
      <c r="D572" s="3832" t="s">
        <v>8758</v>
      </c>
      <c r="E572" s="3833">
        <v>1</v>
      </c>
      <c r="F572" s="3834">
        <v>1</v>
      </c>
      <c r="G572" s="3833">
        <v>10</v>
      </c>
      <c r="H572" s="3833"/>
      <c r="I572" s="3833"/>
      <c r="J572" s="3833"/>
      <c r="K572" s="3833">
        <v>1</v>
      </c>
      <c r="L572" s="3835" t="str">
        <f t="shared" si="26"/>
        <v>Estados SobrenaturalesCondición: Conseguir dar un Beso</v>
      </c>
      <c r="M572" s="219"/>
    </row>
    <row r="573" spans="1:13" ht="12" customHeight="1">
      <c r="A573" s="7172"/>
      <c r="B573" s="7167"/>
      <c r="C573" s="3831" t="s">
        <v>8510</v>
      </c>
      <c r="D573" s="3832" t="s">
        <v>8759</v>
      </c>
      <c r="E573" s="3833">
        <v>2</v>
      </c>
      <c r="F573" s="3834">
        <v>2</v>
      </c>
      <c r="G573" s="3833">
        <v>5</v>
      </c>
      <c r="H573" s="3833"/>
      <c r="I573" s="3833"/>
      <c r="J573" s="3833"/>
      <c r="K573" s="3833">
        <v>1</v>
      </c>
      <c r="L573" s="3835" t="str">
        <f t="shared" si="26"/>
        <v>Estados SobrenaturalesCondición: Contacto Físico</v>
      </c>
      <c r="M573" s="219"/>
    </row>
    <row r="574" spans="1:13" ht="12" customHeight="1">
      <c r="A574" s="7172"/>
      <c r="B574" s="7167"/>
      <c r="C574" s="3831" t="s">
        <v>8510</v>
      </c>
      <c r="D574" s="3832" t="s">
        <v>8760</v>
      </c>
      <c r="E574" s="3833">
        <v>8</v>
      </c>
      <c r="F574" s="3834">
        <v>8</v>
      </c>
      <c r="G574" s="3833">
        <v>15</v>
      </c>
      <c r="H574" s="3833"/>
      <c r="I574" s="3833"/>
      <c r="J574" s="3833"/>
      <c r="K574" s="3833">
        <v>1</v>
      </c>
      <c r="L574" s="3835" t="str">
        <f t="shared" si="26"/>
        <v>Estados SobrenaturalesCondición: Contacto Visual Mutuo</v>
      </c>
      <c r="M574" s="219"/>
    </row>
    <row r="575" spans="1:13" ht="12" customHeight="1">
      <c r="A575" s="7172"/>
      <c r="B575" s="7167"/>
      <c r="C575" s="3831" t="s">
        <v>8510</v>
      </c>
      <c r="D575" s="3832" t="s">
        <v>8761</v>
      </c>
      <c r="E575" s="3833">
        <v>12</v>
      </c>
      <c r="F575" s="3834">
        <v>12</v>
      </c>
      <c r="G575" s="3833">
        <v>30</v>
      </c>
      <c r="H575" s="3833"/>
      <c r="I575" s="3833"/>
      <c r="J575" s="3833"/>
      <c r="K575" s="3833">
        <v>2</v>
      </c>
      <c r="L575" s="3835" t="str">
        <f t="shared" si="26"/>
        <v>Estados SobrenaturalesCondición: Contacto Visual (Un Blanco)</v>
      </c>
      <c r="M575" s="219"/>
    </row>
    <row r="576" spans="1:13" ht="12" customHeight="1">
      <c r="A576" s="7172"/>
      <c r="B576" s="7167"/>
      <c r="C576" s="3831" t="s">
        <v>8510</v>
      </c>
      <c r="D576" s="3832" t="s">
        <v>8762</v>
      </c>
      <c r="E576" s="3833">
        <v>16</v>
      </c>
      <c r="F576" s="3834">
        <v>16</v>
      </c>
      <c r="G576" s="3833">
        <v>40</v>
      </c>
      <c r="H576" s="3833"/>
      <c r="I576" s="3833"/>
      <c r="J576" s="3833"/>
      <c r="K576" s="3833">
        <v>3</v>
      </c>
      <c r="L576" s="3835" t="str">
        <f t="shared" si="26"/>
        <v>Estados SobrenaturalesCondición: Contacto Visual (Varios)</v>
      </c>
      <c r="M576" s="219"/>
    </row>
    <row r="577" spans="1:13" ht="12" customHeight="1">
      <c r="A577" s="7172"/>
      <c r="B577" s="7167"/>
      <c r="C577" s="3831" t="s">
        <v>8510</v>
      </c>
      <c r="D577" s="3832" t="s">
        <v>8763</v>
      </c>
      <c r="E577" s="3833">
        <v>20</v>
      </c>
      <c r="F577" s="3834">
        <v>20</v>
      </c>
      <c r="G577" s="3833">
        <v>50</v>
      </c>
      <c r="H577" s="3833"/>
      <c r="I577" s="3833"/>
      <c r="J577" s="3833"/>
      <c r="K577" s="3833">
        <v>3</v>
      </c>
      <c r="L577" s="3835" t="str">
        <f t="shared" si="26"/>
        <v>Estados SobrenaturalesCondición: Por el Aire</v>
      </c>
      <c r="M577" s="219"/>
    </row>
    <row r="578" spans="1:13" ht="12" customHeight="1">
      <c r="A578" s="7172"/>
      <c r="B578" s="7167"/>
      <c r="C578" s="3831" t="s">
        <v>8510</v>
      </c>
      <c r="D578" s="3832" t="s">
        <v>8764</v>
      </c>
      <c r="E578" s="3833">
        <v>13</v>
      </c>
      <c r="F578" s="3834">
        <v>13</v>
      </c>
      <c r="G578" s="3833">
        <v>35</v>
      </c>
      <c r="H578" s="3833"/>
      <c r="I578" s="3833"/>
      <c r="J578" s="3833"/>
      <c r="K578" s="3833">
        <v>2</v>
      </c>
      <c r="L578" s="3835" t="str">
        <f t="shared" si="26"/>
        <v>Estados SobrenaturalesCondición: Por Sonido (Un Blanco)</v>
      </c>
      <c r="M578" s="219"/>
    </row>
    <row r="579" spans="1:13" ht="12" customHeight="1">
      <c r="A579" s="7172"/>
      <c r="B579" s="7167"/>
      <c r="C579" s="3831" t="s">
        <v>8510</v>
      </c>
      <c r="D579" s="3832" t="s">
        <v>8765</v>
      </c>
      <c r="E579" s="3833">
        <v>18</v>
      </c>
      <c r="F579" s="3834">
        <v>18</v>
      </c>
      <c r="G579" s="3833">
        <v>45</v>
      </c>
      <c r="H579" s="3833"/>
      <c r="I579" s="3833"/>
      <c r="J579" s="3833"/>
      <c r="K579" s="3833">
        <v>3</v>
      </c>
      <c r="L579" s="3835" t="str">
        <f t="shared" si="26"/>
        <v>Estados SobrenaturalesCondición: Por Sonido (Varios Blancos)</v>
      </c>
      <c r="M579" s="219"/>
    </row>
    <row r="580" spans="1:13" ht="12" customHeight="1">
      <c r="A580" s="7172"/>
      <c r="B580" s="7167"/>
      <c r="C580" s="3831" t="s">
        <v>8510</v>
      </c>
      <c r="D580" s="3832" t="s">
        <v>8766</v>
      </c>
      <c r="E580" s="3833">
        <v>12</v>
      </c>
      <c r="F580" s="3834">
        <v>12</v>
      </c>
      <c r="G580" s="3833">
        <v>30</v>
      </c>
      <c r="H580" s="3833"/>
      <c r="I580" s="3833"/>
      <c r="J580" s="3833"/>
      <c r="K580" s="3833">
        <v>2</v>
      </c>
      <c r="L580" s="3835" t="str">
        <f t="shared" si="26"/>
        <v>Estados SobrenaturalesCondición: Por Superficie</v>
      </c>
      <c r="M580" s="219"/>
    </row>
    <row r="581" spans="1:13" ht="12" customHeight="1">
      <c r="A581" s="7172"/>
      <c r="B581" s="7167"/>
      <c r="C581" s="3831" t="s">
        <v>8510</v>
      </c>
      <c r="D581" s="3832" t="s">
        <v>8767</v>
      </c>
      <c r="E581" s="3833">
        <v>18</v>
      </c>
      <c r="F581" s="3834">
        <v>18</v>
      </c>
      <c r="G581" s="3833">
        <v>45</v>
      </c>
      <c r="H581" s="3833"/>
      <c r="I581" s="3833"/>
      <c r="J581" s="3833"/>
      <c r="K581" s="3833">
        <v>3</v>
      </c>
      <c r="L581" s="3835" t="str">
        <f t="shared" si="26"/>
        <v>Estados SobrenaturalesCondición: Por Toda Superficie</v>
      </c>
      <c r="M581" s="219"/>
    </row>
    <row r="582" spans="1:13" ht="12" customHeight="1">
      <c r="A582" s="7172"/>
      <c r="B582" s="7167"/>
      <c r="C582" s="3831" t="s">
        <v>8510</v>
      </c>
      <c r="D582" s="3832" t="s">
        <v>8768</v>
      </c>
      <c r="E582" s="3833">
        <v>1</v>
      </c>
      <c r="F582" s="3834">
        <v>1</v>
      </c>
      <c r="G582" s="3833">
        <v>5</v>
      </c>
      <c r="H582" s="3833"/>
      <c r="I582" s="3833"/>
      <c r="J582" s="3833"/>
      <c r="K582" s="3833">
        <v>1</v>
      </c>
      <c r="L582" s="3835" t="str">
        <f t="shared" si="26"/>
        <v>Estados SobrenaturalesDistancia: 1 metro</v>
      </c>
      <c r="M582" s="219"/>
    </row>
    <row r="583" spans="1:13" ht="12" customHeight="1">
      <c r="A583" s="7172"/>
      <c r="B583" s="7167"/>
      <c r="C583" s="3831" t="s">
        <v>8510</v>
      </c>
      <c r="D583" s="3832" t="s">
        <v>8769</v>
      </c>
      <c r="E583" s="3833">
        <v>2</v>
      </c>
      <c r="F583" s="3834">
        <v>2</v>
      </c>
      <c r="G583" s="3833">
        <v>5</v>
      </c>
      <c r="H583" s="3833"/>
      <c r="I583" s="3833"/>
      <c r="J583" s="3833"/>
      <c r="K583" s="3833">
        <v>1</v>
      </c>
      <c r="L583" s="3835" t="str">
        <f t="shared" si="26"/>
        <v>Estados SobrenaturalesDistancia: 5 metros</v>
      </c>
      <c r="M583" s="219"/>
    </row>
    <row r="584" spans="1:13" ht="12" customHeight="1">
      <c r="A584" s="7172"/>
      <c r="B584" s="7167"/>
      <c r="C584" s="3831" t="s">
        <v>8510</v>
      </c>
      <c r="D584" s="3832" t="s">
        <v>8770</v>
      </c>
      <c r="E584" s="3833">
        <v>3</v>
      </c>
      <c r="F584" s="3834">
        <v>3</v>
      </c>
      <c r="G584" s="3833">
        <v>10</v>
      </c>
      <c r="H584" s="3833"/>
      <c r="I584" s="3833"/>
      <c r="J584" s="3833"/>
      <c r="K584" s="3833">
        <v>1</v>
      </c>
      <c r="L584" s="3835" t="str">
        <f t="shared" si="26"/>
        <v>Estados SobrenaturalesDistancia: 10 metros</v>
      </c>
      <c r="M584" s="219"/>
    </row>
    <row r="585" spans="1:13" ht="12" customHeight="1">
      <c r="A585" s="7172"/>
      <c r="B585" s="7167"/>
      <c r="C585" s="3831" t="s">
        <v>8510</v>
      </c>
      <c r="D585" s="3832" t="s">
        <v>8771</v>
      </c>
      <c r="E585" s="3833">
        <v>4</v>
      </c>
      <c r="F585" s="3834">
        <v>4</v>
      </c>
      <c r="G585" s="3833">
        <v>10</v>
      </c>
      <c r="H585" s="3833"/>
      <c r="I585" s="3833"/>
      <c r="J585" s="3833"/>
      <c r="K585" s="3833">
        <v>1</v>
      </c>
      <c r="L585" s="3835" t="str">
        <f t="shared" si="26"/>
        <v>Estados SobrenaturalesDistancia: 25 metros</v>
      </c>
      <c r="M585" s="219"/>
    </row>
    <row r="586" spans="1:13" ht="12" customHeight="1">
      <c r="A586" s="7172"/>
      <c r="B586" s="7167"/>
      <c r="C586" s="3831" t="s">
        <v>8510</v>
      </c>
      <c r="D586" s="3832" t="s">
        <v>8772</v>
      </c>
      <c r="E586" s="3833">
        <v>6</v>
      </c>
      <c r="F586" s="3834">
        <v>6</v>
      </c>
      <c r="G586" s="3833">
        <v>15</v>
      </c>
      <c r="H586" s="3833"/>
      <c r="I586" s="3833"/>
      <c r="J586" s="3833"/>
      <c r="K586" s="3833">
        <v>2</v>
      </c>
      <c r="L586" s="3835" t="str">
        <f t="shared" si="26"/>
        <v>Estados SobrenaturalesDistancia: 50 metros</v>
      </c>
      <c r="M586" s="219"/>
    </row>
    <row r="587" spans="1:13" ht="12" customHeight="1">
      <c r="A587" s="7172"/>
      <c r="B587" s="7167"/>
      <c r="C587" s="3831" t="s">
        <v>8510</v>
      </c>
      <c r="D587" s="3832" t="s">
        <v>8773</v>
      </c>
      <c r="E587" s="3833">
        <v>8</v>
      </c>
      <c r="F587" s="3834">
        <v>8</v>
      </c>
      <c r="G587" s="3833">
        <v>20</v>
      </c>
      <c r="H587" s="3833"/>
      <c r="I587" s="3833"/>
      <c r="J587" s="3833"/>
      <c r="K587" s="3833">
        <v>2</v>
      </c>
      <c r="L587" s="3835" t="str">
        <f t="shared" si="26"/>
        <v>Estados SobrenaturalesDistancia: 100 metros</v>
      </c>
      <c r="M587" s="219"/>
    </row>
    <row r="588" spans="1:13" ht="12" customHeight="1">
      <c r="A588" s="7172"/>
      <c r="B588" s="7167"/>
      <c r="C588" s="3831" t="s">
        <v>8510</v>
      </c>
      <c r="D588" s="3832" t="s">
        <v>8774</v>
      </c>
      <c r="E588" s="3833">
        <v>12</v>
      </c>
      <c r="F588" s="3834">
        <v>12</v>
      </c>
      <c r="G588" s="3833">
        <v>25</v>
      </c>
      <c r="H588" s="3833"/>
      <c r="I588" s="3833"/>
      <c r="J588" s="3833"/>
      <c r="K588" s="3833">
        <v>3</v>
      </c>
      <c r="L588" s="3835" t="str">
        <f t="shared" si="26"/>
        <v>Estados SobrenaturalesDistancia: 150 metros</v>
      </c>
      <c r="M588" s="219"/>
    </row>
    <row r="589" spans="1:13" ht="12" customHeight="1">
      <c r="A589" s="7172"/>
      <c r="B589" s="7167"/>
      <c r="C589" s="3831" t="s">
        <v>8510</v>
      </c>
      <c r="D589" s="3832" t="s">
        <v>8775</v>
      </c>
      <c r="E589" s="3833">
        <v>15</v>
      </c>
      <c r="F589" s="3834">
        <v>15</v>
      </c>
      <c r="G589" s="3833">
        <v>30</v>
      </c>
      <c r="H589" s="3833"/>
      <c r="I589" s="3833"/>
      <c r="J589" s="3833"/>
      <c r="K589" s="3833">
        <v>3</v>
      </c>
      <c r="L589" s="3835" t="str">
        <f t="shared" si="26"/>
        <v>Estados SobrenaturalesDistancia: 500 metros</v>
      </c>
      <c r="M589" s="219"/>
    </row>
    <row r="590" spans="1:13" ht="12" customHeight="1">
      <c r="A590" s="7172"/>
      <c r="B590" s="7167"/>
      <c r="C590" s="3831" t="s">
        <v>8510</v>
      </c>
      <c r="D590" s="3832" t="s">
        <v>11812</v>
      </c>
      <c r="E590" s="3833">
        <v>2</v>
      </c>
      <c r="F590" s="3834">
        <v>2</v>
      </c>
      <c r="G590" s="3833">
        <v>5</v>
      </c>
      <c r="H590" s="3833"/>
      <c r="I590" s="3833"/>
      <c r="J590" s="3833"/>
      <c r="K590" s="3833">
        <v>1</v>
      </c>
      <c r="L590" s="3835" t="str">
        <f t="shared" si="26"/>
        <v>Estados SobrenaturalesCambio de resistencias: RV</v>
      </c>
      <c r="M590" s="219"/>
    </row>
    <row r="591" spans="1:13" ht="12" customHeight="1">
      <c r="A591" s="7172"/>
      <c r="B591" s="7167"/>
      <c r="C591" s="3831" t="s">
        <v>8510</v>
      </c>
      <c r="D591" s="3832" t="s">
        <v>11813</v>
      </c>
      <c r="E591" s="3833">
        <v>2</v>
      </c>
      <c r="F591" s="3834">
        <v>2</v>
      </c>
      <c r="G591" s="3833">
        <v>5</v>
      </c>
      <c r="H591" s="3833"/>
      <c r="I591" s="3833"/>
      <c r="J591" s="3833"/>
      <c r="K591" s="3833">
        <v>1</v>
      </c>
      <c r="L591" s="3835" t="str">
        <f t="shared" si="26"/>
        <v>Estados SobrenaturalesCambio de resistencias: RE</v>
      </c>
      <c r="M591" s="219"/>
    </row>
    <row r="592" spans="1:13" ht="12" customHeight="1">
      <c r="A592" s="7172"/>
      <c r="B592" s="7167"/>
      <c r="C592" s="3831" t="s">
        <v>8510</v>
      </c>
      <c r="D592" s="3832" t="s">
        <v>11814</v>
      </c>
      <c r="E592" s="3833">
        <v>3</v>
      </c>
      <c r="F592" s="3834">
        <v>3</v>
      </c>
      <c r="G592" s="3833">
        <v>10</v>
      </c>
      <c r="H592" s="3833"/>
      <c r="I592" s="3833"/>
      <c r="J592" s="3833"/>
      <c r="K592" s="3833">
        <v>2</v>
      </c>
      <c r="L592" s="3835" t="str">
        <f t="shared" si="26"/>
        <v>Estados SobrenaturalesCambio de resistencias: RP</v>
      </c>
      <c r="M592" s="219"/>
    </row>
    <row r="593" spans="1:13" ht="12" customHeight="1">
      <c r="A593" s="7172"/>
      <c r="B593" s="7167"/>
      <c r="C593" s="3831" t="s">
        <v>8510</v>
      </c>
      <c r="D593" s="3832" t="s">
        <v>11815</v>
      </c>
      <c r="E593" s="3842">
        <v>4</v>
      </c>
      <c r="F593" s="2698">
        <v>4</v>
      </c>
      <c r="G593" s="3842">
        <v>15</v>
      </c>
      <c r="H593" s="3842"/>
      <c r="I593" s="3842"/>
      <c r="J593" s="3842"/>
      <c r="K593" s="3842">
        <v>3</v>
      </c>
      <c r="L593" s="3835" t="str">
        <f t="shared" si="26"/>
        <v>Estados SobrenaturalesCambio de resistencias: RM</v>
      </c>
      <c r="M593" s="219"/>
    </row>
    <row r="594" spans="1:13" ht="12" customHeight="1">
      <c r="A594" s="7172"/>
      <c r="B594" s="7167"/>
      <c r="C594" s="39" t="s">
        <v>8776</v>
      </c>
      <c r="D594" s="76"/>
      <c r="E594" s="1035"/>
      <c r="F594" s="1036"/>
      <c r="G594" s="1035"/>
      <c r="H594" s="1035"/>
      <c r="I594" s="1035"/>
      <c r="J594" s="1035"/>
      <c r="K594" s="1035"/>
      <c r="L594" s="3830" t="str">
        <f t="shared" si="26"/>
        <v>&gt; IMPACTO</v>
      </c>
      <c r="M594" s="219"/>
    </row>
    <row r="595" spans="1:13" ht="12" customHeight="1">
      <c r="A595" s="7172"/>
      <c r="B595" s="7167"/>
      <c r="C595" s="39" t="s">
        <v>2774</v>
      </c>
      <c r="D595" s="76" t="s">
        <v>8777</v>
      </c>
      <c r="E595" s="1035">
        <v>1</v>
      </c>
      <c r="F595" s="1036">
        <v>2</v>
      </c>
      <c r="G595" s="1035">
        <v>5</v>
      </c>
      <c r="H595" s="1035">
        <v>1</v>
      </c>
      <c r="I595" s="1035">
        <v>2</v>
      </c>
      <c r="J595" s="1035">
        <v>4</v>
      </c>
      <c r="K595" s="1035">
        <v>1</v>
      </c>
      <c r="L595" s="3830" t="str">
        <f t="shared" si="26"/>
        <v>ImpactoFUE 4</v>
      </c>
      <c r="M595" s="219"/>
    </row>
    <row r="596" spans="1:13" ht="12" customHeight="1">
      <c r="A596" s="7172"/>
      <c r="B596" s="7167"/>
      <c r="C596" s="39" t="s">
        <v>2774</v>
      </c>
      <c r="D596" s="76" t="s">
        <v>8778</v>
      </c>
      <c r="E596" s="1035">
        <v>2</v>
      </c>
      <c r="F596" s="1036">
        <v>4</v>
      </c>
      <c r="G596" s="1035">
        <v>5</v>
      </c>
      <c r="H596" s="1035">
        <v>2</v>
      </c>
      <c r="I596" s="1035">
        <v>4</v>
      </c>
      <c r="J596" s="1035">
        <v>7</v>
      </c>
      <c r="K596" s="1035">
        <v>1</v>
      </c>
      <c r="L596" s="3830" t="str">
        <f t="shared" si="26"/>
        <v>ImpactoFUE 6</v>
      </c>
      <c r="M596" s="219"/>
    </row>
    <row r="597" spans="1:13" ht="12" customHeight="1">
      <c r="A597" s="7172"/>
      <c r="B597" s="7167"/>
      <c r="C597" s="39" t="s">
        <v>2774</v>
      </c>
      <c r="D597" s="76" t="s">
        <v>8779</v>
      </c>
      <c r="E597" s="1035">
        <v>3</v>
      </c>
      <c r="F597" s="1036">
        <v>5</v>
      </c>
      <c r="G597" s="1035">
        <v>10</v>
      </c>
      <c r="H597" s="1035">
        <v>3</v>
      </c>
      <c r="I597" s="1035">
        <v>6</v>
      </c>
      <c r="J597" s="1035">
        <v>11</v>
      </c>
      <c r="K597" s="1035">
        <v>1</v>
      </c>
      <c r="L597" s="3830" t="str">
        <f t="shared" si="26"/>
        <v>ImpactoFUE 8</v>
      </c>
      <c r="M597" s="219"/>
    </row>
    <row r="598" spans="1:13" ht="12" customHeight="1">
      <c r="A598" s="7172"/>
      <c r="B598" s="7167"/>
      <c r="C598" s="39" t="s">
        <v>2774</v>
      </c>
      <c r="D598" s="76" t="s">
        <v>8780</v>
      </c>
      <c r="E598" s="1035">
        <v>4</v>
      </c>
      <c r="F598" s="1036">
        <v>6</v>
      </c>
      <c r="G598" s="1035">
        <v>10</v>
      </c>
      <c r="H598" s="1035">
        <v>4</v>
      </c>
      <c r="I598" s="1035">
        <v>8</v>
      </c>
      <c r="J598" s="1035">
        <v>14</v>
      </c>
      <c r="K598" s="1035">
        <v>1</v>
      </c>
      <c r="L598" s="3830" t="str">
        <f t="shared" si="26"/>
        <v>ImpactoFUE 10</v>
      </c>
      <c r="M598" s="219"/>
    </row>
    <row r="599" spans="1:13" ht="12" customHeight="1">
      <c r="A599" s="7172"/>
      <c r="B599" s="7167"/>
      <c r="C599" s="39" t="s">
        <v>2774</v>
      </c>
      <c r="D599" s="76" t="s">
        <v>8781</v>
      </c>
      <c r="E599" s="1035">
        <v>5</v>
      </c>
      <c r="F599" s="1036">
        <v>8</v>
      </c>
      <c r="G599" s="1035">
        <v>15</v>
      </c>
      <c r="H599" s="1035">
        <v>5</v>
      </c>
      <c r="I599" s="1035">
        <v>10</v>
      </c>
      <c r="J599" s="1035">
        <v>18</v>
      </c>
      <c r="K599" s="1035">
        <v>1</v>
      </c>
      <c r="L599" s="3830" t="str">
        <f t="shared" si="26"/>
        <v>ImpactoFUE 12</v>
      </c>
      <c r="M599" s="219"/>
    </row>
    <row r="600" spans="1:13" ht="12" customHeight="1">
      <c r="A600" s="7172"/>
      <c r="B600" s="7167"/>
      <c r="C600" s="39" t="s">
        <v>2774</v>
      </c>
      <c r="D600" s="76" t="s">
        <v>8782</v>
      </c>
      <c r="E600" s="1035">
        <v>6</v>
      </c>
      <c r="F600" s="1036">
        <v>9</v>
      </c>
      <c r="G600" s="1035">
        <v>20</v>
      </c>
      <c r="H600" s="1035">
        <v>6</v>
      </c>
      <c r="I600" s="1035">
        <v>12</v>
      </c>
      <c r="J600" s="1035">
        <v>21</v>
      </c>
      <c r="K600" s="1035">
        <v>2</v>
      </c>
      <c r="L600" s="3830" t="str">
        <f t="shared" si="26"/>
        <v>ImpactoFUE 14</v>
      </c>
      <c r="M600" s="219"/>
    </row>
    <row r="601" spans="1:13" ht="12" customHeight="1">
      <c r="A601" s="7172"/>
      <c r="B601" s="7167"/>
      <c r="C601" s="39" t="s">
        <v>2774</v>
      </c>
      <c r="D601" s="76" t="s">
        <v>8783</v>
      </c>
      <c r="E601" s="1035">
        <v>8</v>
      </c>
      <c r="F601" s="1036">
        <v>11</v>
      </c>
      <c r="G601" s="1035">
        <v>25</v>
      </c>
      <c r="H601" s="1035">
        <v>7</v>
      </c>
      <c r="I601" s="1035">
        <v>14</v>
      </c>
      <c r="J601" s="1035">
        <v>25</v>
      </c>
      <c r="K601" s="1035">
        <v>2</v>
      </c>
      <c r="L601" s="3830" t="str">
        <f t="shared" ref="L601:L653" si="27">C601&amp;D601</f>
        <v>ImpactoFUE 16</v>
      </c>
      <c r="M601" s="219"/>
    </row>
    <row r="602" spans="1:13" ht="12" customHeight="1">
      <c r="A602" s="7172"/>
      <c r="B602" s="7167"/>
      <c r="C602" s="39" t="s">
        <v>2774</v>
      </c>
      <c r="D602" s="76" t="s">
        <v>8784</v>
      </c>
      <c r="E602" s="1035">
        <v>10</v>
      </c>
      <c r="F602" s="1036">
        <v>13</v>
      </c>
      <c r="G602" s="1035">
        <v>30</v>
      </c>
      <c r="H602" s="1035">
        <v>8</v>
      </c>
      <c r="I602" s="1035">
        <v>16</v>
      </c>
      <c r="J602" s="1035">
        <v>28</v>
      </c>
      <c r="K602" s="1035">
        <v>3</v>
      </c>
      <c r="L602" s="3830" t="str">
        <f t="shared" si="27"/>
        <v>ImpactoFUE 18</v>
      </c>
      <c r="M602" s="219"/>
    </row>
    <row r="603" spans="1:13" ht="12" customHeight="1">
      <c r="A603" s="7172"/>
      <c r="B603" s="7167"/>
      <c r="C603" s="39" t="s">
        <v>2774</v>
      </c>
      <c r="D603" s="76" t="s">
        <v>8785</v>
      </c>
      <c r="E603" s="1035">
        <v>12</v>
      </c>
      <c r="F603" s="1036">
        <v>15</v>
      </c>
      <c r="G603" s="1035">
        <v>35</v>
      </c>
      <c r="H603" s="1035">
        <v>10</v>
      </c>
      <c r="I603" s="1035">
        <v>20</v>
      </c>
      <c r="J603" s="1035">
        <v>35</v>
      </c>
      <c r="K603" s="1035">
        <v>3</v>
      </c>
      <c r="L603" s="3830" t="str">
        <f t="shared" si="27"/>
        <v>ImpactoFUE 20</v>
      </c>
      <c r="M603" s="219"/>
    </row>
    <row r="604" spans="1:13" ht="12" customHeight="1">
      <c r="A604" s="7172"/>
      <c r="B604" s="7167"/>
      <c r="C604" s="39" t="s">
        <v>2774</v>
      </c>
      <c r="D604" s="76" t="s">
        <v>6654</v>
      </c>
      <c r="E604" s="1035">
        <v>1</v>
      </c>
      <c r="F604" s="1036">
        <v>1</v>
      </c>
      <c r="G604" s="1035">
        <v>5</v>
      </c>
      <c r="H604" s="1035">
        <v>1</v>
      </c>
      <c r="I604" s="1035">
        <v>2</v>
      </c>
      <c r="J604" s="1035">
        <v>4</v>
      </c>
      <c r="K604" s="1035">
        <v>1</v>
      </c>
      <c r="L604" s="3830" t="str">
        <f t="shared" si="27"/>
        <v>ImpactoAtraer</v>
      </c>
      <c r="M604" s="219"/>
    </row>
    <row r="605" spans="1:13" ht="12" customHeight="1">
      <c r="A605" s="7172"/>
      <c r="B605" s="7167"/>
      <c r="C605" s="39" t="s">
        <v>8786</v>
      </c>
      <c r="D605" s="76"/>
      <c r="E605" s="1035"/>
      <c r="F605" s="1036"/>
      <c r="G605" s="1035"/>
      <c r="H605" s="1035"/>
      <c r="I605" s="1035"/>
      <c r="J605" s="1035"/>
      <c r="K605" s="1035"/>
      <c r="L605" s="3830" t="str">
        <f t="shared" si="27"/>
        <v>&gt; INTERRUPCIÓN</v>
      </c>
      <c r="M605" s="219"/>
    </row>
    <row r="606" spans="1:13" ht="12" customHeight="1">
      <c r="A606" s="7172"/>
      <c r="B606" s="7167"/>
      <c r="C606" s="39" t="s">
        <v>2778</v>
      </c>
      <c r="D606" s="76" t="s">
        <v>8787</v>
      </c>
      <c r="E606" s="1035">
        <v>1</v>
      </c>
      <c r="F606" s="1036">
        <v>2</v>
      </c>
      <c r="G606" s="1035">
        <v>5</v>
      </c>
      <c r="H606" s="1035">
        <v>1</v>
      </c>
      <c r="I606" s="1035">
        <v>2</v>
      </c>
      <c r="J606" s="1035">
        <v>4</v>
      </c>
      <c r="K606" s="1035">
        <v>1</v>
      </c>
      <c r="L606" s="3830" t="str">
        <f t="shared" si="27"/>
        <v>InterrupciónRF = Daño</v>
      </c>
      <c r="M606" s="219"/>
    </row>
    <row r="607" spans="1:13" ht="12" customHeight="1">
      <c r="A607" s="7172"/>
      <c r="B607" s="7167"/>
      <c r="C607" s="39" t="s">
        <v>2778</v>
      </c>
      <c r="D607" s="76" t="s">
        <v>8788</v>
      </c>
      <c r="E607" s="1035">
        <v>2</v>
      </c>
      <c r="F607" s="1036">
        <v>4</v>
      </c>
      <c r="G607" s="1035">
        <v>10</v>
      </c>
      <c r="H607" s="1035">
        <v>2</v>
      </c>
      <c r="I607" s="1035">
        <v>4</v>
      </c>
      <c r="J607" s="1035">
        <v>7</v>
      </c>
      <c r="K607" s="1035">
        <v>1</v>
      </c>
      <c r="L607" s="3830" t="str">
        <f t="shared" si="27"/>
        <v>InterrupciónRF = Daño +20</v>
      </c>
      <c r="M607" s="219"/>
    </row>
    <row r="608" spans="1:13" ht="12" customHeight="1">
      <c r="A608" s="7172"/>
      <c r="B608" s="7167"/>
      <c r="C608" s="39" t="s">
        <v>2778</v>
      </c>
      <c r="D608" s="76" t="s">
        <v>8789</v>
      </c>
      <c r="E608" s="1035">
        <v>4</v>
      </c>
      <c r="F608" s="1036">
        <v>6</v>
      </c>
      <c r="G608" s="1035">
        <v>15</v>
      </c>
      <c r="H608" s="1035">
        <v>3</v>
      </c>
      <c r="I608" s="1035">
        <v>6</v>
      </c>
      <c r="J608" s="1035">
        <v>11</v>
      </c>
      <c r="K608" s="1035">
        <v>1</v>
      </c>
      <c r="L608" s="3830" t="str">
        <f t="shared" si="27"/>
        <v>InterrupciónRF = Daño +40</v>
      </c>
      <c r="M608" s="219"/>
    </row>
    <row r="609" spans="1:13" ht="12" customHeight="1">
      <c r="A609" s="7172"/>
      <c r="B609" s="7167"/>
      <c r="C609" s="39" t="s">
        <v>2778</v>
      </c>
      <c r="D609" s="76" t="s">
        <v>8790</v>
      </c>
      <c r="E609" s="1035">
        <v>6</v>
      </c>
      <c r="F609" s="1036">
        <v>9</v>
      </c>
      <c r="G609" s="1035">
        <v>20</v>
      </c>
      <c r="H609" s="1035">
        <v>4</v>
      </c>
      <c r="I609" s="1035">
        <v>8</v>
      </c>
      <c r="J609" s="1035">
        <v>14</v>
      </c>
      <c r="K609" s="1035">
        <v>1</v>
      </c>
      <c r="L609" s="3830" t="str">
        <f t="shared" si="27"/>
        <v>InterrupciónRF = Daño +60</v>
      </c>
      <c r="M609" s="219"/>
    </row>
    <row r="610" spans="1:13" ht="12" customHeight="1">
      <c r="A610" s="7172"/>
      <c r="B610" s="7167"/>
      <c r="C610" s="39" t="s">
        <v>2778</v>
      </c>
      <c r="D610" s="76" t="s">
        <v>8791</v>
      </c>
      <c r="E610" s="1035">
        <v>8</v>
      </c>
      <c r="F610" s="1036">
        <v>11</v>
      </c>
      <c r="G610" s="1035">
        <v>25</v>
      </c>
      <c r="H610" s="1035">
        <v>6</v>
      </c>
      <c r="I610" s="1035">
        <v>12</v>
      </c>
      <c r="J610" s="1035">
        <v>21</v>
      </c>
      <c r="K610" s="1035">
        <v>2</v>
      </c>
      <c r="L610" s="3830" t="str">
        <f t="shared" si="27"/>
        <v>InterrupciónRF = Daño +80</v>
      </c>
      <c r="M610" s="219"/>
    </row>
    <row r="611" spans="1:13" ht="12" customHeight="1">
      <c r="A611" s="7172"/>
      <c r="B611" s="7167"/>
      <c r="C611" s="39" t="s">
        <v>2778</v>
      </c>
      <c r="D611" s="76" t="s">
        <v>8792</v>
      </c>
      <c r="E611" s="1035">
        <v>12</v>
      </c>
      <c r="F611" s="1036">
        <v>15</v>
      </c>
      <c r="G611" s="1035">
        <v>30</v>
      </c>
      <c r="H611" s="1035">
        <v>8</v>
      </c>
      <c r="I611" s="1035">
        <v>16</v>
      </c>
      <c r="J611" s="1035">
        <v>28</v>
      </c>
      <c r="K611" s="1035">
        <v>2</v>
      </c>
      <c r="L611" s="3830" t="str">
        <f t="shared" si="27"/>
        <v>InterrupciónRF = Daño +100</v>
      </c>
      <c r="M611" s="219"/>
    </row>
    <row r="612" spans="1:13" ht="12" customHeight="1">
      <c r="A612" s="7172"/>
      <c r="B612" s="7167"/>
      <c r="C612" s="39" t="s">
        <v>2778</v>
      </c>
      <c r="D612" s="76" t="s">
        <v>8793</v>
      </c>
      <c r="E612" s="1035">
        <v>16</v>
      </c>
      <c r="F612" s="1036">
        <v>20</v>
      </c>
      <c r="G612" s="1035">
        <v>35</v>
      </c>
      <c r="H612" s="1035">
        <v>10</v>
      </c>
      <c r="I612" s="1035">
        <v>20</v>
      </c>
      <c r="J612" s="1035">
        <v>35</v>
      </c>
      <c r="K612" s="1035">
        <v>3</v>
      </c>
      <c r="L612" s="3830" t="str">
        <f t="shared" si="27"/>
        <v>InterrupciónRF = Daño +120</v>
      </c>
      <c r="M612" s="219"/>
    </row>
    <row r="613" spans="1:13" ht="12" customHeight="1">
      <c r="A613" s="7172"/>
      <c r="B613" s="7167"/>
      <c r="C613" s="39" t="s">
        <v>2778</v>
      </c>
      <c r="D613" s="76" t="s">
        <v>3006</v>
      </c>
      <c r="E613" s="1035">
        <v>2</v>
      </c>
      <c r="F613" s="1036">
        <v>2</v>
      </c>
      <c r="G613" s="1035">
        <v>5</v>
      </c>
      <c r="H613" s="1035">
        <v>1</v>
      </c>
      <c r="I613" s="1035">
        <v>2</v>
      </c>
      <c r="J613" s="1035">
        <v>4</v>
      </c>
      <c r="K613" s="1035">
        <v>1</v>
      </c>
      <c r="L613" s="3830" t="str">
        <f t="shared" si="27"/>
        <v>InterrupciónInterrumpe Ki</v>
      </c>
      <c r="M613" s="219"/>
    </row>
    <row r="614" spans="1:13" ht="12" customHeight="1">
      <c r="A614" s="7172"/>
      <c r="B614" s="7167"/>
      <c r="C614" s="39" t="s">
        <v>2778</v>
      </c>
      <c r="D614" s="76" t="s">
        <v>3007</v>
      </c>
      <c r="E614" s="1035">
        <v>2</v>
      </c>
      <c r="F614" s="1036">
        <v>2</v>
      </c>
      <c r="G614" s="1035">
        <v>5</v>
      </c>
      <c r="H614" s="1035">
        <v>1</v>
      </c>
      <c r="I614" s="1035">
        <v>2</v>
      </c>
      <c r="J614" s="1035">
        <v>4</v>
      </c>
      <c r="K614" s="1035">
        <v>1</v>
      </c>
      <c r="L614" s="3830" t="str">
        <f t="shared" si="27"/>
        <v>InterrupciónInterrumpe Magia</v>
      </c>
      <c r="M614" s="219"/>
    </row>
    <row r="615" spans="1:13" ht="12" customHeight="1">
      <c r="A615" s="7172"/>
      <c r="B615" s="7167"/>
      <c r="C615" s="39" t="s">
        <v>2778</v>
      </c>
      <c r="D615" s="76" t="s">
        <v>3008</v>
      </c>
      <c r="E615" s="1035">
        <v>2</v>
      </c>
      <c r="F615" s="1036">
        <v>2</v>
      </c>
      <c r="G615" s="1035">
        <v>5</v>
      </c>
      <c r="H615" s="1035">
        <v>1</v>
      </c>
      <c r="I615" s="1035">
        <v>2</v>
      </c>
      <c r="J615" s="1035">
        <v>4</v>
      </c>
      <c r="K615" s="1035">
        <v>1</v>
      </c>
      <c r="L615" s="3830" t="str">
        <f t="shared" si="27"/>
        <v>InterrupciónInterrumpe Psíquica</v>
      </c>
      <c r="M615" s="219"/>
    </row>
    <row r="616" spans="1:13" ht="12" customHeight="1">
      <c r="A616" s="7172"/>
      <c r="B616" s="7167"/>
      <c r="C616" s="39" t="s">
        <v>8794</v>
      </c>
      <c r="D616" s="76"/>
      <c r="E616" s="1035"/>
      <c r="F616" s="1036"/>
      <c r="G616" s="1035"/>
      <c r="H616" s="1035"/>
      <c r="I616" s="1035"/>
      <c r="J616" s="1035"/>
      <c r="K616" s="1035"/>
      <c r="L616" s="3830" t="str">
        <f t="shared" si="27"/>
        <v>&gt; INTANGIBILIDAD</v>
      </c>
      <c r="M616" s="219"/>
    </row>
    <row r="617" spans="1:13" ht="12" customHeight="1">
      <c r="A617" s="7172"/>
      <c r="B617" s="7167"/>
      <c r="C617" s="39" t="s">
        <v>2781</v>
      </c>
      <c r="D617" s="76"/>
      <c r="E617" s="1035">
        <v>3</v>
      </c>
      <c r="F617" s="1036">
        <v>5</v>
      </c>
      <c r="G617" s="1035">
        <v>10</v>
      </c>
      <c r="H617" s="1035">
        <v>2</v>
      </c>
      <c r="I617" s="1035">
        <v>4</v>
      </c>
      <c r="J617" s="1035">
        <v>7</v>
      </c>
      <c r="K617" s="1035">
        <v>1</v>
      </c>
      <c r="L617" s="3830" t="str">
        <f t="shared" si="27"/>
        <v>Intangibilidad</v>
      </c>
      <c r="M617" s="219"/>
    </row>
    <row r="618" spans="1:13" ht="12" customHeight="1">
      <c r="A618" s="7172"/>
      <c r="B618" s="7167"/>
      <c r="C618" s="39" t="s">
        <v>2781</v>
      </c>
      <c r="D618" s="76" t="s">
        <v>3009</v>
      </c>
      <c r="E618" s="1035">
        <v>1</v>
      </c>
      <c r="F618" s="1036">
        <v>1</v>
      </c>
      <c r="G618" s="1035">
        <v>5</v>
      </c>
      <c r="H618" s="1035">
        <v>1</v>
      </c>
      <c r="I618" s="1035">
        <v>2</v>
      </c>
      <c r="J618" s="1035">
        <v>4</v>
      </c>
      <c r="K618" s="1035">
        <v>1</v>
      </c>
      <c r="L618" s="3830" t="str">
        <f t="shared" si="27"/>
        <v>IntangibilidadPresencia Simple</v>
      </c>
      <c r="M618" s="219"/>
    </row>
    <row r="619" spans="1:13" ht="12" customHeight="1">
      <c r="A619" s="7172"/>
      <c r="B619" s="7167"/>
      <c r="C619" s="39" t="s">
        <v>2781</v>
      </c>
      <c r="D619" s="76" t="s">
        <v>3010</v>
      </c>
      <c r="E619" s="1035">
        <v>3</v>
      </c>
      <c r="F619" s="1036">
        <v>3</v>
      </c>
      <c r="G619" s="1035">
        <v>10</v>
      </c>
      <c r="H619" s="1035">
        <v>2</v>
      </c>
      <c r="I619" s="1035">
        <v>4</v>
      </c>
      <c r="J619" s="1035">
        <v>7</v>
      </c>
      <c r="K619" s="1035">
        <v>1</v>
      </c>
      <c r="L619" s="3830" t="str">
        <f t="shared" si="27"/>
        <v>IntangibilidadPresencia Extendida</v>
      </c>
      <c r="M619" s="219"/>
    </row>
    <row r="620" spans="1:13" ht="12" customHeight="1">
      <c r="A620" s="7172"/>
      <c r="B620" s="7167"/>
      <c r="C620" s="39" t="s">
        <v>2781</v>
      </c>
      <c r="D620" s="76" t="s">
        <v>3011</v>
      </c>
      <c r="E620" s="1035">
        <v>2</v>
      </c>
      <c r="F620" s="1036">
        <v>2</v>
      </c>
      <c r="G620" s="1035">
        <v>10</v>
      </c>
      <c r="H620" s="1035">
        <v>2</v>
      </c>
      <c r="I620" s="1035">
        <v>4</v>
      </c>
      <c r="J620" s="1035">
        <v>7</v>
      </c>
      <c r="K620" s="1035">
        <v>1</v>
      </c>
      <c r="L620" s="3830" t="str">
        <f t="shared" si="27"/>
        <v>IntangibilidadFusión</v>
      </c>
      <c r="M620" s="219"/>
    </row>
    <row r="621" spans="1:13" ht="12" customHeight="1">
      <c r="A621" s="7172"/>
      <c r="B621" s="7167"/>
      <c r="C621" s="39" t="s">
        <v>8795</v>
      </c>
      <c r="D621" s="76"/>
      <c r="E621" s="1035"/>
      <c r="F621" s="1036"/>
      <c r="G621" s="1035"/>
      <c r="H621" s="1035"/>
      <c r="I621" s="1035"/>
      <c r="J621" s="1035"/>
      <c r="K621" s="1035"/>
      <c r="L621" s="3830" t="str">
        <f t="shared" si="27"/>
        <v>&gt; MARCA</v>
      </c>
      <c r="M621" s="219"/>
    </row>
    <row r="622" spans="1:13" ht="12" customHeight="1">
      <c r="A622" s="7172"/>
      <c r="B622" s="7167"/>
      <c r="C622" s="3831" t="s">
        <v>2784</v>
      </c>
      <c r="D622" s="3832" t="s">
        <v>7917</v>
      </c>
      <c r="E622" s="3833">
        <v>4</v>
      </c>
      <c r="F622" s="3834">
        <v>6</v>
      </c>
      <c r="G622" s="3833">
        <v>10</v>
      </c>
      <c r="H622" s="3833">
        <v>2</v>
      </c>
      <c r="I622" s="3833">
        <v>4</v>
      </c>
      <c r="J622" s="3833">
        <v>7</v>
      </c>
      <c r="K622" s="3833">
        <v>1</v>
      </c>
      <c r="L622" s="3835" t="str">
        <f t="shared" si="27"/>
        <v>MarcaMenor</v>
      </c>
      <c r="M622" s="219"/>
    </row>
    <row r="623" spans="1:13" ht="12" customHeight="1">
      <c r="A623" s="7172"/>
      <c r="B623" s="7167"/>
      <c r="C623" s="3831" t="s">
        <v>2784</v>
      </c>
      <c r="D623" s="3832" t="s">
        <v>7916</v>
      </c>
      <c r="E623" s="3833">
        <v>6</v>
      </c>
      <c r="F623" s="3834">
        <v>9</v>
      </c>
      <c r="G623" s="3833">
        <v>25</v>
      </c>
      <c r="H623" s="3833">
        <v>4</v>
      </c>
      <c r="I623" s="3833">
        <v>8</v>
      </c>
      <c r="J623" s="3833">
        <v>14</v>
      </c>
      <c r="K623" s="3833">
        <v>2</v>
      </c>
      <c r="L623" s="3835" t="str">
        <f t="shared" si="27"/>
        <v>MarcaMayor</v>
      </c>
      <c r="M623" s="219"/>
    </row>
    <row r="624" spans="1:13" ht="12" customHeight="1">
      <c r="A624" s="7172"/>
      <c r="B624" s="7167"/>
      <c r="C624" s="3831" t="s">
        <v>2784</v>
      </c>
      <c r="D624" s="3832" t="s">
        <v>3012</v>
      </c>
      <c r="E624" s="3833">
        <v>3</v>
      </c>
      <c r="F624" s="3834">
        <v>3</v>
      </c>
      <c r="G624" s="3833">
        <v>10</v>
      </c>
      <c r="H624" s="3833"/>
      <c r="I624" s="3833"/>
      <c r="J624" s="3833"/>
      <c r="K624" s="3833">
        <v>1</v>
      </c>
      <c r="L624" s="3835" t="str">
        <f t="shared" si="27"/>
        <v>MarcaPermanencia Prolongada</v>
      </c>
      <c r="M624" s="219"/>
    </row>
    <row r="625" spans="1:24" ht="12" customHeight="1">
      <c r="A625" s="7172"/>
      <c r="B625" s="7167"/>
      <c r="C625" s="3831" t="s">
        <v>2784</v>
      </c>
      <c r="D625" s="3832" t="s">
        <v>3013</v>
      </c>
      <c r="E625" s="3833">
        <v>7</v>
      </c>
      <c r="F625" s="3834">
        <v>7</v>
      </c>
      <c r="G625" s="3833">
        <v>20</v>
      </c>
      <c r="H625" s="3833">
        <v>2</v>
      </c>
      <c r="I625" s="3833">
        <v>4</v>
      </c>
      <c r="J625" s="3833">
        <v>7</v>
      </c>
      <c r="K625" s="3833">
        <v>1</v>
      </c>
      <c r="L625" s="3835" t="str">
        <f t="shared" si="27"/>
        <v>MarcaPermanencia Eterna</v>
      </c>
      <c r="M625" s="219"/>
    </row>
    <row r="626" spans="1:24" ht="12" customHeight="1">
      <c r="A626" s="7172"/>
      <c r="B626" s="7167"/>
      <c r="C626" s="2698" t="s">
        <v>2784</v>
      </c>
      <c r="D626" s="2698" t="s">
        <v>11816</v>
      </c>
      <c r="E626" s="3842">
        <v>2</v>
      </c>
      <c r="F626" s="2698">
        <v>2</v>
      </c>
      <c r="G626" s="3842">
        <v>5</v>
      </c>
      <c r="H626" s="3842"/>
      <c r="I626" s="3842"/>
      <c r="J626" s="3842"/>
      <c r="K626" s="3842"/>
      <c r="L626" s="2698" t="str">
        <f t="shared" si="27"/>
        <v>MarcaPosición aproximada</v>
      </c>
      <c r="M626" s="219"/>
    </row>
    <row r="627" spans="1:24" ht="12" customHeight="1">
      <c r="A627" s="7172"/>
      <c r="B627" s="7167"/>
      <c r="C627" s="2698" t="s">
        <v>2784</v>
      </c>
      <c r="D627" s="2698" t="s">
        <v>11817</v>
      </c>
      <c r="E627" s="3842">
        <v>4</v>
      </c>
      <c r="F627" s="2698">
        <v>4</v>
      </c>
      <c r="G627" s="3842">
        <v>10</v>
      </c>
      <c r="H627" s="3842">
        <v>1</v>
      </c>
      <c r="I627" s="3842">
        <v>2</v>
      </c>
      <c r="J627" s="3842">
        <v>4</v>
      </c>
      <c r="K627" s="3842">
        <v>2</v>
      </c>
      <c r="L627" s="2698" t="str">
        <f t="shared" si="27"/>
        <v>MarcaPosición exacta</v>
      </c>
      <c r="M627" s="219"/>
    </row>
    <row r="628" spans="1:24" ht="12" customHeight="1">
      <c r="A628" s="7172"/>
      <c r="B628" s="7167"/>
      <c r="C628" s="39" t="s">
        <v>8796</v>
      </c>
      <c r="D628" s="76"/>
      <c r="E628" s="1035"/>
      <c r="F628" s="1036"/>
      <c r="G628" s="1035"/>
      <c r="H628" s="1035"/>
      <c r="I628" s="1035"/>
      <c r="J628" s="1035"/>
      <c r="K628" s="1035"/>
      <c r="L628" s="3830" t="str">
        <f t="shared" si="27"/>
        <v>&gt; POTENCIAR CRÍTICO</v>
      </c>
      <c r="M628" s="219"/>
    </row>
    <row r="629" spans="1:24" ht="12" customHeight="1">
      <c r="A629" s="7172"/>
      <c r="B629" s="7167"/>
      <c r="C629" s="39" t="s">
        <v>8518</v>
      </c>
      <c r="D629" s="76" t="s">
        <v>7056</v>
      </c>
      <c r="E629" s="1035">
        <v>2</v>
      </c>
      <c r="F629" s="1036">
        <v>4</v>
      </c>
      <c r="G629" s="1035">
        <v>5</v>
      </c>
      <c r="H629" s="1035">
        <v>1</v>
      </c>
      <c r="I629" s="1035">
        <v>2</v>
      </c>
      <c r="J629" s="1035">
        <v>4</v>
      </c>
      <c r="K629" s="1035">
        <v>1</v>
      </c>
      <c r="L629" s="3830" t="str">
        <f t="shared" si="27"/>
        <v>Potenciar Crítico+10</v>
      </c>
      <c r="M629" s="219"/>
    </row>
    <row r="630" spans="1:24" ht="12" customHeight="1">
      <c r="A630" s="7172"/>
      <c r="B630" s="7167"/>
      <c r="C630" s="39" t="s">
        <v>8518</v>
      </c>
      <c r="D630" s="76" t="s">
        <v>7200</v>
      </c>
      <c r="E630" s="1035">
        <v>3</v>
      </c>
      <c r="F630" s="1036">
        <v>5</v>
      </c>
      <c r="G630" s="1035">
        <v>5</v>
      </c>
      <c r="H630" s="1035">
        <v>2</v>
      </c>
      <c r="I630" s="1035">
        <v>4</v>
      </c>
      <c r="J630" s="1035">
        <v>7</v>
      </c>
      <c r="K630" s="1035">
        <v>1</v>
      </c>
      <c r="L630" s="3830" t="str">
        <f t="shared" si="27"/>
        <v>Potenciar Crítico+25</v>
      </c>
      <c r="M630" s="219"/>
    </row>
    <row r="631" spans="1:24" ht="12" customHeight="1">
      <c r="A631" s="7172"/>
      <c r="B631" s="7167"/>
      <c r="C631" s="39" t="s">
        <v>8518</v>
      </c>
      <c r="D631" s="76" t="s">
        <v>7058</v>
      </c>
      <c r="E631" s="1035">
        <v>4</v>
      </c>
      <c r="F631" s="1036">
        <v>6</v>
      </c>
      <c r="G631" s="1035">
        <v>10</v>
      </c>
      <c r="H631" s="1035">
        <v>3</v>
      </c>
      <c r="I631" s="1035">
        <v>6</v>
      </c>
      <c r="J631" s="1035">
        <v>11</v>
      </c>
      <c r="K631" s="1035">
        <v>1</v>
      </c>
      <c r="L631" s="3830" t="str">
        <f t="shared" si="27"/>
        <v>Potenciar Crítico+40</v>
      </c>
      <c r="M631" s="219"/>
    </row>
    <row r="632" spans="1:24" ht="12" customHeight="1">
      <c r="A632" s="7172"/>
      <c r="B632" s="7167"/>
      <c r="C632" s="39" t="s">
        <v>8518</v>
      </c>
      <c r="D632" s="76" t="s">
        <v>7059</v>
      </c>
      <c r="E632" s="1035">
        <v>5</v>
      </c>
      <c r="F632" s="1036">
        <v>8</v>
      </c>
      <c r="G632" s="1035">
        <v>15</v>
      </c>
      <c r="H632" s="1035">
        <v>4</v>
      </c>
      <c r="I632" s="1035">
        <v>8</v>
      </c>
      <c r="J632" s="1035">
        <v>14</v>
      </c>
      <c r="K632" s="1035">
        <v>1</v>
      </c>
      <c r="L632" s="3830" t="str">
        <f t="shared" si="27"/>
        <v>Potenciar Crítico+50</v>
      </c>
      <c r="M632" s="219"/>
    </row>
    <row r="633" spans="1:24" ht="12" customHeight="1">
      <c r="A633" s="7172"/>
      <c r="B633" s="7167"/>
      <c r="C633" s="39" t="s">
        <v>8518</v>
      </c>
      <c r="D633" s="76" t="s">
        <v>8392</v>
      </c>
      <c r="E633" s="1035">
        <v>8</v>
      </c>
      <c r="F633" s="1036">
        <v>11</v>
      </c>
      <c r="G633" s="1035">
        <v>20</v>
      </c>
      <c r="H633" s="1035">
        <v>6</v>
      </c>
      <c r="I633" s="1035">
        <v>12</v>
      </c>
      <c r="J633" s="1035">
        <v>21</v>
      </c>
      <c r="K633" s="1035">
        <v>1</v>
      </c>
      <c r="L633" s="3830" t="str">
        <f t="shared" si="27"/>
        <v>Potenciar Crítico+75</v>
      </c>
      <c r="M633" s="219"/>
    </row>
    <row r="634" spans="1:24" ht="12" customHeight="1">
      <c r="A634" s="7172"/>
      <c r="B634" s="7167"/>
      <c r="C634" s="39" t="s">
        <v>8518</v>
      </c>
      <c r="D634" s="76" t="s">
        <v>8396</v>
      </c>
      <c r="E634" s="1035">
        <v>12</v>
      </c>
      <c r="F634" s="1036">
        <v>15</v>
      </c>
      <c r="G634" s="1035">
        <v>25</v>
      </c>
      <c r="H634" s="1035">
        <v>8</v>
      </c>
      <c r="I634" s="1035">
        <v>16</v>
      </c>
      <c r="J634" s="1035">
        <v>28</v>
      </c>
      <c r="K634" s="1035">
        <v>1</v>
      </c>
      <c r="L634" s="3830" t="str">
        <f t="shared" si="27"/>
        <v>Potenciar Crítico+90</v>
      </c>
      <c r="M634" s="219"/>
      <c r="N634" s="1869"/>
    </row>
    <row r="635" spans="1:24" ht="12" customHeight="1">
      <c r="A635" s="7172"/>
      <c r="B635" s="7167"/>
      <c r="C635" s="39" t="s">
        <v>8518</v>
      </c>
      <c r="D635" s="76" t="s">
        <v>8399</v>
      </c>
      <c r="E635" s="1035">
        <v>14</v>
      </c>
      <c r="F635" s="1036">
        <v>18</v>
      </c>
      <c r="G635" s="1035">
        <v>30</v>
      </c>
      <c r="H635" s="1035">
        <v>10</v>
      </c>
      <c r="I635" s="1035">
        <v>20</v>
      </c>
      <c r="J635" s="1035">
        <v>35</v>
      </c>
      <c r="K635" s="1035">
        <v>1</v>
      </c>
      <c r="L635" s="3830" t="str">
        <f t="shared" si="27"/>
        <v>Potenciar Crítico+100</v>
      </c>
      <c r="M635" s="219"/>
    </row>
    <row r="636" spans="1:24" ht="12" customHeight="1">
      <c r="A636" s="7172"/>
      <c r="B636" s="7167"/>
      <c r="C636" s="39" t="s">
        <v>8518</v>
      </c>
      <c r="D636" s="76" t="s">
        <v>8400</v>
      </c>
      <c r="E636" s="1035">
        <v>18</v>
      </c>
      <c r="F636" s="1036">
        <v>22</v>
      </c>
      <c r="G636" s="1035">
        <v>35</v>
      </c>
      <c r="H636" s="1035">
        <v>12</v>
      </c>
      <c r="I636" s="1035">
        <v>24</v>
      </c>
      <c r="J636" s="1035">
        <v>42</v>
      </c>
      <c r="K636" s="1035">
        <v>2</v>
      </c>
      <c r="L636" s="3830" t="str">
        <f t="shared" si="27"/>
        <v>Potenciar Crítico+125</v>
      </c>
      <c r="M636" s="219"/>
    </row>
    <row r="637" spans="1:24" ht="12" customHeight="1">
      <c r="A637" s="7172"/>
      <c r="B637" s="7167"/>
      <c r="C637" s="39" t="s">
        <v>8518</v>
      </c>
      <c r="D637" s="76" t="s">
        <v>8402</v>
      </c>
      <c r="E637" s="1035">
        <v>22</v>
      </c>
      <c r="F637" s="1036">
        <v>26</v>
      </c>
      <c r="G637" s="1035">
        <v>40</v>
      </c>
      <c r="H637" s="1035">
        <v>14</v>
      </c>
      <c r="I637" s="1035">
        <v>28</v>
      </c>
      <c r="J637" s="1035">
        <v>49</v>
      </c>
      <c r="K637" s="1035">
        <v>2</v>
      </c>
      <c r="L637" s="3830" t="str">
        <f t="shared" si="27"/>
        <v>Potenciar Crítico+150</v>
      </c>
      <c r="M637" s="219"/>
    </row>
    <row r="638" spans="1:24" ht="12" customHeight="1">
      <c r="A638" s="7172"/>
      <c r="B638" s="7167"/>
      <c r="C638" s="39" t="s">
        <v>8518</v>
      </c>
      <c r="D638" s="76" t="s">
        <v>8405</v>
      </c>
      <c r="E638" s="1035">
        <v>26</v>
      </c>
      <c r="F638" s="1036">
        <v>32</v>
      </c>
      <c r="G638" s="1035">
        <v>45</v>
      </c>
      <c r="H638" s="1035">
        <v>16</v>
      </c>
      <c r="I638" s="1035">
        <v>32</v>
      </c>
      <c r="J638" s="1035">
        <v>56</v>
      </c>
      <c r="K638" s="1035">
        <v>3</v>
      </c>
      <c r="L638" s="3830" t="str">
        <f t="shared" si="27"/>
        <v>Potenciar Crítico+175</v>
      </c>
      <c r="M638" s="219"/>
    </row>
    <row r="639" spans="1:24" ht="12" customHeight="1">
      <c r="A639" s="7172"/>
      <c r="B639" s="7167"/>
      <c r="C639" s="39" t="s">
        <v>8518</v>
      </c>
      <c r="D639" s="76" t="s">
        <v>8407</v>
      </c>
      <c r="E639" s="1035">
        <v>30</v>
      </c>
      <c r="F639" s="1036">
        <v>36</v>
      </c>
      <c r="G639" s="1035">
        <v>50</v>
      </c>
      <c r="H639" s="1035">
        <v>18</v>
      </c>
      <c r="I639" s="1035">
        <v>36</v>
      </c>
      <c r="J639" s="1035">
        <v>63</v>
      </c>
      <c r="K639" s="1035">
        <v>3</v>
      </c>
      <c r="L639" s="3830" t="str">
        <f t="shared" si="27"/>
        <v>Potenciar Crítico+200</v>
      </c>
      <c r="M639" s="219"/>
    </row>
    <row r="640" spans="1:24" ht="12" customHeight="1">
      <c r="A640" s="7172"/>
      <c r="B640" s="7167"/>
      <c r="C640" s="39" t="s">
        <v>8518</v>
      </c>
      <c r="D640" s="76" t="s">
        <v>15</v>
      </c>
      <c r="E640" s="1035">
        <v>8</v>
      </c>
      <c r="F640" s="1036">
        <v>8</v>
      </c>
      <c r="G640" s="1035">
        <v>30</v>
      </c>
      <c r="H640" s="1035">
        <v>4</v>
      </c>
      <c r="I640" s="1035">
        <v>8</v>
      </c>
      <c r="J640" s="1035">
        <v>14</v>
      </c>
      <c r="K640" s="1035">
        <v>1</v>
      </c>
      <c r="L640" s="3830" t="str">
        <f t="shared" si="27"/>
        <v>Potenciar CríticoCrítico Automático</v>
      </c>
      <c r="Q640" s="825"/>
      <c r="T640" s="825"/>
      <c r="U640" s="825"/>
      <c r="V640" s="825"/>
      <c r="W640" s="825"/>
      <c r="X640" s="825"/>
    </row>
    <row r="641" spans="1:12" ht="12" customHeight="1">
      <c r="A641" s="7172"/>
      <c r="B641" s="7167"/>
      <c r="C641" s="39" t="s">
        <v>8797</v>
      </c>
      <c r="D641" s="76"/>
      <c r="E641" s="1035"/>
      <c r="F641" s="1036"/>
      <c r="G641" s="1035"/>
      <c r="H641" s="1035"/>
      <c r="I641" s="1035"/>
      <c r="J641" s="1035"/>
      <c r="K641" s="1035"/>
      <c r="L641" s="3830" t="str">
        <f t="shared" si="27"/>
        <v>&gt; POTENCIAR CRÍTICO REAL</v>
      </c>
    </row>
    <row r="642" spans="1:12" ht="12" customHeight="1">
      <c r="A642" s="7172"/>
      <c r="B642" s="7167"/>
      <c r="C642" s="39" t="s">
        <v>8520</v>
      </c>
      <c r="D642" s="76" t="s">
        <v>7056</v>
      </c>
      <c r="E642" s="1035">
        <v>3</v>
      </c>
      <c r="F642" s="1036">
        <v>5</v>
      </c>
      <c r="G642" s="1035">
        <v>10</v>
      </c>
      <c r="H642" s="1035">
        <v>2</v>
      </c>
      <c r="I642" s="1035">
        <v>4</v>
      </c>
      <c r="J642" s="1035">
        <v>7</v>
      </c>
      <c r="K642" s="1035">
        <v>1</v>
      </c>
      <c r="L642" s="3830" t="str">
        <f t="shared" si="27"/>
        <v>Potenciar Crítico Real+10</v>
      </c>
    </row>
    <row r="643" spans="1:12" ht="12" customHeight="1">
      <c r="A643" s="7172"/>
      <c r="B643" s="7167"/>
      <c r="C643" s="39" t="s">
        <v>8520</v>
      </c>
      <c r="D643" s="76" t="s">
        <v>7200</v>
      </c>
      <c r="E643" s="1035">
        <v>5</v>
      </c>
      <c r="F643" s="1036">
        <v>8</v>
      </c>
      <c r="G643" s="1035">
        <v>20</v>
      </c>
      <c r="H643" s="1035">
        <v>4</v>
      </c>
      <c r="I643" s="1035">
        <v>8</v>
      </c>
      <c r="J643" s="1035">
        <v>14</v>
      </c>
      <c r="K643" s="1035">
        <v>1</v>
      </c>
      <c r="L643" s="3830" t="str">
        <f t="shared" si="27"/>
        <v>Potenciar Crítico Real+25</v>
      </c>
    </row>
    <row r="644" spans="1:12" ht="12" customHeight="1">
      <c r="A644" s="7172"/>
      <c r="B644" s="7167"/>
      <c r="C644" s="39" t="s">
        <v>8520</v>
      </c>
      <c r="D644" s="76" t="s">
        <v>7058</v>
      </c>
      <c r="E644" s="1035">
        <v>7</v>
      </c>
      <c r="F644" s="1036">
        <v>9</v>
      </c>
      <c r="G644" s="1035">
        <v>25</v>
      </c>
      <c r="H644" s="1035">
        <v>6</v>
      </c>
      <c r="I644" s="1035">
        <v>12</v>
      </c>
      <c r="J644" s="1035">
        <v>21</v>
      </c>
      <c r="K644" s="1035">
        <v>1</v>
      </c>
      <c r="L644" s="3830" t="str">
        <f t="shared" si="27"/>
        <v>Potenciar Crítico Real+40</v>
      </c>
    </row>
    <row r="645" spans="1:12" ht="12" customHeight="1">
      <c r="A645" s="7172"/>
      <c r="B645" s="7167"/>
      <c r="C645" s="76" t="s">
        <v>8520</v>
      </c>
      <c r="D645" s="76" t="s">
        <v>7059</v>
      </c>
      <c r="E645" s="1035">
        <v>9</v>
      </c>
      <c r="F645" s="1036">
        <v>12</v>
      </c>
      <c r="G645" s="1035">
        <v>35</v>
      </c>
      <c r="H645" s="1035">
        <v>8</v>
      </c>
      <c r="I645" s="1035">
        <v>16</v>
      </c>
      <c r="J645" s="1035">
        <v>28</v>
      </c>
      <c r="K645" s="1035">
        <v>2</v>
      </c>
      <c r="L645" s="3830" t="str">
        <f t="shared" si="27"/>
        <v>Potenciar Crítico Real+50</v>
      </c>
    </row>
    <row r="646" spans="1:12" ht="12" customHeight="1">
      <c r="A646" s="7172"/>
      <c r="B646" s="7167"/>
      <c r="C646" s="76" t="s">
        <v>8520</v>
      </c>
      <c r="D646" s="76" t="s">
        <v>8392</v>
      </c>
      <c r="E646" s="1035">
        <v>12</v>
      </c>
      <c r="F646" s="1036">
        <v>15</v>
      </c>
      <c r="G646" s="1035">
        <v>50</v>
      </c>
      <c r="H646" s="1035">
        <v>10</v>
      </c>
      <c r="I646" s="1035">
        <v>20</v>
      </c>
      <c r="J646" s="1035">
        <v>35</v>
      </c>
      <c r="K646" s="1035">
        <v>2</v>
      </c>
      <c r="L646" s="3830" t="str">
        <f t="shared" si="27"/>
        <v>Potenciar Crítico Real+75</v>
      </c>
    </row>
    <row r="647" spans="1:12" ht="12" customHeight="1">
      <c r="A647" s="7172"/>
      <c r="B647" s="7167"/>
      <c r="C647" s="76" t="s">
        <v>8520</v>
      </c>
      <c r="D647" s="76" t="s">
        <v>8396</v>
      </c>
      <c r="E647" s="1035">
        <v>16</v>
      </c>
      <c r="F647" s="1036">
        <v>20</v>
      </c>
      <c r="G647" s="1035">
        <v>60</v>
      </c>
      <c r="H647" s="1035">
        <v>12</v>
      </c>
      <c r="I647" s="1035">
        <v>24</v>
      </c>
      <c r="J647" s="1035">
        <v>42</v>
      </c>
      <c r="K647" s="1035">
        <v>3</v>
      </c>
      <c r="L647" s="3830" t="str">
        <f t="shared" si="27"/>
        <v>Potenciar Crítico Real+90</v>
      </c>
    </row>
    <row r="648" spans="1:12" ht="12" customHeight="1">
      <c r="A648" s="7172"/>
      <c r="B648" s="7167"/>
      <c r="C648" s="76" t="s">
        <v>8520</v>
      </c>
      <c r="D648" s="76" t="s">
        <v>8399</v>
      </c>
      <c r="E648" s="1035">
        <v>18</v>
      </c>
      <c r="F648" s="1036">
        <v>22</v>
      </c>
      <c r="G648" s="1035">
        <v>65</v>
      </c>
      <c r="H648" s="1035">
        <v>14</v>
      </c>
      <c r="I648" s="1035">
        <v>28</v>
      </c>
      <c r="J648" s="1035">
        <v>49</v>
      </c>
      <c r="K648" s="1035">
        <v>3</v>
      </c>
      <c r="L648" s="3830" t="str">
        <f t="shared" si="27"/>
        <v>Potenciar Crítico Real+100</v>
      </c>
    </row>
    <row r="649" spans="1:12" ht="12" customHeight="1">
      <c r="A649" s="7172"/>
      <c r="B649" s="7167"/>
      <c r="C649" s="76" t="s">
        <v>8520</v>
      </c>
      <c r="D649" s="76" t="s">
        <v>15</v>
      </c>
      <c r="E649" s="1035">
        <v>8</v>
      </c>
      <c r="F649" s="1036">
        <v>8</v>
      </c>
      <c r="G649" s="1035">
        <v>30</v>
      </c>
      <c r="H649" s="1035">
        <v>4</v>
      </c>
      <c r="I649" s="1035">
        <v>8</v>
      </c>
      <c r="J649" s="1035">
        <v>14</v>
      </c>
      <c r="K649" s="1035">
        <v>1</v>
      </c>
      <c r="L649" s="3830" t="str">
        <f t="shared" si="27"/>
        <v>Potenciar Crítico RealCrítico Automático</v>
      </c>
    </row>
    <row r="650" spans="1:12" ht="12" customHeight="1">
      <c r="A650" s="7172"/>
      <c r="B650" s="7167"/>
      <c r="C650" s="76" t="s">
        <v>8798</v>
      </c>
      <c r="D650" s="76"/>
      <c r="E650" s="1035"/>
      <c r="F650" s="1036"/>
      <c r="G650" s="1035"/>
      <c r="H650" s="1035"/>
      <c r="I650" s="1035"/>
      <c r="J650" s="1035"/>
      <c r="K650" s="1035"/>
      <c r="L650" s="3830" t="str">
        <f t="shared" si="27"/>
        <v>&gt; REFLECTAR EL ATAQUE</v>
      </c>
    </row>
    <row r="651" spans="1:12" ht="12" customHeight="1">
      <c r="A651" s="7172"/>
      <c r="B651" s="7167"/>
      <c r="C651" s="3834" t="s">
        <v>8799</v>
      </c>
      <c r="D651" s="3833"/>
      <c r="E651" s="3833">
        <v>12</v>
      </c>
      <c r="F651" s="3833">
        <v>15</v>
      </c>
      <c r="G651" s="3833">
        <v>30</v>
      </c>
      <c r="H651" s="3833">
        <v>8</v>
      </c>
      <c r="I651" s="3833">
        <v>16</v>
      </c>
      <c r="J651" s="3833">
        <v>28</v>
      </c>
      <c r="K651" s="3833">
        <v>2</v>
      </c>
      <c r="L651" s="3843" t="str">
        <f t="shared" si="27"/>
        <v>Reflectar El Ataque</v>
      </c>
    </row>
    <row r="652" spans="1:12" ht="12" customHeight="1">
      <c r="A652" s="7172"/>
      <c r="B652" s="7167"/>
      <c r="C652" s="1036" t="s">
        <v>8799</v>
      </c>
      <c r="D652" s="1035" t="s">
        <v>2976</v>
      </c>
      <c r="E652" s="1035">
        <v>2</v>
      </c>
      <c r="F652" s="1035">
        <v>2</v>
      </c>
      <c r="G652" s="1035">
        <v>10</v>
      </c>
      <c r="H652" s="1035">
        <v>2</v>
      </c>
      <c r="I652" s="1035">
        <v>4</v>
      </c>
      <c r="J652" s="1035">
        <v>7</v>
      </c>
      <c r="K652" s="1035">
        <v>1</v>
      </c>
      <c r="L652" s="3844" t="str">
        <f t="shared" si="27"/>
        <v>Reflectar El AtaqueElección de Blanco</v>
      </c>
    </row>
    <row r="653" spans="1:12" ht="12" customHeight="1">
      <c r="A653" s="7172"/>
      <c r="B653" s="7167"/>
      <c r="C653" s="1036" t="s">
        <v>8799</v>
      </c>
      <c r="D653" s="1036" t="s">
        <v>3015</v>
      </c>
      <c r="E653" s="1035">
        <v>4</v>
      </c>
      <c r="F653" s="1035">
        <v>4</v>
      </c>
      <c r="G653" s="1035">
        <v>20</v>
      </c>
      <c r="H653" s="1035">
        <v>1</v>
      </c>
      <c r="I653" s="1035">
        <v>2</v>
      </c>
      <c r="J653" s="1035">
        <v>4</v>
      </c>
      <c r="K653" s="1035">
        <v>1</v>
      </c>
      <c r="L653" s="3844" t="str">
        <f t="shared" si="27"/>
        <v>Reflectar El AtaqueReflectar Habilidades Esotéricas</v>
      </c>
    </row>
    <row r="654" spans="1:12" ht="12" customHeight="1">
      <c r="A654" s="7172"/>
      <c r="B654" s="7167"/>
      <c r="C654" s="1036" t="str">
        <f t="shared" ref="C654:C659" si="28">O83</f>
        <v>&gt;&gt; EFECTOS PERSONALIZADOS</v>
      </c>
      <c r="D654" s="1035"/>
      <c r="E654" s="1035"/>
      <c r="F654" s="1035"/>
      <c r="G654" s="1035"/>
      <c r="H654" s="1035"/>
      <c r="I654" s="1035"/>
      <c r="J654" s="1035"/>
      <c r="K654" s="1035"/>
      <c r="L654" s="3844"/>
    </row>
    <row r="655" spans="1:12" ht="12" customHeight="1">
      <c r="A655" s="7172"/>
      <c r="B655" s="7167"/>
      <c r="C655" s="1036" t="str">
        <f t="shared" si="28"/>
        <v>Efecto Personalizado #1</v>
      </c>
      <c r="D655" s="1035"/>
      <c r="E655" s="1035">
        <f>Personalización!AU48</f>
        <v>0</v>
      </c>
      <c r="F655" s="1035">
        <f>Personalización!AV48</f>
        <v>0</v>
      </c>
      <c r="G655" s="1035">
        <f>Personalización!AW48</f>
        <v>0</v>
      </c>
      <c r="H655" s="1035">
        <f>Personalización!AX48</f>
        <v>0</v>
      </c>
      <c r="I655" s="1035">
        <f>Personalización!AY48</f>
        <v>0</v>
      </c>
      <c r="J655" s="1035">
        <f>Personalización!AZ48</f>
        <v>0</v>
      </c>
      <c r="K655" s="1035">
        <f>Personalización!BA48</f>
        <v>0</v>
      </c>
      <c r="L655" s="3845" t="str">
        <f>C655</f>
        <v>Efecto Personalizado #1</v>
      </c>
    </row>
    <row r="656" spans="1:12" ht="12" customHeight="1">
      <c r="A656" s="7172"/>
      <c r="B656" s="7167"/>
      <c r="C656" s="1036" t="str">
        <f t="shared" si="28"/>
        <v>Efecto Personalizado #2</v>
      </c>
      <c r="D656" s="1035"/>
      <c r="E656" s="1035">
        <f>Personalización!AU49</f>
        <v>0</v>
      </c>
      <c r="F656" s="1035">
        <f>Personalización!AV49</f>
        <v>0</v>
      </c>
      <c r="G656" s="1035">
        <f>Personalización!AW49</f>
        <v>0</v>
      </c>
      <c r="H656" s="1035">
        <f>Personalización!AX49</f>
        <v>0</v>
      </c>
      <c r="I656" s="1035">
        <f>Personalización!AY49</f>
        <v>0</v>
      </c>
      <c r="J656" s="1035">
        <f>Personalización!AZ49</f>
        <v>0</v>
      </c>
      <c r="K656" s="1035">
        <f>Personalización!BA49</f>
        <v>0</v>
      </c>
      <c r="L656" s="3845" t="str">
        <f>C656</f>
        <v>Efecto Personalizado #2</v>
      </c>
    </row>
    <row r="657" spans="1:12" ht="12" customHeight="1">
      <c r="A657" s="7172"/>
      <c r="B657" s="7167"/>
      <c r="C657" s="1036" t="str">
        <f t="shared" si="28"/>
        <v>Efecto Personalizado #3</v>
      </c>
      <c r="D657" s="1035"/>
      <c r="E657" s="1035">
        <f>Personalización!AU50</f>
        <v>0</v>
      </c>
      <c r="F657" s="1035">
        <f>Personalización!AV50</f>
        <v>0</v>
      </c>
      <c r="G657" s="1035">
        <f>Personalización!AW50</f>
        <v>0</v>
      </c>
      <c r="H657" s="1035">
        <f>Personalización!AX50</f>
        <v>0</v>
      </c>
      <c r="I657" s="1035">
        <f>Personalización!AY50</f>
        <v>0</v>
      </c>
      <c r="J657" s="1035">
        <f>Personalización!AZ50</f>
        <v>0</v>
      </c>
      <c r="K657" s="1035">
        <f>Personalización!BA50</f>
        <v>0</v>
      </c>
      <c r="L657" s="3845" t="str">
        <f>C657</f>
        <v>Efecto Personalizado #3</v>
      </c>
    </row>
    <row r="658" spans="1:12" ht="12" customHeight="1">
      <c r="A658" s="7172"/>
      <c r="B658" s="7167"/>
      <c r="C658" s="1036" t="str">
        <f t="shared" si="28"/>
        <v>Efecto Personalizado #4</v>
      </c>
      <c r="D658" s="1035"/>
      <c r="E658" s="1035">
        <f>Personalización!AU51</f>
        <v>0</v>
      </c>
      <c r="F658" s="1035">
        <f>Personalización!AV51</f>
        <v>0</v>
      </c>
      <c r="G658" s="1035">
        <f>Personalización!AW51</f>
        <v>0</v>
      </c>
      <c r="H658" s="1035">
        <f>Personalización!AX51</f>
        <v>0</v>
      </c>
      <c r="I658" s="1035">
        <f>Personalización!AY51</f>
        <v>0</v>
      </c>
      <c r="J658" s="1035">
        <f>Personalización!AZ51</f>
        <v>0</v>
      </c>
      <c r="K658" s="1035">
        <f>Personalización!BA51</f>
        <v>0</v>
      </c>
      <c r="L658" s="3845" t="str">
        <f>C658</f>
        <v>Efecto Personalizado #4</v>
      </c>
    </row>
    <row r="659" spans="1:12" ht="12" customHeight="1" thickBot="1">
      <c r="A659" s="7172"/>
      <c r="C659" s="3846" t="str">
        <f t="shared" si="28"/>
        <v>Efecto Personalizado #5</v>
      </c>
      <c r="D659" s="3847"/>
      <c r="E659" s="3847">
        <f>Personalización!AU52</f>
        <v>0</v>
      </c>
      <c r="F659" s="3847">
        <f>Personalización!AV52</f>
        <v>0</v>
      </c>
      <c r="G659" s="3847">
        <f>Personalización!AW52</f>
        <v>0</v>
      </c>
      <c r="H659" s="3847">
        <f>Personalización!AX52</f>
        <v>0</v>
      </c>
      <c r="I659" s="3847">
        <f>Personalización!AY52</f>
        <v>0</v>
      </c>
      <c r="J659" s="3847">
        <f>Personalización!AZ52</f>
        <v>0</v>
      </c>
      <c r="K659" s="3847">
        <f>Personalización!BA52</f>
        <v>0</v>
      </c>
      <c r="L659" s="3848" t="str">
        <f>C659</f>
        <v>Efecto Personalizado #5</v>
      </c>
    </row>
    <row r="660" spans="1:12" ht="12" customHeight="1">
      <c r="A660" s="7172"/>
    </row>
    <row r="661" spans="1:12" ht="12" customHeight="1">
      <c r="A661" s="7172"/>
    </row>
    <row r="662" spans="1:12" ht="12" customHeight="1">
      <c r="A662" s="7172"/>
    </row>
    <row r="663" spans="1:12" ht="12" customHeight="1">
      <c r="A663" s="7172"/>
    </row>
    <row r="664" spans="1:12" ht="12" customHeight="1">
      <c r="A664" s="7172"/>
    </row>
    <row r="665" spans="1:12" ht="12" customHeight="1">
      <c r="A665" s="7172"/>
    </row>
    <row r="666" spans="1:12" ht="12" customHeight="1">
      <c r="A666" s="7172"/>
    </row>
    <row r="667" spans="1:12" ht="12" customHeight="1">
      <c r="A667" s="7172"/>
    </row>
    <row r="668" spans="1:12" ht="12" customHeight="1">
      <c r="A668" s="7172"/>
    </row>
    <row r="669" spans="1:12" ht="12" customHeight="1">
      <c r="A669" s="7172"/>
    </row>
    <row r="670" spans="1:12" ht="12" customHeight="1">
      <c r="A670" s="7172"/>
    </row>
    <row r="671" spans="1:12" ht="12" customHeight="1">
      <c r="A671" s="7172"/>
    </row>
    <row r="672" spans="1:12" ht="12" customHeight="1">
      <c r="A672" s="7172"/>
    </row>
    <row r="673" spans="1:21" ht="12" customHeight="1">
      <c r="A673" s="7172"/>
    </row>
    <row r="674" spans="1:21" ht="12" customHeight="1">
      <c r="A674" s="7172"/>
    </row>
    <row r="675" spans="1:21" ht="12" customHeight="1">
      <c r="A675" s="7172"/>
    </row>
    <row r="676" spans="1:21" ht="12" customHeight="1">
      <c r="A676" s="7172"/>
    </row>
    <row r="677" spans="1:21" ht="12" customHeight="1">
      <c r="A677" s="7172"/>
    </row>
    <row r="678" spans="1:21" ht="12" customHeight="1">
      <c r="A678" s="7145"/>
      <c r="B678" s="7146" t="s">
        <v>8800</v>
      </c>
      <c r="C678" s="7146"/>
      <c r="D678" s="7146"/>
      <c r="E678" s="7146"/>
      <c r="F678" s="7146"/>
      <c r="G678" s="7146"/>
      <c r="H678" s="7146"/>
      <c r="I678" s="7146"/>
      <c r="J678" s="7146"/>
      <c r="K678" s="7146"/>
      <c r="L678" s="7146"/>
      <c r="M678" s="7146"/>
      <c r="N678" s="7146"/>
      <c r="O678" s="7146"/>
      <c r="P678" s="7146"/>
      <c r="Q678" s="7146"/>
      <c r="R678" s="7146"/>
      <c r="S678" s="7146"/>
      <c r="T678" s="7146"/>
      <c r="U678" s="7146"/>
    </row>
    <row r="679" spans="1:21" ht="12" customHeight="1">
      <c r="A679" s="7145"/>
      <c r="B679" s="7146"/>
      <c r="C679" s="7146"/>
      <c r="D679" s="7146"/>
      <c r="E679" s="7146"/>
      <c r="F679" s="7146"/>
      <c r="G679" s="7146"/>
      <c r="H679" s="7146"/>
      <c r="I679" s="7146"/>
      <c r="J679" s="7146"/>
      <c r="K679" s="7146"/>
      <c r="L679" s="7146"/>
      <c r="M679" s="7146"/>
      <c r="N679" s="7146"/>
      <c r="O679" s="7146"/>
      <c r="P679" s="7146"/>
      <c r="Q679" s="7146"/>
      <c r="R679" s="7146"/>
      <c r="S679" s="7146"/>
      <c r="T679" s="7146"/>
      <c r="U679" s="7146"/>
    </row>
    <row r="680" spans="1:21" ht="12" customHeight="1">
      <c r="A680" s="7145"/>
      <c r="B680" s="7146"/>
      <c r="C680" s="7146"/>
      <c r="D680" s="7146"/>
      <c r="E680" s="7146"/>
      <c r="F680" s="7146"/>
      <c r="G680" s="7146"/>
      <c r="H680" s="7146"/>
      <c r="I680" s="7146"/>
      <c r="J680" s="7146"/>
      <c r="K680" s="7146"/>
      <c r="L680" s="7146"/>
      <c r="M680" s="7146"/>
      <c r="N680" s="7146"/>
      <c r="O680" s="7146"/>
      <c r="P680" s="7146"/>
      <c r="Q680" s="7146"/>
      <c r="R680" s="7146"/>
      <c r="S680" s="7146"/>
      <c r="T680" s="7146"/>
      <c r="U680" s="7146"/>
    </row>
    <row r="681" spans="1:21" ht="12" customHeight="1" thickBot="1">
      <c r="A681" s="7145"/>
      <c r="O681" s="1744"/>
      <c r="U681" s="219"/>
    </row>
    <row r="682" spans="1:21" ht="12" customHeight="1">
      <c r="A682" s="7145"/>
      <c r="B682" s="7145"/>
      <c r="C682" s="7153" t="s">
        <v>8801</v>
      </c>
      <c r="D682" s="7154"/>
      <c r="E682" s="7154"/>
      <c r="F682" s="7154"/>
      <c r="G682" s="7154"/>
      <c r="H682" s="7154"/>
      <c r="I682" s="7154"/>
      <c r="J682" s="7154"/>
      <c r="K682" s="7154"/>
      <c r="L682" s="7154"/>
      <c r="M682" s="7154"/>
      <c r="N682" s="7154"/>
      <c r="O682" s="7154"/>
      <c r="P682" s="7154"/>
      <c r="Q682" s="7154"/>
      <c r="R682" s="7154"/>
      <c r="S682" s="7155"/>
      <c r="U682" s="7161" t="s">
        <v>8828</v>
      </c>
    </row>
    <row r="683" spans="1:21" ht="12" customHeight="1">
      <c r="A683" s="7145"/>
      <c r="B683" s="7145"/>
      <c r="C683" s="7156"/>
      <c r="D683" s="7157"/>
      <c r="E683" s="7157"/>
      <c r="F683" s="7157"/>
      <c r="G683" s="7157"/>
      <c r="H683" s="7157"/>
      <c r="I683" s="7157"/>
      <c r="J683" s="7157"/>
      <c r="K683" s="7157"/>
      <c r="L683" s="7157"/>
      <c r="M683" s="7157"/>
      <c r="N683" s="7157"/>
      <c r="O683" s="7157"/>
      <c r="P683" s="7157"/>
      <c r="Q683" s="7157"/>
      <c r="R683" s="7157"/>
      <c r="S683" s="7158"/>
      <c r="U683" s="7162"/>
    </row>
    <row r="684" spans="1:21" ht="12" customHeight="1">
      <c r="A684" s="7145"/>
      <c r="B684" s="7145"/>
      <c r="C684" s="336">
        <v>1</v>
      </c>
      <c r="D684" s="330">
        <v>2</v>
      </c>
      <c r="E684" s="330">
        <v>3</v>
      </c>
      <c r="F684" s="330">
        <v>4</v>
      </c>
      <c r="G684" s="330">
        <v>5</v>
      </c>
      <c r="H684" s="330">
        <v>6</v>
      </c>
      <c r="I684" s="330">
        <v>7</v>
      </c>
      <c r="J684" s="330">
        <v>8</v>
      </c>
      <c r="K684" s="330">
        <v>9</v>
      </c>
      <c r="L684" s="330">
        <v>10</v>
      </c>
      <c r="M684" s="7159">
        <v>11</v>
      </c>
      <c r="N684" s="7159"/>
      <c r="O684" s="7159"/>
      <c r="P684" s="7159"/>
      <c r="Q684" s="7159"/>
      <c r="R684" s="7159"/>
      <c r="S684" s="7160"/>
      <c r="U684" s="1751" t="s">
        <v>8804</v>
      </c>
    </row>
    <row r="685" spans="1:21" ht="12" customHeight="1">
      <c r="A685" s="7145"/>
      <c r="B685" s="7145"/>
      <c r="C685" s="336" t="s">
        <v>1300</v>
      </c>
      <c r="D685" s="330" t="s">
        <v>8802</v>
      </c>
      <c r="E685" s="330" t="s">
        <v>1262</v>
      </c>
      <c r="F685" s="330" t="s">
        <v>9066</v>
      </c>
      <c r="G685" s="330" t="s">
        <v>9067</v>
      </c>
      <c r="H685" s="330" t="s">
        <v>1349</v>
      </c>
      <c r="I685" s="330" t="s">
        <v>2662</v>
      </c>
      <c r="J685" s="1845" t="s">
        <v>9065</v>
      </c>
      <c r="K685" s="330" t="s">
        <v>1258</v>
      </c>
      <c r="L685" s="330" t="s">
        <v>8803</v>
      </c>
      <c r="M685" s="1845" t="s">
        <v>9097</v>
      </c>
      <c r="N685" s="330" t="s">
        <v>9071</v>
      </c>
      <c r="O685" s="330" t="s">
        <v>9072</v>
      </c>
      <c r="P685" s="330" t="s">
        <v>9073</v>
      </c>
      <c r="Q685" s="330" t="s">
        <v>9074</v>
      </c>
      <c r="R685" s="330" t="s">
        <v>9075</v>
      </c>
      <c r="S685" s="1852" t="s">
        <v>9076</v>
      </c>
      <c r="U685" s="1751" t="s">
        <v>8805</v>
      </c>
    </row>
    <row r="686" spans="1:21" ht="12" customHeight="1">
      <c r="A686" s="7145"/>
      <c r="B686" s="7145"/>
      <c r="C686" s="1847" t="s">
        <v>2663</v>
      </c>
      <c r="D686" s="1848"/>
      <c r="E686" s="1849"/>
      <c r="F686" s="1849"/>
      <c r="G686" s="1850"/>
      <c r="H686" s="1851"/>
      <c r="I686" s="1851"/>
      <c r="J686" s="1851"/>
      <c r="K686" s="1851"/>
      <c r="L686" s="1851"/>
      <c r="M686" s="1860"/>
      <c r="N686" s="1851"/>
      <c r="O686" s="1851"/>
      <c r="P686" s="1851"/>
      <c r="Q686" s="1851"/>
      <c r="R686" s="1851"/>
      <c r="S686" s="1853"/>
      <c r="U686" s="1751" t="s">
        <v>2533</v>
      </c>
    </row>
    <row r="687" spans="1:21" ht="12" customHeight="1">
      <c r="A687" s="7145"/>
      <c r="B687" s="7145"/>
      <c r="C687" s="1847" t="str">
        <f>IF(OR(INDEX('Creación de Técnicas'!D:D,$L687)="",INDEX('Creación de Técnicas'!D:D,$L687)="Nombre de la Técnica"),"Técnica Propia "&amp;Tablas!$A1,INDEX('Creación de Técnicas'!D:D,$L687))</f>
        <v>Técnica Propia 1</v>
      </c>
      <c r="D687" s="1848" t="str">
        <f>PROPER(MID(C686,3,100))</f>
        <v>Técnicas Propias</v>
      </c>
      <c r="E687" s="1850">
        <f>MAX(1,INDEX('Creación de Técnicas'!P:P,$L687))</f>
        <v>1</v>
      </c>
      <c r="F687" s="1850">
        <f>INDEX('Creación de Técnicas'!U:U,$L687)</f>
        <v>20</v>
      </c>
      <c r="G687" s="1850">
        <f>F687</f>
        <v>20</v>
      </c>
      <c r="H687" s="1851" t="str">
        <f>INDEX('Creación de Técnicas'!X:X,$L687)</f>
        <v/>
      </c>
      <c r="I687" s="1851" t="str">
        <f>IFERROR(IF(INDEX('Creación de Técnicas'!S:S,$L687)="Sí","Combinable. ","")&amp;INDEX('Creación de Técnicas'!AO:AO,$L687+12),"-")</f>
        <v>-</v>
      </c>
      <c r="J687" s="1851" t="str">
        <f>IFERROR(INDEX('Creación de Técnicas'!AO:AO,$L687+13),"-")</f>
        <v>-</v>
      </c>
      <c r="K687" s="1851"/>
      <c r="L687" s="1851">
        <f>12+((45-12)*(Tablas!$A1-1))</f>
        <v>12</v>
      </c>
      <c r="M687" s="1860" t="s">
        <v>9098</v>
      </c>
      <c r="N687" s="1851"/>
      <c r="O687" s="1851"/>
      <c r="P687" s="1851"/>
      <c r="Q687" s="1851"/>
      <c r="R687" s="1851"/>
      <c r="S687" s="1853"/>
      <c r="U687" s="1751" t="s">
        <v>8806</v>
      </c>
    </row>
    <row r="688" spans="1:21" ht="12" customHeight="1">
      <c r="A688" s="7145"/>
      <c r="B688" s="7145"/>
      <c r="C688" s="1847" t="str">
        <f>IF(OR(INDEX('Creación de Técnicas'!D:D,$L688)="",INDEX('Creación de Técnicas'!D:D,$L688)="Nombre de la Técnica"),"Técnica Propia "&amp;Tablas!$A2,INDEX('Creación de Técnicas'!D:D,$L688))</f>
        <v>Técnica Propia 2</v>
      </c>
      <c r="D688" s="1848" t="str">
        <f t="shared" ref="D688:D696" si="29">D687</f>
        <v>Técnicas Propias</v>
      </c>
      <c r="E688" s="1850">
        <f>MAX(1,INDEX('Creación de Técnicas'!P:P,$L688))</f>
        <v>1</v>
      </c>
      <c r="F688" s="1850">
        <f>INDEX('Creación de Técnicas'!U:U,$L688)</f>
        <v>20</v>
      </c>
      <c r="G688" s="1850">
        <f t="shared" ref="G688:G696" si="30">F688</f>
        <v>20</v>
      </c>
      <c r="H688" s="1851" t="str">
        <f>INDEX('Creación de Técnicas'!X:X,$L688)</f>
        <v/>
      </c>
      <c r="I688" s="1851" t="str">
        <f>IFERROR(IF(INDEX('Creación de Técnicas'!S:S,$L688)="Sí","Combinable. ","")&amp;INDEX('Creación de Técnicas'!AO:AO,$L688+12),"-")</f>
        <v>-</v>
      </c>
      <c r="J688" s="1851" t="str">
        <f>IFERROR(INDEX('Creación de Técnicas'!AO:AO,$L688+13),"-")</f>
        <v>-</v>
      </c>
      <c r="K688" s="1851"/>
      <c r="L688" s="1851">
        <f>12+((46-12)*(Tablas!$A2-1))</f>
        <v>46</v>
      </c>
      <c r="M688" s="1860" t="s">
        <v>9098</v>
      </c>
      <c r="N688" s="1851"/>
      <c r="O688" s="1851"/>
      <c r="P688" s="1851"/>
      <c r="Q688" s="1851"/>
      <c r="R688" s="1851"/>
      <c r="S688" s="1853"/>
      <c r="U688" s="1751" t="s">
        <v>8807</v>
      </c>
    </row>
    <row r="689" spans="1:22" ht="12" customHeight="1">
      <c r="A689" s="7145"/>
      <c r="B689" s="7145"/>
      <c r="C689" s="1847" t="str">
        <f>IF(OR(INDEX('Creación de Técnicas'!D:D,$L689)="",INDEX('Creación de Técnicas'!D:D,$L689)="Nombre de la Técnica"),"Técnica Propia "&amp;Tablas!$A3,INDEX('Creación de Técnicas'!D:D,$L689))</f>
        <v>Técnica Propia 3</v>
      </c>
      <c r="D689" s="1848" t="str">
        <f t="shared" si="29"/>
        <v>Técnicas Propias</v>
      </c>
      <c r="E689" s="1850">
        <f>MAX(1,INDEX('Creación de Técnicas'!P:P,$L689))</f>
        <v>1</v>
      </c>
      <c r="F689" s="1850">
        <f>INDEX('Creación de Técnicas'!U:U,$L689)</f>
        <v>20</v>
      </c>
      <c r="G689" s="1850">
        <f t="shared" si="30"/>
        <v>20</v>
      </c>
      <c r="H689" s="1851" t="str">
        <f>INDEX('Creación de Técnicas'!X:X,$L689)</f>
        <v/>
      </c>
      <c r="I689" s="1851" t="str">
        <f>IFERROR(IF(INDEX('Creación de Técnicas'!S:S,$L689)="Sí","Combinable. ","")&amp;INDEX('Creación de Técnicas'!AO:AO,$L689+12),"-")</f>
        <v>-</v>
      </c>
      <c r="J689" s="1851" t="str">
        <f>IFERROR(INDEX('Creación de Técnicas'!AO:AO,$L689+13),"-")</f>
        <v>-</v>
      </c>
      <c r="K689" s="1851"/>
      <c r="L689" s="1851">
        <f>12+((46-12)*(Tablas!$A3-1))</f>
        <v>80</v>
      </c>
      <c r="M689" s="1860" t="s">
        <v>9098</v>
      </c>
      <c r="N689" s="1851"/>
      <c r="O689" s="1851"/>
      <c r="P689" s="1851"/>
      <c r="Q689" s="1851"/>
      <c r="R689" s="1851"/>
      <c r="S689" s="1853"/>
      <c r="U689" s="1751" t="s">
        <v>8808</v>
      </c>
    </row>
    <row r="690" spans="1:22" ht="12" customHeight="1">
      <c r="A690" s="7145"/>
      <c r="B690" s="7145"/>
      <c r="C690" s="1847" t="str">
        <f>IF(OR(INDEX('Creación de Técnicas'!D:D,$L690)="",INDEX('Creación de Técnicas'!D:D,$L690)="Nombre de la Técnica"),"Técnica Propia "&amp;Tablas!$A4,INDEX('Creación de Técnicas'!D:D,$L690))</f>
        <v>Técnica Propia 4</v>
      </c>
      <c r="D690" s="1848" t="str">
        <f t="shared" si="29"/>
        <v>Técnicas Propias</v>
      </c>
      <c r="E690" s="1850">
        <f>MAX(1,INDEX('Creación de Técnicas'!P:P,$L690))</f>
        <v>1</v>
      </c>
      <c r="F690" s="1850">
        <f>INDEX('Creación de Técnicas'!U:U,$L690)</f>
        <v>20</v>
      </c>
      <c r="G690" s="1850">
        <f t="shared" si="30"/>
        <v>20</v>
      </c>
      <c r="H690" s="1851" t="str">
        <f>INDEX('Creación de Técnicas'!X:X,$L690)</f>
        <v/>
      </c>
      <c r="I690" s="1851" t="str">
        <f>IFERROR(IF(INDEX('Creación de Técnicas'!S:S,$L690)="Sí","Combinable. ","")&amp;INDEX('Creación de Técnicas'!AO:AO,$L690+12),"-")</f>
        <v>-</v>
      </c>
      <c r="J690" s="1851" t="str">
        <f>IFERROR(INDEX('Creación de Técnicas'!AO:AO,$L690+13),"-")</f>
        <v>-</v>
      </c>
      <c r="K690" s="1851"/>
      <c r="L690" s="1851">
        <f>12+((46-12)*(Tablas!$A4-1))</f>
        <v>114</v>
      </c>
      <c r="M690" s="1860" t="s">
        <v>9098</v>
      </c>
      <c r="N690" s="1851"/>
      <c r="O690" s="1851"/>
      <c r="P690" s="1851"/>
      <c r="Q690" s="1851"/>
      <c r="R690" s="1851"/>
      <c r="S690" s="1853"/>
      <c r="U690" s="1751" t="s">
        <v>8809</v>
      </c>
    </row>
    <row r="691" spans="1:22" ht="12" customHeight="1">
      <c r="A691" s="7145"/>
      <c r="B691" s="7145"/>
      <c r="C691" s="1847" t="str">
        <f>IF(OR(INDEX('Creación de Técnicas'!D:D,$L691)="",INDEX('Creación de Técnicas'!D:D,$L691)="Nombre de la Técnica"),"Técnica Propia "&amp;Tablas!$A5,INDEX('Creación de Técnicas'!D:D,$L691))</f>
        <v>Técnica Propia 5</v>
      </c>
      <c r="D691" s="1848" t="str">
        <f t="shared" si="29"/>
        <v>Técnicas Propias</v>
      </c>
      <c r="E691" s="1850">
        <f>MAX(1,INDEX('Creación de Técnicas'!P:P,$L691))</f>
        <v>1</v>
      </c>
      <c r="F691" s="1850">
        <f>INDEX('Creación de Técnicas'!U:U,$L691)</f>
        <v>20</v>
      </c>
      <c r="G691" s="1850">
        <f t="shared" si="30"/>
        <v>20</v>
      </c>
      <c r="H691" s="1851" t="str">
        <f>INDEX('Creación de Técnicas'!X:X,$L691)</f>
        <v/>
      </c>
      <c r="I691" s="1851" t="str">
        <f>IFERROR(IF(INDEX('Creación de Técnicas'!S:S,$L691)="Sí","Combinable. ","")&amp;INDEX('Creación de Técnicas'!AO:AO,$L691+12),"-")</f>
        <v>-</v>
      </c>
      <c r="J691" s="1851" t="str">
        <f>IFERROR(INDEX('Creación de Técnicas'!AO:AO,$L691+13),"-")</f>
        <v>-</v>
      </c>
      <c r="K691" s="1851"/>
      <c r="L691" s="1851">
        <f>12+((46-12)*(Tablas!$A5-1))</f>
        <v>148</v>
      </c>
      <c r="M691" s="1860" t="s">
        <v>9098</v>
      </c>
      <c r="N691" s="1851"/>
      <c r="O691" s="1851"/>
      <c r="P691" s="1851"/>
      <c r="Q691" s="1851"/>
      <c r="R691" s="1851"/>
      <c r="S691" s="1853"/>
      <c r="U691" s="1751" t="s">
        <v>8810</v>
      </c>
    </row>
    <row r="692" spans="1:22" ht="12" customHeight="1">
      <c r="A692" s="7145"/>
      <c r="B692" s="7145"/>
      <c r="C692" s="1847" t="str">
        <f>IF(OR(INDEX('Creación de Técnicas'!D:D,$L692)="",INDEX('Creación de Técnicas'!D:D,$L692)="Nombre de la Técnica"),"Técnica Propia "&amp;Tablas!$A6,INDEX('Creación de Técnicas'!D:D,$L692))</f>
        <v>Técnica Propia 6</v>
      </c>
      <c r="D692" s="1848" t="str">
        <f t="shared" si="29"/>
        <v>Técnicas Propias</v>
      </c>
      <c r="E692" s="1850">
        <f>MAX(1,INDEX('Creación de Técnicas'!P:P,$L692))</f>
        <v>1</v>
      </c>
      <c r="F692" s="1850">
        <f>INDEX('Creación de Técnicas'!U:U,$L692)</f>
        <v>20</v>
      </c>
      <c r="G692" s="1850">
        <f t="shared" si="30"/>
        <v>20</v>
      </c>
      <c r="H692" s="1851" t="str">
        <f>INDEX('Creación de Técnicas'!X:X,$L692)</f>
        <v/>
      </c>
      <c r="I692" s="1851" t="str">
        <f>IFERROR(IF(INDEX('Creación de Técnicas'!S:S,$L692)="Sí","Combinable. ","")&amp;INDEX('Creación de Técnicas'!AO:AO,$L692+12),"-")</f>
        <v>-</v>
      </c>
      <c r="J692" s="1851" t="str">
        <f>IFERROR(INDEX('Creación de Técnicas'!AO:AO,$L692+13),"-")</f>
        <v>-</v>
      </c>
      <c r="K692" s="1851"/>
      <c r="L692" s="1851">
        <f>12+((46-12)*(Tablas!$A6-1))+1</f>
        <v>183</v>
      </c>
      <c r="M692" s="1860" t="s">
        <v>9098</v>
      </c>
      <c r="N692" s="1851"/>
      <c r="O692" s="1851"/>
      <c r="P692" s="1851"/>
      <c r="Q692" s="1851"/>
      <c r="R692" s="1851"/>
      <c r="S692" s="1853"/>
      <c r="U692" s="1751" t="s">
        <v>8811</v>
      </c>
    </row>
    <row r="693" spans="1:22" ht="12" customHeight="1">
      <c r="A693" s="7145"/>
      <c r="B693" s="7145"/>
      <c r="C693" s="1847" t="str">
        <f>IF(OR(INDEX('Creación de Técnicas'!D:D,$L693)="",INDEX('Creación de Técnicas'!D:D,$L693)="Nombre de la Técnica"),"Técnica Propia "&amp;Tablas!$A7,INDEX('Creación de Técnicas'!D:D,$L693))</f>
        <v>Técnica Propia 7</v>
      </c>
      <c r="D693" s="1848" t="str">
        <f t="shared" si="29"/>
        <v>Técnicas Propias</v>
      </c>
      <c r="E693" s="1850">
        <f>MAX(1,INDEX('Creación de Técnicas'!P:P,$L693))</f>
        <v>1</v>
      </c>
      <c r="F693" s="1850">
        <f>INDEX('Creación de Técnicas'!U:U,$L693)</f>
        <v>20</v>
      </c>
      <c r="G693" s="1850">
        <f t="shared" si="30"/>
        <v>20</v>
      </c>
      <c r="H693" s="1851" t="str">
        <f>INDEX('Creación de Técnicas'!X:X,$L693)</f>
        <v/>
      </c>
      <c r="I693" s="1851" t="str">
        <f>IFERROR(IF(INDEX('Creación de Técnicas'!S:S,$L693)="Sí","Combinable. ","")&amp;INDEX('Creación de Técnicas'!AO:AO,$L693+12),"-")</f>
        <v>-</v>
      </c>
      <c r="J693" s="1851" t="str">
        <f>IFERROR(INDEX('Creación de Técnicas'!AO:AO,$L693+13),"-")</f>
        <v>-</v>
      </c>
      <c r="K693" s="1851"/>
      <c r="L693" s="1851">
        <f>12+((46-12)*(Tablas!$A7-1))+1</f>
        <v>217</v>
      </c>
      <c r="M693" s="1860" t="s">
        <v>9098</v>
      </c>
      <c r="N693" s="1851"/>
      <c r="O693" s="1851"/>
      <c r="P693" s="1851"/>
      <c r="Q693" s="1851"/>
      <c r="R693" s="1851"/>
      <c r="S693" s="1853"/>
      <c r="U693" s="1751" t="s">
        <v>8812</v>
      </c>
    </row>
    <row r="694" spans="1:22" ht="12" customHeight="1">
      <c r="A694" s="7145"/>
      <c r="B694" s="7145"/>
      <c r="C694" s="1847" t="str">
        <f>IF(OR(INDEX('Creación de Técnicas'!D:D,$L694)="",INDEX('Creación de Técnicas'!D:D,$L694)="Nombre de la Técnica"),"Técnica Propia "&amp;Tablas!$A8,INDEX('Creación de Técnicas'!D:D,$L694))</f>
        <v>Técnica Propia 8</v>
      </c>
      <c r="D694" s="1848" t="str">
        <f t="shared" si="29"/>
        <v>Técnicas Propias</v>
      </c>
      <c r="E694" s="1850">
        <f>MAX(1,INDEX('Creación de Técnicas'!P:P,$L694))</f>
        <v>1</v>
      </c>
      <c r="F694" s="1850">
        <f>INDEX('Creación de Técnicas'!U:U,$L694)</f>
        <v>20</v>
      </c>
      <c r="G694" s="1850">
        <f t="shared" si="30"/>
        <v>20</v>
      </c>
      <c r="H694" s="1851" t="str">
        <f>INDEX('Creación de Técnicas'!X:X,$L694)</f>
        <v/>
      </c>
      <c r="I694" s="1851" t="str">
        <f>IFERROR(IF(INDEX('Creación de Técnicas'!S:S,$L694)="Sí","Combinable. ","")&amp;INDEX('Creación de Técnicas'!AO:AO,$L694+12),"-")</f>
        <v>-</v>
      </c>
      <c r="J694" s="1851" t="str">
        <f>IFERROR(INDEX('Creación de Técnicas'!AO:AO,$L694+13),"-")</f>
        <v>-</v>
      </c>
      <c r="K694" s="1851"/>
      <c r="L694" s="1851">
        <f>12+((46-12)*(Tablas!$A8-1))+1</f>
        <v>251</v>
      </c>
      <c r="M694" s="1860" t="s">
        <v>9098</v>
      </c>
      <c r="N694" s="1851"/>
      <c r="O694" s="1851"/>
      <c r="P694" s="1851"/>
      <c r="Q694" s="1851"/>
      <c r="R694" s="1851"/>
      <c r="S694" s="1853"/>
      <c r="U694" s="1751" t="s">
        <v>8813</v>
      </c>
    </row>
    <row r="695" spans="1:22" ht="12" customHeight="1">
      <c r="A695" s="7145"/>
      <c r="B695" s="7145"/>
      <c r="C695" s="1847" t="str">
        <f>IF(OR(INDEX('Creación de Técnicas'!D:D,$L695)="",INDEX('Creación de Técnicas'!D:D,$L695)="Nombre de la Técnica"),"Técnica Propia "&amp;Tablas!$A9,INDEX('Creación de Técnicas'!D:D,$L695))</f>
        <v>Técnica Propia 9</v>
      </c>
      <c r="D695" s="1848" t="str">
        <f t="shared" si="29"/>
        <v>Técnicas Propias</v>
      </c>
      <c r="E695" s="1850">
        <f>MAX(1,INDEX('Creación de Técnicas'!P:P,$L695))</f>
        <v>1</v>
      </c>
      <c r="F695" s="1850">
        <f>INDEX('Creación de Técnicas'!U:U,$L695)</f>
        <v>20</v>
      </c>
      <c r="G695" s="1850">
        <f t="shared" si="30"/>
        <v>20</v>
      </c>
      <c r="H695" s="1851" t="str">
        <f>INDEX('Creación de Técnicas'!X:X,$L695)</f>
        <v/>
      </c>
      <c r="I695" s="1851" t="str">
        <f>IFERROR(IF(INDEX('Creación de Técnicas'!S:S,$L695)="Sí","Combinable. ","")&amp;INDEX('Creación de Técnicas'!AO:AO,$L695+12),"-")</f>
        <v>-</v>
      </c>
      <c r="J695" s="1851" t="str">
        <f>IFERROR(INDEX('Creación de Técnicas'!AO:AO,$L695+13),"-")</f>
        <v>-</v>
      </c>
      <c r="K695" s="1851"/>
      <c r="L695" s="1851">
        <f>12+((46-12)*(Tablas!$A9-1))+1</f>
        <v>285</v>
      </c>
      <c r="M695" s="1860" t="s">
        <v>9098</v>
      </c>
      <c r="N695" s="1851"/>
      <c r="O695" s="1851"/>
      <c r="P695" s="1851"/>
      <c r="Q695" s="1851"/>
      <c r="R695" s="1851"/>
      <c r="S695" s="1853"/>
      <c r="U695" s="1751" t="s">
        <v>8814</v>
      </c>
    </row>
    <row r="696" spans="1:22" ht="12" customHeight="1">
      <c r="A696" s="7145"/>
      <c r="B696" s="7145"/>
      <c r="C696" s="1847" t="str">
        <f>IF(OR(INDEX('Creación de Técnicas'!D:D,$L696)="",INDEX('Creación de Técnicas'!D:D,$L696)="Nombre de la Técnica"),"Técnica Propia "&amp;Tablas!$A10,INDEX('Creación de Técnicas'!D:D,$L696))</f>
        <v>Técnica Propia 10</v>
      </c>
      <c r="D696" s="1848" t="str">
        <f t="shared" si="29"/>
        <v>Técnicas Propias</v>
      </c>
      <c r="E696" s="1850">
        <f>MAX(1,INDEX('Creación de Técnicas'!P:P,$L696))</f>
        <v>1</v>
      </c>
      <c r="F696" s="1850">
        <f>INDEX('Creación de Técnicas'!U:U,$L696)</f>
        <v>20</v>
      </c>
      <c r="G696" s="1850">
        <f t="shared" si="30"/>
        <v>20</v>
      </c>
      <c r="H696" s="1851" t="str">
        <f>INDEX('Creación de Técnicas'!X:X,$L696)</f>
        <v/>
      </c>
      <c r="I696" s="1851" t="str">
        <f>IFERROR(IF(INDEX('Creación de Técnicas'!S:S,$L696)="Sí","Combinable. ","")&amp;INDEX('Creación de Técnicas'!AO:AO,$L696+12),"-")</f>
        <v>-</v>
      </c>
      <c r="J696" s="1851" t="str">
        <f>IFERROR(INDEX('Creación de Técnicas'!AO:AO,$L696+13),"-")</f>
        <v>-</v>
      </c>
      <c r="K696" s="1851"/>
      <c r="L696" s="1851">
        <f>12+((46-12)*(Tablas!$A10-1))+1</f>
        <v>319</v>
      </c>
      <c r="M696" s="1860" t="s">
        <v>9098</v>
      </c>
      <c r="N696" s="1851"/>
      <c r="O696" s="1851"/>
      <c r="P696" s="1851"/>
      <c r="Q696" s="1851"/>
      <c r="R696" s="1851"/>
      <c r="S696" s="1853"/>
      <c r="U696" s="1751" t="s">
        <v>8815</v>
      </c>
    </row>
    <row r="697" spans="1:22" ht="12" customHeight="1">
      <c r="A697" s="7145"/>
      <c r="B697" s="7145"/>
      <c r="C697" s="1746" t="s">
        <v>2671</v>
      </c>
      <c r="D697" s="758"/>
      <c r="E697" s="1747"/>
      <c r="F697" s="1747"/>
      <c r="G697" s="1749"/>
      <c r="H697" s="1748"/>
      <c r="I697" s="1748"/>
      <c r="J697" s="1748"/>
      <c r="K697" s="1748"/>
      <c r="L697" s="1748"/>
      <c r="M697" s="1861"/>
      <c r="N697" s="1748"/>
      <c r="O697" s="1748"/>
      <c r="P697" s="1748"/>
      <c r="Q697" s="1748"/>
      <c r="R697" s="1748"/>
      <c r="S697" s="1854"/>
      <c r="U697" s="1751" t="s">
        <v>8816</v>
      </c>
    </row>
    <row r="698" spans="1:22" ht="12" customHeight="1">
      <c r="A698" s="7145"/>
      <c r="B698" s="7145"/>
      <c r="C698" s="1746" t="s">
        <v>2672</v>
      </c>
      <c r="D698" s="758" t="str">
        <f>PROPER(MID(C697,3,100))</f>
        <v>Celéritas</v>
      </c>
      <c r="E698" s="1749">
        <v>1</v>
      </c>
      <c r="F698" s="1749">
        <v>25</v>
      </c>
      <c r="G698" s="1749">
        <f t="shared" ref="G698:G761" si="31">IF(E698="","",MAX(IF(E698=3,60,IF(E698=2,40,20)),F698+M698))</f>
        <v>25</v>
      </c>
      <c r="H698" s="1748" t="s">
        <v>2673</v>
      </c>
      <c r="I698" s="1748" t="s">
        <v>8882</v>
      </c>
      <c r="J698" s="1748" t="s">
        <v>6506</v>
      </c>
      <c r="K698" s="1748"/>
      <c r="L698" s="1748"/>
      <c r="M698" s="1862">
        <f t="shared" ref="M698:M729" si="32">IF(D698="","",IF(IFERROR(INDEX($P$100:$P$105,MID(N698,1,1)),0)+IFERROR(INDEX($P$100:$P$105,MID(N698,2,1)),0)+IFERROR(INDEX($P$100:$P$105,MID(N698,3,1)),0)&gt;0,-5,0)+IF(IFERROR(INDEX($P$100:$P$105,MID(O698,1,1)),0)+IFERROR(INDEX($P$100:$P$105,MID(O698,2,1)),0)+IFERROR(INDEX($P$100:$P$105,MID(O698,3,1)),0)&gt;0,-5,0)+IF(IFERROR(INDEX($P$100:$P$105,MID(P698,1,1)),0)+IFERROR(INDEX($P$100:$P$105,MID(P698,2,1)),0)+IFERROR(INDEX($P$100:$P$105,MID(P698,3,1)),0)&gt;0,-5,0)+IF(IFERROR(INDEX($P$100:$P$105,MID(Q698,1,1)),0)+IFERROR(INDEX($P$100:$P$105,MID(Q698,2,1)),0)+IFERROR(INDEX($P$100:$P$105,MID(Q698,3,1)),0)&gt;0,-5,0)+IF(IFERROR(INDEX($P$100:$P$105,MID(R698,1,1)),0)+IFERROR(INDEX($P$100:$P$105,MID(R698,2,1)),0)+IFERROR(INDEX($P$100:$P$105,MID(R698,3,1)),0)&gt;0,-5,0)+IF(IFERROR(INDEX($P$100:$P$105,MID(S698,1,1)),0)+IFERROR(INDEX($P$100:$P$105,MID(S698,2,1)),0)+IFERROR(INDEX($P$100:$P$105,MID(S698,3,1)),0)&gt;0,-5,0))</f>
        <v>0</v>
      </c>
      <c r="N698" s="1846" t="s">
        <v>9077</v>
      </c>
      <c r="O698" s="1846" t="s">
        <v>7105</v>
      </c>
      <c r="P698" s="1846" t="s">
        <v>6506</v>
      </c>
      <c r="Q698" s="1846" t="s">
        <v>6506</v>
      </c>
      <c r="R698" s="1846" t="s">
        <v>6506</v>
      </c>
      <c r="S698" s="1855" t="s">
        <v>6506</v>
      </c>
      <c r="U698" s="1751" t="s">
        <v>8817</v>
      </c>
    </row>
    <row r="699" spans="1:22" ht="12" customHeight="1">
      <c r="A699" s="7145"/>
      <c r="B699" s="7145"/>
      <c r="C699" s="1746" t="s">
        <v>2674</v>
      </c>
      <c r="D699" s="758" t="str">
        <f>D698</f>
        <v>Celéritas</v>
      </c>
      <c r="E699" s="1749">
        <v>1</v>
      </c>
      <c r="F699" s="1749">
        <v>25</v>
      </c>
      <c r="G699" s="1749">
        <f t="shared" si="31"/>
        <v>25</v>
      </c>
      <c r="H699" s="1748" t="s">
        <v>2675</v>
      </c>
      <c r="I699" s="1748" t="s">
        <v>8883</v>
      </c>
      <c r="J699" s="1748" t="s">
        <v>6506</v>
      </c>
      <c r="K699" s="1748"/>
      <c r="L699" s="1748"/>
      <c r="M699" s="1862">
        <f t="shared" si="32"/>
        <v>0</v>
      </c>
      <c r="N699" s="1846" t="s">
        <v>9078</v>
      </c>
      <c r="O699" s="1846" t="s">
        <v>7105</v>
      </c>
      <c r="P699" s="1846" t="s">
        <v>6506</v>
      </c>
      <c r="Q699" s="1846" t="s">
        <v>6506</v>
      </c>
      <c r="R699" s="1846" t="s">
        <v>6506</v>
      </c>
      <c r="S699" s="1855" t="s">
        <v>6506</v>
      </c>
      <c r="U699" s="1751" t="s">
        <v>2725</v>
      </c>
      <c r="V699" s="1735"/>
    </row>
    <row r="700" spans="1:22" ht="12" customHeight="1">
      <c r="A700" s="7145"/>
      <c r="B700" s="7145"/>
      <c r="C700" s="1746" t="s">
        <v>2676</v>
      </c>
      <c r="D700" s="758" t="str">
        <f>D699</f>
        <v>Celéritas</v>
      </c>
      <c r="E700" s="1749">
        <v>2</v>
      </c>
      <c r="F700" s="1749">
        <v>45</v>
      </c>
      <c r="G700" s="1749">
        <f t="shared" si="31"/>
        <v>45</v>
      </c>
      <c r="H700" s="1748" t="s">
        <v>2677</v>
      </c>
      <c r="I700" s="1748" t="s">
        <v>8884</v>
      </c>
      <c r="J700" s="1748" t="s">
        <v>6506</v>
      </c>
      <c r="K700" s="1748"/>
      <c r="L700" s="1748"/>
      <c r="M700" s="1862">
        <f t="shared" si="32"/>
        <v>0</v>
      </c>
      <c r="N700" s="1846" t="s">
        <v>9079</v>
      </c>
      <c r="O700" s="1846" t="s">
        <v>7105</v>
      </c>
      <c r="P700" s="1846" t="s">
        <v>6506</v>
      </c>
      <c r="Q700" s="1846" t="s">
        <v>6506</v>
      </c>
      <c r="R700" s="1846" t="s">
        <v>6506</v>
      </c>
      <c r="S700" s="1855" t="s">
        <v>6506</v>
      </c>
      <c r="U700" s="1751" t="s">
        <v>8818</v>
      </c>
    </row>
    <row r="701" spans="1:22" ht="12" customHeight="1">
      <c r="A701" s="7145"/>
      <c r="B701" s="7145"/>
      <c r="C701" s="1746" t="s">
        <v>2678</v>
      </c>
      <c r="D701" s="758" t="str">
        <f>D700</f>
        <v>Celéritas</v>
      </c>
      <c r="E701" s="1749">
        <v>2</v>
      </c>
      <c r="F701" s="1749">
        <v>45</v>
      </c>
      <c r="G701" s="1749">
        <f t="shared" si="31"/>
        <v>45</v>
      </c>
      <c r="H701" s="1748" t="s">
        <v>2679</v>
      </c>
      <c r="I701" s="1748" t="s">
        <v>8885</v>
      </c>
      <c r="J701" s="1748" t="s">
        <v>6506</v>
      </c>
      <c r="K701" s="1748"/>
      <c r="L701" s="1748"/>
      <c r="M701" s="1862">
        <f t="shared" si="32"/>
        <v>0</v>
      </c>
      <c r="N701" s="1846" t="s">
        <v>9080</v>
      </c>
      <c r="O701" s="1846" t="s">
        <v>7105</v>
      </c>
      <c r="P701" s="1846" t="s">
        <v>6506</v>
      </c>
      <c r="Q701" s="1846" t="s">
        <v>6506</v>
      </c>
      <c r="R701" s="1846" t="s">
        <v>6506</v>
      </c>
      <c r="S701" s="1855" t="s">
        <v>6506</v>
      </c>
      <c r="U701" s="1751" t="s">
        <v>8819</v>
      </c>
    </row>
    <row r="702" spans="1:22" ht="12" customHeight="1">
      <c r="A702" s="7145"/>
      <c r="B702" s="7145"/>
      <c r="C702" s="1746" t="s">
        <v>2680</v>
      </c>
      <c r="D702" s="758" t="str">
        <f>D701</f>
        <v>Celéritas</v>
      </c>
      <c r="E702" s="1749">
        <v>3</v>
      </c>
      <c r="F702" s="1749">
        <v>85</v>
      </c>
      <c r="G702" s="1749">
        <f t="shared" si="31"/>
        <v>85</v>
      </c>
      <c r="H702" s="1748" t="s">
        <v>2681</v>
      </c>
      <c r="I702" s="1748" t="s">
        <v>8886</v>
      </c>
      <c r="J702" s="1748" t="s">
        <v>6506</v>
      </c>
      <c r="K702" s="1748"/>
      <c r="L702" s="1748"/>
      <c r="M702" s="1862">
        <f t="shared" si="32"/>
        <v>0</v>
      </c>
      <c r="N702" s="1846" t="s">
        <v>9078</v>
      </c>
      <c r="O702" s="1846" t="s">
        <v>7105</v>
      </c>
      <c r="P702" s="1846" t="s">
        <v>6506</v>
      </c>
      <c r="Q702" s="1846" t="s">
        <v>6506</v>
      </c>
      <c r="R702" s="1846" t="s">
        <v>6506</v>
      </c>
      <c r="S702" s="1855" t="s">
        <v>6506</v>
      </c>
      <c r="U702" s="1751" t="s">
        <v>8820</v>
      </c>
    </row>
    <row r="703" spans="1:22" ht="12" customHeight="1">
      <c r="A703" s="7145"/>
      <c r="B703" s="7145"/>
      <c r="C703" s="1746" t="s">
        <v>2682</v>
      </c>
      <c r="D703" s="758"/>
      <c r="E703" s="1749"/>
      <c r="F703" s="1749"/>
      <c r="G703" s="1749" t="str">
        <f t="shared" si="31"/>
        <v/>
      </c>
      <c r="H703" s="1748"/>
      <c r="I703" s="1748" t="s">
        <v>6506</v>
      </c>
      <c r="J703" s="1748" t="s">
        <v>6506</v>
      </c>
      <c r="K703" s="1748"/>
      <c r="L703" s="1748"/>
      <c r="M703" s="1862" t="str">
        <f t="shared" si="32"/>
        <v/>
      </c>
      <c r="N703" s="1846" t="s">
        <v>6506</v>
      </c>
      <c r="O703" s="1846" t="s">
        <v>6506</v>
      </c>
      <c r="P703" s="1846" t="s">
        <v>6506</v>
      </c>
      <c r="Q703" s="1846" t="s">
        <v>6506</v>
      </c>
      <c r="R703" s="1846" t="s">
        <v>6506</v>
      </c>
      <c r="S703" s="1855" t="s">
        <v>6506</v>
      </c>
      <c r="U703" s="1751" t="s">
        <v>8821</v>
      </c>
    </row>
    <row r="704" spans="1:22" ht="12" customHeight="1">
      <c r="A704" s="7145"/>
      <c r="B704" s="7145"/>
      <c r="C704" s="1746" t="s">
        <v>2683</v>
      </c>
      <c r="D704" s="758" t="str">
        <f>PROPER(MID(C703,3,100))</f>
        <v>Ignis</v>
      </c>
      <c r="E704" s="1749">
        <v>1</v>
      </c>
      <c r="F704" s="1749">
        <v>20</v>
      </c>
      <c r="G704" s="1749">
        <f t="shared" si="31"/>
        <v>20</v>
      </c>
      <c r="H704" s="1748" t="s">
        <v>2684</v>
      </c>
      <c r="I704" s="1748" t="s">
        <v>8887</v>
      </c>
      <c r="J704" s="1748" t="s">
        <v>6506</v>
      </c>
      <c r="K704" s="1748"/>
      <c r="L704" s="1748"/>
      <c r="M704" s="1862">
        <f t="shared" si="32"/>
        <v>0</v>
      </c>
      <c r="N704" s="1846" t="s">
        <v>9092</v>
      </c>
      <c r="O704" s="1846" t="s">
        <v>9091</v>
      </c>
      <c r="P704" s="1846" t="s">
        <v>6506</v>
      </c>
      <c r="Q704" s="1846" t="s">
        <v>6506</v>
      </c>
      <c r="R704" s="1846" t="s">
        <v>6506</v>
      </c>
      <c r="S704" s="1855" t="s">
        <v>6506</v>
      </c>
      <c r="U704" s="1751" t="s">
        <v>8822</v>
      </c>
    </row>
    <row r="705" spans="1:21" ht="12" customHeight="1">
      <c r="A705" s="7145"/>
      <c r="B705" s="7145"/>
      <c r="C705" s="1746" t="s">
        <v>2686</v>
      </c>
      <c r="D705" s="758" t="str">
        <f>D704</f>
        <v>Ignis</v>
      </c>
      <c r="E705" s="1749">
        <v>1</v>
      </c>
      <c r="F705" s="1749">
        <v>20</v>
      </c>
      <c r="G705" s="1749">
        <f t="shared" si="31"/>
        <v>20</v>
      </c>
      <c r="H705" s="1748" t="s">
        <v>2687</v>
      </c>
      <c r="I705" s="1748" t="s">
        <v>8888</v>
      </c>
      <c r="J705" s="1748" t="s">
        <v>6506</v>
      </c>
      <c r="K705" s="1748"/>
      <c r="L705" s="1748"/>
      <c r="M705" s="1862">
        <f t="shared" si="32"/>
        <v>0</v>
      </c>
      <c r="N705" s="1846" t="s">
        <v>9079</v>
      </c>
      <c r="O705" s="1846" t="s">
        <v>9077</v>
      </c>
      <c r="P705" s="1846" t="s">
        <v>6506</v>
      </c>
      <c r="Q705" s="1846" t="s">
        <v>6506</v>
      </c>
      <c r="R705" s="1846" t="s">
        <v>6506</v>
      </c>
      <c r="S705" s="1855" t="s">
        <v>6506</v>
      </c>
      <c r="T705" s="1744"/>
      <c r="U705" s="1751" t="s">
        <v>8823</v>
      </c>
    </row>
    <row r="706" spans="1:21" ht="12" customHeight="1">
      <c r="A706" s="7145"/>
      <c r="B706" s="7145"/>
      <c r="C706" s="1746" t="s">
        <v>2688</v>
      </c>
      <c r="D706" s="758" t="str">
        <f>D705</f>
        <v>Ignis</v>
      </c>
      <c r="E706" s="1749">
        <v>2</v>
      </c>
      <c r="F706" s="1749">
        <v>40</v>
      </c>
      <c r="G706" s="1749">
        <f t="shared" si="31"/>
        <v>40</v>
      </c>
      <c r="H706" s="1748" t="s">
        <v>2689</v>
      </c>
      <c r="I706" s="1748" t="s">
        <v>8889</v>
      </c>
      <c r="J706" s="1748" t="s">
        <v>9058</v>
      </c>
      <c r="K706" s="1748"/>
      <c r="L706" s="1748"/>
      <c r="M706" s="1862">
        <f t="shared" si="32"/>
        <v>0</v>
      </c>
      <c r="N706" s="1846" t="s">
        <v>9092</v>
      </c>
      <c r="O706" s="1846" t="s">
        <v>9080</v>
      </c>
      <c r="P706" s="1846" t="s">
        <v>6506</v>
      </c>
      <c r="Q706" s="1846" t="s">
        <v>6506</v>
      </c>
      <c r="R706" s="1846" t="s">
        <v>6506</v>
      </c>
      <c r="S706" s="1855" t="s">
        <v>6506</v>
      </c>
      <c r="U706" s="1751" t="s">
        <v>8824</v>
      </c>
    </row>
    <row r="707" spans="1:21" ht="12" customHeight="1">
      <c r="A707" s="7145"/>
      <c r="B707" s="7145"/>
      <c r="C707" s="1746" t="s">
        <v>2690</v>
      </c>
      <c r="D707" s="758" t="str">
        <f>D706</f>
        <v>Ignis</v>
      </c>
      <c r="E707" s="1749">
        <v>2</v>
      </c>
      <c r="F707" s="1749">
        <v>40</v>
      </c>
      <c r="G707" s="1749">
        <f t="shared" si="31"/>
        <v>40</v>
      </c>
      <c r="H707" s="1748" t="s">
        <v>2691</v>
      </c>
      <c r="I707" s="1748" t="s">
        <v>8890</v>
      </c>
      <c r="J707" s="1748" t="s">
        <v>9058</v>
      </c>
      <c r="K707" s="1748"/>
      <c r="L707" s="1748"/>
      <c r="M707" s="1862">
        <f t="shared" si="32"/>
        <v>0</v>
      </c>
      <c r="N707" s="1846" t="s">
        <v>9079</v>
      </c>
      <c r="O707" s="1846" t="s">
        <v>9092</v>
      </c>
      <c r="P707" s="1846" t="s">
        <v>9092</v>
      </c>
      <c r="Q707" s="1846" t="s">
        <v>6506</v>
      </c>
      <c r="R707" s="1846" t="s">
        <v>6506</v>
      </c>
      <c r="S707" s="1855" t="s">
        <v>6506</v>
      </c>
      <c r="U707" s="1751" t="s">
        <v>662</v>
      </c>
    </row>
    <row r="708" spans="1:21" ht="12" customHeight="1">
      <c r="A708" s="7145"/>
      <c r="B708" s="7145"/>
      <c r="C708" s="1746" t="s">
        <v>2692</v>
      </c>
      <c r="D708" s="758" t="str">
        <f>D707</f>
        <v>Ignis</v>
      </c>
      <c r="E708" s="1749">
        <v>3</v>
      </c>
      <c r="F708" s="1749">
        <v>60</v>
      </c>
      <c r="G708" s="1749">
        <f t="shared" si="31"/>
        <v>60</v>
      </c>
      <c r="H708" s="1748" t="s">
        <v>2693</v>
      </c>
      <c r="I708" s="1748" t="s">
        <v>8891</v>
      </c>
      <c r="J708" s="1748" t="s">
        <v>9058</v>
      </c>
      <c r="K708" s="1748"/>
      <c r="L708" s="1748"/>
      <c r="M708" s="1862">
        <f t="shared" si="32"/>
        <v>0</v>
      </c>
      <c r="N708" s="1846" t="s">
        <v>9079</v>
      </c>
      <c r="O708" s="1846" t="s">
        <v>9092</v>
      </c>
      <c r="P708" s="1846" t="s">
        <v>6506</v>
      </c>
      <c r="Q708" s="1846" t="s">
        <v>6506</v>
      </c>
      <c r="R708" s="1846" t="s">
        <v>6506</v>
      </c>
      <c r="S708" s="1855" t="s">
        <v>6506</v>
      </c>
      <c r="U708" s="1751" t="s">
        <v>8825</v>
      </c>
    </row>
    <row r="709" spans="1:21" ht="12" customHeight="1">
      <c r="A709" s="7145"/>
      <c r="B709" s="7145"/>
      <c r="C709" s="1746" t="s">
        <v>2694</v>
      </c>
      <c r="D709" s="758"/>
      <c r="E709" s="1749"/>
      <c r="F709" s="1749"/>
      <c r="G709" s="1749" t="str">
        <f t="shared" si="31"/>
        <v/>
      </c>
      <c r="H709" s="1748"/>
      <c r="I709" s="1748" t="s">
        <v>6506</v>
      </c>
      <c r="J709" s="1748" t="s">
        <v>6506</v>
      </c>
      <c r="K709" s="1748"/>
      <c r="L709" s="1748"/>
      <c r="M709" s="1862" t="str">
        <f t="shared" si="32"/>
        <v/>
      </c>
      <c r="N709" s="1846" t="s">
        <v>6506</v>
      </c>
      <c r="O709" s="1846" t="s">
        <v>6506</v>
      </c>
      <c r="P709" s="1846" t="s">
        <v>6506</v>
      </c>
      <c r="Q709" s="1846" t="s">
        <v>6506</v>
      </c>
      <c r="R709" s="1846" t="s">
        <v>6506</v>
      </c>
      <c r="S709" s="1855" t="s">
        <v>6506</v>
      </c>
      <c r="U709" s="1751" t="s">
        <v>8826</v>
      </c>
    </row>
    <row r="710" spans="1:21" ht="12" customHeight="1" thickBot="1">
      <c r="A710" s="7145"/>
      <c r="B710" s="7145"/>
      <c r="C710" s="1746" t="s">
        <v>2696</v>
      </c>
      <c r="D710" s="758" t="str">
        <f>PROPER(MID(C709,3,100))</f>
        <v>El Dragón</v>
      </c>
      <c r="E710" s="1749">
        <v>1</v>
      </c>
      <c r="F710" s="1749">
        <v>20</v>
      </c>
      <c r="G710" s="1749">
        <f t="shared" si="31"/>
        <v>20</v>
      </c>
      <c r="H710" s="1748" t="s">
        <v>2697</v>
      </c>
      <c r="I710" s="1748" t="s">
        <v>8892</v>
      </c>
      <c r="J710" s="1748" t="s">
        <v>6506</v>
      </c>
      <c r="K710" s="1748"/>
      <c r="L710" s="1748"/>
      <c r="M710" s="1862">
        <f t="shared" si="32"/>
        <v>0</v>
      </c>
      <c r="N710" s="1846" t="s">
        <v>9093</v>
      </c>
      <c r="O710" s="1846" t="s">
        <v>6506</v>
      </c>
      <c r="P710" s="1846" t="s">
        <v>6506</v>
      </c>
      <c r="Q710" s="1846" t="s">
        <v>6506</v>
      </c>
      <c r="R710" s="1846" t="s">
        <v>6506</v>
      </c>
      <c r="S710" s="1855" t="s">
        <v>6506</v>
      </c>
      <c r="U710" s="1752" t="s">
        <v>8827</v>
      </c>
    </row>
    <row r="711" spans="1:21" ht="12" customHeight="1">
      <c r="A711" s="7145"/>
      <c r="B711" s="7145"/>
      <c r="C711" s="1746" t="s">
        <v>2698</v>
      </c>
      <c r="D711" s="758" t="str">
        <f>D710</f>
        <v>El Dragón</v>
      </c>
      <c r="E711" s="1749">
        <v>1</v>
      </c>
      <c r="F711" s="1749">
        <v>30</v>
      </c>
      <c r="G711" s="1749">
        <f t="shared" si="31"/>
        <v>30</v>
      </c>
      <c r="H711" s="1748" t="s">
        <v>2699</v>
      </c>
      <c r="I711" s="1748" t="s">
        <v>8893</v>
      </c>
      <c r="J711" s="1748" t="s">
        <v>6506</v>
      </c>
      <c r="K711" s="1748"/>
      <c r="L711" s="1748"/>
      <c r="M711" s="1862">
        <f t="shared" si="32"/>
        <v>0</v>
      </c>
      <c r="N711" s="1846" t="s">
        <v>9637</v>
      </c>
      <c r="O711" s="1846" t="s">
        <v>9092</v>
      </c>
      <c r="P711" s="1846" t="s">
        <v>6506</v>
      </c>
      <c r="Q711" s="1846" t="s">
        <v>6506</v>
      </c>
      <c r="R711" s="1846" t="s">
        <v>6506</v>
      </c>
      <c r="S711" s="1855" t="s">
        <v>6506</v>
      </c>
    </row>
    <row r="712" spans="1:21" ht="12" customHeight="1">
      <c r="A712" s="7145"/>
      <c r="B712" s="7145"/>
      <c r="C712" s="1746" t="s">
        <v>2700</v>
      </c>
      <c r="D712" s="758" t="str">
        <f>D711</f>
        <v>El Dragón</v>
      </c>
      <c r="E712" s="1749">
        <v>2</v>
      </c>
      <c r="F712" s="1749">
        <v>45</v>
      </c>
      <c r="G712" s="1749">
        <f t="shared" si="31"/>
        <v>45</v>
      </c>
      <c r="H712" s="1748" t="s">
        <v>2701</v>
      </c>
      <c r="I712" s="1748" t="s">
        <v>8894</v>
      </c>
      <c r="J712" s="1748" t="s">
        <v>6506</v>
      </c>
      <c r="K712" s="1748"/>
      <c r="L712" s="1748"/>
      <c r="M712" s="1862">
        <f t="shared" si="32"/>
        <v>0</v>
      </c>
      <c r="N712" s="1846" t="s">
        <v>9094</v>
      </c>
      <c r="O712" s="1846" t="s">
        <v>7105</v>
      </c>
      <c r="P712" s="1846" t="s">
        <v>9079</v>
      </c>
      <c r="Q712" s="1846" t="s">
        <v>6506</v>
      </c>
      <c r="R712" s="1846" t="s">
        <v>6506</v>
      </c>
      <c r="S712" s="1855" t="s">
        <v>6506</v>
      </c>
    </row>
    <row r="713" spans="1:21" ht="12" customHeight="1">
      <c r="A713" s="7145"/>
      <c r="B713" s="7145"/>
      <c r="C713" s="1746" t="s">
        <v>2703</v>
      </c>
      <c r="D713" s="758" t="str">
        <f>D712</f>
        <v>El Dragón</v>
      </c>
      <c r="E713" s="1749">
        <v>2</v>
      </c>
      <c r="F713" s="1749">
        <v>55</v>
      </c>
      <c r="G713" s="1749">
        <f t="shared" si="31"/>
        <v>55</v>
      </c>
      <c r="H713" s="1748" t="s">
        <v>2704</v>
      </c>
      <c r="I713" s="1748" t="s">
        <v>8895</v>
      </c>
      <c r="J713" s="1748" t="s">
        <v>6506</v>
      </c>
      <c r="K713" s="1748"/>
      <c r="L713" s="1748"/>
      <c r="M713" s="1862">
        <f t="shared" si="32"/>
        <v>0</v>
      </c>
      <c r="N713" s="1846" t="s">
        <v>9079</v>
      </c>
      <c r="O713" s="1846" t="s">
        <v>9080</v>
      </c>
      <c r="P713" s="1846" t="s">
        <v>9092</v>
      </c>
      <c r="Q713" s="1846" t="s">
        <v>6506</v>
      </c>
      <c r="R713" s="1846" t="s">
        <v>6506</v>
      </c>
      <c r="S713" s="1855" t="s">
        <v>6506</v>
      </c>
    </row>
    <row r="714" spans="1:21" ht="12" customHeight="1">
      <c r="A714" s="7145"/>
      <c r="B714" s="7145"/>
      <c r="C714" s="1746" t="s">
        <v>2706</v>
      </c>
      <c r="D714" s="758" t="str">
        <f>D713</f>
        <v>El Dragón</v>
      </c>
      <c r="E714" s="1749">
        <v>3</v>
      </c>
      <c r="F714" s="1749">
        <v>80</v>
      </c>
      <c r="G714" s="1749">
        <f t="shared" si="31"/>
        <v>80</v>
      </c>
      <c r="H714" s="1748" t="s">
        <v>2707</v>
      </c>
      <c r="I714" s="1748" t="s">
        <v>8896</v>
      </c>
      <c r="J714" s="1748" t="s">
        <v>3017</v>
      </c>
      <c r="K714" s="1748"/>
      <c r="L714" s="1748"/>
      <c r="M714" s="1862">
        <f t="shared" si="32"/>
        <v>0</v>
      </c>
      <c r="N714" s="1846" t="s">
        <v>9077</v>
      </c>
      <c r="O714" s="1846" t="s">
        <v>9080</v>
      </c>
      <c r="P714" s="1846" t="s">
        <v>9080</v>
      </c>
      <c r="Q714" s="1846" t="s">
        <v>9092</v>
      </c>
      <c r="R714" s="1846" t="s">
        <v>6506</v>
      </c>
      <c r="S714" s="1855" t="s">
        <v>6506</v>
      </c>
    </row>
    <row r="715" spans="1:21" ht="12" customHeight="1">
      <c r="A715" s="7145"/>
      <c r="B715" s="7145"/>
      <c r="C715" s="1746" t="s">
        <v>5827</v>
      </c>
      <c r="D715" s="758"/>
      <c r="E715" s="1749"/>
      <c r="F715" s="1749"/>
      <c r="G715" s="1749" t="str">
        <f t="shared" si="31"/>
        <v/>
      </c>
      <c r="H715" s="1748"/>
      <c r="I715" s="1748" t="s">
        <v>6506</v>
      </c>
      <c r="J715" s="1748" t="s">
        <v>6506</v>
      </c>
      <c r="K715" s="1748"/>
      <c r="L715" s="1748"/>
      <c r="M715" s="1862" t="str">
        <f t="shared" si="32"/>
        <v/>
      </c>
      <c r="N715" s="1846" t="s">
        <v>6506</v>
      </c>
      <c r="O715" s="1846" t="s">
        <v>6506</v>
      </c>
      <c r="P715" s="1846" t="s">
        <v>6506</v>
      </c>
      <c r="Q715" s="1846" t="s">
        <v>6506</v>
      </c>
      <c r="R715" s="1846" t="s">
        <v>6506</v>
      </c>
      <c r="S715" s="1855" t="s">
        <v>6506</v>
      </c>
    </row>
    <row r="716" spans="1:21" ht="12" customHeight="1">
      <c r="A716" s="7145"/>
      <c r="B716" s="7145"/>
      <c r="C716" s="1746" t="s">
        <v>5828</v>
      </c>
      <c r="D716" s="758" t="str">
        <f>PROPER(MID(C715,3,100))</f>
        <v>Las Cadenas</v>
      </c>
      <c r="E716" s="1749">
        <v>1</v>
      </c>
      <c r="F716" s="1749">
        <v>35</v>
      </c>
      <c r="G716" s="1749">
        <f t="shared" si="31"/>
        <v>35</v>
      </c>
      <c r="H716" s="1748" t="s">
        <v>9688</v>
      </c>
      <c r="I716" s="1748" t="s">
        <v>8897</v>
      </c>
      <c r="J716" s="1748" t="s">
        <v>6506</v>
      </c>
      <c r="K716" s="1748"/>
      <c r="L716" s="1748"/>
      <c r="M716" s="1862">
        <f t="shared" si="32"/>
        <v>0</v>
      </c>
      <c r="N716" s="1846" t="s">
        <v>9079</v>
      </c>
      <c r="O716" s="1846" t="s">
        <v>9092</v>
      </c>
      <c r="P716" s="1846" t="s">
        <v>9077</v>
      </c>
      <c r="Q716" s="1846" t="s">
        <v>6506</v>
      </c>
      <c r="R716" s="1846" t="s">
        <v>6506</v>
      </c>
      <c r="S716" s="1855" t="s">
        <v>6506</v>
      </c>
    </row>
    <row r="717" spans="1:21" ht="12" customHeight="1">
      <c r="A717" s="7145"/>
      <c r="B717" s="7145"/>
      <c r="C717" s="1746" t="s">
        <v>5829</v>
      </c>
      <c r="D717" s="758" t="str">
        <f>D716</f>
        <v>Las Cadenas</v>
      </c>
      <c r="E717" s="1749">
        <v>1</v>
      </c>
      <c r="F717" s="1749">
        <v>50</v>
      </c>
      <c r="G717" s="1749">
        <f t="shared" si="31"/>
        <v>50</v>
      </c>
      <c r="H717" s="1748" t="s">
        <v>5833</v>
      </c>
      <c r="I717" s="1748" t="s">
        <v>8898</v>
      </c>
      <c r="J717" s="1748" t="s">
        <v>6506</v>
      </c>
      <c r="K717" s="1748"/>
      <c r="L717" s="1748"/>
      <c r="M717" s="1862">
        <f t="shared" si="32"/>
        <v>0</v>
      </c>
      <c r="N717" s="1846" t="s">
        <v>9092</v>
      </c>
      <c r="O717" s="1846" t="s">
        <v>9080</v>
      </c>
      <c r="P717" s="1846" t="s">
        <v>9077</v>
      </c>
      <c r="Q717" s="1846" t="s">
        <v>6506</v>
      </c>
      <c r="R717" s="1846" t="s">
        <v>6506</v>
      </c>
      <c r="S717" s="1855" t="s">
        <v>6506</v>
      </c>
    </row>
    <row r="718" spans="1:21" ht="12" customHeight="1">
      <c r="A718" s="7145"/>
      <c r="B718" s="7145"/>
      <c r="C718" s="1746" t="s">
        <v>5830</v>
      </c>
      <c r="D718" s="758" t="str">
        <f>D717</f>
        <v>Las Cadenas</v>
      </c>
      <c r="E718" s="1749">
        <v>2</v>
      </c>
      <c r="F718" s="1749">
        <v>60</v>
      </c>
      <c r="G718" s="1749">
        <f t="shared" si="31"/>
        <v>60</v>
      </c>
      <c r="H718" s="1748" t="s">
        <v>5834</v>
      </c>
      <c r="I718" s="1748" t="s">
        <v>8899</v>
      </c>
      <c r="J718" s="1748" t="s">
        <v>6506</v>
      </c>
      <c r="K718" s="1748"/>
      <c r="L718" s="1748"/>
      <c r="M718" s="1862">
        <f t="shared" si="32"/>
        <v>0</v>
      </c>
      <c r="N718" s="1846" t="s">
        <v>9079</v>
      </c>
      <c r="O718" s="1846" t="s">
        <v>9095</v>
      </c>
      <c r="P718" s="1846" t="s">
        <v>9077</v>
      </c>
      <c r="Q718" s="1846" t="s">
        <v>6506</v>
      </c>
      <c r="R718" s="1846" t="s">
        <v>6506</v>
      </c>
      <c r="S718" s="1855" t="s">
        <v>6506</v>
      </c>
    </row>
    <row r="719" spans="1:21" ht="12" customHeight="1">
      <c r="A719" s="7145"/>
      <c r="B719" s="7145"/>
      <c r="C719" s="1746" t="s">
        <v>5831</v>
      </c>
      <c r="D719" s="758" t="str">
        <f>D718</f>
        <v>Las Cadenas</v>
      </c>
      <c r="E719" s="1749">
        <v>2</v>
      </c>
      <c r="F719" s="1749">
        <v>70</v>
      </c>
      <c r="G719" s="1749">
        <f t="shared" si="31"/>
        <v>70</v>
      </c>
      <c r="H719" s="1748" t="s">
        <v>5835</v>
      </c>
      <c r="I719" s="1748" t="s">
        <v>8900</v>
      </c>
      <c r="J719" s="1748" t="s">
        <v>6506</v>
      </c>
      <c r="K719" s="1748"/>
      <c r="L719" s="1748"/>
      <c r="M719" s="1862">
        <f t="shared" si="32"/>
        <v>0</v>
      </c>
      <c r="N719" s="1846" t="s">
        <v>9081</v>
      </c>
      <c r="O719" s="1846" t="s">
        <v>8621</v>
      </c>
      <c r="P719" s="1846" t="s">
        <v>9082</v>
      </c>
      <c r="Q719" s="1846" t="s">
        <v>6506</v>
      </c>
      <c r="R719" s="1846" t="s">
        <v>6506</v>
      </c>
      <c r="S719" s="1855" t="s">
        <v>6506</v>
      </c>
    </row>
    <row r="720" spans="1:21" ht="12" customHeight="1">
      <c r="A720" s="7145"/>
      <c r="B720" s="7145"/>
      <c r="C720" s="1746" t="s">
        <v>5832</v>
      </c>
      <c r="D720" s="758" t="str">
        <f>D719</f>
        <v>Las Cadenas</v>
      </c>
      <c r="E720" s="1749">
        <v>3</v>
      </c>
      <c r="F720" s="1749">
        <v>90</v>
      </c>
      <c r="G720" s="1749">
        <f t="shared" si="31"/>
        <v>90</v>
      </c>
      <c r="H720" s="1748" t="s">
        <v>5836</v>
      </c>
      <c r="I720" s="1748" t="s">
        <v>8901</v>
      </c>
      <c r="J720" s="1748" t="s">
        <v>6506</v>
      </c>
      <c r="K720" s="1748"/>
      <c r="L720" s="1748"/>
      <c r="M720" s="1862">
        <f t="shared" si="32"/>
        <v>0</v>
      </c>
      <c r="N720" s="1846" t="s">
        <v>9637</v>
      </c>
      <c r="O720" s="1846" t="s">
        <v>9094</v>
      </c>
      <c r="P720" s="1846" t="s">
        <v>9077</v>
      </c>
      <c r="Q720" s="1846" t="s">
        <v>6506</v>
      </c>
      <c r="R720" s="1846" t="s">
        <v>6506</v>
      </c>
      <c r="S720" s="1855" t="s">
        <v>6506</v>
      </c>
    </row>
    <row r="721" spans="1:19" ht="12" customHeight="1">
      <c r="A721" s="7145"/>
      <c r="B721" s="7145"/>
      <c r="C721" s="1746" t="s">
        <v>5837</v>
      </c>
      <c r="D721" s="758"/>
      <c r="E721" s="1749"/>
      <c r="F721" s="1749"/>
      <c r="G721" s="1749" t="str">
        <f t="shared" si="31"/>
        <v/>
      </c>
      <c r="H721" s="1748"/>
      <c r="I721" s="1748" t="s">
        <v>6506</v>
      </c>
      <c r="J721" s="1748" t="s">
        <v>6506</v>
      </c>
      <c r="K721" s="1748"/>
      <c r="L721" s="1748"/>
      <c r="M721" s="1862" t="str">
        <f t="shared" si="32"/>
        <v/>
      </c>
      <c r="N721" s="1846" t="s">
        <v>6506</v>
      </c>
      <c r="O721" s="1846" t="s">
        <v>6506</v>
      </c>
      <c r="P721" s="1846" t="s">
        <v>6506</v>
      </c>
      <c r="Q721" s="1846" t="s">
        <v>6506</v>
      </c>
      <c r="R721" s="1846" t="s">
        <v>6506</v>
      </c>
      <c r="S721" s="1855" t="s">
        <v>6506</v>
      </c>
    </row>
    <row r="722" spans="1:19" ht="12" customHeight="1">
      <c r="A722" s="7145"/>
      <c r="B722" s="7145"/>
      <c r="C722" s="1746" t="s">
        <v>5839</v>
      </c>
      <c r="D722" s="758" t="str">
        <f>PROPER(MID(C721,3,100))</f>
        <v>Sirius</v>
      </c>
      <c r="E722" s="1749">
        <v>1</v>
      </c>
      <c r="F722" s="1749">
        <v>30</v>
      </c>
      <c r="G722" s="1749">
        <f t="shared" si="31"/>
        <v>30</v>
      </c>
      <c r="H722" s="1748" t="s">
        <v>5844</v>
      </c>
      <c r="I722" s="1748" t="s">
        <v>8902</v>
      </c>
      <c r="J722" s="1748" t="s">
        <v>8903</v>
      </c>
      <c r="K722" s="1748"/>
      <c r="L722" s="1748"/>
      <c r="M722" s="1862">
        <f t="shared" si="32"/>
        <v>0</v>
      </c>
      <c r="N722" s="1846" t="s">
        <v>9079</v>
      </c>
      <c r="O722" s="1846" t="s">
        <v>9096</v>
      </c>
      <c r="P722" s="1846" t="s">
        <v>6506</v>
      </c>
      <c r="Q722" s="1846" t="s">
        <v>6506</v>
      </c>
      <c r="R722" s="1846" t="s">
        <v>6506</v>
      </c>
      <c r="S722" s="1855" t="s">
        <v>6506</v>
      </c>
    </row>
    <row r="723" spans="1:19" ht="12" customHeight="1">
      <c r="A723" s="7145"/>
      <c r="B723" s="7145"/>
      <c r="C723" s="1746" t="s">
        <v>5840</v>
      </c>
      <c r="D723" s="758" t="str">
        <f>D722</f>
        <v>Sirius</v>
      </c>
      <c r="E723" s="1749">
        <v>1</v>
      </c>
      <c r="F723" s="1749">
        <v>30</v>
      </c>
      <c r="G723" s="1749">
        <f t="shared" si="31"/>
        <v>30</v>
      </c>
      <c r="H723" s="1748" t="s">
        <v>5845</v>
      </c>
      <c r="I723" s="1748" t="s">
        <v>8904</v>
      </c>
      <c r="J723" s="1748" t="s">
        <v>6506</v>
      </c>
      <c r="K723" s="1748"/>
      <c r="L723" s="1748"/>
      <c r="M723" s="1862">
        <f t="shared" si="32"/>
        <v>0</v>
      </c>
      <c r="N723" s="1846" t="s">
        <v>9079</v>
      </c>
      <c r="O723" s="1846" t="s">
        <v>9096</v>
      </c>
      <c r="P723" s="1846" t="s">
        <v>6506</v>
      </c>
      <c r="Q723" s="1846" t="s">
        <v>6506</v>
      </c>
      <c r="R723" s="1846" t="s">
        <v>6506</v>
      </c>
      <c r="S723" s="1855" t="s">
        <v>6506</v>
      </c>
    </row>
    <row r="724" spans="1:19" ht="12" customHeight="1">
      <c r="A724" s="7145"/>
      <c r="B724" s="7145"/>
      <c r="C724" s="1746" t="s">
        <v>5841</v>
      </c>
      <c r="D724" s="758" t="str">
        <f>D723</f>
        <v>Sirius</v>
      </c>
      <c r="E724" s="1749">
        <v>2</v>
      </c>
      <c r="F724" s="1749">
        <v>40</v>
      </c>
      <c r="G724" s="1749">
        <f t="shared" si="31"/>
        <v>40</v>
      </c>
      <c r="H724" s="1748" t="s">
        <v>5846</v>
      </c>
      <c r="I724" s="1748" t="s">
        <v>8905</v>
      </c>
      <c r="J724" s="1748" t="s">
        <v>8903</v>
      </c>
      <c r="K724" s="1748"/>
      <c r="L724" s="1748"/>
      <c r="M724" s="1862">
        <f t="shared" si="32"/>
        <v>0</v>
      </c>
      <c r="N724" s="1846" t="s">
        <v>9079</v>
      </c>
      <c r="O724" s="1846" t="s">
        <v>9096</v>
      </c>
      <c r="P724" s="1846" t="s">
        <v>6506</v>
      </c>
      <c r="Q724" s="1846" t="s">
        <v>6506</v>
      </c>
      <c r="R724" s="1846" t="s">
        <v>6506</v>
      </c>
      <c r="S724" s="1855" t="s">
        <v>6506</v>
      </c>
    </row>
    <row r="725" spans="1:19" ht="12" customHeight="1">
      <c r="A725" s="7145"/>
      <c r="B725" s="7145"/>
      <c r="C725" s="1746" t="s">
        <v>5842</v>
      </c>
      <c r="D725" s="758" t="str">
        <f>D724</f>
        <v>Sirius</v>
      </c>
      <c r="E725" s="1749">
        <v>2</v>
      </c>
      <c r="F725" s="1749">
        <v>40</v>
      </c>
      <c r="G725" s="1749">
        <f t="shared" si="31"/>
        <v>40</v>
      </c>
      <c r="H725" s="1748" t="s">
        <v>5847</v>
      </c>
      <c r="I725" s="1748" t="s">
        <v>8906</v>
      </c>
      <c r="J725" s="1748" t="s">
        <v>8903</v>
      </c>
      <c r="K725" s="1748"/>
      <c r="L725" s="1748"/>
      <c r="M725" s="1862">
        <f t="shared" si="32"/>
        <v>0</v>
      </c>
      <c r="N725" s="1846" t="s">
        <v>9079</v>
      </c>
      <c r="O725" s="1846" t="s">
        <v>9096</v>
      </c>
      <c r="P725" s="1846" t="s">
        <v>6506</v>
      </c>
      <c r="Q725" s="1846" t="s">
        <v>6506</v>
      </c>
      <c r="R725" s="1846" t="s">
        <v>6506</v>
      </c>
      <c r="S725" s="1855" t="s">
        <v>6506</v>
      </c>
    </row>
    <row r="726" spans="1:19" ht="12" customHeight="1">
      <c r="A726" s="7145"/>
      <c r="B726" s="7145"/>
      <c r="C726" s="1746" t="s">
        <v>5843</v>
      </c>
      <c r="D726" s="758" t="str">
        <f>D725</f>
        <v>Sirius</v>
      </c>
      <c r="E726" s="1749">
        <v>3</v>
      </c>
      <c r="F726" s="1749">
        <v>70</v>
      </c>
      <c r="G726" s="1749">
        <f t="shared" si="31"/>
        <v>70</v>
      </c>
      <c r="H726" s="1748" t="s">
        <v>5848</v>
      </c>
      <c r="I726" s="1748" t="s">
        <v>8907</v>
      </c>
      <c r="J726" s="1748" t="s">
        <v>8903</v>
      </c>
      <c r="K726" s="1748"/>
      <c r="L726" s="1748"/>
      <c r="M726" s="1862">
        <f t="shared" si="32"/>
        <v>0</v>
      </c>
      <c r="N726" s="1846" t="s">
        <v>9079</v>
      </c>
      <c r="O726" s="1846" t="s">
        <v>9096</v>
      </c>
      <c r="P726" s="1846" t="s">
        <v>6506</v>
      </c>
      <c r="Q726" s="1846" t="s">
        <v>6506</v>
      </c>
      <c r="R726" s="1846" t="s">
        <v>6506</v>
      </c>
      <c r="S726" s="1855" t="s">
        <v>6506</v>
      </c>
    </row>
    <row r="727" spans="1:19" ht="12" customHeight="1">
      <c r="A727" s="7145"/>
      <c r="B727" s="7145"/>
      <c r="C727" s="1746" t="s">
        <v>5838</v>
      </c>
      <c r="D727" s="758"/>
      <c r="E727" s="1749"/>
      <c r="F727" s="1749"/>
      <c r="G727" s="1749" t="str">
        <f t="shared" si="31"/>
        <v/>
      </c>
      <c r="H727" s="1748"/>
      <c r="I727" s="1748" t="s">
        <v>6506</v>
      </c>
      <c r="J727" s="1748" t="s">
        <v>6506</v>
      </c>
      <c r="K727" s="1748"/>
      <c r="L727" s="1748"/>
      <c r="M727" s="1862" t="str">
        <f t="shared" si="32"/>
        <v/>
      </c>
      <c r="N727" s="1846" t="s">
        <v>6506</v>
      </c>
      <c r="O727" s="1846" t="s">
        <v>6506</v>
      </c>
      <c r="P727" s="1846" t="s">
        <v>6506</v>
      </c>
      <c r="Q727" s="1846" t="s">
        <v>6506</v>
      </c>
      <c r="R727" s="1846" t="s">
        <v>6506</v>
      </c>
      <c r="S727" s="1855" t="s">
        <v>6506</v>
      </c>
    </row>
    <row r="728" spans="1:19" ht="12" customHeight="1">
      <c r="A728" s="7145"/>
      <c r="B728" s="7145"/>
      <c r="C728" s="1746" t="s">
        <v>5849</v>
      </c>
      <c r="D728" s="758" t="str">
        <f>PROPER(MID(C727,3,100))</f>
        <v>Basis</v>
      </c>
      <c r="E728" s="1749">
        <v>1</v>
      </c>
      <c r="F728" s="1749">
        <v>25</v>
      </c>
      <c r="G728" s="1749">
        <f t="shared" si="31"/>
        <v>25</v>
      </c>
      <c r="H728" s="1748" t="s">
        <v>5851</v>
      </c>
      <c r="I728" s="1748" t="s">
        <v>8908</v>
      </c>
      <c r="J728" s="1748" t="s">
        <v>6506</v>
      </c>
      <c r="K728" s="1748"/>
      <c r="L728" s="1748"/>
      <c r="M728" s="1862">
        <f t="shared" si="32"/>
        <v>0</v>
      </c>
      <c r="N728" s="1846" t="s">
        <v>9081</v>
      </c>
      <c r="O728" s="1846" t="s">
        <v>9081</v>
      </c>
      <c r="P728" s="1846" t="s">
        <v>6506</v>
      </c>
      <c r="Q728" s="1846" t="s">
        <v>6506</v>
      </c>
      <c r="R728" s="1846" t="s">
        <v>6506</v>
      </c>
      <c r="S728" s="1855" t="s">
        <v>6506</v>
      </c>
    </row>
    <row r="729" spans="1:19" ht="12" customHeight="1">
      <c r="A729" s="7145"/>
      <c r="B729" s="7145"/>
      <c r="C729" s="1746" t="s">
        <v>5850</v>
      </c>
      <c r="D729" s="758" t="str">
        <f>D728</f>
        <v>Basis</v>
      </c>
      <c r="E729" s="1749">
        <v>1</v>
      </c>
      <c r="F729" s="1749">
        <v>20</v>
      </c>
      <c r="G729" s="1749">
        <f t="shared" si="31"/>
        <v>20</v>
      </c>
      <c r="H729" s="1748" t="s">
        <v>5852</v>
      </c>
      <c r="I729" s="1748" t="s">
        <v>8909</v>
      </c>
      <c r="J729" s="1748" t="s">
        <v>6506</v>
      </c>
      <c r="K729" s="1748"/>
      <c r="L729" s="1748"/>
      <c r="M729" s="1862">
        <f t="shared" si="32"/>
        <v>0</v>
      </c>
      <c r="N729" s="1846" t="s">
        <v>9079</v>
      </c>
      <c r="O729" s="1846" t="s">
        <v>9094</v>
      </c>
      <c r="P729" s="1846" t="s">
        <v>6506</v>
      </c>
      <c r="Q729" s="1846" t="s">
        <v>6506</v>
      </c>
      <c r="R729" s="1846" t="s">
        <v>6506</v>
      </c>
      <c r="S729" s="1855" t="s">
        <v>6506</v>
      </c>
    </row>
    <row r="730" spans="1:19" ht="12" customHeight="1">
      <c r="A730" s="7145"/>
      <c r="B730" s="7145"/>
      <c r="C730" s="1746" t="s">
        <v>5853</v>
      </c>
      <c r="D730" s="758" t="str">
        <f>D729</f>
        <v>Basis</v>
      </c>
      <c r="E730" s="1749">
        <v>2</v>
      </c>
      <c r="F730" s="1749">
        <v>50</v>
      </c>
      <c r="G730" s="1749">
        <f t="shared" si="31"/>
        <v>50</v>
      </c>
      <c r="H730" s="1748" t="s">
        <v>5855</v>
      </c>
      <c r="I730" s="1748" t="s">
        <v>8910</v>
      </c>
      <c r="J730" s="1748" t="s">
        <v>6506</v>
      </c>
      <c r="K730" s="1748"/>
      <c r="L730" s="1748"/>
      <c r="M730" s="1862">
        <f t="shared" ref="M730:M761" si="33">IF(D730="","",IF(IFERROR(INDEX($P$100:$P$105,MID(N730,1,1)),0)+IFERROR(INDEX($P$100:$P$105,MID(N730,2,1)),0)+IFERROR(INDEX($P$100:$P$105,MID(N730,3,1)),0)&gt;0,-5,0)+IF(IFERROR(INDEX($P$100:$P$105,MID(O730,1,1)),0)+IFERROR(INDEX($P$100:$P$105,MID(O730,2,1)),0)+IFERROR(INDEX($P$100:$P$105,MID(O730,3,1)),0)&gt;0,-5,0)+IF(IFERROR(INDEX($P$100:$P$105,MID(P730,1,1)),0)+IFERROR(INDEX($P$100:$P$105,MID(P730,2,1)),0)+IFERROR(INDEX($P$100:$P$105,MID(P730,3,1)),0)&gt;0,-5,0)+IF(IFERROR(INDEX($P$100:$P$105,MID(Q730,1,1)),0)+IFERROR(INDEX($P$100:$P$105,MID(Q730,2,1)),0)+IFERROR(INDEX($P$100:$P$105,MID(Q730,3,1)),0)&gt;0,-5,0)+IF(IFERROR(INDEX($P$100:$P$105,MID(R730,1,1)),0)+IFERROR(INDEX($P$100:$P$105,MID(R730,2,1)),0)+IFERROR(INDEX($P$100:$P$105,MID(R730,3,1)),0)&gt;0,-5,0)+IF(IFERROR(INDEX($P$100:$P$105,MID(S730,1,1)),0)+IFERROR(INDEX($P$100:$P$105,MID(S730,2,1)),0)+IFERROR(INDEX($P$100:$P$105,MID(S730,3,1)),0)&gt;0,-5,0))</f>
        <v>0</v>
      </c>
      <c r="N730" s="1846" t="s">
        <v>9079</v>
      </c>
      <c r="O730" s="1846" t="s">
        <v>9092</v>
      </c>
      <c r="P730" s="1846" t="s">
        <v>9080</v>
      </c>
      <c r="Q730" s="1846" t="s">
        <v>6506</v>
      </c>
      <c r="R730" s="1846" t="s">
        <v>6506</v>
      </c>
      <c r="S730" s="1855" t="s">
        <v>6506</v>
      </c>
    </row>
    <row r="731" spans="1:19" ht="12" customHeight="1">
      <c r="A731" s="7145"/>
      <c r="B731" s="7145"/>
      <c r="C731" s="1746" t="s">
        <v>595</v>
      </c>
      <c r="D731" s="758" t="str">
        <f>D730</f>
        <v>Basis</v>
      </c>
      <c r="E731" s="1749">
        <v>2</v>
      </c>
      <c r="F731" s="1749">
        <v>50</v>
      </c>
      <c r="G731" s="1749">
        <f t="shared" si="31"/>
        <v>50</v>
      </c>
      <c r="H731" s="1748" t="s">
        <v>5856</v>
      </c>
      <c r="I731" s="1748" t="s">
        <v>8911</v>
      </c>
      <c r="J731" s="1748" t="s">
        <v>6506</v>
      </c>
      <c r="K731" s="1748"/>
      <c r="L731" s="1748"/>
      <c r="M731" s="1862">
        <f t="shared" si="33"/>
        <v>0</v>
      </c>
      <c r="N731" s="1846" t="s">
        <v>9092</v>
      </c>
      <c r="O731" s="1846" t="s">
        <v>6506</v>
      </c>
      <c r="P731" s="1846" t="s">
        <v>6506</v>
      </c>
      <c r="Q731" s="1846" t="s">
        <v>6506</v>
      </c>
      <c r="R731" s="1846" t="s">
        <v>6506</v>
      </c>
      <c r="S731" s="1855" t="s">
        <v>6506</v>
      </c>
    </row>
    <row r="732" spans="1:19" ht="12" customHeight="1">
      <c r="A732" s="7145"/>
      <c r="B732" s="7145"/>
      <c r="C732" s="1746" t="s">
        <v>5854</v>
      </c>
      <c r="D732" s="758" t="str">
        <f>D731</f>
        <v>Basis</v>
      </c>
      <c r="E732" s="1749">
        <v>3</v>
      </c>
      <c r="F732" s="1749">
        <v>60</v>
      </c>
      <c r="G732" s="1749">
        <f t="shared" si="31"/>
        <v>60</v>
      </c>
      <c r="H732" s="1748" t="s">
        <v>5857</v>
      </c>
      <c r="I732" s="1748" t="s">
        <v>8912</v>
      </c>
      <c r="J732" s="1748" t="s">
        <v>6506</v>
      </c>
      <c r="K732" s="1748"/>
      <c r="L732" s="1748"/>
      <c r="M732" s="1862">
        <f t="shared" si="33"/>
        <v>0</v>
      </c>
      <c r="N732" s="1846" t="s">
        <v>9081</v>
      </c>
      <c r="O732" s="1846" t="s">
        <v>9083</v>
      </c>
      <c r="P732" s="1846" t="s">
        <v>9092</v>
      </c>
      <c r="Q732" s="1846" t="s">
        <v>6506</v>
      </c>
      <c r="R732" s="1846" t="s">
        <v>6506</v>
      </c>
      <c r="S732" s="1855" t="s">
        <v>6506</v>
      </c>
    </row>
    <row r="733" spans="1:19" ht="12" customHeight="1">
      <c r="A733" s="7145"/>
      <c r="B733" s="7145"/>
      <c r="C733" s="1746" t="s">
        <v>6493</v>
      </c>
      <c r="D733" s="758"/>
      <c r="E733" s="1749"/>
      <c r="F733" s="1749"/>
      <c r="G733" s="1749" t="str">
        <f t="shared" si="31"/>
        <v/>
      </c>
      <c r="H733" s="1748"/>
      <c r="I733" s="1748" t="s">
        <v>6506</v>
      </c>
      <c r="J733" s="1748" t="s">
        <v>6506</v>
      </c>
      <c r="K733" s="1748"/>
      <c r="L733" s="1748"/>
      <c r="M733" s="1862" t="str">
        <f t="shared" si="33"/>
        <v/>
      </c>
      <c r="N733" s="1846" t="s">
        <v>6506</v>
      </c>
      <c r="O733" s="1846" t="s">
        <v>6506</v>
      </c>
      <c r="P733" s="1846" t="s">
        <v>6506</v>
      </c>
      <c r="Q733" s="1846" t="s">
        <v>6506</v>
      </c>
      <c r="R733" s="1846" t="s">
        <v>6506</v>
      </c>
      <c r="S733" s="1855" t="s">
        <v>6506</v>
      </c>
    </row>
    <row r="734" spans="1:19" ht="12" customHeight="1">
      <c r="A734" s="7145"/>
      <c r="B734" s="7145"/>
      <c r="C734" s="1746" t="s">
        <v>2709</v>
      </c>
      <c r="D734" s="758" t="str">
        <f>PROPER(MID(C733,3,100))</f>
        <v>Ormus</v>
      </c>
      <c r="E734" s="1749">
        <v>1</v>
      </c>
      <c r="F734" s="1749">
        <v>45</v>
      </c>
      <c r="G734" s="1749">
        <f t="shared" si="31"/>
        <v>45</v>
      </c>
      <c r="H734" s="1748" t="s">
        <v>2710</v>
      </c>
      <c r="I734" s="1748" t="s">
        <v>9059</v>
      </c>
      <c r="J734" s="1748" t="s">
        <v>6506</v>
      </c>
      <c r="K734" s="1748"/>
      <c r="L734" s="1748"/>
      <c r="M734" s="1862">
        <f t="shared" si="33"/>
        <v>0</v>
      </c>
      <c r="N734" s="1846" t="s">
        <v>9078</v>
      </c>
      <c r="O734" s="1846" t="s">
        <v>9078</v>
      </c>
      <c r="P734" s="1846" t="s">
        <v>9092</v>
      </c>
      <c r="Q734" s="1846" t="s">
        <v>6506</v>
      </c>
      <c r="R734" s="1846" t="s">
        <v>6506</v>
      </c>
      <c r="S734" s="1855" t="s">
        <v>6506</v>
      </c>
    </row>
    <row r="735" spans="1:19" ht="12" customHeight="1">
      <c r="A735" s="7145"/>
      <c r="B735" s="7145"/>
      <c r="C735" s="1746" t="s">
        <v>2711</v>
      </c>
      <c r="D735" s="758" t="str">
        <f>D734</f>
        <v>Ormus</v>
      </c>
      <c r="E735" s="1749">
        <v>1</v>
      </c>
      <c r="F735" s="1749">
        <v>30</v>
      </c>
      <c r="G735" s="1749">
        <f t="shared" si="31"/>
        <v>30</v>
      </c>
      <c r="H735" s="1748" t="s">
        <v>2712</v>
      </c>
      <c r="I735" s="1748" t="s">
        <v>8913</v>
      </c>
      <c r="J735" s="1748" t="s">
        <v>6506</v>
      </c>
      <c r="K735" s="1748"/>
      <c r="L735" s="1748"/>
      <c r="M735" s="1862">
        <f t="shared" si="33"/>
        <v>0</v>
      </c>
      <c r="N735" s="1846" t="s">
        <v>8621</v>
      </c>
      <c r="O735" s="1846" t="s">
        <v>9081</v>
      </c>
      <c r="P735" s="1846" t="s">
        <v>6506</v>
      </c>
      <c r="Q735" s="1846" t="s">
        <v>6506</v>
      </c>
      <c r="R735" s="1846" t="s">
        <v>6506</v>
      </c>
      <c r="S735" s="1855" t="s">
        <v>6506</v>
      </c>
    </row>
    <row r="736" spans="1:19" ht="12" customHeight="1">
      <c r="A736" s="7145"/>
      <c r="B736" s="7145"/>
      <c r="C736" s="1746" t="s">
        <v>2713</v>
      </c>
      <c r="D736" s="758" t="str">
        <f>D735</f>
        <v>Ormus</v>
      </c>
      <c r="E736" s="1749">
        <v>2</v>
      </c>
      <c r="F736" s="1749">
        <v>75</v>
      </c>
      <c r="G736" s="1749">
        <f t="shared" si="31"/>
        <v>75</v>
      </c>
      <c r="H736" s="1748" t="s">
        <v>2714</v>
      </c>
      <c r="I736" s="1748" t="s">
        <v>8914</v>
      </c>
      <c r="J736" s="1748" t="s">
        <v>6506</v>
      </c>
      <c r="K736" s="1748"/>
      <c r="L736" s="1748"/>
      <c r="M736" s="1862">
        <f t="shared" si="33"/>
        <v>0</v>
      </c>
      <c r="N736" s="1846" t="s">
        <v>7105</v>
      </c>
      <c r="O736" s="1846" t="s">
        <v>9092</v>
      </c>
      <c r="P736" s="1846" t="s">
        <v>6506</v>
      </c>
      <c r="Q736" s="1846" t="s">
        <v>6506</v>
      </c>
      <c r="R736" s="1846" t="s">
        <v>6506</v>
      </c>
      <c r="S736" s="1855" t="s">
        <v>6506</v>
      </c>
    </row>
    <row r="737" spans="1:19" ht="12" customHeight="1">
      <c r="A737" s="7145"/>
      <c r="B737" s="7145"/>
      <c r="C737" s="1746" t="s">
        <v>2715</v>
      </c>
      <c r="D737" s="758" t="str">
        <f>D736</f>
        <v>Ormus</v>
      </c>
      <c r="E737" s="1749">
        <v>2</v>
      </c>
      <c r="F737" s="1749">
        <v>55</v>
      </c>
      <c r="G737" s="1749">
        <f t="shared" si="31"/>
        <v>55</v>
      </c>
      <c r="H737" s="1748" t="s">
        <v>2716</v>
      </c>
      <c r="I737" s="1748" t="s">
        <v>8915</v>
      </c>
      <c r="J737" s="1748" t="s">
        <v>6506</v>
      </c>
      <c r="K737" s="1748"/>
      <c r="L737" s="1748"/>
      <c r="M737" s="1862">
        <f t="shared" si="33"/>
        <v>0</v>
      </c>
      <c r="N737" s="1846" t="s">
        <v>9093</v>
      </c>
      <c r="O737" s="1846" t="s">
        <v>9096</v>
      </c>
      <c r="P737" s="1846" t="s">
        <v>9080</v>
      </c>
      <c r="Q737" s="1846" t="s">
        <v>9079</v>
      </c>
      <c r="R737" s="1846" t="s">
        <v>6506</v>
      </c>
      <c r="S737" s="1855" t="s">
        <v>6506</v>
      </c>
    </row>
    <row r="738" spans="1:19" ht="12" customHeight="1">
      <c r="A738" s="7145"/>
      <c r="B738" s="7145"/>
      <c r="C738" s="1746" t="s">
        <v>2717</v>
      </c>
      <c r="D738" s="758" t="str">
        <f>D737</f>
        <v>Ormus</v>
      </c>
      <c r="E738" s="1749">
        <v>3</v>
      </c>
      <c r="F738" s="1749">
        <v>110</v>
      </c>
      <c r="G738" s="1749">
        <f t="shared" si="31"/>
        <v>110</v>
      </c>
      <c r="H738" s="1748" t="s">
        <v>2718</v>
      </c>
      <c r="I738" s="1748" t="s">
        <v>8916</v>
      </c>
      <c r="J738" s="1748" t="s">
        <v>6506</v>
      </c>
      <c r="K738" s="1748"/>
      <c r="L738" s="1748"/>
      <c r="M738" s="1862">
        <f t="shared" si="33"/>
        <v>0</v>
      </c>
      <c r="N738" s="1846" t="s">
        <v>9078</v>
      </c>
      <c r="O738" s="1846" t="s">
        <v>9092</v>
      </c>
      <c r="P738" s="1846" t="s">
        <v>9093</v>
      </c>
      <c r="Q738" s="1846" t="s">
        <v>6506</v>
      </c>
      <c r="R738" s="1846" t="s">
        <v>6506</v>
      </c>
      <c r="S738" s="1855" t="s">
        <v>6506</v>
      </c>
    </row>
    <row r="739" spans="1:19" ht="12" customHeight="1">
      <c r="A739" s="7145"/>
      <c r="B739" s="7145"/>
      <c r="C739" s="1746" t="s">
        <v>2720</v>
      </c>
      <c r="D739" s="758"/>
      <c r="E739" s="1749"/>
      <c r="F739" s="1749"/>
      <c r="G739" s="1749" t="str">
        <f t="shared" si="31"/>
        <v/>
      </c>
      <c r="H739" s="1748"/>
      <c r="I739" s="1748" t="s">
        <v>6506</v>
      </c>
      <c r="J739" s="1748" t="s">
        <v>6506</v>
      </c>
      <c r="K739" s="1748"/>
      <c r="L739" s="1748"/>
      <c r="M739" s="1862" t="str">
        <f t="shared" si="33"/>
        <v/>
      </c>
      <c r="N739" s="1846" t="s">
        <v>6506</v>
      </c>
      <c r="O739" s="1846" t="s">
        <v>6506</v>
      </c>
      <c r="P739" s="1846" t="s">
        <v>6506</v>
      </c>
      <c r="Q739" s="1846" t="s">
        <v>6506</v>
      </c>
      <c r="R739" s="1846" t="s">
        <v>6506</v>
      </c>
      <c r="S739" s="1855" t="s">
        <v>6506</v>
      </c>
    </row>
    <row r="740" spans="1:19" ht="12" customHeight="1">
      <c r="A740" s="7145"/>
      <c r="B740" s="7145"/>
      <c r="C740" s="1746" t="s">
        <v>2721</v>
      </c>
      <c r="D740" s="758" t="str">
        <f>PROPER(MID(C739,3,100))</f>
        <v>Hyousetsu Jigoku</v>
      </c>
      <c r="E740" s="1749">
        <v>1</v>
      </c>
      <c r="F740" s="1749">
        <v>30</v>
      </c>
      <c r="G740" s="1749">
        <f t="shared" si="31"/>
        <v>30</v>
      </c>
      <c r="H740" s="1748" t="s">
        <v>2722</v>
      </c>
      <c r="I740" s="1748" t="s">
        <v>8917</v>
      </c>
      <c r="J740" s="1748" t="s">
        <v>6506</v>
      </c>
      <c r="K740" s="1748"/>
      <c r="L740" s="1748"/>
      <c r="M740" s="1862">
        <f t="shared" si="33"/>
        <v>0</v>
      </c>
      <c r="N740" s="1846" t="s">
        <v>9084</v>
      </c>
      <c r="O740" s="1846" t="s">
        <v>6506</v>
      </c>
      <c r="P740" s="1846" t="s">
        <v>6506</v>
      </c>
      <c r="Q740" s="1846" t="s">
        <v>6506</v>
      </c>
      <c r="R740" s="1846" t="s">
        <v>6506</v>
      </c>
      <c r="S740" s="1855" t="s">
        <v>6506</v>
      </c>
    </row>
    <row r="741" spans="1:19" ht="12" customHeight="1">
      <c r="A741" s="7145"/>
      <c r="B741" s="7145"/>
      <c r="C741" s="1746" t="s">
        <v>2723</v>
      </c>
      <c r="D741" s="758" t="str">
        <f>D740</f>
        <v>Hyousetsu Jigoku</v>
      </c>
      <c r="E741" s="1749">
        <v>1</v>
      </c>
      <c r="F741" s="1749">
        <v>20</v>
      </c>
      <c r="G741" s="1749">
        <f t="shared" si="31"/>
        <v>20</v>
      </c>
      <c r="H741" s="1748" t="s">
        <v>2724</v>
      </c>
      <c r="I741" s="1748" t="s">
        <v>8918</v>
      </c>
      <c r="J741" s="1748" t="s">
        <v>6506</v>
      </c>
      <c r="K741" s="1748"/>
      <c r="L741" s="1748"/>
      <c r="M741" s="1862">
        <f t="shared" si="33"/>
        <v>0</v>
      </c>
      <c r="N741" s="1846" t="s">
        <v>9083</v>
      </c>
      <c r="O741" s="1846" t="s">
        <v>6506</v>
      </c>
      <c r="P741" s="1846" t="s">
        <v>6506</v>
      </c>
      <c r="Q741" s="1846" t="s">
        <v>6506</v>
      </c>
      <c r="R741" s="1846" t="s">
        <v>6506</v>
      </c>
      <c r="S741" s="1855" t="s">
        <v>6506</v>
      </c>
    </row>
    <row r="742" spans="1:19" ht="12" customHeight="1">
      <c r="A742" s="7145"/>
      <c r="B742" s="7145"/>
      <c r="C742" s="1746" t="s">
        <v>2725</v>
      </c>
      <c r="D742" s="758" t="str">
        <f>D741</f>
        <v>Hyousetsu Jigoku</v>
      </c>
      <c r="E742" s="1749">
        <v>2</v>
      </c>
      <c r="F742" s="1749">
        <v>65</v>
      </c>
      <c r="G742" s="1749">
        <f t="shared" si="31"/>
        <v>65</v>
      </c>
      <c r="H742" s="1748" t="s">
        <v>2726</v>
      </c>
      <c r="I742" s="1748" t="s">
        <v>8919</v>
      </c>
      <c r="J742" s="1748" t="s">
        <v>6506</v>
      </c>
      <c r="K742" s="1748"/>
      <c r="L742" s="1748"/>
      <c r="M742" s="1862">
        <f t="shared" si="33"/>
        <v>0</v>
      </c>
      <c r="N742" s="1846" t="s">
        <v>9082</v>
      </c>
      <c r="O742" s="1846" t="s">
        <v>9081</v>
      </c>
      <c r="P742" s="1846" t="s">
        <v>6506</v>
      </c>
      <c r="Q742" s="1846" t="s">
        <v>6506</v>
      </c>
      <c r="R742" s="1846" t="s">
        <v>6506</v>
      </c>
      <c r="S742" s="1855" t="s">
        <v>6506</v>
      </c>
    </row>
    <row r="743" spans="1:19" ht="12" customHeight="1">
      <c r="A743" s="7145"/>
      <c r="B743" s="7145"/>
      <c r="C743" s="1746" t="s">
        <v>2728</v>
      </c>
      <c r="D743" s="758" t="str">
        <f>D742</f>
        <v>Hyousetsu Jigoku</v>
      </c>
      <c r="E743" s="1749">
        <v>2</v>
      </c>
      <c r="F743" s="1749">
        <v>70</v>
      </c>
      <c r="G743" s="1749">
        <f t="shared" si="31"/>
        <v>70</v>
      </c>
      <c r="H743" s="1748" t="s">
        <v>2729</v>
      </c>
      <c r="I743" s="1748" t="s">
        <v>8920</v>
      </c>
      <c r="J743" s="1748" t="s">
        <v>6506</v>
      </c>
      <c r="K743" s="1748"/>
      <c r="L743" s="1748"/>
      <c r="M743" s="1862">
        <f t="shared" si="33"/>
        <v>0</v>
      </c>
      <c r="N743" s="1846" t="s">
        <v>9078</v>
      </c>
      <c r="O743" s="1846" t="s">
        <v>6506</v>
      </c>
      <c r="P743" s="1846" t="s">
        <v>6506</v>
      </c>
      <c r="Q743" s="1846" t="s">
        <v>6506</v>
      </c>
      <c r="R743" s="1846" t="s">
        <v>6506</v>
      </c>
      <c r="S743" s="1855" t="s">
        <v>6506</v>
      </c>
    </row>
    <row r="744" spans="1:19" ht="12" customHeight="1">
      <c r="A744" s="7145"/>
      <c r="B744" s="7145"/>
      <c r="C744" s="1746" t="s">
        <v>2731</v>
      </c>
      <c r="D744" s="758" t="str">
        <f>D743</f>
        <v>Hyousetsu Jigoku</v>
      </c>
      <c r="E744" s="1749">
        <v>3</v>
      </c>
      <c r="F744" s="1749">
        <v>115</v>
      </c>
      <c r="G744" s="1749">
        <f t="shared" si="31"/>
        <v>115</v>
      </c>
      <c r="H744" s="1748" t="s">
        <v>2732</v>
      </c>
      <c r="I744" s="1748" t="s">
        <v>8921</v>
      </c>
      <c r="J744" s="1748" t="s">
        <v>3017</v>
      </c>
      <c r="K744" s="1748"/>
      <c r="L744" s="1748"/>
      <c r="M744" s="1862">
        <f t="shared" si="33"/>
        <v>0</v>
      </c>
      <c r="N744" s="1846" t="s">
        <v>9096</v>
      </c>
      <c r="O744" s="1846" t="s">
        <v>6506</v>
      </c>
      <c r="P744" s="1846" t="s">
        <v>6506</v>
      </c>
      <c r="Q744" s="1846" t="s">
        <v>6506</v>
      </c>
      <c r="R744" s="1846" t="s">
        <v>6506</v>
      </c>
      <c r="S744" s="1855" t="s">
        <v>6506</v>
      </c>
    </row>
    <row r="745" spans="1:19" ht="12" customHeight="1">
      <c r="A745" s="7145"/>
      <c r="B745" s="7145"/>
      <c r="C745" s="1746" t="s">
        <v>2733</v>
      </c>
      <c r="D745" s="758"/>
      <c r="E745" s="1749"/>
      <c r="F745" s="1749"/>
      <c r="G745" s="1749" t="str">
        <f t="shared" si="31"/>
        <v/>
      </c>
      <c r="H745" s="1748"/>
      <c r="I745" s="1748" t="s">
        <v>6506</v>
      </c>
      <c r="J745" s="1748" t="s">
        <v>6506</v>
      </c>
      <c r="K745" s="1748"/>
      <c r="L745" s="1748"/>
      <c r="M745" s="1862" t="str">
        <f t="shared" si="33"/>
        <v/>
      </c>
      <c r="N745" s="1846" t="s">
        <v>6506</v>
      </c>
      <c r="O745" s="1846" t="s">
        <v>6506</v>
      </c>
      <c r="P745" s="1846" t="s">
        <v>6506</v>
      </c>
      <c r="Q745" s="1846" t="s">
        <v>6506</v>
      </c>
      <c r="R745" s="1846" t="s">
        <v>6506</v>
      </c>
      <c r="S745" s="1855" t="s">
        <v>6506</v>
      </c>
    </row>
    <row r="746" spans="1:19" ht="12" customHeight="1">
      <c r="A746" s="7145"/>
      <c r="B746" s="7145"/>
      <c r="C746" s="1746" t="s">
        <v>2734</v>
      </c>
      <c r="D746" s="758" t="str">
        <f>PROPER(MID(C745,3,100))</f>
        <v>Hypnos Requiem</v>
      </c>
      <c r="E746" s="1749">
        <v>1</v>
      </c>
      <c r="F746" s="1749">
        <v>25</v>
      </c>
      <c r="G746" s="1749">
        <f t="shared" si="31"/>
        <v>25</v>
      </c>
      <c r="H746" s="1748" t="s">
        <v>2735</v>
      </c>
      <c r="I746" s="1748" t="s">
        <v>2781</v>
      </c>
      <c r="J746" s="1748" t="s">
        <v>8922</v>
      </c>
      <c r="K746" s="1748"/>
      <c r="L746" s="1748"/>
      <c r="M746" s="1862">
        <f t="shared" si="33"/>
        <v>0</v>
      </c>
      <c r="N746" s="1846" t="s">
        <v>9082</v>
      </c>
      <c r="O746" s="1846" t="s">
        <v>6506</v>
      </c>
      <c r="P746" s="1846" t="s">
        <v>6506</v>
      </c>
      <c r="Q746" s="1846" t="s">
        <v>6506</v>
      </c>
      <c r="R746" s="1846" t="s">
        <v>6506</v>
      </c>
      <c r="S746" s="1855" t="s">
        <v>6506</v>
      </c>
    </row>
    <row r="747" spans="1:19" ht="12" customHeight="1">
      <c r="A747" s="7145"/>
      <c r="B747" s="7145"/>
      <c r="C747" s="1746" t="s">
        <v>2736</v>
      </c>
      <c r="D747" s="758" t="str">
        <f>D746</f>
        <v>Hypnos Requiem</v>
      </c>
      <c r="E747" s="1749">
        <v>1</v>
      </c>
      <c r="F747" s="1749">
        <v>25</v>
      </c>
      <c r="G747" s="1749">
        <f t="shared" si="31"/>
        <v>25</v>
      </c>
      <c r="H747" s="1748" t="s">
        <v>2737</v>
      </c>
      <c r="I747" s="1748" t="s">
        <v>8923</v>
      </c>
      <c r="J747" s="1748" t="s">
        <v>8922</v>
      </c>
      <c r="K747" s="1748"/>
      <c r="L747" s="1748"/>
      <c r="M747" s="1862">
        <f t="shared" si="33"/>
        <v>0</v>
      </c>
      <c r="N747" s="1846" t="s">
        <v>9085</v>
      </c>
      <c r="O747" s="1846" t="s">
        <v>6506</v>
      </c>
      <c r="P747" s="1846" t="s">
        <v>6506</v>
      </c>
      <c r="Q747" s="1846" t="s">
        <v>6506</v>
      </c>
      <c r="R747" s="1846" t="s">
        <v>6506</v>
      </c>
      <c r="S747" s="1855" t="s">
        <v>6506</v>
      </c>
    </row>
    <row r="748" spans="1:19" ht="12" customHeight="1">
      <c r="A748" s="7145"/>
      <c r="B748" s="7145"/>
      <c r="C748" s="1746" t="s">
        <v>2738</v>
      </c>
      <c r="D748" s="758" t="str">
        <f>D747</f>
        <v>Hypnos Requiem</v>
      </c>
      <c r="E748" s="1749">
        <v>1</v>
      </c>
      <c r="F748" s="1749">
        <v>30</v>
      </c>
      <c r="G748" s="1749">
        <f t="shared" si="31"/>
        <v>30</v>
      </c>
      <c r="H748" s="1748" t="s">
        <v>2739</v>
      </c>
      <c r="I748" s="1748" t="s">
        <v>8924</v>
      </c>
      <c r="J748" s="1748" t="s">
        <v>8925</v>
      </c>
      <c r="K748" s="1748"/>
      <c r="L748" s="1748"/>
      <c r="M748" s="1862">
        <f t="shared" si="33"/>
        <v>0</v>
      </c>
      <c r="N748" s="1846" t="s">
        <v>9085</v>
      </c>
      <c r="O748" s="1846" t="s">
        <v>9096</v>
      </c>
      <c r="P748" s="1846" t="s">
        <v>9080</v>
      </c>
      <c r="Q748" s="1846" t="s">
        <v>6506</v>
      </c>
      <c r="R748" s="1846" t="s">
        <v>6506</v>
      </c>
      <c r="S748" s="1855" t="s">
        <v>6506</v>
      </c>
    </row>
    <row r="749" spans="1:19" ht="12" customHeight="1">
      <c r="A749" s="7145"/>
      <c r="B749" s="7145"/>
      <c r="C749" s="1746" t="s">
        <v>2740</v>
      </c>
      <c r="D749" s="758" t="str">
        <f>D748</f>
        <v>Hypnos Requiem</v>
      </c>
      <c r="E749" s="1749">
        <v>2</v>
      </c>
      <c r="F749" s="1749">
        <v>60</v>
      </c>
      <c r="G749" s="1749">
        <f t="shared" si="31"/>
        <v>60</v>
      </c>
      <c r="H749" s="1748" t="s">
        <v>2741</v>
      </c>
      <c r="I749" s="1748" t="s">
        <v>9060</v>
      </c>
      <c r="J749" s="1748" t="s">
        <v>8925</v>
      </c>
      <c r="K749" s="1748"/>
      <c r="L749" s="1748"/>
      <c r="M749" s="1862">
        <f t="shared" si="33"/>
        <v>0</v>
      </c>
      <c r="N749" s="1846" t="s">
        <v>9096</v>
      </c>
      <c r="O749" s="1846" t="s">
        <v>9078</v>
      </c>
      <c r="P749" s="1846" t="s">
        <v>6506</v>
      </c>
      <c r="Q749" s="1846" t="s">
        <v>6506</v>
      </c>
      <c r="R749" s="1846" t="s">
        <v>6506</v>
      </c>
      <c r="S749" s="1855" t="s">
        <v>6506</v>
      </c>
    </row>
    <row r="750" spans="1:19" ht="12" customHeight="1">
      <c r="A750" s="7145"/>
      <c r="B750" s="7145"/>
      <c r="C750" s="1746" t="s">
        <v>2742</v>
      </c>
      <c r="D750" s="758" t="str">
        <f>D749</f>
        <v>Hypnos Requiem</v>
      </c>
      <c r="E750" s="1749">
        <v>2</v>
      </c>
      <c r="F750" s="1749">
        <v>45</v>
      </c>
      <c r="G750" s="1749">
        <f t="shared" si="31"/>
        <v>45</v>
      </c>
      <c r="H750" s="1748" t="s">
        <v>2743</v>
      </c>
      <c r="I750" s="1748" t="s">
        <v>8926</v>
      </c>
      <c r="J750" s="1748" t="s">
        <v>8927</v>
      </c>
      <c r="K750" s="1748"/>
      <c r="L750" s="1748"/>
      <c r="M750" s="1862">
        <f t="shared" si="33"/>
        <v>0</v>
      </c>
      <c r="N750" s="1846" t="s">
        <v>9636</v>
      </c>
      <c r="O750" s="1846" t="s">
        <v>6506</v>
      </c>
      <c r="P750" s="1846" t="s">
        <v>6506</v>
      </c>
      <c r="Q750" s="1846" t="s">
        <v>6506</v>
      </c>
      <c r="R750" s="1846" t="s">
        <v>6506</v>
      </c>
      <c r="S750" s="1855" t="s">
        <v>6506</v>
      </c>
    </row>
    <row r="751" spans="1:19" ht="12" customHeight="1">
      <c r="A751" s="7145"/>
      <c r="B751" s="7145"/>
      <c r="C751" s="1746" t="s">
        <v>2744</v>
      </c>
      <c r="D751" s="758" t="str">
        <f>D750</f>
        <v>Hypnos Requiem</v>
      </c>
      <c r="E751" s="1749">
        <v>2</v>
      </c>
      <c r="F751" s="1749">
        <v>80</v>
      </c>
      <c r="G751" s="1749">
        <f t="shared" si="31"/>
        <v>80</v>
      </c>
      <c r="H751" s="1748" t="s">
        <v>2745</v>
      </c>
      <c r="I751" s="1748" t="s">
        <v>8928</v>
      </c>
      <c r="J751" s="1748" t="s">
        <v>8929</v>
      </c>
      <c r="K751" s="1748"/>
      <c r="L751" s="1748"/>
      <c r="M751" s="1862">
        <f t="shared" si="33"/>
        <v>0</v>
      </c>
      <c r="N751" s="1846" t="s">
        <v>9096</v>
      </c>
      <c r="O751" s="1846" t="s">
        <v>6506</v>
      </c>
      <c r="P751" s="1846" t="s">
        <v>6506</v>
      </c>
      <c r="Q751" s="1846" t="s">
        <v>6506</v>
      </c>
      <c r="R751" s="1846" t="s">
        <v>6506</v>
      </c>
      <c r="S751" s="1855" t="s">
        <v>6506</v>
      </c>
    </row>
    <row r="752" spans="1:19" ht="12" customHeight="1">
      <c r="A752" s="7145"/>
      <c r="B752" s="7145"/>
      <c r="C752" s="1746" t="s">
        <v>2746</v>
      </c>
      <c r="D752" s="758"/>
      <c r="E752" s="1749"/>
      <c r="F752" s="1749"/>
      <c r="G752" s="1749" t="str">
        <f t="shared" si="31"/>
        <v/>
      </c>
      <c r="H752" s="1748"/>
      <c r="I752" s="1748" t="s">
        <v>6506</v>
      </c>
      <c r="J752" s="1748" t="s">
        <v>6506</v>
      </c>
      <c r="K752" s="1748"/>
      <c r="L752" s="1748"/>
      <c r="M752" s="1862" t="str">
        <f t="shared" si="33"/>
        <v/>
      </c>
      <c r="N752" s="1846" t="s">
        <v>6506</v>
      </c>
      <c r="O752" s="1846" t="s">
        <v>6506</v>
      </c>
      <c r="P752" s="1846" t="s">
        <v>6506</v>
      </c>
      <c r="Q752" s="1846" t="s">
        <v>6506</v>
      </c>
      <c r="R752" s="1846" t="s">
        <v>6506</v>
      </c>
      <c r="S752" s="1855" t="s">
        <v>6506</v>
      </c>
    </row>
    <row r="753" spans="1:19" ht="12" customHeight="1">
      <c r="A753" s="7145"/>
      <c r="B753" s="7145"/>
      <c r="C753" s="1746" t="s">
        <v>2747</v>
      </c>
      <c r="D753" s="758" t="str">
        <f>PROPER(MID(C752,3,100))</f>
        <v>Le Rose Du Sang</v>
      </c>
      <c r="E753" s="1749">
        <v>1</v>
      </c>
      <c r="F753" s="1749">
        <v>20</v>
      </c>
      <c r="G753" s="1749">
        <f t="shared" si="31"/>
        <v>20</v>
      </c>
      <c r="H753" s="1748" t="s">
        <v>2748</v>
      </c>
      <c r="I753" s="1748" t="s">
        <v>8930</v>
      </c>
      <c r="J753" s="1748" t="s">
        <v>6506</v>
      </c>
      <c r="K753" s="1748"/>
      <c r="L753" s="1748"/>
      <c r="M753" s="1862">
        <f t="shared" si="33"/>
        <v>0</v>
      </c>
      <c r="N753" s="1846" t="s">
        <v>9093</v>
      </c>
      <c r="O753" s="1846" t="s">
        <v>6506</v>
      </c>
      <c r="P753" s="1846" t="s">
        <v>6506</v>
      </c>
      <c r="Q753" s="1846" t="s">
        <v>6506</v>
      </c>
      <c r="R753" s="1846" t="s">
        <v>6506</v>
      </c>
      <c r="S753" s="1855" t="s">
        <v>6506</v>
      </c>
    </row>
    <row r="754" spans="1:19" ht="12" customHeight="1">
      <c r="A754" s="7145"/>
      <c r="B754" s="7145"/>
      <c r="C754" s="1746" t="s">
        <v>2750</v>
      </c>
      <c r="D754" s="758" t="str">
        <f>D753</f>
        <v>Le Rose Du Sang</v>
      </c>
      <c r="E754" s="1749">
        <v>1</v>
      </c>
      <c r="F754" s="1749">
        <v>30</v>
      </c>
      <c r="G754" s="1749">
        <f t="shared" si="31"/>
        <v>30</v>
      </c>
      <c r="H754" s="1748" t="s">
        <v>2751</v>
      </c>
      <c r="I754" s="1748" t="s">
        <v>8931</v>
      </c>
      <c r="J754" s="1748" t="s">
        <v>6506</v>
      </c>
      <c r="K754" s="1748"/>
      <c r="L754" s="1748"/>
      <c r="M754" s="1862">
        <f t="shared" si="33"/>
        <v>0</v>
      </c>
      <c r="N754" s="1846" t="s">
        <v>9081</v>
      </c>
      <c r="O754" s="1846" t="s">
        <v>6506</v>
      </c>
      <c r="P754" s="1846" t="s">
        <v>6506</v>
      </c>
      <c r="Q754" s="1846" t="s">
        <v>6506</v>
      </c>
      <c r="R754" s="1846" t="s">
        <v>6506</v>
      </c>
      <c r="S754" s="1855" t="s">
        <v>6506</v>
      </c>
    </row>
    <row r="755" spans="1:19" ht="12" customHeight="1">
      <c r="A755" s="7145"/>
      <c r="B755" s="7145"/>
      <c r="C755" s="1746" t="s">
        <v>2752</v>
      </c>
      <c r="D755" s="758" t="str">
        <f>D754</f>
        <v>Le Rose Du Sang</v>
      </c>
      <c r="E755" s="1749">
        <v>2</v>
      </c>
      <c r="F755" s="1749">
        <v>40</v>
      </c>
      <c r="G755" s="1749">
        <f t="shared" si="31"/>
        <v>40</v>
      </c>
      <c r="H755" s="1748" t="s">
        <v>2753</v>
      </c>
      <c r="I755" s="1748" t="s">
        <v>8932</v>
      </c>
      <c r="J755" s="1748" t="s">
        <v>8933</v>
      </c>
      <c r="K755" s="1748"/>
      <c r="L755" s="1748"/>
      <c r="M755" s="1862">
        <f t="shared" si="33"/>
        <v>0</v>
      </c>
      <c r="N755" s="1846" t="s">
        <v>8621</v>
      </c>
      <c r="O755" s="1846" t="s">
        <v>6506</v>
      </c>
      <c r="P755" s="1846" t="s">
        <v>6506</v>
      </c>
      <c r="Q755" s="1846" t="s">
        <v>6506</v>
      </c>
      <c r="R755" s="1846" t="s">
        <v>6506</v>
      </c>
      <c r="S755" s="1855" t="s">
        <v>6506</v>
      </c>
    </row>
    <row r="756" spans="1:19" ht="12" customHeight="1">
      <c r="A756" s="7145"/>
      <c r="B756" s="7145"/>
      <c r="C756" s="1746" t="s">
        <v>2754</v>
      </c>
      <c r="D756" s="758" t="str">
        <f>D755</f>
        <v>Le Rose Du Sang</v>
      </c>
      <c r="E756" s="1749">
        <v>2</v>
      </c>
      <c r="F756" s="1749">
        <v>55</v>
      </c>
      <c r="G756" s="1749">
        <f t="shared" si="31"/>
        <v>55</v>
      </c>
      <c r="H756" s="1748" t="s">
        <v>2755</v>
      </c>
      <c r="I756" s="1748" t="s">
        <v>8934</v>
      </c>
      <c r="J756" s="1748" t="s">
        <v>8935</v>
      </c>
      <c r="K756" s="1748"/>
      <c r="L756" s="1748"/>
      <c r="M756" s="1862">
        <f t="shared" si="33"/>
        <v>0</v>
      </c>
      <c r="N756" s="1846" t="s">
        <v>9078</v>
      </c>
      <c r="O756" s="1846" t="s">
        <v>6506</v>
      </c>
      <c r="P756" s="1846" t="s">
        <v>6506</v>
      </c>
      <c r="Q756" s="1846" t="s">
        <v>6506</v>
      </c>
      <c r="R756" s="1846" t="s">
        <v>6506</v>
      </c>
      <c r="S756" s="1855" t="s">
        <v>6506</v>
      </c>
    </row>
    <row r="757" spans="1:19" ht="12" customHeight="1">
      <c r="A757" s="7145"/>
      <c r="B757" s="7145"/>
      <c r="C757" s="1746" t="s">
        <v>2756</v>
      </c>
      <c r="D757" s="758" t="str">
        <f>D756</f>
        <v>Le Rose Du Sang</v>
      </c>
      <c r="E757" s="1749">
        <v>3</v>
      </c>
      <c r="F757" s="1749">
        <v>90</v>
      </c>
      <c r="G757" s="1749">
        <f t="shared" si="31"/>
        <v>90</v>
      </c>
      <c r="H757" s="1748" t="s">
        <v>2757</v>
      </c>
      <c r="I757" s="1748" t="s">
        <v>9061</v>
      </c>
      <c r="J757" s="1748" t="s">
        <v>8936</v>
      </c>
      <c r="K757" s="1748"/>
      <c r="L757" s="1748"/>
      <c r="M757" s="1862">
        <f t="shared" si="33"/>
        <v>0</v>
      </c>
      <c r="N757" s="1846" t="s">
        <v>9080</v>
      </c>
      <c r="O757" s="1846" t="s">
        <v>9637</v>
      </c>
      <c r="P757" s="1846" t="s">
        <v>9078</v>
      </c>
      <c r="Q757" s="1846" t="s">
        <v>6506</v>
      </c>
      <c r="R757" s="1846" t="s">
        <v>6506</v>
      </c>
      <c r="S757" s="1855" t="s">
        <v>6506</v>
      </c>
    </row>
    <row r="758" spans="1:19" ht="12" customHeight="1">
      <c r="A758" s="7145"/>
      <c r="B758" s="7145"/>
      <c r="C758" s="1746" t="s">
        <v>2758</v>
      </c>
      <c r="D758" s="758"/>
      <c r="E758" s="1749"/>
      <c r="F758" s="1749"/>
      <c r="G758" s="1749" t="str">
        <f t="shared" si="31"/>
        <v/>
      </c>
      <c r="H758" s="1748"/>
      <c r="I758" s="1748" t="s">
        <v>6506</v>
      </c>
      <c r="J758" s="1748" t="s">
        <v>6506</v>
      </c>
      <c r="K758" s="1748"/>
      <c r="L758" s="1748"/>
      <c r="M758" s="1862" t="str">
        <f t="shared" si="33"/>
        <v/>
      </c>
      <c r="N758" s="1846" t="s">
        <v>6506</v>
      </c>
      <c r="O758" s="1846" t="s">
        <v>6506</v>
      </c>
      <c r="P758" s="1846" t="s">
        <v>6506</v>
      </c>
      <c r="Q758" s="1846" t="s">
        <v>6506</v>
      </c>
      <c r="R758" s="1846" t="s">
        <v>6506</v>
      </c>
      <c r="S758" s="1855" t="s">
        <v>6506</v>
      </c>
    </row>
    <row r="759" spans="1:19" ht="12" customHeight="1">
      <c r="A759" s="7145"/>
      <c r="B759" s="7145"/>
      <c r="C759" s="1746" t="s">
        <v>2759</v>
      </c>
      <c r="D759" s="758" t="str">
        <f>PROPER(MID(C758,3,100))</f>
        <v>Arashido, El Camino De Las Tormentas</v>
      </c>
      <c r="E759" s="1749">
        <v>1</v>
      </c>
      <c r="F759" s="1749">
        <v>25</v>
      </c>
      <c r="G759" s="1749">
        <f t="shared" si="31"/>
        <v>25</v>
      </c>
      <c r="H759" s="1748" t="s">
        <v>2760</v>
      </c>
      <c r="I759" s="1748" t="s">
        <v>8937</v>
      </c>
      <c r="J759" s="1748" t="s">
        <v>6506</v>
      </c>
      <c r="K759" s="1748"/>
      <c r="L759" s="1748"/>
      <c r="M759" s="1862">
        <f t="shared" si="33"/>
        <v>0</v>
      </c>
      <c r="N759" s="1846" t="s">
        <v>7105</v>
      </c>
      <c r="O759" s="1846" t="s">
        <v>6506</v>
      </c>
      <c r="P759" s="1846" t="s">
        <v>6506</v>
      </c>
      <c r="Q759" s="1846" t="s">
        <v>6506</v>
      </c>
      <c r="R759" s="1846" t="s">
        <v>6506</v>
      </c>
      <c r="S759" s="1855" t="s">
        <v>6506</v>
      </c>
    </row>
    <row r="760" spans="1:19" ht="12" customHeight="1">
      <c r="A760" s="7145"/>
      <c r="B760" s="7145"/>
      <c r="C760" s="1746" t="s">
        <v>2762</v>
      </c>
      <c r="D760" s="758" t="str">
        <f>D759</f>
        <v>Arashido, El Camino De Las Tormentas</v>
      </c>
      <c r="E760" s="1749">
        <v>1</v>
      </c>
      <c r="F760" s="1749">
        <v>40</v>
      </c>
      <c r="G760" s="1749">
        <f t="shared" si="31"/>
        <v>40</v>
      </c>
      <c r="H760" s="1748" t="s">
        <v>2763</v>
      </c>
      <c r="I760" s="1748" t="s">
        <v>8938</v>
      </c>
      <c r="J760" s="1748" t="s">
        <v>6506</v>
      </c>
      <c r="K760" s="1748"/>
      <c r="L760" s="1748"/>
      <c r="M760" s="1862">
        <f t="shared" si="33"/>
        <v>0</v>
      </c>
      <c r="N760" s="1846" t="s">
        <v>9077</v>
      </c>
      <c r="O760" s="1846" t="s">
        <v>9092</v>
      </c>
      <c r="P760" s="1846" t="s">
        <v>6506</v>
      </c>
      <c r="Q760" s="1846" t="s">
        <v>6506</v>
      </c>
      <c r="R760" s="1846" t="s">
        <v>6506</v>
      </c>
      <c r="S760" s="1855" t="s">
        <v>6506</v>
      </c>
    </row>
    <row r="761" spans="1:19" ht="12" customHeight="1">
      <c r="A761" s="7145"/>
      <c r="B761" s="7145"/>
      <c r="C761" s="1746" t="s">
        <v>2764</v>
      </c>
      <c r="D761" s="758" t="str">
        <f>D760</f>
        <v>Arashido, El Camino De Las Tormentas</v>
      </c>
      <c r="E761" s="1749">
        <v>2</v>
      </c>
      <c r="F761" s="1749">
        <v>75</v>
      </c>
      <c r="G761" s="1749">
        <f t="shared" si="31"/>
        <v>75</v>
      </c>
      <c r="H761" s="1748" t="s">
        <v>2765</v>
      </c>
      <c r="I761" s="1748" t="s">
        <v>8939</v>
      </c>
      <c r="J761" s="1748" t="s">
        <v>8940</v>
      </c>
      <c r="K761" s="1748"/>
      <c r="L761" s="1748"/>
      <c r="M761" s="1862">
        <f t="shared" si="33"/>
        <v>0</v>
      </c>
      <c r="N761" s="1846" t="s">
        <v>9080</v>
      </c>
      <c r="O761" s="1846" t="s">
        <v>7105</v>
      </c>
      <c r="P761" s="1846" t="s">
        <v>9092</v>
      </c>
      <c r="Q761" s="1846" t="s">
        <v>6506</v>
      </c>
      <c r="R761" s="1846" t="s">
        <v>6506</v>
      </c>
      <c r="S761" s="1855" t="s">
        <v>6506</v>
      </c>
    </row>
    <row r="762" spans="1:19" ht="12" customHeight="1">
      <c r="A762" s="7145"/>
      <c r="B762" s="7145"/>
      <c r="C762" s="1746" t="s">
        <v>2766</v>
      </c>
      <c r="D762" s="758" t="str">
        <f>D761</f>
        <v>Arashido, El Camino De Las Tormentas</v>
      </c>
      <c r="E762" s="1749">
        <v>2</v>
      </c>
      <c r="F762" s="1749">
        <v>75</v>
      </c>
      <c r="G762" s="1749">
        <f t="shared" ref="G762:G825" si="34">IF(E762="","",MAX(IF(E762=3,60,IF(E762=2,40,20)),F762+M762))</f>
        <v>75</v>
      </c>
      <c r="H762" s="1748" t="s">
        <v>2767</v>
      </c>
      <c r="I762" s="1748" t="s">
        <v>8941</v>
      </c>
      <c r="J762" s="1748" t="s">
        <v>8933</v>
      </c>
      <c r="K762" s="1748"/>
      <c r="L762" s="1748"/>
      <c r="M762" s="1862">
        <f t="shared" ref="M762:M793" si="35">IF(D762="","",IF(IFERROR(INDEX($P$100:$P$105,MID(N762,1,1)),0)+IFERROR(INDEX($P$100:$P$105,MID(N762,2,1)),0)+IFERROR(INDEX($P$100:$P$105,MID(N762,3,1)),0)&gt;0,-5,0)+IF(IFERROR(INDEX($P$100:$P$105,MID(O762,1,1)),0)+IFERROR(INDEX($P$100:$P$105,MID(O762,2,1)),0)+IFERROR(INDEX($P$100:$P$105,MID(O762,3,1)),0)&gt;0,-5,0)+IF(IFERROR(INDEX($P$100:$P$105,MID(P762,1,1)),0)+IFERROR(INDEX($P$100:$P$105,MID(P762,2,1)),0)+IFERROR(INDEX($P$100:$P$105,MID(P762,3,1)),0)&gt;0,-5,0)+IF(IFERROR(INDEX($P$100:$P$105,MID(Q762,1,1)),0)+IFERROR(INDEX($P$100:$P$105,MID(Q762,2,1)),0)+IFERROR(INDEX($P$100:$P$105,MID(Q762,3,1)),0)&gt;0,-5,0)+IF(IFERROR(INDEX($P$100:$P$105,MID(R762,1,1)),0)+IFERROR(INDEX($P$100:$P$105,MID(R762,2,1)),0)+IFERROR(INDEX($P$100:$P$105,MID(R762,3,1)),0)&gt;0,-5,0)+IF(IFERROR(INDEX($P$100:$P$105,MID(S762,1,1)),0)+IFERROR(INDEX($P$100:$P$105,MID(S762,2,1)),0)+IFERROR(INDEX($P$100:$P$105,MID(S762,3,1)),0)&gt;0,-5,0))</f>
        <v>0</v>
      </c>
      <c r="N762" s="1846" t="s">
        <v>8621</v>
      </c>
      <c r="O762" s="1846" t="s">
        <v>9084</v>
      </c>
      <c r="P762" s="1846" t="s">
        <v>6506</v>
      </c>
      <c r="Q762" s="1846" t="s">
        <v>6506</v>
      </c>
      <c r="R762" s="1846" t="s">
        <v>6506</v>
      </c>
      <c r="S762" s="1855" t="s">
        <v>6506</v>
      </c>
    </row>
    <row r="763" spans="1:19" ht="12" customHeight="1">
      <c r="A763" s="7145"/>
      <c r="B763" s="7145"/>
      <c r="C763" s="1746" t="s">
        <v>2769</v>
      </c>
      <c r="D763" s="758" t="str">
        <f>D762</f>
        <v>Arashido, El Camino De Las Tormentas</v>
      </c>
      <c r="E763" s="1749">
        <v>3</v>
      </c>
      <c r="F763" s="1749">
        <v>95</v>
      </c>
      <c r="G763" s="1749">
        <f t="shared" si="34"/>
        <v>95</v>
      </c>
      <c r="H763" s="1748" t="s">
        <v>2770</v>
      </c>
      <c r="I763" s="1748" t="s">
        <v>8942</v>
      </c>
      <c r="J763" s="1748" t="s">
        <v>8943</v>
      </c>
      <c r="K763" s="1748"/>
      <c r="L763" s="1748"/>
      <c r="M763" s="1862">
        <f t="shared" si="35"/>
        <v>0</v>
      </c>
      <c r="N763" s="1846" t="s">
        <v>9079</v>
      </c>
      <c r="O763" s="1846" t="s">
        <v>9077</v>
      </c>
      <c r="P763" s="1846" t="s">
        <v>7105</v>
      </c>
      <c r="Q763" s="1846" t="s">
        <v>9084</v>
      </c>
      <c r="R763" s="1846" t="s">
        <v>6506</v>
      </c>
      <c r="S763" s="1855" t="s">
        <v>6506</v>
      </c>
    </row>
    <row r="764" spans="1:19" ht="12" customHeight="1">
      <c r="A764" s="7145"/>
      <c r="B764" s="7145"/>
      <c r="C764" s="1746" t="s">
        <v>2771</v>
      </c>
      <c r="D764" s="758"/>
      <c r="E764" s="1749"/>
      <c r="F764" s="1749"/>
      <c r="G764" s="1749" t="str">
        <f t="shared" si="34"/>
        <v/>
      </c>
      <c r="H764" s="1748"/>
      <c r="I764" s="1748" t="s">
        <v>6506</v>
      </c>
      <c r="J764" s="1748" t="s">
        <v>6506</v>
      </c>
      <c r="K764" s="1748"/>
      <c r="L764" s="1748"/>
      <c r="M764" s="1862" t="str">
        <f t="shared" si="35"/>
        <v/>
      </c>
      <c r="N764" s="1846" t="s">
        <v>6506</v>
      </c>
      <c r="O764" s="1846" t="s">
        <v>6506</v>
      </c>
      <c r="P764" s="1846" t="s">
        <v>6506</v>
      </c>
      <c r="Q764" s="1846" t="s">
        <v>6506</v>
      </c>
      <c r="R764" s="1846" t="s">
        <v>6506</v>
      </c>
      <c r="S764" s="1855" t="s">
        <v>6506</v>
      </c>
    </row>
    <row r="765" spans="1:19" ht="12" customHeight="1">
      <c r="A765" s="7145"/>
      <c r="B765" s="7145"/>
      <c r="C765" s="931" t="s">
        <v>2772</v>
      </c>
      <c r="D765" s="758" t="str">
        <f>PROPER(MID(C764,3,100))</f>
        <v>Di Quiu</v>
      </c>
      <c r="E765" s="433">
        <v>1</v>
      </c>
      <c r="F765" s="433">
        <v>35</v>
      </c>
      <c r="G765" s="1749">
        <f t="shared" si="34"/>
        <v>35</v>
      </c>
      <c r="H765" s="1748" t="s">
        <v>2773</v>
      </c>
      <c r="I765" s="1748" t="s">
        <v>8944</v>
      </c>
      <c r="J765" s="1748" t="s">
        <v>8945</v>
      </c>
      <c r="K765" s="1748"/>
      <c r="L765" s="1748"/>
      <c r="M765" s="1862">
        <f t="shared" si="35"/>
        <v>0</v>
      </c>
      <c r="N765" s="1846" t="s">
        <v>9086</v>
      </c>
      <c r="O765" s="1846" t="s">
        <v>6506</v>
      </c>
      <c r="P765" s="1846" t="s">
        <v>6506</v>
      </c>
      <c r="Q765" s="1846" t="s">
        <v>6506</v>
      </c>
      <c r="R765" s="1846" t="s">
        <v>6506</v>
      </c>
      <c r="S765" s="1855" t="s">
        <v>6506</v>
      </c>
    </row>
    <row r="766" spans="1:19" ht="12" customHeight="1">
      <c r="A766" s="7145"/>
      <c r="B766" s="7145"/>
      <c r="C766" s="931" t="s">
        <v>2775</v>
      </c>
      <c r="D766" s="758" t="str">
        <f>D765</f>
        <v>Di Quiu</v>
      </c>
      <c r="E766" s="433">
        <v>1</v>
      </c>
      <c r="F766" s="433">
        <v>50</v>
      </c>
      <c r="G766" s="1749">
        <f t="shared" si="34"/>
        <v>50</v>
      </c>
      <c r="H766" s="1748" t="s">
        <v>2776</v>
      </c>
      <c r="I766" s="1748" t="s">
        <v>8946</v>
      </c>
      <c r="J766" s="1748" t="s">
        <v>6506</v>
      </c>
      <c r="K766" s="1748"/>
      <c r="L766" s="1748"/>
      <c r="M766" s="1862">
        <f t="shared" si="35"/>
        <v>0</v>
      </c>
      <c r="N766" s="1846" t="s">
        <v>9081</v>
      </c>
      <c r="O766" s="1846" t="s">
        <v>6506</v>
      </c>
      <c r="P766" s="1846" t="s">
        <v>6506</v>
      </c>
      <c r="Q766" s="1846" t="s">
        <v>6506</v>
      </c>
      <c r="R766" s="1846" t="s">
        <v>6506</v>
      </c>
      <c r="S766" s="1855" t="s">
        <v>6506</v>
      </c>
    </row>
    <row r="767" spans="1:19" ht="12" customHeight="1">
      <c r="A767" s="7145"/>
      <c r="B767" s="7145"/>
      <c r="C767" s="931" t="s">
        <v>2779</v>
      </c>
      <c r="D767" s="758" t="str">
        <f>D766</f>
        <v>Di Quiu</v>
      </c>
      <c r="E767" s="433">
        <v>2</v>
      </c>
      <c r="F767" s="433">
        <v>40</v>
      </c>
      <c r="G767" s="1749">
        <f t="shared" si="34"/>
        <v>40</v>
      </c>
      <c r="H767" s="1748" t="s">
        <v>2780</v>
      </c>
      <c r="I767" s="1748" t="s">
        <v>8947</v>
      </c>
      <c r="J767" s="1748" t="s">
        <v>3017</v>
      </c>
      <c r="K767" s="1748"/>
      <c r="L767" s="1748"/>
      <c r="M767" s="1862">
        <f t="shared" si="35"/>
        <v>0</v>
      </c>
      <c r="N767" s="1846" t="s">
        <v>9095</v>
      </c>
      <c r="O767" s="1846" t="s">
        <v>6506</v>
      </c>
      <c r="P767" s="1846" t="s">
        <v>6506</v>
      </c>
      <c r="Q767" s="1846" t="s">
        <v>6506</v>
      </c>
      <c r="R767" s="1846" t="s">
        <v>6506</v>
      </c>
      <c r="S767" s="1855" t="s">
        <v>6506</v>
      </c>
    </row>
    <row r="768" spans="1:19" ht="12" customHeight="1">
      <c r="A768" s="7145"/>
      <c r="B768" s="7145"/>
      <c r="C768" s="931" t="s">
        <v>2782</v>
      </c>
      <c r="D768" s="758" t="str">
        <f>D767</f>
        <v>Di Quiu</v>
      </c>
      <c r="E768" s="433">
        <v>2</v>
      </c>
      <c r="F768" s="433">
        <v>65</v>
      </c>
      <c r="G768" s="1749">
        <f t="shared" si="34"/>
        <v>65</v>
      </c>
      <c r="H768" s="1748" t="s">
        <v>2783</v>
      </c>
      <c r="I768" s="1748" t="s">
        <v>8948</v>
      </c>
      <c r="J768" s="1748" t="s">
        <v>8949</v>
      </c>
      <c r="K768" s="1748"/>
      <c r="L768" s="1748"/>
      <c r="M768" s="1862">
        <f t="shared" si="35"/>
        <v>0</v>
      </c>
      <c r="N768" s="1846" t="s">
        <v>9080</v>
      </c>
      <c r="O768" s="1846" t="s">
        <v>9095</v>
      </c>
      <c r="P768" s="1846" t="s">
        <v>6506</v>
      </c>
      <c r="Q768" s="1846" t="s">
        <v>6506</v>
      </c>
      <c r="R768" s="1846" t="s">
        <v>6506</v>
      </c>
      <c r="S768" s="1855" t="s">
        <v>6506</v>
      </c>
    </row>
    <row r="769" spans="1:19" ht="12" customHeight="1">
      <c r="A769" s="7145"/>
      <c r="B769" s="7145"/>
      <c r="C769" s="931" t="s">
        <v>2785</v>
      </c>
      <c r="D769" s="758" t="str">
        <f>D768</f>
        <v>Di Quiu</v>
      </c>
      <c r="E769" s="433">
        <v>2</v>
      </c>
      <c r="F769" s="433">
        <v>60</v>
      </c>
      <c r="G769" s="1749">
        <f t="shared" si="34"/>
        <v>60</v>
      </c>
      <c r="H769" s="1748" t="s">
        <v>2786</v>
      </c>
      <c r="I769" s="1748" t="s">
        <v>8950</v>
      </c>
      <c r="J769" s="1748" t="s">
        <v>8951</v>
      </c>
      <c r="K769" s="1748"/>
      <c r="L769" s="1748"/>
      <c r="M769" s="1862">
        <f t="shared" si="35"/>
        <v>0</v>
      </c>
      <c r="N769" s="1846" t="s">
        <v>9080</v>
      </c>
      <c r="O769" s="1846" t="s">
        <v>9092</v>
      </c>
      <c r="P769" s="1846" t="s">
        <v>6506</v>
      </c>
      <c r="Q769" s="1846" t="s">
        <v>6506</v>
      </c>
      <c r="R769" s="1846" t="s">
        <v>6506</v>
      </c>
      <c r="S769" s="1855" t="s">
        <v>6506</v>
      </c>
    </row>
    <row r="770" spans="1:19" ht="12" customHeight="1">
      <c r="A770" s="7145"/>
      <c r="B770" s="7145"/>
      <c r="C770" s="931" t="s">
        <v>2787</v>
      </c>
      <c r="D770" s="758" t="str">
        <f>D769</f>
        <v>Di Quiu</v>
      </c>
      <c r="E770" s="433">
        <v>3</v>
      </c>
      <c r="F770" s="433">
        <v>90</v>
      </c>
      <c r="G770" s="1749">
        <f t="shared" si="34"/>
        <v>90</v>
      </c>
      <c r="H770" s="1748" t="s">
        <v>2788</v>
      </c>
      <c r="I770" s="1748" t="s">
        <v>9069</v>
      </c>
      <c r="J770" s="1748" t="s">
        <v>8952</v>
      </c>
      <c r="K770" s="1748"/>
      <c r="L770" s="1748"/>
      <c r="M770" s="1862">
        <f t="shared" si="35"/>
        <v>0</v>
      </c>
      <c r="N770" s="1846" t="s">
        <v>9080</v>
      </c>
      <c r="O770" s="1846" t="s">
        <v>9092</v>
      </c>
      <c r="P770" s="1846" t="s">
        <v>9078</v>
      </c>
      <c r="Q770" s="1846" t="s">
        <v>9094</v>
      </c>
      <c r="R770" s="1846" t="s">
        <v>6506</v>
      </c>
      <c r="S770" s="1855" t="s">
        <v>6506</v>
      </c>
    </row>
    <row r="771" spans="1:19" ht="12" customHeight="1">
      <c r="A771" s="7145"/>
      <c r="B771" s="7145"/>
      <c r="C771" s="931" t="s">
        <v>2789</v>
      </c>
      <c r="D771" s="758"/>
      <c r="E771" s="433"/>
      <c r="F771" s="433"/>
      <c r="G771" s="1749" t="str">
        <f t="shared" si="34"/>
        <v/>
      </c>
      <c r="H771" s="1748"/>
      <c r="I771" s="1748" t="s">
        <v>6506</v>
      </c>
      <c r="J771" s="1748" t="s">
        <v>6506</v>
      </c>
      <c r="K771" s="1748"/>
      <c r="L771" s="1748"/>
      <c r="M771" s="1862" t="str">
        <f t="shared" si="35"/>
        <v/>
      </c>
      <c r="N771" s="1846" t="s">
        <v>6506</v>
      </c>
      <c r="O771" s="1846" t="s">
        <v>6506</v>
      </c>
      <c r="P771" s="1846" t="s">
        <v>6506</v>
      </c>
      <c r="Q771" s="1846" t="s">
        <v>6506</v>
      </c>
      <c r="R771" s="1846" t="s">
        <v>6506</v>
      </c>
      <c r="S771" s="1855" t="s">
        <v>6506</v>
      </c>
    </row>
    <row r="772" spans="1:19" ht="12" customHeight="1">
      <c r="A772" s="7145"/>
      <c r="B772" s="7145"/>
      <c r="C772" s="931" t="s">
        <v>2790</v>
      </c>
      <c r="D772" s="758" t="str">
        <f>PROPER(MID(C771,3,100))</f>
        <v>Obscuritas</v>
      </c>
      <c r="E772" s="433">
        <v>1</v>
      </c>
      <c r="F772" s="433">
        <v>20</v>
      </c>
      <c r="G772" s="1749">
        <f t="shared" si="34"/>
        <v>20</v>
      </c>
      <c r="H772" s="1748" t="s">
        <v>2791</v>
      </c>
      <c r="I772" s="1748" t="s">
        <v>8953</v>
      </c>
      <c r="J772" s="1748" t="s">
        <v>8954</v>
      </c>
      <c r="K772" s="1748"/>
      <c r="L772" s="1748"/>
      <c r="M772" s="1862">
        <f t="shared" si="35"/>
        <v>0</v>
      </c>
      <c r="N772" s="1846" t="s">
        <v>7105</v>
      </c>
      <c r="O772" s="1846" t="s">
        <v>6506</v>
      </c>
      <c r="P772" s="1846" t="s">
        <v>6506</v>
      </c>
      <c r="Q772" s="1846" t="s">
        <v>6506</v>
      </c>
      <c r="R772" s="1846" t="s">
        <v>6506</v>
      </c>
      <c r="S772" s="1855" t="s">
        <v>6506</v>
      </c>
    </row>
    <row r="773" spans="1:19" ht="12" customHeight="1">
      <c r="A773" s="7145"/>
      <c r="B773" s="7145"/>
      <c r="C773" s="931" t="s">
        <v>2792</v>
      </c>
      <c r="D773" s="758" t="str">
        <f>D772</f>
        <v>Obscuritas</v>
      </c>
      <c r="E773" s="433">
        <v>1</v>
      </c>
      <c r="F773" s="433">
        <v>20</v>
      </c>
      <c r="G773" s="1749">
        <f t="shared" si="34"/>
        <v>20</v>
      </c>
      <c r="H773" s="1748" t="s">
        <v>2793</v>
      </c>
      <c r="I773" s="1748" t="s">
        <v>8955</v>
      </c>
      <c r="J773" s="1748" t="s">
        <v>6506</v>
      </c>
      <c r="K773" s="1748"/>
      <c r="L773" s="1748"/>
      <c r="M773" s="1862">
        <f t="shared" si="35"/>
        <v>0</v>
      </c>
      <c r="N773" s="1846" t="s">
        <v>7105</v>
      </c>
      <c r="O773" s="1846" t="s">
        <v>6506</v>
      </c>
      <c r="P773" s="1846" t="s">
        <v>6506</v>
      </c>
      <c r="Q773" s="1846" t="s">
        <v>6506</v>
      </c>
      <c r="R773" s="1846" t="s">
        <v>6506</v>
      </c>
      <c r="S773" s="1855" t="s">
        <v>6506</v>
      </c>
    </row>
    <row r="774" spans="1:19" ht="12" customHeight="1">
      <c r="A774" s="7145"/>
      <c r="B774" s="7145"/>
      <c r="C774" s="931" t="s">
        <v>2794</v>
      </c>
      <c r="D774" s="758" t="str">
        <f>D773</f>
        <v>Obscuritas</v>
      </c>
      <c r="E774" s="433">
        <v>1</v>
      </c>
      <c r="F774" s="433">
        <v>40</v>
      </c>
      <c r="G774" s="1749">
        <f t="shared" si="34"/>
        <v>40</v>
      </c>
      <c r="H774" s="1748" t="s">
        <v>2795</v>
      </c>
      <c r="I774" s="1748" t="s">
        <v>8956</v>
      </c>
      <c r="J774" s="1748" t="s">
        <v>8954</v>
      </c>
      <c r="K774" s="1748"/>
      <c r="L774" s="1748"/>
      <c r="M774" s="1862">
        <f t="shared" si="35"/>
        <v>0</v>
      </c>
      <c r="N774" s="1846" t="s">
        <v>9092</v>
      </c>
      <c r="O774" s="1846" t="s">
        <v>6506</v>
      </c>
      <c r="P774" s="1846" t="s">
        <v>6506</v>
      </c>
      <c r="Q774" s="1846" t="s">
        <v>6506</v>
      </c>
      <c r="R774" s="1846" t="s">
        <v>6506</v>
      </c>
      <c r="S774" s="1855" t="s">
        <v>6506</v>
      </c>
    </row>
    <row r="775" spans="1:19" ht="12" customHeight="1">
      <c r="A775" s="7145"/>
      <c r="B775" s="7145"/>
      <c r="C775" s="931" t="s">
        <v>2796</v>
      </c>
      <c r="D775" s="758" t="str">
        <f>D774</f>
        <v>Obscuritas</v>
      </c>
      <c r="E775" s="433">
        <v>2</v>
      </c>
      <c r="F775" s="433">
        <v>40</v>
      </c>
      <c r="G775" s="1749">
        <f t="shared" si="34"/>
        <v>40</v>
      </c>
      <c r="H775" s="1748" t="s">
        <v>2797</v>
      </c>
      <c r="I775" s="1748" t="s">
        <v>8957</v>
      </c>
      <c r="J775" s="1748" t="s">
        <v>6506</v>
      </c>
      <c r="K775" s="1748"/>
      <c r="L775" s="1748"/>
      <c r="M775" s="1862">
        <f t="shared" si="35"/>
        <v>0</v>
      </c>
      <c r="N775" s="1846" t="s">
        <v>9636</v>
      </c>
      <c r="O775" s="1846" t="s">
        <v>6506</v>
      </c>
      <c r="P775" s="1846" t="s">
        <v>6506</v>
      </c>
      <c r="Q775" s="1846" t="s">
        <v>6506</v>
      </c>
      <c r="R775" s="1846" t="s">
        <v>6506</v>
      </c>
      <c r="S775" s="1855" t="s">
        <v>6506</v>
      </c>
    </row>
    <row r="776" spans="1:19" ht="12" customHeight="1">
      <c r="A776" s="7145"/>
      <c r="B776" s="7145"/>
      <c r="C776" s="931" t="s">
        <v>2798</v>
      </c>
      <c r="D776" s="758" t="str">
        <f>D775</f>
        <v>Obscuritas</v>
      </c>
      <c r="E776" s="433">
        <v>2</v>
      </c>
      <c r="F776" s="433">
        <v>45</v>
      </c>
      <c r="G776" s="1749">
        <f t="shared" si="34"/>
        <v>45</v>
      </c>
      <c r="H776" s="1748" t="s">
        <v>2799</v>
      </c>
      <c r="I776" s="1748" t="s">
        <v>8958</v>
      </c>
      <c r="J776" s="1748" t="s">
        <v>8959</v>
      </c>
      <c r="K776" s="1748"/>
      <c r="L776" s="1748"/>
      <c r="M776" s="1862">
        <f t="shared" si="35"/>
        <v>0</v>
      </c>
      <c r="N776" s="1846" t="s">
        <v>9078</v>
      </c>
      <c r="O776" s="1846" t="s">
        <v>6506</v>
      </c>
      <c r="P776" s="1846" t="s">
        <v>6506</v>
      </c>
      <c r="Q776" s="1846" t="s">
        <v>6506</v>
      </c>
      <c r="R776" s="1846" t="s">
        <v>6506</v>
      </c>
      <c r="S776" s="1855" t="s">
        <v>6506</v>
      </c>
    </row>
    <row r="777" spans="1:19" ht="12" customHeight="1">
      <c r="A777" s="7145"/>
      <c r="B777" s="7145"/>
      <c r="C777" s="931" t="s">
        <v>2800</v>
      </c>
      <c r="D777" s="758"/>
      <c r="E777" s="1819"/>
      <c r="F777" s="1819"/>
      <c r="G777" s="1749" t="str">
        <f t="shared" si="34"/>
        <v/>
      </c>
      <c r="H777" s="1748"/>
      <c r="I777" s="1748" t="s">
        <v>6506</v>
      </c>
      <c r="J777" s="1748" t="s">
        <v>6506</v>
      </c>
      <c r="K777" s="1748"/>
      <c r="L777" s="1748"/>
      <c r="M777" s="1862" t="str">
        <f t="shared" si="35"/>
        <v/>
      </c>
      <c r="N777" s="1846" t="s">
        <v>6506</v>
      </c>
      <c r="O777" s="1846" t="s">
        <v>6506</v>
      </c>
      <c r="P777" s="1846" t="s">
        <v>6506</v>
      </c>
      <c r="Q777" s="1846" t="s">
        <v>6506</v>
      </c>
      <c r="R777" s="1846" t="s">
        <v>6506</v>
      </c>
      <c r="S777" s="1855" t="s">
        <v>6506</v>
      </c>
    </row>
    <row r="778" spans="1:19" ht="12" customHeight="1">
      <c r="A778" s="7145"/>
      <c r="B778" s="7145"/>
      <c r="C778" s="931" t="s">
        <v>2801</v>
      </c>
      <c r="D778" s="758" t="str">
        <f>PROPER(MID(C777,3,100))</f>
        <v>Cosmos</v>
      </c>
      <c r="E778" s="433">
        <v>1</v>
      </c>
      <c r="F778" s="433">
        <v>35</v>
      </c>
      <c r="G778" s="1749">
        <f t="shared" si="34"/>
        <v>35</v>
      </c>
      <c r="H778" s="1748" t="s">
        <v>2802</v>
      </c>
      <c r="I778" s="1748" t="s">
        <v>9068</v>
      </c>
      <c r="J778" s="1748" t="s">
        <v>8960</v>
      </c>
      <c r="K778" s="1748"/>
      <c r="L778" s="1748"/>
      <c r="M778" s="1862">
        <f t="shared" si="35"/>
        <v>0</v>
      </c>
      <c r="N778" s="1846" t="s">
        <v>9637</v>
      </c>
      <c r="O778" s="1846" t="s">
        <v>9077</v>
      </c>
      <c r="P778" s="1846" t="s">
        <v>9078</v>
      </c>
      <c r="Q778" s="1846" t="s">
        <v>6506</v>
      </c>
      <c r="R778" s="1846" t="s">
        <v>6506</v>
      </c>
      <c r="S778" s="1855" t="s">
        <v>6506</v>
      </c>
    </row>
    <row r="779" spans="1:19" ht="12" customHeight="1">
      <c r="A779" s="7145"/>
      <c r="B779" s="7145"/>
      <c r="C779" s="931" t="s">
        <v>2803</v>
      </c>
      <c r="D779" s="758" t="str">
        <f>D778</f>
        <v>Cosmos</v>
      </c>
      <c r="E779" s="433">
        <v>1</v>
      </c>
      <c r="F779" s="433">
        <v>45</v>
      </c>
      <c r="G779" s="1749">
        <f t="shared" si="34"/>
        <v>45</v>
      </c>
      <c r="H779" s="1748" t="s">
        <v>2804</v>
      </c>
      <c r="I779" s="1748" t="s">
        <v>8961</v>
      </c>
      <c r="J779" s="1748" t="s">
        <v>6506</v>
      </c>
      <c r="K779" s="1748"/>
      <c r="L779" s="1748"/>
      <c r="M779" s="1862">
        <f t="shared" si="35"/>
        <v>0</v>
      </c>
      <c r="N779" s="1846" t="s">
        <v>9085</v>
      </c>
      <c r="O779" s="1846" t="s">
        <v>9085</v>
      </c>
      <c r="P779" s="1846" t="s">
        <v>6506</v>
      </c>
      <c r="Q779" s="1846" t="s">
        <v>6506</v>
      </c>
      <c r="R779" s="1846" t="s">
        <v>6506</v>
      </c>
      <c r="S779" s="1855" t="s">
        <v>6506</v>
      </c>
    </row>
    <row r="780" spans="1:19" ht="12" customHeight="1">
      <c r="A780" s="7145"/>
      <c r="B780" s="7145"/>
      <c r="C780" s="931" t="s">
        <v>2805</v>
      </c>
      <c r="D780" s="758" t="str">
        <f>D779</f>
        <v>Cosmos</v>
      </c>
      <c r="E780" s="433">
        <v>2</v>
      </c>
      <c r="F780" s="433">
        <v>75</v>
      </c>
      <c r="G780" s="1749">
        <f t="shared" si="34"/>
        <v>75</v>
      </c>
      <c r="H780" s="1748" t="s">
        <v>2806</v>
      </c>
      <c r="I780" s="1748" t="s">
        <v>8962</v>
      </c>
      <c r="J780" s="1748" t="s">
        <v>6506</v>
      </c>
      <c r="K780" s="1748"/>
      <c r="L780" s="1748"/>
      <c r="M780" s="1862">
        <f t="shared" si="35"/>
        <v>0</v>
      </c>
      <c r="N780" s="1846" t="s">
        <v>9096</v>
      </c>
      <c r="O780" s="1846" t="s">
        <v>6506</v>
      </c>
      <c r="P780" s="1846" t="s">
        <v>6506</v>
      </c>
      <c r="Q780" s="1846" t="s">
        <v>6506</v>
      </c>
      <c r="R780" s="1846" t="s">
        <v>6506</v>
      </c>
      <c r="S780" s="1855" t="s">
        <v>6506</v>
      </c>
    </row>
    <row r="781" spans="1:19" ht="12" customHeight="1">
      <c r="A781" s="7145"/>
      <c r="B781" s="7145"/>
      <c r="C781" s="931" t="s">
        <v>2807</v>
      </c>
      <c r="D781" s="758" t="str">
        <f>D780</f>
        <v>Cosmos</v>
      </c>
      <c r="E781" s="433">
        <v>2</v>
      </c>
      <c r="F781" s="433">
        <v>70</v>
      </c>
      <c r="G781" s="1749">
        <f t="shared" si="34"/>
        <v>70</v>
      </c>
      <c r="H781" s="1748" t="s">
        <v>2808</v>
      </c>
      <c r="I781" s="1748" t="s">
        <v>8963</v>
      </c>
      <c r="J781" s="1748" t="s">
        <v>8964</v>
      </c>
      <c r="K781" s="1748"/>
      <c r="L781" s="1748"/>
      <c r="M781" s="1862">
        <f t="shared" si="35"/>
        <v>0</v>
      </c>
      <c r="N781" s="1846" t="s">
        <v>9080</v>
      </c>
      <c r="O781" s="1846" t="s">
        <v>9092</v>
      </c>
      <c r="P781" s="1846" t="s">
        <v>9079</v>
      </c>
      <c r="Q781" s="1846" t="s">
        <v>6506</v>
      </c>
      <c r="R781" s="1846" t="s">
        <v>6506</v>
      </c>
      <c r="S781" s="1855" t="s">
        <v>6506</v>
      </c>
    </row>
    <row r="782" spans="1:19" ht="12" customHeight="1">
      <c r="A782" s="7145"/>
      <c r="B782" s="7145"/>
      <c r="C782" s="931" t="s">
        <v>2809</v>
      </c>
      <c r="D782" s="758" t="str">
        <f>D781</f>
        <v>Cosmos</v>
      </c>
      <c r="E782" s="433">
        <v>3</v>
      </c>
      <c r="F782" s="433">
        <v>105</v>
      </c>
      <c r="G782" s="1749">
        <f t="shared" si="34"/>
        <v>105</v>
      </c>
      <c r="H782" s="1748" t="s">
        <v>2810</v>
      </c>
      <c r="I782" s="1748" t="s">
        <v>8965</v>
      </c>
      <c r="J782" s="1748" t="s">
        <v>8966</v>
      </c>
      <c r="K782" s="1748"/>
      <c r="L782" s="1748"/>
      <c r="M782" s="1862">
        <f t="shared" si="35"/>
        <v>0</v>
      </c>
      <c r="N782" s="1846" t="s">
        <v>9079</v>
      </c>
      <c r="O782" s="1846" t="s">
        <v>9096</v>
      </c>
      <c r="P782" s="1846" t="s">
        <v>6506</v>
      </c>
      <c r="Q782" s="1846" t="s">
        <v>6506</v>
      </c>
      <c r="R782" s="1846" t="s">
        <v>6506</v>
      </c>
      <c r="S782" s="1855" t="s">
        <v>6506</v>
      </c>
    </row>
    <row r="783" spans="1:19" ht="12" customHeight="1">
      <c r="A783" s="7145"/>
      <c r="B783" s="7145"/>
      <c r="C783" s="931" t="s">
        <v>2811</v>
      </c>
      <c r="D783" s="758"/>
      <c r="E783" s="1819"/>
      <c r="F783" s="433"/>
      <c r="G783" s="1749" t="str">
        <f t="shared" si="34"/>
        <v/>
      </c>
      <c r="H783" s="1748"/>
      <c r="I783" s="1748" t="s">
        <v>6506</v>
      </c>
      <c r="J783" s="1748" t="s">
        <v>6506</v>
      </c>
      <c r="K783" s="1748"/>
      <c r="L783" s="1748"/>
      <c r="M783" s="1862" t="str">
        <f t="shared" si="35"/>
        <v/>
      </c>
      <c r="N783" s="1846" t="s">
        <v>6506</v>
      </c>
      <c r="O783" s="1846" t="s">
        <v>6506</v>
      </c>
      <c r="P783" s="1846" t="s">
        <v>6506</v>
      </c>
      <c r="Q783" s="1846" t="s">
        <v>6506</v>
      </c>
      <c r="R783" s="1846" t="s">
        <v>6506</v>
      </c>
      <c r="S783" s="1855" t="s">
        <v>6506</v>
      </c>
    </row>
    <row r="784" spans="1:19" ht="12" customHeight="1">
      <c r="A784" s="7145"/>
      <c r="B784" s="7145"/>
      <c r="C784" s="931" t="s">
        <v>2812</v>
      </c>
      <c r="D784" s="758" t="str">
        <f>PROPER(MID(C783,3,100))</f>
        <v>Kagami</v>
      </c>
      <c r="E784" s="433">
        <v>1</v>
      </c>
      <c r="F784" s="433">
        <v>30</v>
      </c>
      <c r="G784" s="1749">
        <f t="shared" si="34"/>
        <v>30</v>
      </c>
      <c r="H784" s="1748" t="s">
        <v>2813</v>
      </c>
      <c r="I784" s="1748" t="s">
        <v>8967</v>
      </c>
      <c r="J784" s="1748" t="s">
        <v>6506</v>
      </c>
      <c r="K784" s="1748"/>
      <c r="L784" s="1748"/>
      <c r="M784" s="1862">
        <f t="shared" si="35"/>
        <v>0</v>
      </c>
      <c r="N784" s="1846" t="s">
        <v>9079</v>
      </c>
      <c r="O784" s="1846" t="s">
        <v>9077</v>
      </c>
      <c r="P784" s="1846" t="s">
        <v>9091</v>
      </c>
      <c r="Q784" s="1846" t="s">
        <v>6506</v>
      </c>
      <c r="R784" s="1846" t="s">
        <v>6506</v>
      </c>
      <c r="S784" s="1855" t="s">
        <v>6506</v>
      </c>
    </row>
    <row r="785" spans="1:19" ht="12" customHeight="1">
      <c r="A785" s="7145"/>
      <c r="B785" s="7145"/>
      <c r="C785" s="931" t="s">
        <v>2814</v>
      </c>
      <c r="D785" s="758" t="str">
        <f>D784</f>
        <v>Kagami</v>
      </c>
      <c r="E785" s="433">
        <v>1</v>
      </c>
      <c r="F785" s="433">
        <v>30</v>
      </c>
      <c r="G785" s="1749">
        <f t="shared" si="34"/>
        <v>30</v>
      </c>
      <c r="H785" s="1748" t="s">
        <v>2815</v>
      </c>
      <c r="I785" s="1748" t="s">
        <v>8968</v>
      </c>
      <c r="J785" s="1748" t="s">
        <v>6506</v>
      </c>
      <c r="K785" s="1748"/>
      <c r="L785" s="1748"/>
      <c r="M785" s="1862">
        <f t="shared" si="35"/>
        <v>0</v>
      </c>
      <c r="N785" s="1846" t="s">
        <v>9084</v>
      </c>
      <c r="O785" s="1846" t="s">
        <v>9085</v>
      </c>
      <c r="P785" s="1846" t="s">
        <v>6506</v>
      </c>
      <c r="Q785" s="1846" t="s">
        <v>6506</v>
      </c>
      <c r="R785" s="1846" t="s">
        <v>6506</v>
      </c>
      <c r="S785" s="1855" t="s">
        <v>6506</v>
      </c>
    </row>
    <row r="786" spans="1:19" ht="12" customHeight="1">
      <c r="A786" s="7145"/>
      <c r="B786" s="7145"/>
      <c r="C786" s="931" t="s">
        <v>2816</v>
      </c>
      <c r="D786" s="758" t="str">
        <f>D785</f>
        <v>Kagami</v>
      </c>
      <c r="E786" s="433">
        <v>2</v>
      </c>
      <c r="F786" s="433">
        <v>70</v>
      </c>
      <c r="G786" s="1749">
        <f t="shared" si="34"/>
        <v>70</v>
      </c>
      <c r="H786" s="1748" t="s">
        <v>2817</v>
      </c>
      <c r="I786" s="1748" t="s">
        <v>8969</v>
      </c>
      <c r="J786" s="1748" t="s">
        <v>6506</v>
      </c>
      <c r="K786" s="1748"/>
      <c r="L786" s="1748"/>
      <c r="M786" s="1862">
        <f t="shared" si="35"/>
        <v>0</v>
      </c>
      <c r="N786" s="1846" t="s">
        <v>9636</v>
      </c>
      <c r="O786" s="1846" t="s">
        <v>9078</v>
      </c>
      <c r="P786" s="1846"/>
      <c r="Q786" s="1846" t="s">
        <v>6506</v>
      </c>
      <c r="R786" s="1846" t="s">
        <v>6506</v>
      </c>
      <c r="S786" s="1855" t="s">
        <v>6506</v>
      </c>
    </row>
    <row r="787" spans="1:19" ht="12" customHeight="1">
      <c r="A787" s="7145"/>
      <c r="B787" s="7145"/>
      <c r="C787" s="931" t="s">
        <v>2818</v>
      </c>
      <c r="D787" s="758" t="str">
        <f>D786</f>
        <v>Kagami</v>
      </c>
      <c r="E787" s="433">
        <v>2</v>
      </c>
      <c r="F787" s="433">
        <v>60</v>
      </c>
      <c r="G787" s="1749">
        <f t="shared" si="34"/>
        <v>60</v>
      </c>
      <c r="H787" s="1748" t="s">
        <v>2819</v>
      </c>
      <c r="I787" s="1748" t="s">
        <v>8970</v>
      </c>
      <c r="J787" s="1748" t="s">
        <v>8971</v>
      </c>
      <c r="K787" s="1748"/>
      <c r="L787" s="1748"/>
      <c r="M787" s="1862">
        <f t="shared" si="35"/>
        <v>0</v>
      </c>
      <c r="N787" s="1846" t="s">
        <v>9079</v>
      </c>
      <c r="O787" s="1846" t="s">
        <v>9096</v>
      </c>
      <c r="P787" s="1846" t="s">
        <v>6506</v>
      </c>
      <c r="Q787" s="1846" t="s">
        <v>6506</v>
      </c>
      <c r="R787" s="1846" t="s">
        <v>6506</v>
      </c>
      <c r="S787" s="1855" t="s">
        <v>6506</v>
      </c>
    </row>
    <row r="788" spans="1:19" ht="12" customHeight="1">
      <c r="A788" s="7145"/>
      <c r="B788" s="7145"/>
      <c r="C788" s="931" t="s">
        <v>2820</v>
      </c>
      <c r="D788" s="758" t="str">
        <f>D787</f>
        <v>Kagami</v>
      </c>
      <c r="E788" s="433">
        <v>3</v>
      </c>
      <c r="F788" s="433">
        <v>115</v>
      </c>
      <c r="G788" s="1749">
        <f t="shared" si="34"/>
        <v>115</v>
      </c>
      <c r="H788" s="1748" t="s">
        <v>2821</v>
      </c>
      <c r="I788" s="1748" t="s">
        <v>8972</v>
      </c>
      <c r="J788" s="1748" t="s">
        <v>6506</v>
      </c>
      <c r="K788" s="1748"/>
      <c r="L788" s="1748"/>
      <c r="M788" s="1862">
        <f t="shared" si="35"/>
        <v>0</v>
      </c>
      <c r="N788" s="1846" t="s">
        <v>9096</v>
      </c>
      <c r="O788" s="1846" t="s">
        <v>6506</v>
      </c>
      <c r="P788" s="1846" t="s">
        <v>6506</v>
      </c>
      <c r="Q788" s="1846" t="s">
        <v>6506</v>
      </c>
      <c r="R788" s="1846" t="s">
        <v>6506</v>
      </c>
      <c r="S788" s="1855" t="s">
        <v>6506</v>
      </c>
    </row>
    <row r="789" spans="1:19" ht="12" customHeight="1">
      <c r="A789" s="7145"/>
      <c r="B789" s="7145"/>
      <c r="C789" s="931" t="s">
        <v>2822</v>
      </c>
      <c r="D789" s="758"/>
      <c r="E789" s="1819"/>
      <c r="F789" s="433"/>
      <c r="G789" s="1749" t="str">
        <f t="shared" si="34"/>
        <v/>
      </c>
      <c r="H789" s="1748"/>
      <c r="I789" s="1748" t="s">
        <v>6506</v>
      </c>
      <c r="J789" s="1748" t="s">
        <v>6506</v>
      </c>
      <c r="K789" s="1748"/>
      <c r="L789" s="1748"/>
      <c r="M789" s="1862" t="str">
        <f t="shared" si="35"/>
        <v/>
      </c>
      <c r="N789" s="1846" t="s">
        <v>6506</v>
      </c>
      <c r="O789" s="1846" t="s">
        <v>6506</v>
      </c>
      <c r="P789" s="1846" t="s">
        <v>6506</v>
      </c>
      <c r="Q789" s="1846" t="s">
        <v>6506</v>
      </c>
      <c r="R789" s="1846" t="s">
        <v>6506</v>
      </c>
      <c r="S789" s="1855" t="s">
        <v>6506</v>
      </c>
    </row>
    <row r="790" spans="1:19" ht="12" customHeight="1">
      <c r="A790" s="7145"/>
      <c r="B790" s="7145"/>
      <c r="C790" s="931" t="s">
        <v>2823</v>
      </c>
      <c r="D790" s="758" t="str">
        <f>PROPER(MID(C789,3,100))</f>
        <v>Magus Abstergo</v>
      </c>
      <c r="E790" s="433">
        <v>1</v>
      </c>
      <c r="F790" s="433">
        <v>30</v>
      </c>
      <c r="G790" s="1749">
        <f t="shared" si="34"/>
        <v>30</v>
      </c>
      <c r="H790" s="1748" t="s">
        <v>2824</v>
      </c>
      <c r="I790" s="1748" t="s">
        <v>8973</v>
      </c>
      <c r="J790" s="1748" t="s">
        <v>6506</v>
      </c>
      <c r="K790" s="1748"/>
      <c r="L790" s="1748"/>
      <c r="M790" s="1862">
        <f t="shared" si="35"/>
        <v>0</v>
      </c>
      <c r="N790" s="1846" t="s">
        <v>9086</v>
      </c>
      <c r="O790" s="1846" t="s">
        <v>6506</v>
      </c>
      <c r="P790" s="1846" t="s">
        <v>6506</v>
      </c>
      <c r="Q790" s="1846" t="s">
        <v>6506</v>
      </c>
      <c r="R790" s="1846" t="s">
        <v>6506</v>
      </c>
      <c r="S790" s="1855" t="s">
        <v>6506</v>
      </c>
    </row>
    <row r="791" spans="1:19" ht="12" customHeight="1">
      <c r="A791" s="7145"/>
      <c r="B791" s="7145"/>
      <c r="C791" s="931" t="s">
        <v>2825</v>
      </c>
      <c r="D791" s="758" t="str">
        <f>D790</f>
        <v>Magus Abstergo</v>
      </c>
      <c r="E791" s="433">
        <v>1</v>
      </c>
      <c r="F791" s="433">
        <v>25</v>
      </c>
      <c r="G791" s="1749">
        <f t="shared" si="34"/>
        <v>25</v>
      </c>
      <c r="H791" s="1748" t="s">
        <v>2826</v>
      </c>
      <c r="I791" s="1748" t="s">
        <v>8974</v>
      </c>
      <c r="J791" s="1748" t="s">
        <v>8975</v>
      </c>
      <c r="K791" s="1748"/>
      <c r="L791" s="1748"/>
      <c r="M791" s="1862">
        <f t="shared" si="35"/>
        <v>0</v>
      </c>
      <c r="N791" s="1846" t="s">
        <v>9079</v>
      </c>
      <c r="O791" s="1846" t="s">
        <v>9092</v>
      </c>
      <c r="P791" s="1846" t="s">
        <v>6506</v>
      </c>
      <c r="Q791" s="1846" t="s">
        <v>6506</v>
      </c>
      <c r="R791" s="1846" t="s">
        <v>6506</v>
      </c>
      <c r="S791" s="1855" t="s">
        <v>6506</v>
      </c>
    </row>
    <row r="792" spans="1:19" ht="12" customHeight="1">
      <c r="A792" s="7145"/>
      <c r="B792" s="7145"/>
      <c r="C792" s="931" t="s">
        <v>2827</v>
      </c>
      <c r="D792" s="758" t="str">
        <f>D791</f>
        <v>Magus Abstergo</v>
      </c>
      <c r="E792" s="433">
        <v>2</v>
      </c>
      <c r="F792" s="433">
        <v>70</v>
      </c>
      <c r="G792" s="1749">
        <f t="shared" si="34"/>
        <v>70</v>
      </c>
      <c r="H792" s="1748" t="s">
        <v>2828</v>
      </c>
      <c r="I792" s="1748" t="s">
        <v>8976</v>
      </c>
      <c r="J792" s="1748" t="s">
        <v>8977</v>
      </c>
      <c r="K792" s="1748"/>
      <c r="L792" s="1748"/>
      <c r="M792" s="1862">
        <f t="shared" si="35"/>
        <v>0</v>
      </c>
      <c r="N792" s="1846" t="s">
        <v>9081</v>
      </c>
      <c r="O792" s="1846" t="s">
        <v>6506</v>
      </c>
      <c r="P792" s="1846" t="s">
        <v>6506</v>
      </c>
      <c r="Q792" s="1846" t="s">
        <v>6506</v>
      </c>
      <c r="R792" s="1846" t="s">
        <v>6506</v>
      </c>
      <c r="S792" s="1855" t="s">
        <v>6506</v>
      </c>
    </row>
    <row r="793" spans="1:19" ht="12" customHeight="1">
      <c r="A793" s="7145"/>
      <c r="B793" s="7145"/>
      <c r="C793" s="931" t="s">
        <v>2829</v>
      </c>
      <c r="D793" s="758" t="str">
        <f>D792</f>
        <v>Magus Abstergo</v>
      </c>
      <c r="E793" s="433">
        <v>2</v>
      </c>
      <c r="F793" s="433">
        <v>65</v>
      </c>
      <c r="G793" s="1749">
        <f t="shared" si="34"/>
        <v>65</v>
      </c>
      <c r="H793" s="1748" t="s">
        <v>2830</v>
      </c>
      <c r="I793" s="1748" t="s">
        <v>8978</v>
      </c>
      <c r="J793" s="1748" t="s">
        <v>8977</v>
      </c>
      <c r="K793" s="1748"/>
      <c r="L793" s="1748"/>
      <c r="M793" s="1862">
        <f t="shared" si="35"/>
        <v>0</v>
      </c>
      <c r="N793" s="1846" t="s">
        <v>9081</v>
      </c>
      <c r="O793" s="1846" t="s">
        <v>9093</v>
      </c>
      <c r="P793" s="1846" t="s">
        <v>6506</v>
      </c>
      <c r="Q793" s="1846" t="s">
        <v>6506</v>
      </c>
      <c r="R793" s="1846" t="s">
        <v>6506</v>
      </c>
      <c r="S793" s="1855" t="s">
        <v>6506</v>
      </c>
    </row>
    <row r="794" spans="1:19" ht="12" customHeight="1">
      <c r="A794" s="7145"/>
      <c r="B794" s="7145"/>
      <c r="C794" s="931" t="s">
        <v>2831</v>
      </c>
      <c r="D794" s="758" t="str">
        <f>D793</f>
        <v>Magus Abstergo</v>
      </c>
      <c r="E794" s="433">
        <v>2</v>
      </c>
      <c r="F794" s="433">
        <v>100</v>
      </c>
      <c r="G794" s="1749">
        <f t="shared" si="34"/>
        <v>100</v>
      </c>
      <c r="H794" s="1748" t="s">
        <v>2832</v>
      </c>
      <c r="I794" s="1748" t="s">
        <v>8979</v>
      </c>
      <c r="J794" s="1748" t="s">
        <v>6506</v>
      </c>
      <c r="K794" s="1748"/>
      <c r="L794" s="1748"/>
      <c r="M794" s="1862">
        <f t="shared" ref="M794:M825" si="36">IF(D794="","",IF(IFERROR(INDEX($P$100:$P$105,MID(N794,1,1)),0)+IFERROR(INDEX($P$100:$P$105,MID(N794,2,1)),0)+IFERROR(INDEX($P$100:$P$105,MID(N794,3,1)),0)&gt;0,-5,0)+IF(IFERROR(INDEX($P$100:$P$105,MID(O794,1,1)),0)+IFERROR(INDEX($P$100:$P$105,MID(O794,2,1)),0)+IFERROR(INDEX($P$100:$P$105,MID(O794,3,1)),0)&gt;0,-5,0)+IF(IFERROR(INDEX($P$100:$P$105,MID(P794,1,1)),0)+IFERROR(INDEX($P$100:$P$105,MID(P794,2,1)),0)+IFERROR(INDEX($P$100:$P$105,MID(P794,3,1)),0)&gt;0,-5,0)+IF(IFERROR(INDEX($P$100:$P$105,MID(Q794,1,1)),0)+IFERROR(INDEX($P$100:$P$105,MID(Q794,2,1)),0)+IFERROR(INDEX($P$100:$P$105,MID(Q794,3,1)),0)&gt;0,-5,0)+IF(IFERROR(INDEX($P$100:$P$105,MID(R794,1,1)),0)+IFERROR(INDEX($P$100:$P$105,MID(R794,2,1)),0)+IFERROR(INDEX($P$100:$P$105,MID(R794,3,1)),0)&gt;0,-5,0)+IF(IFERROR(INDEX($P$100:$P$105,MID(S794,1,1)),0)+IFERROR(INDEX($P$100:$P$105,MID(S794,2,1)),0)+IFERROR(INDEX($P$100:$P$105,MID(S794,3,1)),0)&gt;0,-5,0))</f>
        <v>0</v>
      </c>
      <c r="N794" s="1846" t="s">
        <v>9079</v>
      </c>
      <c r="O794" s="1846" t="s">
        <v>9084</v>
      </c>
      <c r="P794" s="1846" t="s">
        <v>9092</v>
      </c>
      <c r="Q794" s="1846"/>
      <c r="R794" s="1846" t="s">
        <v>6506</v>
      </c>
      <c r="S794" s="1855" t="s">
        <v>6506</v>
      </c>
    </row>
    <row r="795" spans="1:19" ht="12" customHeight="1">
      <c r="A795" s="7145"/>
      <c r="B795" s="7145"/>
      <c r="C795" s="931" t="s">
        <v>2833</v>
      </c>
      <c r="D795" s="758"/>
      <c r="E795" s="1819"/>
      <c r="F795" s="433"/>
      <c r="G795" s="1749" t="str">
        <f t="shared" si="34"/>
        <v/>
      </c>
      <c r="H795" s="1748"/>
      <c r="I795" s="1748" t="s">
        <v>6506</v>
      </c>
      <c r="J795" s="1748" t="s">
        <v>6506</v>
      </c>
      <c r="K795" s="1748"/>
      <c r="L795" s="1748"/>
      <c r="M795" s="1862" t="str">
        <f t="shared" si="36"/>
        <v/>
      </c>
      <c r="N795" s="1846" t="s">
        <v>6506</v>
      </c>
      <c r="O795" s="1846" t="s">
        <v>6506</v>
      </c>
      <c r="P795" s="1846" t="s">
        <v>6506</v>
      </c>
      <c r="Q795" s="1846" t="s">
        <v>6506</v>
      </c>
      <c r="R795" s="1846" t="s">
        <v>6506</v>
      </c>
      <c r="S795" s="1855" t="s">
        <v>6506</v>
      </c>
    </row>
    <row r="796" spans="1:19" ht="12" customHeight="1">
      <c r="A796" s="7145"/>
      <c r="B796" s="7145"/>
      <c r="C796" s="931" t="s">
        <v>2834</v>
      </c>
      <c r="D796" s="758" t="str">
        <f>PROPER(MID(C795,3,100))</f>
        <v>Gunhell</v>
      </c>
      <c r="E796" s="433">
        <v>1</v>
      </c>
      <c r="F796" s="433">
        <v>35</v>
      </c>
      <c r="G796" s="1749">
        <f t="shared" si="34"/>
        <v>35</v>
      </c>
      <c r="H796" s="1748" t="s">
        <v>2835</v>
      </c>
      <c r="I796" s="1748" t="s">
        <v>8980</v>
      </c>
      <c r="J796" s="1748" t="s">
        <v>6506</v>
      </c>
      <c r="K796" s="1748"/>
      <c r="L796" s="1748"/>
      <c r="M796" s="1862">
        <f t="shared" si="36"/>
        <v>0</v>
      </c>
      <c r="N796" s="1846" t="s">
        <v>9087</v>
      </c>
      <c r="O796" s="1846" t="s">
        <v>6506</v>
      </c>
      <c r="P796" s="1846" t="s">
        <v>6506</v>
      </c>
      <c r="Q796" s="1846" t="s">
        <v>6506</v>
      </c>
      <c r="R796" s="1846" t="s">
        <v>6506</v>
      </c>
      <c r="S796" s="1855" t="s">
        <v>6506</v>
      </c>
    </row>
    <row r="797" spans="1:19" ht="12" customHeight="1">
      <c r="A797" s="7145"/>
      <c r="B797" s="7145"/>
      <c r="C797" s="931" t="s">
        <v>2836</v>
      </c>
      <c r="D797" s="758" t="str">
        <f t="shared" ref="D797:D802" si="37">D796</f>
        <v>Gunhell</v>
      </c>
      <c r="E797" s="433">
        <v>1</v>
      </c>
      <c r="F797" s="433">
        <v>45</v>
      </c>
      <c r="G797" s="1749">
        <f t="shared" si="34"/>
        <v>45</v>
      </c>
      <c r="H797" s="1748" t="s">
        <v>2837</v>
      </c>
      <c r="I797" s="1748" t="s">
        <v>8981</v>
      </c>
      <c r="J797" s="1748" t="s">
        <v>8982</v>
      </c>
      <c r="K797" s="1748"/>
      <c r="L797" s="1748"/>
      <c r="M797" s="1862">
        <f t="shared" si="36"/>
        <v>0</v>
      </c>
      <c r="N797" s="1846" t="s">
        <v>9078</v>
      </c>
      <c r="O797" s="1846" t="s">
        <v>6506</v>
      </c>
      <c r="P797" s="1846" t="s">
        <v>6506</v>
      </c>
      <c r="Q797" s="1846" t="s">
        <v>6506</v>
      </c>
      <c r="R797" s="1846" t="s">
        <v>6506</v>
      </c>
      <c r="S797" s="1855" t="s">
        <v>6506</v>
      </c>
    </row>
    <row r="798" spans="1:19" ht="12" customHeight="1">
      <c r="A798" s="7145"/>
      <c r="B798" s="7145"/>
      <c r="C798" s="931" t="s">
        <v>2838</v>
      </c>
      <c r="D798" s="758" t="str">
        <f t="shared" si="37"/>
        <v>Gunhell</v>
      </c>
      <c r="E798" s="433">
        <v>1</v>
      </c>
      <c r="F798" s="433">
        <v>25</v>
      </c>
      <c r="G798" s="1749">
        <f t="shared" si="34"/>
        <v>25</v>
      </c>
      <c r="H798" s="1748" t="s">
        <v>2839</v>
      </c>
      <c r="I798" s="1748" t="s">
        <v>9070</v>
      </c>
      <c r="J798" s="1748" t="s">
        <v>8982</v>
      </c>
      <c r="K798" s="1748"/>
      <c r="L798" s="1748"/>
      <c r="M798" s="1862">
        <f t="shared" si="36"/>
        <v>0</v>
      </c>
      <c r="N798" s="1846" t="s">
        <v>9078</v>
      </c>
      <c r="O798" s="1846" t="s">
        <v>9078</v>
      </c>
      <c r="P798" s="1846" t="s">
        <v>6506</v>
      </c>
      <c r="Q798" s="1846" t="s">
        <v>6506</v>
      </c>
      <c r="R798" s="1846" t="s">
        <v>6506</v>
      </c>
      <c r="S798" s="1855" t="s">
        <v>6506</v>
      </c>
    </row>
    <row r="799" spans="1:19" ht="12" customHeight="1">
      <c r="A799" s="7145"/>
      <c r="B799" s="7145"/>
      <c r="C799" s="931" t="s">
        <v>2840</v>
      </c>
      <c r="D799" s="758" t="str">
        <f t="shared" si="37"/>
        <v>Gunhell</v>
      </c>
      <c r="E799" s="433">
        <v>1</v>
      </c>
      <c r="F799" s="433">
        <v>30</v>
      </c>
      <c r="G799" s="1749">
        <f t="shared" si="34"/>
        <v>30</v>
      </c>
      <c r="H799" s="1748" t="s">
        <v>2839</v>
      </c>
      <c r="I799" s="1748" t="s">
        <v>8983</v>
      </c>
      <c r="J799" s="1748" t="s">
        <v>8984</v>
      </c>
      <c r="K799" s="1748"/>
      <c r="L799" s="1748"/>
      <c r="M799" s="1862">
        <f t="shared" si="36"/>
        <v>0</v>
      </c>
      <c r="N799" s="1846" t="s">
        <v>9084</v>
      </c>
      <c r="O799" s="1846" t="s">
        <v>6506</v>
      </c>
      <c r="P799" s="1846" t="s">
        <v>6506</v>
      </c>
      <c r="Q799" s="1846" t="s">
        <v>6506</v>
      </c>
      <c r="R799" s="1846" t="s">
        <v>6506</v>
      </c>
      <c r="S799" s="1855" t="s">
        <v>6506</v>
      </c>
    </row>
    <row r="800" spans="1:19" ht="12" customHeight="1">
      <c r="A800" s="7145"/>
      <c r="B800" s="7145"/>
      <c r="C800" s="931" t="s">
        <v>2841</v>
      </c>
      <c r="D800" s="758" t="str">
        <f t="shared" si="37"/>
        <v>Gunhell</v>
      </c>
      <c r="E800" s="433">
        <v>2</v>
      </c>
      <c r="F800" s="433">
        <v>85</v>
      </c>
      <c r="G800" s="1749">
        <f t="shared" si="34"/>
        <v>85</v>
      </c>
      <c r="H800" s="1748" t="s">
        <v>2842</v>
      </c>
      <c r="I800" s="1748" t="s">
        <v>8985</v>
      </c>
      <c r="J800" s="1748" t="s">
        <v>8982</v>
      </c>
      <c r="K800" s="1748"/>
      <c r="L800" s="1748"/>
      <c r="M800" s="1862">
        <f t="shared" si="36"/>
        <v>0</v>
      </c>
      <c r="N800" s="1846" t="s">
        <v>9079</v>
      </c>
      <c r="O800" s="1846" t="s">
        <v>9085</v>
      </c>
      <c r="P800" s="1846" t="s">
        <v>6506</v>
      </c>
      <c r="Q800" s="1846" t="s">
        <v>6506</v>
      </c>
      <c r="R800" s="1846" t="s">
        <v>6506</v>
      </c>
      <c r="S800" s="1855" t="s">
        <v>6506</v>
      </c>
    </row>
    <row r="801" spans="1:19" ht="12" customHeight="1">
      <c r="A801" s="7145"/>
      <c r="B801" s="7145"/>
      <c r="C801" s="931" t="s">
        <v>2843</v>
      </c>
      <c r="D801" s="758" t="str">
        <f t="shared" si="37"/>
        <v>Gunhell</v>
      </c>
      <c r="E801" s="433">
        <v>2</v>
      </c>
      <c r="F801" s="433">
        <v>65</v>
      </c>
      <c r="G801" s="1749">
        <f t="shared" si="34"/>
        <v>65</v>
      </c>
      <c r="H801" s="1748" t="s">
        <v>2844</v>
      </c>
      <c r="I801" s="1748" t="s">
        <v>8986</v>
      </c>
      <c r="J801" s="1748" t="s">
        <v>8987</v>
      </c>
      <c r="K801" s="1748"/>
      <c r="L801" s="1748"/>
      <c r="M801" s="1862">
        <f t="shared" si="36"/>
        <v>0</v>
      </c>
      <c r="N801" s="1846" t="s">
        <v>7105</v>
      </c>
      <c r="O801" s="1846" t="s">
        <v>9077</v>
      </c>
      <c r="P801" s="1846" t="s">
        <v>9092</v>
      </c>
      <c r="Q801" s="1846" t="s">
        <v>6506</v>
      </c>
      <c r="R801" s="1846" t="s">
        <v>6506</v>
      </c>
      <c r="S801" s="1855" t="s">
        <v>6506</v>
      </c>
    </row>
    <row r="802" spans="1:19" ht="12" customHeight="1">
      <c r="A802" s="7145"/>
      <c r="B802" s="7145"/>
      <c r="C802" s="931" t="s">
        <v>2845</v>
      </c>
      <c r="D802" s="758" t="str">
        <f t="shared" si="37"/>
        <v>Gunhell</v>
      </c>
      <c r="E802" s="433">
        <v>3</v>
      </c>
      <c r="F802" s="433">
        <v>90</v>
      </c>
      <c r="G802" s="1749">
        <f t="shared" si="34"/>
        <v>90</v>
      </c>
      <c r="H802" s="1748" t="s">
        <v>2846</v>
      </c>
      <c r="I802" s="1748" t="s">
        <v>8988</v>
      </c>
      <c r="J802" s="1748" t="s">
        <v>8989</v>
      </c>
      <c r="K802" s="1748"/>
      <c r="L802" s="1748"/>
      <c r="M802" s="1862">
        <f t="shared" si="36"/>
        <v>0</v>
      </c>
      <c r="N802" s="1846" t="s">
        <v>9079</v>
      </c>
      <c r="O802" s="1846" t="s">
        <v>9080</v>
      </c>
      <c r="P802" s="1846" t="s">
        <v>9096</v>
      </c>
      <c r="Q802" s="1846"/>
      <c r="R802" s="1846" t="s">
        <v>6506</v>
      </c>
      <c r="S802" s="1855" t="s">
        <v>6506</v>
      </c>
    </row>
    <row r="803" spans="1:19" ht="12" customHeight="1">
      <c r="A803" s="7145"/>
      <c r="B803" s="7145"/>
      <c r="C803" s="931" t="s">
        <v>2847</v>
      </c>
      <c r="D803" s="758"/>
      <c r="E803" s="1819"/>
      <c r="F803" s="433"/>
      <c r="G803" s="1749" t="str">
        <f t="shared" si="34"/>
        <v/>
      </c>
      <c r="H803" s="1748"/>
      <c r="I803" s="1748" t="s">
        <v>6506</v>
      </c>
      <c r="J803" s="1748" t="s">
        <v>6506</v>
      </c>
      <c r="K803" s="1748"/>
      <c r="L803" s="1748"/>
      <c r="M803" s="1862" t="str">
        <f t="shared" si="36"/>
        <v/>
      </c>
      <c r="N803" s="1846" t="s">
        <v>6506</v>
      </c>
      <c r="O803" s="1846" t="s">
        <v>6506</v>
      </c>
      <c r="P803" s="1846" t="s">
        <v>6506</v>
      </c>
      <c r="Q803" s="1846" t="s">
        <v>6506</v>
      </c>
      <c r="R803" s="1846" t="s">
        <v>6506</v>
      </c>
      <c r="S803" s="1855" t="s">
        <v>6506</v>
      </c>
    </row>
    <row r="804" spans="1:19" ht="12" customHeight="1">
      <c r="A804" s="7145"/>
      <c r="B804" s="7145"/>
      <c r="C804" s="931" t="s">
        <v>2848</v>
      </c>
      <c r="D804" s="758" t="str">
        <f>PROPER(MID(C803,3,100))</f>
        <v>Sattyagraha</v>
      </c>
      <c r="E804" s="433">
        <v>1</v>
      </c>
      <c r="F804" s="433">
        <v>20</v>
      </c>
      <c r="G804" s="1749">
        <f t="shared" si="34"/>
        <v>20</v>
      </c>
      <c r="H804" s="1748" t="s">
        <v>2849</v>
      </c>
      <c r="I804" s="1748" t="s">
        <v>8990</v>
      </c>
      <c r="J804" s="1748" t="s">
        <v>6506</v>
      </c>
      <c r="K804" s="1748"/>
      <c r="L804" s="1748"/>
      <c r="M804" s="1862">
        <f t="shared" si="36"/>
        <v>0</v>
      </c>
      <c r="N804" s="1846" t="s">
        <v>9081</v>
      </c>
      <c r="O804" s="1846" t="s">
        <v>9093</v>
      </c>
      <c r="P804" s="1846" t="s">
        <v>6506</v>
      </c>
      <c r="Q804" s="1846" t="s">
        <v>6506</v>
      </c>
      <c r="R804" s="1846" t="s">
        <v>6506</v>
      </c>
      <c r="S804" s="1855" t="s">
        <v>6506</v>
      </c>
    </row>
    <row r="805" spans="1:19" ht="12" customHeight="1">
      <c r="A805" s="7145"/>
      <c r="B805" s="7145"/>
      <c r="C805" s="931" t="s">
        <v>2850</v>
      </c>
      <c r="D805" s="758" t="str">
        <f>D804</f>
        <v>Sattyagraha</v>
      </c>
      <c r="E805" s="433">
        <v>1</v>
      </c>
      <c r="F805" s="433">
        <v>35</v>
      </c>
      <c r="G805" s="1749">
        <f t="shared" si="34"/>
        <v>35</v>
      </c>
      <c r="H805" s="1748" t="s">
        <v>2851</v>
      </c>
      <c r="I805" s="1748" t="s">
        <v>8991</v>
      </c>
      <c r="J805" s="1748" t="s">
        <v>6506</v>
      </c>
      <c r="K805" s="1748"/>
      <c r="L805" s="1748"/>
      <c r="M805" s="1862">
        <f t="shared" si="36"/>
        <v>0</v>
      </c>
      <c r="N805" s="1846" t="s">
        <v>9084</v>
      </c>
      <c r="O805" s="1846" t="s">
        <v>6506</v>
      </c>
      <c r="P805" s="1846" t="s">
        <v>6506</v>
      </c>
      <c r="Q805" s="1846" t="s">
        <v>6506</v>
      </c>
      <c r="R805" s="1846" t="s">
        <v>6506</v>
      </c>
      <c r="S805" s="1855" t="s">
        <v>6506</v>
      </c>
    </row>
    <row r="806" spans="1:19" ht="12" customHeight="1">
      <c r="A806" s="7145"/>
      <c r="B806" s="7145"/>
      <c r="C806" s="931" t="s">
        <v>2852</v>
      </c>
      <c r="D806" s="758" t="str">
        <f>D805</f>
        <v>Sattyagraha</v>
      </c>
      <c r="E806" s="433">
        <v>1</v>
      </c>
      <c r="F806" s="433">
        <v>45</v>
      </c>
      <c r="G806" s="1749">
        <f t="shared" si="34"/>
        <v>45</v>
      </c>
      <c r="H806" s="1748" t="s">
        <v>2849</v>
      </c>
      <c r="I806" s="1748" t="s">
        <v>8992</v>
      </c>
      <c r="J806" s="1748" t="s">
        <v>6506</v>
      </c>
      <c r="K806" s="1748"/>
      <c r="L806" s="1748"/>
      <c r="M806" s="1862">
        <f t="shared" si="36"/>
        <v>0</v>
      </c>
      <c r="N806" s="1846" t="s">
        <v>9088</v>
      </c>
      <c r="O806" s="1846" t="s">
        <v>9081</v>
      </c>
      <c r="P806" s="1846" t="s">
        <v>6506</v>
      </c>
      <c r="Q806" s="1846" t="s">
        <v>6506</v>
      </c>
      <c r="R806" s="1846" t="s">
        <v>6506</v>
      </c>
      <c r="S806" s="1855" t="s">
        <v>6506</v>
      </c>
    </row>
    <row r="807" spans="1:19" ht="12" customHeight="1">
      <c r="A807" s="7145"/>
      <c r="B807" s="7145"/>
      <c r="C807" s="931" t="s">
        <v>2853</v>
      </c>
      <c r="D807" s="758" t="str">
        <f>D806</f>
        <v>Sattyagraha</v>
      </c>
      <c r="E807" s="433">
        <v>2</v>
      </c>
      <c r="F807" s="433">
        <v>55</v>
      </c>
      <c r="G807" s="1749">
        <f t="shared" si="34"/>
        <v>55</v>
      </c>
      <c r="H807" s="1748" t="s">
        <v>2854</v>
      </c>
      <c r="I807" s="1748" t="s">
        <v>8993</v>
      </c>
      <c r="J807" s="1748" t="s">
        <v>8971</v>
      </c>
      <c r="K807" s="1748"/>
      <c r="L807" s="1748"/>
      <c r="M807" s="1862">
        <f t="shared" si="36"/>
        <v>0</v>
      </c>
      <c r="N807" s="1846" t="s">
        <v>9079</v>
      </c>
      <c r="O807" s="1846" t="s">
        <v>9096</v>
      </c>
      <c r="P807" s="1846" t="s">
        <v>6506</v>
      </c>
      <c r="Q807" s="1846" t="s">
        <v>6506</v>
      </c>
      <c r="R807" s="1846" t="s">
        <v>6506</v>
      </c>
      <c r="S807" s="1855" t="s">
        <v>6506</v>
      </c>
    </row>
    <row r="808" spans="1:19" ht="12" customHeight="1">
      <c r="A808" s="7145"/>
      <c r="B808" s="7145"/>
      <c r="C808" s="931" t="s">
        <v>2855</v>
      </c>
      <c r="D808" s="758" t="str">
        <f>D807</f>
        <v>Sattyagraha</v>
      </c>
      <c r="E808" s="433">
        <v>2</v>
      </c>
      <c r="F808" s="433">
        <v>90</v>
      </c>
      <c r="G808" s="1749">
        <f t="shared" si="34"/>
        <v>90</v>
      </c>
      <c r="H808" s="1748" t="s">
        <v>2856</v>
      </c>
      <c r="I808" s="1748" t="s">
        <v>8994</v>
      </c>
      <c r="J808" s="1748" t="s">
        <v>6506</v>
      </c>
      <c r="K808" s="1748"/>
      <c r="L808" s="1748"/>
      <c r="M808" s="1862">
        <f t="shared" si="36"/>
        <v>0</v>
      </c>
      <c r="N808" s="1846" t="s">
        <v>9083</v>
      </c>
      <c r="O808" s="1846" t="s">
        <v>7105</v>
      </c>
      <c r="P808" s="1846" t="s">
        <v>9089</v>
      </c>
      <c r="Q808" s="1846" t="s">
        <v>6506</v>
      </c>
      <c r="R808" s="1846" t="s">
        <v>6506</v>
      </c>
      <c r="S808" s="1855" t="s">
        <v>6506</v>
      </c>
    </row>
    <row r="809" spans="1:19" ht="12" customHeight="1">
      <c r="A809" s="7145"/>
      <c r="B809" s="7145"/>
      <c r="C809" s="931" t="s">
        <v>2857</v>
      </c>
      <c r="D809" s="758" t="str">
        <f>D808</f>
        <v>Sattyagraha</v>
      </c>
      <c r="E809" s="433">
        <v>3</v>
      </c>
      <c r="F809" s="433">
        <v>95</v>
      </c>
      <c r="G809" s="1749">
        <f t="shared" si="34"/>
        <v>95</v>
      </c>
      <c r="H809" s="1748" t="s">
        <v>2858</v>
      </c>
      <c r="I809" s="1748" t="s">
        <v>8995</v>
      </c>
      <c r="J809" s="1748" t="s">
        <v>6506</v>
      </c>
      <c r="K809" s="1748"/>
      <c r="L809" s="1748"/>
      <c r="M809" s="1862">
        <f t="shared" si="36"/>
        <v>0</v>
      </c>
      <c r="N809" s="1846" t="s">
        <v>9081</v>
      </c>
      <c r="O809" s="1846" t="s">
        <v>8621</v>
      </c>
      <c r="P809" s="1846" t="s">
        <v>9082</v>
      </c>
      <c r="Q809" s="1846" t="s">
        <v>6506</v>
      </c>
      <c r="R809" s="1846" t="s">
        <v>6506</v>
      </c>
      <c r="S809" s="1855" t="s">
        <v>6506</v>
      </c>
    </row>
    <row r="810" spans="1:19" ht="12" customHeight="1">
      <c r="A810" s="7145"/>
      <c r="B810" s="7145"/>
      <c r="C810" s="931" t="s">
        <v>2859</v>
      </c>
      <c r="D810" s="758"/>
      <c r="E810" s="1819"/>
      <c r="F810" s="433"/>
      <c r="G810" s="1749" t="str">
        <f t="shared" si="34"/>
        <v/>
      </c>
      <c r="H810" s="1748"/>
      <c r="I810" s="1748" t="s">
        <v>6506</v>
      </c>
      <c r="J810" s="1748" t="s">
        <v>6506</v>
      </c>
      <c r="K810" s="1748"/>
      <c r="L810" s="1748"/>
      <c r="M810" s="1862" t="str">
        <f t="shared" si="36"/>
        <v/>
      </c>
      <c r="N810" s="1846" t="s">
        <v>6506</v>
      </c>
      <c r="O810" s="1846" t="s">
        <v>6506</v>
      </c>
      <c r="P810" s="1846" t="s">
        <v>6506</v>
      </c>
      <c r="Q810" s="1846" t="s">
        <v>6506</v>
      </c>
      <c r="R810" s="1846" t="s">
        <v>6506</v>
      </c>
      <c r="S810" s="1855" t="s">
        <v>6506</v>
      </c>
    </row>
    <row r="811" spans="1:19" ht="12" customHeight="1">
      <c r="A811" s="7145"/>
      <c r="B811" s="7145"/>
      <c r="C811" s="931" t="s">
        <v>2860</v>
      </c>
      <c r="D811" s="758" t="str">
        <f>PROPER(MID(C810,3,100))</f>
        <v>A’Arab Zaraq</v>
      </c>
      <c r="E811" s="433">
        <v>1</v>
      </c>
      <c r="F811" s="433">
        <v>30</v>
      </c>
      <c r="G811" s="1749">
        <f t="shared" si="34"/>
        <v>30</v>
      </c>
      <c r="H811" s="1748" t="s">
        <v>2861</v>
      </c>
      <c r="I811" s="1748" t="s">
        <v>8996</v>
      </c>
      <c r="J811" s="1748" t="s">
        <v>8997</v>
      </c>
      <c r="K811" s="1748"/>
      <c r="L811" s="1748"/>
      <c r="M811" s="1862">
        <f t="shared" si="36"/>
        <v>0</v>
      </c>
      <c r="N811" s="1846" t="s">
        <v>9090</v>
      </c>
      <c r="O811" s="1846" t="s">
        <v>9083</v>
      </c>
      <c r="P811" s="1846" t="s">
        <v>6506</v>
      </c>
      <c r="Q811" s="1846" t="s">
        <v>6506</v>
      </c>
      <c r="R811" s="1846" t="s">
        <v>6506</v>
      </c>
      <c r="S811" s="1855" t="s">
        <v>6506</v>
      </c>
    </row>
    <row r="812" spans="1:19" ht="12" customHeight="1">
      <c r="A812" s="7145"/>
      <c r="B812" s="7145"/>
      <c r="C812" s="931" t="s">
        <v>2862</v>
      </c>
      <c r="D812" s="758" t="str">
        <f>D811</f>
        <v>A’Arab Zaraq</v>
      </c>
      <c r="E812" s="433">
        <v>1</v>
      </c>
      <c r="F812" s="433">
        <v>25</v>
      </c>
      <c r="G812" s="1749">
        <f t="shared" si="34"/>
        <v>25</v>
      </c>
      <c r="H812" s="1748" t="s">
        <v>2863</v>
      </c>
      <c r="I812" s="1748" t="s">
        <v>8998</v>
      </c>
      <c r="J812" s="1748" t="s">
        <v>6506</v>
      </c>
      <c r="K812" s="1748"/>
      <c r="L812" s="1748"/>
      <c r="M812" s="1862">
        <f t="shared" si="36"/>
        <v>0</v>
      </c>
      <c r="N812" s="1846" t="s">
        <v>9092</v>
      </c>
      <c r="O812" s="1846" t="s">
        <v>6506</v>
      </c>
      <c r="P812" s="1846" t="s">
        <v>6506</v>
      </c>
      <c r="Q812" s="1846" t="s">
        <v>6506</v>
      </c>
      <c r="R812" s="1846" t="s">
        <v>6506</v>
      </c>
      <c r="S812" s="1855" t="s">
        <v>6506</v>
      </c>
    </row>
    <row r="813" spans="1:19" ht="12" customHeight="1">
      <c r="A813" s="7145"/>
      <c r="B813" s="7145"/>
      <c r="C813" s="931" t="s">
        <v>2864</v>
      </c>
      <c r="D813" s="758" t="str">
        <f>D812</f>
        <v>A’Arab Zaraq</v>
      </c>
      <c r="E813" s="433">
        <v>1</v>
      </c>
      <c r="F813" s="433">
        <v>35</v>
      </c>
      <c r="G813" s="1749">
        <f t="shared" si="34"/>
        <v>35</v>
      </c>
      <c r="H813" s="1748" t="s">
        <v>2865</v>
      </c>
      <c r="I813" s="1748" t="s">
        <v>8999</v>
      </c>
      <c r="J813" s="1748" t="s">
        <v>2866</v>
      </c>
      <c r="K813" s="1748"/>
      <c r="L813" s="1748"/>
      <c r="M813" s="1862">
        <f t="shared" si="36"/>
        <v>0</v>
      </c>
      <c r="N813" s="1846" t="s">
        <v>9077</v>
      </c>
      <c r="O813" s="1846" t="s">
        <v>9095</v>
      </c>
      <c r="P813" s="1846" t="s">
        <v>6506</v>
      </c>
      <c r="Q813" s="1846" t="s">
        <v>6506</v>
      </c>
      <c r="R813" s="1846" t="s">
        <v>6506</v>
      </c>
      <c r="S813" s="1855" t="s">
        <v>6506</v>
      </c>
    </row>
    <row r="814" spans="1:19" ht="12" customHeight="1">
      <c r="A814" s="7145"/>
      <c r="B814" s="7145"/>
      <c r="C814" s="931" t="s">
        <v>2867</v>
      </c>
      <c r="D814" s="758" t="str">
        <f>D813</f>
        <v>A’Arab Zaraq</v>
      </c>
      <c r="E814" s="433">
        <v>2</v>
      </c>
      <c r="F814" s="433">
        <v>45</v>
      </c>
      <c r="G814" s="1749">
        <f t="shared" si="34"/>
        <v>45</v>
      </c>
      <c r="H814" s="1748" t="s">
        <v>2868</v>
      </c>
      <c r="I814" s="1748" t="s">
        <v>9000</v>
      </c>
      <c r="J814" s="1748" t="s">
        <v>9001</v>
      </c>
      <c r="K814" s="1748"/>
      <c r="L814" s="1748"/>
      <c r="M814" s="1862">
        <f t="shared" si="36"/>
        <v>0</v>
      </c>
      <c r="N814" s="1846" t="s">
        <v>9080</v>
      </c>
      <c r="O814" s="1846" t="s">
        <v>9092</v>
      </c>
      <c r="P814" s="1846" t="s">
        <v>9092</v>
      </c>
      <c r="Q814" s="1846" t="s">
        <v>6506</v>
      </c>
      <c r="R814" s="1846" t="s">
        <v>6506</v>
      </c>
      <c r="S814" s="1855" t="s">
        <v>6506</v>
      </c>
    </row>
    <row r="815" spans="1:19" ht="12" customHeight="1">
      <c r="A815" s="7145"/>
      <c r="B815" s="7145"/>
      <c r="C815" s="931" t="s">
        <v>2869</v>
      </c>
      <c r="D815" s="758" t="str">
        <f>D814</f>
        <v>A’Arab Zaraq</v>
      </c>
      <c r="E815" s="433">
        <v>2</v>
      </c>
      <c r="F815" s="433">
        <v>75</v>
      </c>
      <c r="G815" s="1749">
        <f t="shared" si="34"/>
        <v>75</v>
      </c>
      <c r="H815" s="1748" t="s">
        <v>2870</v>
      </c>
      <c r="I815" s="1748" t="s">
        <v>9002</v>
      </c>
      <c r="J815" s="1748" t="s">
        <v>6506</v>
      </c>
      <c r="K815" s="1748"/>
      <c r="L815" s="1748"/>
      <c r="M815" s="1862">
        <f t="shared" si="36"/>
        <v>0</v>
      </c>
      <c r="N815" s="1846" t="s">
        <v>9095</v>
      </c>
      <c r="O815" s="1846" t="s">
        <v>9082</v>
      </c>
      <c r="P815" s="1846" t="s">
        <v>6506</v>
      </c>
      <c r="Q815" s="1846" t="s">
        <v>6506</v>
      </c>
      <c r="R815" s="1846" t="s">
        <v>6506</v>
      </c>
      <c r="S815" s="1855" t="s">
        <v>6506</v>
      </c>
    </row>
    <row r="816" spans="1:19" ht="12" customHeight="1">
      <c r="A816" s="7145"/>
      <c r="B816" s="7145"/>
      <c r="C816" s="931" t="s">
        <v>2871</v>
      </c>
      <c r="D816" s="758" t="str">
        <f>D815</f>
        <v>A’Arab Zaraq</v>
      </c>
      <c r="E816" s="433">
        <v>3</v>
      </c>
      <c r="F816" s="433">
        <v>95</v>
      </c>
      <c r="G816" s="1749">
        <f t="shared" si="34"/>
        <v>95</v>
      </c>
      <c r="H816" s="1748" t="s">
        <v>2872</v>
      </c>
      <c r="I816" s="1748" t="s">
        <v>9003</v>
      </c>
      <c r="J816" s="1748" t="s">
        <v>8935</v>
      </c>
      <c r="K816" s="1748"/>
      <c r="L816" s="1748"/>
      <c r="M816" s="1862">
        <f t="shared" si="36"/>
        <v>0</v>
      </c>
      <c r="N816" s="1846" t="s">
        <v>9079</v>
      </c>
      <c r="O816" s="1846" t="s">
        <v>9077</v>
      </c>
      <c r="P816" s="1846" t="s">
        <v>9096</v>
      </c>
      <c r="Q816" s="1846" t="s">
        <v>6506</v>
      </c>
      <c r="R816" s="1846" t="s">
        <v>6506</v>
      </c>
      <c r="S816" s="1855" t="s">
        <v>6506</v>
      </c>
    </row>
    <row r="817" spans="1:19" ht="12" customHeight="1">
      <c r="A817" s="7145"/>
      <c r="B817" s="7145"/>
      <c r="C817" s="931" t="s">
        <v>2873</v>
      </c>
      <c r="D817" s="758"/>
      <c r="E817" s="1819"/>
      <c r="F817" s="433"/>
      <c r="G817" s="1749" t="str">
        <f t="shared" si="34"/>
        <v/>
      </c>
      <c r="H817" s="1748"/>
      <c r="I817" s="1748" t="s">
        <v>6506</v>
      </c>
      <c r="J817" s="1748" t="s">
        <v>6506</v>
      </c>
      <c r="K817" s="1748"/>
      <c r="L817" s="1748"/>
      <c r="M817" s="1862" t="str">
        <f t="shared" si="36"/>
        <v/>
      </c>
      <c r="N817" s="1846" t="s">
        <v>6506</v>
      </c>
      <c r="O817" s="1846" t="s">
        <v>6506</v>
      </c>
      <c r="P817" s="1846" t="s">
        <v>6506</v>
      </c>
      <c r="Q817" s="1846" t="s">
        <v>6506</v>
      </c>
      <c r="R817" s="1846" t="s">
        <v>6506</v>
      </c>
      <c r="S817" s="1855" t="s">
        <v>6506</v>
      </c>
    </row>
    <row r="818" spans="1:19" ht="12" customHeight="1">
      <c r="A818" s="7145"/>
      <c r="B818" s="7145"/>
      <c r="C818" s="931" t="s">
        <v>2874</v>
      </c>
      <c r="D818" s="758" t="str">
        <f>PROPER(MID(C817,3,100))</f>
        <v>Wushu</v>
      </c>
      <c r="E818" s="433">
        <v>1</v>
      </c>
      <c r="F818" s="433">
        <v>20</v>
      </c>
      <c r="G818" s="1749">
        <f t="shared" si="34"/>
        <v>20</v>
      </c>
      <c r="H818" s="1748" t="s">
        <v>2875</v>
      </c>
      <c r="I818" s="1748" t="s">
        <v>9004</v>
      </c>
      <c r="J818" s="1748" t="s">
        <v>6506</v>
      </c>
      <c r="K818" s="1748"/>
      <c r="L818" s="1748"/>
      <c r="M818" s="1862">
        <f t="shared" si="36"/>
        <v>0</v>
      </c>
      <c r="N818" s="1846" t="s">
        <v>9084</v>
      </c>
      <c r="O818" s="1846" t="s">
        <v>9083</v>
      </c>
      <c r="P818" s="1846" t="s">
        <v>6506</v>
      </c>
      <c r="Q818" s="1846" t="s">
        <v>6506</v>
      </c>
      <c r="R818" s="1846" t="s">
        <v>6506</v>
      </c>
      <c r="S818" s="1855" t="s">
        <v>6506</v>
      </c>
    </row>
    <row r="819" spans="1:19" ht="12" customHeight="1">
      <c r="A819" s="7145"/>
      <c r="B819" s="7145"/>
      <c r="C819" s="931" t="s">
        <v>2876</v>
      </c>
      <c r="D819" s="758" t="str">
        <f t="shared" ref="D819:D826" si="38">D818</f>
        <v>Wushu</v>
      </c>
      <c r="E819" s="433">
        <v>1</v>
      </c>
      <c r="F819" s="433">
        <v>20</v>
      </c>
      <c r="G819" s="1749">
        <f t="shared" si="34"/>
        <v>20</v>
      </c>
      <c r="H819" s="1748" t="s">
        <v>2877</v>
      </c>
      <c r="I819" s="1748" t="s">
        <v>9005</v>
      </c>
      <c r="J819" s="1748" t="s">
        <v>6506</v>
      </c>
      <c r="K819" s="1748"/>
      <c r="L819" s="1748"/>
      <c r="M819" s="1862">
        <f t="shared" si="36"/>
        <v>0</v>
      </c>
      <c r="N819" s="1846" t="s">
        <v>9081</v>
      </c>
      <c r="O819" s="1846" t="s">
        <v>9078</v>
      </c>
      <c r="P819" s="1846" t="s">
        <v>6506</v>
      </c>
      <c r="Q819" s="1846" t="s">
        <v>6506</v>
      </c>
      <c r="R819" s="1846" t="s">
        <v>6506</v>
      </c>
      <c r="S819" s="1855" t="s">
        <v>6506</v>
      </c>
    </row>
    <row r="820" spans="1:19" ht="12" customHeight="1">
      <c r="A820" s="7145"/>
      <c r="B820" s="7145"/>
      <c r="C820" s="931" t="s">
        <v>2878</v>
      </c>
      <c r="D820" s="758" t="str">
        <f t="shared" si="38"/>
        <v>Wushu</v>
      </c>
      <c r="E820" s="433">
        <v>1</v>
      </c>
      <c r="F820" s="433">
        <v>25</v>
      </c>
      <c r="G820" s="1749">
        <f t="shared" si="34"/>
        <v>25</v>
      </c>
      <c r="H820" s="1748" t="s">
        <v>2879</v>
      </c>
      <c r="I820" s="1748" t="s">
        <v>9006</v>
      </c>
      <c r="J820" s="1748" t="s">
        <v>6506</v>
      </c>
      <c r="K820" s="1748"/>
      <c r="L820" s="1748"/>
      <c r="M820" s="1862">
        <f t="shared" si="36"/>
        <v>0</v>
      </c>
      <c r="N820" s="1846" t="s">
        <v>9092</v>
      </c>
      <c r="O820" s="1846" t="s">
        <v>9094</v>
      </c>
      <c r="P820" s="1846" t="s">
        <v>6506</v>
      </c>
      <c r="Q820" s="1846" t="s">
        <v>6506</v>
      </c>
      <c r="R820" s="1846" t="s">
        <v>6506</v>
      </c>
      <c r="S820" s="1855" t="s">
        <v>6506</v>
      </c>
    </row>
    <row r="821" spans="1:19" ht="12" customHeight="1">
      <c r="A821" s="7145"/>
      <c r="B821" s="7145"/>
      <c r="C821" s="931" t="s">
        <v>2880</v>
      </c>
      <c r="D821" s="758" t="str">
        <f t="shared" si="38"/>
        <v>Wushu</v>
      </c>
      <c r="E821" s="433">
        <v>1</v>
      </c>
      <c r="F821" s="433">
        <v>30</v>
      </c>
      <c r="G821" s="1749">
        <f t="shared" si="34"/>
        <v>30</v>
      </c>
      <c r="H821" s="1748" t="s">
        <v>2881</v>
      </c>
      <c r="I821" s="1748" t="s">
        <v>9007</v>
      </c>
      <c r="J821" s="1748" t="s">
        <v>8935</v>
      </c>
      <c r="K821" s="1748"/>
      <c r="L821" s="1748"/>
      <c r="M821" s="1862">
        <f t="shared" si="36"/>
        <v>0</v>
      </c>
      <c r="N821" s="1846" t="s">
        <v>9078</v>
      </c>
      <c r="O821" s="1846" t="s">
        <v>6506</v>
      </c>
      <c r="P821" s="1846" t="s">
        <v>6506</v>
      </c>
      <c r="Q821" s="1846" t="s">
        <v>6506</v>
      </c>
      <c r="R821" s="1846" t="s">
        <v>6506</v>
      </c>
      <c r="S821" s="1855" t="s">
        <v>6506</v>
      </c>
    </row>
    <row r="822" spans="1:19" ht="12" customHeight="1">
      <c r="A822" s="7145"/>
      <c r="B822" s="7145"/>
      <c r="C822" s="931" t="s">
        <v>2882</v>
      </c>
      <c r="D822" s="758" t="str">
        <f t="shared" si="38"/>
        <v>Wushu</v>
      </c>
      <c r="E822" s="433">
        <v>1</v>
      </c>
      <c r="F822" s="433">
        <v>30</v>
      </c>
      <c r="G822" s="1749">
        <f t="shared" si="34"/>
        <v>30</v>
      </c>
      <c r="H822" s="1748" t="s">
        <v>2877</v>
      </c>
      <c r="I822" s="1748" t="s">
        <v>9008</v>
      </c>
      <c r="J822" s="1748" t="s">
        <v>8971</v>
      </c>
      <c r="K822" s="1748"/>
      <c r="L822" s="1748"/>
      <c r="M822" s="1862">
        <f t="shared" si="36"/>
        <v>0</v>
      </c>
      <c r="N822" s="1846" t="s">
        <v>9079</v>
      </c>
      <c r="O822" s="1846" t="s">
        <v>9095</v>
      </c>
      <c r="P822" s="1846" t="s">
        <v>6506</v>
      </c>
      <c r="Q822" s="1846" t="s">
        <v>6506</v>
      </c>
      <c r="R822" s="1846" t="s">
        <v>6506</v>
      </c>
      <c r="S822" s="1855" t="s">
        <v>6506</v>
      </c>
    </row>
    <row r="823" spans="1:19" ht="12" customHeight="1">
      <c r="A823" s="7145"/>
      <c r="B823" s="7145"/>
      <c r="C823" s="931" t="s">
        <v>2883</v>
      </c>
      <c r="D823" s="758" t="str">
        <f t="shared" si="38"/>
        <v>Wushu</v>
      </c>
      <c r="E823" s="433">
        <v>1</v>
      </c>
      <c r="F823" s="433">
        <v>30</v>
      </c>
      <c r="G823" s="1749">
        <f t="shared" si="34"/>
        <v>30</v>
      </c>
      <c r="H823" s="1748" t="s">
        <v>2884</v>
      </c>
      <c r="I823" s="1748" t="s">
        <v>9009</v>
      </c>
      <c r="J823" s="1748" t="s">
        <v>6506</v>
      </c>
      <c r="K823" s="1748"/>
      <c r="L823" s="1748"/>
      <c r="M823" s="1862">
        <f t="shared" si="36"/>
        <v>0</v>
      </c>
      <c r="N823" s="1846" t="s">
        <v>7105</v>
      </c>
      <c r="O823" s="1846" t="s">
        <v>9092</v>
      </c>
      <c r="P823" s="1846" t="s">
        <v>7105</v>
      </c>
      <c r="Q823" s="1846" t="s">
        <v>6506</v>
      </c>
      <c r="R823" s="1846" t="s">
        <v>6506</v>
      </c>
      <c r="S823" s="1855" t="s">
        <v>6506</v>
      </c>
    </row>
    <row r="824" spans="1:19" ht="12" customHeight="1">
      <c r="A824" s="7145"/>
      <c r="B824" s="7145"/>
      <c r="C824" s="931" t="s">
        <v>2885</v>
      </c>
      <c r="D824" s="758" t="str">
        <f t="shared" si="38"/>
        <v>Wushu</v>
      </c>
      <c r="E824" s="433">
        <v>2</v>
      </c>
      <c r="F824" s="433">
        <v>50</v>
      </c>
      <c r="G824" s="1749">
        <f t="shared" si="34"/>
        <v>50</v>
      </c>
      <c r="H824" s="1748" t="s">
        <v>2886</v>
      </c>
      <c r="I824" s="1748" t="s">
        <v>9010</v>
      </c>
      <c r="J824" s="1748" t="s">
        <v>6506</v>
      </c>
      <c r="K824" s="1748"/>
      <c r="L824" s="1748"/>
      <c r="M824" s="1862">
        <f t="shared" si="36"/>
        <v>0</v>
      </c>
      <c r="N824" s="1846" t="s">
        <v>9078</v>
      </c>
      <c r="O824" s="1846" t="s">
        <v>9636</v>
      </c>
      <c r="P824" s="1846" t="s">
        <v>7105</v>
      </c>
      <c r="Q824" s="1846" t="s">
        <v>6506</v>
      </c>
      <c r="R824" s="1846" t="s">
        <v>6506</v>
      </c>
      <c r="S824" s="1855" t="s">
        <v>6506</v>
      </c>
    </row>
    <row r="825" spans="1:19" ht="12" customHeight="1">
      <c r="A825" s="7145"/>
      <c r="B825" s="7145"/>
      <c r="C825" s="931" t="s">
        <v>2887</v>
      </c>
      <c r="D825" s="758" t="str">
        <f t="shared" si="38"/>
        <v>Wushu</v>
      </c>
      <c r="E825" s="433">
        <v>2</v>
      </c>
      <c r="F825" s="433">
        <v>70</v>
      </c>
      <c r="G825" s="1749">
        <f t="shared" si="34"/>
        <v>70</v>
      </c>
      <c r="H825" s="1748" t="s">
        <v>2888</v>
      </c>
      <c r="I825" s="1748" t="s">
        <v>9011</v>
      </c>
      <c r="J825" s="1748" t="s">
        <v>6506</v>
      </c>
      <c r="K825" s="1748"/>
      <c r="L825" s="1748"/>
      <c r="M825" s="1862">
        <f t="shared" si="36"/>
        <v>0</v>
      </c>
      <c r="N825" s="1846" t="s">
        <v>9095</v>
      </c>
      <c r="O825" s="1846" t="s">
        <v>9092</v>
      </c>
      <c r="P825" s="1846" t="s">
        <v>9079</v>
      </c>
      <c r="Q825" s="1846" t="s">
        <v>6506</v>
      </c>
      <c r="R825" s="1846" t="s">
        <v>6506</v>
      </c>
      <c r="S825" s="1855" t="s">
        <v>6506</v>
      </c>
    </row>
    <row r="826" spans="1:19" ht="12" customHeight="1">
      <c r="A826" s="7145"/>
      <c r="B826" s="7145"/>
      <c r="C826" s="931" t="s">
        <v>2889</v>
      </c>
      <c r="D826" s="758" t="str">
        <f t="shared" si="38"/>
        <v>Wushu</v>
      </c>
      <c r="E826" s="433">
        <v>2</v>
      </c>
      <c r="F826" s="433">
        <v>85</v>
      </c>
      <c r="G826" s="1749">
        <f t="shared" ref="G826:G885" si="39">IF(E826="","",MAX(IF(E826=3,60,IF(E826=2,40,20)),F826+M826))</f>
        <v>85</v>
      </c>
      <c r="H826" s="1748" t="s">
        <v>2890</v>
      </c>
      <c r="I826" s="1748" t="s">
        <v>9012</v>
      </c>
      <c r="J826" s="1748" t="s">
        <v>6506</v>
      </c>
      <c r="K826" s="1748"/>
      <c r="L826" s="1748"/>
      <c r="M826" s="1862">
        <f t="shared" ref="M826:M857" si="40">IF(D826="","",IF(IFERROR(INDEX($P$100:$P$105,MID(N826,1,1)),0)+IFERROR(INDEX($P$100:$P$105,MID(N826,2,1)),0)+IFERROR(INDEX($P$100:$P$105,MID(N826,3,1)),0)&gt;0,-5,0)+IF(IFERROR(INDEX($P$100:$P$105,MID(O826,1,1)),0)+IFERROR(INDEX($P$100:$P$105,MID(O826,2,1)),0)+IFERROR(INDEX($P$100:$P$105,MID(O826,3,1)),0)&gt;0,-5,0)+IF(IFERROR(INDEX($P$100:$P$105,MID(P826,1,1)),0)+IFERROR(INDEX($P$100:$P$105,MID(P826,2,1)),0)+IFERROR(INDEX($P$100:$P$105,MID(P826,3,1)),0)&gt;0,-5,0)+IF(IFERROR(INDEX($P$100:$P$105,MID(Q826,1,1)),0)+IFERROR(INDEX($P$100:$P$105,MID(Q826,2,1)),0)+IFERROR(INDEX($P$100:$P$105,MID(Q826,3,1)),0)&gt;0,-5,0)+IF(IFERROR(INDEX($P$100:$P$105,MID(R826,1,1)),0)+IFERROR(INDEX($P$100:$P$105,MID(R826,2,1)),0)+IFERROR(INDEX($P$100:$P$105,MID(R826,3,1)),0)&gt;0,-5,0)+IF(IFERROR(INDEX($P$100:$P$105,MID(S826,1,1)),0)+IFERROR(INDEX($P$100:$P$105,MID(S826,2,1)),0)+IFERROR(INDEX($P$100:$P$105,MID(S826,3,1)),0)&gt;0,-5,0))</f>
        <v>0</v>
      </c>
      <c r="N826" s="1846" t="s">
        <v>9079</v>
      </c>
      <c r="O826" s="1846" t="s">
        <v>9637</v>
      </c>
      <c r="P826" s="1846" t="s">
        <v>6506</v>
      </c>
      <c r="Q826" s="1846" t="s">
        <v>6506</v>
      </c>
      <c r="R826" s="1846" t="s">
        <v>6506</v>
      </c>
      <c r="S826" s="1855" t="s">
        <v>6506</v>
      </c>
    </row>
    <row r="827" spans="1:19" ht="12" customHeight="1">
      <c r="A827" s="7145"/>
      <c r="B827" s="7145"/>
      <c r="C827" s="931" t="s">
        <v>2891</v>
      </c>
      <c r="D827" s="758"/>
      <c r="E827" s="1819"/>
      <c r="F827" s="433"/>
      <c r="G827" s="1749" t="str">
        <f t="shared" si="39"/>
        <v/>
      </c>
      <c r="H827" s="1748"/>
      <c r="I827" s="1748" t="s">
        <v>6506</v>
      </c>
      <c r="J827" s="1748" t="s">
        <v>6506</v>
      </c>
      <c r="K827" s="1748"/>
      <c r="L827" s="1748"/>
      <c r="M827" s="1862" t="str">
        <f t="shared" si="40"/>
        <v/>
      </c>
      <c r="N827" s="1846" t="s">
        <v>6506</v>
      </c>
      <c r="O827" s="1846" t="s">
        <v>6506</v>
      </c>
      <c r="P827" s="1846" t="s">
        <v>6506</v>
      </c>
      <c r="Q827" s="1846" t="s">
        <v>6506</v>
      </c>
      <c r="R827" s="1846" t="s">
        <v>6506</v>
      </c>
      <c r="S827" s="1855" t="s">
        <v>6506</v>
      </c>
    </row>
    <row r="828" spans="1:19" ht="12" customHeight="1">
      <c r="A828" s="7145"/>
      <c r="B828" s="7145"/>
      <c r="C828" s="931" t="s">
        <v>2892</v>
      </c>
      <c r="D828" s="758" t="str">
        <f>PROPER(MID(C827,3,100))</f>
        <v>La Vía De Meizo</v>
      </c>
      <c r="E828" s="433">
        <v>1</v>
      </c>
      <c r="F828" s="433">
        <v>30</v>
      </c>
      <c r="G828" s="1749">
        <f t="shared" si="39"/>
        <v>30</v>
      </c>
      <c r="H828" s="1748" t="s">
        <v>2893</v>
      </c>
      <c r="I828" s="1748" t="s">
        <v>9013</v>
      </c>
      <c r="J828" s="1748" t="s">
        <v>9014</v>
      </c>
      <c r="K828" s="1748"/>
      <c r="L828" s="1748"/>
      <c r="M828" s="1862">
        <f t="shared" si="40"/>
        <v>0</v>
      </c>
      <c r="N828" s="1846" t="s">
        <v>9092</v>
      </c>
      <c r="O828" s="1846" t="s">
        <v>7105</v>
      </c>
      <c r="P828" s="1846" t="s">
        <v>6506</v>
      </c>
      <c r="Q828" s="1846" t="s">
        <v>6506</v>
      </c>
      <c r="R828" s="1846" t="s">
        <v>6506</v>
      </c>
      <c r="S828" s="1855" t="s">
        <v>6506</v>
      </c>
    </row>
    <row r="829" spans="1:19" ht="12" customHeight="1">
      <c r="A829" s="7145"/>
      <c r="B829" s="7145"/>
      <c r="C829" s="931" t="s">
        <v>2894</v>
      </c>
      <c r="D829" s="758" t="str">
        <f>D828</f>
        <v>La Vía De Meizo</v>
      </c>
      <c r="E829" s="433">
        <v>1</v>
      </c>
      <c r="F829" s="433">
        <v>20</v>
      </c>
      <c r="G829" s="1749">
        <f t="shared" si="39"/>
        <v>20</v>
      </c>
      <c r="H829" s="1748" t="s">
        <v>2895</v>
      </c>
      <c r="I829" s="1748" t="s">
        <v>9015</v>
      </c>
      <c r="J829" s="1748" t="s">
        <v>6506</v>
      </c>
      <c r="K829" s="1748"/>
      <c r="L829" s="1748"/>
      <c r="M829" s="1862">
        <f t="shared" si="40"/>
        <v>0</v>
      </c>
      <c r="N829" s="1846" t="s">
        <v>7105</v>
      </c>
      <c r="O829" s="1846" t="s">
        <v>7105</v>
      </c>
      <c r="P829" s="1846" t="s">
        <v>6506</v>
      </c>
      <c r="Q829" s="1846" t="s">
        <v>6506</v>
      </c>
      <c r="R829" s="1846" t="s">
        <v>6506</v>
      </c>
      <c r="S829" s="1855" t="s">
        <v>6506</v>
      </c>
    </row>
    <row r="830" spans="1:19" ht="12" customHeight="1">
      <c r="A830" s="7145"/>
      <c r="B830" s="7145"/>
      <c r="C830" s="931" t="s">
        <v>2896</v>
      </c>
      <c r="D830" s="758" t="str">
        <f>D829</f>
        <v>La Vía De Meizo</v>
      </c>
      <c r="E830" s="433">
        <v>1</v>
      </c>
      <c r="F830" s="433">
        <v>20</v>
      </c>
      <c r="G830" s="1749">
        <f t="shared" si="39"/>
        <v>20</v>
      </c>
      <c r="H830" s="1748" t="s">
        <v>2897</v>
      </c>
      <c r="I830" s="1748" t="s">
        <v>9016</v>
      </c>
      <c r="J830" s="1748" t="s">
        <v>6506</v>
      </c>
      <c r="K830" s="1748"/>
      <c r="L830" s="1748"/>
      <c r="M830" s="1862">
        <f t="shared" si="40"/>
        <v>0</v>
      </c>
      <c r="N830" s="1846" t="s">
        <v>9077</v>
      </c>
      <c r="O830" s="1846" t="s">
        <v>9094</v>
      </c>
      <c r="P830" s="1846" t="s">
        <v>6506</v>
      </c>
      <c r="Q830" s="1846" t="s">
        <v>6506</v>
      </c>
      <c r="R830" s="1846" t="s">
        <v>6506</v>
      </c>
      <c r="S830" s="1855" t="s">
        <v>6506</v>
      </c>
    </row>
    <row r="831" spans="1:19" ht="12" customHeight="1">
      <c r="A831" s="7145"/>
      <c r="B831" s="7145"/>
      <c r="C831" s="931" t="s">
        <v>2898</v>
      </c>
      <c r="D831" s="758" t="str">
        <f>D830</f>
        <v>La Vía De Meizo</v>
      </c>
      <c r="E831" s="433">
        <v>2</v>
      </c>
      <c r="F831" s="1819">
        <v>50</v>
      </c>
      <c r="G831" s="1749">
        <f t="shared" si="39"/>
        <v>50</v>
      </c>
      <c r="H831" s="1748" t="s">
        <v>2856</v>
      </c>
      <c r="I831" s="1748" t="s">
        <v>9017</v>
      </c>
      <c r="J831" s="1748" t="s">
        <v>6506</v>
      </c>
      <c r="K831" s="1748"/>
      <c r="L831" s="1748"/>
      <c r="M831" s="1862">
        <f t="shared" si="40"/>
        <v>0</v>
      </c>
      <c r="N831" s="1846" t="s">
        <v>9078</v>
      </c>
      <c r="O831" s="1846" t="s">
        <v>6506</v>
      </c>
      <c r="P831" s="1846" t="s">
        <v>6506</v>
      </c>
      <c r="Q831" s="1846" t="s">
        <v>6506</v>
      </c>
      <c r="R831" s="1846" t="s">
        <v>6506</v>
      </c>
      <c r="S831" s="1855" t="s">
        <v>6506</v>
      </c>
    </row>
    <row r="832" spans="1:19" ht="12" customHeight="1">
      <c r="A832" s="7145"/>
      <c r="B832" s="7145"/>
      <c r="C832" s="931" t="s">
        <v>2899</v>
      </c>
      <c r="D832" s="758" t="str">
        <f>D831</f>
        <v>La Vía De Meizo</v>
      </c>
      <c r="E832" s="433">
        <v>2</v>
      </c>
      <c r="F832" s="1819">
        <v>70</v>
      </c>
      <c r="G832" s="1749">
        <f t="shared" si="39"/>
        <v>70</v>
      </c>
      <c r="H832" s="1748" t="s">
        <v>2900</v>
      </c>
      <c r="I832" s="1748" t="s">
        <v>9018</v>
      </c>
      <c r="J832" s="1748" t="s">
        <v>9019</v>
      </c>
      <c r="K832" s="1748"/>
      <c r="L832" s="1748"/>
      <c r="M832" s="1862">
        <f t="shared" si="40"/>
        <v>0</v>
      </c>
      <c r="N832" s="1846" t="s">
        <v>9080</v>
      </c>
      <c r="O832" s="1846" t="s">
        <v>9092</v>
      </c>
      <c r="P832" s="1846" t="s">
        <v>9079</v>
      </c>
      <c r="Q832" s="1846" t="s">
        <v>6506</v>
      </c>
      <c r="R832" s="1846" t="s">
        <v>6506</v>
      </c>
      <c r="S832" s="1855" t="s">
        <v>6506</v>
      </c>
    </row>
    <row r="833" spans="1:19" ht="12" customHeight="1">
      <c r="A833" s="7145"/>
      <c r="B833" s="7145"/>
      <c r="C833" s="931" t="s">
        <v>2901</v>
      </c>
      <c r="D833" s="758" t="str">
        <f>D832</f>
        <v>La Vía De Meizo</v>
      </c>
      <c r="E833" s="433">
        <v>3</v>
      </c>
      <c r="F833" s="433">
        <v>75</v>
      </c>
      <c r="G833" s="1749">
        <f t="shared" si="39"/>
        <v>75</v>
      </c>
      <c r="H833" s="1748" t="s">
        <v>2902</v>
      </c>
      <c r="I833" s="1748" t="s">
        <v>9020</v>
      </c>
      <c r="J833" s="1748" t="s">
        <v>9021</v>
      </c>
      <c r="K833" s="1748"/>
      <c r="L833" s="1748"/>
      <c r="M833" s="1862">
        <f t="shared" si="40"/>
        <v>0</v>
      </c>
      <c r="N833" s="1846" t="s">
        <v>9079</v>
      </c>
      <c r="O833" s="1846" t="s">
        <v>7105</v>
      </c>
      <c r="P833" s="1846" t="s">
        <v>7105</v>
      </c>
      <c r="Q833" s="1846" t="s">
        <v>9085</v>
      </c>
      <c r="R833" s="1846" t="s">
        <v>6506</v>
      </c>
      <c r="S833" s="1855" t="s">
        <v>6506</v>
      </c>
    </row>
    <row r="834" spans="1:19" ht="12" customHeight="1">
      <c r="A834" s="7145"/>
      <c r="B834" s="7145"/>
      <c r="C834" s="931" t="s">
        <v>2903</v>
      </c>
      <c r="D834" s="758"/>
      <c r="E834" s="1819"/>
      <c r="F834" s="433"/>
      <c r="G834" s="1749" t="str">
        <f t="shared" si="39"/>
        <v/>
      </c>
      <c r="H834" s="1748"/>
      <c r="I834" s="1748" t="s">
        <v>6506</v>
      </c>
      <c r="J834" s="1748" t="s">
        <v>6506</v>
      </c>
      <c r="K834" s="1748"/>
      <c r="L834" s="1748"/>
      <c r="M834" s="1862" t="str">
        <f t="shared" si="40"/>
        <v/>
      </c>
      <c r="N834" s="1846" t="s">
        <v>6506</v>
      </c>
      <c r="O834" s="1846" t="s">
        <v>6506</v>
      </c>
      <c r="P834" s="1846" t="s">
        <v>6506</v>
      </c>
      <c r="Q834" s="1846" t="s">
        <v>6506</v>
      </c>
      <c r="R834" s="1846" t="s">
        <v>6506</v>
      </c>
      <c r="S834" s="1855" t="s">
        <v>6506</v>
      </c>
    </row>
    <row r="835" spans="1:19" ht="12" customHeight="1">
      <c r="A835" s="7145"/>
      <c r="B835" s="7145"/>
      <c r="C835" s="931" t="s">
        <v>2904</v>
      </c>
      <c r="D835" s="758" t="str">
        <f>PROPER(MID(C834,3,100))</f>
        <v>Maestro De Catástrofes</v>
      </c>
      <c r="E835" s="433">
        <v>1</v>
      </c>
      <c r="F835" s="433">
        <v>25</v>
      </c>
      <c r="G835" s="1749">
        <f t="shared" si="39"/>
        <v>25</v>
      </c>
      <c r="H835" s="1748" t="s">
        <v>2905</v>
      </c>
      <c r="I835" s="1748" t="s">
        <v>9022</v>
      </c>
      <c r="J835" s="1748" t="s">
        <v>2866</v>
      </c>
      <c r="K835" s="1748"/>
      <c r="L835" s="1748"/>
      <c r="M835" s="1862">
        <f t="shared" si="40"/>
        <v>0</v>
      </c>
      <c r="N835" s="1846" t="s">
        <v>9080</v>
      </c>
      <c r="O835" s="1846" t="s">
        <v>9092</v>
      </c>
      <c r="P835" s="1846" t="s">
        <v>6506</v>
      </c>
      <c r="Q835" s="1846" t="s">
        <v>6506</v>
      </c>
      <c r="R835" s="1846" t="s">
        <v>6506</v>
      </c>
      <c r="S835" s="1855" t="s">
        <v>6506</v>
      </c>
    </row>
    <row r="836" spans="1:19" ht="12" customHeight="1">
      <c r="A836" s="7145"/>
      <c r="B836" s="7145"/>
      <c r="C836" s="931" t="s">
        <v>2906</v>
      </c>
      <c r="D836" s="758" t="str">
        <f>D835</f>
        <v>Maestro De Catástrofes</v>
      </c>
      <c r="E836" s="433">
        <v>1</v>
      </c>
      <c r="F836" s="433">
        <v>45</v>
      </c>
      <c r="G836" s="1749">
        <f t="shared" si="39"/>
        <v>45</v>
      </c>
      <c r="H836" s="1748" t="s">
        <v>2907</v>
      </c>
      <c r="I836" s="1748" t="s">
        <v>9023</v>
      </c>
      <c r="J836" s="1748" t="s">
        <v>9024</v>
      </c>
      <c r="K836" s="1748"/>
      <c r="L836" s="1748"/>
      <c r="M836" s="1862">
        <f t="shared" si="40"/>
        <v>0</v>
      </c>
      <c r="N836" s="1846" t="s">
        <v>9080</v>
      </c>
      <c r="O836" s="1846" t="s">
        <v>9092</v>
      </c>
      <c r="P836" s="1846" t="s">
        <v>6506</v>
      </c>
      <c r="Q836" s="1846" t="s">
        <v>6506</v>
      </c>
      <c r="R836" s="1846" t="s">
        <v>6506</v>
      </c>
      <c r="S836" s="1855" t="s">
        <v>6506</v>
      </c>
    </row>
    <row r="837" spans="1:19" ht="12" customHeight="1">
      <c r="A837" s="7145"/>
      <c r="B837" s="7145"/>
      <c r="C837" s="931" t="s">
        <v>2908</v>
      </c>
      <c r="D837" s="758" t="str">
        <f>D836</f>
        <v>Maestro De Catástrofes</v>
      </c>
      <c r="E837" s="433">
        <v>2</v>
      </c>
      <c r="F837" s="433">
        <v>65</v>
      </c>
      <c r="G837" s="1749">
        <f t="shared" si="39"/>
        <v>65</v>
      </c>
      <c r="H837" s="1748" t="s">
        <v>2909</v>
      </c>
      <c r="I837" s="1748" t="s">
        <v>9025</v>
      </c>
      <c r="J837" s="1748" t="s">
        <v>9026</v>
      </c>
      <c r="K837" s="1748"/>
      <c r="L837" s="1748"/>
      <c r="M837" s="1862">
        <f t="shared" si="40"/>
        <v>0</v>
      </c>
      <c r="N837" s="1846" t="s">
        <v>9080</v>
      </c>
      <c r="O837" s="1846" t="s">
        <v>9079</v>
      </c>
      <c r="P837" s="1846" t="s">
        <v>6506</v>
      </c>
      <c r="Q837" s="1846" t="s">
        <v>6506</v>
      </c>
      <c r="R837" s="1846" t="s">
        <v>6506</v>
      </c>
      <c r="S837" s="1855" t="s">
        <v>6506</v>
      </c>
    </row>
    <row r="838" spans="1:19" ht="12" customHeight="1">
      <c r="A838" s="7145"/>
      <c r="B838" s="7145"/>
      <c r="C838" s="931" t="s">
        <v>2910</v>
      </c>
      <c r="D838" s="758" t="str">
        <f>D837</f>
        <v>Maestro De Catástrofes</v>
      </c>
      <c r="E838" s="433">
        <v>2</v>
      </c>
      <c r="F838" s="433">
        <v>75</v>
      </c>
      <c r="G838" s="1749">
        <f t="shared" si="39"/>
        <v>75</v>
      </c>
      <c r="H838" s="1748" t="s">
        <v>2911</v>
      </c>
      <c r="I838" s="1748" t="s">
        <v>9027</v>
      </c>
      <c r="J838" s="1748" t="s">
        <v>9028</v>
      </c>
      <c r="K838" s="1748"/>
      <c r="L838" s="1748"/>
      <c r="M838" s="1862">
        <f t="shared" si="40"/>
        <v>0</v>
      </c>
      <c r="N838" s="1846" t="s">
        <v>9096</v>
      </c>
      <c r="O838" s="1846" t="s">
        <v>6506</v>
      </c>
      <c r="P838" s="1846" t="s">
        <v>6506</v>
      </c>
      <c r="Q838" s="1846" t="s">
        <v>6506</v>
      </c>
      <c r="R838" s="1846" t="s">
        <v>6506</v>
      </c>
      <c r="S838" s="1855" t="s">
        <v>6506</v>
      </c>
    </row>
    <row r="839" spans="1:19" ht="12" customHeight="1">
      <c r="A839" s="7145"/>
      <c r="B839" s="7145"/>
      <c r="C839" s="931" t="s">
        <v>2912</v>
      </c>
      <c r="D839" s="758" t="str">
        <f>D838</f>
        <v>Maestro De Catástrofes</v>
      </c>
      <c r="E839" s="433">
        <v>3</v>
      </c>
      <c r="F839" s="433">
        <v>110</v>
      </c>
      <c r="G839" s="1749">
        <f t="shared" si="39"/>
        <v>110</v>
      </c>
      <c r="H839" s="1748" t="s">
        <v>2913</v>
      </c>
      <c r="I839" s="1748" t="s">
        <v>9062</v>
      </c>
      <c r="J839" s="1748" t="s">
        <v>9024</v>
      </c>
      <c r="K839" s="1748"/>
      <c r="L839" s="1748"/>
      <c r="M839" s="1862">
        <f t="shared" si="40"/>
        <v>0</v>
      </c>
      <c r="N839" s="1846" t="s">
        <v>9080</v>
      </c>
      <c r="O839" s="1846" t="s">
        <v>9092</v>
      </c>
      <c r="P839" s="1846" t="s">
        <v>9092</v>
      </c>
      <c r="Q839" s="1846" t="s">
        <v>9091</v>
      </c>
      <c r="R839" s="1846" t="s">
        <v>9078</v>
      </c>
      <c r="S839" s="1855" t="s">
        <v>6506</v>
      </c>
    </row>
    <row r="840" spans="1:19" ht="12" customHeight="1">
      <c r="A840" s="7145"/>
      <c r="B840" s="7145"/>
      <c r="C840" s="931" t="s">
        <v>2914</v>
      </c>
      <c r="D840" s="758" t="str">
        <f>D839</f>
        <v>Maestro De Catástrofes</v>
      </c>
      <c r="E840" s="433">
        <v>3</v>
      </c>
      <c r="F840" s="433">
        <v>110</v>
      </c>
      <c r="G840" s="1749">
        <f t="shared" si="39"/>
        <v>110</v>
      </c>
      <c r="H840" s="1748" t="s">
        <v>2915</v>
      </c>
      <c r="I840" s="1748" t="s">
        <v>9029</v>
      </c>
      <c r="J840" s="1748" t="s">
        <v>9030</v>
      </c>
      <c r="K840" s="1748"/>
      <c r="L840" s="1748"/>
      <c r="M840" s="1862">
        <f t="shared" si="40"/>
        <v>0</v>
      </c>
      <c r="N840" s="1846" t="s">
        <v>9080</v>
      </c>
      <c r="O840" s="1846" t="s">
        <v>9092</v>
      </c>
      <c r="P840" s="1846" t="s">
        <v>9092</v>
      </c>
      <c r="Q840" s="1846" t="s">
        <v>9087</v>
      </c>
      <c r="R840" s="1846" t="s">
        <v>6506</v>
      </c>
      <c r="S840" s="1855" t="s">
        <v>6506</v>
      </c>
    </row>
    <row r="841" spans="1:19" ht="12" customHeight="1">
      <c r="A841" s="7145"/>
      <c r="B841" s="7145"/>
      <c r="C841" s="931" t="s">
        <v>2916</v>
      </c>
      <c r="D841" s="758"/>
      <c r="E841" s="1819"/>
      <c r="F841" s="433"/>
      <c r="G841" s="1749" t="str">
        <f t="shared" si="39"/>
        <v/>
      </c>
      <c r="H841" s="1748"/>
      <c r="I841" s="1748" t="s">
        <v>6506</v>
      </c>
      <c r="J841" s="1748" t="s">
        <v>6506</v>
      </c>
      <c r="K841" s="1748"/>
      <c r="L841" s="1748"/>
      <c r="M841" s="1862" t="str">
        <f t="shared" si="40"/>
        <v/>
      </c>
      <c r="N841" s="1846" t="s">
        <v>6506</v>
      </c>
      <c r="O841" s="1846" t="s">
        <v>6506</v>
      </c>
      <c r="P841" s="1846" t="s">
        <v>6506</v>
      </c>
      <c r="Q841" s="1846" t="s">
        <v>6506</v>
      </c>
      <c r="R841" s="1846" t="s">
        <v>6506</v>
      </c>
      <c r="S841" s="1855" t="s">
        <v>6506</v>
      </c>
    </row>
    <row r="842" spans="1:19" ht="12" customHeight="1">
      <c r="A842" s="7145"/>
      <c r="B842" s="7145"/>
      <c r="C842" s="931" t="s">
        <v>2917</v>
      </c>
      <c r="D842" s="758" t="str">
        <f>PROPER(MID(C841,3,100))</f>
        <v>Thanathos</v>
      </c>
      <c r="E842" s="433">
        <v>1</v>
      </c>
      <c r="F842" s="433">
        <v>20</v>
      </c>
      <c r="G842" s="1749">
        <f t="shared" si="39"/>
        <v>20</v>
      </c>
      <c r="H842" s="1748" t="s">
        <v>2918</v>
      </c>
      <c r="I842" s="1748" t="s">
        <v>9031</v>
      </c>
      <c r="J842" s="1748" t="s">
        <v>9032</v>
      </c>
      <c r="K842" s="1748"/>
      <c r="L842" s="1748"/>
      <c r="M842" s="1862">
        <f t="shared" si="40"/>
        <v>0</v>
      </c>
      <c r="N842" s="1846" t="s">
        <v>9077</v>
      </c>
      <c r="O842" s="1846" t="s">
        <v>9079</v>
      </c>
      <c r="P842" s="1846" t="s">
        <v>6506</v>
      </c>
      <c r="Q842" s="1846" t="s">
        <v>6506</v>
      </c>
      <c r="R842" s="1846" t="s">
        <v>6506</v>
      </c>
      <c r="S842" s="1855" t="s">
        <v>6506</v>
      </c>
    </row>
    <row r="843" spans="1:19" ht="12" customHeight="1">
      <c r="A843" s="7145"/>
      <c r="B843" s="7145"/>
      <c r="C843" s="931" t="s">
        <v>2919</v>
      </c>
      <c r="D843" s="758" t="str">
        <f>D842</f>
        <v>Thanathos</v>
      </c>
      <c r="E843" s="433">
        <v>1</v>
      </c>
      <c r="F843" s="433">
        <v>25</v>
      </c>
      <c r="G843" s="1749">
        <f t="shared" si="39"/>
        <v>25</v>
      </c>
      <c r="H843" s="1748" t="s">
        <v>2920</v>
      </c>
      <c r="I843" s="1748" t="s">
        <v>9033</v>
      </c>
      <c r="J843" s="1748" t="s">
        <v>9032</v>
      </c>
      <c r="K843" s="1748"/>
      <c r="L843" s="1748"/>
      <c r="M843" s="1862">
        <f t="shared" si="40"/>
        <v>0</v>
      </c>
      <c r="N843" s="1846" t="s">
        <v>9079</v>
      </c>
      <c r="O843" s="1846" t="s">
        <v>9092</v>
      </c>
      <c r="P843" s="1846" t="s">
        <v>6506</v>
      </c>
      <c r="Q843" s="1846" t="s">
        <v>6506</v>
      </c>
      <c r="R843" s="1846" t="s">
        <v>6506</v>
      </c>
      <c r="S843" s="1855" t="s">
        <v>6506</v>
      </c>
    </row>
    <row r="844" spans="1:19" ht="12" customHeight="1">
      <c r="A844" s="7145"/>
      <c r="B844" s="7145"/>
      <c r="C844" s="931" t="s">
        <v>2921</v>
      </c>
      <c r="D844" s="758" t="str">
        <f>D843</f>
        <v>Thanathos</v>
      </c>
      <c r="E844" s="433">
        <v>2</v>
      </c>
      <c r="F844" s="433">
        <v>65</v>
      </c>
      <c r="G844" s="1749">
        <f t="shared" si="39"/>
        <v>65</v>
      </c>
      <c r="H844" s="1748" t="s">
        <v>2922</v>
      </c>
      <c r="I844" s="1748" t="s">
        <v>9034</v>
      </c>
      <c r="J844" s="1748" t="s">
        <v>9032</v>
      </c>
      <c r="K844" s="1748"/>
      <c r="L844" s="1748"/>
      <c r="M844" s="1862">
        <f t="shared" si="40"/>
        <v>0</v>
      </c>
      <c r="N844" s="1846" t="s">
        <v>9077</v>
      </c>
      <c r="O844" s="1846" t="s">
        <v>9080</v>
      </c>
      <c r="P844" s="1846" t="s">
        <v>6506</v>
      </c>
      <c r="Q844" s="1846" t="s">
        <v>6506</v>
      </c>
      <c r="R844" s="1846" t="s">
        <v>6506</v>
      </c>
      <c r="S844" s="1855" t="s">
        <v>6506</v>
      </c>
    </row>
    <row r="845" spans="1:19" ht="12" customHeight="1">
      <c r="A845" s="7145"/>
      <c r="B845" s="7145"/>
      <c r="C845" s="931" t="s">
        <v>2923</v>
      </c>
      <c r="D845" s="758" t="str">
        <f>D844</f>
        <v>Thanathos</v>
      </c>
      <c r="E845" s="433">
        <v>2</v>
      </c>
      <c r="F845" s="433">
        <v>50</v>
      </c>
      <c r="G845" s="1749">
        <f t="shared" si="39"/>
        <v>50</v>
      </c>
      <c r="H845" s="1748" t="s">
        <v>2924</v>
      </c>
      <c r="I845" s="1748" t="s">
        <v>9035</v>
      </c>
      <c r="J845" s="1748" t="s">
        <v>9032</v>
      </c>
      <c r="K845" s="1748"/>
      <c r="L845" s="1748"/>
      <c r="M845" s="1862">
        <f t="shared" si="40"/>
        <v>0</v>
      </c>
      <c r="N845" s="1846" t="s">
        <v>9081</v>
      </c>
      <c r="O845" s="1846" t="s">
        <v>9083</v>
      </c>
      <c r="P845" s="1846" t="s">
        <v>6506</v>
      </c>
      <c r="Q845" s="1846" t="s">
        <v>6506</v>
      </c>
      <c r="R845" s="1846" t="s">
        <v>6506</v>
      </c>
      <c r="S845" s="1855" t="s">
        <v>6506</v>
      </c>
    </row>
    <row r="846" spans="1:19" ht="12" customHeight="1">
      <c r="A846" s="7145"/>
      <c r="B846" s="7145"/>
      <c r="C846" s="931" t="s">
        <v>2925</v>
      </c>
      <c r="D846" s="758" t="str">
        <f>D845</f>
        <v>Thanathos</v>
      </c>
      <c r="E846" s="433">
        <v>2</v>
      </c>
      <c r="F846" s="433">
        <v>60</v>
      </c>
      <c r="G846" s="1749">
        <f t="shared" si="39"/>
        <v>60</v>
      </c>
      <c r="H846" s="1748" t="s">
        <v>2924</v>
      </c>
      <c r="I846" s="1748" t="s">
        <v>9036</v>
      </c>
      <c r="J846" s="1748" t="s">
        <v>9032</v>
      </c>
      <c r="K846" s="1748"/>
      <c r="L846" s="1748"/>
      <c r="M846" s="1862">
        <f t="shared" si="40"/>
        <v>0</v>
      </c>
      <c r="N846" s="1846" t="s">
        <v>9084</v>
      </c>
      <c r="O846" s="1846" t="s">
        <v>9083</v>
      </c>
      <c r="P846" s="1846" t="s">
        <v>6506</v>
      </c>
      <c r="Q846" s="1846" t="s">
        <v>6506</v>
      </c>
      <c r="R846" s="1846" t="s">
        <v>6506</v>
      </c>
      <c r="S846" s="1855" t="s">
        <v>6506</v>
      </c>
    </row>
    <row r="847" spans="1:19" ht="12" customHeight="1">
      <c r="A847" s="7145"/>
      <c r="B847" s="7145"/>
      <c r="C847" s="931" t="s">
        <v>2926</v>
      </c>
      <c r="D847" s="758" t="str">
        <f>D846</f>
        <v>Thanathos</v>
      </c>
      <c r="E847" s="433">
        <v>3</v>
      </c>
      <c r="F847" s="433">
        <v>90</v>
      </c>
      <c r="G847" s="1749">
        <f t="shared" si="39"/>
        <v>90</v>
      </c>
      <c r="H847" s="1748" t="s">
        <v>2927</v>
      </c>
      <c r="I847" s="1748" t="s">
        <v>9037</v>
      </c>
      <c r="J847" s="1748" t="s">
        <v>9780</v>
      </c>
      <c r="K847" s="1748"/>
      <c r="L847" s="1748"/>
      <c r="M847" s="1862">
        <f t="shared" si="40"/>
        <v>0</v>
      </c>
      <c r="N847" s="1846" t="s">
        <v>9079</v>
      </c>
      <c r="O847" s="1846" t="s">
        <v>9077</v>
      </c>
      <c r="P847" s="1846" t="s">
        <v>6506</v>
      </c>
      <c r="Q847" s="1846" t="s">
        <v>6506</v>
      </c>
      <c r="R847" s="1846" t="s">
        <v>6506</v>
      </c>
      <c r="S847" s="1855" t="s">
        <v>6506</v>
      </c>
    </row>
    <row r="848" spans="1:19" ht="12" customHeight="1">
      <c r="A848" s="7145"/>
      <c r="B848" s="7145"/>
      <c r="C848" s="931" t="s">
        <v>2928</v>
      </c>
      <c r="D848" s="758"/>
      <c r="E848" s="1819"/>
      <c r="F848" s="433"/>
      <c r="G848" s="1749" t="str">
        <f t="shared" si="39"/>
        <v/>
      </c>
      <c r="H848" s="1748"/>
      <c r="I848" s="1748" t="s">
        <v>6506</v>
      </c>
      <c r="J848" s="1748" t="s">
        <v>6506</v>
      </c>
      <c r="K848" s="1748"/>
      <c r="L848" s="1748"/>
      <c r="M848" s="1862" t="str">
        <f t="shared" si="40"/>
        <v/>
      </c>
      <c r="N848" s="1846" t="s">
        <v>6506</v>
      </c>
      <c r="O848" s="1846" t="s">
        <v>6506</v>
      </c>
      <c r="P848" s="1846" t="s">
        <v>6506</v>
      </c>
      <c r="Q848" s="1846" t="s">
        <v>6506</v>
      </c>
      <c r="R848" s="1846" t="s">
        <v>6506</v>
      </c>
      <c r="S848" s="1855" t="s">
        <v>6506</v>
      </c>
    </row>
    <row r="849" spans="1:19" ht="12" customHeight="1">
      <c r="A849" s="7145"/>
      <c r="B849" s="7145"/>
      <c r="C849" s="931" t="s">
        <v>2929</v>
      </c>
      <c r="D849" s="758" t="str">
        <f>PROPER(MID(C848,3,100))</f>
        <v>Legado De Sólomon</v>
      </c>
      <c r="E849" s="433">
        <v>1</v>
      </c>
      <c r="F849" s="433">
        <v>50</v>
      </c>
      <c r="G849" s="1749">
        <f t="shared" si="39"/>
        <v>50</v>
      </c>
      <c r="H849" s="1748" t="s">
        <v>2930</v>
      </c>
      <c r="I849" s="1748" t="s">
        <v>9038</v>
      </c>
      <c r="J849" s="1748" t="s">
        <v>9039</v>
      </c>
      <c r="K849" s="1748"/>
      <c r="L849" s="1748"/>
      <c r="M849" s="1862">
        <f t="shared" si="40"/>
        <v>0</v>
      </c>
      <c r="N849" s="1846" t="s">
        <v>9081</v>
      </c>
      <c r="O849" s="1846" t="s">
        <v>8621</v>
      </c>
      <c r="P849" s="1846" t="s">
        <v>6506</v>
      </c>
      <c r="Q849" s="1846" t="s">
        <v>6506</v>
      </c>
      <c r="R849" s="1846" t="s">
        <v>6506</v>
      </c>
      <c r="S849" s="1855" t="s">
        <v>6506</v>
      </c>
    </row>
    <row r="850" spans="1:19" ht="12" customHeight="1">
      <c r="A850" s="7145"/>
      <c r="B850" s="7145"/>
      <c r="C850" s="931" t="s">
        <v>2931</v>
      </c>
      <c r="D850" s="758" t="str">
        <f t="shared" ref="D850:D857" si="41">D849</f>
        <v>Legado De Sólomon</v>
      </c>
      <c r="E850" s="433">
        <v>1</v>
      </c>
      <c r="F850" s="433">
        <v>25</v>
      </c>
      <c r="G850" s="1749">
        <f t="shared" si="39"/>
        <v>25</v>
      </c>
      <c r="H850" s="1748" t="s">
        <v>2897</v>
      </c>
      <c r="I850" s="1748" t="s">
        <v>9040</v>
      </c>
      <c r="J850" s="1748" t="s">
        <v>9039</v>
      </c>
      <c r="K850" s="1748"/>
      <c r="L850" s="1748"/>
      <c r="M850" s="1862">
        <f t="shared" si="40"/>
        <v>0</v>
      </c>
      <c r="N850" s="1846" t="s">
        <v>9090</v>
      </c>
      <c r="O850" s="1846" t="s">
        <v>6506</v>
      </c>
      <c r="P850" s="1846" t="s">
        <v>6506</v>
      </c>
      <c r="Q850" s="1846" t="s">
        <v>6506</v>
      </c>
      <c r="R850" s="1846" t="s">
        <v>6506</v>
      </c>
      <c r="S850" s="1855" t="s">
        <v>6506</v>
      </c>
    </row>
    <row r="851" spans="1:19" ht="12" customHeight="1">
      <c r="A851" s="7145"/>
      <c r="B851" s="7145"/>
      <c r="C851" s="931" t="s">
        <v>2932</v>
      </c>
      <c r="D851" s="758" t="str">
        <f t="shared" si="41"/>
        <v>Legado De Sólomon</v>
      </c>
      <c r="E851" s="433">
        <v>1</v>
      </c>
      <c r="F851" s="433">
        <v>35</v>
      </c>
      <c r="G851" s="1749">
        <f t="shared" si="39"/>
        <v>35</v>
      </c>
      <c r="H851" s="1748" t="s">
        <v>2900</v>
      </c>
      <c r="I851" s="1748" t="s">
        <v>9041</v>
      </c>
      <c r="J851" s="1748" t="s">
        <v>9039</v>
      </c>
      <c r="K851" s="1748"/>
      <c r="L851" s="1748"/>
      <c r="M851" s="1862">
        <f t="shared" si="40"/>
        <v>0</v>
      </c>
      <c r="N851" s="1846" t="s">
        <v>9078</v>
      </c>
      <c r="O851" s="1846" t="s">
        <v>9087</v>
      </c>
      <c r="P851" s="1846" t="s">
        <v>9077</v>
      </c>
      <c r="Q851" s="1846" t="s">
        <v>6506</v>
      </c>
      <c r="R851" s="1846" t="s">
        <v>6506</v>
      </c>
      <c r="S851" s="1855" t="s">
        <v>6506</v>
      </c>
    </row>
    <row r="852" spans="1:19" ht="12" customHeight="1">
      <c r="A852" s="7145"/>
      <c r="B852" s="7145"/>
      <c r="C852" s="931" t="s">
        <v>2933</v>
      </c>
      <c r="D852" s="758" t="str">
        <f t="shared" si="41"/>
        <v>Legado De Sólomon</v>
      </c>
      <c r="E852" s="433">
        <v>2</v>
      </c>
      <c r="F852" s="433">
        <v>65</v>
      </c>
      <c r="G852" s="1749">
        <f t="shared" si="39"/>
        <v>65</v>
      </c>
      <c r="H852" s="1748" t="s">
        <v>2934</v>
      </c>
      <c r="I852" s="1748" t="s">
        <v>9042</v>
      </c>
      <c r="J852" s="1748" t="s">
        <v>9039</v>
      </c>
      <c r="K852" s="1748"/>
      <c r="L852" s="1748"/>
      <c r="M852" s="1862">
        <f t="shared" si="40"/>
        <v>0</v>
      </c>
      <c r="N852" s="1846" t="s">
        <v>9081</v>
      </c>
      <c r="O852" s="1846" t="s">
        <v>8621</v>
      </c>
      <c r="P852" s="1846" t="s">
        <v>6506</v>
      </c>
      <c r="Q852" s="1846" t="s">
        <v>6506</v>
      </c>
      <c r="R852" s="1846" t="s">
        <v>6506</v>
      </c>
      <c r="S852" s="1855" t="s">
        <v>6506</v>
      </c>
    </row>
    <row r="853" spans="1:19" ht="12" customHeight="1">
      <c r="A853" s="7145"/>
      <c r="B853" s="7145"/>
      <c r="C853" s="931" t="s">
        <v>2935</v>
      </c>
      <c r="D853" s="758" t="str">
        <f t="shared" si="41"/>
        <v>Legado De Sólomon</v>
      </c>
      <c r="E853" s="433">
        <v>2</v>
      </c>
      <c r="F853" s="433">
        <v>60</v>
      </c>
      <c r="G853" s="1749">
        <f t="shared" si="39"/>
        <v>60</v>
      </c>
      <c r="H853" s="1748" t="s">
        <v>2936</v>
      </c>
      <c r="I853" s="1748" t="s">
        <v>9043</v>
      </c>
      <c r="J853" s="1748" t="s">
        <v>9039</v>
      </c>
      <c r="K853" s="1748"/>
      <c r="L853" s="1748"/>
      <c r="M853" s="1862">
        <f t="shared" si="40"/>
        <v>0</v>
      </c>
      <c r="N853" s="1846" t="s">
        <v>9084</v>
      </c>
      <c r="O853" s="1846" t="s">
        <v>6506</v>
      </c>
      <c r="P853" s="1846" t="s">
        <v>6506</v>
      </c>
      <c r="Q853" s="1846" t="s">
        <v>6506</v>
      </c>
      <c r="R853" s="1846" t="s">
        <v>6506</v>
      </c>
      <c r="S853" s="1855" t="s">
        <v>6506</v>
      </c>
    </row>
    <row r="854" spans="1:19" ht="12" customHeight="1">
      <c r="A854" s="7145"/>
      <c r="B854" s="7145"/>
      <c r="C854" s="931" t="s">
        <v>2937</v>
      </c>
      <c r="D854" s="758" t="str">
        <f t="shared" si="41"/>
        <v>Legado De Sólomon</v>
      </c>
      <c r="E854" s="433">
        <v>2</v>
      </c>
      <c r="F854" s="433">
        <v>100</v>
      </c>
      <c r="G854" s="1749">
        <f t="shared" si="39"/>
        <v>100</v>
      </c>
      <c r="H854" s="1748" t="s">
        <v>2938</v>
      </c>
      <c r="I854" s="1748" t="s">
        <v>9044</v>
      </c>
      <c r="J854" s="1748" t="s">
        <v>9039</v>
      </c>
      <c r="K854" s="1748"/>
      <c r="L854" s="1748"/>
      <c r="M854" s="1862">
        <f t="shared" si="40"/>
        <v>0</v>
      </c>
      <c r="N854" s="1846" t="s">
        <v>9078</v>
      </c>
      <c r="O854" s="1846" t="s">
        <v>9087</v>
      </c>
      <c r="P854" s="1846" t="s">
        <v>9077</v>
      </c>
      <c r="Q854" s="1846" t="s">
        <v>6506</v>
      </c>
      <c r="R854" s="1846" t="s">
        <v>6506</v>
      </c>
      <c r="S854" s="1855" t="s">
        <v>6506</v>
      </c>
    </row>
    <row r="855" spans="1:19" ht="12" customHeight="1">
      <c r="A855" s="7145"/>
      <c r="B855" s="7145"/>
      <c r="C855" s="931" t="s">
        <v>2939</v>
      </c>
      <c r="D855" s="758" t="str">
        <f t="shared" si="41"/>
        <v>Legado De Sólomon</v>
      </c>
      <c r="E855" s="433">
        <v>2</v>
      </c>
      <c r="F855" s="433">
        <v>65</v>
      </c>
      <c r="G855" s="1749">
        <f t="shared" si="39"/>
        <v>65</v>
      </c>
      <c r="H855" s="1748" t="s">
        <v>2897</v>
      </c>
      <c r="I855" s="1748" t="s">
        <v>9045</v>
      </c>
      <c r="J855" s="1748" t="s">
        <v>9046</v>
      </c>
      <c r="K855" s="1748"/>
      <c r="L855" s="1748"/>
      <c r="M855" s="1862">
        <f t="shared" si="40"/>
        <v>0</v>
      </c>
      <c r="N855" s="1846" t="s">
        <v>9080</v>
      </c>
      <c r="O855" s="1846" t="s">
        <v>6506</v>
      </c>
      <c r="P855" s="1846" t="s">
        <v>6506</v>
      </c>
      <c r="Q855" s="1846" t="s">
        <v>6506</v>
      </c>
      <c r="R855" s="1846" t="s">
        <v>6506</v>
      </c>
      <c r="S855" s="1855" t="s">
        <v>6506</v>
      </c>
    </row>
    <row r="856" spans="1:19" ht="12" customHeight="1">
      <c r="A856" s="7145"/>
      <c r="B856" s="7145"/>
      <c r="C856" s="931" t="s">
        <v>2940</v>
      </c>
      <c r="D856" s="758" t="str">
        <f t="shared" si="41"/>
        <v>Legado De Sólomon</v>
      </c>
      <c r="E856" s="433">
        <v>3</v>
      </c>
      <c r="F856" s="433">
        <v>95</v>
      </c>
      <c r="G856" s="1749">
        <f t="shared" si="39"/>
        <v>95</v>
      </c>
      <c r="H856" s="1748" t="s">
        <v>2941</v>
      </c>
      <c r="I856" s="1748" t="s">
        <v>9047</v>
      </c>
      <c r="J856" s="1748" t="s">
        <v>9039</v>
      </c>
      <c r="K856" s="1748"/>
      <c r="L856" s="1748"/>
      <c r="M856" s="1862">
        <f t="shared" si="40"/>
        <v>0</v>
      </c>
      <c r="N856" s="1846" t="s">
        <v>9081</v>
      </c>
      <c r="O856" s="1846" t="s">
        <v>8621</v>
      </c>
      <c r="P856" s="1846" t="s">
        <v>6506</v>
      </c>
      <c r="Q856" s="1846" t="s">
        <v>6506</v>
      </c>
      <c r="R856" s="1846" t="s">
        <v>6506</v>
      </c>
      <c r="S856" s="1855" t="s">
        <v>6506</v>
      </c>
    </row>
    <row r="857" spans="1:19" ht="12" customHeight="1">
      <c r="A857" s="7145"/>
      <c r="B857" s="7145"/>
      <c r="C857" s="931" t="s">
        <v>2942</v>
      </c>
      <c r="D857" s="758" t="str">
        <f t="shared" si="41"/>
        <v>Legado De Sólomon</v>
      </c>
      <c r="E857" s="433">
        <v>3</v>
      </c>
      <c r="F857" s="433">
        <v>80</v>
      </c>
      <c r="G857" s="1749">
        <f t="shared" si="39"/>
        <v>80</v>
      </c>
      <c r="H857" s="1748" t="s">
        <v>2943</v>
      </c>
      <c r="I857" s="1748" t="s">
        <v>9048</v>
      </c>
      <c r="J857" s="1748" t="s">
        <v>9049</v>
      </c>
      <c r="K857" s="1748"/>
      <c r="L857" s="1748"/>
      <c r="M857" s="1862">
        <f t="shared" si="40"/>
        <v>0</v>
      </c>
      <c r="N857" s="1846" t="s">
        <v>9087</v>
      </c>
      <c r="O857" s="1846" t="s">
        <v>9092</v>
      </c>
      <c r="P857" s="1846" t="s">
        <v>6506</v>
      </c>
      <c r="Q857" s="1846" t="s">
        <v>6506</v>
      </c>
      <c r="R857" s="1846" t="s">
        <v>6506</v>
      </c>
      <c r="S857" s="1855" t="s">
        <v>6506</v>
      </c>
    </row>
    <row r="858" spans="1:19" ht="12" customHeight="1">
      <c r="A858" s="7145"/>
      <c r="B858" s="7145"/>
      <c r="C858" s="931" t="s">
        <v>2944</v>
      </c>
      <c r="D858" s="758"/>
      <c r="E858" s="1819"/>
      <c r="F858" s="433"/>
      <c r="G858" s="1749" t="str">
        <f t="shared" si="39"/>
        <v/>
      </c>
      <c r="H858" s="1748"/>
      <c r="I858" s="1748" t="s">
        <v>6506</v>
      </c>
      <c r="J858" s="1748" t="s">
        <v>6506</v>
      </c>
      <c r="K858" s="1748"/>
      <c r="L858" s="1748"/>
      <c r="M858" s="1862" t="str">
        <f t="shared" ref="M858:M885" si="42">IF(D858="","",IF(IFERROR(INDEX($P$100:$P$105,MID(N858,1,1)),0)+IFERROR(INDEX($P$100:$P$105,MID(N858,2,1)),0)+IFERROR(INDEX($P$100:$P$105,MID(N858,3,1)),0)&gt;0,-5,0)+IF(IFERROR(INDEX($P$100:$P$105,MID(O858,1,1)),0)+IFERROR(INDEX($P$100:$P$105,MID(O858,2,1)),0)+IFERROR(INDEX($P$100:$P$105,MID(O858,3,1)),0)&gt;0,-5,0)+IF(IFERROR(INDEX($P$100:$P$105,MID(P858,1,1)),0)+IFERROR(INDEX($P$100:$P$105,MID(P858,2,1)),0)+IFERROR(INDEX($P$100:$P$105,MID(P858,3,1)),0)&gt;0,-5,0)+IF(IFERROR(INDEX($P$100:$P$105,MID(Q858,1,1)),0)+IFERROR(INDEX($P$100:$P$105,MID(Q858,2,1)),0)+IFERROR(INDEX($P$100:$P$105,MID(Q858,3,1)),0)&gt;0,-5,0)+IF(IFERROR(INDEX($P$100:$P$105,MID(R858,1,1)),0)+IFERROR(INDEX($P$100:$P$105,MID(R858,2,1)),0)+IFERROR(INDEX($P$100:$P$105,MID(R858,3,1)),0)&gt;0,-5,0)+IF(IFERROR(INDEX($P$100:$P$105,MID(S858,1,1)),0)+IFERROR(INDEX($P$100:$P$105,MID(S858,2,1)),0)+IFERROR(INDEX($P$100:$P$105,MID(S858,3,1)),0)&gt;0,-5,0))</f>
        <v/>
      </c>
      <c r="N858" s="1846" t="s">
        <v>6506</v>
      </c>
      <c r="O858" s="1846" t="s">
        <v>6506</v>
      </c>
      <c r="P858" s="1846" t="s">
        <v>6506</v>
      </c>
      <c r="Q858" s="1846" t="s">
        <v>6506</v>
      </c>
      <c r="R858" s="1846" t="s">
        <v>6506</v>
      </c>
      <c r="S858" s="1855" t="s">
        <v>6506</v>
      </c>
    </row>
    <row r="859" spans="1:19" ht="12" customHeight="1">
      <c r="A859" s="7145"/>
      <c r="B859" s="7145"/>
      <c r="C859" s="931" t="s">
        <v>2945</v>
      </c>
      <c r="D859" s="758" t="str">
        <f>PROPER(MID(C858,3,100))</f>
        <v>Frostkolier</v>
      </c>
      <c r="E859" s="433">
        <v>1</v>
      </c>
      <c r="F859" s="433">
        <v>35</v>
      </c>
      <c r="G859" s="1749">
        <f t="shared" si="39"/>
        <v>35</v>
      </c>
      <c r="H859" s="1748" t="s">
        <v>2946</v>
      </c>
      <c r="I859" s="1748" t="s">
        <v>9050</v>
      </c>
      <c r="J859" s="1748" t="s">
        <v>9051</v>
      </c>
      <c r="K859" s="1748"/>
      <c r="L859" s="1748"/>
      <c r="M859" s="1862">
        <f t="shared" si="42"/>
        <v>0</v>
      </c>
      <c r="N859" s="1846" t="s">
        <v>9077</v>
      </c>
      <c r="O859" s="1846" t="s">
        <v>9637</v>
      </c>
      <c r="P859" s="1846" t="s">
        <v>6506</v>
      </c>
      <c r="Q859" s="1846" t="s">
        <v>6506</v>
      </c>
      <c r="R859" s="1846" t="s">
        <v>6506</v>
      </c>
      <c r="S859" s="1855" t="s">
        <v>6506</v>
      </c>
    </row>
    <row r="860" spans="1:19" ht="12" customHeight="1">
      <c r="A860" s="7145"/>
      <c r="B860" s="7145"/>
      <c r="C860" s="931" t="s">
        <v>2947</v>
      </c>
      <c r="D860" s="758" t="str">
        <f>D859</f>
        <v>Frostkolier</v>
      </c>
      <c r="E860" s="433">
        <v>1</v>
      </c>
      <c r="F860" s="433">
        <v>25</v>
      </c>
      <c r="G860" s="1749">
        <f t="shared" si="39"/>
        <v>25</v>
      </c>
      <c r="H860" s="1748" t="s">
        <v>9689</v>
      </c>
      <c r="I860" s="1748" t="s">
        <v>9052</v>
      </c>
      <c r="J860" s="1748" t="s">
        <v>9051</v>
      </c>
      <c r="K860" s="1748"/>
      <c r="L860" s="1748"/>
      <c r="M860" s="1862">
        <f t="shared" si="42"/>
        <v>0</v>
      </c>
      <c r="N860" s="1846" t="s">
        <v>9081</v>
      </c>
      <c r="O860" s="1846" t="s">
        <v>8619</v>
      </c>
      <c r="P860" s="1846" t="s">
        <v>6506</v>
      </c>
      <c r="Q860" s="1846" t="s">
        <v>6506</v>
      </c>
      <c r="R860" s="1846" t="s">
        <v>6506</v>
      </c>
      <c r="S860" s="1855" t="s">
        <v>6506</v>
      </c>
    </row>
    <row r="861" spans="1:19" ht="12" customHeight="1">
      <c r="A861" s="7145"/>
      <c r="B861" s="7145"/>
      <c r="C861" s="931" t="s">
        <v>2948</v>
      </c>
      <c r="D861" s="758" t="str">
        <f>D860</f>
        <v>Frostkolier</v>
      </c>
      <c r="E861" s="433">
        <v>2</v>
      </c>
      <c r="F861" s="433">
        <v>45</v>
      </c>
      <c r="G861" s="1749">
        <f t="shared" si="39"/>
        <v>45</v>
      </c>
      <c r="H861" s="1748" t="s">
        <v>2949</v>
      </c>
      <c r="I861" s="1748" t="s">
        <v>8976</v>
      </c>
      <c r="J861" s="1748" t="s">
        <v>9051</v>
      </c>
      <c r="K861" s="1748"/>
      <c r="L861" s="1748"/>
      <c r="M861" s="1862">
        <f t="shared" si="42"/>
        <v>0</v>
      </c>
      <c r="N861" s="1846" t="s">
        <v>9081</v>
      </c>
      <c r="O861" s="1846"/>
      <c r="P861" s="1846" t="s">
        <v>6506</v>
      </c>
      <c r="Q861" s="1846" t="s">
        <v>6506</v>
      </c>
      <c r="R861" s="1846" t="s">
        <v>6506</v>
      </c>
      <c r="S861" s="1855" t="s">
        <v>6506</v>
      </c>
    </row>
    <row r="862" spans="1:19" ht="12" customHeight="1">
      <c r="A862" s="7145"/>
      <c r="B862" s="7145"/>
      <c r="C862" s="931" t="s">
        <v>2950</v>
      </c>
      <c r="D862" s="758" t="str">
        <f>D861</f>
        <v>Frostkolier</v>
      </c>
      <c r="E862" s="433">
        <v>2</v>
      </c>
      <c r="F862" s="433">
        <v>45</v>
      </c>
      <c r="G862" s="1749">
        <f t="shared" si="39"/>
        <v>45</v>
      </c>
      <c r="H862" s="1748" t="s">
        <v>2951</v>
      </c>
      <c r="I862" s="1748" t="s">
        <v>9063</v>
      </c>
      <c r="J862" s="1748" t="s">
        <v>9051</v>
      </c>
      <c r="K862" s="1748"/>
      <c r="L862" s="1748"/>
      <c r="M862" s="1862">
        <f t="shared" si="42"/>
        <v>0</v>
      </c>
      <c r="N862" s="1846" t="s">
        <v>9081</v>
      </c>
      <c r="O862" s="1846" t="s">
        <v>9083</v>
      </c>
      <c r="P862" s="1846" t="s">
        <v>9078</v>
      </c>
      <c r="Q862" s="1846" t="s">
        <v>9078</v>
      </c>
      <c r="R862" s="1846"/>
      <c r="S862" s="1855" t="s">
        <v>6506</v>
      </c>
    </row>
    <row r="863" spans="1:19" ht="12" customHeight="1">
      <c r="A863" s="7145"/>
      <c r="B863" s="7145"/>
      <c r="C863" s="931" t="s">
        <v>2952</v>
      </c>
      <c r="D863" s="758" t="str">
        <f>D862</f>
        <v>Frostkolier</v>
      </c>
      <c r="E863" s="433">
        <v>3</v>
      </c>
      <c r="F863" s="433">
        <v>75</v>
      </c>
      <c r="G863" s="1749">
        <f t="shared" si="39"/>
        <v>75</v>
      </c>
      <c r="H863" s="1748" t="s">
        <v>2953</v>
      </c>
      <c r="I863" s="1748" t="s">
        <v>9497</v>
      </c>
      <c r="J863" s="1748" t="s">
        <v>9051</v>
      </c>
      <c r="K863" s="1748"/>
      <c r="L863" s="1748"/>
      <c r="M863" s="1862">
        <f t="shared" si="42"/>
        <v>0</v>
      </c>
      <c r="N863" s="1846" t="s">
        <v>9078</v>
      </c>
      <c r="O863" s="1846"/>
      <c r="P863" s="1846" t="s">
        <v>6506</v>
      </c>
      <c r="Q863" s="1846" t="s">
        <v>6506</v>
      </c>
      <c r="R863" s="1846" t="s">
        <v>6506</v>
      </c>
      <c r="S863" s="1855" t="s">
        <v>6506</v>
      </c>
    </row>
    <row r="864" spans="1:19" ht="12" customHeight="1">
      <c r="A864" s="7145"/>
      <c r="B864" s="7145"/>
      <c r="C864" s="931" t="s">
        <v>2954</v>
      </c>
      <c r="D864" s="758"/>
      <c r="E864" s="1819"/>
      <c r="F864" s="433"/>
      <c r="G864" s="1749" t="str">
        <f t="shared" si="39"/>
        <v/>
      </c>
      <c r="H864" s="1748"/>
      <c r="I864" s="1748" t="s">
        <v>6506</v>
      </c>
      <c r="J864" s="1748" t="s">
        <v>6506</v>
      </c>
      <c r="K864" s="1748"/>
      <c r="L864" s="1748"/>
      <c r="M864" s="1862" t="str">
        <f t="shared" si="42"/>
        <v/>
      </c>
      <c r="N864" s="1846" t="s">
        <v>6506</v>
      </c>
      <c r="O864" s="1846" t="s">
        <v>6506</v>
      </c>
      <c r="P864" s="1846" t="s">
        <v>6506</v>
      </c>
      <c r="Q864" s="1846" t="s">
        <v>6506</v>
      </c>
      <c r="R864" s="1846" t="s">
        <v>6506</v>
      </c>
      <c r="S864" s="1855" t="s">
        <v>6506</v>
      </c>
    </row>
    <row r="865" spans="1:22" ht="12" customHeight="1">
      <c r="A865" s="7145"/>
      <c r="B865" s="7145"/>
      <c r="C865" s="931" t="s">
        <v>2956</v>
      </c>
      <c r="D865" s="758" t="str">
        <f>PROPER(MID(C864,3,100))</f>
        <v>Anima, La Canción De Los Ángeles Caídos</v>
      </c>
      <c r="E865" s="433">
        <v>1</v>
      </c>
      <c r="F865" s="433">
        <v>50</v>
      </c>
      <c r="G865" s="1749">
        <f t="shared" si="39"/>
        <v>50</v>
      </c>
      <c r="H865" s="1748" t="s">
        <v>2957</v>
      </c>
      <c r="I865" s="1748" t="s">
        <v>9053</v>
      </c>
      <c r="J865" s="1748" t="s">
        <v>6506</v>
      </c>
      <c r="K865" s="1748"/>
      <c r="L865" s="1748"/>
      <c r="M865" s="1862">
        <f t="shared" si="42"/>
        <v>0</v>
      </c>
      <c r="N865" s="1846" t="s">
        <v>9079</v>
      </c>
      <c r="O865" s="1846" t="s">
        <v>9637</v>
      </c>
      <c r="P865" s="1846" t="s">
        <v>6506</v>
      </c>
      <c r="Q865" s="1846" t="s">
        <v>6506</v>
      </c>
      <c r="R865" s="1846" t="s">
        <v>6506</v>
      </c>
      <c r="S865" s="1855" t="s">
        <v>6506</v>
      </c>
    </row>
    <row r="866" spans="1:22" ht="12" customHeight="1">
      <c r="A866" s="7145"/>
      <c r="B866" s="7145"/>
      <c r="C866" s="931" t="s">
        <v>2959</v>
      </c>
      <c r="D866" s="758" t="str">
        <f>D865</f>
        <v>Anima, La Canción De Los Ángeles Caídos</v>
      </c>
      <c r="E866" s="433">
        <v>1</v>
      </c>
      <c r="F866" s="433">
        <v>40</v>
      </c>
      <c r="G866" s="1749">
        <f t="shared" si="39"/>
        <v>40</v>
      </c>
      <c r="H866" s="1748" t="s">
        <v>2960</v>
      </c>
      <c r="I866" s="1748" t="s">
        <v>9054</v>
      </c>
      <c r="J866" s="1748" t="s">
        <v>6506</v>
      </c>
      <c r="K866" s="1748"/>
      <c r="L866" s="1748"/>
      <c r="M866" s="1862">
        <f t="shared" si="42"/>
        <v>0</v>
      </c>
      <c r="N866" s="1846" t="s">
        <v>9084</v>
      </c>
      <c r="O866" s="1846" t="s">
        <v>9093</v>
      </c>
      <c r="P866" s="1846" t="s">
        <v>6506</v>
      </c>
      <c r="Q866" s="1846" t="s">
        <v>6506</v>
      </c>
      <c r="R866" s="1846" t="s">
        <v>6506</v>
      </c>
      <c r="S866" s="1855" t="s">
        <v>6506</v>
      </c>
    </row>
    <row r="867" spans="1:22" ht="12" customHeight="1">
      <c r="A867" s="7145"/>
      <c r="B867" s="7145"/>
      <c r="C867" s="931" t="s">
        <v>2962</v>
      </c>
      <c r="D867" s="758" t="str">
        <f>D866</f>
        <v>Anima, La Canción De Los Ángeles Caídos</v>
      </c>
      <c r="E867" s="433">
        <v>2</v>
      </c>
      <c r="F867" s="433">
        <v>100</v>
      </c>
      <c r="G867" s="1749">
        <f t="shared" si="39"/>
        <v>100</v>
      </c>
      <c r="H867" s="1748" t="s">
        <v>2963</v>
      </c>
      <c r="I867" s="1748" t="s">
        <v>9055</v>
      </c>
      <c r="J867" s="1748" t="s">
        <v>3017</v>
      </c>
      <c r="K867" s="1748"/>
      <c r="L867" s="1748"/>
      <c r="M867" s="1862">
        <f t="shared" si="42"/>
        <v>0</v>
      </c>
      <c r="N867" s="1846" t="s">
        <v>9079</v>
      </c>
      <c r="O867" s="1846" t="s">
        <v>9077</v>
      </c>
      <c r="P867" s="1846" t="s">
        <v>9080</v>
      </c>
      <c r="Q867" s="1846" t="s">
        <v>6506</v>
      </c>
      <c r="R867" s="1846" t="s">
        <v>6506</v>
      </c>
      <c r="S867" s="1855" t="s">
        <v>6506</v>
      </c>
    </row>
    <row r="868" spans="1:22" ht="12" customHeight="1">
      <c r="A868" s="7145"/>
      <c r="B868" s="7145"/>
      <c r="C868" s="931" t="s">
        <v>2965</v>
      </c>
      <c r="D868" s="758" t="str">
        <f>D867</f>
        <v>Anima, La Canción De Los Ángeles Caídos</v>
      </c>
      <c r="E868" s="433">
        <v>2</v>
      </c>
      <c r="F868" s="433">
        <v>100</v>
      </c>
      <c r="G868" s="1749">
        <f t="shared" si="39"/>
        <v>100</v>
      </c>
      <c r="H868" s="1748" t="s">
        <v>2966</v>
      </c>
      <c r="I868" s="1748" t="s">
        <v>9056</v>
      </c>
      <c r="J868" s="1748" t="s">
        <v>6506</v>
      </c>
      <c r="K868" s="1748"/>
      <c r="L868" s="1748"/>
      <c r="M868" s="1862">
        <f t="shared" si="42"/>
        <v>0</v>
      </c>
      <c r="N868" s="1846" t="s">
        <v>9079</v>
      </c>
      <c r="O868" s="1846" t="s">
        <v>9078</v>
      </c>
      <c r="P868" s="1846" t="s">
        <v>6506</v>
      </c>
      <c r="Q868" s="1846" t="s">
        <v>6506</v>
      </c>
      <c r="R868" s="1846" t="s">
        <v>6506</v>
      </c>
      <c r="S868" s="1855" t="s">
        <v>6506</v>
      </c>
    </row>
    <row r="869" spans="1:22" ht="12" customHeight="1">
      <c r="A869" s="7145"/>
      <c r="B869" s="7145"/>
      <c r="C869" s="931" t="s">
        <v>2967</v>
      </c>
      <c r="D869" s="758" t="str">
        <f>D868</f>
        <v>Anima, La Canción De Los Ángeles Caídos</v>
      </c>
      <c r="E869" s="433">
        <v>3</v>
      </c>
      <c r="F869" s="433">
        <v>200</v>
      </c>
      <c r="G869" s="1749">
        <f t="shared" si="39"/>
        <v>200</v>
      </c>
      <c r="H869" s="1748" t="s">
        <v>2968</v>
      </c>
      <c r="I869" s="1748" t="s">
        <v>9064</v>
      </c>
      <c r="J869" s="1748" t="s">
        <v>9057</v>
      </c>
      <c r="K869" s="1748"/>
      <c r="L869" s="1748"/>
      <c r="M869" s="1862">
        <f t="shared" si="42"/>
        <v>0</v>
      </c>
      <c r="N869" s="1846" t="s">
        <v>9079</v>
      </c>
      <c r="O869" s="1846" t="s">
        <v>9080</v>
      </c>
      <c r="P869" s="1846" t="s">
        <v>9092</v>
      </c>
      <c r="Q869" s="1846" t="s">
        <v>9096</v>
      </c>
      <c r="R869" s="1846" t="s">
        <v>9078</v>
      </c>
      <c r="S869" s="1855" t="s">
        <v>9094</v>
      </c>
    </row>
    <row r="870" spans="1:22" ht="12" customHeight="1">
      <c r="A870" s="7145"/>
      <c r="B870" s="7145"/>
      <c r="C870" s="931" t="s">
        <v>9841</v>
      </c>
      <c r="D870" s="758"/>
      <c r="E870" s="433"/>
      <c r="F870" s="433"/>
      <c r="G870" s="1749" t="str">
        <f t="shared" si="39"/>
        <v/>
      </c>
      <c r="H870" s="1748"/>
      <c r="I870" s="1748"/>
      <c r="J870" s="1748"/>
      <c r="K870" s="1748"/>
      <c r="L870" s="1748"/>
      <c r="M870" s="1862" t="str">
        <f t="shared" si="42"/>
        <v/>
      </c>
      <c r="N870" s="1846"/>
      <c r="O870" s="1846"/>
      <c r="P870" s="1846"/>
      <c r="Q870" s="1846"/>
      <c r="R870" s="1846"/>
      <c r="S870" s="1855"/>
    </row>
    <row r="871" spans="1:22" ht="12" customHeight="1">
      <c r="A871" s="7145"/>
      <c r="B871" s="7145"/>
      <c r="C871" s="931" t="s">
        <v>9842</v>
      </c>
      <c r="D871" s="758" t="str">
        <f>PROPER(MID(C870,3,100))</f>
        <v>Coelo Ruinam</v>
      </c>
      <c r="E871" s="433">
        <v>1</v>
      </c>
      <c r="F871" s="433">
        <v>35</v>
      </c>
      <c r="G871" s="1749">
        <f t="shared" si="39"/>
        <v>35</v>
      </c>
      <c r="H871" s="1748" t="s">
        <v>9847</v>
      </c>
      <c r="I871" s="2449" t="s">
        <v>9877</v>
      </c>
      <c r="J871" s="1748"/>
      <c r="K871" s="1748"/>
      <c r="L871" s="1748"/>
      <c r="M871" s="1862">
        <f t="shared" si="42"/>
        <v>0</v>
      </c>
      <c r="N871" s="1846" t="s">
        <v>9092</v>
      </c>
      <c r="O871" s="1846" t="s">
        <v>9079</v>
      </c>
      <c r="P871" s="1846"/>
      <c r="Q871" s="1846"/>
      <c r="R871" s="1846"/>
      <c r="S871" s="1855"/>
      <c r="U871" s="88" t="s">
        <v>1461</v>
      </c>
      <c r="V871" s="219">
        <v>1</v>
      </c>
    </row>
    <row r="872" spans="1:22" ht="12" customHeight="1">
      <c r="A872" s="7145"/>
      <c r="B872" s="7145"/>
      <c r="C872" s="931" t="s">
        <v>9843</v>
      </c>
      <c r="D872" s="758" t="str">
        <f>D871</f>
        <v>Coelo Ruinam</v>
      </c>
      <c r="E872" s="433">
        <v>1</v>
      </c>
      <c r="F872" s="433">
        <v>30</v>
      </c>
      <c r="G872" s="1749">
        <f t="shared" si="39"/>
        <v>30</v>
      </c>
      <c r="H872" s="1748" t="s">
        <v>9847</v>
      </c>
      <c r="I872" s="1748" t="s">
        <v>9875</v>
      </c>
      <c r="J872" s="1748"/>
      <c r="K872" s="1748"/>
      <c r="L872" s="1748"/>
      <c r="M872" s="1862">
        <f t="shared" si="42"/>
        <v>0</v>
      </c>
      <c r="N872" s="1846" t="s">
        <v>9871</v>
      </c>
      <c r="O872" s="1846" t="s">
        <v>9870</v>
      </c>
      <c r="P872" s="1846"/>
      <c r="Q872" s="1846"/>
      <c r="R872" s="1846"/>
      <c r="S872" s="1855"/>
      <c r="U872" s="88" t="s">
        <v>1464</v>
      </c>
      <c r="V872" s="219">
        <v>2</v>
      </c>
    </row>
    <row r="873" spans="1:22" ht="12" customHeight="1">
      <c r="A873" s="7145"/>
      <c r="B873" s="7145"/>
      <c r="C873" s="931" t="s">
        <v>9844</v>
      </c>
      <c r="D873" s="758" t="str">
        <f>D872</f>
        <v>Coelo Ruinam</v>
      </c>
      <c r="E873" s="433">
        <v>2</v>
      </c>
      <c r="F873" s="433">
        <v>45</v>
      </c>
      <c r="G873" s="1749">
        <f t="shared" si="39"/>
        <v>45</v>
      </c>
      <c r="H873" s="1748" t="s">
        <v>9848</v>
      </c>
      <c r="I873" s="1748" t="s">
        <v>9884</v>
      </c>
      <c r="J873" s="1748"/>
      <c r="K873" s="1748"/>
      <c r="L873" s="1748"/>
      <c r="M873" s="1862">
        <f t="shared" si="42"/>
        <v>0</v>
      </c>
      <c r="N873" s="1846" t="s">
        <v>9079</v>
      </c>
      <c r="O873" s="1846" t="s">
        <v>9092</v>
      </c>
      <c r="P873" s="1846" t="s">
        <v>7105</v>
      </c>
      <c r="Q873" s="1846"/>
      <c r="R873" s="1846"/>
      <c r="S873" s="1855"/>
      <c r="U873" s="88" t="s">
        <v>1468</v>
      </c>
      <c r="V873" s="219">
        <v>3</v>
      </c>
    </row>
    <row r="874" spans="1:22" ht="12" customHeight="1">
      <c r="A874" s="7145"/>
      <c r="B874" s="7145"/>
      <c r="C874" s="931" t="s">
        <v>9845</v>
      </c>
      <c r="D874" s="758" t="str">
        <f>D873</f>
        <v>Coelo Ruinam</v>
      </c>
      <c r="E874" s="433">
        <v>2</v>
      </c>
      <c r="F874" s="433">
        <v>65</v>
      </c>
      <c r="G874" s="1749">
        <f t="shared" si="39"/>
        <v>65</v>
      </c>
      <c r="H874" s="1748" t="s">
        <v>9849</v>
      </c>
      <c r="I874" s="1748" t="s">
        <v>9876</v>
      </c>
      <c r="J874" s="1748"/>
      <c r="K874" s="1748"/>
      <c r="L874" s="1748"/>
      <c r="M874" s="1862">
        <f t="shared" si="42"/>
        <v>0</v>
      </c>
      <c r="N874" s="1846" t="s">
        <v>9872</v>
      </c>
      <c r="O874" s="1846" t="s">
        <v>7105</v>
      </c>
      <c r="P874" s="1846"/>
      <c r="Q874" s="1846"/>
      <c r="R874" s="1846"/>
      <c r="S874" s="1855"/>
      <c r="U874" s="88" t="s">
        <v>1558</v>
      </c>
      <c r="V874" s="219">
        <v>4</v>
      </c>
    </row>
    <row r="875" spans="1:22" ht="12" customHeight="1">
      <c r="A875" s="7145"/>
      <c r="B875" s="7145"/>
      <c r="C875" s="931" t="s">
        <v>9846</v>
      </c>
      <c r="D875" s="758" t="str">
        <f>D874</f>
        <v>Coelo Ruinam</v>
      </c>
      <c r="E875" s="433">
        <v>3</v>
      </c>
      <c r="F875" s="433">
        <v>70</v>
      </c>
      <c r="G875" s="1749">
        <f t="shared" si="39"/>
        <v>70</v>
      </c>
      <c r="H875" s="1748" t="s">
        <v>9850</v>
      </c>
      <c r="I875" s="1748" t="s">
        <v>9885</v>
      </c>
      <c r="J875" s="1748"/>
      <c r="K875" s="1748"/>
      <c r="L875" s="1748"/>
      <c r="M875" s="1862">
        <f t="shared" si="42"/>
        <v>0</v>
      </c>
      <c r="N875" s="1846" t="s">
        <v>9079</v>
      </c>
      <c r="O875" s="1846" t="s">
        <v>9085</v>
      </c>
      <c r="P875" s="1846"/>
      <c r="Q875" s="1846"/>
      <c r="R875" s="1846"/>
      <c r="S875" s="1855"/>
      <c r="U875" s="88" t="s">
        <v>1553</v>
      </c>
      <c r="V875" s="219">
        <v>5</v>
      </c>
    </row>
    <row r="876" spans="1:22" ht="12" customHeight="1">
      <c r="A876" s="7145"/>
      <c r="B876" s="7145"/>
      <c r="C876" s="931" t="s">
        <v>9851</v>
      </c>
      <c r="D876" s="758"/>
      <c r="E876" s="433"/>
      <c r="F876" s="433"/>
      <c r="G876" s="1749" t="str">
        <f t="shared" si="39"/>
        <v/>
      </c>
      <c r="H876" s="1748"/>
      <c r="I876" s="1748"/>
      <c r="J876" s="1748"/>
      <c r="K876" s="1748"/>
      <c r="L876" s="1748"/>
      <c r="M876" s="1862" t="str">
        <f t="shared" si="42"/>
        <v/>
      </c>
      <c r="N876" s="1846"/>
      <c r="O876" s="1846"/>
      <c r="P876" s="1846"/>
      <c r="Q876" s="1846"/>
      <c r="R876" s="1846"/>
      <c r="S876" s="1855"/>
      <c r="U876" s="88" t="s">
        <v>1554</v>
      </c>
      <c r="V876" s="219">
        <v>6</v>
      </c>
    </row>
    <row r="877" spans="1:22" ht="12" customHeight="1">
      <c r="A877" s="7145"/>
      <c r="B877" s="7145"/>
      <c r="C877" s="931" t="s">
        <v>9852</v>
      </c>
      <c r="D877" s="758" t="str">
        <f>PROPER(MID(C876,3,100))</f>
        <v>Solomon Imperus</v>
      </c>
      <c r="E877" s="433">
        <v>1</v>
      </c>
      <c r="F877" s="433">
        <v>30</v>
      </c>
      <c r="G877" s="1749">
        <f t="shared" si="39"/>
        <v>30</v>
      </c>
      <c r="H877" s="1748" t="s">
        <v>9853</v>
      </c>
      <c r="I877" s="2449" t="s">
        <v>9882</v>
      </c>
      <c r="J877" s="1748" t="s">
        <v>9854</v>
      </c>
      <c r="K877" s="1748"/>
      <c r="L877" s="1748"/>
      <c r="M877" s="1862">
        <f t="shared" si="42"/>
        <v>0</v>
      </c>
      <c r="N877" s="1846" t="s">
        <v>9079</v>
      </c>
      <c r="O877" s="1846" t="s">
        <v>7105</v>
      </c>
      <c r="P877" s="1846"/>
      <c r="Q877" s="1846"/>
      <c r="R877" s="1846"/>
      <c r="S877" s="1855"/>
    </row>
    <row r="878" spans="1:22" ht="12" customHeight="1">
      <c r="A878" s="7145"/>
      <c r="B878" s="7145"/>
      <c r="C878" s="931" t="s">
        <v>9855</v>
      </c>
      <c r="D878" s="758"/>
      <c r="E878" s="433"/>
      <c r="F878" s="433"/>
      <c r="G878" s="1749" t="str">
        <f t="shared" si="39"/>
        <v/>
      </c>
      <c r="H878" s="1748"/>
      <c r="I878" s="1748"/>
      <c r="J878" s="1748"/>
      <c r="K878" s="1748"/>
      <c r="L878" s="1748"/>
      <c r="M878" s="1862" t="str">
        <f t="shared" si="42"/>
        <v/>
      </c>
      <c r="N878" s="1846"/>
      <c r="O878" s="1846"/>
      <c r="P878" s="1846"/>
      <c r="Q878" s="1846"/>
      <c r="R878" s="1846"/>
      <c r="S878" s="1855"/>
    </row>
    <row r="879" spans="1:22" ht="12" customHeight="1">
      <c r="A879" s="7145"/>
      <c r="B879" s="7145"/>
      <c r="C879" s="931" t="s">
        <v>9856</v>
      </c>
      <c r="D879" s="758" t="str">
        <f>PROPER(MID(C878,3,100))</f>
        <v>Estilo De La Familia Vilfain</v>
      </c>
      <c r="E879" s="433">
        <v>1</v>
      </c>
      <c r="F879" s="433">
        <v>45</v>
      </c>
      <c r="G879" s="1749">
        <f t="shared" si="39"/>
        <v>45</v>
      </c>
      <c r="H879" s="1748" t="s">
        <v>9857</v>
      </c>
      <c r="I879" s="1748" t="s">
        <v>9881</v>
      </c>
      <c r="J879" s="1748"/>
      <c r="K879" s="1748"/>
      <c r="L879" s="1748"/>
      <c r="M879" s="1862">
        <f t="shared" si="42"/>
        <v>0</v>
      </c>
      <c r="N879" s="1846" t="s">
        <v>9079</v>
      </c>
      <c r="O879" s="1846" t="s">
        <v>7105</v>
      </c>
      <c r="P879" s="1846" t="s">
        <v>9094</v>
      </c>
      <c r="Q879" s="1846"/>
      <c r="R879" s="1846"/>
      <c r="S879" s="1855"/>
    </row>
    <row r="880" spans="1:22" ht="12" customHeight="1">
      <c r="A880" s="7145"/>
      <c r="B880" s="7145"/>
      <c r="C880" s="931" t="s">
        <v>9858</v>
      </c>
      <c r="D880" s="758"/>
      <c r="E880" s="433"/>
      <c r="F880" s="433"/>
      <c r="G880" s="1749" t="str">
        <f t="shared" si="39"/>
        <v/>
      </c>
      <c r="H880" s="1748"/>
      <c r="I880" s="1748"/>
      <c r="J880" s="1748"/>
      <c r="K880" s="1748"/>
      <c r="L880" s="1748"/>
      <c r="M880" s="1862" t="str">
        <f t="shared" si="42"/>
        <v/>
      </c>
      <c r="N880" s="1846"/>
      <c r="O880" s="1846"/>
      <c r="P880" s="1846"/>
      <c r="Q880" s="1846"/>
      <c r="R880" s="1846"/>
      <c r="S880" s="1855"/>
    </row>
    <row r="881" spans="1:19" ht="12" customHeight="1">
      <c r="A881" s="7145"/>
      <c r="B881" s="7145"/>
      <c r="C881" s="931" t="s">
        <v>9859</v>
      </c>
      <c r="D881" s="758" t="str">
        <f>PROPER(MID(C880,3,100))</f>
        <v>El Arte</v>
      </c>
      <c r="E881" s="433">
        <v>1</v>
      </c>
      <c r="F881" s="433">
        <v>20</v>
      </c>
      <c r="G881" s="1749">
        <f t="shared" si="39"/>
        <v>20</v>
      </c>
      <c r="H881" s="1748" t="s">
        <v>9864</v>
      </c>
      <c r="I881" s="1748" t="s">
        <v>9874</v>
      </c>
      <c r="J881" s="1748" t="s">
        <v>9869</v>
      </c>
      <c r="K881" s="1748"/>
      <c r="L881" s="1748"/>
      <c r="M881" s="1862">
        <f t="shared" si="42"/>
        <v>0</v>
      </c>
      <c r="N881" s="1846" t="s">
        <v>9079</v>
      </c>
      <c r="O881" s="1846"/>
      <c r="P881" s="1846"/>
      <c r="Q881" s="1846"/>
      <c r="R881" s="1846"/>
      <c r="S881" s="1855"/>
    </row>
    <row r="882" spans="1:19" ht="12" customHeight="1">
      <c r="A882" s="7145"/>
      <c r="B882" s="7145"/>
      <c r="C882" s="931" t="s">
        <v>9860</v>
      </c>
      <c r="D882" s="758" t="str">
        <f>D881</f>
        <v>El Arte</v>
      </c>
      <c r="E882" s="433">
        <v>1</v>
      </c>
      <c r="F882" s="433">
        <v>25</v>
      </c>
      <c r="G882" s="1749">
        <f t="shared" si="39"/>
        <v>25</v>
      </c>
      <c r="H882" s="1748" t="s">
        <v>9865</v>
      </c>
      <c r="I882" s="2449" t="s">
        <v>9880</v>
      </c>
      <c r="J882" s="1748" t="s">
        <v>9869</v>
      </c>
      <c r="K882" s="1748"/>
      <c r="L882" s="1748"/>
      <c r="M882" s="1862">
        <f t="shared" si="42"/>
        <v>0</v>
      </c>
      <c r="N882" s="1846" t="s">
        <v>9871</v>
      </c>
      <c r="O882" s="1846" t="s">
        <v>9093</v>
      </c>
      <c r="P882" s="1846"/>
      <c r="Q882" s="1846"/>
      <c r="R882" s="1846"/>
      <c r="S882" s="1855"/>
    </row>
    <row r="883" spans="1:19" ht="12" customHeight="1">
      <c r="A883" s="7145"/>
      <c r="B883" s="7145"/>
      <c r="C883" s="931" t="s">
        <v>9861</v>
      </c>
      <c r="D883" s="758" t="str">
        <f>D882</f>
        <v>El Arte</v>
      </c>
      <c r="E883" s="433">
        <v>2</v>
      </c>
      <c r="F883" s="433">
        <v>50</v>
      </c>
      <c r="G883" s="1749">
        <f t="shared" si="39"/>
        <v>50</v>
      </c>
      <c r="H883" s="1748" t="s">
        <v>9866</v>
      </c>
      <c r="I883" s="1748" t="s">
        <v>9883</v>
      </c>
      <c r="J883" s="1748" t="s">
        <v>9869</v>
      </c>
      <c r="K883" s="1748"/>
      <c r="L883" s="1748"/>
      <c r="M883" s="1862">
        <f t="shared" si="42"/>
        <v>0</v>
      </c>
      <c r="N883" s="1846" t="s">
        <v>9079</v>
      </c>
      <c r="O883" s="1846" t="s">
        <v>9080</v>
      </c>
      <c r="P883" s="1846"/>
      <c r="Q883" s="1846"/>
      <c r="R883" s="1846"/>
      <c r="S883" s="1855"/>
    </row>
    <row r="884" spans="1:19" ht="12" customHeight="1">
      <c r="A884" s="7145"/>
      <c r="B884" s="7145"/>
      <c r="C884" s="931" t="s">
        <v>9862</v>
      </c>
      <c r="D884" s="758" t="str">
        <f>D883</f>
        <v>El Arte</v>
      </c>
      <c r="E884" s="433">
        <v>2</v>
      </c>
      <c r="F884" s="433">
        <v>65</v>
      </c>
      <c r="G884" s="1749">
        <f t="shared" si="39"/>
        <v>65</v>
      </c>
      <c r="H884" s="1748" t="s">
        <v>9867</v>
      </c>
      <c r="I884" s="1748" t="s">
        <v>9879</v>
      </c>
      <c r="J884" s="1748" t="s">
        <v>9869</v>
      </c>
      <c r="K884" s="1748"/>
      <c r="L884" s="1748"/>
      <c r="M884" s="1862">
        <f t="shared" si="42"/>
        <v>0</v>
      </c>
      <c r="N884" s="1846" t="s">
        <v>9873</v>
      </c>
      <c r="O884" s="1846" t="s">
        <v>9079</v>
      </c>
      <c r="P884" s="1846" t="s">
        <v>9872</v>
      </c>
      <c r="Q884" s="1846"/>
      <c r="R884" s="1846"/>
      <c r="S884" s="1855"/>
    </row>
    <row r="885" spans="1:19" ht="12" customHeight="1" thickBot="1">
      <c r="A885" s="7145"/>
      <c r="B885" s="7145"/>
      <c r="C885" s="1247" t="s">
        <v>9863</v>
      </c>
      <c r="D885" s="1750" t="str">
        <f>D884</f>
        <v>El Arte</v>
      </c>
      <c r="E885" s="472">
        <v>3</v>
      </c>
      <c r="F885" s="472">
        <v>100</v>
      </c>
      <c r="G885" s="1856">
        <f t="shared" si="39"/>
        <v>100</v>
      </c>
      <c r="H885" s="1857" t="s">
        <v>9868</v>
      </c>
      <c r="I885" s="1857" t="s">
        <v>9878</v>
      </c>
      <c r="J885" s="1857" t="s">
        <v>9869</v>
      </c>
      <c r="K885" s="1857"/>
      <c r="L885" s="1857"/>
      <c r="M885" s="1863">
        <f t="shared" si="42"/>
        <v>0</v>
      </c>
      <c r="N885" s="1858" t="s">
        <v>9079</v>
      </c>
      <c r="O885" s="1858" t="s">
        <v>7106</v>
      </c>
      <c r="P885" s="1858"/>
      <c r="Q885" s="1858"/>
      <c r="R885" s="1858"/>
      <c r="S885" s="1859"/>
    </row>
    <row r="886" spans="1:19" ht="12" customHeight="1">
      <c r="C886" s="2698" t="s">
        <v>12265</v>
      </c>
      <c r="D886" s="2698"/>
      <c r="E886" s="3842"/>
      <c r="F886" s="3842"/>
      <c r="G886" s="2698"/>
      <c r="H886" s="2698"/>
      <c r="I886" s="2698"/>
      <c r="J886" s="2698"/>
      <c r="K886" s="2698"/>
      <c r="L886" s="2698"/>
      <c r="M886" s="3916"/>
      <c r="N886" s="2698"/>
      <c r="O886" s="3842"/>
      <c r="P886" s="2698"/>
      <c r="Q886" s="3842"/>
      <c r="R886" s="3842"/>
      <c r="S886" s="3857"/>
    </row>
    <row r="887" spans="1:19" ht="12" customHeight="1">
      <c r="C887" s="2698" t="s">
        <v>12266</v>
      </c>
      <c r="D887" s="2698" t="s">
        <v>12267</v>
      </c>
      <c r="E887" s="3842">
        <v>1</v>
      </c>
      <c r="F887" s="3842">
        <v>25</v>
      </c>
      <c r="G887" s="3935">
        <f t="shared" ref="G887:G892" si="43">IF(E887="","",MAX(IF(E887=3,60,IF(E887=2,40,20)),F887+M887))</f>
        <v>25</v>
      </c>
      <c r="H887" s="2698" t="s">
        <v>12268</v>
      </c>
      <c r="I887" s="2698" t="s">
        <v>12269</v>
      </c>
      <c r="J887" s="2698" t="s">
        <v>12397</v>
      </c>
      <c r="K887" s="2698"/>
      <c r="L887" s="2698"/>
      <c r="M887" s="3916"/>
      <c r="N887" s="2698"/>
      <c r="O887" s="3842"/>
      <c r="P887" s="2698"/>
      <c r="Q887" s="3842"/>
      <c r="R887" s="3842"/>
      <c r="S887" s="3857"/>
    </row>
    <row r="888" spans="1:19" ht="12" customHeight="1">
      <c r="C888" s="2698" t="s">
        <v>12270</v>
      </c>
      <c r="D888" s="2698" t="s">
        <v>12267</v>
      </c>
      <c r="E888" s="3842">
        <v>1</v>
      </c>
      <c r="F888" s="3842">
        <v>20</v>
      </c>
      <c r="G888" s="3935">
        <f t="shared" si="43"/>
        <v>20</v>
      </c>
      <c r="H888" s="2698" t="s">
        <v>12457</v>
      </c>
      <c r="I888" s="2698" t="s">
        <v>12456</v>
      </c>
      <c r="J888" s="2698" t="s">
        <v>12397</v>
      </c>
      <c r="K888" s="2698"/>
      <c r="L888" s="2698"/>
      <c r="M888" s="3916"/>
      <c r="N888" s="2698"/>
      <c r="O888" s="3842"/>
      <c r="P888" s="2698"/>
      <c r="Q888" s="3842"/>
      <c r="R888" s="3842"/>
      <c r="S888" s="3857"/>
    </row>
    <row r="889" spans="1:19" ht="12" customHeight="1">
      <c r="C889" s="2698" t="s">
        <v>12272</v>
      </c>
      <c r="D889" s="2698" t="s">
        <v>12267</v>
      </c>
      <c r="E889" s="3842">
        <v>2</v>
      </c>
      <c r="F889" s="3842">
        <v>40</v>
      </c>
      <c r="G889" s="3935">
        <f t="shared" si="43"/>
        <v>40</v>
      </c>
      <c r="H889" s="2698" t="s">
        <v>5845</v>
      </c>
      <c r="I889" s="2698" t="s">
        <v>12273</v>
      </c>
      <c r="J889" s="2698" t="s">
        <v>9001</v>
      </c>
      <c r="K889" s="2698"/>
      <c r="L889" s="2698"/>
      <c r="M889" s="3916"/>
      <c r="N889" s="2698"/>
      <c r="O889" s="3842"/>
      <c r="P889" s="2698"/>
      <c r="Q889" s="3842"/>
      <c r="R889" s="3842"/>
      <c r="S889" s="3857"/>
    </row>
    <row r="890" spans="1:19" ht="12" customHeight="1">
      <c r="C890" s="2698" t="s">
        <v>12274</v>
      </c>
      <c r="D890" s="2698" t="s">
        <v>12267</v>
      </c>
      <c r="E890" s="3842">
        <v>2</v>
      </c>
      <c r="F890" s="3842">
        <v>40</v>
      </c>
      <c r="G890" s="3935">
        <f t="shared" si="43"/>
        <v>40</v>
      </c>
      <c r="H890" s="2698" t="s">
        <v>12275</v>
      </c>
      <c r="I890" s="2698" t="s">
        <v>12276</v>
      </c>
      <c r="J890" s="2698" t="s">
        <v>12398</v>
      </c>
      <c r="K890" s="2698"/>
      <c r="L890" s="2698"/>
      <c r="M890" s="3916"/>
      <c r="N890" s="2698"/>
      <c r="O890" s="3842"/>
      <c r="P890" s="2698"/>
      <c r="Q890" s="3842"/>
      <c r="R890" s="3842"/>
      <c r="S890" s="3857"/>
    </row>
    <row r="891" spans="1:19" ht="12" customHeight="1">
      <c r="C891" s="2698" t="s">
        <v>12277</v>
      </c>
      <c r="D891" s="2698" t="s">
        <v>12267</v>
      </c>
      <c r="E891" s="3842">
        <v>2</v>
      </c>
      <c r="F891" s="3842">
        <v>65</v>
      </c>
      <c r="G891" s="3935">
        <f t="shared" si="43"/>
        <v>65</v>
      </c>
      <c r="H891" s="2698" t="s">
        <v>12278</v>
      </c>
      <c r="I891" s="2698" t="s">
        <v>12279</v>
      </c>
      <c r="J891" s="2698" t="s">
        <v>9001</v>
      </c>
      <c r="K891" s="2698"/>
      <c r="L891" s="2698"/>
      <c r="M891" s="3916"/>
      <c r="N891" s="2698"/>
      <c r="O891" s="3842"/>
      <c r="P891" s="2698"/>
      <c r="Q891" s="3842"/>
      <c r="R891" s="3842"/>
      <c r="S891" s="3857"/>
    </row>
    <row r="892" spans="1:19" ht="12" customHeight="1">
      <c r="C892" s="2698" t="s">
        <v>12280</v>
      </c>
      <c r="D892" s="2698" t="s">
        <v>12267</v>
      </c>
      <c r="E892" s="3842">
        <v>3</v>
      </c>
      <c r="F892" s="3842">
        <v>80</v>
      </c>
      <c r="G892" s="3935">
        <f t="shared" si="43"/>
        <v>80</v>
      </c>
      <c r="H892" s="2698" t="s">
        <v>12281</v>
      </c>
      <c r="I892" s="2698" t="s">
        <v>12282</v>
      </c>
      <c r="J892" s="2698" t="s">
        <v>12399</v>
      </c>
      <c r="K892" s="2698"/>
      <c r="L892" s="2698"/>
      <c r="M892" s="3916"/>
      <c r="N892" s="2698"/>
      <c r="O892" s="3842"/>
      <c r="P892" s="2698"/>
      <c r="Q892" s="3842"/>
      <c r="R892" s="3842"/>
      <c r="S892" s="3857"/>
    </row>
    <row r="893" spans="1:19" ht="12" customHeight="1">
      <c r="C893" s="2698" t="s">
        <v>12283</v>
      </c>
      <c r="D893" s="2698"/>
      <c r="E893" s="3842"/>
      <c r="F893" s="3842"/>
      <c r="G893" s="2698"/>
      <c r="H893" s="2698"/>
      <c r="I893" s="2698"/>
      <c r="J893" s="2698"/>
      <c r="K893" s="2698"/>
      <c r="L893" s="2698"/>
      <c r="M893" s="3916"/>
      <c r="N893" s="2698"/>
      <c r="O893" s="3842"/>
      <c r="P893" s="2698"/>
      <c r="Q893" s="3842"/>
      <c r="R893" s="3842"/>
      <c r="S893" s="3857"/>
    </row>
    <row r="894" spans="1:19" ht="12" customHeight="1">
      <c r="C894" s="2698" t="s">
        <v>12297</v>
      </c>
      <c r="D894" s="2698"/>
      <c r="E894" s="3842">
        <v>1</v>
      </c>
      <c r="F894" s="3842">
        <v>20</v>
      </c>
      <c r="G894" s="3842">
        <v>20</v>
      </c>
      <c r="H894" s="2698" t="s">
        <v>2893</v>
      </c>
      <c r="I894" s="2698" t="s">
        <v>12396</v>
      </c>
      <c r="J894" s="2698"/>
      <c r="K894" s="2698"/>
      <c r="L894" s="2698"/>
      <c r="M894" s="3916"/>
      <c r="N894" s="2698"/>
      <c r="O894" s="3842"/>
      <c r="P894" s="2698"/>
      <c r="Q894" s="3842"/>
      <c r="R894" s="3842"/>
      <c r="S894" s="3857"/>
    </row>
    <row r="895" spans="1:19" ht="12" customHeight="1">
      <c r="C895" s="2698" t="s">
        <v>12298</v>
      </c>
      <c r="D895" s="2698"/>
      <c r="E895" s="3842">
        <v>1</v>
      </c>
      <c r="F895" s="3842">
        <v>20</v>
      </c>
      <c r="G895" s="3842">
        <v>20</v>
      </c>
      <c r="H895" s="2698" t="s">
        <v>12329</v>
      </c>
      <c r="I895" s="2698" t="s">
        <v>12395</v>
      </c>
      <c r="J895" s="2698"/>
      <c r="K895" s="2698"/>
      <c r="L895" s="2698"/>
      <c r="M895" s="3916"/>
      <c r="N895" s="2698"/>
      <c r="O895" s="3842"/>
      <c r="P895" s="2698"/>
      <c r="Q895" s="3842"/>
      <c r="R895" s="3842"/>
      <c r="S895" s="3857"/>
    </row>
    <row r="896" spans="1:19" ht="12" customHeight="1">
      <c r="C896" s="2698" t="s">
        <v>12299</v>
      </c>
      <c r="D896" s="2698"/>
      <c r="E896" s="3842">
        <v>1</v>
      </c>
      <c r="F896" s="3842">
        <v>40</v>
      </c>
      <c r="G896" s="3842">
        <v>40</v>
      </c>
      <c r="H896" s="2698" t="s">
        <v>12330</v>
      </c>
      <c r="I896" s="2698" t="s">
        <v>12394</v>
      </c>
      <c r="J896" s="2698"/>
      <c r="K896" s="2698"/>
      <c r="L896" s="2698"/>
      <c r="M896" s="3916"/>
      <c r="N896" s="2698"/>
      <c r="O896" s="3842"/>
      <c r="P896" s="2698"/>
      <c r="Q896" s="3842"/>
      <c r="R896" s="3842"/>
      <c r="S896" s="3857"/>
    </row>
    <row r="897" spans="3:19" ht="12" customHeight="1">
      <c r="C897" s="2698" t="s">
        <v>12300</v>
      </c>
      <c r="D897" s="2698"/>
      <c r="E897" s="3842">
        <v>2</v>
      </c>
      <c r="F897" s="3842">
        <v>50</v>
      </c>
      <c r="G897" s="3842">
        <v>50</v>
      </c>
      <c r="H897" s="2698" t="s">
        <v>12331</v>
      </c>
      <c r="I897" s="2698" t="s">
        <v>12393</v>
      </c>
      <c r="J897" s="2698" t="s">
        <v>3017</v>
      </c>
      <c r="K897" s="2698"/>
      <c r="L897" s="2698"/>
      <c r="M897" s="3916"/>
      <c r="N897" s="2698"/>
      <c r="O897" s="3842"/>
      <c r="P897" s="2698"/>
      <c r="Q897" s="3842"/>
      <c r="R897" s="3842"/>
      <c r="S897" s="3857"/>
    </row>
    <row r="898" spans="3:19" ht="12" customHeight="1">
      <c r="C898" s="2698" t="s">
        <v>12301</v>
      </c>
      <c r="D898" s="2698"/>
      <c r="E898" s="3842">
        <v>2</v>
      </c>
      <c r="F898" s="3842">
        <v>40</v>
      </c>
      <c r="G898" s="3842">
        <v>40</v>
      </c>
      <c r="H898" s="2698" t="s">
        <v>12332</v>
      </c>
      <c r="I898" s="2698" t="s">
        <v>12391</v>
      </c>
      <c r="J898" s="2698"/>
      <c r="K898" s="2698"/>
      <c r="L898" s="2698"/>
      <c r="M898" s="3916"/>
      <c r="N898" s="2698"/>
      <c r="O898" s="3842"/>
      <c r="P898" s="2698"/>
      <c r="Q898" s="3842"/>
      <c r="R898" s="3842"/>
      <c r="S898" s="3857"/>
    </row>
    <row r="899" spans="3:19" ht="12" customHeight="1">
      <c r="C899" s="2698" t="s">
        <v>12302</v>
      </c>
      <c r="D899" s="2698"/>
      <c r="E899" s="3842">
        <v>2</v>
      </c>
      <c r="F899" s="3842">
        <v>50</v>
      </c>
      <c r="G899" s="3842">
        <v>50</v>
      </c>
      <c r="H899" s="2698" t="s">
        <v>12333</v>
      </c>
      <c r="I899" s="2698" t="s">
        <v>12392</v>
      </c>
      <c r="J899" s="2698"/>
      <c r="K899" s="2698"/>
      <c r="L899" s="2698"/>
      <c r="M899" s="3916"/>
      <c r="N899" s="2698"/>
      <c r="O899" s="3842"/>
      <c r="P899" s="2698"/>
      <c r="Q899" s="3842"/>
      <c r="R899" s="3842"/>
      <c r="S899" s="3857"/>
    </row>
    <row r="900" spans="3:19" ht="12" customHeight="1">
      <c r="C900" s="2698" t="s">
        <v>12303</v>
      </c>
      <c r="D900" s="2698"/>
      <c r="E900" s="3842">
        <v>3</v>
      </c>
      <c r="F900" s="3842">
        <v>65</v>
      </c>
      <c r="G900" s="3842">
        <v>65</v>
      </c>
      <c r="H900" s="2698" t="s">
        <v>12334</v>
      </c>
      <c r="I900" s="2698" t="s">
        <v>12390</v>
      </c>
      <c r="J900" s="2698" t="s">
        <v>12400</v>
      </c>
      <c r="K900" s="2698"/>
      <c r="L900" s="2698"/>
      <c r="M900" s="3916"/>
      <c r="N900" s="2698"/>
      <c r="O900" s="3842"/>
      <c r="P900" s="2698"/>
      <c r="Q900" s="3842"/>
      <c r="R900" s="3842"/>
      <c r="S900" s="3857"/>
    </row>
    <row r="901" spans="3:19" ht="12" customHeight="1">
      <c r="C901" s="2698" t="s">
        <v>12284</v>
      </c>
      <c r="D901" s="2698"/>
      <c r="E901" s="3842"/>
      <c r="F901" s="3842"/>
      <c r="G901" s="2698"/>
      <c r="H901" s="2698"/>
      <c r="I901" s="2698"/>
      <c r="J901" s="2698"/>
      <c r="K901" s="2698"/>
      <c r="L901" s="2698"/>
      <c r="M901" s="3916"/>
      <c r="N901" s="2698"/>
      <c r="O901" s="3842"/>
      <c r="P901" s="2698"/>
      <c r="Q901" s="3842"/>
      <c r="R901" s="3842"/>
      <c r="S901" s="3857"/>
    </row>
    <row r="902" spans="3:19" ht="12" customHeight="1">
      <c r="C902" s="2698" t="s">
        <v>12328</v>
      </c>
      <c r="D902" s="2698"/>
      <c r="E902" s="3842">
        <v>1</v>
      </c>
      <c r="F902" s="3842">
        <v>20</v>
      </c>
      <c r="G902" s="3842">
        <v>20</v>
      </c>
      <c r="H902" s="2698" t="s">
        <v>12335</v>
      </c>
      <c r="I902" s="2698" t="s">
        <v>12383</v>
      </c>
      <c r="J902" s="2698"/>
      <c r="K902" s="2698"/>
      <c r="L902" s="2698"/>
      <c r="M902" s="3916"/>
      <c r="N902" s="2698"/>
      <c r="O902" s="3842"/>
      <c r="P902" s="2698"/>
      <c r="Q902" s="3842"/>
      <c r="R902" s="3842"/>
      <c r="S902" s="3857"/>
    </row>
    <row r="903" spans="3:19" ht="12" customHeight="1">
      <c r="C903" s="2698" t="s">
        <v>12285</v>
      </c>
      <c r="D903" s="2698"/>
      <c r="E903" s="3842">
        <v>1</v>
      </c>
      <c r="F903" s="3842">
        <v>25</v>
      </c>
      <c r="G903" s="3842">
        <v>25</v>
      </c>
      <c r="H903" s="2698" t="s">
        <v>2905</v>
      </c>
      <c r="I903" s="2698" t="s">
        <v>12389</v>
      </c>
      <c r="J903" s="2698" t="s">
        <v>12401</v>
      </c>
      <c r="K903" s="2698"/>
      <c r="L903" s="2698"/>
      <c r="M903" s="3916"/>
      <c r="N903" s="2698"/>
      <c r="O903" s="3842"/>
      <c r="P903" s="2698"/>
      <c r="Q903" s="3842"/>
      <c r="R903" s="3842"/>
      <c r="S903" s="3857"/>
    </row>
    <row r="904" spans="3:19" ht="12" customHeight="1">
      <c r="C904" s="2698" t="s">
        <v>12287</v>
      </c>
      <c r="D904" s="2698"/>
      <c r="E904" s="3842">
        <v>1</v>
      </c>
      <c r="F904" s="3842">
        <v>35</v>
      </c>
      <c r="G904" s="3842">
        <v>35</v>
      </c>
      <c r="H904" s="2698" t="s">
        <v>12336</v>
      </c>
      <c r="I904" s="2698" t="s">
        <v>12388</v>
      </c>
      <c r="J904" s="2698" t="s">
        <v>12401</v>
      </c>
      <c r="K904" s="2698"/>
      <c r="L904" s="2698"/>
      <c r="M904" s="3916"/>
      <c r="N904" s="2698"/>
      <c r="O904" s="3842"/>
      <c r="P904" s="2698"/>
      <c r="Q904" s="3842"/>
      <c r="R904" s="3842"/>
      <c r="S904" s="3857"/>
    </row>
    <row r="905" spans="3:19" ht="12" customHeight="1">
      <c r="C905" s="2698" t="s">
        <v>12286</v>
      </c>
      <c r="D905" s="2698"/>
      <c r="E905" s="3842">
        <v>2</v>
      </c>
      <c r="F905" s="3842">
        <v>40</v>
      </c>
      <c r="G905" s="3842">
        <v>40</v>
      </c>
      <c r="H905" s="2698" t="s">
        <v>12337</v>
      </c>
      <c r="I905" s="2698" t="s">
        <v>12387</v>
      </c>
      <c r="J905" s="2698" t="s">
        <v>12401</v>
      </c>
      <c r="K905" s="2698"/>
      <c r="L905" s="2698"/>
      <c r="M905" s="3916"/>
      <c r="N905" s="2698"/>
      <c r="O905" s="3842"/>
      <c r="P905" s="2698"/>
      <c r="Q905" s="3842"/>
      <c r="R905" s="3842"/>
      <c r="S905" s="3857"/>
    </row>
    <row r="906" spans="3:19" ht="12" customHeight="1">
      <c r="C906" s="2698" t="s">
        <v>12288</v>
      </c>
      <c r="D906" s="2698"/>
      <c r="E906" s="3842">
        <v>2</v>
      </c>
      <c r="F906" s="3842">
        <v>45</v>
      </c>
      <c r="G906" s="3842">
        <v>45</v>
      </c>
      <c r="H906" s="2698" t="s">
        <v>12338</v>
      </c>
      <c r="I906" s="2698" t="s">
        <v>12386</v>
      </c>
      <c r="J906" s="2698" t="s">
        <v>12401</v>
      </c>
      <c r="K906" s="2698"/>
      <c r="L906" s="2698"/>
      <c r="M906" s="3916"/>
      <c r="N906" s="2698"/>
      <c r="O906" s="3842"/>
      <c r="P906" s="2698"/>
      <c r="Q906" s="3842"/>
      <c r="R906" s="3842"/>
      <c r="S906" s="3857"/>
    </row>
    <row r="907" spans="3:19" ht="12" customHeight="1">
      <c r="C907" s="2698" t="s">
        <v>12289</v>
      </c>
      <c r="D907" s="2698"/>
      <c r="E907" s="3842">
        <v>2</v>
      </c>
      <c r="F907" s="3842">
        <v>40</v>
      </c>
      <c r="G907" s="3842">
        <v>40</v>
      </c>
      <c r="H907" s="2698" t="s">
        <v>12339</v>
      </c>
      <c r="I907" s="2698" t="s">
        <v>12385</v>
      </c>
      <c r="J907" s="2698" t="s">
        <v>12402</v>
      </c>
      <c r="K907" s="2698"/>
      <c r="L907" s="2698"/>
      <c r="M907" s="3916"/>
      <c r="N907" s="2698"/>
      <c r="O907" s="3842"/>
      <c r="P907" s="2698"/>
      <c r="Q907" s="3842"/>
      <c r="R907" s="3842"/>
      <c r="S907" s="3857"/>
    </row>
    <row r="908" spans="3:19" ht="12" customHeight="1">
      <c r="C908" s="2698" t="s">
        <v>12290</v>
      </c>
      <c r="D908" s="2698"/>
      <c r="E908" s="3842"/>
      <c r="F908" s="3842"/>
      <c r="G908" s="2698"/>
      <c r="H908" s="2698"/>
      <c r="I908" s="2698"/>
      <c r="J908" s="2698"/>
      <c r="K908" s="2698"/>
      <c r="L908" s="2698"/>
      <c r="M908" s="3916"/>
      <c r="N908" s="2698"/>
      <c r="O908" s="3842"/>
      <c r="P908" s="2698"/>
      <c r="Q908" s="3842"/>
      <c r="R908" s="3842"/>
      <c r="S908" s="3857"/>
    </row>
    <row r="909" spans="3:19" ht="12" customHeight="1">
      <c r="C909" s="2698" t="s">
        <v>12291</v>
      </c>
      <c r="D909" s="2698"/>
      <c r="E909" s="3842">
        <v>1</v>
      </c>
      <c r="F909" s="3842">
        <v>30</v>
      </c>
      <c r="G909" s="3842">
        <v>30</v>
      </c>
      <c r="H909" s="2698" t="s">
        <v>12343</v>
      </c>
      <c r="I909" s="2698" t="s">
        <v>12384</v>
      </c>
      <c r="J909" s="2698" t="s">
        <v>12403</v>
      </c>
      <c r="K909" s="2698"/>
      <c r="L909" s="2698"/>
      <c r="M909" s="3916"/>
      <c r="N909" s="2698"/>
      <c r="O909" s="3842"/>
      <c r="P909" s="2698"/>
      <c r="Q909" s="3842"/>
      <c r="R909" s="3842"/>
      <c r="S909" s="3857"/>
    </row>
    <row r="910" spans="3:19" ht="12" customHeight="1">
      <c r="C910" s="2698" t="s">
        <v>12292</v>
      </c>
      <c r="D910" s="2698"/>
      <c r="E910" s="3842">
        <v>1</v>
      </c>
      <c r="F910" s="3842">
        <v>20</v>
      </c>
      <c r="G910" s="3842">
        <v>20</v>
      </c>
      <c r="H910" s="2698" t="s">
        <v>12342</v>
      </c>
      <c r="I910" s="2698" t="s">
        <v>12383</v>
      </c>
      <c r="J910" s="2698" t="s">
        <v>12403</v>
      </c>
      <c r="K910" s="2698"/>
      <c r="L910" s="2698"/>
      <c r="M910" s="3916"/>
      <c r="N910" s="2698"/>
      <c r="O910" s="3842"/>
      <c r="P910" s="2698"/>
      <c r="Q910" s="3842"/>
      <c r="R910" s="3842"/>
      <c r="S910" s="3857"/>
    </row>
    <row r="911" spans="3:19" ht="12" customHeight="1">
      <c r="C911" s="2698" t="s">
        <v>12293</v>
      </c>
      <c r="D911" s="2698"/>
      <c r="E911" s="3842">
        <v>2</v>
      </c>
      <c r="F911" s="3842">
        <v>40</v>
      </c>
      <c r="G911" s="3842">
        <v>40</v>
      </c>
      <c r="H911" s="2698" t="s">
        <v>12271</v>
      </c>
      <c r="I911" s="2698" t="s">
        <v>12382</v>
      </c>
      <c r="J911" s="2698" t="s">
        <v>12403</v>
      </c>
      <c r="K911" s="2698"/>
      <c r="L911" s="2698"/>
      <c r="M911" s="3916"/>
      <c r="N911" s="2698"/>
      <c r="O911" s="3842"/>
      <c r="P911" s="2698"/>
      <c r="Q911" s="3842"/>
      <c r="R911" s="3842"/>
      <c r="S911" s="3857"/>
    </row>
    <row r="912" spans="3:19" ht="12" customHeight="1">
      <c r="C912" s="2698" t="s">
        <v>12294</v>
      </c>
      <c r="D912" s="2698"/>
      <c r="E912" s="3842">
        <v>2</v>
      </c>
      <c r="F912" s="3842">
        <v>50</v>
      </c>
      <c r="G912" s="3842">
        <v>50</v>
      </c>
      <c r="H912" s="2698" t="s">
        <v>12341</v>
      </c>
      <c r="I912" s="2698" t="s">
        <v>12381</v>
      </c>
      <c r="J912" s="2698" t="s">
        <v>12404</v>
      </c>
      <c r="K912" s="2698"/>
      <c r="L912" s="2698"/>
      <c r="M912" s="3916"/>
      <c r="N912" s="2698"/>
      <c r="O912" s="3842"/>
      <c r="P912" s="2698"/>
      <c r="Q912" s="3842"/>
      <c r="R912" s="3842"/>
      <c r="S912" s="3857"/>
    </row>
    <row r="913" spans="3:19" ht="12" customHeight="1">
      <c r="C913" s="2698" t="s">
        <v>12295</v>
      </c>
      <c r="D913" s="2698"/>
      <c r="E913" s="3842">
        <v>2</v>
      </c>
      <c r="F913" s="3842">
        <v>40</v>
      </c>
      <c r="G913" s="3842">
        <v>40</v>
      </c>
      <c r="H913" s="2698" t="s">
        <v>5845</v>
      </c>
      <c r="I913" s="2698" t="s">
        <v>12380</v>
      </c>
      <c r="J913" s="2698" t="s">
        <v>12403</v>
      </c>
      <c r="K913" s="2698"/>
      <c r="L913" s="2698"/>
      <c r="M913" s="3916"/>
      <c r="N913" s="2698"/>
      <c r="O913" s="3842"/>
      <c r="P913" s="2698"/>
      <c r="Q913" s="3842"/>
      <c r="R913" s="3842"/>
      <c r="S913" s="3857"/>
    </row>
    <row r="914" spans="3:19" ht="12" customHeight="1">
      <c r="C914" s="2698" t="s">
        <v>12296</v>
      </c>
      <c r="D914" s="2698"/>
      <c r="E914" s="3842">
        <v>3</v>
      </c>
      <c r="F914" s="3842">
        <v>110</v>
      </c>
      <c r="G914" s="3842">
        <v>110</v>
      </c>
      <c r="H914" s="2698" t="s">
        <v>12340</v>
      </c>
      <c r="I914" s="2698" t="s">
        <v>12379</v>
      </c>
      <c r="J914" s="2698" t="s">
        <v>12405</v>
      </c>
      <c r="K914" s="2698"/>
      <c r="L914" s="2698"/>
      <c r="M914" s="3916"/>
      <c r="N914" s="2698"/>
      <c r="O914" s="3842"/>
      <c r="P914" s="2698"/>
      <c r="Q914" s="3842"/>
      <c r="R914" s="3842"/>
      <c r="S914" s="3857"/>
    </row>
    <row r="915" spans="3:19" ht="12" customHeight="1">
      <c r="C915" s="2698" t="s">
        <v>12304</v>
      </c>
      <c r="D915" s="2698"/>
      <c r="E915" s="3842"/>
      <c r="F915" s="3842"/>
      <c r="G915" s="2698"/>
      <c r="H915" s="2698"/>
      <c r="I915" s="2698"/>
      <c r="J915" s="2698"/>
      <c r="K915" s="2698"/>
      <c r="L915" s="2698"/>
      <c r="M915" s="3916"/>
      <c r="N915" s="2698"/>
      <c r="O915" s="3842"/>
      <c r="P915" s="2698"/>
      <c r="Q915" s="3842"/>
      <c r="R915" s="3842"/>
      <c r="S915" s="3857"/>
    </row>
    <row r="916" spans="3:19" ht="12" customHeight="1">
      <c r="C916" s="2698" t="s">
        <v>12305</v>
      </c>
      <c r="D916" s="2698"/>
      <c r="E916" s="3842">
        <v>1</v>
      </c>
      <c r="F916" s="3842">
        <v>25</v>
      </c>
      <c r="G916" s="3842">
        <v>25</v>
      </c>
      <c r="H916" s="2698" t="s">
        <v>12344</v>
      </c>
      <c r="I916" s="2698" t="s">
        <v>12378</v>
      </c>
      <c r="J916" s="2698"/>
      <c r="K916" s="2698"/>
      <c r="L916" s="2698"/>
      <c r="M916" s="3916"/>
      <c r="N916" s="2698"/>
      <c r="O916" s="3842"/>
      <c r="P916" s="2698"/>
      <c r="Q916" s="3842"/>
      <c r="R916" s="3842"/>
      <c r="S916" s="3857"/>
    </row>
    <row r="917" spans="3:19" ht="12" customHeight="1">
      <c r="C917" s="2698" t="s">
        <v>12306</v>
      </c>
      <c r="D917" s="2698"/>
      <c r="E917" s="3842">
        <v>1</v>
      </c>
      <c r="F917" s="3842">
        <v>30</v>
      </c>
      <c r="G917" s="3842">
        <v>30</v>
      </c>
      <c r="H917" s="2698" t="s">
        <v>12345</v>
      </c>
      <c r="I917" s="2698" t="s">
        <v>12377</v>
      </c>
      <c r="J917" s="2698" t="s">
        <v>12406</v>
      </c>
      <c r="K917" s="2698"/>
      <c r="L917" s="2698"/>
      <c r="M917" s="3916"/>
      <c r="N917" s="2698"/>
      <c r="O917" s="3842"/>
      <c r="P917" s="2698"/>
      <c r="Q917" s="3842"/>
      <c r="R917" s="3842"/>
      <c r="S917" s="3857"/>
    </row>
    <row r="918" spans="3:19" ht="12" customHeight="1">
      <c r="C918" s="2698" t="s">
        <v>12307</v>
      </c>
      <c r="D918" s="2698"/>
      <c r="E918" s="3842">
        <v>1</v>
      </c>
      <c r="F918" s="3842">
        <v>40</v>
      </c>
      <c r="G918" s="3842">
        <v>40</v>
      </c>
      <c r="H918" s="2698" t="s">
        <v>5845</v>
      </c>
      <c r="I918" s="2698" t="s">
        <v>12376</v>
      </c>
      <c r="J918" s="2698"/>
      <c r="K918" s="2698"/>
      <c r="L918" s="2698"/>
      <c r="M918" s="3916"/>
      <c r="N918" s="2698"/>
      <c r="O918" s="3842"/>
      <c r="P918" s="2698"/>
      <c r="Q918" s="3842"/>
      <c r="R918" s="3842"/>
      <c r="S918" s="3857"/>
    </row>
    <row r="919" spans="3:19" ht="12" customHeight="1">
      <c r="C919" s="2698" t="s">
        <v>12308</v>
      </c>
      <c r="D919" s="2698"/>
      <c r="E919" s="3842">
        <v>2</v>
      </c>
      <c r="F919" s="3842">
        <v>50</v>
      </c>
      <c r="G919" s="3842">
        <v>50</v>
      </c>
      <c r="H919" s="2698" t="s">
        <v>12346</v>
      </c>
      <c r="I919" s="2698" t="s">
        <v>12375</v>
      </c>
      <c r="J919" s="2698"/>
      <c r="K919" s="2698"/>
      <c r="L919" s="2698"/>
      <c r="M919" s="3916"/>
      <c r="N919" s="2698"/>
      <c r="O919" s="3842"/>
      <c r="P919" s="2698"/>
      <c r="Q919" s="3842"/>
      <c r="R919" s="3842"/>
      <c r="S919" s="3857"/>
    </row>
    <row r="920" spans="3:19" ht="12" customHeight="1">
      <c r="C920" s="2698" t="s">
        <v>12309</v>
      </c>
      <c r="D920" s="2698"/>
      <c r="E920" s="3842">
        <v>2</v>
      </c>
      <c r="F920" s="3842">
        <v>65</v>
      </c>
      <c r="G920" s="3842">
        <v>65</v>
      </c>
      <c r="H920" s="2698" t="s">
        <v>12347</v>
      </c>
      <c r="I920" s="2698" t="s">
        <v>12374</v>
      </c>
      <c r="J920" s="2698"/>
      <c r="K920" s="2698"/>
      <c r="L920" s="2698"/>
      <c r="M920" s="3916"/>
      <c r="N920" s="2698"/>
      <c r="O920" s="3842"/>
      <c r="P920" s="2698"/>
      <c r="Q920" s="3842"/>
      <c r="R920" s="3842"/>
      <c r="S920" s="3857"/>
    </row>
    <row r="921" spans="3:19" ht="12" customHeight="1">
      <c r="C921" s="2698" t="s">
        <v>12310</v>
      </c>
      <c r="D921" s="2698"/>
      <c r="E921" s="3842">
        <v>3</v>
      </c>
      <c r="F921" s="3842">
        <v>70</v>
      </c>
      <c r="G921" s="3842">
        <v>70</v>
      </c>
      <c r="H921" s="2698" t="s">
        <v>12348</v>
      </c>
      <c r="I921" s="2698" t="s">
        <v>12372</v>
      </c>
      <c r="J921" s="2698" t="s">
        <v>12407</v>
      </c>
      <c r="K921" s="2698"/>
      <c r="L921" s="2698"/>
      <c r="M921" s="3916"/>
      <c r="N921" s="2698"/>
      <c r="O921" s="3842"/>
      <c r="P921" s="2698"/>
      <c r="Q921" s="3842"/>
      <c r="R921" s="3842"/>
      <c r="S921" s="3857"/>
    </row>
    <row r="922" spans="3:19" ht="12" customHeight="1">
      <c r="C922" s="2698" t="s">
        <v>12311</v>
      </c>
      <c r="D922" s="2698"/>
      <c r="E922" s="3842"/>
      <c r="F922" s="3842"/>
      <c r="G922" s="2698"/>
      <c r="H922" s="2698"/>
      <c r="I922" s="2698"/>
      <c r="J922" s="2698"/>
      <c r="K922" s="2698"/>
      <c r="L922" s="2698"/>
      <c r="M922" s="3916"/>
      <c r="N922" s="2698"/>
      <c r="O922" s="3842"/>
      <c r="P922" s="2698"/>
      <c r="Q922" s="3842"/>
      <c r="R922" s="3842"/>
      <c r="S922" s="3857"/>
    </row>
    <row r="923" spans="3:19" ht="12" customHeight="1">
      <c r="C923" s="2698" t="s">
        <v>12312</v>
      </c>
      <c r="D923" s="2698"/>
      <c r="E923" s="3842">
        <v>1</v>
      </c>
      <c r="F923" s="3842">
        <v>25</v>
      </c>
      <c r="G923" s="3842">
        <v>25</v>
      </c>
      <c r="H923" s="2698" t="s">
        <v>12349</v>
      </c>
      <c r="I923" s="2698" t="s">
        <v>12373</v>
      </c>
      <c r="J923" s="2698"/>
      <c r="K923" s="2698"/>
      <c r="L923" s="2698"/>
      <c r="M923" s="3916"/>
      <c r="N923" s="2698"/>
      <c r="O923" s="3842"/>
      <c r="P923" s="2698"/>
      <c r="Q923" s="3842"/>
      <c r="R923" s="3842"/>
      <c r="S923" s="3857"/>
    </row>
    <row r="924" spans="3:19" ht="12" customHeight="1">
      <c r="C924" s="2698" t="s">
        <v>12313</v>
      </c>
      <c r="D924" s="2698"/>
      <c r="E924" s="3842">
        <v>1</v>
      </c>
      <c r="F924" s="3842">
        <v>30</v>
      </c>
      <c r="G924" s="3842">
        <v>30</v>
      </c>
      <c r="H924" s="2698" t="s">
        <v>12350</v>
      </c>
      <c r="I924" s="2698" t="s">
        <v>12371</v>
      </c>
      <c r="J924" s="2698"/>
      <c r="K924" s="2698"/>
      <c r="L924" s="2698"/>
      <c r="M924" s="3916"/>
      <c r="N924" s="2698"/>
      <c r="O924" s="3842"/>
      <c r="P924" s="2698"/>
      <c r="Q924" s="3842"/>
      <c r="R924" s="3842"/>
      <c r="S924" s="3857"/>
    </row>
    <row r="925" spans="3:19" ht="12" customHeight="1">
      <c r="C925" s="2698" t="s">
        <v>12314</v>
      </c>
      <c r="D925" s="2698"/>
      <c r="E925" s="3842">
        <v>2</v>
      </c>
      <c r="F925" s="3842">
        <v>50</v>
      </c>
      <c r="G925" s="3842">
        <v>50</v>
      </c>
      <c r="H925" s="2698" t="s">
        <v>12351</v>
      </c>
      <c r="I925" s="2698" t="s">
        <v>12370</v>
      </c>
      <c r="J925" s="2698" t="s">
        <v>12408</v>
      </c>
      <c r="K925" s="2698"/>
      <c r="L925" s="2698"/>
      <c r="M925" s="3916"/>
      <c r="N925" s="2698"/>
      <c r="O925" s="3842"/>
      <c r="P925" s="2698"/>
      <c r="Q925" s="3842"/>
      <c r="R925" s="3842"/>
      <c r="S925" s="3857"/>
    </row>
    <row r="926" spans="3:19" ht="12" customHeight="1">
      <c r="C926" s="2698" t="s">
        <v>12315</v>
      </c>
      <c r="D926" s="2698"/>
      <c r="E926" s="3842">
        <v>2</v>
      </c>
      <c r="F926" s="3842">
        <v>40</v>
      </c>
      <c r="G926" s="3842">
        <v>40</v>
      </c>
      <c r="H926" s="2698" t="s">
        <v>12352</v>
      </c>
      <c r="I926" s="2698" t="s">
        <v>12369</v>
      </c>
      <c r="J926" s="2698" t="s">
        <v>12409</v>
      </c>
      <c r="K926" s="2698"/>
      <c r="L926" s="2698"/>
      <c r="M926" s="3916"/>
      <c r="N926" s="2698"/>
      <c r="O926" s="3842"/>
      <c r="P926" s="2698"/>
      <c r="Q926" s="3842"/>
      <c r="R926" s="3842"/>
      <c r="S926" s="3857"/>
    </row>
    <row r="927" spans="3:19" ht="12" customHeight="1">
      <c r="C927" s="2698" t="s">
        <v>12316</v>
      </c>
      <c r="D927" s="2698"/>
      <c r="E927" s="3842">
        <v>2</v>
      </c>
      <c r="F927" s="3842">
        <v>40</v>
      </c>
      <c r="G927" s="3842">
        <v>40</v>
      </c>
      <c r="H927" s="2698" t="s">
        <v>12353</v>
      </c>
      <c r="I927" s="2698" t="s">
        <v>12368</v>
      </c>
      <c r="J927" s="2698" t="s">
        <v>12409</v>
      </c>
      <c r="K927" s="2698"/>
      <c r="L927" s="2698"/>
      <c r="M927" s="3916"/>
      <c r="N927" s="2698"/>
      <c r="O927" s="3842"/>
      <c r="P927" s="2698"/>
      <c r="Q927" s="3842"/>
      <c r="R927" s="3842"/>
      <c r="S927" s="3857"/>
    </row>
    <row r="928" spans="3:19" ht="12" customHeight="1">
      <c r="C928" s="2698" t="s">
        <v>12317</v>
      </c>
      <c r="D928" s="2698"/>
      <c r="E928" s="3842">
        <v>3</v>
      </c>
      <c r="F928" s="3842">
        <v>95</v>
      </c>
      <c r="G928" s="3842">
        <v>95</v>
      </c>
      <c r="H928" s="2698" t="s">
        <v>12354</v>
      </c>
      <c r="I928" s="2698" t="s">
        <v>12367</v>
      </c>
      <c r="J928" s="2698" t="s">
        <v>12410</v>
      </c>
      <c r="K928" s="2698"/>
      <c r="L928" s="2698"/>
      <c r="M928" s="3916"/>
      <c r="N928" s="2698"/>
      <c r="O928" s="3842"/>
      <c r="P928" s="2698"/>
      <c r="Q928" s="3842"/>
      <c r="R928" s="3842"/>
      <c r="S928" s="3857"/>
    </row>
    <row r="929" spans="3:19" ht="12" customHeight="1">
      <c r="C929" s="2698" t="s">
        <v>12318</v>
      </c>
      <c r="D929" s="2698"/>
      <c r="E929" s="3842"/>
      <c r="F929" s="3842"/>
      <c r="G929" s="3842"/>
      <c r="H929" s="2698"/>
      <c r="I929" s="2698"/>
      <c r="J929" s="2698"/>
      <c r="K929" s="2698"/>
      <c r="L929" s="2698"/>
      <c r="M929" s="3916"/>
      <c r="N929" s="2698"/>
      <c r="O929" s="3842"/>
      <c r="P929" s="2698"/>
      <c r="Q929" s="3842"/>
      <c r="R929" s="3842"/>
      <c r="S929" s="3857"/>
    </row>
    <row r="930" spans="3:19" ht="12" customHeight="1">
      <c r="C930" s="2698" t="s">
        <v>12319</v>
      </c>
      <c r="D930" s="2698"/>
      <c r="E930" s="3842">
        <v>1</v>
      </c>
      <c r="F930" s="3842">
        <v>25</v>
      </c>
      <c r="G930" s="3842">
        <v>25</v>
      </c>
      <c r="H930" s="2698" t="s">
        <v>12355</v>
      </c>
      <c r="I930" s="2698" t="s">
        <v>12366</v>
      </c>
      <c r="J930" s="2698" t="s">
        <v>12411</v>
      </c>
      <c r="K930" s="2698"/>
      <c r="L930" s="2698"/>
      <c r="M930" s="3916"/>
      <c r="N930" s="2698"/>
      <c r="O930" s="3842"/>
      <c r="P930" s="2698"/>
      <c r="Q930" s="3842"/>
      <c r="R930" s="3842"/>
      <c r="S930" s="3857"/>
    </row>
    <row r="931" spans="3:19" ht="12" customHeight="1">
      <c r="C931" s="2698" t="s">
        <v>12320</v>
      </c>
      <c r="D931" s="2698"/>
      <c r="E931" s="3842">
        <v>1</v>
      </c>
      <c r="F931" s="3842">
        <v>40</v>
      </c>
      <c r="G931" s="3842">
        <v>40</v>
      </c>
      <c r="H931" s="2698" t="s">
        <v>12360</v>
      </c>
      <c r="I931" s="2698" t="s">
        <v>12365</v>
      </c>
      <c r="J931" s="2698"/>
      <c r="K931" s="2698"/>
      <c r="L931" s="2698"/>
      <c r="M931" s="3916"/>
      <c r="N931" s="2698"/>
      <c r="O931" s="3842"/>
      <c r="P931" s="2698"/>
      <c r="Q931" s="3842"/>
      <c r="R931" s="3842"/>
      <c r="S931" s="3857"/>
    </row>
    <row r="932" spans="3:19" ht="12" customHeight="1">
      <c r="C932" s="2698" t="s">
        <v>12321</v>
      </c>
      <c r="D932" s="2698"/>
      <c r="E932" s="3842">
        <v>2</v>
      </c>
      <c r="F932" s="3842">
        <v>40</v>
      </c>
      <c r="G932" s="3842">
        <v>40</v>
      </c>
      <c r="H932" s="2698" t="s">
        <v>12356</v>
      </c>
      <c r="I932" s="2698" t="s">
        <v>12364</v>
      </c>
      <c r="J932" s="2698" t="s">
        <v>12412</v>
      </c>
      <c r="K932" s="2698"/>
      <c r="L932" s="2698"/>
      <c r="M932" s="3916"/>
      <c r="N932" s="2698"/>
      <c r="O932" s="3842"/>
      <c r="P932" s="2698"/>
      <c r="Q932" s="3842"/>
      <c r="R932" s="3842"/>
      <c r="S932" s="3857"/>
    </row>
    <row r="933" spans="3:19" ht="12" customHeight="1">
      <c r="C933" s="2698" t="s">
        <v>12322</v>
      </c>
      <c r="D933" s="2698"/>
      <c r="E933" s="3842">
        <v>2</v>
      </c>
      <c r="F933" s="3842">
        <v>50</v>
      </c>
      <c r="G933" s="3842">
        <v>50</v>
      </c>
      <c r="H933" s="2698" t="s">
        <v>12357</v>
      </c>
      <c r="I933" s="2698" t="s">
        <v>12363</v>
      </c>
      <c r="J933" s="2698" t="s">
        <v>12412</v>
      </c>
      <c r="K933" s="2698"/>
      <c r="L933" s="2698"/>
      <c r="M933" s="3916"/>
      <c r="N933" s="2698"/>
      <c r="O933" s="3842"/>
      <c r="P933" s="2698"/>
      <c r="Q933" s="3842"/>
      <c r="R933" s="3842"/>
      <c r="S933" s="3857"/>
    </row>
    <row r="934" spans="3:19" ht="12" customHeight="1">
      <c r="C934" s="2698" t="s">
        <v>12323</v>
      </c>
      <c r="D934" s="2698"/>
      <c r="E934" s="3842">
        <v>2</v>
      </c>
      <c r="F934" s="3842">
        <v>50</v>
      </c>
      <c r="G934" s="3842">
        <v>50</v>
      </c>
      <c r="H934" s="2698" t="s">
        <v>12358</v>
      </c>
      <c r="I934" s="2698" t="s">
        <v>12362</v>
      </c>
      <c r="J934" s="2698" t="s">
        <v>12412</v>
      </c>
      <c r="K934" s="2698"/>
      <c r="L934" s="2698"/>
      <c r="M934" s="3916"/>
      <c r="N934" s="2698"/>
      <c r="O934" s="3842"/>
      <c r="P934" s="2698"/>
      <c r="Q934" s="3842"/>
      <c r="R934" s="3842"/>
      <c r="S934" s="3857"/>
    </row>
    <row r="935" spans="3:19" ht="12" customHeight="1">
      <c r="C935" s="2698" t="s">
        <v>12324</v>
      </c>
      <c r="D935" s="2698"/>
      <c r="E935" s="3842">
        <v>3</v>
      </c>
      <c r="F935" s="3842">
        <v>70</v>
      </c>
      <c r="G935" s="3842">
        <v>70</v>
      </c>
      <c r="H935" s="2698" t="s">
        <v>12359</v>
      </c>
      <c r="I935" s="2698" t="s">
        <v>12361</v>
      </c>
      <c r="J935" s="2698" t="s">
        <v>12413</v>
      </c>
      <c r="K935" s="2698"/>
      <c r="L935" s="2698"/>
      <c r="M935" s="3916"/>
      <c r="N935" s="2698"/>
      <c r="O935" s="3842"/>
      <c r="P935" s="2698"/>
      <c r="Q935" s="3842"/>
      <c r="R935" s="3842"/>
      <c r="S935" s="3857"/>
    </row>
  </sheetData>
  <sheetProtection selectLockedCells="1"/>
  <mergeCells count="16">
    <mergeCell ref="A678:A885"/>
    <mergeCell ref="B682:B885"/>
    <mergeCell ref="B2:X4"/>
    <mergeCell ref="C6:L7"/>
    <mergeCell ref="O148:S149"/>
    <mergeCell ref="C682:S683"/>
    <mergeCell ref="M684:S684"/>
    <mergeCell ref="B678:U680"/>
    <mergeCell ref="O6:X7"/>
    <mergeCell ref="U682:U683"/>
    <mergeCell ref="N6:N88"/>
    <mergeCell ref="B6:B658"/>
    <mergeCell ref="N114:N146"/>
    <mergeCell ref="O114:Q115"/>
    <mergeCell ref="N148:N267"/>
    <mergeCell ref="A2:A677"/>
  </mergeCells>
  <pageMargins left="0.7" right="0.7" top="0.75" bottom="0.75" header="0.3" footer="0.3"/>
  <pageSetup paperSize="9" orientation="portrait" horizontalDpi="3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315"/>
  <sheetViews>
    <sheetView zoomScaleNormal="100" workbookViewId="0">
      <selection activeCell="V146" sqref="V146:X146"/>
    </sheetView>
  </sheetViews>
  <sheetFormatPr baseColWidth="10" defaultColWidth="5.7109375" defaultRowHeight="12" customHeight="1"/>
  <cols>
    <col min="1" max="1" width="1.7109375" style="21" customWidth="1"/>
    <col min="2" max="17" width="5.7109375" style="21" customWidth="1"/>
    <col min="18" max="18" width="5.7109375" style="708" customWidth="1"/>
    <col min="19" max="19" width="1.7109375" style="708" customWidth="1"/>
    <col min="20" max="20" width="1.85546875" style="708" customWidth="1"/>
    <col min="21" max="21" width="5.7109375" style="708" customWidth="1"/>
    <col min="22" max="36" width="5.7109375" style="21" customWidth="1"/>
    <col min="37" max="37" width="5.7109375" style="530" customWidth="1"/>
    <col min="38" max="38" width="1.7109375" style="530" customWidth="1"/>
    <col min="39" max="39" width="8.42578125" style="530" customWidth="1"/>
    <col min="40" max="40" width="9.5703125" style="530" customWidth="1"/>
    <col min="41" max="41" width="10.7109375" style="530" customWidth="1"/>
    <col min="42" max="42" width="5.85546875" style="530" bestFit="1" customWidth="1"/>
    <col min="43" max="43" width="5.7109375" style="530" customWidth="1"/>
    <col min="44" max="44" width="8.5703125" style="530" bestFit="1" customWidth="1"/>
    <col min="45" max="45" width="9.140625" style="530" customWidth="1"/>
    <col min="46" max="46" width="5.85546875" style="530" bestFit="1" customWidth="1"/>
    <col min="47" max="47" width="5.7109375" style="530" customWidth="1"/>
    <col min="48" max="56" width="5.85546875" style="21" bestFit="1" customWidth="1"/>
    <col min="57" max="16384" width="5.7109375" style="21"/>
  </cols>
  <sheetData>
    <row r="1" spans="1:76" ht="12" customHeight="1" thickBot="1">
      <c r="A1" s="1906"/>
      <c r="B1" s="769"/>
      <c r="C1" s="29"/>
      <c r="D1" s="29"/>
      <c r="E1" s="29"/>
      <c r="F1" s="29"/>
      <c r="G1" s="29"/>
      <c r="H1" s="29"/>
      <c r="I1" s="29"/>
      <c r="J1" s="29"/>
      <c r="K1" s="29"/>
      <c r="L1" s="29"/>
      <c r="M1" s="29"/>
      <c r="N1" s="29"/>
      <c r="O1" s="29"/>
      <c r="P1" s="29"/>
      <c r="Q1" s="29"/>
      <c r="R1" s="29"/>
      <c r="S1" s="1905"/>
      <c r="T1" s="1906"/>
      <c r="U1" s="769"/>
      <c r="V1" s="29"/>
      <c r="W1" s="29"/>
      <c r="X1" s="29"/>
      <c r="Y1" s="29"/>
      <c r="Z1" s="29"/>
      <c r="AA1" s="29"/>
      <c r="AB1" s="29"/>
      <c r="AC1" s="29"/>
      <c r="AD1" s="29"/>
      <c r="AE1" s="29"/>
      <c r="AF1" s="29"/>
      <c r="AG1" s="29"/>
      <c r="AH1" s="29"/>
      <c r="AI1" s="29"/>
      <c r="AJ1" s="29"/>
      <c r="AK1" s="529"/>
      <c r="AL1" s="1919"/>
      <c r="AM1" s="2265" t="s">
        <v>8292</v>
      </c>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row>
    <row r="2" spans="1:76" ht="12" customHeight="1" thickBot="1">
      <c r="A2" s="1906"/>
      <c r="B2" s="878"/>
      <c r="C2" s="619"/>
      <c r="D2" s="619"/>
      <c r="E2" s="619"/>
      <c r="F2" s="619"/>
      <c r="G2" s="619"/>
      <c r="H2" s="619"/>
      <c r="I2" s="619"/>
      <c r="J2" s="619"/>
      <c r="K2" s="619"/>
      <c r="L2" s="619"/>
      <c r="M2" s="619"/>
      <c r="N2" s="619"/>
      <c r="O2" s="619"/>
      <c r="P2" s="619"/>
      <c r="Q2" s="619"/>
      <c r="R2" s="620"/>
      <c r="S2" s="1905"/>
      <c r="T2" s="1907"/>
      <c r="U2" s="878"/>
      <c r="V2" s="619"/>
      <c r="W2" s="619"/>
      <c r="X2" s="619"/>
      <c r="Y2" s="619"/>
      <c r="Z2" s="619"/>
      <c r="AA2" s="619"/>
      <c r="AB2" s="619"/>
      <c r="AC2" s="619"/>
      <c r="AD2" s="619"/>
      <c r="AE2" s="619"/>
      <c r="AF2" s="619"/>
      <c r="AG2" s="619"/>
      <c r="AH2" s="619"/>
      <c r="AI2" s="619"/>
      <c r="AJ2" s="619"/>
      <c r="AK2" s="684"/>
      <c r="AL2" s="1919"/>
      <c r="AV2" s="530"/>
      <c r="AW2" s="530"/>
      <c r="AX2" s="530"/>
      <c r="AY2" s="530"/>
      <c r="AZ2" s="530"/>
      <c r="BA2" s="530"/>
      <c r="BB2" s="530"/>
      <c r="BC2" s="530"/>
      <c r="BD2" s="530"/>
      <c r="BE2" s="530"/>
      <c r="BF2" s="530"/>
      <c r="BG2" s="530"/>
      <c r="BH2" s="530"/>
      <c r="BI2" s="530"/>
      <c r="BJ2" s="530"/>
      <c r="BK2" s="530"/>
      <c r="BL2" s="530"/>
      <c r="BM2" s="530"/>
      <c r="BN2" s="530"/>
      <c r="BO2" s="530"/>
      <c r="BP2" s="530"/>
      <c r="BQ2" s="530"/>
      <c r="BR2" s="530"/>
      <c r="BS2" s="530"/>
      <c r="BT2" s="530"/>
      <c r="BU2" s="530"/>
      <c r="BV2" s="530"/>
      <c r="BW2" s="530"/>
      <c r="BX2" s="530"/>
    </row>
    <row r="3" spans="1:76" ht="12" customHeight="1">
      <c r="A3" s="1906"/>
      <c r="B3" s="879"/>
      <c r="C3" s="6301" t="s">
        <v>8028</v>
      </c>
      <c r="D3" s="6302"/>
      <c r="E3" s="6302"/>
      <c r="F3" s="6302"/>
      <c r="G3" s="6302"/>
      <c r="H3" s="6302"/>
      <c r="I3" s="6302"/>
      <c r="J3" s="6302"/>
      <c r="K3" s="6302"/>
      <c r="L3" s="6302"/>
      <c r="M3" s="6302"/>
      <c r="N3" s="6302"/>
      <c r="O3" s="6302"/>
      <c r="P3" s="6302"/>
      <c r="Q3" s="7232"/>
      <c r="R3" s="532"/>
      <c r="S3" s="1905"/>
      <c r="T3" s="1906"/>
      <c r="U3" s="879"/>
      <c r="V3" s="6301" t="s">
        <v>6686</v>
      </c>
      <c r="W3" s="6302"/>
      <c r="X3" s="6302"/>
      <c r="Y3" s="6302"/>
      <c r="Z3" s="6302"/>
      <c r="AA3" s="6302"/>
      <c r="AB3" s="6302"/>
      <c r="AC3" s="6302"/>
      <c r="AD3" s="6302"/>
      <c r="AE3" s="6302"/>
      <c r="AF3" s="6302"/>
      <c r="AG3" s="6302"/>
      <c r="AH3" s="6302"/>
      <c r="AI3" s="6302"/>
      <c r="AJ3" s="7232"/>
      <c r="AK3" s="685"/>
      <c r="AL3" s="1919"/>
      <c r="AM3" s="530" t="s">
        <v>8173</v>
      </c>
      <c r="AN3" s="530" t="str">
        <f ca="1">Tablas!AC811</f>
        <v>Tablas!$AG$654:$AG$656</v>
      </c>
      <c r="AR3" s="530" t="s">
        <v>1252</v>
      </c>
      <c r="AS3" s="530" t="str">
        <f>IF(AO96="","",", "&amp;AO96)&amp;IF(AO112="","",", "&amp;AO112)&amp;IF(AO128="","",", "&amp;AO128)</f>
        <v/>
      </c>
      <c r="AT3" s="530" t="str">
        <f>IFERROR(RIGHT(AS3,LEN(AS3)-2),"")</f>
        <v/>
      </c>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row>
    <row r="4" spans="1:76" ht="12" customHeight="1" thickBot="1">
      <c r="A4" s="1906"/>
      <c r="B4" s="879"/>
      <c r="C4" s="6304"/>
      <c r="D4" s="6305"/>
      <c r="E4" s="6305"/>
      <c r="F4" s="6305"/>
      <c r="G4" s="6305"/>
      <c r="H4" s="6305"/>
      <c r="I4" s="6305"/>
      <c r="J4" s="6305"/>
      <c r="K4" s="6305"/>
      <c r="L4" s="6305"/>
      <c r="M4" s="6305"/>
      <c r="N4" s="6305"/>
      <c r="O4" s="6305"/>
      <c r="P4" s="6305"/>
      <c r="Q4" s="7233"/>
      <c r="R4" s="532"/>
      <c r="S4" s="1905"/>
      <c r="T4" s="1906"/>
      <c r="U4" s="879"/>
      <c r="V4" s="6304"/>
      <c r="W4" s="6305"/>
      <c r="X4" s="6305"/>
      <c r="Y4" s="6305"/>
      <c r="Z4" s="6305"/>
      <c r="AA4" s="6305"/>
      <c r="AB4" s="6305"/>
      <c r="AC4" s="6305"/>
      <c r="AD4" s="6305"/>
      <c r="AE4" s="6305"/>
      <c r="AF4" s="6305"/>
      <c r="AG4" s="6305"/>
      <c r="AH4" s="6305"/>
      <c r="AI4" s="6305"/>
      <c r="AJ4" s="7233"/>
      <c r="AK4" s="685"/>
      <c r="AL4" s="1919"/>
      <c r="AM4" s="530" t="s">
        <v>8105</v>
      </c>
      <c r="AN4" s="530" t="e">
        <f ca="1">Tablas!AM811</f>
        <v>#N/A</v>
      </c>
      <c r="AR4" s="530" t="s">
        <v>6797</v>
      </c>
      <c r="AS4" s="530" t="str">
        <f>IF(AP96="","",", "&amp;AP96)&amp;IF(AP112="","",", "&amp;AP112)&amp;IF(AP128="","",", "&amp;AP128)</f>
        <v/>
      </c>
      <c r="AT4" s="530" t="str">
        <f>IFERROR(RIGHT(AS4,LEN(AS4)-2),"")</f>
        <v/>
      </c>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row>
    <row r="5" spans="1:76" ht="12" customHeight="1" thickBot="1">
      <c r="A5" s="1906"/>
      <c r="B5" s="879"/>
      <c r="R5" s="532"/>
      <c r="S5" s="1905"/>
      <c r="T5" s="1906"/>
      <c r="U5" s="879"/>
      <c r="AK5" s="685"/>
      <c r="AL5" s="1919"/>
      <c r="AM5" s="530" t="s">
        <v>1438</v>
      </c>
      <c r="AN5" s="530" t="str">
        <f ca="1">Tablas!AH811</f>
        <v>Tablas!$AL$655:$AL$656</v>
      </c>
      <c r="AR5" s="530" t="s">
        <v>7894</v>
      </c>
      <c r="AS5" s="530" t="str">
        <f>IF(AQ96="","",", "&amp;AQ96)&amp;IF(AQ112="","",", "&amp;AQ112)&amp;IF(AQ128="","",", "&amp;AQ128)</f>
        <v/>
      </c>
      <c r="AT5" s="530" t="str">
        <f>IFERROR(RIGHT(AS5,LEN(AS5)-2),"")</f>
        <v/>
      </c>
      <c r="AV5" s="530"/>
      <c r="AW5" s="530"/>
      <c r="AX5" s="530"/>
      <c r="AY5" s="530"/>
      <c r="AZ5" s="530"/>
      <c r="BA5" s="530"/>
      <c r="BB5" s="530"/>
      <c r="BC5" s="530"/>
      <c r="BD5" s="530"/>
      <c r="BE5" s="530"/>
      <c r="BF5" s="530"/>
      <c r="BG5" s="530"/>
      <c r="BH5" s="530"/>
      <c r="BI5" s="530"/>
      <c r="BJ5" s="530"/>
      <c r="BK5" s="530"/>
      <c r="BL5" s="530"/>
      <c r="BM5" s="530"/>
      <c r="BN5" s="530"/>
      <c r="BO5" s="530"/>
      <c r="BP5" s="530"/>
      <c r="BQ5" s="530"/>
      <c r="BR5" s="530"/>
      <c r="BS5" s="530"/>
      <c r="BT5" s="530"/>
      <c r="BU5" s="530"/>
      <c r="BV5" s="530"/>
      <c r="BW5" s="530"/>
      <c r="BX5" s="530"/>
    </row>
    <row r="6" spans="1:76" ht="12" customHeight="1">
      <c r="A6" s="1906"/>
      <c r="B6" s="879"/>
      <c r="C6" s="7324" t="s">
        <v>6173</v>
      </c>
      <c r="D6" s="7325"/>
      <c r="E6" s="7325"/>
      <c r="F6" s="7379" t="s">
        <v>6644</v>
      </c>
      <c r="G6" s="7380"/>
      <c r="I6" s="7324" t="s">
        <v>8219</v>
      </c>
      <c r="J6" s="7325"/>
      <c r="K6" s="7325"/>
      <c r="L6" s="7484"/>
      <c r="M6" s="7484"/>
      <c r="N6" s="7484"/>
      <c r="O6" s="7484"/>
      <c r="P6" s="7484"/>
      <c r="Q6" s="7486"/>
      <c r="R6" s="532"/>
      <c r="S6" s="1905"/>
      <c r="T6" s="1906"/>
      <c r="U6" s="879"/>
      <c r="V6" s="7471" t="s">
        <v>9631</v>
      </c>
      <c r="W6" s="7491" t="s">
        <v>7898</v>
      </c>
      <c r="X6" s="7491"/>
      <c r="Y6" s="7488" t="s">
        <v>7896</v>
      </c>
      <c r="Z6" s="7488"/>
      <c r="AA6" s="7481" t="s">
        <v>7895</v>
      </c>
      <c r="AB6" s="7481"/>
      <c r="AC6" s="7481" t="s">
        <v>8225</v>
      </c>
      <c r="AD6" s="7481"/>
      <c r="AE6" s="7481" t="s">
        <v>8227</v>
      </c>
      <c r="AF6" s="7481"/>
      <c r="AG6" s="7488" t="s">
        <v>8247</v>
      </c>
      <c r="AH6" s="7582"/>
      <c r="AI6" s="7488" t="s">
        <v>8246</v>
      </c>
      <c r="AJ6" s="7586"/>
      <c r="AK6" s="685"/>
      <c r="AL6" s="1919"/>
      <c r="AM6" s="530" t="s">
        <v>8174</v>
      </c>
      <c r="AN6" s="530" t="e">
        <f ca="1">Tablas!AR811</f>
        <v>#N/A</v>
      </c>
      <c r="AR6" s="530" t="s">
        <v>1425</v>
      </c>
      <c r="AS6" s="530" t="str">
        <f>IF(AR96="","",", ")&amp;AR96&amp;IF(AR112="","",", "&amp;AR112)&amp;IF(AR128="","",", "&amp;AR128)</f>
        <v/>
      </c>
      <c r="AT6" s="530" t="str">
        <f>IFERROR(RIGHT(AS6,LEN(AS6)-2),"")</f>
        <v/>
      </c>
      <c r="AV6" s="530"/>
      <c r="AW6" s="530"/>
      <c r="AX6" s="530"/>
      <c r="AY6" s="530"/>
      <c r="AZ6" s="530"/>
      <c r="BA6" s="530"/>
      <c r="BB6" s="530"/>
      <c r="BC6" s="530"/>
      <c r="BD6" s="530"/>
      <c r="BE6" s="530"/>
      <c r="BF6" s="530"/>
      <c r="BG6" s="530"/>
      <c r="BH6" s="530"/>
      <c r="BI6" s="530"/>
      <c r="BJ6" s="530"/>
      <c r="BK6" s="530"/>
      <c r="BL6" s="530"/>
      <c r="BM6" s="530"/>
      <c r="BN6" s="530"/>
      <c r="BO6" s="530"/>
      <c r="BP6" s="530"/>
      <c r="BQ6" s="530"/>
      <c r="BR6" s="530"/>
      <c r="BS6" s="530"/>
      <c r="BT6" s="530"/>
      <c r="BU6" s="530"/>
      <c r="BV6" s="530"/>
      <c r="BW6" s="530"/>
      <c r="BX6" s="530"/>
    </row>
    <row r="7" spans="1:76" ht="12" customHeight="1" thickBot="1">
      <c r="A7" s="1906"/>
      <c r="B7" s="879"/>
      <c r="C7" s="7330"/>
      <c r="D7" s="7331"/>
      <c r="E7" s="7331"/>
      <c r="F7" s="7382"/>
      <c r="G7" s="7383"/>
      <c r="I7" s="7330"/>
      <c r="J7" s="7331"/>
      <c r="K7" s="7331"/>
      <c r="L7" s="7485"/>
      <c r="M7" s="7485"/>
      <c r="N7" s="7485"/>
      <c r="O7" s="7485"/>
      <c r="P7" s="7485"/>
      <c r="Q7" s="7487"/>
      <c r="R7" s="532"/>
      <c r="S7" s="1905"/>
      <c r="T7" s="1906"/>
      <c r="U7" s="879"/>
      <c r="V7" s="7472"/>
      <c r="W7" s="7458" t="s">
        <v>1252</v>
      </c>
      <c r="X7" s="7459"/>
      <c r="Y7" s="7489"/>
      <c r="Z7" s="7490"/>
      <c r="AA7" s="7474"/>
      <c r="AB7" s="7482"/>
      <c r="AC7" s="7474"/>
      <c r="AD7" s="7475"/>
      <c r="AE7" s="7482"/>
      <c r="AF7" s="7475"/>
      <c r="AG7" s="7483"/>
      <c r="AH7" s="7483"/>
      <c r="AI7" s="7452"/>
      <c r="AJ7" s="6101"/>
      <c r="AK7" s="685"/>
      <c r="AL7" s="1919"/>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row>
    <row r="8" spans="1:76" ht="12" customHeight="1" thickBot="1">
      <c r="A8" s="1906"/>
      <c r="B8" s="879"/>
      <c r="R8" s="532"/>
      <c r="S8" s="1905"/>
      <c r="T8" s="1906"/>
      <c r="U8" s="879"/>
      <c r="V8" s="7472"/>
      <c r="W8" s="7458" t="s">
        <v>6797</v>
      </c>
      <c r="X8" s="7459"/>
      <c r="Y8" s="7452"/>
      <c r="Z8" s="7483"/>
      <c r="AA8" s="7453"/>
      <c r="AB8" s="7470"/>
      <c r="AC8" s="7453"/>
      <c r="AD8" s="7470"/>
      <c r="AE8" s="7453"/>
      <c r="AF8" s="7470"/>
      <c r="AG8" s="7453"/>
      <c r="AH8" s="7470"/>
      <c r="AI8" s="7453"/>
      <c r="AJ8" s="7454"/>
      <c r="AK8" s="685"/>
      <c r="AL8" s="1919"/>
      <c r="AP8" s="530" t="s">
        <v>1233</v>
      </c>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W8" s="530"/>
      <c r="BX8" s="530"/>
    </row>
    <row r="9" spans="1:76" ht="12" customHeight="1" thickBot="1">
      <c r="A9" s="1906"/>
      <c r="B9" s="879"/>
      <c r="C9" s="4422" t="s">
        <v>8865</v>
      </c>
      <c r="D9" s="4423"/>
      <c r="E9" s="4423"/>
      <c r="F9" s="7418" t="s">
        <v>1241</v>
      </c>
      <c r="G9" s="7419"/>
      <c r="I9" s="4352" t="s">
        <v>1385</v>
      </c>
      <c r="J9" s="4317"/>
      <c r="K9" s="4317"/>
      <c r="L9" s="4317"/>
      <c r="M9" s="4317"/>
      <c r="N9" s="4317"/>
      <c r="O9" s="4317"/>
      <c r="P9" s="4317"/>
      <c r="Q9" s="4318"/>
      <c r="R9" s="532"/>
      <c r="S9" s="1905"/>
      <c r="T9" s="1906"/>
      <c r="U9" s="879"/>
      <c r="V9" s="7472"/>
      <c r="W9" s="7458" t="s">
        <v>7894</v>
      </c>
      <c r="X9" s="7459"/>
      <c r="Y9" s="7453"/>
      <c r="Z9" s="7470"/>
      <c r="AA9" s="7453"/>
      <c r="AB9" s="7470"/>
      <c r="AC9" s="7453"/>
      <c r="AD9" s="7470"/>
      <c r="AE9" s="7453"/>
      <c r="AF9" s="7470"/>
      <c r="AG9" s="7483"/>
      <c r="AH9" s="7483"/>
      <c r="AI9" s="7452"/>
      <c r="AJ9" s="6101"/>
      <c r="AK9" s="685"/>
      <c r="AL9" s="1919"/>
      <c r="AM9" s="2265" t="s">
        <v>6159</v>
      </c>
      <c r="AN9" s="628" t="b">
        <f>OR(IF(Personalización!E15="",,COUNTIF(RaícesCulturales_Especial1,Personalización!$E$15)=0),IF(Personalización!E16="",,COUNTIF(RaícesCulturales_Especial2,Personalización!$E$16)=0))</f>
        <v>0</v>
      </c>
      <c r="AP9" s="530" t="s">
        <v>1357</v>
      </c>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W9" s="530"/>
      <c r="BX9" s="530"/>
    </row>
    <row r="10" spans="1:76" ht="12" customHeight="1" thickBot="1">
      <c r="A10" s="1906"/>
      <c r="B10" s="879"/>
      <c r="I10" s="6419" t="s">
        <v>1386</v>
      </c>
      <c r="J10" s="4619"/>
      <c r="K10" s="2460" t="s">
        <v>1387</v>
      </c>
      <c r="L10" s="7492" t="s">
        <v>1388</v>
      </c>
      <c r="M10" s="4870"/>
      <c r="N10" s="7492" t="s">
        <v>1389</v>
      </c>
      <c r="O10" s="7493"/>
      <c r="P10" s="7494" t="s">
        <v>9918</v>
      </c>
      <c r="Q10" s="7495"/>
      <c r="R10" s="532"/>
      <c r="S10" s="1905"/>
      <c r="T10" s="1906"/>
      <c r="U10" s="879"/>
      <c r="V10" s="7472"/>
      <c r="W10" s="7458" t="s">
        <v>1425</v>
      </c>
      <c r="X10" s="7459"/>
      <c r="Y10" s="7452"/>
      <c r="Z10" s="7483"/>
      <c r="AA10" s="7452"/>
      <c r="AB10" s="7483"/>
      <c r="AC10" s="7506"/>
      <c r="AD10" s="7507"/>
      <c r="AE10" s="7483"/>
      <c r="AF10" s="7583"/>
      <c r="AG10" s="7506"/>
      <c r="AH10" s="7507"/>
      <c r="AI10" s="7506"/>
      <c r="AJ10" s="7581"/>
      <c r="AK10" s="685"/>
      <c r="AL10" s="1919"/>
      <c r="AP10" s="530" t="s">
        <v>1238</v>
      </c>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c r="BW10" s="530"/>
      <c r="BX10" s="530"/>
    </row>
    <row r="11" spans="1:76" ht="12" customHeight="1" thickBot="1">
      <c r="A11" s="1906"/>
      <c r="B11" s="879"/>
      <c r="C11" s="4422" t="s">
        <v>6162</v>
      </c>
      <c r="D11" s="4423"/>
      <c r="E11" s="4423"/>
      <c r="F11" s="4423"/>
      <c r="G11" s="4424"/>
      <c r="I11" s="7512" t="s">
        <v>9916</v>
      </c>
      <c r="J11" s="7513"/>
      <c r="K11" s="1890">
        <f>Tablas!$G$289-IF(L11=0,0,1)-IF(N11=0,0,1)-IF(P11=0,0,1)</f>
        <v>0</v>
      </c>
      <c r="L11" s="7402"/>
      <c r="M11" s="7403"/>
      <c r="N11" s="7387"/>
      <c r="O11" s="7403"/>
      <c r="P11" s="7387"/>
      <c r="Q11" s="7388"/>
      <c r="R11" s="532"/>
      <c r="S11" s="1905"/>
      <c r="T11" s="1906"/>
      <c r="U11" s="879"/>
      <c r="V11" s="7472"/>
      <c r="W11" s="7542" t="s">
        <v>7898</v>
      </c>
      <c r="X11" s="7542"/>
      <c r="Y11" s="7464"/>
      <c r="Z11" s="7465"/>
      <c r="AA11" s="7478" t="s">
        <v>7897</v>
      </c>
      <c r="AB11" s="7478"/>
      <c r="AC11" s="7478" t="s">
        <v>8226</v>
      </c>
      <c r="AD11" s="7478"/>
      <c r="AE11" s="7478" t="s">
        <v>8228</v>
      </c>
      <c r="AF11" s="7478"/>
      <c r="AG11" s="7478" t="s">
        <v>8244</v>
      </c>
      <c r="AH11" s="7478"/>
      <c r="AI11" s="7478" t="s">
        <v>8245</v>
      </c>
      <c r="AJ11" s="7584"/>
      <c r="AK11" s="685"/>
      <c r="AL11" s="1919"/>
      <c r="AM11" s="2265" t="s">
        <v>6160</v>
      </c>
      <c r="AN11" s="3632" t="str">
        <f>IF(Tablas!L136="","",IF(AND(Region="Elcia",OR(ClaseSocial=Tablas!CK140,ClaseSocial=Tablas!CL140,ClaseSocial=Tablas!CM140)),"Habilidades_Secundarias","RaícesCulturales_Especial1"))</f>
        <v/>
      </c>
      <c r="AP11" s="530" t="s">
        <v>1243</v>
      </c>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c r="BW11" s="530"/>
      <c r="BX11" s="530"/>
    </row>
    <row r="12" spans="1:76" ht="12" customHeight="1">
      <c r="A12" s="1906"/>
      <c r="B12" s="879"/>
      <c r="C12" s="7437" t="str">
        <f>IF(Tablas!G492&gt;0,"Ventaja elegida","Aplicar bonos:")</f>
        <v>Aplicar bonos:</v>
      </c>
      <c r="D12" s="7438"/>
      <c r="E12" s="7434" t="s">
        <v>1241</v>
      </c>
      <c r="F12" s="7435"/>
      <c r="G12" s="7436"/>
      <c r="I12" s="7391" t="s">
        <v>9917</v>
      </c>
      <c r="J12" s="7392"/>
      <c r="K12" s="2459">
        <f>Tablas!$G$290-IF(L12=0,0,1)-IF(N12=0,0,1)-IF(P12=0,0,1)</f>
        <v>0</v>
      </c>
      <c r="L12" s="7523"/>
      <c r="M12" s="7524"/>
      <c r="N12" s="7385"/>
      <c r="O12" s="7524"/>
      <c r="P12" s="7385"/>
      <c r="Q12" s="7386"/>
      <c r="R12" s="532"/>
      <c r="S12" s="1905"/>
      <c r="T12" s="1906"/>
      <c r="U12" s="879"/>
      <c r="V12" s="7472"/>
      <c r="W12" s="7458" t="s">
        <v>1252</v>
      </c>
      <c r="X12" s="7459"/>
      <c r="Y12" s="7466"/>
      <c r="Z12" s="7467"/>
      <c r="AA12" s="7452"/>
      <c r="AB12" s="7483"/>
      <c r="AC12" s="7474"/>
      <c r="AD12" s="7475"/>
      <c r="AE12" s="7483"/>
      <c r="AF12" s="7583"/>
      <c r="AG12" s="7483"/>
      <c r="AH12" s="7483"/>
      <c r="AI12" s="7489"/>
      <c r="AJ12" s="7585"/>
      <c r="AK12" s="685"/>
      <c r="AL12" s="1919"/>
      <c r="AM12" s="2265" t="s">
        <v>6161</v>
      </c>
      <c r="AN12" s="3632" t="str">
        <f>IF(Tablas!N136="","","RaícesCulturales_Especial2")</f>
        <v/>
      </c>
      <c r="AP12" s="530" t="s">
        <v>1245</v>
      </c>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c r="BW12" s="530"/>
      <c r="BX12" s="530"/>
    </row>
    <row r="13" spans="1:76" ht="12" customHeight="1">
      <c r="A13" s="1906"/>
      <c r="B13" s="879"/>
      <c r="C13" s="7431" t="str">
        <f>IF(Region="","Región no definida",Region)</f>
        <v>Región no definida</v>
      </c>
      <c r="D13" s="7432"/>
      <c r="E13" s="7432" t="str">
        <f>IF(OR(Region="",ClaseSocial=""),"Clase social no definida",ClaseSocial)</f>
        <v>Clase social no definida</v>
      </c>
      <c r="F13" s="7432"/>
      <c r="G13" s="7433"/>
      <c r="I13" s="7512" t="s">
        <v>9913</v>
      </c>
      <c r="J13" s="7513"/>
      <c r="K13" s="1890">
        <f>Tablas!$G$298-IF(L13=0,0,1)-IF(N13=0,0,1)-IF(P13=0,0,1)</f>
        <v>0</v>
      </c>
      <c r="L13" s="7402"/>
      <c r="M13" s="7525"/>
      <c r="N13" s="7402"/>
      <c r="O13" s="7403"/>
      <c r="P13" s="7387"/>
      <c r="Q13" s="7388"/>
      <c r="R13" s="532"/>
      <c r="S13" s="1905"/>
      <c r="T13" s="1906"/>
      <c r="U13" s="879"/>
      <c r="V13" s="7472"/>
      <c r="W13" s="7458" t="s">
        <v>6797</v>
      </c>
      <c r="X13" s="7459"/>
      <c r="Y13" s="7466"/>
      <c r="Z13" s="7467"/>
      <c r="AA13" s="7456"/>
      <c r="AB13" s="7457"/>
      <c r="AC13" s="7453"/>
      <c r="AD13" s="7470"/>
      <c r="AE13" s="7453"/>
      <c r="AF13" s="7470"/>
      <c r="AG13" s="7456"/>
      <c r="AH13" s="7457"/>
      <c r="AI13" s="7452"/>
      <c r="AJ13" s="6101"/>
      <c r="AK13" s="685"/>
      <c r="AL13" s="1919"/>
      <c r="AP13" s="530" t="s">
        <v>1248</v>
      </c>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row>
    <row r="14" spans="1:76" ht="12" customHeight="1">
      <c r="A14" s="1906"/>
      <c r="B14" s="879"/>
      <c r="C14" s="7431"/>
      <c r="D14" s="7432"/>
      <c r="E14" s="7432"/>
      <c r="F14" s="7432"/>
      <c r="G14" s="7433"/>
      <c r="I14" s="7536" t="s">
        <v>9914</v>
      </c>
      <c r="J14" s="5299"/>
      <c r="K14" s="1891">
        <f>Tablas!$G$299-IF(L14=0,0,1)-IF(N14=0,0,1)-IF(P14=0,0,1)</f>
        <v>0</v>
      </c>
      <c r="L14" s="7417"/>
      <c r="M14" s="5015"/>
      <c r="N14" s="7417"/>
      <c r="O14" s="7406"/>
      <c r="P14" s="7526"/>
      <c r="Q14" s="7527"/>
      <c r="R14" s="532"/>
      <c r="S14" s="1905"/>
      <c r="T14" s="1906"/>
      <c r="U14" s="879"/>
      <c r="V14" s="7472"/>
      <c r="W14" s="7458" t="s">
        <v>7894</v>
      </c>
      <c r="X14" s="7459"/>
      <c r="Y14" s="7466"/>
      <c r="Z14" s="7467"/>
      <c r="AA14" s="7456"/>
      <c r="AB14" s="7457"/>
      <c r="AC14" s="7476"/>
      <c r="AD14" s="7477"/>
      <c r="AE14" s="7453"/>
      <c r="AF14" s="7470"/>
      <c r="AG14" s="7453"/>
      <c r="AH14" s="7470"/>
      <c r="AI14" s="7453"/>
      <c r="AJ14" s="7454"/>
      <c r="AK14" s="685"/>
      <c r="AL14" s="1919"/>
      <c r="AM14" s="530" t="s">
        <v>8032</v>
      </c>
      <c r="AN14" s="2335" t="b">
        <f>AND(E50="Cumplido",OR(Raza="Ebudan",Nephilim="Nephilim Ebudan"))</f>
        <v>0</v>
      </c>
      <c r="AP14" s="530" t="s">
        <v>1250</v>
      </c>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c r="BW14" s="530"/>
      <c r="BX14" s="530"/>
    </row>
    <row r="15" spans="1:76" ht="12" customHeight="1" thickBot="1">
      <c r="A15" s="1906"/>
      <c r="B15" s="879"/>
      <c r="C15" s="7423" t="str">
        <f>IFERROR(IF(Tablas!L136="","","Bono Especial:"),"")</f>
        <v/>
      </c>
      <c r="D15" s="7424"/>
      <c r="E15" s="7420"/>
      <c r="F15" s="7421"/>
      <c r="G15" s="7422"/>
      <c r="I15" s="7537" t="s">
        <v>9915</v>
      </c>
      <c r="J15" s="7538"/>
      <c r="K15" s="2189">
        <f>Tablas!$G$300-IF(L15=0,0,1)-IF(N15=0,0,1)-IF(P15=0,0,1)</f>
        <v>0</v>
      </c>
      <c r="L15" s="7401"/>
      <c r="M15" s="5018"/>
      <c r="N15" s="7401"/>
      <c r="O15" s="7404"/>
      <c r="P15" s="7405"/>
      <c r="Q15" s="6346"/>
      <c r="R15" s="532"/>
      <c r="S15" s="1905"/>
      <c r="T15" s="1906"/>
      <c r="U15" s="879"/>
      <c r="V15" s="7473"/>
      <c r="W15" s="7479" t="s">
        <v>1425</v>
      </c>
      <c r="X15" s="7480"/>
      <c r="Y15" s="7468"/>
      <c r="Z15" s="7469"/>
      <c r="AA15" s="7462"/>
      <c r="AB15" s="7463"/>
      <c r="AC15" s="7455"/>
      <c r="AD15" s="7461"/>
      <c r="AE15" s="7460"/>
      <c r="AF15" s="7461"/>
      <c r="AG15" s="7460"/>
      <c r="AH15" s="7460"/>
      <c r="AI15" s="7455"/>
      <c r="AJ15" s="6103"/>
      <c r="AK15" s="685"/>
      <c r="AL15" s="1919"/>
      <c r="AM15" s="530" t="s">
        <v>8023</v>
      </c>
      <c r="AN15" s="2335" t="b">
        <f>AND($AN$14,E52="Sí")</f>
        <v>0</v>
      </c>
      <c r="AP15" s="530" t="s">
        <v>1251</v>
      </c>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c r="BW15" s="530"/>
      <c r="BX15" s="530"/>
    </row>
    <row r="16" spans="1:76" ht="12" customHeight="1" thickBot="1">
      <c r="A16" s="1906"/>
      <c r="B16" s="879"/>
      <c r="C16" s="7439" t="str">
        <f>IFERROR(IF(Tablas!N136="","","Bono Especial:"),"")</f>
        <v/>
      </c>
      <c r="D16" s="7440"/>
      <c r="E16" s="7441"/>
      <c r="F16" s="7442"/>
      <c r="G16" s="7443"/>
      <c r="I16" s="7411" t="str">
        <f>IF(SUM(K11:K12)+SUM(K13:K15)&gt;0,"Selecciona la/s Habilidad/es asociadas a las Ventajas",IF(SUM(K11:K12)+SUM(K13:K15)&lt;0,"Exceso de Habilidad/es seleccionadas",""))</f>
        <v/>
      </c>
      <c r="J16" s="7412"/>
      <c r="K16" s="7412"/>
      <c r="L16" s="7412"/>
      <c r="M16" s="7412"/>
      <c r="N16" s="7412"/>
      <c r="O16" s="7412"/>
      <c r="P16" s="7412"/>
      <c r="Q16" s="7413"/>
      <c r="R16" s="532"/>
      <c r="S16" s="1905"/>
      <c r="T16" s="1906"/>
      <c r="U16" s="879"/>
      <c r="AK16" s="685"/>
      <c r="AL16" s="1919"/>
      <c r="AP16" s="530" t="s">
        <v>9956</v>
      </c>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row>
    <row r="17" spans="1:76" ht="12" customHeight="1" thickBot="1">
      <c r="A17" s="1906"/>
      <c r="B17" s="879"/>
      <c r="R17" s="532"/>
      <c r="S17" s="1905"/>
      <c r="T17" s="1906"/>
      <c r="U17" s="879"/>
      <c r="V17" s="4368" t="s">
        <v>1679</v>
      </c>
      <c r="W17" s="4369"/>
      <c r="X17" s="4369"/>
      <c r="Y17" s="4369"/>
      <c r="Z17" s="4369"/>
      <c r="AA17" s="4369"/>
      <c r="AB17" s="4365"/>
      <c r="AC17" s="4365"/>
      <c r="AD17" s="4365"/>
      <c r="AE17" s="4365"/>
      <c r="AF17" s="4365"/>
      <c r="AG17" s="4365"/>
      <c r="AH17" s="4365"/>
      <c r="AI17" s="4365"/>
      <c r="AJ17" s="4371"/>
      <c r="AK17" s="685"/>
      <c r="AL17" s="1919"/>
      <c r="AM17" s="530" t="s">
        <v>6544</v>
      </c>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c r="BW17" s="530"/>
      <c r="BX17" s="530"/>
    </row>
    <row r="18" spans="1:76" ht="12" customHeight="1">
      <c r="A18" s="1906"/>
      <c r="B18" s="879"/>
      <c r="C18" s="7324" t="s">
        <v>9582</v>
      </c>
      <c r="D18" s="7325"/>
      <c r="E18" s="7325"/>
      <c r="F18" s="7389"/>
      <c r="G18" s="7390"/>
      <c r="H18" s="2199"/>
      <c r="I18" s="7389"/>
      <c r="J18" s="7390"/>
      <c r="K18" s="2199"/>
      <c r="L18" s="7389"/>
      <c r="M18" s="7390"/>
      <c r="N18" s="2195"/>
      <c r="O18" s="7389"/>
      <c r="P18" s="7390"/>
      <c r="Q18" s="2199"/>
      <c r="R18" s="685"/>
      <c r="S18" s="1905"/>
      <c r="T18" s="1906"/>
      <c r="U18" s="879"/>
      <c r="V18" s="7445" t="s">
        <v>1184</v>
      </c>
      <c r="W18" s="7446"/>
      <c r="X18" s="7501"/>
      <c r="Y18" s="7502"/>
      <c r="Z18" s="7502"/>
      <c r="AA18" s="7503"/>
      <c r="AB18" s="1596" t="s">
        <v>8221</v>
      </c>
      <c r="AC18" s="7449"/>
      <c r="AD18" s="7450"/>
      <c r="AE18" s="7450"/>
      <c r="AF18" s="7450"/>
      <c r="AG18" s="7450"/>
      <c r="AH18" s="7450"/>
      <c r="AI18" s="7450"/>
      <c r="AJ18" s="7451"/>
      <c r="AK18" s="685"/>
      <c r="AL18" s="1919"/>
      <c r="AM18" s="530" t="s">
        <v>6545</v>
      </c>
      <c r="AN18" s="530" t="s">
        <v>6088</v>
      </c>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c r="BW18" s="530"/>
      <c r="BX18" s="530"/>
    </row>
    <row r="19" spans="1:76" ht="12" customHeight="1" thickBot="1">
      <c r="A19" s="1906"/>
      <c r="B19" s="879"/>
      <c r="C19" s="7330"/>
      <c r="D19" s="7331"/>
      <c r="E19" s="7331"/>
      <c r="F19" s="5013"/>
      <c r="G19" s="7406"/>
      <c r="H19" s="2200"/>
      <c r="I19" s="5013"/>
      <c r="J19" s="7406"/>
      <c r="K19" s="2200"/>
      <c r="L19" s="5013"/>
      <c r="M19" s="7406"/>
      <c r="N19" s="2196"/>
      <c r="O19" s="5013"/>
      <c r="P19" s="7406"/>
      <c r="Q19" s="2200"/>
      <c r="R19" s="532"/>
      <c r="S19" s="1905"/>
      <c r="T19" s="1906"/>
      <c r="U19" s="879"/>
      <c r="V19" s="7445" t="s">
        <v>1680</v>
      </c>
      <c r="W19" s="7446"/>
      <c r="X19" s="1511"/>
      <c r="Y19" s="2249" t="s">
        <v>1252</v>
      </c>
      <c r="Z19" s="1511"/>
      <c r="AA19" s="7447" t="s">
        <v>1681</v>
      </c>
      <c r="AB19" s="7448"/>
      <c r="AC19" s="2527"/>
      <c r="AD19" s="2528" t="s">
        <v>1682</v>
      </c>
      <c r="AE19" s="2529"/>
      <c r="AF19" s="1885" t="s">
        <v>1252</v>
      </c>
      <c r="AG19" s="7444" t="str">
        <f>IF(W20="Escudo","Bono de Parada:",IF(W20="Proyectiles","FUE del arma:",""))</f>
        <v/>
      </c>
      <c r="AH19" s="4310"/>
      <c r="AI19" s="4310"/>
      <c r="AJ19" s="1478"/>
      <c r="AK19" s="685"/>
      <c r="AL19" s="1919"/>
      <c r="AM19" s="3660" t="s">
        <v>6546</v>
      </c>
      <c r="AN19" s="3660" t="s">
        <v>2461</v>
      </c>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c r="BW19" s="530"/>
      <c r="BX19" s="530"/>
    </row>
    <row r="20" spans="1:76" ht="12" customHeight="1">
      <c r="A20" s="1906"/>
      <c r="B20" s="879"/>
      <c r="C20" s="7425"/>
      <c r="D20" s="7426"/>
      <c r="E20" s="7427"/>
      <c r="F20" s="5010"/>
      <c r="G20" s="6294"/>
      <c r="H20" s="2201"/>
      <c r="I20" s="5010"/>
      <c r="J20" s="6294"/>
      <c r="K20" s="2201"/>
      <c r="L20" s="5010"/>
      <c r="M20" s="6294"/>
      <c r="N20" s="2197"/>
      <c r="O20" s="7539"/>
      <c r="P20" s="7540"/>
      <c r="Q20" s="2203"/>
      <c r="R20" s="532"/>
      <c r="S20" s="1905"/>
      <c r="T20" s="1906"/>
      <c r="U20" s="879"/>
      <c r="V20" s="1326" t="s">
        <v>1683</v>
      </c>
      <c r="W20" s="7508"/>
      <c r="X20" s="7509"/>
      <c r="Y20" s="2530" t="s">
        <v>1425</v>
      </c>
      <c r="Z20" s="1511"/>
      <c r="AA20" s="462" t="s">
        <v>1427</v>
      </c>
      <c r="AB20" s="462" t="s">
        <v>1428</v>
      </c>
      <c r="AC20" s="462" t="s">
        <v>1416</v>
      </c>
      <c r="AD20" s="462" t="s">
        <v>1429</v>
      </c>
      <c r="AE20" s="2514" t="s">
        <v>1417</v>
      </c>
      <c r="AF20" s="1887" t="s">
        <v>2408</v>
      </c>
      <c r="AG20" s="7515" t="str">
        <f>IF(W20="Escudo","Bono de Esquiva:",IF(W20="Proyectiles","Turnos de recarga:",""))</f>
        <v/>
      </c>
      <c r="AH20" s="7516"/>
      <c r="AI20" s="7516"/>
      <c r="AJ20" s="1478"/>
      <c r="AK20" s="685"/>
      <c r="AL20" s="1919"/>
      <c r="AM20" s="3660" t="s">
        <v>6547</v>
      </c>
      <c r="AN20" s="3660" t="s">
        <v>2465</v>
      </c>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c r="BW20" s="530"/>
      <c r="BX20" s="530"/>
    </row>
    <row r="21" spans="1:76" ht="12" customHeight="1" thickBot="1">
      <c r="A21" s="1906"/>
      <c r="B21" s="879"/>
      <c r="C21" s="7428"/>
      <c r="D21" s="7429"/>
      <c r="E21" s="7430"/>
      <c r="F21" s="7409"/>
      <c r="G21" s="7410"/>
      <c r="H21" s="2202"/>
      <c r="I21" s="7409"/>
      <c r="J21" s="7410"/>
      <c r="K21" s="2202"/>
      <c r="L21" s="7409"/>
      <c r="M21" s="7410"/>
      <c r="N21" s="2198"/>
      <c r="O21" s="5501" t="s">
        <v>9579</v>
      </c>
      <c r="P21" s="7541"/>
      <c r="Q21" s="1302">
        <f>SUM(H18:H21,K18:K21,N18:N21,Q18:Q20)</f>
        <v>0</v>
      </c>
      <c r="R21" s="532"/>
      <c r="S21" s="1905"/>
      <c r="T21" s="1906"/>
      <c r="U21" s="879"/>
      <c r="V21" s="2513" t="s">
        <v>1684</v>
      </c>
      <c r="W21" s="7510"/>
      <c r="X21" s="7511"/>
      <c r="Y21" s="2250" t="s">
        <v>9609</v>
      </c>
      <c r="Z21" s="1511"/>
      <c r="AA21" s="1513"/>
      <c r="AB21" s="2356"/>
      <c r="AC21" s="2512"/>
      <c r="AD21" s="1512"/>
      <c r="AE21" s="2511"/>
      <c r="AF21" s="1987"/>
      <c r="AG21" s="7517" t="str">
        <f>IF(W20="Proyectiles","Alcance:","")</f>
        <v/>
      </c>
      <c r="AH21" s="7517"/>
      <c r="AI21" s="7517"/>
      <c r="AJ21" s="1477"/>
      <c r="AK21" s="685"/>
      <c r="AL21" s="1919"/>
      <c r="AN21" s="3660" t="s">
        <v>2467</v>
      </c>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c r="BW21" s="530"/>
      <c r="BX21" s="530"/>
    </row>
    <row r="22" spans="1:76" ht="12" customHeight="1" thickBot="1">
      <c r="A22" s="1906"/>
      <c r="B22" s="879"/>
      <c r="R22" s="532"/>
      <c r="S22" s="1905"/>
      <c r="T22" s="1906"/>
      <c r="U22" s="879"/>
      <c r="V22" s="7504" t="s">
        <v>1184</v>
      </c>
      <c r="W22" s="7505"/>
      <c r="X22" s="7501"/>
      <c r="Y22" s="7502"/>
      <c r="Z22" s="7502"/>
      <c r="AA22" s="7503"/>
      <c r="AB22" s="2531" t="s">
        <v>8221</v>
      </c>
      <c r="AC22" s="7570"/>
      <c r="AD22" s="7571"/>
      <c r="AE22" s="7571"/>
      <c r="AF22" s="7571"/>
      <c r="AG22" s="7571"/>
      <c r="AH22" s="7571"/>
      <c r="AI22" s="7571"/>
      <c r="AJ22" s="7572"/>
      <c r="AK22" s="685"/>
      <c r="AL22" s="1919"/>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row>
    <row r="23" spans="1:76" ht="12" customHeight="1" thickBot="1">
      <c r="A23" s="1906"/>
      <c r="B23" s="879"/>
      <c r="C23" s="5659" t="s">
        <v>9726</v>
      </c>
      <c r="D23" s="5662"/>
      <c r="E23" s="5662"/>
      <c r="F23" s="5662"/>
      <c r="G23" s="5662"/>
      <c r="H23" s="5662"/>
      <c r="I23" s="5662"/>
      <c r="J23" s="5662"/>
      <c r="K23" s="5662"/>
      <c r="L23" s="5662"/>
      <c r="M23" s="5662"/>
      <c r="N23" s="5662"/>
      <c r="O23" s="5662"/>
      <c r="P23" s="5662"/>
      <c r="Q23" s="5663"/>
      <c r="R23" s="532"/>
      <c r="S23" s="1905"/>
      <c r="T23" s="1258"/>
      <c r="U23" s="879"/>
      <c r="V23" s="7445" t="s">
        <v>1680</v>
      </c>
      <c r="W23" s="7446"/>
      <c r="X23" s="1511"/>
      <c r="Y23" s="2249" t="s">
        <v>1252</v>
      </c>
      <c r="Z23" s="1511"/>
      <c r="AA23" s="7447" t="s">
        <v>1681</v>
      </c>
      <c r="AB23" s="7447"/>
      <c r="AC23" s="2527"/>
      <c r="AD23" s="2528" t="s">
        <v>1682</v>
      </c>
      <c r="AE23" s="2529"/>
      <c r="AF23" s="1261" t="s">
        <v>1252</v>
      </c>
      <c r="AG23" s="7568" t="str">
        <f>IF(W24="Escudo","Bono de Parada:",IF(W24="Proyectiles","FUE del arma:",""))</f>
        <v/>
      </c>
      <c r="AH23" s="7569"/>
      <c r="AI23" s="7569"/>
      <c r="AJ23" s="1478"/>
      <c r="AK23" s="685"/>
      <c r="AL23" s="1919"/>
      <c r="AM23" s="530" t="s">
        <v>9110</v>
      </c>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c r="BW23" s="530"/>
      <c r="BX23" s="530"/>
    </row>
    <row r="24" spans="1:76" ht="12" customHeight="1">
      <c r="A24" s="1906"/>
      <c r="B24" s="879"/>
      <c r="C24" s="7414"/>
      <c r="D24" s="7415"/>
      <c r="E24" s="7416"/>
      <c r="F24" s="5014"/>
      <c r="G24" s="7406"/>
      <c r="H24" s="2200"/>
      <c r="I24" s="5013"/>
      <c r="J24" s="7406"/>
      <c r="K24" s="2200"/>
      <c r="L24" s="5013"/>
      <c r="M24" s="7406"/>
      <c r="N24" s="2345"/>
      <c r="O24" s="7407"/>
      <c r="P24" s="7408"/>
      <c r="Q24" s="2346"/>
      <c r="R24" s="532"/>
      <c r="S24" s="1905"/>
      <c r="T24" s="1258"/>
      <c r="U24" s="879"/>
      <c r="V24" s="1326" t="s">
        <v>1683</v>
      </c>
      <c r="W24" s="7508"/>
      <c r="X24" s="7509"/>
      <c r="Y24" s="2530" t="s">
        <v>1425</v>
      </c>
      <c r="Z24" s="1511"/>
      <c r="AA24" s="462" t="s">
        <v>1427</v>
      </c>
      <c r="AB24" s="1514" t="s">
        <v>1428</v>
      </c>
      <c r="AC24" s="1514" t="s">
        <v>1416</v>
      </c>
      <c r="AD24" s="462" t="s">
        <v>1429</v>
      </c>
      <c r="AE24" s="2514" t="s">
        <v>1417</v>
      </c>
      <c r="AF24" s="1887" t="s">
        <v>2408</v>
      </c>
      <c r="AG24" s="7515" t="str">
        <f>IF(W24="Escudo","Bono de Esquiva:",IF(W24="Proyectiles","Turnos de recarga:",""))</f>
        <v/>
      </c>
      <c r="AH24" s="7516"/>
      <c r="AI24" s="7516"/>
      <c r="AJ24" s="1478"/>
      <c r="AK24" s="685"/>
      <c r="AL24" s="1919"/>
      <c r="AM24" s="530" t="s">
        <v>8179</v>
      </c>
      <c r="AO24" s="530" t="s">
        <v>1780</v>
      </c>
      <c r="AQ24" s="530" t="s">
        <v>8189</v>
      </c>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c r="BW24" s="530"/>
      <c r="BX24" s="530"/>
    </row>
    <row r="25" spans="1:76" ht="12" customHeight="1" thickBot="1">
      <c r="A25" s="1906"/>
      <c r="B25" s="879"/>
      <c r="C25" s="7712"/>
      <c r="D25" s="7713"/>
      <c r="E25" s="7714"/>
      <c r="F25" s="5011"/>
      <c r="G25" s="6294"/>
      <c r="H25" s="2201"/>
      <c r="I25" s="5010"/>
      <c r="J25" s="6294"/>
      <c r="K25" s="2201"/>
      <c r="L25" s="5010"/>
      <c r="M25" s="6294"/>
      <c r="N25" s="2343"/>
      <c r="O25" s="5010"/>
      <c r="P25" s="6294"/>
      <c r="Q25" s="2201"/>
      <c r="R25" s="532"/>
      <c r="S25" s="1905"/>
      <c r="T25" s="1906"/>
      <c r="U25" s="879"/>
      <c r="V25" s="2513" t="s">
        <v>1684</v>
      </c>
      <c r="W25" s="7510"/>
      <c r="X25" s="7511"/>
      <c r="Y25" s="2250" t="s">
        <v>9609</v>
      </c>
      <c r="Z25" s="1511"/>
      <c r="AA25" s="1513"/>
      <c r="AB25" s="2515"/>
      <c r="AC25" s="2356"/>
      <c r="AD25" s="2512"/>
      <c r="AE25" s="2252"/>
      <c r="AF25" s="1987"/>
      <c r="AG25" s="7517" t="str">
        <f>IF(W24="Proyectiles","Alcance:","")</f>
        <v/>
      </c>
      <c r="AH25" s="7517"/>
      <c r="AI25" s="7517"/>
      <c r="AJ25" s="1477"/>
      <c r="AK25" s="685"/>
      <c r="AL25" s="1919"/>
      <c r="AM25" s="3660" t="s">
        <v>2453</v>
      </c>
      <c r="AO25" s="3660" t="s">
        <v>2459</v>
      </c>
      <c r="AQ25" s="530" t="s">
        <v>8186</v>
      </c>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c r="BW25" s="530"/>
      <c r="BX25" s="530"/>
    </row>
    <row r="26" spans="1:76" ht="12" customHeight="1" thickBot="1">
      <c r="A26" s="1906"/>
      <c r="B26" s="879"/>
      <c r="C26" s="7428"/>
      <c r="D26" s="7429"/>
      <c r="E26" s="7430"/>
      <c r="F26" s="7711"/>
      <c r="G26" s="7410"/>
      <c r="H26" s="2202"/>
      <c r="I26" s="7409"/>
      <c r="J26" s="7410"/>
      <c r="K26" s="2202"/>
      <c r="L26" s="7409"/>
      <c r="M26" s="7410"/>
      <c r="N26" s="2344"/>
      <c r="O26" s="7409"/>
      <c r="P26" s="7410"/>
      <c r="Q26" s="2202"/>
      <c r="R26" s="532"/>
      <c r="S26" s="1905"/>
      <c r="T26" s="1906"/>
      <c r="U26" s="879"/>
      <c r="V26" s="7504" t="s">
        <v>1184</v>
      </c>
      <c r="W26" s="7505"/>
      <c r="X26" s="7501"/>
      <c r="Y26" s="7502"/>
      <c r="Z26" s="7502"/>
      <c r="AA26" s="7503"/>
      <c r="AB26" s="2532" t="s">
        <v>8221</v>
      </c>
      <c r="AC26" s="7570"/>
      <c r="AD26" s="7571"/>
      <c r="AE26" s="7571"/>
      <c r="AF26" s="7571"/>
      <c r="AG26" s="7571"/>
      <c r="AH26" s="7571"/>
      <c r="AI26" s="7571"/>
      <c r="AJ26" s="7572"/>
      <c r="AK26" s="685"/>
      <c r="AL26" s="1919"/>
      <c r="AM26" s="3660" t="s">
        <v>2455</v>
      </c>
      <c r="AO26" s="3660" t="s">
        <v>8180</v>
      </c>
      <c r="AQ26" s="530" t="s">
        <v>8188</v>
      </c>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row>
    <row r="27" spans="1:76" ht="12" customHeight="1" thickBot="1">
      <c r="A27" s="1906"/>
      <c r="B27" s="879"/>
      <c r="R27" s="532"/>
      <c r="S27" s="1905"/>
      <c r="T27" s="1906"/>
      <c r="U27" s="879"/>
      <c r="V27" s="7573" t="s">
        <v>1680</v>
      </c>
      <c r="W27" s="7574"/>
      <c r="X27" s="1511"/>
      <c r="Y27" s="2249" t="s">
        <v>1252</v>
      </c>
      <c r="Z27" s="1511"/>
      <c r="AA27" s="7447" t="s">
        <v>1681</v>
      </c>
      <c r="AB27" s="7447"/>
      <c r="AC27" s="2533"/>
      <c r="AD27" s="2534" t="s">
        <v>1682</v>
      </c>
      <c r="AE27" s="2529"/>
      <c r="AF27" s="1261" t="s">
        <v>1252</v>
      </c>
      <c r="AG27" s="7568" t="str">
        <f>IF(W28="Escudo","Bono de Parada:",IF(W28="Proyectiles","FUE del arma:",""))</f>
        <v/>
      </c>
      <c r="AH27" s="7569"/>
      <c r="AI27" s="7569"/>
      <c r="AJ27" s="1478"/>
      <c r="AK27" s="685"/>
      <c r="AL27" s="1919"/>
      <c r="AM27" s="3660" t="s">
        <v>2457</v>
      </c>
      <c r="AO27" s="3660" t="s">
        <v>2457</v>
      </c>
      <c r="AQ27" s="530" t="s">
        <v>8187</v>
      </c>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c r="BW27" s="530"/>
      <c r="BX27" s="530"/>
    </row>
    <row r="28" spans="1:76" ht="12" customHeight="1" thickBot="1">
      <c r="A28" s="1906"/>
      <c r="B28" s="879"/>
      <c r="C28" s="4422" t="s">
        <v>1675</v>
      </c>
      <c r="D28" s="4423"/>
      <c r="E28" s="4423"/>
      <c r="F28" s="4423"/>
      <c r="G28" s="4424"/>
      <c r="I28" s="5467" t="s">
        <v>1676</v>
      </c>
      <c r="J28" s="5468"/>
      <c r="K28" s="5468"/>
      <c r="L28" s="5468"/>
      <c r="M28" s="5468"/>
      <c r="N28" s="5468"/>
      <c r="O28" s="5468"/>
      <c r="P28" s="5468"/>
      <c r="Q28" s="5469"/>
      <c r="R28" s="532"/>
      <c r="S28" s="1905"/>
      <c r="T28" s="1906"/>
      <c r="U28" s="879"/>
      <c r="V28" s="1326" t="s">
        <v>1683</v>
      </c>
      <c r="W28" s="7508"/>
      <c r="X28" s="7509"/>
      <c r="Y28" s="2542" t="s">
        <v>1425</v>
      </c>
      <c r="Z28" s="1511"/>
      <c r="AA28" s="462" t="s">
        <v>1427</v>
      </c>
      <c r="AB28" s="462" t="s">
        <v>1428</v>
      </c>
      <c r="AC28" s="462" t="s">
        <v>1416</v>
      </c>
      <c r="AD28" s="462" t="s">
        <v>1429</v>
      </c>
      <c r="AE28" s="2514" t="s">
        <v>1417</v>
      </c>
      <c r="AF28" s="1887" t="s">
        <v>2408</v>
      </c>
      <c r="AG28" s="7515" t="str">
        <f>IF(W28="Escudo","Bono de Esquiva:",IF(W28="Proyectiles","Turnos de recarga:",""))</f>
        <v/>
      </c>
      <c r="AH28" s="7516"/>
      <c r="AI28" s="7516"/>
      <c r="AJ28" s="1478"/>
      <c r="AK28" s="685"/>
      <c r="AL28" s="1919"/>
      <c r="AM28" s="3660" t="s">
        <v>2459</v>
      </c>
      <c r="AO28" s="3660" t="s">
        <v>8181</v>
      </c>
      <c r="AQ28" s="530">
        <f>IF(P50="Afín",1,IF(P50="Opuesta",-1,0))</f>
        <v>0</v>
      </c>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c r="BW28" s="530"/>
      <c r="BX28" s="530"/>
    </row>
    <row r="29" spans="1:76" ht="12" customHeight="1" thickBot="1">
      <c r="A29" s="1906"/>
      <c r="B29" s="879"/>
      <c r="C29" s="7716" t="s">
        <v>1386</v>
      </c>
      <c r="D29" s="7717"/>
      <c r="E29" s="7717"/>
      <c r="F29" s="7718"/>
      <c r="G29" s="2190" t="s">
        <v>1349</v>
      </c>
      <c r="I29" s="6631" t="s">
        <v>1235</v>
      </c>
      <c r="J29" s="7528"/>
      <c r="K29" s="7528"/>
      <c r="L29" s="7528"/>
      <c r="M29" s="7528"/>
      <c r="N29" s="7528"/>
      <c r="O29" s="7529"/>
      <c r="P29" s="1883" t="s">
        <v>1236</v>
      </c>
      <c r="Q29" s="1884" t="s">
        <v>1237</v>
      </c>
      <c r="R29" s="532"/>
      <c r="S29" s="1905"/>
      <c r="T29" s="1906"/>
      <c r="U29" s="879"/>
      <c r="V29" s="2513" t="s">
        <v>1684</v>
      </c>
      <c r="W29" s="7510"/>
      <c r="X29" s="7511"/>
      <c r="Y29" s="2250" t="s">
        <v>9609</v>
      </c>
      <c r="Z29" s="2251"/>
      <c r="AA29" s="1513"/>
      <c r="AB29" s="1512"/>
      <c r="AC29" s="2512"/>
      <c r="AD29" s="1512"/>
      <c r="AE29" s="2511"/>
      <c r="AF29" s="1987"/>
      <c r="AG29" s="7517" t="str">
        <f>IF(W28="Proyectiles","Alcance:","")</f>
        <v/>
      </c>
      <c r="AH29" s="7517"/>
      <c r="AI29" s="7517"/>
      <c r="AJ29" s="1477"/>
      <c r="AK29" s="685"/>
      <c r="AL29" s="1919"/>
      <c r="AM29" s="3660" t="s">
        <v>2461</v>
      </c>
      <c r="AN29" s="2335"/>
      <c r="AO29" s="3660" t="s">
        <v>2453</v>
      </c>
      <c r="AP29" s="2335"/>
      <c r="AQ29" s="2335"/>
      <c r="AR29" s="2335"/>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c r="BW29" s="530"/>
      <c r="BX29" s="530"/>
    </row>
    <row r="30" spans="1:76" ht="12" customHeight="1" thickBot="1">
      <c r="A30" s="1906"/>
      <c r="B30" s="879"/>
      <c r="C30" s="7723"/>
      <c r="D30" s="7724"/>
      <c r="E30" s="7724"/>
      <c r="F30" s="7725"/>
      <c r="G30" s="1479"/>
      <c r="I30" s="7530"/>
      <c r="J30" s="7531"/>
      <c r="K30" s="7531"/>
      <c r="L30" s="7531"/>
      <c r="M30" s="7531"/>
      <c r="N30" s="7531"/>
      <c r="O30" s="7532"/>
      <c r="P30" s="1481"/>
      <c r="Q30" s="1357"/>
      <c r="R30" s="532"/>
      <c r="S30" s="1905"/>
      <c r="T30" s="1906"/>
      <c r="U30" s="879"/>
      <c r="AJ30" s="66"/>
      <c r="AK30" s="685"/>
      <c r="AL30" s="1919"/>
      <c r="AM30" s="3660" t="s">
        <v>2463</v>
      </c>
      <c r="AN30" s="2335"/>
      <c r="AO30" s="3660" t="s">
        <v>8182</v>
      </c>
      <c r="AP30" s="2335"/>
      <c r="AQ30" s="2335"/>
      <c r="AR30" s="2335"/>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c r="BW30" s="530"/>
      <c r="BX30" s="530"/>
    </row>
    <row r="31" spans="1:76" ht="12" customHeight="1">
      <c r="A31" s="1906"/>
      <c r="B31" s="879"/>
      <c r="C31" s="7721"/>
      <c r="D31" s="6323"/>
      <c r="E31" s="6323"/>
      <c r="F31" s="7722"/>
      <c r="G31" s="1485"/>
      <c r="I31" s="7393"/>
      <c r="J31" s="7394"/>
      <c r="K31" s="7394"/>
      <c r="L31" s="7394"/>
      <c r="M31" s="7394"/>
      <c r="N31" s="7394"/>
      <c r="O31" s="7395"/>
      <c r="P31" s="1486"/>
      <c r="Q31" s="1487"/>
      <c r="R31" s="532"/>
      <c r="S31" s="1905"/>
      <c r="T31" s="1906"/>
      <c r="U31" s="879"/>
      <c r="V31" s="7292" t="s">
        <v>1687</v>
      </c>
      <c r="W31" s="7500" t="s">
        <v>1184</v>
      </c>
      <c r="X31" s="7500"/>
      <c r="Y31" s="7496"/>
      <c r="Z31" s="7497"/>
      <c r="AA31" s="7497"/>
      <c r="AB31" s="7497"/>
      <c r="AC31" s="7497"/>
      <c r="AD31" s="7500" t="s">
        <v>1184</v>
      </c>
      <c r="AE31" s="7500"/>
      <c r="AF31" s="7496"/>
      <c r="AG31" s="7497"/>
      <c r="AH31" s="7497"/>
      <c r="AI31" s="7497"/>
      <c r="AJ31" s="7519"/>
      <c r="AK31" s="685"/>
      <c r="AL31" s="1919"/>
      <c r="AM31" s="3660" t="s">
        <v>2465</v>
      </c>
      <c r="AN31" s="3661"/>
      <c r="AO31" s="3660" t="s">
        <v>2463</v>
      </c>
      <c r="AP31" s="2335"/>
      <c r="AQ31" s="2335"/>
      <c r="AR31" s="2335"/>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c r="BW31" s="530"/>
      <c r="BX31" s="530"/>
    </row>
    <row r="32" spans="1:76" ht="12" customHeight="1">
      <c r="A32" s="1906"/>
      <c r="B32" s="879"/>
      <c r="C32" s="7719"/>
      <c r="D32" s="6317"/>
      <c r="E32" s="6317"/>
      <c r="F32" s="7720"/>
      <c r="G32" s="1480"/>
      <c r="I32" s="7533"/>
      <c r="J32" s="7534"/>
      <c r="K32" s="7534"/>
      <c r="L32" s="7534"/>
      <c r="M32" s="7534"/>
      <c r="N32" s="7534"/>
      <c r="O32" s="7535"/>
      <c r="P32" s="1481"/>
      <c r="Q32" s="1357"/>
      <c r="R32" s="532"/>
      <c r="S32" s="1905"/>
      <c r="T32" s="1906"/>
      <c r="U32" s="879"/>
      <c r="V32" s="7293"/>
      <c r="W32" s="4622" t="s">
        <v>1688</v>
      </c>
      <c r="X32" s="4622"/>
      <c r="Y32" s="7498" t="str">
        <f>IF($Y$38="Cabeza","Pen.Percepción","Pen. Natural")</f>
        <v>Pen. Natural</v>
      </c>
      <c r="Z32" s="7498"/>
      <c r="AA32" s="7499" t="s">
        <v>1689</v>
      </c>
      <c r="AB32" s="7499"/>
      <c r="AC32" s="7499"/>
      <c r="AD32" s="4622" t="s">
        <v>1688</v>
      </c>
      <c r="AE32" s="4622"/>
      <c r="AF32" s="7498" t="str">
        <f>IF($AF$38="Cabeza","Pen.Percepción","Pen. Natural")</f>
        <v>Pen. Natural</v>
      </c>
      <c r="AG32" s="7498"/>
      <c r="AH32" s="7499" t="s">
        <v>1689</v>
      </c>
      <c r="AI32" s="7499"/>
      <c r="AJ32" s="7514"/>
      <c r="AK32" s="685"/>
      <c r="AL32" s="1919"/>
      <c r="AM32" s="3660" t="s">
        <v>2467</v>
      </c>
      <c r="AN32" s="2335"/>
      <c r="AO32" s="3660" t="s">
        <v>8183</v>
      </c>
      <c r="AP32" s="2335"/>
      <c r="AQ32" s="2335"/>
      <c r="AR32" s="2335"/>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c r="BW32" s="530"/>
      <c r="BX32" s="530"/>
    </row>
    <row r="33" spans="1:76" ht="12" customHeight="1" thickBot="1">
      <c r="A33" s="1906"/>
      <c r="B33" s="879"/>
      <c r="C33" s="7728"/>
      <c r="D33" s="7729"/>
      <c r="E33" s="7729"/>
      <c r="F33" s="7730"/>
      <c r="G33" s="2191"/>
      <c r="I33" s="7393"/>
      <c r="J33" s="7394"/>
      <c r="K33" s="7394"/>
      <c r="L33" s="7394"/>
      <c r="M33" s="7394"/>
      <c r="N33" s="7394"/>
      <c r="O33" s="7395"/>
      <c r="P33" s="1486"/>
      <c r="Q33" s="1487"/>
      <c r="R33" s="532"/>
      <c r="S33" s="1905"/>
      <c r="T33" s="1906"/>
      <c r="U33" s="879"/>
      <c r="V33" s="7293"/>
      <c r="W33" s="7565"/>
      <c r="X33" s="7522"/>
      <c r="Y33" s="7518"/>
      <c r="Z33" s="7518"/>
      <c r="AA33" s="7520"/>
      <c r="AB33" s="7520"/>
      <c r="AC33" s="7520"/>
      <c r="AD33" s="7522"/>
      <c r="AE33" s="7522"/>
      <c r="AF33" s="7518"/>
      <c r="AG33" s="7518"/>
      <c r="AH33" s="7520"/>
      <c r="AI33" s="7520"/>
      <c r="AJ33" s="7521"/>
      <c r="AK33" s="685"/>
      <c r="AL33" s="1919"/>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c r="BW33" s="530"/>
      <c r="BX33" s="530"/>
    </row>
    <row r="34" spans="1:76" ht="12" customHeight="1" thickBot="1">
      <c r="A34" s="1906"/>
      <c r="B34" s="879"/>
      <c r="C34" s="7726" t="s">
        <v>8345</v>
      </c>
      <c r="D34" s="7727"/>
      <c r="E34" s="7727"/>
      <c r="F34" s="7727"/>
      <c r="G34" s="1662" t="s">
        <v>1241</v>
      </c>
      <c r="I34" s="7398"/>
      <c r="J34" s="7399"/>
      <c r="K34" s="7399"/>
      <c r="L34" s="7399"/>
      <c r="M34" s="7399"/>
      <c r="N34" s="7399"/>
      <c r="O34" s="7400"/>
      <c r="P34" s="1482"/>
      <c r="Q34" s="1483"/>
      <c r="R34" s="532"/>
      <c r="S34" s="1905"/>
      <c r="T34" s="1906"/>
      <c r="U34" s="879"/>
      <c r="V34" s="7293"/>
      <c r="W34" s="1262" t="s">
        <v>1410</v>
      </c>
      <c r="X34" s="1262" t="s">
        <v>1357</v>
      </c>
      <c r="Y34" s="1262" t="s">
        <v>1411</v>
      </c>
      <c r="Z34" s="1262" t="s">
        <v>1412</v>
      </c>
      <c r="AA34" s="1262" t="s">
        <v>1413</v>
      </c>
      <c r="AB34" s="1262" t="s">
        <v>1414</v>
      </c>
      <c r="AC34" s="1263" t="s">
        <v>1415</v>
      </c>
      <c r="AD34" s="1262" t="s">
        <v>1410</v>
      </c>
      <c r="AE34" s="1262" t="s">
        <v>1357</v>
      </c>
      <c r="AF34" s="1262" t="s">
        <v>1411</v>
      </c>
      <c r="AG34" s="1262" t="s">
        <v>1412</v>
      </c>
      <c r="AH34" s="1262" t="s">
        <v>1413</v>
      </c>
      <c r="AI34" s="1262" t="s">
        <v>1414</v>
      </c>
      <c r="AJ34" s="1899" t="s">
        <v>1415</v>
      </c>
      <c r="AK34" s="685"/>
      <c r="AL34" s="1919"/>
      <c r="AM34" s="530" t="s">
        <v>9111</v>
      </c>
      <c r="AO34" s="530" t="s">
        <v>1258</v>
      </c>
      <c r="AP34" s="530" t="s">
        <v>1230</v>
      </c>
      <c r="AR34" s="530" t="s">
        <v>9118</v>
      </c>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c r="BW34" s="530"/>
      <c r="BX34" s="530"/>
    </row>
    <row r="35" spans="1:76" ht="12" customHeight="1" thickBot="1">
      <c r="A35" s="1906"/>
      <c r="B35" s="879"/>
      <c r="R35" s="532"/>
      <c r="S35" s="1905"/>
      <c r="T35" s="1906"/>
      <c r="U35" s="879"/>
      <c r="V35" s="7293"/>
      <c r="W35" s="7547"/>
      <c r="X35" s="7548"/>
      <c r="Y35" s="7558"/>
      <c r="Z35" s="7563"/>
      <c r="AA35" s="7548"/>
      <c r="AB35" s="7556"/>
      <c r="AC35" s="7552"/>
      <c r="AD35" s="7566"/>
      <c r="AE35" s="7543"/>
      <c r="AF35" s="7543"/>
      <c r="AG35" s="7543"/>
      <c r="AH35" s="7543"/>
      <c r="AI35" s="7554"/>
      <c r="AJ35" s="7550"/>
      <c r="AK35" s="685"/>
      <c r="AL35" s="1919"/>
      <c r="AM35" s="530" t="s">
        <v>1233</v>
      </c>
      <c r="AN35" s="3660" t="s">
        <v>6458</v>
      </c>
      <c r="AO35" s="530" t="s">
        <v>2658</v>
      </c>
      <c r="AP35" s="530" t="s">
        <v>1093</v>
      </c>
      <c r="AR35" s="530" t="s">
        <v>1093</v>
      </c>
      <c r="AV35" s="530"/>
      <c r="AW35" s="530"/>
      <c r="AX35" s="530"/>
      <c r="AY35" s="530"/>
      <c r="AZ35" s="530"/>
      <c r="BA35" s="530"/>
      <c r="BB35" s="530"/>
      <c r="BC35" s="530"/>
      <c r="BD35" s="530"/>
      <c r="BE35" s="530"/>
      <c r="BF35" s="530"/>
      <c r="BG35" s="530"/>
      <c r="BH35" s="530"/>
      <c r="BI35" s="530"/>
      <c r="BJ35" s="530"/>
      <c r="BK35" s="530"/>
      <c r="BL35" s="530"/>
      <c r="BM35" s="530"/>
      <c r="BN35" s="530"/>
      <c r="BO35" s="530"/>
      <c r="BP35" s="530"/>
      <c r="BQ35" s="530"/>
      <c r="BR35" s="530"/>
      <c r="BS35" s="530"/>
      <c r="BT35" s="530"/>
      <c r="BU35" s="530"/>
      <c r="BV35" s="530"/>
      <c r="BW35" s="530"/>
      <c r="BX35" s="530"/>
    </row>
    <row r="36" spans="1:76" ht="12" customHeight="1" thickBot="1">
      <c r="A36" s="1906"/>
      <c r="B36" s="879"/>
      <c r="C36" s="7324" t="s">
        <v>1770</v>
      </c>
      <c r="D36" s="7326"/>
      <c r="E36" s="1252" t="s">
        <v>6682</v>
      </c>
      <c r="F36" s="7731" t="s">
        <v>1315</v>
      </c>
      <c r="G36" s="7732"/>
      <c r="I36" s="5467" t="s">
        <v>1678</v>
      </c>
      <c r="J36" s="5468"/>
      <c r="K36" s="5468"/>
      <c r="L36" s="5468"/>
      <c r="M36" s="5468"/>
      <c r="N36" s="5468"/>
      <c r="O36" s="5468"/>
      <c r="P36" s="5468"/>
      <c r="Q36" s="5469"/>
      <c r="R36" s="532"/>
      <c r="S36" s="1905"/>
      <c r="T36" s="1906"/>
      <c r="U36" s="879"/>
      <c r="V36" s="7293"/>
      <c r="W36" s="7547"/>
      <c r="X36" s="7549"/>
      <c r="Y36" s="7559"/>
      <c r="Z36" s="7564"/>
      <c r="AA36" s="7549"/>
      <c r="AB36" s="7557"/>
      <c r="AC36" s="7553"/>
      <c r="AD36" s="7567"/>
      <c r="AE36" s="7544"/>
      <c r="AF36" s="7544"/>
      <c r="AG36" s="7544"/>
      <c r="AH36" s="7544"/>
      <c r="AI36" s="7555"/>
      <c r="AJ36" s="7551"/>
      <c r="AK36" s="685"/>
      <c r="AL36" s="1919"/>
      <c r="AM36" s="530" t="s">
        <v>1357</v>
      </c>
      <c r="AN36" s="3660" t="s">
        <v>2708</v>
      </c>
      <c r="AO36" s="530" t="s">
        <v>2661</v>
      </c>
      <c r="AP36" s="530" t="s">
        <v>1424</v>
      </c>
      <c r="AR36" s="530" t="s">
        <v>1424</v>
      </c>
      <c r="AV36" s="530"/>
      <c r="AW36" s="530"/>
      <c r="AX36" s="530"/>
      <c r="AY36" s="530"/>
      <c r="AZ36" s="530"/>
      <c r="BA36" s="530"/>
      <c r="BB36" s="530"/>
      <c r="BC36" s="530"/>
      <c r="BD36" s="530"/>
      <c r="BE36" s="530"/>
      <c r="BF36" s="530"/>
      <c r="BG36" s="530"/>
      <c r="BH36" s="530"/>
      <c r="BI36" s="530"/>
      <c r="BJ36" s="530"/>
      <c r="BK36" s="530"/>
      <c r="BL36" s="530"/>
      <c r="BM36" s="530"/>
      <c r="BN36" s="530"/>
      <c r="BO36" s="530"/>
      <c r="BP36" s="530"/>
      <c r="BQ36" s="530"/>
      <c r="BR36" s="530"/>
      <c r="BS36" s="530"/>
      <c r="BT36" s="530"/>
      <c r="BU36" s="530"/>
      <c r="BV36" s="530"/>
      <c r="BW36" s="530"/>
      <c r="BX36" s="530"/>
    </row>
    <row r="37" spans="1:76" ht="12" customHeight="1" thickBot="1">
      <c r="A37" s="1906"/>
      <c r="B37" s="879"/>
      <c r="C37" s="7330"/>
      <c r="D37" s="7332"/>
      <c r="E37" s="1490" t="s">
        <v>6683</v>
      </c>
      <c r="F37" s="7733" t="s">
        <v>1315</v>
      </c>
      <c r="G37" s="7734"/>
      <c r="I37" s="6631" t="s">
        <v>1301</v>
      </c>
      <c r="J37" s="7528"/>
      <c r="K37" s="7528"/>
      <c r="L37" s="7528"/>
      <c r="M37" s="7528"/>
      <c r="N37" s="7528"/>
      <c r="O37" s="7529"/>
      <c r="P37" s="37" t="s">
        <v>1236</v>
      </c>
      <c r="Q37" s="15" t="s">
        <v>1237</v>
      </c>
      <c r="R37" s="532"/>
      <c r="S37" s="1905"/>
      <c r="T37" s="1906"/>
      <c r="U37" s="879"/>
      <c r="V37" s="7293"/>
      <c r="W37" s="4306" t="s">
        <v>1690</v>
      </c>
      <c r="X37" s="4306"/>
      <c r="Y37" s="4889"/>
      <c r="Z37" s="7545"/>
      <c r="AA37" s="4306" t="s">
        <v>1691</v>
      </c>
      <c r="AB37" s="4306"/>
      <c r="AC37" s="1515"/>
      <c r="AD37" s="4306" t="s">
        <v>1690</v>
      </c>
      <c r="AE37" s="4306"/>
      <c r="AF37" s="4889"/>
      <c r="AG37" s="7545"/>
      <c r="AH37" s="4306" t="s">
        <v>1691</v>
      </c>
      <c r="AI37" s="4306"/>
      <c r="AJ37" s="2057"/>
      <c r="AK37" s="685"/>
      <c r="AL37" s="1919"/>
      <c r="AM37" s="530" t="s">
        <v>1238</v>
      </c>
      <c r="AN37" s="3660" t="s">
        <v>2669</v>
      </c>
      <c r="AP37" s="530" t="s">
        <v>2727</v>
      </c>
      <c r="AR37" s="530" t="s">
        <v>2727</v>
      </c>
      <c r="AS37" s="2335"/>
      <c r="AV37" s="530"/>
      <c r="AW37" s="530"/>
      <c r="AX37" s="530"/>
      <c r="AY37" s="530"/>
      <c r="AZ37" s="530"/>
      <c r="BA37" s="530"/>
      <c r="BB37" s="530"/>
      <c r="BC37" s="530"/>
      <c r="BD37" s="530"/>
      <c r="BE37" s="530"/>
      <c r="BF37" s="530"/>
      <c r="BG37" s="530"/>
      <c r="BH37" s="530"/>
      <c r="BI37" s="530"/>
      <c r="BJ37" s="530"/>
      <c r="BK37" s="530"/>
      <c r="BL37" s="530"/>
      <c r="BM37" s="530"/>
      <c r="BN37" s="530"/>
      <c r="BO37" s="530"/>
      <c r="BP37" s="530"/>
      <c r="BQ37" s="530"/>
      <c r="BR37" s="530"/>
      <c r="BS37" s="530"/>
      <c r="BT37" s="530"/>
      <c r="BU37" s="530"/>
      <c r="BV37" s="530"/>
      <c r="BW37" s="530"/>
      <c r="BX37" s="530"/>
    </row>
    <row r="38" spans="1:76" ht="12" customHeight="1" thickBot="1">
      <c r="A38" s="1906"/>
      <c r="B38" s="879"/>
      <c r="I38" s="7533"/>
      <c r="J38" s="7534"/>
      <c r="K38" s="7534"/>
      <c r="L38" s="7534"/>
      <c r="M38" s="7534"/>
      <c r="N38" s="7534"/>
      <c r="O38" s="7535"/>
      <c r="P38" s="1484"/>
      <c r="Q38" s="1357"/>
      <c r="R38" s="532"/>
      <c r="S38" s="1905"/>
      <c r="T38" s="1906"/>
      <c r="U38" s="879"/>
      <c r="V38" s="7294"/>
      <c r="W38" s="7562" t="s">
        <v>1692</v>
      </c>
      <c r="X38" s="7562"/>
      <c r="Y38" s="7560"/>
      <c r="Z38" s="7561"/>
      <c r="AA38" s="7546" t="s">
        <v>1693</v>
      </c>
      <c r="AB38" s="7546"/>
      <c r="AC38" s="2058"/>
      <c r="AD38" s="7562" t="s">
        <v>1692</v>
      </c>
      <c r="AE38" s="7562"/>
      <c r="AF38" s="7560"/>
      <c r="AG38" s="7561"/>
      <c r="AH38" s="7546" t="s">
        <v>1693</v>
      </c>
      <c r="AI38" s="7546"/>
      <c r="AJ38" s="1900"/>
      <c r="AK38" s="685"/>
      <c r="AL38" s="1919"/>
      <c r="AM38" s="2335" t="s">
        <v>1243</v>
      </c>
      <c r="AN38" s="3660" t="s">
        <v>2670</v>
      </c>
      <c r="AP38" s="2335" t="s">
        <v>2972</v>
      </c>
      <c r="AQ38" s="2335"/>
      <c r="AR38" s="2335" t="s">
        <v>3016</v>
      </c>
      <c r="AS38" s="3638"/>
      <c r="AV38" s="530"/>
      <c r="AW38" s="530"/>
      <c r="AX38" s="530"/>
      <c r="AY38" s="530"/>
      <c r="AZ38" s="530"/>
      <c r="BA38" s="530"/>
      <c r="BB38" s="530"/>
      <c r="BC38" s="530"/>
      <c r="BD38" s="530"/>
      <c r="BE38" s="530"/>
      <c r="BF38" s="530"/>
      <c r="BG38" s="530"/>
      <c r="BH38" s="530"/>
      <c r="BI38" s="530"/>
      <c r="BJ38" s="530"/>
      <c r="BK38" s="530"/>
      <c r="BL38" s="530"/>
      <c r="BM38" s="530"/>
      <c r="BN38" s="530"/>
      <c r="BO38" s="530"/>
      <c r="BP38" s="530"/>
      <c r="BQ38" s="530"/>
      <c r="BR38" s="530"/>
      <c r="BS38" s="530"/>
      <c r="BT38" s="530"/>
      <c r="BU38" s="530"/>
      <c r="BV38" s="530"/>
      <c r="BW38" s="530"/>
      <c r="BX38" s="530"/>
    </row>
    <row r="39" spans="1:76" ht="12" customHeight="1" thickBot="1">
      <c r="A39" s="1906"/>
      <c r="B39" s="879"/>
      <c r="C39" s="4422" t="s">
        <v>8194</v>
      </c>
      <c r="D39" s="4423"/>
      <c r="E39" s="4423"/>
      <c r="F39" s="4423"/>
      <c r="G39" s="4424"/>
      <c r="I39" s="7393"/>
      <c r="J39" s="7394"/>
      <c r="K39" s="7394"/>
      <c r="L39" s="7394"/>
      <c r="M39" s="7394"/>
      <c r="N39" s="7394"/>
      <c r="O39" s="7395"/>
      <c r="P39" s="1886"/>
      <c r="Q39" s="1487"/>
      <c r="R39" s="532"/>
      <c r="S39" s="1905"/>
      <c r="T39" s="1906"/>
      <c r="U39" s="879"/>
      <c r="AJ39" s="1904"/>
      <c r="AK39" s="685"/>
      <c r="AL39" s="1919"/>
      <c r="AM39" s="2335" t="s">
        <v>1250</v>
      </c>
      <c r="AN39" s="3660" t="s">
        <v>2974</v>
      </c>
      <c r="AO39" s="2335"/>
      <c r="AP39" s="2335" t="s">
        <v>1071</v>
      </c>
      <c r="AQ39" s="2335"/>
      <c r="AR39" s="2335"/>
      <c r="AS39" s="3638"/>
      <c r="AV39" s="530"/>
      <c r="AW39" s="530"/>
      <c r="AX39" s="530"/>
      <c r="AY39" s="530"/>
      <c r="AZ39" s="530"/>
      <c r="BA39" s="530"/>
      <c r="BB39" s="530"/>
      <c r="BC39" s="530"/>
      <c r="BD39" s="530"/>
      <c r="BE39" s="530"/>
      <c r="BF39" s="530"/>
      <c r="BG39" s="530"/>
      <c r="BH39" s="530"/>
      <c r="BI39" s="530"/>
      <c r="BJ39" s="530"/>
      <c r="BK39" s="530"/>
      <c r="BL39" s="530"/>
      <c r="BM39" s="530"/>
      <c r="BN39" s="530"/>
      <c r="BO39" s="530"/>
      <c r="BP39" s="530"/>
      <c r="BQ39" s="530"/>
      <c r="BR39" s="530"/>
      <c r="BS39" s="530"/>
      <c r="BT39" s="530"/>
      <c r="BU39" s="530"/>
      <c r="BV39" s="530"/>
      <c r="BW39" s="530"/>
      <c r="BX39" s="530"/>
    </row>
    <row r="40" spans="1:76" ht="12" customHeight="1" thickBot="1">
      <c r="A40" s="1906"/>
      <c r="B40" s="879"/>
      <c r="C40" s="7699"/>
      <c r="D40" s="7700"/>
      <c r="E40" s="7700"/>
      <c r="F40" s="7700"/>
      <c r="G40" s="7701"/>
      <c r="I40" s="7533"/>
      <c r="J40" s="7534"/>
      <c r="K40" s="7534"/>
      <c r="L40" s="7534"/>
      <c r="M40" s="7534"/>
      <c r="N40" s="7534"/>
      <c r="O40" s="7535"/>
      <c r="P40" s="1888"/>
      <c r="Q40" s="1357"/>
      <c r="R40" s="532"/>
      <c r="S40" s="1905"/>
      <c r="T40" s="1906"/>
      <c r="U40" s="879"/>
      <c r="V40" s="4372" t="s">
        <v>1697</v>
      </c>
      <c r="W40" s="4372"/>
      <c r="X40" s="4372"/>
      <c r="Y40" s="4372"/>
      <c r="Z40" s="4372"/>
      <c r="AA40" s="4372"/>
      <c r="AB40" s="4372"/>
      <c r="AC40" s="4372"/>
      <c r="AD40" s="4372"/>
      <c r="AE40" s="4372"/>
      <c r="AF40" s="4372"/>
      <c r="AG40" s="4372"/>
      <c r="AH40" s="4372"/>
      <c r="AI40" s="4372"/>
      <c r="AJ40" s="7655"/>
      <c r="AK40" s="685"/>
      <c r="AL40" s="1919"/>
      <c r="AM40" s="530" t="s">
        <v>1251</v>
      </c>
      <c r="AN40" s="3660" t="s">
        <v>6459</v>
      </c>
      <c r="AO40" s="2335"/>
      <c r="AP40" s="2335"/>
      <c r="AS40" s="3662"/>
      <c r="AV40" s="530"/>
      <c r="AW40" s="530"/>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row>
    <row r="41" spans="1:76" ht="12" customHeight="1" thickBot="1">
      <c r="A41" s="1906"/>
      <c r="B41" s="879"/>
      <c r="C41" s="7702"/>
      <c r="D41" s="7703"/>
      <c r="E41" s="7703"/>
      <c r="F41" s="7703"/>
      <c r="G41" s="7704"/>
      <c r="I41" s="7393"/>
      <c r="J41" s="7394"/>
      <c r="K41" s="7394"/>
      <c r="L41" s="7394"/>
      <c r="M41" s="7394"/>
      <c r="N41" s="7394"/>
      <c r="O41" s="7395"/>
      <c r="P41" s="1886"/>
      <c r="Q41" s="1487"/>
      <c r="R41" s="532"/>
      <c r="S41" s="1905"/>
      <c r="T41" s="1906"/>
      <c r="U41" s="879"/>
      <c r="V41" s="7678" t="s">
        <v>1698</v>
      </c>
      <c r="W41" s="7678"/>
      <c r="X41" s="7678"/>
      <c r="Y41" s="7677"/>
      <c r="Z41" s="7677"/>
      <c r="AA41" s="7677"/>
      <c r="AB41" s="7664"/>
      <c r="AC41" s="7664"/>
      <c r="AD41" s="7664"/>
      <c r="AE41" s="7664"/>
      <c r="AF41" s="7664"/>
      <c r="AG41" s="7664"/>
      <c r="AH41" s="7666"/>
      <c r="AI41" s="7666"/>
      <c r="AJ41" s="7667"/>
      <c r="AK41" s="685"/>
      <c r="AL41" s="1919"/>
      <c r="AV41" s="530"/>
      <c r="AW41" s="530"/>
      <c r="AX41" s="530"/>
      <c r="AY41" s="530"/>
      <c r="AZ41" s="530"/>
      <c r="BA41" s="530"/>
      <c r="BB41" s="530"/>
      <c r="BC41" s="530"/>
      <c r="BD41" s="530"/>
      <c r="BE41" s="530"/>
      <c r="BF41" s="530"/>
      <c r="BG41" s="530"/>
      <c r="BH41" s="530"/>
      <c r="BI41" s="530"/>
      <c r="BJ41" s="530"/>
      <c r="BK41" s="530"/>
      <c r="BL41" s="530"/>
      <c r="BM41" s="530"/>
      <c r="BN41" s="530"/>
      <c r="BO41" s="530"/>
      <c r="BP41" s="530"/>
      <c r="BQ41" s="530"/>
      <c r="BR41" s="530"/>
      <c r="BS41" s="530"/>
      <c r="BT41" s="530"/>
      <c r="BU41" s="530"/>
      <c r="BV41" s="530"/>
      <c r="BW41" s="530"/>
      <c r="BX41" s="530"/>
    </row>
    <row r="42" spans="1:76" ht="12" customHeight="1" thickBot="1">
      <c r="A42" s="1906"/>
      <c r="B42" s="879"/>
      <c r="C42" s="7708"/>
      <c r="D42" s="7709"/>
      <c r="E42" s="7709"/>
      <c r="F42" s="7709"/>
      <c r="G42" s="7710"/>
      <c r="I42" s="7533"/>
      <c r="J42" s="7534"/>
      <c r="K42" s="7534"/>
      <c r="L42" s="7534"/>
      <c r="M42" s="7534"/>
      <c r="N42" s="7534"/>
      <c r="O42" s="7535"/>
      <c r="P42" s="1888"/>
      <c r="Q42" s="1357"/>
      <c r="R42" s="532"/>
      <c r="S42" s="1905"/>
      <c r="T42" s="1906"/>
      <c r="U42" s="879"/>
      <c r="V42" s="7678"/>
      <c r="W42" s="7678"/>
      <c r="X42" s="7678"/>
      <c r="Y42" s="7677"/>
      <c r="Z42" s="7677"/>
      <c r="AA42" s="7677"/>
      <c r="AB42" s="7664"/>
      <c r="AC42" s="7664"/>
      <c r="AD42" s="7664"/>
      <c r="AE42" s="7664"/>
      <c r="AF42" s="7664"/>
      <c r="AG42" s="7664"/>
      <c r="AH42" s="7666"/>
      <c r="AI42" s="7666"/>
      <c r="AJ42" s="7667"/>
      <c r="AK42" s="685"/>
      <c r="AL42" s="1919"/>
      <c r="AV42" s="530"/>
      <c r="AW42" s="530"/>
      <c r="AX42" s="530"/>
      <c r="AY42" s="530"/>
      <c r="AZ42" s="530"/>
      <c r="BA42" s="530"/>
      <c r="BB42" s="530"/>
      <c r="BC42" s="530"/>
      <c r="BD42" s="530"/>
      <c r="BE42" s="530"/>
      <c r="BF42" s="530"/>
      <c r="BG42" s="530"/>
      <c r="BH42" s="530"/>
      <c r="BI42" s="530"/>
      <c r="BJ42" s="530"/>
      <c r="BK42" s="530"/>
      <c r="BL42" s="530"/>
      <c r="BM42" s="530"/>
      <c r="BN42" s="530"/>
      <c r="BO42" s="530"/>
      <c r="BP42" s="530"/>
      <c r="BQ42" s="530"/>
      <c r="BR42" s="530"/>
      <c r="BS42" s="530"/>
      <c r="BT42" s="530"/>
      <c r="BU42" s="530"/>
      <c r="BV42" s="530"/>
      <c r="BW42" s="530"/>
      <c r="BX42" s="530"/>
    </row>
    <row r="43" spans="1:76" ht="12" customHeight="1" thickBot="1">
      <c r="A43" s="1906"/>
      <c r="B43" s="879"/>
      <c r="I43" s="7393"/>
      <c r="J43" s="7394"/>
      <c r="K43" s="7394"/>
      <c r="L43" s="7394"/>
      <c r="M43" s="7394"/>
      <c r="N43" s="7394"/>
      <c r="O43" s="7395"/>
      <c r="P43" s="1886"/>
      <c r="Q43" s="1487"/>
      <c r="R43" s="532"/>
      <c r="S43" s="1905"/>
      <c r="T43" s="1906"/>
      <c r="U43" s="879"/>
      <c r="V43" s="4645" t="s">
        <v>1701</v>
      </c>
      <c r="W43" s="4645"/>
      <c r="X43" s="4645"/>
      <c r="Y43" s="7679"/>
      <c r="Z43" s="7679"/>
      <c r="AA43" s="7679"/>
      <c r="AB43" s="7665"/>
      <c r="AC43" s="7665"/>
      <c r="AD43" s="7665"/>
      <c r="AE43" s="7665"/>
      <c r="AF43" s="7665"/>
      <c r="AG43" s="7665"/>
      <c r="AH43" s="7662"/>
      <c r="AI43" s="7662"/>
      <c r="AJ43" s="7663"/>
      <c r="AK43" s="685"/>
      <c r="AL43" s="1919"/>
      <c r="AV43" s="530"/>
      <c r="AW43" s="530"/>
      <c r="AX43" s="530"/>
      <c r="AY43" s="530"/>
      <c r="AZ43" s="530"/>
      <c r="BA43" s="530"/>
      <c r="BB43" s="530"/>
      <c r="BC43" s="530"/>
      <c r="BD43" s="530"/>
      <c r="BE43" s="530"/>
      <c r="BF43" s="530"/>
      <c r="BG43" s="530"/>
      <c r="BH43" s="530"/>
      <c r="BI43" s="530"/>
      <c r="BJ43" s="530"/>
      <c r="BK43" s="530"/>
      <c r="BL43" s="530"/>
      <c r="BM43" s="530"/>
      <c r="BN43" s="530"/>
      <c r="BO43" s="530"/>
      <c r="BP43" s="530"/>
      <c r="BQ43" s="530"/>
      <c r="BR43" s="530"/>
      <c r="BS43" s="530"/>
      <c r="BT43" s="530"/>
      <c r="BU43" s="530"/>
      <c r="BV43" s="530"/>
      <c r="BW43" s="530"/>
      <c r="BX43" s="530"/>
    </row>
    <row r="44" spans="1:76" ht="12" customHeight="1" thickBot="1">
      <c r="A44" s="1906"/>
      <c r="B44" s="879"/>
      <c r="C44" s="4422" t="s">
        <v>1779</v>
      </c>
      <c r="D44" s="4423"/>
      <c r="E44" s="4423"/>
      <c r="F44" s="4423"/>
      <c r="G44" s="4424"/>
      <c r="I44" s="7533"/>
      <c r="J44" s="7534"/>
      <c r="K44" s="7534"/>
      <c r="L44" s="7534"/>
      <c r="M44" s="7534"/>
      <c r="N44" s="7534"/>
      <c r="O44" s="7535"/>
      <c r="P44" s="1888"/>
      <c r="Q44" s="1357"/>
      <c r="R44" s="532"/>
      <c r="S44" s="1905"/>
      <c r="T44" s="1906"/>
      <c r="U44" s="879"/>
      <c r="V44" s="7658" t="s">
        <v>1702</v>
      </c>
      <c r="W44" s="7658"/>
      <c r="X44" s="7658"/>
      <c r="Y44" s="7660"/>
      <c r="Z44" s="7660"/>
      <c r="AA44" s="7660"/>
      <c r="AB44" s="7676"/>
      <c r="AC44" s="7676"/>
      <c r="AD44" s="7676"/>
      <c r="AE44" s="7676"/>
      <c r="AF44" s="7676"/>
      <c r="AG44" s="7676"/>
      <c r="AH44" s="7605"/>
      <c r="AI44" s="7605"/>
      <c r="AJ44" s="7606"/>
      <c r="AK44" s="685"/>
      <c r="AL44" s="1919"/>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row>
    <row r="45" spans="1:76" ht="12" customHeight="1">
      <c r="A45" s="1906"/>
      <c r="B45" s="879"/>
      <c r="C45" s="7369" t="s">
        <v>8193</v>
      </c>
      <c r="D45" s="7370"/>
      <c r="E45" s="7370"/>
      <c r="F45" s="7370"/>
      <c r="G45" s="1527"/>
      <c r="I45" s="7393"/>
      <c r="J45" s="7394"/>
      <c r="K45" s="7394"/>
      <c r="L45" s="7394"/>
      <c r="M45" s="7394"/>
      <c r="N45" s="7394"/>
      <c r="O45" s="7395"/>
      <c r="P45" s="1886"/>
      <c r="Q45" s="1487"/>
      <c r="R45" s="532"/>
      <c r="S45" s="1905"/>
      <c r="T45" s="1906"/>
      <c r="U45" s="879"/>
      <c r="V45" s="7659" t="s">
        <v>1703</v>
      </c>
      <c r="W45" s="7659"/>
      <c r="X45" s="7659"/>
      <c r="Y45" s="7599"/>
      <c r="Z45" s="7599"/>
      <c r="AA45" s="7599"/>
      <c r="AB45" s="7661"/>
      <c r="AC45" s="7661"/>
      <c r="AD45" s="7661"/>
      <c r="AE45" s="7661"/>
      <c r="AF45" s="7661"/>
      <c r="AG45" s="7661"/>
      <c r="AH45" s="7600"/>
      <c r="AI45" s="7600"/>
      <c r="AJ45" s="7601"/>
      <c r="AK45" s="685"/>
      <c r="AL45" s="1919"/>
      <c r="AU45" s="2335"/>
      <c r="AV45" s="530"/>
      <c r="AW45" s="530"/>
      <c r="AX45" s="530"/>
      <c r="AY45" s="530"/>
      <c r="AZ45" s="530"/>
      <c r="BA45" s="530"/>
      <c r="BB45" s="530"/>
      <c r="BC45" s="530"/>
      <c r="BD45" s="530"/>
      <c r="BE45" s="530"/>
      <c r="BF45" s="530"/>
      <c r="BG45" s="530"/>
      <c r="BH45" s="530"/>
      <c r="BI45" s="530"/>
      <c r="BJ45" s="530"/>
      <c r="BK45" s="530"/>
      <c r="BL45" s="530"/>
      <c r="BM45" s="530"/>
      <c r="BN45" s="530"/>
      <c r="BO45" s="530"/>
      <c r="BP45" s="530"/>
      <c r="BQ45" s="530"/>
      <c r="BR45" s="530"/>
      <c r="BS45" s="530"/>
      <c r="BT45" s="530"/>
      <c r="BU45" s="530"/>
      <c r="BV45" s="530"/>
      <c r="BW45" s="530"/>
      <c r="BX45" s="530"/>
    </row>
    <row r="46" spans="1:76" ht="12" customHeight="1">
      <c r="A46" s="1906"/>
      <c r="B46" s="879"/>
      <c r="C46" s="7371" t="s">
        <v>8191</v>
      </c>
      <c r="D46" s="7372"/>
      <c r="E46" s="7372"/>
      <c r="F46" s="7372"/>
      <c r="G46" s="1528" t="s">
        <v>1241</v>
      </c>
      <c r="I46" s="7533"/>
      <c r="J46" s="7534"/>
      <c r="K46" s="7534"/>
      <c r="L46" s="7534"/>
      <c r="M46" s="7534"/>
      <c r="N46" s="7534"/>
      <c r="O46" s="7535"/>
      <c r="P46" s="1888"/>
      <c r="Q46" s="1357"/>
      <c r="R46" s="532"/>
      <c r="S46" s="1905"/>
      <c r="T46" s="1906"/>
      <c r="U46" s="879"/>
      <c r="V46" s="7658" t="s">
        <v>1704</v>
      </c>
      <c r="W46" s="7658"/>
      <c r="X46" s="7658"/>
      <c r="Y46" s="7660"/>
      <c r="Z46" s="7660"/>
      <c r="AA46" s="7660"/>
      <c r="AB46" s="7676"/>
      <c r="AC46" s="7676"/>
      <c r="AD46" s="7676"/>
      <c r="AE46" s="7676"/>
      <c r="AF46" s="7676"/>
      <c r="AG46" s="7676"/>
      <c r="AH46" s="7605"/>
      <c r="AI46" s="7605"/>
      <c r="AJ46" s="7606"/>
      <c r="AK46" s="685"/>
      <c r="AL46" s="1919"/>
      <c r="AM46" s="530" t="s">
        <v>9132</v>
      </c>
      <c r="AT46" s="2335"/>
      <c r="AV46" s="530"/>
      <c r="AW46" s="530"/>
      <c r="AX46" s="530"/>
      <c r="AY46" s="530"/>
      <c r="AZ46" s="530"/>
      <c r="BA46" s="530"/>
      <c r="BB46" s="530"/>
      <c r="BC46" s="530"/>
      <c r="BD46" s="530"/>
      <c r="BE46" s="530"/>
      <c r="BF46" s="530"/>
      <c r="BG46" s="530"/>
      <c r="BH46" s="530"/>
      <c r="BI46" s="530"/>
      <c r="BJ46" s="530"/>
      <c r="BK46" s="530"/>
      <c r="BL46" s="530"/>
      <c r="BM46" s="530"/>
      <c r="BN46" s="530"/>
      <c r="BO46" s="530"/>
      <c r="BP46" s="530"/>
      <c r="BQ46" s="530"/>
      <c r="BR46" s="530"/>
      <c r="BS46" s="530"/>
      <c r="BT46" s="530"/>
      <c r="BU46" s="530"/>
      <c r="BV46" s="530"/>
      <c r="BW46" s="530"/>
      <c r="BX46" s="530"/>
    </row>
    <row r="47" spans="1:76" ht="12" customHeight="1" thickBot="1">
      <c r="A47" s="1906"/>
      <c r="B47" s="879"/>
      <c r="C47" s="7371" t="s">
        <v>8192</v>
      </c>
      <c r="D47" s="7372"/>
      <c r="E47" s="7372"/>
      <c r="F47" s="7372"/>
      <c r="G47" s="1528" t="s">
        <v>1241</v>
      </c>
      <c r="I47" s="7705"/>
      <c r="J47" s="7706"/>
      <c r="K47" s="7706"/>
      <c r="L47" s="7706"/>
      <c r="M47" s="7706"/>
      <c r="N47" s="7706"/>
      <c r="O47" s="7707"/>
      <c r="P47" s="1489"/>
      <c r="Q47" s="1488"/>
      <c r="R47" s="532"/>
      <c r="S47" s="1905"/>
      <c r="T47" s="1906"/>
      <c r="U47" s="879"/>
      <c r="V47" s="7619" t="s">
        <v>1705</v>
      </c>
      <c r="W47" s="7620"/>
      <c r="X47" s="7621"/>
      <c r="Y47" s="7602"/>
      <c r="Z47" s="7603"/>
      <c r="AA47" s="7604"/>
      <c r="AB47" s="7602"/>
      <c r="AC47" s="7603"/>
      <c r="AD47" s="7604"/>
      <c r="AE47" s="7602"/>
      <c r="AF47" s="7603"/>
      <c r="AG47" s="7604"/>
      <c r="AH47" s="7602"/>
      <c r="AI47" s="7603"/>
      <c r="AJ47" s="7622"/>
      <c r="AK47" s="685"/>
      <c r="AL47" s="1919"/>
      <c r="AM47" s="530" t="s">
        <v>1095</v>
      </c>
      <c r="AN47" s="530" t="s">
        <v>1258</v>
      </c>
      <c r="AO47" s="530" t="s">
        <v>1230</v>
      </c>
      <c r="AP47" s="530" t="s">
        <v>9128</v>
      </c>
      <c r="AQ47" s="530" t="s">
        <v>9124</v>
      </c>
      <c r="AR47" s="530" t="s">
        <v>9125</v>
      </c>
      <c r="AS47" s="2335" t="s">
        <v>9126</v>
      </c>
      <c r="AT47" s="530" t="s">
        <v>9127</v>
      </c>
      <c r="AU47" s="530" t="s">
        <v>8374</v>
      </c>
      <c r="AV47" s="530" t="s">
        <v>1696</v>
      </c>
      <c r="AW47" s="530" t="s">
        <v>1359</v>
      </c>
      <c r="AX47" s="530" t="s">
        <v>9105</v>
      </c>
      <c r="AY47" s="530" t="s">
        <v>2667</v>
      </c>
      <c r="AZ47" s="530" t="s">
        <v>2668</v>
      </c>
      <c r="BA47" s="530" t="s">
        <v>2659</v>
      </c>
      <c r="BB47" s="530" t="s">
        <v>9131</v>
      </c>
      <c r="BC47" s="530" t="s">
        <v>9130</v>
      </c>
      <c r="BD47" s="530" t="s">
        <v>9129</v>
      </c>
      <c r="BE47" s="530"/>
      <c r="BF47" s="530"/>
      <c r="BG47" s="530"/>
      <c r="BH47" s="530"/>
      <c r="BI47" s="530"/>
      <c r="BJ47" s="530"/>
      <c r="BK47" s="530"/>
      <c r="BL47" s="530"/>
      <c r="BM47" s="530"/>
      <c r="BN47" s="530"/>
      <c r="BO47" s="530"/>
      <c r="BP47" s="530"/>
      <c r="BQ47" s="530"/>
      <c r="BR47" s="530"/>
      <c r="BS47" s="530"/>
      <c r="BT47" s="530"/>
      <c r="BU47" s="530"/>
      <c r="BV47" s="530"/>
      <c r="BW47" s="530"/>
      <c r="BX47" s="530"/>
    </row>
    <row r="48" spans="1:76" ht="12" customHeight="1" thickBot="1">
      <c r="A48" s="1906"/>
      <c r="B48" s="879"/>
      <c r="C48" s="7373" t="s">
        <v>8196</v>
      </c>
      <c r="D48" s="7374"/>
      <c r="E48" s="7374"/>
      <c r="F48" s="7374"/>
      <c r="G48" s="1529" t="s">
        <v>1241</v>
      </c>
      <c r="R48" s="532"/>
      <c r="S48" s="1905"/>
      <c r="T48" s="1906"/>
      <c r="U48" s="879"/>
      <c r="AJ48" s="46"/>
      <c r="AK48" s="685"/>
      <c r="AL48" s="1919"/>
      <c r="AM48" s="826">
        <f>D58</f>
        <v>0</v>
      </c>
      <c r="AN48" s="826">
        <f>D59</f>
        <v>0</v>
      </c>
      <c r="AO48" s="826">
        <f>D60</f>
        <v>0</v>
      </c>
      <c r="AP48" s="826">
        <f>H59</f>
        <v>0</v>
      </c>
      <c r="AQ48" s="826" t="str">
        <f>J60&amp;" "&amp;K60</f>
        <v xml:space="preserve"> </v>
      </c>
      <c r="AR48" s="826" t="str">
        <f>L60&amp;" "&amp;M60</f>
        <v xml:space="preserve"> </v>
      </c>
      <c r="AS48" s="826" t="str">
        <f>N60&amp;" "&amp;O60</f>
        <v xml:space="preserve"> </v>
      </c>
      <c r="AT48" s="826" t="str">
        <f>P60&amp;" "&amp;Q60</f>
        <v xml:space="preserve"> </v>
      </c>
      <c r="AU48" s="826">
        <f t="shared" ref="AU48:BA48" si="0">K58</f>
        <v>0</v>
      </c>
      <c r="AV48" s="826">
        <f t="shared" si="0"/>
        <v>0</v>
      </c>
      <c r="AW48" s="826">
        <f t="shared" si="0"/>
        <v>0</v>
      </c>
      <c r="AX48" s="826">
        <f t="shared" si="0"/>
        <v>0</v>
      </c>
      <c r="AY48" s="826">
        <f t="shared" si="0"/>
        <v>0</v>
      </c>
      <c r="AZ48" s="826">
        <f t="shared" si="0"/>
        <v>0</v>
      </c>
      <c r="BA48" s="826">
        <f t="shared" si="0"/>
        <v>0</v>
      </c>
      <c r="BB48" s="826">
        <f>L59</f>
        <v>0</v>
      </c>
      <c r="BC48" s="826">
        <f>N59</f>
        <v>0</v>
      </c>
      <c r="BD48" s="826">
        <f>P59</f>
        <v>0</v>
      </c>
      <c r="BE48" s="530"/>
      <c r="BF48" s="530"/>
      <c r="BG48" s="530"/>
      <c r="BH48" s="530"/>
      <c r="BI48" s="530"/>
      <c r="BJ48" s="530"/>
      <c r="BK48" s="530"/>
      <c r="BL48" s="530"/>
      <c r="BM48" s="530"/>
      <c r="BN48" s="530"/>
      <c r="BO48" s="530"/>
      <c r="BP48" s="530"/>
      <c r="BQ48" s="530"/>
      <c r="BR48" s="530"/>
      <c r="BS48" s="530"/>
      <c r="BT48" s="530"/>
      <c r="BU48" s="530"/>
      <c r="BV48" s="530"/>
      <c r="BW48" s="530"/>
      <c r="BX48" s="530"/>
    </row>
    <row r="49" spans="1:76" ht="12" customHeight="1" thickBot="1">
      <c r="A49" s="1906"/>
      <c r="B49" s="879"/>
      <c r="I49" s="7396" t="s">
        <v>1780</v>
      </c>
      <c r="J49" s="7384" t="s">
        <v>8190</v>
      </c>
      <c r="K49" s="7384"/>
      <c r="L49" s="7384"/>
      <c r="M49" s="7384"/>
      <c r="N49" s="1491"/>
      <c r="O49" s="1491"/>
      <c r="P49" s="1491"/>
      <c r="Q49" s="1492"/>
      <c r="R49" s="532"/>
      <c r="S49" s="1905"/>
      <c r="T49" s="1906"/>
      <c r="U49" s="879"/>
      <c r="AK49" s="685"/>
      <c r="AL49" s="1919"/>
      <c r="AM49" s="826">
        <f>D62</f>
        <v>0</v>
      </c>
      <c r="AN49" s="826">
        <f>D63</f>
        <v>0</v>
      </c>
      <c r="AO49" s="826">
        <f>D64</f>
        <v>0</v>
      </c>
      <c r="AP49" s="826">
        <f>H63</f>
        <v>0</v>
      </c>
      <c r="AQ49" s="826" t="str">
        <f>J64&amp;" "&amp;K64</f>
        <v xml:space="preserve"> </v>
      </c>
      <c r="AR49" s="826" t="str">
        <f>L64&amp;" "&amp;M64</f>
        <v xml:space="preserve"> </v>
      </c>
      <c r="AS49" s="826" t="str">
        <f>N64&amp;" "&amp;O64</f>
        <v xml:space="preserve"> </v>
      </c>
      <c r="AT49" s="826" t="str">
        <f>P64&amp;" "&amp;Q64</f>
        <v xml:space="preserve"> </v>
      </c>
      <c r="AU49" s="826">
        <f t="shared" ref="AU49:BA49" si="1">K62</f>
        <v>0</v>
      </c>
      <c r="AV49" s="826">
        <f t="shared" si="1"/>
        <v>0</v>
      </c>
      <c r="AW49" s="826">
        <f t="shared" si="1"/>
        <v>0</v>
      </c>
      <c r="AX49" s="826">
        <f t="shared" si="1"/>
        <v>0</v>
      </c>
      <c r="AY49" s="826">
        <f t="shared" si="1"/>
        <v>0</v>
      </c>
      <c r="AZ49" s="826">
        <f t="shared" si="1"/>
        <v>0</v>
      </c>
      <c r="BA49" s="826">
        <f t="shared" si="1"/>
        <v>0</v>
      </c>
      <c r="BB49" s="826">
        <f>L63</f>
        <v>0</v>
      </c>
      <c r="BC49" s="826">
        <f>N63</f>
        <v>0</v>
      </c>
      <c r="BD49" s="826">
        <f>P63</f>
        <v>0</v>
      </c>
      <c r="BE49" s="530"/>
      <c r="BF49" s="530"/>
      <c r="BG49" s="530"/>
      <c r="BH49" s="530"/>
      <c r="BI49" s="530"/>
      <c r="BJ49" s="530"/>
      <c r="BK49" s="530"/>
      <c r="BL49" s="530"/>
      <c r="BM49" s="530"/>
      <c r="BN49" s="530"/>
      <c r="BO49" s="530"/>
      <c r="BP49" s="530"/>
      <c r="BQ49" s="530"/>
      <c r="BR49" s="530"/>
      <c r="BS49" s="530"/>
      <c r="BT49" s="530"/>
      <c r="BU49" s="530"/>
      <c r="BV49" s="530"/>
      <c r="BW49" s="530"/>
      <c r="BX49" s="530"/>
    </row>
    <row r="50" spans="1:76" ht="12" customHeight="1" thickBot="1">
      <c r="A50" s="1906"/>
      <c r="B50" s="879"/>
      <c r="C50" s="7324" t="s">
        <v>8195</v>
      </c>
      <c r="D50" s="7326"/>
      <c r="E50" s="7378" t="s">
        <v>8864</v>
      </c>
      <c r="F50" s="7379"/>
      <c r="G50" s="7380"/>
      <c r="I50" s="7397"/>
      <c r="J50" s="7715" t="s">
        <v>8185</v>
      </c>
      <c r="K50" s="7715"/>
      <c r="L50" s="1441" t="s">
        <v>1241</v>
      </c>
      <c r="M50" s="7253" t="s">
        <v>8184</v>
      </c>
      <c r="N50" s="7253"/>
      <c r="O50" s="7253"/>
      <c r="P50" s="7376" t="s">
        <v>8188</v>
      </c>
      <c r="Q50" s="7377"/>
      <c r="R50" s="532"/>
      <c r="S50" s="1905"/>
      <c r="T50" s="1906"/>
      <c r="U50" s="879"/>
      <c r="V50" s="6301" t="s">
        <v>6687</v>
      </c>
      <c r="W50" s="6302"/>
      <c r="X50" s="6302"/>
      <c r="Y50" s="6302"/>
      <c r="Z50" s="6302"/>
      <c r="AA50" s="6302"/>
      <c r="AB50" s="6302"/>
      <c r="AC50" s="6302"/>
      <c r="AD50" s="6302"/>
      <c r="AE50" s="6302"/>
      <c r="AF50" s="6302"/>
      <c r="AG50" s="6302"/>
      <c r="AH50" s="6302"/>
      <c r="AI50" s="6302"/>
      <c r="AJ50" s="7232"/>
      <c r="AK50" s="685"/>
      <c r="AL50" s="1919"/>
      <c r="AM50" s="826">
        <f>D66</f>
        <v>0</v>
      </c>
      <c r="AN50" s="826">
        <f>D67</f>
        <v>0</v>
      </c>
      <c r="AO50" s="826">
        <f>D68</f>
        <v>0</v>
      </c>
      <c r="AP50" s="826">
        <f>H67</f>
        <v>0</v>
      </c>
      <c r="AQ50" s="826" t="str">
        <f>J68&amp;" "&amp;K68</f>
        <v xml:space="preserve"> </v>
      </c>
      <c r="AR50" s="826" t="str">
        <f>L68&amp;" "&amp;M68</f>
        <v xml:space="preserve"> </v>
      </c>
      <c r="AS50" s="826" t="str">
        <f>N68&amp;" "&amp;O68</f>
        <v xml:space="preserve"> </v>
      </c>
      <c r="AT50" s="826" t="str">
        <f>P68&amp;" "&amp;Q68</f>
        <v xml:space="preserve"> </v>
      </c>
      <c r="AU50" s="826">
        <f t="shared" ref="AU50:BA50" si="2">K66</f>
        <v>0</v>
      </c>
      <c r="AV50" s="826">
        <f t="shared" si="2"/>
        <v>0</v>
      </c>
      <c r="AW50" s="826">
        <f t="shared" si="2"/>
        <v>0</v>
      </c>
      <c r="AX50" s="826">
        <f t="shared" si="2"/>
        <v>0</v>
      </c>
      <c r="AY50" s="826">
        <f t="shared" si="2"/>
        <v>0</v>
      </c>
      <c r="AZ50" s="826">
        <f t="shared" si="2"/>
        <v>0</v>
      </c>
      <c r="BA50" s="826">
        <f t="shared" si="2"/>
        <v>0</v>
      </c>
      <c r="BB50" s="826">
        <f>L67</f>
        <v>0</v>
      </c>
      <c r="BC50" s="826">
        <f>N67</f>
        <v>0</v>
      </c>
      <c r="BD50" s="826">
        <f>P67</f>
        <v>0</v>
      </c>
      <c r="BE50" s="530"/>
      <c r="BF50" s="530"/>
      <c r="BG50" s="530"/>
      <c r="BH50" s="530"/>
      <c r="BI50" s="530"/>
      <c r="BJ50" s="530"/>
      <c r="BK50" s="530"/>
      <c r="BL50" s="530"/>
      <c r="BM50" s="530"/>
      <c r="BN50" s="530"/>
      <c r="BO50" s="530"/>
      <c r="BP50" s="530"/>
      <c r="BQ50" s="530"/>
      <c r="BR50" s="530"/>
      <c r="BS50" s="530"/>
      <c r="BT50" s="530"/>
      <c r="BU50" s="530"/>
      <c r="BV50" s="530"/>
      <c r="BW50" s="530"/>
      <c r="BX50" s="530"/>
    </row>
    <row r="51" spans="1:76" ht="12" customHeight="1" thickBot="1">
      <c r="A51" s="1906"/>
      <c r="B51" s="879"/>
      <c r="C51" s="7330"/>
      <c r="D51" s="7332"/>
      <c r="E51" s="7381"/>
      <c r="F51" s="7382"/>
      <c r="G51" s="7383"/>
      <c r="I51" s="7411" t="str">
        <f>IF(IFERROR(VALUE(LEFT(N49,2)),0)+IFERROR(VALUE(LEFT(O49,2)),0)+IFERROR(VALUE(LEFT(P49,2)),0)+IFERROR(VALUE(LEFT(Q49,2)),0)&gt;3,"Exceso de bonos de transformación",IF($AQ$28=-1,"Sin poderes raciales",""))</f>
        <v/>
      </c>
      <c r="J51" s="7412"/>
      <c r="K51" s="7412"/>
      <c r="L51" s="7412"/>
      <c r="M51" s="7412"/>
      <c r="N51" s="7412"/>
      <c r="O51" s="7412"/>
      <c r="P51" s="7412"/>
      <c r="Q51" s="7413"/>
      <c r="R51" s="532"/>
      <c r="S51" s="1905"/>
      <c r="T51" s="1906"/>
      <c r="U51" s="879"/>
      <c r="V51" s="6304"/>
      <c r="W51" s="6305"/>
      <c r="X51" s="6305"/>
      <c r="Y51" s="6305"/>
      <c r="Z51" s="6305"/>
      <c r="AA51" s="6305"/>
      <c r="AB51" s="6305"/>
      <c r="AC51" s="6305"/>
      <c r="AD51" s="6305"/>
      <c r="AE51" s="6305"/>
      <c r="AF51" s="6305"/>
      <c r="AG51" s="6305"/>
      <c r="AH51" s="6305"/>
      <c r="AI51" s="6305"/>
      <c r="AJ51" s="7233"/>
      <c r="AK51" s="685"/>
      <c r="AL51" s="1919"/>
      <c r="AM51" s="826">
        <f>D70</f>
        <v>0</v>
      </c>
      <c r="AN51" s="826">
        <f>D71</f>
        <v>0</v>
      </c>
      <c r="AO51" s="826">
        <f>D72</f>
        <v>0</v>
      </c>
      <c r="AP51" s="826">
        <f>H71</f>
        <v>0</v>
      </c>
      <c r="AQ51" s="826" t="str">
        <f>J72&amp;" "&amp;K72</f>
        <v xml:space="preserve"> </v>
      </c>
      <c r="AR51" s="826" t="str">
        <f>L72&amp;" "&amp;M72</f>
        <v xml:space="preserve"> </v>
      </c>
      <c r="AS51" s="826" t="str">
        <f>N72&amp;" "&amp;O72</f>
        <v xml:space="preserve"> </v>
      </c>
      <c r="AT51" s="826" t="str">
        <f>P72&amp;" "&amp;Q72</f>
        <v xml:space="preserve"> </v>
      </c>
      <c r="AU51" s="826">
        <f t="shared" ref="AU51:BA51" si="3">K70</f>
        <v>0</v>
      </c>
      <c r="AV51" s="826">
        <f t="shared" si="3"/>
        <v>0</v>
      </c>
      <c r="AW51" s="826">
        <f t="shared" si="3"/>
        <v>0</v>
      </c>
      <c r="AX51" s="826">
        <f t="shared" si="3"/>
        <v>0</v>
      </c>
      <c r="AY51" s="826">
        <f t="shared" si="3"/>
        <v>0</v>
      </c>
      <c r="AZ51" s="826">
        <f t="shared" si="3"/>
        <v>0</v>
      </c>
      <c r="BA51" s="826">
        <f t="shared" si="3"/>
        <v>0</v>
      </c>
      <c r="BB51" s="826">
        <f>L71</f>
        <v>0</v>
      </c>
      <c r="BC51" s="826">
        <f>N71</f>
        <v>0</v>
      </c>
      <c r="BD51" s="826">
        <f>P71</f>
        <v>0</v>
      </c>
      <c r="BE51" s="530"/>
      <c r="BF51" s="530"/>
      <c r="BG51" s="530"/>
      <c r="BH51" s="530"/>
      <c r="BI51" s="530"/>
      <c r="BJ51" s="530"/>
      <c r="BK51" s="530"/>
      <c r="BL51" s="530"/>
      <c r="BM51" s="530"/>
      <c r="BN51" s="530"/>
      <c r="BO51" s="530"/>
      <c r="BP51" s="530"/>
      <c r="BQ51" s="530"/>
      <c r="BR51" s="530"/>
      <c r="BS51" s="530"/>
      <c r="BT51" s="530"/>
      <c r="BU51" s="530"/>
      <c r="BV51" s="530"/>
      <c r="BW51" s="530"/>
      <c r="BX51" s="530"/>
    </row>
    <row r="52" spans="1:76" ht="12" customHeight="1" thickBot="1">
      <c r="A52" s="1906"/>
      <c r="B52" s="879"/>
      <c r="C52" s="7375" t="s">
        <v>8023</v>
      </c>
      <c r="D52" s="7375"/>
      <c r="E52" s="7375" t="s">
        <v>1241</v>
      </c>
      <c r="F52" s="7375"/>
      <c r="G52" s="7375"/>
      <c r="J52" s="530" t="s">
        <v>8185</v>
      </c>
      <c r="R52" s="532"/>
      <c r="S52" s="1905"/>
      <c r="T52" s="1906"/>
      <c r="U52" s="879"/>
      <c r="AK52" s="685"/>
      <c r="AL52" s="1919"/>
      <c r="AM52" s="826">
        <f>D74</f>
        <v>0</v>
      </c>
      <c r="AN52" s="826">
        <f>D75</f>
        <v>0</v>
      </c>
      <c r="AO52" s="826">
        <f>D76</f>
        <v>0</v>
      </c>
      <c r="AP52" s="826">
        <f>H74</f>
        <v>0</v>
      </c>
      <c r="AQ52" s="826" t="str">
        <f>J76&amp;" "&amp;K76</f>
        <v xml:space="preserve"> </v>
      </c>
      <c r="AR52" s="826" t="str">
        <f>L76&amp;" "&amp;M76</f>
        <v xml:space="preserve"> </v>
      </c>
      <c r="AS52" s="826" t="str">
        <f>N76&amp;" "&amp;O76</f>
        <v xml:space="preserve"> </v>
      </c>
      <c r="AT52" s="826" t="str">
        <f>P76&amp;" "&amp;Q76</f>
        <v xml:space="preserve"> </v>
      </c>
      <c r="AU52" s="826">
        <f t="shared" ref="AU52:BA52" si="4">K74</f>
        <v>0</v>
      </c>
      <c r="AV52" s="826">
        <f t="shared" si="4"/>
        <v>0</v>
      </c>
      <c r="AW52" s="826">
        <f t="shared" si="4"/>
        <v>0</v>
      </c>
      <c r="AX52" s="826">
        <f t="shared" si="4"/>
        <v>0</v>
      </c>
      <c r="AY52" s="826">
        <f t="shared" si="4"/>
        <v>0</v>
      </c>
      <c r="AZ52" s="826">
        <f t="shared" si="4"/>
        <v>0</v>
      </c>
      <c r="BA52" s="826">
        <f t="shared" si="4"/>
        <v>0</v>
      </c>
      <c r="BB52" s="826">
        <f>L75</f>
        <v>0</v>
      </c>
      <c r="BC52" s="826">
        <f>N75</f>
        <v>0</v>
      </c>
      <c r="BD52" s="826">
        <f>P75</f>
        <v>0</v>
      </c>
      <c r="BE52" s="530"/>
      <c r="BF52" s="530"/>
      <c r="BG52" s="530"/>
      <c r="BH52" s="530"/>
      <c r="BI52" s="530"/>
      <c r="BJ52" s="530"/>
      <c r="BK52" s="530"/>
      <c r="BL52" s="530"/>
      <c r="BM52" s="530"/>
      <c r="BN52" s="530"/>
      <c r="BO52" s="530"/>
      <c r="BP52" s="530"/>
      <c r="BQ52" s="530"/>
      <c r="BR52" s="530"/>
      <c r="BS52" s="530"/>
      <c r="BT52" s="530"/>
      <c r="BU52" s="530"/>
      <c r="BV52" s="530"/>
      <c r="BW52" s="530"/>
      <c r="BX52" s="530"/>
    </row>
    <row r="53" spans="1:76" ht="12" customHeight="1" thickBot="1">
      <c r="A53" s="1906"/>
      <c r="B53" s="879"/>
      <c r="R53" s="532"/>
      <c r="S53" s="1905"/>
      <c r="T53" s="1906"/>
      <c r="U53" s="879"/>
      <c r="V53" s="4372" t="s">
        <v>1685</v>
      </c>
      <c r="W53" s="4372"/>
      <c r="X53" s="4372"/>
      <c r="Y53" s="4372"/>
      <c r="Z53" s="4372"/>
      <c r="AA53" s="4372"/>
      <c r="AB53" s="4372"/>
      <c r="AC53" s="4372"/>
      <c r="AE53" s="4338" t="s">
        <v>1686</v>
      </c>
      <c r="AF53" s="4340"/>
      <c r="AG53" s="4340"/>
      <c r="AH53" s="4340"/>
      <c r="AI53" s="4340"/>
      <c r="AJ53" s="4339"/>
      <c r="AK53" s="685"/>
      <c r="AL53" s="1919"/>
      <c r="AN53" s="7274"/>
      <c r="AO53" s="7274"/>
      <c r="AP53" s="7274"/>
      <c r="AS53" s="3662"/>
      <c r="AT53" s="3662"/>
      <c r="AU53" s="3662"/>
      <c r="AV53" s="530"/>
      <c r="AW53" s="530"/>
      <c r="AX53" s="530"/>
      <c r="AY53" s="530"/>
      <c r="AZ53" s="530"/>
      <c r="BA53" s="530"/>
      <c r="BB53" s="530"/>
      <c r="BC53" s="530"/>
      <c r="BD53" s="530"/>
      <c r="BE53" s="530"/>
      <c r="BF53" s="530"/>
      <c r="BG53" s="530"/>
      <c r="BH53" s="530"/>
      <c r="BI53" s="530"/>
      <c r="BJ53" s="530"/>
      <c r="BK53" s="530"/>
      <c r="BL53" s="530"/>
      <c r="BM53" s="530"/>
      <c r="BN53" s="530"/>
      <c r="BO53" s="530"/>
      <c r="BP53" s="530"/>
      <c r="BQ53" s="530"/>
      <c r="BR53" s="530"/>
      <c r="BS53" s="530"/>
      <c r="BT53" s="530"/>
      <c r="BU53" s="530"/>
      <c r="BV53" s="530"/>
      <c r="BW53" s="530"/>
      <c r="BX53" s="530"/>
    </row>
    <row r="54" spans="1:76" ht="12" customHeight="1">
      <c r="A54" s="1906"/>
      <c r="B54" s="879"/>
      <c r="C54" s="6301" t="s">
        <v>9104</v>
      </c>
      <c r="D54" s="6302"/>
      <c r="E54" s="6302"/>
      <c r="F54" s="6302"/>
      <c r="G54" s="6302"/>
      <c r="H54" s="6302"/>
      <c r="I54" s="6302"/>
      <c r="J54" s="6302"/>
      <c r="K54" s="6302"/>
      <c r="L54" s="6302"/>
      <c r="M54" s="6302"/>
      <c r="N54" s="6302"/>
      <c r="O54" s="6302"/>
      <c r="P54" s="6302"/>
      <c r="Q54" s="7232"/>
      <c r="R54" s="532"/>
      <c r="S54" s="1905"/>
      <c r="T54" s="1906"/>
      <c r="U54" s="879"/>
      <c r="V54" s="6326" t="s">
        <v>1300</v>
      </c>
      <c r="W54" s="6326"/>
      <c r="X54" s="6326"/>
      <c r="Y54" s="6326"/>
      <c r="Z54" s="6326"/>
      <c r="AA54" s="6326"/>
      <c r="AB54" s="626" t="s">
        <v>1572</v>
      </c>
      <c r="AC54" s="16" t="s">
        <v>1368</v>
      </c>
      <c r="AE54" s="1283" t="s">
        <v>1492</v>
      </c>
      <c r="AF54" s="7656" t="s">
        <v>1548</v>
      </c>
      <c r="AG54" s="5472"/>
      <c r="AH54" s="5472"/>
      <c r="AI54" s="5472"/>
      <c r="AJ54" s="1284" t="s">
        <v>1262</v>
      </c>
      <c r="AK54" s="685"/>
      <c r="AL54" s="1919"/>
      <c r="AN54" s="2335"/>
      <c r="AO54" s="2335"/>
      <c r="AP54" s="2335"/>
      <c r="AS54" s="3662"/>
      <c r="AT54" s="3662"/>
      <c r="AU54" s="3662"/>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row>
    <row r="55" spans="1:76" ht="12" customHeight="1" thickBot="1">
      <c r="A55" s="1906"/>
      <c r="B55" s="879"/>
      <c r="C55" s="6304"/>
      <c r="D55" s="6305"/>
      <c r="E55" s="6305"/>
      <c r="F55" s="6305"/>
      <c r="G55" s="6305"/>
      <c r="H55" s="6305"/>
      <c r="I55" s="6305"/>
      <c r="J55" s="6305"/>
      <c r="K55" s="6305"/>
      <c r="L55" s="6305"/>
      <c r="M55" s="6305"/>
      <c r="N55" s="6305"/>
      <c r="O55" s="6305"/>
      <c r="P55" s="6305"/>
      <c r="Q55" s="7233"/>
      <c r="R55" s="532"/>
      <c r="S55" s="1905"/>
      <c r="T55" s="1906"/>
      <c r="U55" s="879"/>
      <c r="V55" s="7657"/>
      <c r="W55" s="7657"/>
      <c r="X55" s="7657"/>
      <c r="Y55" s="7657"/>
      <c r="Z55" s="7657"/>
      <c r="AA55" s="7657"/>
      <c r="AB55" s="1340"/>
      <c r="AC55" s="1894"/>
      <c r="AE55" s="1285">
        <f>IF(Metamagia!X15=1,30,0)</f>
        <v>0</v>
      </c>
      <c r="AF55" s="6319"/>
      <c r="AG55" s="6320"/>
      <c r="AH55" s="6320"/>
      <c r="AI55" s="6321"/>
      <c r="AJ55" s="498" t="str">
        <f>IF(AF55=0,"",VLOOKUP(AF55,'Tablas Magia'!$D$6:$Z$680,3,FALSE))</f>
        <v/>
      </c>
      <c r="AK55" s="685"/>
      <c r="AL55" s="1919"/>
      <c r="AN55" s="2335"/>
      <c r="AO55" s="2335"/>
      <c r="AP55" s="2335"/>
      <c r="AS55" s="3662"/>
      <c r="AT55" s="3662"/>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row>
    <row r="56" spans="1:76" ht="12" customHeight="1" thickBot="1">
      <c r="A56" s="1906"/>
      <c r="B56" s="879"/>
      <c r="R56" s="532"/>
      <c r="S56" s="1905"/>
      <c r="T56" s="1906"/>
      <c r="U56" s="879"/>
      <c r="V56" s="7130"/>
      <c r="W56" s="7130"/>
      <c r="X56" s="7130"/>
      <c r="Y56" s="7130"/>
      <c r="Z56" s="7130"/>
      <c r="AA56" s="7130"/>
      <c r="AB56" s="1500"/>
      <c r="AC56" s="1895"/>
      <c r="AE56" s="1286">
        <f>IF(Metamagia!AD15=1,30,0)</f>
        <v>0</v>
      </c>
      <c r="AF56" s="7281"/>
      <c r="AG56" s="7282"/>
      <c r="AH56" s="7282"/>
      <c r="AI56" s="7283"/>
      <c r="AJ56" s="1287" t="str">
        <f>IF(AF56=0,"",VLOOKUP(AF56,'Tablas Magia'!$D$6:$Z$680,3,FALSE))</f>
        <v/>
      </c>
      <c r="AK56" s="685"/>
      <c r="AL56" s="1919"/>
      <c r="AV56" s="530"/>
      <c r="AW56" s="530"/>
      <c r="AX56" s="530"/>
      <c r="AY56" s="530"/>
      <c r="AZ56" s="530"/>
      <c r="BA56" s="530"/>
      <c r="BB56" s="530"/>
      <c r="BC56" s="530"/>
      <c r="BD56" s="530"/>
      <c r="BE56" s="530"/>
      <c r="BF56" s="530"/>
      <c r="BG56" s="530"/>
      <c r="BH56" s="530"/>
      <c r="BI56" s="530"/>
      <c r="BJ56" s="530"/>
      <c r="BK56" s="530"/>
      <c r="BL56" s="530"/>
      <c r="BM56" s="530"/>
      <c r="BN56" s="530"/>
      <c r="BO56" s="530"/>
      <c r="BP56" s="530"/>
      <c r="BQ56" s="530"/>
      <c r="BR56" s="530"/>
      <c r="BS56" s="530"/>
      <c r="BT56" s="530"/>
      <c r="BU56" s="530"/>
      <c r="BV56" s="530"/>
      <c r="BW56" s="530"/>
      <c r="BX56" s="530"/>
    </row>
    <row r="57" spans="1:76" ht="12" customHeight="1" thickBot="1">
      <c r="A57" s="1906"/>
      <c r="B57" s="879"/>
      <c r="C57" s="4422" t="s">
        <v>9108</v>
      </c>
      <c r="D57" s="4423"/>
      <c r="E57" s="4423"/>
      <c r="F57" s="4423"/>
      <c r="G57" s="4423"/>
      <c r="H57" s="4423"/>
      <c r="I57" s="4423"/>
      <c r="J57" s="7308"/>
      <c r="K57" s="1889" t="s">
        <v>8374</v>
      </c>
      <c r="L57" s="1889" t="s">
        <v>1696</v>
      </c>
      <c r="M57" s="1889" t="s">
        <v>1359</v>
      </c>
      <c r="N57" s="1889" t="s">
        <v>9105</v>
      </c>
      <c r="O57" s="1889" t="s">
        <v>2667</v>
      </c>
      <c r="P57" s="1889" t="s">
        <v>2668</v>
      </c>
      <c r="Q57" s="1892" t="s">
        <v>2659</v>
      </c>
      <c r="R57" s="532"/>
      <c r="S57" s="1905"/>
      <c r="T57" s="1906"/>
      <c r="U57" s="879"/>
      <c r="V57" s="6429"/>
      <c r="W57" s="6429"/>
      <c r="X57" s="6429"/>
      <c r="Y57" s="6429"/>
      <c r="Z57" s="6429"/>
      <c r="AA57" s="6429"/>
      <c r="AB57" s="1340"/>
      <c r="AC57" s="1894"/>
      <c r="AE57" s="1288">
        <f>IF(Metamagia!R29=1,50,0)</f>
        <v>0</v>
      </c>
      <c r="AF57" s="6316"/>
      <c r="AG57" s="6317"/>
      <c r="AH57" s="6317"/>
      <c r="AI57" s="6318"/>
      <c r="AJ57" s="498" t="str">
        <f>IF(AF57=0,"",VLOOKUP(AF57,'Tablas Magia'!$D$6:$Z$680,3,FALSE))</f>
        <v/>
      </c>
      <c r="AK57" s="685"/>
      <c r="AL57" s="1919"/>
      <c r="AN57" s="530" t="s">
        <v>9672</v>
      </c>
      <c r="AV57" s="530"/>
      <c r="AW57" s="530"/>
      <c r="AX57" s="530"/>
      <c r="AY57" s="530"/>
      <c r="AZ57" s="530"/>
      <c r="BA57" s="530"/>
      <c r="BB57" s="530"/>
      <c r="BC57" s="530"/>
      <c r="BD57" s="530"/>
      <c r="BE57" s="530"/>
      <c r="BF57" s="530"/>
      <c r="BG57" s="530"/>
      <c r="BH57" s="530"/>
      <c r="BI57" s="530"/>
      <c r="BJ57" s="530"/>
      <c r="BK57" s="530"/>
      <c r="BL57" s="530"/>
      <c r="BM57" s="530"/>
      <c r="BN57" s="530"/>
      <c r="BO57" s="530"/>
      <c r="BP57" s="530"/>
      <c r="BQ57" s="530"/>
      <c r="BR57" s="530"/>
      <c r="BS57" s="530"/>
      <c r="BT57" s="530"/>
      <c r="BU57" s="530"/>
      <c r="BV57" s="530"/>
      <c r="BW57" s="530"/>
      <c r="BX57" s="530"/>
    </row>
    <row r="58" spans="1:76" ht="12" customHeight="1">
      <c r="A58" s="1906"/>
      <c r="B58" s="879"/>
      <c r="C58" s="1875" t="s">
        <v>9106</v>
      </c>
      <c r="D58" s="7240"/>
      <c r="E58" s="7241"/>
      <c r="F58" s="7241"/>
      <c r="G58" s="7241"/>
      <c r="H58" s="7241"/>
      <c r="I58" s="7241"/>
      <c r="J58" s="7242"/>
      <c r="K58" s="2192"/>
      <c r="L58" s="2183"/>
      <c r="M58" s="1877"/>
      <c r="N58" s="2192"/>
      <c r="O58" s="2183"/>
      <c r="P58" s="2183"/>
      <c r="Q58" s="1878"/>
      <c r="R58" s="532"/>
      <c r="S58" s="1905"/>
      <c r="T58" s="1906"/>
      <c r="U58" s="879"/>
      <c r="V58" s="7130"/>
      <c r="W58" s="7130"/>
      <c r="X58" s="7130"/>
      <c r="Y58" s="7130"/>
      <c r="Z58" s="7130"/>
      <c r="AA58" s="7130"/>
      <c r="AB58" s="1500"/>
      <c r="AC58" s="1895"/>
      <c r="AE58" s="795">
        <f>IF(Metamagia!AG24=1,60,0)</f>
        <v>0</v>
      </c>
      <c r="AF58" s="7281"/>
      <c r="AG58" s="7282"/>
      <c r="AH58" s="7282"/>
      <c r="AI58" s="7283"/>
      <c r="AJ58" s="1287" t="str">
        <f>IF(AF58=0,"",VLOOKUP(AF58,'Tablas Magia'!$D$6:$Z$680,3,FALSE))</f>
        <v/>
      </c>
      <c r="AK58" s="685"/>
      <c r="AL58" s="1259"/>
      <c r="AN58" s="530" t="s">
        <v>1300</v>
      </c>
      <c r="AO58" s="530" t="s">
        <v>2097</v>
      </c>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row>
    <row r="59" spans="1:76" ht="12" customHeight="1">
      <c r="A59" s="1906"/>
      <c r="B59" s="879"/>
      <c r="C59" s="1874" t="s">
        <v>1690</v>
      </c>
      <c r="D59" s="7243"/>
      <c r="E59" s="7244"/>
      <c r="F59" s="7245" t="s">
        <v>9107</v>
      </c>
      <c r="G59" s="7246"/>
      <c r="H59" s="1877"/>
      <c r="I59" s="1876"/>
      <c r="J59" s="1876"/>
      <c r="K59" s="2184" t="s">
        <v>8364</v>
      </c>
      <c r="L59" s="7247"/>
      <c r="M59" s="7248"/>
      <c r="N59" s="7247"/>
      <c r="O59" s="7248"/>
      <c r="P59" s="7247"/>
      <c r="Q59" s="7249"/>
      <c r="R59" s="532"/>
      <c r="S59" s="1905"/>
      <c r="T59" s="1906"/>
      <c r="U59" s="879"/>
      <c r="V59" s="6429"/>
      <c r="W59" s="6429"/>
      <c r="X59" s="6429"/>
      <c r="Y59" s="6429"/>
      <c r="Z59" s="6429"/>
      <c r="AA59" s="6429"/>
      <c r="AB59" s="1340"/>
      <c r="AC59" s="1894"/>
      <c r="AE59" s="1288">
        <f>IF(Metamagia!X24=1,60,0)</f>
        <v>0</v>
      </c>
      <c r="AF59" s="6316"/>
      <c r="AG59" s="6317"/>
      <c r="AH59" s="6317"/>
      <c r="AI59" s="6318"/>
      <c r="AJ59" s="498" t="str">
        <f>IF(AF59=0,"",VLOOKUP(AF59,'Tablas Magia'!$D$6:$Z$680,3,FALSE))</f>
        <v/>
      </c>
      <c r="AK59" s="685"/>
      <c r="AL59" s="1259"/>
      <c r="AN59" s="530" t="s">
        <v>9673</v>
      </c>
      <c r="AO59" s="530">
        <f>COUNTIF($AC$63:$AJ$63,AN59)</f>
        <v>0</v>
      </c>
      <c r="AV59" s="530"/>
      <c r="AW59" s="530"/>
      <c r="AX59" s="530"/>
      <c r="AY59" s="530"/>
      <c r="AZ59" s="530"/>
      <c r="BA59" s="530"/>
      <c r="BB59" s="530"/>
      <c r="BC59" s="530"/>
      <c r="BD59" s="530"/>
      <c r="BE59" s="530"/>
      <c r="BF59" s="530"/>
      <c r="BG59" s="530"/>
      <c r="BH59" s="530"/>
      <c r="BI59" s="530"/>
      <c r="BJ59" s="530"/>
      <c r="BK59" s="530"/>
      <c r="BL59" s="530"/>
      <c r="BM59" s="530"/>
      <c r="BN59" s="530"/>
      <c r="BO59" s="530"/>
      <c r="BP59" s="530"/>
      <c r="BQ59" s="530"/>
      <c r="BR59" s="530"/>
      <c r="BS59" s="530"/>
      <c r="BT59" s="530"/>
      <c r="BU59" s="530"/>
      <c r="BV59" s="530"/>
      <c r="BW59" s="530"/>
      <c r="BX59" s="530"/>
    </row>
    <row r="60" spans="1:76" ht="12" customHeight="1" thickBot="1">
      <c r="A60" s="1906"/>
      <c r="B60" s="879"/>
      <c r="C60" s="2182" t="s">
        <v>1223</v>
      </c>
      <c r="D60" s="7250"/>
      <c r="E60" s="7251"/>
      <c r="F60" s="7252" t="s">
        <v>9109</v>
      </c>
      <c r="G60" s="7253"/>
      <c r="H60" s="7253"/>
      <c r="I60" s="7254"/>
      <c r="J60" s="1879"/>
      <c r="K60" s="1926"/>
      <c r="L60" s="1879"/>
      <c r="M60" s="1926"/>
      <c r="N60" s="1879"/>
      <c r="O60" s="1879"/>
      <c r="P60" s="1879"/>
      <c r="Q60" s="1880"/>
      <c r="R60" s="532"/>
      <c r="S60" s="1905"/>
      <c r="T60" s="1906"/>
      <c r="U60" s="879"/>
      <c r="V60" s="7130"/>
      <c r="W60" s="7130"/>
      <c r="X60" s="7130"/>
      <c r="Y60" s="7130"/>
      <c r="Z60" s="7130"/>
      <c r="AA60" s="7130"/>
      <c r="AB60" s="1500"/>
      <c r="AC60" s="1895"/>
      <c r="AE60" s="795">
        <f>IF(Metamagia!AG39=1,70,0)</f>
        <v>0</v>
      </c>
      <c r="AF60" s="7281"/>
      <c r="AG60" s="7282"/>
      <c r="AH60" s="7282"/>
      <c r="AI60" s="7283"/>
      <c r="AJ60" s="1287" t="str">
        <f>IF(AF60=0,"",VLOOKUP(AF60,'Tablas Magia'!$D$6:$Z$680,3,FALSE))</f>
        <v/>
      </c>
      <c r="AK60" s="685"/>
      <c r="AL60" s="1259"/>
      <c r="AN60" s="530" t="s">
        <v>1594</v>
      </c>
      <c r="AO60" s="530">
        <f>COUNTIF($AC$63:$AJ$63,AN60)</f>
        <v>0</v>
      </c>
      <c r="AV60" s="530"/>
      <c r="AW60" s="530"/>
      <c r="AX60" s="530"/>
      <c r="AY60" s="530"/>
      <c r="AZ60" s="530"/>
      <c r="BA60" s="530"/>
      <c r="BB60" s="530"/>
      <c r="BC60" s="530"/>
      <c r="BD60" s="530"/>
      <c r="BE60" s="530"/>
      <c r="BF60" s="530"/>
      <c r="BG60" s="530"/>
      <c r="BH60" s="530"/>
      <c r="BI60" s="530"/>
      <c r="BJ60" s="530"/>
      <c r="BK60" s="530"/>
      <c r="BL60" s="530"/>
      <c r="BM60" s="530"/>
      <c r="BN60" s="530"/>
      <c r="BO60" s="530"/>
      <c r="BP60" s="530"/>
      <c r="BQ60" s="530"/>
      <c r="BR60" s="530"/>
      <c r="BS60" s="530"/>
      <c r="BT60" s="530"/>
      <c r="BU60" s="530"/>
      <c r="BV60" s="530"/>
      <c r="BW60" s="530"/>
      <c r="BX60" s="530"/>
    </row>
    <row r="61" spans="1:76" ht="12" customHeight="1" thickBot="1">
      <c r="A61" s="1906"/>
      <c r="B61" s="879"/>
      <c r="C61" s="4422" t="s">
        <v>9112</v>
      </c>
      <c r="D61" s="4423"/>
      <c r="E61" s="4423"/>
      <c r="F61" s="4423"/>
      <c r="G61" s="4423"/>
      <c r="H61" s="4423"/>
      <c r="I61" s="4423"/>
      <c r="J61" s="7308"/>
      <c r="K61" s="1889" t="s">
        <v>8374</v>
      </c>
      <c r="L61" s="1889" t="s">
        <v>1696</v>
      </c>
      <c r="M61" s="1889" t="s">
        <v>1359</v>
      </c>
      <c r="N61" s="1889" t="s">
        <v>9105</v>
      </c>
      <c r="O61" s="1889" t="s">
        <v>2667</v>
      </c>
      <c r="P61" s="1889" t="s">
        <v>2668</v>
      </c>
      <c r="Q61" s="1892" t="s">
        <v>2659</v>
      </c>
      <c r="R61" s="532"/>
      <c r="S61" s="1905"/>
      <c r="T61" s="1906"/>
      <c r="U61" s="879"/>
      <c r="V61" s="7365"/>
      <c r="W61" s="7365"/>
      <c r="X61" s="7365"/>
      <c r="Y61" s="7365"/>
      <c r="Z61" s="7365"/>
      <c r="AA61" s="7365"/>
      <c r="AB61" s="1945"/>
      <c r="AC61" s="1499"/>
      <c r="AE61" s="1289">
        <f>IF(Metamagia!AA29=1,80,0)</f>
        <v>0</v>
      </c>
      <c r="AF61" s="7366"/>
      <c r="AG61" s="6431"/>
      <c r="AH61" s="6431"/>
      <c r="AI61" s="6432"/>
      <c r="AJ61" s="627" t="str">
        <f>IF(AF61=0,"",VLOOKUP(AF61,'Tablas Magia'!$D$6:$Z$680,3,FALSE))</f>
        <v/>
      </c>
      <c r="AK61" s="685"/>
      <c r="AL61" s="1259"/>
      <c r="AN61" s="530" t="s">
        <v>9674</v>
      </c>
      <c r="AO61" s="530">
        <f>COUNTIF($AC$63:$AJ$63,AN61)</f>
        <v>0</v>
      </c>
      <c r="AV61" s="530"/>
      <c r="AW61" s="530"/>
      <c r="AX61" s="530"/>
      <c r="AY61" s="530"/>
      <c r="AZ61" s="530"/>
      <c r="BA61" s="530"/>
      <c r="BB61" s="530"/>
      <c r="BC61" s="530"/>
      <c r="BD61" s="530"/>
      <c r="BE61" s="530"/>
      <c r="BF61" s="530"/>
      <c r="BG61" s="530"/>
      <c r="BH61" s="530"/>
      <c r="BI61" s="530"/>
      <c r="BJ61" s="530"/>
      <c r="BK61" s="530"/>
      <c r="BL61" s="530"/>
      <c r="BM61" s="530"/>
      <c r="BN61" s="530"/>
      <c r="BO61" s="530"/>
      <c r="BP61" s="530"/>
      <c r="BQ61" s="530"/>
      <c r="BR61" s="530"/>
      <c r="BS61" s="530"/>
      <c r="BT61" s="530"/>
      <c r="BU61" s="530"/>
      <c r="BV61" s="530"/>
      <c r="BW61" s="530"/>
      <c r="BX61" s="530"/>
    </row>
    <row r="62" spans="1:76" ht="12" customHeight="1" thickBot="1">
      <c r="A62" s="1906"/>
      <c r="B62" s="879"/>
      <c r="C62" s="1875" t="s">
        <v>9106</v>
      </c>
      <c r="D62" s="7240"/>
      <c r="E62" s="7241"/>
      <c r="F62" s="7241"/>
      <c r="G62" s="7241"/>
      <c r="H62" s="7241"/>
      <c r="I62" s="7241"/>
      <c r="J62" s="7242"/>
      <c r="K62" s="2192"/>
      <c r="L62" s="2183"/>
      <c r="M62" s="1877"/>
      <c r="N62" s="2192"/>
      <c r="O62" s="2183"/>
      <c r="P62" s="2183"/>
      <c r="Q62" s="1878"/>
      <c r="R62" s="532"/>
      <c r="S62" s="1905"/>
      <c r="T62" s="1906"/>
      <c r="U62" s="879"/>
      <c r="AK62" s="685"/>
      <c r="AL62" s="1259"/>
      <c r="AN62" s="530" t="s">
        <v>9675</v>
      </c>
      <c r="AO62" s="530">
        <f>COUNTIF($AC$63:$AJ$63,AN62)</f>
        <v>0</v>
      </c>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row>
    <row r="63" spans="1:76" ht="12" customHeight="1" thickBot="1">
      <c r="A63" s="1906"/>
      <c r="B63" s="879"/>
      <c r="C63" s="1874" t="s">
        <v>1690</v>
      </c>
      <c r="D63" s="7243"/>
      <c r="E63" s="7244"/>
      <c r="F63" s="7245" t="s">
        <v>9107</v>
      </c>
      <c r="G63" s="7246"/>
      <c r="H63" s="1877"/>
      <c r="I63" s="1876"/>
      <c r="J63" s="1876"/>
      <c r="K63" s="2184" t="s">
        <v>8364</v>
      </c>
      <c r="L63" s="7247"/>
      <c r="M63" s="7248"/>
      <c r="N63" s="7247"/>
      <c r="O63" s="7248"/>
      <c r="P63" s="7247"/>
      <c r="Q63" s="7249"/>
      <c r="R63" s="532"/>
      <c r="S63" s="1905"/>
      <c r="T63" s="1906"/>
      <c r="U63" s="4221"/>
      <c r="V63" s="4422" t="s">
        <v>9678</v>
      </c>
      <c r="W63" s="4423"/>
      <c r="X63" s="4423"/>
      <c r="Y63" s="4423"/>
      <c r="Z63" s="4423"/>
      <c r="AA63" s="7295"/>
      <c r="AB63" s="2516" t="s">
        <v>1241</v>
      </c>
      <c r="AC63" s="5744"/>
      <c r="AD63" s="7367"/>
      <c r="AE63" s="7367"/>
      <c r="AF63" s="7368"/>
      <c r="AG63" s="5744"/>
      <c r="AH63" s="7367"/>
      <c r="AI63" s="7367"/>
      <c r="AJ63" s="5758"/>
      <c r="AK63" s="4220"/>
      <c r="AL63" s="1259"/>
      <c r="AN63" s="530" t="s">
        <v>9676</v>
      </c>
      <c r="AO63" s="530">
        <f>COUNTIF($AC$63:$AJ$63,AN63)</f>
        <v>0</v>
      </c>
      <c r="AV63" s="530"/>
      <c r="AW63" s="530"/>
      <c r="AX63" s="530"/>
      <c r="AY63" s="530"/>
      <c r="AZ63" s="530"/>
      <c r="BA63" s="530"/>
      <c r="BB63" s="530"/>
      <c r="BC63" s="530"/>
      <c r="BD63" s="530"/>
      <c r="BE63" s="530"/>
      <c r="BF63" s="530"/>
      <c r="BG63" s="530"/>
      <c r="BH63" s="530"/>
      <c r="BI63" s="530"/>
      <c r="BJ63" s="530"/>
      <c r="BK63" s="530"/>
      <c r="BL63" s="530"/>
      <c r="BM63" s="530"/>
      <c r="BN63" s="530"/>
      <c r="BO63" s="530"/>
      <c r="BP63" s="530"/>
      <c r="BQ63" s="530"/>
      <c r="BR63" s="530"/>
      <c r="BS63" s="530"/>
      <c r="BT63" s="530"/>
      <c r="BU63" s="530"/>
      <c r="BV63" s="530"/>
      <c r="BW63" s="530"/>
      <c r="BX63" s="530"/>
    </row>
    <row r="64" spans="1:76" ht="12" customHeight="1" thickBot="1">
      <c r="A64" s="1906"/>
      <c r="B64" s="879"/>
      <c r="C64" s="2182" t="s">
        <v>1223</v>
      </c>
      <c r="D64" s="7250"/>
      <c r="E64" s="7251"/>
      <c r="F64" s="7252" t="s">
        <v>9109</v>
      </c>
      <c r="G64" s="7253"/>
      <c r="H64" s="7253"/>
      <c r="I64" s="7254"/>
      <c r="J64" s="1879"/>
      <c r="K64" s="1879"/>
      <c r="L64" s="1879"/>
      <c r="M64" s="1879"/>
      <c r="N64" s="1879"/>
      <c r="O64" s="1879"/>
      <c r="P64" s="1879"/>
      <c r="Q64" s="1880"/>
      <c r="R64" s="532"/>
      <c r="S64" s="1905"/>
      <c r="T64" s="1906"/>
      <c r="U64" s="4221"/>
      <c r="V64" s="4219"/>
      <c r="W64" s="4219"/>
      <c r="X64" s="4219"/>
      <c r="Y64" s="4219"/>
      <c r="Z64" s="4219"/>
      <c r="AA64" s="4219"/>
      <c r="AB64" s="4219"/>
      <c r="AC64" s="4219"/>
      <c r="AD64" s="4219"/>
      <c r="AE64" s="4219"/>
      <c r="AF64" s="4219"/>
      <c r="AG64" s="4219"/>
      <c r="AH64" s="4219"/>
      <c r="AI64" s="4219"/>
      <c r="AJ64" s="4219"/>
      <c r="AK64" s="4220"/>
      <c r="AL64" s="1259"/>
      <c r="AN64" s="530" t="str">
        <f>IF(COUNTIF($AC$63:$AJ$63,"*"),"Dones demoníacos: ","")&amp;IF($AC$63&lt;&gt;"",$AC$63&amp;", ","")&amp;IF($AG$63&lt;&gt;"",$AG$63&amp;", ","")</f>
        <v/>
      </c>
      <c r="AV64" s="530"/>
      <c r="AW64" s="530"/>
      <c r="AX64" s="530"/>
      <c r="AY64" s="530"/>
      <c r="AZ64" s="530"/>
      <c r="BA64" s="530"/>
      <c r="BB64" s="530"/>
      <c r="BC64" s="530"/>
      <c r="BD64" s="530"/>
      <c r="BE64" s="530"/>
      <c r="BF64" s="530"/>
      <c r="BG64" s="530"/>
      <c r="BH64" s="530"/>
      <c r="BI64" s="530"/>
      <c r="BJ64" s="530"/>
      <c r="BK64" s="530"/>
      <c r="BL64" s="530"/>
      <c r="BM64" s="530"/>
      <c r="BN64" s="530"/>
      <c r="BO64" s="530"/>
      <c r="BP64" s="530"/>
      <c r="BQ64" s="530"/>
      <c r="BR64" s="530"/>
      <c r="BS64" s="530"/>
      <c r="BT64" s="530"/>
      <c r="BU64" s="530"/>
      <c r="BV64" s="530"/>
      <c r="BW64" s="530"/>
      <c r="BX64" s="530"/>
    </row>
    <row r="65" spans="1:76" ht="12" customHeight="1" thickBot="1">
      <c r="A65" s="1906"/>
      <c r="B65" s="879"/>
      <c r="C65" s="4422" t="s">
        <v>9113</v>
      </c>
      <c r="D65" s="4423"/>
      <c r="E65" s="4423"/>
      <c r="F65" s="4423"/>
      <c r="G65" s="4423"/>
      <c r="H65" s="4423"/>
      <c r="I65" s="4423"/>
      <c r="J65" s="7308"/>
      <c r="K65" s="1889" t="s">
        <v>8374</v>
      </c>
      <c r="L65" s="1889" t="s">
        <v>1696</v>
      </c>
      <c r="M65" s="1889" t="s">
        <v>1359</v>
      </c>
      <c r="N65" s="1889" t="s">
        <v>9105</v>
      </c>
      <c r="O65" s="1889" t="s">
        <v>2667</v>
      </c>
      <c r="P65" s="1889" t="s">
        <v>2668</v>
      </c>
      <c r="Q65" s="1892" t="s">
        <v>2659</v>
      </c>
      <c r="R65" s="532"/>
      <c r="S65" s="1905"/>
      <c r="T65" s="1906"/>
      <c r="U65" s="4221"/>
      <c r="V65" s="7292" t="s">
        <v>1694</v>
      </c>
      <c r="W65" s="6631" t="s">
        <v>1695</v>
      </c>
      <c r="X65" s="6631"/>
      <c r="Y65" s="6631"/>
      <c r="Z65" s="6631"/>
      <c r="AA65" s="6631"/>
      <c r="AB65" s="40" t="s">
        <v>1349</v>
      </c>
      <c r="AC65" s="83" t="s">
        <v>1696</v>
      </c>
      <c r="AD65" s="6520" t="s">
        <v>1408</v>
      </c>
      <c r="AE65" s="6520"/>
      <c r="AF65" s="6520"/>
      <c r="AG65" s="6520"/>
      <c r="AH65" s="6520"/>
      <c r="AI65" s="6520"/>
      <c r="AJ65" s="6520"/>
      <c r="AK65" s="3694" t="s">
        <v>1241</v>
      </c>
      <c r="AL65" s="1259"/>
      <c r="AV65" s="530"/>
      <c r="AW65" s="530"/>
      <c r="AX65" s="530"/>
      <c r="AY65" s="530"/>
      <c r="AZ65" s="530"/>
      <c r="BA65" s="530"/>
      <c r="BB65" s="530"/>
      <c r="BC65" s="530"/>
      <c r="BD65" s="530"/>
      <c r="BE65" s="530"/>
      <c r="BF65" s="530"/>
      <c r="BG65" s="530"/>
      <c r="BH65" s="530"/>
      <c r="BI65" s="530"/>
      <c r="BJ65" s="530"/>
      <c r="BK65" s="530"/>
      <c r="BL65" s="530"/>
      <c r="BM65" s="530"/>
      <c r="BN65" s="530"/>
      <c r="BO65" s="530"/>
      <c r="BP65" s="530"/>
      <c r="BQ65" s="530"/>
      <c r="BR65" s="530"/>
      <c r="BS65" s="530"/>
      <c r="BT65" s="530"/>
      <c r="BU65" s="530"/>
      <c r="BV65" s="530"/>
      <c r="BW65" s="530"/>
      <c r="BX65" s="530"/>
    </row>
    <row r="66" spans="1:76" ht="12" customHeight="1">
      <c r="A66" s="1906"/>
      <c r="B66" s="879"/>
      <c r="C66" s="1875" t="s">
        <v>9106</v>
      </c>
      <c r="D66" s="7240"/>
      <c r="E66" s="7241"/>
      <c r="F66" s="7241"/>
      <c r="G66" s="7241"/>
      <c r="H66" s="7241"/>
      <c r="I66" s="7241"/>
      <c r="J66" s="7242"/>
      <c r="K66" s="2192"/>
      <c r="L66" s="2183"/>
      <c r="M66" s="1877"/>
      <c r="N66" s="2192"/>
      <c r="O66" s="2183"/>
      <c r="P66" s="2183"/>
      <c r="Q66" s="1878"/>
      <c r="R66" s="532"/>
      <c r="S66" s="1905"/>
      <c r="T66" s="1906"/>
      <c r="U66" s="4221"/>
      <c r="V66" s="7293"/>
      <c r="W66" s="7287"/>
      <c r="X66" s="7287"/>
      <c r="Y66" s="7287"/>
      <c r="Z66" s="7287"/>
      <c r="AA66" s="7287"/>
      <c r="AB66" s="1493"/>
      <c r="AC66" s="1493"/>
      <c r="AD66" s="7288"/>
      <c r="AE66" s="7288"/>
      <c r="AF66" s="7288"/>
      <c r="AG66" s="7288"/>
      <c r="AH66" s="7288"/>
      <c r="AI66" s="7288"/>
      <c r="AJ66" s="7288"/>
      <c r="AK66" s="3694"/>
      <c r="AL66" s="1259"/>
      <c r="AV66" s="530"/>
      <c r="AW66" s="530"/>
      <c r="AX66" s="530"/>
      <c r="AY66" s="530"/>
      <c r="AZ66" s="530"/>
      <c r="BA66" s="530"/>
      <c r="BB66" s="530"/>
      <c r="BC66" s="530"/>
      <c r="BD66" s="530"/>
      <c r="BE66" s="530"/>
      <c r="BF66" s="530"/>
      <c r="BG66" s="530"/>
      <c r="BH66" s="530"/>
      <c r="BI66" s="530"/>
      <c r="BJ66" s="530"/>
      <c r="BK66" s="530"/>
      <c r="BL66" s="530"/>
      <c r="BM66" s="530"/>
      <c r="BN66" s="530"/>
      <c r="BO66" s="530"/>
      <c r="BP66" s="530"/>
      <c r="BQ66" s="530"/>
      <c r="BR66" s="530"/>
      <c r="BS66" s="530"/>
      <c r="BT66" s="530"/>
      <c r="BU66" s="530"/>
      <c r="BV66" s="530"/>
      <c r="BW66" s="530"/>
      <c r="BX66" s="530"/>
    </row>
    <row r="67" spans="1:76" ht="12" customHeight="1">
      <c r="A67" s="1906"/>
      <c r="B67" s="879"/>
      <c r="C67" s="1874" t="s">
        <v>1690</v>
      </c>
      <c r="D67" s="7243"/>
      <c r="E67" s="7244"/>
      <c r="F67" s="7245" t="s">
        <v>9107</v>
      </c>
      <c r="G67" s="7246"/>
      <c r="H67" s="1877"/>
      <c r="I67" s="1876"/>
      <c r="J67" s="1876"/>
      <c r="K67" s="2184" t="s">
        <v>8364</v>
      </c>
      <c r="L67" s="7247"/>
      <c r="M67" s="7248"/>
      <c r="N67" s="7247"/>
      <c r="O67" s="7248"/>
      <c r="P67" s="7247"/>
      <c r="Q67" s="7249"/>
      <c r="R67" s="532"/>
      <c r="S67" s="1905"/>
      <c r="T67" s="1906"/>
      <c r="U67" s="4221"/>
      <c r="V67" s="7293"/>
      <c r="W67" s="7284" t="s">
        <v>1699</v>
      </c>
      <c r="X67" s="7285"/>
      <c r="Y67" s="7286"/>
      <c r="Z67" s="7286"/>
      <c r="AA67" s="7286"/>
      <c r="AB67" s="7286"/>
      <c r="AC67" s="7286"/>
      <c r="AD67" s="7286"/>
      <c r="AE67" s="7286"/>
      <c r="AF67" s="7286"/>
      <c r="AG67" s="7286"/>
      <c r="AH67" s="7286"/>
      <c r="AI67" s="7286"/>
      <c r="AJ67" s="7286"/>
      <c r="AK67" s="3422"/>
      <c r="AL67" s="1259"/>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row>
    <row r="68" spans="1:76" ht="12" customHeight="1" thickBot="1">
      <c r="A68" s="1906"/>
      <c r="B68" s="879"/>
      <c r="C68" s="2182" t="s">
        <v>1223</v>
      </c>
      <c r="D68" s="7250"/>
      <c r="E68" s="7251"/>
      <c r="F68" s="7252" t="s">
        <v>9109</v>
      </c>
      <c r="G68" s="7253"/>
      <c r="H68" s="7253"/>
      <c r="I68" s="7254"/>
      <c r="J68" s="1879"/>
      <c r="K68" s="1879"/>
      <c r="L68" s="1879"/>
      <c r="M68" s="1879"/>
      <c r="N68" s="1879"/>
      <c r="O68" s="1879"/>
      <c r="P68" s="1879"/>
      <c r="Q68" s="1880"/>
      <c r="R68" s="532"/>
      <c r="S68" s="1905"/>
      <c r="T68" s="1906"/>
      <c r="U68" s="4221"/>
      <c r="V68" s="7293"/>
      <c r="W68" s="7289" t="s">
        <v>1700</v>
      </c>
      <c r="X68" s="7290"/>
      <c r="Y68" s="7291"/>
      <c r="Z68" s="7291"/>
      <c r="AA68" s="7291"/>
      <c r="AB68" s="7291"/>
      <c r="AC68" s="7291"/>
      <c r="AD68" s="7291"/>
      <c r="AE68" s="7291"/>
      <c r="AF68" s="7291"/>
      <c r="AG68" s="7291"/>
      <c r="AH68" s="7291"/>
      <c r="AI68" s="7291"/>
      <c r="AJ68" s="7291"/>
      <c r="AK68" s="3422"/>
      <c r="AL68" s="1919"/>
      <c r="AV68" s="530"/>
      <c r="AW68" s="530"/>
      <c r="AX68" s="530"/>
      <c r="AY68" s="530"/>
      <c r="AZ68" s="530"/>
      <c r="BA68" s="530"/>
      <c r="BB68" s="530"/>
      <c r="BC68" s="530"/>
      <c r="BD68" s="530"/>
      <c r="BE68" s="530"/>
      <c r="BF68" s="530"/>
      <c r="BG68" s="530"/>
      <c r="BH68" s="530"/>
      <c r="BI68" s="530"/>
      <c r="BJ68" s="530"/>
      <c r="BK68" s="530"/>
      <c r="BL68" s="530"/>
      <c r="BM68" s="530"/>
      <c r="BN68" s="530"/>
      <c r="BO68" s="530"/>
      <c r="BP68" s="530"/>
      <c r="BQ68" s="530"/>
      <c r="BR68" s="530"/>
      <c r="BS68" s="530"/>
      <c r="BT68" s="530"/>
      <c r="BU68" s="530"/>
      <c r="BV68" s="530"/>
      <c r="BW68" s="530"/>
      <c r="BX68" s="530"/>
    </row>
    <row r="69" spans="1:76" ht="12" customHeight="1" thickBot="1">
      <c r="A69" s="1906"/>
      <c r="B69" s="879"/>
      <c r="C69" s="4422" t="s">
        <v>9114</v>
      </c>
      <c r="D69" s="4423"/>
      <c r="E69" s="4423"/>
      <c r="F69" s="4423"/>
      <c r="G69" s="4423"/>
      <c r="H69" s="4423"/>
      <c r="I69" s="4423"/>
      <c r="J69" s="7308"/>
      <c r="K69" s="1889" t="s">
        <v>8374</v>
      </c>
      <c r="L69" s="1889" t="s">
        <v>1696</v>
      </c>
      <c r="M69" s="1889" t="s">
        <v>1359</v>
      </c>
      <c r="N69" s="1889" t="s">
        <v>9105</v>
      </c>
      <c r="O69" s="1889" t="s">
        <v>2667</v>
      </c>
      <c r="P69" s="1889" t="s">
        <v>2668</v>
      </c>
      <c r="Q69" s="1892" t="s">
        <v>2659</v>
      </c>
      <c r="R69" s="532"/>
      <c r="S69" s="1905"/>
      <c r="T69" s="1906"/>
      <c r="U69" s="4221"/>
      <c r="V69" s="7293"/>
      <c r="W69" s="6631" t="s">
        <v>1695</v>
      </c>
      <c r="X69" s="6631"/>
      <c r="Y69" s="6631"/>
      <c r="Z69" s="6631"/>
      <c r="AA69" s="6631"/>
      <c r="AB69" s="40" t="s">
        <v>1349</v>
      </c>
      <c r="AC69" s="83" t="s">
        <v>1696</v>
      </c>
      <c r="AD69" s="6520" t="s">
        <v>1408</v>
      </c>
      <c r="AE69" s="6520"/>
      <c r="AF69" s="6520"/>
      <c r="AG69" s="6520"/>
      <c r="AH69" s="6520"/>
      <c r="AI69" s="6520"/>
      <c r="AJ69" s="6520"/>
      <c r="AK69" s="3422"/>
      <c r="AL69" s="1919"/>
      <c r="AV69" s="530"/>
      <c r="AW69" s="530"/>
      <c r="AX69" s="530"/>
      <c r="AY69" s="530"/>
      <c r="AZ69" s="530"/>
      <c r="BA69" s="530"/>
      <c r="BB69" s="530"/>
      <c r="BC69" s="530"/>
      <c r="BD69" s="530"/>
      <c r="BE69" s="530"/>
      <c r="BF69" s="530"/>
      <c r="BG69" s="530"/>
      <c r="BH69" s="530"/>
      <c r="BI69" s="530"/>
      <c r="BJ69" s="530"/>
      <c r="BK69" s="530"/>
      <c r="BL69" s="530"/>
      <c r="BM69" s="530"/>
      <c r="BN69" s="530"/>
      <c r="BO69" s="530"/>
      <c r="BP69" s="530"/>
      <c r="BQ69" s="530"/>
      <c r="BR69" s="530"/>
      <c r="BS69" s="530"/>
      <c r="BT69" s="530"/>
      <c r="BU69" s="530"/>
      <c r="BV69" s="530"/>
      <c r="BW69" s="530"/>
      <c r="BX69" s="530"/>
    </row>
    <row r="70" spans="1:76" ht="12" customHeight="1">
      <c r="A70" s="1906"/>
      <c r="B70" s="879"/>
      <c r="C70" s="1875" t="s">
        <v>9106</v>
      </c>
      <c r="D70" s="7240"/>
      <c r="E70" s="7241"/>
      <c r="F70" s="7241"/>
      <c r="G70" s="7241"/>
      <c r="H70" s="7241"/>
      <c r="I70" s="7241"/>
      <c r="J70" s="7242"/>
      <c r="K70" s="2192"/>
      <c r="L70" s="2183"/>
      <c r="M70" s="1877"/>
      <c r="N70" s="2192"/>
      <c r="O70" s="2183"/>
      <c r="P70" s="2183"/>
      <c r="Q70" s="1878"/>
      <c r="R70" s="532"/>
      <c r="S70" s="1905"/>
      <c r="T70" s="1906"/>
      <c r="U70" s="4221"/>
      <c r="V70" s="7293"/>
      <c r="W70" s="7287"/>
      <c r="X70" s="7287"/>
      <c r="Y70" s="7287"/>
      <c r="Z70" s="7287"/>
      <c r="AA70" s="7287"/>
      <c r="AB70" s="1493"/>
      <c r="AC70" s="1493"/>
      <c r="AD70" s="7288"/>
      <c r="AE70" s="7288"/>
      <c r="AF70" s="7288"/>
      <c r="AG70" s="7288"/>
      <c r="AH70" s="7288"/>
      <c r="AI70" s="7288"/>
      <c r="AJ70" s="7288"/>
      <c r="AK70" s="3418"/>
      <c r="AL70" s="1919"/>
      <c r="AV70" s="530"/>
      <c r="AW70" s="530"/>
      <c r="AX70" s="530"/>
      <c r="AY70" s="530"/>
      <c r="AZ70" s="530"/>
      <c r="BA70" s="530"/>
      <c r="BB70" s="530"/>
      <c r="BC70" s="530"/>
      <c r="BD70" s="530"/>
      <c r="BE70" s="530"/>
      <c r="BF70" s="530"/>
      <c r="BG70" s="530"/>
      <c r="BH70" s="530"/>
      <c r="BI70" s="530"/>
      <c r="BJ70" s="530"/>
      <c r="BK70" s="530"/>
      <c r="BL70" s="530"/>
      <c r="BM70" s="530"/>
      <c r="BN70" s="530"/>
      <c r="BO70" s="530"/>
      <c r="BP70" s="530"/>
      <c r="BQ70" s="530"/>
      <c r="BR70" s="530"/>
      <c r="BS70" s="530"/>
      <c r="BT70" s="530"/>
      <c r="BU70" s="530"/>
      <c r="BV70" s="530"/>
      <c r="BW70" s="530"/>
      <c r="BX70" s="530"/>
    </row>
    <row r="71" spans="1:76" ht="12" customHeight="1">
      <c r="A71" s="1906"/>
      <c r="B71" s="879"/>
      <c r="C71" s="1874" t="s">
        <v>1690</v>
      </c>
      <c r="D71" s="7243"/>
      <c r="E71" s="7244"/>
      <c r="F71" s="7245" t="s">
        <v>9107</v>
      </c>
      <c r="G71" s="7246"/>
      <c r="H71" s="1877"/>
      <c r="I71" s="1876"/>
      <c r="J71" s="1876"/>
      <c r="K71" s="2184" t="s">
        <v>8364</v>
      </c>
      <c r="L71" s="7247"/>
      <c r="M71" s="7248"/>
      <c r="N71" s="7247"/>
      <c r="O71" s="7248"/>
      <c r="P71" s="7247"/>
      <c r="Q71" s="7249"/>
      <c r="R71" s="532"/>
      <c r="S71" s="1905"/>
      <c r="T71" s="1906"/>
      <c r="U71" s="4221"/>
      <c r="V71" s="7293"/>
      <c r="W71" s="7284" t="s">
        <v>1699</v>
      </c>
      <c r="X71" s="7285"/>
      <c r="Y71" s="7286"/>
      <c r="Z71" s="7286"/>
      <c r="AA71" s="7286"/>
      <c r="AB71" s="7286"/>
      <c r="AC71" s="7286"/>
      <c r="AD71" s="7286"/>
      <c r="AE71" s="7286"/>
      <c r="AF71" s="7286"/>
      <c r="AG71" s="7286"/>
      <c r="AH71" s="7286"/>
      <c r="AI71" s="7286"/>
      <c r="AJ71" s="7286"/>
      <c r="AK71" s="3418"/>
      <c r="AL71" s="1919"/>
      <c r="AV71" s="530"/>
      <c r="AW71" s="530"/>
      <c r="AX71" s="530"/>
      <c r="AY71" s="530"/>
      <c r="AZ71" s="530"/>
      <c r="BA71" s="530"/>
      <c r="BB71" s="530"/>
      <c r="BC71" s="530"/>
      <c r="BD71" s="530"/>
      <c r="BE71" s="530"/>
      <c r="BF71" s="530"/>
      <c r="BG71" s="530"/>
      <c r="BH71" s="530"/>
      <c r="BI71" s="530"/>
      <c r="BJ71" s="530"/>
      <c r="BK71" s="530"/>
      <c r="BL71" s="530"/>
      <c r="BM71" s="530"/>
      <c r="BN71" s="530"/>
      <c r="BO71" s="530"/>
      <c r="BP71" s="530"/>
      <c r="BQ71" s="530"/>
      <c r="BR71" s="530"/>
      <c r="BS71" s="530"/>
      <c r="BT71" s="530"/>
      <c r="BU71" s="530"/>
      <c r="BV71" s="530"/>
      <c r="BW71" s="530"/>
      <c r="BX71" s="530"/>
    </row>
    <row r="72" spans="1:76" ht="12" customHeight="1" thickBot="1">
      <c r="A72" s="1906"/>
      <c r="B72" s="879"/>
      <c r="C72" s="2182" t="s">
        <v>1223</v>
      </c>
      <c r="D72" s="7250"/>
      <c r="E72" s="7251"/>
      <c r="F72" s="7252" t="s">
        <v>9109</v>
      </c>
      <c r="G72" s="7253"/>
      <c r="H72" s="7253"/>
      <c r="I72" s="7254"/>
      <c r="J72" s="1879"/>
      <c r="K72" s="1879"/>
      <c r="L72" s="1879"/>
      <c r="M72" s="1879"/>
      <c r="N72" s="1879"/>
      <c r="O72" s="1879"/>
      <c r="P72" s="1879"/>
      <c r="Q72" s="1880"/>
      <c r="R72" s="532"/>
      <c r="S72" s="1905"/>
      <c r="T72" s="1906"/>
      <c r="U72" s="4221"/>
      <c r="V72" s="7294"/>
      <c r="W72" s="7289" t="s">
        <v>1700</v>
      </c>
      <c r="X72" s="7290"/>
      <c r="Y72" s="7291"/>
      <c r="Z72" s="7291"/>
      <c r="AA72" s="7291"/>
      <c r="AB72" s="7291"/>
      <c r="AC72" s="7291"/>
      <c r="AD72" s="7291"/>
      <c r="AE72" s="7291"/>
      <c r="AF72" s="7291"/>
      <c r="AG72" s="7291"/>
      <c r="AH72" s="7291"/>
      <c r="AI72" s="7291"/>
      <c r="AJ72" s="7291"/>
      <c r="AK72" s="3418"/>
      <c r="AL72" s="1919"/>
      <c r="AV72" s="530"/>
      <c r="AW72" s="530"/>
      <c r="AX72" s="530"/>
      <c r="AY72" s="530"/>
      <c r="AZ72" s="530"/>
      <c r="BA72" s="530"/>
      <c r="BB72" s="530"/>
      <c r="BC72" s="530"/>
      <c r="BD72" s="530"/>
      <c r="BE72" s="530"/>
      <c r="BF72" s="530"/>
      <c r="BG72" s="530"/>
      <c r="BH72" s="530"/>
      <c r="BI72" s="530"/>
      <c r="BJ72" s="530"/>
      <c r="BK72" s="530"/>
      <c r="BL72" s="530"/>
      <c r="BM72" s="530"/>
      <c r="BN72" s="530"/>
      <c r="BO72" s="530"/>
      <c r="BP72" s="530"/>
      <c r="BQ72" s="530"/>
      <c r="BR72" s="530"/>
      <c r="BS72" s="530"/>
      <c r="BT72" s="530"/>
      <c r="BU72" s="530"/>
      <c r="BV72" s="530"/>
      <c r="BW72" s="530"/>
      <c r="BX72" s="530"/>
    </row>
    <row r="73" spans="1:76" ht="12" customHeight="1" thickBot="1">
      <c r="A73" s="1906"/>
      <c r="B73" s="879"/>
      <c r="C73" s="4422" t="s">
        <v>9115</v>
      </c>
      <c r="D73" s="4423"/>
      <c r="E73" s="4423"/>
      <c r="F73" s="4423"/>
      <c r="G73" s="4423"/>
      <c r="H73" s="4423"/>
      <c r="I73" s="4423"/>
      <c r="J73" s="7308"/>
      <c r="K73" s="1889" t="s">
        <v>8374</v>
      </c>
      <c r="L73" s="1889" t="s">
        <v>1696</v>
      </c>
      <c r="M73" s="1889" t="s">
        <v>1359</v>
      </c>
      <c r="N73" s="1889" t="s">
        <v>9105</v>
      </c>
      <c r="O73" s="1889" t="s">
        <v>2667</v>
      </c>
      <c r="P73" s="1889" t="s">
        <v>2668</v>
      </c>
      <c r="Q73" s="1892" t="s">
        <v>2659</v>
      </c>
      <c r="R73" s="532"/>
      <c r="S73" s="1905"/>
      <c r="T73" s="1906"/>
      <c r="U73" s="4222"/>
      <c r="AK73" s="3418"/>
      <c r="AL73" s="1919"/>
      <c r="AV73" s="530"/>
      <c r="AW73" s="530"/>
      <c r="AX73" s="530"/>
      <c r="AY73" s="530"/>
      <c r="AZ73" s="530"/>
      <c r="BA73" s="530"/>
      <c r="BB73" s="530"/>
      <c r="BC73" s="530"/>
      <c r="BD73" s="530"/>
      <c r="BE73" s="530"/>
      <c r="BF73" s="530"/>
      <c r="BG73" s="530"/>
      <c r="BH73" s="530"/>
      <c r="BI73" s="530"/>
      <c r="BJ73" s="530"/>
      <c r="BK73" s="530"/>
      <c r="BL73" s="530"/>
      <c r="BM73" s="530"/>
      <c r="BN73" s="530"/>
      <c r="BO73" s="530"/>
      <c r="BP73" s="530"/>
      <c r="BQ73" s="530"/>
      <c r="BR73" s="530"/>
      <c r="BS73" s="530"/>
      <c r="BT73" s="530"/>
      <c r="BU73" s="530"/>
      <c r="BV73" s="530"/>
      <c r="BW73" s="530"/>
      <c r="BX73" s="530"/>
    </row>
    <row r="74" spans="1:76" ht="12" customHeight="1" thickBot="1">
      <c r="A74" s="1906"/>
      <c r="B74" s="879"/>
      <c r="C74" s="1875" t="s">
        <v>9106</v>
      </c>
      <c r="D74" s="7240"/>
      <c r="E74" s="7241"/>
      <c r="F74" s="7241"/>
      <c r="G74" s="7241"/>
      <c r="H74" s="7241"/>
      <c r="I74" s="7241"/>
      <c r="J74" s="7242"/>
      <c r="K74" s="2192"/>
      <c r="L74" s="2183"/>
      <c r="M74" s="1877"/>
      <c r="N74" s="2192"/>
      <c r="O74" s="2183"/>
      <c r="P74" s="2183"/>
      <c r="Q74" s="1878"/>
      <c r="R74" s="532"/>
      <c r="S74" s="1905"/>
      <c r="T74" s="1906"/>
      <c r="U74" s="4222"/>
      <c r="V74" s="4422" t="s">
        <v>10821</v>
      </c>
      <c r="W74" s="4423"/>
      <c r="X74" s="4423"/>
      <c r="Y74" s="4423"/>
      <c r="Z74" s="4423"/>
      <c r="AA74" s="4423"/>
      <c r="AB74" s="3416" t="s">
        <v>1262</v>
      </c>
      <c r="AC74" s="530"/>
      <c r="AD74" s="7185" t="s">
        <v>10822</v>
      </c>
      <c r="AE74" s="7682"/>
      <c r="AF74" s="7296" t="s">
        <v>10823</v>
      </c>
      <c r="AG74" s="7297"/>
      <c r="AH74" s="7297"/>
      <c r="AI74" s="7297"/>
      <c r="AJ74" s="6767"/>
      <c r="AK74" s="3418"/>
      <c r="AL74" s="1919"/>
      <c r="AV74" s="530"/>
      <c r="AW74" s="530"/>
      <c r="AX74" s="530"/>
      <c r="AY74" s="530"/>
      <c r="AZ74" s="530"/>
      <c r="BA74" s="530"/>
      <c r="BB74" s="530"/>
      <c r="BC74" s="530"/>
      <c r="BD74" s="530"/>
      <c r="BE74" s="530"/>
      <c r="BF74" s="530"/>
      <c r="BG74" s="530"/>
      <c r="BH74" s="530"/>
      <c r="BI74" s="530"/>
      <c r="BJ74" s="530"/>
      <c r="BK74" s="530"/>
      <c r="BL74" s="530"/>
      <c r="BM74" s="530"/>
      <c r="BN74" s="530"/>
      <c r="BO74" s="530"/>
      <c r="BP74" s="530"/>
      <c r="BQ74" s="530"/>
      <c r="BR74" s="530"/>
      <c r="BS74" s="530"/>
      <c r="BT74" s="530"/>
      <c r="BU74" s="530"/>
      <c r="BV74" s="530"/>
      <c r="BW74" s="530"/>
      <c r="BX74" s="530"/>
    </row>
    <row r="75" spans="1:76" ht="12" customHeight="1">
      <c r="A75" s="1906"/>
      <c r="B75" s="879"/>
      <c r="C75" s="1874" t="s">
        <v>1690</v>
      </c>
      <c r="D75" s="7243"/>
      <c r="E75" s="7244"/>
      <c r="F75" s="7245" t="s">
        <v>9107</v>
      </c>
      <c r="G75" s="7246"/>
      <c r="H75" s="1877"/>
      <c r="I75" s="1876"/>
      <c r="J75" s="1876"/>
      <c r="K75" s="2184" t="s">
        <v>8364</v>
      </c>
      <c r="L75" s="7247"/>
      <c r="M75" s="7248"/>
      <c r="N75" s="7247"/>
      <c r="O75" s="7248"/>
      <c r="P75" s="7247"/>
      <c r="Q75" s="7249"/>
      <c r="R75" s="532"/>
      <c r="S75" s="1905"/>
      <c r="T75" s="1906"/>
      <c r="U75" s="4222"/>
      <c r="V75" s="7687"/>
      <c r="W75" s="7688"/>
      <c r="X75" s="7688"/>
      <c r="Y75" s="7688"/>
      <c r="Z75" s="7688"/>
      <c r="AA75" s="7688"/>
      <c r="AB75" s="3420">
        <v>1</v>
      </c>
      <c r="AC75" s="2701" t="str">
        <f>IF(V75&lt;&gt;"",VLOOKUP(V75,'Tablas psiquica'!D7:F213,3,FALSE),"")</f>
        <v/>
      </c>
      <c r="AD75" s="7683"/>
      <c r="AE75" s="7684"/>
      <c r="AF75" s="7689" t="s">
        <v>10824</v>
      </c>
      <c r="AG75" s="7690"/>
      <c r="AH75" s="7690"/>
      <c r="AI75" s="7690"/>
      <c r="AJ75" s="3421" t="s">
        <v>1241</v>
      </c>
      <c r="AK75" s="3418"/>
      <c r="AL75" s="1919"/>
      <c r="AV75" s="530"/>
      <c r="AW75" s="530"/>
      <c r="AX75" s="530"/>
      <c r="AY75" s="530"/>
      <c r="AZ75" s="530"/>
      <c r="BA75" s="530"/>
      <c r="BB75" s="530"/>
      <c r="BC75" s="530"/>
      <c r="BD75" s="530"/>
      <c r="BE75" s="530"/>
      <c r="BF75" s="530"/>
      <c r="BG75" s="530"/>
      <c r="BH75" s="530"/>
      <c r="BI75" s="530"/>
      <c r="BJ75" s="530"/>
      <c r="BK75" s="530"/>
      <c r="BL75" s="530"/>
      <c r="BM75" s="530"/>
      <c r="BN75" s="530"/>
      <c r="BO75" s="530"/>
      <c r="BP75" s="530"/>
      <c r="BQ75" s="530"/>
      <c r="BR75" s="530"/>
      <c r="BS75" s="530"/>
      <c r="BT75" s="530"/>
      <c r="BU75" s="530"/>
      <c r="BV75" s="530"/>
      <c r="BW75" s="530"/>
      <c r="BX75" s="530"/>
    </row>
    <row r="76" spans="1:76" ht="12" customHeight="1" thickBot="1">
      <c r="A76" s="1906"/>
      <c r="B76" s="879"/>
      <c r="C76" s="2182" t="s">
        <v>1223</v>
      </c>
      <c r="D76" s="7250"/>
      <c r="E76" s="7251"/>
      <c r="F76" s="7252" t="s">
        <v>9109</v>
      </c>
      <c r="G76" s="7253"/>
      <c r="H76" s="7253"/>
      <c r="I76" s="7254"/>
      <c r="J76" s="1879"/>
      <c r="K76" s="1879"/>
      <c r="L76" s="1879"/>
      <c r="M76" s="1879"/>
      <c r="N76" s="1879"/>
      <c r="O76" s="1879"/>
      <c r="P76" s="1879"/>
      <c r="Q76" s="1880"/>
      <c r="R76" s="532"/>
      <c r="S76" s="1905"/>
      <c r="T76" s="1906"/>
      <c r="U76" s="3417"/>
      <c r="V76" s="7691"/>
      <c r="W76" s="7394"/>
      <c r="X76" s="7394"/>
      <c r="Y76" s="7394"/>
      <c r="Z76" s="7394"/>
      <c r="AA76" s="7394"/>
      <c r="AB76" s="3423">
        <v>1</v>
      </c>
      <c r="AC76" s="2701" t="str">
        <f>IF(V76&lt;&gt;"",VLOOKUP(V76,'Tablas psiquica'!D8:F224,3,FALSE),"")</f>
        <v/>
      </c>
      <c r="AD76" s="7685"/>
      <c r="AE76" s="7686"/>
      <c r="AF76" s="7693" t="s">
        <v>10825</v>
      </c>
      <c r="AG76" s="7694"/>
      <c r="AH76" s="7694"/>
      <c r="AI76" s="7694"/>
      <c r="AJ76" s="3424" t="s">
        <v>1241</v>
      </c>
      <c r="AK76" s="3418"/>
      <c r="AL76" s="1919"/>
      <c r="AV76" s="530"/>
      <c r="AW76" s="530"/>
      <c r="AX76" s="530"/>
      <c r="AY76" s="530"/>
      <c r="AZ76" s="530"/>
      <c r="BA76" s="530"/>
      <c r="BB76" s="530"/>
      <c r="BC76" s="530"/>
      <c r="BD76" s="530"/>
      <c r="BE76" s="530"/>
      <c r="BF76" s="530"/>
      <c r="BG76" s="530"/>
      <c r="BH76" s="530"/>
      <c r="BI76" s="530"/>
      <c r="BJ76" s="530"/>
      <c r="BK76" s="530"/>
      <c r="BL76" s="530"/>
      <c r="BM76" s="530"/>
      <c r="BN76" s="530"/>
      <c r="BO76" s="530"/>
      <c r="BP76" s="530"/>
      <c r="BQ76" s="530"/>
      <c r="BR76" s="530"/>
      <c r="BS76" s="530"/>
      <c r="BT76" s="530"/>
      <c r="BU76" s="530"/>
      <c r="BV76" s="530"/>
      <c r="BW76" s="530"/>
      <c r="BX76" s="530"/>
    </row>
    <row r="77" spans="1:76" ht="12" customHeight="1" thickBot="1">
      <c r="A77" s="1906"/>
      <c r="B77" s="879"/>
      <c r="C77" s="2271"/>
      <c r="D77" s="2272"/>
      <c r="E77" s="2272"/>
      <c r="F77" s="2271"/>
      <c r="G77" s="2271"/>
      <c r="H77" s="2271"/>
      <c r="I77" s="2271"/>
      <c r="J77" s="2272"/>
      <c r="K77" s="2272"/>
      <c r="L77" s="2272"/>
      <c r="M77" s="2272"/>
      <c r="N77" s="2272"/>
      <c r="O77" s="2272"/>
      <c r="P77" s="2272"/>
      <c r="Q77" s="2272"/>
      <c r="R77" s="532"/>
      <c r="S77" s="1905"/>
      <c r="T77" s="1906"/>
      <c r="U77" s="3417"/>
      <c r="V77" s="7275"/>
      <c r="W77" s="7276"/>
      <c r="X77" s="7276"/>
      <c r="Y77" s="7276"/>
      <c r="Z77" s="7276"/>
      <c r="AA77" s="7277"/>
      <c r="AB77" s="3425">
        <v>2</v>
      </c>
      <c r="AC77" s="2701" t="str">
        <f>IF(V77&lt;&gt;"",VLOOKUP(V77,'Tablas psiquica'!D9:F224,3,FALSE),"")</f>
        <v/>
      </c>
      <c r="AK77" s="3418"/>
      <c r="AL77" s="1919"/>
      <c r="AV77" s="530"/>
      <c r="AW77" s="530"/>
      <c r="AX77" s="530"/>
      <c r="AY77" s="530"/>
      <c r="AZ77" s="530"/>
      <c r="BA77" s="530"/>
      <c r="BB77" s="530"/>
      <c r="BC77" s="530"/>
      <c r="BD77" s="530"/>
      <c r="BE77" s="530"/>
      <c r="BF77" s="530"/>
      <c r="BG77" s="530"/>
      <c r="BH77" s="530"/>
      <c r="BI77" s="530"/>
      <c r="BJ77" s="530"/>
      <c r="BK77" s="530"/>
      <c r="BL77" s="530"/>
      <c r="BM77" s="530"/>
      <c r="BN77" s="530"/>
      <c r="BO77" s="530"/>
      <c r="BP77" s="530"/>
      <c r="BQ77" s="530"/>
      <c r="BR77" s="530"/>
      <c r="BS77" s="530"/>
      <c r="BT77" s="530"/>
      <c r="BU77" s="530"/>
      <c r="BV77" s="530"/>
      <c r="BW77" s="530"/>
      <c r="BX77" s="530"/>
    </row>
    <row r="78" spans="1:76" ht="12" customHeight="1">
      <c r="A78" s="1906"/>
      <c r="B78" s="879"/>
      <c r="C78" s="7324" t="s">
        <v>9119</v>
      </c>
      <c r="D78" s="7325"/>
      <c r="E78" s="7326"/>
      <c r="F78" s="7296" t="s">
        <v>9117</v>
      </c>
      <c r="G78" s="7314"/>
      <c r="H78" s="7314"/>
      <c r="I78" s="7314"/>
      <c r="J78" s="7314"/>
      <c r="K78" s="7314"/>
      <c r="L78" s="7315"/>
      <c r="M78" s="6765" t="s">
        <v>9116</v>
      </c>
      <c r="N78" s="7315"/>
      <c r="O78" s="6765" t="s">
        <v>1230</v>
      </c>
      <c r="P78" s="7315"/>
      <c r="Q78" s="1893" t="s">
        <v>1262</v>
      </c>
      <c r="R78" s="532"/>
      <c r="S78" s="1905"/>
      <c r="T78" s="1906"/>
      <c r="U78" s="3417"/>
      <c r="V78" s="7691"/>
      <c r="W78" s="7394"/>
      <c r="X78" s="7394"/>
      <c r="Y78" s="7394"/>
      <c r="Z78" s="7394"/>
      <c r="AA78" s="7692"/>
      <c r="AB78" s="3425">
        <v>2</v>
      </c>
      <c r="AC78" s="2701" t="str">
        <f>IF(V78&lt;&gt;"",VLOOKUP(V78,'Tablas psiquica'!D10:F224,3,FALSE),"")</f>
        <v/>
      </c>
      <c r="AD78" s="7185" t="s">
        <v>10826</v>
      </c>
      <c r="AE78" s="7682"/>
      <c r="AF78" s="7296" t="s">
        <v>10827</v>
      </c>
      <c r="AG78" s="7297"/>
      <c r="AH78" s="7297"/>
      <c r="AI78" s="7297"/>
      <c r="AJ78" s="6767"/>
      <c r="AK78" s="3418"/>
      <c r="AL78" s="1919"/>
      <c r="AV78" s="530"/>
      <c r="AW78" s="530"/>
      <c r="AX78" s="530"/>
      <c r="AY78" s="530"/>
      <c r="AZ78" s="530"/>
      <c r="BA78" s="530"/>
      <c r="BB78" s="530"/>
      <c r="BC78" s="530"/>
      <c r="BD78" s="530"/>
      <c r="BE78" s="530"/>
      <c r="BF78" s="530"/>
      <c r="BG78" s="530"/>
      <c r="BH78" s="530"/>
      <c r="BI78" s="530"/>
      <c r="BJ78" s="530"/>
      <c r="BK78" s="530"/>
      <c r="BL78" s="530"/>
      <c r="BM78" s="530"/>
      <c r="BN78" s="530"/>
      <c r="BO78" s="530"/>
      <c r="BP78" s="530"/>
      <c r="BQ78" s="530"/>
      <c r="BR78" s="530"/>
      <c r="BS78" s="530"/>
      <c r="BT78" s="530"/>
      <c r="BU78" s="530"/>
      <c r="BV78" s="530"/>
      <c r="BW78" s="530"/>
      <c r="BX78" s="530"/>
    </row>
    <row r="79" spans="1:76" ht="12" customHeight="1">
      <c r="A79" s="1906"/>
      <c r="B79" s="879"/>
      <c r="C79" s="7327"/>
      <c r="D79" s="7328"/>
      <c r="E79" s="7329"/>
      <c r="F79" s="7316"/>
      <c r="G79" s="7317"/>
      <c r="H79" s="7317"/>
      <c r="I79" s="7317"/>
      <c r="J79" s="7317"/>
      <c r="K79" s="7317"/>
      <c r="L79" s="7318"/>
      <c r="M79" s="7680"/>
      <c r="N79" s="7681"/>
      <c r="O79" s="7680"/>
      <c r="P79" s="7681"/>
      <c r="Q79" s="2181"/>
      <c r="R79" s="532"/>
      <c r="S79" s="1905"/>
      <c r="T79" s="1906"/>
      <c r="U79" s="3417"/>
      <c r="V79" s="7275"/>
      <c r="W79" s="7276"/>
      <c r="X79" s="7276"/>
      <c r="Y79" s="7276"/>
      <c r="Z79" s="7276"/>
      <c r="AA79" s="7277"/>
      <c r="AB79" s="3423">
        <v>3</v>
      </c>
      <c r="AC79" s="2701" t="str">
        <f>IF(V79&lt;&gt;"",VLOOKUP(V79,'Tablas psiquica'!D12:F224,3,FALSE),"")</f>
        <v/>
      </c>
      <c r="AD79" s="7683"/>
      <c r="AE79" s="7684"/>
      <c r="AF79" s="7298"/>
      <c r="AG79" s="7299"/>
      <c r="AH79" s="7299"/>
      <c r="AI79" s="7299"/>
      <c r="AJ79" s="7300"/>
      <c r="AK79" s="3418"/>
      <c r="AL79" s="1919"/>
      <c r="AV79" s="530"/>
      <c r="AW79" s="530"/>
      <c r="AX79" s="530"/>
      <c r="AY79" s="530"/>
      <c r="AZ79" s="530"/>
      <c r="BA79" s="530"/>
      <c r="BB79" s="530"/>
      <c r="BC79" s="530"/>
      <c r="BD79" s="530"/>
      <c r="BE79" s="530"/>
      <c r="BF79" s="530"/>
      <c r="BG79" s="530"/>
      <c r="BH79" s="530"/>
      <c r="BI79" s="530"/>
      <c r="BJ79" s="530"/>
      <c r="BK79" s="530"/>
      <c r="BL79" s="530"/>
      <c r="BM79" s="530"/>
      <c r="BN79" s="530"/>
      <c r="BO79" s="530"/>
      <c r="BP79" s="530"/>
      <c r="BQ79" s="530"/>
      <c r="BR79" s="530"/>
      <c r="BS79" s="530"/>
      <c r="BT79" s="530"/>
      <c r="BU79" s="530"/>
      <c r="BV79" s="530"/>
      <c r="BW79" s="530"/>
      <c r="BX79" s="530"/>
    </row>
    <row r="80" spans="1:76" ht="12" customHeight="1" thickBot="1">
      <c r="A80" s="1906"/>
      <c r="B80" s="1255"/>
      <c r="C80" s="7327"/>
      <c r="D80" s="7328"/>
      <c r="E80" s="7329"/>
      <c r="F80" s="7333"/>
      <c r="G80" s="7334"/>
      <c r="H80" s="7334"/>
      <c r="I80" s="7334"/>
      <c r="J80" s="7334"/>
      <c r="K80" s="7334"/>
      <c r="L80" s="7335"/>
      <c r="M80" s="7271"/>
      <c r="N80" s="7272"/>
      <c r="O80" s="7271"/>
      <c r="P80" s="7272"/>
      <c r="Q80" s="2180"/>
      <c r="R80" s="1256"/>
      <c r="S80" s="1905"/>
      <c r="T80" s="1906"/>
      <c r="U80" s="3417"/>
      <c r="V80" s="7278"/>
      <c r="W80" s="7279"/>
      <c r="X80" s="7279"/>
      <c r="Y80" s="7279"/>
      <c r="Z80" s="7279"/>
      <c r="AA80" s="7280"/>
      <c r="AB80" s="3426">
        <v>3</v>
      </c>
      <c r="AC80" s="2701" t="str">
        <f>IF(V80&lt;&gt;"",VLOOKUP(V80,'Tablas psiquica'!D12:F224,3,FALSE),"")</f>
        <v/>
      </c>
      <c r="AD80" s="7685"/>
      <c r="AE80" s="7686"/>
      <c r="AF80" s="7301"/>
      <c r="AG80" s="7302"/>
      <c r="AH80" s="7302"/>
      <c r="AI80" s="7302"/>
      <c r="AJ80" s="7303"/>
      <c r="AK80" s="3418"/>
      <c r="AL80" s="1919"/>
      <c r="AV80" s="530"/>
      <c r="AW80" s="530"/>
      <c r="AX80" s="530"/>
      <c r="AY80" s="530"/>
      <c r="AZ80" s="530"/>
      <c r="BA80" s="530"/>
      <c r="BB80" s="530"/>
      <c r="BC80" s="530"/>
      <c r="BD80" s="530"/>
      <c r="BE80" s="530"/>
      <c r="BF80" s="530"/>
      <c r="BG80" s="530"/>
      <c r="BH80" s="530"/>
      <c r="BI80" s="530"/>
      <c r="BJ80" s="530"/>
      <c r="BK80" s="530"/>
      <c r="BL80" s="530"/>
      <c r="BM80" s="530"/>
      <c r="BN80" s="530"/>
      <c r="BO80" s="530"/>
      <c r="BP80" s="530"/>
      <c r="BQ80" s="530"/>
      <c r="BR80" s="530"/>
      <c r="BS80" s="530"/>
      <c r="BT80" s="530"/>
      <c r="BU80" s="530"/>
      <c r="BV80" s="530"/>
      <c r="BW80" s="530"/>
      <c r="BX80" s="530"/>
    </row>
    <row r="81" spans="1:76" ht="12" customHeight="1" thickBot="1">
      <c r="A81" s="859"/>
      <c r="B81" s="443"/>
      <c r="C81" s="7327"/>
      <c r="D81" s="7328"/>
      <c r="E81" s="7329"/>
      <c r="F81" s="7695"/>
      <c r="G81" s="7615"/>
      <c r="H81" s="7615"/>
      <c r="I81" s="7615"/>
      <c r="J81" s="7615"/>
      <c r="K81" s="7615"/>
      <c r="L81" s="7696"/>
      <c r="M81" s="7697"/>
      <c r="N81" s="7698"/>
      <c r="O81" s="7697"/>
      <c r="P81" s="7698"/>
      <c r="Q81" s="2270"/>
      <c r="R81" s="532"/>
      <c r="S81" s="859"/>
      <c r="T81" s="1906"/>
      <c r="U81" s="3417"/>
      <c r="AK81" s="3418"/>
      <c r="AL81" s="1919"/>
      <c r="AV81" s="530"/>
      <c r="AW81" s="530"/>
      <c r="AX81" s="530"/>
      <c r="AY81" s="530"/>
      <c r="AZ81" s="530"/>
      <c r="BA81" s="530"/>
      <c r="BB81" s="530"/>
      <c r="BC81" s="530"/>
      <c r="BD81" s="530"/>
      <c r="BE81" s="530"/>
      <c r="BF81" s="530"/>
      <c r="BG81" s="530"/>
      <c r="BH81" s="530"/>
      <c r="BI81" s="530"/>
      <c r="BJ81" s="530"/>
      <c r="BK81" s="530"/>
      <c r="BL81" s="530"/>
      <c r="BM81" s="530"/>
      <c r="BN81" s="530"/>
      <c r="BO81" s="530"/>
      <c r="BP81" s="530"/>
      <c r="BQ81" s="530"/>
      <c r="BR81" s="530"/>
      <c r="BS81" s="530"/>
      <c r="BT81" s="530"/>
      <c r="BU81" s="530"/>
      <c r="BV81" s="530"/>
      <c r="BW81" s="530"/>
      <c r="BX81" s="530"/>
    </row>
    <row r="82" spans="1:76" ht="12" customHeight="1" thickBot="1">
      <c r="A82" s="859"/>
      <c r="B82" s="443"/>
      <c r="C82" s="7327"/>
      <c r="D82" s="7328"/>
      <c r="E82" s="7329"/>
      <c r="F82" s="7333"/>
      <c r="G82" s="7334"/>
      <c r="H82" s="7334"/>
      <c r="I82" s="7334"/>
      <c r="J82" s="7334"/>
      <c r="K82" s="7334"/>
      <c r="L82" s="7335"/>
      <c r="M82" s="7271"/>
      <c r="N82" s="7272"/>
      <c r="O82" s="7273"/>
      <c r="P82" s="7272"/>
      <c r="Q82" s="2180"/>
      <c r="R82" s="1257"/>
      <c r="S82" s="1258"/>
      <c r="T82" s="1906"/>
      <c r="U82" s="3417"/>
      <c r="V82" s="4422" t="s">
        <v>10830</v>
      </c>
      <c r="W82" s="4423"/>
      <c r="X82" s="4424"/>
      <c r="Y82" s="7674" t="s">
        <v>1289</v>
      </c>
      <c r="Z82" s="7675"/>
      <c r="AA82" s="7675"/>
      <c r="AB82" s="7419"/>
      <c r="AD82" s="4422" t="s">
        <v>10829</v>
      </c>
      <c r="AE82" s="4423"/>
      <c r="AF82" s="4424"/>
      <c r="AG82" s="7670"/>
      <c r="AH82" s="7671"/>
      <c r="AI82" s="7671"/>
      <c r="AJ82" s="7672"/>
      <c r="AK82" s="3418"/>
      <c r="AL82" s="1919"/>
      <c r="AV82" s="530"/>
      <c r="AW82" s="530"/>
      <c r="AX82" s="530"/>
      <c r="AY82" s="530"/>
      <c r="AZ82" s="530"/>
      <c r="BA82" s="530"/>
      <c r="BB82" s="530"/>
      <c r="BC82" s="530"/>
      <c r="BD82" s="530"/>
      <c r="BE82" s="530"/>
      <c r="BF82" s="530"/>
      <c r="BG82" s="530"/>
      <c r="BH82" s="530"/>
      <c r="BI82" s="530"/>
      <c r="BJ82" s="530"/>
      <c r="BK82" s="530"/>
      <c r="BL82" s="530"/>
      <c r="BM82" s="530"/>
      <c r="BN82" s="530"/>
      <c r="BO82" s="530"/>
      <c r="BP82" s="530"/>
      <c r="BQ82" s="530"/>
      <c r="BR82" s="530"/>
      <c r="BS82" s="530"/>
      <c r="BT82" s="530"/>
      <c r="BU82" s="530"/>
      <c r="BV82" s="530"/>
      <c r="BW82" s="530"/>
      <c r="BX82" s="530"/>
    </row>
    <row r="83" spans="1:76" ht="12" customHeight="1" thickBot="1">
      <c r="A83" s="859"/>
      <c r="B83" s="443"/>
      <c r="C83" s="7330"/>
      <c r="D83" s="7331"/>
      <c r="E83" s="7332"/>
      <c r="F83" s="7319"/>
      <c r="G83" s="7320"/>
      <c r="H83" s="7320"/>
      <c r="I83" s="7320"/>
      <c r="J83" s="7320"/>
      <c r="K83" s="7320"/>
      <c r="L83" s="7321"/>
      <c r="M83" s="7322"/>
      <c r="N83" s="7323"/>
      <c r="O83" s="7322"/>
      <c r="P83" s="7323"/>
      <c r="Q83" s="1947"/>
      <c r="R83" s="1257"/>
      <c r="S83" s="1258"/>
      <c r="T83" s="1906"/>
      <c r="U83" s="3417"/>
      <c r="AK83" s="3418"/>
      <c r="AL83" s="1919"/>
      <c r="AV83" s="530"/>
      <c r="AW83" s="530"/>
      <c r="AX83" s="530"/>
      <c r="AY83" s="530"/>
      <c r="AZ83" s="530"/>
      <c r="BA83" s="530"/>
      <c r="BB83" s="530"/>
      <c r="BC83" s="530"/>
      <c r="BD83" s="530"/>
      <c r="BE83" s="530"/>
      <c r="BF83" s="530"/>
      <c r="BG83" s="530"/>
      <c r="BH83" s="530"/>
      <c r="BI83" s="530"/>
      <c r="BJ83" s="530"/>
      <c r="BK83" s="530"/>
      <c r="BL83" s="530"/>
      <c r="BM83" s="530"/>
      <c r="BN83" s="530"/>
      <c r="BO83" s="530"/>
      <c r="BP83" s="530"/>
      <c r="BQ83" s="530"/>
      <c r="BR83" s="530"/>
      <c r="BS83" s="530"/>
      <c r="BT83" s="530"/>
      <c r="BU83" s="530"/>
      <c r="BV83" s="530"/>
      <c r="BW83" s="530"/>
      <c r="BX83" s="530"/>
    </row>
    <row r="84" spans="1:76" ht="12" customHeight="1" thickBot="1">
      <c r="A84" s="859"/>
      <c r="B84" s="443"/>
      <c r="R84" s="532"/>
      <c r="S84" s="859"/>
      <c r="T84" s="1906"/>
      <c r="U84" s="3417"/>
      <c r="V84" s="4422" t="s">
        <v>10828</v>
      </c>
      <c r="W84" s="4423"/>
      <c r="X84" s="4423"/>
      <c r="Y84" s="4423"/>
      <c r="Z84" s="4423"/>
      <c r="AA84" s="4423"/>
      <c r="AB84" s="4424"/>
      <c r="AD84" s="4422" t="s">
        <v>10490</v>
      </c>
      <c r="AE84" s="4423"/>
      <c r="AF84" s="4423"/>
      <c r="AG84" s="4423"/>
      <c r="AH84" s="4423"/>
      <c r="AI84" s="4423"/>
      <c r="AJ84" s="4424"/>
      <c r="AK84" s="3418"/>
      <c r="AL84" s="1919"/>
      <c r="AV84" s="530"/>
      <c r="AW84" s="530"/>
      <c r="AX84" s="530"/>
      <c r="AY84" s="530"/>
      <c r="AZ84" s="530"/>
      <c r="BA84" s="530"/>
      <c r="BB84" s="530"/>
      <c r="BC84" s="530"/>
      <c r="BD84" s="530"/>
      <c r="BE84" s="530"/>
      <c r="BF84" s="530"/>
      <c r="BG84" s="530"/>
      <c r="BH84" s="530"/>
      <c r="BI84" s="530"/>
      <c r="BJ84" s="530"/>
      <c r="BK84" s="530"/>
      <c r="BL84" s="530"/>
      <c r="BM84" s="530"/>
      <c r="BN84" s="530"/>
      <c r="BO84" s="530"/>
      <c r="BP84" s="530"/>
      <c r="BQ84" s="530"/>
      <c r="BR84" s="530"/>
      <c r="BS84" s="530"/>
      <c r="BT84" s="530"/>
      <c r="BU84" s="530"/>
      <c r="BV84" s="530"/>
      <c r="BW84" s="530"/>
      <c r="BX84" s="530"/>
    </row>
    <row r="85" spans="1:76" ht="12" customHeight="1" thickBot="1">
      <c r="A85" s="859"/>
      <c r="B85" s="443"/>
      <c r="R85" s="1257"/>
      <c r="S85" s="1258"/>
      <c r="T85" s="1906"/>
      <c r="U85" s="3417"/>
      <c r="V85" s="7626" t="s">
        <v>1300</v>
      </c>
      <c r="W85" s="7627"/>
      <c r="X85" s="7627"/>
      <c r="Y85" s="7627"/>
      <c r="Z85" s="7628"/>
      <c r="AA85" s="2460" t="s">
        <v>891</v>
      </c>
      <c r="AB85" s="2535" t="s">
        <v>10112</v>
      </c>
      <c r="AD85" s="7611"/>
      <c r="AE85" s="7612"/>
      <c r="AF85" s="7612"/>
      <c r="AG85" s="7612"/>
      <c r="AH85" s="7612"/>
      <c r="AI85" s="7612"/>
      <c r="AJ85" s="7613"/>
      <c r="AK85" s="3418"/>
      <c r="AL85" s="1919"/>
      <c r="AV85" s="530"/>
      <c r="AW85" s="530"/>
      <c r="AX85" s="530"/>
      <c r="AY85" s="530"/>
      <c r="AZ85" s="530"/>
      <c r="BA85" s="530"/>
      <c r="BB85" s="530"/>
      <c r="BC85" s="530"/>
      <c r="BD85" s="530"/>
      <c r="BE85" s="530"/>
      <c r="BF85" s="530"/>
      <c r="BG85" s="530"/>
      <c r="BH85" s="530"/>
      <c r="BI85" s="530"/>
      <c r="BJ85" s="530"/>
      <c r="BK85" s="530"/>
      <c r="BL85" s="530"/>
      <c r="BM85" s="530"/>
      <c r="BN85" s="530"/>
      <c r="BO85" s="530"/>
      <c r="BP85" s="530"/>
      <c r="BQ85" s="530"/>
      <c r="BR85" s="530"/>
      <c r="BS85" s="530"/>
      <c r="BT85" s="530"/>
      <c r="BU85" s="530"/>
      <c r="BV85" s="530"/>
      <c r="BW85" s="530"/>
      <c r="BX85" s="530"/>
    </row>
    <row r="86" spans="1:76" ht="12" customHeight="1">
      <c r="A86" s="859"/>
      <c r="B86" s="443"/>
      <c r="C86" s="6301" t="s">
        <v>6864</v>
      </c>
      <c r="D86" s="6302"/>
      <c r="E86" s="6302"/>
      <c r="F86" s="6302"/>
      <c r="G86" s="6302"/>
      <c r="H86" s="6302"/>
      <c r="I86" s="6302"/>
      <c r="J86" s="6302"/>
      <c r="K86" s="6302"/>
      <c r="L86" s="6302"/>
      <c r="M86" s="6302"/>
      <c r="N86" s="6302"/>
      <c r="O86" s="6302"/>
      <c r="P86" s="6302"/>
      <c r="Q86" s="7232"/>
      <c r="R86" s="1257"/>
      <c r="S86" s="1258"/>
      <c r="T86" s="1906"/>
      <c r="U86" s="3417"/>
      <c r="V86" s="7673"/>
      <c r="W86" s="7262"/>
      <c r="X86" s="7262"/>
      <c r="Y86" s="7262"/>
      <c r="Z86" s="7262"/>
      <c r="AA86" s="3427"/>
      <c r="AB86" s="3428"/>
      <c r="AD86" s="7614"/>
      <c r="AE86" s="7615"/>
      <c r="AF86" s="7615"/>
      <c r="AG86" s="7615"/>
      <c r="AH86" s="7615"/>
      <c r="AI86" s="7615"/>
      <c r="AJ86" s="7616"/>
      <c r="AK86" s="3418"/>
      <c r="AL86" s="1919"/>
      <c r="AV86" s="530"/>
      <c r="AW86" s="530"/>
      <c r="AX86" s="530"/>
      <c r="AY86" s="530"/>
      <c r="AZ86" s="530"/>
      <c r="BA86" s="530"/>
      <c r="BB86" s="530"/>
      <c r="BC86" s="530"/>
      <c r="BD86" s="530"/>
      <c r="BE86" s="530"/>
      <c r="BF86" s="530"/>
      <c r="BG86" s="530"/>
      <c r="BH86" s="530"/>
      <c r="BI86" s="530"/>
      <c r="BJ86" s="530"/>
      <c r="BK86" s="530"/>
      <c r="BL86" s="530"/>
      <c r="BM86" s="530"/>
      <c r="BN86" s="530"/>
      <c r="BO86" s="530"/>
      <c r="BP86" s="530"/>
      <c r="BQ86" s="530"/>
      <c r="BR86" s="530"/>
      <c r="BS86" s="530"/>
      <c r="BT86" s="530"/>
      <c r="BU86" s="530"/>
      <c r="BV86" s="530"/>
      <c r="BW86" s="530"/>
      <c r="BX86" s="530"/>
    </row>
    <row r="87" spans="1:76" ht="12" customHeight="1" thickBot="1">
      <c r="A87" s="859"/>
      <c r="B87" s="443"/>
      <c r="C87" s="6304"/>
      <c r="D87" s="6305"/>
      <c r="E87" s="6305"/>
      <c r="F87" s="6305"/>
      <c r="G87" s="6305"/>
      <c r="H87" s="6305"/>
      <c r="I87" s="6305"/>
      <c r="J87" s="6305"/>
      <c r="K87" s="6305"/>
      <c r="L87" s="6305"/>
      <c r="M87" s="6305"/>
      <c r="N87" s="6305"/>
      <c r="O87" s="6305"/>
      <c r="P87" s="6305"/>
      <c r="Q87" s="7233"/>
      <c r="R87" s="532"/>
      <c r="S87" s="859"/>
      <c r="T87" s="1906"/>
      <c r="U87" s="3417"/>
      <c r="V87" s="7607"/>
      <c r="W87" s="7608"/>
      <c r="X87" s="7608"/>
      <c r="Y87" s="7608"/>
      <c r="Z87" s="7608"/>
      <c r="AA87" s="2518"/>
      <c r="AB87" s="1881"/>
      <c r="AD87" s="7617"/>
      <c r="AE87" s="7334"/>
      <c r="AF87" s="7334"/>
      <c r="AG87" s="7334"/>
      <c r="AH87" s="7334"/>
      <c r="AI87" s="7334"/>
      <c r="AJ87" s="7618"/>
      <c r="AK87" s="3418"/>
      <c r="AL87" s="1919"/>
      <c r="AV87" s="530"/>
      <c r="AW87" s="530"/>
      <c r="AX87" s="530"/>
      <c r="AY87" s="530"/>
      <c r="AZ87" s="530"/>
      <c r="BA87" s="530"/>
      <c r="BB87" s="530"/>
      <c r="BC87" s="530"/>
      <c r="BD87" s="530"/>
      <c r="BE87" s="530"/>
      <c r="BF87" s="530"/>
      <c r="BG87" s="530"/>
      <c r="BH87" s="530"/>
      <c r="BI87" s="530"/>
      <c r="BJ87" s="530"/>
      <c r="BK87" s="530"/>
      <c r="BL87" s="530"/>
      <c r="BM87" s="530"/>
      <c r="BN87" s="530"/>
      <c r="BO87" s="530"/>
      <c r="BP87" s="530"/>
      <c r="BQ87" s="530"/>
      <c r="BR87" s="530"/>
      <c r="BS87" s="530"/>
      <c r="BT87" s="530"/>
      <c r="BU87" s="530"/>
      <c r="BV87" s="530"/>
      <c r="BW87" s="530"/>
      <c r="BX87" s="530"/>
    </row>
    <row r="88" spans="1:76" ht="12" customHeight="1" thickBot="1">
      <c r="A88" s="859"/>
      <c r="B88" s="443"/>
      <c r="R88" s="532"/>
      <c r="S88" s="859"/>
      <c r="T88" s="1906"/>
      <c r="U88" s="3417"/>
      <c r="V88" s="7609"/>
      <c r="W88" s="7610"/>
      <c r="X88" s="7610"/>
      <c r="Y88" s="7610"/>
      <c r="Z88" s="7610"/>
      <c r="AA88" s="3429"/>
      <c r="AB88" s="3430"/>
      <c r="AD88" s="7614"/>
      <c r="AE88" s="7615"/>
      <c r="AF88" s="7615"/>
      <c r="AG88" s="7615"/>
      <c r="AH88" s="7615"/>
      <c r="AI88" s="7615"/>
      <c r="AJ88" s="7616"/>
      <c r="AK88" s="3418"/>
      <c r="AL88" s="1919"/>
      <c r="AV88" s="530"/>
      <c r="AW88" s="530"/>
      <c r="AX88" s="530"/>
      <c r="AY88" s="530"/>
      <c r="AZ88" s="530"/>
      <c r="BA88" s="530"/>
      <c r="BB88" s="530"/>
      <c r="BC88" s="530"/>
      <c r="BD88" s="530"/>
      <c r="BE88" s="530"/>
      <c r="BF88" s="530"/>
      <c r="BG88" s="530"/>
      <c r="BH88" s="530"/>
      <c r="BI88" s="530"/>
      <c r="BJ88" s="530"/>
      <c r="BK88" s="530"/>
      <c r="BL88" s="530"/>
      <c r="BM88" s="530"/>
      <c r="BN88" s="530"/>
      <c r="BO88" s="530"/>
      <c r="BP88" s="530"/>
      <c r="BQ88" s="530"/>
      <c r="BR88" s="530"/>
      <c r="BS88" s="530"/>
      <c r="BT88" s="530"/>
      <c r="BU88" s="530"/>
      <c r="BV88" s="530"/>
      <c r="BW88" s="530"/>
      <c r="BX88" s="530"/>
    </row>
    <row r="89" spans="1:76" ht="12" customHeight="1" thickBot="1">
      <c r="A89" s="859"/>
      <c r="B89" s="443"/>
      <c r="D89" s="4352" t="s">
        <v>6878</v>
      </c>
      <c r="E89" s="4318"/>
      <c r="F89" s="7314" t="str">
        <f>"Poderes adquiridos: "&amp;IF(Tablas!$J$2033&gt;0,"Influjo Sobrenatural"&amp;IF(Tablas!$J$2038&gt;0,", Demiurgo",""),IF(Tablas!$J$2038&gt;0,"Demiurgo","Ninguno"))</f>
        <v>Poderes adquiridos: Ninguno</v>
      </c>
      <c r="G89" s="7314"/>
      <c r="H89" s="7314"/>
      <c r="I89" s="7314"/>
      <c r="J89" s="7314"/>
      <c r="K89" s="7314"/>
      <c r="L89" s="7314"/>
      <c r="M89" s="7315"/>
      <c r="N89" s="7350" t="s">
        <v>6865</v>
      </c>
      <c r="O89" s="7351"/>
      <c r="P89" s="7352"/>
      <c r="R89" s="532"/>
      <c r="S89" s="859"/>
      <c r="T89" s="1906"/>
      <c r="U89" s="3417"/>
      <c r="AD89" s="7237"/>
      <c r="AE89" s="7238"/>
      <c r="AF89" s="7238"/>
      <c r="AG89" s="7238"/>
      <c r="AH89" s="7238"/>
      <c r="AI89" s="7238"/>
      <c r="AJ89" s="7239"/>
      <c r="AK89" s="3418"/>
      <c r="AL89" s="1919"/>
      <c r="AV89" s="530"/>
      <c r="AW89" s="530"/>
      <c r="AX89" s="530"/>
      <c r="AY89" s="530"/>
      <c r="AZ89" s="530"/>
      <c r="BA89" s="530"/>
      <c r="BB89" s="530"/>
      <c r="BC89" s="530"/>
      <c r="BD89" s="530"/>
      <c r="BE89" s="530"/>
      <c r="BF89" s="530"/>
      <c r="BG89" s="530"/>
      <c r="BH89" s="530"/>
      <c r="BI89" s="530"/>
      <c r="BJ89" s="530"/>
      <c r="BK89" s="530"/>
      <c r="BL89" s="530"/>
      <c r="BM89" s="530"/>
      <c r="BN89" s="530"/>
      <c r="BO89" s="530"/>
      <c r="BP89" s="530"/>
      <c r="BQ89" s="530"/>
      <c r="BR89" s="530"/>
      <c r="BS89" s="530"/>
      <c r="BT89" s="530"/>
      <c r="BU89" s="530"/>
      <c r="BV89" s="530"/>
      <c r="BW89" s="530"/>
      <c r="BX89" s="530"/>
    </row>
    <row r="90" spans="1:76" ht="12" customHeight="1">
      <c r="A90" s="859"/>
      <c r="B90" s="443"/>
      <c r="D90" s="4653"/>
      <c r="E90" s="4655"/>
      <c r="F90" s="859"/>
      <c r="G90" s="1497" t="s">
        <v>6863</v>
      </c>
      <c r="H90" s="1494"/>
      <c r="I90" s="1495"/>
      <c r="J90" s="1494"/>
      <c r="K90" s="1496"/>
      <c r="L90" s="1495"/>
      <c r="M90" s="1951"/>
      <c r="N90" s="1268" t="s">
        <v>1245</v>
      </c>
      <c r="O90" s="2193" t="s">
        <v>1250</v>
      </c>
      <c r="P90" s="2194" t="s">
        <v>1251</v>
      </c>
      <c r="R90" s="532"/>
      <c r="S90" s="859"/>
      <c r="T90" s="1906"/>
      <c r="U90" s="3417"/>
      <c r="AK90" s="3418"/>
      <c r="AL90" s="1919"/>
      <c r="AV90" s="530"/>
      <c r="AW90" s="530"/>
      <c r="AX90" s="530"/>
      <c r="AY90" s="530"/>
      <c r="AZ90" s="530"/>
      <c r="BA90" s="530"/>
      <c r="BB90" s="530"/>
      <c r="BC90" s="530"/>
      <c r="BD90" s="530"/>
      <c r="BE90" s="530"/>
      <c r="BF90" s="530"/>
      <c r="BG90" s="530"/>
      <c r="BH90" s="530"/>
      <c r="BI90" s="530"/>
      <c r="BJ90" s="530"/>
      <c r="BK90" s="530"/>
      <c r="BL90" s="530"/>
      <c r="BM90" s="530"/>
      <c r="BN90" s="530"/>
      <c r="BO90" s="530"/>
      <c r="BP90" s="530"/>
      <c r="BQ90" s="530"/>
      <c r="BR90" s="530"/>
      <c r="BS90" s="530"/>
      <c r="BT90" s="530"/>
      <c r="BU90" s="530"/>
      <c r="BV90" s="530"/>
      <c r="BW90" s="530"/>
      <c r="BX90" s="530"/>
    </row>
    <row r="91" spans="1:76" ht="12" customHeight="1" thickBot="1">
      <c r="A91" s="859"/>
      <c r="B91" s="443"/>
      <c r="D91" s="4353"/>
      <c r="E91" s="4354"/>
      <c r="F91" s="860"/>
      <c r="G91" s="855" t="s">
        <v>6866</v>
      </c>
      <c r="H91" s="1498"/>
      <c r="I91" s="1948"/>
      <c r="J91" s="1949"/>
      <c r="K91" s="1949"/>
      <c r="L91" s="1949"/>
      <c r="M91" s="1950"/>
      <c r="N91" s="1896">
        <f>IF(Tablas!$J$2033&gt;0,2*SUMPRODUCT(--ISNUMBER(SEARCH(Personalización!N$90,Personalización!$H$91))))+IF(Tablas!$J$2038&gt;0,SUMPRODUCT(--ISNUMBER(SEARCH(Personalización!N$90,Personalización!$H$90:$L$90))))</f>
        <v>0</v>
      </c>
      <c r="O91" s="861">
        <f>IF(Tablas!$J$2033&gt;0,2*SUMPRODUCT(--ISNUMBER(SEARCH(Personalización!O$90,Personalización!$H$91))))+IF(Tablas!$J$2038&gt;0,SUMPRODUCT(--ISNUMBER(SEARCH(Personalización!O$90,Personalización!$H$90:$L$90))))</f>
        <v>0</v>
      </c>
      <c r="P91" s="862">
        <f>IF(Tablas!$J$2033&gt;0,2*SUMPRODUCT(--ISNUMBER(SEARCH(Personalización!P$90,Personalización!$H$91))))+IF(Tablas!$J$2038&gt;0,SUMPRODUCT(--ISNUMBER(SEARCH(Personalización!P$90,Personalización!$H$90:$L$90))))</f>
        <v>0</v>
      </c>
      <c r="R91" s="532"/>
      <c r="S91" s="859"/>
      <c r="T91" s="1906"/>
      <c r="U91" s="3417"/>
      <c r="AK91" s="3418"/>
      <c r="AL91" s="1919"/>
      <c r="AV91" s="530"/>
      <c r="AW91" s="530"/>
      <c r="AX91" s="530"/>
      <c r="AY91" s="530"/>
      <c r="AZ91" s="530"/>
      <c r="BA91" s="530"/>
      <c r="BB91" s="530"/>
      <c r="BC91" s="530"/>
      <c r="BD91" s="530"/>
      <c r="BE91" s="530"/>
      <c r="BF91" s="530"/>
      <c r="BG91" s="530"/>
      <c r="BH91" s="530"/>
      <c r="BI91" s="530"/>
      <c r="BJ91" s="530"/>
      <c r="BK91" s="530"/>
      <c r="BL91" s="530"/>
      <c r="BM91" s="530"/>
      <c r="BN91" s="530"/>
      <c r="BO91" s="530"/>
      <c r="BP91" s="530"/>
      <c r="BQ91" s="530"/>
      <c r="BR91" s="530"/>
      <c r="BS91" s="530"/>
      <c r="BT91" s="530"/>
      <c r="BU91" s="530"/>
      <c r="BV91" s="530"/>
      <c r="BW91" s="530"/>
      <c r="BX91" s="530"/>
    </row>
    <row r="92" spans="1:76" ht="12" customHeight="1" thickBot="1">
      <c r="A92" s="859"/>
      <c r="B92" s="443"/>
      <c r="R92" s="532"/>
      <c r="S92" s="859"/>
      <c r="T92" s="1906"/>
      <c r="U92" s="3417"/>
      <c r="V92" s="7575" t="s">
        <v>10831</v>
      </c>
      <c r="W92" s="7576"/>
      <c r="X92" s="7576"/>
      <c r="Y92" s="7576"/>
      <c r="Z92" s="7576"/>
      <c r="AA92" s="7576"/>
      <c r="AB92" s="7576"/>
      <c r="AC92" s="7576"/>
      <c r="AD92" s="7576"/>
      <c r="AE92" s="7576"/>
      <c r="AF92" s="7576"/>
      <c r="AG92" s="7576"/>
      <c r="AH92" s="7576"/>
      <c r="AI92" s="7576"/>
      <c r="AJ92" s="7577"/>
      <c r="AK92" s="3418"/>
      <c r="AL92" s="1919"/>
      <c r="AV92" s="530"/>
      <c r="AW92" s="530"/>
      <c r="AX92" s="530"/>
      <c r="AY92" s="530"/>
      <c r="AZ92" s="530"/>
      <c r="BA92" s="530"/>
      <c r="BB92" s="530"/>
      <c r="BC92" s="530"/>
      <c r="BD92" s="530"/>
      <c r="BE92" s="530"/>
      <c r="BF92" s="530"/>
      <c r="BG92" s="530"/>
      <c r="BH92" s="530"/>
      <c r="BI92" s="530"/>
      <c r="BJ92" s="530"/>
      <c r="BK92" s="530"/>
      <c r="BL92" s="530"/>
      <c r="BM92" s="530"/>
      <c r="BN92" s="530"/>
      <c r="BO92" s="530"/>
      <c r="BP92" s="530"/>
      <c r="BQ92" s="530"/>
      <c r="BR92" s="530"/>
      <c r="BS92" s="530"/>
      <c r="BT92" s="530"/>
      <c r="BU92" s="530"/>
      <c r="BV92" s="530"/>
      <c r="BW92" s="530"/>
      <c r="BX92" s="530"/>
    </row>
    <row r="93" spans="1:76" ht="12" customHeight="1" thickBot="1">
      <c r="A93" s="859"/>
      <c r="B93" s="443"/>
      <c r="C93" s="7309" t="s">
        <v>6867</v>
      </c>
      <c r="D93" s="7313" t="s">
        <v>1184</v>
      </c>
      <c r="E93" s="7313"/>
      <c r="F93" s="7356"/>
      <c r="G93" s="7357"/>
      <c r="H93" s="7357"/>
      <c r="I93" s="7357"/>
      <c r="J93" s="7357"/>
      <c r="K93" s="7357"/>
      <c r="L93" s="7357"/>
      <c r="M93" s="7357"/>
      <c r="N93" s="7357"/>
      <c r="O93" s="7357"/>
      <c r="P93" s="7357"/>
      <c r="Q93" s="7358"/>
      <c r="R93" s="532"/>
      <c r="S93" s="859"/>
      <c r="T93" s="1906"/>
      <c r="U93" s="3417"/>
      <c r="V93" s="7578"/>
      <c r="W93" s="7579"/>
      <c r="X93" s="7579"/>
      <c r="Y93" s="7579"/>
      <c r="Z93" s="7579"/>
      <c r="AA93" s="7579"/>
      <c r="AB93" s="7579"/>
      <c r="AC93" s="7579"/>
      <c r="AD93" s="7579"/>
      <c r="AE93" s="7579"/>
      <c r="AF93" s="7579"/>
      <c r="AG93" s="7579"/>
      <c r="AH93" s="7579"/>
      <c r="AI93" s="7579"/>
      <c r="AJ93" s="7580"/>
      <c r="AK93" s="3418"/>
      <c r="AL93" s="1919"/>
      <c r="AV93" s="530"/>
      <c r="AW93" s="530"/>
      <c r="AX93" s="530"/>
      <c r="AY93" s="530"/>
      <c r="AZ93" s="530"/>
      <c r="BA93" s="530"/>
      <c r="BB93" s="530"/>
      <c r="BC93" s="530"/>
      <c r="BD93" s="530"/>
      <c r="BE93" s="530"/>
      <c r="BF93" s="530"/>
      <c r="BG93" s="530"/>
      <c r="BH93" s="530"/>
      <c r="BI93" s="530"/>
      <c r="BJ93" s="530"/>
      <c r="BK93" s="530"/>
      <c r="BL93" s="530"/>
      <c r="BM93" s="530"/>
      <c r="BN93" s="530"/>
      <c r="BO93" s="530"/>
      <c r="BP93" s="530"/>
      <c r="BQ93" s="530"/>
      <c r="BR93" s="530"/>
      <c r="BS93" s="530"/>
      <c r="BT93" s="530"/>
      <c r="BU93" s="530"/>
      <c r="BV93" s="530"/>
      <c r="BW93" s="530"/>
      <c r="BX93" s="530"/>
    </row>
    <row r="94" spans="1:76" ht="12" customHeight="1" thickBot="1">
      <c r="A94" s="859"/>
      <c r="B94" s="443"/>
      <c r="C94" s="7310"/>
      <c r="D94" s="7336" t="s">
        <v>6875</v>
      </c>
      <c r="E94" s="4597"/>
      <c r="F94" s="4597"/>
      <c r="G94" s="1897" t="s">
        <v>1674</v>
      </c>
      <c r="H94" s="2179" t="s">
        <v>1349</v>
      </c>
      <c r="I94" s="7336" t="s">
        <v>1408</v>
      </c>
      <c r="J94" s="4597"/>
      <c r="K94" s="4597"/>
      <c r="L94" s="4597"/>
      <c r="M94" s="4597"/>
      <c r="N94" s="4597"/>
      <c r="O94" s="4597"/>
      <c r="P94" s="4597"/>
      <c r="Q94" s="7340"/>
      <c r="R94" s="532"/>
      <c r="S94" s="859"/>
      <c r="T94" s="1906"/>
      <c r="U94" s="3417"/>
      <c r="AC94" s="3431"/>
      <c r="AK94" s="3418"/>
      <c r="AL94" s="1919"/>
      <c r="AV94" s="530"/>
      <c r="AW94" s="530"/>
      <c r="AX94" s="530"/>
      <c r="AY94" s="530"/>
      <c r="AZ94" s="530"/>
      <c r="BA94" s="530"/>
      <c r="BB94" s="530"/>
      <c r="BC94" s="530"/>
      <c r="BD94" s="530"/>
      <c r="BE94" s="530"/>
      <c r="BF94" s="530"/>
      <c r="BG94" s="530"/>
      <c r="BH94" s="530"/>
      <c r="BI94" s="530"/>
      <c r="BJ94" s="530"/>
      <c r="BK94" s="530"/>
      <c r="BL94" s="530"/>
      <c r="BM94" s="530"/>
      <c r="BN94" s="530"/>
      <c r="BO94" s="530"/>
      <c r="BP94" s="530"/>
      <c r="BQ94" s="530"/>
      <c r="BR94" s="530"/>
      <c r="BS94" s="530"/>
      <c r="BT94" s="530"/>
      <c r="BU94" s="530"/>
      <c r="BV94" s="530"/>
      <c r="BW94" s="530"/>
      <c r="BX94" s="530"/>
    </row>
    <row r="95" spans="1:76" ht="12" customHeight="1" thickBot="1">
      <c r="A95" s="859"/>
      <c r="B95" s="443"/>
      <c r="C95" s="7310"/>
      <c r="D95" s="7337"/>
      <c r="E95" s="7337"/>
      <c r="F95" s="7337"/>
      <c r="G95" s="1504"/>
      <c r="H95" s="1504"/>
      <c r="I95" s="7359"/>
      <c r="J95" s="7360"/>
      <c r="K95" s="7360"/>
      <c r="L95" s="7360"/>
      <c r="M95" s="7360"/>
      <c r="N95" s="7360"/>
      <c r="O95" s="7360"/>
      <c r="P95" s="7360"/>
      <c r="Q95" s="7361"/>
      <c r="R95" s="532"/>
      <c r="S95" s="859"/>
      <c r="T95" s="1906"/>
      <c r="U95" s="3417"/>
      <c r="V95" s="5433" t="s">
        <v>9120</v>
      </c>
      <c r="W95" s="5434"/>
      <c r="X95" s="5434"/>
      <c r="Y95" s="5434"/>
      <c r="Z95" s="5434"/>
      <c r="AA95" s="5434"/>
      <c r="AB95" s="5435"/>
      <c r="AC95" s="1882"/>
      <c r="AD95" s="4422" t="s">
        <v>10832</v>
      </c>
      <c r="AE95" s="4423"/>
      <c r="AF95" s="4423"/>
      <c r="AG95" s="4423"/>
      <c r="AH95" s="4423"/>
      <c r="AI95" s="4423"/>
      <c r="AJ95" s="4424"/>
      <c r="AK95" s="3418"/>
      <c r="AL95" s="1919"/>
      <c r="AN95" s="530" t="s">
        <v>8848</v>
      </c>
      <c r="AO95" s="530" t="s">
        <v>1252</v>
      </c>
      <c r="AP95" s="530" t="s">
        <v>6797</v>
      </c>
      <c r="AQ95" s="530" t="s">
        <v>7894</v>
      </c>
      <c r="AR95" s="530" t="s">
        <v>1425</v>
      </c>
      <c r="AV95" s="530"/>
      <c r="AW95" s="530"/>
      <c r="AX95" s="530"/>
      <c r="AY95" s="530"/>
      <c r="AZ95" s="530"/>
      <c r="BA95" s="530"/>
      <c r="BB95" s="530"/>
      <c r="BC95" s="530"/>
      <c r="BD95" s="530"/>
      <c r="BE95" s="530"/>
      <c r="BF95" s="530"/>
      <c r="BG95" s="530"/>
      <c r="BH95" s="530"/>
      <c r="BI95" s="530"/>
      <c r="BJ95" s="530"/>
      <c r="BK95" s="530"/>
      <c r="BL95" s="530"/>
      <c r="BM95" s="530"/>
      <c r="BN95" s="530"/>
      <c r="BO95" s="530"/>
      <c r="BP95" s="530"/>
      <c r="BQ95" s="530"/>
      <c r="BR95" s="530"/>
      <c r="BS95" s="530"/>
      <c r="BT95" s="530"/>
      <c r="BU95" s="530"/>
      <c r="BV95" s="530"/>
      <c r="BW95" s="530"/>
      <c r="BX95" s="530"/>
    </row>
    <row r="96" spans="1:76" ht="12" customHeight="1">
      <c r="A96" s="859"/>
      <c r="B96" s="443"/>
      <c r="C96" s="7310"/>
      <c r="D96" s="7256"/>
      <c r="E96" s="7256"/>
      <c r="F96" s="7256"/>
      <c r="G96" s="1505"/>
      <c r="H96" s="1505"/>
      <c r="I96" s="7264"/>
      <c r="J96" s="7265"/>
      <c r="K96" s="7265"/>
      <c r="L96" s="7265"/>
      <c r="M96" s="7265"/>
      <c r="N96" s="7265"/>
      <c r="O96" s="7265"/>
      <c r="P96" s="7265"/>
      <c r="Q96" s="7266"/>
      <c r="R96" s="532"/>
      <c r="S96" s="859"/>
      <c r="T96" s="1906"/>
      <c r="U96" s="3417"/>
      <c r="V96" s="7623" t="s">
        <v>1300</v>
      </c>
      <c r="W96" s="7624"/>
      <c r="X96" s="7624"/>
      <c r="Y96" s="7624"/>
      <c r="Z96" s="7624"/>
      <c r="AA96" s="7625"/>
      <c r="AB96" s="2535" t="s">
        <v>1349</v>
      </c>
      <c r="AC96" s="304"/>
      <c r="AD96" s="7626" t="s">
        <v>1300</v>
      </c>
      <c r="AE96" s="7627"/>
      <c r="AF96" s="7627"/>
      <c r="AG96" s="7627"/>
      <c r="AH96" s="7628"/>
      <c r="AI96" s="2460" t="s">
        <v>891</v>
      </c>
      <c r="AJ96" s="2535" t="s">
        <v>1359</v>
      </c>
      <c r="AK96" s="3418"/>
      <c r="AL96" s="1919"/>
      <c r="AN96" s="530" t="b">
        <f>AA115&lt;&gt;"-"</f>
        <v>0</v>
      </c>
      <c r="AO96" s="530" t="str">
        <f>IF(AN96,X112&amp;": "&amp;AD115&amp;" "&amp;AC113&amp;IF(AB119&gt;0," +"&amp;AB119,"")&amp;IF(AH113="",""," y "&amp;AH113&amp;IF(AG119&gt;0," +"&amp;AG119,"")),"")</f>
        <v/>
      </c>
      <c r="AP96" s="530" t="str">
        <f>IF(AN96,X112&amp;": "&amp;AA115&amp;" "&amp;AC113&amp;IF(AB119&gt;0," +"&amp;AB119,"")&amp;IF(AH113="",""," y "&amp;AF115&amp;" "&amp;AH113&amp;IF(AG119&gt;0," +"&amp;AG119,"")),"")</f>
        <v/>
      </c>
      <c r="AQ96" s="530" t="str">
        <f>IF(AN96,X112&amp;": "&amp;IFERROR(MAX(AB115,AG115),AB115)&amp;" "&amp;IF(Par_Esq="Esq","Esquiva",AC113&amp;IF(AB119&gt;0," +"&amp;AB119,"")&amp;IF(AH113="",""," y "&amp;AH113&amp;IF(AG119&gt;0," +"&amp;AG119,""))),"")</f>
        <v/>
      </c>
      <c r="AR96" s="530" t="str">
        <f>IF(AN96,X112&amp;": "&amp;AE115&amp;" "&amp;AC113&amp;IF(AB119&gt;0," +"&amp;AB119,"")&amp;IF($AA118="-",""," ("&amp;$AA118&amp;IF($AB118="-",""," / "&amp;$AB118)&amp;")")&amp;IF(AH113="",""," y "&amp;AJ115&amp;" "&amp;AH113&amp;IF(AG119&gt;0," +"&amp;AG119,""))&amp;IF($AF118="-",""," ("&amp;$AF118&amp;IF($AG118="-",""," / "&amp;$AG118)&amp;")"),"")</f>
        <v/>
      </c>
      <c r="AV96" s="530"/>
      <c r="AW96" s="530"/>
      <c r="AX96" s="530"/>
      <c r="AY96" s="530"/>
      <c r="AZ96" s="530"/>
      <c r="BA96" s="530"/>
      <c r="BB96" s="530"/>
      <c r="BC96" s="530"/>
      <c r="BD96" s="530"/>
      <c r="BE96" s="530"/>
      <c r="BF96" s="530"/>
      <c r="BG96" s="530"/>
      <c r="BH96" s="530"/>
      <c r="BI96" s="530"/>
      <c r="BJ96" s="530"/>
      <c r="BK96" s="530"/>
      <c r="BL96" s="530"/>
      <c r="BM96" s="530"/>
      <c r="BN96" s="530"/>
      <c r="BO96" s="530"/>
      <c r="BP96" s="530"/>
      <c r="BQ96" s="530"/>
      <c r="BR96" s="530"/>
      <c r="BS96" s="530"/>
      <c r="BT96" s="530"/>
      <c r="BU96" s="530"/>
      <c r="BV96" s="530"/>
      <c r="BW96" s="530"/>
      <c r="BX96" s="530"/>
    </row>
    <row r="97" spans="1:76" ht="12" customHeight="1">
      <c r="A97" s="859"/>
      <c r="B97" s="443"/>
      <c r="C97" s="7310"/>
      <c r="D97" s="7256"/>
      <c r="E97" s="7256"/>
      <c r="F97" s="7256"/>
      <c r="G97" s="1505"/>
      <c r="H97" s="1505"/>
      <c r="I97" s="7264"/>
      <c r="J97" s="7265"/>
      <c r="K97" s="7265"/>
      <c r="L97" s="7265"/>
      <c r="M97" s="7265"/>
      <c r="N97" s="7265"/>
      <c r="O97" s="7265"/>
      <c r="P97" s="7265"/>
      <c r="Q97" s="7266"/>
      <c r="R97" s="532"/>
      <c r="S97" s="859"/>
      <c r="T97" s="1906"/>
      <c r="U97" s="3417"/>
      <c r="V97" s="7629"/>
      <c r="W97" s="7630"/>
      <c r="X97" s="7630"/>
      <c r="Y97" s="7630"/>
      <c r="Z97" s="7630"/>
      <c r="AA97" s="7631"/>
      <c r="AB97" s="3428"/>
      <c r="AC97" s="304"/>
      <c r="AD97" s="7629"/>
      <c r="AE97" s="7630"/>
      <c r="AF97" s="7630"/>
      <c r="AG97" s="7630"/>
      <c r="AH97" s="7631"/>
      <c r="AI97" s="3427"/>
      <c r="AJ97" s="3428"/>
      <c r="AK97" s="3418"/>
      <c r="AL97" s="1919"/>
      <c r="AV97" s="530"/>
      <c r="AW97" s="530"/>
      <c r="AX97" s="530"/>
      <c r="AY97" s="530"/>
      <c r="AZ97" s="530"/>
      <c r="BA97" s="530"/>
      <c r="BB97" s="530"/>
      <c r="BC97" s="530"/>
      <c r="BD97" s="530"/>
      <c r="BE97" s="530"/>
      <c r="BF97" s="530"/>
      <c r="BG97" s="530"/>
      <c r="BH97" s="530"/>
      <c r="BI97" s="530"/>
      <c r="BJ97" s="530"/>
      <c r="BK97" s="530"/>
      <c r="BL97" s="530"/>
      <c r="BM97" s="530"/>
      <c r="BN97" s="530"/>
      <c r="BO97" s="530"/>
      <c r="BP97" s="530"/>
      <c r="BQ97" s="530"/>
      <c r="BR97" s="530"/>
      <c r="BS97" s="530"/>
      <c r="BT97" s="530"/>
      <c r="BU97" s="530"/>
      <c r="BV97" s="530"/>
      <c r="BW97" s="530"/>
      <c r="BX97" s="530"/>
    </row>
    <row r="98" spans="1:76" ht="12" customHeight="1">
      <c r="A98" s="859"/>
      <c r="B98" s="443"/>
      <c r="C98" s="7310"/>
      <c r="D98" s="7255"/>
      <c r="E98" s="7256"/>
      <c r="F98" s="7257"/>
      <c r="G98" s="1501"/>
      <c r="H98" s="1507"/>
      <c r="I98" s="7264"/>
      <c r="J98" s="7265"/>
      <c r="K98" s="7265"/>
      <c r="L98" s="7265"/>
      <c r="M98" s="7265"/>
      <c r="N98" s="7265"/>
      <c r="O98" s="7265"/>
      <c r="P98" s="7265"/>
      <c r="Q98" s="7266"/>
      <c r="R98" s="532"/>
      <c r="S98" s="859"/>
      <c r="T98" s="1906"/>
      <c r="U98" s="3417"/>
      <c r="V98" s="7607"/>
      <c r="W98" s="7608"/>
      <c r="X98" s="7608"/>
      <c r="Y98" s="7608"/>
      <c r="Z98" s="7608"/>
      <c r="AA98" s="7632"/>
      <c r="AB98" s="1881"/>
      <c r="AC98" s="304"/>
      <c r="AD98" s="7607"/>
      <c r="AE98" s="7608"/>
      <c r="AF98" s="7608"/>
      <c r="AG98" s="7608"/>
      <c r="AH98" s="7632"/>
      <c r="AI98" s="2518"/>
      <c r="AJ98" s="1881"/>
      <c r="AK98" s="3418"/>
      <c r="AL98" s="1919"/>
      <c r="AN98" s="530" t="s">
        <v>8167</v>
      </c>
      <c r="AQ98" s="530" t="s">
        <v>8175</v>
      </c>
      <c r="AR98" s="530" t="s">
        <v>8177</v>
      </c>
      <c r="AS98" s="530" t="s">
        <v>8176</v>
      </c>
      <c r="AT98" s="530" t="s">
        <v>1227</v>
      </c>
      <c r="AU98" s="530" t="s">
        <v>8178</v>
      </c>
      <c r="AV98" s="530"/>
      <c r="AW98" s="530"/>
      <c r="AX98" s="530"/>
      <c r="AY98" s="530"/>
      <c r="AZ98" s="530"/>
      <c r="BA98" s="530"/>
      <c r="BB98" s="530"/>
      <c r="BC98" s="530"/>
      <c r="BD98" s="530"/>
      <c r="BE98" s="530"/>
      <c r="BF98" s="530"/>
      <c r="BG98" s="530"/>
      <c r="BH98" s="530"/>
      <c r="BI98" s="530"/>
      <c r="BJ98" s="530"/>
      <c r="BK98" s="530"/>
      <c r="BL98" s="530"/>
      <c r="BM98" s="530"/>
      <c r="BN98" s="530"/>
      <c r="BO98" s="530"/>
      <c r="BP98" s="530"/>
      <c r="BQ98" s="530"/>
      <c r="BR98" s="530"/>
      <c r="BS98" s="530"/>
      <c r="BT98" s="530"/>
      <c r="BU98" s="530"/>
      <c r="BV98" s="530"/>
      <c r="BW98" s="530"/>
      <c r="BX98" s="530"/>
    </row>
    <row r="99" spans="1:76" ht="12" customHeight="1" thickBot="1">
      <c r="A99" s="859"/>
      <c r="B99" s="443"/>
      <c r="C99" s="7310"/>
      <c r="D99" s="7258"/>
      <c r="E99" s="7259"/>
      <c r="F99" s="7260"/>
      <c r="G99" s="1508"/>
      <c r="H99" s="1501"/>
      <c r="I99" s="7347"/>
      <c r="J99" s="7348"/>
      <c r="K99" s="7348"/>
      <c r="L99" s="7348"/>
      <c r="M99" s="7348"/>
      <c r="N99" s="7348"/>
      <c r="O99" s="7348"/>
      <c r="P99" s="7348"/>
      <c r="Q99" s="7349"/>
      <c r="R99" s="1269"/>
      <c r="S99" s="859"/>
      <c r="T99" s="1906"/>
      <c r="U99" s="3417"/>
      <c r="V99" s="7633"/>
      <c r="W99" s="7610"/>
      <c r="X99" s="7610"/>
      <c r="Y99" s="7610"/>
      <c r="Z99" s="7610"/>
      <c r="AA99" s="7634"/>
      <c r="AB99" s="3430"/>
      <c r="AC99" s="304"/>
      <c r="AD99" s="7633"/>
      <c r="AE99" s="7610"/>
      <c r="AF99" s="7610"/>
      <c r="AG99" s="7610"/>
      <c r="AH99" s="7634"/>
      <c r="AI99" s="3429"/>
      <c r="AJ99" s="3430"/>
      <c r="AK99" s="3418"/>
      <c r="AL99" s="1919"/>
      <c r="AN99" s="530" t="str">
        <f>ADDRESS(ROW(AN100),COLUMN(AN100))&amp;":"&amp;IF(AN104="",ADDRESS(ROW(AN102),COLUMN(AN102)),ADDRESS(ROW(AN104),COLUMN(AN104)))</f>
        <v>$AN$100:$AN$102</v>
      </c>
      <c r="AP99" s="530">
        <f>AC113</f>
        <v>0</v>
      </c>
      <c r="AQ99" s="530" t="str">
        <f>IF(OR(AA113="A 2 manos",AA113="Proy. 2M"),"2M","")</f>
        <v/>
      </c>
      <c r="AR99" s="530">
        <f ca="1">IFERROR(VLOOKUP(AC113,Tabla_ArmasyEscudos,IF(AQ99="2M",5,4),0),0)</f>
        <v>0</v>
      </c>
      <c r="AS99" s="530">
        <f ca="1">IFERROR(IF(VLOOKUP(AC113,Tabla_ArmasyEscudos,18,0)&gt;0,IF(AC113="Atlatl",Z120+2,VLOOKUP(AC113,Tabla_ArmasyEscudos,18,0))+AB119/5,0),0)</f>
        <v>0</v>
      </c>
      <c r="AT99" s="530">
        <f ca="1">IF(AS99&lt;1,0,VLOOKUP(AS99,Tablas!$C$14:$D$33,2))</f>
        <v>0</v>
      </c>
      <c r="AU99" s="530" t="e">
        <f ca="1">VLOOKUP(AC113,Tabla_ArmasyEscudos,3,FALSE)+AE125+AB119</f>
        <v>#N/A</v>
      </c>
      <c r="AV99" s="530"/>
      <c r="AW99" s="530"/>
      <c r="AX99" s="530"/>
      <c r="AY99" s="530"/>
      <c r="AZ99" s="530"/>
      <c r="BA99" s="530"/>
      <c r="BB99" s="530"/>
      <c r="BC99" s="530"/>
      <c r="BD99" s="530"/>
      <c r="BE99" s="530"/>
      <c r="BF99" s="530"/>
      <c r="BG99" s="530"/>
      <c r="BH99" s="530"/>
      <c r="BI99" s="530"/>
      <c r="BJ99" s="530"/>
      <c r="BK99" s="530"/>
      <c r="BL99" s="530"/>
      <c r="BM99" s="530"/>
      <c r="BN99" s="530"/>
      <c r="BO99" s="530"/>
      <c r="BP99" s="530"/>
      <c r="BQ99" s="530"/>
      <c r="BR99" s="530"/>
      <c r="BS99" s="530"/>
      <c r="BT99" s="530"/>
      <c r="BU99" s="530"/>
      <c r="BV99" s="530"/>
      <c r="BW99" s="530"/>
      <c r="BX99" s="530"/>
    </row>
    <row r="100" spans="1:76" ht="12" customHeight="1" thickBot="1">
      <c r="A100" s="859"/>
      <c r="B100" s="443"/>
      <c r="C100" s="7310"/>
      <c r="D100" s="7258"/>
      <c r="E100" s="7259"/>
      <c r="F100" s="7260"/>
      <c r="G100" s="1508"/>
      <c r="H100" s="1507"/>
      <c r="I100" s="7347"/>
      <c r="J100" s="7348"/>
      <c r="K100" s="7348"/>
      <c r="L100" s="7348"/>
      <c r="M100" s="7348"/>
      <c r="N100" s="7348"/>
      <c r="O100" s="7348"/>
      <c r="P100" s="7348"/>
      <c r="Q100" s="7349"/>
      <c r="R100" s="1269"/>
      <c r="S100" s="859"/>
      <c r="T100" s="1906"/>
      <c r="U100" s="3417"/>
      <c r="AK100" s="3418"/>
      <c r="AL100" s="1919"/>
      <c r="AN100" s="530" t="s">
        <v>1819</v>
      </c>
      <c r="AP100" s="530">
        <f>AH113</f>
        <v>0</v>
      </c>
      <c r="AQ100" s="530" t="str">
        <f>IF(OR(AF113="A 2 manos",AF113="Proy. 2M"),"2M","")</f>
        <v/>
      </c>
      <c r="AR100" s="530">
        <f ca="1">IFERROR(VLOOKUP(AH113,Tabla_ArmasyEscudos,IF(AQ100="2M",5,4),0),0)</f>
        <v>0</v>
      </c>
      <c r="AS100" s="530">
        <f ca="1">IFERROR(IF(VLOOKUP(AH113,Tabla_ArmasyEscudos,18,0)&gt;0,IF(AH113="Atlatl",Z120+2,VLOOKUP(AH113,Tabla_ArmasyEscudos,18,0))+AG119/5,0),0)</f>
        <v>0</v>
      </c>
      <c r="AT100" s="530">
        <f ca="1">IF(AS100&lt;1,0,VLOOKUP(AS100,Tablas!$C$14:$D$33,2))</f>
        <v>0</v>
      </c>
      <c r="AU100" s="530" t="e">
        <f ca="1">VLOOKUP(AH113,Tabla_ArmasyEscudos,3,FALSE)+AJ125+AG119</f>
        <v>#N/A</v>
      </c>
      <c r="AV100" s="530"/>
      <c r="AW100" s="530"/>
      <c r="AX100" s="530"/>
      <c r="AY100" s="530"/>
      <c r="AZ100" s="530"/>
      <c r="BA100" s="530"/>
      <c r="BB100" s="530"/>
      <c r="BC100" s="530"/>
      <c r="BD100" s="530"/>
      <c r="BE100" s="530"/>
      <c r="BF100" s="530"/>
      <c r="BG100" s="530"/>
      <c r="BH100" s="530"/>
      <c r="BI100" s="530"/>
      <c r="BJ100" s="530"/>
      <c r="BK100" s="530"/>
      <c r="BL100" s="530"/>
      <c r="BM100" s="530"/>
      <c r="BN100" s="530"/>
      <c r="BO100" s="530"/>
      <c r="BP100" s="530"/>
      <c r="BQ100" s="530"/>
      <c r="BR100" s="530"/>
      <c r="BS100" s="530"/>
      <c r="BT100" s="530"/>
      <c r="BU100" s="530"/>
      <c r="BV100" s="530"/>
      <c r="BW100" s="530"/>
      <c r="BX100" s="530"/>
    </row>
    <row r="101" spans="1:76" ht="12" customHeight="1" thickBot="1">
      <c r="A101" s="859"/>
      <c r="B101" s="443"/>
      <c r="C101" s="7310"/>
      <c r="D101" s="7258"/>
      <c r="E101" s="7259"/>
      <c r="F101" s="7260"/>
      <c r="G101" s="1507"/>
      <c r="H101" s="1506"/>
      <c r="I101" s="7264"/>
      <c r="J101" s="7265"/>
      <c r="K101" s="7265"/>
      <c r="L101" s="7265"/>
      <c r="M101" s="7265"/>
      <c r="N101" s="7265"/>
      <c r="O101" s="7265"/>
      <c r="P101" s="7265"/>
      <c r="Q101" s="7266"/>
      <c r="R101" s="532"/>
      <c r="S101" s="859"/>
      <c r="T101" s="1906"/>
      <c r="U101" s="3417"/>
      <c r="V101" s="7760" t="s">
        <v>1770</v>
      </c>
      <c r="W101" s="7761"/>
      <c r="X101" s="7762"/>
      <c r="Y101" s="2536"/>
      <c r="Z101" s="7735" t="s">
        <v>8161</v>
      </c>
      <c r="AA101" s="7736"/>
      <c r="AB101" s="7737"/>
      <c r="AD101" s="7741" t="s">
        <v>6684</v>
      </c>
      <c r="AE101" s="7742"/>
      <c r="AF101" s="7743"/>
      <c r="AH101" s="7741" t="s">
        <v>6685</v>
      </c>
      <c r="AI101" s="7742"/>
      <c r="AJ101" s="7743"/>
      <c r="AK101" s="3418"/>
      <c r="AL101" s="1919"/>
      <c r="AN101" s="530" t="s">
        <v>1820</v>
      </c>
      <c r="AV101" s="530"/>
      <c r="AW101" s="530"/>
      <c r="AX101" s="530"/>
      <c r="AY101" s="530"/>
      <c r="AZ101" s="530"/>
      <c r="BA101" s="530"/>
      <c r="BB101" s="530"/>
      <c r="BC101" s="530"/>
      <c r="BD101" s="530"/>
      <c r="BE101" s="530"/>
      <c r="BF101" s="530"/>
      <c r="BG101" s="530"/>
      <c r="BH101" s="530"/>
      <c r="BI101" s="530"/>
      <c r="BJ101" s="530"/>
      <c r="BK101" s="530"/>
      <c r="BL101" s="530"/>
      <c r="BM101" s="530"/>
      <c r="BN101" s="530"/>
      <c r="BO101" s="530"/>
      <c r="BP101" s="530"/>
      <c r="BQ101" s="530"/>
      <c r="BR101" s="530"/>
      <c r="BS101" s="530"/>
      <c r="BT101" s="530"/>
      <c r="BU101" s="530"/>
      <c r="BV101" s="530"/>
      <c r="BW101" s="530"/>
      <c r="BX101" s="530"/>
    </row>
    <row r="102" spans="1:76" ht="12" customHeight="1" thickBot="1">
      <c r="A102" s="859"/>
      <c r="B102" s="443"/>
      <c r="C102" s="7310"/>
      <c r="D102" s="7312"/>
      <c r="E102" s="7312"/>
      <c r="F102" s="7312"/>
      <c r="G102" s="1507"/>
      <c r="H102" s="1501"/>
      <c r="I102" s="7261"/>
      <c r="J102" s="7262"/>
      <c r="K102" s="7262"/>
      <c r="L102" s="7262"/>
      <c r="M102" s="7262"/>
      <c r="N102" s="7262"/>
      <c r="O102" s="7262"/>
      <c r="P102" s="7262"/>
      <c r="Q102" s="7263"/>
      <c r="R102" s="1257"/>
      <c r="S102" s="1258"/>
      <c r="T102" s="1906"/>
      <c r="U102" s="3417"/>
      <c r="V102" s="7744"/>
      <c r="W102" s="7745"/>
      <c r="X102" s="7746"/>
      <c r="Y102" s="2536"/>
      <c r="Z102" s="7738"/>
      <c r="AA102" s="7739"/>
      <c r="AB102" s="7740"/>
      <c r="AD102" s="7747" t="s">
        <v>8160</v>
      </c>
      <c r="AE102" s="7748"/>
      <c r="AF102" s="1516"/>
      <c r="AH102" s="7749"/>
      <c r="AI102" s="7750"/>
      <c r="AJ102" s="7751"/>
      <c r="AK102" s="3418"/>
      <c r="AL102" s="1919"/>
      <c r="AN102" s="530" t="s">
        <v>1582</v>
      </c>
      <c r="AV102" s="530"/>
      <c r="AW102" s="530"/>
      <c r="AX102" s="530"/>
      <c r="AY102" s="530"/>
      <c r="AZ102" s="530"/>
      <c r="BA102" s="530"/>
      <c r="BB102" s="530"/>
      <c r="BC102" s="530"/>
      <c r="BD102" s="530"/>
      <c r="BE102" s="530"/>
      <c r="BF102" s="530"/>
      <c r="BG102" s="530"/>
      <c r="BH102" s="530"/>
      <c r="BI102" s="530"/>
      <c r="BJ102" s="530"/>
      <c r="BK102" s="530"/>
      <c r="BL102" s="530"/>
      <c r="BM102" s="530"/>
      <c r="BN102" s="530"/>
      <c r="BO102" s="530"/>
      <c r="BP102" s="530"/>
      <c r="BQ102" s="530"/>
      <c r="BR102" s="530"/>
      <c r="BS102" s="530"/>
      <c r="BT102" s="530"/>
      <c r="BU102" s="530"/>
      <c r="BV102" s="530"/>
      <c r="BW102" s="530"/>
      <c r="BX102" s="530"/>
    </row>
    <row r="103" spans="1:76" ht="12" customHeight="1" thickBot="1">
      <c r="A103" s="859"/>
      <c r="B103" s="443"/>
      <c r="C103" s="7310"/>
      <c r="D103" s="7255"/>
      <c r="E103" s="7256"/>
      <c r="F103" s="7257"/>
      <c r="G103" s="1501"/>
      <c r="H103" s="1507"/>
      <c r="I103" s="7264"/>
      <c r="J103" s="7265"/>
      <c r="K103" s="7265"/>
      <c r="L103" s="7265"/>
      <c r="M103" s="7265"/>
      <c r="N103" s="7265"/>
      <c r="O103" s="7265"/>
      <c r="P103" s="7265"/>
      <c r="Q103" s="7266"/>
      <c r="R103" s="532"/>
      <c r="S103" s="859"/>
      <c r="T103" s="1906"/>
      <c r="U103" s="3417"/>
      <c r="V103" s="7752"/>
      <c r="W103" s="7753"/>
      <c r="X103" s="7754"/>
      <c r="Y103" s="2537"/>
      <c r="Z103" s="6366" t="s">
        <v>8159</v>
      </c>
      <c r="AA103" s="7755"/>
      <c r="AB103" s="7756"/>
      <c r="AD103" s="7749"/>
      <c r="AE103" s="7750"/>
      <c r="AF103" s="7751"/>
      <c r="AH103" s="7757"/>
      <c r="AI103" s="7758"/>
      <c r="AJ103" s="7759"/>
      <c r="AK103" s="3418"/>
      <c r="AL103" s="1919"/>
      <c r="AN103" s="530" t="str">
        <f>IF(COUNTIF(W121:Z126,"Tamaño excepcional")&gt;0,"Grande","")</f>
        <v/>
      </c>
      <c r="AV103" s="530"/>
      <c r="AW103" s="530"/>
      <c r="AX103" s="530"/>
      <c r="AY103" s="530"/>
      <c r="AZ103" s="530"/>
      <c r="BA103" s="530"/>
      <c r="BB103" s="530"/>
      <c r="BC103" s="530"/>
      <c r="BD103" s="530"/>
      <c r="BE103" s="530"/>
      <c r="BF103" s="530"/>
      <c r="BG103" s="530"/>
      <c r="BH103" s="530"/>
      <c r="BI103" s="530"/>
      <c r="BJ103" s="530"/>
      <c r="BK103" s="530"/>
      <c r="BL103" s="530"/>
      <c r="BM103" s="530"/>
      <c r="BN103" s="530"/>
      <c r="BO103" s="530"/>
      <c r="BP103" s="530"/>
      <c r="BQ103" s="530"/>
      <c r="BR103" s="530"/>
      <c r="BS103" s="530"/>
      <c r="BT103" s="530"/>
      <c r="BU103" s="530"/>
      <c r="BV103" s="530"/>
      <c r="BW103" s="530"/>
      <c r="BX103" s="530"/>
    </row>
    <row r="104" spans="1:76" ht="12" customHeight="1" thickBot="1">
      <c r="A104" s="859"/>
      <c r="B104" s="443"/>
      <c r="C104" s="7310"/>
      <c r="D104" s="7312"/>
      <c r="E104" s="7312"/>
      <c r="F104" s="7312"/>
      <c r="G104" s="1507"/>
      <c r="H104" s="1507"/>
      <c r="I104" s="7264"/>
      <c r="J104" s="7265"/>
      <c r="K104" s="7265"/>
      <c r="L104" s="7265"/>
      <c r="M104" s="7265"/>
      <c r="N104" s="7265"/>
      <c r="O104" s="7265"/>
      <c r="P104" s="7265"/>
      <c r="Q104" s="7266"/>
      <c r="R104" s="532"/>
      <c r="S104" s="859"/>
      <c r="T104" s="1906"/>
      <c r="U104" s="3417"/>
      <c r="V104" s="7744"/>
      <c r="W104" s="7745"/>
      <c r="X104" s="7746"/>
      <c r="Y104" s="2537"/>
      <c r="Z104" s="7763"/>
      <c r="AA104" s="7764"/>
      <c r="AB104" s="7765"/>
      <c r="AD104" s="7757"/>
      <c r="AE104" s="7758"/>
      <c r="AF104" s="7759"/>
      <c r="AH104" s="7766"/>
      <c r="AI104" s="7767"/>
      <c r="AJ104" s="7768"/>
      <c r="AK104" s="3418"/>
      <c r="AL104" s="1919"/>
      <c r="AN104" s="530" t="str">
        <f>IF(COUNTIF(W121:Z126,"Tamaño excepcional")&gt;0,"Enorme","")</f>
        <v/>
      </c>
      <c r="AV104" s="530"/>
      <c r="AW104" s="530"/>
      <c r="AX104" s="530"/>
      <c r="AY104" s="530"/>
      <c r="AZ104" s="530"/>
      <c r="BA104" s="530"/>
      <c r="BB104" s="530"/>
      <c r="BC104" s="530"/>
      <c r="BD104" s="530"/>
      <c r="BE104" s="530"/>
      <c r="BF104" s="530"/>
      <c r="BG104" s="530"/>
      <c r="BH104" s="530"/>
      <c r="BI104" s="530"/>
      <c r="BJ104" s="530"/>
      <c r="BK104" s="530"/>
      <c r="BL104" s="530"/>
      <c r="BM104" s="530"/>
      <c r="BN104" s="530"/>
      <c r="BO104" s="530"/>
      <c r="BP104" s="530"/>
      <c r="BQ104" s="530"/>
      <c r="BR104" s="530"/>
      <c r="BS104" s="530"/>
      <c r="BT104" s="530"/>
      <c r="BU104" s="530"/>
      <c r="BV104" s="530"/>
      <c r="BW104" s="530"/>
      <c r="BX104" s="530"/>
    </row>
    <row r="105" spans="1:76" ht="12" customHeight="1" thickBot="1">
      <c r="A105" s="1258"/>
      <c r="B105" s="443"/>
      <c r="C105" s="7310"/>
      <c r="D105" s="7255"/>
      <c r="E105" s="7256"/>
      <c r="F105" s="7257"/>
      <c r="G105" s="1506"/>
      <c r="H105" s="1507"/>
      <c r="I105" s="7353"/>
      <c r="J105" s="7354"/>
      <c r="K105" s="7354"/>
      <c r="L105" s="7354"/>
      <c r="M105" s="7354"/>
      <c r="N105" s="7354"/>
      <c r="O105" s="7354"/>
      <c r="P105" s="7354"/>
      <c r="Q105" s="7355"/>
      <c r="R105" s="532"/>
      <c r="S105" s="859"/>
      <c r="T105" s="1906"/>
      <c r="U105" s="3417"/>
      <c r="V105" s="7752"/>
      <c r="W105" s="7753"/>
      <c r="X105" s="7754"/>
      <c r="Y105" s="2537"/>
      <c r="Z105" s="7769" t="s">
        <v>9136</v>
      </c>
      <c r="AA105" s="7254"/>
      <c r="AB105" s="2543"/>
      <c r="AD105" s="7766"/>
      <c r="AE105" s="7767"/>
      <c r="AF105" s="7768"/>
      <c r="AJ105" s="3431"/>
      <c r="AK105" s="3418"/>
      <c r="AL105" s="1919"/>
      <c r="AN105" s="7307" t="s">
        <v>1770</v>
      </c>
      <c r="AO105" s="7307"/>
      <c r="AV105" s="530"/>
      <c r="AW105" s="530"/>
      <c r="AX105" s="530"/>
      <c r="AY105" s="530"/>
      <c r="AZ105" s="530"/>
      <c r="BA105" s="530"/>
      <c r="BB105" s="530"/>
      <c r="BC105" s="530"/>
      <c r="BD105" s="530"/>
      <c r="BE105" s="530"/>
      <c r="BF105" s="530"/>
      <c r="BG105" s="530"/>
      <c r="BH105" s="530"/>
      <c r="BI105" s="530"/>
      <c r="BJ105" s="530"/>
      <c r="BK105" s="530"/>
      <c r="BL105" s="530"/>
      <c r="BM105" s="530"/>
      <c r="BN105" s="530"/>
      <c r="BO105" s="530"/>
      <c r="BP105" s="530"/>
      <c r="BQ105" s="530"/>
      <c r="BR105" s="530"/>
      <c r="BS105" s="530"/>
      <c r="BT105" s="530"/>
      <c r="BU105" s="530"/>
      <c r="BV105" s="530"/>
      <c r="BW105" s="530"/>
      <c r="BX105" s="530"/>
    </row>
    <row r="106" spans="1:76" ht="12" customHeight="1" thickBot="1">
      <c r="A106" s="1258"/>
      <c r="B106" s="879"/>
      <c r="C106" s="7310"/>
      <c r="D106" s="7312"/>
      <c r="E106" s="7312"/>
      <c r="F106" s="7312"/>
      <c r="G106" s="1501"/>
      <c r="H106" s="1507"/>
      <c r="I106" s="7264"/>
      <c r="J106" s="7265"/>
      <c r="K106" s="7265"/>
      <c r="L106" s="7265"/>
      <c r="M106" s="7265"/>
      <c r="N106" s="7265"/>
      <c r="O106" s="7265"/>
      <c r="P106" s="7265"/>
      <c r="Q106" s="7266"/>
      <c r="R106" s="532"/>
      <c r="S106" s="859"/>
      <c r="T106" s="1906"/>
      <c r="U106" s="3417"/>
      <c r="AK106" s="3418"/>
      <c r="AL106" s="1919"/>
      <c r="AN106" s="530" t="s">
        <v>8169</v>
      </c>
      <c r="AO106" s="530">
        <f>VLOOKUP(AF112,Tablas!$X$47:$AF$54,7,0)</f>
        <v>40</v>
      </c>
      <c r="AT106" s="530" t="s">
        <v>1315</v>
      </c>
      <c r="AV106" s="530"/>
      <c r="AW106" s="530"/>
      <c r="AX106" s="530"/>
      <c r="AY106" s="530"/>
      <c r="AZ106" s="530"/>
      <c r="BA106" s="530"/>
      <c r="BB106" s="530"/>
      <c r="BC106" s="530"/>
      <c r="BD106" s="530"/>
      <c r="BE106" s="530"/>
      <c r="BF106" s="530"/>
      <c r="BG106" s="530"/>
      <c r="BH106" s="530"/>
      <c r="BI106" s="530"/>
      <c r="BJ106" s="530"/>
      <c r="BK106" s="530"/>
      <c r="BL106" s="530"/>
      <c r="BM106" s="530"/>
      <c r="BN106" s="530"/>
      <c r="BO106" s="530"/>
      <c r="BP106" s="530"/>
      <c r="BQ106" s="530"/>
      <c r="BR106" s="530"/>
      <c r="BS106" s="530"/>
      <c r="BT106" s="530"/>
      <c r="BU106" s="530"/>
      <c r="BV106" s="530"/>
      <c r="BW106" s="530"/>
      <c r="BX106" s="530"/>
    </row>
    <row r="107" spans="1:76" ht="12" customHeight="1">
      <c r="A107" s="859"/>
      <c r="B107" s="443"/>
      <c r="C107" s="7310"/>
      <c r="D107" s="7255"/>
      <c r="E107" s="7256"/>
      <c r="F107" s="7257"/>
      <c r="G107" s="1507"/>
      <c r="H107" s="1507"/>
      <c r="I107" s="7261"/>
      <c r="J107" s="7262"/>
      <c r="K107" s="7262"/>
      <c r="L107" s="7262"/>
      <c r="M107" s="7262"/>
      <c r="N107" s="7262"/>
      <c r="O107" s="7262"/>
      <c r="P107" s="7262"/>
      <c r="Q107" s="7263"/>
      <c r="R107" s="1257"/>
      <c r="S107" s="1258"/>
      <c r="T107" s="1906"/>
      <c r="U107" s="3417"/>
      <c r="V107" s="7179" t="s">
        <v>11739</v>
      </c>
      <c r="W107" s="7180"/>
      <c r="X107" s="7181"/>
      <c r="Z107" s="7776" t="s">
        <v>11746</v>
      </c>
      <c r="AA107" s="7777"/>
      <c r="AB107" s="7778"/>
      <c r="AC107" s="628" t="s">
        <v>1411</v>
      </c>
      <c r="AD107" s="7776" t="s">
        <v>11745</v>
      </c>
      <c r="AE107" s="7777"/>
      <c r="AF107" s="7778"/>
      <c r="AH107" s="7779" t="s">
        <v>11744</v>
      </c>
      <c r="AI107" s="7780"/>
      <c r="AJ107" s="7189" t="s">
        <v>1241</v>
      </c>
      <c r="AK107" s="3418"/>
      <c r="AL107" s="1919"/>
      <c r="AN107" s="530" t="s">
        <v>1252</v>
      </c>
      <c r="AO107" s="530">
        <f>MIN(VLOOKUP(AF112,Tablas!$X$47:$AF$54,2,0),20)</f>
        <v>20</v>
      </c>
      <c r="AT107" s="530" t="s">
        <v>1315</v>
      </c>
      <c r="AV107" s="530"/>
      <c r="AW107" s="530"/>
      <c r="AX107" s="530"/>
      <c r="AY107" s="530"/>
      <c r="AZ107" s="530"/>
      <c r="BA107" s="530"/>
      <c r="BB107" s="530"/>
      <c r="BC107" s="530"/>
      <c r="BD107" s="530"/>
      <c r="BE107" s="530"/>
      <c r="BF107" s="530"/>
      <c r="BG107" s="530"/>
      <c r="BH107" s="530"/>
      <c r="BI107" s="530"/>
      <c r="BJ107" s="530"/>
      <c r="BK107" s="530"/>
      <c r="BL107" s="530"/>
      <c r="BM107" s="530"/>
      <c r="BN107" s="530"/>
      <c r="BO107" s="530"/>
      <c r="BP107" s="530"/>
      <c r="BQ107" s="530"/>
      <c r="BR107" s="530"/>
      <c r="BS107" s="530"/>
      <c r="BT107" s="530"/>
      <c r="BU107" s="530"/>
      <c r="BV107" s="530"/>
      <c r="BW107" s="530"/>
      <c r="BX107" s="530"/>
    </row>
    <row r="108" spans="1:76" ht="12" customHeight="1" thickBot="1">
      <c r="A108" s="859"/>
      <c r="B108" s="443"/>
      <c r="C108" s="7310"/>
      <c r="D108" s="7255"/>
      <c r="E108" s="7256"/>
      <c r="F108" s="7257"/>
      <c r="G108" s="1501"/>
      <c r="H108" s="1507"/>
      <c r="I108" s="7264"/>
      <c r="J108" s="7265"/>
      <c r="K108" s="7265"/>
      <c r="L108" s="7265"/>
      <c r="M108" s="7265"/>
      <c r="N108" s="7265"/>
      <c r="O108" s="7265"/>
      <c r="P108" s="7265"/>
      <c r="Q108" s="7266"/>
      <c r="R108" s="1257"/>
      <c r="S108" s="1258"/>
      <c r="T108" s="1906"/>
      <c r="U108" s="3432"/>
      <c r="V108" s="7182" t="s">
        <v>11742</v>
      </c>
      <c r="W108" s="7183"/>
      <c r="X108" s="7184"/>
      <c r="Z108" s="7773" t="s">
        <v>1411</v>
      </c>
      <c r="AA108" s="7774"/>
      <c r="AB108" s="7775"/>
      <c r="AC108" s="628" t="s">
        <v>1410</v>
      </c>
      <c r="AD108" s="7773" t="s">
        <v>1241</v>
      </c>
      <c r="AE108" s="7774"/>
      <c r="AF108" s="7775"/>
      <c r="AH108" s="7781"/>
      <c r="AI108" s="7782"/>
      <c r="AJ108" s="7190"/>
      <c r="AK108" s="3418"/>
      <c r="AL108" s="1919"/>
      <c r="AN108" s="530" t="s">
        <v>1818</v>
      </c>
      <c r="AO108" s="530">
        <f>VLOOKUP(AF112,Tablas!$X$47:$AF$54,9,0)</f>
        <v>12</v>
      </c>
      <c r="AT108" s="530" t="s">
        <v>1315</v>
      </c>
      <c r="AV108" s="530"/>
      <c r="AW108" s="530"/>
      <c r="AX108" s="530"/>
      <c r="AY108" s="530"/>
      <c r="AZ108" s="530"/>
      <c r="BA108" s="530"/>
      <c r="BB108" s="530"/>
      <c r="BC108" s="530"/>
      <c r="BD108" s="530"/>
      <c r="BE108" s="530"/>
      <c r="BF108" s="530"/>
      <c r="BG108" s="530"/>
      <c r="BH108" s="530"/>
      <c r="BI108" s="530"/>
      <c r="BJ108" s="530"/>
      <c r="BK108" s="530"/>
      <c r="BL108" s="530"/>
      <c r="BM108" s="530"/>
      <c r="BN108" s="530"/>
      <c r="BO108" s="530"/>
      <c r="BP108" s="530"/>
      <c r="BQ108" s="530"/>
      <c r="BR108" s="530"/>
      <c r="BS108" s="530"/>
      <c r="BT108" s="530"/>
      <c r="BU108" s="530"/>
      <c r="BV108" s="530"/>
      <c r="BW108" s="530"/>
      <c r="BX108" s="530"/>
    </row>
    <row r="109" spans="1:76" ht="12" customHeight="1" thickBot="1">
      <c r="A109" s="859"/>
      <c r="B109" s="443"/>
      <c r="C109" s="7310"/>
      <c r="D109" s="7312"/>
      <c r="E109" s="7312"/>
      <c r="F109" s="7312"/>
      <c r="G109" s="1507"/>
      <c r="H109" s="1506"/>
      <c r="I109" s="7261"/>
      <c r="J109" s="7262"/>
      <c r="K109" s="7262"/>
      <c r="L109" s="7262"/>
      <c r="M109" s="7262"/>
      <c r="N109" s="7262"/>
      <c r="O109" s="7262"/>
      <c r="P109" s="7262"/>
      <c r="Q109" s="7263"/>
      <c r="R109" s="1257"/>
      <c r="S109" s="1258"/>
      <c r="T109" s="859"/>
      <c r="U109" s="3433"/>
      <c r="AC109" s="628" t="s">
        <v>1357</v>
      </c>
      <c r="AK109" s="3418"/>
      <c r="AL109" s="1919"/>
      <c r="AN109" s="530" t="s">
        <v>1429</v>
      </c>
      <c r="AO109" s="530">
        <f>VLOOKUP(AF112,Tablas!$X$47:$AF$54,8,0)</f>
        <v>0</v>
      </c>
      <c r="AT109" s="530" t="s">
        <v>1315</v>
      </c>
      <c r="AV109" s="530"/>
      <c r="AW109" s="530"/>
      <c r="AX109" s="530"/>
      <c r="AY109" s="530"/>
      <c r="AZ109" s="530"/>
      <c r="BA109" s="530"/>
      <c r="BB109" s="530"/>
      <c r="BC109" s="530"/>
      <c r="BD109" s="530"/>
      <c r="BE109" s="530"/>
      <c r="BF109" s="530"/>
      <c r="BG109" s="530"/>
      <c r="BH109" s="530"/>
      <c r="BI109" s="530"/>
      <c r="BJ109" s="530"/>
      <c r="BK109" s="530"/>
      <c r="BL109" s="530"/>
      <c r="BM109" s="530"/>
      <c r="BN109" s="530"/>
      <c r="BO109" s="530"/>
      <c r="BP109" s="530"/>
      <c r="BQ109" s="530"/>
      <c r="BR109" s="530"/>
      <c r="BS109" s="530"/>
      <c r="BT109" s="530"/>
      <c r="BU109" s="530"/>
      <c r="BV109" s="530"/>
      <c r="BW109" s="530"/>
      <c r="BX109" s="530"/>
    </row>
    <row r="110" spans="1:76" ht="12" customHeight="1" thickBot="1">
      <c r="A110" s="859"/>
      <c r="B110" s="443"/>
      <c r="C110" s="7311"/>
      <c r="D110" s="7341"/>
      <c r="E110" s="7342"/>
      <c r="F110" s="7343"/>
      <c r="G110" s="2185"/>
      <c r="H110" s="2185"/>
      <c r="I110" s="7344"/>
      <c r="J110" s="7345"/>
      <c r="K110" s="7345"/>
      <c r="L110" s="7345"/>
      <c r="M110" s="7345"/>
      <c r="N110" s="7345"/>
      <c r="O110" s="7345"/>
      <c r="P110" s="7345"/>
      <c r="Q110" s="7346"/>
      <c r="R110" s="1257"/>
      <c r="S110" s="1258"/>
      <c r="T110" s="1258"/>
      <c r="U110" s="3417"/>
      <c r="V110" s="7735" t="s">
        <v>8142</v>
      </c>
      <c r="W110" s="7736"/>
      <c r="X110" s="7736"/>
      <c r="Y110" s="7736"/>
      <c r="Z110" s="7736"/>
      <c r="AA110" s="7736"/>
      <c r="AB110" s="7736"/>
      <c r="AC110" s="7736"/>
      <c r="AD110" s="7736"/>
      <c r="AE110" s="7736"/>
      <c r="AF110" s="7736"/>
      <c r="AG110" s="7736"/>
      <c r="AH110" s="7736"/>
      <c r="AI110" s="7736"/>
      <c r="AJ110" s="7737"/>
      <c r="AK110" s="3418"/>
      <c r="AL110" s="1919"/>
      <c r="AV110" s="530"/>
      <c r="AW110" s="530"/>
      <c r="AX110" s="530"/>
      <c r="AY110" s="530"/>
      <c r="AZ110" s="530"/>
      <c r="BA110" s="530"/>
      <c r="BB110" s="530"/>
      <c r="BC110" s="530"/>
      <c r="BD110" s="530"/>
      <c r="BE110" s="530"/>
      <c r="BF110" s="530"/>
      <c r="BG110" s="530"/>
      <c r="BH110" s="530"/>
      <c r="BI110" s="530"/>
      <c r="BJ110" s="530"/>
      <c r="BK110" s="530"/>
      <c r="BL110" s="530"/>
      <c r="BM110" s="530"/>
      <c r="BN110" s="530"/>
      <c r="BO110" s="530"/>
      <c r="BP110" s="530"/>
      <c r="BQ110" s="530"/>
      <c r="BR110" s="530"/>
      <c r="BS110" s="530"/>
      <c r="BT110" s="530"/>
      <c r="BU110" s="530"/>
      <c r="BV110" s="530"/>
      <c r="BW110" s="530"/>
      <c r="BX110" s="530"/>
    </row>
    <row r="111" spans="1:76" ht="12" customHeight="1" thickBot="1">
      <c r="A111" s="859"/>
      <c r="B111" s="522"/>
      <c r="R111" s="1901"/>
      <c r="S111" s="1258"/>
      <c r="T111" s="1258"/>
      <c r="U111" s="3417"/>
      <c r="V111" s="7770"/>
      <c r="W111" s="7771"/>
      <c r="X111" s="7771"/>
      <c r="Y111" s="7771"/>
      <c r="Z111" s="7771"/>
      <c r="AA111" s="7771"/>
      <c r="AB111" s="7771"/>
      <c r="AC111" s="7771"/>
      <c r="AD111" s="7771"/>
      <c r="AE111" s="7771"/>
      <c r="AF111" s="7771"/>
      <c r="AG111" s="7771"/>
      <c r="AH111" s="7771"/>
      <c r="AI111" s="7771"/>
      <c r="AJ111" s="7772"/>
      <c r="AK111" s="3418" t="e">
        <f>IF(Z120&lt;1,0,VLOOKUP(Z120,Tabla_BonoStats,2))</f>
        <v>#N/A</v>
      </c>
      <c r="AL111" s="1919"/>
      <c r="AN111" s="530" t="s">
        <v>8848</v>
      </c>
      <c r="AO111" s="530" t="s">
        <v>1252</v>
      </c>
      <c r="AP111" s="530" t="s">
        <v>6797</v>
      </c>
      <c r="AQ111" s="530" t="s">
        <v>7894</v>
      </c>
      <c r="AR111" s="530" t="s">
        <v>1425</v>
      </c>
      <c r="AV111" s="530"/>
      <c r="AW111" s="530"/>
      <c r="AX111" s="530"/>
      <c r="AY111" s="530"/>
      <c r="AZ111" s="530"/>
      <c r="BA111" s="530"/>
      <c r="BB111" s="530"/>
      <c r="BC111" s="530"/>
      <c r="BD111" s="530"/>
      <c r="BE111" s="530"/>
      <c r="BF111" s="530"/>
      <c r="BG111" s="530"/>
      <c r="BH111" s="530"/>
      <c r="BI111" s="530"/>
      <c r="BJ111" s="530"/>
      <c r="BK111" s="530"/>
      <c r="BL111" s="530"/>
      <c r="BM111" s="530"/>
      <c r="BN111" s="530"/>
      <c r="BO111" s="530"/>
      <c r="BP111" s="530"/>
      <c r="BQ111" s="530"/>
      <c r="BR111" s="530"/>
      <c r="BS111" s="530"/>
      <c r="BT111" s="530"/>
      <c r="BU111" s="530"/>
      <c r="BV111" s="530"/>
      <c r="BW111" s="530"/>
      <c r="BX111" s="530"/>
    </row>
    <row r="112" spans="1:76" ht="12" customHeight="1" thickBot="1">
      <c r="A112" s="859"/>
      <c r="B112" s="443"/>
      <c r="E112" s="7362" t="s">
        <v>6184</v>
      </c>
      <c r="F112" s="7363"/>
      <c r="G112" s="7363"/>
      <c r="H112" s="7363"/>
      <c r="I112" s="7363"/>
      <c r="J112" s="7363"/>
      <c r="K112" s="7364"/>
      <c r="L112" s="7338" t="s">
        <v>6186</v>
      </c>
      <c r="M112" s="7338"/>
      <c r="N112" s="7338"/>
      <c r="O112" s="7339"/>
      <c r="R112" s="1257"/>
      <c r="S112" s="1258"/>
      <c r="T112" s="859"/>
      <c r="U112" s="3433"/>
      <c r="V112" s="7653" t="s">
        <v>1184</v>
      </c>
      <c r="W112" s="7654"/>
      <c r="X112" s="7234" t="s">
        <v>8150</v>
      </c>
      <c r="Y112" s="7235"/>
      <c r="Z112" s="7235"/>
      <c r="AA112" s="7235"/>
      <c r="AB112" s="7236"/>
      <c r="AC112" s="7593" t="s">
        <v>8166</v>
      </c>
      <c r="AD112" s="7635"/>
      <c r="AE112" s="7594"/>
      <c r="AF112" s="7636" t="s">
        <v>1582</v>
      </c>
      <c r="AG112" s="7637"/>
      <c r="AH112" s="7593" t="s">
        <v>8162</v>
      </c>
      <c r="AI112" s="7594"/>
      <c r="AJ112" s="2517" t="s">
        <v>1241</v>
      </c>
      <c r="AK112" s="3418"/>
      <c r="AL112" s="1919"/>
      <c r="AN112" s="530" t="b">
        <f>AA131&lt;&gt;"-"</f>
        <v>0</v>
      </c>
      <c r="AO112" s="530" t="str">
        <f>IF(AN112,X128&amp;": "&amp;AD131&amp;" "&amp;AC129&amp;IF(AB135&gt;0," +"&amp;AB135,"")&amp;IF(AH129="",""," y "&amp;AH129&amp;IF(AG135&gt;0," +"&amp;AG135,"")),"")</f>
        <v/>
      </c>
      <c r="AP112" s="530" t="str">
        <f>IF(AN112,X128&amp;": "&amp;AA131&amp;" "&amp;AC129&amp;IF(AB135&gt;0," +"&amp;AB135,"")&amp;IF(AH129="",""," y "&amp;AF131&amp;" "&amp;AH129&amp;IF(AG135&gt;0," +"&amp;AG135,"")),"")</f>
        <v/>
      </c>
      <c r="AQ112" s="530" t="str">
        <f>IF(AN112,X128&amp;": "&amp;IFERROR(MAX(AB131,AG131),AB131)&amp;" "&amp;IF(Par_Esq="Esq","Esquiva",AC129&amp;IF(AB135&gt;0," +"&amp;AB135,"")&amp;IF(AH129="",""," y "&amp;AH129&amp;IF(AG135&gt;0," +"&amp;AG135,""))),"")</f>
        <v/>
      </c>
      <c r="AR112" s="530" t="str">
        <f>IF(AN112,X128&amp;": "&amp;AE131&amp;" "&amp;AC129&amp;IF(AB135&gt;0," +"&amp;AB135,"")&amp;IF($AA134="-",""," ("&amp;$AA134&amp;IF($AB134="-",""," / "&amp;$AB134)&amp;")")&amp;IF(AH129="",""," y "&amp;AJ131&amp;" "&amp;AH129&amp;IF(AG135&gt;0," +"&amp;AG135,""))&amp;IF($AF134="-",""," ("&amp;$AF134&amp;IF($AG134="-",""," / "&amp;$AG134)&amp;")"),"")</f>
        <v/>
      </c>
      <c r="AV112" s="530"/>
      <c r="AW112" s="530"/>
      <c r="AX112" s="530"/>
      <c r="AY112" s="530"/>
      <c r="AZ112" s="530"/>
      <c r="BA112" s="530"/>
      <c r="BB112" s="530"/>
      <c r="BC112" s="530"/>
      <c r="BD112" s="530"/>
      <c r="BE112" s="530"/>
      <c r="BF112" s="530"/>
      <c r="BG112" s="530"/>
      <c r="BH112" s="530"/>
      <c r="BI112" s="530"/>
      <c r="BJ112" s="530"/>
      <c r="BK112" s="530"/>
      <c r="BL112" s="530"/>
      <c r="BM112" s="530"/>
      <c r="BN112" s="530"/>
      <c r="BO112" s="530"/>
      <c r="BP112" s="530"/>
      <c r="BQ112" s="530"/>
      <c r="BR112" s="530"/>
      <c r="BS112" s="530"/>
      <c r="BT112" s="530"/>
      <c r="BU112" s="530"/>
      <c r="BV112" s="530"/>
      <c r="BW112" s="530"/>
      <c r="BX112" s="530"/>
    </row>
    <row r="113" spans="1:76" ht="12" customHeight="1">
      <c r="A113" s="859"/>
      <c r="B113" s="443"/>
      <c r="E113" s="7304"/>
      <c r="F113" s="7305"/>
      <c r="G113" s="7305"/>
      <c r="H113" s="7305"/>
      <c r="I113" s="7305"/>
      <c r="J113" s="7306"/>
      <c r="K113" s="1502"/>
      <c r="L113" s="7269"/>
      <c r="M113" s="7269"/>
      <c r="N113" s="7269"/>
      <c r="O113" s="7267"/>
      <c r="R113" s="1257"/>
      <c r="S113" s="1258"/>
      <c r="T113" s="1258"/>
      <c r="U113" s="3417"/>
      <c r="V113" s="5258" t="s">
        <v>8165</v>
      </c>
      <c r="W113" s="7221"/>
      <c r="X113" s="7222"/>
      <c r="Y113" s="7589" t="s">
        <v>1403</v>
      </c>
      <c r="Z113" s="7230">
        <f>IFERROR(VLOOKUP(V114,Tabla_CaracterísticasGéminis,2,0)+IF(COUNTIF(W121:Z126,"Metal")&gt;0,VLOOKUP(V114,Tabla_CaracterísticasGéminis,2,0),0)+IF(AF112="Grande",50,IF(AF112="Enorme",150,0)),0)</f>
        <v>0</v>
      </c>
      <c r="AA113" s="7642" t="s">
        <v>8173</v>
      </c>
      <c r="AB113" s="7643"/>
      <c r="AC113" s="7644"/>
      <c r="AD113" s="7645"/>
      <c r="AE113" s="7646"/>
      <c r="AF113" s="7642"/>
      <c r="AG113" s="7643"/>
      <c r="AH113" s="7644"/>
      <c r="AI113" s="7645"/>
      <c r="AJ113" s="7646"/>
      <c r="AK113" s="3418"/>
      <c r="AL113" s="1259"/>
      <c r="AR113" s="530" t="str">
        <f>IF(AN112,X128&amp;": "&amp;FLOOR(AE131*1.5,5)&amp;" "&amp;AC129&amp;IF(AB135&gt;0," +"&amp;AB135,"")&amp;IF(AH129="",""," y "&amp;FLOOR(AJ131*1.5,5)&amp;" "&amp;AH129&amp;IF(AG135&gt;0," +"&amp;AG135,"")),"")</f>
        <v/>
      </c>
      <c r="AV113" s="530"/>
      <c r="AW113" s="530"/>
      <c r="AX113" s="530"/>
      <c r="AY113" s="530"/>
      <c r="AZ113" s="530"/>
      <c r="BA113" s="530"/>
      <c r="BB113" s="530"/>
      <c r="BC113" s="530"/>
      <c r="BD113" s="530"/>
      <c r="BE113" s="530"/>
      <c r="BF113" s="530"/>
      <c r="BG113" s="530"/>
      <c r="BH113" s="530"/>
      <c r="BI113" s="530"/>
      <c r="BJ113" s="530"/>
      <c r="BK113" s="530"/>
      <c r="BL113" s="530"/>
      <c r="BM113" s="530"/>
      <c r="BN113" s="530"/>
      <c r="BO113" s="530"/>
      <c r="BP113" s="530"/>
      <c r="BQ113" s="530"/>
      <c r="BR113" s="530"/>
      <c r="BS113" s="530"/>
      <c r="BT113" s="530"/>
      <c r="BU113" s="530"/>
      <c r="BV113" s="530"/>
      <c r="BW113" s="530"/>
      <c r="BX113" s="530"/>
    </row>
    <row r="114" spans="1:76" ht="12" customHeight="1" thickBot="1">
      <c r="A114" s="859"/>
      <c r="B114" s="443"/>
      <c r="E114" s="7200"/>
      <c r="F114" s="7201"/>
      <c r="G114" s="7201"/>
      <c r="H114" s="7201"/>
      <c r="I114" s="7201"/>
      <c r="J114" s="7202"/>
      <c r="K114" s="1509"/>
      <c r="L114" s="7269"/>
      <c r="M114" s="7269"/>
      <c r="N114" s="7269"/>
      <c r="O114" s="7267"/>
      <c r="R114" s="1257"/>
      <c r="S114" s="1258"/>
      <c r="T114" s="1258"/>
      <c r="U114" s="3417"/>
      <c r="V114" s="7223"/>
      <c r="W114" s="7224"/>
      <c r="X114" s="7225"/>
      <c r="Y114" s="7590"/>
      <c r="Z114" s="7231"/>
      <c r="AA114" s="3434" t="s">
        <v>1423</v>
      </c>
      <c r="AB114" s="7668" t="s">
        <v>1424</v>
      </c>
      <c r="AC114" s="7669"/>
      <c r="AD114" s="3435" t="s">
        <v>1252</v>
      </c>
      <c r="AE114" s="3436" t="s">
        <v>1425</v>
      </c>
      <c r="AF114" s="3434" t="s">
        <v>1423</v>
      </c>
      <c r="AG114" s="7668" t="s">
        <v>1424</v>
      </c>
      <c r="AH114" s="7669"/>
      <c r="AI114" s="3437" t="s">
        <v>1252</v>
      </c>
      <c r="AJ114" s="3436" t="s">
        <v>1425</v>
      </c>
      <c r="AK114" s="3418"/>
      <c r="AL114" s="1919"/>
      <c r="AN114" s="530" t="s">
        <v>8167</v>
      </c>
      <c r="AQ114" s="530" t="s">
        <v>8175</v>
      </c>
      <c r="AR114" s="530" t="s">
        <v>8177</v>
      </c>
      <c r="AS114" s="530" t="s">
        <v>8176</v>
      </c>
      <c r="AT114" s="530" t="s">
        <v>1227</v>
      </c>
      <c r="AU114" s="530" t="s">
        <v>8178</v>
      </c>
      <c r="AV114" s="530"/>
      <c r="AW114" s="530"/>
      <c r="AX114" s="530"/>
      <c r="AY114" s="530"/>
      <c r="AZ114" s="530"/>
      <c r="BA114" s="530"/>
      <c r="BB114" s="530"/>
      <c r="BC114" s="530"/>
      <c r="BD114" s="530"/>
      <c r="BE114" s="530"/>
      <c r="BF114" s="530"/>
      <c r="BG114" s="530"/>
      <c r="BH114" s="530"/>
      <c r="BI114" s="530"/>
      <c r="BJ114" s="530"/>
      <c r="BK114" s="530"/>
      <c r="BL114" s="530"/>
      <c r="BM114" s="530"/>
      <c r="BN114" s="530"/>
      <c r="BO114" s="530"/>
      <c r="BP114" s="530"/>
      <c r="BQ114" s="530"/>
      <c r="BR114" s="530"/>
      <c r="BS114" s="530"/>
      <c r="BT114" s="530"/>
      <c r="BU114" s="530"/>
      <c r="BV114" s="530"/>
      <c r="BW114" s="530"/>
      <c r="BX114" s="530"/>
    </row>
    <row r="115" spans="1:76" ht="12" customHeight="1">
      <c r="A115" s="859"/>
      <c r="B115" s="443"/>
      <c r="E115" s="7218"/>
      <c r="F115" s="7219"/>
      <c r="G115" s="7219"/>
      <c r="H115" s="7219"/>
      <c r="I115" s="7219"/>
      <c r="J115" s="7220"/>
      <c r="K115" s="1509"/>
      <c r="L115" s="7269"/>
      <c r="M115" s="7269"/>
      <c r="N115" s="7269"/>
      <c r="O115" s="7267"/>
      <c r="R115" s="1257"/>
      <c r="S115" s="1258"/>
      <c r="T115" s="859"/>
      <c r="U115" s="3433"/>
      <c r="V115" s="7226" t="s">
        <v>8158</v>
      </c>
      <c r="W115" s="7227"/>
      <c r="X115" s="7230">
        <f>IFERROR(VLOOKUP(V114,Tabla_CaracterísticasGéminis,4,0),0)</f>
        <v>0</v>
      </c>
      <c r="Y115" s="7589" t="s">
        <v>8155</v>
      </c>
      <c r="Z115" s="7230">
        <f>IFERROR(VLOOKUP(V114,Tabla_CaracterísticasGéminis,3,0)+IF(COUNTIF(W121:Z126,"Metal")&gt;0,4,0),0)</f>
        <v>0</v>
      </c>
      <c r="AA115" s="7638" t="str">
        <f>IFERROR(IF(OR(AC113="",Tablas!$H$1106=0),"-",IF(OR(AC113="Armas naturales",VLOOKUP(AC113,Tabla_ArmasyEscudos,9,0)="Conocida"),HA_final,"-")+AB119+AC125+5*MIN(4,COUNTIF(W121:Z126,"Capacidad de combate"))-10*MAX(0,AR99-Z120))+IF(AND(OR(AC113="Lanza",AC113="Vara"),AA113="A 1 mano"),-10,0),"-")</f>
        <v>-</v>
      </c>
      <c r="AB115" s="7640" t="str">
        <f>IFERROR(IF(OR(AC113="",Tablas!$H$1106=0),"-",IF(OR(AC113="Armas naturales",NOT(AND(AC115="Par",VLOOKUP(AC113,Tabla_ArmasyEscudos,9,0)&lt;&gt;"Conocida"))),HD_final,"-")+IF(VLOOKUP(AC113,Tabla_ArmasyEscudos,9,0)="Conocida",VLOOKUP(AC113,Tabla_ArmasyEscudos,IF(AC115="Par",13,14),FALSE),0)+AC126+5*MIN(4,COUNTIF(W121:Z126,"Capacidad de combate"))+IF(AC115="Par",AB119-10*MAX(0,AR99-Z120),0)),"-")</f>
        <v>-</v>
      </c>
      <c r="AC115" s="7595" t="str">
        <f>IF(OR(AC113="",Tablas!$H$1106=0),"",Par_Esq)</f>
        <v/>
      </c>
      <c r="AD115" s="7597" t="str">
        <f>IFERROR(IF(OR(AC113="",Tablas!$H$1106=0),"-",IF(AC113="Armas naturales",Turno_Nat_final-20+AO107,Turno_Nat_final-20+IF(ISNA(AU100),AU99,IF((AU99-AB119)=(AU100-AG119),MIN(AU99,AU100)-IF(AND(VLOOKUP(AC113,Tabla_ArmasyEscudos,3,FALSE)&gt;=0,VLOOKUP(AH113,Tabla_ArmasyEscudos,3,FALSE)&gt;=0),10,20),MIN(AU99,AU100))))+IF(COUNTIF(W121:Z126,"Metal")&gt;0,-40,0)),"-")</f>
        <v>-</v>
      </c>
      <c r="AE115" s="7591" t="str">
        <f>IFERROR(IF(OR(AC113="",Tablas!$H$1106=0),"-",IF(AC113="Armas naturales",AO106+AK111+IF(COUNTIF(W121:Z126,"Armas naturales mejoradas")&gt;0,50,0),IF(ISNUMBER(FIND("Proyectiles",VLOOKUP(AC113,Tabla_ArmasyEscudos,8,0))),VLOOKUP(AD122,Tabla_ArmasyEscudos,2,0)+AD123*2+IF((AS99-AB119/5)&gt;0,AT99,AK111)+IF(AC113="Arco de balas",IF(Z120+2&lt;1,0,VLOOKUP(Z120+2,Tabla_BonoStats,2))-AK111,0),VLOOKUP(AC113,Tabla_ArmasyEscudos,2,0)+IF(OR(AC113="Katana de Doble Hoja",AC113="Kusari-Gama"),Bono_Fue-AK111)+IF(AC113="Lazo",2*(Bono_Fue-AK111))+AB119*2+AK111+IF(AA113="A 2 Manos",AK111,0)))+AE126+IF(DañoIncrementado,10,0)+IF(Extensióndelauraalarma,10,0)),"-")</f>
        <v>-</v>
      </c>
      <c r="AF115" s="7638" t="str">
        <f>IFERROR(IF(OR(AH113="",Tablas!$H$1106=0),"-",IF(VLOOKUP(AH113,Tabla_ArmasyEscudos,9,0)="Conocida",HA_final,"-")-40+AG119+AH125+5*MIN(4,COUNTIF(W121:Z126,"Capacidad de combate"))-10*MAX(0,AR100-Z120))+IF(AND(OR(AH113="Lanza",AH113="Vara"),AF113="A 1 mano"),-10,0),"-")</f>
        <v>-</v>
      </c>
      <c r="AG115" s="7640" t="str">
        <f>IFERROR(IF(OR(AH113="",Tablas!$H$1106=0),"-",IF(NOT(AND(AH115="Par",VLOOKUP(AH113,Tabla_ArmasyEscudos,9,0)&lt;&gt;"Conocida")),HD_final,"-")+IF(VLOOKUP(AH113,Tabla_ArmasyEscudos,9,0)="Conocida",VLOOKUP(AH113,Tabla_ArmasyEscudos,IF(AH115="Par",13,14),FALSE),0)+AH126+5*MIN(4,COUNTIF(W121:Z126,"Capacidad de combate"))+IF(AH115="Par",AG119-10*MAX(0,AR100-Z120),0)),"-")</f>
        <v>-</v>
      </c>
      <c r="AH115" s="7595" t="str">
        <f>IF(OR(AH113="",Tablas!$H$1106=0),"",Par_Esq)</f>
        <v/>
      </c>
      <c r="AI115" s="7597" t="s">
        <v>1437</v>
      </c>
      <c r="AJ115" s="7591" t="str">
        <f>IFERROR(IF(OR(AH113="",Tablas!$H$1106=0),"-",IF(AH113="Armas naturales",AO106+AK111+IF(COUNTIF(W121:Z126,"Armas naturales mejoradas")&gt;0,50,0),IF(ISNUMBER(FIND("Proyectiles",VLOOKUP(AH113,Tabla_ArmasyEscudos,8,0))),VLOOKUP(AI122,Tabla_ArmasyEscudos,2,0)+AI123*2+IF((AS100-AG119/5)&gt;0,AT100,AK111),VLOOKUP(AH113,Tabla_ArmasyEscudos,2,0)+AG119*2+AK111+IF(AF113="A 2 Manos",AK111,0)))+AJ126+IF(DañoIncrementado,10,0)+IF(Extensióndelauraalarma,10,0)),"-")</f>
        <v>-</v>
      </c>
      <c r="AK115" s="3418"/>
      <c r="AL115" s="1919"/>
      <c r="AN115" s="530" t="str">
        <f>ADDRESS(ROW(AN116),COLUMN(AN116))&amp;":"&amp;IF(AN120="",ADDRESS(ROW(AN118),COLUMN(AN118)),ADDRESS(ROW(AN120),COLUMN(AN120)))</f>
        <v>$AN$116:$AN$118</v>
      </c>
      <c r="AP115" s="530">
        <f>AC129</f>
        <v>0</v>
      </c>
      <c r="AQ115" s="530" t="str">
        <f>IF(OR(AA129="A 2 manos",AA129="Proy. 2M"),"2M","")</f>
        <v/>
      </c>
      <c r="AR115" s="530">
        <f ca="1">IFERROR(VLOOKUP(AC129,Tabla_ArmasyEscudos,IF(AQ115="2M",5,4),0),0)</f>
        <v>0</v>
      </c>
      <c r="AS115" s="530">
        <f ca="1">IFERROR(IF(VLOOKUP(AC129,Tabla_ArmasyEscudos,18,0)&gt;0,IF(AC129="Atlatl",Z136+2,VLOOKUP(AC129,Tabla_ArmasyEscudos,18,0))+AB135/5,0),0)</f>
        <v>0</v>
      </c>
      <c r="AT115" s="530">
        <f ca="1">IF(AS115&lt;1,0,VLOOKUP(AS115,Tablas!$C$14:$D$33,2))</f>
        <v>0</v>
      </c>
      <c r="AU115" s="530" t="e">
        <f ca="1">VLOOKUP(AC129,Tabla_ArmasyEscudos,3,FALSE)+AE141+AB135</f>
        <v>#N/A</v>
      </c>
      <c r="AV115" s="530"/>
      <c r="AW115" s="530"/>
      <c r="AX115" s="530"/>
      <c r="AY115" s="530"/>
      <c r="AZ115" s="530"/>
      <c r="BA115" s="530"/>
      <c r="BB115" s="530"/>
      <c r="BC115" s="530"/>
      <c r="BD115" s="530"/>
      <c r="BE115" s="530"/>
      <c r="BF115" s="530"/>
      <c r="BG115" s="530"/>
      <c r="BH115" s="530"/>
      <c r="BI115" s="530"/>
      <c r="BJ115" s="530"/>
      <c r="BK115" s="530"/>
      <c r="BL115" s="530"/>
      <c r="BM115" s="530"/>
      <c r="BN115" s="530"/>
      <c r="BO115" s="530"/>
      <c r="BP115" s="530"/>
      <c r="BQ115" s="530"/>
      <c r="BR115" s="530"/>
      <c r="BS115" s="530"/>
      <c r="BT115" s="530"/>
      <c r="BU115" s="530"/>
      <c r="BV115" s="530"/>
      <c r="BW115" s="530"/>
      <c r="BX115" s="530"/>
    </row>
    <row r="116" spans="1:76" ht="12" customHeight="1" thickBot="1">
      <c r="A116" s="859"/>
      <c r="B116" s="443"/>
      <c r="E116" s="7209"/>
      <c r="F116" s="7210"/>
      <c r="G116" s="7210"/>
      <c r="H116" s="7210"/>
      <c r="I116" s="7210"/>
      <c r="J116" s="7211"/>
      <c r="K116" s="1503"/>
      <c r="L116" s="7269"/>
      <c r="M116" s="7269"/>
      <c r="N116" s="7269"/>
      <c r="O116" s="7267"/>
      <c r="R116" s="1257"/>
      <c r="S116" s="1258"/>
      <c r="T116" s="859"/>
      <c r="U116" s="3433"/>
      <c r="V116" s="7228"/>
      <c r="W116" s="7229"/>
      <c r="X116" s="7231"/>
      <c r="Y116" s="7590"/>
      <c r="Z116" s="7231"/>
      <c r="AA116" s="7639"/>
      <c r="AB116" s="7641"/>
      <c r="AC116" s="7596"/>
      <c r="AD116" s="7598"/>
      <c r="AE116" s="7592"/>
      <c r="AF116" s="7639"/>
      <c r="AG116" s="7641"/>
      <c r="AH116" s="7596"/>
      <c r="AI116" s="7598"/>
      <c r="AJ116" s="7592"/>
      <c r="AK116" s="3418"/>
      <c r="AL116" s="1919"/>
      <c r="AN116" s="530" t="s">
        <v>1819</v>
      </c>
      <c r="AP116" s="530">
        <f>AH129</f>
        <v>0</v>
      </c>
      <c r="AQ116" s="530" t="str">
        <f>IF(OR(AF129="A 2 manos",AF129="Proy. 2M"),"2M","")</f>
        <v/>
      </c>
      <c r="AR116" s="530">
        <f ca="1">IFERROR(VLOOKUP(AH129,Tabla_ArmasyEscudos,IF(AQ116="2M",5,4),0),0)</f>
        <v>0</v>
      </c>
      <c r="AS116" s="530">
        <f ca="1">IFERROR(IF(VLOOKUP(AH129,Tabla_ArmasyEscudos,18,0)&gt;0,IF(AH129="Atlatl",Z136+2,VLOOKUP(AH129,Tabla_ArmasyEscudos,18,0))+AG135/5,0),0)</f>
        <v>0</v>
      </c>
      <c r="AT116" s="530">
        <f ca="1">IF(AS116&lt;1,0,VLOOKUP(AS116,Tablas!$C$14:$D$33,2))</f>
        <v>0</v>
      </c>
      <c r="AU116" s="530" t="e">
        <f ca="1">VLOOKUP(AH129,Tabla_ArmasyEscudos,3,FALSE)+AJ141+AG135</f>
        <v>#N/A</v>
      </c>
      <c r="AV116" s="530"/>
      <c r="AW116" s="530"/>
      <c r="AX116" s="530"/>
      <c r="AY116" s="530"/>
      <c r="AZ116" s="530"/>
      <c r="BA116" s="530"/>
      <c r="BB116" s="530"/>
      <c r="BC116" s="530"/>
      <c r="BD116" s="530"/>
      <c r="BE116" s="530"/>
      <c r="BF116" s="530"/>
      <c r="BG116" s="530"/>
      <c r="BH116" s="530"/>
      <c r="BI116" s="530"/>
      <c r="BJ116" s="530"/>
      <c r="BK116" s="530"/>
      <c r="BL116" s="530"/>
      <c r="BM116" s="530"/>
      <c r="BN116" s="530"/>
      <c r="BO116" s="530"/>
      <c r="BP116" s="530"/>
      <c r="BQ116" s="530"/>
      <c r="BR116" s="530"/>
      <c r="BS116" s="530"/>
      <c r="BT116" s="530"/>
      <c r="BU116" s="530"/>
      <c r="BV116" s="530"/>
      <c r="BW116" s="530"/>
      <c r="BX116" s="530"/>
    </row>
    <row r="117" spans="1:76" ht="12" customHeight="1">
      <c r="A117" s="859"/>
      <c r="B117" s="443"/>
      <c r="E117" s="7218"/>
      <c r="F117" s="7219"/>
      <c r="G117" s="7219"/>
      <c r="H117" s="7219"/>
      <c r="I117" s="7219"/>
      <c r="J117" s="7220"/>
      <c r="K117" s="1509"/>
      <c r="L117" s="7269"/>
      <c r="M117" s="7269"/>
      <c r="N117" s="7269"/>
      <c r="O117" s="7267"/>
      <c r="R117" s="1257"/>
      <c r="S117" s="1258"/>
      <c r="T117" s="859"/>
      <c r="U117" s="3433"/>
      <c r="V117" s="7791" t="s">
        <v>8163</v>
      </c>
      <c r="W117" s="3438"/>
      <c r="X117" s="3419" t="s">
        <v>1225</v>
      </c>
      <c r="Y117" s="3419" t="s">
        <v>8164</v>
      </c>
      <c r="Z117" s="3419" t="s">
        <v>1209</v>
      </c>
      <c r="AA117" s="3439" t="s">
        <v>8171</v>
      </c>
      <c r="AB117" s="3440" t="s">
        <v>8172</v>
      </c>
      <c r="AC117" s="3440" t="s">
        <v>1416</v>
      </c>
      <c r="AD117" s="3440" t="s">
        <v>1429</v>
      </c>
      <c r="AE117" s="3441" t="s">
        <v>1417</v>
      </c>
      <c r="AF117" s="3439" t="s">
        <v>8171</v>
      </c>
      <c r="AG117" s="3440" t="s">
        <v>8172</v>
      </c>
      <c r="AH117" s="3440" t="s">
        <v>1416</v>
      </c>
      <c r="AI117" s="3440" t="s">
        <v>1429</v>
      </c>
      <c r="AJ117" s="3441" t="s">
        <v>1417</v>
      </c>
      <c r="AK117" s="3418"/>
      <c r="AL117" s="1919"/>
      <c r="AN117" s="530" t="s">
        <v>1820</v>
      </c>
      <c r="AV117" s="530"/>
      <c r="AW117" s="530"/>
      <c r="AX117" s="530"/>
      <c r="AY117" s="530"/>
      <c r="AZ117" s="530"/>
      <c r="BA117" s="530"/>
      <c r="BB117" s="530"/>
      <c r="BC117" s="530"/>
      <c r="BD117" s="530"/>
      <c r="BE117" s="530"/>
      <c r="BF117" s="530"/>
      <c r="BG117" s="530"/>
      <c r="BH117" s="530"/>
      <c r="BI117" s="530"/>
      <c r="BJ117" s="530"/>
      <c r="BK117" s="530"/>
      <c r="BL117" s="530"/>
      <c r="BM117" s="530"/>
      <c r="BN117" s="530"/>
      <c r="BO117" s="530"/>
      <c r="BP117" s="530"/>
      <c r="BQ117" s="530"/>
      <c r="BR117" s="530"/>
      <c r="BS117" s="530"/>
      <c r="BT117" s="530"/>
      <c r="BU117" s="530"/>
      <c r="BV117" s="530"/>
      <c r="BW117" s="530"/>
      <c r="BX117" s="530"/>
    </row>
    <row r="118" spans="1:76" ht="12" customHeight="1">
      <c r="A118" s="859"/>
      <c r="B118" s="443"/>
      <c r="E118" s="7209"/>
      <c r="F118" s="7210"/>
      <c r="G118" s="7210"/>
      <c r="H118" s="7210"/>
      <c r="I118" s="7210"/>
      <c r="J118" s="7211"/>
      <c r="K118" s="1509"/>
      <c r="L118" s="7269"/>
      <c r="M118" s="7269"/>
      <c r="N118" s="7269"/>
      <c r="O118" s="7267"/>
      <c r="R118" s="1257"/>
      <c r="S118" s="1258"/>
      <c r="T118" s="859"/>
      <c r="U118" s="3621" t="s">
        <v>11740</v>
      </c>
      <c r="V118" s="7792"/>
      <c r="W118" s="1322" t="s">
        <v>1233</v>
      </c>
      <c r="X118" s="3440" t="str">
        <f>IF(Tablas!$H$1106=0,"-",IF(Zen,DES,MIN(13,DES)))</f>
        <v>-</v>
      </c>
      <c r="Y118" s="3442"/>
      <c r="Z118" s="3440" t="str">
        <f>IFERROR(MIN(X118+Y118,IF(Zen,20,13)),"-")</f>
        <v>-</v>
      </c>
      <c r="AA118" s="1266" t="str">
        <f ca="1">IFERROR(IF(AC113="Armas naturales",IF(AD122="","-",AD122),VLOOKUP(IF(OR(AA113="Proy. 1M",AA113="Proy. 2M"),AD122,AC113),Tabla_ArmasyEscudos,6,0)),"-")</f>
        <v>-</v>
      </c>
      <c r="AB118" s="3443" t="str">
        <f ca="1">IFERROR(IF(AC113="Armas naturales",IF(AD123="","-",AD123),VLOOKUP(IF(OR(AA113="Proy. 1M",AA113="Proy. 2M"),AD122,AC113),Tabla_ArmasyEscudos,7,0)),"-")</f>
        <v>-</v>
      </c>
      <c r="AC118" s="3444" t="str">
        <f>IFERROR(IF(OR(AC113="",Tablas!$H$1106=0),"-",IF(AC113="Armas naturales",AO108+IF(Extensióndelauraalarma,10,0)+IF(Tabla_Desvío,Z119,0),VLOOKUP(AC113,Tabla_ArmasyEscudos,10,0)+IF(Tabla_Desvío,Z119,0)+IF(Extensióndelauraalarma,10,0)+10*AB119/5&amp;IFERROR("/"&amp;VLOOKUP(AD122,Tabla_ArmasyEscudos,10,0)+IF(Extensióndelauraalarma,10,0)+10*AD123/5,""))),"-")</f>
        <v>-</v>
      </c>
      <c r="AD118" s="3444" t="str">
        <f>IFERROR(IF(OR(AC113="",Tablas!$H$1106=0),"-",IF(AC113="Armas naturales",AO109,IFERROR(VLOOKUP(AD122,Tabla_ArmasyEscudos,11,0)+2*AD123/5,VLOOKUP(AC113,Tabla_ArmasyEscudos,11,0)+2*AB119/5))+VLOOKUP(IF((AS99-AB119/5)&gt;0,AS99,Z120),Tabla_Fuerza,2)+IF(Extensióndelauraalarma,5,0)+IF(Ojos_de_la_Muerte,5,0)),"-")</f>
        <v>-</v>
      </c>
      <c r="AE118" s="2538" t="str">
        <f>IFERROR(IF(OR(AC113="",Tablas!$H$1106=0),"-",IF(AC113="Armas naturales",Presencia_final,VLOOKUP(AC113,Tabla_ArmasyEscudos,12,0)+50*MAX(AB119/5,0)&amp;IFERROR("/"&amp;VLOOKUP(AD122,Tabla_ArmasyEscudos,12,0)+50*MAX(AD123/5,0),""))),"-")</f>
        <v>-</v>
      </c>
      <c r="AF118" s="1266" t="str">
        <f ca="1">IFERROR(IF(AH113="Armas naturales",IF(AI122="","-",AI122),VLOOKUP(IF(AF113="Proy. 1M",AI122,AH113),Tabla_ArmasyEscudos,6,0)),"-")</f>
        <v>-</v>
      </c>
      <c r="AG118" s="3443" t="str">
        <f ca="1">IFERROR(IF(AH113="Armas naturales",IF(AI123="","-",AI123),VLOOKUP(IF(AF113="Proy. 1M",AI122,AH113),Tabla_ArmasyEscudos,7,0)),"-")</f>
        <v>-</v>
      </c>
      <c r="AH118" s="3444" t="str">
        <f>IFERROR(IF(OR(AH113="",Tablas!$H$1106=0),"-",IF(AH113="Armas naturales",AO108+IF(Extensióndelauraalarma,10,0)+IF(Tabla_Desvío,Z119,0),VLOOKUP(AH113,Tabla_ArmasyEscudos,10,0)+IF(Tabla_Desvío,Z119,0)+IF(Extensióndelauraalarma,10,0)+10*AG119/5&amp;IFERROR("/"&amp;VLOOKUP(AI122,Tabla_ArmasyEscudos,10,0)+IF(Extensióndelauraalarma,10,0)+10*AI123/5,""))),"-")</f>
        <v>-</v>
      </c>
      <c r="AI118" s="3444" t="str">
        <f>IFERROR(IF(OR(AH113="",Tablas!$H$1106=0),"-",IF(AH113="Armas naturales",AO109,IFERROR(VLOOKUP(AI122,Tabla_ArmasyEscudos,11,0)+2*AI123/5,VLOOKUP(AH113,Tabla_ArmasyEscudos,11,0)+2*AG119/5))+VLOOKUP(IF((AS100-AG119/5)&gt;0,AS100,Z120),Tabla_Fuerza,2)+IF(Extensióndelauraalarma,5,0)+IF(Ojos_de_la_Muerte,5,0)),"-")</f>
        <v>-</v>
      </c>
      <c r="AJ118" s="2538" t="str">
        <f>IFERROR(IF(OR(AH113="",Tablas!$H$1106=0),"-",IF(AH113="Armas naturales",Presencia_final,VLOOKUP(AH113,Tabla_ArmasyEscudos,12,0)+50*MAX(AG119/5,0)&amp;IFERROR("/"&amp;VLOOKUP(AI122,Tabla_ArmasyEscudos,12,0)+50*MAX(AI123/5,0),""))),"-")</f>
        <v>-</v>
      </c>
      <c r="AK118" s="3418"/>
      <c r="AL118" s="1919"/>
      <c r="AN118" s="530" t="s">
        <v>1582</v>
      </c>
      <c r="AV118" s="530"/>
      <c r="AW118" s="530"/>
      <c r="AX118" s="530"/>
      <c r="AY118" s="530"/>
      <c r="AZ118" s="530"/>
      <c r="BA118" s="530"/>
      <c r="BB118" s="530"/>
      <c r="BC118" s="530"/>
      <c r="BD118" s="530"/>
      <c r="BE118" s="530"/>
      <c r="BF118" s="530"/>
      <c r="BG118" s="530"/>
      <c r="BH118" s="530"/>
      <c r="BI118" s="530"/>
      <c r="BJ118" s="530"/>
      <c r="BK118" s="530"/>
      <c r="BL118" s="530"/>
      <c r="BM118" s="530"/>
      <c r="BN118" s="530"/>
      <c r="BO118" s="530"/>
      <c r="BP118" s="530"/>
      <c r="BQ118" s="530"/>
      <c r="BR118" s="530"/>
      <c r="BS118" s="530"/>
      <c r="BT118" s="530"/>
      <c r="BU118" s="530"/>
      <c r="BV118" s="530"/>
      <c r="BW118" s="530"/>
      <c r="BX118" s="530"/>
    </row>
    <row r="119" spans="1:76" ht="12" customHeight="1">
      <c r="A119" s="859"/>
      <c r="B119" s="443"/>
      <c r="E119" s="7212"/>
      <c r="F119" s="7213"/>
      <c r="G119" s="7213"/>
      <c r="H119" s="7213"/>
      <c r="I119" s="7213"/>
      <c r="J119" s="7214"/>
      <c r="K119" s="1503"/>
      <c r="L119" s="7269"/>
      <c r="M119" s="7269"/>
      <c r="N119" s="7269"/>
      <c r="O119" s="7267"/>
      <c r="R119" s="1257"/>
      <c r="S119" s="1258"/>
      <c r="T119" s="859"/>
      <c r="U119" s="3621" t="s">
        <v>11741</v>
      </c>
      <c r="V119" s="7792"/>
      <c r="W119" s="1322" t="s">
        <v>1238</v>
      </c>
      <c r="X119" s="1517" t="str">
        <f>IF(Tablas!$H$1106=0,"-",IF(Zen,DES,MIN(13,DES)))</f>
        <v>-</v>
      </c>
      <c r="Y119" s="2016"/>
      <c r="Z119" s="2539" t="str">
        <f>IFERROR(MIN(X119+Y119,IF(Zen,20,13)),"-")</f>
        <v>-</v>
      </c>
      <c r="AA119" s="1518" t="str">
        <f>IF(AND(AC113&lt;&gt;"",AC113&lt;&gt;"Armas naturales"),"Calidad:","")</f>
        <v/>
      </c>
      <c r="AB119" s="3445"/>
      <c r="AC119" s="7786" t="str">
        <f ca="1">IF(AA123="Calidad munición:",IF(AD123&lt;=0,"","TA defensor:"),IF(AB119&lt;=0,"","TA defensor:"))</f>
        <v/>
      </c>
      <c r="AD119" s="7787"/>
      <c r="AE119" s="2540" t="str">
        <f ca="1">IF(AC119="TA defensor:",IF(AA123="Calidad munición:",AD123/(-5),AB119/(-5)),"")</f>
        <v/>
      </c>
      <c r="AF119" s="1518" t="str">
        <f>IF(AND(AH113&lt;&gt;"",AH113&lt;&gt;"Armas naturales"),"Calidad:","")</f>
        <v/>
      </c>
      <c r="AG119" s="3446"/>
      <c r="AH119" s="7786" t="str">
        <f ca="1">IF(AF123="Calidad munición:",IF(AI123&lt;=0,"","TA defensor:"),IF(AG119&lt;=0,"","TA defensor:"))</f>
        <v/>
      </c>
      <c r="AI119" s="7787"/>
      <c r="AJ119" s="2540" t="str">
        <f ca="1">IF(AH119="TA defensor:",IF(AF123="Calidad munición:",AI123/(-5),AG119/(-5)),"")</f>
        <v/>
      </c>
      <c r="AK119" s="3451"/>
      <c r="AL119" s="1919"/>
      <c r="AN119" s="530" t="str">
        <f>IF(COUNTIF(W137:Z142,"Tamaño excepcional")&gt;0,"Grande","")</f>
        <v/>
      </c>
      <c r="AV119" s="530"/>
      <c r="AW119" s="530"/>
      <c r="AX119" s="530"/>
      <c r="AY119" s="530"/>
      <c r="AZ119" s="530"/>
      <c r="BA119" s="530"/>
      <c r="BB119" s="530"/>
      <c r="BC119" s="530"/>
      <c r="BD119" s="530"/>
      <c r="BE119" s="530"/>
      <c r="BF119" s="530"/>
      <c r="BG119" s="530"/>
      <c r="BH119" s="530"/>
      <c r="BI119" s="530"/>
      <c r="BJ119" s="530"/>
      <c r="BK119" s="530"/>
      <c r="BL119" s="530"/>
      <c r="BM119" s="530"/>
      <c r="BN119" s="530"/>
      <c r="BO119" s="530"/>
      <c r="BP119" s="530"/>
      <c r="BQ119" s="530"/>
      <c r="BR119" s="530"/>
      <c r="BS119" s="530"/>
      <c r="BT119" s="530"/>
      <c r="BU119" s="530"/>
      <c r="BV119" s="530"/>
      <c r="BW119" s="530"/>
      <c r="BX119" s="530"/>
    </row>
    <row r="120" spans="1:76" ht="12" customHeight="1" thickBot="1">
      <c r="A120" s="859"/>
      <c r="B120" s="443"/>
      <c r="E120" s="7206" t="s">
        <v>6185</v>
      </c>
      <c r="F120" s="7207"/>
      <c r="G120" s="7207"/>
      <c r="H120" s="7207"/>
      <c r="I120" s="7207"/>
      <c r="J120" s="7207"/>
      <c r="K120" s="7208"/>
      <c r="L120" s="7269"/>
      <c r="M120" s="7269"/>
      <c r="N120" s="7269"/>
      <c r="O120" s="7267"/>
      <c r="R120" s="1257"/>
      <c r="S120" s="1258"/>
      <c r="T120" s="859"/>
      <c r="U120" s="3621" t="s">
        <v>11742</v>
      </c>
      <c r="V120" s="7793"/>
      <c r="W120" s="3448" t="s">
        <v>1243</v>
      </c>
      <c r="X120" s="3449" t="str">
        <f>IF(Tablas!$H$1106=0,"-",IF(Zen,FUE-2,MIN(11,FUE-2)))</f>
        <v>-</v>
      </c>
      <c r="Y120" s="2017"/>
      <c r="Z120" s="3450" t="str">
        <f>IFERROR(MIN(20,MIN(X120+Y120,IF(Zen,20,13))+IF(COUNTIF(W121:Z126,"Fuerza excepcional")&gt;0,IF(X120+6&lt;15,6,MAX(15-X120,0)),0)),"-")</f>
        <v>-</v>
      </c>
      <c r="AA120" s="7788" t="str">
        <f ca="1">IFERROR(IF(AC113="Armas naturales","",SUBSTITUTE(VLOOKUP(AC113,Tabla_ArmasyEscudos,19,FALSE),"XXX",MAX(0,VLOOKUP(AC113,Tabla_ArmasyEscudos,17,FALSE)+VLOOKUP(Z120,Tabla_AlcanceFUE,2)))),"")</f>
        <v/>
      </c>
      <c r="AB120" s="7789"/>
      <c r="AC120" s="7789"/>
      <c r="AD120" s="7789"/>
      <c r="AE120" s="7790"/>
      <c r="AF120" s="7788" t="str">
        <f ca="1">IFERROR(IF(AH113="Armas naturales","",SUBSTITUTE(VLOOKUP(AH113,Tabla_ArmasyEscudos,19,FALSE),"XXX",MAX(0,VLOOKUP(AH113,Tabla_ArmasyEscudos,17,FALSE)+VLOOKUP(Z120,Tabla_AlcanceFUE,2)))),"")</f>
        <v/>
      </c>
      <c r="AG120" s="7789"/>
      <c r="AH120" s="7789"/>
      <c r="AI120" s="7789"/>
      <c r="AJ120" s="7790"/>
      <c r="AK120" s="3418"/>
      <c r="AL120" s="1919"/>
      <c r="AN120" s="530" t="str">
        <f>IF(COUNTIF(W137:Z142,"Tamaño excepcional")&gt;0,"Enorme","")</f>
        <v/>
      </c>
      <c r="AV120" s="530"/>
      <c r="AW120" s="530"/>
      <c r="AX120" s="530"/>
      <c r="AY120" s="530"/>
      <c r="AZ120" s="530"/>
      <c r="BA120" s="530"/>
      <c r="BB120" s="530"/>
      <c r="BC120" s="530"/>
      <c r="BD120" s="530"/>
      <c r="BE120" s="530"/>
      <c r="BF120" s="530"/>
      <c r="BG120" s="530"/>
      <c r="BH120" s="530"/>
      <c r="BI120" s="530"/>
      <c r="BJ120" s="530"/>
      <c r="BK120" s="530"/>
      <c r="BL120" s="530"/>
      <c r="BM120" s="530"/>
      <c r="BN120" s="530"/>
      <c r="BO120" s="530"/>
      <c r="BP120" s="530"/>
      <c r="BQ120" s="530"/>
      <c r="BR120" s="530"/>
      <c r="BS120" s="530"/>
      <c r="BT120" s="530"/>
      <c r="BU120" s="530"/>
      <c r="BV120" s="530"/>
      <c r="BW120" s="530"/>
      <c r="BX120" s="530"/>
    </row>
    <row r="121" spans="1:76" ht="12" customHeight="1">
      <c r="A121" s="859"/>
      <c r="B121" s="443"/>
      <c r="E121" s="7215"/>
      <c r="F121" s="7216"/>
      <c r="G121" s="7216"/>
      <c r="H121" s="7216"/>
      <c r="I121" s="7216"/>
      <c r="J121" s="7217"/>
      <c r="K121" s="1502"/>
      <c r="L121" s="7269"/>
      <c r="M121" s="7269"/>
      <c r="N121" s="7269"/>
      <c r="O121" s="7267"/>
      <c r="R121" s="1257"/>
      <c r="S121" s="1258"/>
      <c r="T121" s="859"/>
      <c r="U121" s="3621" t="s">
        <v>11743</v>
      </c>
      <c r="V121" s="7791" t="s">
        <v>8143</v>
      </c>
      <c r="W121" s="7811"/>
      <c r="X121" s="7812"/>
      <c r="Y121" s="7812"/>
      <c r="Z121" s="7813"/>
      <c r="AA121" s="7814" t="str">
        <f ca="1">IFERROR(VLOOKUP(AD122,Tabla_ArmasyEscudos,19,0),"")</f>
        <v/>
      </c>
      <c r="AB121" s="7815"/>
      <c r="AC121" s="7815"/>
      <c r="AD121" s="7815"/>
      <c r="AE121" s="7816"/>
      <c r="AF121" s="7814" t="str">
        <f ca="1">IFERROR(VLOOKUP(AI122,Tabla_ArmasyEscudos,19,0),"")</f>
        <v/>
      </c>
      <c r="AG121" s="7815"/>
      <c r="AH121" s="7815"/>
      <c r="AI121" s="7815"/>
      <c r="AJ121" s="7816"/>
      <c r="AK121" s="3418"/>
      <c r="AL121" s="1919"/>
      <c r="AN121" s="7307" t="s">
        <v>1770</v>
      </c>
      <c r="AO121" s="7307"/>
      <c r="AV121" s="530"/>
      <c r="AW121" s="530"/>
      <c r="AX121" s="530"/>
      <c r="AY121" s="530"/>
      <c r="AZ121" s="530"/>
      <c r="BA121" s="530"/>
      <c r="BB121" s="530"/>
      <c r="BC121" s="530"/>
      <c r="BD121" s="530"/>
      <c r="BE121" s="530"/>
      <c r="BF121" s="530"/>
      <c r="BG121" s="530"/>
      <c r="BH121" s="530"/>
      <c r="BI121" s="530"/>
      <c r="BJ121" s="530"/>
      <c r="BK121" s="530"/>
      <c r="BL121" s="530"/>
      <c r="BM121" s="530"/>
      <c r="BN121" s="530"/>
      <c r="BO121" s="530"/>
      <c r="BP121" s="530"/>
      <c r="BQ121" s="530"/>
      <c r="BR121" s="530"/>
      <c r="BS121" s="530"/>
      <c r="BT121" s="530"/>
      <c r="BU121" s="530"/>
      <c r="BV121" s="530"/>
      <c r="BW121" s="530"/>
      <c r="BX121" s="530"/>
    </row>
    <row r="122" spans="1:76" ht="12" customHeight="1">
      <c r="A122" s="859"/>
      <c r="B122" s="443"/>
      <c r="E122" s="7218"/>
      <c r="F122" s="7219"/>
      <c r="G122" s="7219"/>
      <c r="H122" s="7219"/>
      <c r="I122" s="7219"/>
      <c r="J122" s="7220"/>
      <c r="K122" s="1509"/>
      <c r="L122" s="7269"/>
      <c r="M122" s="7269"/>
      <c r="N122" s="7269"/>
      <c r="O122" s="7267"/>
      <c r="R122" s="1257"/>
      <c r="S122" s="1258"/>
      <c r="T122" s="859"/>
      <c r="U122" s="3433"/>
      <c r="V122" s="7792"/>
      <c r="W122" s="7647"/>
      <c r="X122" s="7648"/>
      <c r="Y122" s="7648"/>
      <c r="Z122" s="7649"/>
      <c r="AA122" s="7818" t="str">
        <f ca="1">IFERROR(IF(AC113="Armas naturales", "Armas naturales Crit. 1:",IF(ISNUMBER(FIND("Proyectiles",VLOOKUP(AC113,Tabla_ArmasyEscudos,8,0))),"Munición:","")),"")</f>
        <v/>
      </c>
      <c r="AB122" s="7819"/>
      <c r="AC122" s="7819"/>
      <c r="AD122" s="7820"/>
      <c r="AE122" s="7821"/>
      <c r="AF122" s="7818" t="str">
        <f ca="1">IFERROR(IF(AH113="Armas naturales", "Armas naturales Crit. 1:",IF(ISNUMBER(FIND("Proyectiles",VLOOKUP(AH113,Tabla_ArmasyEscudos,8,0))),"Munición:","")),"")</f>
        <v/>
      </c>
      <c r="AG122" s="7819"/>
      <c r="AH122" s="7819"/>
      <c r="AI122" s="7822"/>
      <c r="AJ122" s="7823"/>
      <c r="AK122" s="3418"/>
      <c r="AL122" s="1919"/>
      <c r="AN122" s="530" t="s">
        <v>8169</v>
      </c>
      <c r="AO122" s="530">
        <f>VLOOKUP(AF128,Tablas!$X$47:$AF$54,7,0)</f>
        <v>40</v>
      </c>
      <c r="AT122" s="530" t="s">
        <v>1315</v>
      </c>
      <c r="AV122" s="530"/>
      <c r="AW122" s="530"/>
      <c r="AX122" s="530"/>
      <c r="AY122" s="530"/>
      <c r="AZ122" s="530"/>
      <c r="BA122" s="530"/>
      <c r="BB122" s="530"/>
      <c r="BC122" s="530"/>
      <c r="BD122" s="530"/>
      <c r="BE122" s="530"/>
      <c r="BF122" s="530"/>
      <c r="BG122" s="530"/>
      <c r="BH122" s="530"/>
      <c r="BI122" s="530"/>
      <c r="BJ122" s="530"/>
      <c r="BK122" s="530"/>
      <c r="BL122" s="530"/>
      <c r="BM122" s="530"/>
      <c r="BN122" s="530"/>
      <c r="BO122" s="530"/>
      <c r="BP122" s="530"/>
      <c r="BQ122" s="530"/>
      <c r="BR122" s="530"/>
      <c r="BS122" s="530"/>
      <c r="BT122" s="530"/>
      <c r="BU122" s="530"/>
      <c r="BV122" s="530"/>
      <c r="BW122" s="530"/>
      <c r="BX122" s="530"/>
    </row>
    <row r="123" spans="1:76" ht="12" customHeight="1">
      <c r="A123" s="859"/>
      <c r="B123" s="443"/>
      <c r="E123" s="7209"/>
      <c r="F123" s="7210"/>
      <c r="G123" s="7210"/>
      <c r="H123" s="7210"/>
      <c r="I123" s="7210"/>
      <c r="J123" s="7211"/>
      <c r="K123" s="1510"/>
      <c r="L123" s="7269"/>
      <c r="M123" s="7269"/>
      <c r="N123" s="7269"/>
      <c r="O123" s="7267"/>
      <c r="R123" s="1257"/>
      <c r="S123" s="1258"/>
      <c r="T123" s="859"/>
      <c r="U123" s="3433"/>
      <c r="V123" s="7792"/>
      <c r="W123" s="7647"/>
      <c r="X123" s="7648"/>
      <c r="Y123" s="7648"/>
      <c r="Z123" s="7649"/>
      <c r="AA123" s="7371" t="str">
        <f ca="1">IFERROR(IF(AC113="Armas naturales", "Armas naturales Crit. 2:",IF(ISNUMBER(FIND("Proyectiles",VLOOKUP(AC113,Tabla_ArmasyEscudos,8,0))),"Calidad Munición:","")),"")</f>
        <v/>
      </c>
      <c r="AB123" s="7824"/>
      <c r="AC123" s="7824"/>
      <c r="AD123" s="7825"/>
      <c r="AE123" s="7826"/>
      <c r="AF123" s="7371" t="str">
        <f ca="1">IFERROR(IF(AH113="Armas naturales", "Armas naturales Crit. 2:",IF(ISNUMBER(FIND("Proyectiles",VLOOKUP(AH113,Tabla_ArmasyEscudos,8,0))),"Calidad Munición:","")),"")</f>
        <v/>
      </c>
      <c r="AG123" s="7824"/>
      <c r="AH123" s="7824"/>
      <c r="AI123" s="7783"/>
      <c r="AJ123" s="7784"/>
      <c r="AK123" s="3418"/>
      <c r="AL123" s="1919"/>
      <c r="AN123" s="530" t="s">
        <v>1252</v>
      </c>
      <c r="AO123" s="530">
        <f>MIN(VLOOKUP(AF128,Tablas!$X$47:$AF$54,2,0),20)</f>
        <v>20</v>
      </c>
      <c r="AT123" s="530" t="s">
        <v>1315</v>
      </c>
      <c r="AV123" s="530"/>
      <c r="AW123" s="530"/>
      <c r="AX123" s="530"/>
      <c r="AY123" s="530"/>
      <c r="AZ123" s="530"/>
      <c r="BA123" s="530"/>
      <c r="BB123" s="530"/>
      <c r="BC123" s="530"/>
      <c r="BD123" s="530"/>
      <c r="BE123" s="530"/>
      <c r="BF123" s="530"/>
      <c r="BG123" s="530"/>
      <c r="BH123" s="530"/>
      <c r="BI123" s="530"/>
      <c r="BJ123" s="530"/>
      <c r="BK123" s="530"/>
      <c r="BL123" s="530"/>
      <c r="BM123" s="530"/>
      <c r="BN123" s="530"/>
      <c r="BO123" s="530"/>
      <c r="BP123" s="530"/>
      <c r="BQ123" s="530"/>
      <c r="BR123" s="530"/>
      <c r="BS123" s="530"/>
      <c r="BT123" s="530"/>
      <c r="BU123" s="530"/>
      <c r="BV123" s="530"/>
      <c r="BW123" s="530"/>
      <c r="BX123" s="530"/>
    </row>
    <row r="124" spans="1:76" ht="12" customHeight="1">
      <c r="A124" s="859"/>
      <c r="B124" s="443"/>
      <c r="E124" s="7200"/>
      <c r="F124" s="7201"/>
      <c r="G124" s="7201"/>
      <c r="H124" s="7201"/>
      <c r="I124" s="7201"/>
      <c r="J124" s="7202"/>
      <c r="K124" s="1510"/>
      <c r="L124" s="7269"/>
      <c r="M124" s="7269"/>
      <c r="N124" s="7269"/>
      <c r="O124" s="7267"/>
      <c r="R124" s="1257"/>
      <c r="S124" s="1258"/>
      <c r="T124" s="859"/>
      <c r="U124" s="3433"/>
      <c r="V124" s="7792"/>
      <c r="W124" s="7647"/>
      <c r="X124" s="7648"/>
      <c r="Y124" s="7648"/>
      <c r="Z124" s="7649"/>
      <c r="AA124" s="3452" t="str">
        <f ca="1">IF(ISNUMBER(FIND("Proyectiles",VLOOKUP(AC113,Tabla_ArmasyEscudos,8,0))),"Rango:","")</f>
        <v/>
      </c>
      <c r="AB124" s="2541" t="str">
        <f ca="1">IFERROR(IF(AA124="Rango:",(VLOOKUP(AC113,Tabla_ArmasyEscudos,17,0)+IF((AS99-AB119/5)&gt;0,VLOOKUP(MIN(AS99,AB127),Tabla_AlcanceFUE,2,0),IF($Z120&lt;3,-30,VLOOKUP(MIN(IF(Zen_IP,20,13),AB127,$Z120),Tabla_AlcanceFUE,2))))*IF(AlcanceIncrementado,2,1)&amp;" m",""),"")</f>
        <v/>
      </c>
      <c r="AC124" s="7785" t="str">
        <f ca="1">IF(ISNUMBER(FIND("Proyectiles",VLOOKUP(AC113,Tabla_ArmasyEscudos,8,0))),"Recarga:","")</f>
        <v/>
      </c>
      <c r="AD124" s="7785"/>
      <c r="AE124" s="3453" t="str">
        <f ca="1">IFERROR(IF(AC124="Recarga:",VLOOKUP(AC113,Tabla_ArmasyEscudos,16,0),""),"")</f>
        <v/>
      </c>
      <c r="AF124" s="3452" t="str">
        <f ca="1">IF(ISNUMBER(FIND("Proyectiles",VLOOKUP(AH113,Tabla_ArmasyEscudos,8,0))),"Rango:","")</f>
        <v/>
      </c>
      <c r="AG124" s="2541" t="str">
        <f ca="1">IFERROR(IF(AF124="Rango:",(VLOOKUP(AH113,Tabla_ArmasyEscudos,17,0)+IF((AS100-AG119/5)&gt;0,VLOOKUP(MIN(AS100,AG127),Tabla_AlcanceFUE,2,0),IF($Z120&lt;3,-30,VLOOKUP(MIN(IF(Zen_IP,20,13),AG127,$Z120),Tabla_AlcanceFUE,2))))*IF(AlcanceIncrementado,2,1)&amp;" m",""),"")</f>
        <v/>
      </c>
      <c r="AH124" s="7785" t="str">
        <f ca="1">IF(ISNUMBER(FIND("Proyectiles",VLOOKUP(AH113,Tabla_ArmasyEscudos,8,0))),"Recarga:","")</f>
        <v/>
      </c>
      <c r="AI124" s="7785"/>
      <c r="AJ124" s="3453" t="str">
        <f ca="1">IFERROR(IF(AH124="Recarga:",VLOOKUP(AH113,Tabla_ArmasyEscudos,16,0),""),"")</f>
        <v/>
      </c>
      <c r="AK124" s="3418"/>
      <c r="AL124" s="1919"/>
      <c r="AN124" s="530" t="s">
        <v>1818</v>
      </c>
      <c r="AO124" s="530">
        <f>VLOOKUP(AF128,Tablas!$X$47:$AF$54,9,0)</f>
        <v>12</v>
      </c>
      <c r="AT124" s="530" t="s">
        <v>1315</v>
      </c>
      <c r="AV124" s="530"/>
      <c r="AW124" s="530"/>
      <c r="AX124" s="530"/>
      <c r="AY124" s="530"/>
      <c r="AZ124" s="530"/>
      <c r="BA124" s="530"/>
      <c r="BB124" s="530"/>
      <c r="BC124" s="530"/>
      <c r="BD124" s="530"/>
      <c r="BE124" s="530"/>
      <c r="BF124" s="530"/>
      <c r="BG124" s="530"/>
      <c r="BH124" s="530"/>
      <c r="BI124" s="530"/>
      <c r="BJ124" s="530"/>
      <c r="BK124" s="530"/>
      <c r="BL124" s="530"/>
      <c r="BM124" s="530"/>
      <c r="BN124" s="530"/>
      <c r="BO124" s="530"/>
      <c r="BP124" s="530"/>
      <c r="BQ124" s="530"/>
      <c r="BR124" s="530"/>
      <c r="BS124" s="530"/>
      <c r="BT124" s="530"/>
      <c r="BU124" s="530"/>
      <c r="BV124" s="530"/>
      <c r="BW124" s="530"/>
      <c r="BX124" s="530"/>
    </row>
    <row r="125" spans="1:76" ht="12" customHeight="1">
      <c r="A125" s="859"/>
      <c r="B125" s="443"/>
      <c r="E125" s="7218"/>
      <c r="F125" s="7219"/>
      <c r="G125" s="7219"/>
      <c r="H125" s="7219"/>
      <c r="I125" s="7219"/>
      <c r="J125" s="7220"/>
      <c r="K125" s="1503"/>
      <c r="L125" s="7269"/>
      <c r="M125" s="7269"/>
      <c r="N125" s="7269"/>
      <c r="O125" s="7267"/>
      <c r="R125" s="1257"/>
      <c r="S125" s="1258"/>
      <c r="T125" s="859"/>
      <c r="U125" s="3433"/>
      <c r="V125" s="7792"/>
      <c r="W125" s="7647"/>
      <c r="X125" s="7648"/>
      <c r="Y125" s="7648"/>
      <c r="Z125" s="7649"/>
      <c r="AA125" s="7587" t="s">
        <v>859</v>
      </c>
      <c r="AB125" s="3454" t="s">
        <v>6797</v>
      </c>
      <c r="AC125" s="3455"/>
      <c r="AD125" s="3454" t="s">
        <v>1252</v>
      </c>
      <c r="AE125" s="3456"/>
      <c r="AF125" s="7587" t="s">
        <v>859</v>
      </c>
      <c r="AG125" s="3454" t="s">
        <v>6797</v>
      </c>
      <c r="AH125" s="3457"/>
      <c r="AI125" s="3454" t="s">
        <v>1252</v>
      </c>
      <c r="AJ125" s="3456"/>
      <c r="AK125" s="3418"/>
      <c r="AL125" s="1919"/>
      <c r="AN125" s="530" t="s">
        <v>1429</v>
      </c>
      <c r="AO125" s="530">
        <f>VLOOKUP(AF128,Tablas!$X$47:$AF$54,8,0)</f>
        <v>0</v>
      </c>
      <c r="AT125" s="530" t="s">
        <v>1315</v>
      </c>
      <c r="AV125" s="530"/>
      <c r="AW125" s="530"/>
      <c r="AX125" s="530"/>
      <c r="AY125" s="530"/>
      <c r="AZ125" s="530"/>
      <c r="BA125" s="530"/>
      <c r="BB125" s="530"/>
      <c r="BC125" s="530"/>
      <c r="BD125" s="530"/>
      <c r="BE125" s="530"/>
      <c r="BF125" s="530"/>
      <c r="BG125" s="530"/>
      <c r="BH125" s="530"/>
      <c r="BI125" s="530"/>
      <c r="BJ125" s="530"/>
      <c r="BK125" s="530"/>
      <c r="BL125" s="530"/>
      <c r="BM125" s="530"/>
      <c r="BN125" s="530"/>
      <c r="BO125" s="530"/>
      <c r="BP125" s="530"/>
      <c r="BQ125" s="530"/>
      <c r="BR125" s="530"/>
      <c r="BS125" s="530"/>
      <c r="BT125" s="530"/>
      <c r="BU125" s="530"/>
      <c r="BV125" s="530"/>
      <c r="BW125" s="530"/>
      <c r="BX125" s="530"/>
    </row>
    <row r="126" spans="1:76" ht="12" customHeight="1" thickBot="1">
      <c r="A126" s="859"/>
      <c r="B126" s="443"/>
      <c r="E126" s="7200"/>
      <c r="F126" s="7201"/>
      <c r="G126" s="7201"/>
      <c r="H126" s="7201"/>
      <c r="I126" s="7201"/>
      <c r="J126" s="7202"/>
      <c r="K126" s="1509"/>
      <c r="L126" s="7269"/>
      <c r="M126" s="7269"/>
      <c r="N126" s="7269"/>
      <c r="O126" s="7267"/>
      <c r="R126" s="1257"/>
      <c r="S126" s="1258"/>
      <c r="T126" s="859"/>
      <c r="U126" s="3433"/>
      <c r="V126" s="7793"/>
      <c r="W126" s="7650"/>
      <c r="X126" s="7651"/>
      <c r="Y126" s="7651"/>
      <c r="Z126" s="7652"/>
      <c r="AA126" s="7588"/>
      <c r="AB126" s="1264" t="s">
        <v>7894</v>
      </c>
      <c r="AC126" s="1994"/>
      <c r="AD126" s="3458" t="s">
        <v>1425</v>
      </c>
      <c r="AE126" s="1995"/>
      <c r="AF126" s="7588"/>
      <c r="AG126" s="1264" t="s">
        <v>7894</v>
      </c>
      <c r="AH126" s="1996"/>
      <c r="AI126" s="3458" t="s">
        <v>1425</v>
      </c>
      <c r="AJ126" s="1995"/>
      <c r="AK126" s="3418"/>
      <c r="AL126" s="1919"/>
      <c r="AP126" s="3662"/>
      <c r="AQ126" s="3662"/>
      <c r="AR126" s="3662"/>
      <c r="AS126" s="3662"/>
      <c r="AT126" s="3662"/>
      <c r="AU126" s="3662"/>
      <c r="AV126" s="530"/>
      <c r="AW126" s="530"/>
      <c r="AX126" s="530"/>
      <c r="AY126" s="530"/>
      <c r="AZ126" s="530"/>
      <c r="BA126" s="530"/>
      <c r="BB126" s="530"/>
      <c r="BC126" s="530"/>
      <c r="BD126" s="530"/>
      <c r="BE126" s="530"/>
      <c r="BF126" s="530"/>
      <c r="BG126" s="530"/>
      <c r="BH126" s="530"/>
      <c r="BI126" s="530"/>
      <c r="BJ126" s="530"/>
      <c r="BK126" s="530"/>
      <c r="BL126" s="530"/>
      <c r="BM126" s="530"/>
      <c r="BN126" s="530"/>
      <c r="BO126" s="530"/>
      <c r="BP126" s="530"/>
      <c r="BQ126" s="530"/>
      <c r="BR126" s="530"/>
      <c r="BS126" s="530"/>
      <c r="BT126" s="530"/>
      <c r="BU126" s="530"/>
      <c r="BV126" s="530"/>
      <c r="BW126" s="530"/>
      <c r="BX126" s="530"/>
    </row>
    <row r="127" spans="1:76" ht="12" customHeight="1" thickBot="1">
      <c r="A127" s="859"/>
      <c r="B127" s="443"/>
      <c r="E127" s="7203"/>
      <c r="F127" s="7204"/>
      <c r="G127" s="7204"/>
      <c r="H127" s="7204"/>
      <c r="I127" s="7204"/>
      <c r="J127" s="7205"/>
      <c r="K127" s="1898"/>
      <c r="L127" s="7270"/>
      <c r="M127" s="7270"/>
      <c r="N127" s="7270"/>
      <c r="O127" s="7268"/>
      <c r="R127" s="1257"/>
      <c r="S127" s="1258"/>
      <c r="T127" s="859"/>
      <c r="U127" s="3433"/>
      <c r="AB127" s="530">
        <f>IF(AB119&lt;0,10,IF(AB119&gt;20,20,INDEX(Tablas!$L$23:$L$33,MATCH(AB119,Tablas!$N$23:$N$33,0))))</f>
        <v>10</v>
      </c>
      <c r="AG127" s="530">
        <f>IF(AG119&lt;0,10,IF(AG119&gt;20,20,INDEX(Tablas!$L$23:$L$33,MATCH(AG119,Tablas!$N$23:$N$33,0))))</f>
        <v>10</v>
      </c>
      <c r="AK127" s="3418" t="e">
        <f>IF(Z136&lt;1,0,VLOOKUP(Z136,Tabla_BonoStats,2))</f>
        <v>#N/A</v>
      </c>
      <c r="AL127" s="1919"/>
      <c r="AN127" s="530" t="s">
        <v>8848</v>
      </c>
      <c r="AO127" s="530" t="s">
        <v>1252</v>
      </c>
      <c r="AP127" s="530" t="s">
        <v>6797</v>
      </c>
      <c r="AQ127" s="530" t="s">
        <v>7894</v>
      </c>
      <c r="AR127" s="530" t="s">
        <v>1425</v>
      </c>
      <c r="AV127" s="530"/>
      <c r="AW127" s="530"/>
      <c r="AX127" s="530"/>
      <c r="AY127" s="530"/>
      <c r="AZ127" s="530"/>
      <c r="BA127" s="530"/>
      <c r="BB127" s="530"/>
      <c r="BC127" s="530"/>
      <c r="BD127" s="530"/>
      <c r="BE127" s="530"/>
      <c r="BF127" s="530"/>
      <c r="BG127" s="530"/>
      <c r="BH127" s="530"/>
      <c r="BI127" s="530"/>
      <c r="BJ127" s="530"/>
      <c r="BK127" s="530"/>
      <c r="BL127" s="530"/>
      <c r="BM127" s="530"/>
      <c r="BN127" s="530"/>
      <c r="BO127" s="530"/>
      <c r="BP127" s="530"/>
      <c r="BQ127" s="530"/>
      <c r="BR127" s="530"/>
      <c r="BS127" s="530"/>
      <c r="BT127" s="530"/>
      <c r="BU127" s="530"/>
      <c r="BV127" s="530"/>
      <c r="BW127" s="530"/>
      <c r="BX127" s="530"/>
    </row>
    <row r="128" spans="1:76" ht="12" customHeight="1" thickBot="1">
      <c r="A128" s="859"/>
      <c r="B128" s="443"/>
      <c r="R128" s="1257"/>
      <c r="S128" s="1258"/>
      <c r="T128" s="859"/>
      <c r="U128" s="3447"/>
      <c r="V128" s="7653" t="s">
        <v>1184</v>
      </c>
      <c r="W128" s="7654"/>
      <c r="X128" s="7234" t="s">
        <v>8151</v>
      </c>
      <c r="Y128" s="7235"/>
      <c r="Z128" s="7235"/>
      <c r="AA128" s="7235"/>
      <c r="AB128" s="7236"/>
      <c r="AC128" s="7593" t="s">
        <v>8166</v>
      </c>
      <c r="AD128" s="7635"/>
      <c r="AE128" s="7594"/>
      <c r="AF128" s="7636" t="s">
        <v>1582</v>
      </c>
      <c r="AG128" s="7637"/>
      <c r="AH128" s="7593" t="s">
        <v>8162</v>
      </c>
      <c r="AI128" s="7594"/>
      <c r="AJ128" s="2517"/>
      <c r="AK128" s="3418"/>
      <c r="AL128" s="1919"/>
      <c r="AN128" s="530" t="b">
        <f>AA147&lt;&gt;"-"</f>
        <v>0</v>
      </c>
      <c r="AO128" s="530" t="str">
        <f>IF(AN128,X144&amp;": "&amp;AD147&amp;" "&amp;AC145&amp;IF(AB151&gt;0," +"&amp;AB151,"")&amp;IF(AH145="",""," y "&amp;AH145&amp;IF(AG151&gt;0," +"&amp;AG151,"")),"")</f>
        <v/>
      </c>
      <c r="AP128" s="530" t="str">
        <f>IF(AN128,X144&amp;": "&amp;AA147&amp;" "&amp;AC145&amp;IF(AB151&gt;0," +"&amp;AB151,"")&amp;IF(AH145="",""," y "&amp;AF147&amp;" "&amp;AH145&amp;IF(AG151&gt;0," +"&amp;AG151,"")),"")</f>
        <v/>
      </c>
      <c r="AQ128" s="530" t="str">
        <f>IF(AN128,X144&amp;": "&amp;IFERROR(MAX(AB147,AG147),AB147)&amp;" "&amp;IF(Par_Esq="Esq","Esquiva",AC145&amp;IF(AB151&gt;0," +"&amp;AB151,"")&amp;IF(AH145="",""," y "&amp;AH145&amp;IF(AG151&gt;0," +"&amp;AG151,""))),"")</f>
        <v/>
      </c>
      <c r="AR128" s="530" t="str">
        <f>IF(AN128,X144&amp;": "&amp;AE147&amp;" "&amp;AC145&amp;IF(AB151&gt;0," +"&amp;AB151,"")&amp;IF($AA150="-",""," ("&amp;$AA150&amp;IF($AB150="-",""," / "&amp;$AB150)&amp;")")&amp;IF(AH145="",""," y "&amp;AJ147&amp;" "&amp;AH145&amp;IF(AG151&gt;0," +"&amp;AG151,""))&amp;IF($AF150="-",""," ("&amp;$AF150&amp;IF($AG150="-",""," / "&amp;$AG150)&amp;")"),"")</f>
        <v/>
      </c>
      <c r="AV128" s="530"/>
      <c r="AW128" s="530"/>
      <c r="AX128" s="530"/>
      <c r="AY128" s="530"/>
      <c r="AZ128" s="530"/>
      <c r="BA128" s="530"/>
      <c r="BB128" s="530"/>
      <c r="BC128" s="530"/>
      <c r="BD128" s="530"/>
      <c r="BE128" s="530"/>
      <c r="BF128" s="530"/>
      <c r="BG128" s="530"/>
      <c r="BH128" s="530"/>
      <c r="BI128" s="530"/>
      <c r="BJ128" s="530"/>
      <c r="BK128" s="530"/>
      <c r="BL128" s="530"/>
      <c r="BM128" s="530"/>
      <c r="BN128" s="530"/>
      <c r="BO128" s="530"/>
      <c r="BP128" s="530"/>
      <c r="BQ128" s="530"/>
      <c r="BR128" s="530"/>
      <c r="BS128" s="530"/>
      <c r="BT128" s="530"/>
      <c r="BU128" s="530"/>
      <c r="BV128" s="530"/>
      <c r="BW128" s="530"/>
      <c r="BX128" s="530"/>
    </row>
    <row r="129" spans="1:76" ht="12" customHeight="1" thickBot="1">
      <c r="A129" s="859"/>
      <c r="B129" s="443"/>
      <c r="R129" s="1257"/>
      <c r="S129" s="1258"/>
      <c r="T129" s="859"/>
      <c r="U129" s="3433"/>
      <c r="V129" s="5258" t="s">
        <v>8165</v>
      </c>
      <c r="W129" s="7221"/>
      <c r="X129" s="7222"/>
      <c r="Y129" s="7589" t="s">
        <v>1403</v>
      </c>
      <c r="Z129" s="7230">
        <f>IFERROR(VLOOKUP(V130,Tabla_CaracterísticasGéminis,2,0)+IF(COUNTIF(W137:Z142,"Metal")&gt;0,VLOOKUP(V130,Tabla_CaracterísticasGéminis,2,0),0)+IF(AF128="Grande",50,IF(AF128="Enorme",150,0)),0)</f>
        <v>0</v>
      </c>
      <c r="AA129" s="7642" t="s">
        <v>8173</v>
      </c>
      <c r="AB129" s="7643"/>
      <c r="AC129" s="7644"/>
      <c r="AD129" s="7645"/>
      <c r="AE129" s="7646"/>
      <c r="AF129" s="7642"/>
      <c r="AG129" s="7643"/>
      <c r="AH129" s="7644"/>
      <c r="AI129" s="7645"/>
      <c r="AJ129" s="7646"/>
      <c r="AK129" s="3418"/>
      <c r="AL129" s="1259"/>
      <c r="AV129" s="530"/>
      <c r="AW129" s="530"/>
      <c r="AX129" s="530"/>
      <c r="AY129" s="530"/>
      <c r="AZ129" s="530"/>
      <c r="BA129" s="530"/>
      <c r="BB129" s="530"/>
      <c r="BC129" s="530"/>
      <c r="BD129" s="530"/>
      <c r="BE129" s="530"/>
      <c r="BF129" s="530"/>
      <c r="BG129" s="530"/>
      <c r="BH129" s="530"/>
      <c r="BI129" s="530"/>
      <c r="BJ129" s="530"/>
      <c r="BK129" s="530"/>
      <c r="BL129" s="530"/>
      <c r="BM129" s="530"/>
      <c r="BN129" s="530"/>
      <c r="BO129" s="530"/>
      <c r="BP129" s="530"/>
      <c r="BQ129" s="530"/>
      <c r="BR129" s="530"/>
      <c r="BS129" s="530"/>
      <c r="BT129" s="530"/>
      <c r="BU129" s="530"/>
      <c r="BV129" s="530"/>
      <c r="BW129" s="530"/>
      <c r="BX129" s="530"/>
    </row>
    <row r="130" spans="1:76" ht="12" customHeight="1" thickBot="1">
      <c r="A130" s="859"/>
      <c r="B130" s="443"/>
      <c r="C130" s="6301" t="s">
        <v>12445</v>
      </c>
      <c r="D130" s="6302"/>
      <c r="E130" s="6302"/>
      <c r="F130" s="6302"/>
      <c r="G130" s="6302"/>
      <c r="H130" s="6302"/>
      <c r="I130" s="6302"/>
      <c r="J130" s="6302"/>
      <c r="K130" s="6302"/>
      <c r="L130" s="6302"/>
      <c r="M130" s="6302"/>
      <c r="N130" s="6302"/>
      <c r="O130" s="6302"/>
      <c r="P130" s="6302"/>
      <c r="Q130" s="7232"/>
      <c r="R130" s="1257"/>
      <c r="S130" s="1258"/>
      <c r="T130" s="1258"/>
      <c r="U130" s="3417"/>
      <c r="V130" s="7223"/>
      <c r="W130" s="7224"/>
      <c r="X130" s="7225"/>
      <c r="Y130" s="7590"/>
      <c r="Z130" s="7231"/>
      <c r="AA130" s="3434" t="s">
        <v>1423</v>
      </c>
      <c r="AB130" s="7668" t="s">
        <v>1424</v>
      </c>
      <c r="AC130" s="7669"/>
      <c r="AD130" s="3437" t="s">
        <v>1252</v>
      </c>
      <c r="AE130" s="3436" t="s">
        <v>1425</v>
      </c>
      <c r="AF130" s="3434" t="s">
        <v>1423</v>
      </c>
      <c r="AG130" s="7668" t="s">
        <v>1424</v>
      </c>
      <c r="AH130" s="7669"/>
      <c r="AI130" s="3437" t="s">
        <v>1252</v>
      </c>
      <c r="AJ130" s="3436" t="s">
        <v>1425</v>
      </c>
      <c r="AK130" s="3418"/>
      <c r="AL130" s="1919"/>
      <c r="AN130" s="530" t="s">
        <v>8167</v>
      </c>
      <c r="AQ130" s="530" t="s">
        <v>8175</v>
      </c>
      <c r="AR130" s="530" t="s">
        <v>8177</v>
      </c>
      <c r="AS130" s="530" t="s">
        <v>8176</v>
      </c>
      <c r="AT130" s="530" t="s">
        <v>1227</v>
      </c>
      <c r="AU130" s="530" t="s">
        <v>8178</v>
      </c>
      <c r="AV130" s="530"/>
      <c r="AW130" s="530"/>
      <c r="AX130" s="530"/>
      <c r="AY130" s="530"/>
      <c r="AZ130" s="530"/>
      <c r="BA130" s="530"/>
      <c r="BB130" s="530"/>
      <c r="BC130" s="530"/>
      <c r="BD130" s="530"/>
      <c r="BE130" s="530"/>
      <c r="BF130" s="530"/>
      <c r="BG130" s="530"/>
      <c r="BH130" s="530"/>
      <c r="BI130" s="530"/>
      <c r="BJ130" s="530"/>
      <c r="BK130" s="530"/>
      <c r="BL130" s="530"/>
      <c r="BM130" s="530"/>
      <c r="BN130" s="530"/>
      <c r="BO130" s="530"/>
      <c r="BP130" s="530"/>
      <c r="BQ130" s="530"/>
      <c r="BR130" s="530"/>
      <c r="BS130" s="530"/>
      <c r="BT130" s="530"/>
      <c r="BU130" s="530"/>
      <c r="BV130" s="530"/>
      <c r="BW130" s="530"/>
      <c r="BX130" s="530"/>
    </row>
    <row r="131" spans="1:76" ht="12" customHeight="1" thickBot="1">
      <c r="A131" s="859"/>
      <c r="B131" s="443"/>
      <c r="C131" s="6304"/>
      <c r="D131" s="6305"/>
      <c r="E131" s="6305"/>
      <c r="F131" s="6305"/>
      <c r="G131" s="6305"/>
      <c r="H131" s="6305"/>
      <c r="I131" s="6305"/>
      <c r="J131" s="6305"/>
      <c r="K131" s="6305"/>
      <c r="L131" s="6305"/>
      <c r="M131" s="6305"/>
      <c r="N131" s="6305"/>
      <c r="O131" s="6305"/>
      <c r="P131" s="6305"/>
      <c r="Q131" s="7233"/>
      <c r="R131" s="1257"/>
      <c r="S131" s="1258"/>
      <c r="T131" s="859"/>
      <c r="U131" s="3433"/>
      <c r="V131" s="7226" t="s">
        <v>8158</v>
      </c>
      <c r="W131" s="7227"/>
      <c r="X131" s="7230">
        <f>IFERROR(VLOOKUP(V130,Tabla_CaracterísticasGéminis,4,0),0)</f>
        <v>0</v>
      </c>
      <c r="Y131" s="7589" t="s">
        <v>8155</v>
      </c>
      <c r="Z131" s="7230">
        <f>IFERROR(VLOOKUP(V130,Tabla_CaracterísticasGéminis,3,0)+IF(COUNTIF(W137:Z142,"Metal")&gt;0,4,0),0)</f>
        <v>0</v>
      </c>
      <c r="AA131" s="7638" t="str">
        <f>IFERROR(IF(OR(AC129="",Tablas!$H$1106=0),"-",IF(OR(AC129="Armas naturales",VLOOKUP(AC129,Tabla_ArmasyEscudos,9,0)="Conocida"),HA_final,"-")+AB135+AC141+5*MIN(4,COUNTIF(W137:Z142,"Capacidad de combate"))-10*MAX(0,AR115-Z136))+IF(AND(OR(AC129="Lanza",AC129="Vara"),AA129="A 1 mano"),-10,0),"-")</f>
        <v>-</v>
      </c>
      <c r="AB131" s="7640" t="str">
        <f>IFERROR(IF(OR(AC129="",Tablas!$H$1106=0),"-",IF(OR(AC129="Armas naturales",NOT(AND(AC131="Par",VLOOKUP(AC129,Tabla_ArmasyEscudos,9,0)&lt;&gt;"Conocida"))),HD_final,"-")+IF(VLOOKUP(AC129,Tabla_ArmasyEscudos,9,0)="Conocida",VLOOKUP(AC129,Tabla_ArmasyEscudos,IF(AC131="Par",13,14),FALSE),0)+AC142+5*MIN(4,COUNTIF(W137:Z142,"Capacidad de combate"))+IF(AC131="Par",AB135-10*MAX(0,AR115-Z136),0)),"-")</f>
        <v>-</v>
      </c>
      <c r="AC131" s="7595" t="str">
        <f>IF(OR(AC129="",Tablas!$H$1106=0),"",Par_Esq)</f>
        <v/>
      </c>
      <c r="AD131" s="7597" t="str">
        <f>IFERROR(IF(OR(AC129="",Tablas!$H$1106=0),"-",IF(AC129="Armas naturales",Turno_Nat_final-20+AO123,Turno_Nat_final-20+IF(ISNA(AU116),AU115,IF((AU115-AB135)=(AU116-AG135),MIN(AU115,AU116)-IF(VLOOKUP(AC129,Tabla_ArmasyEscudos,3,FALSE)&gt;=0,10,20),MIN(AU115,AU116))))+IF(COUNTIF(W137:Z142,"Metal")&gt;0,-40,0)),"-")</f>
        <v>-</v>
      </c>
      <c r="AE131" s="7591" t="str">
        <f>IFERROR(IF(OR(AC129="",Tablas!$H$1106=0),"-",IF(AC129="Armas naturales",AO122+AK127+IF(COUNTIF(W137:Z142,"Armas naturales mejoradas")&gt;0,50,0),IF(ISNUMBER(FIND("Proyectiles",VLOOKUP(AC129,Tabla_ArmasyEscudos,8,0))),VLOOKUP(AD138,Tabla_ArmasyEscudos,2,0)+AD139*2+IF((AS115-AB135/5)&gt;0,AT115,AK127)+IF(AC129="Arco de balas",IF(Z136+2&lt;1,0,VLOOKUP(Z136+2,Tabla_BonoStats,2))-AK127,0),VLOOKUP(AC129,Tabla_ArmasyEscudos,2,0)+IF(OR(AC129="Katana de Doble Hoja",AC129="Kusari-Gama"),Bono_Fue-AK127)+IF(AC129="Lazo",2*(Bono_Fue-AK127))+AB135*2+AK127+IF(AA129="A 2 Manos",AK127,0)))+AE142+IF(DañoIncrementado,10,0)+IF(Extensióndelauraalarma,10,0)),"-")</f>
        <v>-</v>
      </c>
      <c r="AF131" s="7638" t="str">
        <f>IFERROR(IF(OR(AH129="",Tablas!$H$1106=0),"-",IF(VLOOKUP(AH129,Tabla_ArmasyEscudos,9,0)="Conocida",HA_final,"-")-40+AG135+AH141+5*MIN(4,COUNTIF(W137:Z142,"Capacidad de combate"))-10*MAX(0,AR116-Z136))+IF(AND(OR(AH129="Lanza",AH129="Vara"),AF129="A 1 mano"),-10,0),"-")</f>
        <v>-</v>
      </c>
      <c r="AG131" s="7640" t="str">
        <f>IFERROR(IF(OR(AH129="",Tablas!$H$1106=0),"-",IF(NOT(AND(AH131="Par",VLOOKUP(AH129,Tabla_ArmasyEscudos,9,0)&lt;&gt;"Conocida")),HD_final,"-")+IF(VLOOKUP(AH129,Tabla_ArmasyEscudos,9,0)="Conocida",VLOOKUP(AH129,Tabla_ArmasyEscudos,IF(AH131="Par",13,14),FALSE),0)+AH142+5*MIN(4,COUNTIF(W137:Z142,"Capacidad de combate"))+IF(AH131="Par",AG135-10*MAX(0,AR116-Z136),0)),"-")</f>
        <v>-</v>
      </c>
      <c r="AH131" s="7595" t="str">
        <f>IF(OR(AH129="",Tablas!$H$1106=0),"",Par_Esq)</f>
        <v/>
      </c>
      <c r="AI131" s="7597" t="s">
        <v>1437</v>
      </c>
      <c r="AJ131" s="7591" t="str">
        <f>IFERROR(IF(OR(AH129="",Tablas!$H$1106=0),"-",IF(AH129="Armas naturales",AO122+AK127+IF(COUNTIF(W137:Z142,"Armas naturales mejoradas")&gt;0,50,0),IF(ISNUMBER(FIND("Proyectiles",VLOOKUP(AH129,Tabla_ArmasyEscudos,8,0))),VLOOKUP(AI138,Tabla_ArmasyEscudos,2,0)+AI139*2+IF((AS116-AG135/5)&gt;0,AT116,AK127),VLOOKUP(AH129,Tabla_ArmasyEscudos,2,0)+AG135*2+AK127+IF(AF129="A 2 Manos",AK127,0)))+AJ142+IF(DañoIncrementado,10,0)+IF(Extensióndelauraalarma,10,0)),"-")</f>
        <v>-</v>
      </c>
      <c r="AK131" s="3418"/>
      <c r="AL131" s="1919"/>
      <c r="AM131" s="628"/>
      <c r="AN131" s="530" t="str">
        <f>ADDRESS(ROW(AN132),COLUMN(AN132))&amp;":"&amp;IF(AN136="",ADDRESS(ROW(AN134),COLUMN(AN134)),ADDRESS(ROW(AN136),COLUMN(AN136)))</f>
        <v>$AN$132:$AN$134</v>
      </c>
      <c r="AP131" s="530">
        <f>AC145</f>
        <v>0</v>
      </c>
      <c r="AQ131" s="530" t="str">
        <f>IF(OR(AA145="A 2 manos",AA145="Proy. 2M"),"2M","")</f>
        <v/>
      </c>
      <c r="AR131" s="530">
        <f ca="1">IFERROR(VLOOKUP(AC145,Tabla_ArmasyEscudos,IF(AQ131="2M",5,4),0),0)</f>
        <v>0</v>
      </c>
      <c r="AS131" s="530">
        <f ca="1">IFERROR(IF(VLOOKUP(AC145,Tabla_ArmasyEscudos,18,0)&gt;0,IF(AC145="Atlatl",Z152+2,VLOOKUP(AC145,Tabla_ArmasyEscudos,18,0))+AB151/5,0),0)</f>
        <v>0</v>
      </c>
      <c r="AT131" s="530">
        <f ca="1">IF(AS131&lt;1,0,VLOOKUP(AS131,Tablas!$C$14:$D$33,2))</f>
        <v>0</v>
      </c>
      <c r="AU131" s="530" t="e">
        <f ca="1">VLOOKUP(AC145,Tabla_ArmasyEscudos,3,FALSE)+AE157+AB151</f>
        <v>#N/A</v>
      </c>
      <c r="AV131" s="530"/>
      <c r="AW131" s="530"/>
      <c r="AX131" s="530"/>
      <c r="AY131" s="530"/>
      <c r="AZ131" s="530"/>
      <c r="BA131" s="530"/>
      <c r="BB131" s="530"/>
      <c r="BC131" s="530"/>
      <c r="BD131" s="530"/>
      <c r="BE131" s="530"/>
      <c r="BF131" s="530"/>
      <c r="BG131" s="530"/>
      <c r="BH131" s="530"/>
      <c r="BI131" s="530"/>
      <c r="BJ131" s="530"/>
      <c r="BK131" s="530"/>
      <c r="BL131" s="530"/>
      <c r="BM131" s="530"/>
      <c r="BN131" s="530"/>
      <c r="BO131" s="530"/>
      <c r="BP131" s="530"/>
      <c r="BQ131" s="530"/>
      <c r="BR131" s="530"/>
      <c r="BS131" s="530"/>
      <c r="BT131" s="530"/>
      <c r="BU131" s="530"/>
      <c r="BV131" s="530"/>
      <c r="BW131" s="530"/>
      <c r="BX131" s="530"/>
    </row>
    <row r="132" spans="1:76" ht="12" customHeight="1" thickBot="1">
      <c r="A132" s="859"/>
      <c r="B132" s="443"/>
      <c r="R132" s="1257"/>
      <c r="S132" s="1258"/>
      <c r="T132" s="859"/>
      <c r="U132" s="3433"/>
      <c r="V132" s="7228"/>
      <c r="W132" s="7229"/>
      <c r="X132" s="7231"/>
      <c r="Y132" s="7590"/>
      <c r="Z132" s="7231"/>
      <c r="AA132" s="7639"/>
      <c r="AB132" s="7641"/>
      <c r="AC132" s="7596"/>
      <c r="AD132" s="7598"/>
      <c r="AE132" s="7592"/>
      <c r="AF132" s="7639"/>
      <c r="AG132" s="7641"/>
      <c r="AH132" s="7596"/>
      <c r="AI132" s="7598"/>
      <c r="AJ132" s="7592"/>
      <c r="AK132" s="3418"/>
      <c r="AL132" s="1919"/>
      <c r="AN132" s="530" t="s">
        <v>1819</v>
      </c>
      <c r="AP132" s="530">
        <f>AH145</f>
        <v>0</v>
      </c>
      <c r="AQ132" s="530" t="str">
        <f>IF(OR(AF145="A 2 manos",AF145="Proy. 2M"),"2M","")</f>
        <v/>
      </c>
      <c r="AR132" s="530">
        <f ca="1">IFERROR(VLOOKUP(AH145,Tabla_ArmasyEscudos,IF(AQ132="2M",5,4),0),0)</f>
        <v>0</v>
      </c>
      <c r="AS132" s="530">
        <f ca="1">IFERROR(IF(VLOOKUP(AH145,Tabla_ArmasyEscudos,18,0)&gt;0,IF(AH145="Atlatl",Z152+2,VLOOKUP(AH145,Tabla_ArmasyEscudos,18,0))+AG151/5,0),0)</f>
        <v>0</v>
      </c>
      <c r="AT132" s="530">
        <f ca="1">IF(AS132&lt;1,0,VLOOKUP(AS132,Tablas!$C$14:$D$33,2))</f>
        <v>0</v>
      </c>
      <c r="AU132" s="530" t="e">
        <f ca="1">VLOOKUP(AH145,Tabla_ArmasyEscudos,3,FALSE)+AJ157+AG151</f>
        <v>#N/A</v>
      </c>
      <c r="AV132" s="530"/>
      <c r="AW132" s="530"/>
      <c r="AX132" s="530"/>
      <c r="AY132" s="530"/>
      <c r="AZ132" s="530"/>
      <c r="BA132" s="530"/>
      <c r="BB132" s="530"/>
      <c r="BC132" s="530"/>
      <c r="BD132" s="530"/>
      <c r="BE132" s="530"/>
      <c r="BF132" s="530"/>
      <c r="BG132" s="530"/>
      <c r="BH132" s="530"/>
      <c r="BI132" s="530"/>
      <c r="BJ132" s="530"/>
      <c r="BK132" s="530"/>
      <c r="BL132" s="530"/>
      <c r="BM132" s="530"/>
      <c r="BN132" s="530"/>
      <c r="BO132" s="530"/>
      <c r="BP132" s="530"/>
      <c r="BQ132" s="530"/>
      <c r="BR132" s="530"/>
      <c r="BS132" s="530"/>
      <c r="BT132" s="530"/>
      <c r="BU132" s="530"/>
      <c r="BV132" s="530"/>
      <c r="BW132" s="530"/>
      <c r="BX132" s="530"/>
    </row>
    <row r="133" spans="1:76" ht="12" customHeight="1">
      <c r="A133" s="859"/>
      <c r="B133" s="443"/>
      <c r="C133" s="7191" t="s">
        <v>11723</v>
      </c>
      <c r="D133" s="7192"/>
      <c r="E133" s="7192"/>
      <c r="F133" s="7192"/>
      <c r="G133" s="7192"/>
      <c r="H133" s="7192"/>
      <c r="I133" s="7192"/>
      <c r="J133" s="7193"/>
      <c r="R133" s="1257"/>
      <c r="S133" s="1258"/>
      <c r="T133" s="859"/>
      <c r="U133" s="3433"/>
      <c r="V133" s="7791" t="s">
        <v>8163</v>
      </c>
      <c r="W133" s="3438"/>
      <c r="X133" s="3419" t="s">
        <v>1225</v>
      </c>
      <c r="Y133" s="3419" t="s">
        <v>8164</v>
      </c>
      <c r="Z133" s="3419" t="s">
        <v>1209</v>
      </c>
      <c r="AA133" s="3439" t="s">
        <v>8171</v>
      </c>
      <c r="AB133" s="3440" t="s">
        <v>8172</v>
      </c>
      <c r="AC133" s="3440" t="s">
        <v>1416</v>
      </c>
      <c r="AD133" s="3440" t="s">
        <v>1429</v>
      </c>
      <c r="AE133" s="3441" t="s">
        <v>1417</v>
      </c>
      <c r="AF133" s="3439" t="s">
        <v>8171</v>
      </c>
      <c r="AG133" s="3440" t="s">
        <v>8172</v>
      </c>
      <c r="AH133" s="3440" t="s">
        <v>1416</v>
      </c>
      <c r="AI133" s="3440" t="s">
        <v>1429</v>
      </c>
      <c r="AJ133" s="3441" t="s">
        <v>1417</v>
      </c>
      <c r="AK133" s="3418"/>
      <c r="AL133" s="1919"/>
      <c r="AN133" s="530" t="s">
        <v>1820</v>
      </c>
      <c r="AV133" s="530"/>
      <c r="AW133" s="530"/>
      <c r="AX133" s="530"/>
      <c r="AY133" s="530"/>
      <c r="AZ133" s="530"/>
      <c r="BA133" s="530"/>
      <c r="BB133" s="530"/>
      <c r="BC133" s="530"/>
      <c r="BD133" s="530"/>
      <c r="BE133" s="530"/>
      <c r="BF133" s="530"/>
      <c r="BG133" s="530"/>
      <c r="BH133" s="530"/>
      <c r="BI133" s="530"/>
      <c r="BJ133" s="530"/>
      <c r="BK133" s="530"/>
      <c r="BL133" s="530"/>
      <c r="BM133" s="530"/>
      <c r="BN133" s="530"/>
      <c r="BO133" s="530"/>
      <c r="BP133" s="530"/>
      <c r="BQ133" s="530"/>
      <c r="BR133" s="530"/>
      <c r="BS133" s="530"/>
      <c r="BT133" s="530"/>
      <c r="BU133" s="530"/>
      <c r="BV133" s="530"/>
      <c r="BW133" s="530"/>
      <c r="BX133" s="530"/>
    </row>
    <row r="134" spans="1:76" ht="12" customHeight="1">
      <c r="A134" s="859"/>
      <c r="B134" s="443"/>
      <c r="C134" s="7194"/>
      <c r="D134" s="7195"/>
      <c r="E134" s="7195"/>
      <c r="F134" s="7195"/>
      <c r="G134" s="7195"/>
      <c r="H134" s="7195"/>
      <c r="I134" s="7196"/>
      <c r="J134" s="3615" t="s">
        <v>11724</v>
      </c>
      <c r="R134" s="1257"/>
      <c r="S134" s="1258"/>
      <c r="T134" s="859"/>
      <c r="U134" s="3433"/>
      <c r="V134" s="7792"/>
      <c r="W134" s="1322" t="s">
        <v>1233</v>
      </c>
      <c r="X134" s="3460" t="str">
        <f>IF(Tablas!$H$1106=0,"-",IF(Zen,DES,MIN(13,DES)))</f>
        <v>-</v>
      </c>
      <c r="Y134" s="3461"/>
      <c r="Z134" s="3462" t="str">
        <f>IFERROR(MIN(X134+Y134,IF(Zen,20,13)),"-")</f>
        <v>-</v>
      </c>
      <c r="AA134" s="1266" t="str">
        <f ca="1">IFERROR(IF(AC129="Armas naturales",IF(AD138="","-",AD138),VLOOKUP(IF(OR(AA129="Proy. 1M",AA129="Proy. 2M"),AD138,AC129),Tabla_ArmasyEscudos,6,0)),"-")</f>
        <v>-</v>
      </c>
      <c r="AB134" s="3443" t="str">
        <f ca="1">IFERROR(IF(AC129="Armas naturales",IF(AD139="","-",AD139),VLOOKUP(IF(OR(AA129="Proy. 1M",AA129="Proy. 2M"),AD138,AC129),Tabla_ArmasyEscudos,7,0)),"-")</f>
        <v>-</v>
      </c>
      <c r="AC134" s="3444" t="str">
        <f>IFERROR(IF(OR(AC129="",Tablas!$H$1106=0),"-",IF(AC129="Armas naturales",AO124+IF(Extensióndelauraalarma,10,0)+IF(Tabla_Desvío,Z135,0),VLOOKUP(AC129,Tabla_ArmasyEscudos,10,0)+IF(Tabla_Desvío,Z135,0)+IF(Extensióndelauraalarma,10,0)+10*AB135/5&amp;IFERROR("/"&amp;VLOOKUP(AD138,Tabla_ArmasyEscudos,10,0)+IF(Extensióndelauraalarma,10,0)+10*AD139/5,""))),"-")</f>
        <v>-</v>
      </c>
      <c r="AD134" s="3444" t="str">
        <f>IFERROR(IF(OR(AC129="",Tablas!$H$1106=0),"-",IF(AC129="Armas naturales",AO125,IFERROR(VLOOKUP(AD138,Tabla_ArmasyEscudos,11,0)+2*AD139/5,VLOOKUP(AC129,Tabla_ArmasyEscudos,11,0)+2*AB135/5))+VLOOKUP(IF((AS115-AB135/5)&gt;0,AS115,Z136),Tabla_Fuerza,2)+IF(Extensióndelauraalarma,5,0)+IF(Ojos_de_la_Muerte,5,0)),"-")</f>
        <v>-</v>
      </c>
      <c r="AE134" s="2538" t="str">
        <f>IFERROR(IF(OR(AC129="",Tablas!$H$1106=0),"-",IF(AC129="Armas naturales",Presencia_final,VLOOKUP(AC129,Tabla_ArmasyEscudos,12,0)+50*MAX(AB135/5,0)&amp;IFERROR("/"&amp;VLOOKUP(AD138,Tabla_ArmasyEscudos,12,0)+50*MAX(AD139/5,0),""))),"-")</f>
        <v>-</v>
      </c>
      <c r="AF134" s="1266" t="str">
        <f ca="1">IFERROR(IF(AH129="Armas naturales",IF(AI138="","-",AI138),VLOOKUP(IF(AF129="Proy. 1M",AI138,AH129),Tabla_ArmasyEscudos,6,0)),"-")</f>
        <v>-</v>
      </c>
      <c r="AG134" s="3443" t="str">
        <f ca="1">IFERROR(IF(AH129="Armas naturales",IF(AI139="","-",AI139),VLOOKUP(IF(AF129="Proy. 1M",AI138,AH129),Tabla_ArmasyEscudos,7,0)),"-")</f>
        <v>-</v>
      </c>
      <c r="AH134" s="3444" t="str">
        <f>IFERROR(IF(OR(AH129="",Tablas!$H$1106=0),"-",IF(AH129="Armas naturales",AO124+IF(Extensióndelauraalarma,10,0)+IF(Tabla_Desvío,Z135,0),VLOOKUP(AH129,Tabla_ArmasyEscudos,10,0)+IF(Tabla_Desvío,Z135,0)+IF(Extensióndelauraalarma,10,0)+10*AG135/5&amp;IFERROR("/"&amp;VLOOKUP(AI138,Tabla_ArmasyEscudos,10,0)+IF(Extensióndelauraalarma,10,0)+10*AI139/5,""))),"-")</f>
        <v>-</v>
      </c>
      <c r="AI134" s="3444" t="str">
        <f>IFERROR(IF(OR(AH129="",Tablas!$H$1106=0),"-",IF(AH129="Armas naturales",AO125,IFERROR(VLOOKUP(AI138,Tabla_ArmasyEscudos,11,0)+2*AI139/5,VLOOKUP(AH129,Tabla_ArmasyEscudos,11,0)+2*AG135/5))+VLOOKUP(IF((AS116-AG135/5)&gt;0,AS116,Z136),Tabla_Fuerza,2)+IF(Extensióndelauraalarma,5,0)+IF(Ojos_de_la_Muerte,5,0)),"-")</f>
        <v>-</v>
      </c>
      <c r="AJ134" s="2538" t="str">
        <f>IFERROR(IF(OR(AH129="",Tablas!$H$1106=0),"-",IF(AH129="Armas naturales",Presencia_final,VLOOKUP(AH129,Tabla_ArmasyEscudos,12,0)+50*MAX(AG135/5,0)&amp;IFERROR("/"&amp;VLOOKUP(AI138,Tabla_ArmasyEscudos,12,0)+50*MAX(AI139/5,0),""))),"-")</f>
        <v>-</v>
      </c>
      <c r="AK134" s="3418"/>
      <c r="AL134" s="1919"/>
      <c r="AN134" s="530" t="s">
        <v>1582</v>
      </c>
      <c r="AV134" s="530"/>
      <c r="AW134" s="530"/>
      <c r="AX134" s="530"/>
      <c r="AY134" s="530"/>
      <c r="AZ134" s="530"/>
      <c r="BA134" s="530"/>
      <c r="BB134" s="530"/>
      <c r="BC134" s="530"/>
      <c r="BD134" s="530"/>
      <c r="BE134" s="530"/>
      <c r="BF134" s="530"/>
      <c r="BG134" s="530"/>
      <c r="BH134" s="530"/>
      <c r="BI134" s="530"/>
      <c r="BJ134" s="530"/>
      <c r="BK134" s="530"/>
      <c r="BL134" s="530"/>
      <c r="BM134" s="530"/>
      <c r="BN134" s="530"/>
      <c r="BO134" s="530"/>
      <c r="BP134" s="530"/>
      <c r="BQ134" s="530"/>
      <c r="BR134" s="530"/>
      <c r="BS134" s="530"/>
      <c r="BT134" s="530"/>
      <c r="BU134" s="530"/>
      <c r="BV134" s="530"/>
      <c r="BW134" s="530"/>
      <c r="BX134" s="530"/>
    </row>
    <row r="135" spans="1:76" ht="12" customHeight="1" thickBot="1">
      <c r="A135" s="859"/>
      <c r="B135" s="443"/>
      <c r="C135" s="7197"/>
      <c r="D135" s="7198"/>
      <c r="E135" s="7198"/>
      <c r="F135" s="7198"/>
      <c r="G135" s="7198"/>
      <c r="H135" s="7198"/>
      <c r="I135" s="7199"/>
      <c r="J135" s="3616">
        <v>150</v>
      </c>
      <c r="R135" s="1257"/>
      <c r="S135" s="1258"/>
      <c r="T135" s="1258"/>
      <c r="U135" s="3417"/>
      <c r="V135" s="7792"/>
      <c r="W135" s="1322" t="s">
        <v>1238</v>
      </c>
      <c r="X135" s="1517" t="str">
        <f>IF(Tablas!$H$1106=0,"-",IF(Zen,DES,MIN(13,DES)))</f>
        <v>-</v>
      </c>
      <c r="Y135" s="2014"/>
      <c r="Z135" s="2539" t="str">
        <f>IFERROR(MIN(X135+Y135,IF(Zen,20,13)),"-")</f>
        <v>-</v>
      </c>
      <c r="AA135" s="1518" t="str">
        <f>IF(AND(AC129&lt;&gt;"",AC129&lt;&gt;"Armas naturales"),"Calidad:","")</f>
        <v/>
      </c>
      <c r="AB135" s="3446"/>
      <c r="AC135" s="7786" t="str">
        <f ca="1">IF(AA139="Calidad munición:",IF(AD139&lt;=0,"","TA defensor:"),IF(AB135&lt;=0,"","TA defensor:"))</f>
        <v/>
      </c>
      <c r="AD135" s="7787"/>
      <c r="AE135" s="2540" t="str">
        <f ca="1">IF(AC135="TA defensor:",IF(AA139="Calidad munición:",AD139/(-5),AB135/(-5)),"")</f>
        <v/>
      </c>
      <c r="AF135" s="1518" t="str">
        <f>IF(AND(AH129&lt;&gt;"",AH129&lt;&gt;"Armas naturales"),"Calidad:","")</f>
        <v/>
      </c>
      <c r="AG135" s="3446"/>
      <c r="AH135" s="7786" t="str">
        <f ca="1">IF(AF139="Calidad munición:",IF(AI139&lt;=0,"","TA defensor:"),IF(AG135&lt;=0,"","TA defensor:"))</f>
        <v/>
      </c>
      <c r="AI135" s="7787"/>
      <c r="AJ135" s="2540" t="str">
        <f ca="1">IF(AH135="TA defensor:",IF(AF139="Calidad munición:",AI139/(-5),AG135/(-5)),"")</f>
        <v/>
      </c>
      <c r="AK135" s="3451"/>
      <c r="AL135" s="1919"/>
      <c r="AN135" s="530" t="str">
        <f>IF(COUNTIF(W153:Z158,"Tamaño excepcional")&gt;0,"Grande","")</f>
        <v/>
      </c>
      <c r="AV135" s="530"/>
      <c r="AW135" s="530"/>
      <c r="AX135" s="530"/>
      <c r="AY135" s="530"/>
      <c r="AZ135" s="530"/>
      <c r="BA135" s="530"/>
      <c r="BB135" s="530"/>
      <c r="BC135" s="530"/>
      <c r="BD135" s="530"/>
      <c r="BE135" s="530"/>
      <c r="BF135" s="530"/>
      <c r="BG135" s="530"/>
      <c r="BH135" s="530"/>
      <c r="BI135" s="530"/>
      <c r="BJ135" s="530"/>
      <c r="BK135" s="530"/>
      <c r="BL135" s="530"/>
      <c r="BM135" s="530"/>
      <c r="BN135" s="530"/>
      <c r="BO135" s="530"/>
      <c r="BP135" s="530"/>
      <c r="BQ135" s="530"/>
      <c r="BR135" s="530"/>
      <c r="BS135" s="530"/>
      <c r="BT135" s="530"/>
      <c r="BU135" s="530"/>
      <c r="BV135" s="530"/>
      <c r="BW135" s="530"/>
      <c r="BX135" s="530"/>
    </row>
    <row r="136" spans="1:76" ht="12" customHeight="1" thickBot="1">
      <c r="A136" s="859"/>
      <c r="B136" s="443"/>
      <c r="C136" s="7173"/>
      <c r="D136" s="7174"/>
      <c r="E136" s="7174"/>
      <c r="F136" s="7174"/>
      <c r="G136" s="7174"/>
      <c r="H136" s="7174"/>
      <c r="I136" s="7175"/>
      <c r="J136" s="3617">
        <v>300</v>
      </c>
      <c r="M136" s="7185" t="s">
        <v>11721</v>
      </c>
      <c r="N136" s="7186"/>
      <c r="O136" s="7186"/>
      <c r="P136" s="7189">
        <v>3</v>
      </c>
      <c r="R136" s="1257"/>
      <c r="S136" s="1258"/>
      <c r="T136" s="1258"/>
      <c r="U136" s="3417"/>
      <c r="V136" s="7793"/>
      <c r="W136" s="3448" t="s">
        <v>1243</v>
      </c>
      <c r="X136" s="3449" t="str">
        <f>IF(Tablas!$H$1106=0,"-",IF(Zen,FUE-2,MIN(11,FUE-2)))</f>
        <v>-</v>
      </c>
      <c r="Y136" s="2015"/>
      <c r="Z136" s="3450" t="str">
        <f>IFERROR(MIN(20,MIN(X136+Y136,IF(Zen,20,13))+IF(COUNTIF(W137:Z142,"Fuerza excepcional")&gt;0,IF(X136+6&lt;15,6,MAX(15-X136,0)),0)),"-")</f>
        <v>-</v>
      </c>
      <c r="AA136" s="7788" t="str">
        <f ca="1">IFERROR(IF(AC129="Armas naturales","",VLOOKUP(AC129,Tabla_ArmasyEscudos,19,0)),"")</f>
        <v/>
      </c>
      <c r="AB136" s="7789"/>
      <c r="AC136" s="7789"/>
      <c r="AD136" s="7789"/>
      <c r="AE136" s="7790"/>
      <c r="AF136" s="7788" t="str">
        <f ca="1">IFERROR(IF(AH129="Armas naturales","",VLOOKUP(AH129,Tabla_ArmasyEscudos,19,0)),"")</f>
        <v/>
      </c>
      <c r="AG136" s="7789"/>
      <c r="AH136" s="7789"/>
      <c r="AI136" s="7789"/>
      <c r="AJ136" s="7790"/>
      <c r="AK136" s="3418"/>
      <c r="AL136" s="1919"/>
      <c r="AN136" s="530" t="str">
        <f>IF(COUNTIF(W153:Z158,"Tamaño excepcional")&gt;0,"Enorme","")</f>
        <v/>
      </c>
      <c r="AV136" s="530"/>
      <c r="AW136" s="530"/>
      <c r="AX136" s="530"/>
      <c r="AY136" s="530"/>
      <c r="AZ136" s="530"/>
      <c r="BA136" s="530"/>
      <c r="BB136" s="530"/>
      <c r="BC136" s="530"/>
      <c r="BD136" s="530"/>
      <c r="BE136" s="530"/>
      <c r="BF136" s="530"/>
      <c r="BG136" s="530"/>
      <c r="BH136" s="530"/>
      <c r="BI136" s="530"/>
      <c r="BJ136" s="530"/>
      <c r="BK136" s="530"/>
      <c r="BL136" s="530"/>
      <c r="BM136" s="530"/>
      <c r="BN136" s="530"/>
      <c r="BO136" s="530"/>
      <c r="BP136" s="530"/>
      <c r="BQ136" s="530"/>
      <c r="BR136" s="530"/>
      <c r="BS136" s="530"/>
      <c r="BT136" s="530"/>
      <c r="BU136" s="530"/>
      <c r="BV136" s="530"/>
      <c r="BW136" s="530"/>
      <c r="BX136" s="530"/>
    </row>
    <row r="137" spans="1:76" ht="12" customHeight="1" thickBot="1">
      <c r="A137" s="859"/>
      <c r="B137" s="443"/>
      <c r="C137" s="7173"/>
      <c r="D137" s="7174"/>
      <c r="E137" s="7174"/>
      <c r="F137" s="7174"/>
      <c r="G137" s="7174"/>
      <c r="H137" s="7174"/>
      <c r="I137" s="7175"/>
      <c r="J137" s="3617">
        <v>450</v>
      </c>
      <c r="M137" s="7187"/>
      <c r="N137" s="7188"/>
      <c r="O137" s="7188"/>
      <c r="P137" s="7190"/>
      <c r="R137" s="1257"/>
      <c r="S137" s="1258"/>
      <c r="T137" s="1258"/>
      <c r="U137" s="3417"/>
      <c r="V137" s="7791" t="s">
        <v>8143</v>
      </c>
      <c r="W137" s="7811"/>
      <c r="X137" s="7812"/>
      <c r="Y137" s="7812"/>
      <c r="Z137" s="7813"/>
      <c r="AA137" s="7814" t="str">
        <f ca="1">IFERROR(VLOOKUP(AD138,Tabla_ArmasyEscudos,19,0),"")</f>
        <v/>
      </c>
      <c r="AB137" s="7815"/>
      <c r="AC137" s="7815"/>
      <c r="AD137" s="7815"/>
      <c r="AE137" s="7816"/>
      <c r="AF137" s="7814" t="str">
        <f ca="1">IFERROR(VLOOKUP(AI138,Tabla_ArmasyEscudos,19,0),"")</f>
        <v/>
      </c>
      <c r="AG137" s="7815"/>
      <c r="AH137" s="7815"/>
      <c r="AI137" s="7815"/>
      <c r="AJ137" s="7816"/>
      <c r="AK137" s="3418"/>
      <c r="AL137" s="1919"/>
      <c r="AN137" s="7307" t="s">
        <v>1770</v>
      </c>
      <c r="AO137" s="7307"/>
      <c r="AV137" s="530"/>
      <c r="AW137" s="530"/>
      <c r="AX137" s="530"/>
      <c r="AY137" s="530"/>
      <c r="AZ137" s="530"/>
      <c r="BA137" s="530"/>
      <c r="BB137" s="530"/>
      <c r="BC137" s="530"/>
      <c r="BD137" s="530"/>
      <c r="BE137" s="530"/>
      <c r="BF137" s="530"/>
      <c r="BG137" s="530"/>
      <c r="BH137" s="530"/>
      <c r="BI137" s="530"/>
      <c r="BJ137" s="530"/>
      <c r="BK137" s="530"/>
      <c r="BL137" s="530"/>
      <c r="BM137" s="530"/>
      <c r="BN137" s="530"/>
      <c r="BO137" s="530"/>
      <c r="BP137" s="530"/>
      <c r="BQ137" s="530"/>
      <c r="BR137" s="530"/>
      <c r="BS137" s="530"/>
      <c r="BT137" s="530"/>
      <c r="BU137" s="530"/>
      <c r="BV137" s="530"/>
      <c r="BW137" s="530"/>
      <c r="BX137" s="530"/>
    </row>
    <row r="138" spans="1:76" ht="12" customHeight="1">
      <c r="A138" s="859"/>
      <c r="B138" s="443"/>
      <c r="C138" s="7173"/>
      <c r="D138" s="7174"/>
      <c r="E138" s="7174"/>
      <c r="F138" s="7174"/>
      <c r="G138" s="7174"/>
      <c r="H138" s="7174"/>
      <c r="I138" s="7175"/>
      <c r="J138" s="3617">
        <v>600</v>
      </c>
      <c r="R138" s="1257"/>
      <c r="S138" s="1258"/>
      <c r="T138" s="1258"/>
      <c r="U138" s="1902"/>
      <c r="V138" s="7792"/>
      <c r="W138" s="7647"/>
      <c r="X138" s="7648"/>
      <c r="Y138" s="7648"/>
      <c r="Z138" s="7649"/>
      <c r="AA138" s="7818" t="str">
        <f ca="1">IFERROR(IF(AC129="Armas naturales", "Armas naturales Crit. 1:",IF(ISNUMBER(FIND("Proyectiles",VLOOKUP(AC129,Tabla_ArmasyEscudos,8,0))),"Munición:","")),"")</f>
        <v/>
      </c>
      <c r="AB138" s="7819"/>
      <c r="AC138" s="7819"/>
      <c r="AD138" s="7820"/>
      <c r="AE138" s="7821"/>
      <c r="AF138" s="7818" t="str">
        <f ca="1">IFERROR(IF(AH129="Armas naturales", "Armas naturales Crit. 1:",IF(ISNUMBER(FIND("Proyectiles",VLOOKUP(AH129,Tabla_ArmasyEscudos,8,0))),"Munición:","")),"")</f>
        <v/>
      </c>
      <c r="AG138" s="7819"/>
      <c r="AH138" s="7819"/>
      <c r="AI138" s="7822"/>
      <c r="AJ138" s="7823"/>
      <c r="AK138" s="3418"/>
      <c r="AL138" s="1919"/>
      <c r="AN138" s="530" t="s">
        <v>8169</v>
      </c>
      <c r="AO138" s="530">
        <f>VLOOKUP(AF144,Tablas!$X$47:$AF$54,7,0)</f>
        <v>40</v>
      </c>
      <c r="AT138" s="530" t="s">
        <v>1315</v>
      </c>
      <c r="AV138" s="530"/>
      <c r="AW138" s="530"/>
      <c r="AX138" s="530"/>
      <c r="AY138" s="530"/>
      <c r="AZ138" s="530"/>
      <c r="BA138" s="530"/>
      <c r="BB138" s="530"/>
      <c r="BC138" s="530"/>
      <c r="BD138" s="530"/>
      <c r="BE138" s="530"/>
      <c r="BF138" s="530"/>
      <c r="BG138" s="530"/>
      <c r="BH138" s="530"/>
      <c r="BI138" s="530"/>
      <c r="BJ138" s="530"/>
      <c r="BK138" s="530"/>
      <c r="BL138" s="530"/>
      <c r="BM138" s="530"/>
      <c r="BN138" s="530"/>
      <c r="BO138" s="530"/>
      <c r="BP138" s="530"/>
      <c r="BQ138" s="530"/>
      <c r="BR138" s="530"/>
      <c r="BS138" s="530"/>
      <c r="BT138" s="530"/>
      <c r="BU138" s="530"/>
      <c r="BV138" s="530"/>
      <c r="BW138" s="530"/>
      <c r="BX138" s="530"/>
    </row>
    <row r="139" spans="1:76" ht="12" customHeight="1" thickBot="1">
      <c r="A139" s="859"/>
      <c r="B139" s="443"/>
      <c r="C139" s="7176"/>
      <c r="D139" s="7177"/>
      <c r="E139" s="7177"/>
      <c r="F139" s="7177"/>
      <c r="G139" s="7177"/>
      <c r="H139" s="7177"/>
      <c r="I139" s="7178"/>
      <c r="J139" s="3618">
        <v>750</v>
      </c>
      <c r="R139" s="1257"/>
      <c r="S139" s="1258"/>
      <c r="T139" s="1258"/>
      <c r="U139" s="3459"/>
      <c r="V139" s="7792"/>
      <c r="W139" s="7647"/>
      <c r="X139" s="7648"/>
      <c r="Y139" s="7648"/>
      <c r="Z139" s="7649"/>
      <c r="AA139" s="7371" t="str">
        <f ca="1">IFERROR(IF(AC129="Armas naturales", "Armas naturales Crit. 2:",IF(ISNUMBER(FIND("Proyectiles",VLOOKUP(AC129,Tabla_ArmasyEscudos,8,0))),"Calidad Munición:","")),"")</f>
        <v/>
      </c>
      <c r="AB139" s="7824"/>
      <c r="AC139" s="7824"/>
      <c r="AD139" s="7825"/>
      <c r="AE139" s="7826"/>
      <c r="AF139" s="7371" t="str">
        <f ca="1">IFERROR(IF(AH129="Armas naturales", "Armas naturales Crit. 2:",IF(ISNUMBER(FIND("Proyectiles",VLOOKUP(AH129,Tabla_ArmasyEscudos,8,0))),"Calidad Munición:","")),"")</f>
        <v/>
      </c>
      <c r="AG139" s="7824"/>
      <c r="AH139" s="7824"/>
      <c r="AI139" s="7783"/>
      <c r="AJ139" s="7784"/>
      <c r="AK139" s="3418"/>
      <c r="AL139" s="1919"/>
      <c r="AN139" s="530" t="s">
        <v>1252</v>
      </c>
      <c r="AO139" s="530">
        <f>MIN(VLOOKUP(AF144,Tablas!$X$47:$AF$54,2,0),20)</f>
        <v>20</v>
      </c>
      <c r="AT139" s="530" t="s">
        <v>1315</v>
      </c>
      <c r="AV139" s="530"/>
      <c r="AW139" s="530"/>
      <c r="AX139" s="530"/>
      <c r="AY139" s="530"/>
      <c r="AZ139" s="530"/>
      <c r="BA139" s="530"/>
      <c r="BB139" s="530"/>
      <c r="BC139" s="530"/>
      <c r="BD139" s="530"/>
      <c r="BE139" s="530"/>
      <c r="BF139" s="530"/>
      <c r="BG139" s="530"/>
      <c r="BH139" s="530"/>
      <c r="BI139" s="530"/>
      <c r="BJ139" s="530"/>
      <c r="BK139" s="530"/>
      <c r="BL139" s="530"/>
      <c r="BM139" s="530"/>
      <c r="BN139" s="530"/>
      <c r="BO139" s="530"/>
      <c r="BP139" s="530"/>
      <c r="BQ139" s="530"/>
      <c r="BR139" s="530"/>
      <c r="BS139" s="530"/>
      <c r="BT139" s="530"/>
      <c r="BU139" s="530"/>
      <c r="BV139" s="530"/>
      <c r="BW139" s="530"/>
      <c r="BX139" s="530"/>
    </row>
    <row r="140" spans="1:76" ht="12" customHeight="1">
      <c r="A140" s="859"/>
      <c r="B140" s="443"/>
      <c r="R140" s="1257"/>
      <c r="S140" s="1258"/>
      <c r="T140" s="1258"/>
      <c r="U140" s="3417"/>
      <c r="V140" s="7792"/>
      <c r="W140" s="7647"/>
      <c r="X140" s="7648"/>
      <c r="Y140" s="7648"/>
      <c r="Z140" s="7649"/>
      <c r="AA140" s="3452" t="str">
        <f ca="1">IF(ISNUMBER(FIND("Proyectiles",VLOOKUP(AC129,Tabla_ArmasyEscudos,8,0))),"Rango:","")</f>
        <v/>
      </c>
      <c r="AB140" s="2541" t="str">
        <f ca="1">IFERROR(IF(AA140="Rango:",(VLOOKUP(AC129,Tabla_ArmasyEscudos,17,0)+IF((AS115-AB135/5)&gt;0,VLOOKUP(MIN(AS115,AB143),Tabla_AlcanceFUE,2,0),IF($Z136&lt;3,-30,VLOOKUP(MIN(IF(Zen_IP,20,13),AB143,$Z136),Tabla_AlcanceFUE,2))))*IF(AlcanceIncrementado,2,1)&amp;" m",""),"")</f>
        <v/>
      </c>
      <c r="AC140" s="7785" t="str">
        <f ca="1">IF(ISNUMBER(FIND("Proyectiles",VLOOKUP(AC129,Tabla_ArmasyEscudos,8,0))),"Recarga:","")</f>
        <v/>
      </c>
      <c r="AD140" s="7785"/>
      <c r="AE140" s="3453" t="str">
        <f ca="1">IFERROR(IF(AC140="Recarga:",VLOOKUP(AC129,Tabla_ArmasyEscudos,16,0),""),"")</f>
        <v/>
      </c>
      <c r="AF140" s="3452" t="str">
        <f ca="1">IF(ISNUMBER(FIND("Proyectiles",VLOOKUP(AH129,Tabla_ArmasyEscudos,8,0))),"Rango:","")</f>
        <v/>
      </c>
      <c r="AG140" s="2541" t="str">
        <f ca="1">IFERROR(IF(AF140="Rango:",(VLOOKUP(AH129,Tabla_ArmasyEscudos,17,0)+IF((AS116-AG135/5)&gt;0,VLOOKUP(MIN(AS116,AG143),Tabla_AlcanceFUE,2,0),IF($Z136&lt;3,-30,VLOOKUP(MIN(IF(Zen_IP,20,13),AG143,$Z136),Tabla_AlcanceFUE,2))))*IF(AlcanceIncrementado,2,1)&amp;" m",""),"")</f>
        <v/>
      </c>
      <c r="AH140" s="7785" t="str">
        <f ca="1">IF(ISNUMBER(FIND("Proyectiles",VLOOKUP(AH129,Tabla_ArmasyEscudos,8,0))),"Recarga:","")</f>
        <v/>
      </c>
      <c r="AI140" s="7785"/>
      <c r="AJ140" s="3453" t="str">
        <f ca="1">IFERROR(IF(AH140="Recarga:",VLOOKUP(AH129,Tabla_ArmasyEscudos,16,0),""),"")</f>
        <v/>
      </c>
      <c r="AK140" s="3418"/>
      <c r="AL140" s="1919"/>
      <c r="AN140" s="530" t="s">
        <v>1818</v>
      </c>
      <c r="AO140" s="530">
        <f>VLOOKUP(AF144,Tablas!$X$47:$AF$54,9,0)</f>
        <v>12</v>
      </c>
      <c r="AT140" s="530" t="s">
        <v>1315</v>
      </c>
      <c r="AV140" s="530"/>
      <c r="AW140" s="530"/>
      <c r="AX140" s="530"/>
      <c r="AY140" s="530"/>
      <c r="AZ140" s="530"/>
      <c r="BA140" s="530"/>
      <c r="BB140" s="530"/>
      <c r="BC140" s="530"/>
      <c r="BD140" s="530"/>
      <c r="BE140" s="530"/>
      <c r="BF140" s="530"/>
      <c r="BG140" s="530"/>
      <c r="BH140" s="530"/>
      <c r="BI140" s="530"/>
      <c r="BJ140" s="530"/>
      <c r="BK140" s="530"/>
      <c r="BL140" s="530"/>
      <c r="BM140" s="530"/>
      <c r="BN140" s="530"/>
      <c r="BO140" s="530"/>
      <c r="BP140" s="530"/>
      <c r="BQ140" s="530"/>
      <c r="BR140" s="530"/>
      <c r="BS140" s="530"/>
      <c r="BT140" s="530"/>
      <c r="BU140" s="530"/>
      <c r="BV140" s="530"/>
      <c r="BW140" s="530"/>
      <c r="BX140" s="530"/>
    </row>
    <row r="141" spans="1:76" ht="12" customHeight="1" thickBot="1">
      <c r="A141" s="859"/>
      <c r="B141" s="443"/>
      <c r="R141" s="1257"/>
      <c r="S141" s="1258"/>
      <c r="T141" s="1258"/>
      <c r="U141" s="3417"/>
      <c r="V141" s="7792"/>
      <c r="W141" s="7647"/>
      <c r="X141" s="7648"/>
      <c r="Y141" s="7648"/>
      <c r="Z141" s="7649"/>
      <c r="AA141" s="7587" t="s">
        <v>859</v>
      </c>
      <c r="AB141" s="3454" t="s">
        <v>6797</v>
      </c>
      <c r="AC141" s="3457"/>
      <c r="AD141" s="3454" t="s">
        <v>1252</v>
      </c>
      <c r="AE141" s="3456"/>
      <c r="AF141" s="7587" t="s">
        <v>859</v>
      </c>
      <c r="AG141" s="3454" t="s">
        <v>6797</v>
      </c>
      <c r="AH141" s="3457"/>
      <c r="AI141" s="3454" t="s">
        <v>1252</v>
      </c>
      <c r="AJ141" s="3456"/>
      <c r="AK141" s="3418"/>
      <c r="AL141" s="1919"/>
      <c r="AN141" s="530" t="s">
        <v>1429</v>
      </c>
      <c r="AO141" s="530">
        <f>VLOOKUP(AF144,Tablas!$X$47:$AF$54,8,0)</f>
        <v>0</v>
      </c>
      <c r="AT141" s="530" t="s">
        <v>1315</v>
      </c>
      <c r="AV141" s="530"/>
      <c r="AW141" s="530"/>
      <c r="AX141" s="530"/>
      <c r="AY141" s="530"/>
      <c r="AZ141" s="530"/>
      <c r="BA141" s="530"/>
      <c r="BB141" s="530"/>
      <c r="BC141" s="530"/>
      <c r="BD141" s="530"/>
      <c r="BE141" s="530"/>
      <c r="BF141" s="530"/>
      <c r="BG141" s="530"/>
      <c r="BH141" s="530"/>
      <c r="BI141" s="530"/>
      <c r="BJ141" s="530"/>
      <c r="BK141" s="530"/>
      <c r="BL141" s="530"/>
      <c r="BM141" s="530"/>
      <c r="BN141" s="530"/>
      <c r="BO141" s="530"/>
      <c r="BP141" s="530"/>
      <c r="BQ141" s="530"/>
      <c r="BR141" s="530"/>
      <c r="BS141" s="530"/>
      <c r="BT141" s="530"/>
      <c r="BU141" s="530"/>
      <c r="BV141" s="530"/>
      <c r="BW141" s="530"/>
      <c r="BX141" s="530"/>
    </row>
    <row r="142" spans="1:76" ht="12" customHeight="1" thickBot="1">
      <c r="A142" s="859"/>
      <c r="B142" s="443"/>
      <c r="C142" s="6301" t="s">
        <v>9151</v>
      </c>
      <c r="D142" s="6302"/>
      <c r="E142" s="6302"/>
      <c r="F142" s="6302"/>
      <c r="G142" s="6302"/>
      <c r="H142" s="6302"/>
      <c r="I142" s="6302"/>
      <c r="J142" s="6302"/>
      <c r="K142" s="6302"/>
      <c r="L142" s="6302"/>
      <c r="M142" s="6302"/>
      <c r="N142" s="6302"/>
      <c r="O142" s="6302"/>
      <c r="P142" s="6302"/>
      <c r="Q142" s="7232"/>
      <c r="R142" s="1257"/>
      <c r="S142" s="1258"/>
      <c r="T142" s="1258"/>
      <c r="U142" s="3417"/>
      <c r="V142" s="7793"/>
      <c r="W142" s="7650"/>
      <c r="X142" s="7651"/>
      <c r="Y142" s="7651"/>
      <c r="Z142" s="7652"/>
      <c r="AA142" s="7588"/>
      <c r="AB142" s="1264" t="s">
        <v>7894</v>
      </c>
      <c r="AC142" s="1996"/>
      <c r="AD142" s="3458" t="s">
        <v>1425</v>
      </c>
      <c r="AE142" s="1995"/>
      <c r="AF142" s="7588"/>
      <c r="AG142" s="1264" t="s">
        <v>7894</v>
      </c>
      <c r="AH142" s="1996"/>
      <c r="AI142" s="3458" t="s">
        <v>1425</v>
      </c>
      <c r="AJ142" s="1995"/>
      <c r="AK142" s="3418"/>
      <c r="AL142" s="1919"/>
      <c r="AV142" s="530"/>
      <c r="AW142" s="530"/>
      <c r="AX142" s="530"/>
      <c r="AY142" s="530"/>
      <c r="AZ142" s="530"/>
      <c r="BA142" s="530"/>
      <c r="BB142" s="530"/>
      <c r="BC142" s="530"/>
      <c r="BD142" s="530"/>
      <c r="BE142" s="530"/>
      <c r="BF142" s="530"/>
      <c r="BG142" s="530"/>
      <c r="BH142" s="530"/>
      <c r="BI142" s="530"/>
      <c r="BJ142" s="530"/>
      <c r="BK142" s="530"/>
      <c r="BL142" s="530"/>
      <c r="BM142" s="530"/>
      <c r="BN142" s="530"/>
      <c r="BO142" s="530"/>
      <c r="BP142" s="530"/>
      <c r="BQ142" s="530"/>
      <c r="BR142" s="530"/>
      <c r="BS142" s="530"/>
      <c r="BT142" s="530"/>
      <c r="BU142" s="530"/>
      <c r="BV142" s="530"/>
      <c r="BW142" s="530"/>
      <c r="BX142" s="530"/>
    </row>
    <row r="143" spans="1:76" ht="12" customHeight="1" thickBot="1">
      <c r="A143" s="859"/>
      <c r="B143" s="443"/>
      <c r="C143" s="6304"/>
      <c r="D143" s="6305"/>
      <c r="E143" s="6305"/>
      <c r="F143" s="6305"/>
      <c r="G143" s="6305"/>
      <c r="H143" s="6305"/>
      <c r="I143" s="6305"/>
      <c r="J143" s="6305"/>
      <c r="K143" s="6305"/>
      <c r="L143" s="6305"/>
      <c r="M143" s="6305"/>
      <c r="N143" s="6305"/>
      <c r="O143" s="6305"/>
      <c r="P143" s="6305"/>
      <c r="Q143" s="7233"/>
      <c r="R143" s="1257"/>
      <c r="S143" s="1258"/>
      <c r="T143" s="1258"/>
      <c r="U143" s="3417"/>
      <c r="AB143" s="530">
        <f>IF(AB135&lt;0,10,IF(AB135&gt;20,20,INDEX(Tablas!$L$23:$L$33,MATCH(AB135,Tablas!$N$23:$N$33,0))))</f>
        <v>10</v>
      </c>
      <c r="AG143" s="530">
        <f>IF(AG135&lt;0,10,IF(AG135&gt;20,20,INDEX(Tablas!$L$23:$L$33,MATCH(AG135,Tablas!$N$23:$N$33,0))))</f>
        <v>10</v>
      </c>
      <c r="AJ143" s="1903"/>
      <c r="AK143" s="3418" t="e">
        <f>IF(Z152&lt;1,0,VLOOKUP(Z152,Tabla_BonoStats,2))</f>
        <v>#N/A</v>
      </c>
      <c r="AL143" s="1919"/>
      <c r="AV143" s="530"/>
      <c r="AW143" s="530"/>
      <c r="AX143" s="530"/>
      <c r="AY143" s="530"/>
      <c r="AZ143" s="530"/>
      <c r="BA143" s="530"/>
      <c r="BB143" s="530"/>
      <c r="BC143" s="530"/>
      <c r="BD143" s="530"/>
      <c r="BE143" s="530"/>
      <c r="BF143" s="530"/>
      <c r="BG143" s="530"/>
      <c r="BH143" s="530"/>
      <c r="BI143" s="530"/>
      <c r="BJ143" s="530"/>
      <c r="BK143" s="530"/>
      <c r="BL143" s="530"/>
      <c r="BM143" s="530"/>
      <c r="BN143" s="530"/>
      <c r="BO143" s="530"/>
      <c r="BP143" s="530"/>
      <c r="BQ143" s="530"/>
      <c r="BR143" s="530"/>
      <c r="BS143" s="530"/>
      <c r="BT143" s="530"/>
      <c r="BU143" s="530"/>
      <c r="BV143" s="530"/>
      <c r="BW143" s="530"/>
      <c r="BX143" s="530"/>
    </row>
    <row r="144" spans="1:76" ht="12" customHeight="1" thickBot="1">
      <c r="A144" s="859"/>
      <c r="B144" s="443"/>
      <c r="R144" s="1257"/>
      <c r="S144" s="1258"/>
      <c r="T144" s="1258"/>
      <c r="U144" s="3417"/>
      <c r="V144" s="7653" t="s">
        <v>1184</v>
      </c>
      <c r="W144" s="7654"/>
      <c r="X144" s="7235" t="s">
        <v>8152</v>
      </c>
      <c r="Y144" s="7235"/>
      <c r="Z144" s="7235"/>
      <c r="AA144" s="7235"/>
      <c r="AB144" s="7236"/>
      <c r="AC144" s="7593" t="s">
        <v>8166</v>
      </c>
      <c r="AD144" s="7635"/>
      <c r="AE144" s="7635"/>
      <c r="AF144" s="7636" t="s">
        <v>1582</v>
      </c>
      <c r="AG144" s="7637"/>
      <c r="AH144" s="7593" t="s">
        <v>8162</v>
      </c>
      <c r="AI144" s="7594"/>
      <c r="AJ144" s="2517"/>
      <c r="AK144" s="3418"/>
      <c r="AL144" s="1919"/>
      <c r="AV144" s="530"/>
      <c r="AW144" s="530"/>
      <c r="AX144" s="530"/>
      <c r="AY144" s="530"/>
      <c r="AZ144" s="530"/>
      <c r="BA144" s="530"/>
      <c r="BB144" s="530"/>
      <c r="BC144" s="530"/>
      <c r="BD144" s="530"/>
      <c r="BE144" s="530"/>
      <c r="BF144" s="530"/>
      <c r="BG144" s="530"/>
      <c r="BH144" s="530"/>
      <c r="BI144" s="530"/>
      <c r="BJ144" s="530"/>
      <c r="BK144" s="530"/>
      <c r="BL144" s="530"/>
      <c r="BM144" s="530"/>
      <c r="BN144" s="530"/>
      <c r="BO144" s="530"/>
      <c r="BP144" s="530"/>
      <c r="BQ144" s="530"/>
      <c r="BR144" s="530"/>
      <c r="BS144" s="530"/>
      <c r="BT144" s="530"/>
      <c r="BU144" s="530"/>
      <c r="BV144" s="530"/>
      <c r="BW144" s="530"/>
      <c r="BX144" s="530"/>
    </row>
    <row r="145" spans="1:76" ht="12" customHeight="1" thickBot="1">
      <c r="A145" s="859"/>
      <c r="B145" s="443"/>
      <c r="C145" s="4422" t="s">
        <v>9150</v>
      </c>
      <c r="D145" s="4423"/>
      <c r="E145" s="4423"/>
      <c r="F145" s="4423"/>
      <c r="G145" s="4423"/>
      <c r="H145" s="4423"/>
      <c r="I145" s="4423"/>
      <c r="J145" s="4423"/>
      <c r="K145" s="4423"/>
      <c r="L145" s="4423"/>
      <c r="M145" s="4423"/>
      <c r="N145" s="4423"/>
      <c r="O145" s="4423"/>
      <c r="P145" s="4423"/>
      <c r="Q145" s="4424"/>
      <c r="R145" s="1257"/>
      <c r="S145" s="1258"/>
      <c r="T145" s="1258"/>
      <c r="U145" s="3417"/>
      <c r="V145" s="5258" t="s">
        <v>8165</v>
      </c>
      <c r="W145" s="7221"/>
      <c r="X145" s="7222"/>
      <c r="Y145" s="7801" t="s">
        <v>1403</v>
      </c>
      <c r="Z145" s="7803">
        <f>IFERROR(VLOOKUP(V146,Tabla_CaracterísticasGéminis,2,0)+IF(COUNTIF(W153:Z158,"Metal")&gt;0,VLOOKUP(V146,Tabla_CaracterísticasGéminis,2,0),0)+IF(AF144="Grande",50,IF(AF144="Enorme",150,0)),0)</f>
        <v>0</v>
      </c>
      <c r="AA145" s="7642" t="s">
        <v>8173</v>
      </c>
      <c r="AB145" s="7817"/>
      <c r="AC145" s="7644"/>
      <c r="AD145" s="7645"/>
      <c r="AE145" s="7646"/>
      <c r="AF145" s="7642"/>
      <c r="AG145" s="7817"/>
      <c r="AH145" s="7644"/>
      <c r="AI145" s="7645"/>
      <c r="AJ145" s="7646"/>
      <c r="AK145" s="3418"/>
      <c r="AL145" s="1259"/>
      <c r="AV145" s="530"/>
      <c r="AW145" s="530"/>
      <c r="AX145" s="530"/>
      <c r="AY145" s="530"/>
      <c r="AZ145" s="530"/>
      <c r="BA145" s="530"/>
      <c r="BB145" s="530"/>
      <c r="BC145" s="530"/>
      <c r="BD145" s="530"/>
      <c r="BE145" s="530"/>
      <c r="BF145" s="530"/>
      <c r="BG145" s="530"/>
      <c r="BH145" s="530"/>
      <c r="BI145" s="530"/>
      <c r="BJ145" s="530"/>
      <c r="BK145" s="530"/>
      <c r="BL145" s="530"/>
      <c r="BM145" s="530"/>
      <c r="BN145" s="530"/>
      <c r="BO145" s="530"/>
      <c r="BP145" s="530"/>
      <c r="BQ145" s="530"/>
      <c r="BR145" s="530"/>
      <c r="BS145" s="530"/>
      <c r="BT145" s="530"/>
      <c r="BU145" s="530"/>
      <c r="BV145" s="530"/>
      <c r="BW145" s="530"/>
      <c r="BX145" s="530"/>
    </row>
    <row r="146" spans="1:76" ht="12" customHeight="1" thickBot="1">
      <c r="A146" s="859"/>
      <c r="B146" s="443"/>
      <c r="C146" s="4165"/>
      <c r="D146" s="4166"/>
      <c r="E146" s="4166"/>
      <c r="F146" s="4166"/>
      <c r="G146" s="4166"/>
      <c r="H146" s="4166"/>
      <c r="I146" s="4166"/>
      <c r="J146" s="4166"/>
      <c r="K146" s="4166"/>
      <c r="L146" s="4166"/>
      <c r="M146" s="4166"/>
      <c r="N146" s="4166"/>
      <c r="O146" s="4166"/>
      <c r="P146" s="4166"/>
      <c r="Q146" s="4167"/>
      <c r="R146" s="1257"/>
      <c r="S146" s="1258"/>
      <c r="T146" s="1258"/>
      <c r="U146" s="3417"/>
      <c r="V146" s="7223"/>
      <c r="W146" s="7224"/>
      <c r="X146" s="7225"/>
      <c r="Y146" s="7802"/>
      <c r="Z146" s="7804"/>
      <c r="AA146" s="3434" t="s">
        <v>1423</v>
      </c>
      <c r="AB146" s="7668" t="s">
        <v>1424</v>
      </c>
      <c r="AC146" s="7669"/>
      <c r="AD146" s="3437" t="s">
        <v>1252</v>
      </c>
      <c r="AE146" s="3436" t="s">
        <v>1425</v>
      </c>
      <c r="AF146" s="3434" t="s">
        <v>1423</v>
      </c>
      <c r="AG146" s="7668" t="s">
        <v>1424</v>
      </c>
      <c r="AH146" s="7669"/>
      <c r="AI146" s="3437" t="s">
        <v>1252</v>
      </c>
      <c r="AJ146" s="3436" t="s">
        <v>1425</v>
      </c>
      <c r="AK146" s="3418"/>
      <c r="AL146" s="1259"/>
      <c r="AV146" s="530"/>
      <c r="AW146" s="530"/>
      <c r="AX146" s="530"/>
      <c r="AY146" s="530"/>
      <c r="AZ146" s="530"/>
      <c r="BA146" s="530"/>
      <c r="BB146" s="530"/>
      <c r="BC146" s="530"/>
      <c r="BD146" s="530"/>
      <c r="BE146" s="530"/>
      <c r="BF146" s="530"/>
      <c r="BG146" s="530"/>
      <c r="BH146" s="530"/>
      <c r="BI146" s="530"/>
      <c r="BJ146" s="530"/>
      <c r="BK146" s="530"/>
      <c r="BL146" s="530"/>
      <c r="BM146" s="530"/>
      <c r="BN146" s="530"/>
      <c r="BO146" s="530"/>
      <c r="BP146" s="530"/>
      <c r="BQ146" s="530"/>
      <c r="BR146" s="530"/>
      <c r="BS146" s="530"/>
      <c r="BT146" s="530"/>
      <c r="BU146" s="530"/>
      <c r="BV146" s="530"/>
      <c r="BW146" s="530"/>
      <c r="BX146" s="530"/>
    </row>
    <row r="147" spans="1:76" ht="12" customHeight="1">
      <c r="A147" s="859"/>
      <c r="B147" s="443"/>
      <c r="C147" s="4168"/>
      <c r="D147" s="4169"/>
      <c r="E147" s="4169"/>
      <c r="F147" s="4169"/>
      <c r="G147" s="4169"/>
      <c r="H147" s="4169"/>
      <c r="I147" s="4169"/>
      <c r="J147" s="4169"/>
      <c r="K147" s="4169"/>
      <c r="L147" s="4169"/>
      <c r="M147" s="4169"/>
      <c r="N147" s="4169"/>
      <c r="O147" s="4169"/>
      <c r="P147" s="4169"/>
      <c r="Q147" s="4170"/>
      <c r="R147" s="1257"/>
      <c r="S147" s="1258"/>
      <c r="T147" s="1258"/>
      <c r="U147" s="3417"/>
      <c r="V147" s="7795" t="s">
        <v>8158</v>
      </c>
      <c r="W147" s="7796"/>
      <c r="X147" s="7799">
        <f>IFERROR(VLOOKUP(V146,Tabla_CaracterísticasGéminis,4,0),0)</f>
        <v>0</v>
      </c>
      <c r="Y147" s="7801" t="s">
        <v>8155</v>
      </c>
      <c r="Z147" s="7803">
        <f>IFERROR(VLOOKUP(V146,Tabla_CaracterísticasGéminis,3,0)+IF(COUNTIF(W153:Z158,"Metal")&gt;0,4,0),0)</f>
        <v>0</v>
      </c>
      <c r="AA147" s="7638" t="str">
        <f>IFERROR(IF(OR(AC145="",Tablas!$H$1106=0),"-",IF(OR(AC145="Armas naturales",VLOOKUP(AC145,Tabla_ArmasyEscudos,9,0)="Conocida"),HA_final,"-")+AB151+AC157+5*MIN(4,COUNTIF(W153:Z158,"Capacidad de combate"))-10*MAX(0,AR131-Z152))+IF(AND(OR(AC145="Lanza",AC145="Vara"),AA145="A 1 mano"),-10,0),"-")</f>
        <v>-</v>
      </c>
      <c r="AB147" s="7806" t="str">
        <f>IFERROR(IF(OR(AC145="",Tablas!$H$1106=0),"-",IF(OR(AC145="Armas naturales",NOT(AND(AC147="Par",VLOOKUP(AC145,Tabla_ArmasyEscudos,9,0)&lt;&gt;"Conocida"))),HD_final,"-")+IF(VLOOKUP(AC145,Tabla_ArmasyEscudos,9,0)="Conocida",VLOOKUP(AC145,Tabla_ArmasyEscudos,IF(AC147="Par",13,14),FALSE),0)+AC158+5*MIN(4,COUNTIF(W153:Z158,"Capacidad de combate"))+IF(AC147="Par",AB151-10*MAX(0,AR131-Z152),0)),"-")</f>
        <v>-</v>
      </c>
      <c r="AC147" s="7595" t="str">
        <f>IF(OR(AC145="",Tablas!$H$1106=0),"",Par_Esq)</f>
        <v/>
      </c>
      <c r="AD147" s="7640" t="str">
        <f>IFERROR(IF(OR(AC145="",Tablas!$H$1106=0),"-",IF(AC145="Armas naturales",Turno_Nat_final-20+AO139,Turno_Nat_final-20+IF(ISNA(AU132),AU131,IF((AU131-AB151)=(AU132-AG151),MIN(AU131,AU132)-IF(VLOOKUP(AC145,Tabla_ArmasyEscudos,3,FALSE)&gt;=0,10,20),MIN(AU131,AU132))))+IF(COUNTIF(W153:Z158,"Metal")&gt;0,-40,0)),"-")</f>
        <v>-</v>
      </c>
      <c r="AE147" s="7591" t="str">
        <f>IFERROR(IF(OR(AC145="",Tablas!$H$1106=0),"-",IF(AC145="Armas naturales",AO138+AK143+IF(COUNTIF(W153:Z158,"Armas naturales mejoradas")&gt;0,50,0),IF(ISNUMBER(FIND("Proyectiles",VLOOKUP(AC145,Tabla_ArmasyEscudos,8,0))),VLOOKUP(AD154,Tabla_ArmasyEscudos,2,0)+AD155*2+IF((AS131-AB151/5)&gt;0,AT131,AK143)+IF(AC145="Arco de balas",IF(Z152+2&lt;1,0,VLOOKUP(Z152+2,Tabla_BonoStats,2))-AK143,0),VLOOKUP(AC145,Tabla_ArmasyEscudos,2,0)+IF(OR(AC145="Katana de Doble Hoja",AC145="Kusari-Gama"),Bono_Fue-AK143)+IF(AC145="Lazo",2*(Bono_Fue-AK143))+AB151*2+AK143+IF(AA145="A 2 Manos",AK143,0)))+AE158+IF(DañoIncrementado,10,0)+IF(Extensióndelauraalarma,10,0)),"-")</f>
        <v>-</v>
      </c>
      <c r="AF147" s="7638" t="str">
        <f>IFERROR(IF(OR(AH145="",Tablas!$H$1106=0),"-",IF(VLOOKUP(AH145,Tabla_ArmasyEscudos,9,0)="Conocida",HA_final,"-")-40+AG151+AH157+5*MIN(4,COUNTIF(W153:Z158,"Capacidad de combate"))-10*MAX(0,AR132-Z152))+IF(AND(OR(AH145="Lanza",AH145="Vara"),AF145="A 1 mano"),-10,0),"-")</f>
        <v>-</v>
      </c>
      <c r="AG147" s="7806" t="str">
        <f>IFERROR(IF(OR(AH145="",Tablas!$H$1106=0),"-",IF(NOT(AND(AH147="Par",VLOOKUP(AH145,Tabla_ArmasyEscudos,9,0)&lt;&gt;"Conocida")),HD_final,"-")+IF(VLOOKUP(AH145,Tabla_ArmasyEscudos,9,0)="Conocida",VLOOKUP(AH145,Tabla_ArmasyEscudos,IF(AH147="Par",13,14),FALSE),0)+AH158+5*MIN(4,COUNTIF(W153:Z158,"Capacidad de combate"))+IF(AH147="Par",AG151-10*MAX(0,AR132-Z152),0)),"-")</f>
        <v>-</v>
      </c>
      <c r="AH147" s="7595" t="str">
        <f>IF(OR(AH145="",Tablas!$H$1106=0),"",Par_Esq)</f>
        <v/>
      </c>
      <c r="AI147" s="7640" t="s">
        <v>1437</v>
      </c>
      <c r="AJ147" s="7591" t="str">
        <f>IFERROR(IF(OR(AH145="",Tablas!$H$1106=0),"-",IF(AH145="Armas naturales",AO138+AK143+IF(COUNTIF(W153:Z158,"Armas naturales mejoradas")&gt;0,50,0),IF(ISNUMBER(FIND("Proyectiles",VLOOKUP(AH145,Tabla_ArmasyEscudos,8,0))),VLOOKUP(AI154,Tabla_ArmasyEscudos,2,0)+AI155*2+IF((AS132-AG151/5)&gt;0,AT132,AK143),VLOOKUP(AH145,Tabla_ArmasyEscudos,2,0)+AG151*2+AK143+IF(AF145="A 2 Manos",AK143,0)))+AJ158+IF(DañoIncrementado,10,0)+IF(Extensióndelauraalarma,10,0)),"-")</f>
        <v>-</v>
      </c>
      <c r="AK147" s="3418"/>
      <c r="AL147" s="1259"/>
      <c r="AV147" s="530"/>
      <c r="AW147" s="530"/>
      <c r="AX147" s="530"/>
      <c r="AY147" s="530"/>
      <c r="AZ147" s="530"/>
      <c r="BA147" s="530"/>
      <c r="BB147" s="530"/>
      <c r="BC147" s="530"/>
      <c r="BD147" s="530"/>
      <c r="BE147" s="530"/>
      <c r="BF147" s="530"/>
      <c r="BG147" s="530"/>
      <c r="BH147" s="530"/>
      <c r="BI147" s="530"/>
      <c r="BJ147" s="530"/>
      <c r="BK147" s="530"/>
      <c r="BL147" s="530"/>
      <c r="BM147" s="530"/>
      <c r="BN147" s="530"/>
      <c r="BO147" s="530"/>
      <c r="BP147" s="530"/>
      <c r="BQ147" s="530"/>
      <c r="BR147" s="530"/>
      <c r="BS147" s="530"/>
      <c r="BT147" s="530"/>
      <c r="BU147" s="530"/>
      <c r="BV147" s="530"/>
      <c r="BW147" s="530"/>
      <c r="BX147" s="530"/>
    </row>
    <row r="148" spans="1:76" ht="12" customHeight="1" thickBot="1">
      <c r="A148" s="859"/>
      <c r="B148" s="443"/>
      <c r="C148" s="4168"/>
      <c r="D148" s="4169"/>
      <c r="E148" s="4169"/>
      <c r="F148" s="4169"/>
      <c r="G148" s="4169"/>
      <c r="H148" s="4169"/>
      <c r="I148" s="4169"/>
      <c r="J148" s="4169"/>
      <c r="K148" s="4169"/>
      <c r="L148" s="4169"/>
      <c r="M148" s="4169"/>
      <c r="N148" s="4169"/>
      <c r="O148" s="4169"/>
      <c r="P148" s="4169"/>
      <c r="Q148" s="4170"/>
      <c r="R148" s="1257"/>
      <c r="S148" s="1258"/>
      <c r="T148" s="1258"/>
      <c r="U148" s="3417"/>
      <c r="V148" s="7797"/>
      <c r="W148" s="7798"/>
      <c r="X148" s="7800"/>
      <c r="Y148" s="7802"/>
      <c r="Z148" s="7804"/>
      <c r="AA148" s="7805"/>
      <c r="AB148" s="7807"/>
      <c r="AC148" s="7808"/>
      <c r="AD148" s="7809"/>
      <c r="AE148" s="7810"/>
      <c r="AF148" s="7805"/>
      <c r="AG148" s="7807"/>
      <c r="AH148" s="7808"/>
      <c r="AI148" s="7809"/>
      <c r="AJ148" s="7810"/>
      <c r="AK148" s="3418"/>
      <c r="AL148" s="1259"/>
      <c r="AV148" s="530"/>
      <c r="AW148" s="530"/>
      <c r="AX148" s="530"/>
      <c r="AY148" s="530"/>
      <c r="AZ148" s="530"/>
      <c r="BA148" s="530"/>
      <c r="BB148" s="530"/>
      <c r="BC148" s="530"/>
      <c r="BD148" s="530"/>
      <c r="BE148" s="530"/>
      <c r="BF148" s="530"/>
      <c r="BG148" s="530"/>
      <c r="BH148" s="530"/>
      <c r="BI148" s="530"/>
      <c r="BJ148" s="530"/>
      <c r="BK148" s="530"/>
      <c r="BL148" s="530"/>
      <c r="BM148" s="530"/>
      <c r="BN148" s="530"/>
      <c r="BO148" s="530"/>
      <c r="BP148" s="530"/>
      <c r="BQ148" s="530"/>
      <c r="BR148" s="530"/>
      <c r="BS148" s="530"/>
      <c r="BT148" s="530"/>
      <c r="BU148" s="530"/>
      <c r="BV148" s="530"/>
      <c r="BW148" s="530"/>
      <c r="BX148" s="530"/>
    </row>
    <row r="149" spans="1:76" ht="12" customHeight="1">
      <c r="A149" s="859"/>
      <c r="B149" s="443"/>
      <c r="C149" s="4168"/>
      <c r="D149" s="4169"/>
      <c r="E149" s="4169"/>
      <c r="F149" s="4169"/>
      <c r="G149" s="4169"/>
      <c r="H149" s="4169"/>
      <c r="I149" s="4169"/>
      <c r="J149" s="4169"/>
      <c r="K149" s="4169"/>
      <c r="L149" s="4169"/>
      <c r="M149" s="4169"/>
      <c r="N149" s="4169"/>
      <c r="O149" s="4169"/>
      <c r="P149" s="4169"/>
      <c r="Q149" s="4170"/>
      <c r="R149" s="1257"/>
      <c r="S149" s="1258"/>
      <c r="T149" s="1258"/>
      <c r="U149" s="3417"/>
      <c r="V149" s="7791" t="s">
        <v>8163</v>
      </c>
      <c r="W149" s="3438"/>
      <c r="X149" s="3419" t="s">
        <v>1225</v>
      </c>
      <c r="Y149" s="3419" t="s">
        <v>8164</v>
      </c>
      <c r="Z149" s="3419" t="s">
        <v>1209</v>
      </c>
      <c r="AA149" s="3439" t="s">
        <v>8171</v>
      </c>
      <c r="AB149" s="3440" t="s">
        <v>8172</v>
      </c>
      <c r="AC149" s="3440" t="s">
        <v>1416</v>
      </c>
      <c r="AD149" s="3440" t="s">
        <v>1429</v>
      </c>
      <c r="AE149" s="3441" t="s">
        <v>1417</v>
      </c>
      <c r="AF149" s="3439" t="s">
        <v>8171</v>
      </c>
      <c r="AG149" s="3440" t="s">
        <v>8172</v>
      </c>
      <c r="AH149" s="3440" t="s">
        <v>1416</v>
      </c>
      <c r="AI149" s="3440" t="s">
        <v>1429</v>
      </c>
      <c r="AJ149" s="3441" t="s">
        <v>1417</v>
      </c>
      <c r="AK149" s="3418"/>
      <c r="AL149" s="1259"/>
      <c r="AV149" s="530"/>
      <c r="AW149" s="530"/>
      <c r="AX149" s="530"/>
      <c r="AY149" s="530"/>
      <c r="AZ149" s="530"/>
      <c r="BA149" s="530"/>
      <c r="BB149" s="530"/>
      <c r="BC149" s="530"/>
      <c r="BD149" s="530"/>
      <c r="BE149" s="530"/>
      <c r="BF149" s="530"/>
      <c r="BG149" s="530"/>
      <c r="BH149" s="530"/>
      <c r="BI149" s="530"/>
      <c r="BJ149" s="530"/>
      <c r="BK149" s="530"/>
      <c r="BL149" s="530"/>
      <c r="BM149" s="530"/>
      <c r="BN149" s="530"/>
      <c r="BO149" s="530"/>
      <c r="BP149" s="530"/>
      <c r="BQ149" s="530"/>
      <c r="BR149" s="530"/>
      <c r="BS149" s="530"/>
      <c r="BT149" s="530"/>
      <c r="BU149" s="530"/>
      <c r="BV149" s="530"/>
      <c r="BW149" s="530"/>
      <c r="BX149" s="530"/>
    </row>
    <row r="150" spans="1:76" ht="12" customHeight="1">
      <c r="A150" s="859"/>
      <c r="B150" s="443"/>
      <c r="C150" s="4168"/>
      <c r="D150" s="4169"/>
      <c r="E150" s="4169"/>
      <c r="F150" s="4169"/>
      <c r="G150" s="4169"/>
      <c r="H150" s="4169"/>
      <c r="I150" s="4169"/>
      <c r="J150" s="4169"/>
      <c r="K150" s="4169"/>
      <c r="L150" s="4169"/>
      <c r="M150" s="4169"/>
      <c r="N150" s="4169"/>
      <c r="O150" s="4169"/>
      <c r="P150" s="4169"/>
      <c r="Q150" s="4170"/>
      <c r="R150" s="1257"/>
      <c r="S150" s="1258"/>
      <c r="T150" s="1258"/>
      <c r="U150" s="3417"/>
      <c r="V150" s="7792"/>
      <c r="W150" s="1322" t="s">
        <v>1233</v>
      </c>
      <c r="X150" s="3460" t="str">
        <f>IF(Tablas!$H$1106=0,"-",IF(Zen,DES,MIN(13,DES)))</f>
        <v>-</v>
      </c>
      <c r="Y150" s="3442"/>
      <c r="Z150" s="3440" t="str">
        <f>IFERROR(MIN(X150+Y150,IF(Zen,20,13)),"-")</f>
        <v>-</v>
      </c>
      <c r="AA150" s="1266" t="str">
        <f ca="1">IFERROR(IF(AC145="Armas naturales",IF(AD154="","-",AD154),VLOOKUP(IF(OR(AA145="Proy. 1M",AA145="Proy. 2M"),AD154,AC145),Tabla_ArmasyEscudos,6,0)),"-")</f>
        <v>-</v>
      </c>
      <c r="AB150" s="3443" t="str">
        <f ca="1">IFERROR(IF(AC145="Armas naturales",IF(AD155="","-",AD155),VLOOKUP(IF(OR(AA145="Proy. 1M",AA145="Proy. 2M"),AD154,AC145),Tabla_ArmasyEscudos,7,0)),"-")</f>
        <v>-</v>
      </c>
      <c r="AC150" s="3444" t="str">
        <f>IFERROR(IF(OR(AC145="",Tablas!$H$1106=0),"-",IF(AC145="Armas naturales",AO140+IF(Extensióndelauraalarma,10,0)+IF(Tabla_Desvío,Z151,0),VLOOKUP(AC145,Tabla_ArmasyEscudos,10,0)+IF(Tabla_Desvío,Z151,0)+IF(Extensióndelauraalarma,10,0)+10*AB151/5&amp;IFERROR("/"&amp;VLOOKUP(AD154,Tabla_ArmasyEscudos,10,0)+IF(Extensióndelauraalarma,10,0)+10*AD155/5,""))),"-")</f>
        <v>-</v>
      </c>
      <c r="AD150" s="3444" t="str">
        <f>IFERROR(IF(OR(AC145="",Tablas!$H$1106=0),"-",IF(AC145="Armas naturales",AO141,IFERROR(VLOOKUP(AD154,Tabla_ArmasyEscudos,11,0)+2*AD155/5,VLOOKUP(AC145,Tabla_ArmasyEscudos,11,0)+2*AB151/5))+VLOOKUP(IF((AS131-AB151/5)&gt;0,AS131,Z152),Tabla_Fuerza,2)+IF(Extensióndelauraalarma,5,0)+IF(Ojos_de_la_Muerte,5,0)),"-")</f>
        <v>-</v>
      </c>
      <c r="AE150" s="2538" t="str">
        <f>IFERROR(IF(OR(AC145="",Tablas!$H$1106=0),"-",IF(AC145="Armas naturales",Presencia_final,VLOOKUP(AC145,Tabla_ArmasyEscudos,12,0)+50*MAX(AB151/5,0)&amp;IFERROR("/"&amp;VLOOKUP(AD154,Tabla_ArmasyEscudos,12,0)+50*MAX(AD155/5,0),""))),"-")</f>
        <v>-</v>
      </c>
      <c r="AF150" s="1266" t="str">
        <f ca="1">IFERROR(IF(AH145="Armas naturales",IF(AI154="","-",AI154),VLOOKUP(IF(AF145="Proy. 1M",AI154,AH145),Tabla_ArmasyEscudos,6,0)),"-")</f>
        <v>-</v>
      </c>
      <c r="AG150" s="3443" t="str">
        <f ca="1">IFERROR(IF(AH145="Armas naturales",IF(AI155="","-",AI155),VLOOKUP(IF(AF145="Proy. 1M",AI154,AH145),Tabla_ArmasyEscudos,7,0)),"-")</f>
        <v>-</v>
      </c>
      <c r="AH150" s="3444" t="str">
        <f>IFERROR(IF(OR(AH145="",Tablas!$H$1106=0),"-",IF(AH145="Armas naturales",AO140+IF(Extensióndelauraalarma,10,0)+IF(Tabla_Desvío,Z151,0),VLOOKUP(AH145,Tabla_ArmasyEscudos,10,0)+IF(Tabla_Desvío,Z151,0)+IF(Extensióndelauraalarma,10,0)+10*AG151/5&amp;IFERROR("/"&amp;VLOOKUP(AI154,Tabla_ArmasyEscudos,10,0)+IF(Extensióndelauraalarma,10,0)+10*AI155/5,""))),"-")</f>
        <v>-</v>
      </c>
      <c r="AI150" s="3444" t="str">
        <f>IFERROR(IF(OR(AH145="",Tablas!$H$1106=0),"-",IF(AH145="Armas naturales",AO141,IFERROR(VLOOKUP(AI154,Tabla_ArmasyEscudos,11,0)+2*AI155/5,VLOOKUP(AH145,Tabla_ArmasyEscudos,11,0)+2*AG151/5))+VLOOKUP(IF((AS132-AG151/5)&gt;0,AS132,Z152),Tabla_Fuerza,2)+IF(Extensióndelauraalarma,5,0)+IF(Ojos_de_la_Muerte,5,0)),"-")</f>
        <v>-</v>
      </c>
      <c r="AJ150" s="2538" t="str">
        <f>IFERROR(IF(OR(AH145="",Tablas!$H$1106=0),"-",IF(AH145="Armas naturales",Presencia_final,VLOOKUP(AH145,Tabla_ArmasyEscudos,12,0)+50*MAX(AG151/5,0)&amp;IFERROR("/"&amp;VLOOKUP(AI154,Tabla_ArmasyEscudos,12,0)+50*MAX(AI155/5,0),""))),"-")</f>
        <v>-</v>
      </c>
      <c r="AK150" s="3418"/>
      <c r="AL150" s="1259"/>
      <c r="AV150" s="530"/>
      <c r="AW150" s="530"/>
      <c r="AX150" s="530"/>
      <c r="AY150" s="530"/>
      <c r="AZ150" s="530"/>
      <c r="BA150" s="530"/>
      <c r="BB150" s="530"/>
      <c r="BC150" s="530"/>
      <c r="BD150" s="530"/>
      <c r="BE150" s="530"/>
      <c r="BF150" s="530"/>
      <c r="BG150" s="530"/>
      <c r="BH150" s="530"/>
      <c r="BI150" s="530"/>
      <c r="BJ150" s="530"/>
      <c r="BK150" s="530"/>
      <c r="BL150" s="530"/>
      <c r="BM150" s="530"/>
      <c r="BN150" s="530"/>
      <c r="BO150" s="530"/>
      <c r="BP150" s="530"/>
      <c r="BQ150" s="530"/>
      <c r="BR150" s="530"/>
      <c r="BS150" s="530"/>
      <c r="BT150" s="530"/>
      <c r="BU150" s="530"/>
      <c r="BV150" s="530"/>
      <c r="BW150" s="530"/>
      <c r="BX150" s="530"/>
    </row>
    <row r="151" spans="1:76" ht="12" customHeight="1">
      <c r="A151" s="859"/>
      <c r="B151" s="443"/>
      <c r="C151" s="4168"/>
      <c r="D151" s="4169"/>
      <c r="E151" s="4169"/>
      <c r="F151" s="4169"/>
      <c r="G151" s="4169"/>
      <c r="H151" s="4169"/>
      <c r="I151" s="4169"/>
      <c r="J151" s="4169"/>
      <c r="K151" s="4169"/>
      <c r="L151" s="4169"/>
      <c r="M151" s="4169"/>
      <c r="N151" s="4169"/>
      <c r="O151" s="4169"/>
      <c r="P151" s="4169"/>
      <c r="Q151" s="4170"/>
      <c r="R151" s="1257"/>
      <c r="S151" s="1258"/>
      <c r="T151" s="1258"/>
      <c r="U151" s="3417"/>
      <c r="V151" s="7792"/>
      <c r="W151" s="1322" t="s">
        <v>1238</v>
      </c>
      <c r="X151" s="1517" t="str">
        <f>IF(Tablas!$H$1106=0,"-",IF(Zen,DES,MIN(13,DES)))</f>
        <v>-</v>
      </c>
      <c r="Y151" s="2016"/>
      <c r="Z151" s="2539" t="str">
        <f>IFERROR(MIN(X151+Y151,IF(Zen,20,13)),"-")</f>
        <v>-</v>
      </c>
      <c r="AA151" s="1518" t="str">
        <f>IF(AND(AC145&lt;&gt;"",AC145&lt;&gt;"Armas naturales"),"Calidad:","")</f>
        <v/>
      </c>
      <c r="AB151" s="3446"/>
      <c r="AC151" s="7794" t="str">
        <f ca="1">IF(AA155="Calidad munición:",IF(AD155&lt;=0,"","TA defensor:"),IF(AB151&lt;=0,"","TA defensor:"))</f>
        <v/>
      </c>
      <c r="AD151" s="7794"/>
      <c r="AE151" s="2540" t="str">
        <f ca="1">IF(AC151="TA defensor:",IF(AA155="Calidad munición:",AD155/(-5),AB151/(-5)),"")</f>
        <v/>
      </c>
      <c r="AF151" s="1518" t="str">
        <f>IF(AND(AH145&lt;&gt;"",AH145&lt;&gt;"Armas naturales"),"Calidad:","")</f>
        <v/>
      </c>
      <c r="AG151" s="3446"/>
      <c r="AH151" s="7794" t="str">
        <f ca="1">IF(AF155="Calidad munición:",IF(AI155&lt;=0,"","TA defensor:"),IF(AG151&lt;=0,"","TA defensor:"))</f>
        <v/>
      </c>
      <c r="AI151" s="7794"/>
      <c r="AJ151" s="2540" t="str">
        <f ca="1">IF(AH151="TA defensor:",IF(AF155="Calidad munición:",AI155/(-5),AG151/(-5)),"")</f>
        <v/>
      </c>
      <c r="AK151" s="3418"/>
      <c r="AL151" s="1271"/>
      <c r="AV151" s="530"/>
      <c r="AW151" s="530"/>
      <c r="AX151" s="530"/>
      <c r="AY151" s="530"/>
      <c r="AZ151" s="530"/>
      <c r="BA151" s="530"/>
      <c r="BB151" s="530"/>
      <c r="BC151" s="530"/>
      <c r="BD151" s="530"/>
      <c r="BE151" s="530"/>
      <c r="BF151" s="530"/>
      <c r="BG151" s="530"/>
      <c r="BH151" s="530"/>
      <c r="BI151" s="530"/>
      <c r="BJ151" s="530"/>
      <c r="BK151" s="530"/>
      <c r="BL151" s="530"/>
      <c r="BM151" s="530"/>
      <c r="BN151" s="530"/>
      <c r="BO151" s="530"/>
      <c r="BP151" s="530"/>
      <c r="BQ151" s="530"/>
      <c r="BR151" s="530"/>
      <c r="BS151" s="530"/>
      <c r="BT151" s="530"/>
      <c r="BU151" s="530"/>
      <c r="BV151" s="530"/>
      <c r="BW151" s="530"/>
      <c r="BX151" s="530"/>
    </row>
    <row r="152" spans="1:76" ht="12" customHeight="1" thickBot="1">
      <c r="A152" s="859"/>
      <c r="B152" s="443"/>
      <c r="C152" s="4168"/>
      <c r="D152" s="4169"/>
      <c r="E152" s="4169"/>
      <c r="F152" s="4169"/>
      <c r="G152" s="4169"/>
      <c r="H152" s="4169"/>
      <c r="I152" s="4169"/>
      <c r="J152" s="4169"/>
      <c r="K152" s="4169"/>
      <c r="L152" s="4169"/>
      <c r="M152" s="4169"/>
      <c r="N152" s="4169"/>
      <c r="O152" s="4169"/>
      <c r="P152" s="4169"/>
      <c r="Q152" s="4170"/>
      <c r="R152" s="1257"/>
      <c r="S152" s="1258"/>
      <c r="T152" s="1258"/>
      <c r="U152" s="3417"/>
      <c r="V152" s="7793"/>
      <c r="W152" s="3448" t="s">
        <v>1243</v>
      </c>
      <c r="X152" s="3449" t="str">
        <f>IF(Tablas!$H$1106=0,"-",IF(Zen,FUE-2,MIN(11,FUE-2)))</f>
        <v>-</v>
      </c>
      <c r="Y152" s="2017"/>
      <c r="Z152" s="3450" t="str">
        <f>IFERROR(MIN(20,MIN(X152+Y152,IF(Zen,20,13))+IF(COUNTIF(W153:Z158,"Fuerza excepcional")&gt;0,IF(X152+6&lt;15,6,MAX(15-X152,0)),0)),"-")</f>
        <v>-</v>
      </c>
      <c r="AA152" s="7788" t="str">
        <f ca="1">IFERROR(IF(AC145="Armas naturales","",VLOOKUP(AC145,Tabla_ArmasyEscudos,19,0)),"")</f>
        <v/>
      </c>
      <c r="AB152" s="7789"/>
      <c r="AC152" s="7789"/>
      <c r="AD152" s="7789"/>
      <c r="AE152" s="7790"/>
      <c r="AF152" s="7788" t="str">
        <f ca="1">IFERROR(IF(AH145="Armas naturales","",VLOOKUP(AH145,Tabla_ArmasyEscudos,19,0)),"")</f>
        <v/>
      </c>
      <c r="AG152" s="7789"/>
      <c r="AH152" s="7789"/>
      <c r="AI152" s="7789"/>
      <c r="AJ152" s="7790"/>
      <c r="AK152" s="3418"/>
      <c r="AL152" s="1259"/>
      <c r="AV152" s="530"/>
      <c r="AW152" s="530"/>
      <c r="AX152" s="530"/>
      <c r="AY152" s="530"/>
      <c r="AZ152" s="530"/>
      <c r="BA152" s="530"/>
      <c r="BB152" s="530"/>
      <c r="BC152" s="530"/>
      <c r="BD152" s="530"/>
      <c r="BE152" s="530"/>
      <c r="BF152" s="530"/>
      <c r="BG152" s="530"/>
      <c r="BH152" s="530"/>
      <c r="BI152" s="530"/>
      <c r="BJ152" s="530"/>
      <c r="BK152" s="530"/>
      <c r="BL152" s="530"/>
      <c r="BM152" s="530"/>
      <c r="BN152" s="530"/>
      <c r="BO152" s="530"/>
      <c r="BP152" s="530"/>
      <c r="BQ152" s="530"/>
      <c r="BR152" s="530"/>
      <c r="BS152" s="530"/>
      <c r="BT152" s="530"/>
      <c r="BU152" s="530"/>
      <c r="BV152" s="530"/>
      <c r="BW152" s="530"/>
      <c r="BX152" s="530"/>
    </row>
    <row r="153" spans="1:76" ht="12" customHeight="1">
      <c r="A153" s="859"/>
      <c r="B153" s="443"/>
      <c r="C153" s="4168"/>
      <c r="D153" s="4169"/>
      <c r="E153" s="4169"/>
      <c r="F153" s="4169"/>
      <c r="G153" s="4169"/>
      <c r="H153" s="4169"/>
      <c r="I153" s="4169"/>
      <c r="J153" s="4169"/>
      <c r="K153" s="4169"/>
      <c r="L153" s="4169"/>
      <c r="M153" s="4169"/>
      <c r="N153" s="4169"/>
      <c r="O153" s="4169"/>
      <c r="P153" s="4169"/>
      <c r="Q153" s="4170"/>
      <c r="R153" s="1257"/>
      <c r="S153" s="1258"/>
      <c r="T153" s="1258"/>
      <c r="U153" s="3417"/>
      <c r="V153" s="7792" t="s">
        <v>8143</v>
      </c>
      <c r="W153" s="5527"/>
      <c r="X153" s="5527"/>
      <c r="Y153" s="5527"/>
      <c r="Z153" s="5527"/>
      <c r="AA153" s="7814" t="str">
        <f ca="1">IFERROR(VLOOKUP(AD154,Tabla_ArmasyEscudos,19,0),"")</f>
        <v/>
      </c>
      <c r="AB153" s="7815"/>
      <c r="AC153" s="7815"/>
      <c r="AD153" s="7815"/>
      <c r="AE153" s="7827"/>
      <c r="AF153" s="7814" t="str">
        <f ca="1">IFERROR(VLOOKUP(AI154,Tabla_ArmasyEscudos,19,0),"")</f>
        <v/>
      </c>
      <c r="AG153" s="7815"/>
      <c r="AH153" s="7815"/>
      <c r="AI153" s="7815"/>
      <c r="AJ153" s="7827"/>
      <c r="AK153" s="3418"/>
      <c r="AL153" s="1259"/>
      <c r="AV153" s="530"/>
      <c r="AW153" s="530"/>
      <c r="AX153" s="530"/>
      <c r="AY153" s="530"/>
      <c r="AZ153" s="530"/>
      <c r="BA153" s="530"/>
      <c r="BB153" s="530"/>
      <c r="BC153" s="530"/>
      <c r="BD153" s="530"/>
      <c r="BE153" s="530"/>
      <c r="BF153" s="530"/>
      <c r="BG153" s="530"/>
      <c r="BH153" s="530"/>
      <c r="BI153" s="530"/>
      <c r="BJ153" s="530"/>
      <c r="BK153" s="530"/>
      <c r="BL153" s="530"/>
      <c r="BM153" s="530"/>
      <c r="BN153" s="530"/>
      <c r="BO153" s="530"/>
      <c r="BP153" s="530"/>
      <c r="BQ153" s="530"/>
      <c r="BR153" s="530"/>
      <c r="BS153" s="530"/>
      <c r="BT153" s="530"/>
      <c r="BU153" s="530"/>
      <c r="BV153" s="530"/>
      <c r="BW153" s="530"/>
      <c r="BX153" s="530"/>
    </row>
    <row r="154" spans="1:76" ht="12" customHeight="1">
      <c r="A154" s="859"/>
      <c r="B154" s="443"/>
      <c r="C154" s="4168"/>
      <c r="D154" s="4169"/>
      <c r="E154" s="4169"/>
      <c r="F154" s="4169"/>
      <c r="G154" s="4169"/>
      <c r="H154" s="4169"/>
      <c r="I154" s="4169"/>
      <c r="J154" s="4169"/>
      <c r="K154" s="4169"/>
      <c r="L154" s="4169"/>
      <c r="M154" s="4169"/>
      <c r="N154" s="4169"/>
      <c r="O154" s="4169"/>
      <c r="P154" s="4169"/>
      <c r="Q154" s="4170"/>
      <c r="R154" s="1257"/>
      <c r="S154" s="1258"/>
      <c r="T154" s="1258"/>
      <c r="U154" s="3417"/>
      <c r="V154" s="7792"/>
      <c r="W154" s="7647"/>
      <c r="X154" s="7648"/>
      <c r="Y154" s="7648"/>
      <c r="Z154" s="7649"/>
      <c r="AA154" s="7828" t="str">
        <f ca="1">IFERROR(IF(AC145="Armas naturales", "Armas naturales Crit. 1:",IF(ISNUMBER(FIND("Proyectiles",VLOOKUP(AC145,Tabla_ArmasyEscudos,8,0))),"Munición:","")),"")</f>
        <v/>
      </c>
      <c r="AB154" s="6426"/>
      <c r="AC154" s="6426"/>
      <c r="AD154" s="7820"/>
      <c r="AE154" s="7821"/>
      <c r="AF154" s="7828" t="str">
        <f ca="1">IFERROR(IF(AH145="Armas naturales", "Armas naturales Crit. 1:",IF(ISNUMBER(FIND("Proyectiles",VLOOKUP(AH145,Tabla_ArmasyEscudos,8,0))),"Munición:","")),"")</f>
        <v/>
      </c>
      <c r="AG154" s="6426"/>
      <c r="AH154" s="6426"/>
      <c r="AI154" s="7820"/>
      <c r="AJ154" s="7821"/>
      <c r="AK154" s="3418"/>
      <c r="AL154" s="1259"/>
      <c r="AV154" s="530"/>
      <c r="AW154" s="530"/>
      <c r="AX154" s="530"/>
      <c r="AY154" s="530"/>
      <c r="AZ154" s="530"/>
      <c r="BA154" s="530"/>
      <c r="BB154" s="530"/>
      <c r="BC154" s="530"/>
      <c r="BD154" s="530"/>
      <c r="BE154" s="530"/>
      <c r="BF154" s="530"/>
      <c r="BG154" s="530"/>
      <c r="BH154" s="530"/>
      <c r="BI154" s="530"/>
      <c r="BJ154" s="530"/>
      <c r="BK154" s="530"/>
      <c r="BL154" s="530"/>
      <c r="BM154" s="530"/>
      <c r="BN154" s="530"/>
      <c r="BO154" s="530"/>
      <c r="BP154" s="530"/>
      <c r="BQ154" s="530"/>
      <c r="BR154" s="530"/>
      <c r="BS154" s="530"/>
      <c r="BT154" s="530"/>
      <c r="BU154" s="530"/>
      <c r="BV154" s="530"/>
      <c r="BW154" s="530"/>
      <c r="BX154" s="530"/>
    </row>
    <row r="155" spans="1:76" ht="12" customHeight="1">
      <c r="A155" s="859"/>
      <c r="B155" s="443"/>
      <c r="C155" s="4168"/>
      <c r="D155" s="4169"/>
      <c r="E155" s="4169"/>
      <c r="F155" s="4169"/>
      <c r="G155" s="4169"/>
      <c r="H155" s="4169"/>
      <c r="I155" s="4169"/>
      <c r="J155" s="4169"/>
      <c r="K155" s="4169"/>
      <c r="L155" s="4169"/>
      <c r="M155" s="4169"/>
      <c r="N155" s="4169"/>
      <c r="O155" s="4169"/>
      <c r="P155" s="4169"/>
      <c r="Q155" s="4170"/>
      <c r="R155" s="1257"/>
      <c r="S155" s="1258"/>
      <c r="T155" s="1258"/>
      <c r="U155" s="3417"/>
      <c r="V155" s="7792"/>
      <c r="W155" s="7647"/>
      <c r="X155" s="7648"/>
      <c r="Y155" s="7648"/>
      <c r="Z155" s="7649"/>
      <c r="AA155" s="7371" t="str">
        <f ca="1">IFERROR(IF(AC145="Armas naturales", "Armas naturales Crit. 2:",IF(ISNUMBER(FIND("Proyectiles",VLOOKUP(AC145,Tabla_ArmasyEscudos,8,0))),"Calidad Munición:","")),"")</f>
        <v/>
      </c>
      <c r="AB155" s="7824"/>
      <c r="AC155" s="7824"/>
      <c r="AD155" s="7825"/>
      <c r="AE155" s="7826"/>
      <c r="AF155" s="7371" t="str">
        <f ca="1">IFERROR(IF(AH145="Armas naturales", "Armas naturales Crit. 2:",IF(ISNUMBER(FIND("Proyectiles",VLOOKUP(AH145,Tabla_ArmasyEscudos,8,0))),"Calidad Munición:","")),"")</f>
        <v/>
      </c>
      <c r="AG155" s="7824"/>
      <c r="AH155" s="7824"/>
      <c r="AI155" s="7783"/>
      <c r="AJ155" s="7829"/>
      <c r="AK155" s="3418"/>
      <c r="AL155" s="1259"/>
      <c r="AV155" s="530"/>
      <c r="AW155" s="530"/>
      <c r="AX155" s="530"/>
      <c r="AY155" s="530"/>
      <c r="AZ155" s="530"/>
      <c r="BA155" s="530"/>
      <c r="BB155" s="530"/>
      <c r="BC155" s="530"/>
      <c r="BD155" s="530"/>
      <c r="BE155" s="530"/>
      <c r="BF155" s="530"/>
      <c r="BG155" s="530"/>
      <c r="BH155" s="530"/>
      <c r="BI155" s="530"/>
      <c r="BJ155" s="530"/>
      <c r="BK155" s="530"/>
      <c r="BL155" s="530"/>
      <c r="BM155" s="530"/>
      <c r="BN155" s="530"/>
      <c r="BO155" s="530"/>
      <c r="BP155" s="530"/>
      <c r="BQ155" s="530"/>
      <c r="BR155" s="530"/>
      <c r="BS155" s="530"/>
      <c r="BT155" s="530"/>
      <c r="BU155" s="530"/>
      <c r="BV155" s="530"/>
      <c r="BW155" s="530"/>
      <c r="BX155" s="530"/>
    </row>
    <row r="156" spans="1:76" ht="12" customHeight="1">
      <c r="A156" s="859"/>
      <c r="B156" s="443"/>
      <c r="C156" s="4168"/>
      <c r="D156" s="4169"/>
      <c r="E156" s="4169"/>
      <c r="F156" s="4169"/>
      <c r="G156" s="4169"/>
      <c r="H156" s="4169"/>
      <c r="I156" s="4169"/>
      <c r="J156" s="4169"/>
      <c r="K156" s="4169"/>
      <c r="L156" s="4169"/>
      <c r="M156" s="4169"/>
      <c r="N156" s="4169"/>
      <c r="O156" s="4169"/>
      <c r="P156" s="4169"/>
      <c r="Q156" s="4170"/>
      <c r="R156" s="1257"/>
      <c r="S156" s="1258"/>
      <c r="T156" s="1258"/>
      <c r="U156" s="3417"/>
      <c r="V156" s="7792"/>
      <c r="W156" s="5527"/>
      <c r="X156" s="5527"/>
      <c r="Y156" s="5527"/>
      <c r="Z156" s="5527"/>
      <c r="AA156" s="3452" t="str">
        <f ca="1">IF(ISNUMBER(FIND("Proyectiles",VLOOKUP(AC145,Tabla_ArmasyEscudos,8,0))),"Rango:","")</f>
        <v/>
      </c>
      <c r="AB156" s="2541" t="str">
        <f ca="1">IFERROR(IF(AA156="Rango:",(VLOOKUP(AC145,Tabla_ArmasyEscudos,17,0)+IF((AS131-AB151/5)&gt;0,VLOOKUP(MIN(AS131,AB160),Tabla_AlcanceFUE,2,0),IF($Z152&lt;3,-30,VLOOKUP(MIN(IF(Zen_IP,20,13),AB160,$Z152),Tabla_AlcanceFUE,2))))*IF(AlcanceIncrementado,2,1)&amp;" m",""),"")</f>
        <v/>
      </c>
      <c r="AC156" s="7830" t="str">
        <f ca="1">IF(ISNUMBER(FIND("Proyectiles",VLOOKUP(AC145,Tabla_ArmasyEscudos,8,0))),"Recarga:","")</f>
        <v/>
      </c>
      <c r="AD156" s="7830"/>
      <c r="AE156" s="3453" t="str">
        <f ca="1">IFERROR(IF(AC156="Recarga:",VLOOKUP(AC145,Tabla_ArmasyEscudos,16,0),""),"")</f>
        <v/>
      </c>
      <c r="AF156" s="3452" t="str">
        <f ca="1">IF(ISNUMBER(FIND("Proyectiles",VLOOKUP(AH145,Tabla_ArmasyEscudos,8,0))),"Rango:","")</f>
        <v/>
      </c>
      <c r="AG156" s="2541" t="str">
        <f ca="1">IFERROR(IF(AF156="Rango:",(VLOOKUP(AH145,Tabla_ArmasyEscudos,17,0)+IF((AS132-AG151/5)&gt;0,VLOOKUP(MIN(AS132,AG160),Tabla_AlcanceFUE,2,0),IF($Z152&lt;3,-30,VLOOKUP(MIN(IF(Zen_IP,20,13),AG160,$Z152),Tabla_AlcanceFUE,2))))*IF(AlcanceIncrementado,2,1)&amp;" m",""),"")</f>
        <v/>
      </c>
      <c r="AH156" s="7830" t="str">
        <f ca="1">IF(ISNUMBER(FIND("Proyectiles",VLOOKUP(AH145,Tabla_ArmasyEscudos,8,0))),"Recarga:","")</f>
        <v/>
      </c>
      <c r="AI156" s="7830"/>
      <c r="AJ156" s="3453" t="str">
        <f ca="1">IFERROR(IF(AH156="Recarga:",VLOOKUP(AH145,Tabla_ArmasyEscudos,16,0),""),"")</f>
        <v/>
      </c>
      <c r="AK156" s="3418"/>
      <c r="AL156" s="1259"/>
      <c r="AV156" s="530"/>
      <c r="AW156" s="530"/>
      <c r="AX156" s="530"/>
      <c r="AY156" s="530"/>
      <c r="AZ156" s="530"/>
      <c r="BA156" s="530"/>
      <c r="BB156" s="530"/>
      <c r="BC156" s="530"/>
      <c r="BD156" s="530"/>
      <c r="BE156" s="530"/>
      <c r="BF156" s="530"/>
      <c r="BG156" s="530"/>
      <c r="BH156" s="530"/>
      <c r="BI156" s="530"/>
      <c r="BJ156" s="530"/>
      <c r="BK156" s="530"/>
      <c r="BL156" s="530"/>
      <c r="BM156" s="530"/>
      <c r="BN156" s="530"/>
      <c r="BO156" s="530"/>
      <c r="BP156" s="530"/>
      <c r="BQ156" s="530"/>
      <c r="BR156" s="530"/>
      <c r="BS156" s="530"/>
      <c r="BT156" s="530"/>
      <c r="BU156" s="530"/>
      <c r="BV156" s="530"/>
      <c r="BW156" s="530"/>
      <c r="BX156" s="530"/>
    </row>
    <row r="157" spans="1:76" ht="12" customHeight="1">
      <c r="A157" s="859"/>
      <c r="B157" s="443"/>
      <c r="C157" s="4168"/>
      <c r="D157" s="4169"/>
      <c r="E157" s="4169"/>
      <c r="F157" s="4169"/>
      <c r="G157" s="4169"/>
      <c r="H157" s="4169"/>
      <c r="I157" s="4169"/>
      <c r="J157" s="4169"/>
      <c r="K157" s="4169"/>
      <c r="L157" s="4169"/>
      <c r="M157" s="4169"/>
      <c r="N157" s="4169"/>
      <c r="O157" s="4169"/>
      <c r="P157" s="4169"/>
      <c r="Q157" s="4170"/>
      <c r="R157" s="1257"/>
      <c r="S157" s="1258"/>
      <c r="T157" s="1258"/>
      <c r="U157" s="3417"/>
      <c r="V157" s="7792"/>
      <c r="W157" s="7647"/>
      <c r="X157" s="7648"/>
      <c r="Y157" s="7648"/>
      <c r="Z157" s="7649"/>
      <c r="AA157" s="7831" t="s">
        <v>859</v>
      </c>
      <c r="AB157" s="3454" t="s">
        <v>6797</v>
      </c>
      <c r="AC157" s="3457"/>
      <c r="AD157" s="3454" t="s">
        <v>1252</v>
      </c>
      <c r="AE157" s="3456"/>
      <c r="AF157" s="7831" t="s">
        <v>859</v>
      </c>
      <c r="AG157" s="3454" t="s">
        <v>6797</v>
      </c>
      <c r="AH157" s="3457"/>
      <c r="AI157" s="3454" t="s">
        <v>1252</v>
      </c>
      <c r="AJ157" s="3456"/>
      <c r="AK157" s="3418"/>
      <c r="AL157" s="1259"/>
      <c r="AV157" s="530"/>
      <c r="AW157" s="530"/>
      <c r="AX157" s="530"/>
      <c r="AY157" s="530"/>
      <c r="AZ157" s="530"/>
      <c r="BA157" s="530"/>
      <c r="BB157" s="530"/>
      <c r="BC157" s="530"/>
      <c r="BD157" s="530"/>
      <c r="BE157" s="530"/>
      <c r="BF157" s="530"/>
      <c r="BG157" s="530"/>
      <c r="BH157" s="530"/>
      <c r="BI157" s="530"/>
      <c r="BJ157" s="530"/>
      <c r="BK157" s="530"/>
      <c r="BL157" s="530"/>
      <c r="BM157" s="530"/>
      <c r="BN157" s="530"/>
      <c r="BO157" s="530"/>
      <c r="BP157" s="530"/>
      <c r="BQ157" s="530"/>
      <c r="BR157" s="530"/>
      <c r="BS157" s="530"/>
      <c r="BT157" s="530"/>
      <c r="BU157" s="530"/>
      <c r="BV157" s="530"/>
      <c r="BW157" s="530"/>
      <c r="BX157" s="530"/>
    </row>
    <row r="158" spans="1:76" ht="12" customHeight="1" thickBot="1">
      <c r="A158" s="859"/>
      <c r="B158" s="443"/>
      <c r="C158" s="4168"/>
      <c r="D158" s="4169"/>
      <c r="E158" s="4169"/>
      <c r="F158" s="4169"/>
      <c r="G158" s="4169"/>
      <c r="H158" s="4169"/>
      <c r="I158" s="4169"/>
      <c r="J158" s="4169"/>
      <c r="K158" s="4169"/>
      <c r="L158" s="4169"/>
      <c r="M158" s="4169"/>
      <c r="N158" s="4169"/>
      <c r="O158" s="4169"/>
      <c r="P158" s="4169"/>
      <c r="Q158" s="4170"/>
      <c r="R158" s="1257"/>
      <c r="S158" s="1258"/>
      <c r="T158" s="1258"/>
      <c r="U158" s="3417"/>
      <c r="V158" s="7793"/>
      <c r="W158" s="7833"/>
      <c r="X158" s="7833"/>
      <c r="Y158" s="7833"/>
      <c r="Z158" s="7833"/>
      <c r="AA158" s="7832"/>
      <c r="AB158" s="1264" t="s">
        <v>7894</v>
      </c>
      <c r="AC158" s="1996"/>
      <c r="AD158" s="3458" t="s">
        <v>1425</v>
      </c>
      <c r="AE158" s="1995"/>
      <c r="AF158" s="7832"/>
      <c r="AG158" s="1264" t="s">
        <v>7894</v>
      </c>
      <c r="AH158" s="1996"/>
      <c r="AI158" s="3458" t="s">
        <v>1425</v>
      </c>
      <c r="AJ158" s="1995"/>
      <c r="AK158" s="3418"/>
      <c r="AL158" s="1259"/>
      <c r="AV158" s="530"/>
      <c r="AW158" s="530"/>
      <c r="AX158" s="530"/>
      <c r="AY158" s="530"/>
      <c r="AZ158" s="530"/>
      <c r="BA158" s="530"/>
      <c r="BB158" s="530"/>
      <c r="BC158" s="530"/>
      <c r="BD158" s="530"/>
      <c r="BE158" s="530"/>
      <c r="BF158" s="530"/>
      <c r="BG158" s="530"/>
      <c r="BH158" s="530"/>
      <c r="BI158" s="530"/>
      <c r="BJ158" s="530"/>
      <c r="BK158" s="530"/>
      <c r="BL158" s="530"/>
      <c r="BM158" s="530"/>
      <c r="BN158" s="530"/>
      <c r="BO158" s="530"/>
      <c r="BP158" s="530"/>
      <c r="BQ158" s="530"/>
      <c r="BR158" s="530"/>
      <c r="BS158" s="530"/>
      <c r="BT158" s="530"/>
      <c r="BU158" s="530"/>
      <c r="BV158" s="530"/>
      <c r="BW158" s="530"/>
      <c r="BX158" s="530"/>
    </row>
    <row r="159" spans="1:76" ht="12" customHeight="1" thickBot="1">
      <c r="A159" s="859"/>
      <c r="B159" s="443"/>
      <c r="C159" s="4171"/>
      <c r="D159" s="4172"/>
      <c r="E159" s="4172"/>
      <c r="F159" s="4172"/>
      <c r="G159" s="4172"/>
      <c r="H159" s="4172"/>
      <c r="I159" s="4172"/>
      <c r="J159" s="4172"/>
      <c r="K159" s="4172"/>
      <c r="L159" s="4172"/>
      <c r="M159" s="4172"/>
      <c r="N159" s="4172"/>
      <c r="O159" s="4172"/>
      <c r="P159" s="4172"/>
      <c r="Q159" s="4173"/>
      <c r="R159" s="1257"/>
      <c r="S159" s="1258"/>
      <c r="T159" s="1258"/>
      <c r="U159" s="3417"/>
      <c r="AK159" s="3418"/>
      <c r="AL159" s="1259"/>
      <c r="AV159" s="530"/>
      <c r="AW159" s="530"/>
      <c r="AX159" s="530"/>
      <c r="AY159" s="530"/>
      <c r="AZ159" s="530"/>
      <c r="BA159" s="530"/>
      <c r="BB159" s="530"/>
      <c r="BC159" s="530"/>
      <c r="BD159" s="530"/>
      <c r="BE159" s="530"/>
      <c r="BF159" s="530"/>
      <c r="BG159" s="530"/>
      <c r="BH159" s="530"/>
      <c r="BI159" s="530"/>
      <c r="BJ159" s="530"/>
      <c r="BK159" s="530"/>
      <c r="BL159" s="530"/>
      <c r="BM159" s="530"/>
      <c r="BN159" s="530"/>
      <c r="BO159" s="530"/>
      <c r="BP159" s="530"/>
      <c r="BQ159" s="530"/>
      <c r="BR159" s="530"/>
      <c r="BS159" s="530"/>
      <c r="BT159" s="530"/>
      <c r="BU159" s="530"/>
      <c r="BV159" s="530"/>
      <c r="BW159" s="530"/>
      <c r="BX159" s="530"/>
    </row>
    <row r="160" spans="1:76" ht="12" customHeight="1" thickBot="1">
      <c r="A160" s="859"/>
      <c r="B160" s="445"/>
      <c r="R160" s="1270"/>
      <c r="S160" s="1258"/>
      <c r="T160" s="3463"/>
      <c r="U160" s="1267"/>
      <c r="V160" s="3464"/>
      <c r="W160" s="3464"/>
      <c r="X160" s="3464"/>
      <c r="Y160" s="3464"/>
      <c r="Z160" s="3464"/>
      <c r="AA160" s="3464"/>
      <c r="AB160" s="3465">
        <f>IF(AB151&lt;0,10,IF(AB151&gt;20,20,INDEX(Tablas!$L$23:$L$33,MATCH(AB151,Tablas!$N$23:$N$33,0))))</f>
        <v>10</v>
      </c>
      <c r="AC160" s="3464"/>
      <c r="AD160" s="3464"/>
      <c r="AE160" s="3464"/>
      <c r="AF160" s="3464"/>
      <c r="AG160" s="3465">
        <f>IF(AG151&lt;0,10,IF(AG151&gt;20,20,INDEX(Tablas!$L$23:$L$33,MATCH(AG151,Tablas!$N$23:$N$33,0))))</f>
        <v>10</v>
      </c>
      <c r="AH160" s="3464"/>
      <c r="AI160" s="3464"/>
      <c r="AJ160" s="3464"/>
      <c r="AK160" s="3466"/>
      <c r="AL160" s="1259"/>
      <c r="AV160" s="530"/>
      <c r="AW160" s="530"/>
      <c r="AX160" s="530"/>
      <c r="AY160" s="530"/>
      <c r="AZ160" s="530"/>
      <c r="BA160" s="530"/>
      <c r="BB160" s="530"/>
      <c r="BC160" s="530"/>
      <c r="BD160" s="530"/>
      <c r="BE160" s="530"/>
      <c r="BF160" s="530"/>
      <c r="BG160" s="530"/>
      <c r="BH160" s="530"/>
      <c r="BI160" s="530"/>
      <c r="BJ160" s="530"/>
      <c r="BK160" s="530"/>
      <c r="BL160" s="530"/>
      <c r="BM160" s="530"/>
      <c r="BN160" s="530"/>
      <c r="BO160" s="530"/>
      <c r="BP160" s="530"/>
      <c r="BQ160" s="530"/>
      <c r="BR160" s="530"/>
      <c r="BS160" s="530"/>
      <c r="BT160" s="530"/>
      <c r="BU160" s="530"/>
      <c r="BV160" s="530"/>
      <c r="BW160" s="530"/>
      <c r="BX160" s="530"/>
    </row>
    <row r="161" spans="1:76" ht="12" customHeight="1">
      <c r="A161" s="859"/>
      <c r="B161" s="859"/>
      <c r="C161" s="3614"/>
      <c r="D161" s="3614"/>
      <c r="E161" s="3614"/>
      <c r="F161" s="3614"/>
      <c r="G161" s="3614"/>
      <c r="H161" s="3614"/>
      <c r="I161" s="3614"/>
      <c r="J161" s="3614"/>
      <c r="K161" s="3614"/>
      <c r="L161" s="3614"/>
      <c r="M161" s="3614"/>
      <c r="N161" s="3614"/>
      <c r="O161" s="3614"/>
      <c r="P161" s="3614"/>
      <c r="Q161" s="3614"/>
      <c r="R161" s="1258"/>
      <c r="S161" s="1258"/>
      <c r="T161" s="1258"/>
      <c r="U161" s="1258"/>
      <c r="V161" s="859"/>
      <c r="W161" s="859"/>
      <c r="X161" s="859"/>
      <c r="Y161" s="859"/>
      <c r="Z161" s="859"/>
      <c r="AA161" s="859"/>
      <c r="AB161" s="859"/>
      <c r="AC161" s="859"/>
      <c r="AD161" s="859"/>
      <c r="AE161" s="859"/>
      <c r="AF161" s="859"/>
      <c r="AG161" s="859"/>
      <c r="AH161" s="859"/>
      <c r="AI161" s="859"/>
      <c r="AJ161" s="859"/>
      <c r="AK161" s="1259"/>
      <c r="AL161" s="1259"/>
      <c r="AV161" s="530"/>
      <c r="AW161" s="530"/>
      <c r="AX161" s="530"/>
      <c r="AY161" s="530"/>
      <c r="AZ161" s="530"/>
      <c r="BA161" s="530"/>
      <c r="BB161" s="530"/>
      <c r="BC161" s="530"/>
      <c r="BD161" s="530"/>
      <c r="BE161" s="530"/>
      <c r="BF161" s="530"/>
      <c r="BG161" s="530"/>
      <c r="BH161" s="530"/>
      <c r="BI161" s="530"/>
      <c r="BJ161" s="530"/>
      <c r="BK161" s="530"/>
      <c r="BL161" s="530"/>
      <c r="BM161" s="530"/>
      <c r="BN161" s="530"/>
      <c r="BO161" s="530"/>
      <c r="BP161" s="530"/>
      <c r="BQ161" s="530"/>
      <c r="BR161" s="530"/>
      <c r="BS161" s="530"/>
      <c r="BT161" s="530"/>
      <c r="BU161" s="530"/>
      <c r="BV161" s="530"/>
      <c r="BW161" s="530"/>
      <c r="BX161" s="530"/>
    </row>
    <row r="162" spans="1:76" ht="12" customHeight="1">
      <c r="AV162" s="530"/>
      <c r="AW162" s="530"/>
      <c r="AX162" s="530"/>
      <c r="AY162" s="530"/>
      <c r="AZ162" s="530"/>
      <c r="BA162" s="530"/>
      <c r="BB162" s="530"/>
      <c r="BC162" s="530"/>
      <c r="BD162" s="530"/>
      <c r="BE162" s="530"/>
      <c r="BF162" s="530"/>
      <c r="BG162" s="530"/>
      <c r="BH162" s="530"/>
      <c r="BI162" s="530"/>
      <c r="BJ162" s="530"/>
      <c r="BK162" s="530"/>
      <c r="BL162" s="530"/>
      <c r="BM162" s="530"/>
      <c r="BN162" s="530"/>
      <c r="BO162" s="530"/>
      <c r="BP162" s="530"/>
      <c r="BQ162" s="530"/>
      <c r="BR162" s="530"/>
      <c r="BS162" s="530"/>
      <c r="BT162" s="530"/>
      <c r="BU162" s="530"/>
      <c r="BV162" s="530"/>
      <c r="BW162" s="530"/>
      <c r="BX162" s="530"/>
    </row>
    <row r="315" spans="21:38" ht="12" customHeight="1">
      <c r="U315" s="21"/>
      <c r="AK315" s="21"/>
      <c r="AL315" s="21"/>
    </row>
  </sheetData>
  <sheetProtection sheet="1" selectLockedCells="1"/>
  <dataConsolidate/>
  <mergeCells count="722">
    <mergeCell ref="AN121:AO121"/>
    <mergeCell ref="AN137:AO137"/>
    <mergeCell ref="W124:Z124"/>
    <mergeCell ref="AH115:AH116"/>
    <mergeCell ref="AI115:AI116"/>
    <mergeCell ref="AJ115:AJ116"/>
    <mergeCell ref="V117:V120"/>
    <mergeCell ref="AC119:AD119"/>
    <mergeCell ref="AH119:AI119"/>
    <mergeCell ref="AA120:AE120"/>
    <mergeCell ref="AF120:AJ120"/>
    <mergeCell ref="V121:V126"/>
    <mergeCell ref="W121:Z121"/>
    <mergeCell ref="AA121:AE121"/>
    <mergeCell ref="AF121:AJ121"/>
    <mergeCell ref="W122:Z122"/>
    <mergeCell ref="AA122:AC122"/>
    <mergeCell ref="AD122:AE122"/>
    <mergeCell ref="AF122:AH122"/>
    <mergeCell ref="AI122:AJ122"/>
    <mergeCell ref="AA123:AC123"/>
    <mergeCell ref="AD123:AE123"/>
    <mergeCell ref="AF123:AH123"/>
    <mergeCell ref="V133:V136"/>
    <mergeCell ref="V153:V158"/>
    <mergeCell ref="W153:Z153"/>
    <mergeCell ref="AA153:AE153"/>
    <mergeCell ref="AF153:AJ153"/>
    <mergeCell ref="W154:Z154"/>
    <mergeCell ref="AA154:AC154"/>
    <mergeCell ref="AD154:AE154"/>
    <mergeCell ref="AF154:AH154"/>
    <mergeCell ref="AI154:AJ154"/>
    <mergeCell ref="W155:Z155"/>
    <mergeCell ref="AA155:AC155"/>
    <mergeCell ref="AD155:AE155"/>
    <mergeCell ref="AF155:AH155"/>
    <mergeCell ref="AI155:AJ155"/>
    <mergeCell ref="W156:Z156"/>
    <mergeCell ref="AC156:AD156"/>
    <mergeCell ref="AH156:AI156"/>
    <mergeCell ref="W157:Z157"/>
    <mergeCell ref="AA157:AA158"/>
    <mergeCell ref="AF157:AF158"/>
    <mergeCell ref="W158:Z158"/>
    <mergeCell ref="AA138:AC138"/>
    <mergeCell ref="AD138:AE138"/>
    <mergeCell ref="AF138:AH138"/>
    <mergeCell ref="AI138:AJ138"/>
    <mergeCell ref="AA139:AC139"/>
    <mergeCell ref="AD139:AE139"/>
    <mergeCell ref="AF139:AH139"/>
    <mergeCell ref="AI139:AJ139"/>
    <mergeCell ref="AC140:AD140"/>
    <mergeCell ref="AH140:AI140"/>
    <mergeCell ref="W139:Z139"/>
    <mergeCell ref="W140:Z140"/>
    <mergeCell ref="AJ147:AJ148"/>
    <mergeCell ref="V145:X145"/>
    <mergeCell ref="Y145:Y146"/>
    <mergeCell ref="Z145:Z146"/>
    <mergeCell ref="AA145:AB145"/>
    <mergeCell ref="AC145:AE145"/>
    <mergeCell ref="AF145:AG145"/>
    <mergeCell ref="AH145:AJ145"/>
    <mergeCell ref="V146:X146"/>
    <mergeCell ref="AB146:AC146"/>
    <mergeCell ref="AG146:AH146"/>
    <mergeCell ref="V144:W144"/>
    <mergeCell ref="X144:AB144"/>
    <mergeCell ref="W141:Z141"/>
    <mergeCell ref="AF147:AF148"/>
    <mergeCell ref="AG147:AG148"/>
    <mergeCell ref="AH147:AH148"/>
    <mergeCell ref="AI147:AI148"/>
    <mergeCell ref="AA141:AA142"/>
    <mergeCell ref="AC144:AE144"/>
    <mergeCell ref="AF144:AG144"/>
    <mergeCell ref="AH144:AI144"/>
    <mergeCell ref="AC135:AD135"/>
    <mergeCell ref="AH135:AI135"/>
    <mergeCell ref="AA136:AE136"/>
    <mergeCell ref="AF136:AJ136"/>
    <mergeCell ref="V149:V152"/>
    <mergeCell ref="AC151:AD151"/>
    <mergeCell ref="AH151:AI151"/>
    <mergeCell ref="AA152:AE152"/>
    <mergeCell ref="AF152:AJ152"/>
    <mergeCell ref="V147:W148"/>
    <mergeCell ref="X147:X148"/>
    <mergeCell ref="Y147:Y148"/>
    <mergeCell ref="Z147:Z148"/>
    <mergeCell ref="AA147:AA148"/>
    <mergeCell ref="AB147:AB148"/>
    <mergeCell ref="AC147:AC148"/>
    <mergeCell ref="AD147:AD148"/>
    <mergeCell ref="AE147:AE148"/>
    <mergeCell ref="V137:V142"/>
    <mergeCell ref="W137:Z137"/>
    <mergeCell ref="AA137:AE137"/>
    <mergeCell ref="AF137:AJ137"/>
    <mergeCell ref="W138:Z138"/>
    <mergeCell ref="W142:Z142"/>
    <mergeCell ref="AI123:AJ123"/>
    <mergeCell ref="AC124:AD124"/>
    <mergeCell ref="AH124:AI124"/>
    <mergeCell ref="AG115:AG116"/>
    <mergeCell ref="Y115:Y116"/>
    <mergeCell ref="Z115:Z116"/>
    <mergeCell ref="Y113:Y114"/>
    <mergeCell ref="Z113:Z114"/>
    <mergeCell ref="AA113:AB113"/>
    <mergeCell ref="AC113:AE113"/>
    <mergeCell ref="AF113:AG113"/>
    <mergeCell ref="AH113:AJ113"/>
    <mergeCell ref="AA115:AA116"/>
    <mergeCell ref="AB115:AB116"/>
    <mergeCell ref="AC115:AC116"/>
    <mergeCell ref="AD115:AD116"/>
    <mergeCell ref="AE115:AE116"/>
    <mergeCell ref="AF115:AF116"/>
    <mergeCell ref="AB114:AC114"/>
    <mergeCell ref="AG114:AH114"/>
    <mergeCell ref="V104:X104"/>
    <mergeCell ref="Z104:AB104"/>
    <mergeCell ref="AD104:AF104"/>
    <mergeCell ref="AH104:AJ104"/>
    <mergeCell ref="V105:X105"/>
    <mergeCell ref="Z105:AA105"/>
    <mergeCell ref="AD105:AF105"/>
    <mergeCell ref="V110:AJ111"/>
    <mergeCell ref="V112:W112"/>
    <mergeCell ref="X112:AB112"/>
    <mergeCell ref="AC112:AE112"/>
    <mergeCell ref="AF112:AG112"/>
    <mergeCell ref="AH112:AI112"/>
    <mergeCell ref="AD108:AF108"/>
    <mergeCell ref="Z107:AB107"/>
    <mergeCell ref="Z108:AB108"/>
    <mergeCell ref="AH107:AI108"/>
    <mergeCell ref="AJ107:AJ108"/>
    <mergeCell ref="AD107:AF107"/>
    <mergeCell ref="Z101:AB102"/>
    <mergeCell ref="AD101:AF101"/>
    <mergeCell ref="AH101:AJ101"/>
    <mergeCell ref="V102:X102"/>
    <mergeCell ref="AD102:AE102"/>
    <mergeCell ref="AH102:AJ102"/>
    <mergeCell ref="V103:X103"/>
    <mergeCell ref="Z103:AB103"/>
    <mergeCell ref="AD103:AF103"/>
    <mergeCell ref="AH103:AJ103"/>
    <mergeCell ref="V101:X101"/>
    <mergeCell ref="O78:P78"/>
    <mergeCell ref="C26:E26"/>
    <mergeCell ref="F26:G26"/>
    <mergeCell ref="I26:J26"/>
    <mergeCell ref="L26:M26"/>
    <mergeCell ref="O26:P26"/>
    <mergeCell ref="C25:E25"/>
    <mergeCell ref="F25:G25"/>
    <mergeCell ref="I25:J25"/>
    <mergeCell ref="L25:M25"/>
    <mergeCell ref="O25:P25"/>
    <mergeCell ref="J50:K50"/>
    <mergeCell ref="I46:O46"/>
    <mergeCell ref="I44:O44"/>
    <mergeCell ref="C28:G28"/>
    <mergeCell ref="C29:F29"/>
    <mergeCell ref="C32:F32"/>
    <mergeCell ref="C31:F31"/>
    <mergeCell ref="C30:F30"/>
    <mergeCell ref="C34:F34"/>
    <mergeCell ref="C33:F33"/>
    <mergeCell ref="F36:G36"/>
    <mergeCell ref="C36:D37"/>
    <mergeCell ref="F37:G37"/>
    <mergeCell ref="F81:L81"/>
    <mergeCell ref="O81:P81"/>
    <mergeCell ref="D67:E67"/>
    <mergeCell ref="F67:G67"/>
    <mergeCell ref="L67:M67"/>
    <mergeCell ref="M81:N81"/>
    <mergeCell ref="I38:O38"/>
    <mergeCell ref="N67:O67"/>
    <mergeCell ref="P67:Q67"/>
    <mergeCell ref="C65:J65"/>
    <mergeCell ref="D66:J66"/>
    <mergeCell ref="C39:G39"/>
    <mergeCell ref="I40:O40"/>
    <mergeCell ref="I41:O41"/>
    <mergeCell ref="C40:G40"/>
    <mergeCell ref="C41:G41"/>
    <mergeCell ref="I39:O39"/>
    <mergeCell ref="I51:Q51"/>
    <mergeCell ref="C50:D51"/>
    <mergeCell ref="C44:G44"/>
    <mergeCell ref="C46:F46"/>
    <mergeCell ref="I47:O47"/>
    <mergeCell ref="C42:G42"/>
    <mergeCell ref="I42:O42"/>
    <mergeCell ref="AD70:AJ70"/>
    <mergeCell ref="M79:N79"/>
    <mergeCell ref="M80:N80"/>
    <mergeCell ref="N75:O75"/>
    <mergeCell ref="P75:Q75"/>
    <mergeCell ref="D68:E68"/>
    <mergeCell ref="F80:L80"/>
    <mergeCell ref="O80:P80"/>
    <mergeCell ref="O79:P79"/>
    <mergeCell ref="F68:I68"/>
    <mergeCell ref="C69:J69"/>
    <mergeCell ref="F76:I76"/>
    <mergeCell ref="AD74:AE76"/>
    <mergeCell ref="AF74:AJ74"/>
    <mergeCell ref="V75:AA75"/>
    <mergeCell ref="AF75:AI75"/>
    <mergeCell ref="D76:E76"/>
    <mergeCell ref="V74:AA74"/>
    <mergeCell ref="W70:AA70"/>
    <mergeCell ref="V77:AA77"/>
    <mergeCell ref="V78:AA78"/>
    <mergeCell ref="AD78:AE80"/>
    <mergeCell ref="V76:AA76"/>
    <mergeCell ref="AF76:AI76"/>
    <mergeCell ref="AH129:AJ129"/>
    <mergeCell ref="V130:X130"/>
    <mergeCell ref="AB130:AC130"/>
    <mergeCell ref="AG130:AH130"/>
    <mergeCell ref="V43:X43"/>
    <mergeCell ref="AB41:AD42"/>
    <mergeCell ref="V82:X82"/>
    <mergeCell ref="V84:AB84"/>
    <mergeCell ref="AD82:AF82"/>
    <mergeCell ref="AG82:AJ82"/>
    <mergeCell ref="V85:Z85"/>
    <mergeCell ref="V86:Z86"/>
    <mergeCell ref="Y82:AB82"/>
    <mergeCell ref="AD84:AJ84"/>
    <mergeCell ref="AB46:AD46"/>
    <mergeCell ref="AE46:AG46"/>
    <mergeCell ref="Y41:AA42"/>
    <mergeCell ref="V41:X42"/>
    <mergeCell ref="Y43:AA43"/>
    <mergeCell ref="AB44:AD44"/>
    <mergeCell ref="AE44:AG44"/>
    <mergeCell ref="AH44:AJ44"/>
    <mergeCell ref="AE45:AG45"/>
    <mergeCell ref="Y71:AJ71"/>
    <mergeCell ref="V40:AJ40"/>
    <mergeCell ref="V56:AA56"/>
    <mergeCell ref="V53:AC53"/>
    <mergeCell ref="AE53:AJ53"/>
    <mergeCell ref="AF56:AI56"/>
    <mergeCell ref="AF54:AI54"/>
    <mergeCell ref="V55:AA55"/>
    <mergeCell ref="V44:X44"/>
    <mergeCell ref="V45:X45"/>
    <mergeCell ref="V46:X46"/>
    <mergeCell ref="Y46:AA46"/>
    <mergeCell ref="AB45:AD45"/>
    <mergeCell ref="Y47:AA47"/>
    <mergeCell ref="AE47:AG47"/>
    <mergeCell ref="AH43:AJ43"/>
    <mergeCell ref="Y44:AA44"/>
    <mergeCell ref="AE41:AG42"/>
    <mergeCell ref="AE43:AG43"/>
    <mergeCell ref="AB43:AD43"/>
    <mergeCell ref="V54:AA54"/>
    <mergeCell ref="AH41:AJ42"/>
    <mergeCell ref="V131:W132"/>
    <mergeCell ref="X131:X132"/>
    <mergeCell ref="W123:Z123"/>
    <mergeCell ref="Y131:Y132"/>
    <mergeCell ref="Z131:Z132"/>
    <mergeCell ref="W125:Z125"/>
    <mergeCell ref="W126:Z126"/>
    <mergeCell ref="V128:W128"/>
    <mergeCell ref="AB131:AB132"/>
    <mergeCell ref="AA131:AA132"/>
    <mergeCell ref="AF125:AF126"/>
    <mergeCell ref="AC128:AE128"/>
    <mergeCell ref="AF128:AG128"/>
    <mergeCell ref="AC131:AC132"/>
    <mergeCell ref="AD131:AD132"/>
    <mergeCell ref="AA125:AA126"/>
    <mergeCell ref="AE131:AE132"/>
    <mergeCell ref="AF131:AF132"/>
    <mergeCell ref="AG131:AG132"/>
    <mergeCell ref="AA129:AB129"/>
    <mergeCell ref="AC129:AE129"/>
    <mergeCell ref="AF129:AG129"/>
    <mergeCell ref="V96:AA96"/>
    <mergeCell ref="AD96:AH96"/>
    <mergeCell ref="V95:AB95"/>
    <mergeCell ref="AD95:AJ95"/>
    <mergeCell ref="V97:AA97"/>
    <mergeCell ref="AD97:AH97"/>
    <mergeCell ref="V98:AA98"/>
    <mergeCell ref="AD98:AH98"/>
    <mergeCell ref="V99:AA99"/>
    <mergeCell ref="AD99:AH99"/>
    <mergeCell ref="AF141:AF142"/>
    <mergeCell ref="V129:X129"/>
    <mergeCell ref="Y129:Y130"/>
    <mergeCell ref="Z129:Z130"/>
    <mergeCell ref="AJ131:AJ132"/>
    <mergeCell ref="AH128:AI128"/>
    <mergeCell ref="AH131:AH132"/>
    <mergeCell ref="AI131:AI132"/>
    <mergeCell ref="Y45:AA45"/>
    <mergeCell ref="AH45:AJ45"/>
    <mergeCell ref="AB47:AD47"/>
    <mergeCell ref="AH46:AJ46"/>
    <mergeCell ref="V87:Z87"/>
    <mergeCell ref="V88:Z88"/>
    <mergeCell ref="AD85:AJ85"/>
    <mergeCell ref="AD86:AJ86"/>
    <mergeCell ref="AD87:AJ87"/>
    <mergeCell ref="AD88:AJ88"/>
    <mergeCell ref="V47:X47"/>
    <mergeCell ref="AH47:AJ47"/>
    <mergeCell ref="V57:AA57"/>
    <mergeCell ref="AF57:AI57"/>
    <mergeCell ref="AF55:AI55"/>
    <mergeCell ref="V50:AJ51"/>
    <mergeCell ref="V92:AJ9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V27:W27"/>
    <mergeCell ref="AG35:AG36"/>
    <mergeCell ref="AF37:AG37"/>
    <mergeCell ref="AH37:AI37"/>
    <mergeCell ref="AH38:AI38"/>
    <mergeCell ref="W35:W36"/>
    <mergeCell ref="X35:X36"/>
    <mergeCell ref="AJ35:AJ36"/>
    <mergeCell ref="AH35:AH36"/>
    <mergeCell ref="AC35:AC36"/>
    <mergeCell ref="W37:X37"/>
    <mergeCell ref="AI35:AI36"/>
    <mergeCell ref="AB35:AB36"/>
    <mergeCell ref="Y35:Y36"/>
    <mergeCell ref="AA37:AB37"/>
    <mergeCell ref="AD37:AE37"/>
    <mergeCell ref="Y38:Z38"/>
    <mergeCell ref="AD38:AE38"/>
    <mergeCell ref="Y37:Z37"/>
    <mergeCell ref="Z35:Z36"/>
    <mergeCell ref="AA35:AA36"/>
    <mergeCell ref="AF35:AF36"/>
    <mergeCell ref="W38:X38"/>
    <mergeCell ref="L11:M11"/>
    <mergeCell ref="V18:W18"/>
    <mergeCell ref="X18:AA18"/>
    <mergeCell ref="N12:O12"/>
    <mergeCell ref="P14:Q14"/>
    <mergeCell ref="I37:O37"/>
    <mergeCell ref="I30:O30"/>
    <mergeCell ref="I31:O31"/>
    <mergeCell ref="I32:O32"/>
    <mergeCell ref="I28:Q28"/>
    <mergeCell ref="I36:Q36"/>
    <mergeCell ref="I29:O29"/>
    <mergeCell ref="L19:M19"/>
    <mergeCell ref="I19:J19"/>
    <mergeCell ref="I13:J13"/>
    <mergeCell ref="I14:J14"/>
    <mergeCell ref="I15:J15"/>
    <mergeCell ref="I21:J21"/>
    <mergeCell ref="O19:P19"/>
    <mergeCell ref="O20:P20"/>
    <mergeCell ref="O21:P21"/>
    <mergeCell ref="I24:J24"/>
    <mergeCell ref="W11:X11"/>
    <mergeCell ref="W32:X32"/>
    <mergeCell ref="AC10:AD10"/>
    <mergeCell ref="I20:J20"/>
    <mergeCell ref="I33:O33"/>
    <mergeCell ref="V17:AJ17"/>
    <mergeCell ref="W28:X28"/>
    <mergeCell ref="W29:X29"/>
    <mergeCell ref="N11:O11"/>
    <mergeCell ref="I11:J11"/>
    <mergeCell ref="P11:Q11"/>
    <mergeCell ref="AH32:AJ32"/>
    <mergeCell ref="W21:X21"/>
    <mergeCell ref="AG24:AI24"/>
    <mergeCell ref="AG25:AI25"/>
    <mergeCell ref="W24:X24"/>
    <mergeCell ref="Y33:Z33"/>
    <mergeCell ref="AF31:AJ31"/>
    <mergeCell ref="AF32:AG32"/>
    <mergeCell ref="AH33:AJ33"/>
    <mergeCell ref="AD33:AE33"/>
    <mergeCell ref="L12:M12"/>
    <mergeCell ref="L13:M13"/>
    <mergeCell ref="L14:M14"/>
    <mergeCell ref="AA12:AB12"/>
    <mergeCell ref="W12:X12"/>
    <mergeCell ref="Y31:AC31"/>
    <mergeCell ref="Y32:Z32"/>
    <mergeCell ref="AA32:AC32"/>
    <mergeCell ref="W31:X31"/>
    <mergeCell ref="X26:AA26"/>
    <mergeCell ref="V23:W23"/>
    <mergeCell ref="AA23:AB23"/>
    <mergeCell ref="V22:W22"/>
    <mergeCell ref="X22:AA22"/>
    <mergeCell ref="O6:Q6"/>
    <mergeCell ref="O7:Q7"/>
    <mergeCell ref="AA6:AB6"/>
    <mergeCell ref="Y6:Z6"/>
    <mergeCell ref="Y7:Z7"/>
    <mergeCell ref="Y8:Z8"/>
    <mergeCell ref="Y9:Z9"/>
    <mergeCell ref="Y10:Z10"/>
    <mergeCell ref="W6:X6"/>
    <mergeCell ref="W7:X7"/>
    <mergeCell ref="W8:X8"/>
    <mergeCell ref="I9:Q9"/>
    <mergeCell ref="N10:O10"/>
    <mergeCell ref="P10:Q10"/>
    <mergeCell ref="I10:J10"/>
    <mergeCell ref="W9:X9"/>
    <mergeCell ref="L10:M10"/>
    <mergeCell ref="W10:X10"/>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F6:G7"/>
    <mergeCell ref="I6:K7"/>
    <mergeCell ref="L6:N6"/>
    <mergeCell ref="L7:N7"/>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AC15:AD15"/>
    <mergeCell ref="C9:E9"/>
    <mergeCell ref="F9:G9"/>
    <mergeCell ref="E15:G15"/>
    <mergeCell ref="C15:D15"/>
    <mergeCell ref="F19:G19"/>
    <mergeCell ref="F20:G20"/>
    <mergeCell ref="F21:G21"/>
    <mergeCell ref="C18:E19"/>
    <mergeCell ref="C20:E20"/>
    <mergeCell ref="C21:E21"/>
    <mergeCell ref="C13:D14"/>
    <mergeCell ref="E13:G14"/>
    <mergeCell ref="C11:G11"/>
    <mergeCell ref="F18:G18"/>
    <mergeCell ref="E12:G12"/>
    <mergeCell ref="C12:D12"/>
    <mergeCell ref="C16:D16"/>
    <mergeCell ref="E16:G16"/>
    <mergeCell ref="P12:Q12"/>
    <mergeCell ref="P13:Q13"/>
    <mergeCell ref="L18:M18"/>
    <mergeCell ref="I18:J18"/>
    <mergeCell ref="O18:P18"/>
    <mergeCell ref="I12:J12"/>
    <mergeCell ref="I45:O45"/>
    <mergeCell ref="I43:O43"/>
    <mergeCell ref="I49:I50"/>
    <mergeCell ref="M50:O50"/>
    <mergeCell ref="I34:O34"/>
    <mergeCell ref="L15:M15"/>
    <mergeCell ref="N13:O13"/>
    <mergeCell ref="N15:O15"/>
    <mergeCell ref="P15:Q15"/>
    <mergeCell ref="L24:M24"/>
    <mergeCell ref="O24:P24"/>
    <mergeCell ref="C23:Q23"/>
    <mergeCell ref="L21:M21"/>
    <mergeCell ref="I16:Q16"/>
    <mergeCell ref="C24:E24"/>
    <mergeCell ref="F24:G24"/>
    <mergeCell ref="L20:M20"/>
    <mergeCell ref="N14:O14"/>
    <mergeCell ref="C45:F45"/>
    <mergeCell ref="C47:F47"/>
    <mergeCell ref="C48:F48"/>
    <mergeCell ref="C52:D52"/>
    <mergeCell ref="L63:M63"/>
    <mergeCell ref="N63:O63"/>
    <mergeCell ref="E52:G52"/>
    <mergeCell ref="C54:Q55"/>
    <mergeCell ref="C57:J57"/>
    <mergeCell ref="P50:Q50"/>
    <mergeCell ref="E50:G51"/>
    <mergeCell ref="D58:J58"/>
    <mergeCell ref="L59:M59"/>
    <mergeCell ref="N59:O59"/>
    <mergeCell ref="P59:Q59"/>
    <mergeCell ref="D60:E60"/>
    <mergeCell ref="D59:E59"/>
    <mergeCell ref="F59:G59"/>
    <mergeCell ref="J49:M49"/>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AF59:AI59"/>
    <mergeCell ref="V60:AA60"/>
    <mergeCell ref="V58:AA58"/>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4:J114"/>
    <mergeCell ref="E113:J113"/>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M82:N82"/>
    <mergeCell ref="O82:P82"/>
    <mergeCell ref="AN53:AP53"/>
    <mergeCell ref="V79:AA79"/>
    <mergeCell ref="V80:AA80"/>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D69:AJ69"/>
    <mergeCell ref="W65:AA65"/>
    <mergeCell ref="AF78:AJ78"/>
    <mergeCell ref="AF79:AJ79"/>
    <mergeCell ref="AF80:AJ80"/>
    <mergeCell ref="AD89:AJ89"/>
    <mergeCell ref="C145:Q145"/>
    <mergeCell ref="C142:Q143"/>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C136:I136"/>
    <mergeCell ref="C137:I137"/>
    <mergeCell ref="C138:I138"/>
    <mergeCell ref="C139:I139"/>
    <mergeCell ref="V107:X107"/>
    <mergeCell ref="V108:X108"/>
    <mergeCell ref="M136:O137"/>
    <mergeCell ref="P136:P137"/>
    <mergeCell ref="C133:J133"/>
    <mergeCell ref="C134:I134"/>
    <mergeCell ref="C135:I135"/>
    <mergeCell ref="E126:J126"/>
    <mergeCell ref="E127:J127"/>
    <mergeCell ref="E120:K120"/>
    <mergeCell ref="E118:J118"/>
    <mergeCell ref="E119:J119"/>
    <mergeCell ref="E121:J121"/>
    <mergeCell ref="E122:J122"/>
    <mergeCell ref="V113:X113"/>
    <mergeCell ref="V114:X114"/>
    <mergeCell ref="V115:W116"/>
    <mergeCell ref="X115:X116"/>
    <mergeCell ref="C130:Q131"/>
    <mergeCell ref="X128:AB128"/>
  </mergeCells>
  <phoneticPr fontId="9" type="noConversion"/>
  <conditionalFormatting sqref="V55:AA55">
    <cfRule type="cellIs" dxfId="1944" priority="273" stopIfTrue="1" operator="equal">
      <formula>"Armas naturales"</formula>
    </cfRule>
  </conditionalFormatting>
  <conditionalFormatting sqref="Y33:Z33 AF33:AG33">
    <cfRule type="cellIs" dxfId="1943" priority="277" stopIfTrue="1" operator="greaterThan">
      <formula>0</formula>
    </cfRule>
  </conditionalFormatting>
  <conditionalFormatting sqref="AE55 AE57 AE59 AE61">
    <cfRule type="cellIs" dxfId="1942" priority="278" stopIfTrue="1" operator="equal">
      <formula>0</formula>
    </cfRule>
  </conditionalFormatting>
  <conditionalFormatting sqref="AE56 AE58 AE60">
    <cfRule type="cellIs" dxfId="1941" priority="279" stopIfTrue="1" operator="equal">
      <formula>0</formula>
    </cfRule>
  </conditionalFormatting>
  <conditionalFormatting sqref="V56">
    <cfRule type="cellIs" dxfId="1940" priority="286" stopIfTrue="1" operator="equal">
      <formula>"Armas naturales"</formula>
    </cfRule>
  </conditionalFormatting>
  <conditionalFormatting sqref="V57">
    <cfRule type="cellIs" dxfId="1939" priority="287" stopIfTrue="1" operator="equal">
      <formula>"Armas naturales"</formula>
    </cfRule>
  </conditionalFormatting>
  <conditionalFormatting sqref="V58">
    <cfRule type="cellIs" dxfId="1938" priority="288" stopIfTrue="1" operator="equal">
      <formula>"Armas naturales"</formula>
    </cfRule>
  </conditionalFormatting>
  <conditionalFormatting sqref="V59">
    <cfRule type="cellIs" dxfId="1937" priority="289" stopIfTrue="1" operator="equal">
      <formula>"Armas naturales"</formula>
    </cfRule>
  </conditionalFormatting>
  <conditionalFormatting sqref="V60">
    <cfRule type="cellIs" dxfId="1936" priority="290" stopIfTrue="1" operator="equal">
      <formula>"Armas naturales"</formula>
    </cfRule>
  </conditionalFormatting>
  <conditionalFormatting sqref="E12">
    <cfRule type="expression" dxfId="1935" priority="252" stopIfTrue="1">
      <formula>NOT(#REF!="")</formula>
    </cfRule>
  </conditionalFormatting>
  <conditionalFormatting sqref="E15:G16">
    <cfRule type="expression" dxfId="1934" priority="4919">
      <formula>$C15=""</formula>
    </cfRule>
  </conditionalFormatting>
  <conditionalFormatting sqref="N49:Q49">
    <cfRule type="expression" dxfId="1933" priority="147">
      <formula>$I$51="Exceso de bonos de transformación"</formula>
    </cfRule>
  </conditionalFormatting>
  <conditionalFormatting sqref="E52:G52">
    <cfRule type="expression" dxfId="1932" priority="8726">
      <formula>AND($AN$14,Raza="Ebudan")</formula>
    </cfRule>
  </conditionalFormatting>
  <conditionalFormatting sqref="C52:D52">
    <cfRule type="expression" dxfId="1931" priority="8728">
      <formula>AND($AN$14,Raza="Ebudan")</formula>
    </cfRule>
  </conditionalFormatting>
  <conditionalFormatting sqref="AF55:AJ61">
    <cfRule type="expression" dxfId="1930" priority="8735">
      <formula>$AJ55&gt;$AE55</formula>
    </cfRule>
  </conditionalFormatting>
  <conditionalFormatting sqref="Q21">
    <cfRule type="cellIs" dxfId="1929" priority="74" operator="greaterThan">
      <formula>160</formula>
    </cfRule>
  </conditionalFormatting>
  <conditionalFormatting sqref="AC63 AG63">
    <cfRule type="expression" dxfId="1928" priority="9590">
      <formula>$AB$63="Sí"</formula>
    </cfRule>
  </conditionalFormatting>
  <conditionalFormatting sqref="H24:H26 K24:K26 N24:N26 Q24:Q26">
    <cfRule type="expression" dxfId="1927" priority="69">
      <formula>NOT(ISNUMBER(H24))</formula>
    </cfRule>
  </conditionalFormatting>
  <conditionalFormatting sqref="I51:Q51">
    <cfRule type="containsText" dxfId="1926" priority="64" operator="containsText" text="Sin poderes raciales">
      <formula>NOT(ISERROR(SEARCH("Sin poderes raciales",I51)))</formula>
    </cfRule>
  </conditionalFormatting>
  <conditionalFormatting sqref="AD105">
    <cfRule type="expression" dxfId="1925" priority="56">
      <formula>$AF$102&lt;&gt;"Sí"</formula>
    </cfRule>
  </conditionalFormatting>
  <conditionalFormatting sqref="AF113:AG113">
    <cfRule type="expression" dxfId="1924" priority="30">
      <formula>OR(AC113="Armas naturales",AA113="A 2 manos",AA113="Proy. 2M")</formula>
    </cfRule>
  </conditionalFormatting>
  <conditionalFormatting sqref="AF129:AG129">
    <cfRule type="expression" dxfId="1923" priority="29">
      <formula>OR(AC129="Armas naturales",AA129="A 2 manos",AA129="Proy. 2M")</formula>
    </cfRule>
  </conditionalFormatting>
  <conditionalFormatting sqref="AF145:AG145">
    <cfRule type="expression" dxfId="1922" priority="28">
      <formula>OR(AC145="Armas naturales",AA145="A 2 manos",AA145="Proy. 2M")</formula>
    </cfRule>
  </conditionalFormatting>
  <conditionalFormatting sqref="V75:AA75">
    <cfRule type="expression" dxfId="1921" priority="22">
      <formula>$AB$75&lt;$AC$75</formula>
    </cfRule>
  </conditionalFormatting>
  <conditionalFormatting sqref="V76:AA76">
    <cfRule type="expression" dxfId="1920" priority="21">
      <formula>$AB$76&lt;$AC$76</formula>
    </cfRule>
  </conditionalFormatting>
  <conditionalFormatting sqref="V77:AA77">
    <cfRule type="expression" dxfId="1919" priority="20">
      <formula>$AB$77&lt;$AC$77</formula>
    </cfRule>
  </conditionalFormatting>
  <conditionalFormatting sqref="V78:AA78">
    <cfRule type="expression" dxfId="1918" priority="19">
      <formula>$AB$78&lt;$AC$78</formula>
    </cfRule>
  </conditionalFormatting>
  <conditionalFormatting sqref="AC21:AE21 AC25:AE25 AC29:AE29">
    <cfRule type="cellIs" dxfId="1917" priority="10280" stopIfTrue="1" operator="greaterThan">
      <formula>$K$90</formula>
    </cfRule>
  </conditionalFormatting>
  <conditionalFormatting sqref="E15:G15">
    <cfRule type="expression" dxfId="1916" priority="18">
      <formula>$C$15&lt;&gt;""</formula>
    </cfRule>
  </conditionalFormatting>
  <conditionalFormatting sqref="AF144:AG144 AF128:AG128 AF112:AG112">
    <cfRule type="expression" dxfId="1915" priority="10452">
      <formula>COUNTIF($AN100:$AN104,$AF112)=0</formula>
    </cfRule>
  </conditionalFormatting>
  <conditionalFormatting sqref="AD123:AE123">
    <cfRule type="expression" dxfId="1914" priority="7">
      <formula>AA123&lt;&gt;""</formula>
    </cfRule>
  </conditionalFormatting>
  <conditionalFormatting sqref="AD122:AE122">
    <cfRule type="expression" dxfId="1913" priority="8">
      <formula>AA122&lt;&gt;""</formula>
    </cfRule>
    <cfRule type="expression" dxfId="1912" priority="9">
      <formula>OR(AD122="-",AD122="FIL",AD122="PEN",AD122="CON")</formula>
    </cfRule>
  </conditionalFormatting>
  <conditionalFormatting sqref="AD139:AE139">
    <cfRule type="expression" dxfId="1911" priority="4">
      <formula>AA139&lt;&gt;""</formula>
    </cfRule>
  </conditionalFormatting>
  <conditionalFormatting sqref="AD138:AE138">
    <cfRule type="expression" dxfId="1910" priority="5">
      <formula>AA138&lt;&gt;""</formula>
    </cfRule>
    <cfRule type="expression" dxfId="1909" priority="6">
      <formula>OR(AD138="-",AD138="FIL",AD138="PEN",AD138="CON")</formula>
    </cfRule>
  </conditionalFormatting>
  <conditionalFormatting sqref="AD155:AE155">
    <cfRule type="expression" dxfId="1908" priority="1">
      <formula>AA155&lt;&gt;""</formula>
    </cfRule>
  </conditionalFormatting>
  <conditionalFormatting sqref="AD154:AE154">
    <cfRule type="expression" dxfId="1907" priority="2">
      <formula>AA154&lt;&gt;""</formula>
    </cfRule>
    <cfRule type="expression" dxfId="1906" priority="3">
      <formula>OR(AD154="-",AD154="FIL",AD154="PEN",AD154="CON")</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02 AJ112 AJ128 AJ144"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04 C135:C139" xr:uid="{F01A6477-E3E7-40CB-9BA3-FEB945AEA135}">
      <formula1>Lista_Armas</formula1>
    </dataValidation>
    <dataValidation type="list" operator="equal" allowBlank="1" showErrorMessage="1" sqref="AB119 AB151 AG135 AG119 AB135 AG151" xr:uid="{15D542F5-669A-42A2-9358-9C1E360DBEA9}">
      <formula1>IF(AA119="Calidad:",Calidades,"")</formula1>
    </dataValidation>
    <dataValidation type="list" allowBlank="1" showInputMessage="1" showErrorMessage="1" sqref="X126:Z126 X142:Z142 X158:Z158" xr:uid="{EA88ABFF-56E2-4B65-A9A1-3C3B291118B5}">
      <formula1>IF(Y113&gt;5,Tabla_CualidadesGéminis,"")</formula1>
    </dataValidation>
    <dataValidation type="list" allowBlank="1" showInputMessage="1" showErrorMessage="1" sqref="W126 W142 W158" xr:uid="{04E08FDD-E1FA-4A8B-92F4-E592CF2F764D}">
      <formula1>IF(X115&gt;5,Tabla_CualidadesGéminis,"")</formula1>
    </dataValidation>
    <dataValidation type="list" allowBlank="1" showInputMessage="1" showErrorMessage="1" sqref="X125:Z125 X141:Z141 X157:Z157" xr:uid="{30C1E518-3E49-453F-90D2-E6331D4E19AD}">
      <formula1>IF(Y113&gt;4,Tabla_CualidadesGéminis,"")</formula1>
    </dataValidation>
    <dataValidation type="list" allowBlank="1" showInputMessage="1" showErrorMessage="1" sqref="W125 W141 W157" xr:uid="{3491E7AB-9D3D-466F-931D-546495631D3E}">
      <formula1>IF(X115&gt;4,Tabla_CualidadesGéminis,"")</formula1>
    </dataValidation>
    <dataValidation type="list" allowBlank="1" showInputMessage="1" showErrorMessage="1" sqref="X124:Z124 X140:Z140 X156:Z156" xr:uid="{8949B7E6-0F42-444F-90C3-7D928CDA5D0C}">
      <formula1>IF(Y113&gt;3,Tabla_CualidadesGéminis,"")</formula1>
    </dataValidation>
    <dataValidation type="list" allowBlank="1" showInputMessage="1" showErrorMessage="1" sqref="W124 W140 W156" xr:uid="{74F937A5-8FE2-4C82-885E-5915977081E9}">
      <formula1>IF(X115&gt;3,Tabla_CualidadesGéminis,"")</formula1>
    </dataValidation>
    <dataValidation type="list" allowBlank="1" showInputMessage="1" showErrorMessage="1" sqref="X123:Z123 X139:Z139 X155:Z155" xr:uid="{76A035A3-7D3D-4A31-A66A-132CB5B61CC5}">
      <formula1>IF(Y113&gt;2,Tabla_CualidadesGéminis,"")</formula1>
    </dataValidation>
    <dataValidation type="list" allowBlank="1" showInputMessage="1" showErrorMessage="1" sqref="W123 W139 W155" xr:uid="{CE9570CF-662F-4F3B-8AE2-AF99C90EA00B}">
      <formula1>IF(X115&gt;2,Tabla_CualidadesGéminis,"")</formula1>
    </dataValidation>
    <dataValidation type="list" allowBlank="1" showInputMessage="1" showErrorMessage="1" sqref="X122:Z122 X138:Z138 X154:Z154" xr:uid="{356B1C93-A086-42C1-A3DF-FB18C313B065}">
      <formula1>IF(Y113&gt;1,Tabla_CualidadesGéminis,"")</formula1>
    </dataValidation>
    <dataValidation type="list" allowBlank="1" showInputMessage="1" showErrorMessage="1" sqref="W122 W138 W154" xr:uid="{0023DD46-3158-4F7C-9967-41B5724513D5}">
      <formula1>IF(X115&gt;1,Tabla_CualidadesGéminis,"")</formula1>
    </dataValidation>
    <dataValidation type="list" allowBlank="1" showInputMessage="1" showErrorMessage="1" sqref="X121:Z121 X137:Z137 X153:Z153" xr:uid="{71DA956C-F1CA-45F9-AE2B-C328C0431A9C}">
      <formula1>IF(Y113&gt;0,Tabla_CualidadesGéminis,"")</formula1>
    </dataValidation>
    <dataValidation type="list" allowBlank="1" showInputMessage="1" showErrorMessage="1" sqref="W121 W137 W153" xr:uid="{BB95DFA5-1356-4FD4-9D7C-43206008DE9A}">
      <formula1>IF(X115&gt;0,Tabla_CualidadesGéminis,"")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13:AG113 AF129:AG129 AF145:AG145" xr:uid="{23A8D238-F139-45E2-8D46-2857A0A2F2C2}">
      <formula1>IF(OR(AC113="Armas naturales",AA113="A 2 manos",AA113="Proy.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29:AB129 AA113:AB113 AA145:AB145" xr:uid="{C21BC6E8-1C1B-4ABF-9BDC-AB82F10D0B00}">
      <formula1>$AM$3:$AM$6</formula1>
    </dataValidation>
    <dataValidation type="list" allowBlank="1" showInputMessage="1" showErrorMessage="1" sqref="AC113:AE113 AC145:AE145 AH113:AJ113 AC129:AE129 AH129:AJ129 AH145:AJ145" xr:uid="{A7747B5B-312F-4323-8345-E1230E73BD0A}">
      <formula1>INDIRECT(VLOOKUP(AA113,$AM$3:$AN$6,2,0))</formula1>
    </dataValidation>
    <dataValidation type="list" allowBlank="1" showInputMessage="1" showErrorMessage="1" sqref="AB105"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79:AJ80" xr:uid="{74A71F94-F0AC-4FC8-AE0B-F6D6AA10F34C}">
      <formula1>Pod_Psi_Innatos_Disponibles</formula1>
    </dataValidation>
    <dataValidation type="list" allowBlank="1" showInputMessage="1" showErrorMessage="1" sqref="V75:AA80" xr:uid="{BFFE9D63-FD25-4F7D-B1BF-D8B1A4B0EB10}">
      <formula1>Poderes_Psi_Disponibles</formula1>
    </dataValidation>
    <dataValidation type="list" allowBlank="1" showInputMessage="1" showErrorMessage="1" sqref="AJ75:AJ76 AD108:AF108 AJ107:AJ108" xr:uid="{923B0D8B-D63C-4E7E-A5D8-17A118AC1BE4}">
      <formula1>#REF!</formula1>
    </dataValidation>
    <dataValidation type="list" allowBlank="1" showInputMessage="1" showErrorMessage="1" sqref="AF144:AG144 AF128:AG128 AF112:AG112" xr:uid="{C3EFF984-A30A-422D-90D3-9D1DD1CECC0A}">
      <formula1>INDIRECT(AN99)</formula1>
    </dataValidation>
    <dataValidation type="list" allowBlank="1" showInputMessage="1" showErrorMessage="1" sqref="V108:X108" xr:uid="{A15A6F96-2138-49F5-A860-F77F21001FC3}">
      <formula1>$U$118:$U$121</formula1>
    </dataValidation>
    <dataValidation type="list" allowBlank="1" showInputMessage="1" showErrorMessage="1" sqref="Z108" xr:uid="{A0C7B74F-01C9-40C2-9FC6-5F4197D94871}">
      <formula1>$AC$107:$AC$109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802"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5">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257FF108-3D0C-42F1-B212-93C8CE87A270}">
          <x14:formula1>
            <xm:f>Tablas!$AH$593:$AH$600</xm:f>
          </x14:formula1>
          <xm:sqref>V114:X114 V130:X130 V146:X146</xm:sqref>
        </x14:dataValidation>
        <x14:dataValidation type="list" allowBlank="1" showInputMessage="1" showErrorMessage="1" xr:uid="{BC9F1390-48FB-470D-89F5-BD42FC187ED0}">
          <x14:formula1>
            <xm:f>Tablas!$T$600:$T$612</xm:f>
          </x14:formula1>
          <xm:sqref>V102:X105</xm:sqref>
        </x14:dataValidation>
        <x14:dataValidation type="list" allowBlank="1" showInputMessage="1" showErrorMessage="1" xr:uid="{48A36293-B085-4594-94E3-E18BA6135A72}">
          <x14:formula1>
            <xm:f>Tablas!$T$623:$T$628</xm:f>
          </x14:formula1>
          <xm:sqref>AH102:AJ104</xm:sqref>
        </x14:dataValidation>
        <x14:dataValidation type="list" allowBlank="1" showInputMessage="1" showErrorMessage="1" xr:uid="{EF1081BA-2906-4F13-849D-854594774824}">
          <x14:formula1>
            <xm:f>Tablas!$N$1340:$N$1343</xm:f>
          </x14:formula1>
          <xm:sqref>AG82:AJ82</xm:sqref>
        </x14:dataValidation>
        <x14:dataValidation type="list" allowBlank="1" showInputMessage="1" showErrorMessage="1" xr:uid="{0053199F-69C8-403D-8017-134F14C095F6}">
          <x14:formula1>
            <xm:f>Tablas!$K$1340:$K$1341</xm:f>
          </x14:formula1>
          <xm:sqref>Y82:AB82</xm:sqref>
        </x14:dataValidation>
        <x14:dataValidation type="list" allowBlank="1" showInputMessage="1" showErrorMessage="1" xr:uid="{7099EE8C-9003-4B88-AE97-13BD73F399C7}">
          <x14:formula1>
            <xm:f>IF($AA$122="Armas naturales Crit. 1:",Tablas!$Q$49:$Q$52,INDIRECT(VLOOKUP(AC93,Tabla_Municiones,2,0)))</xm:f>
          </x14:formula1>
          <xm:sqref>AD122:AE122</xm:sqref>
        </x14:dataValidation>
        <x14:dataValidation type="list" allowBlank="1" showInputMessage="1" showErrorMessage="1" xr:uid="{6F307A49-43FF-4C95-88B8-3C50A02B0AC1}">
          <x14:formula1>
            <xm:f>IF($AA$123="Armas naturales Crit. 2:",Tablas!$Q$49:$Q$52,INDIRECT(VLOOKUP(AC93,Tabla_Municiones,2,0)))</xm:f>
          </x14:formula1>
          <xm:sqref>AD123:AE123</xm:sqref>
        </x14:dataValidation>
        <x14:dataValidation type="list" allowBlank="1" showInputMessage="1" showErrorMessage="1" xr:uid="{40C696BB-915D-462C-8E10-A8377F52AE25}">
          <x14:formula1>
            <xm:f>IF($AA$138="Armas naturales Crit. 1:",Tablas!$Q$49:$Q$52,INDIRECT(VLOOKUP(AC109,Tabla_Municiones,2,0)))</xm:f>
          </x14:formula1>
          <xm:sqref>AD138:AE138</xm:sqref>
        </x14:dataValidation>
        <x14:dataValidation type="list" allowBlank="1" showInputMessage="1" showErrorMessage="1" xr:uid="{20DBA8DB-C374-401E-BA28-BE2D844452A7}">
          <x14:formula1>
            <xm:f>IF($AA$139="Armas naturales Crit. 2:",Tablas!$Q$49:$Q$52,INDIRECT(VLOOKUP(AC109,Tabla_Municiones,2,0)))</xm:f>
          </x14:formula1>
          <xm:sqref>AD139:AE139</xm:sqref>
        </x14:dataValidation>
        <x14:dataValidation type="list" allowBlank="1" showInputMessage="1" showErrorMessage="1" xr:uid="{E295B8BE-A757-45B4-ABD8-D1801BE3C837}">
          <x14:formula1>
            <xm:f>IF($AA$154="Armas naturales Crit. 1:",Tablas!$Q$49:$Q$52,INDIRECT(VLOOKUP(AC125,Tabla_Municiones,2,0)))</xm:f>
          </x14:formula1>
          <xm:sqref>AD154:AE154</xm:sqref>
        </x14:dataValidation>
        <x14:dataValidation type="list" allowBlank="1" showInputMessage="1" showErrorMessage="1" xr:uid="{59228299-3541-43A9-822A-3159834437D3}">
          <x14:formula1>
            <xm:f>IF($AA$155="Armas naturales Crit. 2:",Tablas!$Q$49:$Q$52,INDIRECT(VLOOKUP(AC125,Tabla_Municiones,2,0)))</xm:f>
          </x14:formula1>
          <xm:sqref>AD155:AE155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341"/>
  <sheetViews>
    <sheetView topLeftCell="O967" zoomScaleNormal="100" workbookViewId="0">
      <selection activeCell="Z982" sqref="Z982"/>
    </sheetView>
  </sheetViews>
  <sheetFormatPr baseColWidth="10" defaultColWidth="9.140625" defaultRowHeight="12.75" customHeight="1"/>
  <cols>
    <col min="1" max="1" width="4.5703125" style="219" customWidth="1"/>
    <col min="2" max="2" width="2.7109375" customWidth="1"/>
    <col min="3" max="3" width="33" customWidth="1"/>
    <col min="4" max="4" width="14.5703125" customWidth="1"/>
    <col min="5" max="6" width="7.7109375" customWidth="1"/>
    <col min="7" max="7" width="10.140625" customWidth="1"/>
    <col min="8" max="8" width="7.7109375" style="510" customWidth="1"/>
    <col min="9" max="9" width="13.140625" customWidth="1"/>
    <col min="10" max="10" width="7.7109375" customWidth="1"/>
    <col min="11" max="11" width="12.5703125" customWidth="1"/>
    <col min="12" max="12" width="7.7109375" customWidth="1"/>
    <col min="13" max="13" width="7.28515625" customWidth="1"/>
    <col min="14" max="14" width="22.42578125" style="510" customWidth="1"/>
    <col min="15" max="24" width="7.7109375" customWidth="1"/>
    <col min="25" max="25" width="26.7109375" style="510" customWidth="1"/>
    <col min="26" max="26" width="14" style="510" customWidth="1"/>
    <col min="27" max="27" width="12.28515625" style="510" customWidth="1"/>
    <col min="28" max="28" width="23.5703125" style="510" customWidth="1"/>
    <col min="29" max="29" width="9.140625" style="510" customWidth="1"/>
    <col min="30" max="30" width="30.85546875" style="510" customWidth="1"/>
    <col min="31" max="31" width="7.7109375" style="510" customWidth="1"/>
    <col min="32" max="32" width="25.28515625" style="510" customWidth="1"/>
    <col min="33" max="33" width="7.7109375" style="510" customWidth="1"/>
    <col min="34" max="34" width="11.5703125" style="510" customWidth="1"/>
    <col min="35" max="35" width="10.140625" style="510" customWidth="1"/>
    <col min="36" max="39" width="7.7109375" style="510" customWidth="1"/>
    <col min="40" max="40" width="27.5703125" style="510" customWidth="1"/>
    <col min="41" max="41" width="7.7109375" style="510"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52" width="7.7109375" customWidth="1"/>
    <col min="53" max="53" width="9.7109375" customWidth="1"/>
    <col min="54" max="54" width="10.42578125" customWidth="1"/>
    <col min="55"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19">
        <v>1</v>
      </c>
      <c r="B1" s="645">
        <v>2</v>
      </c>
      <c r="C1" s="645">
        <v>3</v>
      </c>
      <c r="D1" s="645">
        <v>4</v>
      </c>
      <c r="E1" s="645">
        <v>5</v>
      </c>
      <c r="F1" s="645">
        <v>6</v>
      </c>
      <c r="G1" s="645">
        <v>7</v>
      </c>
      <c r="H1" s="645">
        <v>8</v>
      </c>
      <c r="I1" s="645">
        <v>9</v>
      </c>
      <c r="J1" s="645">
        <v>10</v>
      </c>
      <c r="K1" s="645">
        <v>11</v>
      </c>
      <c r="L1" s="645">
        <v>12</v>
      </c>
      <c r="M1" s="645">
        <v>13</v>
      </c>
      <c r="N1" s="645">
        <v>14</v>
      </c>
      <c r="O1" s="645">
        <v>15</v>
      </c>
      <c r="P1" s="645">
        <v>16</v>
      </c>
      <c r="Q1" s="645">
        <v>17</v>
      </c>
      <c r="R1" s="645">
        <v>18</v>
      </c>
      <c r="S1" s="645">
        <v>19</v>
      </c>
      <c r="T1" s="645">
        <v>20</v>
      </c>
      <c r="U1" s="645">
        <v>21</v>
      </c>
      <c r="V1" s="645">
        <v>22</v>
      </c>
      <c r="W1" s="645">
        <v>23</v>
      </c>
      <c r="X1" s="645">
        <v>24</v>
      </c>
      <c r="Y1" s="645">
        <v>25</v>
      </c>
      <c r="Z1" s="645">
        <v>26</v>
      </c>
      <c r="AA1" s="645">
        <v>27</v>
      </c>
      <c r="AB1" s="645">
        <v>28</v>
      </c>
      <c r="AC1" s="645">
        <v>29</v>
      </c>
      <c r="AD1" s="645">
        <v>30</v>
      </c>
      <c r="AE1" s="645">
        <v>31</v>
      </c>
      <c r="AF1" s="645">
        <v>32</v>
      </c>
      <c r="AG1" s="645">
        <v>33</v>
      </c>
      <c r="AH1" s="645">
        <v>34</v>
      </c>
      <c r="AI1" s="645">
        <v>35</v>
      </c>
      <c r="AJ1" s="645">
        <v>36</v>
      </c>
      <c r="AK1" s="645">
        <v>37</v>
      </c>
      <c r="AL1" s="645">
        <v>38</v>
      </c>
      <c r="AM1" s="645">
        <v>39</v>
      </c>
      <c r="AN1" s="645">
        <v>40</v>
      </c>
      <c r="AO1" s="645">
        <v>41</v>
      </c>
      <c r="AP1" s="645">
        <v>42</v>
      </c>
      <c r="AQ1" s="645">
        <v>43</v>
      </c>
      <c r="AR1" s="645">
        <v>44</v>
      </c>
      <c r="AS1" s="645">
        <v>45</v>
      </c>
      <c r="AT1" s="645">
        <v>46</v>
      </c>
      <c r="AU1" s="645">
        <v>47</v>
      </c>
      <c r="AV1" s="645">
        <v>48</v>
      </c>
      <c r="AW1" s="645">
        <v>49</v>
      </c>
      <c r="AX1" s="645">
        <v>50</v>
      </c>
      <c r="AY1" s="645">
        <v>51</v>
      </c>
      <c r="AZ1" s="645">
        <v>52</v>
      </c>
      <c r="BA1" s="645">
        <v>53</v>
      </c>
      <c r="BB1" s="645">
        <v>54</v>
      </c>
      <c r="BC1" s="645">
        <v>55</v>
      </c>
      <c r="BD1" s="645">
        <v>56</v>
      </c>
      <c r="BE1" s="645">
        <v>57</v>
      </c>
      <c r="BF1" s="645">
        <v>58</v>
      </c>
      <c r="BG1" s="645">
        <v>59</v>
      </c>
      <c r="BH1" s="645">
        <v>60</v>
      </c>
      <c r="BI1" s="645">
        <v>61</v>
      </c>
      <c r="BJ1" s="645">
        <v>62</v>
      </c>
      <c r="BK1" s="645">
        <v>63</v>
      </c>
      <c r="BL1" s="645">
        <v>64</v>
      </c>
      <c r="BM1" s="645">
        <v>65</v>
      </c>
      <c r="BN1" s="645">
        <v>66</v>
      </c>
      <c r="BO1" s="645">
        <v>67</v>
      </c>
      <c r="BP1" s="645">
        <v>68</v>
      </c>
      <c r="BQ1" s="645">
        <v>69</v>
      </c>
      <c r="BR1" s="645">
        <v>70</v>
      </c>
      <c r="BS1" s="645">
        <v>71</v>
      </c>
      <c r="BT1" s="645">
        <v>72</v>
      </c>
      <c r="BU1" s="645">
        <v>73</v>
      </c>
      <c r="BV1" s="645">
        <v>74</v>
      </c>
      <c r="BW1" s="645">
        <v>75</v>
      </c>
      <c r="BX1" s="645">
        <v>76</v>
      </c>
      <c r="BY1" s="645">
        <v>77</v>
      </c>
      <c r="BZ1" s="645">
        <v>78</v>
      </c>
      <c r="CA1" s="645">
        <v>79</v>
      </c>
      <c r="CB1" s="645">
        <v>80</v>
      </c>
      <c r="CC1" s="645">
        <v>81</v>
      </c>
      <c r="CD1" s="645">
        <v>82</v>
      </c>
      <c r="CE1" s="645">
        <v>83</v>
      </c>
      <c r="CF1" s="645">
        <v>84</v>
      </c>
      <c r="CG1" s="645">
        <v>85</v>
      </c>
      <c r="CH1" s="645">
        <v>86</v>
      </c>
      <c r="CI1" s="645">
        <v>87</v>
      </c>
      <c r="CJ1" s="645">
        <v>88</v>
      </c>
      <c r="CK1" s="645">
        <v>89</v>
      </c>
      <c r="CL1" s="645">
        <v>90</v>
      </c>
      <c r="CM1" s="645">
        <v>91</v>
      </c>
      <c r="CN1" s="645">
        <v>92</v>
      </c>
      <c r="CO1" s="645">
        <v>93</v>
      </c>
      <c r="CP1" s="645">
        <v>94</v>
      </c>
      <c r="CQ1" s="645">
        <v>95</v>
      </c>
      <c r="CR1" s="645">
        <v>96</v>
      </c>
      <c r="CS1" s="645">
        <v>97</v>
      </c>
      <c r="CT1" s="645">
        <v>98</v>
      </c>
      <c r="CU1" s="645">
        <v>99</v>
      </c>
      <c r="CV1" s="645">
        <v>100</v>
      </c>
      <c r="CW1" s="645">
        <v>101</v>
      </c>
      <c r="CX1" s="645">
        <v>102</v>
      </c>
      <c r="CY1" s="645">
        <v>103</v>
      </c>
      <c r="CZ1" s="645">
        <v>104</v>
      </c>
      <c r="DA1" s="645">
        <v>105</v>
      </c>
      <c r="DB1" s="645">
        <v>106</v>
      </c>
      <c r="DC1" s="645">
        <v>107</v>
      </c>
      <c r="DD1" s="645">
        <v>108</v>
      </c>
      <c r="DE1" s="645">
        <v>109</v>
      </c>
      <c r="DF1" s="645">
        <v>110</v>
      </c>
    </row>
    <row r="2" spans="1:110" ht="12.75" customHeight="1">
      <c r="A2" s="219">
        <v>2</v>
      </c>
      <c r="B2" s="7145"/>
      <c r="C2" s="7146" t="s">
        <v>6887</v>
      </c>
      <c r="D2" s="7146"/>
      <c r="E2" s="7146"/>
      <c r="F2" s="7146"/>
      <c r="G2" s="7146"/>
      <c r="H2" s="7146"/>
      <c r="I2" s="7146"/>
      <c r="J2" s="7146"/>
      <c r="K2" s="7146"/>
      <c r="L2" s="7146"/>
      <c r="M2" s="7146"/>
      <c r="N2" s="7146"/>
      <c r="O2" s="7146"/>
      <c r="P2" s="7146"/>
      <c r="Q2" s="7146"/>
      <c r="R2" s="7146"/>
      <c r="S2" s="7146"/>
      <c r="T2" s="7146"/>
      <c r="U2" s="7146"/>
      <c r="V2" s="7146"/>
      <c r="W2" s="7146"/>
      <c r="X2" s="7146"/>
      <c r="Y2" s="7146"/>
      <c r="Z2" s="7146"/>
      <c r="AA2" s="7146"/>
      <c r="AB2" s="7146"/>
      <c r="AC2" s="7146"/>
      <c r="AD2" s="7146"/>
      <c r="AE2" s="7146"/>
      <c r="AF2" s="7146"/>
      <c r="AG2" s="7146"/>
      <c r="AH2" s="7146"/>
      <c r="AI2" s="7146"/>
      <c r="AJ2" s="1299"/>
      <c r="AK2" s="1299"/>
      <c r="AL2" s="1299"/>
      <c r="AM2" s="1299"/>
      <c r="AN2" s="1299"/>
      <c r="AO2" s="1299"/>
      <c r="AP2" s="1300"/>
      <c r="AQ2" s="1300"/>
      <c r="AR2" s="1300"/>
      <c r="AS2" s="1300"/>
      <c r="AT2" s="1300"/>
      <c r="AU2" s="1300"/>
      <c r="AV2" s="1300"/>
      <c r="AW2" s="1300"/>
      <c r="AX2" s="1300"/>
      <c r="AY2" s="1300"/>
      <c r="AZ2" s="1300"/>
      <c r="BA2" s="1300"/>
      <c r="BB2" s="1300"/>
      <c r="BC2" s="1300"/>
      <c r="BD2" s="1300"/>
      <c r="BE2" s="1300"/>
      <c r="BF2" s="1300"/>
      <c r="BG2" s="1300"/>
      <c r="BH2" s="1300"/>
      <c r="BI2" s="1300"/>
      <c r="BJ2" s="1300"/>
      <c r="BK2" s="1300"/>
      <c r="BL2" s="1300"/>
      <c r="BM2" s="1300"/>
      <c r="BN2" s="1300"/>
      <c r="BO2" s="1300"/>
      <c r="BP2" s="1300"/>
      <c r="BQ2" s="1300"/>
      <c r="BR2" s="1300"/>
      <c r="BS2" s="1300"/>
      <c r="BT2" s="1300"/>
      <c r="BU2" s="1300"/>
      <c r="BV2" s="1300"/>
      <c r="BW2" s="1300"/>
      <c r="BX2" s="1300"/>
      <c r="BY2" s="1300"/>
      <c r="BZ2" s="1300"/>
      <c r="CA2" s="1300"/>
      <c r="CB2" s="1300"/>
      <c r="CC2" s="1300"/>
      <c r="CD2" s="1300"/>
      <c r="CE2" s="1300"/>
      <c r="CF2" s="1300"/>
      <c r="CG2" s="1300"/>
      <c r="CH2" s="1300"/>
      <c r="CI2" s="1300"/>
      <c r="CJ2" s="1300"/>
      <c r="CK2" s="1300"/>
      <c r="CL2" s="1300"/>
      <c r="CM2" s="1300"/>
      <c r="CN2" s="1300"/>
      <c r="CO2" s="1300"/>
      <c r="CP2" s="1300"/>
      <c r="CQ2" s="1300"/>
      <c r="CR2" s="1300"/>
      <c r="CS2" s="1300"/>
      <c r="CT2" s="1300"/>
      <c r="CU2" s="1300"/>
      <c r="CV2" s="1300"/>
      <c r="CW2" s="1300"/>
      <c r="CX2" s="1300"/>
      <c r="CY2" s="1300"/>
      <c r="CZ2" s="1300"/>
      <c r="DA2" s="1300"/>
      <c r="DB2" s="1300"/>
      <c r="DC2" s="1300"/>
      <c r="DD2" s="1300"/>
      <c r="DE2" s="1300"/>
      <c r="DF2" s="1300"/>
    </row>
    <row r="3" spans="1:110" ht="12.75" customHeight="1">
      <c r="A3" s="219">
        <v>3</v>
      </c>
      <c r="B3" s="7145"/>
      <c r="C3" s="7146"/>
      <c r="D3" s="7146"/>
      <c r="E3" s="7146"/>
      <c r="F3" s="7146"/>
      <c r="G3" s="7146"/>
      <c r="H3" s="7146"/>
      <c r="I3" s="7146"/>
      <c r="J3" s="7146"/>
      <c r="K3" s="7146"/>
      <c r="L3" s="7146"/>
      <c r="M3" s="7146"/>
      <c r="N3" s="7146"/>
      <c r="O3" s="7146"/>
      <c r="P3" s="7146"/>
      <c r="Q3" s="7146"/>
      <c r="R3" s="7146"/>
      <c r="S3" s="7146"/>
      <c r="T3" s="7146"/>
      <c r="U3" s="7146"/>
      <c r="V3" s="7146"/>
      <c r="W3" s="7146"/>
      <c r="X3" s="7146"/>
      <c r="Y3" s="7146"/>
      <c r="Z3" s="7146"/>
      <c r="AA3" s="7146"/>
      <c r="AB3" s="7146"/>
      <c r="AC3" s="7146"/>
      <c r="AD3" s="7146"/>
      <c r="AE3" s="7146"/>
      <c r="AF3" s="7146"/>
      <c r="AG3" s="7146"/>
      <c r="AH3" s="7146"/>
      <c r="AI3" s="7146"/>
      <c r="AJ3" s="1299"/>
      <c r="AK3" s="1299"/>
      <c r="AL3" s="1299"/>
      <c r="AM3" s="1299"/>
      <c r="AN3" s="1299"/>
      <c r="AO3" s="1299"/>
      <c r="AP3" s="1300"/>
      <c r="AQ3" s="1300"/>
      <c r="AR3" s="1300"/>
      <c r="AS3" s="1300"/>
      <c r="AT3" s="1300"/>
      <c r="AU3" s="1300"/>
      <c r="AV3" s="1300"/>
      <c r="AW3" s="1300"/>
      <c r="AX3" s="1300"/>
      <c r="AY3" s="1300"/>
      <c r="AZ3" s="1300"/>
      <c r="BA3" s="1300"/>
      <c r="BB3" s="1300"/>
      <c r="BC3" s="1300"/>
      <c r="BD3" s="1300"/>
      <c r="BE3" s="1300"/>
      <c r="BF3" s="1300"/>
      <c r="BG3" s="1300"/>
      <c r="BH3" s="1300"/>
      <c r="BI3" s="1300"/>
      <c r="BJ3" s="1300"/>
      <c r="BK3" s="1300"/>
      <c r="BL3" s="1300"/>
      <c r="BM3" s="1300"/>
      <c r="BN3" s="1300"/>
      <c r="BO3" s="1300"/>
      <c r="BP3" s="1300"/>
      <c r="BQ3" s="1300"/>
      <c r="BR3" s="1300"/>
      <c r="BS3" s="1300"/>
      <c r="BT3" s="1300"/>
      <c r="BU3" s="1300"/>
      <c r="BV3" s="1300"/>
      <c r="BW3" s="1300"/>
      <c r="BX3" s="1300"/>
      <c r="BY3" s="1300"/>
      <c r="BZ3" s="1300"/>
      <c r="CA3" s="1300"/>
      <c r="CB3" s="1300"/>
      <c r="CC3" s="1300"/>
      <c r="CD3" s="1300"/>
      <c r="CE3" s="1300"/>
      <c r="CF3" s="1300"/>
      <c r="CG3" s="1300"/>
      <c r="CH3" s="1300"/>
      <c r="CI3" s="1300"/>
      <c r="CJ3" s="1300"/>
      <c r="CK3" s="1300"/>
      <c r="CL3" s="1300"/>
      <c r="CM3" s="1300"/>
      <c r="CN3" s="1300"/>
      <c r="CO3" s="1300"/>
      <c r="CP3" s="1300"/>
      <c r="CQ3" s="1300"/>
      <c r="CR3" s="1300"/>
      <c r="CS3" s="1300"/>
      <c r="CT3" s="1300"/>
      <c r="CU3" s="1300"/>
      <c r="CV3" s="1300"/>
      <c r="CW3" s="1300"/>
      <c r="CX3" s="1300"/>
      <c r="CY3" s="1300"/>
      <c r="CZ3" s="1300"/>
      <c r="DA3" s="1300"/>
      <c r="DB3" s="1300"/>
      <c r="DC3" s="1300"/>
      <c r="DD3" s="1300"/>
      <c r="DE3" s="1300"/>
      <c r="DF3" s="1300"/>
    </row>
    <row r="4" spans="1:110" ht="12.75" customHeight="1">
      <c r="A4" s="219">
        <v>4</v>
      </c>
      <c r="B4" s="7145"/>
      <c r="C4" s="7146"/>
      <c r="D4" s="7146"/>
      <c r="E4" s="7146"/>
      <c r="F4" s="7146"/>
      <c r="G4" s="7146"/>
      <c r="H4" s="7146"/>
      <c r="I4" s="7146"/>
      <c r="J4" s="7146"/>
      <c r="K4" s="7146"/>
      <c r="L4" s="7146"/>
      <c r="M4" s="7146"/>
      <c r="N4" s="7146"/>
      <c r="O4" s="7146"/>
      <c r="P4" s="7146"/>
      <c r="Q4" s="7146"/>
      <c r="R4" s="7146"/>
      <c r="S4" s="7146"/>
      <c r="T4" s="7146"/>
      <c r="U4" s="7146"/>
      <c r="V4" s="7146"/>
      <c r="W4" s="7146"/>
      <c r="X4" s="7146"/>
      <c r="Y4" s="7146"/>
      <c r="Z4" s="7146"/>
      <c r="AA4" s="7146"/>
      <c r="AB4" s="7146"/>
      <c r="AC4" s="7146"/>
      <c r="AD4" s="7146"/>
      <c r="AE4" s="7146"/>
      <c r="AF4" s="7146"/>
      <c r="AG4" s="7146"/>
      <c r="AH4" s="7146"/>
      <c r="AI4" s="7146"/>
      <c r="AJ4" s="1299"/>
      <c r="AK4" s="1299"/>
      <c r="AL4" s="1299"/>
      <c r="AM4" s="1299"/>
      <c r="AN4" s="1299"/>
      <c r="AO4" s="1299"/>
      <c r="AP4" s="1300"/>
      <c r="AQ4" s="1300"/>
      <c r="AR4" s="1300"/>
      <c r="AS4" s="1300"/>
      <c r="AT4" s="1300"/>
      <c r="AU4" s="1300"/>
      <c r="AV4" s="1300"/>
      <c r="AW4" s="1300"/>
      <c r="AX4" s="1300"/>
      <c r="AY4" s="1300"/>
      <c r="AZ4" s="1300"/>
      <c r="BA4" s="1300"/>
      <c r="BB4" s="1300"/>
      <c r="BC4" s="1300"/>
      <c r="BD4" s="1300"/>
      <c r="BE4" s="1300"/>
      <c r="BF4" s="1300"/>
      <c r="BG4" s="1300"/>
      <c r="BH4" s="1300"/>
      <c r="BI4" s="1300"/>
      <c r="BJ4" s="1300"/>
      <c r="BK4" s="1300"/>
      <c r="BL4" s="1300"/>
      <c r="BM4" s="1300"/>
      <c r="BN4" s="1300"/>
      <c r="BO4" s="1300"/>
      <c r="BP4" s="1300"/>
      <c r="BQ4" s="1300"/>
      <c r="BR4" s="1300"/>
      <c r="BS4" s="1300"/>
      <c r="BT4" s="1300"/>
      <c r="BU4" s="1300"/>
      <c r="BV4" s="1300"/>
      <c r="BW4" s="1300"/>
      <c r="BX4" s="1300"/>
      <c r="BY4" s="1300"/>
      <c r="BZ4" s="1300"/>
      <c r="CA4" s="1300"/>
      <c r="CB4" s="1300"/>
      <c r="CC4" s="1300"/>
      <c r="CD4" s="1300"/>
      <c r="CE4" s="1300"/>
      <c r="CF4" s="1300"/>
      <c r="CG4" s="1300"/>
      <c r="CH4" s="1300"/>
      <c r="CI4" s="1300"/>
      <c r="CJ4" s="1300"/>
      <c r="CK4" s="1300"/>
      <c r="CL4" s="1300"/>
      <c r="CM4" s="1300"/>
      <c r="CN4" s="1300"/>
      <c r="CO4" s="1300"/>
      <c r="CP4" s="1300"/>
      <c r="CQ4" s="1300"/>
      <c r="CR4" s="1300"/>
      <c r="CS4" s="1300"/>
      <c r="CT4" s="1300"/>
      <c r="CU4" s="1300"/>
      <c r="CV4" s="1300"/>
      <c r="CW4" s="1300"/>
      <c r="CX4" s="1300"/>
      <c r="CY4" s="1300"/>
      <c r="CZ4" s="1300"/>
      <c r="DA4" s="1300"/>
      <c r="DB4" s="1300"/>
      <c r="DC4" s="1300"/>
      <c r="DD4" s="1300"/>
      <c r="DE4" s="1300"/>
      <c r="DF4" s="1300"/>
    </row>
    <row r="5" spans="1:110" ht="13.5" customHeight="1" thickBot="1">
      <c r="A5" s="219">
        <v>5</v>
      </c>
      <c r="B5" s="7145"/>
      <c r="H5"/>
      <c r="I5" s="510"/>
      <c r="N5"/>
      <c r="O5" s="510"/>
    </row>
    <row r="6" spans="1:110" ht="12.75" customHeight="1" thickBot="1">
      <c r="A6" s="219">
        <v>6</v>
      </c>
      <c r="B6" s="7145"/>
      <c r="C6" s="4372" t="s">
        <v>1938</v>
      </c>
      <c r="E6" s="4372" t="s">
        <v>1164</v>
      </c>
      <c r="G6" s="4372" t="s">
        <v>679</v>
      </c>
      <c r="H6" s="4372"/>
      <c r="I6" s="510"/>
      <c r="J6" s="8143" t="s">
        <v>8216</v>
      </c>
      <c r="K6" s="8143"/>
      <c r="L6" s="8143"/>
      <c r="M6" s="8143"/>
      <c r="N6" s="8143"/>
      <c r="O6" s="8143"/>
      <c r="P6" s="8143"/>
      <c r="Q6" s="8143"/>
      <c r="S6" s="8119" t="s">
        <v>6173</v>
      </c>
      <c r="T6" s="8120"/>
      <c r="U6" s="8120"/>
      <c r="V6" s="8120"/>
      <c r="W6" s="8120"/>
      <c r="X6" s="8121"/>
      <c r="Y6" s="1096"/>
      <c r="Z6" s="1096"/>
    </row>
    <row r="7" spans="1:110" ht="12.75" customHeight="1" thickBot="1">
      <c r="A7" s="219">
        <v>7</v>
      </c>
      <c r="B7" s="7145"/>
      <c r="C7" s="4372"/>
      <c r="E7" s="4372"/>
      <c r="G7" s="4372"/>
      <c r="H7" s="4372"/>
      <c r="I7" s="510"/>
      <c r="J7" s="8143" t="s">
        <v>8217</v>
      </c>
      <c r="K7" s="8143"/>
      <c r="L7" s="8143"/>
      <c r="M7" s="8143"/>
      <c r="N7" s="8143"/>
      <c r="O7" s="8143"/>
      <c r="P7" s="8143"/>
      <c r="Q7" s="8143"/>
      <c r="S7" s="8144"/>
      <c r="T7" s="8145"/>
      <c r="U7" s="8145"/>
      <c r="V7" s="8145"/>
      <c r="W7" s="8145"/>
      <c r="X7" s="8146"/>
      <c r="Y7" s="1096"/>
      <c r="Z7" s="1096"/>
    </row>
    <row r="8" spans="1:110" ht="12.75" customHeight="1" thickBot="1">
      <c r="A8" s="219">
        <v>8</v>
      </c>
      <c r="B8" s="7145"/>
      <c r="C8" s="207" t="s">
        <v>2422</v>
      </c>
      <c r="E8" s="216" t="s">
        <v>1165</v>
      </c>
      <c r="G8" s="180" t="s">
        <v>680</v>
      </c>
      <c r="H8" s="36"/>
      <c r="I8" s="510"/>
      <c r="J8" s="8140" t="s">
        <v>9612</v>
      </c>
      <c r="K8" s="8140"/>
      <c r="L8" s="8140"/>
      <c r="M8" s="8140"/>
      <c r="N8" s="8140"/>
      <c r="O8" s="8140"/>
      <c r="P8" s="8140"/>
      <c r="Q8" s="8140"/>
      <c r="S8" s="629"/>
      <c r="T8" s="171" t="s">
        <v>6183</v>
      </c>
      <c r="U8" s="184" t="s">
        <v>6182</v>
      </c>
      <c r="V8" s="184" t="s">
        <v>6177</v>
      </c>
      <c r="W8" s="184" t="s">
        <v>6178</v>
      </c>
      <c r="X8" s="630" t="s">
        <v>602</v>
      </c>
    </row>
    <row r="9" spans="1:110" ht="12.75" customHeight="1" thickBot="1">
      <c r="A9" s="219">
        <v>9</v>
      </c>
      <c r="B9" s="7145"/>
      <c r="C9" s="208" t="s">
        <v>1241</v>
      </c>
      <c r="E9" s="217" t="s">
        <v>1166</v>
      </c>
      <c r="G9" s="181" t="s">
        <v>681</v>
      </c>
      <c r="H9" s="67"/>
      <c r="I9" s="510"/>
      <c r="J9" s="8140"/>
      <c r="K9" s="8140"/>
      <c r="L9" s="8140"/>
      <c r="M9" s="8140"/>
      <c r="N9" s="8140"/>
      <c r="O9" s="8140"/>
      <c r="P9" s="8140"/>
      <c r="Q9" s="8140"/>
      <c r="S9" s="569" t="s">
        <v>6174</v>
      </c>
      <c r="T9" s="84">
        <f>VLOOKUP($S9&amp;$X$15,$U$14:$W$22,2,FALSE)</f>
        <v>0</v>
      </c>
      <c r="U9" s="84">
        <f>VLOOKUP($S9&amp;$X$15,$U$14:$W$22,3,FALSE)</f>
        <v>0</v>
      </c>
      <c r="V9" s="84">
        <f>1/4</f>
        <v>0.25</v>
      </c>
      <c r="W9" s="84"/>
      <c r="X9" s="444">
        <v>0</v>
      </c>
    </row>
    <row r="10" spans="1:110" ht="12.75" customHeight="1" thickBot="1">
      <c r="A10" s="219">
        <v>10</v>
      </c>
      <c r="B10" s="7145"/>
      <c r="H10"/>
      <c r="I10" s="510"/>
      <c r="N10"/>
      <c r="O10" s="510"/>
      <c r="S10" s="569" t="s">
        <v>1582</v>
      </c>
      <c r="T10" s="84">
        <f>VLOOKUP($S10&amp;$X$15,$U$14:$W$22,2,FALSE)</f>
        <v>10</v>
      </c>
      <c r="U10" s="84">
        <f>VLOOKUP($S10&amp;$X$15,$U$14:$W$22,3,FALSE)</f>
        <v>0.1</v>
      </c>
      <c r="V10" s="84">
        <v>0.5</v>
      </c>
      <c r="W10" s="84"/>
      <c r="X10" s="444">
        <v>1</v>
      </c>
    </row>
    <row r="11" spans="1:110" ht="12.75" customHeight="1" thickBot="1">
      <c r="A11" s="219">
        <v>11</v>
      </c>
      <c r="B11" s="7145"/>
      <c r="C11" s="8044" t="s">
        <v>1835</v>
      </c>
      <c r="D11" s="8044"/>
      <c r="E11" s="8044"/>
      <c r="G11" s="7858" t="s">
        <v>1857</v>
      </c>
      <c r="H11" s="7858"/>
      <c r="I11" s="7858"/>
      <c r="J11" s="7858"/>
      <c r="L11" s="7862" t="s">
        <v>1005</v>
      </c>
      <c r="M11" s="7863"/>
      <c r="N11" s="7864"/>
      <c r="O11" s="510"/>
      <c r="P11" s="6485" t="s">
        <v>1063</v>
      </c>
      <c r="Q11" s="6485"/>
      <c r="S11" s="569" t="s">
        <v>6175</v>
      </c>
      <c r="T11" s="84">
        <f>VLOOKUP($S11&amp;$X$15,$U$14:$W$22,2,FALSE)</f>
        <v>20</v>
      </c>
      <c r="U11" s="84">
        <f>VLOOKUP($S11&amp;$X$15,$U$14:$W$22,3,FALSE)</f>
        <v>0.25</v>
      </c>
      <c r="V11" s="84">
        <v>1</v>
      </c>
      <c r="W11" s="84"/>
      <c r="X11" s="444">
        <v>1</v>
      </c>
    </row>
    <row r="12" spans="1:110" ht="12.75" customHeight="1" thickBot="1">
      <c r="A12" s="219">
        <v>12</v>
      </c>
      <c r="B12" s="7145"/>
      <c r="C12" s="8044"/>
      <c r="D12" s="8044"/>
      <c r="E12" s="8044"/>
      <c r="G12" s="7858"/>
      <c r="H12" s="7858"/>
      <c r="I12" s="7858"/>
      <c r="J12" s="7858"/>
      <c r="L12" s="7865"/>
      <c r="M12" s="6485"/>
      <c r="N12" s="7866"/>
      <c r="O12" s="510"/>
      <c r="P12" s="6485"/>
      <c r="Q12" s="6485"/>
      <c r="S12" s="690" t="s">
        <v>6644</v>
      </c>
      <c r="T12" s="446" t="s">
        <v>1315</v>
      </c>
      <c r="U12" s="446" t="s">
        <v>1315</v>
      </c>
      <c r="V12" s="446" t="s">
        <v>1315</v>
      </c>
      <c r="W12" s="446" t="s">
        <v>1315</v>
      </c>
      <c r="X12" s="631" t="s">
        <v>1315</v>
      </c>
    </row>
    <row r="13" spans="1:110" ht="12.75" customHeight="1" thickBot="1">
      <c r="A13" s="219">
        <v>13</v>
      </c>
      <c r="B13" s="7145"/>
      <c r="C13" s="550" t="s">
        <v>1836</v>
      </c>
      <c r="D13" s="171" t="s">
        <v>1227</v>
      </c>
      <c r="E13" s="172" t="s">
        <v>1349</v>
      </c>
      <c r="G13" s="170" t="s">
        <v>1243</v>
      </c>
      <c r="H13" s="171" t="s">
        <v>1858</v>
      </c>
      <c r="I13" s="171" t="s">
        <v>1859</v>
      </c>
      <c r="J13" s="172" t="s">
        <v>1860</v>
      </c>
      <c r="L13" s="1274" t="s">
        <v>1243</v>
      </c>
      <c r="M13" s="1275" t="s">
        <v>1006</v>
      </c>
      <c r="N13" s="1276" t="s">
        <v>8203</v>
      </c>
      <c r="O13" s="510"/>
      <c r="P13" s="196" t="s">
        <v>1064</v>
      </c>
      <c r="Q13" s="198" t="s">
        <v>1065</v>
      </c>
      <c r="S13" s="635"/>
      <c r="T13" s="638" t="s">
        <v>1902</v>
      </c>
      <c r="U13" s="693" t="s">
        <v>6181</v>
      </c>
      <c r="V13" s="639" t="s">
        <v>6176</v>
      </c>
      <c r="W13" s="640" t="s">
        <v>2643</v>
      </c>
      <c r="X13" s="632" t="s">
        <v>6180</v>
      </c>
    </row>
    <row r="14" spans="1:110" ht="12.75" customHeight="1">
      <c r="A14" s="219">
        <v>14</v>
      </c>
      <c r="B14" s="7145"/>
      <c r="C14" s="551">
        <v>1</v>
      </c>
      <c r="D14" s="189">
        <v>-30</v>
      </c>
      <c r="E14" s="190">
        <v>1</v>
      </c>
      <c r="G14" s="191">
        <v>1</v>
      </c>
      <c r="H14" s="84">
        <v>0</v>
      </c>
      <c r="I14" s="84">
        <v>0.5</v>
      </c>
      <c r="J14" s="50">
        <v>1</v>
      </c>
      <c r="L14" s="1273">
        <v>1</v>
      </c>
      <c r="M14" s="1221">
        <v>-30</v>
      </c>
      <c r="N14" s="1222"/>
      <c r="O14" s="510"/>
      <c r="P14" s="69">
        <v>1</v>
      </c>
      <c r="Q14" s="224">
        <v>1</v>
      </c>
      <c r="S14" s="635" t="s">
        <v>6174</v>
      </c>
      <c r="T14" s="895" t="s">
        <v>1918</v>
      </c>
      <c r="U14" s="694" t="str">
        <f>S14&amp;T14</f>
        <v>BajoMístico</v>
      </c>
      <c r="V14" s="84">
        <v>40</v>
      </c>
      <c r="W14" s="641">
        <f>0.3</f>
        <v>0.3</v>
      </c>
      <c r="X14" s="633" t="str">
        <f>IF(PDs!O7="","",VLOOKUP(PDs!O7,$D$202:$CP$228,88,FALSE))</f>
        <v/>
      </c>
    </row>
    <row r="15" spans="1:110" ht="12.75" customHeight="1" thickBot="1">
      <c r="A15" s="219">
        <v>15</v>
      </c>
      <c r="B15" s="7145"/>
      <c r="C15" s="552">
        <v>2</v>
      </c>
      <c r="D15" s="84">
        <v>-20</v>
      </c>
      <c r="E15" s="50">
        <v>2</v>
      </c>
      <c r="G15" s="191">
        <v>2</v>
      </c>
      <c r="H15" s="84">
        <v>0</v>
      </c>
      <c r="I15" s="84">
        <v>5</v>
      </c>
      <c r="J15" s="50">
        <v>10</v>
      </c>
      <c r="L15" s="569">
        <v>2</v>
      </c>
      <c r="M15" s="84">
        <v>-30</v>
      </c>
      <c r="N15" s="444"/>
      <c r="O15" s="510"/>
      <c r="P15" s="69">
        <v>2</v>
      </c>
      <c r="Q15" s="224">
        <v>1</v>
      </c>
      <c r="S15" s="636" t="s">
        <v>6174</v>
      </c>
      <c r="T15" s="895" t="s">
        <v>6179</v>
      </c>
      <c r="U15" s="694" t="str">
        <f t="shared" ref="U15:U22" si="0">S15&amp;T15</f>
        <v>BajoMixto</v>
      </c>
      <c r="V15" s="84">
        <v>20</v>
      </c>
      <c r="W15" s="641">
        <f>0.2</f>
        <v>0.2</v>
      </c>
      <c r="X15" s="634" t="str">
        <f>IF(X14="MísticoSin","Místico",IF(ISNUMBER(SEARCH("Místico",X14)),"Mixto","Otros"))</f>
        <v>Otros</v>
      </c>
    </row>
    <row r="16" spans="1:110" ht="12.75" customHeight="1">
      <c r="A16" s="219">
        <v>16</v>
      </c>
      <c r="B16" s="7145"/>
      <c r="C16" s="552">
        <v>3</v>
      </c>
      <c r="D16" s="84">
        <v>-10</v>
      </c>
      <c r="E16" s="50">
        <v>3</v>
      </c>
      <c r="G16" s="191">
        <v>3</v>
      </c>
      <c r="H16" s="84">
        <v>0</v>
      </c>
      <c r="I16" s="84">
        <v>10</v>
      </c>
      <c r="J16" s="50">
        <v>20</v>
      </c>
      <c r="L16" s="569">
        <v>3</v>
      </c>
      <c r="M16" s="84">
        <v>-30</v>
      </c>
      <c r="N16" s="444"/>
      <c r="O16" s="510"/>
      <c r="P16" s="69">
        <v>3</v>
      </c>
      <c r="Q16" s="224">
        <v>1</v>
      </c>
      <c r="S16" s="636" t="s">
        <v>6174</v>
      </c>
      <c r="T16" s="895" t="s">
        <v>5983</v>
      </c>
      <c r="U16" s="694" t="str">
        <f t="shared" si="0"/>
        <v>BajoOtros</v>
      </c>
      <c r="V16" s="84">
        <v>0</v>
      </c>
      <c r="W16" s="641">
        <v>0</v>
      </c>
    </row>
    <row r="17" spans="1:40" ht="12.75" customHeight="1">
      <c r="A17" s="219">
        <v>17</v>
      </c>
      <c r="B17" s="7145"/>
      <c r="C17" s="552">
        <v>4</v>
      </c>
      <c r="D17" s="84">
        <v>-5</v>
      </c>
      <c r="E17" s="50">
        <v>4</v>
      </c>
      <c r="G17" s="191">
        <v>4</v>
      </c>
      <c r="H17" s="84">
        <v>0</v>
      </c>
      <c r="I17" s="84">
        <v>15</v>
      </c>
      <c r="J17" s="50">
        <v>40</v>
      </c>
      <c r="L17" s="569">
        <v>4</v>
      </c>
      <c r="M17" s="84">
        <v>-10</v>
      </c>
      <c r="N17" s="444"/>
      <c r="O17" s="510"/>
      <c r="P17" s="69">
        <v>4</v>
      </c>
      <c r="Q17" s="224">
        <v>1</v>
      </c>
      <c r="S17" s="635" t="s">
        <v>1582</v>
      </c>
      <c r="T17" s="896" t="s">
        <v>1918</v>
      </c>
      <c r="U17" s="695" t="str">
        <f t="shared" si="0"/>
        <v>MedioMístico</v>
      </c>
      <c r="V17" s="643">
        <v>50</v>
      </c>
      <c r="W17" s="644">
        <v>0.5</v>
      </c>
    </row>
    <row r="18" spans="1:40" ht="12.75" customHeight="1" thickBot="1">
      <c r="A18" s="219">
        <v>18</v>
      </c>
      <c r="B18" s="7145"/>
      <c r="C18" s="552">
        <v>5</v>
      </c>
      <c r="D18" s="84">
        <v>0</v>
      </c>
      <c r="E18" s="50">
        <v>5</v>
      </c>
      <c r="G18" s="191">
        <v>5</v>
      </c>
      <c r="H18" s="84">
        <v>0</v>
      </c>
      <c r="I18" s="84">
        <v>25</v>
      </c>
      <c r="J18" s="50">
        <v>60</v>
      </c>
      <c r="L18" s="569">
        <v>5</v>
      </c>
      <c r="M18" s="84">
        <v>0</v>
      </c>
      <c r="N18" s="444"/>
      <c r="O18" s="510"/>
      <c r="P18" s="69">
        <v>5</v>
      </c>
      <c r="Q18" s="224">
        <v>1</v>
      </c>
      <c r="S18" s="636" t="s">
        <v>1582</v>
      </c>
      <c r="T18" s="895" t="s">
        <v>6179</v>
      </c>
      <c r="U18" s="694" t="str">
        <f t="shared" si="0"/>
        <v>MedioMixto</v>
      </c>
      <c r="V18" s="84">
        <v>40</v>
      </c>
      <c r="W18" s="641">
        <v>0.4</v>
      </c>
    </row>
    <row r="19" spans="1:40" ht="12.75" customHeight="1">
      <c r="A19" s="219">
        <v>19</v>
      </c>
      <c r="B19" s="7145"/>
      <c r="C19" s="553">
        <v>6</v>
      </c>
      <c r="D19" s="84">
        <v>5</v>
      </c>
      <c r="E19" s="50">
        <v>6</v>
      </c>
      <c r="G19" s="85">
        <v>6</v>
      </c>
      <c r="H19" s="84">
        <v>0</v>
      </c>
      <c r="I19" s="84">
        <v>40</v>
      </c>
      <c r="J19" s="50">
        <v>120</v>
      </c>
      <c r="L19" s="569">
        <v>6</v>
      </c>
      <c r="M19" s="84">
        <v>0</v>
      </c>
      <c r="N19" s="444"/>
      <c r="O19" s="510"/>
      <c r="P19" s="69">
        <v>6</v>
      </c>
      <c r="Q19" s="224">
        <v>1</v>
      </c>
      <c r="S19" s="637" t="s">
        <v>1582</v>
      </c>
      <c r="T19" s="897" t="s">
        <v>5983</v>
      </c>
      <c r="U19" s="696" t="str">
        <f t="shared" si="0"/>
        <v>MedioOtros</v>
      </c>
      <c r="V19" s="642">
        <v>10</v>
      </c>
      <c r="W19" s="642">
        <v>0.1</v>
      </c>
      <c r="X19" s="8134" t="s">
        <v>6727</v>
      </c>
    </row>
    <row r="20" spans="1:40" ht="12.75" customHeight="1">
      <c r="A20" s="219">
        <v>20</v>
      </c>
      <c r="B20" s="7145"/>
      <c r="C20" s="553">
        <v>7</v>
      </c>
      <c r="D20" s="84">
        <v>5</v>
      </c>
      <c r="E20" s="50">
        <v>7</v>
      </c>
      <c r="G20" s="85">
        <v>7</v>
      </c>
      <c r="H20" s="84">
        <v>0</v>
      </c>
      <c r="I20" s="84">
        <v>60</v>
      </c>
      <c r="J20" s="50">
        <v>180</v>
      </c>
      <c r="L20" s="569">
        <v>7</v>
      </c>
      <c r="M20" s="84">
        <v>10</v>
      </c>
      <c r="N20" s="444"/>
      <c r="O20" s="510"/>
      <c r="P20" s="69">
        <v>7</v>
      </c>
      <c r="Q20" s="224">
        <v>1</v>
      </c>
      <c r="S20" s="636" t="s">
        <v>6175</v>
      </c>
      <c r="T20" s="895" t="s">
        <v>1918</v>
      </c>
      <c r="U20" s="694" t="str">
        <f t="shared" si="0"/>
        <v>AltoMístico</v>
      </c>
      <c r="V20" s="84">
        <v>60</v>
      </c>
      <c r="W20" s="84">
        <v>0.8</v>
      </c>
      <c r="X20" s="8135"/>
    </row>
    <row r="21" spans="1:40" ht="12.75" customHeight="1">
      <c r="A21" s="219">
        <v>21</v>
      </c>
      <c r="B21" s="7145"/>
      <c r="C21" s="553">
        <v>8</v>
      </c>
      <c r="D21" s="84">
        <v>10</v>
      </c>
      <c r="E21" s="50">
        <v>8</v>
      </c>
      <c r="G21" s="85">
        <v>8</v>
      </c>
      <c r="H21" s="84">
        <v>1</v>
      </c>
      <c r="I21" s="84">
        <v>80</v>
      </c>
      <c r="J21" s="50">
        <v>260</v>
      </c>
      <c r="L21" s="569">
        <v>8</v>
      </c>
      <c r="M21" s="84">
        <v>20</v>
      </c>
      <c r="N21" s="444"/>
      <c r="O21" s="510"/>
      <c r="P21" s="69">
        <v>8</v>
      </c>
      <c r="Q21" s="224">
        <v>1</v>
      </c>
      <c r="S21" s="636" t="s">
        <v>6175</v>
      </c>
      <c r="T21" s="895" t="s">
        <v>6179</v>
      </c>
      <c r="U21" s="694" t="str">
        <f t="shared" si="0"/>
        <v>AltoMixto</v>
      </c>
      <c r="V21" s="84">
        <v>50</v>
      </c>
      <c r="W21" s="84">
        <v>0.6</v>
      </c>
      <c r="X21" s="8141" t="b">
        <f>AND(Nivel_Sobrenatural&lt;&gt;Tablas!S12,General!$X$12="")</f>
        <v>0</v>
      </c>
    </row>
    <row r="22" spans="1:40" ht="12.75" customHeight="1" thickBot="1">
      <c r="A22" s="219">
        <v>22</v>
      </c>
      <c r="B22" s="7145"/>
      <c r="C22" s="553">
        <v>9</v>
      </c>
      <c r="D22" s="84">
        <v>10</v>
      </c>
      <c r="E22" s="50">
        <v>10</v>
      </c>
      <c r="G22" s="85">
        <v>9</v>
      </c>
      <c r="H22" s="84">
        <v>1</v>
      </c>
      <c r="I22" s="84">
        <v>100</v>
      </c>
      <c r="J22" s="50">
        <v>350</v>
      </c>
      <c r="L22" s="569">
        <v>9</v>
      </c>
      <c r="M22" s="84">
        <v>30</v>
      </c>
      <c r="N22" s="444"/>
      <c r="O22" s="510"/>
      <c r="P22" s="69">
        <v>9</v>
      </c>
      <c r="Q22" s="224">
        <v>1</v>
      </c>
      <c r="S22" s="637" t="s">
        <v>6175</v>
      </c>
      <c r="T22" s="897" t="s">
        <v>5983</v>
      </c>
      <c r="U22" s="696" t="str">
        <f t="shared" si="0"/>
        <v>AltoOtros</v>
      </c>
      <c r="V22" s="642">
        <v>20</v>
      </c>
      <c r="W22" s="642">
        <v>0.25</v>
      </c>
      <c r="X22" s="8142"/>
    </row>
    <row r="23" spans="1:40" ht="12.75" customHeight="1" thickBot="1">
      <c r="A23" s="219">
        <v>23</v>
      </c>
      <c r="B23" s="7145"/>
      <c r="C23" s="552">
        <v>10</v>
      </c>
      <c r="D23" s="84">
        <v>15</v>
      </c>
      <c r="E23" s="50">
        <v>15</v>
      </c>
      <c r="G23" s="191">
        <v>10</v>
      </c>
      <c r="H23" s="84">
        <v>2</v>
      </c>
      <c r="I23" s="84">
        <v>150</v>
      </c>
      <c r="J23" s="50">
        <v>420</v>
      </c>
      <c r="L23" s="569">
        <v>10</v>
      </c>
      <c r="M23" s="84">
        <v>50</v>
      </c>
      <c r="N23" s="444">
        <v>0</v>
      </c>
      <c r="O23" s="510"/>
      <c r="P23" s="69">
        <v>10</v>
      </c>
      <c r="Q23" s="224">
        <v>2</v>
      </c>
      <c r="S23" s="510"/>
      <c r="AM23" s="8174" t="s">
        <v>10491</v>
      </c>
      <c r="AN23" s="8174"/>
    </row>
    <row r="24" spans="1:40" ht="12.75" customHeight="1">
      <c r="A24" s="219">
        <v>24</v>
      </c>
      <c r="B24" s="7145"/>
      <c r="C24" s="553">
        <v>11</v>
      </c>
      <c r="D24" s="84">
        <v>20</v>
      </c>
      <c r="E24" s="50">
        <v>20</v>
      </c>
      <c r="G24" s="85">
        <v>11</v>
      </c>
      <c r="H24" s="84">
        <v>3</v>
      </c>
      <c r="I24" s="84">
        <v>200</v>
      </c>
      <c r="J24" s="50">
        <v>600</v>
      </c>
      <c r="L24" s="569">
        <v>11</v>
      </c>
      <c r="M24" s="84">
        <v>100</v>
      </c>
      <c r="N24" s="444">
        <v>5</v>
      </c>
      <c r="O24" s="510"/>
      <c r="P24" s="69">
        <v>11</v>
      </c>
      <c r="Q24" s="224">
        <v>2</v>
      </c>
      <c r="T24" s="8136" t="s">
        <v>6746</v>
      </c>
      <c r="U24" s="8137"/>
      <c r="W24" s="7862" t="s">
        <v>1003</v>
      </c>
      <c r="X24" s="7863"/>
      <c r="Y24" s="7864"/>
      <c r="AA24" s="8165" t="s">
        <v>1924</v>
      </c>
      <c r="AB24" s="8166"/>
      <c r="AC24" s="8167"/>
      <c r="AE24" s="8165" t="s">
        <v>1927</v>
      </c>
      <c r="AF24" s="8166"/>
      <c r="AG24" s="8167"/>
      <c r="AI24" s="8119" t="s">
        <v>1334</v>
      </c>
      <c r="AJ24" s="8121"/>
      <c r="AM24" s="8174"/>
      <c r="AN24" s="8174"/>
    </row>
    <row r="25" spans="1:40" ht="12.75" customHeight="1" thickBot="1">
      <c r="A25" s="219">
        <v>25</v>
      </c>
      <c r="B25" s="7145"/>
      <c r="C25" s="553">
        <v>12</v>
      </c>
      <c r="D25" s="84">
        <v>20</v>
      </c>
      <c r="E25" s="50">
        <v>30</v>
      </c>
      <c r="G25" s="85">
        <v>12</v>
      </c>
      <c r="H25" s="84">
        <v>3</v>
      </c>
      <c r="I25" s="84">
        <v>350</v>
      </c>
      <c r="J25" s="50">
        <v>1000</v>
      </c>
      <c r="L25" s="569">
        <v>12</v>
      </c>
      <c r="M25" s="84">
        <v>250</v>
      </c>
      <c r="N25" s="444"/>
      <c r="O25" s="510"/>
      <c r="P25" s="69">
        <v>12</v>
      </c>
      <c r="Q25" s="224">
        <v>2</v>
      </c>
      <c r="T25" s="8138"/>
      <c r="U25" s="8139"/>
      <c r="W25" s="7865"/>
      <c r="X25" s="6485"/>
      <c r="Y25" s="7866"/>
      <c r="AA25" s="8168"/>
      <c r="AB25" s="8169"/>
      <c r="AC25" s="8170"/>
      <c r="AE25" s="8168"/>
      <c r="AF25" s="8169"/>
      <c r="AG25" s="8170"/>
      <c r="AI25" s="8144"/>
      <c r="AJ25" s="8146"/>
      <c r="AM25" s="3167" t="str">
        <f>IF(COUNTIF(Principal!C43:F49,"Voluntad natural"),"VOL","INT")</f>
        <v>INT</v>
      </c>
      <c r="AN25" s="3168" t="s">
        <v>10112</v>
      </c>
    </row>
    <row r="26" spans="1:40" ht="13.5" customHeight="1" thickBot="1">
      <c r="A26" s="219">
        <v>26</v>
      </c>
      <c r="B26" s="7145"/>
      <c r="C26" s="553">
        <v>13</v>
      </c>
      <c r="D26" s="84">
        <v>25</v>
      </c>
      <c r="E26" s="50">
        <v>40</v>
      </c>
      <c r="G26" s="85">
        <v>13</v>
      </c>
      <c r="H26" s="84">
        <v>4</v>
      </c>
      <c r="I26" s="84">
        <v>1000</v>
      </c>
      <c r="J26" s="50">
        <v>3000</v>
      </c>
      <c r="L26" s="569">
        <v>13</v>
      </c>
      <c r="M26" s="84">
        <v>500</v>
      </c>
      <c r="N26" s="444">
        <v>10</v>
      </c>
      <c r="O26" s="510"/>
      <c r="P26" s="69">
        <v>13</v>
      </c>
      <c r="Q26" s="224">
        <v>3</v>
      </c>
      <c r="T26" s="569">
        <v>0</v>
      </c>
      <c r="U26" s="444" t="s">
        <v>1315</v>
      </c>
      <c r="W26" s="1083" t="s">
        <v>1236</v>
      </c>
      <c r="X26" s="1084" t="s">
        <v>1237</v>
      </c>
      <c r="Y26" s="1097" t="s">
        <v>1004</v>
      </c>
      <c r="AA26" s="1098" t="s">
        <v>1925</v>
      </c>
      <c r="AB26" s="1072" t="s">
        <v>1218</v>
      </c>
      <c r="AC26" s="1099" t="s">
        <v>1926</v>
      </c>
      <c r="AE26" s="1098" t="s">
        <v>1928</v>
      </c>
      <c r="AF26" s="1100" t="s">
        <v>1929</v>
      </c>
      <c r="AG26" s="1099" t="s">
        <v>1926</v>
      </c>
      <c r="AI26" s="1101" t="s">
        <v>1245</v>
      </c>
      <c r="AJ26" s="1102" t="s">
        <v>1002</v>
      </c>
      <c r="AM26" s="3169">
        <v>1</v>
      </c>
      <c r="AN26" s="3170">
        <v>0</v>
      </c>
    </row>
    <row r="27" spans="1:40" ht="12.75" customHeight="1">
      <c r="A27" s="219">
        <v>27</v>
      </c>
      <c r="B27" s="7145"/>
      <c r="C27" s="553">
        <v>14</v>
      </c>
      <c r="D27" s="84">
        <v>25</v>
      </c>
      <c r="E27" s="50">
        <v>50</v>
      </c>
      <c r="G27" s="85">
        <v>14</v>
      </c>
      <c r="H27" s="84">
        <v>4</v>
      </c>
      <c r="I27" s="84">
        <v>5000</v>
      </c>
      <c r="J27" s="50">
        <v>25000</v>
      </c>
      <c r="L27" s="569">
        <v>14</v>
      </c>
      <c r="M27" s="84">
        <v>1000</v>
      </c>
      <c r="N27" s="444"/>
      <c r="O27" s="510"/>
      <c r="P27" s="69">
        <v>14</v>
      </c>
      <c r="Q27" s="224">
        <v>3</v>
      </c>
      <c r="T27" s="569">
        <v>20</v>
      </c>
      <c r="U27" s="444" t="s">
        <v>6747</v>
      </c>
      <c r="W27" s="85">
        <v>0</v>
      </c>
      <c r="X27" s="84">
        <v>0</v>
      </c>
      <c r="Y27" s="1103"/>
      <c r="AA27" s="553">
        <v>0</v>
      </c>
      <c r="AB27" s="47" t="s">
        <v>1315</v>
      </c>
      <c r="AC27" s="1103" t="s">
        <v>1315</v>
      </c>
      <c r="AE27" s="553">
        <v>0</v>
      </c>
      <c r="AF27" s="47" t="s">
        <v>1930</v>
      </c>
      <c r="AG27" s="1103">
        <v>0</v>
      </c>
      <c r="AI27" s="1104">
        <v>1</v>
      </c>
      <c r="AJ27" s="1103">
        <v>1</v>
      </c>
      <c r="AM27" s="3171">
        <v>2</v>
      </c>
      <c r="AN27" s="3172">
        <v>0</v>
      </c>
    </row>
    <row r="28" spans="1:40" ht="12.75" customHeight="1">
      <c r="A28" s="219">
        <v>28</v>
      </c>
      <c r="B28" s="7145"/>
      <c r="C28" s="552">
        <v>15</v>
      </c>
      <c r="D28" s="84">
        <v>30</v>
      </c>
      <c r="E28" s="50">
        <v>60</v>
      </c>
      <c r="G28" s="191">
        <v>15</v>
      </c>
      <c r="H28" s="84">
        <v>5</v>
      </c>
      <c r="I28" s="84">
        <v>15000</v>
      </c>
      <c r="J28" s="50">
        <v>100000</v>
      </c>
      <c r="L28" s="569">
        <v>15</v>
      </c>
      <c r="M28" s="84">
        <v>5000</v>
      </c>
      <c r="N28" s="444">
        <v>15</v>
      </c>
      <c r="O28" s="510"/>
      <c r="P28" s="69">
        <v>15</v>
      </c>
      <c r="Q28" s="224">
        <v>3</v>
      </c>
      <c r="T28" s="569">
        <v>40</v>
      </c>
      <c r="U28" s="444" t="s">
        <v>6748</v>
      </c>
      <c r="W28" s="85">
        <v>5</v>
      </c>
      <c r="X28" s="84">
        <v>0</v>
      </c>
      <c r="Y28" s="1103"/>
      <c r="AA28" s="553">
        <v>9</v>
      </c>
      <c r="AB28" s="47">
        <v>20</v>
      </c>
      <c r="AC28" s="132">
        <v>5</v>
      </c>
      <c r="AE28" s="553">
        <v>10</v>
      </c>
      <c r="AF28" s="47" t="s">
        <v>1931</v>
      </c>
      <c r="AG28" s="132">
        <v>-1</v>
      </c>
      <c r="AI28" s="1104">
        <v>2</v>
      </c>
      <c r="AJ28" s="1103">
        <v>1</v>
      </c>
      <c r="AM28" s="3171">
        <v>3</v>
      </c>
      <c r="AN28" s="3172">
        <v>0</v>
      </c>
    </row>
    <row r="29" spans="1:40" ht="12.75" customHeight="1">
      <c r="A29" s="219">
        <v>29</v>
      </c>
      <c r="B29" s="7145"/>
      <c r="C29" s="552">
        <v>16</v>
      </c>
      <c r="D29" s="84">
        <v>35</v>
      </c>
      <c r="E29" s="50">
        <v>70</v>
      </c>
      <c r="G29" s="191">
        <v>16</v>
      </c>
      <c r="H29" s="84">
        <v>5</v>
      </c>
      <c r="I29" s="84">
        <v>100000</v>
      </c>
      <c r="J29" s="50">
        <v>500000</v>
      </c>
      <c r="L29" s="569">
        <v>16</v>
      </c>
      <c r="M29" s="84">
        <v>10000</v>
      </c>
      <c r="N29" s="444"/>
      <c r="O29" s="510"/>
      <c r="P29" s="69">
        <v>16</v>
      </c>
      <c r="Q29" s="224">
        <v>4</v>
      </c>
      <c r="T29" s="796">
        <v>80</v>
      </c>
      <c r="U29" s="444" t="s">
        <v>6749</v>
      </c>
      <c r="W29" s="85">
        <v>10</v>
      </c>
      <c r="X29" s="84">
        <v>0</v>
      </c>
      <c r="Y29" s="1103"/>
      <c r="AA29" s="553">
        <v>13</v>
      </c>
      <c r="AB29" s="47">
        <v>30</v>
      </c>
      <c r="AC29" s="132">
        <v>10</v>
      </c>
      <c r="AE29" s="553">
        <v>20</v>
      </c>
      <c r="AF29" s="47" t="s">
        <v>1932</v>
      </c>
      <c r="AG29" s="132">
        <v>-3</v>
      </c>
      <c r="AI29" s="1104">
        <v>3</v>
      </c>
      <c r="AJ29" s="1103">
        <v>1</v>
      </c>
      <c r="AM29" s="3171">
        <v>4</v>
      </c>
      <c r="AN29" s="3172">
        <v>0</v>
      </c>
    </row>
    <row r="30" spans="1:40" ht="12.75" customHeight="1">
      <c r="A30" s="219">
        <v>30</v>
      </c>
      <c r="B30" s="7145"/>
      <c r="C30" s="553">
        <v>17</v>
      </c>
      <c r="D30" s="84">
        <v>35</v>
      </c>
      <c r="E30" s="50">
        <v>80</v>
      </c>
      <c r="G30" s="85">
        <v>17</v>
      </c>
      <c r="H30" s="84">
        <v>5</v>
      </c>
      <c r="I30" s="84">
        <v>500000</v>
      </c>
      <c r="J30" s="2087">
        <v>2500000</v>
      </c>
      <c r="L30" s="569">
        <v>17</v>
      </c>
      <c r="M30" s="84">
        <v>10000</v>
      </c>
      <c r="N30" s="444"/>
      <c r="O30" s="510"/>
      <c r="P30" s="69">
        <v>17</v>
      </c>
      <c r="Q30" s="224">
        <v>4</v>
      </c>
      <c r="T30" s="796">
        <v>120</v>
      </c>
      <c r="U30" s="444" t="s">
        <v>6758</v>
      </c>
      <c r="W30" s="85">
        <v>15</v>
      </c>
      <c r="X30" s="84">
        <v>0</v>
      </c>
      <c r="Y30" s="1103"/>
      <c r="AA30" s="553">
        <v>16</v>
      </c>
      <c r="AB30" s="47">
        <v>50</v>
      </c>
      <c r="AC30" s="132">
        <v>15</v>
      </c>
      <c r="AE30" s="553">
        <v>30</v>
      </c>
      <c r="AF30" s="47" t="s">
        <v>1933</v>
      </c>
      <c r="AG30" s="132">
        <v>-5</v>
      </c>
      <c r="AI30" s="1104">
        <v>4</v>
      </c>
      <c r="AJ30" s="1103">
        <v>1</v>
      </c>
      <c r="AM30" s="3171">
        <v>5</v>
      </c>
      <c r="AN30" s="3172">
        <v>0</v>
      </c>
    </row>
    <row r="31" spans="1:40" s="510" customFormat="1" ht="14.85" customHeight="1">
      <c r="A31" s="219">
        <v>31</v>
      </c>
      <c r="B31" s="7145"/>
      <c r="C31" s="553">
        <v>18</v>
      </c>
      <c r="D31" s="84">
        <v>40</v>
      </c>
      <c r="E31" s="50">
        <v>90</v>
      </c>
      <c r="F31"/>
      <c r="G31" s="85">
        <v>18</v>
      </c>
      <c r="H31" s="84">
        <v>5</v>
      </c>
      <c r="I31" s="2088">
        <v>1000000</v>
      </c>
      <c r="J31" s="50">
        <v>10000000</v>
      </c>
      <c r="K31"/>
      <c r="L31" s="569">
        <v>18</v>
      </c>
      <c r="M31" s="84">
        <v>10000</v>
      </c>
      <c r="N31" s="444"/>
      <c r="P31" s="69">
        <v>18</v>
      </c>
      <c r="Q31" s="224">
        <v>4</v>
      </c>
      <c r="R31"/>
      <c r="T31" s="796">
        <v>140</v>
      </c>
      <c r="U31" s="444" t="s">
        <v>6750</v>
      </c>
      <c r="W31" s="85">
        <v>20</v>
      </c>
      <c r="X31" s="84">
        <v>0</v>
      </c>
      <c r="Y31" s="1103"/>
      <c r="AA31" s="553">
        <v>19</v>
      </c>
      <c r="AB31" s="47">
        <v>80</v>
      </c>
      <c r="AC31" s="132">
        <v>20</v>
      </c>
      <c r="AE31" s="553">
        <v>40</v>
      </c>
      <c r="AF31" s="47" t="s">
        <v>1934</v>
      </c>
      <c r="AG31" s="132">
        <v>-10</v>
      </c>
      <c r="AI31" s="1104">
        <v>5</v>
      </c>
      <c r="AJ31" s="1103">
        <v>1</v>
      </c>
      <c r="AM31" s="3173">
        <v>6</v>
      </c>
      <c r="AN31" s="3172">
        <v>5</v>
      </c>
    </row>
    <row r="32" spans="1:40" s="510" customFormat="1" ht="12.75" customHeight="1">
      <c r="A32" s="219">
        <v>32</v>
      </c>
      <c r="B32" s="7145"/>
      <c r="C32" s="553">
        <v>19</v>
      </c>
      <c r="D32" s="84">
        <v>40</v>
      </c>
      <c r="E32" s="50">
        <v>100</v>
      </c>
      <c r="F32"/>
      <c r="G32" s="85">
        <v>19</v>
      </c>
      <c r="H32" s="84">
        <v>5</v>
      </c>
      <c r="I32" s="2088">
        <v>10000000</v>
      </c>
      <c r="J32" s="2087">
        <v>150000000</v>
      </c>
      <c r="K32"/>
      <c r="L32" s="569">
        <v>19</v>
      </c>
      <c r="M32" s="84">
        <v>10000</v>
      </c>
      <c r="N32" s="444"/>
      <c r="P32" s="69">
        <v>19</v>
      </c>
      <c r="Q32" s="224">
        <v>4</v>
      </c>
      <c r="R32"/>
      <c r="T32" s="796">
        <v>180</v>
      </c>
      <c r="U32" s="444" t="s">
        <v>6751</v>
      </c>
      <c r="W32" s="85">
        <v>25</v>
      </c>
      <c r="X32" s="84">
        <v>0</v>
      </c>
      <c r="Y32" s="1103"/>
      <c r="AA32" s="553">
        <v>22</v>
      </c>
      <c r="AB32" s="47">
        <v>120</v>
      </c>
      <c r="AC32" s="132">
        <v>25</v>
      </c>
      <c r="AE32" s="553">
        <v>50</v>
      </c>
      <c r="AF32" s="47" t="s">
        <v>1935</v>
      </c>
      <c r="AG32" s="132">
        <v>-15</v>
      </c>
      <c r="AI32" s="1104">
        <v>6</v>
      </c>
      <c r="AJ32" s="1103">
        <v>2</v>
      </c>
      <c r="AM32" s="3173">
        <v>7</v>
      </c>
      <c r="AN32" s="3172">
        <v>10</v>
      </c>
    </row>
    <row r="33" spans="1:44" s="215" customFormat="1" ht="14.85" customHeight="1" thickBot="1">
      <c r="A33" s="219">
        <v>33</v>
      </c>
      <c r="B33" s="7145"/>
      <c r="C33" s="554">
        <v>20</v>
      </c>
      <c r="D33" s="187">
        <v>45</v>
      </c>
      <c r="E33" s="179">
        <v>150</v>
      </c>
      <c r="F33"/>
      <c r="G33" s="192">
        <v>20</v>
      </c>
      <c r="H33" s="187">
        <v>5</v>
      </c>
      <c r="I33" s="2090">
        <v>1E+100</v>
      </c>
      <c r="J33" s="2089">
        <v>1E+100</v>
      </c>
      <c r="K33"/>
      <c r="L33" s="659">
        <v>20</v>
      </c>
      <c r="M33" s="446">
        <v>10000</v>
      </c>
      <c r="N33" s="631">
        <v>20</v>
      </c>
      <c r="O33" s="510"/>
      <c r="P33" s="240">
        <v>20</v>
      </c>
      <c r="Q33" s="225">
        <v>4</v>
      </c>
      <c r="R33"/>
      <c r="T33" s="796">
        <v>240</v>
      </c>
      <c r="U33" s="444" t="s">
        <v>6752</v>
      </c>
      <c r="W33" s="85">
        <v>30</v>
      </c>
      <c r="X33" s="84">
        <v>50</v>
      </c>
      <c r="Y33" s="1103">
        <v>1</v>
      </c>
      <c r="Z33" s="510"/>
      <c r="AA33" s="553">
        <v>25</v>
      </c>
      <c r="AB33" s="47">
        <v>150</v>
      </c>
      <c r="AC33" s="132">
        <v>30</v>
      </c>
      <c r="AD33" s="510"/>
      <c r="AE33" s="553">
        <v>70</v>
      </c>
      <c r="AF33" s="47" t="s">
        <v>1936</v>
      </c>
      <c r="AG33" s="132">
        <v>-25</v>
      </c>
      <c r="AH33" s="510"/>
      <c r="AI33" s="1104">
        <v>7</v>
      </c>
      <c r="AJ33" s="1103">
        <v>3</v>
      </c>
      <c r="AK33" s="510"/>
      <c r="AM33" s="3173">
        <v>8</v>
      </c>
      <c r="AN33" s="3172">
        <v>15</v>
      </c>
    </row>
    <row r="34" spans="1:44" s="510" customFormat="1" ht="14.85" customHeight="1" thickBot="1">
      <c r="A34" s="219">
        <v>34</v>
      </c>
      <c r="B34" s="7145"/>
      <c r="C34"/>
      <c r="D34"/>
      <c r="E34"/>
      <c r="F34"/>
      <c r="G34"/>
      <c r="H34"/>
      <c r="J34"/>
      <c r="K34"/>
      <c r="L34"/>
      <c r="M34"/>
      <c r="N34"/>
      <c r="P34"/>
      <c r="Q34"/>
      <c r="R34"/>
      <c r="T34" s="796">
        <v>280</v>
      </c>
      <c r="U34" s="444" t="s">
        <v>6753</v>
      </c>
      <c r="W34" s="85">
        <v>35</v>
      </c>
      <c r="X34" s="84">
        <v>150</v>
      </c>
      <c r="Y34" s="1103">
        <v>3</v>
      </c>
      <c r="AA34" s="553">
        <v>29</v>
      </c>
      <c r="AB34" s="47">
        <v>200</v>
      </c>
      <c r="AC34" s="132">
        <v>40</v>
      </c>
      <c r="AE34" s="1105">
        <v>100</v>
      </c>
      <c r="AF34" s="556" t="s">
        <v>1937</v>
      </c>
      <c r="AG34" s="560" t="s">
        <v>1315</v>
      </c>
      <c r="AI34" s="1104">
        <v>8</v>
      </c>
      <c r="AJ34" s="1103">
        <v>4</v>
      </c>
      <c r="AM34" s="3173">
        <v>9</v>
      </c>
      <c r="AN34" s="3172">
        <v>20</v>
      </c>
    </row>
    <row r="35" spans="1:44" ht="14.85" customHeight="1">
      <c r="A35" s="219">
        <v>35</v>
      </c>
      <c r="B35" s="7145"/>
      <c r="C35" s="4352" t="s">
        <v>1837</v>
      </c>
      <c r="D35" s="4317"/>
      <c r="E35" s="4317"/>
      <c r="F35" s="4317"/>
      <c r="G35" s="4317"/>
      <c r="H35" s="4318"/>
      <c r="J35" s="8117" t="s">
        <v>1861</v>
      </c>
      <c r="K35" s="8118"/>
      <c r="M35" s="8119" t="s">
        <v>1942</v>
      </c>
      <c r="N35" s="8120"/>
      <c r="O35" s="8121"/>
      <c r="Q35" s="4352" t="s">
        <v>1939</v>
      </c>
      <c r="R35" s="4318"/>
      <c r="T35" s="796">
        <v>320</v>
      </c>
      <c r="U35" s="444" t="s">
        <v>6754</v>
      </c>
      <c r="W35" s="85">
        <v>40</v>
      </c>
      <c r="X35" s="84">
        <v>300</v>
      </c>
      <c r="Y35" s="1103">
        <v>6</v>
      </c>
      <c r="AA35" s="553">
        <v>32</v>
      </c>
      <c r="AB35" s="47">
        <v>350</v>
      </c>
      <c r="AC35" s="132">
        <v>50</v>
      </c>
      <c r="AI35" s="1104">
        <v>9</v>
      </c>
      <c r="AJ35" s="1103">
        <v>4</v>
      </c>
      <c r="AM35" s="3171">
        <v>10</v>
      </c>
      <c r="AN35" s="3172">
        <v>25</v>
      </c>
    </row>
    <row r="36" spans="1:44" ht="14.85" customHeight="1" thickBot="1">
      <c r="A36" s="219">
        <v>36</v>
      </c>
      <c r="B36" s="7145"/>
      <c r="C36" s="4653"/>
      <c r="D36" s="4654"/>
      <c r="E36" s="4654"/>
      <c r="F36" s="4654"/>
      <c r="G36" s="4654"/>
      <c r="H36" s="4655"/>
      <c r="J36" s="8117"/>
      <c r="K36" s="8118"/>
      <c r="M36" s="1079" t="s">
        <v>1943</v>
      </c>
      <c r="N36" s="171" t="s">
        <v>1944</v>
      </c>
      <c r="O36" s="1058" t="s">
        <v>1945</v>
      </c>
      <c r="Q36" s="4653"/>
      <c r="R36" s="4655"/>
      <c r="T36" s="796">
        <v>440</v>
      </c>
      <c r="U36" s="444" t="s">
        <v>6755</v>
      </c>
      <c r="W36" s="85">
        <v>45</v>
      </c>
      <c r="X36" s="84">
        <v>500</v>
      </c>
      <c r="Y36" s="1103">
        <v>10</v>
      </c>
      <c r="AA36" s="1105">
        <v>35</v>
      </c>
      <c r="AB36" s="556">
        <v>500</v>
      </c>
      <c r="AC36" s="560">
        <v>60</v>
      </c>
      <c r="AI36" s="1104">
        <v>10</v>
      </c>
      <c r="AJ36" s="1103">
        <v>5</v>
      </c>
      <c r="AM36" s="3173">
        <v>11</v>
      </c>
      <c r="AN36" s="3172">
        <v>50</v>
      </c>
    </row>
    <row r="37" spans="1:44" ht="14.85" customHeight="1" thickBot="1">
      <c r="A37" s="219">
        <v>37</v>
      </c>
      <c r="B37" s="7145"/>
      <c r="C37" s="1071" t="s">
        <v>1357</v>
      </c>
      <c r="D37" s="1072" t="s">
        <v>1228</v>
      </c>
      <c r="E37" s="8129" t="s">
        <v>1838</v>
      </c>
      <c r="F37" s="8129"/>
      <c r="G37" s="1073" t="s">
        <v>1839</v>
      </c>
      <c r="H37" s="1074" t="s">
        <v>1336</v>
      </c>
      <c r="J37" s="170" t="s">
        <v>1862</v>
      </c>
      <c r="K37" s="185" t="s">
        <v>1246</v>
      </c>
      <c r="M37" s="1080">
        <v>1</v>
      </c>
      <c r="N37" s="84">
        <v>5</v>
      </c>
      <c r="O37" s="1030">
        <v>0</v>
      </c>
      <c r="Q37" s="629" t="s">
        <v>1940</v>
      </c>
      <c r="R37" s="630" t="s">
        <v>1941</v>
      </c>
      <c r="T37" s="796" t="s">
        <v>6756</v>
      </c>
      <c r="U37" s="444" t="s">
        <v>6755</v>
      </c>
      <c r="W37" s="186">
        <v>50</v>
      </c>
      <c r="X37" s="187">
        <v>750</v>
      </c>
      <c r="Y37" s="1106">
        <v>15</v>
      </c>
      <c r="AI37" s="1104">
        <v>11</v>
      </c>
      <c r="AJ37" s="1103">
        <v>6</v>
      </c>
      <c r="AM37" s="3173">
        <v>12</v>
      </c>
      <c r="AN37" s="3172">
        <v>100</v>
      </c>
    </row>
    <row r="38" spans="1:44" ht="14.85" customHeight="1" thickBot="1">
      <c r="A38" s="219">
        <v>38</v>
      </c>
      <c r="B38" s="7145"/>
      <c r="C38" s="569">
        <v>1</v>
      </c>
      <c r="D38" s="47">
        <v>0</v>
      </c>
      <c r="E38" s="57"/>
      <c r="F38" s="57" t="s">
        <v>1840</v>
      </c>
      <c r="G38" s="252" t="s">
        <v>1840</v>
      </c>
      <c r="H38" s="1075" t="str">
        <f>""</f>
        <v/>
      </c>
      <c r="J38" s="85">
        <v>1</v>
      </c>
      <c r="K38" s="193" t="s">
        <v>1863</v>
      </c>
      <c r="M38" s="1080">
        <v>2</v>
      </c>
      <c r="N38" s="84">
        <v>20</v>
      </c>
      <c r="O38" s="1030">
        <v>0</v>
      </c>
      <c r="Q38" s="569">
        <v>0</v>
      </c>
      <c r="R38" s="444">
        <v>1</v>
      </c>
      <c r="T38" s="797" t="s">
        <v>6757</v>
      </c>
      <c r="U38" s="631" t="s">
        <v>6755</v>
      </c>
      <c r="AI38" s="1104">
        <v>12</v>
      </c>
      <c r="AJ38" s="1103">
        <v>7</v>
      </c>
      <c r="AM38" s="3173">
        <v>13</v>
      </c>
      <c r="AN38" s="3172">
        <v>125</v>
      </c>
    </row>
    <row r="39" spans="1:44" ht="12.75" customHeight="1" thickBot="1">
      <c r="A39" s="219">
        <v>39</v>
      </c>
      <c r="B39" s="7145"/>
      <c r="C39" s="569">
        <v>2</v>
      </c>
      <c r="D39" s="47">
        <v>0</v>
      </c>
      <c r="E39" s="57"/>
      <c r="F39" s="57" t="s">
        <v>1840</v>
      </c>
      <c r="G39" s="252" t="s">
        <v>1840</v>
      </c>
      <c r="H39" s="1053" t="str">
        <f>""</f>
        <v/>
      </c>
      <c r="J39" s="85">
        <v>2</v>
      </c>
      <c r="K39" s="193" t="s">
        <v>1864</v>
      </c>
      <c r="M39" s="1080">
        <v>3</v>
      </c>
      <c r="N39" s="84">
        <v>40</v>
      </c>
      <c r="O39" s="1030">
        <v>0</v>
      </c>
      <c r="Q39" s="569">
        <v>11</v>
      </c>
      <c r="R39" s="444">
        <v>2</v>
      </c>
      <c r="W39" s="7862" t="s">
        <v>6638</v>
      </c>
      <c r="X39" s="7864"/>
      <c r="AI39" s="1104">
        <v>13</v>
      </c>
      <c r="AJ39" s="1103">
        <v>8</v>
      </c>
      <c r="AM39" s="3173">
        <v>14</v>
      </c>
      <c r="AN39" s="3172">
        <v>150</v>
      </c>
    </row>
    <row r="40" spans="1:44" ht="12.75" customHeight="1" thickBot="1">
      <c r="A40" s="219">
        <v>40</v>
      </c>
      <c r="B40" s="7145"/>
      <c r="C40" s="569">
        <v>3</v>
      </c>
      <c r="D40" s="47">
        <v>1</v>
      </c>
      <c r="E40" s="57">
        <f>I40*IF($G$521,0.5,1)*IF(Acumulacion="Sí",PDs!$T$204,1)</f>
        <v>10</v>
      </c>
      <c r="F40" s="57" t="s">
        <v>9644</v>
      </c>
      <c r="G40" s="1076" t="s">
        <v>1841</v>
      </c>
      <c r="H40" s="1053" t="str">
        <f>""</f>
        <v/>
      </c>
      <c r="I40" s="2268">
        <v>10</v>
      </c>
      <c r="J40" s="85">
        <v>3</v>
      </c>
      <c r="K40" s="193" t="s">
        <v>1865</v>
      </c>
      <c r="M40" s="1080">
        <v>4</v>
      </c>
      <c r="N40" s="84">
        <v>55</v>
      </c>
      <c r="O40" s="1030">
        <v>0</v>
      </c>
      <c r="Q40" s="569">
        <v>15</v>
      </c>
      <c r="R40" s="444">
        <v>3</v>
      </c>
      <c r="T40" s="4352" t="s">
        <v>1107</v>
      </c>
      <c r="U40" s="4318"/>
      <c r="W40" s="8032"/>
      <c r="X40" s="8034"/>
      <c r="AI40" s="1104">
        <v>14</v>
      </c>
      <c r="AJ40" s="1103">
        <v>9</v>
      </c>
      <c r="AM40" s="3171">
        <v>15</v>
      </c>
      <c r="AN40" s="3172">
        <v>170</v>
      </c>
    </row>
    <row r="41" spans="1:44" ht="12.75" customHeight="1">
      <c r="A41" s="219">
        <v>41</v>
      </c>
      <c r="B41" s="7145"/>
      <c r="C41" s="569">
        <v>4</v>
      </c>
      <c r="D41" s="47">
        <v>1</v>
      </c>
      <c r="E41" s="57">
        <f>I41*IF($G$521,0.5,1)*IF(Acumulacion="Sí",PDs!$T$204,1)</f>
        <v>10</v>
      </c>
      <c r="F41" s="57" t="s">
        <v>9644</v>
      </c>
      <c r="G41" s="1076" t="s">
        <v>1841</v>
      </c>
      <c r="H41" s="1053" t="str">
        <f>""</f>
        <v/>
      </c>
      <c r="I41" s="2268">
        <v>10</v>
      </c>
      <c r="J41" s="85">
        <v>4</v>
      </c>
      <c r="K41" s="193" t="s">
        <v>1866</v>
      </c>
      <c r="M41" s="1080">
        <v>5</v>
      </c>
      <c r="N41" s="84">
        <v>70</v>
      </c>
      <c r="O41" s="1030">
        <v>5</v>
      </c>
      <c r="Q41" s="569">
        <v>20</v>
      </c>
      <c r="R41" s="444">
        <v>4</v>
      </c>
      <c r="T41" s="4653"/>
      <c r="U41" s="4655"/>
      <c r="W41" s="307" t="s">
        <v>1237</v>
      </c>
      <c r="X41" s="571"/>
      <c r="AI41" s="1104">
        <v>15</v>
      </c>
      <c r="AJ41" s="1103">
        <v>10</v>
      </c>
      <c r="AM41" s="3171">
        <v>16</v>
      </c>
      <c r="AN41" s="3172">
        <v>200</v>
      </c>
    </row>
    <row r="42" spans="1:44" ht="12.75" customHeight="1" thickBot="1">
      <c r="A42" s="219">
        <v>42</v>
      </c>
      <c r="B42" s="7145"/>
      <c r="C42" s="569">
        <v>5</v>
      </c>
      <c r="D42" s="47">
        <v>1</v>
      </c>
      <c r="E42" s="57">
        <f>I42*IF($G$521,0.5,1)*IF(Acumulacion="Sí",PDs!$T$204,1)</f>
        <v>10</v>
      </c>
      <c r="F42" s="57" t="s">
        <v>9644</v>
      </c>
      <c r="G42" s="1076" t="s">
        <v>1841</v>
      </c>
      <c r="H42" s="1053" t="str">
        <f>""</f>
        <v/>
      </c>
      <c r="I42" s="2268">
        <v>10</v>
      </c>
      <c r="J42" s="85">
        <v>5</v>
      </c>
      <c r="K42" s="193" t="s">
        <v>1867</v>
      </c>
      <c r="M42" s="1080">
        <v>6</v>
      </c>
      <c r="N42" s="84">
        <v>85</v>
      </c>
      <c r="O42" s="1030">
        <v>5</v>
      </c>
      <c r="Q42" s="569">
        <v>23</v>
      </c>
      <c r="R42" s="444">
        <v>5</v>
      </c>
      <c r="T42" s="1085">
        <v>0</v>
      </c>
      <c r="U42" s="444">
        <v>200</v>
      </c>
      <c r="W42" s="610" t="s">
        <v>1004</v>
      </c>
      <c r="X42" s="572"/>
      <c r="AI42" s="1104">
        <v>16</v>
      </c>
      <c r="AJ42" s="1103">
        <v>10</v>
      </c>
      <c r="AM42" s="3173">
        <v>17</v>
      </c>
      <c r="AN42" s="3172">
        <v>250</v>
      </c>
    </row>
    <row r="43" spans="1:44" ht="12.75" customHeight="1" thickBot="1">
      <c r="A43" s="219">
        <v>43</v>
      </c>
      <c r="B43" s="7145"/>
      <c r="C43" s="569">
        <v>6</v>
      </c>
      <c r="D43" s="47">
        <v>1</v>
      </c>
      <c r="E43" s="57">
        <f>I43*IF($G$521,0.5,1)*IF(Acumulacion="Sí",PDs!$T$204,1)</f>
        <v>10</v>
      </c>
      <c r="F43" s="57" t="s">
        <v>9644</v>
      </c>
      <c r="G43" s="1076" t="s">
        <v>1841</v>
      </c>
      <c r="H43" s="1053" t="str">
        <f>""</f>
        <v/>
      </c>
      <c r="I43" s="2268">
        <v>10</v>
      </c>
      <c r="J43" s="85">
        <v>6</v>
      </c>
      <c r="K43" s="193" t="s">
        <v>1868</v>
      </c>
      <c r="M43" s="1080">
        <v>7</v>
      </c>
      <c r="N43" s="84">
        <v>95</v>
      </c>
      <c r="O43" s="1030">
        <v>5</v>
      </c>
      <c r="Q43" s="569">
        <v>26</v>
      </c>
      <c r="R43" s="444">
        <v>6</v>
      </c>
      <c r="T43" s="1085">
        <v>4</v>
      </c>
      <c r="U43" s="444">
        <v>280</v>
      </c>
      <c r="AI43" s="1104">
        <v>17</v>
      </c>
      <c r="AJ43" s="1103">
        <v>10</v>
      </c>
      <c r="AM43" s="3173">
        <v>18</v>
      </c>
      <c r="AN43" s="3172">
        <v>300</v>
      </c>
    </row>
    <row r="44" spans="1:44" ht="14.85" customHeight="1">
      <c r="A44" s="219">
        <v>44</v>
      </c>
      <c r="B44" s="7145"/>
      <c r="C44" s="569">
        <v>7</v>
      </c>
      <c r="D44" s="47">
        <v>1</v>
      </c>
      <c r="E44" s="57">
        <f>I44*IF($G$521,0.5,1)*IF(Acumulacion="Sí",PDs!$T$204,1)</f>
        <v>10</v>
      </c>
      <c r="F44" s="57" t="s">
        <v>9644</v>
      </c>
      <c r="G44" s="1076" t="s">
        <v>1841</v>
      </c>
      <c r="H44" s="1053" t="str">
        <f>""</f>
        <v/>
      </c>
      <c r="I44" s="2268">
        <v>10</v>
      </c>
      <c r="J44" s="85">
        <v>7</v>
      </c>
      <c r="K44" s="193" t="s">
        <v>1869</v>
      </c>
      <c r="M44" s="1080">
        <v>8</v>
      </c>
      <c r="N44" s="84">
        <v>110</v>
      </c>
      <c r="O44" s="1030">
        <v>10</v>
      </c>
      <c r="Q44" s="569">
        <v>29</v>
      </c>
      <c r="R44" s="444">
        <v>8</v>
      </c>
      <c r="T44" s="1085">
        <v>7</v>
      </c>
      <c r="U44" s="444">
        <v>320</v>
      </c>
      <c r="W44" s="7862" t="s">
        <v>1811</v>
      </c>
      <c r="X44" s="7863"/>
      <c r="Y44" s="7863"/>
      <c r="Z44" s="7863"/>
      <c r="AA44" s="7863"/>
      <c r="AB44" s="7863"/>
      <c r="AC44" s="7863"/>
      <c r="AD44" s="7863"/>
      <c r="AE44" s="7863"/>
      <c r="AF44" s="7864"/>
      <c r="AI44" s="1104">
        <v>18</v>
      </c>
      <c r="AJ44" s="1103">
        <v>10</v>
      </c>
      <c r="AM44" s="3173">
        <v>19</v>
      </c>
      <c r="AN44" s="3172">
        <v>350</v>
      </c>
    </row>
    <row r="45" spans="1:44" ht="14.85" customHeight="1" thickBot="1">
      <c r="A45" s="219">
        <v>45</v>
      </c>
      <c r="B45" s="7145"/>
      <c r="C45" s="569">
        <v>8</v>
      </c>
      <c r="D45" s="47">
        <v>2</v>
      </c>
      <c r="E45" s="57">
        <f>I45*IF($G$521,0.5,1)*IF(Acumulacion="Sí",PDs!$T$204,1)</f>
        <v>20</v>
      </c>
      <c r="F45" s="57" t="s">
        <v>9644</v>
      </c>
      <c r="G45" s="1076" t="s">
        <v>1841</v>
      </c>
      <c r="H45" s="1053" t="str">
        <f>""</f>
        <v/>
      </c>
      <c r="I45" s="2268">
        <v>20</v>
      </c>
      <c r="J45" s="85">
        <v>8</v>
      </c>
      <c r="K45" s="193" t="s">
        <v>1870</v>
      </c>
      <c r="M45" s="1080">
        <v>9</v>
      </c>
      <c r="N45" s="84">
        <v>120</v>
      </c>
      <c r="O45" s="1030">
        <v>10</v>
      </c>
      <c r="Q45" s="659">
        <v>32</v>
      </c>
      <c r="R45" s="631">
        <v>10</v>
      </c>
      <c r="T45" s="1086">
        <v>10</v>
      </c>
      <c r="U45" s="631">
        <v>1000</v>
      </c>
      <c r="W45" s="8032"/>
      <c r="X45" s="8033"/>
      <c r="Y45" s="8033"/>
      <c r="Z45" s="8033"/>
      <c r="AA45" s="8033"/>
      <c r="AB45" s="8033"/>
      <c r="AC45" s="8033"/>
      <c r="AD45" s="8033"/>
      <c r="AE45" s="8033"/>
      <c r="AF45" s="8034"/>
      <c r="AI45" s="1104">
        <v>19</v>
      </c>
      <c r="AJ45" s="1103">
        <v>10</v>
      </c>
      <c r="AM45" s="3174">
        <v>20</v>
      </c>
      <c r="AN45" s="3175">
        <v>450</v>
      </c>
    </row>
    <row r="46" spans="1:44" ht="14.85" customHeight="1" thickBot="1">
      <c r="A46" s="219">
        <v>46</v>
      </c>
      <c r="B46" s="7145"/>
      <c r="C46" s="569">
        <v>9</v>
      </c>
      <c r="D46" s="47">
        <v>2</v>
      </c>
      <c r="E46" s="57">
        <f>I46*IF($G$521,0.5,1)*IF(Acumulacion="Sí",PDs!$T$204,1)</f>
        <v>20</v>
      </c>
      <c r="F46" s="57" t="s">
        <v>9644</v>
      </c>
      <c r="G46" s="1076" t="s">
        <v>1841</v>
      </c>
      <c r="H46" s="1053" t="str">
        <f>""</f>
        <v/>
      </c>
      <c r="I46" s="2268">
        <v>20</v>
      </c>
      <c r="J46" s="85">
        <v>9</v>
      </c>
      <c r="K46" s="193" t="s">
        <v>1871</v>
      </c>
      <c r="M46" s="1080">
        <v>10</v>
      </c>
      <c r="N46" s="84">
        <v>135</v>
      </c>
      <c r="O46" s="1030">
        <v>10</v>
      </c>
      <c r="W46" s="183" t="s">
        <v>1812</v>
      </c>
      <c r="X46" s="184" t="s">
        <v>1755</v>
      </c>
      <c r="Y46" s="555" t="s">
        <v>1813</v>
      </c>
      <c r="Z46" s="555" t="s">
        <v>1814</v>
      </c>
      <c r="AA46" s="555" t="s">
        <v>1815</v>
      </c>
      <c r="AB46" s="555" t="s">
        <v>1407</v>
      </c>
      <c r="AC46" s="555" t="s">
        <v>1816</v>
      </c>
      <c r="AD46" s="1107" t="s">
        <v>1817</v>
      </c>
      <c r="AE46" s="555" t="s">
        <v>1429</v>
      </c>
      <c r="AF46" s="1108" t="s">
        <v>1818</v>
      </c>
      <c r="AI46" s="1109">
        <v>20</v>
      </c>
      <c r="AJ46" s="1110">
        <v>10</v>
      </c>
    </row>
    <row r="47" spans="1:44" ht="14.85" customHeight="1" thickBot="1">
      <c r="A47" s="219">
        <v>47</v>
      </c>
      <c r="B47" s="7145"/>
      <c r="C47" s="569">
        <v>10</v>
      </c>
      <c r="D47" s="47">
        <v>3</v>
      </c>
      <c r="E47" s="57">
        <f>I47*IF($G$521,0.5,1)*IF(Acumulacion="Sí",PDs!$T$204,1)</f>
        <v>30</v>
      </c>
      <c r="F47" s="57" t="s">
        <v>9644</v>
      </c>
      <c r="G47" s="1076" t="s">
        <v>1841</v>
      </c>
      <c r="H47" s="1053" t="str">
        <f>""</f>
        <v/>
      </c>
      <c r="I47" s="2268">
        <v>30</v>
      </c>
      <c r="J47" s="85">
        <v>10</v>
      </c>
      <c r="K47" s="193" t="s">
        <v>1872</v>
      </c>
      <c r="M47" s="1080">
        <v>11</v>
      </c>
      <c r="N47" s="84">
        <v>150</v>
      </c>
      <c r="O47" s="1030">
        <v>10</v>
      </c>
      <c r="Q47" s="4372" t="s">
        <v>722</v>
      </c>
      <c r="W47" s="85">
        <v>-5</v>
      </c>
      <c r="X47" s="84" t="s">
        <v>1819</v>
      </c>
      <c r="Y47" s="47">
        <v>40</v>
      </c>
      <c r="Z47" s="47">
        <v>-4</v>
      </c>
      <c r="AA47" s="47">
        <v>1</v>
      </c>
      <c r="AB47" s="47">
        <v>1</v>
      </c>
      <c r="AC47" s="47">
        <f>5</f>
        <v>5</v>
      </c>
      <c r="AD47" s="47">
        <f>20-IF(Raza="Daimah",10,0)</f>
        <v>20</v>
      </c>
      <c r="AE47" s="47">
        <v>-4</v>
      </c>
      <c r="AF47" s="132">
        <v>4</v>
      </c>
    </row>
    <row r="48" spans="1:44" ht="14.85" customHeight="1" thickBot="1">
      <c r="A48" s="219">
        <v>48</v>
      </c>
      <c r="B48" s="7145"/>
      <c r="C48" s="569">
        <v>11</v>
      </c>
      <c r="D48" s="47">
        <v>4</v>
      </c>
      <c r="E48" s="57">
        <f>I48*IF($G$521,0.5,1)*IF(Acumulacion="Sí",PDs!$T$204,1)</f>
        <v>40</v>
      </c>
      <c r="F48" s="57" t="s">
        <v>9644</v>
      </c>
      <c r="G48" s="1076" t="s">
        <v>1842</v>
      </c>
      <c r="H48" s="1053" t="str">
        <f>""</f>
        <v/>
      </c>
      <c r="I48" s="2268">
        <v>40</v>
      </c>
      <c r="J48" s="85">
        <v>11</v>
      </c>
      <c r="K48" s="193" t="s">
        <v>1873</v>
      </c>
      <c r="M48" s="1080">
        <v>12</v>
      </c>
      <c r="N48" s="84">
        <v>160</v>
      </c>
      <c r="O48" s="1030">
        <v>15</v>
      </c>
      <c r="Q48" s="4372"/>
      <c r="W48" s="85">
        <v>1</v>
      </c>
      <c r="X48" s="84" t="s">
        <v>1819</v>
      </c>
      <c r="Y48" s="47">
        <v>40</v>
      </c>
      <c r="Z48" s="47">
        <v>-4</v>
      </c>
      <c r="AA48" s="47">
        <v>1</v>
      </c>
      <c r="AB48" s="47">
        <v>1</v>
      </c>
      <c r="AC48" s="47">
        <f>5</f>
        <v>5</v>
      </c>
      <c r="AD48" s="47">
        <f>20-IF(Raza="Daimah",10,0)</f>
        <v>20</v>
      </c>
      <c r="AE48" s="47">
        <v>-4</v>
      </c>
      <c r="AF48" s="132">
        <v>4</v>
      </c>
      <c r="AH48" s="8153" t="s">
        <v>9213</v>
      </c>
      <c r="AI48" s="8154"/>
      <c r="AJ48" s="8155"/>
      <c r="AM48" s="8158" t="s">
        <v>8062</v>
      </c>
      <c r="AN48" s="8156"/>
      <c r="AO48" s="8156"/>
      <c r="AP48" s="8156"/>
      <c r="AQ48" s="8156"/>
      <c r="AR48" s="8157"/>
    </row>
    <row r="49" spans="1:44" ht="14.85" customHeight="1" thickBot="1">
      <c r="A49" s="219">
        <v>49</v>
      </c>
      <c r="B49" s="7145"/>
      <c r="C49" s="569">
        <v>12</v>
      </c>
      <c r="D49" s="47">
        <v>5</v>
      </c>
      <c r="E49" s="57">
        <f>I49*IF($G$521,0.5,1)*IF(Acumulacion="Sí",PDs!$T$204,1)</f>
        <v>50</v>
      </c>
      <c r="F49" s="57" t="s">
        <v>9645</v>
      </c>
      <c r="G49" s="1076" t="s">
        <v>1842</v>
      </c>
      <c r="H49" s="1053" t="s">
        <v>7957</v>
      </c>
      <c r="I49" s="2268">
        <v>50</v>
      </c>
      <c r="J49" s="85">
        <v>12</v>
      </c>
      <c r="K49" s="193" t="s">
        <v>1874</v>
      </c>
      <c r="M49" s="1080">
        <v>13</v>
      </c>
      <c r="N49" s="84">
        <v>175</v>
      </c>
      <c r="O49" s="1030">
        <v>15</v>
      </c>
      <c r="Q49" s="247" t="s">
        <v>1315</v>
      </c>
      <c r="W49" s="85">
        <v>4</v>
      </c>
      <c r="X49" s="84" t="s">
        <v>1820</v>
      </c>
      <c r="Y49" s="47">
        <v>30</v>
      </c>
      <c r="Z49" s="47">
        <v>-2</v>
      </c>
      <c r="AA49" s="47">
        <v>2</v>
      </c>
      <c r="AB49" s="47">
        <v>2</v>
      </c>
      <c r="AC49" s="47">
        <f>10</f>
        <v>10</v>
      </c>
      <c r="AD49" s="47">
        <f>30-IF(Raza="Daimah",10,0)</f>
        <v>30</v>
      </c>
      <c r="AE49" s="47">
        <v>-2</v>
      </c>
      <c r="AF49" s="132">
        <v>8</v>
      </c>
      <c r="AH49" s="2071" t="s">
        <v>9214</v>
      </c>
      <c r="AI49" s="2072" t="s">
        <v>1536</v>
      </c>
      <c r="AJ49" s="2073" t="s">
        <v>1537</v>
      </c>
      <c r="AM49" s="3283" t="s">
        <v>1300</v>
      </c>
      <c r="AN49" s="3284" t="s">
        <v>8067</v>
      </c>
      <c r="AO49" s="3284" t="s">
        <v>8068</v>
      </c>
      <c r="AP49" s="3284" t="s">
        <v>8072</v>
      </c>
      <c r="AQ49" s="8156" t="s">
        <v>5979</v>
      </c>
      <c r="AR49" s="8157"/>
    </row>
    <row r="50" spans="1:44" ht="14.85" customHeight="1">
      <c r="A50" s="219">
        <v>50</v>
      </c>
      <c r="B50" s="7145"/>
      <c r="C50" s="569">
        <v>13</v>
      </c>
      <c r="D50" s="47">
        <v>6</v>
      </c>
      <c r="E50" s="57">
        <f>I50*IF($G$521,0.5,1)*IF(Acumulacion="Sí",PDs!$T$204,1)</f>
        <v>75</v>
      </c>
      <c r="F50" s="57" t="s">
        <v>9645</v>
      </c>
      <c r="G50" s="1076" t="s">
        <v>1843</v>
      </c>
      <c r="H50" s="1053" t="s">
        <v>7958</v>
      </c>
      <c r="I50" s="2268">
        <v>75</v>
      </c>
      <c r="J50" s="85">
        <v>13</v>
      </c>
      <c r="K50" s="193" t="s">
        <v>1875</v>
      </c>
      <c r="M50" s="1080">
        <v>14</v>
      </c>
      <c r="N50" s="84">
        <v>185</v>
      </c>
      <c r="O50" s="1030">
        <v>15</v>
      </c>
      <c r="Q50" s="247" t="s">
        <v>1410</v>
      </c>
      <c r="W50" s="85">
        <v>9</v>
      </c>
      <c r="X50" s="84" t="s">
        <v>1582</v>
      </c>
      <c r="Y50" s="47">
        <v>20</v>
      </c>
      <c r="Z50" s="47">
        <v>0</v>
      </c>
      <c r="AA50" s="47">
        <v>5</v>
      </c>
      <c r="AB50" s="47">
        <v>3</v>
      </c>
      <c r="AC50" s="47">
        <v>10</v>
      </c>
      <c r="AD50" s="47">
        <f>40-IF(Raza="Daimah",10,0)</f>
        <v>40</v>
      </c>
      <c r="AE50" s="47">
        <v>0</v>
      </c>
      <c r="AF50" s="132">
        <v>12</v>
      </c>
      <c r="AH50" s="2078" t="s">
        <v>2660</v>
      </c>
      <c r="AI50" s="2079" t="b">
        <f>OR(Ki!$P$65="-",Ki!$H$75="-")</f>
        <v>0</v>
      </c>
      <c r="AJ50" s="2080" t="b">
        <f>OR(Ki!$P$66="-",Ki!$H$76="-")</f>
        <v>0</v>
      </c>
      <c r="AM50" s="3008" t="s">
        <v>8069</v>
      </c>
      <c r="AN50" s="3285"/>
      <c r="AO50" s="3285">
        <f>MAX(1,MIN(20,IF(Zen_TM,Principal!AS20,IF(Inhumanidad_TM,MIN(13,Principal!AS20),MIN(10,Principal!AS20)))+Principal!L18))</f>
        <v>1</v>
      </c>
      <c r="AP50" s="2738">
        <v>1</v>
      </c>
      <c r="AQ50" s="2738" t="str">
        <f>IF(ISNA(INDEX($AM$50:$AM$57,MATCH($A1,AP$50:AP$57,0))),"",INDEX($AM$50:$AM$57,MATCH($A1,AP$50:AP$57,0)))</f>
        <v>Suelo</v>
      </c>
      <c r="AR50" s="3009"/>
    </row>
    <row r="51" spans="1:44" ht="12.75" customHeight="1">
      <c r="A51" s="219">
        <v>51</v>
      </c>
      <c r="B51" s="7145"/>
      <c r="C51" s="569">
        <v>14</v>
      </c>
      <c r="D51" s="47">
        <v>7</v>
      </c>
      <c r="E51" s="57">
        <f>I51*IF($G$521,0.5,1)*IF(Acumulacion="Sí",PDs!$T$204,1)</f>
        <v>100</v>
      </c>
      <c r="F51" s="57" t="s">
        <v>9645</v>
      </c>
      <c r="G51" s="1076" t="s">
        <v>1844</v>
      </c>
      <c r="H51" s="1053" t="s">
        <v>7959</v>
      </c>
      <c r="I51" s="2268">
        <v>100</v>
      </c>
      <c r="J51" s="85">
        <v>14</v>
      </c>
      <c r="K51" s="193" t="s">
        <v>1876</v>
      </c>
      <c r="M51" s="1080">
        <v>15</v>
      </c>
      <c r="N51" s="84">
        <v>200</v>
      </c>
      <c r="O51" s="1030">
        <v>20</v>
      </c>
      <c r="Q51" s="247" t="s">
        <v>1357</v>
      </c>
      <c r="W51" s="85">
        <v>23</v>
      </c>
      <c r="X51" s="84" t="s">
        <v>1821</v>
      </c>
      <c r="Y51" s="47">
        <v>10</v>
      </c>
      <c r="Z51" s="47">
        <v>0</v>
      </c>
      <c r="AA51" s="47">
        <v>5</v>
      </c>
      <c r="AB51" s="47">
        <v>4</v>
      </c>
      <c r="AC51" s="47">
        <f>20</f>
        <v>20</v>
      </c>
      <c r="AD51" s="47">
        <f>60-IF(Raza="Daimah",10,0)</f>
        <v>60</v>
      </c>
      <c r="AE51" s="47">
        <v>4</v>
      </c>
      <c r="AF51" s="132">
        <v>16</v>
      </c>
      <c r="AH51" s="2074" t="s">
        <v>1312</v>
      </c>
      <c r="AI51" s="920" t="b">
        <f>OR(Raza="Sylvain",Raza="Duk'zarist")</f>
        <v>0</v>
      </c>
      <c r="AJ51" s="2075" t="b">
        <f>FALSE</f>
        <v>0</v>
      </c>
      <c r="AM51" s="3008" t="s">
        <v>9581</v>
      </c>
      <c r="AN51" s="3285" t="b">
        <f>MovimientodeVacío</f>
        <v>0</v>
      </c>
      <c r="AO51" s="3285">
        <f>IF(AN51,MAX(1,MIN(20,POD+Principal!L18)),0)</f>
        <v>0</v>
      </c>
      <c r="AP51" s="2738">
        <f>IF(AN51,MAX($AP50:AP50)+1,0)</f>
        <v>0</v>
      </c>
      <c r="AQ51" s="2738" t="str">
        <f t="shared" ref="AQ51:AQ57" si="1">IF(ISNA(INDEX($AM$50:$AM$57,MATCH($A2,AP$50:AP$57,0))),"",INDEX($AM$50:$AM$57,MATCH($A2,AP$50:AP$57,0)))</f>
        <v/>
      </c>
      <c r="AR51" s="3009"/>
    </row>
    <row r="52" spans="1:44" ht="12.75" customHeight="1">
      <c r="A52" s="219">
        <v>52</v>
      </c>
      <c r="B52" s="7145"/>
      <c r="C52" s="569">
        <v>15</v>
      </c>
      <c r="D52" s="47">
        <v>8</v>
      </c>
      <c r="E52" s="57">
        <f>I52*IF($G$521,0.5,1)*IF(Acumulacion="Sí",PDs!$T$204,1)</f>
        <v>250</v>
      </c>
      <c r="F52" s="57" t="s">
        <v>9645</v>
      </c>
      <c r="G52" s="1076" t="s">
        <v>1845</v>
      </c>
      <c r="H52" s="1053" t="s">
        <v>7960</v>
      </c>
      <c r="I52" s="2268">
        <v>250</v>
      </c>
      <c r="J52" s="85">
        <v>15</v>
      </c>
      <c r="K52" s="193" t="s">
        <v>1877</v>
      </c>
      <c r="M52" s="1080">
        <v>16</v>
      </c>
      <c r="N52" s="84">
        <v>215</v>
      </c>
      <c r="O52" s="1030">
        <v>25</v>
      </c>
      <c r="Q52" s="247" t="s">
        <v>1411</v>
      </c>
      <c r="W52" s="85">
        <v>25</v>
      </c>
      <c r="X52" s="84" t="s">
        <v>1822</v>
      </c>
      <c r="Y52" s="47">
        <v>0</v>
      </c>
      <c r="Z52" s="47">
        <v>1</v>
      </c>
      <c r="AA52" s="47">
        <v>10</v>
      </c>
      <c r="AB52" s="47">
        <v>6</v>
      </c>
      <c r="AC52" s="47">
        <f>30</f>
        <v>30</v>
      </c>
      <c r="AD52" s="47">
        <f>100-IF(Raza="Daimah",10,0)</f>
        <v>100</v>
      </c>
      <c r="AE52" s="47">
        <v>8</v>
      </c>
      <c r="AF52" s="132">
        <v>20</v>
      </c>
      <c r="AH52" s="2074" t="s">
        <v>9215</v>
      </c>
      <c r="AI52" s="920" t="b">
        <f>$H$1444&gt;0</f>
        <v>0</v>
      </c>
      <c r="AJ52" s="2075" t="b">
        <f>$H$1445&gt;0</f>
        <v>0</v>
      </c>
      <c r="AM52" s="3008" t="s">
        <v>8063</v>
      </c>
      <c r="AN52" s="3285" t="b">
        <f>IF(OR(Raza="Ebudan",AND(Nephilim="Nephilim Ebudan",SueAman="Cumplido"),COUNTIF($R$1531:$R$1535,1)&gt;0),TRUE,FALSE)</f>
        <v>0</v>
      </c>
      <c r="AO52" s="3285">
        <f>IF(AN52,MIN(20,MAX(IF(OR(Raza="Ebudan",AND(Nephilim="Nephilim Ebudan",SueAman="Cumplido")),12+Principal!L18,0),$S$1531+Principal!L18)),0)</f>
        <v>0</v>
      </c>
      <c r="AP52" s="2738">
        <f>IF(AN52,MAX(AP$50:AP51)+1,0)</f>
        <v>0</v>
      </c>
      <c r="AQ52" s="2738" t="str">
        <f t="shared" si="1"/>
        <v/>
      </c>
      <c r="AR52" s="3009"/>
    </row>
    <row r="53" spans="1:44" ht="12.75" customHeight="1">
      <c r="A53" s="219">
        <v>53</v>
      </c>
      <c r="B53" s="7145"/>
      <c r="C53" s="569">
        <v>16</v>
      </c>
      <c r="D53" s="47">
        <v>9</v>
      </c>
      <c r="E53" s="57">
        <f>I53*IF($G$521,0.5,1)*IF(Acumulacion="Sí",PDs!$T$204,1)</f>
        <v>500</v>
      </c>
      <c r="F53" s="57" t="s">
        <v>9645</v>
      </c>
      <c r="G53" s="1076" t="s">
        <v>1846</v>
      </c>
      <c r="H53" s="1053" t="s">
        <v>7961</v>
      </c>
      <c r="I53" s="2268">
        <v>500</v>
      </c>
      <c r="J53" s="85">
        <v>16</v>
      </c>
      <c r="K53" s="193" t="s">
        <v>1878</v>
      </c>
      <c r="M53" s="1080">
        <v>17</v>
      </c>
      <c r="N53" s="84">
        <v>225</v>
      </c>
      <c r="O53" s="1030">
        <v>25</v>
      </c>
      <c r="Q53" s="247" t="s">
        <v>1412</v>
      </c>
      <c r="W53" s="85">
        <v>29</v>
      </c>
      <c r="X53" s="84" t="s">
        <v>1823</v>
      </c>
      <c r="Y53" s="47">
        <v>-10</v>
      </c>
      <c r="Z53" s="47">
        <v>2</v>
      </c>
      <c r="AA53" s="47">
        <v>15</v>
      </c>
      <c r="AB53" s="47">
        <v>8</v>
      </c>
      <c r="AC53" s="47">
        <f>40</f>
        <v>40</v>
      </c>
      <c r="AD53" s="47">
        <f>120-IF(Raza="Daimah",10,0)</f>
        <v>120</v>
      </c>
      <c r="AE53" s="47">
        <v>12</v>
      </c>
      <c r="AF53" s="132">
        <v>28</v>
      </c>
      <c r="AH53" s="2074" t="s">
        <v>8850</v>
      </c>
      <c r="AI53" s="920" t="b">
        <f>OR($P$272&gt;0,$P$273&gt;0)</f>
        <v>0</v>
      </c>
      <c r="AJ53" s="2075" t="b">
        <f>FALSE</f>
        <v>0</v>
      </c>
      <c r="AM53" s="3008" t="s">
        <v>8064</v>
      </c>
      <c r="AN53" s="3285" t="b">
        <f>IF(OR(COUNTIF($R$1536:$R$1542,1)&gt;0,'Tablas psiquica'!AO27&gt;0),TRUE,FALSE)</f>
        <v>0</v>
      </c>
      <c r="AO53" s="3285">
        <f>IF(AN53,MIN(20,MAX($S$1536,'Tablas psiquica'!AO27)+Principal!L18),0)</f>
        <v>0</v>
      </c>
      <c r="AP53" s="2738">
        <f>IF(AN53,MAX(AP$50:AP52)+1,0)</f>
        <v>0</v>
      </c>
      <c r="AQ53" s="2738" t="str">
        <f t="shared" si="1"/>
        <v/>
      </c>
      <c r="AR53" s="3009" t="str">
        <f>IFERROR(VLOOKUP(AQ53,S61:U66,3,FALSE),"")</f>
        <v/>
      </c>
    </row>
    <row r="54" spans="1:44" ht="12.75" customHeight="1" thickBot="1">
      <c r="A54" s="219">
        <v>54</v>
      </c>
      <c r="B54" s="7145"/>
      <c r="C54" s="569">
        <v>17</v>
      </c>
      <c r="D54" s="47">
        <v>10</v>
      </c>
      <c r="E54" s="57">
        <f>I54*IF($G$521,0.5,1)*IF(Acumulacion="Sí",PDs!$T$204,1)</f>
        <v>1</v>
      </c>
      <c r="F54" s="57" t="s">
        <v>9646</v>
      </c>
      <c r="G54" s="1076" t="s">
        <v>1847</v>
      </c>
      <c r="H54" s="1053" t="s">
        <v>7962</v>
      </c>
      <c r="I54" s="2268">
        <v>1</v>
      </c>
      <c r="J54" s="85">
        <v>17</v>
      </c>
      <c r="K54" s="193" t="s">
        <v>1879</v>
      </c>
      <c r="M54" s="1080">
        <v>18</v>
      </c>
      <c r="N54" s="84">
        <v>240</v>
      </c>
      <c r="O54" s="1030">
        <v>30</v>
      </c>
      <c r="Q54" s="247" t="s">
        <v>1413</v>
      </c>
      <c r="W54" s="186">
        <v>34</v>
      </c>
      <c r="X54" s="187" t="s">
        <v>1824</v>
      </c>
      <c r="Y54" s="556">
        <v>-20</v>
      </c>
      <c r="Z54" s="556">
        <v>3</v>
      </c>
      <c r="AA54" s="556">
        <v>20</v>
      </c>
      <c r="AB54" s="556">
        <v>10</v>
      </c>
      <c r="AC54" s="556">
        <f>60</f>
        <v>60</v>
      </c>
      <c r="AD54" s="556">
        <f>140-IF(Raza="Daimah",10,0)</f>
        <v>140</v>
      </c>
      <c r="AE54" s="556">
        <v>16</v>
      </c>
      <c r="AF54" s="560">
        <v>34</v>
      </c>
      <c r="AH54" s="2273" t="s">
        <v>9677</v>
      </c>
      <c r="AI54" s="920" t="b">
        <f>Personalización!$AO$60&gt;0</f>
        <v>0</v>
      </c>
      <c r="AJ54" s="2075" t="b">
        <v>0</v>
      </c>
      <c r="AM54" s="3008" t="s">
        <v>8061</v>
      </c>
      <c r="AN54" s="3285" t="b">
        <f>IF(OR(R1852&gt;0,AND(Raza="Turak",COUNTIF(Cercanía_Dragón,"Alas de Dragón")&gt;0)),TRUE,FALSE)</f>
        <v>0</v>
      </c>
      <c r="AO54" s="3285">
        <f>IF(AN54,MIN(20,MAX(IF(AND(Raza="Turak",COUNTIF(Cercanía_Dragón,"Alas de Dragón")&gt;0),10+Principal!L18,0),AO50)),0)</f>
        <v>0</v>
      </c>
      <c r="AP54" s="2738">
        <f>IF(AN54,MAX(AP$50:AP53)+1,0)</f>
        <v>0</v>
      </c>
      <c r="AQ54" s="2738" t="str">
        <f t="shared" si="1"/>
        <v/>
      </c>
      <c r="AR54" s="3009" t="str">
        <f>IFERROR(VLOOKUP(AQ54,S62:U67,3,FALSE),"")</f>
        <v/>
      </c>
    </row>
    <row r="55" spans="1:44" ht="12.75" customHeight="1" thickBot="1">
      <c r="A55" s="219">
        <v>55</v>
      </c>
      <c r="B55" s="7145"/>
      <c r="C55" s="569">
        <v>18</v>
      </c>
      <c r="D55" s="47">
        <v>11</v>
      </c>
      <c r="E55" s="57">
        <f>I55*IF($G$521,0.5,1)*IF(Acumulacion="Sí",PDs!$T$204,1)</f>
        <v>2</v>
      </c>
      <c r="F55" s="57" t="s">
        <v>9646</v>
      </c>
      <c r="G55" s="1076" t="s">
        <v>1848</v>
      </c>
      <c r="H55" s="1053" t="s">
        <v>7963</v>
      </c>
      <c r="I55" s="2268">
        <v>2</v>
      </c>
      <c r="J55" s="85">
        <v>18</v>
      </c>
      <c r="K55" s="193" t="s">
        <v>1880</v>
      </c>
      <c r="M55" s="1080">
        <v>19</v>
      </c>
      <c r="N55" s="84">
        <v>250</v>
      </c>
      <c r="O55" s="1030">
        <v>30</v>
      </c>
      <c r="Q55" s="247" t="s">
        <v>1414</v>
      </c>
      <c r="AH55" s="2082" t="s">
        <v>9464</v>
      </c>
      <c r="AI55" s="2076" t="b">
        <f>OR($AI$50,$AI$51,$AI$52,$AI$53,$AI$54,Zen)</f>
        <v>0</v>
      </c>
      <c r="AJ55" s="2077" t="b">
        <f>OR($AJ$50,$AJ$51,$AJ$52,$AJ$53,$AJ$54)</f>
        <v>0</v>
      </c>
      <c r="AM55" s="3008" t="s">
        <v>8065</v>
      </c>
      <c r="AN55" s="2738" t="b">
        <f>IF(R1505&gt;0,TRUE,FALSE)</f>
        <v>0</v>
      </c>
      <c r="AO55" s="2738">
        <f>IF(AN55,MIN(20,AO50),0)</f>
        <v>0</v>
      </c>
      <c r="AP55" s="2738">
        <f>IF(AN55,MAX(AP$50:AP54)+1,0)</f>
        <v>0</v>
      </c>
      <c r="AQ55" s="2738" t="str">
        <f t="shared" si="1"/>
        <v/>
      </c>
      <c r="AR55" s="3009" t="str">
        <f>IFERROR(VLOOKUP(AQ55,S63:U68,3,FALSE),"")</f>
        <v/>
      </c>
    </row>
    <row r="56" spans="1:44" ht="12.75" customHeight="1" thickBot="1">
      <c r="A56" s="219">
        <v>56</v>
      </c>
      <c r="B56" s="7145"/>
      <c r="C56" s="569">
        <v>19</v>
      </c>
      <c r="D56" s="47">
        <v>12</v>
      </c>
      <c r="E56" s="57">
        <f>I56*IF($G$521,0.5,1)*IF(Acumulacion="Sí",PDs!$T$204,1)</f>
        <v>5</v>
      </c>
      <c r="F56" s="57" t="s">
        <v>9646</v>
      </c>
      <c r="G56" s="1076" t="s">
        <v>1849</v>
      </c>
      <c r="H56" s="1053" t="s">
        <v>7964</v>
      </c>
      <c r="I56" s="2268">
        <v>5</v>
      </c>
      <c r="J56" s="85">
        <v>19</v>
      </c>
      <c r="K56" s="193" t="s">
        <v>1881</v>
      </c>
      <c r="M56" s="1081">
        <v>20</v>
      </c>
      <c r="N56" s="446">
        <v>265</v>
      </c>
      <c r="O56" s="1082">
        <v>35</v>
      </c>
      <c r="Q56" s="250" t="s">
        <v>1415</v>
      </c>
      <c r="AH56" s="8171" t="s">
        <v>9501</v>
      </c>
      <c r="AI56" s="8172"/>
      <c r="AJ56" s="8173"/>
      <c r="AM56" s="3278" t="s">
        <v>8066</v>
      </c>
      <c r="AN56" s="2738" t="b">
        <f>IF(OR($R$1508&gt;0,$R$1509&gt;0),TRUE,FALSE)</f>
        <v>0</v>
      </c>
      <c r="AO56" s="2738">
        <f>IF(AN56,MIN(20,AO50),0)</f>
        <v>0</v>
      </c>
      <c r="AP56" s="2738">
        <f>IF(AN56,MAX(AP$50:AP55)+1,0)</f>
        <v>0</v>
      </c>
      <c r="AQ56" s="2738" t="str">
        <f t="shared" si="1"/>
        <v/>
      </c>
      <c r="AR56" s="3280" t="str">
        <f>IFERROR(VLOOKUP(AQ56,S64:U69,3,FALSE),"")</f>
        <v/>
      </c>
    </row>
    <row r="57" spans="1:44" ht="12.75" customHeight="1" thickBot="1">
      <c r="A57" s="219">
        <v>57</v>
      </c>
      <c r="B57" s="7145"/>
      <c r="C57" s="569">
        <v>20</v>
      </c>
      <c r="D57" s="47">
        <v>12</v>
      </c>
      <c r="E57" s="57">
        <f>I57*IF($G$521,0.5,1)*IF(Acumulacion="Sí",PDs!$T$204,1)</f>
        <v>5</v>
      </c>
      <c r="F57" s="57" t="s">
        <v>9646</v>
      </c>
      <c r="G57" s="1076" t="s">
        <v>1849</v>
      </c>
      <c r="H57" s="1053" t="s">
        <v>7964</v>
      </c>
      <c r="I57" s="2268">
        <v>5</v>
      </c>
      <c r="J57" s="186">
        <v>20</v>
      </c>
      <c r="K57" s="195" t="s">
        <v>1882</v>
      </c>
      <c r="N57"/>
      <c r="O57" s="510"/>
      <c r="AA57" s="2112" t="s">
        <v>1125</v>
      </c>
      <c r="AH57" s="2074" t="s">
        <v>9466</v>
      </c>
      <c r="AI57" s="920" t="b">
        <f>Místicos!$BB$61</f>
        <v>0</v>
      </c>
      <c r="AJ57" s="2075" t="b">
        <f>Místicos!$BC$61</f>
        <v>0</v>
      </c>
      <c r="AM57" s="3010" t="s">
        <v>10516</v>
      </c>
      <c r="AN57" s="3286" t="b">
        <f>IF(COUNTIF(Combate!AB79:AG88,"Motus: Saltos en el Espacio")=1,TRUE,FALSE)</f>
        <v>0</v>
      </c>
      <c r="AO57" s="3286">
        <f>IF(AN57,MAX(1,MIN(20,VOL+Principal!L18)),0)</f>
        <v>0</v>
      </c>
      <c r="AP57" s="3286">
        <f>IF(AN57,MAX(AP$50:AP56)+1,0)</f>
        <v>0</v>
      </c>
      <c r="AQ57" s="3286" t="str">
        <f t="shared" si="1"/>
        <v/>
      </c>
      <c r="AR57" s="3011" t="str">
        <f>IFERROR(VLOOKUP(AQ57,S65:U70,3,FALSE),"")</f>
        <v/>
      </c>
    </row>
    <row r="58" spans="1:44" ht="12.75" customHeight="1" thickBot="1">
      <c r="A58" s="219">
        <v>58</v>
      </c>
      <c r="B58" s="7145"/>
      <c r="C58" s="443"/>
      <c r="D58" s="47">
        <v>13</v>
      </c>
      <c r="E58" s="57">
        <f>I58*IF($G$521,0.5,1)*IF(Acumulacion="Sí",PDs!$T$204,1)</f>
        <v>10</v>
      </c>
      <c r="F58" s="57" t="s">
        <v>9646</v>
      </c>
      <c r="G58" s="1076" t="s">
        <v>1850</v>
      </c>
      <c r="H58" s="1053" t="s">
        <v>7965</v>
      </c>
      <c r="I58" s="2268">
        <v>10</v>
      </c>
      <c r="AA58" s="2113" t="b">
        <f>OR(Tablas!H1448,Tablas!H1455,TipoDeCriatura="Entre mundos, Creación",TipoDeCriatura="Ánima",TipoDeCriatura="Ánima, Elemental",TipoDeCriatura="No muerto",TipoDeCriatura="No muerto, Creación",TipoDeCriatura="No muerto, Espectro",Tablas!J2070)</f>
        <v>0</v>
      </c>
      <c r="AH58" s="2074" t="s">
        <v>9470</v>
      </c>
      <c r="AI58" s="920" t="b">
        <f>Místicos!$BD$61</f>
        <v>0</v>
      </c>
      <c r="AJ58" s="2075" t="b">
        <f>Místicos!$BE$61</f>
        <v>0</v>
      </c>
      <c r="AM58" s="3287" t="s">
        <v>8080</v>
      </c>
      <c r="AN58" s="3288" t="str">
        <f>TipodeMovimiento&amp;" ("&amp;VLOOKUP(TipodeMovimiento,Tabla_TipoMovimiento,2,FALSE)&amp;")"&amp;IF(NOT(OR(AN51:AN56)),""," "&amp;AM50&amp;IF(AN51,", "&amp;AO51&amp;" "&amp;AM51,"")&amp;IF(AN52,", "&amp;AO52&amp;" "&amp;AM52,"")&amp;IF(AN53,", "&amp;AO53&amp;" "&amp;AM53,"")&amp;IF(AN54,", "&amp;AO54&amp;" "&amp;AM54,"")&amp;IF(AN55,", "&amp;AO55&amp;" "&amp;AM55,"")&amp;IF(AN56,", "&amp;AO56&amp;" "&amp;AM56,""))</f>
        <v>1 (&lt; 1 m / asalto)</v>
      </c>
      <c r="AO58" s="3289"/>
      <c r="AP58" s="3290"/>
      <c r="AQ58" s="8159" t="str">
        <f>IF(COUNTIF(AN51:AN57,TRUE)&gt;0,"Tablas!"&amp;ADDRESS(ROW(AQ50),COLUMN(AQ50))&amp;":"&amp;ADDRESS(ROW(AQ50)+MATCH("",$AQ$50:$AQ$57,0)-2,COLUMN(AQ50)),"")</f>
        <v/>
      </c>
      <c r="AR58" s="8160"/>
    </row>
    <row r="59" spans="1:44" ht="12.75" customHeight="1">
      <c r="A59" s="219">
        <v>59</v>
      </c>
      <c r="B59" s="7145"/>
      <c r="C59" s="443"/>
      <c r="D59" s="47">
        <v>14</v>
      </c>
      <c r="E59" s="57">
        <f>I59*IF($G$521,0.5,1)*IF(Acumulacion="Sí",PDs!$T$204,1)</f>
        <v>1</v>
      </c>
      <c r="F59" s="57" t="s">
        <v>9647</v>
      </c>
      <c r="G59" s="1076" t="s">
        <v>1851</v>
      </c>
      <c r="H59" s="1053" t="s">
        <v>7966</v>
      </c>
      <c r="I59" s="2268">
        <v>1</v>
      </c>
      <c r="AH59" s="2074" t="s">
        <v>9471</v>
      </c>
      <c r="AI59" s="920" t="b">
        <f>Místicos!$BF$61</f>
        <v>0</v>
      </c>
      <c r="AJ59" s="2075" t="b">
        <f>Místicos!$BG$61</f>
        <v>0</v>
      </c>
    </row>
    <row r="60" spans="1:44" ht="12.75" customHeight="1">
      <c r="A60" s="219">
        <v>60</v>
      </c>
      <c r="B60" s="7145"/>
      <c r="C60" s="443"/>
      <c r="D60" s="47">
        <v>15</v>
      </c>
      <c r="E60" s="57">
        <f>I60*IF($G$521,0.5,1)*IF(Acumulacion="Sí",PDs!$T$204,1)</f>
        <v>5</v>
      </c>
      <c r="F60" s="57" t="s">
        <v>9647</v>
      </c>
      <c r="G60" s="1076" t="s">
        <v>1852</v>
      </c>
      <c r="H60" s="1053" t="s">
        <v>7967</v>
      </c>
      <c r="I60" s="2268">
        <v>5</v>
      </c>
      <c r="AH60" s="2074" t="s">
        <v>9500</v>
      </c>
      <c r="AI60" s="920" t="b">
        <f>Raza="Daimah"</f>
        <v>0</v>
      </c>
      <c r="AJ60" s="2075" t="b">
        <v>0</v>
      </c>
    </row>
    <row r="61" spans="1:44" ht="12.75" customHeight="1">
      <c r="A61" s="219">
        <v>61</v>
      </c>
      <c r="B61" s="7145"/>
      <c r="C61" s="443"/>
      <c r="D61" s="47">
        <v>16</v>
      </c>
      <c r="E61" s="57">
        <f>I61*IF($G$521,0.5,1)*IF(Acumulacion="Sí",PDs!$T$204,1)</f>
        <v>10</v>
      </c>
      <c r="F61" s="57" t="s">
        <v>9647</v>
      </c>
      <c r="G61" s="1076" t="s">
        <v>1853</v>
      </c>
      <c r="H61" s="1053" t="s">
        <v>7968</v>
      </c>
      <c r="I61" s="2268">
        <v>10</v>
      </c>
      <c r="AH61" s="2074" t="s">
        <v>9499</v>
      </c>
      <c r="AI61" s="920" t="b">
        <f>Raza="Jayán"</f>
        <v>0</v>
      </c>
      <c r="AJ61" s="2075" t="b">
        <v>0</v>
      </c>
    </row>
    <row r="62" spans="1:44" ht="12.75" customHeight="1">
      <c r="A62" s="219">
        <v>62</v>
      </c>
      <c r="B62" s="7145"/>
      <c r="C62" s="443"/>
      <c r="D62" s="47">
        <v>17</v>
      </c>
      <c r="E62" s="57">
        <f>I62*IF($G$521,0.5,1)*IF(Acumulacion="Sí",PDs!$T$204,1)</f>
        <v>25</v>
      </c>
      <c r="F62" s="57" t="s">
        <v>9647</v>
      </c>
      <c r="G62" s="1076" t="s">
        <v>1854</v>
      </c>
      <c r="H62" s="1053" t="s">
        <v>7969</v>
      </c>
      <c r="I62" s="2268">
        <v>25</v>
      </c>
      <c r="AH62" s="2074" t="s">
        <v>8583</v>
      </c>
      <c r="AI62" s="920" t="b">
        <f>'Tablas psiquica'!$AP$55&gt;0</f>
        <v>0</v>
      </c>
      <c r="AJ62" s="2075" t="b">
        <f>'Tablas psiquica'!$AP$55&gt;1</f>
        <v>0</v>
      </c>
    </row>
    <row r="63" spans="1:44" ht="12.75" customHeight="1" thickBot="1">
      <c r="A63" s="219">
        <v>63</v>
      </c>
      <c r="B63" s="7145"/>
      <c r="C63" s="443"/>
      <c r="D63" s="47">
        <v>18</v>
      </c>
      <c r="E63" s="57">
        <f>I63*IF($G$521,0.5,1)*IF(Acumulacion="Sí",PDs!$T$204,1)</f>
        <v>50</v>
      </c>
      <c r="F63" s="57" t="s">
        <v>9647</v>
      </c>
      <c r="G63" s="1076" t="s">
        <v>1855</v>
      </c>
      <c r="H63" s="1053" t="s">
        <v>7970</v>
      </c>
      <c r="I63" s="2268">
        <v>50</v>
      </c>
      <c r="AH63" s="2074" t="s">
        <v>1674</v>
      </c>
      <c r="AI63" s="920" t="b">
        <f>$J$2004&gt;0</f>
        <v>0</v>
      </c>
      <c r="AJ63" s="2075" t="b">
        <v>0</v>
      </c>
    </row>
    <row r="64" spans="1:44" ht="12.75" customHeight="1" thickBot="1">
      <c r="A64" s="219">
        <v>64</v>
      </c>
      <c r="B64" s="7145"/>
      <c r="C64" s="443"/>
      <c r="D64" s="47">
        <v>19</v>
      </c>
      <c r="E64" s="57">
        <f>I64*IF($G$521,0.5,1)*IF(Acumulacion="Sí",PDs!$T$204,1)</f>
        <v>100</v>
      </c>
      <c r="F64" s="57" t="s">
        <v>9647</v>
      </c>
      <c r="G64" s="1076" t="s">
        <v>1856</v>
      </c>
      <c r="H64" s="1053" t="s">
        <v>7971</v>
      </c>
      <c r="I64" s="2268">
        <v>100</v>
      </c>
      <c r="N64"/>
      <c r="O64" s="510"/>
      <c r="AH64" s="2081" t="s">
        <v>9467</v>
      </c>
      <c r="AI64" s="2076" t="b">
        <f>OR($AI$57,$AI$58,$AI$60,$AI$62,$AI$63,Inhumanidad,Zen_TM)</f>
        <v>0</v>
      </c>
      <c r="AJ64" s="2077" t="b">
        <f>OR($AJ$57,$AJ$58,$AJ$62,$AJ$63,Zen)</f>
        <v>0</v>
      </c>
    </row>
    <row r="65" spans="1:36" ht="12.75" customHeight="1" thickBot="1">
      <c r="A65" s="219">
        <v>65</v>
      </c>
      <c r="B65" s="7145"/>
      <c r="C65" s="445"/>
      <c r="D65" s="561">
        <v>20</v>
      </c>
      <c r="E65" s="904">
        <f>I65*IF($G$521,0.5,1)*IF(Acumulacion="Sí",PDs!$T$204,1)</f>
        <v>250</v>
      </c>
      <c r="F65" s="904" t="s">
        <v>9647</v>
      </c>
      <c r="G65" s="1077" t="s">
        <v>1856</v>
      </c>
      <c r="H65" s="1078" t="s">
        <v>7972</v>
      </c>
      <c r="I65" s="2268">
        <v>250</v>
      </c>
      <c r="N65"/>
      <c r="O65" s="510"/>
      <c r="AH65" s="2081" t="s">
        <v>9469</v>
      </c>
      <c r="AI65" s="2076" t="b">
        <f>OR($AI$57,$AI$59,$AI$61,$AI$62,$AI$63,Inhumanidad,Zen_IP)</f>
        <v>0</v>
      </c>
      <c r="AJ65" s="2077" t="b">
        <f>OR($AJ$57,$AJ$59,$AJ$62,$AJ$63,Zen)</f>
        <v>0</v>
      </c>
    </row>
    <row r="66" spans="1:36" ht="12.75" customHeight="1" thickBot="1">
      <c r="A66" s="219">
        <v>66</v>
      </c>
      <c r="B66" s="7145"/>
      <c r="H66"/>
      <c r="I66" s="510"/>
      <c r="N66"/>
      <c r="O66" s="510"/>
    </row>
    <row r="67" spans="1:36" ht="12.75" customHeight="1">
      <c r="A67" s="219">
        <v>67</v>
      </c>
      <c r="B67" s="7145"/>
      <c r="C67" s="8123" t="s">
        <v>7892</v>
      </c>
      <c r="D67" s="8124"/>
      <c r="E67" s="8124"/>
      <c r="F67" s="8124"/>
      <c r="G67" s="8124"/>
      <c r="H67" s="8124"/>
      <c r="I67" s="8124"/>
      <c r="J67" s="8124"/>
      <c r="K67" s="8124"/>
      <c r="L67" s="8124"/>
      <c r="M67" s="8124"/>
      <c r="N67" s="8125"/>
      <c r="P67" s="8123" t="s">
        <v>7891</v>
      </c>
      <c r="Q67" s="8124"/>
      <c r="R67" s="8124"/>
      <c r="S67" s="8124"/>
      <c r="T67" s="8124"/>
      <c r="U67" s="8124"/>
      <c r="V67" s="8124"/>
      <c r="W67" s="8124"/>
      <c r="X67" s="8124"/>
      <c r="Y67" s="8124"/>
      <c r="Z67" s="8124"/>
      <c r="AA67" s="8125"/>
    </row>
    <row r="68" spans="1:36" ht="12.75" customHeight="1">
      <c r="A68" s="219">
        <v>68</v>
      </c>
      <c r="B68" s="7145"/>
      <c r="C68" s="1015" t="s">
        <v>1262</v>
      </c>
      <c r="D68" s="1008" t="s">
        <v>7880</v>
      </c>
      <c r="E68" s="1008" t="s">
        <v>7881</v>
      </c>
      <c r="F68" s="1008" t="s">
        <v>7882</v>
      </c>
      <c r="G68" s="1008" t="s">
        <v>7883</v>
      </c>
      <c r="H68" s="1008" t="s">
        <v>7884</v>
      </c>
      <c r="I68" s="1008" t="s">
        <v>7885</v>
      </c>
      <c r="J68" s="1008" t="s">
        <v>7886</v>
      </c>
      <c r="K68" s="1008" t="s">
        <v>7887</v>
      </c>
      <c r="L68" s="1008" t="s">
        <v>7888</v>
      </c>
      <c r="M68" s="1008" t="s">
        <v>7889</v>
      </c>
      <c r="N68" s="1014" t="s">
        <v>7890</v>
      </c>
      <c r="P68" s="1015" t="s">
        <v>1262</v>
      </c>
      <c r="Q68" s="1008" t="s">
        <v>7880</v>
      </c>
      <c r="R68" s="1008" t="s">
        <v>7881</v>
      </c>
      <c r="S68" s="1008" t="s">
        <v>7882</v>
      </c>
      <c r="T68" s="1008" t="s">
        <v>7883</v>
      </c>
      <c r="U68" s="1008" t="s">
        <v>7884</v>
      </c>
      <c r="V68" s="1008" t="s">
        <v>7885</v>
      </c>
      <c r="W68" s="1008" t="s">
        <v>7886</v>
      </c>
      <c r="X68" s="1008" t="s">
        <v>7887</v>
      </c>
      <c r="Y68" s="1111" t="s">
        <v>7888</v>
      </c>
      <c r="Z68" s="1111" t="s">
        <v>7889</v>
      </c>
      <c r="AA68" s="1112" t="s">
        <v>7890</v>
      </c>
    </row>
    <row r="69" spans="1:36" ht="12.75" customHeight="1">
      <c r="A69" s="219">
        <v>69</v>
      </c>
      <c r="B69" s="7145"/>
      <c r="C69" s="1016">
        <v>0</v>
      </c>
      <c r="D69" s="1009">
        <v>0</v>
      </c>
      <c r="E69" s="1009">
        <v>0</v>
      </c>
      <c r="F69" s="1009">
        <v>0</v>
      </c>
      <c r="G69" s="1009">
        <v>0</v>
      </c>
      <c r="H69" s="1009">
        <v>0</v>
      </c>
      <c r="I69" s="1009">
        <v>0</v>
      </c>
      <c r="J69" s="1009">
        <v>0</v>
      </c>
      <c r="K69" s="1009">
        <v>0</v>
      </c>
      <c r="L69" s="1009">
        <v>0</v>
      </c>
      <c r="M69" s="1009">
        <v>0</v>
      </c>
      <c r="N69" s="1010">
        <v>0</v>
      </c>
      <c r="P69" s="1016">
        <v>0</v>
      </c>
      <c r="Q69" s="1009">
        <v>0</v>
      </c>
      <c r="R69" s="1009">
        <v>0</v>
      </c>
      <c r="S69" s="1009">
        <v>0</v>
      </c>
      <c r="T69" s="1009">
        <v>0</v>
      </c>
      <c r="U69" s="1009">
        <v>0</v>
      </c>
      <c r="V69" s="1009">
        <v>0</v>
      </c>
      <c r="W69" s="1009">
        <v>0</v>
      </c>
      <c r="X69" s="1009">
        <v>0</v>
      </c>
      <c r="Y69" s="1113">
        <v>0</v>
      </c>
      <c r="Z69" s="1113">
        <v>0</v>
      </c>
      <c r="AA69" s="1114">
        <v>0</v>
      </c>
    </row>
    <row r="70" spans="1:36" ht="12.75" customHeight="1">
      <c r="A70" s="219">
        <v>70</v>
      </c>
      <c r="B70" s="7145"/>
      <c r="C70" s="1016">
        <v>1</v>
      </c>
      <c r="D70" s="1009">
        <v>0</v>
      </c>
      <c r="E70" s="1009">
        <v>0</v>
      </c>
      <c r="F70" s="1009">
        <v>0</v>
      </c>
      <c r="G70" s="1009">
        <v>0</v>
      </c>
      <c r="H70" s="1009">
        <v>0</v>
      </c>
      <c r="I70" s="1009">
        <v>0</v>
      </c>
      <c r="J70" s="1009">
        <v>0</v>
      </c>
      <c r="K70" s="1009">
        <v>0</v>
      </c>
      <c r="L70" s="1009">
        <v>0</v>
      </c>
      <c r="M70" s="1009">
        <v>0</v>
      </c>
      <c r="N70" s="1010">
        <v>0</v>
      </c>
      <c r="O70" s="1011"/>
      <c r="P70" s="1016">
        <v>1</v>
      </c>
      <c r="Q70" s="1009">
        <v>100</v>
      </c>
      <c r="R70" s="1009">
        <f>Q70+25</f>
        <v>125</v>
      </c>
      <c r="S70" s="1009">
        <f t="shared" ref="S70:AA70" si="2">R70+25</f>
        <v>150</v>
      </c>
      <c r="T70" s="1009">
        <f t="shared" si="2"/>
        <v>175</v>
      </c>
      <c r="U70" s="1009">
        <f t="shared" si="2"/>
        <v>200</v>
      </c>
      <c r="V70" s="1009">
        <f t="shared" si="2"/>
        <v>225</v>
      </c>
      <c r="W70" s="1009">
        <f t="shared" si="2"/>
        <v>250</v>
      </c>
      <c r="X70" s="1009">
        <f t="shared" si="2"/>
        <v>275</v>
      </c>
      <c r="Y70" s="1113">
        <f t="shared" si="2"/>
        <v>300</v>
      </c>
      <c r="Z70" s="1113">
        <f t="shared" si="2"/>
        <v>325</v>
      </c>
      <c r="AA70" s="1114">
        <f t="shared" si="2"/>
        <v>350</v>
      </c>
    </row>
    <row r="71" spans="1:36" ht="12.75" customHeight="1">
      <c r="A71" s="219">
        <v>71</v>
      </c>
      <c r="B71" s="7145"/>
      <c r="C71" s="1016">
        <v>2</v>
      </c>
      <c r="D71" s="1009">
        <f>D70+Q70</f>
        <v>100</v>
      </c>
      <c r="E71" s="1009">
        <f>E70+R70</f>
        <v>125</v>
      </c>
      <c r="F71" s="1009">
        <f t="shared" ref="F71:N71" si="3">F70+S70</f>
        <v>150</v>
      </c>
      <c r="G71" s="1009">
        <f t="shared" si="3"/>
        <v>175</v>
      </c>
      <c r="H71" s="1009">
        <f t="shared" si="3"/>
        <v>200</v>
      </c>
      <c r="I71" s="1009">
        <f t="shared" si="3"/>
        <v>225</v>
      </c>
      <c r="J71" s="1009">
        <f t="shared" si="3"/>
        <v>250</v>
      </c>
      <c r="K71" s="1009">
        <f t="shared" si="3"/>
        <v>275</v>
      </c>
      <c r="L71" s="1009">
        <f t="shared" si="3"/>
        <v>300</v>
      </c>
      <c r="M71" s="1009">
        <f t="shared" si="3"/>
        <v>325</v>
      </c>
      <c r="N71" s="1010">
        <f t="shared" si="3"/>
        <v>350</v>
      </c>
      <c r="O71" s="1011"/>
      <c r="P71" s="1016">
        <v>2</v>
      </c>
      <c r="Q71" s="1009">
        <f>Q70+25</f>
        <v>125</v>
      </c>
      <c r="R71" s="1009">
        <f>R70+25</f>
        <v>150</v>
      </c>
      <c r="S71" s="1009">
        <f t="shared" ref="S71:AA71" si="4">S70+25</f>
        <v>175</v>
      </c>
      <c r="T71" s="1009">
        <f t="shared" si="4"/>
        <v>200</v>
      </c>
      <c r="U71" s="1009">
        <f t="shared" si="4"/>
        <v>225</v>
      </c>
      <c r="V71" s="1009">
        <f t="shared" si="4"/>
        <v>250</v>
      </c>
      <c r="W71" s="1009">
        <f t="shared" si="4"/>
        <v>275</v>
      </c>
      <c r="X71" s="1009">
        <f t="shared" si="4"/>
        <v>300</v>
      </c>
      <c r="Y71" s="1113">
        <f t="shared" si="4"/>
        <v>325</v>
      </c>
      <c r="Z71" s="1113">
        <f t="shared" si="4"/>
        <v>350</v>
      </c>
      <c r="AA71" s="1114">
        <f t="shared" si="4"/>
        <v>375</v>
      </c>
    </row>
    <row r="72" spans="1:36" ht="12.75" customHeight="1">
      <c r="A72" s="219">
        <v>72</v>
      </c>
      <c r="B72" s="7145"/>
      <c r="C72" s="1016">
        <v>3</v>
      </c>
      <c r="D72" s="1009">
        <f t="shared" ref="D72:D99" si="5">D71+Q71</f>
        <v>225</v>
      </c>
      <c r="E72" s="1009">
        <f t="shared" ref="E72:E99" si="6">E71+R71</f>
        <v>275</v>
      </c>
      <c r="F72" s="1009">
        <f t="shared" ref="F72:F99" si="7">F71+S71</f>
        <v>325</v>
      </c>
      <c r="G72" s="1009">
        <f t="shared" ref="G72:G99" si="8">G71+T71</f>
        <v>375</v>
      </c>
      <c r="H72" s="1009">
        <f t="shared" ref="H72:H99" si="9">H71+U71</f>
        <v>425</v>
      </c>
      <c r="I72" s="1009">
        <f t="shared" ref="I72:I99" si="10">I71+V71</f>
        <v>475</v>
      </c>
      <c r="J72" s="1009">
        <f t="shared" ref="J72:J99" si="11">J71+W71</f>
        <v>525</v>
      </c>
      <c r="K72" s="1009">
        <f t="shared" ref="K72:K99" si="12">K71+X71</f>
        <v>575</v>
      </c>
      <c r="L72" s="1009">
        <f t="shared" ref="L72:L99" si="13">L71+Y71</f>
        <v>625</v>
      </c>
      <c r="M72" s="1009">
        <f t="shared" ref="M72:M99" si="14">M71+Z71</f>
        <v>675</v>
      </c>
      <c r="N72" s="1010">
        <f t="shared" ref="N72:N99" si="15">N71+AA71</f>
        <v>725</v>
      </c>
      <c r="O72" s="1011"/>
      <c r="P72" s="1016">
        <v>3</v>
      </c>
      <c r="Q72" s="1009">
        <f t="shared" ref="Q72:Q99" si="16">Q71+25</f>
        <v>150</v>
      </c>
      <c r="R72" s="1009">
        <f t="shared" ref="R72:R99" si="17">R71+25</f>
        <v>175</v>
      </c>
      <c r="S72" s="1009">
        <f t="shared" ref="S72:S99" si="18">S71+25</f>
        <v>200</v>
      </c>
      <c r="T72" s="1009">
        <f t="shared" ref="T72:T99" si="19">T71+25</f>
        <v>225</v>
      </c>
      <c r="U72" s="1009">
        <f t="shared" ref="U72:U99" si="20">U71+25</f>
        <v>250</v>
      </c>
      <c r="V72" s="1009">
        <f t="shared" ref="V72:V99" si="21">V71+25</f>
        <v>275</v>
      </c>
      <c r="W72" s="1009">
        <f t="shared" ref="W72:W99" si="22">W71+25</f>
        <v>300</v>
      </c>
      <c r="X72" s="1009">
        <f t="shared" ref="X72:X99" si="23">X71+25</f>
        <v>325</v>
      </c>
      <c r="Y72" s="1113">
        <f t="shared" ref="Y72:Y99" si="24">Y71+25</f>
        <v>350</v>
      </c>
      <c r="Z72" s="1113">
        <f t="shared" ref="Z72:Z99" si="25">Z71+25</f>
        <v>375</v>
      </c>
      <c r="AA72" s="1114">
        <f t="shared" ref="AA72:AA99" si="26">AA71+25</f>
        <v>400</v>
      </c>
    </row>
    <row r="73" spans="1:36" ht="12.75" customHeight="1">
      <c r="A73" s="219">
        <v>73</v>
      </c>
      <c r="B73" s="7145"/>
      <c r="C73" s="1016">
        <v>4</v>
      </c>
      <c r="D73" s="1009">
        <f t="shared" si="5"/>
        <v>375</v>
      </c>
      <c r="E73" s="1009">
        <f t="shared" si="6"/>
        <v>450</v>
      </c>
      <c r="F73" s="1009">
        <f t="shared" si="7"/>
        <v>525</v>
      </c>
      <c r="G73" s="1009">
        <f t="shared" si="8"/>
        <v>600</v>
      </c>
      <c r="H73" s="1009">
        <f t="shared" si="9"/>
        <v>675</v>
      </c>
      <c r="I73" s="1009">
        <f t="shared" si="10"/>
        <v>750</v>
      </c>
      <c r="J73" s="1009">
        <f t="shared" si="11"/>
        <v>825</v>
      </c>
      <c r="K73" s="1009">
        <f t="shared" si="12"/>
        <v>900</v>
      </c>
      <c r="L73" s="1009">
        <f t="shared" si="13"/>
        <v>975</v>
      </c>
      <c r="M73" s="1009">
        <f t="shared" si="14"/>
        <v>1050</v>
      </c>
      <c r="N73" s="1010">
        <f t="shared" si="15"/>
        <v>1125</v>
      </c>
      <c r="O73" s="1011"/>
      <c r="P73" s="1016">
        <v>4</v>
      </c>
      <c r="Q73" s="1009">
        <f t="shared" si="16"/>
        <v>175</v>
      </c>
      <c r="R73" s="1009">
        <f t="shared" si="17"/>
        <v>200</v>
      </c>
      <c r="S73" s="1009">
        <f t="shared" si="18"/>
        <v>225</v>
      </c>
      <c r="T73" s="1009">
        <f t="shared" si="19"/>
        <v>250</v>
      </c>
      <c r="U73" s="1009">
        <f t="shared" si="20"/>
        <v>275</v>
      </c>
      <c r="V73" s="1009">
        <f t="shared" si="21"/>
        <v>300</v>
      </c>
      <c r="W73" s="1009">
        <f t="shared" si="22"/>
        <v>325</v>
      </c>
      <c r="X73" s="1009">
        <f t="shared" si="23"/>
        <v>350</v>
      </c>
      <c r="Y73" s="1113">
        <f t="shared" si="24"/>
        <v>375</v>
      </c>
      <c r="Z73" s="1113">
        <f t="shared" si="25"/>
        <v>400</v>
      </c>
      <c r="AA73" s="1114">
        <f t="shared" si="26"/>
        <v>425</v>
      </c>
    </row>
    <row r="74" spans="1:36" ht="12.75" customHeight="1">
      <c r="A74" s="219">
        <v>74</v>
      </c>
      <c r="B74" s="7145"/>
      <c r="C74" s="1016">
        <v>5</v>
      </c>
      <c r="D74" s="1009">
        <f t="shared" si="5"/>
        <v>550</v>
      </c>
      <c r="E74" s="1009">
        <f t="shared" si="6"/>
        <v>650</v>
      </c>
      <c r="F74" s="1009">
        <f t="shared" si="7"/>
        <v>750</v>
      </c>
      <c r="G74" s="1009">
        <f t="shared" si="8"/>
        <v>850</v>
      </c>
      <c r="H74" s="1009">
        <f t="shared" si="9"/>
        <v>950</v>
      </c>
      <c r="I74" s="1009">
        <f t="shared" si="10"/>
        <v>1050</v>
      </c>
      <c r="J74" s="1009">
        <f t="shared" si="11"/>
        <v>1150</v>
      </c>
      <c r="K74" s="1009">
        <f t="shared" si="12"/>
        <v>1250</v>
      </c>
      <c r="L74" s="1009">
        <f t="shared" si="13"/>
        <v>1350</v>
      </c>
      <c r="M74" s="1009">
        <f t="shared" si="14"/>
        <v>1450</v>
      </c>
      <c r="N74" s="1010">
        <f t="shared" si="15"/>
        <v>1550</v>
      </c>
      <c r="O74" s="1011"/>
      <c r="P74" s="1016">
        <v>5</v>
      </c>
      <c r="Q74" s="1009">
        <f t="shared" si="16"/>
        <v>200</v>
      </c>
      <c r="R74" s="1009">
        <f t="shared" si="17"/>
        <v>225</v>
      </c>
      <c r="S74" s="1009">
        <f t="shared" si="18"/>
        <v>250</v>
      </c>
      <c r="T74" s="1009">
        <f t="shared" si="19"/>
        <v>275</v>
      </c>
      <c r="U74" s="1009">
        <f t="shared" si="20"/>
        <v>300</v>
      </c>
      <c r="V74" s="1009">
        <f t="shared" si="21"/>
        <v>325</v>
      </c>
      <c r="W74" s="1009">
        <f t="shared" si="22"/>
        <v>350</v>
      </c>
      <c r="X74" s="1009">
        <f t="shared" si="23"/>
        <v>375</v>
      </c>
      <c r="Y74" s="1113">
        <f t="shared" si="24"/>
        <v>400</v>
      </c>
      <c r="Z74" s="1113">
        <f t="shared" si="25"/>
        <v>425</v>
      </c>
      <c r="AA74" s="1114">
        <f t="shared" si="26"/>
        <v>450</v>
      </c>
    </row>
    <row r="75" spans="1:36" ht="12.75" customHeight="1">
      <c r="A75" s="219">
        <v>75</v>
      </c>
      <c r="B75" s="7145"/>
      <c r="C75" s="1016">
        <v>6</v>
      </c>
      <c r="D75" s="1009">
        <f t="shared" si="5"/>
        <v>750</v>
      </c>
      <c r="E75" s="1009">
        <f t="shared" si="6"/>
        <v>875</v>
      </c>
      <c r="F75" s="1009">
        <f t="shared" si="7"/>
        <v>1000</v>
      </c>
      <c r="G75" s="1009">
        <f t="shared" si="8"/>
        <v>1125</v>
      </c>
      <c r="H75" s="1009">
        <f t="shared" si="9"/>
        <v>1250</v>
      </c>
      <c r="I75" s="1009">
        <f t="shared" si="10"/>
        <v>1375</v>
      </c>
      <c r="J75" s="1009">
        <f t="shared" si="11"/>
        <v>1500</v>
      </c>
      <c r="K75" s="1009">
        <f t="shared" si="12"/>
        <v>1625</v>
      </c>
      <c r="L75" s="1009">
        <f t="shared" si="13"/>
        <v>1750</v>
      </c>
      <c r="M75" s="1009">
        <f t="shared" si="14"/>
        <v>1875</v>
      </c>
      <c r="N75" s="1010">
        <f t="shared" si="15"/>
        <v>2000</v>
      </c>
      <c r="O75" s="1011"/>
      <c r="P75" s="1016">
        <v>6</v>
      </c>
      <c r="Q75" s="1009">
        <f t="shared" si="16"/>
        <v>225</v>
      </c>
      <c r="R75" s="1009">
        <f t="shared" si="17"/>
        <v>250</v>
      </c>
      <c r="S75" s="1009">
        <f t="shared" si="18"/>
        <v>275</v>
      </c>
      <c r="T75" s="1009">
        <f t="shared" si="19"/>
        <v>300</v>
      </c>
      <c r="U75" s="1009">
        <f t="shared" si="20"/>
        <v>325</v>
      </c>
      <c r="V75" s="1009">
        <f t="shared" si="21"/>
        <v>350</v>
      </c>
      <c r="W75" s="1009">
        <f t="shared" si="22"/>
        <v>375</v>
      </c>
      <c r="X75" s="1009">
        <f t="shared" si="23"/>
        <v>400</v>
      </c>
      <c r="Y75" s="1113">
        <f t="shared" si="24"/>
        <v>425</v>
      </c>
      <c r="Z75" s="1113">
        <f t="shared" si="25"/>
        <v>450</v>
      </c>
      <c r="AA75" s="1114">
        <f t="shared" si="26"/>
        <v>475</v>
      </c>
    </row>
    <row r="76" spans="1:36" ht="12.75" customHeight="1">
      <c r="A76" s="219">
        <v>76</v>
      </c>
      <c r="B76" s="7145"/>
      <c r="C76" s="1016">
        <v>7</v>
      </c>
      <c r="D76" s="1009">
        <f t="shared" si="5"/>
        <v>975</v>
      </c>
      <c r="E76" s="1009">
        <f t="shared" si="6"/>
        <v>1125</v>
      </c>
      <c r="F76" s="1009">
        <f t="shared" si="7"/>
        <v>1275</v>
      </c>
      <c r="G76" s="1009">
        <f t="shared" si="8"/>
        <v>1425</v>
      </c>
      <c r="H76" s="1009">
        <f t="shared" si="9"/>
        <v>1575</v>
      </c>
      <c r="I76" s="1009">
        <f t="shared" si="10"/>
        <v>1725</v>
      </c>
      <c r="J76" s="1009">
        <f t="shared" si="11"/>
        <v>1875</v>
      </c>
      <c r="K76" s="1009">
        <f t="shared" si="12"/>
        <v>2025</v>
      </c>
      <c r="L76" s="1009">
        <f t="shared" si="13"/>
        <v>2175</v>
      </c>
      <c r="M76" s="1009">
        <f t="shared" si="14"/>
        <v>2325</v>
      </c>
      <c r="N76" s="1010">
        <f t="shared" si="15"/>
        <v>2475</v>
      </c>
      <c r="O76" s="1011"/>
      <c r="P76" s="1016">
        <v>7</v>
      </c>
      <c r="Q76" s="1009">
        <f t="shared" si="16"/>
        <v>250</v>
      </c>
      <c r="R76" s="1009">
        <f t="shared" si="17"/>
        <v>275</v>
      </c>
      <c r="S76" s="1009">
        <f t="shared" si="18"/>
        <v>300</v>
      </c>
      <c r="T76" s="1009">
        <f t="shared" si="19"/>
        <v>325</v>
      </c>
      <c r="U76" s="1009">
        <f t="shared" si="20"/>
        <v>350</v>
      </c>
      <c r="V76" s="1009">
        <f t="shared" si="21"/>
        <v>375</v>
      </c>
      <c r="W76" s="1009">
        <f t="shared" si="22"/>
        <v>400</v>
      </c>
      <c r="X76" s="1009">
        <f t="shared" si="23"/>
        <v>425</v>
      </c>
      <c r="Y76" s="1113">
        <f t="shared" si="24"/>
        <v>450</v>
      </c>
      <c r="Z76" s="1113">
        <f t="shared" si="25"/>
        <v>475</v>
      </c>
      <c r="AA76" s="1114">
        <f t="shared" si="26"/>
        <v>500</v>
      </c>
    </row>
    <row r="77" spans="1:36" ht="12.75" customHeight="1">
      <c r="A77" s="219">
        <v>77</v>
      </c>
      <c r="B77" s="7145"/>
      <c r="C77" s="1016">
        <v>8</v>
      </c>
      <c r="D77" s="1009">
        <f t="shared" si="5"/>
        <v>1225</v>
      </c>
      <c r="E77" s="1009">
        <f t="shared" si="6"/>
        <v>1400</v>
      </c>
      <c r="F77" s="1009">
        <f t="shared" si="7"/>
        <v>1575</v>
      </c>
      <c r="G77" s="1009">
        <f t="shared" si="8"/>
        <v>1750</v>
      </c>
      <c r="H77" s="1009">
        <f t="shared" si="9"/>
        <v>1925</v>
      </c>
      <c r="I77" s="1009">
        <f t="shared" si="10"/>
        <v>2100</v>
      </c>
      <c r="J77" s="1009">
        <f t="shared" si="11"/>
        <v>2275</v>
      </c>
      <c r="K77" s="1009">
        <f t="shared" si="12"/>
        <v>2450</v>
      </c>
      <c r="L77" s="1009">
        <f t="shared" si="13"/>
        <v>2625</v>
      </c>
      <c r="M77" s="1009">
        <f t="shared" si="14"/>
        <v>2800</v>
      </c>
      <c r="N77" s="1010">
        <f t="shared" si="15"/>
        <v>2975</v>
      </c>
      <c r="O77" s="1011"/>
      <c r="P77" s="1016">
        <v>8</v>
      </c>
      <c r="Q77" s="1009">
        <f t="shared" si="16"/>
        <v>275</v>
      </c>
      <c r="R77" s="1009">
        <f t="shared" si="17"/>
        <v>300</v>
      </c>
      <c r="S77" s="1009">
        <f t="shared" si="18"/>
        <v>325</v>
      </c>
      <c r="T77" s="1009">
        <f t="shared" si="19"/>
        <v>350</v>
      </c>
      <c r="U77" s="1009">
        <f t="shared" si="20"/>
        <v>375</v>
      </c>
      <c r="V77" s="1009">
        <f t="shared" si="21"/>
        <v>400</v>
      </c>
      <c r="W77" s="1009">
        <f t="shared" si="22"/>
        <v>425</v>
      </c>
      <c r="X77" s="1009">
        <f t="shared" si="23"/>
        <v>450</v>
      </c>
      <c r="Y77" s="1113">
        <f t="shared" si="24"/>
        <v>475</v>
      </c>
      <c r="Z77" s="1113">
        <f t="shared" si="25"/>
        <v>500</v>
      </c>
      <c r="AA77" s="1114">
        <f t="shared" si="26"/>
        <v>525</v>
      </c>
    </row>
    <row r="78" spans="1:36" ht="12.75" customHeight="1">
      <c r="A78" s="219">
        <v>78</v>
      </c>
      <c r="B78" s="7145"/>
      <c r="C78" s="1016">
        <v>9</v>
      </c>
      <c r="D78" s="1009">
        <f t="shared" si="5"/>
        <v>1500</v>
      </c>
      <c r="E78" s="1009">
        <f t="shared" si="6"/>
        <v>1700</v>
      </c>
      <c r="F78" s="1009">
        <f t="shared" si="7"/>
        <v>1900</v>
      </c>
      <c r="G78" s="1009">
        <f t="shared" si="8"/>
        <v>2100</v>
      </c>
      <c r="H78" s="1009">
        <f t="shared" si="9"/>
        <v>2300</v>
      </c>
      <c r="I78" s="1009">
        <f t="shared" si="10"/>
        <v>2500</v>
      </c>
      <c r="J78" s="1009">
        <f t="shared" si="11"/>
        <v>2700</v>
      </c>
      <c r="K78" s="1009">
        <f t="shared" si="12"/>
        <v>2900</v>
      </c>
      <c r="L78" s="1009">
        <f t="shared" si="13"/>
        <v>3100</v>
      </c>
      <c r="M78" s="1009">
        <f t="shared" si="14"/>
        <v>3300</v>
      </c>
      <c r="N78" s="1010">
        <f t="shared" si="15"/>
        <v>3500</v>
      </c>
      <c r="O78" s="1011"/>
      <c r="P78" s="1016">
        <v>9</v>
      </c>
      <c r="Q78" s="1009">
        <f t="shared" si="16"/>
        <v>300</v>
      </c>
      <c r="R78" s="1009">
        <f t="shared" si="17"/>
        <v>325</v>
      </c>
      <c r="S78" s="1009">
        <f t="shared" si="18"/>
        <v>350</v>
      </c>
      <c r="T78" s="1009">
        <f t="shared" si="19"/>
        <v>375</v>
      </c>
      <c r="U78" s="1009">
        <f t="shared" si="20"/>
        <v>400</v>
      </c>
      <c r="V78" s="1009">
        <f t="shared" si="21"/>
        <v>425</v>
      </c>
      <c r="W78" s="1009">
        <f t="shared" si="22"/>
        <v>450</v>
      </c>
      <c r="X78" s="1009">
        <f t="shared" si="23"/>
        <v>475</v>
      </c>
      <c r="Y78" s="1113">
        <f t="shared" si="24"/>
        <v>500</v>
      </c>
      <c r="Z78" s="1113">
        <f t="shared" si="25"/>
        <v>525</v>
      </c>
      <c r="AA78" s="1114">
        <f t="shared" si="26"/>
        <v>550</v>
      </c>
    </row>
    <row r="79" spans="1:36" ht="12.75" customHeight="1">
      <c r="A79" s="219">
        <v>79</v>
      </c>
      <c r="B79" s="7145"/>
      <c r="C79" s="1016">
        <v>10</v>
      </c>
      <c r="D79" s="1009">
        <f t="shared" si="5"/>
        <v>1800</v>
      </c>
      <c r="E79" s="1009">
        <f t="shared" si="6"/>
        <v>2025</v>
      </c>
      <c r="F79" s="1009">
        <f t="shared" si="7"/>
        <v>2250</v>
      </c>
      <c r="G79" s="1009">
        <f t="shared" si="8"/>
        <v>2475</v>
      </c>
      <c r="H79" s="1009">
        <f t="shared" si="9"/>
        <v>2700</v>
      </c>
      <c r="I79" s="1009">
        <f t="shared" si="10"/>
        <v>2925</v>
      </c>
      <c r="J79" s="1009">
        <f t="shared" si="11"/>
        <v>3150</v>
      </c>
      <c r="K79" s="1009">
        <f t="shared" si="12"/>
        <v>3375</v>
      </c>
      <c r="L79" s="1009">
        <f t="shared" si="13"/>
        <v>3600</v>
      </c>
      <c r="M79" s="1009">
        <f t="shared" si="14"/>
        <v>3825</v>
      </c>
      <c r="N79" s="1010">
        <f t="shared" si="15"/>
        <v>4050</v>
      </c>
      <c r="O79" s="1011"/>
      <c r="P79" s="1016">
        <v>10</v>
      </c>
      <c r="Q79" s="1009">
        <f t="shared" si="16"/>
        <v>325</v>
      </c>
      <c r="R79" s="1009">
        <f t="shared" si="17"/>
        <v>350</v>
      </c>
      <c r="S79" s="1009">
        <f t="shared" si="18"/>
        <v>375</v>
      </c>
      <c r="T79" s="1009">
        <f t="shared" si="19"/>
        <v>400</v>
      </c>
      <c r="U79" s="1009">
        <f t="shared" si="20"/>
        <v>425</v>
      </c>
      <c r="V79" s="1009">
        <f t="shared" si="21"/>
        <v>450</v>
      </c>
      <c r="W79" s="1009">
        <f t="shared" si="22"/>
        <v>475</v>
      </c>
      <c r="X79" s="1009">
        <f t="shared" si="23"/>
        <v>500</v>
      </c>
      <c r="Y79" s="1113">
        <f t="shared" si="24"/>
        <v>525</v>
      </c>
      <c r="Z79" s="1113">
        <f t="shared" si="25"/>
        <v>550</v>
      </c>
      <c r="AA79" s="1114">
        <f t="shared" si="26"/>
        <v>575</v>
      </c>
    </row>
    <row r="80" spans="1:36" ht="12.75" customHeight="1">
      <c r="A80" s="219">
        <v>80</v>
      </c>
      <c r="B80" s="7145"/>
      <c r="C80" s="1016">
        <v>11</v>
      </c>
      <c r="D80" s="1009">
        <f t="shared" si="5"/>
        <v>2125</v>
      </c>
      <c r="E80" s="1009">
        <f t="shared" si="6"/>
        <v>2375</v>
      </c>
      <c r="F80" s="1009">
        <f t="shared" si="7"/>
        <v>2625</v>
      </c>
      <c r="G80" s="1009">
        <f t="shared" si="8"/>
        <v>2875</v>
      </c>
      <c r="H80" s="1009">
        <f t="shared" si="9"/>
        <v>3125</v>
      </c>
      <c r="I80" s="1009">
        <f t="shared" si="10"/>
        <v>3375</v>
      </c>
      <c r="J80" s="1009">
        <f t="shared" si="11"/>
        <v>3625</v>
      </c>
      <c r="K80" s="1009">
        <f t="shared" si="12"/>
        <v>3875</v>
      </c>
      <c r="L80" s="1009">
        <f t="shared" si="13"/>
        <v>4125</v>
      </c>
      <c r="M80" s="1009">
        <f t="shared" si="14"/>
        <v>4375</v>
      </c>
      <c r="N80" s="1010">
        <f t="shared" si="15"/>
        <v>4625</v>
      </c>
      <c r="O80" s="1011"/>
      <c r="P80" s="1016">
        <v>11</v>
      </c>
      <c r="Q80" s="1009">
        <f t="shared" si="16"/>
        <v>350</v>
      </c>
      <c r="R80" s="1009">
        <f t="shared" si="17"/>
        <v>375</v>
      </c>
      <c r="S80" s="1009">
        <f t="shared" si="18"/>
        <v>400</v>
      </c>
      <c r="T80" s="1009">
        <f t="shared" si="19"/>
        <v>425</v>
      </c>
      <c r="U80" s="1009">
        <f t="shared" si="20"/>
        <v>450</v>
      </c>
      <c r="V80" s="1009">
        <f t="shared" si="21"/>
        <v>475</v>
      </c>
      <c r="W80" s="1009">
        <f t="shared" si="22"/>
        <v>500</v>
      </c>
      <c r="X80" s="1009">
        <f t="shared" si="23"/>
        <v>525</v>
      </c>
      <c r="Y80" s="1113">
        <f t="shared" si="24"/>
        <v>550</v>
      </c>
      <c r="Z80" s="1113">
        <f t="shared" si="25"/>
        <v>575</v>
      </c>
      <c r="AA80" s="1114">
        <f t="shared" si="26"/>
        <v>600</v>
      </c>
    </row>
    <row r="81" spans="1:27" ht="12.75" customHeight="1">
      <c r="A81" s="219">
        <v>81</v>
      </c>
      <c r="B81" s="7145"/>
      <c r="C81" s="1016">
        <v>12</v>
      </c>
      <c r="D81" s="1009">
        <f t="shared" si="5"/>
        <v>2475</v>
      </c>
      <c r="E81" s="1009">
        <f t="shared" si="6"/>
        <v>2750</v>
      </c>
      <c r="F81" s="1009">
        <f t="shared" si="7"/>
        <v>3025</v>
      </c>
      <c r="G81" s="1009">
        <f t="shared" si="8"/>
        <v>3300</v>
      </c>
      <c r="H81" s="1009">
        <f t="shared" si="9"/>
        <v>3575</v>
      </c>
      <c r="I81" s="1009">
        <f t="shared" si="10"/>
        <v>3850</v>
      </c>
      <c r="J81" s="1009">
        <f t="shared" si="11"/>
        <v>4125</v>
      </c>
      <c r="K81" s="1009">
        <f t="shared" si="12"/>
        <v>4400</v>
      </c>
      <c r="L81" s="1009">
        <f t="shared" si="13"/>
        <v>4675</v>
      </c>
      <c r="M81" s="1009">
        <f t="shared" si="14"/>
        <v>4950</v>
      </c>
      <c r="N81" s="1010">
        <f t="shared" si="15"/>
        <v>5225</v>
      </c>
      <c r="O81" s="1011"/>
      <c r="P81" s="1016">
        <v>12</v>
      </c>
      <c r="Q81" s="1009">
        <f t="shared" si="16"/>
        <v>375</v>
      </c>
      <c r="R81" s="1009">
        <f t="shared" si="17"/>
        <v>400</v>
      </c>
      <c r="S81" s="1009">
        <f t="shared" si="18"/>
        <v>425</v>
      </c>
      <c r="T81" s="1009">
        <f t="shared" si="19"/>
        <v>450</v>
      </c>
      <c r="U81" s="1009">
        <f t="shared" si="20"/>
        <v>475</v>
      </c>
      <c r="V81" s="1009">
        <f t="shared" si="21"/>
        <v>500</v>
      </c>
      <c r="W81" s="1009">
        <f t="shared" si="22"/>
        <v>525</v>
      </c>
      <c r="X81" s="1009">
        <f t="shared" si="23"/>
        <v>550</v>
      </c>
      <c r="Y81" s="1113">
        <f t="shared" si="24"/>
        <v>575</v>
      </c>
      <c r="Z81" s="1113">
        <f t="shared" si="25"/>
        <v>600</v>
      </c>
      <c r="AA81" s="1114">
        <f t="shared" si="26"/>
        <v>625</v>
      </c>
    </row>
    <row r="82" spans="1:27" ht="12.75" customHeight="1">
      <c r="A82" s="219">
        <v>82</v>
      </c>
      <c r="B82" s="7145"/>
      <c r="C82" s="1016">
        <v>13</v>
      </c>
      <c r="D82" s="1009">
        <f t="shared" si="5"/>
        <v>2850</v>
      </c>
      <c r="E82" s="1009">
        <f t="shared" si="6"/>
        <v>3150</v>
      </c>
      <c r="F82" s="1009">
        <f t="shared" si="7"/>
        <v>3450</v>
      </c>
      <c r="G82" s="1009">
        <f t="shared" si="8"/>
        <v>3750</v>
      </c>
      <c r="H82" s="1009">
        <f t="shared" si="9"/>
        <v>4050</v>
      </c>
      <c r="I82" s="1009">
        <f t="shared" si="10"/>
        <v>4350</v>
      </c>
      <c r="J82" s="1009">
        <f t="shared" si="11"/>
        <v>4650</v>
      </c>
      <c r="K82" s="1009">
        <f t="shared" si="12"/>
        <v>4950</v>
      </c>
      <c r="L82" s="1009">
        <f t="shared" si="13"/>
        <v>5250</v>
      </c>
      <c r="M82" s="1009">
        <f t="shared" si="14"/>
        <v>5550</v>
      </c>
      <c r="N82" s="1010">
        <f t="shared" si="15"/>
        <v>5850</v>
      </c>
      <c r="O82" s="1011"/>
      <c r="P82" s="1016">
        <v>13</v>
      </c>
      <c r="Q82" s="1009">
        <f t="shared" si="16"/>
        <v>400</v>
      </c>
      <c r="R82" s="1009">
        <f t="shared" si="17"/>
        <v>425</v>
      </c>
      <c r="S82" s="1009">
        <f t="shared" si="18"/>
        <v>450</v>
      </c>
      <c r="T82" s="1009">
        <f t="shared" si="19"/>
        <v>475</v>
      </c>
      <c r="U82" s="1009">
        <f t="shared" si="20"/>
        <v>500</v>
      </c>
      <c r="V82" s="1009">
        <f t="shared" si="21"/>
        <v>525</v>
      </c>
      <c r="W82" s="1009">
        <f t="shared" si="22"/>
        <v>550</v>
      </c>
      <c r="X82" s="1009">
        <f t="shared" si="23"/>
        <v>575</v>
      </c>
      <c r="Y82" s="1113">
        <f t="shared" si="24"/>
        <v>600</v>
      </c>
      <c r="Z82" s="1113">
        <f t="shared" si="25"/>
        <v>625</v>
      </c>
      <c r="AA82" s="1114">
        <f t="shared" si="26"/>
        <v>650</v>
      </c>
    </row>
    <row r="83" spans="1:27" ht="12.75" customHeight="1">
      <c r="A83" s="219">
        <v>83</v>
      </c>
      <c r="B83" s="7145"/>
      <c r="C83" s="1016">
        <v>14</v>
      </c>
      <c r="D83" s="1009">
        <f t="shared" si="5"/>
        <v>3250</v>
      </c>
      <c r="E83" s="1009">
        <f t="shared" si="6"/>
        <v>3575</v>
      </c>
      <c r="F83" s="1009">
        <f t="shared" si="7"/>
        <v>3900</v>
      </c>
      <c r="G83" s="1009">
        <f t="shared" si="8"/>
        <v>4225</v>
      </c>
      <c r="H83" s="1009">
        <f t="shared" si="9"/>
        <v>4550</v>
      </c>
      <c r="I83" s="1009">
        <f t="shared" si="10"/>
        <v>4875</v>
      </c>
      <c r="J83" s="1009">
        <f t="shared" si="11"/>
        <v>5200</v>
      </c>
      <c r="K83" s="1009">
        <f t="shared" si="12"/>
        <v>5525</v>
      </c>
      <c r="L83" s="1009">
        <f t="shared" si="13"/>
        <v>5850</v>
      </c>
      <c r="M83" s="1009">
        <f t="shared" si="14"/>
        <v>6175</v>
      </c>
      <c r="N83" s="1010">
        <f t="shared" si="15"/>
        <v>6500</v>
      </c>
      <c r="O83" s="1011"/>
      <c r="P83" s="1016">
        <v>14</v>
      </c>
      <c r="Q83" s="1009">
        <f t="shared" si="16"/>
        <v>425</v>
      </c>
      <c r="R83" s="1009">
        <f t="shared" si="17"/>
        <v>450</v>
      </c>
      <c r="S83" s="1009">
        <f t="shared" si="18"/>
        <v>475</v>
      </c>
      <c r="T83" s="1009">
        <f t="shared" si="19"/>
        <v>500</v>
      </c>
      <c r="U83" s="1009">
        <f t="shared" si="20"/>
        <v>525</v>
      </c>
      <c r="V83" s="1009">
        <f t="shared" si="21"/>
        <v>550</v>
      </c>
      <c r="W83" s="1009">
        <f t="shared" si="22"/>
        <v>575</v>
      </c>
      <c r="X83" s="1009">
        <f t="shared" si="23"/>
        <v>600</v>
      </c>
      <c r="Y83" s="1113">
        <f t="shared" si="24"/>
        <v>625</v>
      </c>
      <c r="Z83" s="1113">
        <f t="shared" si="25"/>
        <v>650</v>
      </c>
      <c r="AA83" s="1114">
        <f t="shared" si="26"/>
        <v>675</v>
      </c>
    </row>
    <row r="84" spans="1:27" ht="12.75" customHeight="1">
      <c r="A84" s="219">
        <v>84</v>
      </c>
      <c r="B84" s="7145"/>
      <c r="C84" s="1016">
        <v>15</v>
      </c>
      <c r="D84" s="1009">
        <f t="shared" si="5"/>
        <v>3675</v>
      </c>
      <c r="E84" s="1009">
        <f t="shared" si="6"/>
        <v>4025</v>
      </c>
      <c r="F84" s="1009">
        <f t="shared" si="7"/>
        <v>4375</v>
      </c>
      <c r="G84" s="1009">
        <f t="shared" si="8"/>
        <v>4725</v>
      </c>
      <c r="H84" s="1009">
        <f t="shared" si="9"/>
        <v>5075</v>
      </c>
      <c r="I84" s="1009">
        <f t="shared" si="10"/>
        <v>5425</v>
      </c>
      <c r="J84" s="1009">
        <f t="shared" si="11"/>
        <v>5775</v>
      </c>
      <c r="K84" s="1009">
        <f t="shared" si="12"/>
        <v>6125</v>
      </c>
      <c r="L84" s="1009">
        <f t="shared" si="13"/>
        <v>6475</v>
      </c>
      <c r="M84" s="1009">
        <f t="shared" si="14"/>
        <v>6825</v>
      </c>
      <c r="N84" s="1010">
        <f t="shared" si="15"/>
        <v>7175</v>
      </c>
      <c r="O84" s="1011"/>
      <c r="P84" s="1016">
        <v>15</v>
      </c>
      <c r="Q84" s="1009">
        <f t="shared" si="16"/>
        <v>450</v>
      </c>
      <c r="R84" s="1009">
        <f t="shared" si="17"/>
        <v>475</v>
      </c>
      <c r="S84" s="1009">
        <f t="shared" si="18"/>
        <v>500</v>
      </c>
      <c r="T84" s="1009">
        <f t="shared" si="19"/>
        <v>525</v>
      </c>
      <c r="U84" s="1009">
        <f t="shared" si="20"/>
        <v>550</v>
      </c>
      <c r="V84" s="1009">
        <f t="shared" si="21"/>
        <v>575</v>
      </c>
      <c r="W84" s="1009">
        <f t="shared" si="22"/>
        <v>600</v>
      </c>
      <c r="X84" s="1009">
        <f t="shared" si="23"/>
        <v>625</v>
      </c>
      <c r="Y84" s="1113">
        <f t="shared" si="24"/>
        <v>650</v>
      </c>
      <c r="Z84" s="1113">
        <f t="shared" si="25"/>
        <v>675</v>
      </c>
      <c r="AA84" s="1114">
        <f t="shared" si="26"/>
        <v>700</v>
      </c>
    </row>
    <row r="85" spans="1:27" ht="12.75" customHeight="1">
      <c r="A85" s="219">
        <v>85</v>
      </c>
      <c r="B85" s="7145"/>
      <c r="C85" s="1016">
        <v>16</v>
      </c>
      <c r="D85" s="1009">
        <f t="shared" si="5"/>
        <v>4125</v>
      </c>
      <c r="E85" s="1009">
        <f t="shared" si="6"/>
        <v>4500</v>
      </c>
      <c r="F85" s="1009">
        <f t="shared" si="7"/>
        <v>4875</v>
      </c>
      <c r="G85" s="1009">
        <f t="shared" si="8"/>
        <v>5250</v>
      </c>
      <c r="H85" s="1009">
        <f t="shared" si="9"/>
        <v>5625</v>
      </c>
      <c r="I85" s="1009">
        <f t="shared" si="10"/>
        <v>6000</v>
      </c>
      <c r="J85" s="1009">
        <f t="shared" si="11"/>
        <v>6375</v>
      </c>
      <c r="K85" s="1009">
        <f t="shared" si="12"/>
        <v>6750</v>
      </c>
      <c r="L85" s="1009">
        <f t="shared" si="13"/>
        <v>7125</v>
      </c>
      <c r="M85" s="1009">
        <f t="shared" si="14"/>
        <v>7500</v>
      </c>
      <c r="N85" s="1010">
        <f t="shared" si="15"/>
        <v>7875</v>
      </c>
      <c r="O85" s="1011"/>
      <c r="P85" s="1016">
        <v>16</v>
      </c>
      <c r="Q85" s="1009">
        <f t="shared" si="16"/>
        <v>475</v>
      </c>
      <c r="R85" s="1009">
        <f t="shared" si="17"/>
        <v>500</v>
      </c>
      <c r="S85" s="1009">
        <f t="shared" si="18"/>
        <v>525</v>
      </c>
      <c r="T85" s="1009">
        <f t="shared" si="19"/>
        <v>550</v>
      </c>
      <c r="U85" s="1009">
        <f t="shared" si="20"/>
        <v>575</v>
      </c>
      <c r="V85" s="1009">
        <f t="shared" si="21"/>
        <v>600</v>
      </c>
      <c r="W85" s="1009">
        <f t="shared" si="22"/>
        <v>625</v>
      </c>
      <c r="X85" s="1009">
        <f t="shared" si="23"/>
        <v>650</v>
      </c>
      <c r="Y85" s="1113">
        <f t="shared" si="24"/>
        <v>675</v>
      </c>
      <c r="Z85" s="1113">
        <f t="shared" si="25"/>
        <v>700</v>
      </c>
      <c r="AA85" s="1114">
        <f t="shared" si="26"/>
        <v>725</v>
      </c>
    </row>
    <row r="86" spans="1:27" ht="12.75" customHeight="1">
      <c r="A86" s="219">
        <v>86</v>
      </c>
      <c r="B86" s="7145"/>
      <c r="C86" s="1016">
        <v>17</v>
      </c>
      <c r="D86" s="1009">
        <f t="shared" si="5"/>
        <v>4600</v>
      </c>
      <c r="E86" s="1009">
        <f t="shared" si="6"/>
        <v>5000</v>
      </c>
      <c r="F86" s="1009">
        <f t="shared" si="7"/>
        <v>5400</v>
      </c>
      <c r="G86" s="1009">
        <f t="shared" si="8"/>
        <v>5800</v>
      </c>
      <c r="H86" s="1009">
        <f t="shared" si="9"/>
        <v>6200</v>
      </c>
      <c r="I86" s="1009">
        <f t="shared" si="10"/>
        <v>6600</v>
      </c>
      <c r="J86" s="1009">
        <f t="shared" si="11"/>
        <v>7000</v>
      </c>
      <c r="K86" s="1009">
        <f t="shared" si="12"/>
        <v>7400</v>
      </c>
      <c r="L86" s="1009">
        <f t="shared" si="13"/>
        <v>7800</v>
      </c>
      <c r="M86" s="1009">
        <f t="shared" si="14"/>
        <v>8200</v>
      </c>
      <c r="N86" s="1010">
        <f t="shared" si="15"/>
        <v>8600</v>
      </c>
      <c r="O86" s="1011"/>
      <c r="P86" s="1016">
        <v>17</v>
      </c>
      <c r="Q86" s="1009">
        <f t="shared" si="16"/>
        <v>500</v>
      </c>
      <c r="R86" s="1009">
        <f t="shared" si="17"/>
        <v>525</v>
      </c>
      <c r="S86" s="1009">
        <f t="shared" si="18"/>
        <v>550</v>
      </c>
      <c r="T86" s="1009">
        <f t="shared" si="19"/>
        <v>575</v>
      </c>
      <c r="U86" s="1009">
        <f t="shared" si="20"/>
        <v>600</v>
      </c>
      <c r="V86" s="1009">
        <f t="shared" si="21"/>
        <v>625</v>
      </c>
      <c r="W86" s="1009">
        <f t="shared" si="22"/>
        <v>650</v>
      </c>
      <c r="X86" s="1009">
        <f t="shared" si="23"/>
        <v>675</v>
      </c>
      <c r="Y86" s="1113">
        <f t="shared" si="24"/>
        <v>700</v>
      </c>
      <c r="Z86" s="1113">
        <f t="shared" si="25"/>
        <v>725</v>
      </c>
      <c r="AA86" s="1114">
        <f t="shared" si="26"/>
        <v>750</v>
      </c>
    </row>
    <row r="87" spans="1:27" ht="12.75" customHeight="1">
      <c r="A87" s="219">
        <v>87</v>
      </c>
      <c r="B87" s="7145"/>
      <c r="C87" s="1016">
        <v>18</v>
      </c>
      <c r="D87" s="1009">
        <f t="shared" si="5"/>
        <v>5100</v>
      </c>
      <c r="E87" s="1009">
        <f t="shared" si="6"/>
        <v>5525</v>
      </c>
      <c r="F87" s="1009">
        <f t="shared" si="7"/>
        <v>5950</v>
      </c>
      <c r="G87" s="1009">
        <f t="shared" si="8"/>
        <v>6375</v>
      </c>
      <c r="H87" s="1009">
        <f t="shared" si="9"/>
        <v>6800</v>
      </c>
      <c r="I87" s="1009">
        <f t="shared" si="10"/>
        <v>7225</v>
      </c>
      <c r="J87" s="1009">
        <f t="shared" si="11"/>
        <v>7650</v>
      </c>
      <c r="K87" s="1009">
        <f t="shared" si="12"/>
        <v>8075</v>
      </c>
      <c r="L87" s="1009">
        <f t="shared" si="13"/>
        <v>8500</v>
      </c>
      <c r="M87" s="1009">
        <f t="shared" si="14"/>
        <v>8925</v>
      </c>
      <c r="N87" s="1010">
        <f t="shared" si="15"/>
        <v>9350</v>
      </c>
      <c r="O87" s="1011"/>
      <c r="P87" s="1016">
        <v>18</v>
      </c>
      <c r="Q87" s="1009">
        <f t="shared" si="16"/>
        <v>525</v>
      </c>
      <c r="R87" s="1009">
        <f t="shared" si="17"/>
        <v>550</v>
      </c>
      <c r="S87" s="1009">
        <f t="shared" si="18"/>
        <v>575</v>
      </c>
      <c r="T87" s="1009">
        <f t="shared" si="19"/>
        <v>600</v>
      </c>
      <c r="U87" s="1009">
        <f t="shared" si="20"/>
        <v>625</v>
      </c>
      <c r="V87" s="1009">
        <f t="shared" si="21"/>
        <v>650</v>
      </c>
      <c r="W87" s="1009">
        <f t="shared" si="22"/>
        <v>675</v>
      </c>
      <c r="X87" s="1009">
        <f t="shared" si="23"/>
        <v>700</v>
      </c>
      <c r="Y87" s="1113">
        <f t="shared" si="24"/>
        <v>725</v>
      </c>
      <c r="Z87" s="1113">
        <f t="shared" si="25"/>
        <v>750</v>
      </c>
      <c r="AA87" s="1114">
        <f t="shared" si="26"/>
        <v>775</v>
      </c>
    </row>
    <row r="88" spans="1:27" ht="12.75" customHeight="1">
      <c r="A88" s="219">
        <v>88</v>
      </c>
      <c r="B88" s="7145"/>
      <c r="C88" s="1016">
        <v>19</v>
      </c>
      <c r="D88" s="1009">
        <f t="shared" si="5"/>
        <v>5625</v>
      </c>
      <c r="E88" s="1009">
        <f t="shared" si="6"/>
        <v>6075</v>
      </c>
      <c r="F88" s="1009">
        <f t="shared" si="7"/>
        <v>6525</v>
      </c>
      <c r="G88" s="1009">
        <f t="shared" si="8"/>
        <v>6975</v>
      </c>
      <c r="H88" s="1009">
        <f t="shared" si="9"/>
        <v>7425</v>
      </c>
      <c r="I88" s="1009">
        <f t="shared" si="10"/>
        <v>7875</v>
      </c>
      <c r="J88" s="1009">
        <f t="shared" si="11"/>
        <v>8325</v>
      </c>
      <c r="K88" s="1009">
        <f t="shared" si="12"/>
        <v>8775</v>
      </c>
      <c r="L88" s="1009">
        <f t="shared" si="13"/>
        <v>9225</v>
      </c>
      <c r="M88" s="1009">
        <f t="shared" si="14"/>
        <v>9675</v>
      </c>
      <c r="N88" s="1010">
        <f t="shared" si="15"/>
        <v>10125</v>
      </c>
      <c r="O88" s="1011"/>
      <c r="P88" s="1016">
        <v>19</v>
      </c>
      <c r="Q88" s="1009">
        <f t="shared" si="16"/>
        <v>550</v>
      </c>
      <c r="R88" s="1009">
        <f t="shared" si="17"/>
        <v>575</v>
      </c>
      <c r="S88" s="1009">
        <f t="shared" si="18"/>
        <v>600</v>
      </c>
      <c r="T88" s="1009">
        <f t="shared" si="19"/>
        <v>625</v>
      </c>
      <c r="U88" s="1009">
        <f t="shared" si="20"/>
        <v>650</v>
      </c>
      <c r="V88" s="1009">
        <f t="shared" si="21"/>
        <v>675</v>
      </c>
      <c r="W88" s="1009">
        <f t="shared" si="22"/>
        <v>700</v>
      </c>
      <c r="X88" s="1009">
        <f t="shared" si="23"/>
        <v>725</v>
      </c>
      <c r="Y88" s="1113">
        <f t="shared" si="24"/>
        <v>750</v>
      </c>
      <c r="Z88" s="1113">
        <f t="shared" si="25"/>
        <v>775</v>
      </c>
      <c r="AA88" s="1114">
        <f t="shared" si="26"/>
        <v>800</v>
      </c>
    </row>
    <row r="89" spans="1:27" ht="12.75" customHeight="1">
      <c r="A89" s="219">
        <v>89</v>
      </c>
      <c r="B89" s="7145"/>
      <c r="C89" s="1016">
        <v>20</v>
      </c>
      <c r="D89" s="1009">
        <f t="shared" si="5"/>
        <v>6175</v>
      </c>
      <c r="E89" s="1009">
        <f t="shared" si="6"/>
        <v>6650</v>
      </c>
      <c r="F89" s="1009">
        <f t="shared" si="7"/>
        <v>7125</v>
      </c>
      <c r="G89" s="1009">
        <f t="shared" si="8"/>
        <v>7600</v>
      </c>
      <c r="H89" s="1009">
        <f t="shared" si="9"/>
        <v>8075</v>
      </c>
      <c r="I89" s="1009">
        <f t="shared" si="10"/>
        <v>8550</v>
      </c>
      <c r="J89" s="1009">
        <f t="shared" si="11"/>
        <v>9025</v>
      </c>
      <c r="K89" s="1009">
        <f t="shared" si="12"/>
        <v>9500</v>
      </c>
      <c r="L89" s="1009">
        <f t="shared" si="13"/>
        <v>9975</v>
      </c>
      <c r="M89" s="1009">
        <f t="shared" si="14"/>
        <v>10450</v>
      </c>
      <c r="N89" s="1010">
        <f t="shared" si="15"/>
        <v>10925</v>
      </c>
      <c r="O89" s="1011"/>
      <c r="P89" s="1016">
        <v>20</v>
      </c>
      <c r="Q89" s="1009">
        <f t="shared" si="16"/>
        <v>575</v>
      </c>
      <c r="R89" s="1009">
        <f t="shared" si="17"/>
        <v>600</v>
      </c>
      <c r="S89" s="1009">
        <f t="shared" si="18"/>
        <v>625</v>
      </c>
      <c r="T89" s="1009">
        <f t="shared" si="19"/>
        <v>650</v>
      </c>
      <c r="U89" s="1009">
        <f t="shared" si="20"/>
        <v>675</v>
      </c>
      <c r="V89" s="1009">
        <f t="shared" si="21"/>
        <v>700</v>
      </c>
      <c r="W89" s="1009">
        <f t="shared" si="22"/>
        <v>725</v>
      </c>
      <c r="X89" s="1009">
        <f t="shared" si="23"/>
        <v>750</v>
      </c>
      <c r="Y89" s="1113">
        <f t="shared" si="24"/>
        <v>775</v>
      </c>
      <c r="Z89" s="1113">
        <f t="shared" si="25"/>
        <v>800</v>
      </c>
      <c r="AA89" s="1114">
        <f t="shared" si="26"/>
        <v>825</v>
      </c>
    </row>
    <row r="90" spans="1:27" ht="12.75" customHeight="1">
      <c r="A90" s="219">
        <v>90</v>
      </c>
      <c r="B90" s="7145"/>
      <c r="C90" s="1016">
        <v>21</v>
      </c>
      <c r="D90" s="1009">
        <f t="shared" si="5"/>
        <v>6750</v>
      </c>
      <c r="E90" s="1009">
        <f t="shared" si="6"/>
        <v>7250</v>
      </c>
      <c r="F90" s="1009">
        <f t="shared" si="7"/>
        <v>7750</v>
      </c>
      <c r="G90" s="1009">
        <f t="shared" si="8"/>
        <v>8250</v>
      </c>
      <c r="H90" s="1009">
        <f t="shared" si="9"/>
        <v>8750</v>
      </c>
      <c r="I90" s="1009">
        <f t="shared" si="10"/>
        <v>9250</v>
      </c>
      <c r="J90" s="1009">
        <f t="shared" si="11"/>
        <v>9750</v>
      </c>
      <c r="K90" s="1009">
        <f t="shared" si="12"/>
        <v>10250</v>
      </c>
      <c r="L90" s="1009">
        <f t="shared" si="13"/>
        <v>10750</v>
      </c>
      <c r="M90" s="1009">
        <f t="shared" si="14"/>
        <v>11250</v>
      </c>
      <c r="N90" s="1010">
        <f t="shared" si="15"/>
        <v>11750</v>
      </c>
      <c r="O90" s="1011"/>
      <c r="P90" s="1016">
        <v>21</v>
      </c>
      <c r="Q90" s="1009">
        <f t="shared" si="16"/>
        <v>600</v>
      </c>
      <c r="R90" s="1009">
        <f t="shared" si="17"/>
        <v>625</v>
      </c>
      <c r="S90" s="1009">
        <f t="shared" si="18"/>
        <v>650</v>
      </c>
      <c r="T90" s="1009">
        <f t="shared" si="19"/>
        <v>675</v>
      </c>
      <c r="U90" s="1009">
        <f t="shared" si="20"/>
        <v>700</v>
      </c>
      <c r="V90" s="1009">
        <f t="shared" si="21"/>
        <v>725</v>
      </c>
      <c r="W90" s="1009">
        <f t="shared" si="22"/>
        <v>750</v>
      </c>
      <c r="X90" s="1009">
        <f t="shared" si="23"/>
        <v>775</v>
      </c>
      <c r="Y90" s="1113">
        <f t="shared" si="24"/>
        <v>800</v>
      </c>
      <c r="Z90" s="1113">
        <f t="shared" si="25"/>
        <v>825</v>
      </c>
      <c r="AA90" s="1114">
        <f t="shared" si="26"/>
        <v>850</v>
      </c>
    </row>
    <row r="91" spans="1:27" ht="12.75" customHeight="1">
      <c r="A91" s="219">
        <v>91</v>
      </c>
      <c r="B91" s="7145"/>
      <c r="C91" s="1016">
        <v>22</v>
      </c>
      <c r="D91" s="1009">
        <f t="shared" si="5"/>
        <v>7350</v>
      </c>
      <c r="E91" s="1009">
        <f t="shared" si="6"/>
        <v>7875</v>
      </c>
      <c r="F91" s="1009">
        <f t="shared" si="7"/>
        <v>8400</v>
      </c>
      <c r="G91" s="1009">
        <f t="shared" si="8"/>
        <v>8925</v>
      </c>
      <c r="H91" s="1009">
        <f t="shared" si="9"/>
        <v>9450</v>
      </c>
      <c r="I91" s="1009">
        <f t="shared" si="10"/>
        <v>9975</v>
      </c>
      <c r="J91" s="1009">
        <f t="shared" si="11"/>
        <v>10500</v>
      </c>
      <c r="K91" s="1009">
        <f t="shared" si="12"/>
        <v>11025</v>
      </c>
      <c r="L91" s="1009">
        <f t="shared" si="13"/>
        <v>11550</v>
      </c>
      <c r="M91" s="1009">
        <f t="shared" si="14"/>
        <v>12075</v>
      </c>
      <c r="N91" s="1010">
        <f t="shared" si="15"/>
        <v>12600</v>
      </c>
      <c r="O91" s="1011"/>
      <c r="P91" s="1016">
        <v>22</v>
      </c>
      <c r="Q91" s="1009">
        <f t="shared" si="16"/>
        <v>625</v>
      </c>
      <c r="R91" s="1009">
        <f t="shared" si="17"/>
        <v>650</v>
      </c>
      <c r="S91" s="1009">
        <f t="shared" si="18"/>
        <v>675</v>
      </c>
      <c r="T91" s="1009">
        <f t="shared" si="19"/>
        <v>700</v>
      </c>
      <c r="U91" s="1009">
        <f t="shared" si="20"/>
        <v>725</v>
      </c>
      <c r="V91" s="1009">
        <f t="shared" si="21"/>
        <v>750</v>
      </c>
      <c r="W91" s="1009">
        <f t="shared" si="22"/>
        <v>775</v>
      </c>
      <c r="X91" s="1009">
        <f t="shared" si="23"/>
        <v>800</v>
      </c>
      <c r="Y91" s="1113">
        <f t="shared" si="24"/>
        <v>825</v>
      </c>
      <c r="Z91" s="1113">
        <f t="shared" si="25"/>
        <v>850</v>
      </c>
      <c r="AA91" s="1114">
        <f t="shared" si="26"/>
        <v>875</v>
      </c>
    </row>
    <row r="92" spans="1:27" ht="12.75" customHeight="1">
      <c r="A92" s="219">
        <v>92</v>
      </c>
      <c r="B92" s="7145"/>
      <c r="C92" s="1016">
        <v>23</v>
      </c>
      <c r="D92" s="1009">
        <f t="shared" si="5"/>
        <v>7975</v>
      </c>
      <c r="E92" s="1009">
        <f t="shared" si="6"/>
        <v>8525</v>
      </c>
      <c r="F92" s="1009">
        <f t="shared" si="7"/>
        <v>9075</v>
      </c>
      <c r="G92" s="1009">
        <f t="shared" si="8"/>
        <v>9625</v>
      </c>
      <c r="H92" s="1009">
        <f t="shared" si="9"/>
        <v>10175</v>
      </c>
      <c r="I92" s="1009">
        <f t="shared" si="10"/>
        <v>10725</v>
      </c>
      <c r="J92" s="1009">
        <f t="shared" si="11"/>
        <v>11275</v>
      </c>
      <c r="K92" s="1009">
        <f t="shared" si="12"/>
        <v>11825</v>
      </c>
      <c r="L92" s="1009">
        <f t="shared" si="13"/>
        <v>12375</v>
      </c>
      <c r="M92" s="1009">
        <f t="shared" si="14"/>
        <v>12925</v>
      </c>
      <c r="N92" s="1010">
        <f t="shared" si="15"/>
        <v>13475</v>
      </c>
      <c r="O92" s="1011"/>
      <c r="P92" s="1016">
        <v>23</v>
      </c>
      <c r="Q92" s="1009">
        <f t="shared" si="16"/>
        <v>650</v>
      </c>
      <c r="R92" s="1009">
        <f t="shared" si="17"/>
        <v>675</v>
      </c>
      <c r="S92" s="1009">
        <f t="shared" si="18"/>
        <v>700</v>
      </c>
      <c r="T92" s="1009">
        <f t="shared" si="19"/>
        <v>725</v>
      </c>
      <c r="U92" s="1009">
        <f t="shared" si="20"/>
        <v>750</v>
      </c>
      <c r="V92" s="1009">
        <f t="shared" si="21"/>
        <v>775</v>
      </c>
      <c r="W92" s="1009">
        <f t="shared" si="22"/>
        <v>800</v>
      </c>
      <c r="X92" s="1009">
        <f t="shared" si="23"/>
        <v>825</v>
      </c>
      <c r="Y92" s="1113">
        <f t="shared" si="24"/>
        <v>850</v>
      </c>
      <c r="Z92" s="1113">
        <f t="shared" si="25"/>
        <v>875</v>
      </c>
      <c r="AA92" s="1114">
        <f t="shared" si="26"/>
        <v>900</v>
      </c>
    </row>
    <row r="93" spans="1:27" ht="12.75" customHeight="1">
      <c r="A93" s="219">
        <v>93</v>
      </c>
      <c r="B93" s="7145"/>
      <c r="C93" s="1016">
        <v>24</v>
      </c>
      <c r="D93" s="1009">
        <f t="shared" si="5"/>
        <v>8625</v>
      </c>
      <c r="E93" s="1009">
        <f t="shared" si="6"/>
        <v>9200</v>
      </c>
      <c r="F93" s="1009">
        <f t="shared" si="7"/>
        <v>9775</v>
      </c>
      <c r="G93" s="1009">
        <f t="shared" si="8"/>
        <v>10350</v>
      </c>
      <c r="H93" s="1009">
        <f t="shared" si="9"/>
        <v>10925</v>
      </c>
      <c r="I93" s="1009">
        <f t="shared" si="10"/>
        <v>11500</v>
      </c>
      <c r="J93" s="1009">
        <f t="shared" si="11"/>
        <v>12075</v>
      </c>
      <c r="K93" s="1009">
        <f t="shared" si="12"/>
        <v>12650</v>
      </c>
      <c r="L93" s="1009">
        <f t="shared" si="13"/>
        <v>13225</v>
      </c>
      <c r="M93" s="1009">
        <f t="shared" si="14"/>
        <v>13800</v>
      </c>
      <c r="N93" s="1010">
        <f t="shared" si="15"/>
        <v>14375</v>
      </c>
      <c r="O93" s="1011"/>
      <c r="P93" s="1016">
        <v>24</v>
      </c>
      <c r="Q93" s="1009">
        <f t="shared" si="16"/>
        <v>675</v>
      </c>
      <c r="R93" s="1009">
        <f t="shared" si="17"/>
        <v>700</v>
      </c>
      <c r="S93" s="1009">
        <f t="shared" si="18"/>
        <v>725</v>
      </c>
      <c r="T93" s="1009">
        <f t="shared" si="19"/>
        <v>750</v>
      </c>
      <c r="U93" s="1009">
        <f t="shared" si="20"/>
        <v>775</v>
      </c>
      <c r="V93" s="1009">
        <f t="shared" si="21"/>
        <v>800</v>
      </c>
      <c r="W93" s="1009">
        <f t="shared" si="22"/>
        <v>825</v>
      </c>
      <c r="X93" s="1009">
        <f t="shared" si="23"/>
        <v>850</v>
      </c>
      <c r="Y93" s="1113">
        <f t="shared" si="24"/>
        <v>875</v>
      </c>
      <c r="Z93" s="1113">
        <f t="shared" si="25"/>
        <v>900</v>
      </c>
      <c r="AA93" s="1114">
        <f t="shared" si="26"/>
        <v>925</v>
      </c>
    </row>
    <row r="94" spans="1:27" ht="12.75" customHeight="1">
      <c r="A94" s="219">
        <v>94</v>
      </c>
      <c r="B94" s="7145"/>
      <c r="C94" s="1016">
        <v>25</v>
      </c>
      <c r="D94" s="1009">
        <f t="shared" si="5"/>
        <v>9300</v>
      </c>
      <c r="E94" s="1009">
        <f t="shared" si="6"/>
        <v>9900</v>
      </c>
      <c r="F94" s="1009">
        <f t="shared" si="7"/>
        <v>10500</v>
      </c>
      <c r="G94" s="1009">
        <f t="shared" si="8"/>
        <v>11100</v>
      </c>
      <c r="H94" s="1009">
        <f t="shared" si="9"/>
        <v>11700</v>
      </c>
      <c r="I94" s="1009">
        <f t="shared" si="10"/>
        <v>12300</v>
      </c>
      <c r="J94" s="1009">
        <f t="shared" si="11"/>
        <v>12900</v>
      </c>
      <c r="K94" s="1009">
        <f t="shared" si="12"/>
        <v>13500</v>
      </c>
      <c r="L94" s="1009">
        <f t="shared" si="13"/>
        <v>14100</v>
      </c>
      <c r="M94" s="1009">
        <f t="shared" si="14"/>
        <v>14700</v>
      </c>
      <c r="N94" s="1010">
        <f t="shared" si="15"/>
        <v>15300</v>
      </c>
      <c r="O94" s="1011"/>
      <c r="P94" s="1016">
        <v>25</v>
      </c>
      <c r="Q94" s="1009">
        <f t="shared" si="16"/>
        <v>700</v>
      </c>
      <c r="R94" s="1009">
        <f t="shared" si="17"/>
        <v>725</v>
      </c>
      <c r="S94" s="1009">
        <f t="shared" si="18"/>
        <v>750</v>
      </c>
      <c r="T94" s="1009">
        <f t="shared" si="19"/>
        <v>775</v>
      </c>
      <c r="U94" s="1009">
        <f t="shared" si="20"/>
        <v>800</v>
      </c>
      <c r="V94" s="1009">
        <f t="shared" si="21"/>
        <v>825</v>
      </c>
      <c r="W94" s="1009">
        <f t="shared" si="22"/>
        <v>850</v>
      </c>
      <c r="X94" s="1009">
        <f t="shared" si="23"/>
        <v>875</v>
      </c>
      <c r="Y94" s="1113">
        <f t="shared" si="24"/>
        <v>900</v>
      </c>
      <c r="Z94" s="1113">
        <f t="shared" si="25"/>
        <v>925</v>
      </c>
      <c r="AA94" s="1114">
        <f t="shared" si="26"/>
        <v>950</v>
      </c>
    </row>
    <row r="95" spans="1:27" ht="12.75" customHeight="1">
      <c r="A95" s="219">
        <v>95</v>
      </c>
      <c r="B95" s="7145"/>
      <c r="C95" s="1016">
        <v>26</v>
      </c>
      <c r="D95" s="1009">
        <f t="shared" si="5"/>
        <v>10000</v>
      </c>
      <c r="E95" s="1009">
        <f t="shared" si="6"/>
        <v>10625</v>
      </c>
      <c r="F95" s="1009">
        <f t="shared" si="7"/>
        <v>11250</v>
      </c>
      <c r="G95" s="1009">
        <f t="shared" si="8"/>
        <v>11875</v>
      </c>
      <c r="H95" s="1009">
        <f t="shared" si="9"/>
        <v>12500</v>
      </c>
      <c r="I95" s="1009">
        <f t="shared" si="10"/>
        <v>13125</v>
      </c>
      <c r="J95" s="1009">
        <f t="shared" si="11"/>
        <v>13750</v>
      </c>
      <c r="K95" s="1009">
        <f t="shared" si="12"/>
        <v>14375</v>
      </c>
      <c r="L95" s="1009">
        <f t="shared" si="13"/>
        <v>15000</v>
      </c>
      <c r="M95" s="1009">
        <f t="shared" si="14"/>
        <v>15625</v>
      </c>
      <c r="N95" s="1010">
        <f t="shared" si="15"/>
        <v>16250</v>
      </c>
      <c r="O95" s="1011"/>
      <c r="P95" s="1016">
        <v>26</v>
      </c>
      <c r="Q95" s="1009">
        <f t="shared" si="16"/>
        <v>725</v>
      </c>
      <c r="R95" s="1009">
        <f t="shared" si="17"/>
        <v>750</v>
      </c>
      <c r="S95" s="1009">
        <f t="shared" si="18"/>
        <v>775</v>
      </c>
      <c r="T95" s="1009">
        <f t="shared" si="19"/>
        <v>800</v>
      </c>
      <c r="U95" s="1009">
        <f t="shared" si="20"/>
        <v>825</v>
      </c>
      <c r="V95" s="1009">
        <f t="shared" si="21"/>
        <v>850</v>
      </c>
      <c r="W95" s="1009">
        <f t="shared" si="22"/>
        <v>875</v>
      </c>
      <c r="X95" s="1009">
        <f t="shared" si="23"/>
        <v>900</v>
      </c>
      <c r="Y95" s="1113">
        <f t="shared" si="24"/>
        <v>925</v>
      </c>
      <c r="Z95" s="1113">
        <f t="shared" si="25"/>
        <v>950</v>
      </c>
      <c r="AA95" s="1114">
        <f t="shared" si="26"/>
        <v>975</v>
      </c>
    </row>
    <row r="96" spans="1:27" ht="12.75" customHeight="1">
      <c r="A96" s="219">
        <v>96</v>
      </c>
      <c r="B96" s="7145"/>
      <c r="C96" s="1016">
        <v>27</v>
      </c>
      <c r="D96" s="1009">
        <f t="shared" si="5"/>
        <v>10725</v>
      </c>
      <c r="E96" s="1009">
        <f t="shared" si="6"/>
        <v>11375</v>
      </c>
      <c r="F96" s="1009">
        <f t="shared" si="7"/>
        <v>12025</v>
      </c>
      <c r="G96" s="1009">
        <f t="shared" si="8"/>
        <v>12675</v>
      </c>
      <c r="H96" s="1009">
        <f t="shared" si="9"/>
        <v>13325</v>
      </c>
      <c r="I96" s="1009">
        <f t="shared" si="10"/>
        <v>13975</v>
      </c>
      <c r="J96" s="1009">
        <f t="shared" si="11"/>
        <v>14625</v>
      </c>
      <c r="K96" s="1009">
        <f t="shared" si="12"/>
        <v>15275</v>
      </c>
      <c r="L96" s="1009">
        <f t="shared" si="13"/>
        <v>15925</v>
      </c>
      <c r="M96" s="1009">
        <f t="shared" si="14"/>
        <v>16575</v>
      </c>
      <c r="N96" s="1010">
        <f t="shared" si="15"/>
        <v>17225</v>
      </c>
      <c r="O96" s="1011"/>
      <c r="P96" s="1016">
        <v>27</v>
      </c>
      <c r="Q96" s="1009">
        <f t="shared" si="16"/>
        <v>750</v>
      </c>
      <c r="R96" s="1009">
        <f t="shared" si="17"/>
        <v>775</v>
      </c>
      <c r="S96" s="1009">
        <f t="shared" si="18"/>
        <v>800</v>
      </c>
      <c r="T96" s="1009">
        <f t="shared" si="19"/>
        <v>825</v>
      </c>
      <c r="U96" s="1009">
        <f t="shared" si="20"/>
        <v>850</v>
      </c>
      <c r="V96" s="1009">
        <f t="shared" si="21"/>
        <v>875</v>
      </c>
      <c r="W96" s="1009">
        <f t="shared" si="22"/>
        <v>900</v>
      </c>
      <c r="X96" s="1009">
        <f t="shared" si="23"/>
        <v>925</v>
      </c>
      <c r="Y96" s="1113">
        <f t="shared" si="24"/>
        <v>950</v>
      </c>
      <c r="Z96" s="1113">
        <f t="shared" si="25"/>
        <v>975</v>
      </c>
      <c r="AA96" s="1114">
        <f t="shared" si="26"/>
        <v>1000</v>
      </c>
    </row>
    <row r="97" spans="1:109" ht="12.75" customHeight="1">
      <c r="A97" s="219">
        <v>97</v>
      </c>
      <c r="B97" s="7145"/>
      <c r="C97" s="1016">
        <v>28</v>
      </c>
      <c r="D97" s="1009">
        <f t="shared" si="5"/>
        <v>11475</v>
      </c>
      <c r="E97" s="1009">
        <f t="shared" si="6"/>
        <v>12150</v>
      </c>
      <c r="F97" s="1009">
        <f t="shared" si="7"/>
        <v>12825</v>
      </c>
      <c r="G97" s="1009">
        <f t="shared" si="8"/>
        <v>13500</v>
      </c>
      <c r="H97" s="1009">
        <f t="shared" si="9"/>
        <v>14175</v>
      </c>
      <c r="I97" s="1009">
        <f t="shared" si="10"/>
        <v>14850</v>
      </c>
      <c r="J97" s="1009">
        <f t="shared" si="11"/>
        <v>15525</v>
      </c>
      <c r="K97" s="1009">
        <f t="shared" si="12"/>
        <v>16200</v>
      </c>
      <c r="L97" s="1009">
        <f t="shared" si="13"/>
        <v>16875</v>
      </c>
      <c r="M97" s="1009">
        <f t="shared" si="14"/>
        <v>17550</v>
      </c>
      <c r="N97" s="1010">
        <f t="shared" si="15"/>
        <v>18225</v>
      </c>
      <c r="O97" s="1011"/>
      <c r="P97" s="1016">
        <v>28</v>
      </c>
      <c r="Q97" s="1009">
        <f t="shared" si="16"/>
        <v>775</v>
      </c>
      <c r="R97" s="1009">
        <f t="shared" si="17"/>
        <v>800</v>
      </c>
      <c r="S97" s="1009">
        <f t="shared" si="18"/>
        <v>825</v>
      </c>
      <c r="T97" s="1009">
        <f t="shared" si="19"/>
        <v>850</v>
      </c>
      <c r="U97" s="1009">
        <f t="shared" si="20"/>
        <v>875</v>
      </c>
      <c r="V97" s="1009">
        <f t="shared" si="21"/>
        <v>900</v>
      </c>
      <c r="W97" s="1009">
        <f t="shared" si="22"/>
        <v>925</v>
      </c>
      <c r="X97" s="1009">
        <f t="shared" si="23"/>
        <v>950</v>
      </c>
      <c r="Y97" s="1113">
        <f t="shared" si="24"/>
        <v>975</v>
      </c>
      <c r="Z97" s="1113">
        <f t="shared" si="25"/>
        <v>1000</v>
      </c>
      <c r="AA97" s="1114">
        <f t="shared" si="26"/>
        <v>1025</v>
      </c>
    </row>
    <row r="98" spans="1:109" ht="12.75" customHeight="1">
      <c r="A98" s="219">
        <v>98</v>
      </c>
      <c r="B98" s="7145"/>
      <c r="C98" s="1016">
        <v>29</v>
      </c>
      <c r="D98" s="1009">
        <f t="shared" si="5"/>
        <v>12250</v>
      </c>
      <c r="E98" s="1009">
        <f t="shared" si="6"/>
        <v>12950</v>
      </c>
      <c r="F98" s="1009">
        <f t="shared" si="7"/>
        <v>13650</v>
      </c>
      <c r="G98" s="1009">
        <f t="shared" si="8"/>
        <v>14350</v>
      </c>
      <c r="H98" s="1009">
        <f t="shared" si="9"/>
        <v>15050</v>
      </c>
      <c r="I98" s="1009">
        <f t="shared" si="10"/>
        <v>15750</v>
      </c>
      <c r="J98" s="1009">
        <f t="shared" si="11"/>
        <v>16450</v>
      </c>
      <c r="K98" s="1009">
        <f t="shared" si="12"/>
        <v>17150</v>
      </c>
      <c r="L98" s="1009">
        <f t="shared" si="13"/>
        <v>17850</v>
      </c>
      <c r="M98" s="1009">
        <f t="shared" si="14"/>
        <v>18550</v>
      </c>
      <c r="N98" s="1010">
        <f t="shared" si="15"/>
        <v>19250</v>
      </c>
      <c r="O98" s="1011"/>
      <c r="P98" s="1016">
        <v>29</v>
      </c>
      <c r="Q98" s="1009">
        <f t="shared" si="16"/>
        <v>800</v>
      </c>
      <c r="R98" s="1009">
        <f t="shared" si="17"/>
        <v>825</v>
      </c>
      <c r="S98" s="1009">
        <f t="shared" si="18"/>
        <v>850</v>
      </c>
      <c r="T98" s="1009">
        <f t="shared" si="19"/>
        <v>875</v>
      </c>
      <c r="U98" s="1009">
        <f t="shared" si="20"/>
        <v>900</v>
      </c>
      <c r="V98" s="1009">
        <f t="shared" si="21"/>
        <v>925</v>
      </c>
      <c r="W98" s="1009">
        <f t="shared" si="22"/>
        <v>950</v>
      </c>
      <c r="X98" s="1009">
        <f t="shared" si="23"/>
        <v>975</v>
      </c>
      <c r="Y98" s="1113">
        <f t="shared" si="24"/>
        <v>1000</v>
      </c>
      <c r="Z98" s="1113">
        <f t="shared" si="25"/>
        <v>1025</v>
      </c>
      <c r="AA98" s="1114">
        <f t="shared" si="26"/>
        <v>1050</v>
      </c>
    </row>
    <row r="99" spans="1:109" ht="12.75" customHeight="1" thickBot="1">
      <c r="A99" s="219">
        <v>99</v>
      </c>
      <c r="B99" s="7145"/>
      <c r="C99" s="1017">
        <v>30</v>
      </c>
      <c r="D99" s="1012">
        <f t="shared" si="5"/>
        <v>13050</v>
      </c>
      <c r="E99" s="1012">
        <f t="shared" si="6"/>
        <v>13775</v>
      </c>
      <c r="F99" s="1012">
        <f t="shared" si="7"/>
        <v>14500</v>
      </c>
      <c r="G99" s="1012">
        <f t="shared" si="8"/>
        <v>15225</v>
      </c>
      <c r="H99" s="1012">
        <f t="shared" si="9"/>
        <v>15950</v>
      </c>
      <c r="I99" s="1012">
        <f t="shared" si="10"/>
        <v>16675</v>
      </c>
      <c r="J99" s="1012">
        <f t="shared" si="11"/>
        <v>17400</v>
      </c>
      <c r="K99" s="1012">
        <f t="shared" si="12"/>
        <v>18125</v>
      </c>
      <c r="L99" s="1012">
        <f t="shared" si="13"/>
        <v>18850</v>
      </c>
      <c r="M99" s="1012">
        <f t="shared" si="14"/>
        <v>19575</v>
      </c>
      <c r="N99" s="1013">
        <f t="shared" si="15"/>
        <v>20300</v>
      </c>
      <c r="O99" s="1011"/>
      <c r="P99" s="1017">
        <v>30</v>
      </c>
      <c r="Q99" s="1012">
        <f t="shared" si="16"/>
        <v>825</v>
      </c>
      <c r="R99" s="1012">
        <f t="shared" si="17"/>
        <v>850</v>
      </c>
      <c r="S99" s="1012">
        <f t="shared" si="18"/>
        <v>875</v>
      </c>
      <c r="T99" s="1012">
        <f t="shared" si="19"/>
        <v>900</v>
      </c>
      <c r="U99" s="1012">
        <f t="shared" si="20"/>
        <v>925</v>
      </c>
      <c r="V99" s="1012">
        <f t="shared" si="21"/>
        <v>950</v>
      </c>
      <c r="W99" s="1012">
        <f t="shared" si="22"/>
        <v>975</v>
      </c>
      <c r="X99" s="1012">
        <f t="shared" si="23"/>
        <v>1000</v>
      </c>
      <c r="Y99" s="1115">
        <f t="shared" si="24"/>
        <v>1025</v>
      </c>
      <c r="Z99" s="1115">
        <f t="shared" si="25"/>
        <v>1050</v>
      </c>
      <c r="AA99" s="1116">
        <f t="shared" si="26"/>
        <v>1075</v>
      </c>
    </row>
    <row r="100" spans="1:109" ht="12.75" customHeight="1">
      <c r="A100" s="219">
        <v>100</v>
      </c>
      <c r="B100" s="7145"/>
    </row>
    <row r="101" spans="1:109" ht="12.75" customHeight="1">
      <c r="A101" s="219">
        <v>101</v>
      </c>
      <c r="B101" s="7145"/>
      <c r="C101" s="7146" t="s">
        <v>6886</v>
      </c>
      <c r="D101" s="7146"/>
      <c r="E101" s="7146"/>
      <c r="F101" s="7146"/>
      <c r="G101" s="7146"/>
      <c r="H101" s="7146"/>
      <c r="I101" s="7146"/>
      <c r="J101" s="7146"/>
      <c r="K101" s="7146"/>
      <c r="L101" s="7146"/>
      <c r="M101" s="7146"/>
      <c r="N101" s="7146"/>
      <c r="O101" s="7146"/>
      <c r="P101" s="7146"/>
      <c r="Q101" s="7146"/>
      <c r="R101" s="7146"/>
      <c r="S101" s="7146"/>
      <c r="T101" s="7146"/>
      <c r="U101" s="7146"/>
      <c r="V101" s="7146"/>
      <c r="W101" s="7146"/>
      <c r="X101" s="7146"/>
      <c r="Y101" s="7146"/>
      <c r="Z101" s="7146"/>
      <c r="AA101" s="7146"/>
      <c r="AB101" s="7146"/>
      <c r="AC101" s="7146"/>
      <c r="AD101" s="7146"/>
      <c r="AE101" s="7146"/>
      <c r="AF101" s="7146"/>
      <c r="AG101" s="7146"/>
      <c r="AH101" s="7146"/>
      <c r="AI101" s="7146"/>
      <c r="AJ101" s="7146"/>
      <c r="AK101" s="7146"/>
      <c r="AL101" s="7146"/>
      <c r="AM101" s="7146"/>
      <c r="AN101" s="7146"/>
      <c r="AO101" s="7146"/>
      <c r="AP101" s="7146"/>
      <c r="AQ101" s="7146"/>
      <c r="AR101" s="7146"/>
      <c r="AS101" s="7146"/>
      <c r="AT101" s="7146"/>
      <c r="AU101" s="7146"/>
      <c r="AV101" s="7146"/>
      <c r="AW101" s="7146"/>
      <c r="AX101" s="7146"/>
      <c r="AY101" s="7146"/>
      <c r="AZ101" s="7146"/>
      <c r="BA101" s="7146"/>
      <c r="BB101" s="7146"/>
      <c r="BC101" s="7146"/>
      <c r="BD101" s="7146"/>
      <c r="BE101" s="7146"/>
      <c r="BF101" s="7146"/>
      <c r="BG101" s="7146"/>
      <c r="BH101" s="7146"/>
      <c r="BI101" s="7146"/>
      <c r="BJ101" s="7146"/>
      <c r="BK101" s="7146"/>
      <c r="BL101" s="7146"/>
      <c r="BM101" s="7146"/>
      <c r="BN101" s="7146"/>
      <c r="BO101" s="7146"/>
      <c r="BP101" s="7146"/>
      <c r="BQ101" s="7146"/>
      <c r="BR101" s="7146"/>
      <c r="BS101" s="7146"/>
      <c r="BT101" s="7146"/>
      <c r="BU101" s="7146"/>
      <c r="BV101" s="7146"/>
      <c r="BW101" s="7146"/>
      <c r="BX101" s="7146"/>
      <c r="BY101" s="7146"/>
      <c r="BZ101" s="7146"/>
      <c r="CA101" s="7146"/>
      <c r="CB101" s="7146"/>
      <c r="CC101" s="7146"/>
      <c r="CD101" s="7146"/>
      <c r="CE101" s="7146"/>
      <c r="CF101" s="7146"/>
      <c r="CG101" s="7146"/>
      <c r="CH101" s="7146"/>
      <c r="CI101" s="7146"/>
      <c r="CJ101" s="7146"/>
      <c r="CK101" s="7146"/>
      <c r="CL101" s="7146"/>
      <c r="CM101" s="7146"/>
      <c r="CN101" s="7146"/>
      <c r="CO101" s="7146"/>
      <c r="CP101" s="7146"/>
      <c r="CQ101" s="7146"/>
      <c r="CR101" s="7146"/>
      <c r="CS101" s="7146"/>
      <c r="CT101" s="7146"/>
      <c r="CU101" s="7146"/>
      <c r="CV101" s="7146"/>
      <c r="CW101" s="7146"/>
      <c r="CX101" s="7146"/>
      <c r="CY101" s="7146"/>
      <c r="CZ101" s="7146"/>
      <c r="DA101" s="7146"/>
      <c r="DB101" s="7146"/>
      <c r="DC101" s="7146"/>
      <c r="DD101" s="7146"/>
      <c r="DE101" s="7146"/>
    </row>
    <row r="102" spans="1:109" ht="12.75" customHeight="1">
      <c r="A102" s="219">
        <v>102</v>
      </c>
      <c r="B102" s="7145"/>
      <c r="C102" s="7146"/>
      <c r="D102" s="7146"/>
      <c r="E102" s="7146"/>
      <c r="F102" s="7146"/>
      <c r="G102" s="7146"/>
      <c r="H102" s="7146"/>
      <c r="I102" s="7146"/>
      <c r="J102" s="7146"/>
      <c r="K102" s="7146"/>
      <c r="L102" s="7146"/>
      <c r="M102" s="7146"/>
      <c r="N102" s="7146"/>
      <c r="O102" s="7146"/>
      <c r="P102" s="7146"/>
      <c r="Q102" s="7146"/>
      <c r="R102" s="7146"/>
      <c r="S102" s="7146"/>
      <c r="T102" s="7146"/>
      <c r="U102" s="7146"/>
      <c r="V102" s="7146"/>
      <c r="W102" s="7146"/>
      <c r="X102" s="7146"/>
      <c r="Y102" s="7146"/>
      <c r="Z102" s="7146"/>
      <c r="AA102" s="7146"/>
      <c r="AB102" s="7146"/>
      <c r="AC102" s="7146"/>
      <c r="AD102" s="7146"/>
      <c r="AE102" s="7146"/>
      <c r="AF102" s="7146"/>
      <c r="AG102" s="7146"/>
      <c r="AH102" s="7146"/>
      <c r="AI102" s="7146"/>
      <c r="AJ102" s="7146"/>
      <c r="AK102" s="7146"/>
      <c r="AL102" s="7146"/>
      <c r="AM102" s="7146"/>
      <c r="AN102" s="7146"/>
      <c r="AO102" s="7146"/>
      <c r="AP102" s="7146"/>
      <c r="AQ102" s="7146"/>
      <c r="AR102" s="7146"/>
      <c r="AS102" s="7146"/>
      <c r="AT102" s="7146"/>
      <c r="AU102" s="7146"/>
      <c r="AV102" s="7146"/>
      <c r="AW102" s="7146"/>
      <c r="AX102" s="7146"/>
      <c r="AY102" s="7146"/>
      <c r="AZ102" s="7146"/>
      <c r="BA102" s="7146"/>
      <c r="BB102" s="7146"/>
      <c r="BC102" s="7146"/>
      <c r="BD102" s="7146"/>
      <c r="BE102" s="7146"/>
      <c r="BF102" s="7146"/>
      <c r="BG102" s="7146"/>
      <c r="BH102" s="7146"/>
      <c r="BI102" s="7146"/>
      <c r="BJ102" s="7146"/>
      <c r="BK102" s="7146"/>
      <c r="BL102" s="7146"/>
      <c r="BM102" s="7146"/>
      <c r="BN102" s="7146"/>
      <c r="BO102" s="7146"/>
      <c r="BP102" s="7146"/>
      <c r="BQ102" s="7146"/>
      <c r="BR102" s="7146"/>
      <c r="BS102" s="7146"/>
      <c r="BT102" s="7146"/>
      <c r="BU102" s="7146"/>
      <c r="BV102" s="7146"/>
      <c r="BW102" s="7146"/>
      <c r="BX102" s="7146"/>
      <c r="BY102" s="7146"/>
      <c r="BZ102" s="7146"/>
      <c r="CA102" s="7146"/>
      <c r="CB102" s="7146"/>
      <c r="CC102" s="7146"/>
      <c r="CD102" s="7146"/>
      <c r="CE102" s="7146"/>
      <c r="CF102" s="7146"/>
      <c r="CG102" s="7146"/>
      <c r="CH102" s="7146"/>
      <c r="CI102" s="7146"/>
      <c r="CJ102" s="7146"/>
      <c r="CK102" s="7146"/>
      <c r="CL102" s="7146"/>
      <c r="CM102" s="7146"/>
      <c r="CN102" s="7146"/>
      <c r="CO102" s="7146"/>
      <c r="CP102" s="7146"/>
      <c r="CQ102" s="7146"/>
      <c r="CR102" s="7146"/>
      <c r="CS102" s="7146"/>
      <c r="CT102" s="7146"/>
      <c r="CU102" s="7146"/>
      <c r="CV102" s="7146"/>
      <c r="CW102" s="7146"/>
      <c r="CX102" s="7146"/>
      <c r="CY102" s="7146"/>
      <c r="CZ102" s="7146"/>
      <c r="DA102" s="7146"/>
      <c r="DB102" s="7146"/>
      <c r="DC102" s="7146"/>
      <c r="DD102" s="7146"/>
      <c r="DE102" s="7146"/>
    </row>
    <row r="103" spans="1:109" ht="12.75" customHeight="1">
      <c r="A103" s="219">
        <v>103</v>
      </c>
      <c r="B103" s="7145"/>
      <c r="C103" s="7146"/>
      <c r="D103" s="7146"/>
      <c r="E103" s="7146"/>
      <c r="F103" s="7146"/>
      <c r="G103" s="7146"/>
      <c r="H103" s="7146"/>
      <c r="I103" s="7146"/>
      <c r="J103" s="7146"/>
      <c r="K103" s="7146"/>
      <c r="L103" s="7146"/>
      <c r="M103" s="7146"/>
      <c r="N103" s="7146"/>
      <c r="O103" s="7146"/>
      <c r="P103" s="7146"/>
      <c r="Q103" s="7146"/>
      <c r="R103" s="7146"/>
      <c r="S103" s="7146"/>
      <c r="T103" s="7146"/>
      <c r="U103" s="7146"/>
      <c r="V103" s="7146"/>
      <c r="W103" s="7146"/>
      <c r="X103" s="7146"/>
      <c r="Y103" s="7146"/>
      <c r="Z103" s="7146"/>
      <c r="AA103" s="7146"/>
      <c r="AB103" s="7146"/>
      <c r="AC103" s="7146"/>
      <c r="AD103" s="7146"/>
      <c r="AE103" s="7146"/>
      <c r="AF103" s="7146"/>
      <c r="AG103" s="7146"/>
      <c r="AH103" s="7146"/>
      <c r="AI103" s="7146"/>
      <c r="AJ103" s="7146"/>
      <c r="AK103" s="7146"/>
      <c r="AL103" s="7146"/>
      <c r="AM103" s="7146"/>
      <c r="AN103" s="7146"/>
      <c r="AO103" s="7146"/>
      <c r="AP103" s="7146"/>
      <c r="AQ103" s="7146"/>
      <c r="AR103" s="7146"/>
      <c r="AS103" s="7146"/>
      <c r="AT103" s="7146"/>
      <c r="AU103" s="7146"/>
      <c r="AV103" s="7146"/>
      <c r="AW103" s="7146"/>
      <c r="AX103" s="7146"/>
      <c r="AY103" s="7146"/>
      <c r="AZ103" s="7146"/>
      <c r="BA103" s="7146"/>
      <c r="BB103" s="7146"/>
      <c r="BC103" s="7146"/>
      <c r="BD103" s="7146"/>
      <c r="BE103" s="7146"/>
      <c r="BF103" s="7146"/>
      <c r="BG103" s="7146"/>
      <c r="BH103" s="7146"/>
      <c r="BI103" s="7146"/>
      <c r="BJ103" s="7146"/>
      <c r="BK103" s="7146"/>
      <c r="BL103" s="7146"/>
      <c r="BM103" s="7146"/>
      <c r="BN103" s="7146"/>
      <c r="BO103" s="7146"/>
      <c r="BP103" s="7146"/>
      <c r="BQ103" s="7146"/>
      <c r="BR103" s="7146"/>
      <c r="BS103" s="7146"/>
      <c r="BT103" s="7146"/>
      <c r="BU103" s="7146"/>
      <c r="BV103" s="7146"/>
      <c r="BW103" s="7146"/>
      <c r="BX103" s="7146"/>
      <c r="BY103" s="7146"/>
      <c r="BZ103" s="7146"/>
      <c r="CA103" s="7146"/>
      <c r="CB103" s="7146"/>
      <c r="CC103" s="7146"/>
      <c r="CD103" s="7146"/>
      <c r="CE103" s="7146"/>
      <c r="CF103" s="7146"/>
      <c r="CG103" s="7146"/>
      <c r="CH103" s="7146"/>
      <c r="CI103" s="7146"/>
      <c r="CJ103" s="7146"/>
      <c r="CK103" s="7146"/>
      <c r="CL103" s="7146"/>
      <c r="CM103" s="7146"/>
      <c r="CN103" s="7146"/>
      <c r="CO103" s="7146"/>
      <c r="CP103" s="7146"/>
      <c r="CQ103" s="7146"/>
      <c r="CR103" s="7146"/>
      <c r="CS103" s="7146"/>
      <c r="CT103" s="7146"/>
      <c r="CU103" s="7146"/>
      <c r="CV103" s="7146"/>
      <c r="CW103" s="7146"/>
      <c r="CX103" s="7146"/>
      <c r="CY103" s="7146"/>
      <c r="CZ103" s="7146"/>
      <c r="DA103" s="7146"/>
      <c r="DB103" s="7146"/>
      <c r="DC103" s="7146"/>
      <c r="DD103" s="7146"/>
      <c r="DE103" s="7146"/>
    </row>
    <row r="104" spans="1:109" ht="12.75" customHeight="1" thickBot="1">
      <c r="A104" s="219">
        <v>104</v>
      </c>
      <c r="B104" s="7145"/>
      <c r="H104"/>
      <c r="N104"/>
    </row>
    <row r="105" spans="1:109" ht="12.75" customHeight="1" thickBot="1">
      <c r="A105" s="219">
        <v>105</v>
      </c>
      <c r="B105" s="7145"/>
      <c r="C105" s="8190" t="s">
        <v>1784</v>
      </c>
      <c r="D105" s="8191"/>
      <c r="F105" s="8122" t="s">
        <v>1810</v>
      </c>
      <c r="G105" s="8122"/>
      <c r="H105"/>
      <c r="I105" s="7975" t="s">
        <v>1753</v>
      </c>
      <c r="J105" s="7976"/>
      <c r="K105" s="7976"/>
      <c r="L105" s="7976"/>
      <c r="M105" s="7976"/>
      <c r="N105" s="7976"/>
      <c r="O105" s="7976"/>
      <c r="P105" s="7976"/>
      <c r="Q105" s="7976"/>
      <c r="R105" s="7976"/>
      <c r="S105" s="7976"/>
      <c r="T105" s="7976"/>
      <c r="U105" s="7976"/>
      <c r="V105" s="7976"/>
      <c r="W105" s="7976"/>
      <c r="X105" s="7976"/>
      <c r="Y105" s="7976"/>
      <c r="Z105" s="7976"/>
      <c r="AA105" s="7976"/>
      <c r="AB105" s="7976"/>
      <c r="AC105" s="7976"/>
      <c r="AD105" s="7976"/>
      <c r="AE105" s="7976"/>
      <c r="AF105" s="7976"/>
      <c r="AG105" s="7976"/>
      <c r="AH105" s="7976"/>
      <c r="AI105" s="7976"/>
      <c r="AJ105" s="7976"/>
      <c r="AK105" s="7976"/>
      <c r="AL105" s="7976"/>
      <c r="AM105" s="7976"/>
      <c r="AN105" s="7976"/>
      <c r="AO105" s="7976"/>
      <c r="AP105" s="7976"/>
      <c r="AQ105" s="7976"/>
      <c r="AR105" s="7976"/>
      <c r="AS105" s="7976"/>
      <c r="AT105" s="7976"/>
      <c r="AU105" s="7976"/>
      <c r="AV105" s="7976"/>
      <c r="AW105" s="7976"/>
      <c r="AX105" s="7976"/>
      <c r="AY105" s="7976"/>
      <c r="AZ105" s="7976"/>
      <c r="BA105" s="7976"/>
      <c r="BB105" s="7976"/>
      <c r="BC105" s="7976"/>
      <c r="BD105" s="7976"/>
      <c r="BE105" s="7976"/>
      <c r="BF105" s="7976"/>
      <c r="BG105" s="7976"/>
      <c r="BH105" s="7976"/>
      <c r="BI105" s="7976"/>
      <c r="BJ105" s="7976"/>
      <c r="BK105" s="7976"/>
      <c r="BL105" s="7977"/>
      <c r="BN105" s="8138" t="s">
        <v>9727</v>
      </c>
      <c r="BO105" s="8164"/>
      <c r="BP105" s="8164"/>
      <c r="BQ105" s="8164"/>
      <c r="BR105" s="8164"/>
      <c r="BS105" s="8164"/>
      <c r="BT105" s="8164"/>
      <c r="BU105" s="8164"/>
      <c r="BV105" s="8164"/>
      <c r="BW105" s="8164"/>
      <c r="BX105" s="8164"/>
      <c r="BY105" s="8164"/>
      <c r="BZ105" s="8164"/>
      <c r="CA105" s="8164"/>
      <c r="CB105" s="8164"/>
      <c r="CC105" s="8164"/>
      <c r="CD105" s="8164"/>
      <c r="CE105" s="8164"/>
      <c r="CF105" s="8164"/>
      <c r="CG105" s="8164"/>
      <c r="CH105" s="8164"/>
      <c r="CI105" s="8164"/>
      <c r="CJ105" s="8164"/>
      <c r="CK105" s="8164"/>
      <c r="CL105" s="8164"/>
      <c r="CM105" s="8164"/>
      <c r="CN105" s="8164"/>
      <c r="CO105" s="8164"/>
      <c r="CP105" s="8164"/>
      <c r="CQ105" s="8164"/>
      <c r="CR105" s="8164"/>
      <c r="CS105" s="8164"/>
      <c r="CT105" s="8164"/>
      <c r="CU105" s="8164"/>
      <c r="CV105" s="8164"/>
      <c r="CW105" s="8164"/>
      <c r="CX105" s="8164"/>
      <c r="CY105" s="8164"/>
      <c r="CZ105" s="8164"/>
      <c r="DA105" s="8164"/>
      <c r="DB105" s="8164"/>
      <c r="DC105" s="8164"/>
    </row>
    <row r="106" spans="1:109" ht="12.75" customHeight="1" thickBot="1">
      <c r="A106" s="219">
        <v>106</v>
      </c>
      <c r="B106" s="7145"/>
      <c r="C106" s="8192"/>
      <c r="D106" s="8193"/>
      <c r="F106" s="8122"/>
      <c r="G106" s="8122"/>
      <c r="H106"/>
      <c r="I106" s="7978"/>
      <c r="J106" s="7979"/>
      <c r="K106" s="7979"/>
      <c r="L106" s="7979"/>
      <c r="M106" s="7979"/>
      <c r="N106" s="7979"/>
      <c r="O106" s="7979"/>
      <c r="P106" s="7979"/>
      <c r="Q106" s="7979"/>
      <c r="R106" s="7979"/>
      <c r="S106" s="7979"/>
      <c r="T106" s="7979"/>
      <c r="U106" s="7979"/>
      <c r="V106" s="7979"/>
      <c r="W106" s="7979"/>
      <c r="X106" s="7979"/>
      <c r="Y106" s="7979"/>
      <c r="Z106" s="7979"/>
      <c r="AA106" s="7979"/>
      <c r="AB106" s="7979"/>
      <c r="AC106" s="7979"/>
      <c r="AD106" s="7979"/>
      <c r="AE106" s="7979"/>
      <c r="AF106" s="7979"/>
      <c r="AG106" s="7979"/>
      <c r="AH106" s="7979"/>
      <c r="AI106" s="7979"/>
      <c r="AJ106" s="7979"/>
      <c r="AK106" s="7979"/>
      <c r="AL106" s="7979"/>
      <c r="AM106" s="7979"/>
      <c r="AN106" s="7979"/>
      <c r="AO106" s="7979"/>
      <c r="AP106" s="7979"/>
      <c r="AQ106" s="7979"/>
      <c r="AR106" s="7979"/>
      <c r="AS106" s="7979"/>
      <c r="AT106" s="7979"/>
      <c r="AU106" s="7979"/>
      <c r="AV106" s="7979"/>
      <c r="AW106" s="7979"/>
      <c r="AX106" s="7979"/>
      <c r="AY106" s="7979"/>
      <c r="AZ106" s="7979"/>
      <c r="BA106" s="7979"/>
      <c r="BB106" s="7979"/>
      <c r="BC106" s="7979"/>
      <c r="BD106" s="7979"/>
      <c r="BE106" s="7979"/>
      <c r="BF106" s="7979"/>
      <c r="BG106" s="7979"/>
      <c r="BH106" s="7979"/>
      <c r="BI106" s="7979"/>
      <c r="BJ106" s="7979"/>
      <c r="BK106" s="7979"/>
      <c r="BL106" s="7980"/>
      <c r="BN106" s="8138"/>
      <c r="BO106" s="8164"/>
      <c r="BP106" s="8164"/>
      <c r="BQ106" s="8164"/>
      <c r="BR106" s="8164"/>
      <c r="BS106" s="8164"/>
      <c r="BT106" s="8164"/>
      <c r="BU106" s="8164"/>
      <c r="BV106" s="8164"/>
      <c r="BW106" s="8164"/>
      <c r="BX106" s="8164"/>
      <c r="BY106" s="8164"/>
      <c r="BZ106" s="8164"/>
      <c r="CA106" s="8164"/>
      <c r="CB106" s="8164"/>
      <c r="CC106" s="8164"/>
      <c r="CD106" s="8164"/>
      <c r="CE106" s="8164"/>
      <c r="CF106" s="8164"/>
      <c r="CG106" s="8164"/>
      <c r="CH106" s="8164"/>
      <c r="CI106" s="8164"/>
      <c r="CJ106" s="8164"/>
      <c r="CK106" s="8164"/>
      <c r="CL106" s="8164"/>
      <c r="CM106" s="8164"/>
      <c r="CN106" s="8164"/>
      <c r="CO106" s="8164"/>
      <c r="CP106" s="8164"/>
      <c r="CQ106" s="8164"/>
      <c r="CR106" s="8164"/>
      <c r="CS106" s="8164"/>
      <c r="CT106" s="8164"/>
      <c r="CU106" s="8164"/>
      <c r="CV106" s="8164"/>
      <c r="CW106" s="8164"/>
      <c r="CX106" s="8164"/>
      <c r="CY106" s="8164"/>
      <c r="CZ106" s="8164"/>
      <c r="DA106" s="8164"/>
      <c r="DB106" s="8164"/>
      <c r="DC106" s="8164"/>
    </row>
    <row r="107" spans="1:109" ht="13.5" customHeight="1" thickBot="1">
      <c r="A107" s="219">
        <v>107</v>
      </c>
      <c r="B107" s="7145"/>
      <c r="C107" s="2418" t="s">
        <v>1785</v>
      </c>
      <c r="D107" s="532"/>
      <c r="F107" s="182" t="s">
        <v>8863</v>
      </c>
      <c r="G107" s="50">
        <f>IF(Personalización!$AN$14,1,0)</f>
        <v>0</v>
      </c>
      <c r="H107"/>
      <c r="I107" s="662"/>
      <c r="J107" s="169">
        <v>1</v>
      </c>
      <c r="K107" s="169">
        <v>2</v>
      </c>
      <c r="L107" s="169">
        <v>3</v>
      </c>
      <c r="M107" s="169">
        <v>4</v>
      </c>
      <c r="N107" s="169">
        <v>5</v>
      </c>
      <c r="O107" s="548">
        <v>6</v>
      </c>
      <c r="P107" s="169">
        <v>7</v>
      </c>
      <c r="Q107" s="169">
        <v>8</v>
      </c>
      <c r="R107" s="1018">
        <v>9</v>
      </c>
      <c r="S107" s="1018">
        <v>10</v>
      </c>
      <c r="T107" s="1018">
        <v>11</v>
      </c>
      <c r="U107" s="1018">
        <v>12</v>
      </c>
      <c r="V107" s="1018">
        <v>13</v>
      </c>
      <c r="W107" s="1018">
        <v>14</v>
      </c>
      <c r="X107" s="1018">
        <v>15</v>
      </c>
      <c r="Y107" s="691">
        <v>16</v>
      </c>
      <c r="Z107" s="691">
        <v>17</v>
      </c>
      <c r="AA107" s="691">
        <v>18</v>
      </c>
      <c r="AB107" s="691">
        <v>19</v>
      </c>
      <c r="AC107" s="8163">
        <v>20</v>
      </c>
      <c r="AD107" s="8163"/>
      <c r="AE107" s="691"/>
      <c r="AF107" s="8163"/>
      <c r="AG107" s="8163"/>
      <c r="AH107" s="691"/>
      <c r="AI107" s="8163"/>
      <c r="AJ107" s="8163"/>
      <c r="AK107" s="691"/>
      <c r="AL107" s="8163"/>
      <c r="AM107" s="8163"/>
      <c r="AN107" s="691"/>
      <c r="AO107" s="8162"/>
      <c r="AP107" s="8162"/>
      <c r="AQ107" s="1018"/>
      <c r="AR107" s="8162"/>
      <c r="AS107" s="8162"/>
      <c r="AT107" s="1018"/>
      <c r="AU107" s="8162"/>
      <c r="AV107" s="8162"/>
      <c r="AW107" s="1018"/>
      <c r="AX107" s="8162"/>
      <c r="AY107" s="8162"/>
      <c r="AZ107" s="1018"/>
      <c r="BA107" s="8162"/>
      <c r="BB107" s="8162"/>
      <c r="BC107" s="1018"/>
      <c r="BD107" s="8162"/>
      <c r="BE107" s="8162"/>
      <c r="BF107" s="1018"/>
      <c r="BG107" s="8162"/>
      <c r="BH107" s="8162"/>
      <c r="BI107" s="1018"/>
      <c r="BJ107" s="8162"/>
      <c r="BK107" s="8162"/>
      <c r="BL107" s="1027"/>
      <c r="BN107" s="307"/>
      <c r="BO107" s="2347" t="s">
        <v>9740</v>
      </c>
      <c r="BP107" s="2347" t="s">
        <v>9696</v>
      </c>
      <c r="BQ107" s="2347" t="s">
        <v>9706</v>
      </c>
      <c r="BR107" s="2347" t="s">
        <v>9693</v>
      </c>
      <c r="BS107" s="2347" t="s">
        <v>9710</v>
      </c>
      <c r="BT107" s="2347" t="s">
        <v>9694</v>
      </c>
      <c r="BU107" s="2347" t="s">
        <v>9701</v>
      </c>
      <c r="BV107" s="2347" t="s">
        <v>9698</v>
      </c>
      <c r="BW107" s="2347" t="s">
        <v>9699</v>
      </c>
      <c r="BX107" s="2347" t="s">
        <v>9702</v>
      </c>
      <c r="BY107" s="2347" t="s">
        <v>9692</v>
      </c>
      <c r="BZ107" s="2347" t="s">
        <v>9705</v>
      </c>
      <c r="CA107" s="2347" t="s">
        <v>9708</v>
      </c>
      <c r="CB107" s="2347" t="s">
        <v>9697</v>
      </c>
      <c r="CC107" s="2347" t="s">
        <v>9700</v>
      </c>
      <c r="CD107" s="2347" t="s">
        <v>9695</v>
      </c>
      <c r="CE107" s="2347" t="s">
        <v>9709</v>
      </c>
      <c r="CF107" s="2347" t="s">
        <v>9707</v>
      </c>
      <c r="CG107" s="2347" t="s">
        <v>9703</v>
      </c>
      <c r="CH107" s="2347" t="s">
        <v>9704</v>
      </c>
      <c r="CI107" s="2347" t="s">
        <v>9739</v>
      </c>
      <c r="CJ107" s="2347" t="s">
        <v>9715</v>
      </c>
      <c r="CK107" s="2347" t="s">
        <v>9722</v>
      </c>
      <c r="CL107" s="2347" t="s">
        <v>9723</v>
      </c>
      <c r="CM107" s="2347" t="s">
        <v>9724</v>
      </c>
      <c r="CN107" s="2347" t="s">
        <v>9995</v>
      </c>
      <c r="CO107" s="2347" t="s">
        <v>9712</v>
      </c>
      <c r="CP107" s="2347" t="s">
        <v>9721</v>
      </c>
      <c r="CQ107" s="2347" t="s">
        <v>9716</v>
      </c>
      <c r="CR107" s="2347" t="s">
        <v>9713</v>
      </c>
      <c r="CS107" s="2347" t="s">
        <v>9717</v>
      </c>
      <c r="CT107" s="2347" t="s">
        <v>9711</v>
      </c>
      <c r="CU107" s="2347" t="s">
        <v>9725</v>
      </c>
      <c r="CV107" s="2347" t="s">
        <v>9719</v>
      </c>
      <c r="CW107" s="2347" t="s">
        <v>9720</v>
      </c>
      <c r="CX107" s="2347" t="s">
        <v>9714</v>
      </c>
      <c r="CY107" s="2347" t="s">
        <v>9718</v>
      </c>
      <c r="CZ107" s="2347" t="s">
        <v>9738</v>
      </c>
      <c r="DA107" s="2347" t="str">
        <f>IF(Personalización!C24="","Lengua P. #1",Personalización!C24)</f>
        <v>Lengua P. #1</v>
      </c>
      <c r="DB107" s="2347" t="str">
        <f>IF(Personalización!C25="","Lengua P. #2",Personalización!C25)</f>
        <v>Lengua P. #2</v>
      </c>
      <c r="DC107" s="2348" t="str">
        <f>IF(Personalización!C26="","Lengua P. #3",Personalización!C26)</f>
        <v>Lengua P. #3</v>
      </c>
    </row>
    <row r="108" spans="1:109" ht="12.75" customHeight="1" thickBot="1">
      <c r="A108" s="219">
        <v>108</v>
      </c>
      <c r="B108" s="7145"/>
      <c r="C108" s="2418" t="s">
        <v>1787</v>
      </c>
      <c r="D108" s="532"/>
      <c r="F108" s="181" t="s">
        <v>8864</v>
      </c>
      <c r="G108" s="67"/>
      <c r="H108"/>
      <c r="I108" s="1057" t="s">
        <v>6768</v>
      </c>
      <c r="J108" s="171" t="s">
        <v>1312</v>
      </c>
      <c r="K108" s="171" t="s">
        <v>1318</v>
      </c>
      <c r="L108" s="171" t="s">
        <v>1320</v>
      </c>
      <c r="M108" s="171" t="s">
        <v>1322</v>
      </c>
      <c r="N108" s="171" t="s">
        <v>1324</v>
      </c>
      <c r="O108" s="549" t="s">
        <v>1326</v>
      </c>
      <c r="P108" s="171" t="s">
        <v>1754</v>
      </c>
      <c r="Q108" s="171" t="s">
        <v>1233</v>
      </c>
      <c r="R108" s="171" t="s">
        <v>1357</v>
      </c>
      <c r="S108" s="171" t="s">
        <v>1238</v>
      </c>
      <c r="T108" s="171" t="s">
        <v>1243</v>
      </c>
      <c r="U108" s="171" t="s">
        <v>1245</v>
      </c>
      <c r="V108" s="171" t="s">
        <v>1248</v>
      </c>
      <c r="W108" s="171" t="s">
        <v>1250</v>
      </c>
      <c r="X108" s="171" t="s">
        <v>1251</v>
      </c>
      <c r="Y108" s="549" t="s">
        <v>1755</v>
      </c>
      <c r="Z108" s="549" t="s">
        <v>1228</v>
      </c>
      <c r="AA108" s="549" t="s">
        <v>1247</v>
      </c>
      <c r="AB108" s="549" t="s">
        <v>1756</v>
      </c>
      <c r="AC108" s="8161" t="s">
        <v>7954</v>
      </c>
      <c r="AD108" s="8161"/>
      <c r="AE108" s="549"/>
      <c r="AF108" s="8161"/>
      <c r="AG108" s="8161"/>
      <c r="AH108" s="549"/>
      <c r="AI108" s="8161"/>
      <c r="AJ108" s="8161"/>
      <c r="AK108" s="549"/>
      <c r="AL108" s="8161"/>
      <c r="AM108" s="8161"/>
      <c r="AN108" s="549"/>
      <c r="AO108" s="8069"/>
      <c r="AP108" s="8069"/>
      <c r="AQ108" s="171"/>
      <c r="AR108" s="8069"/>
      <c r="AS108" s="8069"/>
      <c r="AT108" s="171"/>
      <c r="AU108" s="8069"/>
      <c r="AV108" s="8069"/>
      <c r="AW108" s="171"/>
      <c r="AX108" s="8069"/>
      <c r="AY108" s="8069"/>
      <c r="AZ108" s="171"/>
      <c r="BA108" s="8069"/>
      <c r="BB108" s="8069"/>
      <c r="BC108" s="171"/>
      <c r="BD108" s="8069"/>
      <c r="BE108" s="8069"/>
      <c r="BF108" s="171"/>
      <c r="BG108" s="8069"/>
      <c r="BH108" s="8069"/>
      <c r="BI108" s="171"/>
      <c r="BJ108" s="8069"/>
      <c r="BK108" s="8069"/>
      <c r="BL108" s="1058"/>
      <c r="BN108" s="2349" t="s">
        <v>8863</v>
      </c>
      <c r="BO108" s="2351" t="b">
        <v>1</v>
      </c>
      <c r="BP108" s="2351" t="b">
        <v>1</v>
      </c>
      <c r="BQ108" s="2351" t="b">
        <v>1</v>
      </c>
      <c r="BR108" s="2351" t="b">
        <v>1</v>
      </c>
      <c r="BS108" s="2351" t="b">
        <v>1</v>
      </c>
      <c r="BT108" s="2351" t="b">
        <v>1</v>
      </c>
      <c r="BU108" s="2351" t="b">
        <v>1</v>
      </c>
      <c r="BV108" s="2351" t="b">
        <v>1</v>
      </c>
      <c r="BW108" s="2351" t="b">
        <v>1</v>
      </c>
      <c r="BX108" s="2351" t="b">
        <v>1</v>
      </c>
      <c r="BY108" s="2351" t="b">
        <v>1</v>
      </c>
      <c r="BZ108" s="2351" t="b">
        <v>1</v>
      </c>
      <c r="CA108" s="2351" t="b">
        <v>1</v>
      </c>
      <c r="CB108" s="2351" t="b">
        <v>1</v>
      </c>
      <c r="CC108" s="2351" t="b">
        <v>1</v>
      </c>
      <c r="CD108" s="2351" t="b">
        <v>1</v>
      </c>
      <c r="CE108" s="2351" t="b">
        <v>1</v>
      </c>
      <c r="CF108" s="2351" t="b">
        <v>1</v>
      </c>
      <c r="CG108" s="2351" t="b">
        <v>1</v>
      </c>
      <c r="CH108" s="2351" t="b">
        <v>1</v>
      </c>
      <c r="CI108" s="2351" t="b">
        <v>1</v>
      </c>
      <c r="CJ108" s="2351" t="b">
        <f>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2351" t="b">
        <f>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2351" t="b">
        <f>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2351" t="b">
        <f>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2351" t="b">
        <f>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2351" t="b">
        <f>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2351" t="b">
        <f>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2351" t="b">
        <f>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2351" t="b">
        <f>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2351" t="b">
        <f>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2351" t="b">
        <f>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2351" t="b">
        <f>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2351" t="b">
        <f>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2351" t="b">
        <f>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2351" t="b">
        <f>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2351" t="b">
        <f>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2351" t="b">
        <f>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2351" t="b">
        <f>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2351" t="b">
        <f>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2352" t="b">
        <f>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c r="A109" s="219">
        <v>109</v>
      </c>
      <c r="B109" s="7145"/>
      <c r="C109" s="2419" t="s">
        <v>9778</v>
      </c>
      <c r="D109" s="533"/>
      <c r="H109"/>
      <c r="I109" s="1062" t="str">
        <f t="shared" ref="I109:I129" si="27">IF(OR(Nephilim=J109,Raza=J109),1,"")</f>
        <v/>
      </c>
      <c r="J109" s="821" t="s">
        <v>1759</v>
      </c>
      <c r="K109" s="174">
        <v>5</v>
      </c>
      <c r="L109" s="174">
        <v>20</v>
      </c>
      <c r="M109" s="174">
        <v>5</v>
      </c>
      <c r="N109" s="174">
        <v>10</v>
      </c>
      <c r="O109" s="175">
        <v>10</v>
      </c>
      <c r="P109" s="176"/>
      <c r="Q109" s="84">
        <v>0</v>
      </c>
      <c r="R109" s="173">
        <v>0</v>
      </c>
      <c r="S109" s="84">
        <v>0</v>
      </c>
      <c r="T109" s="173">
        <v>0</v>
      </c>
      <c r="U109" s="84">
        <v>0</v>
      </c>
      <c r="V109" s="84">
        <v>0</v>
      </c>
      <c r="W109" s="84">
        <v>0</v>
      </c>
      <c r="X109" s="177">
        <v>0</v>
      </c>
      <c r="Y109" s="47">
        <v>0</v>
      </c>
      <c r="Z109" s="47">
        <v>1</v>
      </c>
      <c r="AA109" s="47"/>
      <c r="AB109" s="101"/>
      <c r="AC109" s="1117" t="s">
        <v>7939</v>
      </c>
      <c r="AD109" s="1118"/>
      <c r="AE109" s="1118"/>
      <c r="AF109" s="1118"/>
      <c r="AG109" s="1118"/>
      <c r="AH109" s="1118"/>
      <c r="AI109" s="1118"/>
      <c r="AJ109" s="1118"/>
      <c r="AK109" s="1118"/>
      <c r="AL109" s="1118"/>
      <c r="AM109" s="1118"/>
      <c r="AN109" s="1118"/>
      <c r="AO109" s="1118"/>
      <c r="AP109" s="1061"/>
      <c r="AQ109" s="1061"/>
      <c r="AR109" s="1061"/>
      <c r="AS109" s="1061"/>
      <c r="AT109" s="1061"/>
      <c r="AU109" s="1061"/>
      <c r="AV109" s="1061"/>
      <c r="AW109" s="1061"/>
      <c r="AX109" s="1061"/>
      <c r="AY109" s="1061"/>
      <c r="AZ109" s="1061"/>
      <c r="BA109" s="1061"/>
      <c r="BB109" s="1061"/>
      <c r="BC109" s="1061"/>
      <c r="BD109" s="1061"/>
      <c r="BE109" s="1061"/>
      <c r="BF109" s="1061"/>
      <c r="BG109" s="1061"/>
      <c r="BH109" s="1061"/>
      <c r="BI109" s="1061"/>
      <c r="BJ109" s="1061"/>
      <c r="BK109" s="1061"/>
      <c r="BL109" s="1063"/>
      <c r="BN109" s="7309" t="s">
        <v>721</v>
      </c>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t="s">
        <v>9728</v>
      </c>
      <c r="CK109" s="304" t="s">
        <v>9729</v>
      </c>
      <c r="CL109" s="304" t="s">
        <v>9729</v>
      </c>
      <c r="CM109" s="304" t="s">
        <v>9729</v>
      </c>
      <c r="CN109" s="304" t="s">
        <v>9729</v>
      </c>
      <c r="CO109" s="304" t="s">
        <v>9729</v>
      </c>
      <c r="CP109" s="304" t="s">
        <v>9730</v>
      </c>
      <c r="CQ109" s="304" t="s">
        <v>9729</v>
      </c>
      <c r="CR109" s="304" t="s">
        <v>9731</v>
      </c>
      <c r="CS109" s="304" t="s">
        <v>9732</v>
      </c>
      <c r="CT109" s="304" t="s">
        <v>9729</v>
      </c>
      <c r="CU109" s="304" t="s">
        <v>9728</v>
      </c>
      <c r="CV109" s="304" t="s">
        <v>9839</v>
      </c>
      <c r="CW109" s="304" t="s">
        <v>9733</v>
      </c>
      <c r="CX109" s="304" t="s">
        <v>9729</v>
      </c>
      <c r="CY109" s="304" t="s">
        <v>9729</v>
      </c>
      <c r="CZ109" s="304"/>
      <c r="DA109" s="304" t="str">
        <f>IF(OR(Personalización!C24="",Personalización!F24="",Personalización!H24=""),"",Personalización!H24&amp;" "&amp;Personalización!F24)</f>
        <v/>
      </c>
      <c r="DB109" s="304" t="str">
        <f>IF(OR(Personalización!C25="",Personalización!F25="",Personalización!H25=""),"",Personalización!H25&amp;" "&amp;Personalización!F25)</f>
        <v/>
      </c>
      <c r="DC109" s="571" t="str">
        <f>IF(OR(Personalización!C26="",Personalización!F26="",Personalización!H26=""),"",Personalización!H26&amp;" "&amp;Personalización!F26)</f>
        <v/>
      </c>
    </row>
    <row r="110" spans="1:109" ht="12.75" customHeight="1" thickBot="1">
      <c r="A110" s="219">
        <v>110</v>
      </c>
      <c r="B110" s="7145"/>
      <c r="F110" s="4372" t="s">
        <v>1677</v>
      </c>
      <c r="G110" s="4372"/>
      <c r="H110"/>
      <c r="I110" s="1064" t="str">
        <f t="shared" si="27"/>
        <v/>
      </c>
      <c r="J110" s="821" t="s">
        <v>1760</v>
      </c>
      <c r="K110" s="174">
        <v>15</v>
      </c>
      <c r="L110" s="174"/>
      <c r="M110" s="174"/>
      <c r="N110" s="174">
        <v>-10</v>
      </c>
      <c r="O110" s="175"/>
      <c r="P110" s="176"/>
      <c r="Q110" s="174">
        <v>0</v>
      </c>
      <c r="R110" s="173">
        <v>0</v>
      </c>
      <c r="S110" s="84">
        <v>0</v>
      </c>
      <c r="T110" s="174">
        <v>1</v>
      </c>
      <c r="U110" s="174">
        <v>0</v>
      </c>
      <c r="V110" s="174">
        <v>0</v>
      </c>
      <c r="W110" s="174">
        <v>0</v>
      </c>
      <c r="X110" s="175">
        <v>0</v>
      </c>
      <c r="Y110" s="1119">
        <v>3</v>
      </c>
      <c r="Z110" s="1119"/>
      <c r="AA110" s="1119">
        <v>1</v>
      </c>
      <c r="AB110" s="101"/>
      <c r="AC110" s="926" t="s">
        <v>7940</v>
      </c>
      <c r="AD110" s="699"/>
      <c r="AE110" s="699"/>
      <c r="AF110" s="699"/>
      <c r="AG110" s="699"/>
      <c r="AH110" s="699"/>
      <c r="AI110" s="699"/>
      <c r="AJ110" s="699"/>
      <c r="AK110" s="699"/>
      <c r="AL110" s="699"/>
      <c r="AM110" s="699"/>
      <c r="AN110" s="699"/>
      <c r="AO110" s="699"/>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571"/>
      <c r="BN110" s="7310"/>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t="s">
        <v>9731</v>
      </c>
      <c r="CL110" s="304" t="s">
        <v>9728</v>
      </c>
      <c r="CM110" s="304" t="s">
        <v>9840</v>
      </c>
      <c r="CN110" s="304" t="s">
        <v>9733</v>
      </c>
      <c r="CO110" s="304" t="s">
        <v>9733</v>
      </c>
      <c r="CP110" s="304" t="s">
        <v>9733</v>
      </c>
      <c r="CQ110" s="304" t="s">
        <v>9734</v>
      </c>
      <c r="CR110" s="304" t="s">
        <v>9735</v>
      </c>
      <c r="CS110" s="304"/>
      <c r="CT110" s="304" t="s">
        <v>9733</v>
      </c>
      <c r="CU110" s="304"/>
      <c r="CV110" s="304"/>
      <c r="CW110" s="304"/>
      <c r="CX110" s="304" t="s">
        <v>9733</v>
      </c>
      <c r="CY110" s="304" t="s">
        <v>9733</v>
      </c>
      <c r="CZ110" s="304"/>
      <c r="DA110" s="304" t="str">
        <f>IF(OR(Personalización!C24="",Personalización!I24="",Personalización!K24=""),"",Personalización!K24&amp;" "&amp;Personalización!I24)</f>
        <v/>
      </c>
      <c r="DB110" s="304" t="str">
        <f>IF(OR(Personalización!C25="",Personalización!I25="",Personalización!K25=""),"",Personalización!K25&amp;" "&amp;Personalización!I25)</f>
        <v/>
      </c>
      <c r="DC110" s="571" t="str">
        <f>IF(OR(Personalización!C26="",Personalización!I26="",Personalización!K26=""),"",Personalización!K26&amp;" "&amp;Personalización!I26)</f>
        <v/>
      </c>
    </row>
    <row r="111" spans="1:109" ht="12.75" customHeight="1" thickBot="1">
      <c r="A111" s="219">
        <v>111</v>
      </c>
      <c r="B111" s="7145"/>
      <c r="C111" s="8122" t="s">
        <v>1790</v>
      </c>
      <c r="D111" s="8122"/>
      <c r="F111" s="4372"/>
      <c r="G111" s="4372"/>
      <c r="H111"/>
      <c r="I111" s="1064" t="str">
        <f t="shared" si="27"/>
        <v/>
      </c>
      <c r="J111" s="821" t="s">
        <v>1761</v>
      </c>
      <c r="K111" s="174"/>
      <c r="L111" s="174"/>
      <c r="M111" s="174"/>
      <c r="N111" s="174"/>
      <c r="O111" s="175"/>
      <c r="P111" s="176"/>
      <c r="Q111" s="174">
        <v>0</v>
      </c>
      <c r="R111" s="173">
        <v>0</v>
      </c>
      <c r="S111" s="84">
        <v>0</v>
      </c>
      <c r="T111" s="174">
        <v>0</v>
      </c>
      <c r="U111" s="174">
        <v>0</v>
      </c>
      <c r="V111" s="174">
        <v>0</v>
      </c>
      <c r="W111" s="174">
        <v>0</v>
      </c>
      <c r="X111" s="175">
        <v>0</v>
      </c>
      <c r="Y111" s="1119">
        <v>0</v>
      </c>
      <c r="Z111" s="1119"/>
      <c r="AA111" s="1119"/>
      <c r="AB111" s="101"/>
      <c r="AC111" s="926" t="s">
        <v>7941</v>
      </c>
      <c r="AD111" s="699"/>
      <c r="AE111" s="699"/>
      <c r="AF111" s="699"/>
      <c r="AG111" s="699"/>
      <c r="AH111" s="699"/>
      <c r="AI111" s="699"/>
      <c r="AJ111" s="699"/>
      <c r="AK111" s="699"/>
      <c r="AL111" s="699"/>
      <c r="AM111" s="699"/>
      <c r="AN111" s="699"/>
      <c r="AO111" s="699"/>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571"/>
      <c r="BN111" s="7310"/>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t="s">
        <v>9736</v>
      </c>
      <c r="CP111" s="304"/>
      <c r="CQ111" s="304"/>
      <c r="CR111" s="304"/>
      <c r="CS111" s="304"/>
      <c r="CT111" s="304"/>
      <c r="CU111" s="304"/>
      <c r="CV111" s="304"/>
      <c r="CW111" s="304"/>
      <c r="CX111" s="304"/>
      <c r="CY111" s="304"/>
      <c r="CZ111" s="304"/>
      <c r="DA111" s="304" t="str">
        <f>IF(OR(Personalización!C24="",Personalización!L24="",Personalización!N24=""),"",Personalización!N24&amp;" "&amp;Personalización!L24)</f>
        <v/>
      </c>
      <c r="DB111" s="304" t="str">
        <f>IF(OR(Personalización!C25="",Personalización!L25="",Personalización!N25=""),"",Personalización!N25&amp;" "&amp;Personalización!L25)</f>
        <v/>
      </c>
      <c r="DC111" s="571" t="str">
        <f>IF(OR(Personalización!C26="",Personalización!L26="",Personalización!N26=""),"",Personalización!N26&amp;" "&amp;Personalización!L26)</f>
        <v/>
      </c>
    </row>
    <row r="112" spans="1:109" ht="12.75" customHeight="1" thickBot="1">
      <c r="A112" s="219">
        <v>112</v>
      </c>
      <c r="B112" s="7145"/>
      <c r="C112" s="8122"/>
      <c r="D112" s="8122"/>
      <c r="F112" s="8206" t="s">
        <v>1786</v>
      </c>
      <c r="G112" s="8206"/>
      <c r="H112"/>
      <c r="I112" s="1064" t="str">
        <f t="shared" si="27"/>
        <v/>
      </c>
      <c r="J112" s="821" t="s">
        <v>1763</v>
      </c>
      <c r="K112" s="822"/>
      <c r="L112" s="822"/>
      <c r="M112" s="822"/>
      <c r="N112" s="822"/>
      <c r="O112" s="823"/>
      <c r="P112" s="824"/>
      <c r="Q112" s="174">
        <v>0</v>
      </c>
      <c r="R112" s="173">
        <v>0</v>
      </c>
      <c r="S112" s="84">
        <v>0</v>
      </c>
      <c r="T112" s="174">
        <v>0</v>
      </c>
      <c r="U112" s="174">
        <v>0</v>
      </c>
      <c r="V112" s="174">
        <v>0</v>
      </c>
      <c r="W112" s="174">
        <v>0</v>
      </c>
      <c r="X112" s="175">
        <v>0</v>
      </c>
      <c r="Y112" s="1119">
        <v>0</v>
      </c>
      <c r="Z112" s="1119"/>
      <c r="AA112" s="1119"/>
      <c r="AB112" s="101"/>
      <c r="AC112" s="926" t="s">
        <v>7942</v>
      </c>
      <c r="AD112" s="699"/>
      <c r="AE112" s="699"/>
      <c r="AF112" s="699"/>
      <c r="AG112" s="699"/>
      <c r="AH112" s="699"/>
      <c r="AI112" s="699"/>
      <c r="AJ112" s="699"/>
      <c r="AK112" s="699"/>
      <c r="AL112" s="699"/>
      <c r="AM112" s="699"/>
      <c r="AN112" s="699"/>
      <c r="AO112" s="699"/>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571"/>
      <c r="BN112" s="7311"/>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t="str">
        <f>IF(OR(Personalización!C24="",Personalización!O24="",Personalización!Q24=""),"",Personalización!Q24&amp;" "&amp;Personalización!O24)</f>
        <v/>
      </c>
      <c r="DB112" s="304" t="str">
        <f>IF(OR(Personalización!C25="",Personalización!O25="",Personalización!Q25=""),"",Personalización!Q25&amp;" "&amp;Personalización!O25)</f>
        <v/>
      </c>
      <c r="DC112" s="571" t="str">
        <f>IF(OR(Personalización!C26="",Personalización!O26="",Personalización!Q26=""),"",Personalización!Q26&amp;" "&amp;Personalización!O26)</f>
        <v/>
      </c>
    </row>
    <row r="113" spans="1:107" ht="12.75" customHeight="1" thickBot="1">
      <c r="A113" s="219">
        <v>113</v>
      </c>
      <c r="B113" s="7145"/>
      <c r="C113" s="182" t="s">
        <v>1793</v>
      </c>
      <c r="D113" s="36"/>
      <c r="F113" s="8206" t="s">
        <v>1788</v>
      </c>
      <c r="G113" s="8206"/>
      <c r="H113"/>
      <c r="I113" s="1064" t="str">
        <f t="shared" si="27"/>
        <v/>
      </c>
      <c r="J113" s="821" t="s">
        <v>1764</v>
      </c>
      <c r="K113" s="174"/>
      <c r="L113" s="174"/>
      <c r="M113" s="174"/>
      <c r="N113" s="174"/>
      <c r="O113" s="175"/>
      <c r="P113" s="176"/>
      <c r="Q113" s="174">
        <v>0</v>
      </c>
      <c r="R113" s="173">
        <v>0</v>
      </c>
      <c r="S113" s="84">
        <v>0</v>
      </c>
      <c r="T113" s="174">
        <v>0</v>
      </c>
      <c r="U113" s="174">
        <v>0</v>
      </c>
      <c r="V113" s="174">
        <v>0</v>
      </c>
      <c r="W113" s="174">
        <v>0</v>
      </c>
      <c r="X113" s="175">
        <v>0</v>
      </c>
      <c r="Y113" s="1119">
        <v>-1</v>
      </c>
      <c r="Z113" s="1119"/>
      <c r="AA113" s="1119"/>
      <c r="AB113" s="101"/>
      <c r="AC113" s="926" t="s">
        <v>7943</v>
      </c>
      <c r="AD113" s="699"/>
      <c r="AE113" s="699"/>
      <c r="AF113" s="699"/>
      <c r="AG113" s="699"/>
      <c r="AH113" s="699"/>
      <c r="AI113" s="699"/>
      <c r="AJ113" s="699"/>
      <c r="AK113" s="699"/>
      <c r="AL113" s="699"/>
      <c r="AM113" s="699"/>
      <c r="AN113" s="699"/>
      <c r="AO113" s="699"/>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571"/>
      <c r="BN113" s="2350" t="s">
        <v>1312</v>
      </c>
      <c r="BO113" s="309"/>
      <c r="BP113" s="309"/>
      <c r="BQ113" s="309"/>
      <c r="BR113" s="309"/>
      <c r="BS113" s="309"/>
      <c r="BT113" s="309"/>
      <c r="BU113" s="309"/>
      <c r="BV113" s="309"/>
      <c r="BW113" s="309"/>
      <c r="BX113" s="309"/>
      <c r="BY113" s="309"/>
      <c r="BZ113" s="309"/>
      <c r="CA113" s="309"/>
      <c r="CB113" s="309"/>
      <c r="CC113" s="309"/>
      <c r="CD113" s="309"/>
      <c r="CE113" s="309"/>
      <c r="CF113" s="309"/>
      <c r="CG113" s="309"/>
      <c r="CH113" s="309"/>
      <c r="CI113" s="309"/>
      <c r="CJ113" s="309"/>
      <c r="CK113" s="309"/>
      <c r="CL113" s="309" t="s">
        <v>1782</v>
      </c>
      <c r="CM113" s="309"/>
      <c r="CN113" s="309" t="s">
        <v>1774</v>
      </c>
      <c r="CO113" s="309"/>
      <c r="CP113" s="309" t="s">
        <v>1779</v>
      </c>
      <c r="CQ113" s="309"/>
      <c r="CR113" s="309"/>
      <c r="CS113" s="309"/>
      <c r="CT113" s="309" t="s">
        <v>1777</v>
      </c>
      <c r="CU113" s="309"/>
      <c r="CV113" s="309"/>
      <c r="CW113" s="309" t="s">
        <v>1773</v>
      </c>
      <c r="CX113" s="309" t="s">
        <v>1772</v>
      </c>
      <c r="CY113" s="309"/>
      <c r="CZ113" s="309"/>
      <c r="DA113" s="309"/>
      <c r="DB113" s="309"/>
      <c r="DC113" s="572"/>
    </row>
    <row r="114" spans="1:107" ht="12.75" customHeight="1">
      <c r="A114" s="219">
        <v>114</v>
      </c>
      <c r="B114" s="7145"/>
      <c r="C114" s="182" t="s">
        <v>1795</v>
      </c>
      <c r="D114" s="36"/>
      <c r="F114" s="8206" t="s">
        <v>1789</v>
      </c>
      <c r="G114" s="8206"/>
      <c r="H114"/>
      <c r="I114" s="1064" t="str">
        <f t="shared" si="27"/>
        <v/>
      </c>
      <c r="J114" s="821" t="s">
        <v>1765</v>
      </c>
      <c r="K114" s="174">
        <f>IF(Sexo="Mujer",15,20)</f>
        <v>20</v>
      </c>
      <c r="L114" s="174">
        <v>15</v>
      </c>
      <c r="M114" s="174">
        <v>15</v>
      </c>
      <c r="N114" s="174">
        <f>IF(Sexo="Mujer",20,15)</f>
        <v>15</v>
      </c>
      <c r="O114" s="175">
        <v>15</v>
      </c>
      <c r="P114" s="176"/>
      <c r="Q114" s="174">
        <v>0</v>
      </c>
      <c r="R114" s="173">
        <v>0</v>
      </c>
      <c r="S114" s="84">
        <v>0</v>
      </c>
      <c r="T114" s="174">
        <v>0</v>
      </c>
      <c r="U114" s="174">
        <v>0</v>
      </c>
      <c r="V114" s="174">
        <v>0</v>
      </c>
      <c r="W114" s="174">
        <v>0</v>
      </c>
      <c r="X114" s="175">
        <v>0</v>
      </c>
      <c r="Y114" s="1119">
        <v>0</v>
      </c>
      <c r="Z114" s="1119">
        <v>1</v>
      </c>
      <c r="AA114" s="1119"/>
      <c r="AB114" s="101"/>
      <c r="AC114" s="926" t="s">
        <v>7944</v>
      </c>
      <c r="AD114" s="699"/>
      <c r="AE114" s="699"/>
      <c r="AF114" s="699"/>
      <c r="AG114" s="699"/>
      <c r="AH114" s="699"/>
      <c r="AI114" s="699"/>
      <c r="AJ114" s="699"/>
      <c r="AK114" s="699"/>
      <c r="AL114" s="699"/>
      <c r="AM114" s="699"/>
      <c r="AN114" s="699"/>
      <c r="AO114" s="699"/>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571"/>
    </row>
    <row r="115" spans="1:107" ht="12.75" customHeight="1">
      <c r="A115" s="219">
        <v>115</v>
      </c>
      <c r="B115" s="7145"/>
      <c r="C115" s="182" t="s">
        <v>1796</v>
      </c>
      <c r="D115" s="36"/>
      <c r="F115" s="8206" t="s">
        <v>1791</v>
      </c>
      <c r="G115" s="8206"/>
      <c r="H115"/>
      <c r="I115" s="1064" t="str">
        <f t="shared" si="27"/>
        <v/>
      </c>
      <c r="J115" s="821" t="s">
        <v>6761</v>
      </c>
      <c r="K115" s="174">
        <v>-10</v>
      </c>
      <c r="L115" s="174">
        <v>-10</v>
      </c>
      <c r="M115" s="174"/>
      <c r="N115" s="174">
        <v>10</v>
      </c>
      <c r="O115" s="175">
        <v>10</v>
      </c>
      <c r="P115" s="176"/>
      <c r="Q115" s="174">
        <v>0</v>
      </c>
      <c r="R115" s="173">
        <v>0</v>
      </c>
      <c r="S115" s="84">
        <v>0</v>
      </c>
      <c r="T115" s="174">
        <v>0</v>
      </c>
      <c r="U115" s="174">
        <v>0</v>
      </c>
      <c r="V115" s="174">
        <v>0</v>
      </c>
      <c r="W115" s="174">
        <v>0</v>
      </c>
      <c r="X115" s="175">
        <v>0</v>
      </c>
      <c r="Y115" s="1119">
        <v>0</v>
      </c>
      <c r="Z115" s="1119"/>
      <c r="AA115" s="1119"/>
      <c r="AB115" s="101"/>
      <c r="AC115" s="926" t="s">
        <v>7945</v>
      </c>
      <c r="AD115" s="699"/>
      <c r="AE115" s="699"/>
      <c r="AF115" s="699"/>
      <c r="AG115" s="699"/>
      <c r="AH115" s="699"/>
      <c r="AI115" s="699"/>
      <c r="AJ115" s="699"/>
      <c r="AK115" s="699"/>
      <c r="AL115" s="699"/>
      <c r="AM115" s="699"/>
      <c r="AN115" s="699"/>
      <c r="AO115" s="699"/>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571"/>
    </row>
    <row r="116" spans="1:107" ht="12.75" customHeight="1">
      <c r="A116" s="219">
        <v>116</v>
      </c>
      <c r="B116" s="7145"/>
      <c r="C116" s="182" t="s">
        <v>1797</v>
      </c>
      <c r="D116" s="36"/>
      <c r="F116" s="8206" t="s">
        <v>1792</v>
      </c>
      <c r="G116" s="8206"/>
      <c r="H116"/>
      <c r="I116" s="1064" t="str">
        <f t="shared" si="27"/>
        <v/>
      </c>
      <c r="J116" s="821" t="s">
        <v>1767</v>
      </c>
      <c r="K116" s="174"/>
      <c r="L116" s="174">
        <v>-20</v>
      </c>
      <c r="M116" s="174"/>
      <c r="N116" s="174"/>
      <c r="O116" s="175"/>
      <c r="P116" s="176"/>
      <c r="Q116" s="174">
        <f>IF(AND(Personalización!$G$45="+1 AGI",Personalización!$G$46="Sí"),1,0)</f>
        <v>0</v>
      </c>
      <c r="R116" s="174">
        <f>IF(AND(Personalización!$G$45="+1 CON",Personalización!$G$46="Sí"),1,0)</f>
        <v>0</v>
      </c>
      <c r="S116" s="174">
        <f>IF(AND(Personalización!$G$45="+1 DES",Personalización!$G$46="Sí"),1,0)</f>
        <v>0</v>
      </c>
      <c r="T116" s="174">
        <f>IF(AND(Personalización!$G$45="+1 FUE",Personalización!$G$46="Sí"),1,0)</f>
        <v>0</v>
      </c>
      <c r="U116" s="174">
        <f>IF(AND(Personalización!$G$45="+1 INT",Personalización!$G$46="Sí"),1,0)</f>
        <v>0</v>
      </c>
      <c r="V116" s="174">
        <f>IF(AND(Personalización!$G$45="+1 PER",Personalización!$G$46="Sí"),1,0)</f>
        <v>0</v>
      </c>
      <c r="W116" s="174">
        <f>IF(AND(Personalización!$G$45="+1 POD",Personalización!$G$46="Sí"),1,0)</f>
        <v>0</v>
      </c>
      <c r="X116" s="175">
        <f>IF(AND(Personalización!$G$45="+1 VOL",Personalización!$G$46="Sí"),1,0)</f>
        <v>0</v>
      </c>
      <c r="Y116" s="1119">
        <v>0</v>
      </c>
      <c r="Z116" s="1119">
        <f>IF(Personalización!$G$48="Sí",1,0)</f>
        <v>0</v>
      </c>
      <c r="AA116" s="1119"/>
      <c r="AB116" s="101"/>
      <c r="AC116" s="926" t="s">
        <v>7946</v>
      </c>
      <c r="AD116" s="699"/>
      <c r="AE116" s="699"/>
      <c r="AF116" s="699"/>
      <c r="AG116" s="699"/>
      <c r="AH116" s="699"/>
      <c r="AI116" s="699"/>
      <c r="AJ116" s="699"/>
      <c r="AK116" s="699"/>
      <c r="AL116" s="699"/>
      <c r="AM116" s="699"/>
      <c r="AN116" s="699"/>
      <c r="AO116" s="699"/>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571"/>
    </row>
    <row r="117" spans="1:107" ht="12.75" customHeight="1" thickBot="1">
      <c r="A117" s="219">
        <v>117</v>
      </c>
      <c r="B117" s="7145"/>
      <c r="C117" s="182" t="s">
        <v>1798</v>
      </c>
      <c r="D117" s="36"/>
      <c r="F117" s="8205" t="s">
        <v>1794</v>
      </c>
      <c r="G117" s="8205"/>
      <c r="H117"/>
      <c r="I117" s="1064" t="str">
        <f t="shared" si="27"/>
        <v/>
      </c>
      <c r="J117" s="821" t="s">
        <v>1769</v>
      </c>
      <c r="K117" s="174"/>
      <c r="L117" s="174"/>
      <c r="M117" s="174"/>
      <c r="N117" s="174"/>
      <c r="O117" s="175"/>
      <c r="P117" s="176"/>
      <c r="Q117" s="174">
        <v>0</v>
      </c>
      <c r="R117" s="173">
        <v>0</v>
      </c>
      <c r="S117" s="84">
        <v>0</v>
      </c>
      <c r="T117" s="174">
        <v>0</v>
      </c>
      <c r="U117" s="174">
        <v>0</v>
      </c>
      <c r="V117" s="174">
        <v>0</v>
      </c>
      <c r="W117" s="174">
        <v>0</v>
      </c>
      <c r="X117" s="175">
        <v>0</v>
      </c>
      <c r="Y117" s="1119">
        <v>0</v>
      </c>
      <c r="Z117" s="1119"/>
      <c r="AA117" s="1119"/>
      <c r="AB117" s="101"/>
      <c r="AC117" s="926" t="s">
        <v>9479</v>
      </c>
      <c r="AD117" s="699"/>
      <c r="AE117" s="699"/>
      <c r="AF117" s="699"/>
      <c r="AG117" s="699"/>
      <c r="AH117" s="699"/>
      <c r="AI117" s="699"/>
      <c r="AJ117" s="699"/>
      <c r="AK117" s="699"/>
      <c r="AL117" s="699"/>
      <c r="AM117" s="699"/>
      <c r="AN117" s="699"/>
      <c r="AO117" s="699"/>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571"/>
    </row>
    <row r="118" spans="1:107" ht="12.75" customHeight="1" thickBot="1">
      <c r="A118" s="219">
        <v>118</v>
      </c>
      <c r="B118" s="7145"/>
      <c r="C118" s="182" t="s">
        <v>1799</v>
      </c>
      <c r="D118" s="36"/>
      <c r="H118"/>
      <c r="I118" s="1064" t="str">
        <f t="shared" si="27"/>
        <v/>
      </c>
      <c r="J118" s="821" t="s">
        <v>1758</v>
      </c>
      <c r="K118" s="174"/>
      <c r="L118" s="174"/>
      <c r="M118" s="174"/>
      <c r="N118" s="174"/>
      <c r="O118" s="175"/>
      <c r="P118" s="176"/>
      <c r="Q118" s="174">
        <v>0</v>
      </c>
      <c r="R118" s="173">
        <v>0</v>
      </c>
      <c r="S118" s="84">
        <v>0</v>
      </c>
      <c r="T118" s="174">
        <v>0</v>
      </c>
      <c r="U118" s="174">
        <v>0</v>
      </c>
      <c r="V118" s="174">
        <v>0</v>
      </c>
      <c r="W118" s="174">
        <v>0</v>
      </c>
      <c r="X118" s="175">
        <v>0</v>
      </c>
      <c r="Y118" s="1119">
        <v>0</v>
      </c>
      <c r="Z118" s="1119"/>
      <c r="AA118" s="1119"/>
      <c r="AB118" s="101"/>
      <c r="AC118" s="926" t="s">
        <v>6506</v>
      </c>
      <c r="AD118" s="699"/>
      <c r="AE118" s="699"/>
      <c r="AF118" s="699"/>
      <c r="AG118" s="699"/>
      <c r="AH118" s="699"/>
      <c r="AI118" s="699"/>
      <c r="AJ118" s="699"/>
      <c r="AK118" s="699"/>
      <c r="AL118" s="699"/>
      <c r="AM118" s="699"/>
      <c r="AN118" s="699"/>
      <c r="AO118" s="699"/>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571"/>
    </row>
    <row r="119" spans="1:107" ht="12.75" customHeight="1" thickBot="1">
      <c r="A119" s="219">
        <v>119</v>
      </c>
      <c r="B119" s="7145"/>
      <c r="C119" s="182" t="s">
        <v>1800</v>
      </c>
      <c r="D119" s="36"/>
      <c r="F119" s="8122" t="s">
        <v>1825</v>
      </c>
      <c r="G119" s="8122"/>
      <c r="H119"/>
      <c r="I119" s="1064" t="str">
        <f t="shared" si="27"/>
        <v/>
      </c>
      <c r="J119" s="821" t="s">
        <v>1772</v>
      </c>
      <c r="K119" s="174"/>
      <c r="L119" s="174">
        <v>20</v>
      </c>
      <c r="M119" s="174">
        <v>10</v>
      </c>
      <c r="N119" s="174">
        <v>30</v>
      </c>
      <c r="O119" s="175">
        <v>30</v>
      </c>
      <c r="P119" s="178">
        <v>2</v>
      </c>
      <c r="Q119" s="174">
        <v>1</v>
      </c>
      <c r="R119" s="174">
        <v>-1</v>
      </c>
      <c r="S119" s="174">
        <v>1</v>
      </c>
      <c r="T119" s="174">
        <v>-1</v>
      </c>
      <c r="U119" s="174">
        <v>1</v>
      </c>
      <c r="V119" s="174">
        <v>0</v>
      </c>
      <c r="W119" s="174">
        <v>1</v>
      </c>
      <c r="X119" s="175">
        <v>0</v>
      </c>
      <c r="Y119" s="1119">
        <v>-2</v>
      </c>
      <c r="Z119" s="1119">
        <v>3</v>
      </c>
      <c r="AA119" s="1119"/>
      <c r="AB119" s="101">
        <v>5</v>
      </c>
      <c r="AC119" s="926" t="s">
        <v>7947</v>
      </c>
      <c r="AD119" s="699"/>
      <c r="AE119" s="699"/>
      <c r="AF119" s="699"/>
      <c r="AG119" s="699"/>
      <c r="AH119" s="699"/>
      <c r="AI119" s="699"/>
      <c r="AJ119" s="699"/>
      <c r="AK119" s="699"/>
      <c r="AL119" s="699"/>
      <c r="AM119" s="699"/>
      <c r="AN119" s="699"/>
      <c r="AO119" s="699"/>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571"/>
    </row>
    <row r="120" spans="1:107" ht="12.75" customHeight="1" thickBot="1">
      <c r="A120" s="219">
        <v>120</v>
      </c>
      <c r="B120" s="7145"/>
      <c r="C120" s="182" t="s">
        <v>1801</v>
      </c>
      <c r="D120" s="36"/>
      <c r="F120" s="8122"/>
      <c r="G120" s="8122"/>
      <c r="H120"/>
      <c r="I120" s="1064" t="str">
        <f t="shared" si="27"/>
        <v/>
      </c>
      <c r="J120" s="821" t="s">
        <v>1773</v>
      </c>
      <c r="K120" s="174">
        <v>20</v>
      </c>
      <c r="L120" s="174"/>
      <c r="M120" s="174"/>
      <c r="N120" s="174">
        <v>-20</v>
      </c>
      <c r="O120" s="175"/>
      <c r="P120" s="178">
        <v>1</v>
      </c>
      <c r="Q120" s="174">
        <v>0</v>
      </c>
      <c r="R120" s="174">
        <v>1</v>
      </c>
      <c r="S120" s="174">
        <v>0</v>
      </c>
      <c r="T120" s="174">
        <v>2</v>
      </c>
      <c r="U120" s="174">
        <v>0</v>
      </c>
      <c r="V120" s="174">
        <v>0</v>
      </c>
      <c r="W120" s="174">
        <v>-1</v>
      </c>
      <c r="X120" s="175">
        <v>0</v>
      </c>
      <c r="Y120" s="1119">
        <v>5</v>
      </c>
      <c r="Z120" s="1119"/>
      <c r="AA120" s="1119">
        <v>3</v>
      </c>
      <c r="AB120" s="101">
        <v>0</v>
      </c>
      <c r="AC120" s="926" t="s">
        <v>7948</v>
      </c>
      <c r="AD120" s="699"/>
      <c r="AE120" s="699"/>
      <c r="AF120" s="699"/>
      <c r="AG120" s="699"/>
      <c r="AH120" s="699"/>
      <c r="AI120" s="699"/>
      <c r="AJ120" s="699"/>
      <c r="AK120" s="699"/>
      <c r="AL120" s="699"/>
      <c r="AM120" s="699"/>
      <c r="AN120" s="699"/>
      <c r="AO120" s="699"/>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571"/>
    </row>
    <row r="121" spans="1:107" ht="12.75" customHeight="1">
      <c r="A121" s="219">
        <v>121</v>
      </c>
      <c r="B121" s="7145"/>
      <c r="C121" s="182" t="s">
        <v>1802</v>
      </c>
      <c r="D121" s="36"/>
      <c r="F121" s="182" t="s">
        <v>1826</v>
      </c>
      <c r="G121" s="132"/>
      <c r="H121"/>
      <c r="I121" s="1064" t="str">
        <f t="shared" si="27"/>
        <v/>
      </c>
      <c r="J121" s="821" t="s">
        <v>1774</v>
      </c>
      <c r="K121" s="174"/>
      <c r="L121" s="174"/>
      <c r="M121" s="174"/>
      <c r="N121" s="174"/>
      <c r="O121" s="175"/>
      <c r="P121" s="178">
        <v>1</v>
      </c>
      <c r="Q121" s="174">
        <v>0</v>
      </c>
      <c r="R121" s="174">
        <v>0</v>
      </c>
      <c r="S121" s="174">
        <v>0</v>
      </c>
      <c r="T121" s="174">
        <v>0</v>
      </c>
      <c r="U121" s="174">
        <v>0</v>
      </c>
      <c r="V121" s="174">
        <v>0</v>
      </c>
      <c r="W121" s="174">
        <v>0</v>
      </c>
      <c r="X121" s="175">
        <v>0</v>
      </c>
      <c r="Y121" s="1119">
        <v>0</v>
      </c>
      <c r="Z121" s="1119"/>
      <c r="AA121" s="1119"/>
      <c r="AB121" s="101">
        <v>5</v>
      </c>
      <c r="AC121" s="926" t="s">
        <v>7949</v>
      </c>
      <c r="AD121" s="699"/>
      <c r="AE121" s="699"/>
      <c r="AF121" s="699"/>
      <c r="AG121" s="699"/>
      <c r="AH121" s="699"/>
      <c r="AI121" s="699"/>
      <c r="AJ121" s="699"/>
      <c r="AK121" s="699"/>
      <c r="AL121" s="699"/>
      <c r="AM121" s="699"/>
      <c r="AN121" s="699"/>
      <c r="AO121" s="699"/>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571"/>
    </row>
    <row r="122" spans="1:107" ht="12.75" customHeight="1">
      <c r="A122" s="219">
        <v>122</v>
      </c>
      <c r="B122" s="7145"/>
      <c r="C122" s="182" t="s">
        <v>1803</v>
      </c>
      <c r="D122" s="36"/>
      <c r="F122" s="182" t="s">
        <v>1827</v>
      </c>
      <c r="G122" s="132"/>
      <c r="H122"/>
      <c r="I122" s="1064" t="str">
        <f t="shared" si="27"/>
        <v/>
      </c>
      <c r="J122" s="821" t="s">
        <v>1775</v>
      </c>
      <c r="K122" s="174"/>
      <c r="L122" s="174"/>
      <c r="M122" s="174"/>
      <c r="N122" s="174"/>
      <c r="O122" s="175"/>
      <c r="P122" s="178">
        <f>IF(Personalización!$AN$14,3,1)</f>
        <v>1</v>
      </c>
      <c r="Q122" s="174">
        <v>0</v>
      </c>
      <c r="R122" s="174">
        <v>0</v>
      </c>
      <c r="S122" s="174">
        <v>0</v>
      </c>
      <c r="T122" s="174">
        <v>0</v>
      </c>
      <c r="U122" s="174">
        <v>0</v>
      </c>
      <c r="V122" s="174">
        <v>0</v>
      </c>
      <c r="W122" s="174">
        <f>IF(Personalización!$AN$14,2,0)</f>
        <v>0</v>
      </c>
      <c r="X122" s="175">
        <f>IF(Personalización!$AN$14,2,0)</f>
        <v>0</v>
      </c>
      <c r="Y122" s="1119">
        <v>0</v>
      </c>
      <c r="Z122" s="1119"/>
      <c r="AA122" s="1119"/>
      <c r="AB122" s="101">
        <f>IF(Personalización!$AN$15,30,10)</f>
        <v>10</v>
      </c>
      <c r="AC122" s="926" t="s">
        <v>8024</v>
      </c>
      <c r="AD122" s="699"/>
      <c r="AE122" s="699"/>
      <c r="AF122" s="699"/>
      <c r="AG122" s="699"/>
      <c r="AH122" s="699"/>
      <c r="AI122" s="699"/>
      <c r="AJ122" s="699"/>
      <c r="AK122" s="699"/>
      <c r="AL122" s="699"/>
      <c r="AM122" s="699"/>
      <c r="AN122" s="699"/>
      <c r="AO122" s="699"/>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571"/>
    </row>
    <row r="123" spans="1:107" ht="12.75" customHeight="1">
      <c r="A123" s="219">
        <v>123</v>
      </c>
      <c r="B123" s="7145"/>
      <c r="C123" s="182" t="s">
        <v>1804</v>
      </c>
      <c r="D123" s="36"/>
      <c r="F123" s="182" t="s">
        <v>1828</v>
      </c>
      <c r="G123" s="132"/>
      <c r="H123"/>
      <c r="I123" s="1064" t="str">
        <f t="shared" si="27"/>
        <v/>
      </c>
      <c r="J123" s="821" t="s">
        <v>1776</v>
      </c>
      <c r="K123" s="174"/>
      <c r="L123" s="174"/>
      <c r="M123" s="174"/>
      <c r="N123" s="174"/>
      <c r="O123" s="175"/>
      <c r="P123" s="178">
        <v>1</v>
      </c>
      <c r="Q123" s="174">
        <v>1</v>
      </c>
      <c r="R123" s="174">
        <v>-1</v>
      </c>
      <c r="S123" s="174">
        <v>1</v>
      </c>
      <c r="T123" s="174">
        <v>0</v>
      </c>
      <c r="U123" s="174">
        <v>0</v>
      </c>
      <c r="V123" s="174">
        <v>0</v>
      </c>
      <c r="W123" s="174">
        <v>0</v>
      </c>
      <c r="X123" s="175">
        <v>-1</v>
      </c>
      <c r="Y123" s="1119">
        <v>-2</v>
      </c>
      <c r="Z123" s="1119"/>
      <c r="AA123" s="1119"/>
      <c r="AB123" s="101">
        <v>5</v>
      </c>
      <c r="AC123" s="926" t="s">
        <v>7950</v>
      </c>
      <c r="AD123" s="699"/>
      <c r="AE123" s="699"/>
      <c r="AF123" s="699"/>
      <c r="AG123" s="699"/>
      <c r="AH123" s="699"/>
      <c r="AI123" s="699"/>
      <c r="AJ123" s="699"/>
      <c r="AK123" s="699"/>
      <c r="AL123" s="699"/>
      <c r="AM123" s="699"/>
      <c r="AN123" s="699"/>
      <c r="AO123" s="699"/>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571"/>
    </row>
    <row r="124" spans="1:107" ht="12.75" customHeight="1">
      <c r="A124" s="219">
        <v>124</v>
      </c>
      <c r="B124" s="7145"/>
      <c r="C124" s="182" t="s">
        <v>1805</v>
      </c>
      <c r="D124" s="36"/>
      <c r="F124" s="182" t="s">
        <v>1829</v>
      </c>
      <c r="G124" s="132"/>
      <c r="H124"/>
      <c r="I124" s="1064" t="str">
        <f t="shared" si="27"/>
        <v/>
      </c>
      <c r="J124" s="821" t="s">
        <v>1777</v>
      </c>
      <c r="K124" s="174">
        <f>IF(Sexo="Mujer",15,20)</f>
        <v>20</v>
      </c>
      <c r="L124" s="174">
        <v>15</v>
      </c>
      <c r="M124" s="174">
        <v>15</v>
      </c>
      <c r="N124" s="174">
        <f>IF(Sexo="Mujer",20,15)</f>
        <v>15</v>
      </c>
      <c r="O124" s="175">
        <v>15</v>
      </c>
      <c r="P124" s="178">
        <v>3</v>
      </c>
      <c r="Q124" s="174">
        <v>1</v>
      </c>
      <c r="R124" s="174">
        <v>1</v>
      </c>
      <c r="S124" s="174">
        <v>1</v>
      </c>
      <c r="T124" s="174">
        <v>1</v>
      </c>
      <c r="U124" s="174">
        <v>1</v>
      </c>
      <c r="V124" s="174">
        <v>1</v>
      </c>
      <c r="W124" s="174">
        <v>1</v>
      </c>
      <c r="X124" s="175">
        <v>1</v>
      </c>
      <c r="Y124" s="1119">
        <v>2</v>
      </c>
      <c r="Z124" s="1119">
        <v>5</v>
      </c>
      <c r="AA124" s="1119"/>
      <c r="AB124" s="101">
        <v>5</v>
      </c>
      <c r="AC124" s="926" t="s">
        <v>7951</v>
      </c>
      <c r="AD124" s="699"/>
      <c r="AE124" s="699"/>
      <c r="AF124" s="699"/>
      <c r="AG124" s="699"/>
      <c r="AH124" s="699"/>
      <c r="AI124" s="699"/>
      <c r="AJ124" s="699"/>
      <c r="AK124" s="699"/>
      <c r="AL124" s="699"/>
      <c r="AM124" s="699"/>
      <c r="AN124" s="699"/>
      <c r="AO124" s="699"/>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571"/>
    </row>
    <row r="125" spans="1:107" ht="12.75" customHeight="1">
      <c r="A125" s="219">
        <v>125</v>
      </c>
      <c r="B125" s="7145"/>
      <c r="C125" s="182" t="s">
        <v>1806</v>
      </c>
      <c r="D125" s="36"/>
      <c r="F125" s="182" t="s">
        <v>1830</v>
      </c>
      <c r="G125" s="132"/>
      <c r="H125"/>
      <c r="I125" s="1064" t="str">
        <f t="shared" si="27"/>
        <v/>
      </c>
      <c r="J125" s="821" t="s">
        <v>1778</v>
      </c>
      <c r="K125" s="174">
        <v>-10</v>
      </c>
      <c r="L125" s="174">
        <v>-10</v>
      </c>
      <c r="M125" s="174"/>
      <c r="N125" s="174">
        <v>15</v>
      </c>
      <c r="O125" s="175">
        <v>15</v>
      </c>
      <c r="P125" s="178">
        <v>2</v>
      </c>
      <c r="Q125" s="174">
        <v>0</v>
      </c>
      <c r="R125" s="174">
        <v>-2</v>
      </c>
      <c r="S125" s="174">
        <v>0</v>
      </c>
      <c r="T125" s="174">
        <v>-1</v>
      </c>
      <c r="U125" s="174">
        <v>1</v>
      </c>
      <c r="V125" s="174">
        <v>0</v>
      </c>
      <c r="W125" s="174">
        <v>1</v>
      </c>
      <c r="X125" s="175">
        <v>1</v>
      </c>
      <c r="Y125" s="1119">
        <v>-1</v>
      </c>
      <c r="Z125" s="1119"/>
      <c r="AA125" s="1119"/>
      <c r="AB125" s="101">
        <v>5</v>
      </c>
      <c r="AC125" s="926" t="s">
        <v>7952</v>
      </c>
      <c r="AD125" s="699"/>
      <c r="AE125" s="699"/>
      <c r="AF125" s="699"/>
      <c r="AG125" s="699"/>
      <c r="AH125" s="699"/>
      <c r="AI125" s="699"/>
      <c r="AJ125" s="699"/>
      <c r="AK125" s="699"/>
      <c r="AL125" s="699"/>
      <c r="AM125" s="699"/>
      <c r="AN125" s="699"/>
      <c r="AO125" s="699"/>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571"/>
    </row>
    <row r="126" spans="1:107" ht="12.75" customHeight="1">
      <c r="A126" s="219">
        <v>126</v>
      </c>
      <c r="B126" s="7145"/>
      <c r="C126" s="182" t="s">
        <v>1807</v>
      </c>
      <c r="D126" s="36"/>
      <c r="F126" s="182" t="s">
        <v>1831</v>
      </c>
      <c r="G126" s="132"/>
      <c r="H126"/>
      <c r="I126" s="1064" t="str">
        <f t="shared" si="27"/>
        <v/>
      </c>
      <c r="J126" s="821" t="s">
        <v>1779</v>
      </c>
      <c r="K126" s="174"/>
      <c r="L126" s="174"/>
      <c r="M126" s="174"/>
      <c r="N126" s="174"/>
      <c r="O126" s="175"/>
      <c r="P126" s="178">
        <v>2</v>
      </c>
      <c r="Q126" s="174">
        <f>IF(AND(Personalización!$G$45="+1 AGI",Personalización!$G$46="Sí"),1,0)</f>
        <v>0</v>
      </c>
      <c r="R126" s="174">
        <f>IF(AND(Personalización!$G$45="+1 CON",Personalización!$G$46="Sí"),1,0)</f>
        <v>0</v>
      </c>
      <c r="S126" s="174">
        <f>IF(AND(Personalización!$G$45="+1 DES",Personalización!$G$46="Sí"),1,0)</f>
        <v>0</v>
      </c>
      <c r="T126" s="174">
        <f>IF(AND(Personalización!$G$45="+1 FUE",Personalización!$G$46="Sí"),1,0)+IF(Personalización!$G$47="Sí",1,0)</f>
        <v>0</v>
      </c>
      <c r="U126" s="174">
        <f>IF(AND(Personalización!$G$45="+1 INT",Personalización!$G$46="Sí"),1,0)</f>
        <v>0</v>
      </c>
      <c r="V126" s="174">
        <f>IF(AND(Personalización!$G$45="+1 PER",Personalización!$G$46="Sí"),1,0)</f>
        <v>0</v>
      </c>
      <c r="W126" s="174">
        <f>IF(AND(Personalización!$G$45="+1 POD",Personalización!$G$46="Sí"),1,0)+IF(Personalización!$G$47="Sí",1,0)</f>
        <v>0</v>
      </c>
      <c r="X126" s="175">
        <f>IF(AND(Personalización!$G$45="+1 VOL",Personalización!$G$46="Sí"),1,0)</f>
        <v>0</v>
      </c>
      <c r="Y126" s="1119">
        <v>0</v>
      </c>
      <c r="Z126" s="1119">
        <f>IF(Personalización!$G$48="Sí",4,0)</f>
        <v>0</v>
      </c>
      <c r="AA126" s="1119"/>
      <c r="AB126" s="101">
        <v>5</v>
      </c>
      <c r="AC126" s="926" t="s">
        <v>7953</v>
      </c>
      <c r="AD126" s="699"/>
      <c r="AE126" s="699"/>
      <c r="AF126" s="699"/>
      <c r="AG126" s="699"/>
      <c r="AH126" s="699"/>
      <c r="AI126" s="699"/>
      <c r="AJ126" s="699"/>
      <c r="AK126" s="699"/>
      <c r="AL126" s="699"/>
      <c r="AM126" s="699"/>
      <c r="AN126" s="699"/>
      <c r="AO126" s="699"/>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571"/>
    </row>
    <row r="127" spans="1:107" ht="12.75" customHeight="1">
      <c r="A127" s="219">
        <v>127</v>
      </c>
      <c r="B127" s="7145"/>
      <c r="C127" s="182" t="s">
        <v>1808</v>
      </c>
      <c r="D127" s="36"/>
      <c r="F127" s="182" t="s">
        <v>1832</v>
      </c>
      <c r="G127" s="132"/>
      <c r="H127"/>
      <c r="I127" s="1064" t="str">
        <f t="shared" si="27"/>
        <v/>
      </c>
      <c r="J127" s="821" t="s">
        <v>1780</v>
      </c>
      <c r="K127" s="174"/>
      <c r="L127" s="174"/>
      <c r="M127" s="174"/>
      <c r="N127" s="174">
        <f>IF(Personalización!$AQ$28=-1,0,IF(Personalización!$L$50="Sí",-10,0))</f>
        <v>0</v>
      </c>
      <c r="O127" s="175">
        <f>IF(Personalización!$AQ$28=-1,0,IF(Personalización!$L$50="Sí",-10,0))</f>
        <v>0</v>
      </c>
      <c r="P127" s="178">
        <v>2</v>
      </c>
      <c r="Q127" s="174">
        <f>IF(Personalización!$AQ$28=-1,0,0+IF(Personalización!$L$50="Sí",IFERROR(VALUE(LEFT(Personalización!$P$49,2))+IF(Personalización!$AQ$28=1,1,0),0),0))</f>
        <v>0</v>
      </c>
      <c r="R127" s="174">
        <v>0</v>
      </c>
      <c r="S127" s="174">
        <f>IF(Personalización!$AQ$28=-1,0,0+IF(Personalización!$L$50="Sí",IFERROR(VALUE(LEFT(Personalización!$O$49,2))+IF(Personalización!$AQ$28=1,1,0),0),0))</f>
        <v>0</v>
      </c>
      <c r="T127" s="174">
        <f>IF(Personalización!$AQ$28=-1,0,0+IF(Personalización!$L$50="Sí",IFERROR(VALUE(LEFT(Personalización!$N$49,2))+IF(Personalización!$AQ$28=1,1,0),0),0))</f>
        <v>0</v>
      </c>
      <c r="U127" s="174">
        <f>IF(Personalización!$AQ$28=-1,0,IF(Personalización!$L$50="Sí",-2,0))</f>
        <v>0</v>
      </c>
      <c r="V127" s="174">
        <f>IF(Personalización!$AQ$28=-1,0,1+IF(Personalización!$L$50="Sí",IFERROR(VALUE(LEFT(Personalización!$Q$49,2))+IF(Personalización!$AQ$28=1,1,0),0),0))</f>
        <v>1</v>
      </c>
      <c r="W127" s="174">
        <v>0</v>
      </c>
      <c r="X127" s="175">
        <f>IF(Personalización!$AQ$28=-1,0,IF(Personalización!$L$50="Sí",-2,0))</f>
        <v>0</v>
      </c>
      <c r="Y127" s="1119">
        <f>IF(Personalización!$AQ$28=-1,0,0+IF(Personalización!$L$50="Sí",IFERROR(VALUE(LEFT(Personalización!$N$49,2))+IF(Personalización!$AQ$28=1,1,0),0),0))</f>
        <v>0</v>
      </c>
      <c r="Z127" s="1119"/>
      <c r="AA127" s="1119"/>
      <c r="AB127" s="101">
        <v>0</v>
      </c>
      <c r="AC127" s="1272" t="str">
        <f>IF(Personalización!$AQ$28=-1,"Fase lunar opuesta: Sin ventajas raciales","Armas naturales, Transformación, Sentido de animal, Hijos de la luna, Rasgos animales")</f>
        <v>Armas naturales, Transformación, Sentido de animal, Hijos de la luna, Rasgos animales</v>
      </c>
      <c r="AD127" s="699"/>
      <c r="AE127" s="699"/>
      <c r="AF127" s="699"/>
      <c r="AG127" s="699"/>
      <c r="AH127" s="699"/>
      <c r="AI127" s="699"/>
      <c r="AJ127" s="699"/>
      <c r="AK127" s="699"/>
      <c r="AL127" s="699"/>
      <c r="AM127" s="699"/>
      <c r="AN127" s="699"/>
      <c r="AO127" s="699"/>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571"/>
    </row>
    <row r="128" spans="1:107" ht="12.75" customHeight="1" thickBot="1">
      <c r="A128" s="219">
        <v>128</v>
      </c>
      <c r="B128" s="7145"/>
      <c r="C128" s="181" t="s">
        <v>1809</v>
      </c>
      <c r="D128" s="67"/>
      <c r="F128" s="182" t="s">
        <v>1833</v>
      </c>
      <c r="G128" s="132"/>
      <c r="H128"/>
      <c r="I128" s="1064" t="str">
        <f t="shared" si="27"/>
        <v/>
      </c>
      <c r="J128" s="821" t="s">
        <v>1782</v>
      </c>
      <c r="K128" s="174"/>
      <c r="L128" s="174"/>
      <c r="M128" s="174"/>
      <c r="N128" s="174"/>
      <c r="O128" s="175"/>
      <c r="P128" s="178">
        <f>IF(COUNTA(Cercanía_Dragón)&gt;1,2,1)</f>
        <v>1</v>
      </c>
      <c r="Q128" s="174">
        <f>IF(COUNTIF(Cercanía_Dragón,"Descomunales")&gt;0,-1,0)</f>
        <v>0</v>
      </c>
      <c r="R128" s="174">
        <f>IF(COUNTIF(Cercanía_Dragón,"Descomunales")&gt;0,2,1)</f>
        <v>1</v>
      </c>
      <c r="S128" s="174">
        <v>0</v>
      </c>
      <c r="T128" s="174">
        <f>IF(COUNTIF(Cercanía_Dragón,"Descomunales")&gt;0,2,1)</f>
        <v>1</v>
      </c>
      <c r="U128" s="174">
        <f>IF(COUNTA(Cercanía_Dragón)&gt;2,0,-1)</f>
        <v>-1</v>
      </c>
      <c r="V128" s="174">
        <v>0</v>
      </c>
      <c r="W128" s="174">
        <v>0</v>
      </c>
      <c r="X128" s="175">
        <v>0</v>
      </c>
      <c r="Y128" s="1119">
        <f>IF(COUNTIF(Cercanía_Dragón,"Descomunales")&gt;0,6,2)</f>
        <v>2</v>
      </c>
      <c r="Z128" s="1119">
        <v>1</v>
      </c>
      <c r="AA128" s="1119"/>
      <c r="AB128" s="101">
        <v>5</v>
      </c>
      <c r="AC128" s="926" t="s">
        <v>7955</v>
      </c>
      <c r="AD128" s="699"/>
      <c r="AE128" s="699"/>
      <c r="AF128" s="699"/>
      <c r="AG128" s="699"/>
      <c r="AH128" s="699"/>
      <c r="AI128" s="699"/>
      <c r="AJ128" s="699"/>
      <c r="AK128" s="699"/>
      <c r="AL128" s="699"/>
      <c r="AM128" s="699"/>
      <c r="AN128" s="699"/>
      <c r="AO128" s="699"/>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571"/>
    </row>
    <row r="129" spans="1:110" ht="12.75" customHeight="1" thickBot="1">
      <c r="A129" s="219">
        <v>129</v>
      </c>
      <c r="B129" s="7145"/>
      <c r="F129" s="181" t="s">
        <v>1834</v>
      </c>
      <c r="G129" s="560"/>
      <c r="H129"/>
      <c r="I129" s="1065" t="str">
        <f t="shared" si="27"/>
        <v/>
      </c>
      <c r="J129" s="1066" t="s">
        <v>1451</v>
      </c>
      <c r="K129" s="744"/>
      <c r="L129" s="744"/>
      <c r="M129" s="744"/>
      <c r="N129" s="744"/>
      <c r="O129" s="1067"/>
      <c r="P129" s="1068"/>
      <c r="Q129" s="1069"/>
      <c r="R129" s="1069"/>
      <c r="S129" s="1069"/>
      <c r="T129" s="1069"/>
      <c r="U129" s="1069"/>
      <c r="V129" s="1069"/>
      <c r="W129" s="1069"/>
      <c r="X129" s="1070"/>
      <c r="Y129" s="1120"/>
      <c r="Z129" s="1120"/>
      <c r="AA129" s="1120"/>
      <c r="AB129" s="1120"/>
      <c r="AC129" s="1121" t="s">
        <v>6506</v>
      </c>
      <c r="AD129" s="1122"/>
      <c r="AE129" s="1122"/>
      <c r="AF129" s="1122"/>
      <c r="AG129" s="1122"/>
      <c r="AH129" s="1122"/>
      <c r="AI129" s="1122"/>
      <c r="AJ129" s="1122"/>
      <c r="AK129" s="1122"/>
      <c r="AL129" s="1122"/>
      <c r="AM129" s="1122"/>
      <c r="AN129" s="1122"/>
      <c r="AO129" s="1122"/>
      <c r="AP129" s="309"/>
      <c r="AQ129" s="309"/>
      <c r="AR129" s="309"/>
      <c r="AS129" s="309"/>
      <c r="AT129" s="309"/>
      <c r="AU129" s="309"/>
      <c r="AV129" s="309"/>
      <c r="AW129" s="309"/>
      <c r="AX129" s="309"/>
      <c r="AY129" s="309"/>
      <c r="AZ129" s="309"/>
      <c r="BA129" s="309"/>
      <c r="BB129" s="309"/>
      <c r="BC129" s="309"/>
      <c r="BD129" s="309"/>
      <c r="BE129" s="309"/>
      <c r="BF129" s="309"/>
      <c r="BG129" s="309"/>
      <c r="BH129" s="309"/>
      <c r="BI129" s="309"/>
      <c r="BJ129" s="309"/>
      <c r="BK129" s="309"/>
      <c r="BL129" s="572"/>
    </row>
    <row r="130" spans="1:110" ht="12.75" customHeight="1" thickBot="1">
      <c r="A130" s="219">
        <v>130</v>
      </c>
      <c r="B130" s="7145"/>
      <c r="C130" s="4338" t="s">
        <v>8026</v>
      </c>
      <c r="D130" s="4339"/>
      <c r="H130"/>
      <c r="J130" s="8203" t="s">
        <v>6879</v>
      </c>
      <c r="K130" s="171" t="str">
        <f>K108</f>
        <v>RF</v>
      </c>
      <c r="L130" s="171" t="str">
        <f>L108</f>
        <v>RE</v>
      </c>
      <c r="M130" s="171" t="str">
        <f>M108</f>
        <v>RV</v>
      </c>
      <c r="N130" s="171" t="str">
        <f>N108</f>
        <v>RM</v>
      </c>
      <c r="O130" s="171" t="str">
        <f>O108</f>
        <v>RP</v>
      </c>
      <c r="P130" s="171" t="s">
        <v>1315</v>
      </c>
      <c r="Q130" s="171" t="str">
        <f t="shared" ref="Q130:AB130" si="28">Q108</f>
        <v>AGI</v>
      </c>
      <c r="R130" s="171" t="str">
        <f t="shared" si="28"/>
        <v>CON</v>
      </c>
      <c r="S130" s="171" t="str">
        <f t="shared" si="28"/>
        <v>DES</v>
      </c>
      <c r="T130" s="171" t="str">
        <f t="shared" si="28"/>
        <v>FUE</v>
      </c>
      <c r="U130" s="171" t="str">
        <f t="shared" si="28"/>
        <v>INT</v>
      </c>
      <c r="V130" s="171" t="str">
        <f t="shared" si="28"/>
        <v>PER</v>
      </c>
      <c r="W130" s="171" t="str">
        <f t="shared" si="28"/>
        <v>POD</v>
      </c>
      <c r="X130" s="171" t="str">
        <f t="shared" si="28"/>
        <v>VOL</v>
      </c>
      <c r="Y130" s="549" t="str">
        <f t="shared" si="28"/>
        <v>Tamaño</v>
      </c>
      <c r="Z130" s="549" t="str">
        <f t="shared" si="28"/>
        <v>Regeneración</v>
      </c>
      <c r="AA130" s="549" t="str">
        <f t="shared" si="28"/>
        <v>Cansancio</v>
      </c>
      <c r="AB130" s="549" t="str">
        <f t="shared" si="28"/>
        <v>Natura</v>
      </c>
    </row>
    <row r="131" spans="1:110" ht="12.75" customHeight="1" thickBot="1">
      <c r="A131" s="219">
        <v>131</v>
      </c>
      <c r="B131" s="7145"/>
      <c r="C131" s="7898"/>
      <c r="D131" s="7655"/>
      <c r="H131"/>
      <c r="J131" s="8204"/>
      <c r="K131" s="81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1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1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1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1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14" t="s">
        <v>1315</v>
      </c>
      <c r="Q131" s="814">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14">
        <f t="shared" si="29"/>
        <v>0</v>
      </c>
      <c r="S131" s="814">
        <f t="shared" si="29"/>
        <v>0</v>
      </c>
      <c r="T131" s="814">
        <f t="shared" si="29"/>
        <v>0</v>
      </c>
      <c r="U131" s="814">
        <f t="shared" si="29"/>
        <v>0</v>
      </c>
      <c r="V131" s="814">
        <f t="shared" si="29"/>
        <v>0</v>
      </c>
      <c r="W131" s="814">
        <f t="shared" si="29"/>
        <v>0</v>
      </c>
      <c r="X131" s="814">
        <f t="shared" si="29"/>
        <v>0</v>
      </c>
      <c r="Y131" s="1123">
        <f t="shared" si="29"/>
        <v>0</v>
      </c>
      <c r="Z131" s="1123">
        <f t="shared" si="29"/>
        <v>0</v>
      </c>
      <c r="AA131" s="1123">
        <f t="shared" si="29"/>
        <v>0</v>
      </c>
      <c r="AB131" s="1124">
        <f t="shared" si="29"/>
        <v>0</v>
      </c>
    </row>
    <row r="132" spans="1:110" ht="12.75" customHeight="1" thickBot="1">
      <c r="A132" s="219">
        <v>132</v>
      </c>
      <c r="B132" s="7145"/>
      <c r="C132" s="1184" t="s">
        <v>1241</v>
      </c>
      <c r="D132" s="1185"/>
      <c r="F132" s="510"/>
      <c r="H132"/>
      <c r="L132" s="510"/>
      <c r="N132"/>
    </row>
    <row r="133" spans="1:110" ht="12.75" customHeight="1">
      <c r="A133" s="219">
        <v>133</v>
      </c>
      <c r="B133" s="7145"/>
      <c r="C133" s="1186" t="s">
        <v>8027</v>
      </c>
      <c r="D133" s="1187"/>
      <c r="F133" s="7834" t="s">
        <v>5935</v>
      </c>
      <c r="G133" s="7835"/>
      <c r="H133" s="7835"/>
      <c r="I133" s="7835"/>
      <c r="J133" s="7835"/>
      <c r="K133" s="7835"/>
      <c r="L133" s="7835"/>
      <c r="M133" s="7835"/>
      <c r="N133" s="7835"/>
      <c r="O133" s="7835"/>
      <c r="P133" s="7835"/>
      <c r="Q133" s="7835"/>
      <c r="R133" s="7835"/>
      <c r="S133" s="7835"/>
      <c r="T133" s="7835"/>
      <c r="U133" s="7835"/>
      <c r="V133" s="7835"/>
      <c r="W133" s="7835"/>
      <c r="X133" s="7835"/>
      <c r="Y133" s="7835"/>
      <c r="Z133" s="7835"/>
      <c r="AA133" s="7835"/>
      <c r="AB133" s="7835"/>
      <c r="AC133" s="7835"/>
      <c r="AD133" s="7835"/>
      <c r="AE133" s="7835"/>
      <c r="AF133" s="7835"/>
      <c r="AG133" s="7835"/>
      <c r="AH133" s="7835"/>
      <c r="AI133" s="7835"/>
      <c r="AJ133" s="7835"/>
      <c r="AK133" s="7835"/>
      <c r="AL133" s="7835"/>
      <c r="AM133" s="7835"/>
      <c r="AN133" s="7835"/>
      <c r="AO133" s="7835"/>
      <c r="AP133" s="7835"/>
      <c r="AQ133" s="7835"/>
      <c r="AR133" s="7835"/>
      <c r="AS133" s="7835"/>
      <c r="AT133" s="7835"/>
      <c r="AU133" s="7835"/>
      <c r="AV133" s="7835"/>
      <c r="AW133" s="7835"/>
      <c r="AX133" s="7835"/>
      <c r="AY133" s="7835"/>
      <c r="AZ133" s="7835"/>
      <c r="BA133" s="7835"/>
      <c r="BB133" s="7835"/>
      <c r="BC133" s="7835"/>
      <c r="BD133" s="7835"/>
      <c r="BE133" s="7835"/>
      <c r="BF133" s="7835"/>
      <c r="BG133" s="7835"/>
      <c r="BH133" s="7835"/>
      <c r="BI133" s="7835"/>
      <c r="BJ133" s="7835"/>
      <c r="BK133" s="7835"/>
      <c r="BL133" s="7835"/>
      <c r="BM133" s="7835"/>
      <c r="BN133" s="7835"/>
      <c r="BO133" s="7835"/>
      <c r="BP133" s="7835"/>
      <c r="BQ133" s="7835"/>
      <c r="BR133" s="7835"/>
      <c r="BS133" s="7835"/>
      <c r="BT133" s="7835"/>
      <c r="BU133" s="7835"/>
      <c r="BV133" s="7835"/>
      <c r="BW133" s="7835"/>
      <c r="BX133" s="7835"/>
      <c r="BY133" s="7835"/>
      <c r="BZ133" s="7835"/>
      <c r="CA133" s="7835"/>
      <c r="CB133" s="7835"/>
      <c r="CC133" s="7835"/>
      <c r="CD133" s="7835"/>
      <c r="CE133" s="7835"/>
      <c r="CF133" s="7835"/>
      <c r="CG133" s="7835"/>
      <c r="CH133" s="7835"/>
      <c r="CI133" s="7835"/>
      <c r="CJ133" s="7835"/>
      <c r="CK133" s="7835"/>
      <c r="CL133" s="7835"/>
      <c r="CM133" s="7835"/>
      <c r="CN133" s="7835"/>
      <c r="CO133" s="7835"/>
      <c r="CP133" s="7835"/>
      <c r="CQ133" s="7835"/>
      <c r="CR133" s="7835"/>
      <c r="CS133" s="7835"/>
      <c r="CT133" s="7835"/>
      <c r="CU133" s="7835"/>
      <c r="CV133" s="7835"/>
      <c r="CW133" s="7835"/>
      <c r="CX133" s="7835"/>
      <c r="CY133" s="7835"/>
      <c r="CZ133" s="7835"/>
      <c r="DA133" s="7835"/>
      <c r="DB133" s="7835"/>
      <c r="DC133" s="7835"/>
      <c r="DD133" s="7835"/>
      <c r="DE133" s="7835"/>
      <c r="DF133" s="7836"/>
    </row>
    <row r="134" spans="1:110" ht="12.75" customHeight="1" thickBot="1">
      <c r="A134" s="219">
        <v>134</v>
      </c>
      <c r="B134" s="7145"/>
      <c r="C134" s="1188" t="s">
        <v>8284</v>
      </c>
      <c r="D134" s="1189"/>
      <c r="F134" s="8082"/>
      <c r="G134" s="8083"/>
      <c r="H134" s="8083"/>
      <c r="I134" s="8083"/>
      <c r="J134" s="8083"/>
      <c r="K134" s="8083"/>
      <c r="L134" s="8083"/>
      <c r="M134" s="8083"/>
      <c r="N134" s="8083"/>
      <c r="O134" s="8083"/>
      <c r="P134" s="8083"/>
      <c r="Q134" s="8083"/>
      <c r="R134" s="8083"/>
      <c r="S134" s="8083"/>
      <c r="T134" s="8083"/>
      <c r="U134" s="8083"/>
      <c r="V134" s="8083"/>
      <c r="W134" s="8083"/>
      <c r="X134" s="8083"/>
      <c r="Y134" s="8083"/>
      <c r="Z134" s="8083"/>
      <c r="AA134" s="8083"/>
      <c r="AB134" s="8083"/>
      <c r="AC134" s="8083"/>
      <c r="AD134" s="8083"/>
      <c r="AE134" s="8083"/>
      <c r="AF134" s="8083"/>
      <c r="AG134" s="8083"/>
      <c r="AH134" s="8083"/>
      <c r="AI134" s="8083"/>
      <c r="AJ134" s="8083"/>
      <c r="AK134" s="8083"/>
      <c r="AL134" s="8083"/>
      <c r="AM134" s="8083"/>
      <c r="AN134" s="8083"/>
      <c r="AO134" s="8083"/>
      <c r="AP134" s="8083"/>
      <c r="AQ134" s="8083"/>
      <c r="AR134" s="8083"/>
      <c r="AS134" s="8083"/>
      <c r="AT134" s="8083"/>
      <c r="AU134" s="8083"/>
      <c r="AV134" s="8083"/>
      <c r="AW134" s="8083"/>
      <c r="AX134" s="8083"/>
      <c r="AY134" s="8083"/>
      <c r="AZ134" s="8083"/>
      <c r="BA134" s="8083"/>
      <c r="BB134" s="8083"/>
      <c r="BC134" s="8083"/>
      <c r="BD134" s="8083"/>
      <c r="BE134" s="8083"/>
      <c r="BF134" s="8083"/>
      <c r="BG134" s="8083"/>
      <c r="BH134" s="8083"/>
      <c r="BI134" s="8083"/>
      <c r="BJ134" s="8083"/>
      <c r="BK134" s="8083"/>
      <c r="BL134" s="8083"/>
      <c r="BM134" s="8083"/>
      <c r="BN134" s="8083"/>
      <c r="BO134" s="8083"/>
      <c r="BP134" s="8083"/>
      <c r="BQ134" s="8083"/>
      <c r="BR134" s="8083"/>
      <c r="BS134" s="8083"/>
      <c r="BT134" s="8083"/>
      <c r="BU134" s="8083"/>
      <c r="BV134" s="8083"/>
      <c r="BW134" s="8083"/>
      <c r="BX134" s="8083"/>
      <c r="BY134" s="8083"/>
      <c r="BZ134" s="8083"/>
      <c r="CA134" s="8083"/>
      <c r="CB134" s="8083"/>
      <c r="CC134" s="8083"/>
      <c r="CD134" s="8083"/>
      <c r="CE134" s="8083"/>
      <c r="CF134" s="8083"/>
      <c r="CG134" s="8083"/>
      <c r="CH134" s="8083"/>
      <c r="CI134" s="8083"/>
      <c r="CJ134" s="8083"/>
      <c r="CK134" s="8083"/>
      <c r="CL134" s="8083"/>
      <c r="CM134" s="8083"/>
      <c r="CN134" s="8083"/>
      <c r="CO134" s="8083"/>
      <c r="CP134" s="8083"/>
      <c r="CQ134" s="8083"/>
      <c r="CR134" s="8083"/>
      <c r="CS134" s="8083"/>
      <c r="CT134" s="8083"/>
      <c r="CU134" s="8083"/>
      <c r="CV134" s="8083"/>
      <c r="CW134" s="8083"/>
      <c r="CX134" s="8083"/>
      <c r="CY134" s="8083"/>
      <c r="CZ134" s="8083"/>
      <c r="DA134" s="8083"/>
      <c r="DB134" s="8083"/>
      <c r="DC134" s="8083"/>
      <c r="DD134" s="8083"/>
      <c r="DE134" s="8083"/>
      <c r="DF134" s="8084"/>
    </row>
    <row r="135" spans="1:110" ht="12.75" customHeight="1" thickBot="1">
      <c r="A135" s="219">
        <v>135</v>
      </c>
      <c r="B135" s="7145"/>
      <c r="F135" s="8201" t="s">
        <v>5943</v>
      </c>
      <c r="G135" s="8202"/>
      <c r="H135" s="2207">
        <v>1</v>
      </c>
      <c r="I135" s="2207">
        <v>2</v>
      </c>
      <c r="J135" s="2207">
        <v>3</v>
      </c>
      <c r="K135" s="2207">
        <v>4</v>
      </c>
      <c r="L135" s="2207">
        <v>5</v>
      </c>
      <c r="M135" s="2207">
        <v>6</v>
      </c>
      <c r="N135" s="2207">
        <v>7</v>
      </c>
      <c r="O135" s="2207">
        <v>8</v>
      </c>
      <c r="P135" s="2207">
        <v>9</v>
      </c>
      <c r="Q135" s="2207">
        <v>10</v>
      </c>
      <c r="R135" s="2207">
        <v>11</v>
      </c>
      <c r="S135" s="2207">
        <v>12</v>
      </c>
      <c r="T135" s="2207">
        <v>13</v>
      </c>
      <c r="U135" s="2207">
        <v>14</v>
      </c>
      <c r="V135" s="2207">
        <v>15</v>
      </c>
      <c r="W135" s="2207">
        <v>16</v>
      </c>
      <c r="X135" s="2207">
        <v>17</v>
      </c>
      <c r="Y135" s="2208">
        <v>18</v>
      </c>
      <c r="Z135" s="2208">
        <v>19</v>
      </c>
      <c r="AA135" s="2208">
        <v>20</v>
      </c>
      <c r="AB135" s="2208">
        <v>21</v>
      </c>
      <c r="AC135" s="2208">
        <v>22</v>
      </c>
      <c r="AD135" s="2208">
        <v>23</v>
      </c>
      <c r="AE135" s="2208">
        <v>24</v>
      </c>
      <c r="AF135" s="2208">
        <v>25</v>
      </c>
      <c r="AG135" s="2208">
        <v>26</v>
      </c>
      <c r="AH135" s="2208">
        <v>27</v>
      </c>
      <c r="AI135" s="2208">
        <v>28</v>
      </c>
      <c r="AJ135" s="2208">
        <v>29</v>
      </c>
      <c r="AK135" s="2208">
        <v>30</v>
      </c>
      <c r="AL135" s="2208">
        <v>31</v>
      </c>
      <c r="AM135" s="2208">
        <v>32</v>
      </c>
      <c r="AN135" s="2208">
        <v>33</v>
      </c>
      <c r="AO135" s="2208">
        <v>34</v>
      </c>
      <c r="AP135" s="2207">
        <v>35</v>
      </c>
      <c r="AQ135" s="2207">
        <v>36</v>
      </c>
      <c r="AR135" s="2207">
        <v>37</v>
      </c>
      <c r="AS135" s="2207">
        <v>38</v>
      </c>
      <c r="AT135" s="2207">
        <v>39</v>
      </c>
      <c r="AU135" s="2207">
        <v>40</v>
      </c>
      <c r="AV135" s="2207">
        <v>41</v>
      </c>
      <c r="AW135" s="2207">
        <v>42</v>
      </c>
      <c r="AX135" s="2207">
        <v>43</v>
      </c>
      <c r="AY135" s="2207">
        <v>44</v>
      </c>
      <c r="AZ135" s="2207">
        <v>45</v>
      </c>
      <c r="BA135" s="2207">
        <v>46</v>
      </c>
      <c r="BB135" s="2207">
        <v>47</v>
      </c>
      <c r="BC135" s="2207">
        <v>48</v>
      </c>
      <c r="BD135" s="2207">
        <v>49</v>
      </c>
      <c r="BE135" s="2207">
        <v>50</v>
      </c>
      <c r="BF135" s="2207">
        <v>51</v>
      </c>
      <c r="BG135" s="2207">
        <v>52</v>
      </c>
      <c r="BH135" s="2207">
        <v>53</v>
      </c>
      <c r="BI135" s="2207">
        <v>54</v>
      </c>
      <c r="BJ135" s="2207">
        <v>55</v>
      </c>
      <c r="BK135" s="2207">
        <v>56</v>
      </c>
      <c r="BL135" s="2207">
        <v>57</v>
      </c>
      <c r="BM135" s="2207">
        <v>58</v>
      </c>
      <c r="BN135" s="2207">
        <v>59</v>
      </c>
      <c r="BO135" s="2207">
        <v>60</v>
      </c>
      <c r="BP135" s="2207">
        <v>61</v>
      </c>
      <c r="BQ135" s="2207">
        <v>62</v>
      </c>
      <c r="BR135" s="2207">
        <v>63</v>
      </c>
      <c r="BS135" s="2207">
        <v>64</v>
      </c>
      <c r="BT135" s="2207">
        <v>65</v>
      </c>
      <c r="BU135" s="2207">
        <v>66</v>
      </c>
      <c r="BV135" s="2207">
        <v>67</v>
      </c>
      <c r="BW135" s="2207">
        <v>68</v>
      </c>
      <c r="BX135" s="2207">
        <v>69</v>
      </c>
      <c r="BY135" s="2207">
        <v>70</v>
      </c>
      <c r="BZ135" s="2207">
        <v>71</v>
      </c>
      <c r="CA135" s="2207">
        <v>72</v>
      </c>
      <c r="CB135" s="2207">
        <v>73</v>
      </c>
      <c r="CC135" s="2207">
        <v>74</v>
      </c>
      <c r="CD135" s="2207">
        <v>75</v>
      </c>
      <c r="CE135" s="2207">
        <v>76</v>
      </c>
      <c r="CF135" s="2207">
        <v>77</v>
      </c>
      <c r="CG135" s="2207">
        <v>78</v>
      </c>
      <c r="CH135" s="2207">
        <v>79</v>
      </c>
      <c r="CI135" s="2207">
        <v>80</v>
      </c>
      <c r="CJ135" s="2207">
        <v>81</v>
      </c>
      <c r="CK135" s="2207">
        <v>82</v>
      </c>
      <c r="CL135" s="2207">
        <v>83</v>
      </c>
      <c r="CM135" s="2207">
        <v>84</v>
      </c>
      <c r="CN135" s="2207">
        <v>85</v>
      </c>
      <c r="CO135" s="2207">
        <v>86</v>
      </c>
      <c r="CP135" s="2207">
        <v>87</v>
      </c>
      <c r="CQ135" s="2207">
        <v>88</v>
      </c>
      <c r="CR135" s="2207">
        <v>89</v>
      </c>
      <c r="CS135" s="2207">
        <v>90</v>
      </c>
      <c r="CT135" s="2207">
        <v>91</v>
      </c>
      <c r="CU135" s="2207">
        <v>92</v>
      </c>
      <c r="CV135" s="2207">
        <v>93</v>
      </c>
      <c r="CW135" s="2207">
        <v>94</v>
      </c>
      <c r="CX135" s="2207">
        <v>95</v>
      </c>
      <c r="CY135" s="2207">
        <v>96</v>
      </c>
      <c r="CZ135" s="2207">
        <v>97</v>
      </c>
      <c r="DA135" s="2207">
        <v>98</v>
      </c>
      <c r="DB135" s="2207">
        <v>99</v>
      </c>
      <c r="DC135" s="2207">
        <v>100</v>
      </c>
      <c r="DD135" s="2207">
        <v>101</v>
      </c>
      <c r="DE135" s="2207">
        <v>102</v>
      </c>
      <c r="DF135" s="2209">
        <v>103</v>
      </c>
    </row>
    <row r="136" spans="1:110" ht="12.75" customHeight="1">
      <c r="A136" s="219">
        <v>136</v>
      </c>
      <c r="B136" s="7145"/>
      <c r="C136" s="7834" t="s">
        <v>5928</v>
      </c>
      <c r="D136" s="7836"/>
      <c r="F136" s="2210" t="str">
        <f>IF(ISNA(HLOOKUP($I$136&amp;$A1,$H$139:$DF$140,2,FALSE))," ",HLOOKUP($I$136&amp;$A1,$H$139:$DF$140,2,FALSE))</f>
        <v xml:space="preserve"> </v>
      </c>
      <c r="G136" s="881"/>
      <c r="H136" s="2211" t="s">
        <v>5942</v>
      </c>
      <c r="I136" s="8199" t="str">
        <f>IF(Region="","",Region)</f>
        <v/>
      </c>
      <c r="J136" s="8200"/>
      <c r="K136" s="2212" t="s">
        <v>6859</v>
      </c>
      <c r="L136" s="2213" t="str">
        <f>IF(OR(I136="",I137=""),"",IF(AND(I136="Elcia",OR(I137=F137,I137=F139)),Personalización!$E$15,MID(HLOOKUP($I$136&amp;$I$137,Tabla_RaicesCulturales,54,FALSE),4,10)))</f>
        <v/>
      </c>
      <c r="M136" s="2214" t="str">
        <f>LEFT(HLOOKUP($I$136&amp;$I$137,Tabla_RaicesCulturales,54,FALSE),2)</f>
        <v>0</v>
      </c>
      <c r="N136" s="2213" t="str">
        <f>IF(OR(I136="",I137=""),"",MID(HLOOKUP($I$136&amp;$I$137,Tabla_RaicesCulturales,56,FALSE),4,25))</f>
        <v/>
      </c>
      <c r="O136" s="2215" t="str">
        <f>LEFT(HLOOKUP($I$136&amp;$I$137,Tabla_RaicesCulturales,56,FALSE),2)</f>
        <v>0</v>
      </c>
      <c r="P136" s="2205"/>
      <c r="Q136" s="2205"/>
      <c r="R136" s="2205"/>
      <c r="S136" s="2205"/>
      <c r="T136" s="2205"/>
      <c r="U136" s="2205"/>
      <c r="V136" s="2205"/>
      <c r="W136" s="2205"/>
      <c r="X136" s="2205"/>
      <c r="Y136" s="2205"/>
      <c r="Z136" s="2205"/>
      <c r="AA136" s="2205"/>
      <c r="AB136" s="2205"/>
      <c r="AC136" s="2205"/>
      <c r="AD136" s="2205"/>
      <c r="AE136" s="2205"/>
      <c r="AF136" s="2205"/>
      <c r="AG136" s="2205"/>
      <c r="AH136" s="2205"/>
      <c r="AI136" s="2205"/>
      <c r="AJ136" s="2205"/>
      <c r="AK136" s="2205"/>
      <c r="AL136" s="2205"/>
      <c r="AM136" s="2205"/>
      <c r="AN136" s="2205"/>
      <c r="AO136" s="2205"/>
      <c r="AP136" s="2205"/>
      <c r="AQ136" s="2205"/>
      <c r="AR136" s="2205"/>
      <c r="AS136" s="2205"/>
      <c r="AT136" s="2205"/>
      <c r="AU136" s="2205"/>
      <c r="AV136" s="2205"/>
      <c r="AW136" s="2205"/>
      <c r="AX136" s="2205"/>
      <c r="AY136" s="2205"/>
      <c r="AZ136" s="2205"/>
      <c r="BA136" s="2205"/>
      <c r="BB136" s="2205"/>
      <c r="BC136" s="2205"/>
      <c r="BD136" s="2205"/>
      <c r="BE136" s="2205"/>
      <c r="BF136" s="2205"/>
      <c r="BG136" s="2205"/>
      <c r="BH136" s="2205"/>
      <c r="BI136" s="2205"/>
      <c r="BJ136" s="2205"/>
      <c r="BK136" s="2205"/>
      <c r="BL136" s="2205"/>
      <c r="BM136" s="2205"/>
      <c r="BN136" s="2205"/>
      <c r="BO136" s="2205"/>
      <c r="BP136" s="2205"/>
      <c r="BQ136" s="2205"/>
      <c r="BR136" s="2205"/>
      <c r="BS136" s="2205"/>
      <c r="BT136" s="2205"/>
      <c r="BU136" s="2205"/>
      <c r="BV136" s="2205"/>
      <c r="BW136" s="2205"/>
      <c r="BX136" s="2205"/>
      <c r="BY136" s="2205"/>
      <c r="BZ136" s="2205"/>
      <c r="CA136" s="2205"/>
      <c r="CB136" s="2205"/>
      <c r="CC136" s="2205"/>
      <c r="CD136" s="2205"/>
      <c r="CE136" s="2205"/>
      <c r="CF136" s="2205"/>
      <c r="CG136" s="2205"/>
      <c r="CH136" s="2205"/>
      <c r="CI136" s="2205"/>
      <c r="CJ136" s="2205"/>
      <c r="CK136" s="2205"/>
      <c r="CL136" s="2205"/>
      <c r="CM136" s="2205"/>
      <c r="CN136" s="2205"/>
      <c r="CO136" s="2205"/>
      <c r="CP136" s="2205"/>
      <c r="CQ136" s="2205"/>
      <c r="CR136" s="2205"/>
      <c r="CS136" s="2205"/>
      <c r="CT136" s="2205"/>
      <c r="CU136" s="2205"/>
      <c r="CV136" s="2205"/>
      <c r="CW136" s="2205"/>
      <c r="CX136" s="2205"/>
      <c r="CY136" s="2205"/>
      <c r="CZ136" s="2205"/>
      <c r="DA136" s="2205"/>
      <c r="DB136" s="2205"/>
      <c r="DC136" s="2205"/>
      <c r="DD136" s="2205"/>
      <c r="DE136" s="2205"/>
      <c r="DF136" s="516"/>
    </row>
    <row r="137" spans="1:110" ht="12.75" customHeight="1">
      <c r="A137" s="219">
        <v>137</v>
      </c>
      <c r="B137" s="7145"/>
      <c r="C137" s="8082"/>
      <c r="D137" s="8084"/>
      <c r="F137" s="2210" t="str">
        <f>IF(ISNA(HLOOKUP($I$136&amp;$A2,$H$139:$DF$140,2,FALSE))," ",HLOOKUP($I$136&amp;$A2,$H$139:$DF$140,2,FALSE))</f>
        <v xml:space="preserve"> </v>
      </c>
      <c r="G137" s="881"/>
      <c r="H137" s="882" t="s">
        <v>1223</v>
      </c>
      <c r="I137" s="8197" t="str">
        <f>IF(ClaseSocial="","",ClaseSocial)</f>
        <v/>
      </c>
      <c r="J137" s="8198"/>
      <c r="K137" s="2216"/>
      <c r="L137" s="2217" t="str">
        <f>IF(L136="","",MID(HLOOKUP($I$136&amp;$I$137,Tabla_RaicesCulturales,55,FALSE),4,10))</f>
        <v/>
      </c>
      <c r="M137" s="2218" t="str">
        <f>LEFT(HLOOKUP($I$136&amp;$I$137,Tabla_RaicesCulturales,55,FALSE),2)</f>
        <v>0</v>
      </c>
      <c r="N137" s="2217" t="str">
        <f>IF(N136="","",MID(HLOOKUP($I$136&amp;$I$137,Tabla_RaicesCulturales,57,FALSE),4,25))</f>
        <v/>
      </c>
      <c r="O137" s="2219" t="str">
        <f>LEFT(HLOOKUP($I$136&amp;$I$137,Tabla_RaicesCulturales,57,FALSE),2)</f>
        <v>0</v>
      </c>
      <c r="P137" s="2205"/>
      <c r="Q137" s="2205"/>
      <c r="R137" s="2205"/>
      <c r="S137" s="2205"/>
      <c r="T137" s="2205"/>
      <c r="U137" s="2205"/>
      <c r="V137" s="2205"/>
      <c r="W137" s="2205"/>
      <c r="X137" s="2205"/>
      <c r="Y137" s="2205"/>
      <c r="Z137" s="2205"/>
      <c r="AA137" s="2205"/>
      <c r="AB137" s="2205"/>
      <c r="AC137" s="2205"/>
      <c r="AD137" s="2205"/>
      <c r="AE137" s="2205"/>
      <c r="AF137" s="2205"/>
      <c r="AG137" s="2205"/>
      <c r="AH137" s="2205"/>
      <c r="AI137" s="2205"/>
      <c r="AJ137" s="2205"/>
      <c r="AK137" s="2205"/>
      <c r="AL137" s="2205"/>
      <c r="AM137" s="2205"/>
      <c r="AN137" s="2205"/>
      <c r="AO137" s="2205"/>
      <c r="AP137" s="2205"/>
      <c r="AQ137" s="2205"/>
      <c r="AR137" s="2205"/>
      <c r="AS137" s="2205"/>
      <c r="AT137" s="2205"/>
      <c r="AU137" s="2205"/>
      <c r="AV137" s="2205"/>
      <c r="AW137" s="2205"/>
      <c r="AX137" s="2205"/>
      <c r="AY137" s="2205"/>
      <c r="AZ137" s="2205"/>
      <c r="BA137" s="2205"/>
      <c r="BB137" s="2205"/>
      <c r="BC137" s="2205"/>
      <c r="BD137" s="2205"/>
      <c r="BE137" s="2205"/>
      <c r="BF137" s="2205"/>
      <c r="BG137" s="2205"/>
      <c r="BH137" s="2205"/>
      <c r="BI137" s="2205"/>
      <c r="BJ137" s="2205"/>
      <c r="BK137" s="2205"/>
      <c r="BL137" s="2205"/>
      <c r="BM137" s="2205"/>
      <c r="BN137" s="2205"/>
      <c r="BO137" s="2205"/>
      <c r="BP137" s="2205"/>
      <c r="BQ137" s="2205"/>
      <c r="BR137" s="2205"/>
      <c r="BS137" s="2205"/>
      <c r="BT137" s="2205"/>
      <c r="BU137" s="2205"/>
      <c r="BV137" s="2205"/>
      <c r="BW137" s="2205"/>
      <c r="BX137" s="2205"/>
      <c r="BY137" s="2205"/>
      <c r="BZ137" s="2205"/>
      <c r="CA137" s="2205"/>
      <c r="CB137" s="2205"/>
      <c r="CC137" s="2205"/>
      <c r="CD137" s="2205"/>
      <c r="CE137" s="2205"/>
      <c r="CF137" s="2205"/>
      <c r="CG137" s="2205"/>
      <c r="CH137" s="2205"/>
      <c r="CI137" s="2205"/>
      <c r="CJ137" s="2205"/>
      <c r="CK137" s="2205"/>
      <c r="CL137" s="2205"/>
      <c r="CM137" s="2205"/>
      <c r="CN137" s="2205"/>
      <c r="CO137" s="2205"/>
      <c r="CP137" s="2205"/>
      <c r="CQ137" s="2205"/>
      <c r="CR137" s="2205"/>
      <c r="CS137" s="2205"/>
      <c r="CT137" s="2205"/>
      <c r="CU137" s="2205"/>
      <c r="CV137" s="2205"/>
      <c r="CW137" s="2205"/>
      <c r="CX137" s="2205"/>
      <c r="CY137" s="2205"/>
      <c r="CZ137" s="2205"/>
      <c r="DA137" s="2205"/>
      <c r="DB137" s="2205"/>
      <c r="DC137" s="2205"/>
      <c r="DD137" s="2205"/>
      <c r="DE137" s="2206"/>
      <c r="DF137" s="516"/>
    </row>
    <row r="138" spans="1:110" ht="12.75" customHeight="1">
      <c r="A138" s="219">
        <v>138</v>
      </c>
      <c r="B138" s="7145"/>
      <c r="C138" s="515" t="s">
        <v>5936</v>
      </c>
      <c r="D138" s="512"/>
      <c r="F138" s="2210" t="str">
        <f>IF(ISNA(HLOOKUP($I$136&amp;$A3,$H$139:$DF$140,2,FALSE))," ",HLOOKUP($I$136&amp;$A3,$H$139:$DF$140,2,FALSE))</f>
        <v xml:space="preserve"> </v>
      </c>
      <c r="G138" s="881"/>
      <c r="H138" s="8130" t="s">
        <v>5880</v>
      </c>
      <c r="I138" s="8130"/>
      <c r="J138" s="8130"/>
      <c r="K138" s="8130" t="s">
        <v>5881</v>
      </c>
      <c r="L138" s="8130"/>
      <c r="M138" s="8130" t="s">
        <v>5882</v>
      </c>
      <c r="N138" s="8130"/>
      <c r="O138" s="8130"/>
      <c r="P138" s="8130" t="s">
        <v>5883</v>
      </c>
      <c r="Q138" s="8130"/>
      <c r="R138" s="8130" t="s">
        <v>5884</v>
      </c>
      <c r="S138" s="8130"/>
      <c r="T138" s="2186" t="s">
        <v>5885</v>
      </c>
      <c r="U138" s="8130" t="s">
        <v>5886</v>
      </c>
      <c r="V138" s="8130"/>
      <c r="W138" s="8147" t="s">
        <v>5887</v>
      </c>
      <c r="X138" s="8149"/>
      <c r="Y138" s="8150" t="s">
        <v>5888</v>
      </c>
      <c r="Z138" s="8151"/>
      <c r="AA138" s="8152"/>
      <c r="AB138" s="8150" t="s">
        <v>5889</v>
      </c>
      <c r="AC138" s="8152"/>
      <c r="AD138" s="8150" t="s">
        <v>5890</v>
      </c>
      <c r="AE138" s="8152"/>
      <c r="AF138" s="8150" t="s">
        <v>5891</v>
      </c>
      <c r="AG138" s="8151"/>
      <c r="AH138" s="8152"/>
      <c r="AI138" s="8150" t="s">
        <v>5892</v>
      </c>
      <c r="AJ138" s="8151"/>
      <c r="AK138" s="8152"/>
      <c r="AL138" s="8150" t="s">
        <v>5893</v>
      </c>
      <c r="AM138" s="8151"/>
      <c r="AN138" s="8151"/>
      <c r="AO138" s="8152"/>
      <c r="AP138" s="8147" t="s">
        <v>5894</v>
      </c>
      <c r="AQ138" s="8148"/>
      <c r="AR138" s="8149"/>
      <c r="AS138" s="8147" t="s">
        <v>5895</v>
      </c>
      <c r="AT138" s="8149"/>
      <c r="AU138" s="8147" t="s">
        <v>5896</v>
      </c>
      <c r="AV138" s="8148"/>
      <c r="AW138" s="8149"/>
      <c r="AX138" s="8147" t="s">
        <v>5897</v>
      </c>
      <c r="AY138" s="8149"/>
      <c r="AZ138" s="8147" t="s">
        <v>5898</v>
      </c>
      <c r="BA138" s="8149"/>
      <c r="BB138" s="8147" t="s">
        <v>5899</v>
      </c>
      <c r="BC138" s="8149"/>
      <c r="BD138" s="8147" t="s">
        <v>5900</v>
      </c>
      <c r="BE138" s="8149"/>
      <c r="BF138" s="8147" t="s">
        <v>5901</v>
      </c>
      <c r="BG138" s="8149"/>
      <c r="BH138" s="2186" t="s">
        <v>5902</v>
      </c>
      <c r="BI138" s="8147" t="s">
        <v>5864</v>
      </c>
      <c r="BJ138" s="8149"/>
      <c r="BK138" s="8175" t="s">
        <v>5865</v>
      </c>
      <c r="BL138" s="8152"/>
      <c r="BM138" s="2186" t="s">
        <v>9587</v>
      </c>
      <c r="BN138" s="8147" t="s">
        <v>5866</v>
      </c>
      <c r="BO138" s="8149"/>
      <c r="BP138" s="8147" t="s">
        <v>5903</v>
      </c>
      <c r="BQ138" s="8148"/>
      <c r="BR138" s="8149"/>
      <c r="BS138" s="8147" t="s">
        <v>5904</v>
      </c>
      <c r="BT138" s="8149"/>
      <c r="BU138" s="8147" t="s">
        <v>5867</v>
      </c>
      <c r="BV138" s="8148"/>
      <c r="BW138" s="8148"/>
      <c r="BX138" s="8149"/>
      <c r="BY138" s="8147" t="s">
        <v>5868</v>
      </c>
      <c r="BZ138" s="8148"/>
      <c r="CA138" s="8149"/>
      <c r="CB138" s="8147" t="s">
        <v>5869</v>
      </c>
      <c r="CC138" s="8148"/>
      <c r="CD138" s="8149"/>
      <c r="CE138" s="8147" t="s">
        <v>5870</v>
      </c>
      <c r="CF138" s="8149"/>
      <c r="CG138" s="8147" t="s">
        <v>5871</v>
      </c>
      <c r="CH138" s="8148"/>
      <c r="CI138" s="8149"/>
      <c r="CJ138" s="8147" t="s">
        <v>7893</v>
      </c>
      <c r="CK138" s="8148"/>
      <c r="CL138" s="8148"/>
      <c r="CM138" s="8149"/>
      <c r="CN138" s="8147" t="s">
        <v>5872</v>
      </c>
      <c r="CO138" s="8149"/>
      <c r="CP138" s="8147" t="s">
        <v>5873</v>
      </c>
      <c r="CQ138" s="8149"/>
      <c r="CR138" s="8147" t="s">
        <v>5874</v>
      </c>
      <c r="CS138" s="8148"/>
      <c r="CT138" s="8149"/>
      <c r="CU138" s="8147" t="s">
        <v>5875</v>
      </c>
      <c r="CV138" s="8149"/>
      <c r="CW138" s="8147" t="s">
        <v>5876</v>
      </c>
      <c r="CX138" s="8148"/>
      <c r="CY138" s="8149"/>
      <c r="CZ138" s="2220" t="s">
        <v>5877</v>
      </c>
      <c r="DA138" s="8147" t="s">
        <v>5878</v>
      </c>
      <c r="DB138" s="8148"/>
      <c r="DC138" s="8149"/>
      <c r="DD138" s="8147" t="s">
        <v>5879</v>
      </c>
      <c r="DE138" s="8149"/>
      <c r="DF138" s="2227" t="str">
        <f>IF(Personalización!C20="","",Personalización!C20)</f>
        <v/>
      </c>
    </row>
    <row r="139" spans="1:110" ht="12.75" customHeight="1">
      <c r="A139" s="219">
        <v>139</v>
      </c>
      <c r="B139" s="7145"/>
      <c r="C139" s="515" t="s">
        <v>5937</v>
      </c>
      <c r="D139" s="512"/>
      <c r="F139" s="2210" t="str">
        <f>IF(ISNA(HLOOKUP($I$136&amp;$A4,$H$139:$DF$140,2,FALSE))," ",HLOOKUP($I$136&amp;$A4,$H$139:$DF$140,2,FALSE))</f>
        <v xml:space="preserve"> </v>
      </c>
      <c r="G139" s="881"/>
      <c r="H139" s="2223" t="str">
        <f>H138&amp;1</f>
        <v>Abel1</v>
      </c>
      <c r="I139" s="2223" t="str">
        <f>H138&amp;2</f>
        <v>Abel2</v>
      </c>
      <c r="J139" s="520" t="str">
        <f>H138&amp;3</f>
        <v>Abel3</v>
      </c>
      <c r="K139" s="2223" t="str">
        <f>K138&amp;1</f>
        <v>Ilmora1</v>
      </c>
      <c r="L139" s="2223" t="str">
        <f>K138&amp;2</f>
        <v>Ilmora2</v>
      </c>
      <c r="M139" s="519" t="str">
        <f>M138&amp;1</f>
        <v>Helenia1</v>
      </c>
      <c r="N139" s="2223" t="str">
        <f>M138&amp;2</f>
        <v>Helenia2</v>
      </c>
      <c r="O139" s="520" t="str">
        <f>M138&amp;3</f>
        <v>Helenia3</v>
      </c>
      <c r="P139" s="2223" t="str">
        <f>P138&amp;1</f>
        <v>Dalaborn1</v>
      </c>
      <c r="Q139" s="2223" t="str">
        <f>P138&amp;2</f>
        <v>Dalaborn2</v>
      </c>
      <c r="R139" s="519" t="str">
        <f>R138&amp;1</f>
        <v>Alberia1</v>
      </c>
      <c r="S139" s="520" t="str">
        <f>R138&amp;2</f>
        <v>Alberia2</v>
      </c>
      <c r="T139" s="2223" t="str">
        <f>T138&amp;1</f>
        <v>Galgados1</v>
      </c>
      <c r="U139" s="519" t="str">
        <f>U138&amp;1</f>
        <v>Arlan1</v>
      </c>
      <c r="V139" s="520" t="str">
        <f>U138&amp;2</f>
        <v>Arlan2</v>
      </c>
      <c r="W139" s="2223" t="str">
        <f>W138&amp;1</f>
        <v>Kanon1</v>
      </c>
      <c r="X139" s="2223" t="str">
        <f>W138&amp;2</f>
        <v>Kanon2</v>
      </c>
      <c r="Y139" s="519" t="str">
        <f>Y138&amp;1</f>
        <v>Togarini1</v>
      </c>
      <c r="Z139" s="2223" t="str">
        <f>Y138&amp;2</f>
        <v>Togarini2</v>
      </c>
      <c r="AA139" s="520" t="str">
        <f>Y138&amp;3</f>
        <v>Togarini3</v>
      </c>
      <c r="AB139" s="2223" t="str">
        <f>AB138&amp;1</f>
        <v>Remo1</v>
      </c>
      <c r="AC139" s="2223" t="str">
        <f>AB138&amp;2</f>
        <v>Remo2</v>
      </c>
      <c r="AD139" s="519" t="str">
        <f>AD138&amp;1</f>
        <v>Bellafonte1</v>
      </c>
      <c r="AE139" s="520" t="str">
        <f>AD138&amp;2</f>
        <v>Bellafonte2</v>
      </c>
      <c r="AF139" s="2223" t="str">
        <f>AF138&amp;1</f>
        <v>Goldar1</v>
      </c>
      <c r="AG139" s="2223" t="str">
        <f>AF138&amp;2</f>
        <v>Goldar2</v>
      </c>
      <c r="AH139" s="2223" t="str">
        <f>AF138&amp;3</f>
        <v>Goldar3</v>
      </c>
      <c r="AI139" s="519" t="str">
        <f>AI138&amp;1</f>
        <v>Haufman1</v>
      </c>
      <c r="AJ139" s="2223" t="str">
        <f>AI138&amp;2</f>
        <v>Haufman2</v>
      </c>
      <c r="AK139" s="520" t="str">
        <f>AI138&amp;3</f>
        <v>Haufman3</v>
      </c>
      <c r="AL139" s="2223" t="str">
        <f>AL138&amp;1</f>
        <v>Hendell1</v>
      </c>
      <c r="AM139" s="2223" t="str">
        <f>AL138&amp;2</f>
        <v>Hendell2</v>
      </c>
      <c r="AN139" s="2223" t="str">
        <f>AL138&amp;3</f>
        <v>Hendell3</v>
      </c>
      <c r="AO139" s="2223" t="str">
        <f>AL138&amp;4</f>
        <v>Hendell4</v>
      </c>
      <c r="AP139" s="519" t="str">
        <f>AP138&amp;1</f>
        <v>Moth1</v>
      </c>
      <c r="AQ139" s="2223" t="str">
        <f>AP138&amp;2</f>
        <v>Moth2</v>
      </c>
      <c r="AR139" s="520" t="str">
        <f>AP138&amp;3</f>
        <v>Moth3</v>
      </c>
      <c r="AS139" s="2223" t="str">
        <f>AS138&amp;1</f>
        <v>Dwänholf1</v>
      </c>
      <c r="AT139" s="2223" t="str">
        <f>AS138&amp;2</f>
        <v>Dwänholf2</v>
      </c>
      <c r="AU139" s="519" t="str">
        <f>AU138&amp;1</f>
        <v>Gabriel1</v>
      </c>
      <c r="AV139" s="2223" t="str">
        <f>AU138&amp;2</f>
        <v>Gabriel2</v>
      </c>
      <c r="AW139" s="520" t="str">
        <f>AU138&amp;3</f>
        <v>Gabriel3</v>
      </c>
      <c r="AX139" s="2223" t="str">
        <f>AX138&amp;1</f>
        <v>Phaion Eien Seimon1</v>
      </c>
      <c r="AY139" s="2223" t="str">
        <f>AX138&amp;2</f>
        <v>Phaion Eien Seimon2</v>
      </c>
      <c r="AZ139" s="519" t="str">
        <f>AZ138&amp;1</f>
        <v>El Dominio1</v>
      </c>
      <c r="BA139" s="520" t="str">
        <f>AZ138&amp;2</f>
        <v>El Dominio2</v>
      </c>
      <c r="BB139" s="2223" t="str">
        <f>BB138&amp;1</f>
        <v>Argos1</v>
      </c>
      <c r="BC139" s="2223" t="str">
        <f>BB138&amp;2</f>
        <v>Argos2</v>
      </c>
      <c r="BD139" s="519" t="str">
        <f>BD138&amp;1</f>
        <v>Kushistán1</v>
      </c>
      <c r="BE139" s="520" t="str">
        <f>BD138&amp;2</f>
        <v>Kushistán2</v>
      </c>
      <c r="BF139" s="2223" t="str">
        <f>BF138&amp;1</f>
        <v>Estigia1</v>
      </c>
      <c r="BG139" s="2223" t="str">
        <f>BF138&amp;2</f>
        <v>Estigia2</v>
      </c>
      <c r="BH139" s="521" t="str">
        <f>BH138&amp;1</f>
        <v>Salazar1</v>
      </c>
      <c r="BI139" s="519" t="str">
        <f>BI138&amp;1</f>
        <v>Nanwe1</v>
      </c>
      <c r="BJ139" s="520" t="str">
        <f>BI138&amp;2</f>
        <v>Nanwe2</v>
      </c>
      <c r="BK139" s="2223" t="str">
        <f>BK138&amp;1</f>
        <v>Lucrecio1</v>
      </c>
      <c r="BL139" s="2223" t="str">
        <f>BK138&amp;2</f>
        <v>Lucrecio2</v>
      </c>
      <c r="BM139" s="521" t="str">
        <f>BM138&amp;1</f>
        <v>Kashmir1</v>
      </c>
      <c r="BN139" s="2223" t="str">
        <f>BN138&amp;1</f>
        <v>Baho1</v>
      </c>
      <c r="BO139" s="2223" t="str">
        <f>BN138&amp;2</f>
        <v>Baho2</v>
      </c>
      <c r="BP139" s="519" t="str">
        <f>BP138&amp;1</f>
        <v>Lannet1</v>
      </c>
      <c r="BQ139" s="2223" t="str">
        <f>BP138&amp;2</f>
        <v>Lannet2</v>
      </c>
      <c r="BR139" s="520" t="str">
        <f>BP138&amp;3</f>
        <v>Lannet3</v>
      </c>
      <c r="BS139" s="2223" t="str">
        <f>BS138&amp;1</f>
        <v>Shivat1</v>
      </c>
      <c r="BT139" s="2223" t="str">
        <f>BS138&amp;2</f>
        <v>Shivat2</v>
      </c>
      <c r="BU139" s="519" t="str">
        <f>BU138&amp;1</f>
        <v>Manterra1</v>
      </c>
      <c r="BV139" s="2223" t="str">
        <f>BU138&amp;2</f>
        <v>Manterra2</v>
      </c>
      <c r="BW139" s="2223" t="str">
        <f>BU138&amp;3</f>
        <v>Manterra3</v>
      </c>
      <c r="BX139" s="520" t="str">
        <f>BU138&amp;4</f>
        <v>Manterra4</v>
      </c>
      <c r="BY139" s="2223" t="str">
        <f>BY138&amp;1</f>
        <v>Corinia1</v>
      </c>
      <c r="BZ139" s="2223" t="str">
        <f>BY138&amp;2</f>
        <v>Corinia2</v>
      </c>
      <c r="CA139" s="2223" t="str">
        <f>BY138&amp;3</f>
        <v>Corinia3</v>
      </c>
      <c r="CB139" s="519" t="str">
        <f>CB138&amp;1</f>
        <v>Arabal1</v>
      </c>
      <c r="CC139" s="2223" t="str">
        <f>CB138&amp;2</f>
        <v>Arabal2</v>
      </c>
      <c r="CD139" s="520" t="str">
        <f>CB138&amp;3</f>
        <v>Arabal3</v>
      </c>
      <c r="CE139" s="2223" t="str">
        <f>CE138&amp;1</f>
        <v>Pristina1</v>
      </c>
      <c r="CF139" s="2223" t="str">
        <f>CE138&amp;2</f>
        <v>Pristina2</v>
      </c>
      <c r="CG139" s="519" t="str">
        <f>CG138&amp;1</f>
        <v>Ygdramar1</v>
      </c>
      <c r="CH139" s="2223" t="str">
        <f>CG138&amp;2</f>
        <v>Ygdramar2</v>
      </c>
      <c r="CI139" s="520" t="str">
        <f>CG138&amp;3</f>
        <v>Ygdramar3</v>
      </c>
      <c r="CJ139" s="2223" t="str">
        <f>CJ138&amp;1</f>
        <v>Elcia1</v>
      </c>
      <c r="CK139" s="2223" t="str">
        <f>CJ138&amp;2</f>
        <v>Elcia2</v>
      </c>
      <c r="CL139" s="2223" t="str">
        <f>CJ138&amp;3</f>
        <v>Elcia3</v>
      </c>
      <c r="CM139" s="2223" t="str">
        <f>CJ138&amp;4</f>
        <v>Elcia4</v>
      </c>
      <c r="CN139" s="519" t="str">
        <f>CN138&amp;1</f>
        <v>Espheria1</v>
      </c>
      <c r="CO139" s="520" t="str">
        <f>CN138&amp;2</f>
        <v>Espheria2</v>
      </c>
      <c r="CP139" s="2223" t="str">
        <f>CP138&amp;1</f>
        <v>Itzi1</v>
      </c>
      <c r="CQ139" s="2223" t="str">
        <f>CP138&amp;2</f>
        <v>Itzi2</v>
      </c>
      <c r="CR139" s="519" t="str">
        <f>CR138&amp;1</f>
        <v>Dafne1</v>
      </c>
      <c r="CS139" s="2223" t="str">
        <f>CR138&amp;2</f>
        <v>Dafne2</v>
      </c>
      <c r="CT139" s="520" t="str">
        <f>CR138&amp;3</f>
        <v>Dafne3</v>
      </c>
      <c r="CU139" s="2223" t="str">
        <f>CU138&amp;1</f>
        <v>Bekent1</v>
      </c>
      <c r="CV139" s="2223" t="str">
        <f>CU138&amp;2</f>
        <v>Bekent2</v>
      </c>
      <c r="CW139" s="519" t="str">
        <f>CW138&amp;1</f>
        <v>Heinlein1</v>
      </c>
      <c r="CX139" s="2223" t="str">
        <f>CW138&amp;2</f>
        <v>Heinlein2</v>
      </c>
      <c r="CY139" s="520" t="str">
        <f>CW138&amp;3</f>
        <v>Heinlein3</v>
      </c>
      <c r="CZ139" s="2223" t="str">
        <f>CZ138&amp;1</f>
        <v>Dravenor1</v>
      </c>
      <c r="DA139" s="519" t="str">
        <f>DA138&amp;1</f>
        <v>Theresia1</v>
      </c>
      <c r="DB139" s="2223" t="str">
        <f>DA138&amp;2</f>
        <v>Theresia2</v>
      </c>
      <c r="DC139" s="520" t="str">
        <f>DA138&amp;3</f>
        <v>Theresia3</v>
      </c>
      <c r="DD139" s="2223" t="str">
        <f>DD138&amp;1</f>
        <v>Deloran1</v>
      </c>
      <c r="DE139" s="2204" t="str">
        <f>DD138&amp;2</f>
        <v>Deloran2</v>
      </c>
      <c r="DF139" s="517" t="str">
        <f>DF138&amp;COUNTIF(H$139:$DE139,DF138&amp;"*")+1</f>
        <v>103</v>
      </c>
    </row>
    <row r="140" spans="1:110" ht="12.75" customHeight="1">
      <c r="A140" s="219">
        <v>140</v>
      </c>
      <c r="B140" s="7145"/>
      <c r="C140" s="511" t="s">
        <v>5880</v>
      </c>
      <c r="D140" s="512"/>
      <c r="F140" s="2221" t="str">
        <f>IF(ISNA(HLOOKUP($I$136&amp;$A5,$H$139:$DF$140,2,FALSE))," ",HLOOKUP($I$136&amp;$A5,$H$139:$DF$140,2,FALSE))</f>
        <v xml:space="preserve"> </v>
      </c>
      <c r="G140" s="2222"/>
      <c r="H140" s="524" t="s">
        <v>5944</v>
      </c>
      <c r="I140" s="2225" t="s">
        <v>5905</v>
      </c>
      <c r="J140" s="525" t="s">
        <v>51</v>
      </c>
      <c r="K140" s="2226" t="s">
        <v>5944</v>
      </c>
      <c r="L140" s="2226" t="s">
        <v>51</v>
      </c>
      <c r="M140" s="524" t="s">
        <v>5944</v>
      </c>
      <c r="N140" s="2226" t="s">
        <v>2379</v>
      </c>
      <c r="O140" s="692" t="s">
        <v>51</v>
      </c>
      <c r="P140" s="2226" t="s">
        <v>5944</v>
      </c>
      <c r="Q140" s="2226" t="s">
        <v>51</v>
      </c>
      <c r="R140" s="524" t="s">
        <v>5944</v>
      </c>
      <c r="S140" s="525" t="s">
        <v>51</v>
      </c>
      <c r="T140" s="2226" t="s">
        <v>5945</v>
      </c>
      <c r="U140" s="524" t="s">
        <v>5944</v>
      </c>
      <c r="V140" s="525" t="s">
        <v>5905</v>
      </c>
      <c r="W140" s="2226" t="s">
        <v>5944</v>
      </c>
      <c r="X140" s="2226" t="s">
        <v>51</v>
      </c>
      <c r="Y140" s="1125" t="s">
        <v>5944</v>
      </c>
      <c r="Z140" s="2225" t="s">
        <v>5905</v>
      </c>
      <c r="AA140" s="692" t="s">
        <v>51</v>
      </c>
      <c r="AB140" s="2225" t="s">
        <v>6860</v>
      </c>
      <c r="AC140" s="2225" t="s">
        <v>5946</v>
      </c>
      <c r="AD140" s="1125" t="s">
        <v>5944</v>
      </c>
      <c r="AE140" s="692" t="s">
        <v>51</v>
      </c>
      <c r="AF140" s="2225" t="s">
        <v>5947</v>
      </c>
      <c r="AG140" s="2225" t="s">
        <v>5906</v>
      </c>
      <c r="AH140" s="2225" t="s">
        <v>5948</v>
      </c>
      <c r="AI140" s="1125" t="s">
        <v>5906</v>
      </c>
      <c r="AJ140" s="2225" t="s">
        <v>5907</v>
      </c>
      <c r="AK140" s="692" t="s">
        <v>5908</v>
      </c>
      <c r="AL140" s="2225" t="s">
        <v>5909</v>
      </c>
      <c r="AM140" s="2225" t="s">
        <v>5906</v>
      </c>
      <c r="AN140" s="2225" t="s">
        <v>5910</v>
      </c>
      <c r="AO140" s="2225" t="s">
        <v>6861</v>
      </c>
      <c r="AP140" s="524" t="s">
        <v>5944</v>
      </c>
      <c r="AQ140" s="2226" t="s">
        <v>5911</v>
      </c>
      <c r="AR140" s="525" t="s">
        <v>51</v>
      </c>
      <c r="AS140" s="2226" t="s">
        <v>5949</v>
      </c>
      <c r="AT140" s="2226" t="s">
        <v>5912</v>
      </c>
      <c r="AU140" s="524" t="s">
        <v>5950</v>
      </c>
      <c r="AV140" s="2226" t="s">
        <v>5905</v>
      </c>
      <c r="AW140" s="525" t="s">
        <v>51</v>
      </c>
      <c r="AX140" s="2226" t="s">
        <v>5944</v>
      </c>
      <c r="AY140" s="2226" t="s">
        <v>5946</v>
      </c>
      <c r="AZ140" s="524" t="s">
        <v>5944</v>
      </c>
      <c r="BA140" s="525" t="s">
        <v>5951</v>
      </c>
      <c r="BB140" s="2226" t="s">
        <v>5944</v>
      </c>
      <c r="BC140" s="2226" t="s">
        <v>51</v>
      </c>
      <c r="BD140" s="524" t="s">
        <v>5944</v>
      </c>
      <c r="BE140" s="525" t="s">
        <v>5946</v>
      </c>
      <c r="BF140" s="2226" t="s">
        <v>5944</v>
      </c>
      <c r="BG140" s="2226" t="s">
        <v>5952</v>
      </c>
      <c r="BH140" s="526" t="s">
        <v>5913</v>
      </c>
      <c r="BI140" s="524" t="s">
        <v>5914</v>
      </c>
      <c r="BJ140" s="525" t="s">
        <v>5953</v>
      </c>
      <c r="BK140" s="2226" t="s">
        <v>5944</v>
      </c>
      <c r="BL140" s="2226" t="s">
        <v>5954</v>
      </c>
      <c r="BM140" s="526" t="s">
        <v>5915</v>
      </c>
      <c r="BN140" s="2226" t="s">
        <v>5916</v>
      </c>
      <c r="BO140" s="2226" t="s">
        <v>5917</v>
      </c>
      <c r="BP140" s="524" t="s">
        <v>5918</v>
      </c>
      <c r="BQ140" s="2226" t="s">
        <v>5955</v>
      </c>
      <c r="BR140" s="525" t="s">
        <v>5919</v>
      </c>
      <c r="BS140" s="2226" t="s">
        <v>5944</v>
      </c>
      <c r="BT140" s="2226" t="s">
        <v>5956</v>
      </c>
      <c r="BU140" s="524" t="s">
        <v>5957</v>
      </c>
      <c r="BV140" s="2226" t="s">
        <v>5920</v>
      </c>
      <c r="BW140" s="2226" t="s">
        <v>5905</v>
      </c>
      <c r="BX140" s="525" t="s">
        <v>51</v>
      </c>
      <c r="BY140" s="2226" t="s">
        <v>2377</v>
      </c>
      <c r="BZ140" s="2226" t="s">
        <v>5921</v>
      </c>
      <c r="CA140" s="2226" t="s">
        <v>5922</v>
      </c>
      <c r="CB140" s="524" t="s">
        <v>5944</v>
      </c>
      <c r="CC140" s="2226" t="s">
        <v>5905</v>
      </c>
      <c r="CD140" s="525" t="s">
        <v>51</v>
      </c>
      <c r="CE140" s="2226" t="s">
        <v>5944</v>
      </c>
      <c r="CF140" s="2226" t="s">
        <v>5912</v>
      </c>
      <c r="CG140" s="524" t="s">
        <v>5923</v>
      </c>
      <c r="CH140" s="2226" t="s">
        <v>2378</v>
      </c>
      <c r="CI140" s="525" t="s">
        <v>51</v>
      </c>
      <c r="CJ140" s="2226" t="s">
        <v>5918</v>
      </c>
      <c r="CK140" s="2226" t="s">
        <v>5924</v>
      </c>
      <c r="CL140" s="2226" t="s">
        <v>5905</v>
      </c>
      <c r="CM140" s="2226" t="s">
        <v>5925</v>
      </c>
      <c r="CN140" s="524" t="s">
        <v>5944</v>
      </c>
      <c r="CO140" s="525" t="s">
        <v>5905</v>
      </c>
      <c r="CP140" s="2226" t="s">
        <v>5944</v>
      </c>
      <c r="CQ140" s="2226" t="s">
        <v>5926</v>
      </c>
      <c r="CR140" s="524" t="s">
        <v>5944</v>
      </c>
      <c r="CS140" s="2226" t="s">
        <v>5905</v>
      </c>
      <c r="CT140" s="525" t="s">
        <v>51</v>
      </c>
      <c r="CU140" s="2226" t="s">
        <v>2379</v>
      </c>
      <c r="CV140" s="2226" t="s">
        <v>5922</v>
      </c>
      <c r="CW140" s="524" t="s">
        <v>5944</v>
      </c>
      <c r="CX140" s="2226" t="s">
        <v>5905</v>
      </c>
      <c r="CY140" s="525" t="s">
        <v>51</v>
      </c>
      <c r="CZ140" s="2226" t="s">
        <v>5958</v>
      </c>
      <c r="DA140" s="524" t="s">
        <v>5944</v>
      </c>
      <c r="DB140" s="2226" t="s">
        <v>5905</v>
      </c>
      <c r="DC140" s="525" t="s">
        <v>51</v>
      </c>
      <c r="DD140" s="2226" t="s">
        <v>5944</v>
      </c>
      <c r="DE140" s="525" t="s">
        <v>5905</v>
      </c>
      <c r="DF140" s="527" t="str">
        <f>IF(Personalización!C21="","",Personalización!C21)</f>
        <v/>
      </c>
    </row>
    <row r="141" spans="1:110" ht="12.75" customHeight="1">
      <c r="A141" s="219">
        <v>141</v>
      </c>
      <c r="B141" s="7145"/>
      <c r="C141" s="511" t="s">
        <v>5881</v>
      </c>
      <c r="D141" s="444"/>
      <c r="F141" s="2224">
        <v>1</v>
      </c>
      <c r="G141" s="523" t="s">
        <v>1230</v>
      </c>
      <c r="H141" s="519" t="str">
        <f>H138&amp;H140</f>
        <v>AbelMedia / Baja</v>
      </c>
      <c r="I141" s="2223" t="str">
        <f>H138&amp;I140</f>
        <v>AbelBurgués</v>
      </c>
      <c r="J141" s="520" t="str">
        <f>H138&amp;J140</f>
        <v>AbelNobleza</v>
      </c>
      <c r="K141" s="2223" t="str">
        <f>K138&amp;K140</f>
        <v>IlmoraMedia / Baja</v>
      </c>
      <c r="L141" s="2223" t="str">
        <f>K138&amp;L140</f>
        <v>IlmoraNobleza</v>
      </c>
      <c r="M141" s="519" t="str">
        <f>M138&amp;M140</f>
        <v>HeleniaMedia / Baja</v>
      </c>
      <c r="N141" s="2223" t="str">
        <f>M138&amp;N140</f>
        <v>HeleniaNómada</v>
      </c>
      <c r="O141" s="520" t="str">
        <f>M138&amp;O140</f>
        <v>HeleniaNobleza</v>
      </c>
      <c r="P141" s="2223" t="str">
        <f>P138&amp;P140</f>
        <v>DalabornMedia / Baja</v>
      </c>
      <c r="Q141" s="2223" t="str">
        <f>P138&amp;Q140</f>
        <v>DalabornNobleza</v>
      </c>
      <c r="R141" s="519" t="str">
        <f>R138&amp;R140</f>
        <v>AlberiaMedia / Baja</v>
      </c>
      <c r="S141" s="520" t="str">
        <f>R138&amp;S140</f>
        <v>AlberiaNobleza</v>
      </c>
      <c r="T141" s="2223" t="str">
        <f>T138&amp;T140</f>
        <v>GalgadosMedia / Baja / Nobleza</v>
      </c>
      <c r="U141" s="519" t="str">
        <f>U138&amp;U140</f>
        <v>ArlanMedia / Baja</v>
      </c>
      <c r="V141" s="520" t="str">
        <f>U138&amp;V140</f>
        <v>ArlanBurgués</v>
      </c>
      <c r="W141" s="2223" t="str">
        <f>W138&amp;W140</f>
        <v>KanonMedia / Baja</v>
      </c>
      <c r="X141" s="2223" t="str">
        <f>W138&amp;X140</f>
        <v>KanonNobleza</v>
      </c>
      <c r="Y141" s="519" t="str">
        <f>Y138&amp;Y140</f>
        <v>TogariniMedia / Baja</v>
      </c>
      <c r="Z141" s="2223" t="str">
        <f>Y138&amp;Z140</f>
        <v>TogariniBurgués</v>
      </c>
      <c r="AA141" s="520" t="str">
        <f>Y138&amp;AA140</f>
        <v>TogariniNobleza</v>
      </c>
      <c r="AB141" s="2223" t="str">
        <f>AB138&amp;AB140</f>
        <v>RemoBaja / Media</v>
      </c>
      <c r="AC141" s="2223" t="str">
        <f>AB138&amp;AC140</f>
        <v>RemoBurgués / Nobleza</v>
      </c>
      <c r="AD141" s="519" t="str">
        <f>AD138&amp;AD140</f>
        <v>BellafonteMedia / Baja</v>
      </c>
      <c r="AE141" s="520" t="str">
        <f>AD138&amp;AE140</f>
        <v>BellafonteNobleza</v>
      </c>
      <c r="AF141" s="2223" t="str">
        <f>AF138&amp;AF140</f>
        <v>GoldarCampesino / Desterrado</v>
      </c>
      <c r="AG141" s="2223" t="str">
        <f>AF138&amp;AG140</f>
        <v>GoldarNorteño</v>
      </c>
      <c r="AH141" s="2223" t="str">
        <f>AF138&amp;AH140</f>
        <v>GoldarErling / Skalmo / Escaldo Honorable</v>
      </c>
      <c r="AI141" s="519" t="str">
        <f>AI138&amp;AI140</f>
        <v>HaufmanNorteño</v>
      </c>
      <c r="AJ141" s="2223" t="str">
        <f>AI138&amp;AJ140</f>
        <v>HaufmanSaerinmir</v>
      </c>
      <c r="AK141" s="520" t="str">
        <f>AI138&amp;AK140</f>
        <v>HaufmanNoble</v>
      </c>
      <c r="AL141" s="2223" t="str">
        <f>AL138&amp;AL140</f>
        <v>HendellCampesino</v>
      </c>
      <c r="AM141" s="2223" t="str">
        <f>AL138&amp;AM140</f>
        <v>HendellNorteño</v>
      </c>
      <c r="AN141" s="2223" t="str">
        <f>AL138&amp;AN140</f>
        <v>HendellLochgjest</v>
      </c>
      <c r="AO141" s="2223" t="str">
        <f>AL138&amp;AO140</f>
        <v>HendellPrimera Casta</v>
      </c>
      <c r="AP141" s="519" t="str">
        <f>AP138&amp;AP140</f>
        <v>MothMedia / Baja</v>
      </c>
      <c r="AQ141" s="2223" t="str">
        <f>AP138&amp;AQ140</f>
        <v>MothZigeuner</v>
      </c>
      <c r="AR141" s="520" t="str">
        <f>AP138&amp;AR140</f>
        <v>MothNobleza</v>
      </c>
      <c r="AS141" s="2223" t="str">
        <f>AS138&amp;AS140</f>
        <v>DwänholfMedia / Pobre</v>
      </c>
      <c r="AT141" s="2223" t="str">
        <f>AS138&amp;AT140</f>
        <v>DwänholfAdinerada</v>
      </c>
      <c r="AU141" s="519" t="str">
        <f>AU138&amp;AU140</f>
        <v>GabrielMedia / Indigente</v>
      </c>
      <c r="AV141" s="2223" t="str">
        <f>AU138&amp;AV140</f>
        <v>GabrielBurgués</v>
      </c>
      <c r="AW141" s="520" t="str">
        <f>AU138&amp;AW140</f>
        <v>GabrielNobleza</v>
      </c>
      <c r="AX141" s="2223" t="str">
        <f>AX138&amp;AX140</f>
        <v>Phaion Eien SeimonMedia / Baja</v>
      </c>
      <c r="AY141" s="2223" t="str">
        <f>AX138&amp;AY140</f>
        <v>Phaion Eien SeimonBurgués / Nobleza</v>
      </c>
      <c r="AZ141" s="519" t="str">
        <f>AZ138&amp;AZ140</f>
        <v>El DominioMedia / Baja</v>
      </c>
      <c r="BA141" s="520" t="str">
        <f>AZ138&amp;BA140</f>
        <v>El DominioNobleza / Clero</v>
      </c>
      <c r="BB141" s="2223" t="str">
        <f>BB138&amp;BB140</f>
        <v>ArgosMedia / Baja</v>
      </c>
      <c r="BC141" s="2223" t="str">
        <f>BB138&amp;BC140</f>
        <v>ArgosNobleza</v>
      </c>
      <c r="BD141" s="519" t="str">
        <f>BD138&amp;BD140</f>
        <v>KushistánMedia / Baja</v>
      </c>
      <c r="BE141" s="520" t="str">
        <f>BD138&amp;BE140</f>
        <v>KushistánBurgués / Nobleza</v>
      </c>
      <c r="BF141" s="2223" t="str">
        <f>BF138&amp;BF140</f>
        <v>EstigiaMedia / Baja</v>
      </c>
      <c r="BG141" s="2223" t="str">
        <f>BF138&amp;BG140</f>
        <v>EstigiaBurócrata / Burgués / Nobleza</v>
      </c>
      <c r="BH141" s="521" t="str">
        <f>BH138&amp;BH140</f>
        <v>SalazarNómadas</v>
      </c>
      <c r="BI141" s="519" t="str">
        <f>BI138&amp;BI140</f>
        <v>NanweMiembro de tribu</v>
      </c>
      <c r="BJ141" s="520" t="str">
        <f>BI138&amp;BJ140</f>
        <v>NanweMedia / Burgués</v>
      </c>
      <c r="BK141" s="2223" t="str">
        <f>BK138&amp;BK140</f>
        <v>LucrecioMedia / Baja</v>
      </c>
      <c r="BL141" s="2223" t="str">
        <f>BK138&amp;BL140</f>
        <v>LucrecioAlta / Burguesía</v>
      </c>
      <c r="BM141" s="521" t="str">
        <f>BM138&amp;BM140</f>
        <v>KashmirHabitante de la sabana</v>
      </c>
      <c r="BN141" s="2223" t="str">
        <f>BN138&amp;BN140</f>
        <v>BahoCasta de los sabios</v>
      </c>
      <c r="BO141" s="2223" t="str">
        <f>BN138&amp;BO140</f>
        <v>BahoCasta de los guerreros</v>
      </c>
      <c r="BP141" s="519" t="str">
        <f>BP138&amp;BP140</f>
        <v>LannetBaja</v>
      </c>
      <c r="BQ141" s="2223" t="str">
        <f>BP138&amp;BQ140</f>
        <v>LannetBurgués / Samurái (cortesano)</v>
      </c>
      <c r="BR141" s="520" t="str">
        <f>BP138&amp;BR140</f>
        <v>LannetSamurái (guerrero)</v>
      </c>
      <c r="BS141" s="2223" t="str">
        <f>BS138&amp;BS140</f>
        <v>ShivatMedia / Baja</v>
      </c>
      <c r="BT141" s="2223" t="str">
        <f>BS138&amp;BT140</f>
        <v>ShivatNobleza / Burguesía / Burócrata</v>
      </c>
      <c r="BU141" s="519" t="str">
        <f>BU138&amp;BU140</f>
        <v>ManterraMedia /  Baja</v>
      </c>
      <c r="BV141" s="2223" t="str">
        <f>BU138&amp;BV140</f>
        <v>ManterraNativo</v>
      </c>
      <c r="BW141" s="2223" t="str">
        <f>BU138&amp;BW140</f>
        <v>ManterraBurgués</v>
      </c>
      <c r="BX141" s="520" t="str">
        <f>BU138&amp;BX140</f>
        <v>ManterraNobleza</v>
      </c>
      <c r="BY141" s="2223" t="str">
        <f>BY138&amp;BY140</f>
        <v>CoriniaBárbaro</v>
      </c>
      <c r="BZ141" s="2223" t="str">
        <f>BY138&amp;BZ140</f>
        <v>CoriniaColono</v>
      </c>
      <c r="CA141" s="2223" t="str">
        <f>BY138&amp;CA140</f>
        <v>CoriniaPrivilegiado</v>
      </c>
      <c r="CB141" s="519" t="str">
        <f>CB138&amp;CB140</f>
        <v>ArabalMedia / Baja</v>
      </c>
      <c r="CC141" s="2223" t="str">
        <f>CB138&amp;CC140</f>
        <v>ArabalBurgués</v>
      </c>
      <c r="CD141" s="520" t="str">
        <f>CB138&amp;CD140</f>
        <v>ArabalNobleza</v>
      </c>
      <c r="CE141" s="2223" t="str">
        <f>CE138&amp;CE140</f>
        <v>PristinaMedia / Baja</v>
      </c>
      <c r="CF141" s="2223" t="str">
        <f>CE138&amp;CF140</f>
        <v>PristinaAdinerada</v>
      </c>
      <c r="CG141" s="519" t="str">
        <f>CG138&amp;CG140</f>
        <v>YgdramarPlebeyo</v>
      </c>
      <c r="CH141" s="2223" t="str">
        <f>CG138&amp;CH140</f>
        <v>YgdramarCaballero</v>
      </c>
      <c r="CI141" s="520" t="str">
        <f>CG138&amp;CI140</f>
        <v>YgdramarNobleza</v>
      </c>
      <c r="CJ141" s="2223" t="str">
        <f>CJ138&amp;CJ140</f>
        <v>ElciaBaja</v>
      </c>
      <c r="CK141" s="2223" t="str">
        <f>CJ138&amp;CK140</f>
        <v>ElciaGremio</v>
      </c>
      <c r="CL141" s="2223" t="str">
        <f>CJ138&amp;CL140</f>
        <v>ElciaBurgués</v>
      </c>
      <c r="CM141" s="2223" t="str">
        <f>CJ138&amp;CM140</f>
        <v>ElciaNobleza gremial</v>
      </c>
      <c r="CN141" s="519" t="str">
        <f>CN138&amp;CN140</f>
        <v>EspheriaMedia / Baja</v>
      </c>
      <c r="CO141" s="520" t="str">
        <f>CN138&amp;CO140</f>
        <v>EspheriaBurgués</v>
      </c>
      <c r="CP141" s="2223" t="str">
        <f>CP138&amp;CP140</f>
        <v>ItziMedia / Baja</v>
      </c>
      <c r="CQ141" s="2223" t="str">
        <f>CP138&amp;CQ140</f>
        <v>ItziAlta</v>
      </c>
      <c r="CR141" s="519" t="str">
        <f>CR138&amp;CR140</f>
        <v>DafneMedia / Baja</v>
      </c>
      <c r="CS141" s="2223" t="str">
        <f>CR138&amp;CS140</f>
        <v>DafneBurgués</v>
      </c>
      <c r="CT141" s="520" t="str">
        <f>CR138&amp;CT140</f>
        <v>DafneNobleza</v>
      </c>
      <c r="CU141" s="2223" t="str">
        <f>CU138&amp;CU140</f>
        <v>BekentNómada</v>
      </c>
      <c r="CV141" s="2223" t="str">
        <f>CU138&amp;CV140</f>
        <v>BekentPrivilegiado</v>
      </c>
      <c r="CW141" s="519" t="str">
        <f>CW138&amp;CW140</f>
        <v>HeinleinMedia / Baja</v>
      </c>
      <c r="CX141" s="2223" t="str">
        <f>CW138&amp;CX140</f>
        <v>HeinleinBurgués</v>
      </c>
      <c r="CY141" s="520" t="str">
        <f>CW138&amp;CY140</f>
        <v>HeinleinNobleza</v>
      </c>
      <c r="CZ141" s="2223" t="str">
        <f>CZ138&amp;CZ140</f>
        <v>DravenorSoldado / Refugiado</v>
      </c>
      <c r="DA141" s="519" t="str">
        <f>DA138&amp;DA140</f>
        <v>TheresiaMedia / Baja</v>
      </c>
      <c r="DB141" s="2223" t="str">
        <f>DA138&amp;DB140</f>
        <v>TheresiaBurgués</v>
      </c>
      <c r="DC141" s="520" t="str">
        <f>DA138&amp;DC140</f>
        <v>TheresiaNobleza</v>
      </c>
      <c r="DD141" s="2223" t="str">
        <f>DD138&amp;DD140</f>
        <v>DeloranMedia / Baja</v>
      </c>
      <c r="DE141" s="520" t="str">
        <f>DD138&amp;DE140</f>
        <v>DeloranBurgués</v>
      </c>
      <c r="DF141" s="517" t="str">
        <f>DF138&amp;DF140</f>
        <v/>
      </c>
    </row>
    <row r="142" spans="1:110" ht="12.75" customHeight="1">
      <c r="A142" s="219">
        <v>142</v>
      </c>
      <c r="B142" s="7145"/>
      <c r="C142" s="511" t="s">
        <v>5882</v>
      </c>
      <c r="D142" s="512"/>
      <c r="F142" s="2224">
        <v>2</v>
      </c>
      <c r="G142" s="307" t="s">
        <v>1264</v>
      </c>
      <c r="H142" s="2188"/>
      <c r="I142" s="286"/>
      <c r="J142" s="842"/>
      <c r="K142" s="286"/>
      <c r="L142" s="286"/>
      <c r="M142" s="2188"/>
      <c r="N142" s="286"/>
      <c r="O142" s="842"/>
      <c r="P142" s="286"/>
      <c r="Q142" s="286"/>
      <c r="R142" s="2188"/>
      <c r="S142" s="842"/>
      <c r="T142" s="286">
        <v>10</v>
      </c>
      <c r="U142" s="2188"/>
      <c r="V142" s="842"/>
      <c r="W142" s="286"/>
      <c r="X142" s="286"/>
      <c r="Y142" s="926"/>
      <c r="Z142" s="699"/>
      <c r="AA142" s="2187"/>
      <c r="AB142" s="699"/>
      <c r="AC142" s="699"/>
      <c r="AD142" s="926"/>
      <c r="AE142" s="2187"/>
      <c r="AF142" s="699"/>
      <c r="AG142" s="699"/>
      <c r="AH142" s="699"/>
      <c r="AI142" s="926"/>
      <c r="AJ142" s="699"/>
      <c r="AK142" s="2187"/>
      <c r="AL142" s="699"/>
      <c r="AM142" s="699"/>
      <c r="AN142" s="699"/>
      <c r="AO142" s="699"/>
      <c r="AP142" s="2188"/>
      <c r="AQ142" s="286"/>
      <c r="AR142" s="842"/>
      <c r="AS142" s="286"/>
      <c r="AT142" s="286"/>
      <c r="AU142" s="2188">
        <v>20</v>
      </c>
      <c r="AV142" s="286"/>
      <c r="AW142" s="842"/>
      <c r="AX142" s="286"/>
      <c r="AY142" s="286"/>
      <c r="AZ142" s="2188"/>
      <c r="BA142" s="842"/>
      <c r="BB142" s="286"/>
      <c r="BC142" s="286"/>
      <c r="BD142" s="2188"/>
      <c r="BE142" s="842"/>
      <c r="BF142" s="286"/>
      <c r="BG142" s="286"/>
      <c r="BH142" s="843"/>
      <c r="BI142" s="2188"/>
      <c r="BJ142" s="842"/>
      <c r="BK142" s="286"/>
      <c r="BL142" s="286"/>
      <c r="BM142" s="843"/>
      <c r="BN142" s="286"/>
      <c r="BO142" s="286"/>
      <c r="BP142" s="2188"/>
      <c r="BQ142" s="286"/>
      <c r="BR142" s="842"/>
      <c r="BS142" s="286">
        <v>20</v>
      </c>
      <c r="BT142" s="286"/>
      <c r="BU142" s="2188"/>
      <c r="BV142" s="286"/>
      <c r="BW142" s="286"/>
      <c r="BX142" s="842"/>
      <c r="BY142" s="286"/>
      <c r="BZ142" s="286"/>
      <c r="CA142" s="286"/>
      <c r="CB142" s="2188"/>
      <c r="CC142" s="286"/>
      <c r="CD142" s="842"/>
      <c r="CE142" s="286"/>
      <c r="CF142" s="286"/>
      <c r="CG142" s="2188"/>
      <c r="CH142" s="286"/>
      <c r="CI142" s="842"/>
      <c r="CJ142" s="286"/>
      <c r="CK142" s="286"/>
      <c r="CL142" s="286"/>
      <c r="CM142" s="286"/>
      <c r="CN142" s="2188"/>
      <c r="CO142" s="842"/>
      <c r="CP142" s="286"/>
      <c r="CQ142" s="286"/>
      <c r="CR142" s="2188"/>
      <c r="CS142" s="286"/>
      <c r="CT142" s="842"/>
      <c r="CU142" s="286"/>
      <c r="CV142" s="286"/>
      <c r="CW142" s="2188"/>
      <c r="CX142" s="286"/>
      <c r="CY142" s="842"/>
      <c r="CZ142" s="286"/>
      <c r="DA142" s="2188"/>
      <c r="DB142" s="286"/>
      <c r="DC142" s="842"/>
      <c r="DD142" s="286"/>
      <c r="DE142" s="842"/>
      <c r="DF142" s="838">
        <f>IFERROR(VLOOKUP(G142,Personalización!$F$18:$H$21,3,0),IFERROR(VLOOKUP(G142,Personalización!$I$18:$K$21,3,0),IFERROR(VLOOKUP(G142,Personalización!$L$18:$N$21,3,0),IFERROR(VLOOKUP(G142,Personalización!$O$18:$Q$20,3,0),0))))</f>
        <v>0</v>
      </c>
    </row>
    <row r="143" spans="1:110" ht="12.75" customHeight="1">
      <c r="A143" s="219">
        <v>143</v>
      </c>
      <c r="B143" s="7145"/>
      <c r="C143" s="511" t="s">
        <v>5883</v>
      </c>
      <c r="D143" s="512"/>
      <c r="F143" s="2224">
        <v>3</v>
      </c>
      <c r="G143" s="307" t="s">
        <v>1265</v>
      </c>
      <c r="H143" s="2188">
        <v>30</v>
      </c>
      <c r="I143" s="286"/>
      <c r="J143" s="842"/>
      <c r="K143" s="286"/>
      <c r="L143" s="286"/>
      <c r="M143" s="2188">
        <v>20</v>
      </c>
      <c r="N143" s="286">
        <v>20</v>
      </c>
      <c r="O143" s="842">
        <v>20</v>
      </c>
      <c r="P143" s="286">
        <v>20</v>
      </c>
      <c r="Q143" s="286">
        <v>20</v>
      </c>
      <c r="R143" s="2188">
        <v>20</v>
      </c>
      <c r="S143" s="842">
        <v>20</v>
      </c>
      <c r="T143" s="286">
        <v>30</v>
      </c>
      <c r="U143" s="2188"/>
      <c r="V143" s="842"/>
      <c r="W143" s="286">
        <v>20</v>
      </c>
      <c r="X143" s="286">
        <v>20</v>
      </c>
      <c r="Y143" s="926">
        <v>20</v>
      </c>
      <c r="Z143" s="699"/>
      <c r="AA143" s="2187"/>
      <c r="AB143" s="699">
        <v>20</v>
      </c>
      <c r="AC143" s="699"/>
      <c r="AD143" s="926">
        <v>20</v>
      </c>
      <c r="AE143" s="2187">
        <v>20</v>
      </c>
      <c r="AF143" s="699">
        <v>30</v>
      </c>
      <c r="AG143" s="699">
        <v>20</v>
      </c>
      <c r="AH143" s="699">
        <v>20</v>
      </c>
      <c r="AI143" s="926">
        <v>20</v>
      </c>
      <c r="AJ143" s="699">
        <v>20</v>
      </c>
      <c r="AK143" s="2187">
        <v>20</v>
      </c>
      <c r="AL143" s="699">
        <v>20</v>
      </c>
      <c r="AM143" s="699">
        <v>20</v>
      </c>
      <c r="AN143" s="699">
        <v>20</v>
      </c>
      <c r="AO143" s="699">
        <v>20</v>
      </c>
      <c r="AP143" s="2188"/>
      <c r="AQ143" s="286"/>
      <c r="AR143" s="842"/>
      <c r="AS143" s="286"/>
      <c r="AT143" s="286"/>
      <c r="AU143" s="2188">
        <v>20</v>
      </c>
      <c r="AV143" s="286"/>
      <c r="AW143" s="842"/>
      <c r="AX143" s="286">
        <v>20</v>
      </c>
      <c r="AY143" s="286"/>
      <c r="AZ143" s="2188"/>
      <c r="BA143" s="842"/>
      <c r="BB143" s="286">
        <v>20</v>
      </c>
      <c r="BC143" s="286">
        <v>20</v>
      </c>
      <c r="BD143" s="2188">
        <v>20</v>
      </c>
      <c r="BE143" s="842"/>
      <c r="BF143" s="286">
        <v>20</v>
      </c>
      <c r="BG143" s="286"/>
      <c r="BH143" s="843">
        <v>30</v>
      </c>
      <c r="BI143" s="2188">
        <v>20</v>
      </c>
      <c r="BJ143" s="842"/>
      <c r="BK143" s="286">
        <v>20</v>
      </c>
      <c r="BL143" s="286">
        <v>20</v>
      </c>
      <c r="BM143" s="843">
        <v>40</v>
      </c>
      <c r="BN143" s="286"/>
      <c r="BO143" s="286">
        <v>20</v>
      </c>
      <c r="BP143" s="2188">
        <v>30</v>
      </c>
      <c r="BQ143" s="286">
        <v>20</v>
      </c>
      <c r="BR143" s="842">
        <v>20</v>
      </c>
      <c r="BS143" s="286">
        <v>20</v>
      </c>
      <c r="BT143" s="286"/>
      <c r="BU143" s="2188">
        <v>30</v>
      </c>
      <c r="BV143" s="286">
        <v>20</v>
      </c>
      <c r="BW143" s="286"/>
      <c r="BX143" s="842"/>
      <c r="BY143" s="286">
        <v>20</v>
      </c>
      <c r="BZ143" s="286">
        <v>20</v>
      </c>
      <c r="CA143" s="286">
        <v>20</v>
      </c>
      <c r="CB143" s="2188">
        <v>20</v>
      </c>
      <c r="CC143" s="286"/>
      <c r="CD143" s="842"/>
      <c r="CE143" s="286">
        <v>20</v>
      </c>
      <c r="CF143" s="286">
        <v>20</v>
      </c>
      <c r="CG143" s="2188">
        <v>30</v>
      </c>
      <c r="CH143" s="286">
        <v>30</v>
      </c>
      <c r="CI143" s="842"/>
      <c r="CJ143" s="286">
        <v>30</v>
      </c>
      <c r="CK143" s="286">
        <v>30</v>
      </c>
      <c r="CL143" s="286"/>
      <c r="CM143" s="286"/>
      <c r="CN143" s="2188">
        <v>20</v>
      </c>
      <c r="CO143" s="842"/>
      <c r="CP143" s="286">
        <v>20</v>
      </c>
      <c r="CQ143" s="286">
        <v>20</v>
      </c>
      <c r="CR143" s="2188">
        <v>20</v>
      </c>
      <c r="CS143" s="286"/>
      <c r="CT143" s="842"/>
      <c r="CU143" s="286">
        <v>20</v>
      </c>
      <c r="CV143" s="286">
        <v>20</v>
      </c>
      <c r="CW143" s="2188">
        <v>20</v>
      </c>
      <c r="CX143" s="286">
        <v>20</v>
      </c>
      <c r="CY143" s="842">
        <v>20</v>
      </c>
      <c r="CZ143" s="286">
        <v>20</v>
      </c>
      <c r="DA143" s="2188">
        <v>20</v>
      </c>
      <c r="DB143" s="286"/>
      <c r="DC143" s="842"/>
      <c r="DD143" s="286">
        <v>30</v>
      </c>
      <c r="DE143" s="842">
        <v>20</v>
      </c>
      <c r="DF143" s="838">
        <f>IFERROR(VLOOKUP(G143,Personalización!$F$18:$H$21,3,0),IFERROR(VLOOKUP(G143,Personalización!$I$18:$K$21,3,0),IFERROR(VLOOKUP(G143,Personalización!$L$18:$N$21,3,0),IFERROR(VLOOKUP(G143,Personalización!$O$18:$Q$20,3,0),0))))</f>
        <v>0</v>
      </c>
    </row>
    <row r="144" spans="1:110" ht="12.75" customHeight="1">
      <c r="A144" s="219">
        <v>144</v>
      </c>
      <c r="B144" s="7145"/>
      <c r="C144" s="511" t="s">
        <v>5884</v>
      </c>
      <c r="D144" s="512"/>
      <c r="F144" s="2224">
        <v>4</v>
      </c>
      <c r="G144" s="307" t="s">
        <v>1268</v>
      </c>
      <c r="H144" s="2188">
        <v>20</v>
      </c>
      <c r="I144" s="286">
        <v>20</v>
      </c>
      <c r="J144" s="842">
        <v>20</v>
      </c>
      <c r="K144" s="286"/>
      <c r="L144" s="286"/>
      <c r="M144" s="2188">
        <v>40</v>
      </c>
      <c r="N144" s="286">
        <v>40</v>
      </c>
      <c r="O144" s="842">
        <v>40</v>
      </c>
      <c r="P144" s="286">
        <v>20</v>
      </c>
      <c r="Q144" s="286">
        <v>20</v>
      </c>
      <c r="R144" s="2188"/>
      <c r="S144" s="842"/>
      <c r="T144" s="286"/>
      <c r="U144" s="2188">
        <v>10</v>
      </c>
      <c r="V144" s="842">
        <v>20</v>
      </c>
      <c r="W144" s="286">
        <v>20</v>
      </c>
      <c r="X144" s="286">
        <v>20</v>
      </c>
      <c r="Y144" s="926">
        <v>20</v>
      </c>
      <c r="Z144" s="699">
        <v>20</v>
      </c>
      <c r="AA144" s="2187">
        <v>20</v>
      </c>
      <c r="AB144" s="699"/>
      <c r="AC144" s="699">
        <v>20</v>
      </c>
      <c r="AD144" s="926">
        <v>30</v>
      </c>
      <c r="AE144" s="2187">
        <v>30</v>
      </c>
      <c r="AF144" s="699">
        <v>20</v>
      </c>
      <c r="AG144" s="699">
        <v>20</v>
      </c>
      <c r="AH144" s="699">
        <v>20</v>
      </c>
      <c r="AI144" s="926"/>
      <c r="AJ144" s="699"/>
      <c r="AK144" s="2187"/>
      <c r="AL144" s="699">
        <v>20</v>
      </c>
      <c r="AM144" s="699">
        <v>20</v>
      </c>
      <c r="AN144" s="699"/>
      <c r="AO144" s="699">
        <v>20</v>
      </c>
      <c r="AP144" s="2188">
        <v>20</v>
      </c>
      <c r="AQ144" s="286">
        <v>20</v>
      </c>
      <c r="AR144" s="842">
        <v>20</v>
      </c>
      <c r="AS144" s="286"/>
      <c r="AT144" s="286"/>
      <c r="AU144" s="2188">
        <v>20</v>
      </c>
      <c r="AV144" s="286">
        <v>20</v>
      </c>
      <c r="AW144" s="842">
        <v>20</v>
      </c>
      <c r="AX144" s="286">
        <v>20</v>
      </c>
      <c r="AY144" s="286">
        <v>20</v>
      </c>
      <c r="AZ144" s="2188"/>
      <c r="BA144" s="842"/>
      <c r="BB144" s="286">
        <v>20</v>
      </c>
      <c r="BC144" s="286">
        <v>20</v>
      </c>
      <c r="BD144" s="2188">
        <v>20</v>
      </c>
      <c r="BE144" s="842">
        <v>20</v>
      </c>
      <c r="BF144" s="286"/>
      <c r="BG144" s="286">
        <v>20</v>
      </c>
      <c r="BH144" s="843">
        <v>20</v>
      </c>
      <c r="BI144" s="2188"/>
      <c r="BJ144" s="842"/>
      <c r="BK144" s="286">
        <v>20</v>
      </c>
      <c r="BL144" s="286">
        <v>20</v>
      </c>
      <c r="BM144" s="843"/>
      <c r="BN144" s="286"/>
      <c r="BO144" s="286"/>
      <c r="BP144" s="2188"/>
      <c r="BQ144" s="286"/>
      <c r="BR144" s="842">
        <v>20</v>
      </c>
      <c r="BS144" s="286"/>
      <c r="BT144" s="286">
        <v>20</v>
      </c>
      <c r="BU144" s="2188">
        <v>30</v>
      </c>
      <c r="BV144" s="286"/>
      <c r="BW144" s="286">
        <v>20</v>
      </c>
      <c r="BX144" s="842">
        <v>20</v>
      </c>
      <c r="BY144" s="286">
        <v>20</v>
      </c>
      <c r="BZ144" s="286">
        <v>20</v>
      </c>
      <c r="CA144" s="286">
        <v>20</v>
      </c>
      <c r="CB144" s="2188">
        <v>20</v>
      </c>
      <c r="CC144" s="286">
        <v>20</v>
      </c>
      <c r="CD144" s="842">
        <v>20</v>
      </c>
      <c r="CE144" s="286"/>
      <c r="CF144" s="286">
        <v>20</v>
      </c>
      <c r="CG144" s="2188"/>
      <c r="CH144" s="286">
        <v>30</v>
      </c>
      <c r="CI144" s="842">
        <v>20</v>
      </c>
      <c r="CJ144" s="286"/>
      <c r="CK144" s="286"/>
      <c r="CL144" s="286">
        <v>20</v>
      </c>
      <c r="CM144" s="286">
        <v>20</v>
      </c>
      <c r="CN144" s="2188"/>
      <c r="CO144" s="842">
        <v>20</v>
      </c>
      <c r="CP144" s="286"/>
      <c r="CQ144" s="286"/>
      <c r="CR144" s="2188"/>
      <c r="CS144" s="286"/>
      <c r="CT144" s="842">
        <v>20</v>
      </c>
      <c r="CU144" s="286"/>
      <c r="CV144" s="286"/>
      <c r="CW144" s="2188"/>
      <c r="CX144" s="286"/>
      <c r="CY144" s="842"/>
      <c r="CZ144" s="286"/>
      <c r="DA144" s="2188"/>
      <c r="DB144" s="286">
        <v>20</v>
      </c>
      <c r="DC144" s="842">
        <v>20</v>
      </c>
      <c r="DD144" s="286"/>
      <c r="DE144" s="842"/>
      <c r="DF144" s="838">
        <f>IFERROR(VLOOKUP(G144,Personalización!$F$18:$H$21,3,0),IFERROR(VLOOKUP(G144,Personalización!$I$18:$K$21,3,0),IFERROR(VLOOKUP(G144,Personalización!$L$18:$N$21,3,0),IFERROR(VLOOKUP(G144,Personalización!$O$18:$Q$20,3,0),0))))</f>
        <v>0</v>
      </c>
    </row>
    <row r="145" spans="1:110" ht="12.75" customHeight="1">
      <c r="A145" s="219">
        <v>145</v>
      </c>
      <c r="B145" s="7145"/>
      <c r="C145" s="511" t="s">
        <v>5885</v>
      </c>
      <c r="D145" s="512"/>
      <c r="F145" s="2224">
        <v>5</v>
      </c>
      <c r="G145" s="307" t="s">
        <v>1272</v>
      </c>
      <c r="H145" s="2188">
        <v>20</v>
      </c>
      <c r="I145" s="286">
        <v>20</v>
      </c>
      <c r="J145" s="842"/>
      <c r="K145" s="286"/>
      <c r="L145" s="286"/>
      <c r="M145" s="2188">
        <v>20</v>
      </c>
      <c r="N145" s="286"/>
      <c r="O145" s="842">
        <v>20</v>
      </c>
      <c r="P145" s="286"/>
      <c r="Q145" s="286"/>
      <c r="R145" s="2188"/>
      <c r="S145" s="842"/>
      <c r="T145" s="286"/>
      <c r="U145" s="2188">
        <v>20</v>
      </c>
      <c r="V145" s="842">
        <v>20</v>
      </c>
      <c r="W145" s="286">
        <v>30</v>
      </c>
      <c r="X145" s="286"/>
      <c r="Y145" s="926"/>
      <c r="Z145" s="699"/>
      <c r="AA145" s="2187"/>
      <c r="AB145" s="699">
        <v>20</v>
      </c>
      <c r="AC145" s="699">
        <v>20</v>
      </c>
      <c r="AD145" s="926">
        <v>10</v>
      </c>
      <c r="AE145" s="2187"/>
      <c r="AF145" s="699">
        <v>20</v>
      </c>
      <c r="AG145" s="699">
        <v>20</v>
      </c>
      <c r="AH145" s="699">
        <v>20</v>
      </c>
      <c r="AI145" s="926"/>
      <c r="AJ145" s="699">
        <v>20</v>
      </c>
      <c r="AK145" s="2187"/>
      <c r="AL145" s="699"/>
      <c r="AM145" s="699"/>
      <c r="AN145" s="699">
        <v>20</v>
      </c>
      <c r="AO145" s="699"/>
      <c r="AP145" s="2188"/>
      <c r="AQ145" s="286"/>
      <c r="AR145" s="842"/>
      <c r="AS145" s="286">
        <v>20</v>
      </c>
      <c r="AT145" s="286">
        <v>20</v>
      </c>
      <c r="AU145" s="2188">
        <v>20</v>
      </c>
      <c r="AV145" s="286"/>
      <c r="AW145" s="842"/>
      <c r="AX145" s="286">
        <v>20</v>
      </c>
      <c r="AY145" s="286"/>
      <c r="AZ145" s="2188">
        <v>20</v>
      </c>
      <c r="BA145" s="842"/>
      <c r="BB145" s="286"/>
      <c r="BC145" s="286"/>
      <c r="BD145" s="2188"/>
      <c r="BE145" s="842"/>
      <c r="BF145" s="286"/>
      <c r="BG145" s="286"/>
      <c r="BH145" s="843"/>
      <c r="BI145" s="2188"/>
      <c r="BJ145" s="842">
        <v>20</v>
      </c>
      <c r="BK145" s="286"/>
      <c r="BL145" s="286"/>
      <c r="BM145" s="843">
        <v>10</v>
      </c>
      <c r="BN145" s="286">
        <v>20</v>
      </c>
      <c r="BO145" s="286">
        <v>20</v>
      </c>
      <c r="BP145" s="2188">
        <v>20</v>
      </c>
      <c r="BQ145" s="286">
        <v>20</v>
      </c>
      <c r="BR145" s="842">
        <v>20</v>
      </c>
      <c r="BS145" s="286">
        <v>20</v>
      </c>
      <c r="BT145" s="286"/>
      <c r="BU145" s="2188">
        <v>20</v>
      </c>
      <c r="BV145" s="286">
        <v>20</v>
      </c>
      <c r="BW145" s="286">
        <v>20</v>
      </c>
      <c r="BX145" s="842"/>
      <c r="BY145" s="286"/>
      <c r="BZ145" s="286"/>
      <c r="CA145" s="286"/>
      <c r="CB145" s="2188">
        <v>30</v>
      </c>
      <c r="CC145" s="286">
        <v>30</v>
      </c>
      <c r="CD145" s="842">
        <v>30</v>
      </c>
      <c r="CE145" s="286"/>
      <c r="CF145" s="286"/>
      <c r="CG145" s="2188"/>
      <c r="CH145" s="286"/>
      <c r="CI145" s="842"/>
      <c r="CJ145" s="286"/>
      <c r="CK145" s="286"/>
      <c r="CL145" s="286"/>
      <c r="CM145" s="286"/>
      <c r="CN145" s="2188">
        <v>20</v>
      </c>
      <c r="CO145" s="842">
        <v>20</v>
      </c>
      <c r="CP145" s="286"/>
      <c r="CQ145" s="286"/>
      <c r="CR145" s="2188"/>
      <c r="CS145" s="286"/>
      <c r="CT145" s="842"/>
      <c r="CU145" s="286"/>
      <c r="CV145" s="286"/>
      <c r="CW145" s="2188"/>
      <c r="CX145" s="286"/>
      <c r="CY145" s="842"/>
      <c r="CZ145" s="286"/>
      <c r="DA145" s="2188">
        <v>20</v>
      </c>
      <c r="DB145" s="286">
        <v>20</v>
      </c>
      <c r="DC145" s="842"/>
      <c r="DD145" s="286"/>
      <c r="DE145" s="842"/>
      <c r="DF145" s="838">
        <f>IFERROR(VLOOKUP(G145,Personalización!$F$18:$H$21,3,0),IFERROR(VLOOKUP(G145,Personalización!$I$18:$K$21,3,0),IFERROR(VLOOKUP(G145,Personalización!$L$18:$N$21,3,0),IFERROR(VLOOKUP(G145,Personalización!$O$18:$Q$20,3,0),0))))</f>
        <v>0</v>
      </c>
    </row>
    <row r="146" spans="1:110" ht="12.75" customHeight="1">
      <c r="A146" s="219">
        <v>146</v>
      </c>
      <c r="B146" s="7145"/>
      <c r="C146" s="511" t="s">
        <v>5886</v>
      </c>
      <c r="D146" s="512"/>
      <c r="F146" s="2224">
        <v>6</v>
      </c>
      <c r="G146" s="307" t="s">
        <v>1275</v>
      </c>
      <c r="H146" s="2188"/>
      <c r="I146" s="286"/>
      <c r="J146" s="842"/>
      <c r="K146" s="286"/>
      <c r="L146" s="286"/>
      <c r="M146" s="2188">
        <v>20</v>
      </c>
      <c r="N146" s="286">
        <v>20</v>
      </c>
      <c r="O146" s="842">
        <v>20</v>
      </c>
      <c r="P146" s="286"/>
      <c r="Q146" s="286"/>
      <c r="R146" s="2188">
        <v>20</v>
      </c>
      <c r="S146" s="842">
        <v>20</v>
      </c>
      <c r="T146" s="286">
        <v>20</v>
      </c>
      <c r="U146" s="2188"/>
      <c r="V146" s="842"/>
      <c r="W146" s="286"/>
      <c r="X146" s="286"/>
      <c r="Y146" s="926">
        <v>20</v>
      </c>
      <c r="Z146" s="699"/>
      <c r="AA146" s="2187"/>
      <c r="AB146" s="699"/>
      <c r="AC146" s="699"/>
      <c r="AD146" s="926"/>
      <c r="AE146" s="2187"/>
      <c r="AF146" s="699"/>
      <c r="AG146" s="699"/>
      <c r="AH146" s="699"/>
      <c r="AI146" s="926">
        <v>20</v>
      </c>
      <c r="AJ146" s="699">
        <v>20</v>
      </c>
      <c r="AK146" s="2187"/>
      <c r="AL146" s="699"/>
      <c r="AM146" s="699"/>
      <c r="AN146" s="699"/>
      <c r="AO146" s="699"/>
      <c r="AP146" s="2188">
        <v>20</v>
      </c>
      <c r="AQ146" s="286">
        <v>20</v>
      </c>
      <c r="AR146" s="842"/>
      <c r="AS146" s="286"/>
      <c r="AT146" s="286"/>
      <c r="AU146" s="2188"/>
      <c r="AV146" s="286"/>
      <c r="AW146" s="842"/>
      <c r="AX146" s="286"/>
      <c r="AY146" s="286"/>
      <c r="AZ146" s="2188"/>
      <c r="BA146" s="842"/>
      <c r="BB146" s="286">
        <v>20</v>
      </c>
      <c r="BC146" s="286"/>
      <c r="BD146" s="2188">
        <v>20</v>
      </c>
      <c r="BE146" s="842"/>
      <c r="BF146" s="286"/>
      <c r="BG146" s="286"/>
      <c r="BH146" s="843"/>
      <c r="BI146" s="2188">
        <v>20</v>
      </c>
      <c r="BJ146" s="842">
        <v>10</v>
      </c>
      <c r="BK146" s="286"/>
      <c r="BL146" s="286"/>
      <c r="BM146" s="843"/>
      <c r="BN146" s="286"/>
      <c r="BO146" s="286">
        <v>20</v>
      </c>
      <c r="BP146" s="2188">
        <v>20</v>
      </c>
      <c r="BQ146" s="286"/>
      <c r="BR146" s="842"/>
      <c r="BS146" s="286">
        <v>20</v>
      </c>
      <c r="BT146" s="286"/>
      <c r="BU146" s="2188"/>
      <c r="BV146" s="286">
        <v>20</v>
      </c>
      <c r="BW146" s="286"/>
      <c r="BX146" s="842"/>
      <c r="BY146" s="286"/>
      <c r="BZ146" s="286">
        <v>20</v>
      </c>
      <c r="CA146" s="286"/>
      <c r="CB146" s="2188"/>
      <c r="CC146" s="286"/>
      <c r="CD146" s="842"/>
      <c r="CE146" s="286">
        <v>20</v>
      </c>
      <c r="CF146" s="286"/>
      <c r="CG146" s="2188">
        <v>20</v>
      </c>
      <c r="CH146" s="286"/>
      <c r="CI146" s="842"/>
      <c r="CJ146" s="286"/>
      <c r="CK146" s="286"/>
      <c r="CL146" s="286"/>
      <c r="CM146" s="286"/>
      <c r="CN146" s="2188"/>
      <c r="CO146" s="842"/>
      <c r="CP146" s="286">
        <v>20</v>
      </c>
      <c r="CQ146" s="286"/>
      <c r="CR146" s="2188"/>
      <c r="CS146" s="286"/>
      <c r="CT146" s="842"/>
      <c r="CU146" s="286">
        <v>20</v>
      </c>
      <c r="CV146" s="286"/>
      <c r="CW146" s="2188">
        <v>20</v>
      </c>
      <c r="CX146" s="286"/>
      <c r="CY146" s="842"/>
      <c r="CZ146" s="286">
        <v>20</v>
      </c>
      <c r="DA146" s="2188">
        <v>20</v>
      </c>
      <c r="DB146" s="286"/>
      <c r="DC146" s="842"/>
      <c r="DD146" s="286">
        <v>20</v>
      </c>
      <c r="DE146" s="842"/>
      <c r="DF146" s="838">
        <f>IFERROR(VLOOKUP(G146,Personalización!$F$18:$H$21,3,0),IFERROR(VLOOKUP(G146,Personalización!$I$18:$K$21,3,0),IFERROR(VLOOKUP(G146,Personalización!$L$18:$N$21,3,0),IFERROR(VLOOKUP(G146,Personalización!$O$18:$Q$20,3,0),0))))</f>
        <v>0</v>
      </c>
    </row>
    <row r="147" spans="1:110" ht="12.75" customHeight="1">
      <c r="A147" s="219">
        <v>147</v>
      </c>
      <c r="B147" s="7145"/>
      <c r="C147" s="511" t="s">
        <v>5887</v>
      </c>
      <c r="D147" s="512"/>
      <c r="F147" s="2224">
        <v>7</v>
      </c>
      <c r="G147" s="307" t="s">
        <v>1278</v>
      </c>
      <c r="H147" s="2188"/>
      <c r="I147" s="286"/>
      <c r="J147" s="842"/>
      <c r="K147" s="286"/>
      <c r="L147" s="286"/>
      <c r="M147" s="2188"/>
      <c r="N147" s="286"/>
      <c r="O147" s="842"/>
      <c r="P147" s="286"/>
      <c r="Q147" s="286"/>
      <c r="R147" s="2188"/>
      <c r="S147" s="842"/>
      <c r="T147" s="286"/>
      <c r="U147" s="2188"/>
      <c r="V147" s="842"/>
      <c r="W147" s="286"/>
      <c r="X147" s="286"/>
      <c r="Y147" s="926"/>
      <c r="Z147" s="699"/>
      <c r="AA147" s="2187"/>
      <c r="AB147" s="699">
        <v>20</v>
      </c>
      <c r="AC147" s="699"/>
      <c r="AD147" s="926"/>
      <c r="AE147" s="2187"/>
      <c r="AF147" s="699"/>
      <c r="AG147" s="699"/>
      <c r="AH147" s="699"/>
      <c r="AI147" s="926"/>
      <c r="AJ147" s="699"/>
      <c r="AK147" s="2187"/>
      <c r="AL147" s="699"/>
      <c r="AM147" s="699"/>
      <c r="AN147" s="699"/>
      <c r="AO147" s="699"/>
      <c r="AP147" s="2188"/>
      <c r="AQ147" s="286"/>
      <c r="AR147" s="842"/>
      <c r="AS147" s="286"/>
      <c r="AT147" s="286"/>
      <c r="AU147" s="2188"/>
      <c r="AV147" s="286"/>
      <c r="AW147" s="842"/>
      <c r="AX147" s="286"/>
      <c r="AY147" s="286"/>
      <c r="AZ147" s="2188"/>
      <c r="BA147" s="842"/>
      <c r="BB147" s="286"/>
      <c r="BC147" s="286"/>
      <c r="BD147" s="2188"/>
      <c r="BE147" s="842"/>
      <c r="BF147" s="286"/>
      <c r="BG147" s="286"/>
      <c r="BH147" s="843"/>
      <c r="BI147" s="2188"/>
      <c r="BJ147" s="842"/>
      <c r="BK147" s="286"/>
      <c r="BL147" s="286"/>
      <c r="BM147" s="843"/>
      <c r="BN147" s="286"/>
      <c r="BO147" s="286"/>
      <c r="BP147" s="2188"/>
      <c r="BQ147" s="286"/>
      <c r="BR147" s="842"/>
      <c r="BS147" s="286"/>
      <c r="BT147" s="286"/>
      <c r="BU147" s="2188"/>
      <c r="BV147" s="286">
        <v>20</v>
      </c>
      <c r="BW147" s="286"/>
      <c r="BX147" s="842"/>
      <c r="BY147" s="286"/>
      <c r="BZ147" s="286">
        <v>20</v>
      </c>
      <c r="CA147" s="286"/>
      <c r="CB147" s="2188"/>
      <c r="CC147" s="286"/>
      <c r="CD147" s="842"/>
      <c r="CE147" s="286"/>
      <c r="CF147" s="286"/>
      <c r="CG147" s="2188">
        <v>20</v>
      </c>
      <c r="CH147" s="286"/>
      <c r="CI147" s="842"/>
      <c r="CJ147" s="286"/>
      <c r="CK147" s="286"/>
      <c r="CL147" s="286"/>
      <c r="CM147" s="286"/>
      <c r="CN147" s="2188"/>
      <c r="CO147" s="842"/>
      <c r="CP147" s="286"/>
      <c r="CQ147" s="286"/>
      <c r="CR147" s="2188"/>
      <c r="CS147" s="286"/>
      <c r="CT147" s="842"/>
      <c r="CU147" s="286"/>
      <c r="CV147" s="286"/>
      <c r="CW147" s="2188"/>
      <c r="CX147" s="286"/>
      <c r="CY147" s="842"/>
      <c r="CZ147" s="286"/>
      <c r="DA147" s="2188">
        <v>20</v>
      </c>
      <c r="DB147" s="286"/>
      <c r="DC147" s="842"/>
      <c r="DD147" s="286">
        <v>20</v>
      </c>
      <c r="DE147" s="842"/>
      <c r="DF147" s="838">
        <f>IFERROR(VLOOKUP(G147,Personalización!$F$18:$H$21,3,0),IFERROR(VLOOKUP(G147,Personalización!$I$18:$K$21,3,0),IFERROR(VLOOKUP(G147,Personalización!$L$18:$N$21,3,0),IFERROR(VLOOKUP(G147,Personalización!$O$18:$Q$20,3,0),0))))</f>
        <v>0</v>
      </c>
    </row>
    <row r="148" spans="1:110" ht="12.75" customHeight="1">
      <c r="A148" s="219">
        <v>148</v>
      </c>
      <c r="B148" s="7145"/>
      <c r="C148" s="511" t="s">
        <v>5929</v>
      </c>
      <c r="D148" s="512"/>
      <c r="F148" s="2224">
        <v>8</v>
      </c>
      <c r="G148" s="307" t="s">
        <v>5858</v>
      </c>
      <c r="H148" s="2188"/>
      <c r="I148" s="286"/>
      <c r="J148" s="842"/>
      <c r="K148" s="286"/>
      <c r="L148" s="286"/>
      <c r="M148" s="2188"/>
      <c r="N148" s="286"/>
      <c r="O148" s="842"/>
      <c r="P148" s="286"/>
      <c r="Q148" s="286"/>
      <c r="R148" s="2188"/>
      <c r="S148" s="842"/>
      <c r="T148" s="286"/>
      <c r="U148" s="2188"/>
      <c r="V148" s="842"/>
      <c r="W148" s="286"/>
      <c r="X148" s="286"/>
      <c r="Y148" s="926"/>
      <c r="Z148" s="699"/>
      <c r="AA148" s="2187"/>
      <c r="AB148" s="699"/>
      <c r="AC148" s="699"/>
      <c r="AD148" s="926"/>
      <c r="AE148" s="2187"/>
      <c r="AF148" s="699"/>
      <c r="AG148" s="699"/>
      <c r="AH148" s="699"/>
      <c r="AI148" s="926"/>
      <c r="AJ148" s="699"/>
      <c r="AK148" s="2187"/>
      <c r="AL148" s="699"/>
      <c r="AM148" s="699"/>
      <c r="AN148" s="699"/>
      <c r="AO148" s="699"/>
      <c r="AP148" s="2188"/>
      <c r="AQ148" s="286"/>
      <c r="AR148" s="842"/>
      <c r="AS148" s="286"/>
      <c r="AT148" s="286"/>
      <c r="AU148" s="2188"/>
      <c r="AV148" s="286"/>
      <c r="AW148" s="842"/>
      <c r="AX148" s="286"/>
      <c r="AY148" s="286"/>
      <c r="AZ148" s="2188"/>
      <c r="BA148" s="842"/>
      <c r="BB148" s="286"/>
      <c r="BC148" s="286"/>
      <c r="BD148" s="2188"/>
      <c r="BE148" s="842"/>
      <c r="BF148" s="286"/>
      <c r="BG148" s="286"/>
      <c r="BH148" s="843"/>
      <c r="BI148" s="2188"/>
      <c r="BJ148" s="842"/>
      <c r="BK148" s="286"/>
      <c r="BL148" s="286"/>
      <c r="BM148" s="843"/>
      <c r="BN148" s="286"/>
      <c r="BO148" s="286"/>
      <c r="BP148" s="2188"/>
      <c r="BQ148" s="286"/>
      <c r="BR148" s="842"/>
      <c r="BS148" s="286"/>
      <c r="BT148" s="286"/>
      <c r="BU148" s="2188"/>
      <c r="BV148" s="286"/>
      <c r="BW148" s="286"/>
      <c r="BX148" s="842"/>
      <c r="BY148" s="286"/>
      <c r="BZ148" s="286"/>
      <c r="CA148" s="286"/>
      <c r="CB148" s="2188"/>
      <c r="CC148" s="286"/>
      <c r="CD148" s="842"/>
      <c r="CE148" s="286"/>
      <c r="CF148" s="286"/>
      <c r="CG148" s="2188"/>
      <c r="CH148" s="286"/>
      <c r="CI148" s="842"/>
      <c r="CJ148" s="286"/>
      <c r="CK148" s="286"/>
      <c r="CL148" s="286"/>
      <c r="CM148" s="286"/>
      <c r="CN148" s="2188"/>
      <c r="CO148" s="842"/>
      <c r="CP148" s="286"/>
      <c r="CQ148" s="286"/>
      <c r="CR148" s="2188"/>
      <c r="CS148" s="286"/>
      <c r="CT148" s="842"/>
      <c r="CU148" s="286"/>
      <c r="CV148" s="286"/>
      <c r="CW148" s="2188"/>
      <c r="CX148" s="286"/>
      <c r="CY148" s="842"/>
      <c r="CZ148" s="286"/>
      <c r="DA148" s="2188"/>
      <c r="DB148" s="286"/>
      <c r="DC148" s="842"/>
      <c r="DD148" s="286"/>
      <c r="DE148" s="842"/>
      <c r="DF148" s="838">
        <f>IFERROR(VLOOKUP(G148,Personalización!$F$18:$H$21,3,0),IFERROR(VLOOKUP(G148,Personalización!$I$18:$K$21,3,0),IFERROR(VLOOKUP(G148,Personalización!$L$18:$N$21,3,0),IFERROR(VLOOKUP(G148,Personalización!$O$18:$Q$20,3,0),0))))</f>
        <v>0</v>
      </c>
    </row>
    <row r="149" spans="1:110" ht="12.75" customHeight="1">
      <c r="A149" s="219">
        <v>149</v>
      </c>
      <c r="B149" s="7145"/>
      <c r="C149" s="511" t="s">
        <v>5888</v>
      </c>
      <c r="D149" s="512"/>
      <c r="F149" s="2224">
        <v>9</v>
      </c>
      <c r="G149" s="307" t="s">
        <v>1282</v>
      </c>
      <c r="H149" s="2188"/>
      <c r="I149" s="286">
        <v>20</v>
      </c>
      <c r="J149" s="842">
        <v>20</v>
      </c>
      <c r="K149" s="286"/>
      <c r="L149" s="286">
        <v>20</v>
      </c>
      <c r="M149" s="2188"/>
      <c r="N149" s="286"/>
      <c r="O149" s="842"/>
      <c r="P149" s="286"/>
      <c r="Q149" s="286"/>
      <c r="R149" s="2188"/>
      <c r="S149" s="842"/>
      <c r="T149" s="286"/>
      <c r="U149" s="2188"/>
      <c r="V149" s="842">
        <v>10</v>
      </c>
      <c r="W149" s="286"/>
      <c r="X149" s="286"/>
      <c r="Y149" s="926"/>
      <c r="Z149" s="699">
        <v>20</v>
      </c>
      <c r="AA149" s="2187">
        <v>20</v>
      </c>
      <c r="AB149" s="699"/>
      <c r="AC149" s="699"/>
      <c r="AD149" s="926"/>
      <c r="AE149" s="2187"/>
      <c r="AF149" s="699"/>
      <c r="AG149" s="699"/>
      <c r="AH149" s="699"/>
      <c r="AI149" s="926"/>
      <c r="AJ149" s="699"/>
      <c r="AK149" s="2187"/>
      <c r="AL149" s="699"/>
      <c r="AM149" s="699"/>
      <c r="AN149" s="699"/>
      <c r="AO149" s="699"/>
      <c r="AP149" s="2188"/>
      <c r="AQ149" s="286"/>
      <c r="AR149" s="842"/>
      <c r="AS149" s="286"/>
      <c r="AT149" s="286"/>
      <c r="AU149" s="2188"/>
      <c r="AV149" s="286">
        <v>20</v>
      </c>
      <c r="AW149" s="842">
        <v>40</v>
      </c>
      <c r="AX149" s="286"/>
      <c r="AY149" s="286">
        <v>20</v>
      </c>
      <c r="AZ149" s="2188"/>
      <c r="BA149" s="842"/>
      <c r="BB149" s="286"/>
      <c r="BC149" s="286"/>
      <c r="BD149" s="2188"/>
      <c r="BE149" s="842">
        <v>20</v>
      </c>
      <c r="BF149" s="286"/>
      <c r="BG149" s="286">
        <v>30</v>
      </c>
      <c r="BH149" s="843"/>
      <c r="BI149" s="2188"/>
      <c r="BJ149" s="842"/>
      <c r="BK149" s="286"/>
      <c r="BL149" s="286"/>
      <c r="BM149" s="843"/>
      <c r="BN149" s="286"/>
      <c r="BO149" s="286"/>
      <c r="BP149" s="2188"/>
      <c r="BQ149" s="286">
        <v>40</v>
      </c>
      <c r="BR149" s="842">
        <v>20</v>
      </c>
      <c r="BS149" s="286">
        <v>20</v>
      </c>
      <c r="BT149" s="286">
        <v>30</v>
      </c>
      <c r="BU149" s="2188"/>
      <c r="BV149" s="286"/>
      <c r="BW149" s="286">
        <v>20</v>
      </c>
      <c r="BX149" s="842">
        <v>20</v>
      </c>
      <c r="BY149" s="286"/>
      <c r="BZ149" s="286"/>
      <c r="CA149" s="286">
        <v>20</v>
      </c>
      <c r="CB149" s="2188"/>
      <c r="CC149" s="286"/>
      <c r="CD149" s="842">
        <v>10</v>
      </c>
      <c r="CE149" s="286"/>
      <c r="CF149" s="286"/>
      <c r="CG149" s="2188"/>
      <c r="CH149" s="286">
        <v>20</v>
      </c>
      <c r="CI149" s="842">
        <v>30</v>
      </c>
      <c r="CJ149" s="286"/>
      <c r="CK149" s="286"/>
      <c r="CL149" s="286">
        <v>20</v>
      </c>
      <c r="CM149" s="286"/>
      <c r="CN149" s="2188"/>
      <c r="CO149" s="842">
        <v>20</v>
      </c>
      <c r="CP149" s="286"/>
      <c r="CQ149" s="286"/>
      <c r="CR149" s="2188">
        <v>20</v>
      </c>
      <c r="CS149" s="286">
        <v>20</v>
      </c>
      <c r="CT149" s="842">
        <v>30</v>
      </c>
      <c r="CU149" s="286"/>
      <c r="CV149" s="286"/>
      <c r="CW149" s="2188"/>
      <c r="CX149" s="286"/>
      <c r="CY149" s="842"/>
      <c r="CZ149" s="286"/>
      <c r="DA149" s="2188"/>
      <c r="DB149" s="286">
        <v>20</v>
      </c>
      <c r="DC149" s="842">
        <v>20</v>
      </c>
      <c r="DD149" s="286"/>
      <c r="DE149" s="842"/>
      <c r="DF149" s="838">
        <f>IFERROR(VLOOKUP(G149,Personalización!$F$18:$H$21,3,0),IFERROR(VLOOKUP(G149,Personalización!$I$18:$K$21,3,0),IFERROR(VLOOKUP(G149,Personalización!$L$18:$N$21,3,0),IFERROR(VLOOKUP(G149,Personalización!$O$18:$Q$20,3,0),0))))</f>
        <v>0</v>
      </c>
    </row>
    <row r="150" spans="1:110" ht="12.75" customHeight="1">
      <c r="A150" s="219">
        <v>150</v>
      </c>
      <c r="B150" s="7145"/>
      <c r="C150" s="511" t="s">
        <v>5889</v>
      </c>
      <c r="D150" s="512"/>
      <c r="F150" s="2224">
        <v>10</v>
      </c>
      <c r="G150" s="307" t="s">
        <v>1284</v>
      </c>
      <c r="H150" s="2188"/>
      <c r="I150" s="286"/>
      <c r="J150" s="842"/>
      <c r="K150" s="286"/>
      <c r="L150" s="286"/>
      <c r="M150" s="2188"/>
      <c r="N150" s="286"/>
      <c r="O150" s="842"/>
      <c r="P150" s="286">
        <v>20</v>
      </c>
      <c r="Q150" s="286">
        <v>20</v>
      </c>
      <c r="R150" s="2188"/>
      <c r="S150" s="842"/>
      <c r="T150" s="286"/>
      <c r="U150" s="2188"/>
      <c r="V150" s="842"/>
      <c r="W150" s="286"/>
      <c r="X150" s="286"/>
      <c r="Y150" s="926"/>
      <c r="Z150" s="699"/>
      <c r="AA150" s="2187">
        <v>20</v>
      </c>
      <c r="AB150" s="699">
        <v>20</v>
      </c>
      <c r="AC150" s="699">
        <v>20</v>
      </c>
      <c r="AD150" s="926"/>
      <c r="AE150" s="2187"/>
      <c r="AF150" s="699"/>
      <c r="AG150" s="699">
        <v>20</v>
      </c>
      <c r="AH150" s="699"/>
      <c r="AI150" s="926">
        <v>20</v>
      </c>
      <c r="AJ150" s="699">
        <v>20</v>
      </c>
      <c r="AK150" s="2187">
        <v>20</v>
      </c>
      <c r="AL150" s="699"/>
      <c r="AM150" s="699">
        <v>20</v>
      </c>
      <c r="AN150" s="699"/>
      <c r="AO150" s="699">
        <v>20</v>
      </c>
      <c r="AP150" s="2188"/>
      <c r="AQ150" s="286"/>
      <c r="AR150" s="842">
        <v>20</v>
      </c>
      <c r="AS150" s="286">
        <v>30</v>
      </c>
      <c r="AT150" s="286">
        <v>20</v>
      </c>
      <c r="AU150" s="2188"/>
      <c r="AV150" s="286"/>
      <c r="AW150" s="842"/>
      <c r="AX150" s="286"/>
      <c r="AY150" s="286"/>
      <c r="AZ150" s="2188"/>
      <c r="BA150" s="842"/>
      <c r="BB150" s="286"/>
      <c r="BC150" s="286"/>
      <c r="BD150" s="2188"/>
      <c r="BE150" s="842"/>
      <c r="BF150" s="286"/>
      <c r="BG150" s="286">
        <v>10</v>
      </c>
      <c r="BH150" s="843"/>
      <c r="BI150" s="2188"/>
      <c r="BJ150" s="842"/>
      <c r="BK150" s="286"/>
      <c r="BL150" s="286"/>
      <c r="BM150" s="843"/>
      <c r="BN150" s="286"/>
      <c r="BO150" s="286">
        <v>30</v>
      </c>
      <c r="BP150" s="2188"/>
      <c r="BQ150" s="286"/>
      <c r="BR150" s="842">
        <v>20</v>
      </c>
      <c r="BS150" s="286"/>
      <c r="BT150" s="286"/>
      <c r="BU150" s="2188"/>
      <c r="BV150" s="286"/>
      <c r="BW150" s="286"/>
      <c r="BX150" s="842"/>
      <c r="BY150" s="286">
        <v>20</v>
      </c>
      <c r="BZ150" s="286"/>
      <c r="CA150" s="286">
        <v>20</v>
      </c>
      <c r="CB150" s="2188"/>
      <c r="CC150" s="286"/>
      <c r="CD150" s="842"/>
      <c r="CE150" s="286"/>
      <c r="CF150" s="286"/>
      <c r="CG150" s="2188"/>
      <c r="CH150" s="286">
        <v>20</v>
      </c>
      <c r="CI150" s="842">
        <v>20</v>
      </c>
      <c r="CJ150" s="286"/>
      <c r="CK150" s="286"/>
      <c r="CL150" s="286"/>
      <c r="CM150" s="286"/>
      <c r="CN150" s="2188"/>
      <c r="CO150" s="842"/>
      <c r="CP150" s="286"/>
      <c r="CQ150" s="286"/>
      <c r="CR150" s="2188"/>
      <c r="CS150" s="286"/>
      <c r="CT150" s="842"/>
      <c r="CU150" s="286"/>
      <c r="CV150" s="286"/>
      <c r="CW150" s="2188"/>
      <c r="CX150" s="286"/>
      <c r="CY150" s="842"/>
      <c r="CZ150" s="286"/>
      <c r="DA150" s="2188"/>
      <c r="DB150" s="286"/>
      <c r="DC150" s="842"/>
      <c r="DD150" s="286"/>
      <c r="DE150" s="842"/>
      <c r="DF150" s="838">
        <f>IFERROR(VLOOKUP(G150,Personalización!$F$18:$H$21,3,0),IFERROR(VLOOKUP(G150,Personalización!$I$18:$K$21,3,0),IFERROR(VLOOKUP(G150,Personalización!$L$18:$N$21,3,0),IFERROR(VLOOKUP(G150,Personalización!$O$18:$Q$20,3,0),0))))</f>
        <v>0</v>
      </c>
    </row>
    <row r="151" spans="1:110" ht="12.75" customHeight="1">
      <c r="A151" s="219">
        <v>151</v>
      </c>
      <c r="B151" s="7145"/>
      <c r="C151" s="511" t="s">
        <v>5890</v>
      </c>
      <c r="D151" s="512"/>
      <c r="F151" s="2224">
        <v>11</v>
      </c>
      <c r="G151" s="307" t="s">
        <v>1287</v>
      </c>
      <c r="H151" s="2188"/>
      <c r="I151" s="286"/>
      <c r="J151" s="842">
        <v>40</v>
      </c>
      <c r="K151" s="286">
        <v>20</v>
      </c>
      <c r="L151" s="286">
        <v>20</v>
      </c>
      <c r="M151" s="2188"/>
      <c r="N151" s="286"/>
      <c r="O151" s="842">
        <v>20</v>
      </c>
      <c r="P151" s="286"/>
      <c r="Q151" s="286">
        <v>40</v>
      </c>
      <c r="R151" s="2188"/>
      <c r="S151" s="842">
        <v>30</v>
      </c>
      <c r="T151" s="286"/>
      <c r="U151" s="2188"/>
      <c r="V151" s="842"/>
      <c r="W151" s="286"/>
      <c r="X151" s="286">
        <v>20</v>
      </c>
      <c r="Y151" s="926"/>
      <c r="Z151" s="699"/>
      <c r="AA151" s="2187">
        <v>20</v>
      </c>
      <c r="AB151" s="699"/>
      <c r="AC151" s="699"/>
      <c r="AD151" s="926"/>
      <c r="AE151" s="2187">
        <v>40</v>
      </c>
      <c r="AF151" s="699"/>
      <c r="AG151" s="699"/>
      <c r="AH151" s="699">
        <v>20</v>
      </c>
      <c r="AI151" s="926"/>
      <c r="AJ151" s="699"/>
      <c r="AK151" s="2187">
        <v>40</v>
      </c>
      <c r="AL151" s="699"/>
      <c r="AM151" s="699"/>
      <c r="AN151" s="699"/>
      <c r="AO151" s="699">
        <v>20</v>
      </c>
      <c r="AP151" s="2188"/>
      <c r="AQ151" s="286"/>
      <c r="AR151" s="842">
        <v>30</v>
      </c>
      <c r="AS151" s="286"/>
      <c r="AT151" s="286">
        <v>20</v>
      </c>
      <c r="AU151" s="2188"/>
      <c r="AV151" s="286"/>
      <c r="AW151" s="842">
        <v>20</v>
      </c>
      <c r="AX151" s="286"/>
      <c r="AY151" s="286">
        <v>20</v>
      </c>
      <c r="AZ151" s="2188"/>
      <c r="BA151" s="842">
        <v>20</v>
      </c>
      <c r="BB151" s="286"/>
      <c r="BC151" s="286">
        <v>40</v>
      </c>
      <c r="BD151" s="2188"/>
      <c r="BE151" s="842">
        <v>20</v>
      </c>
      <c r="BF151" s="286"/>
      <c r="BG151" s="286">
        <v>20</v>
      </c>
      <c r="BH151" s="843"/>
      <c r="BI151" s="2188"/>
      <c r="BJ151" s="842"/>
      <c r="BK151" s="286"/>
      <c r="BL151" s="286"/>
      <c r="BM151" s="843"/>
      <c r="BN151" s="286"/>
      <c r="BO151" s="286"/>
      <c r="BP151" s="2188"/>
      <c r="BQ151" s="286"/>
      <c r="BR151" s="842"/>
      <c r="BS151" s="286"/>
      <c r="BT151" s="286"/>
      <c r="BU151" s="2188"/>
      <c r="BV151" s="286"/>
      <c r="BW151" s="286"/>
      <c r="BX151" s="842">
        <v>30</v>
      </c>
      <c r="BY151" s="286"/>
      <c r="BZ151" s="286"/>
      <c r="CA151" s="286">
        <v>20</v>
      </c>
      <c r="CB151" s="2188"/>
      <c r="CC151" s="286"/>
      <c r="CD151" s="842">
        <v>20</v>
      </c>
      <c r="CE151" s="286"/>
      <c r="CF151" s="286"/>
      <c r="CG151" s="2188"/>
      <c r="CH151" s="286">
        <v>20</v>
      </c>
      <c r="CI151" s="842">
        <v>30</v>
      </c>
      <c r="CJ151" s="286"/>
      <c r="CK151" s="286"/>
      <c r="CL151" s="286"/>
      <c r="CM151" s="286">
        <v>20</v>
      </c>
      <c r="CN151" s="2188"/>
      <c r="CO151" s="842"/>
      <c r="CP151" s="286"/>
      <c r="CQ151" s="286">
        <v>20</v>
      </c>
      <c r="CR151" s="2188"/>
      <c r="CS151" s="286"/>
      <c r="CT151" s="842">
        <v>30</v>
      </c>
      <c r="CU151" s="286"/>
      <c r="CV151" s="286">
        <v>20</v>
      </c>
      <c r="CW151" s="2188"/>
      <c r="CX151" s="286">
        <v>20</v>
      </c>
      <c r="CY151" s="842">
        <v>30</v>
      </c>
      <c r="CZ151" s="286"/>
      <c r="DA151" s="2188"/>
      <c r="DB151" s="286"/>
      <c r="DC151" s="842">
        <v>30</v>
      </c>
      <c r="DD151" s="286"/>
      <c r="DE151" s="842"/>
      <c r="DF151" s="838">
        <f>IFERROR(VLOOKUP(G151,Personalización!$F$18:$H$21,3,0),IFERROR(VLOOKUP(G151,Personalización!$I$18:$K$21,3,0),IFERROR(VLOOKUP(G151,Personalización!$L$18:$N$21,3,0),IFERROR(VLOOKUP(G151,Personalización!$O$18:$Q$20,3,0),0))))</f>
        <v>0</v>
      </c>
    </row>
    <row r="152" spans="1:110" ht="12.75" customHeight="1">
      <c r="A152" s="219">
        <v>152</v>
      </c>
      <c r="B152" s="7145"/>
      <c r="C152" s="511" t="s">
        <v>5930</v>
      </c>
      <c r="D152" s="512"/>
      <c r="F152" s="2224">
        <v>12</v>
      </c>
      <c r="G152" s="307" t="s">
        <v>1289</v>
      </c>
      <c r="H152" s="2188">
        <v>20</v>
      </c>
      <c r="I152" s="286">
        <v>30</v>
      </c>
      <c r="J152" s="842">
        <v>20</v>
      </c>
      <c r="K152" s="286">
        <v>20</v>
      </c>
      <c r="L152" s="286">
        <v>20</v>
      </c>
      <c r="M152" s="2188"/>
      <c r="N152" s="286"/>
      <c r="O152" s="842"/>
      <c r="P152" s="286"/>
      <c r="Q152" s="286"/>
      <c r="R152" s="2188"/>
      <c r="S152" s="842">
        <v>20</v>
      </c>
      <c r="T152" s="286"/>
      <c r="U152" s="2188">
        <v>40</v>
      </c>
      <c r="V152" s="842">
        <v>40</v>
      </c>
      <c r="W152" s="286"/>
      <c r="X152" s="286">
        <v>20</v>
      </c>
      <c r="Y152" s="926">
        <v>20</v>
      </c>
      <c r="Z152" s="699">
        <v>20</v>
      </c>
      <c r="AA152" s="2187">
        <v>20</v>
      </c>
      <c r="AB152" s="699"/>
      <c r="AC152" s="699">
        <v>20</v>
      </c>
      <c r="AD152" s="926"/>
      <c r="AE152" s="2187"/>
      <c r="AF152" s="699"/>
      <c r="AG152" s="699"/>
      <c r="AH152" s="699"/>
      <c r="AI152" s="926"/>
      <c r="AJ152" s="699"/>
      <c r="AK152" s="2187"/>
      <c r="AL152" s="699"/>
      <c r="AM152" s="699"/>
      <c r="AN152" s="699"/>
      <c r="AO152" s="699">
        <v>20</v>
      </c>
      <c r="AP152" s="2188"/>
      <c r="AQ152" s="286">
        <v>20</v>
      </c>
      <c r="AR152" s="842"/>
      <c r="AS152" s="286">
        <v>10</v>
      </c>
      <c r="AT152" s="286">
        <v>40</v>
      </c>
      <c r="AU152" s="2188">
        <v>20</v>
      </c>
      <c r="AV152" s="286">
        <v>40</v>
      </c>
      <c r="AW152" s="842">
        <v>20</v>
      </c>
      <c r="AX152" s="286">
        <v>30</v>
      </c>
      <c r="AY152" s="286">
        <v>30</v>
      </c>
      <c r="AZ152" s="2188">
        <v>20</v>
      </c>
      <c r="BA152" s="842">
        <v>40</v>
      </c>
      <c r="BB152" s="286"/>
      <c r="BC152" s="286"/>
      <c r="BD152" s="2188"/>
      <c r="BE152" s="842">
        <v>30</v>
      </c>
      <c r="BF152" s="286"/>
      <c r="BG152" s="286"/>
      <c r="BH152" s="843"/>
      <c r="BI152" s="2188"/>
      <c r="BJ152" s="842">
        <v>20</v>
      </c>
      <c r="BK152" s="286"/>
      <c r="BL152" s="286">
        <v>20</v>
      </c>
      <c r="BM152" s="843"/>
      <c r="BN152" s="286">
        <v>20</v>
      </c>
      <c r="BO152" s="286"/>
      <c r="BP152" s="2188"/>
      <c r="BQ152" s="286">
        <v>20</v>
      </c>
      <c r="BR152" s="842"/>
      <c r="BS152" s="286"/>
      <c r="BT152" s="286">
        <v>40</v>
      </c>
      <c r="BU152" s="2188">
        <v>20</v>
      </c>
      <c r="BV152" s="286"/>
      <c r="BW152" s="286">
        <v>30</v>
      </c>
      <c r="BX152" s="842">
        <v>20</v>
      </c>
      <c r="BY152" s="286"/>
      <c r="BZ152" s="286"/>
      <c r="CA152" s="286">
        <v>20</v>
      </c>
      <c r="CB152" s="2188">
        <v>20</v>
      </c>
      <c r="CC152" s="286">
        <v>20</v>
      </c>
      <c r="CD152" s="842">
        <v>10</v>
      </c>
      <c r="CE152" s="286"/>
      <c r="CF152" s="286">
        <v>20</v>
      </c>
      <c r="CG152" s="2188"/>
      <c r="CH152" s="286"/>
      <c r="CI152" s="842">
        <v>20</v>
      </c>
      <c r="CJ152" s="286">
        <v>20</v>
      </c>
      <c r="CK152" s="286">
        <v>20</v>
      </c>
      <c r="CL152" s="286">
        <v>20</v>
      </c>
      <c r="CM152" s="286">
        <v>20</v>
      </c>
      <c r="CN152" s="2188"/>
      <c r="CO152" s="842">
        <v>30</v>
      </c>
      <c r="CP152" s="286"/>
      <c r="CQ152" s="286"/>
      <c r="CR152" s="2188">
        <v>20</v>
      </c>
      <c r="CS152" s="286">
        <v>30</v>
      </c>
      <c r="CT152" s="842">
        <v>20</v>
      </c>
      <c r="CU152" s="286"/>
      <c r="CV152" s="286">
        <v>20</v>
      </c>
      <c r="CW152" s="2188"/>
      <c r="CX152" s="286">
        <v>20</v>
      </c>
      <c r="CY152" s="842">
        <v>20</v>
      </c>
      <c r="CZ152" s="286"/>
      <c r="DA152" s="2188">
        <v>20</v>
      </c>
      <c r="DB152" s="286">
        <v>30</v>
      </c>
      <c r="DC152" s="842">
        <v>20</v>
      </c>
      <c r="DD152" s="286"/>
      <c r="DE152" s="842">
        <v>30</v>
      </c>
      <c r="DF152" s="838">
        <f>IFERROR(VLOOKUP(G152,Personalización!$F$18:$H$21,3,0),IFERROR(VLOOKUP(G152,Personalización!$I$18:$K$21,3,0),IFERROR(VLOOKUP(G152,Personalización!$L$18:$N$21,3,0),IFERROR(VLOOKUP(G152,Personalización!$O$18:$Q$20,3,0),0))))</f>
        <v>0</v>
      </c>
    </row>
    <row r="153" spans="1:110" ht="12.75" customHeight="1">
      <c r="A153" s="219">
        <v>153</v>
      </c>
      <c r="B153" s="7145"/>
      <c r="C153" s="511" t="s">
        <v>5891</v>
      </c>
      <c r="D153" s="512"/>
      <c r="F153" s="2224">
        <v>13</v>
      </c>
      <c r="G153" s="307" t="s">
        <v>685</v>
      </c>
      <c r="H153" s="2188"/>
      <c r="I153" s="286"/>
      <c r="J153" s="842"/>
      <c r="K153" s="286"/>
      <c r="L153" s="286"/>
      <c r="M153" s="2188"/>
      <c r="N153" s="286"/>
      <c r="O153" s="842"/>
      <c r="P153" s="286"/>
      <c r="Q153" s="286"/>
      <c r="R153" s="2188"/>
      <c r="S153" s="842"/>
      <c r="T153" s="286"/>
      <c r="U153" s="2188"/>
      <c r="V153" s="842"/>
      <c r="W153" s="286"/>
      <c r="X153" s="286"/>
      <c r="Y153" s="926"/>
      <c r="Z153" s="699"/>
      <c r="AA153" s="2187"/>
      <c r="AB153" s="699"/>
      <c r="AC153" s="699"/>
      <c r="AD153" s="926"/>
      <c r="AE153" s="2187"/>
      <c r="AF153" s="699"/>
      <c r="AG153" s="699"/>
      <c r="AH153" s="699"/>
      <c r="AI153" s="926"/>
      <c r="AJ153" s="699"/>
      <c r="AK153" s="2187"/>
      <c r="AL153" s="699"/>
      <c r="AM153" s="699"/>
      <c r="AN153" s="699"/>
      <c r="AO153" s="699"/>
      <c r="AP153" s="2188"/>
      <c r="AQ153" s="286"/>
      <c r="AR153" s="842"/>
      <c r="AS153" s="286"/>
      <c r="AT153" s="286"/>
      <c r="AU153" s="2188"/>
      <c r="AV153" s="286"/>
      <c r="AW153" s="842"/>
      <c r="AX153" s="286"/>
      <c r="AY153" s="286"/>
      <c r="AZ153" s="2188"/>
      <c r="BA153" s="842"/>
      <c r="BB153" s="286"/>
      <c r="BC153" s="286"/>
      <c r="BD153" s="2188"/>
      <c r="BE153" s="842"/>
      <c r="BF153" s="286"/>
      <c r="BG153" s="286"/>
      <c r="BH153" s="843"/>
      <c r="BI153" s="2188"/>
      <c r="BJ153" s="842"/>
      <c r="BK153" s="286"/>
      <c r="BL153" s="286"/>
      <c r="BM153" s="843"/>
      <c r="BN153" s="286"/>
      <c r="BO153" s="286"/>
      <c r="BP153" s="2188"/>
      <c r="BQ153" s="286"/>
      <c r="BR153" s="842"/>
      <c r="BS153" s="286"/>
      <c r="BT153" s="286"/>
      <c r="BU153" s="2188"/>
      <c r="BV153" s="286"/>
      <c r="BW153" s="286"/>
      <c r="BX153" s="842"/>
      <c r="BY153" s="286"/>
      <c r="BZ153" s="286"/>
      <c r="CA153" s="286"/>
      <c r="CB153" s="2188"/>
      <c r="CC153" s="286"/>
      <c r="CD153" s="842"/>
      <c r="CE153" s="286"/>
      <c r="CF153" s="286"/>
      <c r="CG153" s="2188"/>
      <c r="CH153" s="286"/>
      <c r="CI153" s="842"/>
      <c r="CJ153" s="286"/>
      <c r="CK153" s="286"/>
      <c r="CL153" s="286"/>
      <c r="CM153" s="286"/>
      <c r="CN153" s="2188"/>
      <c r="CO153" s="842"/>
      <c r="CP153" s="286"/>
      <c r="CQ153" s="286"/>
      <c r="CR153" s="2188"/>
      <c r="CS153" s="286"/>
      <c r="CT153" s="842"/>
      <c r="CU153" s="286"/>
      <c r="CV153" s="286"/>
      <c r="CW153" s="2188"/>
      <c r="CX153" s="286"/>
      <c r="CY153" s="842"/>
      <c r="CZ153" s="286"/>
      <c r="DA153" s="2188"/>
      <c r="DB153" s="286"/>
      <c r="DC153" s="842"/>
      <c r="DD153" s="286"/>
      <c r="DE153" s="842"/>
      <c r="DF153" s="838">
        <f>IFERROR(VLOOKUP(G153,Personalización!$F$18:$H$21,3,0),IFERROR(VLOOKUP(G153,Personalización!$I$18:$K$21,3,0),IFERROR(VLOOKUP(G153,Personalización!$L$18:$N$21,3,0),IFERROR(VLOOKUP(G153,Personalización!$O$18:$Q$20,3,0),0))))</f>
        <v>0</v>
      </c>
    </row>
    <row r="154" spans="1:110" ht="12.75" customHeight="1">
      <c r="A154" s="219">
        <v>154</v>
      </c>
      <c r="B154" s="7145"/>
      <c r="C154" s="511" t="s">
        <v>5892</v>
      </c>
      <c r="D154" s="512"/>
      <c r="F154" s="2224">
        <v>14</v>
      </c>
      <c r="G154" s="307" t="s">
        <v>686</v>
      </c>
      <c r="H154" s="2188"/>
      <c r="I154" s="286"/>
      <c r="J154" s="842"/>
      <c r="K154" s="286"/>
      <c r="L154" s="286"/>
      <c r="M154" s="2188"/>
      <c r="N154" s="286"/>
      <c r="O154" s="842"/>
      <c r="P154" s="286"/>
      <c r="Q154" s="286"/>
      <c r="R154" s="2188"/>
      <c r="S154" s="842"/>
      <c r="T154" s="286"/>
      <c r="U154" s="2188"/>
      <c r="V154" s="842"/>
      <c r="W154" s="286"/>
      <c r="X154" s="286"/>
      <c r="Y154" s="926"/>
      <c r="Z154" s="699"/>
      <c r="AA154" s="2187"/>
      <c r="AB154" s="699"/>
      <c r="AC154" s="699"/>
      <c r="AD154" s="926"/>
      <c r="AE154" s="2187"/>
      <c r="AF154" s="699"/>
      <c r="AG154" s="699"/>
      <c r="AH154" s="699"/>
      <c r="AI154" s="926"/>
      <c r="AJ154" s="699"/>
      <c r="AK154" s="2187"/>
      <c r="AL154" s="699"/>
      <c r="AM154" s="699"/>
      <c r="AN154" s="699"/>
      <c r="AO154" s="699"/>
      <c r="AP154" s="2188"/>
      <c r="AQ154" s="286"/>
      <c r="AR154" s="842"/>
      <c r="AS154" s="286"/>
      <c r="AT154" s="286"/>
      <c r="AU154" s="2188"/>
      <c r="AV154" s="286"/>
      <c r="AW154" s="842"/>
      <c r="AX154" s="286"/>
      <c r="AY154" s="286"/>
      <c r="AZ154" s="2188"/>
      <c r="BA154" s="842"/>
      <c r="BB154" s="286"/>
      <c r="BC154" s="286"/>
      <c r="BD154" s="2188"/>
      <c r="BE154" s="842"/>
      <c r="BF154" s="286"/>
      <c r="BG154" s="286"/>
      <c r="BH154" s="843"/>
      <c r="BI154" s="2188"/>
      <c r="BJ154" s="842"/>
      <c r="BK154" s="286"/>
      <c r="BL154" s="286"/>
      <c r="BM154" s="843"/>
      <c r="BN154" s="286"/>
      <c r="BO154" s="286"/>
      <c r="BP154" s="2188"/>
      <c r="BQ154" s="286"/>
      <c r="BR154" s="842"/>
      <c r="BS154" s="286"/>
      <c r="BT154" s="286"/>
      <c r="BU154" s="2188"/>
      <c r="BV154" s="286"/>
      <c r="BW154" s="286"/>
      <c r="BX154" s="842"/>
      <c r="BY154" s="286"/>
      <c r="BZ154" s="286"/>
      <c r="CA154" s="286"/>
      <c r="CB154" s="2188"/>
      <c r="CC154" s="286"/>
      <c r="CD154" s="842"/>
      <c r="CE154" s="286"/>
      <c r="CF154" s="286"/>
      <c r="CG154" s="2188"/>
      <c r="CH154" s="286"/>
      <c r="CI154" s="842"/>
      <c r="CJ154" s="286"/>
      <c r="CK154" s="286"/>
      <c r="CL154" s="286"/>
      <c r="CM154" s="286"/>
      <c r="CN154" s="2188"/>
      <c r="CO154" s="842"/>
      <c r="CP154" s="286"/>
      <c r="CQ154" s="286"/>
      <c r="CR154" s="2188"/>
      <c r="CS154" s="286"/>
      <c r="CT154" s="842"/>
      <c r="CU154" s="286"/>
      <c r="CV154" s="286"/>
      <c r="CW154" s="2188"/>
      <c r="CX154" s="286"/>
      <c r="CY154" s="842"/>
      <c r="CZ154" s="286"/>
      <c r="DA154" s="2188"/>
      <c r="DB154" s="286"/>
      <c r="DC154" s="842"/>
      <c r="DD154" s="286"/>
      <c r="DE154" s="842"/>
      <c r="DF154" s="838">
        <f>IFERROR(VLOOKUP(G154,Personalización!$F$18:$H$21,3,0),IFERROR(VLOOKUP(G154,Personalización!$I$18:$K$21,3,0),IFERROR(VLOOKUP(G154,Personalización!$L$18:$N$21,3,0),IFERROR(VLOOKUP(G154,Personalización!$O$18:$Q$20,3,0),0))))</f>
        <v>0</v>
      </c>
    </row>
    <row r="155" spans="1:110" ht="12.75" customHeight="1">
      <c r="A155" s="219">
        <v>155</v>
      </c>
      <c r="B155" s="7145"/>
      <c r="C155" s="511" t="s">
        <v>5893</v>
      </c>
      <c r="D155" s="512"/>
      <c r="F155" s="2224">
        <v>15</v>
      </c>
      <c r="G155" s="307" t="s">
        <v>687</v>
      </c>
      <c r="H155" s="2188"/>
      <c r="I155" s="286"/>
      <c r="J155" s="842"/>
      <c r="K155" s="286"/>
      <c r="L155" s="286"/>
      <c r="M155" s="2188"/>
      <c r="N155" s="286"/>
      <c r="O155" s="842"/>
      <c r="P155" s="286"/>
      <c r="Q155" s="286"/>
      <c r="R155" s="2188"/>
      <c r="S155" s="842"/>
      <c r="T155" s="286"/>
      <c r="U155" s="2188"/>
      <c r="V155" s="842"/>
      <c r="W155" s="286"/>
      <c r="X155" s="286"/>
      <c r="Y155" s="926"/>
      <c r="Z155" s="699"/>
      <c r="AA155" s="2187"/>
      <c r="AB155" s="699"/>
      <c r="AC155" s="699"/>
      <c r="AD155" s="926"/>
      <c r="AE155" s="2187"/>
      <c r="AF155" s="699"/>
      <c r="AG155" s="699"/>
      <c r="AH155" s="699"/>
      <c r="AI155" s="926"/>
      <c r="AJ155" s="699"/>
      <c r="AK155" s="2187"/>
      <c r="AL155" s="699"/>
      <c r="AM155" s="699"/>
      <c r="AN155" s="699"/>
      <c r="AO155" s="699"/>
      <c r="AP155" s="2188"/>
      <c r="AQ155" s="286"/>
      <c r="AR155" s="842"/>
      <c r="AS155" s="286"/>
      <c r="AT155" s="286"/>
      <c r="AU155" s="2188"/>
      <c r="AV155" s="286"/>
      <c r="AW155" s="842"/>
      <c r="AX155" s="286"/>
      <c r="AY155" s="286"/>
      <c r="AZ155" s="2188"/>
      <c r="BA155" s="842"/>
      <c r="BB155" s="286"/>
      <c r="BC155" s="286"/>
      <c r="BD155" s="2188"/>
      <c r="BE155" s="842"/>
      <c r="BF155" s="286"/>
      <c r="BG155" s="286"/>
      <c r="BH155" s="843"/>
      <c r="BI155" s="2188"/>
      <c r="BJ155" s="842"/>
      <c r="BK155" s="286"/>
      <c r="BL155" s="286"/>
      <c r="BM155" s="843"/>
      <c r="BN155" s="286"/>
      <c r="BO155" s="286"/>
      <c r="BP155" s="2188"/>
      <c r="BQ155" s="286"/>
      <c r="BR155" s="842"/>
      <c r="BS155" s="286"/>
      <c r="BT155" s="286"/>
      <c r="BU155" s="2188"/>
      <c r="BV155" s="286"/>
      <c r="BW155" s="286"/>
      <c r="BX155" s="842"/>
      <c r="BY155" s="286"/>
      <c r="BZ155" s="286"/>
      <c r="CA155" s="286"/>
      <c r="CB155" s="2188"/>
      <c r="CC155" s="286"/>
      <c r="CD155" s="842"/>
      <c r="CE155" s="286"/>
      <c r="CF155" s="286"/>
      <c r="CG155" s="2188"/>
      <c r="CH155" s="286"/>
      <c r="CI155" s="842"/>
      <c r="CJ155" s="286"/>
      <c r="CK155" s="286"/>
      <c r="CL155" s="286"/>
      <c r="CM155" s="286"/>
      <c r="CN155" s="2188"/>
      <c r="CO155" s="842"/>
      <c r="CP155" s="286"/>
      <c r="CQ155" s="286"/>
      <c r="CR155" s="2188"/>
      <c r="CS155" s="286"/>
      <c r="CT155" s="842"/>
      <c r="CU155" s="286"/>
      <c r="CV155" s="286"/>
      <c r="CW155" s="2188"/>
      <c r="CX155" s="286"/>
      <c r="CY155" s="842"/>
      <c r="CZ155" s="286"/>
      <c r="DA155" s="2188"/>
      <c r="DB155" s="286"/>
      <c r="DC155" s="842"/>
      <c r="DD155" s="286"/>
      <c r="DE155" s="842"/>
      <c r="DF155" s="838">
        <f>IFERROR(VLOOKUP(G155,Personalización!$F$18:$H$21,3,0),IFERROR(VLOOKUP(G155,Personalización!$I$18:$K$21,3,0),IFERROR(VLOOKUP(G155,Personalización!$L$18:$N$21,3,0),IFERROR(VLOOKUP(G155,Personalización!$O$18:$Q$20,3,0),0))))</f>
        <v>0</v>
      </c>
    </row>
    <row r="156" spans="1:110" ht="12.75" customHeight="1">
      <c r="A156" s="219">
        <v>156</v>
      </c>
      <c r="B156" s="7145"/>
      <c r="C156" s="511" t="s">
        <v>5931</v>
      </c>
      <c r="D156" s="512"/>
      <c r="F156" s="2224">
        <v>16</v>
      </c>
      <c r="G156" s="307" t="s">
        <v>1291</v>
      </c>
      <c r="H156" s="2188">
        <v>30</v>
      </c>
      <c r="I156" s="286"/>
      <c r="J156" s="842"/>
      <c r="K156" s="286"/>
      <c r="L156" s="286"/>
      <c r="M156" s="2188">
        <v>20</v>
      </c>
      <c r="N156" s="286"/>
      <c r="O156" s="842">
        <v>20</v>
      </c>
      <c r="P156" s="286">
        <v>20</v>
      </c>
      <c r="Q156" s="286">
        <v>20</v>
      </c>
      <c r="R156" s="2188">
        <v>20</v>
      </c>
      <c r="S156" s="842">
        <v>20</v>
      </c>
      <c r="T156" s="286">
        <v>20</v>
      </c>
      <c r="U156" s="2188"/>
      <c r="V156" s="842"/>
      <c r="W156" s="286">
        <v>20</v>
      </c>
      <c r="X156" s="286">
        <v>20</v>
      </c>
      <c r="Y156" s="926">
        <v>20</v>
      </c>
      <c r="Z156" s="699"/>
      <c r="AA156" s="2187"/>
      <c r="AB156" s="699">
        <v>20</v>
      </c>
      <c r="AC156" s="699">
        <v>20</v>
      </c>
      <c r="AD156" s="926">
        <v>20</v>
      </c>
      <c r="AE156" s="2187">
        <v>10</v>
      </c>
      <c r="AF156" s="699">
        <v>20</v>
      </c>
      <c r="AG156" s="699">
        <v>20</v>
      </c>
      <c r="AH156" s="699">
        <v>20</v>
      </c>
      <c r="AI156" s="926">
        <v>20</v>
      </c>
      <c r="AJ156" s="699">
        <v>20</v>
      </c>
      <c r="AK156" s="2187">
        <v>20</v>
      </c>
      <c r="AL156" s="699">
        <v>20</v>
      </c>
      <c r="AM156" s="699">
        <v>20</v>
      </c>
      <c r="AN156" s="699">
        <v>20</v>
      </c>
      <c r="AO156" s="699">
        <v>20</v>
      </c>
      <c r="AP156" s="2188">
        <v>30</v>
      </c>
      <c r="AQ156" s="286">
        <v>20</v>
      </c>
      <c r="AR156" s="842">
        <v>20</v>
      </c>
      <c r="AS156" s="286">
        <v>30</v>
      </c>
      <c r="AT156" s="286">
        <v>20</v>
      </c>
      <c r="AU156" s="2188">
        <v>20</v>
      </c>
      <c r="AV156" s="286"/>
      <c r="AW156" s="842"/>
      <c r="AX156" s="286">
        <v>20</v>
      </c>
      <c r="AY156" s="286"/>
      <c r="AZ156" s="2188">
        <v>20</v>
      </c>
      <c r="BA156" s="842"/>
      <c r="BB156" s="286">
        <v>20</v>
      </c>
      <c r="BC156" s="286">
        <v>20</v>
      </c>
      <c r="BD156" s="2188">
        <v>20</v>
      </c>
      <c r="BE156" s="842"/>
      <c r="BF156" s="286">
        <v>30</v>
      </c>
      <c r="BG156" s="286">
        <v>10</v>
      </c>
      <c r="BH156" s="843">
        <v>20</v>
      </c>
      <c r="BI156" s="2188">
        <v>20</v>
      </c>
      <c r="BJ156" s="842">
        <v>30</v>
      </c>
      <c r="BK156" s="286">
        <v>20</v>
      </c>
      <c r="BL156" s="286">
        <v>20</v>
      </c>
      <c r="BM156" s="843">
        <v>20</v>
      </c>
      <c r="BN156" s="286">
        <v>20</v>
      </c>
      <c r="BO156" s="286">
        <v>10</v>
      </c>
      <c r="BP156" s="2188">
        <v>20</v>
      </c>
      <c r="BQ156" s="286"/>
      <c r="BR156" s="842">
        <v>20</v>
      </c>
      <c r="BS156" s="286">
        <v>20</v>
      </c>
      <c r="BT156" s="286">
        <v>20</v>
      </c>
      <c r="BU156" s="2188"/>
      <c r="BV156" s="286"/>
      <c r="BW156" s="286"/>
      <c r="BX156" s="842"/>
      <c r="BY156" s="286">
        <v>20</v>
      </c>
      <c r="BZ156" s="286">
        <v>20</v>
      </c>
      <c r="CA156" s="286"/>
      <c r="CB156" s="2188"/>
      <c r="CC156" s="286"/>
      <c r="CD156" s="842"/>
      <c r="CE156" s="286">
        <v>20</v>
      </c>
      <c r="CF156" s="286"/>
      <c r="CG156" s="2188">
        <v>20</v>
      </c>
      <c r="CH156" s="286">
        <v>20</v>
      </c>
      <c r="CI156" s="842"/>
      <c r="CJ156" s="286"/>
      <c r="CK156" s="286"/>
      <c r="CL156" s="286"/>
      <c r="CM156" s="286"/>
      <c r="CN156" s="2188">
        <v>30</v>
      </c>
      <c r="CO156" s="842"/>
      <c r="CP156" s="286">
        <v>20</v>
      </c>
      <c r="CQ156" s="286">
        <v>20</v>
      </c>
      <c r="CR156" s="2188">
        <v>20</v>
      </c>
      <c r="CS156" s="286">
        <v>20</v>
      </c>
      <c r="CT156" s="842"/>
      <c r="CU156" s="286">
        <v>20</v>
      </c>
      <c r="CV156" s="286">
        <v>20</v>
      </c>
      <c r="CW156" s="2188">
        <v>20</v>
      </c>
      <c r="CX156" s="286">
        <v>20</v>
      </c>
      <c r="CY156" s="842">
        <v>20</v>
      </c>
      <c r="CZ156" s="286">
        <v>20</v>
      </c>
      <c r="DA156" s="2188">
        <v>20</v>
      </c>
      <c r="DB156" s="286">
        <v>20</v>
      </c>
      <c r="DC156" s="842"/>
      <c r="DD156" s="286">
        <v>20</v>
      </c>
      <c r="DE156" s="842">
        <v>20</v>
      </c>
      <c r="DF156" s="838">
        <f>IFERROR(VLOOKUP(G156,Personalización!$F$18:$H$21,3,0),IFERROR(VLOOKUP(G156,Personalización!$I$18:$K$21,3,0),IFERROR(VLOOKUP(G156,Personalización!$L$18:$N$21,3,0),IFERROR(VLOOKUP(G156,Personalización!$O$18:$Q$20,3,0),0))))</f>
        <v>0</v>
      </c>
    </row>
    <row r="157" spans="1:110" ht="12.75" customHeight="1">
      <c r="A157" s="219">
        <v>157</v>
      </c>
      <c r="B157" s="7145"/>
      <c r="C157" s="511" t="s">
        <v>5894</v>
      </c>
      <c r="D157" s="512"/>
      <c r="F157" s="2224">
        <v>17</v>
      </c>
      <c r="G157" s="307" t="s">
        <v>1292</v>
      </c>
      <c r="H157" s="2188"/>
      <c r="I157" s="286"/>
      <c r="J157" s="842"/>
      <c r="K157" s="286"/>
      <c r="L157" s="286"/>
      <c r="M157" s="2188"/>
      <c r="N157" s="286"/>
      <c r="O157" s="842"/>
      <c r="P157" s="286"/>
      <c r="Q157" s="286"/>
      <c r="R157" s="2188"/>
      <c r="S157" s="842"/>
      <c r="T157" s="286"/>
      <c r="U157" s="2188"/>
      <c r="V157" s="842"/>
      <c r="W157" s="286"/>
      <c r="X157" s="286"/>
      <c r="Y157" s="926"/>
      <c r="Z157" s="699"/>
      <c r="AA157" s="2187"/>
      <c r="AB157" s="699"/>
      <c r="AC157" s="699"/>
      <c r="AD157" s="926"/>
      <c r="AE157" s="2187"/>
      <c r="AF157" s="699"/>
      <c r="AG157" s="699"/>
      <c r="AH157" s="699"/>
      <c r="AI157" s="926"/>
      <c r="AJ157" s="699"/>
      <c r="AK157" s="2187"/>
      <c r="AL157" s="699"/>
      <c r="AM157" s="699"/>
      <c r="AN157" s="699"/>
      <c r="AO157" s="699"/>
      <c r="AP157" s="2188"/>
      <c r="AQ157" s="286"/>
      <c r="AR157" s="842"/>
      <c r="AS157" s="286"/>
      <c r="AT157" s="286"/>
      <c r="AU157" s="2188"/>
      <c r="AV157" s="286"/>
      <c r="AW157" s="842"/>
      <c r="AX157" s="286"/>
      <c r="AY157" s="286"/>
      <c r="AZ157" s="2188"/>
      <c r="BA157" s="842"/>
      <c r="BB157" s="286"/>
      <c r="BC157" s="286"/>
      <c r="BD157" s="2188"/>
      <c r="BE157" s="842"/>
      <c r="BF157" s="286"/>
      <c r="BG157" s="286"/>
      <c r="BH157" s="843">
        <v>20</v>
      </c>
      <c r="BI157" s="2188"/>
      <c r="BJ157" s="842"/>
      <c r="BK157" s="286"/>
      <c r="BL157" s="286"/>
      <c r="BM157" s="843"/>
      <c r="BN157" s="286"/>
      <c r="BO157" s="286"/>
      <c r="BP157" s="2188"/>
      <c r="BQ157" s="286"/>
      <c r="BR157" s="842"/>
      <c r="BS157" s="286"/>
      <c r="BT157" s="286"/>
      <c r="BU157" s="2188"/>
      <c r="BV157" s="286"/>
      <c r="BW157" s="286"/>
      <c r="BX157" s="842"/>
      <c r="BY157" s="286"/>
      <c r="BZ157" s="286"/>
      <c r="CA157" s="286"/>
      <c r="CB157" s="2188"/>
      <c r="CC157" s="286"/>
      <c r="CD157" s="842"/>
      <c r="CE157" s="286"/>
      <c r="CF157" s="286"/>
      <c r="CG157" s="2188"/>
      <c r="CH157" s="286"/>
      <c r="CI157" s="842"/>
      <c r="CJ157" s="286"/>
      <c r="CK157" s="286"/>
      <c r="CL157" s="286"/>
      <c r="CM157" s="286"/>
      <c r="CN157" s="2188"/>
      <c r="CO157" s="842"/>
      <c r="CP157" s="286"/>
      <c r="CQ157" s="286"/>
      <c r="CR157" s="2188"/>
      <c r="CS157" s="286"/>
      <c r="CT157" s="842"/>
      <c r="CU157" s="286"/>
      <c r="CV157" s="286"/>
      <c r="CW157" s="2188"/>
      <c r="CX157" s="286"/>
      <c r="CY157" s="842"/>
      <c r="CZ157" s="286"/>
      <c r="DA157" s="2188"/>
      <c r="DB157" s="286"/>
      <c r="DC157" s="842"/>
      <c r="DD157" s="286"/>
      <c r="DE157" s="842"/>
      <c r="DF157" s="838">
        <f>IFERROR(VLOOKUP(G157,Personalización!$F$18:$H$21,3,0),IFERROR(VLOOKUP(G157,Personalización!$I$18:$K$21,3,0),IFERROR(VLOOKUP(G157,Personalización!$L$18:$N$21,3,0),IFERROR(VLOOKUP(G157,Personalización!$O$18:$Q$20,3,0),0))))</f>
        <v>0</v>
      </c>
    </row>
    <row r="158" spans="1:110" ht="12.75" customHeight="1">
      <c r="A158" s="219">
        <v>158</v>
      </c>
      <c r="B158" s="7145"/>
      <c r="C158" s="511" t="s">
        <v>5895</v>
      </c>
      <c r="D158" s="512"/>
      <c r="F158" s="2224">
        <v>18</v>
      </c>
      <c r="G158" s="307" t="s">
        <v>1293</v>
      </c>
      <c r="H158" s="2188"/>
      <c r="I158" s="286"/>
      <c r="J158" s="842"/>
      <c r="K158" s="286"/>
      <c r="L158" s="286"/>
      <c r="M158" s="2188"/>
      <c r="N158" s="286">
        <v>20</v>
      </c>
      <c r="O158" s="842"/>
      <c r="P158" s="286"/>
      <c r="Q158" s="286"/>
      <c r="R158" s="2188">
        <v>20</v>
      </c>
      <c r="S158" s="842"/>
      <c r="T158" s="286">
        <v>20</v>
      </c>
      <c r="U158" s="2188"/>
      <c r="V158" s="842"/>
      <c r="W158" s="286"/>
      <c r="X158" s="286"/>
      <c r="Y158" s="926"/>
      <c r="Z158" s="699"/>
      <c r="AA158" s="2187"/>
      <c r="AB158" s="699"/>
      <c r="AC158" s="699"/>
      <c r="AD158" s="926"/>
      <c r="AE158" s="2187"/>
      <c r="AF158" s="699">
        <v>30</v>
      </c>
      <c r="AG158" s="699">
        <v>20</v>
      </c>
      <c r="AH158" s="699"/>
      <c r="AI158" s="926">
        <v>20</v>
      </c>
      <c r="AJ158" s="699"/>
      <c r="AK158" s="2187"/>
      <c r="AL158" s="699">
        <v>20</v>
      </c>
      <c r="AM158" s="699">
        <v>20</v>
      </c>
      <c r="AN158" s="699">
        <v>20</v>
      </c>
      <c r="AO158" s="699"/>
      <c r="AP158" s="2188">
        <v>20</v>
      </c>
      <c r="AQ158" s="286"/>
      <c r="AR158" s="842"/>
      <c r="AS158" s="286"/>
      <c r="AT158" s="286"/>
      <c r="AU158" s="2188"/>
      <c r="AV158" s="286"/>
      <c r="AW158" s="842"/>
      <c r="AX158" s="286"/>
      <c r="AY158" s="286"/>
      <c r="AZ158" s="2188"/>
      <c r="BA158" s="842"/>
      <c r="BB158" s="286">
        <v>10</v>
      </c>
      <c r="BC158" s="286"/>
      <c r="BD158" s="2188">
        <v>30</v>
      </c>
      <c r="BE158" s="842"/>
      <c r="BF158" s="286">
        <v>20</v>
      </c>
      <c r="BG158" s="286"/>
      <c r="BH158" s="843">
        <v>30</v>
      </c>
      <c r="BI158" s="2188">
        <v>20</v>
      </c>
      <c r="BJ158" s="842">
        <v>30</v>
      </c>
      <c r="BK158" s="286"/>
      <c r="BL158" s="286"/>
      <c r="BM158" s="843">
        <v>30</v>
      </c>
      <c r="BN158" s="286"/>
      <c r="BO158" s="286"/>
      <c r="BP158" s="2188"/>
      <c r="BQ158" s="286"/>
      <c r="BR158" s="842"/>
      <c r="BS158" s="286"/>
      <c r="BT158" s="286"/>
      <c r="BU158" s="2188"/>
      <c r="BV158" s="286">
        <v>20</v>
      </c>
      <c r="BW158" s="286"/>
      <c r="BX158" s="842"/>
      <c r="BY158" s="286"/>
      <c r="BZ158" s="286"/>
      <c r="CA158" s="286"/>
      <c r="CB158" s="2188"/>
      <c r="CC158" s="286"/>
      <c r="CD158" s="842"/>
      <c r="CE158" s="286">
        <v>20</v>
      </c>
      <c r="CF158" s="286">
        <v>20</v>
      </c>
      <c r="CG158" s="2188"/>
      <c r="CH158" s="286"/>
      <c r="CI158" s="842"/>
      <c r="CJ158" s="286"/>
      <c r="CK158" s="286"/>
      <c r="CL158" s="286"/>
      <c r="CM158" s="286"/>
      <c r="CN158" s="2188"/>
      <c r="CO158" s="842"/>
      <c r="CP158" s="286">
        <v>20</v>
      </c>
      <c r="CQ158" s="286">
        <v>20</v>
      </c>
      <c r="CR158" s="2188"/>
      <c r="CS158" s="286"/>
      <c r="CT158" s="842"/>
      <c r="CU158" s="286">
        <v>20</v>
      </c>
      <c r="CV158" s="286">
        <v>20</v>
      </c>
      <c r="CW158" s="2188">
        <v>20</v>
      </c>
      <c r="CX158" s="286"/>
      <c r="CY158" s="842"/>
      <c r="CZ158" s="286"/>
      <c r="DA158" s="2188"/>
      <c r="DB158" s="286"/>
      <c r="DC158" s="842"/>
      <c r="DD158" s="286"/>
      <c r="DE158" s="842"/>
      <c r="DF158" s="838">
        <f>IFERROR(VLOOKUP(G158,Personalización!$F$18:$H$21,3,0),IFERROR(VLOOKUP(G158,Personalización!$I$18:$K$21,3,0),IFERROR(VLOOKUP(G158,Personalización!$L$18:$N$21,3,0),IFERROR(VLOOKUP(G158,Personalización!$O$18:$Q$20,3,0),0))))</f>
        <v>0</v>
      </c>
    </row>
    <row r="159" spans="1:110" ht="12.75" customHeight="1">
      <c r="A159" s="219">
        <v>159</v>
      </c>
      <c r="B159" s="7145"/>
      <c r="C159" s="511" t="s">
        <v>5932</v>
      </c>
      <c r="D159" s="512"/>
      <c r="F159" s="2224">
        <v>19</v>
      </c>
      <c r="G159" s="307" t="s">
        <v>1295</v>
      </c>
      <c r="H159" s="2188"/>
      <c r="I159" s="286"/>
      <c r="J159" s="842"/>
      <c r="K159" s="286"/>
      <c r="L159" s="286"/>
      <c r="M159" s="2188">
        <v>20</v>
      </c>
      <c r="N159" s="286">
        <v>20</v>
      </c>
      <c r="O159" s="842">
        <v>20</v>
      </c>
      <c r="P159" s="286"/>
      <c r="Q159" s="286"/>
      <c r="R159" s="2188">
        <v>20</v>
      </c>
      <c r="S159" s="842"/>
      <c r="T159" s="286">
        <v>20</v>
      </c>
      <c r="U159" s="2188"/>
      <c r="V159" s="842"/>
      <c r="W159" s="286">
        <v>20</v>
      </c>
      <c r="X159" s="286"/>
      <c r="Y159" s="926"/>
      <c r="Z159" s="699"/>
      <c r="AA159" s="2187"/>
      <c r="AB159" s="699"/>
      <c r="AC159" s="699"/>
      <c r="AD159" s="926"/>
      <c r="AE159" s="2187"/>
      <c r="AF159" s="699">
        <v>10</v>
      </c>
      <c r="AG159" s="699">
        <v>10</v>
      </c>
      <c r="AH159" s="699">
        <v>20</v>
      </c>
      <c r="AI159" s="926"/>
      <c r="AJ159" s="699"/>
      <c r="AK159" s="2187"/>
      <c r="AL159" s="699">
        <v>30</v>
      </c>
      <c r="AM159" s="699">
        <v>20</v>
      </c>
      <c r="AN159" s="699"/>
      <c r="AO159" s="699"/>
      <c r="AP159" s="2188"/>
      <c r="AQ159" s="286">
        <v>10</v>
      </c>
      <c r="AR159" s="842"/>
      <c r="AS159" s="286"/>
      <c r="AT159" s="286"/>
      <c r="AU159" s="2188"/>
      <c r="AV159" s="286"/>
      <c r="AW159" s="842"/>
      <c r="AX159" s="286"/>
      <c r="AY159" s="286"/>
      <c r="AZ159" s="2188"/>
      <c r="BA159" s="842"/>
      <c r="BB159" s="286"/>
      <c r="BC159" s="286"/>
      <c r="BD159" s="2188">
        <v>20</v>
      </c>
      <c r="BE159" s="842"/>
      <c r="BF159" s="286"/>
      <c r="BG159" s="286"/>
      <c r="BH159" s="843">
        <v>10</v>
      </c>
      <c r="BI159" s="2188">
        <v>20</v>
      </c>
      <c r="BJ159" s="842">
        <v>30</v>
      </c>
      <c r="BK159" s="286">
        <v>20</v>
      </c>
      <c r="BL159" s="286"/>
      <c r="BM159" s="843">
        <v>20</v>
      </c>
      <c r="BN159" s="286">
        <v>10</v>
      </c>
      <c r="BO159" s="286"/>
      <c r="BP159" s="2188">
        <v>10</v>
      </c>
      <c r="BQ159" s="286"/>
      <c r="BR159" s="842"/>
      <c r="BS159" s="286">
        <v>20</v>
      </c>
      <c r="BT159" s="286"/>
      <c r="BU159" s="2188">
        <v>20</v>
      </c>
      <c r="BV159" s="286">
        <v>20</v>
      </c>
      <c r="BW159" s="286"/>
      <c r="BX159" s="842"/>
      <c r="BY159" s="286">
        <v>20</v>
      </c>
      <c r="BZ159" s="286">
        <v>30</v>
      </c>
      <c r="CA159" s="286"/>
      <c r="CB159" s="2188"/>
      <c r="CC159" s="286"/>
      <c r="CD159" s="842"/>
      <c r="CE159" s="286">
        <v>20</v>
      </c>
      <c r="CF159" s="286">
        <v>20</v>
      </c>
      <c r="CG159" s="2188">
        <v>20</v>
      </c>
      <c r="CH159" s="286"/>
      <c r="CI159" s="842"/>
      <c r="CJ159" s="286"/>
      <c r="CK159" s="286"/>
      <c r="CL159" s="286"/>
      <c r="CM159" s="286"/>
      <c r="CN159" s="2188">
        <v>20</v>
      </c>
      <c r="CO159" s="842"/>
      <c r="CP159" s="286">
        <v>20</v>
      </c>
      <c r="CQ159" s="286">
        <v>20</v>
      </c>
      <c r="CR159" s="2188"/>
      <c r="CS159" s="286"/>
      <c r="CT159" s="842"/>
      <c r="CU159" s="286">
        <v>20</v>
      </c>
      <c r="CV159" s="286">
        <v>20</v>
      </c>
      <c r="CW159" s="2188">
        <v>20</v>
      </c>
      <c r="CX159" s="286">
        <v>20</v>
      </c>
      <c r="CY159" s="842">
        <v>20</v>
      </c>
      <c r="CZ159" s="286"/>
      <c r="DA159" s="2188">
        <v>20</v>
      </c>
      <c r="DB159" s="286"/>
      <c r="DC159" s="842"/>
      <c r="DD159" s="286"/>
      <c r="DE159" s="842"/>
      <c r="DF159" s="838">
        <f>IFERROR(VLOOKUP(G159,Personalización!$F$18:$H$21,3,0),IFERROR(VLOOKUP(G159,Personalización!$I$18:$K$21,3,0),IFERROR(VLOOKUP(G159,Personalización!$L$18:$N$21,3,0),IFERROR(VLOOKUP(G159,Personalización!$O$18:$Q$20,3,0),0))))</f>
        <v>0</v>
      </c>
    </row>
    <row r="160" spans="1:110" ht="12.75" customHeight="1">
      <c r="A160" s="219">
        <v>160</v>
      </c>
      <c r="B160" s="7145"/>
      <c r="C160" s="511" t="s">
        <v>5896</v>
      </c>
      <c r="D160" s="512"/>
      <c r="F160" s="2224">
        <v>20</v>
      </c>
      <c r="G160" s="307" t="s">
        <v>1296</v>
      </c>
      <c r="H160" s="2188"/>
      <c r="I160" s="286"/>
      <c r="J160" s="842"/>
      <c r="K160" s="286">
        <v>20</v>
      </c>
      <c r="L160" s="286">
        <v>20</v>
      </c>
      <c r="M160" s="2188"/>
      <c r="N160" s="286"/>
      <c r="O160" s="842"/>
      <c r="P160" s="286"/>
      <c r="Q160" s="286"/>
      <c r="R160" s="2188"/>
      <c r="S160" s="842"/>
      <c r="T160" s="286"/>
      <c r="U160" s="2188"/>
      <c r="V160" s="842"/>
      <c r="W160" s="286"/>
      <c r="X160" s="286"/>
      <c r="Y160" s="926"/>
      <c r="Z160" s="699"/>
      <c r="AA160" s="2187"/>
      <c r="AB160" s="699"/>
      <c r="AC160" s="699"/>
      <c r="AD160" s="926"/>
      <c r="AE160" s="2187"/>
      <c r="AF160" s="699"/>
      <c r="AG160" s="699"/>
      <c r="AH160" s="699"/>
      <c r="AI160" s="926"/>
      <c r="AJ160" s="699"/>
      <c r="AK160" s="2187"/>
      <c r="AL160" s="699"/>
      <c r="AM160" s="699"/>
      <c r="AN160" s="699"/>
      <c r="AO160" s="699"/>
      <c r="AP160" s="2188"/>
      <c r="AQ160" s="286"/>
      <c r="AR160" s="842"/>
      <c r="AS160" s="286"/>
      <c r="AT160" s="286"/>
      <c r="AU160" s="2188"/>
      <c r="AV160" s="286"/>
      <c r="AW160" s="842"/>
      <c r="AX160" s="286"/>
      <c r="AY160" s="286"/>
      <c r="AZ160" s="2188"/>
      <c r="BA160" s="842"/>
      <c r="BB160" s="286"/>
      <c r="BC160" s="286"/>
      <c r="BD160" s="2188"/>
      <c r="BE160" s="842"/>
      <c r="BF160" s="286"/>
      <c r="BG160" s="286"/>
      <c r="BH160" s="843"/>
      <c r="BI160" s="2188"/>
      <c r="BJ160" s="842"/>
      <c r="BK160" s="286">
        <v>20</v>
      </c>
      <c r="BL160" s="286">
        <v>20</v>
      </c>
      <c r="BM160" s="843"/>
      <c r="BN160" s="286">
        <v>30</v>
      </c>
      <c r="BO160" s="286"/>
      <c r="BP160" s="2188"/>
      <c r="BQ160" s="286"/>
      <c r="BR160" s="842"/>
      <c r="BS160" s="286"/>
      <c r="BT160" s="286"/>
      <c r="BU160" s="2188"/>
      <c r="BV160" s="286"/>
      <c r="BW160" s="286"/>
      <c r="BX160" s="842"/>
      <c r="BY160" s="286"/>
      <c r="BZ160" s="286"/>
      <c r="CA160" s="286"/>
      <c r="CB160" s="2188"/>
      <c r="CC160" s="286"/>
      <c r="CD160" s="842"/>
      <c r="CE160" s="286"/>
      <c r="CF160" s="286"/>
      <c r="CG160" s="2188"/>
      <c r="CH160" s="286"/>
      <c r="CI160" s="842"/>
      <c r="CJ160" s="286"/>
      <c r="CK160" s="286"/>
      <c r="CL160" s="286"/>
      <c r="CM160" s="286"/>
      <c r="CN160" s="2188"/>
      <c r="CO160" s="842"/>
      <c r="CP160" s="286"/>
      <c r="CQ160" s="286"/>
      <c r="CR160" s="2188"/>
      <c r="CS160" s="286"/>
      <c r="CT160" s="842"/>
      <c r="CU160" s="286"/>
      <c r="CV160" s="286"/>
      <c r="CW160" s="2188"/>
      <c r="CX160" s="286"/>
      <c r="CY160" s="842"/>
      <c r="CZ160" s="286"/>
      <c r="DA160" s="2188"/>
      <c r="DB160" s="286"/>
      <c r="DC160" s="842"/>
      <c r="DD160" s="286"/>
      <c r="DE160" s="842"/>
      <c r="DF160" s="838">
        <f>IFERROR(VLOOKUP(G160,Personalización!$F$18:$H$21,3,0),IFERROR(VLOOKUP(G160,Personalización!$I$18:$K$21,3,0),IFERROR(VLOOKUP(G160,Personalización!$L$18:$N$21,3,0),IFERROR(VLOOKUP(G160,Personalización!$O$18:$Q$20,3,0),0))))</f>
        <v>0</v>
      </c>
    </row>
    <row r="161" spans="1:110" ht="12.75" customHeight="1">
      <c r="A161" s="219">
        <v>161</v>
      </c>
      <c r="B161" s="7145"/>
      <c r="C161" s="511" t="s">
        <v>5897</v>
      </c>
      <c r="D161" s="512"/>
      <c r="F161" s="2224">
        <v>21</v>
      </c>
      <c r="G161" s="307" t="s">
        <v>2405</v>
      </c>
      <c r="H161" s="2188"/>
      <c r="I161" s="286"/>
      <c r="J161" s="842"/>
      <c r="K161" s="286"/>
      <c r="L161" s="286"/>
      <c r="M161" s="2188"/>
      <c r="N161" s="286"/>
      <c r="O161" s="842"/>
      <c r="P161" s="286"/>
      <c r="Q161" s="286"/>
      <c r="R161" s="2188"/>
      <c r="S161" s="842"/>
      <c r="T161" s="286"/>
      <c r="U161" s="2188"/>
      <c r="V161" s="842"/>
      <c r="W161" s="286"/>
      <c r="X161" s="286"/>
      <c r="Y161" s="926"/>
      <c r="Z161" s="699"/>
      <c r="AA161" s="2187"/>
      <c r="AB161" s="699"/>
      <c r="AC161" s="699"/>
      <c r="AD161" s="926"/>
      <c r="AE161" s="2187"/>
      <c r="AF161" s="699"/>
      <c r="AG161" s="699"/>
      <c r="AH161" s="699"/>
      <c r="AI161" s="926"/>
      <c r="AJ161" s="699"/>
      <c r="AK161" s="2187"/>
      <c r="AL161" s="699"/>
      <c r="AM161" s="699"/>
      <c r="AN161" s="699"/>
      <c r="AO161" s="699"/>
      <c r="AP161" s="2188"/>
      <c r="AQ161" s="286"/>
      <c r="AR161" s="842"/>
      <c r="AS161" s="286"/>
      <c r="AT161" s="286"/>
      <c r="AU161" s="2188"/>
      <c r="AV161" s="286"/>
      <c r="AW161" s="842"/>
      <c r="AX161" s="286"/>
      <c r="AY161" s="286"/>
      <c r="AZ161" s="2188"/>
      <c r="BA161" s="842"/>
      <c r="BB161" s="286"/>
      <c r="BC161" s="286"/>
      <c r="BD161" s="2188"/>
      <c r="BE161" s="842"/>
      <c r="BF161" s="286"/>
      <c r="BG161" s="286"/>
      <c r="BH161" s="843"/>
      <c r="BI161" s="2188"/>
      <c r="BJ161" s="842"/>
      <c r="BK161" s="286"/>
      <c r="BL161" s="286"/>
      <c r="BM161" s="843"/>
      <c r="BN161" s="286"/>
      <c r="BO161" s="286"/>
      <c r="BP161" s="2188"/>
      <c r="BQ161" s="286"/>
      <c r="BR161" s="842"/>
      <c r="BS161" s="286"/>
      <c r="BT161" s="286"/>
      <c r="BU161" s="2188"/>
      <c r="BV161" s="286"/>
      <c r="BW161" s="286"/>
      <c r="BX161" s="842"/>
      <c r="BY161" s="286"/>
      <c r="BZ161" s="286"/>
      <c r="CA161" s="286"/>
      <c r="CB161" s="2188"/>
      <c r="CC161" s="286"/>
      <c r="CD161" s="842"/>
      <c r="CE161" s="286"/>
      <c r="CF161" s="286"/>
      <c r="CG161" s="2188"/>
      <c r="CH161" s="286"/>
      <c r="CI161" s="842"/>
      <c r="CJ161" s="286"/>
      <c r="CK161" s="286"/>
      <c r="CL161" s="286"/>
      <c r="CM161" s="286"/>
      <c r="CN161" s="2188"/>
      <c r="CO161" s="842"/>
      <c r="CP161" s="286"/>
      <c r="CQ161" s="286"/>
      <c r="CR161" s="2188"/>
      <c r="CS161" s="286"/>
      <c r="CT161" s="842"/>
      <c r="CU161" s="286"/>
      <c r="CV161" s="286"/>
      <c r="CW161" s="2188"/>
      <c r="CX161" s="286"/>
      <c r="CY161" s="842"/>
      <c r="CZ161" s="286"/>
      <c r="DA161" s="2188"/>
      <c r="DB161" s="286"/>
      <c r="DC161" s="842"/>
      <c r="DD161" s="286"/>
      <c r="DE161" s="842"/>
      <c r="DF161" s="838">
        <f>IFERROR(VLOOKUP(G161,Personalización!$F$18:$H$21,3,0),IFERROR(VLOOKUP(G161,Personalización!$I$18:$K$21,3,0),IFERROR(VLOOKUP(G161,Personalización!$L$18:$N$21,3,0),IFERROR(VLOOKUP(G161,Personalización!$O$18:$Q$20,3,0),0))))</f>
        <v>0</v>
      </c>
    </row>
    <row r="162" spans="1:110" ht="12.75" customHeight="1">
      <c r="A162" s="219">
        <v>162</v>
      </c>
      <c r="B162" s="7145"/>
      <c r="C162" s="511" t="s">
        <v>5933</v>
      </c>
      <c r="D162" s="512"/>
      <c r="F162" s="2224">
        <v>22</v>
      </c>
      <c r="G162" s="307" t="s">
        <v>1297</v>
      </c>
      <c r="H162" s="2188"/>
      <c r="I162" s="286"/>
      <c r="J162" s="842"/>
      <c r="K162" s="286">
        <v>20</v>
      </c>
      <c r="L162" s="286">
        <v>20</v>
      </c>
      <c r="M162" s="2188">
        <v>20</v>
      </c>
      <c r="N162" s="286">
        <v>40</v>
      </c>
      <c r="O162" s="842"/>
      <c r="P162" s="286"/>
      <c r="Q162" s="286"/>
      <c r="R162" s="2188">
        <v>20</v>
      </c>
      <c r="S162" s="842"/>
      <c r="T162" s="286">
        <v>20</v>
      </c>
      <c r="U162" s="2188"/>
      <c r="V162" s="842"/>
      <c r="W162" s="286">
        <v>20</v>
      </c>
      <c r="X162" s="286"/>
      <c r="Y162" s="926"/>
      <c r="Z162" s="699"/>
      <c r="AA162" s="2187"/>
      <c r="AB162" s="699"/>
      <c r="AC162" s="699"/>
      <c r="AD162" s="926"/>
      <c r="AE162" s="2187"/>
      <c r="AF162" s="699">
        <v>10</v>
      </c>
      <c r="AG162" s="699"/>
      <c r="AH162" s="699"/>
      <c r="AI162" s="926"/>
      <c r="AJ162" s="699"/>
      <c r="AK162" s="2187"/>
      <c r="AL162" s="699">
        <v>30</v>
      </c>
      <c r="AM162" s="699"/>
      <c r="AN162" s="699"/>
      <c r="AO162" s="699"/>
      <c r="AP162" s="2188">
        <v>30</v>
      </c>
      <c r="AQ162" s="286">
        <v>10</v>
      </c>
      <c r="AR162" s="842">
        <v>20</v>
      </c>
      <c r="AS162" s="286"/>
      <c r="AT162" s="286"/>
      <c r="AU162" s="2188"/>
      <c r="AV162" s="286"/>
      <c r="AW162" s="842"/>
      <c r="AX162" s="286"/>
      <c r="AY162" s="286"/>
      <c r="AZ162" s="2188"/>
      <c r="BA162" s="842"/>
      <c r="BB162" s="286"/>
      <c r="BC162" s="286"/>
      <c r="BD162" s="2188"/>
      <c r="BE162" s="842"/>
      <c r="BF162" s="286"/>
      <c r="BG162" s="286"/>
      <c r="BH162" s="843"/>
      <c r="BI162" s="2188">
        <v>20</v>
      </c>
      <c r="BJ162" s="842"/>
      <c r="BK162" s="286">
        <v>20</v>
      </c>
      <c r="BL162" s="286"/>
      <c r="BM162" s="843">
        <v>10</v>
      </c>
      <c r="BN162" s="286"/>
      <c r="BO162" s="286"/>
      <c r="BP162" s="2188">
        <v>20</v>
      </c>
      <c r="BQ162" s="286"/>
      <c r="BR162" s="842"/>
      <c r="BS162" s="286">
        <v>20</v>
      </c>
      <c r="BT162" s="286"/>
      <c r="BU162" s="2188"/>
      <c r="BV162" s="286">
        <v>20</v>
      </c>
      <c r="BW162" s="286"/>
      <c r="BX162" s="842"/>
      <c r="BY162" s="286"/>
      <c r="BZ162" s="286">
        <v>30</v>
      </c>
      <c r="CA162" s="286"/>
      <c r="CB162" s="2188"/>
      <c r="CC162" s="286"/>
      <c r="CD162" s="842"/>
      <c r="CE162" s="286">
        <v>20</v>
      </c>
      <c r="CF162" s="286">
        <v>20</v>
      </c>
      <c r="CG162" s="2188">
        <v>30</v>
      </c>
      <c r="CH162" s="286"/>
      <c r="CI162" s="842"/>
      <c r="CJ162" s="286"/>
      <c r="CK162" s="286"/>
      <c r="CL162" s="286"/>
      <c r="CM162" s="286"/>
      <c r="CN162" s="2188">
        <v>20</v>
      </c>
      <c r="CO162" s="842"/>
      <c r="CP162" s="286">
        <v>20</v>
      </c>
      <c r="CQ162" s="286"/>
      <c r="CR162" s="2188"/>
      <c r="CS162" s="286"/>
      <c r="CT162" s="842"/>
      <c r="CU162" s="286"/>
      <c r="CV162" s="286"/>
      <c r="CW162" s="2188"/>
      <c r="CX162" s="286"/>
      <c r="CY162" s="842"/>
      <c r="CZ162" s="286"/>
      <c r="DA162" s="2188"/>
      <c r="DB162" s="286"/>
      <c r="DC162" s="842"/>
      <c r="DD162" s="286"/>
      <c r="DE162" s="842"/>
      <c r="DF162" s="838">
        <f>IFERROR(VLOOKUP(G162,Personalización!$F$18:$H$21,3,0),IFERROR(VLOOKUP(G162,Personalización!$I$18:$K$21,3,0),IFERROR(VLOOKUP(G162,Personalización!$L$18:$N$21,3,0),IFERROR(VLOOKUP(G162,Personalización!$O$18:$Q$20,3,0),0))))</f>
        <v>0</v>
      </c>
    </row>
    <row r="163" spans="1:110" ht="12.75" customHeight="1">
      <c r="A163" s="219">
        <v>163</v>
      </c>
      <c r="B163" s="7145"/>
      <c r="C163" s="511" t="s">
        <v>5898</v>
      </c>
      <c r="D163" s="512"/>
      <c r="F163" s="2224">
        <v>23</v>
      </c>
      <c r="G163" s="307" t="s">
        <v>1299</v>
      </c>
      <c r="H163" s="2188" t="s">
        <v>5967</v>
      </c>
      <c r="I163" s="286" t="s">
        <v>5967</v>
      </c>
      <c r="J163" s="842" t="s">
        <v>5967</v>
      </c>
      <c r="K163" s="286">
        <v>20</v>
      </c>
      <c r="L163" s="286"/>
      <c r="M163" s="2188"/>
      <c r="N163" s="286"/>
      <c r="O163" s="842"/>
      <c r="P163" s="286" t="s">
        <v>5967</v>
      </c>
      <c r="Q163" s="286" t="s">
        <v>5967</v>
      </c>
      <c r="R163" s="2188"/>
      <c r="S163" s="842" t="s">
        <v>5967</v>
      </c>
      <c r="T163" s="286"/>
      <c r="U163" s="2188" t="s">
        <v>5967</v>
      </c>
      <c r="V163" s="842" t="s">
        <v>5967</v>
      </c>
      <c r="W163" s="286"/>
      <c r="X163" s="286" t="s">
        <v>5967</v>
      </c>
      <c r="Y163" s="926" t="s">
        <v>5967</v>
      </c>
      <c r="Z163" s="699" t="s">
        <v>5967</v>
      </c>
      <c r="AA163" s="2187" t="s">
        <v>5967</v>
      </c>
      <c r="AB163" s="699"/>
      <c r="AC163" s="699" t="s">
        <v>5967</v>
      </c>
      <c r="AD163" s="926" t="s">
        <v>5967</v>
      </c>
      <c r="AE163" s="2187" t="s">
        <v>5967</v>
      </c>
      <c r="AF163" s="699"/>
      <c r="AG163" s="699"/>
      <c r="AH163" s="699"/>
      <c r="AI163" s="926"/>
      <c r="AJ163" s="699"/>
      <c r="AK163" s="2187" t="s">
        <v>5967</v>
      </c>
      <c r="AL163" s="699" t="s">
        <v>5967</v>
      </c>
      <c r="AM163" s="699" t="s">
        <v>5967</v>
      </c>
      <c r="AN163" s="699"/>
      <c r="AO163" s="699" t="s">
        <v>5967</v>
      </c>
      <c r="AP163" s="2188"/>
      <c r="AQ163" s="286"/>
      <c r="AR163" s="842"/>
      <c r="AS163" s="286"/>
      <c r="AT163" s="286"/>
      <c r="AU163" s="2188" t="s">
        <v>5967</v>
      </c>
      <c r="AV163" s="286">
        <v>20</v>
      </c>
      <c r="AW163" s="842">
        <v>20</v>
      </c>
      <c r="AX163" s="286" t="s">
        <v>5967</v>
      </c>
      <c r="AY163" s="286" t="s">
        <v>5967</v>
      </c>
      <c r="AZ163" s="2188" t="s">
        <v>6556</v>
      </c>
      <c r="BA163" s="842" t="s">
        <v>6557</v>
      </c>
      <c r="BB163" s="286" t="s">
        <v>5967</v>
      </c>
      <c r="BC163" s="286" t="s">
        <v>5968</v>
      </c>
      <c r="BD163" s="2188"/>
      <c r="BE163" s="842" t="s">
        <v>5967</v>
      </c>
      <c r="BF163" s="286" t="s">
        <v>5967</v>
      </c>
      <c r="BG163" s="286" t="s">
        <v>5968</v>
      </c>
      <c r="BH163" s="843"/>
      <c r="BI163" s="2188"/>
      <c r="BJ163" s="842"/>
      <c r="BK163" s="286">
        <v>20</v>
      </c>
      <c r="BL163" s="286">
        <v>20</v>
      </c>
      <c r="BM163" s="843"/>
      <c r="BN163" s="286">
        <v>10</v>
      </c>
      <c r="BO163" s="286"/>
      <c r="BP163" s="2188"/>
      <c r="BQ163" s="286" t="s">
        <v>5967</v>
      </c>
      <c r="BR163" s="842" t="s">
        <v>5967</v>
      </c>
      <c r="BS163" s="286"/>
      <c r="BT163" s="286">
        <v>20</v>
      </c>
      <c r="BU163" s="2188" t="s">
        <v>5967</v>
      </c>
      <c r="BV163" s="286"/>
      <c r="BW163" s="286" t="s">
        <v>5967</v>
      </c>
      <c r="BX163" s="842" t="s">
        <v>5968</v>
      </c>
      <c r="BY163" s="286"/>
      <c r="BZ163" s="286"/>
      <c r="CA163" s="286"/>
      <c r="CB163" s="2188" t="s">
        <v>5967</v>
      </c>
      <c r="CC163" s="286" t="s">
        <v>5967</v>
      </c>
      <c r="CD163" s="842" t="s">
        <v>5967</v>
      </c>
      <c r="CE163" s="286"/>
      <c r="CF163" s="286"/>
      <c r="CG163" s="2188"/>
      <c r="CH163" s="286"/>
      <c r="CI163" s="842" t="s">
        <v>5967</v>
      </c>
      <c r="CJ163" s="286" t="s">
        <v>5967</v>
      </c>
      <c r="CK163" s="286" t="s">
        <v>5967</v>
      </c>
      <c r="CL163" s="286" t="s">
        <v>5967</v>
      </c>
      <c r="CM163" s="286" t="s">
        <v>5967</v>
      </c>
      <c r="CN163" s="2188" t="s">
        <v>5968</v>
      </c>
      <c r="CO163" s="842" t="s">
        <v>5968</v>
      </c>
      <c r="CP163" s="286"/>
      <c r="CQ163" s="286"/>
      <c r="CR163" s="2188" t="s">
        <v>5967</v>
      </c>
      <c r="CS163" s="286" t="s">
        <v>5967</v>
      </c>
      <c r="CT163" s="842" t="s">
        <v>5967</v>
      </c>
      <c r="CU163" s="286"/>
      <c r="CV163" s="286"/>
      <c r="CW163" s="2188"/>
      <c r="CX163" s="286"/>
      <c r="CY163" s="842"/>
      <c r="CZ163" s="286"/>
      <c r="DA163" s="2188"/>
      <c r="DB163" s="286"/>
      <c r="DC163" s="842"/>
      <c r="DD163" s="286"/>
      <c r="DE163" s="842"/>
      <c r="DF163" s="838">
        <f>IFERROR(VLOOKUP(G163,Personalización!$F$18:$H$21,3,0),IFERROR(VLOOKUP(G163,Personalización!$I$18:$K$21,3,0),IFERROR(VLOOKUP(G163,Personalización!$L$18:$N$21,3,0),IFERROR(VLOOKUP(G163,Personalización!$O$18:$Q$20,3,0),0))))</f>
        <v>0</v>
      </c>
    </row>
    <row r="164" spans="1:110" ht="12.75" customHeight="1">
      <c r="A164" s="219">
        <v>164</v>
      </c>
      <c r="B164" s="7145"/>
      <c r="C164" s="511" t="s">
        <v>5899</v>
      </c>
      <c r="D164" s="512"/>
      <c r="F164" s="2224">
        <v>24</v>
      </c>
      <c r="G164" s="307" t="s">
        <v>688</v>
      </c>
      <c r="H164" s="2188"/>
      <c r="I164" s="286"/>
      <c r="J164" s="842"/>
      <c r="K164" s="286"/>
      <c r="L164" s="286"/>
      <c r="M164" s="2188"/>
      <c r="N164" s="286"/>
      <c r="O164" s="842"/>
      <c r="P164" s="286"/>
      <c r="Q164" s="286"/>
      <c r="R164" s="2188"/>
      <c r="S164" s="842"/>
      <c r="T164" s="286"/>
      <c r="U164" s="2188"/>
      <c r="V164" s="842"/>
      <c r="W164" s="286"/>
      <c r="X164" s="286"/>
      <c r="Y164" s="926"/>
      <c r="Z164" s="699"/>
      <c r="AA164" s="2187"/>
      <c r="AB164" s="699"/>
      <c r="AC164" s="699"/>
      <c r="AD164" s="926"/>
      <c r="AE164" s="2187"/>
      <c r="AF164" s="699"/>
      <c r="AG164" s="699"/>
      <c r="AH164" s="699"/>
      <c r="AI164" s="926"/>
      <c r="AJ164" s="699"/>
      <c r="AK164" s="2187"/>
      <c r="AL164" s="699"/>
      <c r="AM164" s="699"/>
      <c r="AN164" s="699"/>
      <c r="AO164" s="699"/>
      <c r="AP164" s="2188"/>
      <c r="AQ164" s="286"/>
      <c r="AR164" s="842"/>
      <c r="AS164" s="286"/>
      <c r="AT164" s="286"/>
      <c r="AU164" s="2188"/>
      <c r="AV164" s="286"/>
      <c r="AW164" s="842"/>
      <c r="AX164" s="286"/>
      <c r="AY164" s="286"/>
      <c r="AZ164" s="2188"/>
      <c r="BA164" s="842"/>
      <c r="BB164" s="286"/>
      <c r="BC164" s="286"/>
      <c r="BD164" s="2188"/>
      <c r="BE164" s="842"/>
      <c r="BF164" s="286"/>
      <c r="BG164" s="286"/>
      <c r="BH164" s="843"/>
      <c r="BI164" s="2188"/>
      <c r="BJ164" s="842"/>
      <c r="BK164" s="286"/>
      <c r="BL164" s="286"/>
      <c r="BM164" s="843"/>
      <c r="BN164" s="286"/>
      <c r="BO164" s="286"/>
      <c r="BP164" s="2188"/>
      <c r="BQ164" s="286"/>
      <c r="BR164" s="842"/>
      <c r="BS164" s="286"/>
      <c r="BT164" s="286"/>
      <c r="BU164" s="2188"/>
      <c r="BV164" s="286"/>
      <c r="BW164" s="286"/>
      <c r="BX164" s="842"/>
      <c r="BY164" s="286"/>
      <c r="BZ164" s="286"/>
      <c r="CA164" s="286"/>
      <c r="CB164" s="2188"/>
      <c r="CC164" s="286"/>
      <c r="CD164" s="842"/>
      <c r="CE164" s="286"/>
      <c r="CF164" s="286"/>
      <c r="CG164" s="2188"/>
      <c r="CH164" s="286"/>
      <c r="CI164" s="842"/>
      <c r="CJ164" s="286"/>
      <c r="CK164" s="286"/>
      <c r="CL164" s="286"/>
      <c r="CM164" s="286"/>
      <c r="CN164" s="2188"/>
      <c r="CO164" s="842"/>
      <c r="CP164" s="286"/>
      <c r="CQ164" s="286"/>
      <c r="CR164" s="2188"/>
      <c r="CS164" s="286"/>
      <c r="CT164" s="842"/>
      <c r="CU164" s="286"/>
      <c r="CV164" s="286"/>
      <c r="CW164" s="2188"/>
      <c r="CX164" s="286"/>
      <c r="CY164" s="842"/>
      <c r="CZ164" s="286"/>
      <c r="DA164" s="2188"/>
      <c r="DB164" s="286"/>
      <c r="DC164" s="842"/>
      <c r="DD164" s="286"/>
      <c r="DE164" s="842"/>
      <c r="DF164" s="838">
        <f>IFERROR(VLOOKUP(G164,Personalización!$F$18:$H$21,3,0),IFERROR(VLOOKUP(G164,Personalización!$I$18:$K$21,3,0),IFERROR(VLOOKUP(G164,Personalización!$L$18:$N$21,3,0),IFERROR(VLOOKUP(G164,Personalización!$O$18:$Q$20,3,0),0))))</f>
        <v>0</v>
      </c>
    </row>
    <row r="165" spans="1:110" ht="12.75" customHeight="1">
      <c r="A165" s="219">
        <v>165</v>
      </c>
      <c r="B165" s="7145"/>
      <c r="C165" s="511" t="s">
        <v>5934</v>
      </c>
      <c r="D165" s="512"/>
      <c r="F165" s="2224">
        <v>25</v>
      </c>
      <c r="G165" s="307" t="s">
        <v>1302</v>
      </c>
      <c r="H165" s="2188"/>
      <c r="I165" s="286"/>
      <c r="J165" s="842"/>
      <c r="K165" s="286">
        <v>20</v>
      </c>
      <c r="L165" s="286"/>
      <c r="M165" s="2188"/>
      <c r="N165" s="286"/>
      <c r="O165" s="842"/>
      <c r="P165" s="286"/>
      <c r="Q165" s="286"/>
      <c r="R165" s="2188"/>
      <c r="S165" s="842"/>
      <c r="T165" s="286"/>
      <c r="U165" s="2188"/>
      <c r="V165" s="842"/>
      <c r="W165" s="286"/>
      <c r="X165" s="286"/>
      <c r="Y165" s="926"/>
      <c r="Z165" s="699"/>
      <c r="AA165" s="2187"/>
      <c r="AB165" s="699"/>
      <c r="AC165" s="699"/>
      <c r="AD165" s="926"/>
      <c r="AE165" s="2187"/>
      <c r="AF165" s="699"/>
      <c r="AG165" s="699"/>
      <c r="AH165" s="699"/>
      <c r="AI165" s="926"/>
      <c r="AJ165" s="699"/>
      <c r="AK165" s="2187"/>
      <c r="AL165" s="699"/>
      <c r="AM165" s="699"/>
      <c r="AN165" s="699"/>
      <c r="AO165" s="699"/>
      <c r="AP165" s="2188"/>
      <c r="AQ165" s="286"/>
      <c r="AR165" s="842"/>
      <c r="AS165" s="286"/>
      <c r="AT165" s="286"/>
      <c r="AU165" s="2188"/>
      <c r="AV165" s="286"/>
      <c r="AW165" s="842"/>
      <c r="AX165" s="286"/>
      <c r="AY165" s="286"/>
      <c r="AZ165" s="2188"/>
      <c r="BA165" s="842"/>
      <c r="BB165" s="286"/>
      <c r="BC165" s="286"/>
      <c r="BD165" s="2188"/>
      <c r="BE165" s="842"/>
      <c r="BF165" s="286"/>
      <c r="BG165" s="286"/>
      <c r="BH165" s="843"/>
      <c r="BI165" s="2188"/>
      <c r="BJ165" s="842"/>
      <c r="BK165" s="286"/>
      <c r="BL165" s="286"/>
      <c r="BM165" s="843"/>
      <c r="BN165" s="286"/>
      <c r="BO165" s="286"/>
      <c r="BP165" s="2188"/>
      <c r="BQ165" s="286"/>
      <c r="BR165" s="842"/>
      <c r="BS165" s="286"/>
      <c r="BT165" s="286"/>
      <c r="BU165" s="2188"/>
      <c r="BV165" s="286"/>
      <c r="BW165" s="286"/>
      <c r="BX165" s="842"/>
      <c r="BY165" s="286"/>
      <c r="BZ165" s="286"/>
      <c r="CA165" s="286"/>
      <c r="CB165" s="2188"/>
      <c r="CC165" s="286"/>
      <c r="CD165" s="842"/>
      <c r="CE165" s="286"/>
      <c r="CF165" s="286"/>
      <c r="CG165" s="2188"/>
      <c r="CH165" s="286"/>
      <c r="CI165" s="842"/>
      <c r="CJ165" s="286"/>
      <c r="CK165" s="286"/>
      <c r="CL165" s="286"/>
      <c r="CM165" s="286"/>
      <c r="CN165" s="2188"/>
      <c r="CO165" s="842"/>
      <c r="CP165" s="286"/>
      <c r="CQ165" s="286"/>
      <c r="CR165" s="2188"/>
      <c r="CS165" s="286"/>
      <c r="CT165" s="842"/>
      <c r="CU165" s="286"/>
      <c r="CV165" s="286"/>
      <c r="CW165" s="2188"/>
      <c r="CX165" s="286"/>
      <c r="CY165" s="842"/>
      <c r="CZ165" s="286">
        <v>20</v>
      </c>
      <c r="DA165" s="2188"/>
      <c r="DB165" s="286"/>
      <c r="DC165" s="842"/>
      <c r="DD165" s="286"/>
      <c r="DE165" s="842"/>
      <c r="DF165" s="838">
        <f>IFERROR(VLOOKUP(G165,Personalización!$F$18:$H$21,3,0),IFERROR(VLOOKUP(G165,Personalización!$I$18:$K$21,3,0),IFERROR(VLOOKUP(G165,Personalización!$L$18:$N$21,3,0),IFERROR(VLOOKUP(G165,Personalización!$O$18:$Q$20,3,0),0))))</f>
        <v>0</v>
      </c>
    </row>
    <row r="166" spans="1:110" ht="12.75" customHeight="1">
      <c r="A166" s="219">
        <v>166</v>
      </c>
      <c r="B166" s="7145"/>
      <c r="C166" s="511" t="s">
        <v>5900</v>
      </c>
      <c r="D166" s="512"/>
      <c r="F166" s="2224">
        <v>26</v>
      </c>
      <c r="G166" s="307" t="s">
        <v>1303</v>
      </c>
      <c r="H166" s="2188"/>
      <c r="I166" s="286"/>
      <c r="J166" s="842"/>
      <c r="K166" s="286">
        <v>20</v>
      </c>
      <c r="L166" s="286">
        <v>20</v>
      </c>
      <c r="M166" s="2188"/>
      <c r="N166" s="286"/>
      <c r="O166" s="842"/>
      <c r="P166" s="286"/>
      <c r="Q166" s="286"/>
      <c r="R166" s="2188"/>
      <c r="S166" s="842"/>
      <c r="T166" s="286"/>
      <c r="U166" s="2188"/>
      <c r="V166" s="842"/>
      <c r="W166" s="286"/>
      <c r="X166" s="286"/>
      <c r="Y166" s="926"/>
      <c r="Z166" s="699"/>
      <c r="AA166" s="2187"/>
      <c r="AB166" s="699"/>
      <c r="AC166" s="699"/>
      <c r="AD166" s="926"/>
      <c r="AE166" s="2187"/>
      <c r="AF166" s="699"/>
      <c r="AG166" s="699"/>
      <c r="AH166" s="699"/>
      <c r="AI166" s="926"/>
      <c r="AJ166" s="699"/>
      <c r="AK166" s="2187"/>
      <c r="AL166" s="699"/>
      <c r="AM166" s="699"/>
      <c r="AN166" s="699">
        <v>20</v>
      </c>
      <c r="AO166" s="699"/>
      <c r="AP166" s="2188"/>
      <c r="AQ166" s="286"/>
      <c r="AR166" s="842"/>
      <c r="AS166" s="286"/>
      <c r="AT166" s="286"/>
      <c r="AU166" s="2188"/>
      <c r="AV166" s="286"/>
      <c r="AW166" s="842"/>
      <c r="AX166" s="286"/>
      <c r="AY166" s="286"/>
      <c r="AZ166" s="2188"/>
      <c r="BA166" s="842"/>
      <c r="BB166" s="286"/>
      <c r="BC166" s="286"/>
      <c r="BD166" s="2188"/>
      <c r="BE166" s="842"/>
      <c r="BF166" s="286"/>
      <c r="BG166" s="286"/>
      <c r="BH166" s="843"/>
      <c r="BI166" s="2188"/>
      <c r="BJ166" s="842"/>
      <c r="BK166" s="286">
        <v>20</v>
      </c>
      <c r="BL166" s="286">
        <v>20</v>
      </c>
      <c r="BM166" s="843"/>
      <c r="BN166" s="286">
        <v>20</v>
      </c>
      <c r="BO166" s="286"/>
      <c r="BP166" s="2188"/>
      <c r="BQ166" s="286"/>
      <c r="BR166" s="842"/>
      <c r="BS166" s="286"/>
      <c r="BT166" s="286"/>
      <c r="BU166" s="2188"/>
      <c r="BV166" s="286"/>
      <c r="BW166" s="286"/>
      <c r="BX166" s="842"/>
      <c r="BY166" s="286"/>
      <c r="BZ166" s="286"/>
      <c r="CA166" s="286"/>
      <c r="CB166" s="2188"/>
      <c r="CC166" s="286"/>
      <c r="CD166" s="842"/>
      <c r="CE166" s="286"/>
      <c r="CF166" s="286"/>
      <c r="CG166" s="2188"/>
      <c r="CH166" s="286"/>
      <c r="CI166" s="842"/>
      <c r="CJ166" s="286"/>
      <c r="CK166" s="286"/>
      <c r="CL166" s="286"/>
      <c r="CM166" s="286"/>
      <c r="CN166" s="2188"/>
      <c r="CO166" s="842"/>
      <c r="CP166" s="286"/>
      <c r="CQ166" s="286"/>
      <c r="CR166" s="2188"/>
      <c r="CS166" s="286"/>
      <c r="CT166" s="842"/>
      <c r="CU166" s="286"/>
      <c r="CV166" s="286"/>
      <c r="CW166" s="2188"/>
      <c r="CX166" s="286"/>
      <c r="CY166" s="842"/>
      <c r="CZ166" s="286"/>
      <c r="DA166" s="2188"/>
      <c r="DB166" s="286"/>
      <c r="DC166" s="842"/>
      <c r="DD166" s="286"/>
      <c r="DE166" s="842"/>
      <c r="DF166" s="838">
        <f>IFERROR(VLOOKUP(G166,Personalización!$F$18:$H$21,3,0),IFERROR(VLOOKUP(G166,Personalización!$I$18:$K$21,3,0),IFERROR(VLOOKUP(G166,Personalización!$L$18:$N$21,3,0),IFERROR(VLOOKUP(G166,Personalización!$O$18:$Q$20,3,0),0))))</f>
        <v>0</v>
      </c>
    </row>
    <row r="167" spans="1:110" ht="12.75" customHeight="1">
      <c r="A167" s="219">
        <v>167</v>
      </c>
      <c r="B167" s="7145"/>
      <c r="C167" s="511" t="s">
        <v>5901</v>
      </c>
      <c r="D167" s="512"/>
      <c r="F167" s="2224">
        <v>27</v>
      </c>
      <c r="G167" s="307" t="s">
        <v>1304</v>
      </c>
      <c r="H167" s="2188"/>
      <c r="I167" s="286"/>
      <c r="J167" s="842"/>
      <c r="K167" s="286"/>
      <c r="L167" s="286"/>
      <c r="M167" s="2188"/>
      <c r="N167" s="286"/>
      <c r="O167" s="842"/>
      <c r="P167" s="286"/>
      <c r="Q167" s="286"/>
      <c r="R167" s="2188"/>
      <c r="S167" s="842"/>
      <c r="T167" s="286"/>
      <c r="U167" s="2188">
        <v>30</v>
      </c>
      <c r="V167" s="842">
        <v>10</v>
      </c>
      <c r="W167" s="286">
        <v>30</v>
      </c>
      <c r="X167" s="286">
        <v>40</v>
      </c>
      <c r="Y167" s="926"/>
      <c r="Z167" s="699"/>
      <c r="AA167" s="2187"/>
      <c r="AB167" s="699"/>
      <c r="AC167" s="699"/>
      <c r="AD167" s="926"/>
      <c r="AE167" s="2187"/>
      <c r="AF167" s="699"/>
      <c r="AG167" s="699"/>
      <c r="AH167" s="699"/>
      <c r="AI167" s="926"/>
      <c r="AJ167" s="699">
        <v>20</v>
      </c>
      <c r="AK167" s="2187"/>
      <c r="AL167" s="699"/>
      <c r="AM167" s="699"/>
      <c r="AN167" s="699"/>
      <c r="AO167" s="699"/>
      <c r="AP167" s="2188"/>
      <c r="AQ167" s="286"/>
      <c r="AR167" s="842"/>
      <c r="AS167" s="286">
        <v>20</v>
      </c>
      <c r="AT167" s="286"/>
      <c r="AU167" s="2188"/>
      <c r="AV167" s="286"/>
      <c r="AW167" s="842"/>
      <c r="AX167" s="286">
        <v>20</v>
      </c>
      <c r="AY167" s="286"/>
      <c r="AZ167" s="2188"/>
      <c r="BA167" s="842"/>
      <c r="BB167" s="286"/>
      <c r="BC167" s="286"/>
      <c r="BD167" s="2188"/>
      <c r="BE167" s="842"/>
      <c r="BF167" s="286"/>
      <c r="BG167" s="286"/>
      <c r="BH167" s="843"/>
      <c r="BI167" s="2188"/>
      <c r="BJ167" s="842"/>
      <c r="BK167" s="286"/>
      <c r="BL167" s="286"/>
      <c r="BM167" s="843"/>
      <c r="BN167" s="286"/>
      <c r="BO167" s="286"/>
      <c r="BP167" s="2188"/>
      <c r="BQ167" s="286"/>
      <c r="BR167" s="842"/>
      <c r="BS167" s="286"/>
      <c r="BT167" s="286"/>
      <c r="BU167" s="2188"/>
      <c r="BV167" s="286"/>
      <c r="BW167" s="286"/>
      <c r="BX167" s="842"/>
      <c r="BY167" s="286"/>
      <c r="BZ167" s="286"/>
      <c r="CA167" s="286"/>
      <c r="CB167" s="2188">
        <v>30</v>
      </c>
      <c r="CC167" s="286">
        <v>30</v>
      </c>
      <c r="CD167" s="842">
        <v>30</v>
      </c>
      <c r="CE167" s="286"/>
      <c r="CF167" s="286"/>
      <c r="CG167" s="2188"/>
      <c r="CH167" s="286"/>
      <c r="CI167" s="842"/>
      <c r="CJ167" s="286"/>
      <c r="CK167" s="286"/>
      <c r="CL167" s="286"/>
      <c r="CM167" s="286"/>
      <c r="CN167" s="2188"/>
      <c r="CO167" s="842"/>
      <c r="CP167" s="286"/>
      <c r="CQ167" s="286"/>
      <c r="CR167" s="2188"/>
      <c r="CS167" s="286"/>
      <c r="CT167" s="842"/>
      <c r="CU167" s="286"/>
      <c r="CV167" s="286"/>
      <c r="CW167" s="2188"/>
      <c r="CX167" s="286"/>
      <c r="CY167" s="842"/>
      <c r="CZ167" s="286"/>
      <c r="DA167" s="2188"/>
      <c r="DB167" s="286"/>
      <c r="DC167" s="842"/>
      <c r="DD167" s="286"/>
      <c r="DE167" s="842"/>
      <c r="DF167" s="838">
        <f>IFERROR(VLOOKUP(G167,Personalización!$F$18:$H$21,3,0),IFERROR(VLOOKUP(G167,Personalización!$I$18:$K$21,3,0),IFERROR(VLOOKUP(G167,Personalización!$L$18:$N$21,3,0),IFERROR(VLOOKUP(G167,Personalización!$O$18:$Q$20,3,0),0))))</f>
        <v>0</v>
      </c>
    </row>
    <row r="168" spans="1:110" ht="12.75" customHeight="1">
      <c r="A168" s="219">
        <v>168</v>
      </c>
      <c r="B168" s="7145"/>
      <c r="C168" s="511" t="s">
        <v>5902</v>
      </c>
      <c r="D168" s="512"/>
      <c r="F168" s="2224">
        <v>28</v>
      </c>
      <c r="G168" s="307" t="s">
        <v>1305</v>
      </c>
      <c r="H168" s="2188"/>
      <c r="I168" s="286"/>
      <c r="J168" s="842"/>
      <c r="K168" s="286"/>
      <c r="L168" s="286"/>
      <c r="M168" s="2188"/>
      <c r="N168" s="286"/>
      <c r="O168" s="842"/>
      <c r="P168" s="286"/>
      <c r="Q168" s="286"/>
      <c r="R168" s="2188"/>
      <c r="S168" s="842"/>
      <c r="T168" s="286"/>
      <c r="U168" s="2188"/>
      <c r="V168" s="842"/>
      <c r="W168" s="286"/>
      <c r="X168" s="286"/>
      <c r="Y168" s="926"/>
      <c r="Z168" s="699"/>
      <c r="AA168" s="2187"/>
      <c r="AB168" s="699"/>
      <c r="AC168" s="699"/>
      <c r="AD168" s="926" t="s">
        <v>5969</v>
      </c>
      <c r="AE168" s="2187" t="s">
        <v>5969</v>
      </c>
      <c r="AF168" s="699"/>
      <c r="AG168" s="699"/>
      <c r="AH168" s="699"/>
      <c r="AI168" s="926"/>
      <c r="AJ168" s="699"/>
      <c r="AK168" s="2187"/>
      <c r="AL168" s="699"/>
      <c r="AM168" s="699"/>
      <c r="AN168" s="699"/>
      <c r="AO168" s="699"/>
      <c r="AP168" s="2188" t="s">
        <v>5974</v>
      </c>
      <c r="AQ168" s="286" t="s">
        <v>5975</v>
      </c>
      <c r="AR168" s="842" t="s">
        <v>5976</v>
      </c>
      <c r="AS168" s="286"/>
      <c r="AT168" s="286"/>
      <c r="AU168" s="2188"/>
      <c r="AV168" s="286"/>
      <c r="AW168" s="842"/>
      <c r="AX168" s="286"/>
      <c r="AY168" s="286"/>
      <c r="AZ168" s="2188" t="s">
        <v>5970</v>
      </c>
      <c r="BA168" s="842" t="s">
        <v>5971</v>
      </c>
      <c r="BB168" s="286" t="s">
        <v>5972</v>
      </c>
      <c r="BC168" s="286" t="s">
        <v>5969</v>
      </c>
      <c r="BD168" s="2188" t="s">
        <v>5973</v>
      </c>
      <c r="BE168" s="842" t="s">
        <v>5969</v>
      </c>
      <c r="BF168" s="286" t="s">
        <v>5969</v>
      </c>
      <c r="BG168" s="286" t="s">
        <v>5972</v>
      </c>
      <c r="BH168" s="843"/>
      <c r="BI168" s="2188"/>
      <c r="BJ168" s="842"/>
      <c r="BK168" s="286"/>
      <c r="BL168" s="286"/>
      <c r="BM168" s="843"/>
      <c r="BN168" s="286"/>
      <c r="BO168" s="286"/>
      <c r="BP168" s="2188" t="s">
        <v>5969</v>
      </c>
      <c r="BQ168" s="286"/>
      <c r="BR168" s="842"/>
      <c r="BS168" s="286"/>
      <c r="BT168" s="286">
        <v>10</v>
      </c>
      <c r="BU168" s="2188"/>
      <c r="BV168" s="286"/>
      <c r="BW168" s="286"/>
      <c r="BX168" s="842"/>
      <c r="BY168" s="286"/>
      <c r="BZ168" s="286"/>
      <c r="CA168" s="286"/>
      <c r="CB168" s="2188"/>
      <c r="CC168" s="286"/>
      <c r="CD168" s="842"/>
      <c r="CE168" s="286"/>
      <c r="CF168" s="286"/>
      <c r="CG168" s="2188"/>
      <c r="CH168" s="286"/>
      <c r="CI168" s="842"/>
      <c r="CJ168" s="286">
        <v>20</v>
      </c>
      <c r="CK168" s="286">
        <v>20</v>
      </c>
      <c r="CL168" s="286">
        <v>20</v>
      </c>
      <c r="CM168" s="286">
        <v>20</v>
      </c>
      <c r="CN168" s="2188"/>
      <c r="CO168" s="842"/>
      <c r="CP168" s="286"/>
      <c r="CQ168" s="286">
        <v>20</v>
      </c>
      <c r="CR168" s="2188"/>
      <c r="CS168" s="286"/>
      <c r="CT168" s="842"/>
      <c r="CU168" s="286"/>
      <c r="CV168" s="286"/>
      <c r="CW168" s="2188">
        <v>20</v>
      </c>
      <c r="CX168" s="286">
        <v>20</v>
      </c>
      <c r="CY168" s="842">
        <v>20</v>
      </c>
      <c r="CZ168" s="286" t="s">
        <v>5977</v>
      </c>
      <c r="DA168" s="2188"/>
      <c r="DB168" s="286"/>
      <c r="DC168" s="842">
        <v>30</v>
      </c>
      <c r="DD168" s="286">
        <v>20</v>
      </c>
      <c r="DE168" s="842">
        <v>20</v>
      </c>
      <c r="DF168" s="838">
        <f>IFERROR(VLOOKUP(G168,Personalización!$F$18:$H$21,3,0),IFERROR(VLOOKUP(G168,Personalización!$I$18:$K$21,3,0),IFERROR(VLOOKUP(G168,Personalización!$L$18:$N$21,3,0),IFERROR(VLOOKUP(G168,Personalización!$O$18:$Q$20,3,0),0))))</f>
        <v>0</v>
      </c>
    </row>
    <row r="169" spans="1:110" ht="12.75" customHeight="1">
      <c r="A169" s="219">
        <v>169</v>
      </c>
      <c r="B169" s="7145"/>
      <c r="C169" s="511" t="s">
        <v>5938</v>
      </c>
      <c r="D169" s="512"/>
      <c r="F169" s="2224">
        <v>29</v>
      </c>
      <c r="G169" s="307" t="s">
        <v>1306</v>
      </c>
      <c r="H169" s="2188"/>
      <c r="I169" s="286">
        <v>30</v>
      </c>
      <c r="J169" s="842"/>
      <c r="K169" s="286"/>
      <c r="L169" s="286"/>
      <c r="M169" s="2188"/>
      <c r="N169" s="286"/>
      <c r="O169" s="842"/>
      <c r="P169" s="286"/>
      <c r="Q169" s="286"/>
      <c r="R169" s="2188"/>
      <c r="S169" s="842"/>
      <c r="T169" s="286"/>
      <c r="U169" s="2188">
        <v>40</v>
      </c>
      <c r="V169" s="842">
        <v>40</v>
      </c>
      <c r="W169" s="286"/>
      <c r="X169" s="286"/>
      <c r="Y169" s="926"/>
      <c r="Z169" s="699">
        <v>40</v>
      </c>
      <c r="AA169" s="2187"/>
      <c r="AB169" s="699"/>
      <c r="AC169" s="699">
        <v>20</v>
      </c>
      <c r="AD169" s="926"/>
      <c r="AE169" s="2187"/>
      <c r="AF169" s="699"/>
      <c r="AG169" s="699"/>
      <c r="AH169" s="699"/>
      <c r="AI169" s="926"/>
      <c r="AJ169" s="699"/>
      <c r="AK169" s="2187"/>
      <c r="AL169" s="699"/>
      <c r="AM169" s="699"/>
      <c r="AN169" s="699"/>
      <c r="AO169" s="699">
        <v>20</v>
      </c>
      <c r="AP169" s="2188"/>
      <c r="AQ169" s="286">
        <v>20</v>
      </c>
      <c r="AR169" s="842"/>
      <c r="AS169" s="286"/>
      <c r="AT169" s="286">
        <v>30</v>
      </c>
      <c r="AU169" s="2188"/>
      <c r="AV169" s="286">
        <v>20</v>
      </c>
      <c r="AW169" s="842"/>
      <c r="AX169" s="286"/>
      <c r="AY169" s="286">
        <v>20</v>
      </c>
      <c r="AZ169" s="2188"/>
      <c r="BA169" s="842"/>
      <c r="BB169" s="286"/>
      <c r="BC169" s="286"/>
      <c r="BD169" s="2188"/>
      <c r="BE169" s="842">
        <v>30</v>
      </c>
      <c r="BF169" s="286">
        <v>10</v>
      </c>
      <c r="BG169" s="286"/>
      <c r="BH169" s="843"/>
      <c r="BI169" s="2188"/>
      <c r="BJ169" s="842"/>
      <c r="BK169" s="286"/>
      <c r="BL169" s="286"/>
      <c r="BM169" s="843"/>
      <c r="BN169" s="286"/>
      <c r="BO169" s="286"/>
      <c r="BP169" s="2188"/>
      <c r="BQ169" s="286"/>
      <c r="BR169" s="842"/>
      <c r="BS169" s="286"/>
      <c r="BT169" s="286"/>
      <c r="BU169" s="2188"/>
      <c r="BV169" s="286"/>
      <c r="BW169" s="286">
        <v>30</v>
      </c>
      <c r="BX169" s="842"/>
      <c r="BY169" s="286"/>
      <c r="BZ169" s="286"/>
      <c r="CA169" s="286">
        <v>20</v>
      </c>
      <c r="CB169" s="2188"/>
      <c r="CC169" s="286">
        <v>20</v>
      </c>
      <c r="CD169" s="842"/>
      <c r="CE169" s="286"/>
      <c r="CF169" s="286">
        <v>20</v>
      </c>
      <c r="CG169" s="2188"/>
      <c r="CH169" s="286"/>
      <c r="CI169" s="842"/>
      <c r="CJ169" s="286"/>
      <c r="CK169" s="286"/>
      <c r="CL169" s="286">
        <v>20</v>
      </c>
      <c r="CM169" s="286"/>
      <c r="CN169" s="2188"/>
      <c r="CO169" s="842">
        <v>20</v>
      </c>
      <c r="CP169" s="286"/>
      <c r="CQ169" s="286"/>
      <c r="CR169" s="2188"/>
      <c r="CS169" s="286">
        <v>30</v>
      </c>
      <c r="CT169" s="842"/>
      <c r="CU169" s="286"/>
      <c r="CV169" s="286"/>
      <c r="CW169" s="2188"/>
      <c r="CX169" s="286">
        <v>20</v>
      </c>
      <c r="CY169" s="842"/>
      <c r="CZ169" s="286"/>
      <c r="DA169" s="2188"/>
      <c r="DB169" s="286">
        <v>30</v>
      </c>
      <c r="DC169" s="842"/>
      <c r="DD169" s="286"/>
      <c r="DE169" s="842">
        <v>20</v>
      </c>
      <c r="DF169" s="838">
        <f>IFERROR(VLOOKUP(G169,Personalización!$F$18:$H$21,3,0),IFERROR(VLOOKUP(G169,Personalización!$I$18:$K$21,3,0),IFERROR(VLOOKUP(G169,Personalización!$L$18:$N$21,3,0),IFERROR(VLOOKUP(G169,Personalización!$O$18:$Q$20,3,0),0))))</f>
        <v>0</v>
      </c>
    </row>
    <row r="170" spans="1:110" ht="12.75" customHeight="1">
      <c r="A170" s="219">
        <v>170</v>
      </c>
      <c r="B170" s="7145"/>
      <c r="C170" s="511" t="s">
        <v>5864</v>
      </c>
      <c r="D170" s="512"/>
      <c r="F170" s="2224">
        <v>30</v>
      </c>
      <c r="G170" s="307" t="s">
        <v>1307</v>
      </c>
      <c r="H170" s="2188"/>
      <c r="I170" s="286"/>
      <c r="J170" s="842"/>
      <c r="K170" s="286"/>
      <c r="L170" s="286"/>
      <c r="M170" s="2188"/>
      <c r="N170" s="286"/>
      <c r="O170" s="842"/>
      <c r="P170" s="286"/>
      <c r="Q170" s="286"/>
      <c r="R170" s="2188"/>
      <c r="S170" s="842"/>
      <c r="T170" s="286"/>
      <c r="U170" s="2188"/>
      <c r="V170" s="842"/>
      <c r="W170" s="286"/>
      <c r="X170" s="286"/>
      <c r="Y170" s="926"/>
      <c r="Z170" s="699"/>
      <c r="AA170" s="2187"/>
      <c r="AB170" s="699"/>
      <c r="AC170" s="699"/>
      <c r="AD170" s="926"/>
      <c r="AE170" s="2187"/>
      <c r="AF170" s="699"/>
      <c r="AG170" s="699"/>
      <c r="AH170" s="699"/>
      <c r="AI170" s="926"/>
      <c r="AJ170" s="699"/>
      <c r="AK170" s="2187"/>
      <c r="AL170" s="699"/>
      <c r="AM170" s="699"/>
      <c r="AN170" s="699"/>
      <c r="AO170" s="699"/>
      <c r="AP170" s="2188"/>
      <c r="AQ170" s="286"/>
      <c r="AR170" s="842"/>
      <c r="AS170" s="286"/>
      <c r="AT170" s="286"/>
      <c r="AU170" s="2188"/>
      <c r="AV170" s="286"/>
      <c r="AW170" s="842"/>
      <c r="AX170" s="286"/>
      <c r="AY170" s="286"/>
      <c r="AZ170" s="2188"/>
      <c r="BA170" s="842"/>
      <c r="BB170" s="286"/>
      <c r="BC170" s="286"/>
      <c r="BD170" s="2188"/>
      <c r="BE170" s="842"/>
      <c r="BF170" s="286"/>
      <c r="BG170" s="286"/>
      <c r="BH170" s="843"/>
      <c r="BI170" s="2188"/>
      <c r="BJ170" s="842"/>
      <c r="BK170" s="286"/>
      <c r="BL170" s="286"/>
      <c r="BM170" s="843"/>
      <c r="BN170" s="286"/>
      <c r="BO170" s="286"/>
      <c r="BP170" s="2188"/>
      <c r="BQ170" s="286"/>
      <c r="BR170" s="842"/>
      <c r="BS170" s="286"/>
      <c r="BT170" s="286"/>
      <c r="BU170" s="2188"/>
      <c r="BV170" s="286"/>
      <c r="BW170" s="286"/>
      <c r="BX170" s="842"/>
      <c r="BY170" s="286"/>
      <c r="BZ170" s="286"/>
      <c r="CA170" s="286"/>
      <c r="CB170" s="2188"/>
      <c r="CC170" s="286"/>
      <c r="CD170" s="842"/>
      <c r="CE170" s="286"/>
      <c r="CF170" s="286"/>
      <c r="CG170" s="2188"/>
      <c r="CH170" s="286"/>
      <c r="CI170" s="842"/>
      <c r="CJ170" s="286"/>
      <c r="CK170" s="286"/>
      <c r="CL170" s="286"/>
      <c r="CM170" s="286"/>
      <c r="CN170" s="2188"/>
      <c r="CO170" s="842"/>
      <c r="CP170" s="286"/>
      <c r="CQ170" s="286"/>
      <c r="CR170" s="2188"/>
      <c r="CS170" s="286"/>
      <c r="CT170" s="842"/>
      <c r="CU170" s="286"/>
      <c r="CV170" s="286"/>
      <c r="CW170" s="2188"/>
      <c r="CX170" s="286"/>
      <c r="CY170" s="842"/>
      <c r="CZ170" s="286"/>
      <c r="DA170" s="2188"/>
      <c r="DB170" s="286"/>
      <c r="DC170" s="842"/>
      <c r="DD170" s="286"/>
      <c r="DE170" s="842"/>
      <c r="DF170" s="838">
        <f>IFERROR(VLOOKUP(G170,Personalización!$F$18:$H$21,3,0),IFERROR(VLOOKUP(G170,Personalización!$I$18:$K$21,3,0),IFERROR(VLOOKUP(G170,Personalización!$L$18:$N$21,3,0),IFERROR(VLOOKUP(G170,Personalización!$O$18:$Q$20,3,0),0))))</f>
        <v>0</v>
      </c>
    </row>
    <row r="171" spans="1:110" ht="12.75" customHeight="1">
      <c r="A171" s="219">
        <v>171</v>
      </c>
      <c r="B171" s="7145"/>
      <c r="C171" s="511" t="s">
        <v>5865</v>
      </c>
      <c r="D171" s="512"/>
      <c r="F171" s="2224">
        <v>31</v>
      </c>
      <c r="G171" s="307" t="s">
        <v>10029</v>
      </c>
      <c r="H171" s="2188"/>
      <c r="I171" s="286"/>
      <c r="J171" s="842"/>
      <c r="K171" s="286"/>
      <c r="L171" s="286"/>
      <c r="M171" s="2188"/>
      <c r="N171" s="286"/>
      <c r="O171" s="842"/>
      <c r="P171" s="286"/>
      <c r="Q171" s="286"/>
      <c r="R171" s="2188"/>
      <c r="S171" s="842"/>
      <c r="T171" s="286"/>
      <c r="U171" s="2188"/>
      <c r="V171" s="842"/>
      <c r="W171" s="286"/>
      <c r="X171" s="286"/>
      <c r="Y171" s="926"/>
      <c r="Z171" s="699"/>
      <c r="AA171" s="2187"/>
      <c r="AB171" s="699"/>
      <c r="AC171" s="699"/>
      <c r="AD171" s="926"/>
      <c r="AE171" s="2187"/>
      <c r="AF171" s="699"/>
      <c r="AG171" s="699"/>
      <c r="AH171" s="699"/>
      <c r="AI171" s="926"/>
      <c r="AJ171" s="699"/>
      <c r="AK171" s="2187"/>
      <c r="AL171" s="699"/>
      <c r="AM171" s="699"/>
      <c r="AN171" s="699"/>
      <c r="AO171" s="699"/>
      <c r="AP171" s="2188"/>
      <c r="AQ171" s="286"/>
      <c r="AR171" s="842"/>
      <c r="AS171" s="286"/>
      <c r="AT171" s="286"/>
      <c r="AU171" s="2188"/>
      <c r="AV171" s="286"/>
      <c r="AW171" s="842"/>
      <c r="AX171" s="286"/>
      <c r="AY171" s="286"/>
      <c r="AZ171" s="2188"/>
      <c r="BA171" s="842"/>
      <c r="BB171" s="286"/>
      <c r="BC171" s="286"/>
      <c r="BD171" s="2188"/>
      <c r="BE171" s="842"/>
      <c r="BF171" s="286"/>
      <c r="BG171" s="286"/>
      <c r="BH171" s="843"/>
      <c r="BI171" s="2188"/>
      <c r="BJ171" s="842"/>
      <c r="BK171" s="286"/>
      <c r="BL171" s="286"/>
      <c r="BM171" s="843"/>
      <c r="BN171" s="286"/>
      <c r="BO171" s="286"/>
      <c r="BP171" s="2188"/>
      <c r="BQ171" s="286"/>
      <c r="BR171" s="842"/>
      <c r="BS171" s="286"/>
      <c r="BT171" s="286"/>
      <c r="BU171" s="2188"/>
      <c r="BV171" s="286"/>
      <c r="BW171" s="286"/>
      <c r="BX171" s="842"/>
      <c r="BY171" s="286"/>
      <c r="BZ171" s="286"/>
      <c r="CA171" s="286"/>
      <c r="CB171" s="2188"/>
      <c r="CC171" s="286"/>
      <c r="CD171" s="842"/>
      <c r="CE171" s="286"/>
      <c r="CF171" s="286"/>
      <c r="CG171" s="2188"/>
      <c r="CH171" s="286"/>
      <c r="CI171" s="842"/>
      <c r="CJ171" s="286"/>
      <c r="CK171" s="286"/>
      <c r="CL171" s="286"/>
      <c r="CM171" s="286"/>
      <c r="CN171" s="2188"/>
      <c r="CO171" s="842"/>
      <c r="CP171" s="286"/>
      <c r="CQ171" s="286"/>
      <c r="CR171" s="2188"/>
      <c r="CS171" s="286"/>
      <c r="CT171" s="842"/>
      <c r="CU171" s="286"/>
      <c r="CV171" s="286"/>
      <c r="CW171" s="2188"/>
      <c r="CX171" s="286"/>
      <c r="CY171" s="842"/>
      <c r="CZ171" s="286"/>
      <c r="DA171" s="2188"/>
      <c r="DB171" s="286"/>
      <c r="DC171" s="842"/>
      <c r="DD171" s="286"/>
      <c r="DE171" s="842"/>
      <c r="DF171" s="838">
        <f>IFERROR(VLOOKUP(G171,Personalización!$F$18:$H$21,3,0),IFERROR(VLOOKUP(G171,Personalización!$I$18:$K$21,3,0),IFERROR(VLOOKUP(G171,Personalización!$L$18:$N$21,3,0),IFERROR(VLOOKUP(G171,Personalización!$O$18:$Q$20,3,0),0))))</f>
        <v>0</v>
      </c>
    </row>
    <row r="172" spans="1:110" ht="12.75" customHeight="1">
      <c r="A172" s="219">
        <v>172</v>
      </c>
      <c r="B172" s="7145"/>
      <c r="C172" s="511" t="s">
        <v>9587</v>
      </c>
      <c r="D172" s="512"/>
      <c r="F172" s="2224">
        <v>32</v>
      </c>
      <c r="G172" s="307" t="s">
        <v>1309</v>
      </c>
      <c r="H172" s="2188"/>
      <c r="I172" s="286"/>
      <c r="J172" s="842"/>
      <c r="K172" s="286"/>
      <c r="L172" s="286"/>
      <c r="M172" s="2188"/>
      <c r="N172" s="286"/>
      <c r="O172" s="842"/>
      <c r="P172" s="286">
        <v>20</v>
      </c>
      <c r="Q172" s="286">
        <v>20</v>
      </c>
      <c r="R172" s="2188"/>
      <c r="S172" s="842"/>
      <c r="T172" s="286"/>
      <c r="U172" s="2188"/>
      <c r="V172" s="842"/>
      <c r="W172" s="286"/>
      <c r="X172" s="286"/>
      <c r="Y172" s="926">
        <v>20</v>
      </c>
      <c r="Z172" s="699">
        <v>20</v>
      </c>
      <c r="AA172" s="2187">
        <v>20</v>
      </c>
      <c r="AB172" s="699"/>
      <c r="AC172" s="699">
        <v>20</v>
      </c>
      <c r="AD172" s="926">
        <v>20</v>
      </c>
      <c r="AE172" s="2187">
        <v>20</v>
      </c>
      <c r="AF172" s="699"/>
      <c r="AG172" s="699"/>
      <c r="AH172" s="699"/>
      <c r="AI172" s="926">
        <v>20</v>
      </c>
      <c r="AJ172" s="699">
        <v>20</v>
      </c>
      <c r="AK172" s="2187">
        <v>20</v>
      </c>
      <c r="AL172" s="699"/>
      <c r="AM172" s="699"/>
      <c r="AN172" s="699"/>
      <c r="AO172" s="699"/>
      <c r="AP172" s="2188">
        <v>20</v>
      </c>
      <c r="AQ172" s="286"/>
      <c r="AR172" s="842">
        <v>20</v>
      </c>
      <c r="AS172" s="286"/>
      <c r="AT172" s="286"/>
      <c r="AU172" s="2188"/>
      <c r="AV172" s="286"/>
      <c r="AW172" s="842"/>
      <c r="AX172" s="286"/>
      <c r="AY172" s="286"/>
      <c r="AZ172" s="2188"/>
      <c r="BA172" s="842"/>
      <c r="BB172" s="286"/>
      <c r="BC172" s="286">
        <v>10</v>
      </c>
      <c r="BD172" s="2188"/>
      <c r="BE172" s="842"/>
      <c r="BF172" s="286"/>
      <c r="BG172" s="286"/>
      <c r="BH172" s="843"/>
      <c r="BI172" s="2188"/>
      <c r="BJ172" s="842"/>
      <c r="BK172" s="286"/>
      <c r="BL172" s="286"/>
      <c r="BM172" s="843"/>
      <c r="BN172" s="286"/>
      <c r="BO172" s="286">
        <v>20</v>
      </c>
      <c r="BP172" s="2188"/>
      <c r="BQ172" s="286"/>
      <c r="BR172" s="842">
        <v>20</v>
      </c>
      <c r="BS172" s="286"/>
      <c r="BT172" s="286"/>
      <c r="BU172" s="2188"/>
      <c r="BV172" s="286"/>
      <c r="BW172" s="286"/>
      <c r="BX172" s="842"/>
      <c r="BY172" s="286">
        <v>20</v>
      </c>
      <c r="BZ172" s="286"/>
      <c r="CA172" s="286">
        <v>20</v>
      </c>
      <c r="CB172" s="2188"/>
      <c r="CC172" s="286"/>
      <c r="CD172" s="842"/>
      <c r="CE172" s="286"/>
      <c r="CF172" s="286"/>
      <c r="CG172" s="2188"/>
      <c r="CH172" s="286">
        <v>20</v>
      </c>
      <c r="CI172" s="842"/>
      <c r="CJ172" s="286">
        <v>30</v>
      </c>
      <c r="CK172" s="286">
        <v>20</v>
      </c>
      <c r="CL172" s="286">
        <v>20</v>
      </c>
      <c r="CM172" s="286">
        <v>20</v>
      </c>
      <c r="CN172" s="2188"/>
      <c r="CO172" s="842"/>
      <c r="CP172" s="286"/>
      <c r="CQ172" s="286"/>
      <c r="CR172" s="2188"/>
      <c r="CS172" s="286"/>
      <c r="CT172" s="842"/>
      <c r="CU172" s="286"/>
      <c r="CV172" s="286"/>
      <c r="CW172" s="2188"/>
      <c r="CX172" s="286"/>
      <c r="CY172" s="842">
        <v>30</v>
      </c>
      <c r="CZ172" s="286">
        <v>20</v>
      </c>
      <c r="DA172" s="2188"/>
      <c r="DB172" s="286"/>
      <c r="DC172" s="842"/>
      <c r="DD172" s="286">
        <v>30</v>
      </c>
      <c r="DE172" s="842">
        <v>30</v>
      </c>
      <c r="DF172" s="838">
        <f>IFERROR(VLOOKUP(G172,Personalización!$F$18:$H$21,3,0),IFERROR(VLOOKUP(G172,Personalización!$I$18:$K$21,3,0),IFERROR(VLOOKUP(G172,Personalización!$L$18:$N$21,3,0),IFERROR(VLOOKUP(G172,Personalización!$O$18:$Q$20,3,0),0))))</f>
        <v>0</v>
      </c>
    </row>
    <row r="173" spans="1:110" ht="12.75" customHeight="1">
      <c r="A173" s="219">
        <v>173</v>
      </c>
      <c r="B173" s="7145"/>
      <c r="C173" s="511" t="s">
        <v>5866</v>
      </c>
      <c r="D173" s="512"/>
      <c r="F173" s="2224">
        <v>33</v>
      </c>
      <c r="G173" s="307" t="s">
        <v>1310</v>
      </c>
      <c r="H173" s="2188"/>
      <c r="I173" s="286"/>
      <c r="J173" s="842"/>
      <c r="K173" s="286"/>
      <c r="L173" s="286"/>
      <c r="M173" s="2188"/>
      <c r="N173" s="286"/>
      <c r="O173" s="842"/>
      <c r="P173" s="286">
        <v>20</v>
      </c>
      <c r="Q173" s="286"/>
      <c r="R173" s="2188"/>
      <c r="S173" s="842"/>
      <c r="T173" s="286"/>
      <c r="U173" s="2188"/>
      <c r="V173" s="842"/>
      <c r="W173" s="286"/>
      <c r="X173" s="286"/>
      <c r="Y173" s="926"/>
      <c r="Z173" s="699"/>
      <c r="AA173" s="2187"/>
      <c r="AB173" s="699"/>
      <c r="AC173" s="699"/>
      <c r="AD173" s="926">
        <v>20</v>
      </c>
      <c r="AE173" s="2187"/>
      <c r="AF173" s="699"/>
      <c r="AG173" s="699">
        <v>30</v>
      </c>
      <c r="AH173" s="699"/>
      <c r="AI173" s="926">
        <v>20</v>
      </c>
      <c r="AJ173" s="699"/>
      <c r="AK173" s="2187"/>
      <c r="AL173" s="699"/>
      <c r="AM173" s="699">
        <v>20</v>
      </c>
      <c r="AN173" s="699"/>
      <c r="AO173" s="699"/>
      <c r="AP173" s="2188"/>
      <c r="AQ173" s="286"/>
      <c r="AR173" s="842"/>
      <c r="AS173" s="286"/>
      <c r="AT173" s="286"/>
      <c r="AU173" s="2188">
        <v>20</v>
      </c>
      <c r="AV173" s="286"/>
      <c r="AW173" s="842"/>
      <c r="AX173" s="286">
        <v>10</v>
      </c>
      <c r="AY173" s="286"/>
      <c r="AZ173" s="2188"/>
      <c r="BA173" s="842"/>
      <c r="BB173" s="286"/>
      <c r="BC173" s="286"/>
      <c r="BD173" s="2188"/>
      <c r="BE173" s="842"/>
      <c r="BF173" s="286"/>
      <c r="BG173" s="286"/>
      <c r="BH173" s="843"/>
      <c r="BI173" s="2188"/>
      <c r="BJ173" s="842"/>
      <c r="BK173" s="286"/>
      <c r="BL173" s="286"/>
      <c r="BM173" s="843"/>
      <c r="BN173" s="286"/>
      <c r="BO173" s="286">
        <v>20</v>
      </c>
      <c r="BP173" s="2188">
        <v>20</v>
      </c>
      <c r="BQ173" s="286"/>
      <c r="BR173" s="842"/>
      <c r="BS173" s="286"/>
      <c r="BT173" s="286"/>
      <c r="BU173" s="2188"/>
      <c r="BV173" s="286"/>
      <c r="BW173" s="286"/>
      <c r="BX173" s="842"/>
      <c r="BY173" s="286">
        <v>20</v>
      </c>
      <c r="BZ173" s="286"/>
      <c r="CA173" s="286"/>
      <c r="CB173" s="2188"/>
      <c r="CC173" s="286"/>
      <c r="CD173" s="842"/>
      <c r="CE173" s="286"/>
      <c r="CF173" s="286"/>
      <c r="CG173" s="2188"/>
      <c r="CH173" s="286"/>
      <c r="CI173" s="842"/>
      <c r="CJ173" s="286"/>
      <c r="CK173" s="286"/>
      <c r="CL173" s="286"/>
      <c r="CM173" s="286"/>
      <c r="CN173" s="2188"/>
      <c r="CO173" s="842"/>
      <c r="CP173" s="286"/>
      <c r="CQ173" s="286"/>
      <c r="CR173" s="2188"/>
      <c r="CS173" s="286"/>
      <c r="CT173" s="842"/>
      <c r="CU173" s="286"/>
      <c r="CV173" s="286"/>
      <c r="CW173" s="2188"/>
      <c r="CX173" s="286"/>
      <c r="CY173" s="842"/>
      <c r="CZ173" s="286"/>
      <c r="DA173" s="2188"/>
      <c r="DB173" s="286"/>
      <c r="DC173" s="842"/>
      <c r="DD173" s="286"/>
      <c r="DE173" s="842"/>
      <c r="DF173" s="838">
        <f>IFERROR(VLOOKUP(G173,Personalización!$F$18:$H$21,3,0),IFERROR(VLOOKUP(G173,Personalización!$I$18:$K$21,3,0),IFERROR(VLOOKUP(G173,Personalización!$L$18:$N$21,3,0),IFERROR(VLOOKUP(G173,Personalización!$O$18:$Q$20,3,0),0))))</f>
        <v>0</v>
      </c>
    </row>
    <row r="174" spans="1:110" ht="12.75" customHeight="1">
      <c r="A174" s="219">
        <v>174</v>
      </c>
      <c r="B174" s="7145"/>
      <c r="C174" s="511" t="s">
        <v>5939</v>
      </c>
      <c r="D174" s="512"/>
      <c r="F174" s="2224">
        <v>34</v>
      </c>
      <c r="G174" s="307" t="s">
        <v>1313</v>
      </c>
      <c r="H174" s="2188"/>
      <c r="I174" s="286"/>
      <c r="J174" s="842"/>
      <c r="K174" s="286"/>
      <c r="L174" s="286"/>
      <c r="M174" s="2188"/>
      <c r="N174" s="286"/>
      <c r="O174" s="842"/>
      <c r="P174" s="286"/>
      <c r="Q174" s="286"/>
      <c r="R174" s="2188"/>
      <c r="S174" s="842"/>
      <c r="T174" s="286"/>
      <c r="U174" s="2188"/>
      <c r="V174" s="842"/>
      <c r="W174" s="286"/>
      <c r="X174" s="286"/>
      <c r="Y174" s="926"/>
      <c r="Z174" s="699"/>
      <c r="AA174" s="2187"/>
      <c r="AB174" s="699"/>
      <c r="AC174" s="699"/>
      <c r="AD174" s="926"/>
      <c r="AE174" s="2187"/>
      <c r="AF174" s="699"/>
      <c r="AG174" s="699"/>
      <c r="AH174" s="699"/>
      <c r="AI174" s="926">
        <v>20</v>
      </c>
      <c r="AJ174" s="699">
        <v>20</v>
      </c>
      <c r="AK174" s="2187">
        <v>20</v>
      </c>
      <c r="AL174" s="699"/>
      <c r="AM174" s="699"/>
      <c r="AN174" s="699">
        <v>20</v>
      </c>
      <c r="AO174" s="699"/>
      <c r="AP174" s="2188"/>
      <c r="AQ174" s="286"/>
      <c r="AR174" s="842"/>
      <c r="AS174" s="286"/>
      <c r="AT174" s="286"/>
      <c r="AU174" s="2188"/>
      <c r="AV174" s="286"/>
      <c r="AW174" s="842"/>
      <c r="AX174" s="286"/>
      <c r="AY174" s="286"/>
      <c r="AZ174" s="2188"/>
      <c r="BA174" s="842"/>
      <c r="BB174" s="286">
        <v>20</v>
      </c>
      <c r="BC174" s="286"/>
      <c r="BD174" s="2188"/>
      <c r="BE174" s="842"/>
      <c r="BF174" s="286"/>
      <c r="BG174" s="286"/>
      <c r="BH174" s="843"/>
      <c r="BI174" s="2188"/>
      <c r="BJ174" s="842"/>
      <c r="BK174" s="286"/>
      <c r="BL174" s="286"/>
      <c r="BM174" s="843"/>
      <c r="BN174" s="286"/>
      <c r="BO174" s="286">
        <v>20</v>
      </c>
      <c r="BP174" s="2188"/>
      <c r="BQ174" s="286"/>
      <c r="BR174" s="842"/>
      <c r="BS174" s="286"/>
      <c r="BT174" s="286"/>
      <c r="BU174" s="2188"/>
      <c r="BV174" s="286"/>
      <c r="BW174" s="286"/>
      <c r="BX174" s="842"/>
      <c r="BY174" s="286">
        <v>20</v>
      </c>
      <c r="BZ174" s="286"/>
      <c r="CA174" s="286"/>
      <c r="CB174" s="2188"/>
      <c r="CC174" s="286"/>
      <c r="CD174" s="842"/>
      <c r="CE174" s="286"/>
      <c r="CF174" s="286"/>
      <c r="CG174" s="2188"/>
      <c r="CH174" s="286"/>
      <c r="CI174" s="842"/>
      <c r="CJ174" s="286"/>
      <c r="CK174" s="286"/>
      <c r="CL174" s="286"/>
      <c r="CM174" s="286"/>
      <c r="CN174" s="2188"/>
      <c r="CO174" s="842"/>
      <c r="CP174" s="286"/>
      <c r="CQ174" s="286"/>
      <c r="CR174" s="2188"/>
      <c r="CS174" s="286"/>
      <c r="CT174" s="842"/>
      <c r="CU174" s="286"/>
      <c r="CV174" s="286"/>
      <c r="CW174" s="2188"/>
      <c r="CX174" s="286"/>
      <c r="CY174" s="842"/>
      <c r="CZ174" s="286"/>
      <c r="DA174" s="2188"/>
      <c r="DB174" s="286"/>
      <c r="DC174" s="842"/>
      <c r="DD174" s="286"/>
      <c r="DE174" s="842"/>
      <c r="DF174" s="838">
        <f>IFERROR(VLOOKUP(G174,Personalización!$F$18:$H$21,3,0),IFERROR(VLOOKUP(G174,Personalización!$I$18:$K$21,3,0),IFERROR(VLOOKUP(G174,Personalización!$L$18:$N$21,3,0),IFERROR(VLOOKUP(G174,Personalización!$O$18:$Q$20,3,0),0))))</f>
        <v>0</v>
      </c>
    </row>
    <row r="175" spans="1:110" ht="12.75" customHeight="1">
      <c r="A175" s="219">
        <v>175</v>
      </c>
      <c r="B175" s="7145"/>
      <c r="C175" s="511" t="s">
        <v>5903</v>
      </c>
      <c r="D175" s="512"/>
      <c r="F175" s="2224">
        <v>35</v>
      </c>
      <c r="G175" s="307" t="s">
        <v>1317</v>
      </c>
      <c r="H175" s="2188"/>
      <c r="I175" s="286"/>
      <c r="J175" s="842"/>
      <c r="K175" s="286"/>
      <c r="L175" s="286"/>
      <c r="M175" s="2188"/>
      <c r="N175" s="286"/>
      <c r="O175" s="842"/>
      <c r="P175" s="286"/>
      <c r="Q175" s="286"/>
      <c r="R175" s="2188"/>
      <c r="S175" s="842"/>
      <c r="T175" s="286"/>
      <c r="U175" s="2188"/>
      <c r="V175" s="842"/>
      <c r="W175" s="286"/>
      <c r="X175" s="286"/>
      <c r="Y175" s="926"/>
      <c r="Z175" s="699"/>
      <c r="AA175" s="2187"/>
      <c r="AB175" s="699"/>
      <c r="AC175" s="699"/>
      <c r="AD175" s="926"/>
      <c r="AE175" s="2187"/>
      <c r="AF175" s="699"/>
      <c r="AG175" s="699"/>
      <c r="AH175" s="699"/>
      <c r="AI175" s="926"/>
      <c r="AJ175" s="699"/>
      <c r="AK175" s="2187"/>
      <c r="AL175" s="699"/>
      <c r="AM175" s="699"/>
      <c r="AN175" s="699"/>
      <c r="AO175" s="699"/>
      <c r="AP175" s="2188"/>
      <c r="AQ175" s="286"/>
      <c r="AR175" s="842"/>
      <c r="AS175" s="286"/>
      <c r="AT175" s="286"/>
      <c r="AU175" s="2188"/>
      <c r="AV175" s="286"/>
      <c r="AW175" s="842"/>
      <c r="AX175" s="286"/>
      <c r="AY175" s="286"/>
      <c r="AZ175" s="2188"/>
      <c r="BA175" s="842"/>
      <c r="BB175" s="286"/>
      <c r="BC175" s="286"/>
      <c r="BD175" s="2188"/>
      <c r="BE175" s="842"/>
      <c r="BF175" s="286"/>
      <c r="BG175" s="286"/>
      <c r="BH175" s="843"/>
      <c r="BI175" s="2188"/>
      <c r="BJ175" s="842"/>
      <c r="BK175" s="286"/>
      <c r="BL175" s="286"/>
      <c r="BM175" s="843"/>
      <c r="BN175" s="286"/>
      <c r="BO175" s="286"/>
      <c r="BP175" s="2188"/>
      <c r="BQ175" s="286"/>
      <c r="BR175" s="842"/>
      <c r="BS175" s="286"/>
      <c r="BT175" s="286"/>
      <c r="BU175" s="2188"/>
      <c r="BV175" s="286"/>
      <c r="BW175" s="286"/>
      <c r="BX175" s="842"/>
      <c r="BY175" s="286"/>
      <c r="BZ175" s="286"/>
      <c r="CA175" s="286"/>
      <c r="CB175" s="2188"/>
      <c r="CC175" s="286"/>
      <c r="CD175" s="842"/>
      <c r="CE175" s="286"/>
      <c r="CF175" s="286"/>
      <c r="CG175" s="2188"/>
      <c r="CH175" s="286"/>
      <c r="CI175" s="842"/>
      <c r="CJ175" s="286"/>
      <c r="CK175" s="286"/>
      <c r="CL175" s="286"/>
      <c r="CM175" s="286"/>
      <c r="CN175" s="2188"/>
      <c r="CO175" s="842"/>
      <c r="CP175" s="286"/>
      <c r="CQ175" s="286"/>
      <c r="CR175" s="2188"/>
      <c r="CS175" s="286"/>
      <c r="CT175" s="842"/>
      <c r="CU175" s="286"/>
      <c r="CV175" s="286"/>
      <c r="CW175" s="2188"/>
      <c r="CX175" s="286"/>
      <c r="CY175" s="842"/>
      <c r="CZ175" s="286"/>
      <c r="DA175" s="2188"/>
      <c r="DB175" s="286"/>
      <c r="DC175" s="842"/>
      <c r="DD175" s="286"/>
      <c r="DE175" s="842"/>
      <c r="DF175" s="838">
        <f>IFERROR(VLOOKUP(G175,Personalización!$F$18:$H$21,3,0),IFERROR(VLOOKUP(G175,Personalización!$I$18:$K$21,3,0),IFERROR(VLOOKUP(G175,Personalización!$L$18:$N$21,3,0),IFERROR(VLOOKUP(G175,Personalización!$O$18:$Q$20,3,0),0))))</f>
        <v>0</v>
      </c>
    </row>
    <row r="176" spans="1:110" ht="12.75" customHeight="1">
      <c r="A176" s="219">
        <v>176</v>
      </c>
      <c r="B176" s="7145"/>
      <c r="C176" s="511" t="s">
        <v>5904</v>
      </c>
      <c r="D176" s="512"/>
      <c r="F176" s="2224">
        <v>36</v>
      </c>
      <c r="G176" s="307" t="s">
        <v>1319</v>
      </c>
      <c r="H176" s="2188"/>
      <c r="I176" s="286"/>
      <c r="J176" s="842"/>
      <c r="K176" s="286"/>
      <c r="L176" s="286"/>
      <c r="M176" s="2188"/>
      <c r="N176" s="286"/>
      <c r="O176" s="842"/>
      <c r="P176" s="286"/>
      <c r="Q176" s="286"/>
      <c r="R176" s="2188"/>
      <c r="S176" s="842"/>
      <c r="T176" s="286"/>
      <c r="U176" s="2188"/>
      <c r="V176" s="842"/>
      <c r="W176" s="286"/>
      <c r="X176" s="286"/>
      <c r="Y176" s="926"/>
      <c r="Z176" s="699"/>
      <c r="AA176" s="2187"/>
      <c r="AB176" s="699"/>
      <c r="AC176" s="699"/>
      <c r="AD176" s="926"/>
      <c r="AE176" s="2187"/>
      <c r="AF176" s="699"/>
      <c r="AG176" s="699"/>
      <c r="AH176" s="699"/>
      <c r="AI176" s="926"/>
      <c r="AJ176" s="699"/>
      <c r="AK176" s="2187"/>
      <c r="AL176" s="699"/>
      <c r="AM176" s="699"/>
      <c r="AN176" s="699"/>
      <c r="AO176" s="699"/>
      <c r="AP176" s="2188"/>
      <c r="AQ176" s="286"/>
      <c r="AR176" s="842"/>
      <c r="AS176" s="286"/>
      <c r="AT176" s="286"/>
      <c r="AU176" s="2188"/>
      <c r="AV176" s="286"/>
      <c r="AW176" s="842"/>
      <c r="AX176" s="286"/>
      <c r="AY176" s="286"/>
      <c r="AZ176" s="2188"/>
      <c r="BA176" s="842"/>
      <c r="BB176" s="286"/>
      <c r="BC176" s="286"/>
      <c r="BD176" s="2188"/>
      <c r="BE176" s="842"/>
      <c r="BF176" s="286"/>
      <c r="BG176" s="286"/>
      <c r="BH176" s="843"/>
      <c r="BI176" s="2188"/>
      <c r="BJ176" s="842"/>
      <c r="BK176" s="286"/>
      <c r="BL176" s="286"/>
      <c r="BM176" s="843"/>
      <c r="BN176" s="286"/>
      <c r="BO176" s="286"/>
      <c r="BP176" s="2188"/>
      <c r="BQ176" s="286"/>
      <c r="BR176" s="842"/>
      <c r="BS176" s="286"/>
      <c r="BT176" s="286"/>
      <c r="BU176" s="2188"/>
      <c r="BV176" s="286"/>
      <c r="BW176" s="286"/>
      <c r="BX176" s="842"/>
      <c r="BY176" s="286"/>
      <c r="BZ176" s="286"/>
      <c r="CA176" s="286"/>
      <c r="CB176" s="2188"/>
      <c r="CC176" s="286"/>
      <c r="CD176" s="842"/>
      <c r="CE176" s="286"/>
      <c r="CF176" s="286"/>
      <c r="CG176" s="2188"/>
      <c r="CH176" s="286"/>
      <c r="CI176" s="842"/>
      <c r="CJ176" s="286"/>
      <c r="CK176" s="286"/>
      <c r="CL176" s="286"/>
      <c r="CM176" s="286"/>
      <c r="CN176" s="2188"/>
      <c r="CO176" s="842"/>
      <c r="CP176" s="286"/>
      <c r="CQ176" s="286"/>
      <c r="CR176" s="2188"/>
      <c r="CS176" s="286"/>
      <c r="CT176" s="842"/>
      <c r="CU176" s="286"/>
      <c r="CV176" s="286"/>
      <c r="CW176" s="2188"/>
      <c r="CX176" s="286"/>
      <c r="CY176" s="842"/>
      <c r="CZ176" s="286"/>
      <c r="DA176" s="2188"/>
      <c r="DB176" s="286"/>
      <c r="DC176" s="842"/>
      <c r="DD176" s="286"/>
      <c r="DE176" s="842"/>
      <c r="DF176" s="838">
        <f>IFERROR(VLOOKUP(G176,Personalización!$F$18:$H$21,3,0),IFERROR(VLOOKUP(G176,Personalización!$I$18:$K$21,3,0),IFERROR(VLOOKUP(G176,Personalización!$L$18:$N$21,3,0),IFERROR(VLOOKUP(G176,Personalización!$O$18:$Q$20,3,0),0))))</f>
        <v>0</v>
      </c>
    </row>
    <row r="177" spans="1:110" ht="12.75" customHeight="1">
      <c r="A177" s="219">
        <v>177</v>
      </c>
      <c r="B177" s="7145"/>
      <c r="C177" s="515" t="s">
        <v>5940</v>
      </c>
      <c r="D177" s="512"/>
      <c r="F177" s="2224">
        <v>37</v>
      </c>
      <c r="G177" s="307" t="s">
        <v>1321</v>
      </c>
      <c r="H177" s="2188"/>
      <c r="I177" s="286"/>
      <c r="J177" s="842"/>
      <c r="K177" s="286"/>
      <c r="L177" s="286"/>
      <c r="M177" s="2188"/>
      <c r="N177" s="286"/>
      <c r="O177" s="842"/>
      <c r="P177" s="286"/>
      <c r="Q177" s="286"/>
      <c r="R177" s="2188"/>
      <c r="S177" s="842"/>
      <c r="T177" s="286"/>
      <c r="U177" s="2188"/>
      <c r="V177" s="842"/>
      <c r="W177" s="286"/>
      <c r="X177" s="286"/>
      <c r="Y177" s="926"/>
      <c r="Z177" s="699"/>
      <c r="AA177" s="2187"/>
      <c r="AB177" s="699">
        <v>20</v>
      </c>
      <c r="AC177" s="699"/>
      <c r="AD177" s="926"/>
      <c r="AE177" s="2187"/>
      <c r="AF177" s="699">
        <v>20</v>
      </c>
      <c r="AG177" s="699"/>
      <c r="AH177" s="699"/>
      <c r="AI177" s="926"/>
      <c r="AJ177" s="699"/>
      <c r="AK177" s="2187"/>
      <c r="AL177" s="699"/>
      <c r="AM177" s="699"/>
      <c r="AN177" s="699">
        <v>20</v>
      </c>
      <c r="AO177" s="699"/>
      <c r="AP177" s="2188"/>
      <c r="AQ177" s="286"/>
      <c r="AR177" s="842"/>
      <c r="AS177" s="286">
        <v>20</v>
      </c>
      <c r="AT177" s="286"/>
      <c r="AU177" s="2188"/>
      <c r="AV177" s="286"/>
      <c r="AW177" s="842"/>
      <c r="AX177" s="286"/>
      <c r="AY177" s="286"/>
      <c r="AZ177" s="2188"/>
      <c r="BA177" s="842"/>
      <c r="BB177" s="286"/>
      <c r="BC177" s="286"/>
      <c r="BD177" s="2188"/>
      <c r="BE177" s="842"/>
      <c r="BF177" s="286"/>
      <c r="BG177" s="286"/>
      <c r="BH177" s="843">
        <v>10</v>
      </c>
      <c r="BI177" s="2188">
        <v>20</v>
      </c>
      <c r="BJ177" s="842">
        <v>10</v>
      </c>
      <c r="BK177" s="286"/>
      <c r="BL177" s="286"/>
      <c r="BM177" s="843">
        <v>10</v>
      </c>
      <c r="BN177" s="286"/>
      <c r="BO177" s="286"/>
      <c r="BP177" s="2188"/>
      <c r="BQ177" s="286"/>
      <c r="BR177" s="842"/>
      <c r="BS177" s="286"/>
      <c r="BT177" s="286"/>
      <c r="BU177" s="2188"/>
      <c r="BV177" s="286"/>
      <c r="BW177" s="286"/>
      <c r="BX177" s="842"/>
      <c r="BY177" s="286"/>
      <c r="BZ177" s="286"/>
      <c r="CA177" s="286"/>
      <c r="CB177" s="2188"/>
      <c r="CC177" s="286"/>
      <c r="CD177" s="842"/>
      <c r="CE177" s="286"/>
      <c r="CF177" s="286"/>
      <c r="CG177" s="2188"/>
      <c r="CH177" s="286"/>
      <c r="CI177" s="842"/>
      <c r="CJ177" s="286"/>
      <c r="CK177" s="286"/>
      <c r="CL177" s="286"/>
      <c r="CM177" s="286"/>
      <c r="CN177" s="2188"/>
      <c r="CO177" s="842"/>
      <c r="CP177" s="286">
        <v>20</v>
      </c>
      <c r="CQ177" s="286">
        <v>20</v>
      </c>
      <c r="CR177" s="2188"/>
      <c r="CS177" s="286"/>
      <c r="CT177" s="842"/>
      <c r="CU177" s="286">
        <v>20</v>
      </c>
      <c r="CV177" s="286">
        <v>20</v>
      </c>
      <c r="CW177" s="2188">
        <v>20</v>
      </c>
      <c r="CX177" s="286">
        <v>20</v>
      </c>
      <c r="CY177" s="842"/>
      <c r="CZ177" s="286">
        <v>20</v>
      </c>
      <c r="DA177" s="2188"/>
      <c r="DB177" s="286"/>
      <c r="DC177" s="842"/>
      <c r="DD177" s="286"/>
      <c r="DE177" s="842"/>
      <c r="DF177" s="838">
        <f>IFERROR(VLOOKUP(G177,Personalización!$F$18:$H$21,3,0),IFERROR(VLOOKUP(G177,Personalización!$I$18:$K$21,3,0),IFERROR(VLOOKUP(G177,Personalización!$L$18:$N$21,3,0),IFERROR(VLOOKUP(G177,Personalización!$O$18:$Q$20,3,0),0))))</f>
        <v>0</v>
      </c>
    </row>
    <row r="178" spans="1:110" ht="12.75" customHeight="1">
      <c r="A178" s="219">
        <v>178</v>
      </c>
      <c r="B178" s="7145"/>
      <c r="C178" s="511" t="s">
        <v>5867</v>
      </c>
      <c r="D178" s="512"/>
      <c r="F178" s="2224">
        <v>38</v>
      </c>
      <c r="G178" s="307" t="s">
        <v>1323</v>
      </c>
      <c r="H178" s="2188"/>
      <c r="I178" s="286"/>
      <c r="J178" s="842"/>
      <c r="K178" s="286"/>
      <c r="L178" s="286"/>
      <c r="M178" s="2188"/>
      <c r="N178" s="286"/>
      <c r="O178" s="842"/>
      <c r="P178" s="286"/>
      <c r="Q178" s="286"/>
      <c r="R178" s="2188"/>
      <c r="S178" s="842"/>
      <c r="T178" s="286"/>
      <c r="U178" s="2188"/>
      <c r="V178" s="842"/>
      <c r="W178" s="286"/>
      <c r="X178" s="286"/>
      <c r="Y178" s="926"/>
      <c r="Z178" s="699"/>
      <c r="AA178" s="2187"/>
      <c r="AB178" s="699">
        <v>20</v>
      </c>
      <c r="AC178" s="699"/>
      <c r="AD178" s="926"/>
      <c r="AE178" s="2187"/>
      <c r="AF178" s="699"/>
      <c r="AG178" s="699"/>
      <c r="AH178" s="699"/>
      <c r="AI178" s="926"/>
      <c r="AJ178" s="699"/>
      <c r="AK178" s="2187"/>
      <c r="AL178" s="699"/>
      <c r="AM178" s="699"/>
      <c r="AN178" s="699"/>
      <c r="AO178" s="699"/>
      <c r="AP178" s="2188"/>
      <c r="AQ178" s="286"/>
      <c r="AR178" s="842"/>
      <c r="AS178" s="286">
        <v>20</v>
      </c>
      <c r="AT178" s="286">
        <v>10</v>
      </c>
      <c r="AU178" s="2188"/>
      <c r="AV178" s="286"/>
      <c r="AW178" s="842"/>
      <c r="AX178" s="286"/>
      <c r="AY178" s="286"/>
      <c r="AZ178" s="2188"/>
      <c r="BA178" s="842"/>
      <c r="BB178" s="286"/>
      <c r="BC178" s="286"/>
      <c r="BD178" s="2188"/>
      <c r="BE178" s="842"/>
      <c r="BF178" s="286"/>
      <c r="BG178" s="286"/>
      <c r="BH178" s="843"/>
      <c r="BI178" s="2188"/>
      <c r="BJ178" s="842"/>
      <c r="BK178" s="286"/>
      <c r="BL178" s="286"/>
      <c r="BM178" s="843"/>
      <c r="BN178" s="286"/>
      <c r="BO178" s="286"/>
      <c r="BP178" s="2188"/>
      <c r="BQ178" s="286"/>
      <c r="BR178" s="842"/>
      <c r="BS178" s="286"/>
      <c r="BT178" s="286"/>
      <c r="BU178" s="2188"/>
      <c r="BV178" s="286"/>
      <c r="BW178" s="286"/>
      <c r="BX178" s="842"/>
      <c r="BY178" s="286"/>
      <c r="BZ178" s="286"/>
      <c r="CA178" s="286"/>
      <c r="CB178" s="2188"/>
      <c r="CC178" s="286"/>
      <c r="CD178" s="842"/>
      <c r="CE178" s="286"/>
      <c r="CF178" s="286"/>
      <c r="CG178" s="2188"/>
      <c r="CH178" s="286"/>
      <c r="CI178" s="842"/>
      <c r="CJ178" s="286"/>
      <c r="CK178" s="286"/>
      <c r="CL178" s="286"/>
      <c r="CM178" s="286"/>
      <c r="CN178" s="2188"/>
      <c r="CO178" s="842"/>
      <c r="CP178" s="286"/>
      <c r="CQ178" s="286"/>
      <c r="CR178" s="2188"/>
      <c r="CS178" s="286"/>
      <c r="CT178" s="842"/>
      <c r="CU178" s="286"/>
      <c r="CV178" s="286"/>
      <c r="CW178" s="2188"/>
      <c r="CX178" s="286"/>
      <c r="CY178" s="842"/>
      <c r="CZ178" s="286"/>
      <c r="DA178" s="2188"/>
      <c r="DB178" s="286"/>
      <c r="DC178" s="842"/>
      <c r="DD178" s="286"/>
      <c r="DE178" s="842"/>
      <c r="DF178" s="838">
        <f>IFERROR(VLOOKUP(G178,Personalización!$F$18:$H$21,3,0),IFERROR(VLOOKUP(G178,Personalización!$I$18:$K$21,3,0),IFERROR(VLOOKUP(G178,Personalización!$L$18:$N$21,3,0),IFERROR(VLOOKUP(G178,Personalización!$O$18:$Q$20,3,0),0))))</f>
        <v>0</v>
      </c>
    </row>
    <row r="179" spans="1:110" ht="12.75" customHeight="1">
      <c r="A179" s="219">
        <v>179</v>
      </c>
      <c r="B179" s="7145"/>
      <c r="C179" s="511" t="s">
        <v>5868</v>
      </c>
      <c r="D179" s="512"/>
      <c r="F179" s="2224">
        <v>39</v>
      </c>
      <c r="G179" s="307" t="s">
        <v>1325</v>
      </c>
      <c r="H179" s="2188"/>
      <c r="I179" s="286"/>
      <c r="J179" s="842"/>
      <c r="K179" s="286"/>
      <c r="L179" s="286"/>
      <c r="M179" s="2188"/>
      <c r="N179" s="286"/>
      <c r="O179" s="842"/>
      <c r="P179" s="286"/>
      <c r="Q179" s="286"/>
      <c r="R179" s="2188">
        <v>20</v>
      </c>
      <c r="S179" s="842"/>
      <c r="T179" s="286">
        <v>20</v>
      </c>
      <c r="U179" s="2188"/>
      <c r="V179" s="842"/>
      <c r="W179" s="286"/>
      <c r="X179" s="286"/>
      <c r="Y179" s="926"/>
      <c r="Z179" s="699"/>
      <c r="AA179" s="2187"/>
      <c r="AB179" s="699">
        <v>20</v>
      </c>
      <c r="AC179" s="699"/>
      <c r="AD179" s="926"/>
      <c r="AE179" s="2187"/>
      <c r="AF179" s="699"/>
      <c r="AG179" s="699"/>
      <c r="AH179" s="699"/>
      <c r="AI179" s="926"/>
      <c r="AJ179" s="699"/>
      <c r="AK179" s="2187"/>
      <c r="AL179" s="699"/>
      <c r="AM179" s="699"/>
      <c r="AN179" s="699">
        <v>20</v>
      </c>
      <c r="AO179" s="699"/>
      <c r="AP179" s="2188"/>
      <c r="AQ179" s="286"/>
      <c r="AR179" s="842"/>
      <c r="AS179" s="286">
        <v>10</v>
      </c>
      <c r="AT179" s="286"/>
      <c r="AU179" s="2188"/>
      <c r="AV179" s="286"/>
      <c r="AW179" s="842"/>
      <c r="AX179" s="286"/>
      <c r="AY179" s="286"/>
      <c r="AZ179" s="2188"/>
      <c r="BA179" s="842"/>
      <c r="BB179" s="286"/>
      <c r="BC179" s="286"/>
      <c r="BD179" s="2188">
        <v>20</v>
      </c>
      <c r="BE179" s="842"/>
      <c r="BF179" s="286"/>
      <c r="BG179" s="286"/>
      <c r="BH179" s="843">
        <v>20</v>
      </c>
      <c r="BI179" s="2188">
        <v>20</v>
      </c>
      <c r="BJ179" s="842">
        <v>10</v>
      </c>
      <c r="BK179" s="286"/>
      <c r="BL179" s="286"/>
      <c r="BM179" s="843">
        <v>20</v>
      </c>
      <c r="BN179" s="286"/>
      <c r="BO179" s="286"/>
      <c r="BP179" s="2188"/>
      <c r="BQ179" s="286"/>
      <c r="BR179" s="842"/>
      <c r="BS179" s="286"/>
      <c r="BT179" s="286"/>
      <c r="BU179" s="2188"/>
      <c r="BV179" s="286"/>
      <c r="BW179" s="286"/>
      <c r="BX179" s="842"/>
      <c r="BY179" s="286"/>
      <c r="BZ179" s="286"/>
      <c r="CA179" s="286"/>
      <c r="CB179" s="2188"/>
      <c r="CC179" s="286"/>
      <c r="CD179" s="842"/>
      <c r="CE179" s="286">
        <v>20</v>
      </c>
      <c r="CF179" s="286"/>
      <c r="CG179" s="2188"/>
      <c r="CH179" s="286"/>
      <c r="CI179" s="842"/>
      <c r="CJ179" s="286">
        <v>20</v>
      </c>
      <c r="CK179" s="286"/>
      <c r="CL179" s="286"/>
      <c r="CM179" s="286"/>
      <c r="CN179" s="2188"/>
      <c r="CO179" s="842"/>
      <c r="CP179" s="286"/>
      <c r="CQ179" s="286"/>
      <c r="CR179" s="2188"/>
      <c r="CS179" s="286"/>
      <c r="CT179" s="842"/>
      <c r="CU179" s="286">
        <v>20</v>
      </c>
      <c r="CV179" s="286"/>
      <c r="CW179" s="2188"/>
      <c r="CX179" s="286"/>
      <c r="CY179" s="842"/>
      <c r="CZ179" s="286">
        <v>20</v>
      </c>
      <c r="DA179" s="2188"/>
      <c r="DB179" s="286"/>
      <c r="DC179" s="842"/>
      <c r="DD179" s="286">
        <v>20</v>
      </c>
      <c r="DE179" s="842">
        <v>20</v>
      </c>
      <c r="DF179" s="838">
        <f>IFERROR(VLOOKUP(G179,Personalización!$F$18:$H$21,3,0),IFERROR(VLOOKUP(G179,Personalización!$I$18:$K$21,3,0),IFERROR(VLOOKUP(G179,Personalización!$L$18:$N$21,3,0),IFERROR(VLOOKUP(G179,Personalización!$O$18:$Q$20,3,0),0))))</f>
        <v>0</v>
      </c>
    </row>
    <row r="180" spans="1:110" ht="12.75" customHeight="1">
      <c r="A180" s="219">
        <v>180</v>
      </c>
      <c r="B180" s="7145"/>
      <c r="C180" s="511" t="s">
        <v>5869</v>
      </c>
      <c r="D180" s="512"/>
      <c r="F180" s="2224">
        <v>40</v>
      </c>
      <c r="G180" s="307" t="s">
        <v>1327</v>
      </c>
      <c r="H180" s="2188"/>
      <c r="I180" s="286"/>
      <c r="J180" s="842"/>
      <c r="K180" s="286"/>
      <c r="L180" s="286"/>
      <c r="M180" s="2188"/>
      <c r="N180" s="286"/>
      <c r="O180" s="842"/>
      <c r="P180" s="286"/>
      <c r="Q180" s="286"/>
      <c r="R180" s="2188">
        <v>20</v>
      </c>
      <c r="S180" s="842"/>
      <c r="T180" s="286"/>
      <c r="U180" s="2188"/>
      <c r="V180" s="842"/>
      <c r="W180" s="286"/>
      <c r="X180" s="286"/>
      <c r="Y180" s="926"/>
      <c r="Z180" s="699"/>
      <c r="AA180" s="2187"/>
      <c r="AB180" s="699"/>
      <c r="AC180" s="699"/>
      <c r="AD180" s="926"/>
      <c r="AE180" s="2187"/>
      <c r="AF180" s="699"/>
      <c r="AG180" s="699"/>
      <c r="AH180" s="699"/>
      <c r="AI180" s="926"/>
      <c r="AJ180" s="699"/>
      <c r="AK180" s="2187"/>
      <c r="AL180" s="699"/>
      <c r="AM180" s="699"/>
      <c r="AN180" s="699"/>
      <c r="AO180" s="699"/>
      <c r="AP180" s="2188"/>
      <c r="AQ180" s="286"/>
      <c r="AR180" s="842"/>
      <c r="AS180" s="286"/>
      <c r="AT180" s="286"/>
      <c r="AU180" s="2188"/>
      <c r="AV180" s="286"/>
      <c r="AW180" s="842"/>
      <c r="AX180" s="286"/>
      <c r="AY180" s="286"/>
      <c r="AZ180" s="2188"/>
      <c r="BA180" s="842"/>
      <c r="BB180" s="286"/>
      <c r="BC180" s="286"/>
      <c r="BD180" s="2188"/>
      <c r="BE180" s="842"/>
      <c r="BF180" s="286"/>
      <c r="BG180" s="286"/>
      <c r="BH180" s="843"/>
      <c r="BI180" s="2188"/>
      <c r="BJ180" s="842"/>
      <c r="BK180" s="286"/>
      <c r="BL180" s="286"/>
      <c r="BM180" s="843"/>
      <c r="BN180" s="286"/>
      <c r="BO180" s="286"/>
      <c r="BP180" s="2188"/>
      <c r="BQ180" s="286"/>
      <c r="BR180" s="842"/>
      <c r="BS180" s="286"/>
      <c r="BT180" s="286"/>
      <c r="BU180" s="2188"/>
      <c r="BV180" s="286">
        <v>20</v>
      </c>
      <c r="BW180" s="286"/>
      <c r="BX180" s="842"/>
      <c r="BY180" s="286"/>
      <c r="BZ180" s="286"/>
      <c r="CA180" s="286"/>
      <c r="CB180" s="2188"/>
      <c r="CC180" s="286"/>
      <c r="CD180" s="842"/>
      <c r="CE180" s="286">
        <v>20</v>
      </c>
      <c r="CF180" s="286">
        <v>20</v>
      </c>
      <c r="CG180" s="2188"/>
      <c r="CH180" s="286"/>
      <c r="CI180" s="842"/>
      <c r="CJ180" s="286"/>
      <c r="CK180" s="286"/>
      <c r="CL180" s="286"/>
      <c r="CM180" s="286"/>
      <c r="CN180" s="2188"/>
      <c r="CO180" s="842"/>
      <c r="CP180" s="286">
        <v>20</v>
      </c>
      <c r="CQ180" s="286">
        <v>20</v>
      </c>
      <c r="CR180" s="2188"/>
      <c r="CS180" s="286"/>
      <c r="CT180" s="842"/>
      <c r="CU180" s="286">
        <v>20</v>
      </c>
      <c r="CV180" s="286">
        <v>20</v>
      </c>
      <c r="CW180" s="2188">
        <v>20</v>
      </c>
      <c r="CX180" s="286"/>
      <c r="CY180" s="842"/>
      <c r="CZ180" s="286"/>
      <c r="DA180" s="2188"/>
      <c r="DB180" s="286"/>
      <c r="DC180" s="842"/>
      <c r="DD180" s="286"/>
      <c r="DE180" s="842"/>
      <c r="DF180" s="838">
        <f>IFERROR(VLOOKUP(G180,Personalización!$F$18:$H$21,3,0),IFERROR(VLOOKUP(G180,Personalización!$I$18:$K$21,3,0),IFERROR(VLOOKUP(G180,Personalización!$L$18:$N$21,3,0),IFERROR(VLOOKUP(G180,Personalización!$O$18:$Q$20,3,0),0))))</f>
        <v>0</v>
      </c>
    </row>
    <row r="181" spans="1:110" ht="12.75" customHeight="1">
      <c r="A181" s="219">
        <v>181</v>
      </c>
      <c r="B181" s="7145"/>
      <c r="C181" s="511" t="s">
        <v>5870</v>
      </c>
      <c r="D181" s="512"/>
      <c r="F181" s="2224">
        <v>41</v>
      </c>
      <c r="G181" s="307" t="s">
        <v>1328</v>
      </c>
      <c r="H181" s="2188"/>
      <c r="I181" s="286"/>
      <c r="J181" s="842"/>
      <c r="K181" s="286"/>
      <c r="L181" s="286"/>
      <c r="M181" s="2188"/>
      <c r="N181" s="286"/>
      <c r="O181" s="842"/>
      <c r="P181" s="286"/>
      <c r="Q181" s="286"/>
      <c r="R181" s="2188"/>
      <c r="S181" s="842"/>
      <c r="T181" s="286"/>
      <c r="U181" s="2188"/>
      <c r="V181" s="842"/>
      <c r="W181" s="286"/>
      <c r="X181" s="286"/>
      <c r="Y181" s="926"/>
      <c r="Z181" s="699"/>
      <c r="AA181" s="2187"/>
      <c r="AB181" s="699"/>
      <c r="AC181" s="699"/>
      <c r="AD181" s="926"/>
      <c r="AE181" s="2187"/>
      <c r="AF181" s="699"/>
      <c r="AG181" s="699"/>
      <c r="AH181" s="699"/>
      <c r="AI181" s="926"/>
      <c r="AJ181" s="699"/>
      <c r="AK181" s="2187"/>
      <c r="AL181" s="699"/>
      <c r="AM181" s="699"/>
      <c r="AN181" s="699"/>
      <c r="AO181" s="699"/>
      <c r="AP181" s="2188"/>
      <c r="AQ181" s="286"/>
      <c r="AR181" s="842"/>
      <c r="AS181" s="286"/>
      <c r="AT181" s="286"/>
      <c r="AU181" s="2188"/>
      <c r="AV181" s="286"/>
      <c r="AW181" s="842"/>
      <c r="AX181" s="286"/>
      <c r="AY181" s="286"/>
      <c r="AZ181" s="2188"/>
      <c r="BA181" s="842"/>
      <c r="BB181" s="286"/>
      <c r="BC181" s="286"/>
      <c r="BD181" s="2188"/>
      <c r="BE181" s="842"/>
      <c r="BF181" s="286"/>
      <c r="BG181" s="286"/>
      <c r="BH181" s="843"/>
      <c r="BI181" s="2188"/>
      <c r="BJ181" s="842"/>
      <c r="BK181" s="286"/>
      <c r="BL181" s="286"/>
      <c r="BM181" s="843"/>
      <c r="BN181" s="286"/>
      <c r="BO181" s="286"/>
      <c r="BP181" s="2188"/>
      <c r="BQ181" s="286"/>
      <c r="BR181" s="842"/>
      <c r="BS181" s="286"/>
      <c r="BT181" s="286"/>
      <c r="BU181" s="2188"/>
      <c r="BV181" s="286"/>
      <c r="BW181" s="286"/>
      <c r="BX181" s="842"/>
      <c r="BY181" s="286"/>
      <c r="BZ181" s="286"/>
      <c r="CA181" s="286"/>
      <c r="CB181" s="2188"/>
      <c r="CC181" s="286"/>
      <c r="CD181" s="842"/>
      <c r="CE181" s="286"/>
      <c r="CF181" s="286"/>
      <c r="CG181" s="2188"/>
      <c r="CH181" s="286"/>
      <c r="CI181" s="842"/>
      <c r="CJ181" s="286"/>
      <c r="CK181" s="286"/>
      <c r="CL181" s="286"/>
      <c r="CM181" s="286"/>
      <c r="CN181" s="2188"/>
      <c r="CO181" s="842"/>
      <c r="CP181" s="286"/>
      <c r="CQ181" s="286"/>
      <c r="CR181" s="2188"/>
      <c r="CS181" s="286"/>
      <c r="CT181" s="842"/>
      <c r="CU181" s="286"/>
      <c r="CV181" s="286"/>
      <c r="CW181" s="2188"/>
      <c r="CX181" s="286"/>
      <c r="CY181" s="842"/>
      <c r="CZ181" s="286"/>
      <c r="DA181" s="2188"/>
      <c r="DB181" s="286"/>
      <c r="DC181" s="842"/>
      <c r="DD181" s="286"/>
      <c r="DE181" s="842"/>
      <c r="DF181" s="838">
        <f>IFERROR(VLOOKUP(G181,Personalización!$F$18:$H$21,3,0),IFERROR(VLOOKUP(G181,Personalización!$I$18:$K$21,3,0),IFERROR(VLOOKUP(G181,Personalización!$L$18:$N$21,3,0),IFERROR(VLOOKUP(G181,Personalización!$O$18:$Q$20,3,0),0))))</f>
        <v>0</v>
      </c>
    </row>
    <row r="182" spans="1:110" ht="12.75" customHeight="1">
      <c r="A182" s="219">
        <v>182</v>
      </c>
      <c r="B182" s="7145"/>
      <c r="C182" s="511" t="s">
        <v>5871</v>
      </c>
      <c r="D182" s="512"/>
      <c r="F182" s="2224">
        <v>42</v>
      </c>
      <c r="G182" s="307" t="s">
        <v>1330</v>
      </c>
      <c r="H182" s="2188"/>
      <c r="I182" s="286"/>
      <c r="J182" s="842"/>
      <c r="K182" s="286">
        <v>20</v>
      </c>
      <c r="L182" s="286"/>
      <c r="M182" s="2188"/>
      <c r="N182" s="286"/>
      <c r="O182" s="842"/>
      <c r="P182" s="286"/>
      <c r="Q182" s="286"/>
      <c r="R182" s="2188"/>
      <c r="S182" s="842"/>
      <c r="T182" s="286"/>
      <c r="U182" s="2188"/>
      <c r="V182" s="842"/>
      <c r="W182" s="286"/>
      <c r="X182" s="286"/>
      <c r="Y182" s="926"/>
      <c r="Z182" s="699"/>
      <c r="AA182" s="2187"/>
      <c r="AB182" s="699"/>
      <c r="AC182" s="699"/>
      <c r="AD182" s="926"/>
      <c r="AE182" s="2187"/>
      <c r="AF182" s="699"/>
      <c r="AG182" s="699"/>
      <c r="AH182" s="699"/>
      <c r="AI182" s="926"/>
      <c r="AJ182" s="699"/>
      <c r="AK182" s="2187"/>
      <c r="AL182" s="699"/>
      <c r="AM182" s="699"/>
      <c r="AN182" s="699"/>
      <c r="AO182" s="699"/>
      <c r="AP182" s="2188"/>
      <c r="AQ182" s="286"/>
      <c r="AR182" s="842"/>
      <c r="AS182" s="286"/>
      <c r="AT182" s="286"/>
      <c r="AU182" s="2188"/>
      <c r="AV182" s="286"/>
      <c r="AW182" s="842"/>
      <c r="AX182" s="286"/>
      <c r="AY182" s="286"/>
      <c r="AZ182" s="2188"/>
      <c r="BA182" s="842"/>
      <c r="BB182" s="286"/>
      <c r="BC182" s="286"/>
      <c r="BD182" s="2188"/>
      <c r="BE182" s="842"/>
      <c r="BF182" s="286">
        <v>10</v>
      </c>
      <c r="BG182" s="286">
        <v>10</v>
      </c>
      <c r="BH182" s="843"/>
      <c r="BI182" s="2188"/>
      <c r="BJ182" s="842"/>
      <c r="BK182" s="286"/>
      <c r="BL182" s="286"/>
      <c r="BM182" s="843"/>
      <c r="BN182" s="286">
        <v>30</v>
      </c>
      <c r="BO182" s="286"/>
      <c r="BP182" s="2188"/>
      <c r="BQ182" s="286">
        <v>20</v>
      </c>
      <c r="BR182" s="842"/>
      <c r="BS182" s="286"/>
      <c r="BT182" s="286"/>
      <c r="BU182" s="2188"/>
      <c r="BV182" s="286"/>
      <c r="BW182" s="286"/>
      <c r="BX182" s="842"/>
      <c r="BY182" s="286"/>
      <c r="BZ182" s="286"/>
      <c r="CA182" s="286"/>
      <c r="CB182" s="2188"/>
      <c r="CC182" s="286"/>
      <c r="CD182" s="842"/>
      <c r="CE182" s="286"/>
      <c r="CF182" s="286"/>
      <c r="CG182" s="2188"/>
      <c r="CH182" s="286"/>
      <c r="CI182" s="842"/>
      <c r="CJ182" s="286"/>
      <c r="CK182" s="286"/>
      <c r="CL182" s="286"/>
      <c r="CM182" s="286"/>
      <c r="CN182" s="2188"/>
      <c r="CO182" s="842"/>
      <c r="CP182" s="286"/>
      <c r="CQ182" s="286"/>
      <c r="CR182" s="2188"/>
      <c r="CS182" s="286"/>
      <c r="CT182" s="842"/>
      <c r="CU182" s="286"/>
      <c r="CV182" s="286"/>
      <c r="CW182" s="2188"/>
      <c r="CX182" s="286"/>
      <c r="CY182" s="842"/>
      <c r="CZ182" s="286"/>
      <c r="DA182" s="2188"/>
      <c r="DB182" s="286"/>
      <c r="DC182" s="842"/>
      <c r="DD182" s="286"/>
      <c r="DE182" s="842"/>
      <c r="DF182" s="838">
        <f>IFERROR(VLOOKUP(G182,Personalización!$F$18:$H$21,3,0),IFERROR(VLOOKUP(G182,Personalización!$I$18:$K$21,3,0),IFERROR(VLOOKUP(G182,Personalización!$L$18:$N$21,3,0),IFERROR(VLOOKUP(G182,Personalización!$O$18:$Q$20,3,0),0))))</f>
        <v>0</v>
      </c>
    </row>
    <row r="183" spans="1:110" ht="12.75" customHeight="1">
      <c r="A183" s="219">
        <v>183</v>
      </c>
      <c r="B183" s="7145"/>
      <c r="C183" s="511" t="s">
        <v>7893</v>
      </c>
      <c r="D183" s="512"/>
      <c r="F183" s="2224">
        <v>43</v>
      </c>
      <c r="G183" s="307" t="s">
        <v>1331</v>
      </c>
      <c r="H183" s="2188"/>
      <c r="I183" s="286">
        <v>20</v>
      </c>
      <c r="J183" s="842">
        <v>20</v>
      </c>
      <c r="K183" s="286"/>
      <c r="L183" s="286">
        <v>20</v>
      </c>
      <c r="M183" s="2188"/>
      <c r="N183" s="286"/>
      <c r="O183" s="842"/>
      <c r="P183" s="286"/>
      <c r="Q183" s="286"/>
      <c r="R183" s="2188"/>
      <c r="S183" s="842"/>
      <c r="T183" s="286"/>
      <c r="U183" s="2188"/>
      <c r="V183" s="842"/>
      <c r="W183" s="286"/>
      <c r="X183" s="286"/>
      <c r="Y183" s="926"/>
      <c r="Z183" s="699">
        <v>20</v>
      </c>
      <c r="AA183" s="2187">
        <v>20</v>
      </c>
      <c r="AB183" s="699"/>
      <c r="AC183" s="699"/>
      <c r="AD183" s="926"/>
      <c r="AE183" s="2187"/>
      <c r="AF183" s="699"/>
      <c r="AG183" s="699"/>
      <c r="AH183" s="699"/>
      <c r="AI183" s="926"/>
      <c r="AJ183" s="699"/>
      <c r="AK183" s="2187"/>
      <c r="AL183" s="699"/>
      <c r="AM183" s="699"/>
      <c r="AN183" s="699"/>
      <c r="AO183" s="699"/>
      <c r="AP183" s="2188"/>
      <c r="AQ183" s="286"/>
      <c r="AR183" s="842"/>
      <c r="AS183" s="286"/>
      <c r="AT183" s="286"/>
      <c r="AU183" s="2188"/>
      <c r="AV183" s="286">
        <v>30</v>
      </c>
      <c r="AW183" s="842">
        <v>20</v>
      </c>
      <c r="AX183" s="286"/>
      <c r="AY183" s="286">
        <v>20</v>
      </c>
      <c r="AZ183" s="2188"/>
      <c r="BA183" s="842"/>
      <c r="BB183" s="286"/>
      <c r="BC183" s="286"/>
      <c r="BD183" s="2188"/>
      <c r="BE183" s="842"/>
      <c r="BF183" s="286"/>
      <c r="BG183" s="286"/>
      <c r="BH183" s="843"/>
      <c r="BI183" s="2188"/>
      <c r="BJ183" s="842"/>
      <c r="BK183" s="286"/>
      <c r="BL183" s="286"/>
      <c r="BM183" s="843"/>
      <c r="BN183" s="286"/>
      <c r="BO183" s="286"/>
      <c r="BP183" s="2188"/>
      <c r="BQ183" s="286"/>
      <c r="BR183" s="842"/>
      <c r="BS183" s="286"/>
      <c r="BT183" s="286">
        <v>10</v>
      </c>
      <c r="BU183" s="2188">
        <v>20</v>
      </c>
      <c r="BV183" s="286"/>
      <c r="BW183" s="286">
        <v>20</v>
      </c>
      <c r="BX183" s="842">
        <v>20</v>
      </c>
      <c r="BY183" s="286"/>
      <c r="BZ183" s="286"/>
      <c r="CA183" s="286"/>
      <c r="CB183" s="2188">
        <v>20</v>
      </c>
      <c r="CC183" s="286">
        <v>20</v>
      </c>
      <c r="CD183" s="842">
        <v>20</v>
      </c>
      <c r="CE183" s="286"/>
      <c r="CF183" s="286"/>
      <c r="CG183" s="2188">
        <v>20</v>
      </c>
      <c r="CH183" s="286"/>
      <c r="CI183" s="842">
        <v>20</v>
      </c>
      <c r="CJ183" s="286">
        <v>20</v>
      </c>
      <c r="CK183" s="286">
        <v>20</v>
      </c>
      <c r="CL183" s="286">
        <v>20</v>
      </c>
      <c r="CM183" s="286">
        <v>20</v>
      </c>
      <c r="CN183" s="2188">
        <v>20</v>
      </c>
      <c r="CO183" s="842">
        <v>20</v>
      </c>
      <c r="CP183" s="286"/>
      <c r="CQ183" s="286"/>
      <c r="CR183" s="2188">
        <v>20</v>
      </c>
      <c r="CS183" s="286">
        <v>20</v>
      </c>
      <c r="CT183" s="842">
        <v>20</v>
      </c>
      <c r="CU183" s="286"/>
      <c r="CV183" s="286"/>
      <c r="CW183" s="2188"/>
      <c r="CX183" s="286"/>
      <c r="CY183" s="842"/>
      <c r="CZ183" s="286"/>
      <c r="DA183" s="2188">
        <v>20</v>
      </c>
      <c r="DB183" s="286">
        <v>20</v>
      </c>
      <c r="DC183" s="842">
        <v>20</v>
      </c>
      <c r="DD183" s="286"/>
      <c r="DE183" s="842"/>
      <c r="DF183" s="838">
        <f>IFERROR(VLOOKUP(G183,Personalización!$F$18:$H$21,3,0),IFERROR(VLOOKUP(G183,Personalización!$I$18:$K$21,3,0),IFERROR(VLOOKUP(G183,Personalización!$L$18:$N$21,3,0),IFERROR(VLOOKUP(G183,Personalización!$O$18:$Q$20,3,0),0))))</f>
        <v>0</v>
      </c>
    </row>
    <row r="184" spans="1:110" ht="12.75" customHeight="1">
      <c r="A184" s="219">
        <v>184</v>
      </c>
      <c r="B184" s="7145"/>
      <c r="C184" s="511" t="s">
        <v>5872</v>
      </c>
      <c r="D184" s="512"/>
      <c r="F184" s="2224">
        <v>44</v>
      </c>
      <c r="G184" s="307" t="s">
        <v>1332</v>
      </c>
      <c r="H184" s="2188"/>
      <c r="I184" s="286"/>
      <c r="J184" s="842"/>
      <c r="K184" s="286"/>
      <c r="L184" s="286"/>
      <c r="M184" s="2188"/>
      <c r="N184" s="286"/>
      <c r="O184" s="842"/>
      <c r="P184" s="286">
        <v>20</v>
      </c>
      <c r="Q184" s="286"/>
      <c r="R184" s="2188"/>
      <c r="S184" s="842"/>
      <c r="T184" s="286"/>
      <c r="U184" s="2188"/>
      <c r="V184" s="842"/>
      <c r="W184" s="286"/>
      <c r="X184" s="286"/>
      <c r="Y184" s="926"/>
      <c r="Z184" s="699"/>
      <c r="AA184" s="2187"/>
      <c r="AB184" s="699"/>
      <c r="AC184" s="699"/>
      <c r="AD184" s="926"/>
      <c r="AE184" s="2187"/>
      <c r="AF184" s="699"/>
      <c r="AG184" s="699"/>
      <c r="AH184" s="699"/>
      <c r="AI184" s="926"/>
      <c r="AJ184" s="699"/>
      <c r="AK184" s="2187"/>
      <c r="AL184" s="699"/>
      <c r="AM184" s="699"/>
      <c r="AN184" s="699"/>
      <c r="AO184" s="699"/>
      <c r="AP184" s="2188"/>
      <c r="AQ184" s="286"/>
      <c r="AR184" s="842"/>
      <c r="AS184" s="286"/>
      <c r="AT184" s="286"/>
      <c r="AU184" s="2188"/>
      <c r="AV184" s="286"/>
      <c r="AW184" s="842"/>
      <c r="AX184" s="286"/>
      <c r="AY184" s="286"/>
      <c r="AZ184" s="2188"/>
      <c r="BA184" s="842"/>
      <c r="BB184" s="286"/>
      <c r="BC184" s="286"/>
      <c r="BD184" s="2188"/>
      <c r="BE184" s="842"/>
      <c r="BF184" s="286">
        <v>30</v>
      </c>
      <c r="BG184" s="286"/>
      <c r="BH184" s="843"/>
      <c r="BI184" s="2188"/>
      <c r="BJ184" s="842"/>
      <c r="BK184" s="286"/>
      <c r="BL184" s="286"/>
      <c r="BM184" s="843"/>
      <c r="BN184" s="286"/>
      <c r="BO184" s="286"/>
      <c r="BP184" s="2188"/>
      <c r="BQ184" s="286"/>
      <c r="BR184" s="842"/>
      <c r="BS184" s="286"/>
      <c r="BT184" s="286"/>
      <c r="BU184" s="2188"/>
      <c r="BV184" s="286"/>
      <c r="BW184" s="286"/>
      <c r="BX184" s="842"/>
      <c r="BY184" s="286"/>
      <c r="BZ184" s="286"/>
      <c r="CA184" s="286"/>
      <c r="CB184" s="2188"/>
      <c r="CC184" s="286"/>
      <c r="CD184" s="842"/>
      <c r="CE184" s="286"/>
      <c r="CF184" s="286"/>
      <c r="CG184" s="2188"/>
      <c r="CH184" s="286"/>
      <c r="CI184" s="842"/>
      <c r="CJ184" s="286"/>
      <c r="CK184" s="286"/>
      <c r="CL184" s="286"/>
      <c r="CM184" s="286"/>
      <c r="CN184" s="2188"/>
      <c r="CO184" s="842"/>
      <c r="CP184" s="286"/>
      <c r="CQ184" s="286"/>
      <c r="CR184" s="2188"/>
      <c r="CS184" s="286"/>
      <c r="CT184" s="842"/>
      <c r="CU184" s="286"/>
      <c r="CV184" s="286"/>
      <c r="CW184" s="2188"/>
      <c r="CX184" s="286"/>
      <c r="CY184" s="842"/>
      <c r="CZ184" s="286"/>
      <c r="DA184" s="2188"/>
      <c r="DB184" s="286"/>
      <c r="DC184" s="842"/>
      <c r="DD184" s="286"/>
      <c r="DE184" s="842"/>
      <c r="DF184" s="838">
        <f>IFERROR(VLOOKUP(G184,Personalización!$F$18:$H$21,3,0),IFERROR(VLOOKUP(G184,Personalización!$I$18:$K$21,3,0),IFERROR(VLOOKUP(G184,Personalización!$L$18:$N$21,3,0),IFERROR(VLOOKUP(G184,Personalización!$O$18:$Q$20,3,0),0))))</f>
        <v>0</v>
      </c>
    </row>
    <row r="185" spans="1:110" ht="12.75" customHeight="1">
      <c r="A185" s="219">
        <v>185</v>
      </c>
      <c r="B185" s="7145"/>
      <c r="C185" s="511" t="s">
        <v>5873</v>
      </c>
      <c r="D185" s="512"/>
      <c r="F185" s="2224">
        <v>45</v>
      </c>
      <c r="G185" s="307" t="s">
        <v>682</v>
      </c>
      <c r="H185" s="2188"/>
      <c r="I185" s="286"/>
      <c r="J185" s="842"/>
      <c r="K185" s="286"/>
      <c r="L185" s="286"/>
      <c r="M185" s="2188"/>
      <c r="N185" s="286"/>
      <c r="O185" s="842"/>
      <c r="P185" s="286"/>
      <c r="Q185" s="286"/>
      <c r="R185" s="2188"/>
      <c r="S185" s="842"/>
      <c r="T185" s="286"/>
      <c r="U185" s="2188"/>
      <c r="V185" s="842"/>
      <c r="W185" s="286"/>
      <c r="X185" s="286"/>
      <c r="Y185" s="926"/>
      <c r="Z185" s="699"/>
      <c r="AA185" s="2187"/>
      <c r="AB185" s="699"/>
      <c r="AC185" s="699"/>
      <c r="AD185" s="926"/>
      <c r="AE185" s="2187"/>
      <c r="AF185" s="699"/>
      <c r="AG185" s="699"/>
      <c r="AH185" s="699"/>
      <c r="AI185" s="926"/>
      <c r="AJ185" s="699"/>
      <c r="AK185" s="2187"/>
      <c r="AL185" s="699"/>
      <c r="AM185" s="699"/>
      <c r="AN185" s="699"/>
      <c r="AO185" s="699"/>
      <c r="AP185" s="2188"/>
      <c r="AQ185" s="286"/>
      <c r="AR185" s="842"/>
      <c r="AS185" s="286"/>
      <c r="AT185" s="286"/>
      <c r="AU185" s="2188"/>
      <c r="AV185" s="286"/>
      <c r="AW185" s="842"/>
      <c r="AX185" s="286"/>
      <c r="AY185" s="286"/>
      <c r="AZ185" s="2188"/>
      <c r="BA185" s="842"/>
      <c r="BB185" s="286"/>
      <c r="BC185" s="286"/>
      <c r="BD185" s="2188"/>
      <c r="BE185" s="842"/>
      <c r="BF185" s="286"/>
      <c r="BG185" s="286"/>
      <c r="BH185" s="843"/>
      <c r="BI185" s="2188"/>
      <c r="BJ185" s="842"/>
      <c r="BK185" s="286"/>
      <c r="BL185" s="286"/>
      <c r="BM185" s="843"/>
      <c r="BN185" s="286"/>
      <c r="BO185" s="286"/>
      <c r="BP185" s="2188"/>
      <c r="BQ185" s="286"/>
      <c r="BR185" s="842"/>
      <c r="BS185" s="286"/>
      <c r="BT185" s="286"/>
      <c r="BU185" s="2188"/>
      <c r="BV185" s="286"/>
      <c r="BW185" s="286"/>
      <c r="BX185" s="842"/>
      <c r="BY185" s="286"/>
      <c r="BZ185" s="286"/>
      <c r="CA185" s="286"/>
      <c r="CB185" s="2188"/>
      <c r="CC185" s="286"/>
      <c r="CD185" s="842"/>
      <c r="CE185" s="286"/>
      <c r="CF185" s="286"/>
      <c r="CG185" s="2188"/>
      <c r="CH185" s="286"/>
      <c r="CI185" s="842"/>
      <c r="CJ185" s="286"/>
      <c r="CK185" s="286"/>
      <c r="CL185" s="286"/>
      <c r="CM185" s="286"/>
      <c r="CN185" s="2188"/>
      <c r="CO185" s="842"/>
      <c r="CP185" s="286"/>
      <c r="CQ185" s="286"/>
      <c r="CR185" s="2188"/>
      <c r="CS185" s="286"/>
      <c r="CT185" s="842"/>
      <c r="CU185" s="286"/>
      <c r="CV185" s="286"/>
      <c r="CW185" s="2188"/>
      <c r="CX185" s="286"/>
      <c r="CY185" s="842"/>
      <c r="CZ185" s="286"/>
      <c r="DA185" s="2188"/>
      <c r="DB185" s="286"/>
      <c r="DC185" s="842"/>
      <c r="DD185" s="286"/>
      <c r="DE185" s="842"/>
      <c r="DF185" s="838">
        <f>IFERROR(VLOOKUP(G185,Personalización!$F$18:$H$21,3,0),IFERROR(VLOOKUP(G185,Personalización!$I$18:$K$21,3,0),IFERROR(VLOOKUP(G185,Personalización!$L$18:$N$21,3,0),IFERROR(VLOOKUP(G185,Personalización!$O$18:$Q$20,3,0),0))))</f>
        <v>0</v>
      </c>
    </row>
    <row r="186" spans="1:110" ht="12.75" customHeight="1">
      <c r="A186" s="219">
        <v>186</v>
      </c>
      <c r="B186" s="7145"/>
      <c r="C186" s="511" t="s">
        <v>5874</v>
      </c>
      <c r="D186" s="512"/>
      <c r="F186" s="2224">
        <v>46</v>
      </c>
      <c r="G186" s="307" t="s">
        <v>683</v>
      </c>
      <c r="H186" s="2188"/>
      <c r="I186" s="286"/>
      <c r="J186" s="842"/>
      <c r="K186" s="286"/>
      <c r="L186" s="286"/>
      <c r="M186" s="2188"/>
      <c r="N186" s="286"/>
      <c r="O186" s="842"/>
      <c r="P186" s="286"/>
      <c r="Q186" s="286"/>
      <c r="R186" s="2188"/>
      <c r="S186" s="842"/>
      <c r="T186" s="286"/>
      <c r="U186" s="2188"/>
      <c r="V186" s="842"/>
      <c r="W186" s="286"/>
      <c r="X186" s="286"/>
      <c r="Y186" s="926"/>
      <c r="Z186" s="699"/>
      <c r="AA186" s="2187"/>
      <c r="AB186" s="699"/>
      <c r="AC186" s="699"/>
      <c r="AD186" s="926"/>
      <c r="AE186" s="2187"/>
      <c r="AF186" s="699"/>
      <c r="AG186" s="699"/>
      <c r="AH186" s="699"/>
      <c r="AI186" s="926"/>
      <c r="AJ186" s="699"/>
      <c r="AK186" s="2187"/>
      <c r="AL186" s="699"/>
      <c r="AM186" s="699"/>
      <c r="AN186" s="699"/>
      <c r="AO186" s="699"/>
      <c r="AP186" s="2188"/>
      <c r="AQ186" s="286"/>
      <c r="AR186" s="842"/>
      <c r="AS186" s="286"/>
      <c r="AT186" s="286"/>
      <c r="AU186" s="2188"/>
      <c r="AV186" s="286"/>
      <c r="AW186" s="842"/>
      <c r="AX186" s="286"/>
      <c r="AY186" s="286"/>
      <c r="AZ186" s="2188"/>
      <c r="BA186" s="842"/>
      <c r="BB186" s="286"/>
      <c r="BC186" s="286"/>
      <c r="BD186" s="2188"/>
      <c r="BE186" s="842"/>
      <c r="BF186" s="286"/>
      <c r="BG186" s="286"/>
      <c r="BH186" s="843"/>
      <c r="BI186" s="2188"/>
      <c r="BJ186" s="842"/>
      <c r="BK186" s="286"/>
      <c r="BL186" s="286"/>
      <c r="BM186" s="843"/>
      <c r="BN186" s="286"/>
      <c r="BO186" s="286"/>
      <c r="BP186" s="2188"/>
      <c r="BQ186" s="286"/>
      <c r="BR186" s="842"/>
      <c r="BS186" s="286"/>
      <c r="BT186" s="286"/>
      <c r="BU186" s="2188"/>
      <c r="BV186" s="286"/>
      <c r="BW186" s="286"/>
      <c r="BX186" s="842"/>
      <c r="BY186" s="286"/>
      <c r="BZ186" s="286"/>
      <c r="CA186" s="286"/>
      <c r="CB186" s="2188"/>
      <c r="CC186" s="286"/>
      <c r="CD186" s="842"/>
      <c r="CE186" s="286"/>
      <c r="CF186" s="286"/>
      <c r="CG186" s="2188"/>
      <c r="CH186" s="286"/>
      <c r="CI186" s="842"/>
      <c r="CJ186" s="286"/>
      <c r="CK186" s="286"/>
      <c r="CL186" s="286"/>
      <c r="CM186" s="286"/>
      <c r="CN186" s="2188"/>
      <c r="CO186" s="842"/>
      <c r="CP186" s="286"/>
      <c r="CQ186" s="286"/>
      <c r="CR186" s="2188"/>
      <c r="CS186" s="286"/>
      <c r="CT186" s="842"/>
      <c r="CU186" s="286"/>
      <c r="CV186" s="286"/>
      <c r="CW186" s="2188"/>
      <c r="CX186" s="286"/>
      <c r="CY186" s="842"/>
      <c r="CZ186" s="286"/>
      <c r="DA186" s="2188"/>
      <c r="DB186" s="286"/>
      <c r="DC186" s="842"/>
      <c r="DD186" s="286"/>
      <c r="DE186" s="842"/>
      <c r="DF186" s="838">
        <f>IFERROR(VLOOKUP(G186,Personalización!$F$18:$H$21,3,0),IFERROR(VLOOKUP(G186,Personalización!$I$18:$K$21,3,0),IFERROR(VLOOKUP(G186,Personalización!$L$18:$N$21,3,0),IFERROR(VLOOKUP(G186,Personalización!$O$18:$Q$20,3,0),0))))</f>
        <v>0</v>
      </c>
    </row>
    <row r="187" spans="1:110" ht="12.75" customHeight="1">
      <c r="A187" s="219">
        <v>187</v>
      </c>
      <c r="B187" s="7145"/>
      <c r="C187" s="511" t="s">
        <v>5875</v>
      </c>
      <c r="D187" s="512"/>
      <c r="F187" s="2224">
        <v>47</v>
      </c>
      <c r="G187" s="307" t="s">
        <v>684</v>
      </c>
      <c r="H187" s="2188"/>
      <c r="I187" s="286"/>
      <c r="J187" s="842"/>
      <c r="K187" s="286"/>
      <c r="L187" s="286"/>
      <c r="M187" s="2188"/>
      <c r="N187" s="286"/>
      <c r="O187" s="842"/>
      <c r="P187" s="286"/>
      <c r="Q187" s="286"/>
      <c r="R187" s="2188"/>
      <c r="S187" s="842"/>
      <c r="T187" s="286"/>
      <c r="U187" s="2188"/>
      <c r="V187" s="842"/>
      <c r="W187" s="286"/>
      <c r="X187" s="286"/>
      <c r="Y187" s="926"/>
      <c r="Z187" s="699"/>
      <c r="AA187" s="2187"/>
      <c r="AB187" s="699"/>
      <c r="AC187" s="699"/>
      <c r="AD187" s="926"/>
      <c r="AE187" s="2187"/>
      <c r="AF187" s="699"/>
      <c r="AG187" s="699"/>
      <c r="AH187" s="699"/>
      <c r="AI187" s="926"/>
      <c r="AJ187" s="699"/>
      <c r="AK187" s="2187"/>
      <c r="AL187" s="699"/>
      <c r="AM187" s="699"/>
      <c r="AN187" s="699"/>
      <c r="AO187" s="699"/>
      <c r="AP187" s="2188"/>
      <c r="AQ187" s="286"/>
      <c r="AR187" s="842"/>
      <c r="AS187" s="286"/>
      <c r="AT187" s="286"/>
      <c r="AU187" s="2188"/>
      <c r="AV187" s="286"/>
      <c r="AW187" s="842"/>
      <c r="AX187" s="286"/>
      <c r="AY187" s="286"/>
      <c r="AZ187" s="2188"/>
      <c r="BA187" s="842"/>
      <c r="BB187" s="286"/>
      <c r="BC187" s="286"/>
      <c r="BD187" s="2188"/>
      <c r="BE187" s="842"/>
      <c r="BF187" s="286"/>
      <c r="BG187" s="286"/>
      <c r="BH187" s="843"/>
      <c r="BI187" s="2188"/>
      <c r="BJ187" s="842"/>
      <c r="BK187" s="286"/>
      <c r="BL187" s="286"/>
      <c r="BM187" s="843"/>
      <c r="BN187" s="286"/>
      <c r="BO187" s="286"/>
      <c r="BP187" s="2188"/>
      <c r="BQ187" s="286"/>
      <c r="BR187" s="842"/>
      <c r="BS187" s="286"/>
      <c r="BT187" s="286"/>
      <c r="BU187" s="2188"/>
      <c r="BV187" s="286"/>
      <c r="BW187" s="286"/>
      <c r="BX187" s="842"/>
      <c r="BY187" s="286"/>
      <c r="BZ187" s="286"/>
      <c r="CA187" s="286"/>
      <c r="CB187" s="2188"/>
      <c r="CC187" s="286"/>
      <c r="CD187" s="842"/>
      <c r="CE187" s="286"/>
      <c r="CF187" s="286"/>
      <c r="CG187" s="2188"/>
      <c r="CH187" s="286"/>
      <c r="CI187" s="842"/>
      <c r="CJ187" s="286"/>
      <c r="CK187" s="286"/>
      <c r="CL187" s="286"/>
      <c r="CM187" s="286"/>
      <c r="CN187" s="2188"/>
      <c r="CO187" s="842"/>
      <c r="CP187" s="286"/>
      <c r="CQ187" s="286"/>
      <c r="CR187" s="2188"/>
      <c r="CS187" s="286"/>
      <c r="CT187" s="842"/>
      <c r="CU187" s="286"/>
      <c r="CV187" s="286"/>
      <c r="CW187" s="2188"/>
      <c r="CX187" s="286"/>
      <c r="CY187" s="842"/>
      <c r="CZ187" s="286"/>
      <c r="DA187" s="2188"/>
      <c r="DB187" s="286"/>
      <c r="DC187" s="842"/>
      <c r="DD187" s="286"/>
      <c r="DE187" s="842"/>
      <c r="DF187" s="838">
        <f>IFERROR(VLOOKUP(G187,Personalización!$F$18:$H$21,3,0),IFERROR(VLOOKUP(G187,Personalización!$I$18:$K$21,3,0),IFERROR(VLOOKUP(G187,Personalización!$L$18:$N$21,3,0),IFERROR(VLOOKUP(G187,Personalización!$O$18:$Q$20,3,0),0))))</f>
        <v>0</v>
      </c>
    </row>
    <row r="188" spans="1:110" ht="12.75" customHeight="1">
      <c r="A188" s="219">
        <v>188</v>
      </c>
      <c r="B188" s="7145"/>
      <c r="C188" s="511" t="s">
        <v>5941</v>
      </c>
      <c r="D188" s="512"/>
      <c r="F188" s="2224">
        <v>48</v>
      </c>
      <c r="G188" s="307" t="s">
        <v>1333</v>
      </c>
      <c r="H188" s="2188"/>
      <c r="I188" s="286"/>
      <c r="J188" s="842"/>
      <c r="K188" s="286"/>
      <c r="L188" s="286"/>
      <c r="M188" s="2188"/>
      <c r="N188" s="286"/>
      <c r="O188" s="842"/>
      <c r="P188" s="286"/>
      <c r="Q188" s="286"/>
      <c r="R188" s="2188"/>
      <c r="S188" s="842">
        <v>30</v>
      </c>
      <c r="T188" s="286"/>
      <c r="U188" s="2188"/>
      <c r="V188" s="842"/>
      <c r="W188" s="286"/>
      <c r="X188" s="286"/>
      <c r="Y188" s="926"/>
      <c r="Z188" s="699"/>
      <c r="AA188" s="2187"/>
      <c r="AB188" s="699"/>
      <c r="AC188" s="699"/>
      <c r="AD188" s="926"/>
      <c r="AE188" s="2187"/>
      <c r="AF188" s="699"/>
      <c r="AG188" s="699"/>
      <c r="AH188" s="699"/>
      <c r="AI188" s="926"/>
      <c r="AJ188" s="699"/>
      <c r="AK188" s="2187"/>
      <c r="AL188" s="699"/>
      <c r="AM188" s="699"/>
      <c r="AN188" s="699"/>
      <c r="AO188" s="699"/>
      <c r="AP188" s="2188"/>
      <c r="AQ188" s="286"/>
      <c r="AR188" s="842"/>
      <c r="AS188" s="286"/>
      <c r="AT188" s="286"/>
      <c r="AU188" s="2188"/>
      <c r="AV188" s="286"/>
      <c r="AW188" s="842"/>
      <c r="AX188" s="286"/>
      <c r="AY188" s="286"/>
      <c r="AZ188" s="2188"/>
      <c r="BA188" s="842"/>
      <c r="BB188" s="286"/>
      <c r="BC188" s="286"/>
      <c r="BD188" s="2188"/>
      <c r="BE188" s="842"/>
      <c r="BF188" s="286"/>
      <c r="BG188" s="286"/>
      <c r="BH188" s="843"/>
      <c r="BI188" s="2188"/>
      <c r="BJ188" s="842"/>
      <c r="BK188" s="286"/>
      <c r="BL188" s="286"/>
      <c r="BM188" s="843"/>
      <c r="BN188" s="286"/>
      <c r="BO188" s="286"/>
      <c r="BP188" s="2188"/>
      <c r="BQ188" s="286">
        <v>20</v>
      </c>
      <c r="BR188" s="842"/>
      <c r="BS188" s="286"/>
      <c r="BT188" s="286"/>
      <c r="BU188" s="2188"/>
      <c r="BV188" s="286"/>
      <c r="BW188" s="286"/>
      <c r="BX188" s="842"/>
      <c r="BY188" s="286"/>
      <c r="BZ188" s="286"/>
      <c r="CA188" s="286"/>
      <c r="CB188" s="2188"/>
      <c r="CC188" s="286"/>
      <c r="CD188" s="842"/>
      <c r="CE188" s="286"/>
      <c r="CF188" s="286"/>
      <c r="CG188" s="2188"/>
      <c r="CH188" s="286"/>
      <c r="CI188" s="842"/>
      <c r="CJ188" s="286"/>
      <c r="CK188" s="286"/>
      <c r="CL188" s="286"/>
      <c r="CM188" s="286"/>
      <c r="CN188" s="2188"/>
      <c r="CO188" s="842"/>
      <c r="CP188" s="286"/>
      <c r="CQ188" s="286"/>
      <c r="CR188" s="2188">
        <v>20</v>
      </c>
      <c r="CS188" s="286">
        <v>20</v>
      </c>
      <c r="CT188" s="842">
        <v>20</v>
      </c>
      <c r="CU188" s="286"/>
      <c r="CV188" s="286"/>
      <c r="CW188" s="2188"/>
      <c r="CX188" s="286"/>
      <c r="CY188" s="842"/>
      <c r="CZ188" s="286"/>
      <c r="DA188" s="2188"/>
      <c r="DB188" s="286"/>
      <c r="DC188" s="842"/>
      <c r="DD188" s="286"/>
      <c r="DE188" s="842"/>
      <c r="DF188" s="838">
        <f>IFERROR(VLOOKUP(G188,Personalización!$F$18:$H$21,3,0),IFERROR(VLOOKUP(G188,Personalización!$I$18:$K$21,3,0),IFERROR(VLOOKUP(G188,Personalización!$L$18:$N$21,3,0),IFERROR(VLOOKUP(G188,Personalización!$O$18:$Q$20,3,0),0))))</f>
        <v>0</v>
      </c>
    </row>
    <row r="189" spans="1:110" ht="12.75" customHeight="1">
      <c r="A189" s="219">
        <v>189</v>
      </c>
      <c r="B189" s="7145"/>
      <c r="C189" s="511" t="s">
        <v>5876</v>
      </c>
      <c r="D189" s="512"/>
      <c r="F189" s="2224">
        <v>49</v>
      </c>
      <c r="G189" s="307" t="s">
        <v>1335</v>
      </c>
      <c r="H189" s="2188">
        <v>20</v>
      </c>
      <c r="I189" s="286"/>
      <c r="J189" s="842"/>
      <c r="K189" s="286"/>
      <c r="L189" s="286"/>
      <c r="M189" s="2188"/>
      <c r="N189" s="286"/>
      <c r="O189" s="842"/>
      <c r="P189" s="286"/>
      <c r="Q189" s="286"/>
      <c r="R189" s="2188"/>
      <c r="S189" s="842"/>
      <c r="T189" s="286"/>
      <c r="U189" s="2188"/>
      <c r="V189" s="842"/>
      <c r="W189" s="286"/>
      <c r="X189" s="286"/>
      <c r="Y189" s="926">
        <v>20</v>
      </c>
      <c r="Z189" s="699"/>
      <c r="AA189" s="2187"/>
      <c r="AB189" s="699"/>
      <c r="AC189" s="699"/>
      <c r="AD189" s="926"/>
      <c r="AE189" s="2187"/>
      <c r="AF189" s="699"/>
      <c r="AG189" s="699"/>
      <c r="AH189" s="699"/>
      <c r="AI189" s="926"/>
      <c r="AJ189" s="699"/>
      <c r="AK189" s="2187"/>
      <c r="AL189" s="699"/>
      <c r="AM189" s="699"/>
      <c r="AN189" s="699"/>
      <c r="AO189" s="699"/>
      <c r="AP189" s="2188"/>
      <c r="AQ189" s="286"/>
      <c r="AR189" s="842"/>
      <c r="AS189" s="286"/>
      <c r="AT189" s="286"/>
      <c r="AU189" s="2188"/>
      <c r="AV189" s="286"/>
      <c r="AW189" s="842"/>
      <c r="AX189" s="286"/>
      <c r="AY189" s="286"/>
      <c r="AZ189" s="2188"/>
      <c r="BA189" s="842"/>
      <c r="BB189" s="286"/>
      <c r="BC189" s="286"/>
      <c r="BD189" s="2188"/>
      <c r="BE189" s="842"/>
      <c r="BF189" s="286"/>
      <c r="BG189" s="286"/>
      <c r="BH189" s="843"/>
      <c r="BI189" s="2188"/>
      <c r="BJ189" s="842"/>
      <c r="BK189" s="286"/>
      <c r="BL189" s="286"/>
      <c r="BM189" s="843"/>
      <c r="BN189" s="286"/>
      <c r="BO189" s="286"/>
      <c r="BP189" s="2188"/>
      <c r="BQ189" s="286"/>
      <c r="BR189" s="842"/>
      <c r="BS189" s="286"/>
      <c r="BT189" s="286"/>
      <c r="BU189" s="2188"/>
      <c r="BV189" s="286"/>
      <c r="BW189" s="286"/>
      <c r="BX189" s="842"/>
      <c r="BY189" s="286"/>
      <c r="BZ189" s="286"/>
      <c r="CA189" s="286"/>
      <c r="CB189" s="2188"/>
      <c r="CC189" s="286"/>
      <c r="CD189" s="842"/>
      <c r="CE189" s="286"/>
      <c r="CF189" s="286"/>
      <c r="CG189" s="2188"/>
      <c r="CH189" s="286"/>
      <c r="CI189" s="842"/>
      <c r="CJ189" s="286"/>
      <c r="CK189" s="286"/>
      <c r="CL189" s="286"/>
      <c r="CM189" s="286"/>
      <c r="CN189" s="2188"/>
      <c r="CO189" s="842"/>
      <c r="CP189" s="286"/>
      <c r="CQ189" s="286"/>
      <c r="CR189" s="2188">
        <v>20</v>
      </c>
      <c r="CS189" s="286"/>
      <c r="CT189" s="842"/>
      <c r="CU189" s="286"/>
      <c r="CV189" s="286"/>
      <c r="CW189" s="2188"/>
      <c r="CX189" s="286"/>
      <c r="CY189" s="842"/>
      <c r="CZ189" s="286"/>
      <c r="DA189" s="2188"/>
      <c r="DB189" s="286"/>
      <c r="DC189" s="842"/>
      <c r="DD189" s="286"/>
      <c r="DE189" s="842"/>
      <c r="DF189" s="838">
        <f>IFERROR(VLOOKUP(G189,Personalización!$F$18:$H$21,3,0),IFERROR(VLOOKUP(G189,Personalización!$I$18:$K$21,3,0),IFERROR(VLOOKUP(G189,Personalización!$L$18:$N$21,3,0),IFERROR(VLOOKUP(G189,Personalización!$O$18:$Q$20,3,0),0))))</f>
        <v>0</v>
      </c>
    </row>
    <row r="190" spans="1:110" ht="12.75" customHeight="1">
      <c r="A190" s="219">
        <v>190</v>
      </c>
      <c r="B190" s="7145"/>
      <c r="C190" s="511" t="s">
        <v>5877</v>
      </c>
      <c r="D190" s="512"/>
      <c r="F190" s="2224">
        <v>50</v>
      </c>
      <c r="G190" s="307" t="s">
        <v>5859</v>
      </c>
      <c r="H190" s="2188"/>
      <c r="I190" s="286"/>
      <c r="J190" s="842"/>
      <c r="K190" s="286"/>
      <c r="L190" s="286"/>
      <c r="M190" s="2188"/>
      <c r="N190" s="286"/>
      <c r="O190" s="842"/>
      <c r="P190" s="286"/>
      <c r="Q190" s="286"/>
      <c r="R190" s="2188"/>
      <c r="S190" s="842"/>
      <c r="T190" s="286"/>
      <c r="U190" s="2188"/>
      <c r="V190" s="842"/>
      <c r="W190" s="286"/>
      <c r="X190" s="286"/>
      <c r="Y190" s="926"/>
      <c r="Z190" s="699"/>
      <c r="AA190" s="2187"/>
      <c r="AB190" s="699"/>
      <c r="AC190" s="699"/>
      <c r="AD190" s="926"/>
      <c r="AE190" s="2187"/>
      <c r="AF190" s="699"/>
      <c r="AG190" s="699"/>
      <c r="AH190" s="699"/>
      <c r="AI190" s="926"/>
      <c r="AJ190" s="699"/>
      <c r="AK190" s="2187"/>
      <c r="AL190" s="699"/>
      <c r="AM190" s="699"/>
      <c r="AN190" s="699"/>
      <c r="AO190" s="699"/>
      <c r="AP190" s="2188"/>
      <c r="AQ190" s="286"/>
      <c r="AR190" s="842"/>
      <c r="AS190" s="286"/>
      <c r="AT190" s="286"/>
      <c r="AU190" s="2188"/>
      <c r="AV190" s="286"/>
      <c r="AW190" s="842"/>
      <c r="AX190" s="286"/>
      <c r="AY190" s="286"/>
      <c r="AZ190" s="2188"/>
      <c r="BA190" s="842"/>
      <c r="BB190" s="286"/>
      <c r="BC190" s="286"/>
      <c r="BD190" s="2188"/>
      <c r="BE190" s="842"/>
      <c r="BF190" s="286"/>
      <c r="BG190" s="286"/>
      <c r="BH190" s="843"/>
      <c r="BI190" s="2188"/>
      <c r="BJ190" s="842"/>
      <c r="BK190" s="286"/>
      <c r="BL190" s="286"/>
      <c r="BM190" s="843"/>
      <c r="BN190" s="286"/>
      <c r="BO190" s="286"/>
      <c r="BP190" s="2188"/>
      <c r="BQ190" s="286"/>
      <c r="BR190" s="842"/>
      <c r="BS190" s="286"/>
      <c r="BT190" s="286"/>
      <c r="BU190" s="2188"/>
      <c r="BV190" s="286"/>
      <c r="BW190" s="286"/>
      <c r="BX190" s="842"/>
      <c r="BY190" s="286"/>
      <c r="BZ190" s="286"/>
      <c r="CA190" s="286"/>
      <c r="CB190" s="2188"/>
      <c r="CC190" s="286"/>
      <c r="CD190" s="842"/>
      <c r="CE190" s="286"/>
      <c r="CF190" s="286"/>
      <c r="CG190" s="2188"/>
      <c r="CH190" s="286"/>
      <c r="CI190" s="842"/>
      <c r="CJ190" s="286"/>
      <c r="CK190" s="286"/>
      <c r="CL190" s="286"/>
      <c r="CM190" s="286"/>
      <c r="CN190" s="2188"/>
      <c r="CO190" s="842"/>
      <c r="CP190" s="286"/>
      <c r="CQ190" s="286"/>
      <c r="CR190" s="2188"/>
      <c r="CS190" s="286"/>
      <c r="CT190" s="842"/>
      <c r="CU190" s="286"/>
      <c r="CV190" s="286"/>
      <c r="CW190" s="2188"/>
      <c r="CX190" s="286"/>
      <c r="CY190" s="842"/>
      <c r="CZ190" s="286"/>
      <c r="DA190" s="2188"/>
      <c r="DB190" s="286"/>
      <c r="DC190" s="842"/>
      <c r="DD190" s="286"/>
      <c r="DE190" s="842"/>
      <c r="DF190" s="838">
        <f>IFERROR(VLOOKUP(G190,Personalización!$F$18:$H$21,3,0),IFERROR(VLOOKUP(G190,Personalización!$I$18:$K$21,3,0),IFERROR(VLOOKUP(G190,Personalización!$L$18:$N$21,3,0),IFERROR(VLOOKUP(G190,Personalización!$O$18:$Q$20,3,0),0))))</f>
        <v>0</v>
      </c>
    </row>
    <row r="191" spans="1:110" ht="12.75" customHeight="1">
      <c r="A191" s="219">
        <v>191</v>
      </c>
      <c r="B191" s="7145"/>
      <c r="C191" s="511" t="s">
        <v>5878</v>
      </c>
      <c r="D191" s="512"/>
      <c r="F191" s="2224">
        <v>51</v>
      </c>
      <c r="G191" s="307" t="s">
        <v>5860</v>
      </c>
      <c r="H191" s="2188"/>
      <c r="I191" s="286"/>
      <c r="J191" s="842"/>
      <c r="K191" s="286"/>
      <c r="L191" s="286"/>
      <c r="M191" s="2188"/>
      <c r="N191" s="286"/>
      <c r="O191" s="842"/>
      <c r="P191" s="286"/>
      <c r="Q191" s="286"/>
      <c r="R191" s="2188"/>
      <c r="S191" s="842"/>
      <c r="T191" s="286"/>
      <c r="U191" s="2188"/>
      <c r="V191" s="842"/>
      <c r="W191" s="286"/>
      <c r="X191" s="286"/>
      <c r="Y191" s="926"/>
      <c r="Z191" s="699"/>
      <c r="AA191" s="2187"/>
      <c r="AB191" s="699"/>
      <c r="AC191" s="699"/>
      <c r="AD191" s="926"/>
      <c r="AE191" s="2187"/>
      <c r="AF191" s="699"/>
      <c r="AG191" s="699"/>
      <c r="AH191" s="699"/>
      <c r="AI191" s="926"/>
      <c r="AJ191" s="699"/>
      <c r="AK191" s="2187"/>
      <c r="AL191" s="699"/>
      <c r="AM191" s="699"/>
      <c r="AN191" s="699"/>
      <c r="AO191" s="699"/>
      <c r="AP191" s="2188"/>
      <c r="AQ191" s="286"/>
      <c r="AR191" s="842"/>
      <c r="AS191" s="286"/>
      <c r="AT191" s="286"/>
      <c r="AU191" s="2188"/>
      <c r="AV191" s="286"/>
      <c r="AW191" s="842"/>
      <c r="AX191" s="286"/>
      <c r="AY191" s="286"/>
      <c r="AZ191" s="2188"/>
      <c r="BA191" s="842"/>
      <c r="BB191" s="286"/>
      <c r="BC191" s="286"/>
      <c r="BD191" s="2188"/>
      <c r="BE191" s="842"/>
      <c r="BF191" s="286"/>
      <c r="BG191" s="286"/>
      <c r="BH191" s="843"/>
      <c r="BI191" s="2188"/>
      <c r="BJ191" s="842"/>
      <c r="BK191" s="286"/>
      <c r="BL191" s="286"/>
      <c r="BM191" s="843"/>
      <c r="BN191" s="286"/>
      <c r="BO191" s="286"/>
      <c r="BP191" s="2188"/>
      <c r="BQ191" s="286"/>
      <c r="BR191" s="842"/>
      <c r="BS191" s="286"/>
      <c r="BT191" s="286"/>
      <c r="BU191" s="2188"/>
      <c r="BV191" s="286"/>
      <c r="BW191" s="286"/>
      <c r="BX191" s="842"/>
      <c r="BY191" s="286"/>
      <c r="BZ191" s="286"/>
      <c r="CA191" s="286"/>
      <c r="CB191" s="2188"/>
      <c r="CC191" s="286"/>
      <c r="CD191" s="842"/>
      <c r="CE191" s="286"/>
      <c r="CF191" s="286"/>
      <c r="CG191" s="2188"/>
      <c r="CH191" s="286"/>
      <c r="CI191" s="842"/>
      <c r="CJ191" s="286"/>
      <c r="CK191" s="286"/>
      <c r="CL191" s="286"/>
      <c r="CM191" s="286"/>
      <c r="CN191" s="2188"/>
      <c r="CO191" s="842"/>
      <c r="CP191" s="286"/>
      <c r="CQ191" s="286"/>
      <c r="CR191" s="2188"/>
      <c r="CS191" s="286"/>
      <c r="CT191" s="842"/>
      <c r="CU191" s="286"/>
      <c r="CV191" s="286"/>
      <c r="CW191" s="2188"/>
      <c r="CX191" s="286"/>
      <c r="CY191" s="842"/>
      <c r="CZ191" s="286"/>
      <c r="DA191" s="2188"/>
      <c r="DB191" s="286"/>
      <c r="DC191" s="842"/>
      <c r="DD191" s="286"/>
      <c r="DE191" s="842"/>
      <c r="DF191" s="838">
        <f>IFERROR(VLOOKUP(G191,Personalización!$F$18:$H$21,3,0),IFERROR(VLOOKUP(G191,Personalización!$I$18:$K$21,3,0),IFERROR(VLOOKUP(G191,Personalización!$L$18:$N$21,3,0),IFERROR(VLOOKUP(G191,Personalización!$O$18:$Q$20,3,0),0))))</f>
        <v>0</v>
      </c>
    </row>
    <row r="192" spans="1:110" ht="12.75" customHeight="1">
      <c r="A192" s="219">
        <v>192</v>
      </c>
      <c r="B192" s="7145"/>
      <c r="C192" s="511" t="s">
        <v>5879</v>
      </c>
      <c r="D192" s="512"/>
      <c r="F192" s="2224">
        <v>52</v>
      </c>
      <c r="G192" s="307" t="s">
        <v>5861</v>
      </c>
      <c r="H192" s="2188"/>
      <c r="I192" s="286"/>
      <c r="J192" s="842"/>
      <c r="K192" s="286"/>
      <c r="L192" s="286"/>
      <c r="M192" s="2188"/>
      <c r="N192" s="286"/>
      <c r="O192" s="842"/>
      <c r="P192" s="286"/>
      <c r="Q192" s="286"/>
      <c r="R192" s="2188"/>
      <c r="S192" s="842"/>
      <c r="T192" s="286"/>
      <c r="U192" s="2188"/>
      <c r="V192" s="842"/>
      <c r="W192" s="286"/>
      <c r="X192" s="286"/>
      <c r="Y192" s="926"/>
      <c r="Z192" s="699"/>
      <c r="AA192" s="2187"/>
      <c r="AB192" s="699"/>
      <c r="AC192" s="699"/>
      <c r="AD192" s="926"/>
      <c r="AE192" s="2187"/>
      <c r="AF192" s="699"/>
      <c r="AG192" s="699"/>
      <c r="AH192" s="699"/>
      <c r="AI192" s="926"/>
      <c r="AJ192" s="699"/>
      <c r="AK192" s="2187"/>
      <c r="AL192" s="699"/>
      <c r="AM192" s="699"/>
      <c r="AN192" s="699"/>
      <c r="AO192" s="699"/>
      <c r="AP192" s="2188"/>
      <c r="AQ192" s="286"/>
      <c r="AR192" s="842"/>
      <c r="AS192" s="286"/>
      <c r="AT192" s="286"/>
      <c r="AU192" s="2188"/>
      <c r="AV192" s="286"/>
      <c r="AW192" s="842"/>
      <c r="AX192" s="286"/>
      <c r="AY192" s="286"/>
      <c r="AZ192" s="2188"/>
      <c r="BA192" s="842"/>
      <c r="BB192" s="286"/>
      <c r="BC192" s="286"/>
      <c r="BD192" s="2188"/>
      <c r="BE192" s="842"/>
      <c r="BF192" s="286"/>
      <c r="BG192" s="286"/>
      <c r="BH192" s="843"/>
      <c r="BI192" s="2188"/>
      <c r="BJ192" s="842"/>
      <c r="BK192" s="286"/>
      <c r="BL192" s="286"/>
      <c r="BM192" s="843"/>
      <c r="BN192" s="286"/>
      <c r="BO192" s="286"/>
      <c r="BP192" s="2188"/>
      <c r="BQ192" s="286"/>
      <c r="BR192" s="842"/>
      <c r="BS192" s="286"/>
      <c r="BT192" s="286"/>
      <c r="BU192" s="2188"/>
      <c r="BV192" s="286"/>
      <c r="BW192" s="286"/>
      <c r="BX192" s="842"/>
      <c r="BY192" s="286"/>
      <c r="BZ192" s="286"/>
      <c r="CA192" s="286"/>
      <c r="CB192" s="2188"/>
      <c r="CC192" s="286"/>
      <c r="CD192" s="842"/>
      <c r="CE192" s="286"/>
      <c r="CF192" s="286"/>
      <c r="CG192" s="2188"/>
      <c r="CH192" s="286"/>
      <c r="CI192" s="842"/>
      <c r="CJ192" s="286"/>
      <c r="CK192" s="286"/>
      <c r="CL192" s="286"/>
      <c r="CM192" s="286"/>
      <c r="CN192" s="2188"/>
      <c r="CO192" s="842"/>
      <c r="CP192" s="286"/>
      <c r="CQ192" s="286"/>
      <c r="CR192" s="2188"/>
      <c r="CS192" s="286"/>
      <c r="CT192" s="842"/>
      <c r="CU192" s="286"/>
      <c r="CV192" s="286"/>
      <c r="CW192" s="2188"/>
      <c r="CX192" s="286"/>
      <c r="CY192" s="842"/>
      <c r="CZ192" s="286"/>
      <c r="DA192" s="2188"/>
      <c r="DB192" s="286"/>
      <c r="DC192" s="842"/>
      <c r="DD192" s="286"/>
      <c r="DE192" s="842"/>
      <c r="DF192" s="838">
        <f>IFERROR(VLOOKUP(G192,Personalización!$F$18:$H$21,3,0),IFERROR(VLOOKUP(G192,Personalización!$I$18:$K$21,3,0),IFERROR(VLOOKUP(G192,Personalización!$L$18:$N$21,3,0),IFERROR(VLOOKUP(G192,Personalización!$O$18:$Q$20,3,0),0))))</f>
        <v>0</v>
      </c>
    </row>
    <row r="193" spans="1:110" ht="12.75" customHeight="1">
      <c r="A193" s="219">
        <v>193</v>
      </c>
      <c r="B193" s="7145"/>
      <c r="C193" s="511" t="str">
        <f>IF(ISNA(VLOOKUP(Personalización!C20,Tablas!$C$138:$C$192,1,0)),"&gt;&gt; PERSONALIZACIÓN","")</f>
        <v>&gt;&gt; PERSONALIZACIÓN</v>
      </c>
      <c r="D193" s="512"/>
      <c r="F193" s="2224">
        <v>53</v>
      </c>
      <c r="G193" s="307" t="s">
        <v>5862</v>
      </c>
      <c r="H193" s="2188"/>
      <c r="I193" s="286"/>
      <c r="J193" s="842"/>
      <c r="K193" s="286"/>
      <c r="L193" s="286"/>
      <c r="M193" s="2188"/>
      <c r="N193" s="286"/>
      <c r="O193" s="842"/>
      <c r="P193" s="286"/>
      <c r="Q193" s="286"/>
      <c r="R193" s="2188"/>
      <c r="S193" s="842"/>
      <c r="T193" s="286"/>
      <c r="U193" s="2188"/>
      <c r="V193" s="842"/>
      <c r="W193" s="286"/>
      <c r="X193" s="286"/>
      <c r="Y193" s="926"/>
      <c r="Z193" s="699"/>
      <c r="AA193" s="2187"/>
      <c r="AB193" s="699"/>
      <c r="AC193" s="699"/>
      <c r="AD193" s="926"/>
      <c r="AE193" s="2187"/>
      <c r="AF193" s="699"/>
      <c r="AG193" s="699"/>
      <c r="AH193" s="699"/>
      <c r="AI193" s="926"/>
      <c r="AJ193" s="699"/>
      <c r="AK193" s="2187"/>
      <c r="AL193" s="699"/>
      <c r="AM193" s="699"/>
      <c r="AN193" s="699"/>
      <c r="AO193" s="699"/>
      <c r="AP193" s="2188"/>
      <c r="AQ193" s="286"/>
      <c r="AR193" s="842"/>
      <c r="AS193" s="286"/>
      <c r="AT193" s="286"/>
      <c r="AU193" s="2188"/>
      <c r="AV193" s="286"/>
      <c r="AW193" s="842"/>
      <c r="AX193" s="286"/>
      <c r="AY193" s="286"/>
      <c r="AZ193" s="2188"/>
      <c r="BA193" s="842"/>
      <c r="BB193" s="286"/>
      <c r="BC193" s="286"/>
      <c r="BD193" s="2188"/>
      <c r="BE193" s="842"/>
      <c r="BF193" s="286"/>
      <c r="BG193" s="286"/>
      <c r="BH193" s="843"/>
      <c r="BI193" s="2188"/>
      <c r="BJ193" s="842"/>
      <c r="BK193" s="286"/>
      <c r="BL193" s="286"/>
      <c r="BM193" s="843"/>
      <c r="BN193" s="286"/>
      <c r="BO193" s="286"/>
      <c r="BP193" s="2188"/>
      <c r="BQ193" s="286"/>
      <c r="BR193" s="842"/>
      <c r="BS193" s="286"/>
      <c r="BT193" s="286"/>
      <c r="BU193" s="2188"/>
      <c r="BV193" s="286"/>
      <c r="BW193" s="286"/>
      <c r="BX193" s="842"/>
      <c r="BY193" s="286"/>
      <c r="BZ193" s="286"/>
      <c r="CA193" s="286"/>
      <c r="CB193" s="2188"/>
      <c r="CC193" s="286"/>
      <c r="CD193" s="842"/>
      <c r="CE193" s="286"/>
      <c r="CF193" s="286"/>
      <c r="CG193" s="2188"/>
      <c r="CH193" s="286"/>
      <c r="CI193" s="842"/>
      <c r="CJ193" s="286"/>
      <c r="CK193" s="286"/>
      <c r="CL193" s="286"/>
      <c r="CM193" s="286"/>
      <c r="CN193" s="2188"/>
      <c r="CO193" s="842"/>
      <c r="CP193" s="286"/>
      <c r="CQ193" s="286"/>
      <c r="CR193" s="2188"/>
      <c r="CS193" s="286"/>
      <c r="CT193" s="842"/>
      <c r="CU193" s="286"/>
      <c r="CV193" s="286"/>
      <c r="CW193" s="2188"/>
      <c r="CX193" s="286"/>
      <c r="CY193" s="842"/>
      <c r="CZ193" s="286"/>
      <c r="DA193" s="2188"/>
      <c r="DB193" s="286"/>
      <c r="DC193" s="842"/>
      <c r="DD193" s="286"/>
      <c r="DE193" s="842"/>
      <c r="DF193" s="838">
        <f>IFERROR(VLOOKUP(G193,Personalización!$F$18:$H$21,3,0),IFERROR(VLOOKUP(G193,Personalización!$I$18:$K$21,3,0),IFERROR(VLOOKUP(G193,Personalización!$L$18:$N$21,3,0),IFERROR(VLOOKUP(G193,Personalización!$O$18:$Q$20,3,0),0))))</f>
        <v>0</v>
      </c>
    </row>
    <row r="194" spans="1:110" ht="12.75" customHeight="1" thickBot="1">
      <c r="A194" s="219">
        <v>194</v>
      </c>
      <c r="B194" s="7145"/>
      <c r="C194" s="513" t="str">
        <f>IF(ISNA(VLOOKUP(Personalización!C20,Tablas!$C$138:$C$192,1,0)),IF(Personalización!C20&lt;&gt;"",Personalización!C20,"Región Personalizada"),"")</f>
        <v>Región Personalizada</v>
      </c>
      <c r="D194" s="514"/>
      <c r="F194" s="2224">
        <v>54</v>
      </c>
      <c r="G194" s="522"/>
      <c r="H194" s="2188"/>
      <c r="I194" s="286"/>
      <c r="J194" s="842" t="s">
        <v>5959</v>
      </c>
      <c r="K194" s="286"/>
      <c r="L194" s="286" t="s">
        <v>5959</v>
      </c>
      <c r="M194" s="2188"/>
      <c r="N194" s="286"/>
      <c r="O194" s="842"/>
      <c r="P194" s="286"/>
      <c r="Q194" s="286"/>
      <c r="R194" s="2188"/>
      <c r="S194" s="842"/>
      <c r="T194" s="286"/>
      <c r="U194" s="2188"/>
      <c r="V194" s="842"/>
      <c r="W194" s="286"/>
      <c r="X194" s="286"/>
      <c r="Y194" s="926"/>
      <c r="Z194" s="699"/>
      <c r="AA194" s="2187"/>
      <c r="AB194" s="699"/>
      <c r="AC194" s="699"/>
      <c r="AD194" s="926"/>
      <c r="AE194" s="2187"/>
      <c r="AF194" s="699"/>
      <c r="AG194" s="699"/>
      <c r="AH194" s="699" t="s">
        <v>5961</v>
      </c>
      <c r="AI194" s="926"/>
      <c r="AJ194" s="699"/>
      <c r="AK194" s="2187"/>
      <c r="AL194" s="699"/>
      <c r="AM194" s="699"/>
      <c r="AN194" s="699"/>
      <c r="AO194" s="699"/>
      <c r="AP194" s="2188"/>
      <c r="AQ194" s="286"/>
      <c r="AR194" s="842"/>
      <c r="AS194" s="286"/>
      <c r="AT194" s="286"/>
      <c r="AU194" s="2188"/>
      <c r="AV194" s="286" t="s">
        <v>5963</v>
      </c>
      <c r="AW194" s="842" t="s">
        <v>5963</v>
      </c>
      <c r="AX194" s="286"/>
      <c r="AY194" s="286" t="s">
        <v>5963</v>
      </c>
      <c r="AZ194" s="2188"/>
      <c r="BA194" s="842"/>
      <c r="BB194" s="286"/>
      <c r="BC194" s="286"/>
      <c r="BD194" s="2188"/>
      <c r="BE194" s="842"/>
      <c r="BF194" s="286"/>
      <c r="BG194" s="286"/>
      <c r="BH194" s="843"/>
      <c r="BI194" s="2188"/>
      <c r="BJ194" s="842"/>
      <c r="BK194" s="286"/>
      <c r="BL194" s="286" t="s">
        <v>5959</v>
      </c>
      <c r="BM194" s="843"/>
      <c r="BN194" s="286"/>
      <c r="BO194" s="286"/>
      <c r="BP194" s="2188"/>
      <c r="BQ194" s="286"/>
      <c r="BR194" s="842"/>
      <c r="BS194" s="286"/>
      <c r="BT194" s="286" t="s">
        <v>5963</v>
      </c>
      <c r="BU194" s="2188"/>
      <c r="BV194" s="286"/>
      <c r="BW194" s="286"/>
      <c r="BX194" s="842" t="s">
        <v>5959</v>
      </c>
      <c r="BY194" s="286"/>
      <c r="BZ194" s="286"/>
      <c r="CA194" s="286"/>
      <c r="CB194" s="2188"/>
      <c r="CC194" s="286"/>
      <c r="CD194" s="842"/>
      <c r="CE194" s="286"/>
      <c r="CF194" s="286"/>
      <c r="CG194" s="2188"/>
      <c r="CH194" s="286"/>
      <c r="CI194" s="842"/>
      <c r="CJ194" s="286"/>
      <c r="CK194" s="286" t="s">
        <v>5927</v>
      </c>
      <c r="CL194" s="286"/>
      <c r="CM194" s="286" t="s">
        <v>5927</v>
      </c>
      <c r="CN194" s="2188"/>
      <c r="CO194" s="842"/>
      <c r="CP194" s="286"/>
      <c r="CQ194" s="286"/>
      <c r="CR194" s="2188"/>
      <c r="CS194" s="286"/>
      <c r="CT194" s="842"/>
      <c r="CU194" s="286"/>
      <c r="CV194" s="286"/>
      <c r="CW194" s="2188"/>
      <c r="CX194" s="286"/>
      <c r="CY194" s="842"/>
      <c r="CZ194" s="286"/>
      <c r="DA194" s="2188"/>
      <c r="DB194" s="286"/>
      <c r="DC194" s="842" t="s">
        <v>5959</v>
      </c>
      <c r="DD194" s="286"/>
      <c r="DE194" s="842"/>
      <c r="DF194" s="838">
        <f>IFERROR(VLOOKUP(G194,Personalización!$F$18:$H$21,3,0),IFERROR(VLOOKUP(G194,Personalización!$I$18:$K$21,3,0),IFERROR(VLOOKUP(G194,Personalización!$L$18:$N$21,3,0),IFERROR(VLOOKUP(G194,Personalización!$O$18:$Q$20,3,0),0))))</f>
        <v>0</v>
      </c>
    </row>
    <row r="195" spans="1:110" ht="12.75" customHeight="1">
      <c r="A195" s="219">
        <v>195</v>
      </c>
      <c r="B195" s="7145"/>
      <c r="F195" s="2224">
        <v>55</v>
      </c>
      <c r="G195" s="307"/>
      <c r="H195" s="2188"/>
      <c r="I195" s="286"/>
      <c r="J195" s="842" t="s">
        <v>5960</v>
      </c>
      <c r="K195" s="286"/>
      <c r="L195" s="286" t="s">
        <v>5960</v>
      </c>
      <c r="M195" s="2188"/>
      <c r="N195" s="286"/>
      <c r="O195" s="842"/>
      <c r="P195" s="286"/>
      <c r="Q195" s="286"/>
      <c r="R195" s="2188"/>
      <c r="S195" s="842"/>
      <c r="T195" s="286"/>
      <c r="U195" s="2188"/>
      <c r="V195" s="842"/>
      <c r="W195" s="286"/>
      <c r="X195" s="286"/>
      <c r="Y195" s="926"/>
      <c r="Z195" s="699"/>
      <c r="AA195" s="2187"/>
      <c r="AB195" s="699"/>
      <c r="AC195" s="699"/>
      <c r="AD195" s="926"/>
      <c r="AE195" s="2187"/>
      <c r="AF195" s="699"/>
      <c r="AG195" s="699"/>
      <c r="AH195" s="699" t="s">
        <v>5959</v>
      </c>
      <c r="AI195" s="926"/>
      <c r="AJ195" s="699"/>
      <c r="AK195" s="2187"/>
      <c r="AL195" s="699"/>
      <c r="AM195" s="699"/>
      <c r="AN195" s="699"/>
      <c r="AO195" s="699"/>
      <c r="AP195" s="2188"/>
      <c r="AQ195" s="286"/>
      <c r="AR195" s="842"/>
      <c r="AS195" s="286"/>
      <c r="AT195" s="286"/>
      <c r="AU195" s="2188"/>
      <c r="AV195" s="286" t="s">
        <v>5962</v>
      </c>
      <c r="AW195" s="842" t="s">
        <v>5962</v>
      </c>
      <c r="AX195" s="286"/>
      <c r="AY195" s="286" t="s">
        <v>5962</v>
      </c>
      <c r="AZ195" s="2188"/>
      <c r="BA195" s="842"/>
      <c r="BB195" s="286"/>
      <c r="BC195" s="286"/>
      <c r="BD195" s="2188"/>
      <c r="BE195" s="842"/>
      <c r="BF195" s="286"/>
      <c r="BG195" s="286"/>
      <c r="BH195" s="843"/>
      <c r="BI195" s="2188"/>
      <c r="BJ195" s="842"/>
      <c r="BK195" s="286"/>
      <c r="BL195" s="286" t="s">
        <v>5960</v>
      </c>
      <c r="BM195" s="843"/>
      <c r="BN195" s="286"/>
      <c r="BO195" s="286"/>
      <c r="BP195" s="2188"/>
      <c r="BQ195" s="286"/>
      <c r="BR195" s="842"/>
      <c r="BS195" s="286"/>
      <c r="BT195" s="286" t="s">
        <v>5962</v>
      </c>
      <c r="BU195" s="2188"/>
      <c r="BV195" s="286"/>
      <c r="BW195" s="286"/>
      <c r="BX195" s="842" t="s">
        <v>5960</v>
      </c>
      <c r="BY195" s="286"/>
      <c r="BZ195" s="286"/>
      <c r="CA195" s="286"/>
      <c r="CB195" s="2188"/>
      <c r="CC195" s="286"/>
      <c r="CD195" s="842"/>
      <c r="CE195" s="286"/>
      <c r="CF195" s="286"/>
      <c r="CG195" s="2188"/>
      <c r="CH195" s="286"/>
      <c r="CI195" s="842"/>
      <c r="CJ195" s="286"/>
      <c r="CK195" s="286"/>
      <c r="CL195" s="286"/>
      <c r="CM195" s="286"/>
      <c r="CN195" s="2188"/>
      <c r="CO195" s="842"/>
      <c r="CP195" s="286"/>
      <c r="CQ195" s="286"/>
      <c r="CR195" s="2188"/>
      <c r="CS195" s="286"/>
      <c r="CT195" s="842"/>
      <c r="CU195" s="286"/>
      <c r="CV195" s="286"/>
      <c r="CW195" s="2188"/>
      <c r="CX195" s="286"/>
      <c r="CY195" s="842"/>
      <c r="CZ195" s="286"/>
      <c r="DA195" s="2188"/>
      <c r="DB195" s="286"/>
      <c r="DC195" s="842" t="s">
        <v>5960</v>
      </c>
      <c r="DD195" s="286"/>
      <c r="DE195" s="842"/>
      <c r="DF195" s="838">
        <f>IFERROR(VLOOKUP(G195,Personalización!$F$18:$H$21,3,0),IFERROR(VLOOKUP(G195,Personalización!$I$18:$K$21,3,0),IFERROR(VLOOKUP(G195,Personalización!$L$18:$N$21,3,0),IFERROR(VLOOKUP(G195,Personalización!$O$18:$Q$20,3,0),0))))</f>
        <v>0</v>
      </c>
    </row>
    <row r="196" spans="1:110" ht="12.75" customHeight="1">
      <c r="A196" s="219">
        <v>196</v>
      </c>
      <c r="B196" s="7145"/>
      <c r="F196" s="2224">
        <v>56</v>
      </c>
      <c r="G196" s="522"/>
      <c r="H196" s="2188"/>
      <c r="I196" s="286"/>
      <c r="J196" s="842"/>
      <c r="K196" s="286"/>
      <c r="L196" s="286"/>
      <c r="M196" s="2188"/>
      <c r="N196" s="286"/>
      <c r="O196" s="842"/>
      <c r="P196" s="286"/>
      <c r="Q196" s="286"/>
      <c r="R196" s="2188"/>
      <c r="S196" s="842"/>
      <c r="T196" s="286"/>
      <c r="U196" s="2188"/>
      <c r="V196" s="842"/>
      <c r="W196" s="286"/>
      <c r="X196" s="286"/>
      <c r="Y196" s="926"/>
      <c r="Z196" s="699"/>
      <c r="AA196" s="2187"/>
      <c r="AB196" s="699"/>
      <c r="AC196" s="699"/>
      <c r="AD196" s="926"/>
      <c r="AE196" s="2187"/>
      <c r="AF196" s="699"/>
      <c r="AG196" s="699"/>
      <c r="AH196" s="699" t="s">
        <v>6155</v>
      </c>
      <c r="AI196" s="926"/>
      <c r="AJ196" s="699"/>
      <c r="AK196" s="2187"/>
      <c r="AL196" s="699"/>
      <c r="AM196" s="699"/>
      <c r="AN196" s="699"/>
      <c r="AO196" s="699"/>
      <c r="AP196" s="2188"/>
      <c r="AQ196" s="286"/>
      <c r="AR196" s="842"/>
      <c r="AS196" s="286"/>
      <c r="AT196" s="286"/>
      <c r="AU196" s="2188"/>
      <c r="AV196" s="286"/>
      <c r="AW196" s="842"/>
      <c r="AX196" s="286"/>
      <c r="AY196" s="286"/>
      <c r="AZ196" s="2188"/>
      <c r="BA196" s="842"/>
      <c r="BB196" s="286"/>
      <c r="BC196" s="286"/>
      <c r="BD196" s="2188"/>
      <c r="BE196" s="842"/>
      <c r="BF196" s="286"/>
      <c r="BG196" s="286"/>
      <c r="BH196" s="843"/>
      <c r="BI196" s="2188"/>
      <c r="BJ196" s="842"/>
      <c r="BK196" s="286"/>
      <c r="BL196" s="286"/>
      <c r="BM196" s="843"/>
      <c r="BN196" s="286"/>
      <c r="BO196" s="286"/>
      <c r="BP196" s="2188"/>
      <c r="BQ196" s="286"/>
      <c r="BR196" s="842"/>
      <c r="BS196" s="286"/>
      <c r="BT196" s="286"/>
      <c r="BU196" s="2188"/>
      <c r="BV196" s="286"/>
      <c r="BW196" s="286"/>
      <c r="BX196" s="842"/>
      <c r="BY196" s="286"/>
      <c r="BZ196" s="286"/>
      <c r="CA196" s="286"/>
      <c r="CB196" s="2188"/>
      <c r="CC196" s="286"/>
      <c r="CD196" s="842"/>
      <c r="CE196" s="286"/>
      <c r="CF196" s="286"/>
      <c r="CG196" s="2188"/>
      <c r="CH196" s="286"/>
      <c r="CI196" s="842"/>
      <c r="CJ196" s="286"/>
      <c r="CK196" s="286"/>
      <c r="CL196" s="286"/>
      <c r="CM196" s="286"/>
      <c r="CN196" s="2188"/>
      <c r="CO196" s="842"/>
      <c r="CP196" s="286"/>
      <c r="CQ196" s="286"/>
      <c r="CR196" s="2188"/>
      <c r="CS196" s="286"/>
      <c r="CT196" s="842"/>
      <c r="CU196" s="286"/>
      <c r="CV196" s="286"/>
      <c r="CW196" s="2188"/>
      <c r="CX196" s="286"/>
      <c r="CY196" s="842"/>
      <c r="CZ196" s="286"/>
      <c r="DA196" s="2188"/>
      <c r="DB196" s="286"/>
      <c r="DC196" s="842"/>
      <c r="DD196" s="286"/>
      <c r="DE196" s="842"/>
      <c r="DF196" s="838">
        <f>IFERROR(VLOOKUP(G196,Personalización!$F$18:$H$21,3,0),IFERROR(VLOOKUP(G196,Personalización!$I$18:$K$21,3,0),IFERROR(VLOOKUP(G196,Personalización!$L$18:$N$21,3,0),IFERROR(VLOOKUP(G196,Personalización!$O$18:$Q$20,3,0),0))))</f>
        <v>0</v>
      </c>
    </row>
    <row r="197" spans="1:110" ht="12.75" customHeight="1" thickBot="1">
      <c r="A197" s="219">
        <v>197</v>
      </c>
      <c r="B197" s="7145"/>
      <c r="F197" s="2224">
        <v>57</v>
      </c>
      <c r="G197" s="518"/>
      <c r="H197" s="290"/>
      <c r="I197" s="290"/>
      <c r="J197" s="290"/>
      <c r="K197" s="290"/>
      <c r="L197" s="290"/>
      <c r="M197" s="290"/>
      <c r="N197" s="290"/>
      <c r="O197" s="290"/>
      <c r="P197" s="290"/>
      <c r="Q197" s="290"/>
      <c r="R197" s="290"/>
      <c r="S197" s="290"/>
      <c r="T197" s="290"/>
      <c r="U197" s="290"/>
      <c r="V197" s="290"/>
      <c r="W197" s="290"/>
      <c r="X197" s="290"/>
      <c r="Y197" s="1122"/>
      <c r="Z197" s="1122"/>
      <c r="AA197" s="1122"/>
      <c r="AB197" s="1122"/>
      <c r="AC197" s="1122"/>
      <c r="AD197" s="1122"/>
      <c r="AE197" s="1122"/>
      <c r="AF197" s="1122"/>
      <c r="AG197" s="1122"/>
      <c r="AH197" s="1122" t="s">
        <v>5967</v>
      </c>
      <c r="AI197" s="1122"/>
      <c r="AJ197" s="1122"/>
      <c r="AK197" s="1122"/>
      <c r="AL197" s="1122"/>
      <c r="AM197" s="1122"/>
      <c r="AN197" s="1122"/>
      <c r="AO197" s="1122"/>
      <c r="AP197" s="290"/>
      <c r="AQ197" s="290"/>
      <c r="AR197" s="290"/>
      <c r="AS197" s="290"/>
      <c r="AT197" s="290"/>
      <c r="AU197" s="290"/>
      <c r="AV197" s="290"/>
      <c r="AW197" s="290"/>
      <c r="AX197" s="290"/>
      <c r="AY197" s="290"/>
      <c r="AZ197" s="290"/>
      <c r="BA197" s="290"/>
      <c r="BB197" s="290"/>
      <c r="BC197" s="290"/>
      <c r="BD197" s="290"/>
      <c r="BE197" s="290"/>
      <c r="BF197" s="290"/>
      <c r="BG197" s="290"/>
      <c r="BH197" s="290"/>
      <c r="BI197" s="290"/>
      <c r="BJ197" s="290"/>
      <c r="BK197" s="290"/>
      <c r="BL197" s="290"/>
      <c r="BM197" s="290"/>
      <c r="BN197" s="290"/>
      <c r="BO197" s="290"/>
      <c r="BP197" s="290"/>
      <c r="BQ197" s="290"/>
      <c r="BR197" s="290"/>
      <c r="BS197" s="290"/>
      <c r="BT197" s="290"/>
      <c r="BU197" s="290"/>
      <c r="BV197" s="290"/>
      <c r="BW197" s="290"/>
      <c r="BX197" s="290"/>
      <c r="BY197" s="290"/>
      <c r="BZ197" s="290"/>
      <c r="CA197" s="290"/>
      <c r="CB197" s="290"/>
      <c r="CC197" s="290"/>
      <c r="CD197" s="290"/>
      <c r="CE197" s="290"/>
      <c r="CF197" s="290"/>
      <c r="CG197" s="290"/>
      <c r="CH197" s="290"/>
      <c r="CI197" s="290"/>
      <c r="CJ197" s="290"/>
      <c r="CK197" s="290"/>
      <c r="CL197" s="290"/>
      <c r="CM197" s="290"/>
      <c r="CN197" s="290"/>
      <c r="CO197" s="290"/>
      <c r="CP197" s="290"/>
      <c r="CQ197" s="290"/>
      <c r="CR197" s="290"/>
      <c r="CS197" s="290"/>
      <c r="CT197" s="290"/>
      <c r="CU197" s="290"/>
      <c r="CV197" s="290"/>
      <c r="CW197" s="290"/>
      <c r="CX197" s="290"/>
      <c r="CY197" s="290"/>
      <c r="CZ197" s="290"/>
      <c r="DA197" s="290"/>
      <c r="DB197" s="290"/>
      <c r="DC197" s="290"/>
      <c r="DD197" s="290"/>
      <c r="DE197" s="290"/>
      <c r="DF197" s="844">
        <f>IFERROR(VLOOKUP(G197,Personalización!$F$18:$H$21,3,0),IFERROR(VLOOKUP(G197,Personalización!$I$18:$K$21,3,0),IFERROR(VLOOKUP(G197,Personalización!$L$18:$N$21,3,0),IFERROR(VLOOKUP(G197,Personalización!$O$18:$Q$20,3,0),0))))</f>
        <v>0</v>
      </c>
    </row>
    <row r="198" spans="1:110" ht="12.75" customHeight="1" thickBot="1">
      <c r="A198" s="219">
        <v>198</v>
      </c>
      <c r="B198" s="7145"/>
      <c r="C198" s="2811" t="s">
        <v>1883</v>
      </c>
      <c r="D198" s="2811"/>
      <c r="E198" s="2811"/>
      <c r="F198" s="2811"/>
      <c r="G198" s="2811"/>
      <c r="H198" s="2811"/>
      <c r="I198" s="2811"/>
      <c r="J198" s="2811"/>
      <c r="K198" s="2811"/>
      <c r="L198" s="2811"/>
      <c r="M198" s="2811"/>
      <c r="N198" s="2811"/>
      <c r="O198" s="2811"/>
      <c r="P198" s="2811"/>
      <c r="Q198" s="2811"/>
      <c r="R198" s="2811"/>
      <c r="S198" s="2811"/>
      <c r="T198" s="2811"/>
      <c r="U198" s="2811"/>
      <c r="V198" s="2811"/>
      <c r="W198" s="2811"/>
      <c r="X198" s="2811"/>
      <c r="Y198" s="2811"/>
      <c r="Z198" s="2811"/>
      <c r="AA198" s="2811"/>
      <c r="AB198" s="2811"/>
      <c r="AC198" s="2811"/>
      <c r="AD198" s="2811"/>
      <c r="AE198" s="2811"/>
      <c r="AF198" s="2811"/>
      <c r="AG198" s="2811"/>
      <c r="AH198" s="2811"/>
      <c r="AI198" s="2811"/>
      <c r="AJ198" s="2811"/>
      <c r="AK198" s="2811"/>
      <c r="AL198" s="2811"/>
      <c r="AM198" s="2811"/>
      <c r="AN198" s="2811"/>
      <c r="AO198" s="2811"/>
      <c r="AP198" s="2811"/>
      <c r="AQ198" s="2811"/>
      <c r="AR198" s="2811"/>
      <c r="AS198" s="2811"/>
      <c r="AT198" s="2811"/>
      <c r="AU198" s="2811"/>
      <c r="AV198" s="2811"/>
      <c r="AW198" s="2811"/>
      <c r="AX198" s="2811"/>
      <c r="AY198" s="2811"/>
      <c r="AZ198" s="2811"/>
      <c r="BA198" s="2811"/>
      <c r="BB198" s="2811"/>
      <c r="BC198" s="2811"/>
      <c r="BD198" s="2811"/>
      <c r="BE198" s="2811"/>
      <c r="BF198" s="2811"/>
      <c r="BG198" s="2811"/>
      <c r="BH198" s="2811"/>
      <c r="BI198" s="2811"/>
      <c r="BJ198" s="2811"/>
      <c r="BK198" s="2811"/>
      <c r="BL198" s="2811"/>
      <c r="BM198" s="2811"/>
      <c r="BN198" s="2811"/>
      <c r="BO198" s="2811"/>
      <c r="BP198" s="2811"/>
      <c r="BQ198" s="2811"/>
      <c r="BR198" s="2811"/>
      <c r="BS198" s="2811"/>
      <c r="BT198" s="2811"/>
      <c r="BU198" s="2811"/>
      <c r="BV198" s="2811"/>
      <c r="BW198" s="2811"/>
      <c r="BX198" s="2811"/>
      <c r="BY198" s="2811"/>
      <c r="BZ198" s="2811"/>
      <c r="CA198" s="2811"/>
      <c r="CB198" s="2811"/>
      <c r="CC198" s="2811"/>
      <c r="CD198" s="2811"/>
      <c r="CE198" s="2811"/>
      <c r="CF198" s="2811"/>
      <c r="CG198" s="2811"/>
      <c r="CH198" s="2811"/>
      <c r="CI198" s="2811"/>
      <c r="CJ198" s="2811"/>
      <c r="CK198" s="2811"/>
      <c r="CL198" s="2811"/>
      <c r="CM198" s="2811"/>
      <c r="CN198" s="2811"/>
    </row>
    <row r="199" spans="1:110" ht="12.75" customHeight="1">
      <c r="A199" s="219">
        <v>199</v>
      </c>
      <c r="B199" s="7145"/>
      <c r="C199" s="2811"/>
      <c r="D199" s="2811"/>
      <c r="E199" s="2811"/>
      <c r="F199" s="2811"/>
      <c r="G199" s="2811"/>
      <c r="H199" s="2811"/>
      <c r="I199" s="2811"/>
      <c r="J199" s="2811"/>
      <c r="K199" s="2811"/>
      <c r="L199" s="2811"/>
      <c r="M199" s="2811"/>
      <c r="N199" s="2811"/>
      <c r="O199" s="2811"/>
      <c r="P199" s="2811"/>
      <c r="Q199" s="2811"/>
      <c r="R199" s="2811"/>
      <c r="S199" s="2811"/>
      <c r="T199" s="2811"/>
      <c r="U199" s="2811"/>
      <c r="V199" s="2811"/>
      <c r="W199" s="2811"/>
      <c r="X199" s="2811"/>
      <c r="Y199" s="2811"/>
      <c r="Z199" s="2811"/>
      <c r="AA199" s="2811"/>
      <c r="AB199" s="2811"/>
      <c r="AC199" s="2811"/>
      <c r="AD199" s="2811"/>
      <c r="AE199" s="2811"/>
      <c r="AF199" s="2811"/>
      <c r="AG199" s="2811"/>
      <c r="AH199" s="2811"/>
      <c r="AI199" s="2811"/>
      <c r="AJ199" s="2811"/>
      <c r="AK199" s="2811"/>
      <c r="AL199" s="2811"/>
      <c r="AM199" s="2811"/>
      <c r="AN199" s="2811"/>
      <c r="AO199" s="2811"/>
      <c r="AP199" s="2811"/>
      <c r="AQ199" s="2811"/>
      <c r="AR199" s="2811"/>
      <c r="AS199" s="2811"/>
      <c r="AT199" s="2811"/>
      <c r="AU199" s="2811"/>
      <c r="AV199" s="2811"/>
      <c r="AW199" s="2811"/>
      <c r="AX199" s="2811"/>
      <c r="AY199" s="2811"/>
      <c r="AZ199" s="2811"/>
      <c r="BA199" s="2811"/>
      <c r="BB199" s="2811"/>
      <c r="BC199" s="2811"/>
      <c r="BD199" s="2811"/>
      <c r="BE199" s="2811"/>
      <c r="BF199" s="2811"/>
      <c r="BG199" s="2811"/>
      <c r="BH199" s="2811"/>
      <c r="BI199" s="2811"/>
      <c r="BJ199" s="2811"/>
      <c r="BK199" s="2811"/>
      <c r="BL199" s="2811"/>
      <c r="BM199" s="2811"/>
      <c r="BN199" s="2811"/>
      <c r="BO199" s="2811"/>
      <c r="BP199" s="2811"/>
      <c r="BQ199" s="2811"/>
      <c r="BR199" s="2811"/>
      <c r="BS199" s="2811"/>
      <c r="BT199" s="2811"/>
      <c r="BU199" s="2811"/>
      <c r="BV199" s="2811"/>
      <c r="BW199" s="2811"/>
      <c r="BX199" s="2811"/>
      <c r="BY199" s="2811"/>
      <c r="BZ199" s="2811"/>
      <c r="CA199" s="2811"/>
      <c r="CB199" s="2811"/>
      <c r="CC199" s="2811"/>
      <c r="CD199" s="2811"/>
      <c r="CE199" s="2811"/>
      <c r="CF199" s="2811"/>
      <c r="CG199" s="2811"/>
      <c r="CH199" s="2811"/>
      <c r="CI199" s="2811"/>
      <c r="CJ199" s="2811"/>
      <c r="CK199" s="2811"/>
      <c r="CL199" s="2811"/>
      <c r="CM199" s="2811"/>
      <c r="CN199" s="2811"/>
    </row>
    <row r="200" spans="1:110" ht="12.75" customHeight="1">
      <c r="A200" s="219">
        <v>200</v>
      </c>
      <c r="B200" s="7145"/>
      <c r="C200" s="168"/>
      <c r="D200" s="169">
        <v>1</v>
      </c>
      <c r="E200" s="169">
        <v>2</v>
      </c>
      <c r="F200" s="169">
        <v>3</v>
      </c>
      <c r="G200" s="169">
        <v>4</v>
      </c>
      <c r="H200" s="169">
        <v>5</v>
      </c>
      <c r="I200" s="548">
        <v>6</v>
      </c>
      <c r="J200" s="169">
        <v>7</v>
      </c>
      <c r="K200" s="169">
        <v>8</v>
      </c>
      <c r="L200" s="169">
        <v>9</v>
      </c>
      <c r="M200" s="169">
        <v>10</v>
      </c>
      <c r="N200" s="169">
        <v>11</v>
      </c>
      <c r="O200" s="548">
        <v>12</v>
      </c>
      <c r="P200" s="169">
        <v>13</v>
      </c>
      <c r="Q200" s="169">
        <v>14</v>
      </c>
      <c r="R200" s="169">
        <v>15</v>
      </c>
      <c r="S200" s="169">
        <v>16</v>
      </c>
      <c r="T200" s="169">
        <v>17</v>
      </c>
      <c r="U200" s="169">
        <v>18</v>
      </c>
      <c r="V200" s="169">
        <v>19</v>
      </c>
      <c r="W200" s="169">
        <v>20</v>
      </c>
      <c r="X200" s="169">
        <v>21</v>
      </c>
      <c r="Y200" s="548">
        <v>22</v>
      </c>
      <c r="Z200" s="548">
        <v>23</v>
      </c>
      <c r="AA200" s="548">
        <v>24</v>
      </c>
      <c r="AB200" s="548">
        <v>25</v>
      </c>
      <c r="AC200" s="548">
        <v>26</v>
      </c>
      <c r="AD200" s="548">
        <v>27</v>
      </c>
      <c r="AE200" s="548">
        <v>28</v>
      </c>
      <c r="AF200" s="548">
        <v>29</v>
      </c>
      <c r="AG200" s="548">
        <v>30</v>
      </c>
      <c r="AH200" s="548">
        <v>31</v>
      </c>
      <c r="AI200" s="548">
        <v>32</v>
      </c>
      <c r="AJ200" s="548">
        <v>33</v>
      </c>
      <c r="AK200" s="548">
        <v>34</v>
      </c>
      <c r="AL200" s="548">
        <v>35</v>
      </c>
      <c r="AM200" s="548">
        <v>36</v>
      </c>
      <c r="AN200" s="548">
        <v>37</v>
      </c>
      <c r="AO200" s="548">
        <v>38</v>
      </c>
      <c r="AP200" s="169">
        <v>39</v>
      </c>
      <c r="AQ200" s="169">
        <v>40</v>
      </c>
      <c r="AR200" s="169">
        <v>41</v>
      </c>
      <c r="AS200" s="169">
        <v>42</v>
      </c>
      <c r="AT200" s="169">
        <v>43</v>
      </c>
      <c r="AU200" s="169">
        <v>44</v>
      </c>
      <c r="AV200" s="169">
        <v>45</v>
      </c>
      <c r="AW200" s="169">
        <v>46</v>
      </c>
      <c r="AX200" s="169">
        <v>47</v>
      </c>
      <c r="AY200" s="169">
        <v>48</v>
      </c>
      <c r="AZ200" s="169">
        <v>49</v>
      </c>
      <c r="BA200" s="169">
        <v>50</v>
      </c>
      <c r="BB200" s="169">
        <v>51</v>
      </c>
      <c r="BC200" s="169">
        <v>52</v>
      </c>
      <c r="BD200" s="169">
        <v>53</v>
      </c>
      <c r="BE200" s="169">
        <v>54</v>
      </c>
      <c r="BF200" s="169">
        <v>55</v>
      </c>
      <c r="BG200" s="169">
        <v>56</v>
      </c>
      <c r="BH200" s="169">
        <v>57</v>
      </c>
      <c r="BI200" s="169">
        <v>58</v>
      </c>
      <c r="BJ200" s="169">
        <v>59</v>
      </c>
      <c r="BK200" s="169">
        <v>60</v>
      </c>
      <c r="BL200" s="169">
        <v>61</v>
      </c>
      <c r="BM200" s="169">
        <v>62</v>
      </c>
      <c r="BN200" s="169">
        <v>63</v>
      </c>
      <c r="BO200" s="169">
        <v>64</v>
      </c>
      <c r="BP200" s="169">
        <v>65</v>
      </c>
      <c r="BQ200" s="169">
        <v>66</v>
      </c>
      <c r="BR200" s="169">
        <v>67</v>
      </c>
      <c r="BS200" s="169">
        <v>68</v>
      </c>
      <c r="BT200" s="169">
        <v>69</v>
      </c>
      <c r="BU200" s="169">
        <v>70</v>
      </c>
      <c r="BV200" s="169">
        <v>71</v>
      </c>
      <c r="BW200" s="169">
        <v>72</v>
      </c>
      <c r="BX200" s="169">
        <v>73</v>
      </c>
      <c r="BY200" s="169">
        <v>74</v>
      </c>
      <c r="BZ200" s="169">
        <v>75</v>
      </c>
      <c r="CA200" s="169">
        <v>76</v>
      </c>
      <c r="CB200" s="169">
        <v>77</v>
      </c>
      <c r="CC200" s="169">
        <v>78</v>
      </c>
      <c r="CD200" s="169">
        <v>79</v>
      </c>
      <c r="CE200" s="169">
        <v>80</v>
      </c>
      <c r="CF200" s="169">
        <v>81</v>
      </c>
      <c r="CG200" s="169">
        <v>82</v>
      </c>
      <c r="CH200" s="169">
        <v>83</v>
      </c>
      <c r="CI200" s="169">
        <v>84</v>
      </c>
      <c r="CJ200" s="169">
        <v>85</v>
      </c>
      <c r="CK200" s="169">
        <v>86</v>
      </c>
      <c r="CL200" s="169">
        <v>87</v>
      </c>
      <c r="CM200" s="169">
        <v>88</v>
      </c>
      <c r="CN200" s="169">
        <v>89</v>
      </c>
      <c r="CO200" s="169">
        <v>90</v>
      </c>
      <c r="CP200" s="169">
        <v>91</v>
      </c>
      <c r="CQ200" s="169">
        <v>92</v>
      </c>
    </row>
    <row r="201" spans="1:110" ht="12.75" customHeight="1" thickBot="1">
      <c r="A201" s="219">
        <v>201</v>
      </c>
      <c r="B201" s="7145"/>
      <c r="C201" s="196" t="s">
        <v>1262</v>
      </c>
      <c r="D201" s="197" t="s">
        <v>1348</v>
      </c>
      <c r="E201" s="197" t="s">
        <v>1252</v>
      </c>
      <c r="F201" s="197" t="s">
        <v>6553</v>
      </c>
      <c r="G201" s="197" t="s">
        <v>1884</v>
      </c>
      <c r="H201" s="197" t="s">
        <v>1360</v>
      </c>
      <c r="I201" s="541" t="s">
        <v>1885</v>
      </c>
      <c r="J201" s="197" t="s">
        <v>1886</v>
      </c>
      <c r="K201" s="197" t="s">
        <v>1887</v>
      </c>
      <c r="L201" s="197" t="s">
        <v>9484</v>
      </c>
      <c r="M201" s="197" t="str">
        <f>PDs!E25</f>
        <v>H. Ataque</v>
      </c>
      <c r="N201" s="197" t="s">
        <v>1353</v>
      </c>
      <c r="O201" s="541" t="s">
        <v>1354</v>
      </c>
      <c r="P201" s="197" t="s">
        <v>1355</v>
      </c>
      <c r="Q201" s="197" t="s">
        <v>1368</v>
      </c>
      <c r="R201" s="829" t="str">
        <f>"Coste"&amp;PDs!$E$25</f>
        <v>CosteH. Ataque</v>
      </c>
      <c r="S201" s="829" t="str">
        <f>"Coste"&amp;PDs!$E$26</f>
        <v>CosteH. Parada</v>
      </c>
      <c r="T201" s="829" t="str">
        <f>"Coste"&amp;PDs!$E$27</f>
        <v>CosteH. Esquiva</v>
      </c>
      <c r="U201" s="829" t="str">
        <f>"Coste"&amp;PDs!$E$28</f>
        <v>CosteLlevar Armadura</v>
      </c>
      <c r="V201" s="829" t="s">
        <v>1888</v>
      </c>
      <c r="W201" s="829" t="s">
        <v>6784</v>
      </c>
      <c r="X201" s="829" t="str">
        <f>"Coste"&amp;PDs!$E$103</f>
        <v>CosteZeón</v>
      </c>
      <c r="Y201" s="1126" t="s">
        <v>6554</v>
      </c>
      <c r="Z201" s="1126" t="str">
        <f>"Coste"&amp;PDs!$E$106</f>
        <v>CosteProyección Mágica</v>
      </c>
      <c r="AA201" s="1126" t="s">
        <v>1889</v>
      </c>
      <c r="AB201" s="1126" t="str">
        <f>"Coste"&amp;PDs!$E$109</f>
        <v>CosteControlar</v>
      </c>
      <c r="AC201" s="1126" t="s">
        <v>1890</v>
      </c>
      <c r="AD201" s="1126" t="s">
        <v>6785</v>
      </c>
      <c r="AE201" s="1126" t="s">
        <v>1891</v>
      </c>
      <c r="AF201" s="1126" t="str">
        <f>"Coste"&amp;PDs!$E$122</f>
        <v>CosteProyección psíquica</v>
      </c>
      <c r="AG201" s="1126" t="str">
        <f>"Coste"&amp;PDs!D144</f>
        <v>CosteAtléticas</v>
      </c>
      <c r="AH201" s="1126" t="s">
        <v>1892</v>
      </c>
      <c r="AI201" s="1126" t="s">
        <v>7900</v>
      </c>
      <c r="AJ201" s="1126" t="str">
        <f>"Coste"&amp;PDs!$D$161</f>
        <v>CosteIntelectuales</v>
      </c>
      <c r="AK201" s="1126" t="s">
        <v>1893</v>
      </c>
      <c r="AL201" s="1126" t="s">
        <v>6786</v>
      </c>
      <c r="AM201" s="1126" t="s">
        <v>6787</v>
      </c>
      <c r="AN201" s="1126" t="str">
        <f>"Coste"&amp;PDs!E175</f>
        <v>CosteP. Fuerza</v>
      </c>
      <c r="AO201" s="1126" t="str">
        <f>"Coste"&amp;PDs!E176</f>
        <v>CosteRes. Dolor</v>
      </c>
      <c r="AP201" s="829" t="s">
        <v>1894</v>
      </c>
      <c r="AQ201" s="829" t="str">
        <f>"Coste"&amp;PDs!E182</f>
        <v>CosteTrampería</v>
      </c>
      <c r="AR201" s="829" t="str">
        <f>"Coste"&amp;PDs!E164</f>
        <v>CosteHerbolaria</v>
      </c>
      <c r="AS201" s="829" t="s">
        <v>1895</v>
      </c>
      <c r="AT201" s="829" t="s">
        <v>1896</v>
      </c>
      <c r="AU201" s="829" t="str">
        <f>"Coste"&amp;PDs!E171</f>
        <v>CosteTasación</v>
      </c>
      <c r="AV201" s="829" t="s">
        <v>1897</v>
      </c>
      <c r="AW201" s="829" t="s">
        <v>1898</v>
      </c>
      <c r="AX201" s="829" t="str">
        <f>"Coste"&amp;PDs!E172</f>
        <v>CosteV. Mágica</v>
      </c>
      <c r="AY201" s="829" t="str">
        <f>"Coste"&amp;PDs!E191</f>
        <v>CosteT. Manos</v>
      </c>
      <c r="AZ201" s="829" t="str">
        <f>"Coste"&amp;PDs!E154</f>
        <v>CostePersuasión</v>
      </c>
      <c r="BA201" s="829" t="s">
        <v>1899</v>
      </c>
      <c r="BB201" s="829" t="s">
        <v>14161</v>
      </c>
      <c r="BC201" s="197" t="str">
        <f>PDs!E175</f>
        <v>P. Fuerza</v>
      </c>
      <c r="BD201" s="197" t="str">
        <f>PDs!E144</f>
        <v>Acrobacias</v>
      </c>
      <c r="BE201" s="197" t="s">
        <v>1278</v>
      </c>
      <c r="BF201" s="197" t="s">
        <v>1265</v>
      </c>
      <c r="BG201" s="197" t="str">
        <f>PDs!E191</f>
        <v>T. Manos</v>
      </c>
      <c r="BH201" s="197" t="s">
        <v>1282</v>
      </c>
      <c r="BI201" s="197" t="s">
        <v>1287</v>
      </c>
      <c r="BJ201" s="197" t="str">
        <f>PDs!E176</f>
        <v>Res. Dolor</v>
      </c>
      <c r="BK201" s="197" t="s">
        <v>1284</v>
      </c>
      <c r="BL201" s="197" t="s">
        <v>1309</v>
      </c>
      <c r="BM201" s="197" t="s">
        <v>1289</v>
      </c>
      <c r="BN201" s="197" t="s">
        <v>1377</v>
      </c>
      <c r="BO201" s="197" t="s">
        <v>6552</v>
      </c>
      <c r="BP201" s="197" t="s">
        <v>1291</v>
      </c>
      <c r="BQ201" s="197" t="s">
        <v>1292</v>
      </c>
      <c r="BR201" s="197" t="s">
        <v>1293</v>
      </c>
      <c r="BS201" s="197" t="s">
        <v>1327</v>
      </c>
      <c r="BT201" s="197" t="s">
        <v>1295</v>
      </c>
      <c r="BU201" s="197" t="s">
        <v>1297</v>
      </c>
      <c r="BV201" s="197" t="s">
        <v>1321</v>
      </c>
      <c r="BW201" s="197" t="s">
        <v>1299</v>
      </c>
      <c r="BX201" s="197" t="s">
        <v>1296</v>
      </c>
      <c r="BY201" s="197" t="s">
        <v>1303</v>
      </c>
      <c r="BZ201" s="197" t="s">
        <v>1317</v>
      </c>
      <c r="CA201" s="197" t="s">
        <v>10029</v>
      </c>
      <c r="CB201" s="197" t="s">
        <v>11722</v>
      </c>
      <c r="CC201" s="197" t="s">
        <v>1325</v>
      </c>
      <c r="CD201" s="197" t="s">
        <v>1323</v>
      </c>
      <c r="CE201" s="197" t="s">
        <v>1328</v>
      </c>
      <c r="CF201" s="197" t="s">
        <v>1305</v>
      </c>
      <c r="CG201" s="197" t="s">
        <v>1307</v>
      </c>
      <c r="CH201" s="197" t="s">
        <v>1319</v>
      </c>
      <c r="CI201" s="197" t="s">
        <v>1330</v>
      </c>
      <c r="CJ201" s="197" t="s">
        <v>1374</v>
      </c>
      <c r="CK201" s="197" t="s">
        <v>345</v>
      </c>
      <c r="CL201" s="197" t="str">
        <f>Ki!C35</f>
        <v>Detección Ki</v>
      </c>
      <c r="CM201" s="197" t="str">
        <f>Ki!C36</f>
        <v>Ocultación Ki</v>
      </c>
      <c r="CN201" s="197" t="s">
        <v>1900</v>
      </c>
      <c r="CO201" s="197" t="s">
        <v>1901</v>
      </c>
      <c r="CP201" s="197" t="s">
        <v>1902</v>
      </c>
      <c r="CQ201" s="198"/>
      <c r="CR201" s="88"/>
      <c r="CS201" s="88"/>
      <c r="CT201" s="88"/>
      <c r="CU201" s="88"/>
      <c r="CV201" s="88"/>
      <c r="CW201" s="88"/>
      <c r="CX201" s="88"/>
      <c r="CY201" s="88"/>
      <c r="CZ201" s="88"/>
      <c r="DA201" s="88"/>
      <c r="DB201" s="88"/>
      <c r="DC201" s="88"/>
      <c r="DD201" s="88"/>
      <c r="DE201" s="88"/>
    </row>
    <row r="202" spans="1:110" ht="12.75" customHeight="1">
      <c r="A202" s="219">
        <v>202</v>
      </c>
      <c r="B202" s="7145"/>
      <c r="C202" s="3818">
        <f>SUMIF(PDs!$AD$6:$AD$10,Tablas!D202,PDs!$AE$6:$AE$10)</f>
        <v>0</v>
      </c>
      <c r="D202" s="3819" t="s">
        <v>1903</v>
      </c>
      <c r="E202" s="3820">
        <v>5</v>
      </c>
      <c r="F202" s="3820">
        <v>15</v>
      </c>
      <c r="G202" s="3820">
        <v>15</v>
      </c>
      <c r="H202" s="3820">
        <v>25</v>
      </c>
      <c r="I202" s="3821">
        <v>0.60000000000000009</v>
      </c>
      <c r="J202" s="3822">
        <v>0.5</v>
      </c>
      <c r="K202" s="3822">
        <v>0.5</v>
      </c>
      <c r="L202" s="3823">
        <v>3</v>
      </c>
      <c r="M202" s="3823">
        <v>5</v>
      </c>
      <c r="N202" s="3823">
        <v>5</v>
      </c>
      <c r="O202" s="3824"/>
      <c r="P202" s="3823">
        <v>5</v>
      </c>
      <c r="Q202" s="3823"/>
      <c r="R202" s="3823">
        <v>2</v>
      </c>
      <c r="S202" s="3823">
        <v>2</v>
      </c>
      <c r="T202" s="3823">
        <v>2</v>
      </c>
      <c r="U202" s="3823">
        <v>2</v>
      </c>
      <c r="V202" s="3823">
        <v>2</v>
      </c>
      <c r="W202" s="3823">
        <v>20</v>
      </c>
      <c r="X202" s="3823">
        <v>3</v>
      </c>
      <c r="Y202" s="3824">
        <v>70</v>
      </c>
      <c r="Z202" s="3824">
        <v>3</v>
      </c>
      <c r="AA202" s="3824">
        <v>3</v>
      </c>
      <c r="AB202" s="3824">
        <v>3</v>
      </c>
      <c r="AC202" s="3824">
        <v>3</v>
      </c>
      <c r="AD202" s="3824">
        <v>3</v>
      </c>
      <c r="AE202" s="3824">
        <v>20</v>
      </c>
      <c r="AF202" s="3824">
        <v>3</v>
      </c>
      <c r="AG202" s="3824">
        <v>2</v>
      </c>
      <c r="AH202" s="3824">
        <v>2</v>
      </c>
      <c r="AI202" s="3824">
        <v>2</v>
      </c>
      <c r="AJ202" s="3824">
        <v>3</v>
      </c>
      <c r="AK202" s="3824">
        <v>2</v>
      </c>
      <c r="AL202" s="3824">
        <v>2</v>
      </c>
      <c r="AM202" s="3824">
        <v>2</v>
      </c>
      <c r="AN202" s="3824">
        <v>1</v>
      </c>
      <c r="AO202" s="3825">
        <v>3</v>
      </c>
      <c r="AP202" s="3826">
        <v>3</v>
      </c>
      <c r="AQ202" s="3826">
        <v>3</v>
      </c>
      <c r="AR202" s="3826">
        <v>3</v>
      </c>
      <c r="AS202" s="3826">
        <v>3</v>
      </c>
      <c r="AT202" s="3826">
        <v>3</v>
      </c>
      <c r="AU202" s="3826">
        <v>3</v>
      </c>
      <c r="AV202" s="3826">
        <v>3</v>
      </c>
      <c r="AW202" s="3826">
        <v>3</v>
      </c>
      <c r="AX202" s="3826">
        <v>3</v>
      </c>
      <c r="AY202" s="3826">
        <v>3</v>
      </c>
      <c r="AZ202" s="3826">
        <v>3</v>
      </c>
      <c r="BA202" s="3826">
        <v>3</v>
      </c>
      <c r="BB202" s="3826">
        <v>2</v>
      </c>
      <c r="BC202" s="3823">
        <v>5</v>
      </c>
      <c r="BD202" s="3826"/>
      <c r="BE202" s="3826">
        <v>5</v>
      </c>
      <c r="BF202" s="3826">
        <v>5</v>
      </c>
      <c r="BG202" s="3826"/>
      <c r="BH202" s="3826"/>
      <c r="BI202" s="3826"/>
      <c r="BJ202" s="3826">
        <v>5</v>
      </c>
      <c r="BK202" s="3826"/>
      <c r="BL202" s="3826"/>
      <c r="BM202" s="3826"/>
      <c r="BN202" s="3826"/>
      <c r="BO202" s="3826"/>
      <c r="BP202" s="3826"/>
      <c r="BQ202" s="3826"/>
      <c r="BR202" s="3826"/>
      <c r="BS202" s="3826"/>
      <c r="BT202" s="3826"/>
      <c r="BU202" s="3826"/>
      <c r="BV202" s="3820"/>
      <c r="BW202" s="3820"/>
      <c r="BX202" s="3820"/>
      <c r="BY202" s="3820"/>
      <c r="BZ202" s="3820"/>
      <c r="CA202" s="3820"/>
      <c r="CB202" s="3820">
        <v>5</v>
      </c>
      <c r="CC202" s="3820"/>
      <c r="CD202" s="3820"/>
      <c r="CE202" s="3820"/>
      <c r="CF202" s="3820"/>
      <c r="CG202" s="3820"/>
      <c r="CH202" s="3820"/>
      <c r="CI202" s="3820"/>
      <c r="CJ202" s="3820"/>
      <c r="CK202" s="3820"/>
      <c r="CL202" s="3820"/>
      <c r="CM202" s="3820"/>
      <c r="CN202" s="3827" t="s">
        <v>1904</v>
      </c>
      <c r="CO202" s="3827" t="s">
        <v>1905</v>
      </c>
      <c r="CP202" s="3828" t="str">
        <f t="shared" ref="CP202" si="30">CN202&amp;CO202</f>
        <v>LuchadorSin</v>
      </c>
      <c r="CQ202" s="3829"/>
      <c r="CR202">
        <f t="shared" ref="CR202:CR228" si="31">LEN(D202)</f>
        <v>8</v>
      </c>
    </row>
    <row r="203" spans="1:110" ht="12.75" customHeight="1">
      <c r="A203" s="219">
        <v>203</v>
      </c>
      <c r="B203" s="7145"/>
      <c r="C203" s="809">
        <f>SUMIF(PDs!$AD$6:$AD$10,Tablas!D203,PDs!$AE$6:$AE$10)</f>
        <v>0</v>
      </c>
      <c r="D203" s="811" t="s">
        <v>1906</v>
      </c>
      <c r="E203" s="75">
        <v>10</v>
      </c>
      <c r="F203" s="75">
        <v>10</v>
      </c>
      <c r="G203" s="75">
        <v>20</v>
      </c>
      <c r="H203" s="75">
        <v>25</v>
      </c>
      <c r="I203" s="557">
        <v>0.60000000000000009</v>
      </c>
      <c r="J203" s="200">
        <v>0.5</v>
      </c>
      <c r="K203" s="200">
        <v>0.5</v>
      </c>
      <c r="L203" s="201">
        <v>3</v>
      </c>
      <c r="M203" s="201">
        <v>5</v>
      </c>
      <c r="N203" s="201"/>
      <c r="O203" s="697">
        <v>5</v>
      </c>
      <c r="P203" s="202"/>
      <c r="Q203" s="202"/>
      <c r="R203" s="201">
        <v>2</v>
      </c>
      <c r="S203" s="201">
        <v>3</v>
      </c>
      <c r="T203" s="201">
        <v>2</v>
      </c>
      <c r="U203" s="201">
        <v>2</v>
      </c>
      <c r="V203" s="201">
        <v>2</v>
      </c>
      <c r="W203" s="201">
        <v>20</v>
      </c>
      <c r="X203" s="201">
        <v>3</v>
      </c>
      <c r="Y203" s="697">
        <v>70</v>
      </c>
      <c r="Z203" s="697">
        <v>3</v>
      </c>
      <c r="AA203" s="697">
        <v>3</v>
      </c>
      <c r="AB203" s="697">
        <v>3</v>
      </c>
      <c r="AC203" s="697">
        <v>3</v>
      </c>
      <c r="AD203" s="697">
        <v>3</v>
      </c>
      <c r="AE203" s="697">
        <v>20</v>
      </c>
      <c r="AF203" s="697">
        <v>3</v>
      </c>
      <c r="AG203" s="697">
        <v>2</v>
      </c>
      <c r="AH203" s="697">
        <v>2</v>
      </c>
      <c r="AI203" s="697">
        <v>2</v>
      </c>
      <c r="AJ203" s="697">
        <v>3</v>
      </c>
      <c r="AK203" s="697">
        <v>2</v>
      </c>
      <c r="AL203" s="697">
        <v>2</v>
      </c>
      <c r="AM203" s="697">
        <v>2</v>
      </c>
      <c r="AN203" s="1127">
        <v>3</v>
      </c>
      <c r="AO203" s="1127">
        <v>3</v>
      </c>
      <c r="AP203" s="202">
        <v>3</v>
      </c>
      <c r="AQ203" s="202">
        <v>3</v>
      </c>
      <c r="AR203" s="202">
        <v>3</v>
      </c>
      <c r="AS203" s="202">
        <v>3</v>
      </c>
      <c r="AT203" s="202">
        <v>3</v>
      </c>
      <c r="AU203" s="202">
        <v>3</v>
      </c>
      <c r="AV203" s="202">
        <v>3</v>
      </c>
      <c r="AW203" s="202">
        <v>3</v>
      </c>
      <c r="AX203" s="202">
        <v>3</v>
      </c>
      <c r="AY203" s="202">
        <v>3</v>
      </c>
      <c r="AZ203" s="202">
        <v>3</v>
      </c>
      <c r="BA203" s="202">
        <v>3</v>
      </c>
      <c r="BB203" s="202">
        <v>3</v>
      </c>
      <c r="BC203" s="202"/>
      <c r="BD203" s="201">
        <v>10</v>
      </c>
      <c r="BE203" s="201">
        <v>10</v>
      </c>
      <c r="BF203" s="201">
        <v>10</v>
      </c>
      <c r="BG203" s="201">
        <v>10</v>
      </c>
      <c r="BH203" s="201">
        <v>10</v>
      </c>
      <c r="BI203" s="202"/>
      <c r="BJ203" s="202"/>
      <c r="BK203" s="202"/>
      <c r="BL203" s="202"/>
      <c r="BM203" s="202"/>
      <c r="BN203" s="202"/>
      <c r="BO203" s="202"/>
      <c r="BP203" s="202"/>
      <c r="BQ203" s="202"/>
      <c r="BR203" s="202"/>
      <c r="BS203" s="202"/>
      <c r="BT203" s="202"/>
      <c r="BU203" s="202"/>
      <c r="BV203" s="75"/>
      <c r="BW203" s="75"/>
      <c r="BX203" s="202"/>
      <c r="BY203" s="202"/>
      <c r="BZ203" s="75"/>
      <c r="CA203" s="202"/>
      <c r="CB203" s="202"/>
      <c r="CC203" s="75"/>
      <c r="CD203" s="75"/>
      <c r="CE203" s="75"/>
      <c r="CF203" s="75"/>
      <c r="CG203" s="75"/>
      <c r="CH203" s="75"/>
      <c r="CI203" s="75"/>
      <c r="CJ203" s="75"/>
      <c r="CK203" s="75"/>
      <c r="CL203" s="75"/>
      <c r="CM203" s="75"/>
      <c r="CN203" s="84" t="s">
        <v>1904</v>
      </c>
      <c r="CO203" s="84" t="s">
        <v>1905</v>
      </c>
      <c r="CP203" s="21" t="str">
        <f t="shared" ref="CP203:CP228" si="32">CN203&amp;CO203</f>
        <v>LuchadorSin</v>
      </c>
      <c r="CQ203" s="36"/>
      <c r="CR203">
        <f t="shared" si="31"/>
        <v>17</v>
      </c>
    </row>
    <row r="204" spans="1:110" ht="12.75" customHeight="1">
      <c r="A204" s="219">
        <v>204</v>
      </c>
      <c r="B204" s="7145"/>
      <c r="C204" s="809">
        <f>SUMIF(PDs!$AD$6:$AD$10,Tablas!D204,PDs!$AE$6:$AE$10)</f>
        <v>0</v>
      </c>
      <c r="D204" s="811" t="s">
        <v>1907</v>
      </c>
      <c r="E204" s="75">
        <v>5</v>
      </c>
      <c r="F204" s="75">
        <v>15</v>
      </c>
      <c r="G204" s="75">
        <v>15</v>
      </c>
      <c r="H204" s="75">
        <v>20</v>
      </c>
      <c r="I204" s="557">
        <v>0.60000000000000009</v>
      </c>
      <c r="J204" s="200">
        <v>0.5</v>
      </c>
      <c r="K204" s="200">
        <v>0.5</v>
      </c>
      <c r="L204" s="201">
        <v>3</v>
      </c>
      <c r="M204" s="201"/>
      <c r="N204" s="201">
        <v>5</v>
      </c>
      <c r="O204" s="697"/>
      <c r="P204" s="201">
        <v>10</v>
      </c>
      <c r="Q204" s="201">
        <v>20</v>
      </c>
      <c r="R204" s="201">
        <v>2</v>
      </c>
      <c r="S204" s="201">
        <v>2</v>
      </c>
      <c r="T204" s="201">
        <v>2</v>
      </c>
      <c r="U204" s="201">
        <v>2</v>
      </c>
      <c r="V204" s="201">
        <v>2</v>
      </c>
      <c r="W204" s="201">
        <v>20</v>
      </c>
      <c r="X204" s="201">
        <v>2</v>
      </c>
      <c r="Y204" s="697">
        <v>60</v>
      </c>
      <c r="Z204" s="697">
        <v>3</v>
      </c>
      <c r="AA204" s="697">
        <v>3</v>
      </c>
      <c r="AB204" s="697">
        <v>3</v>
      </c>
      <c r="AC204" s="697">
        <v>3</v>
      </c>
      <c r="AD204" s="697">
        <v>1</v>
      </c>
      <c r="AE204" s="697">
        <v>20</v>
      </c>
      <c r="AF204" s="697">
        <v>3</v>
      </c>
      <c r="AG204" s="697">
        <v>2</v>
      </c>
      <c r="AH204" s="697">
        <v>1</v>
      </c>
      <c r="AI204" s="697">
        <v>2</v>
      </c>
      <c r="AJ204" s="697">
        <v>2</v>
      </c>
      <c r="AK204" s="697">
        <v>2</v>
      </c>
      <c r="AL204" s="697">
        <v>3</v>
      </c>
      <c r="AM204" s="697">
        <v>2</v>
      </c>
      <c r="AN204" s="1127">
        <v>3</v>
      </c>
      <c r="AO204" s="697">
        <v>1</v>
      </c>
      <c r="AP204" s="202">
        <v>3</v>
      </c>
      <c r="AQ204" s="202">
        <v>3</v>
      </c>
      <c r="AR204" s="202">
        <v>3</v>
      </c>
      <c r="AS204" s="202">
        <v>3</v>
      </c>
      <c r="AT204" s="202">
        <v>3</v>
      </c>
      <c r="AU204" s="202">
        <v>3</v>
      </c>
      <c r="AV204" s="202">
        <v>3</v>
      </c>
      <c r="AW204" s="202">
        <v>3</v>
      </c>
      <c r="AX204" s="202">
        <v>3</v>
      </c>
      <c r="AY204" s="202">
        <v>3</v>
      </c>
      <c r="AZ204" s="202">
        <v>3</v>
      </c>
      <c r="BA204" s="202">
        <v>3</v>
      </c>
      <c r="BB204" s="202">
        <v>3</v>
      </c>
      <c r="BC204" s="202"/>
      <c r="BD204" s="202"/>
      <c r="BE204" s="202"/>
      <c r="BF204" s="202"/>
      <c r="BG204" s="202"/>
      <c r="BH204" s="202">
        <v>5</v>
      </c>
      <c r="BI204" s="202">
        <v>10</v>
      </c>
      <c r="BJ204" s="202">
        <v>10</v>
      </c>
      <c r="BK204" s="202"/>
      <c r="BL204" s="202"/>
      <c r="BM204" s="202"/>
      <c r="BN204" s="202">
        <v>10</v>
      </c>
      <c r="BO204" s="202"/>
      <c r="BP204" s="202"/>
      <c r="BQ204" s="202"/>
      <c r="BR204" s="202"/>
      <c r="BS204" s="202"/>
      <c r="BT204" s="202"/>
      <c r="BU204" s="202"/>
      <c r="BV204" s="75"/>
      <c r="BW204" s="75"/>
      <c r="BX204" s="202"/>
      <c r="BY204" s="202"/>
      <c r="BZ204" s="75"/>
      <c r="CA204" s="202"/>
      <c r="CB204" s="202"/>
      <c r="CC204" s="75"/>
      <c r="CD204" s="75"/>
      <c r="CE204" s="75"/>
      <c r="CF204" s="75"/>
      <c r="CG204" s="75"/>
      <c r="CH204" s="75"/>
      <c r="CI204" s="75"/>
      <c r="CJ204" s="75"/>
      <c r="CK204" s="75"/>
      <c r="CL204" s="75"/>
      <c r="CM204" s="75"/>
      <c r="CN204" s="84" t="s">
        <v>1904</v>
      </c>
      <c r="CO204" s="84" t="s">
        <v>1905</v>
      </c>
      <c r="CP204" s="21" t="str">
        <f t="shared" si="32"/>
        <v>LuchadorSin</v>
      </c>
      <c r="CQ204" s="36"/>
      <c r="CR204">
        <f t="shared" si="31"/>
        <v>7</v>
      </c>
    </row>
    <row r="205" spans="1:110" ht="12.75" customHeight="1">
      <c r="A205" s="219">
        <v>205</v>
      </c>
      <c r="B205" s="7145"/>
      <c r="C205" s="809">
        <f>SUMIF(PDs!$AD$6:$AD$10,Tablas!D205,PDs!$AE$6:$AE$10)</f>
        <v>0</v>
      </c>
      <c r="D205" s="811" t="s">
        <v>2407</v>
      </c>
      <c r="E205" s="75">
        <v>5</v>
      </c>
      <c r="F205" s="75">
        <v>15</v>
      </c>
      <c r="G205" s="75">
        <v>15</v>
      </c>
      <c r="H205" s="75">
        <v>20</v>
      </c>
      <c r="I205" s="557">
        <v>0.60000000000000009</v>
      </c>
      <c r="J205" s="200">
        <v>0.5</v>
      </c>
      <c r="K205" s="200">
        <v>0.5</v>
      </c>
      <c r="L205" s="201">
        <v>3</v>
      </c>
      <c r="M205" s="201"/>
      <c r="N205" s="201">
        <v>5</v>
      </c>
      <c r="O205" s="697"/>
      <c r="P205" s="201">
        <v>10</v>
      </c>
      <c r="Q205" s="201"/>
      <c r="R205" s="201">
        <v>2</v>
      </c>
      <c r="S205" s="201">
        <v>2</v>
      </c>
      <c r="T205" s="201">
        <v>2</v>
      </c>
      <c r="U205" s="201">
        <v>2</v>
      </c>
      <c r="V205" s="201">
        <v>2</v>
      </c>
      <c r="W205" s="201">
        <v>20</v>
      </c>
      <c r="X205" s="201">
        <v>2</v>
      </c>
      <c r="Y205" s="697">
        <v>60</v>
      </c>
      <c r="Z205" s="697">
        <v>3</v>
      </c>
      <c r="AA205" s="697">
        <v>3</v>
      </c>
      <c r="AB205" s="697">
        <v>3</v>
      </c>
      <c r="AC205" s="697">
        <v>3</v>
      </c>
      <c r="AD205" s="697">
        <v>1</v>
      </c>
      <c r="AE205" s="697">
        <v>20</v>
      </c>
      <c r="AF205" s="697">
        <v>3</v>
      </c>
      <c r="AG205" s="697">
        <v>2</v>
      </c>
      <c r="AH205" s="697">
        <v>1</v>
      </c>
      <c r="AI205" s="697">
        <v>2</v>
      </c>
      <c r="AJ205" s="697">
        <v>2</v>
      </c>
      <c r="AK205" s="697">
        <v>2</v>
      </c>
      <c r="AL205" s="697">
        <v>3</v>
      </c>
      <c r="AM205" s="697">
        <v>2</v>
      </c>
      <c r="AN205" s="1127">
        <v>3</v>
      </c>
      <c r="AO205" s="697">
        <v>1</v>
      </c>
      <c r="AP205" s="202">
        <v>3</v>
      </c>
      <c r="AQ205" s="202">
        <v>3</v>
      </c>
      <c r="AR205" s="202">
        <v>3</v>
      </c>
      <c r="AS205" s="202">
        <v>3</v>
      </c>
      <c r="AT205" s="202">
        <v>3</v>
      </c>
      <c r="AU205" s="202">
        <v>3</v>
      </c>
      <c r="AV205" s="202">
        <v>3</v>
      </c>
      <c r="AW205" s="202">
        <v>3</v>
      </c>
      <c r="AX205" s="202">
        <v>3</v>
      </c>
      <c r="AY205" s="202">
        <v>3</v>
      </c>
      <c r="AZ205" s="202">
        <v>3</v>
      </c>
      <c r="BA205" s="202">
        <v>3</v>
      </c>
      <c r="BB205" s="202">
        <v>3</v>
      </c>
      <c r="BC205" s="202"/>
      <c r="BD205" s="202"/>
      <c r="BE205" s="202"/>
      <c r="BF205" s="202"/>
      <c r="BG205" s="202"/>
      <c r="BH205" s="202">
        <v>5</v>
      </c>
      <c r="BI205" s="202">
        <v>10</v>
      </c>
      <c r="BJ205" s="202">
        <v>10</v>
      </c>
      <c r="BK205" s="202"/>
      <c r="BL205" s="202">
        <v>10</v>
      </c>
      <c r="BM205" s="202"/>
      <c r="BN205" s="202"/>
      <c r="BO205" s="202"/>
      <c r="BP205" s="202"/>
      <c r="BQ205" s="202"/>
      <c r="BR205" s="202"/>
      <c r="BS205" s="202"/>
      <c r="BT205" s="202"/>
      <c r="BU205" s="202"/>
      <c r="BV205" s="75"/>
      <c r="BW205" s="75"/>
      <c r="BX205" s="202"/>
      <c r="BY205" s="202"/>
      <c r="BZ205" s="75"/>
      <c r="CA205" s="202"/>
      <c r="CB205" s="202"/>
      <c r="CC205" s="75"/>
      <c r="CD205" s="75"/>
      <c r="CE205" s="75"/>
      <c r="CF205" s="75"/>
      <c r="CG205" s="75"/>
      <c r="CH205" s="75"/>
      <c r="CI205" s="75"/>
      <c r="CJ205" s="75"/>
      <c r="CK205" s="75"/>
      <c r="CL205" s="75"/>
      <c r="CM205" s="75"/>
      <c r="CN205" s="84" t="s">
        <v>1904</v>
      </c>
      <c r="CO205" s="84" t="s">
        <v>1905</v>
      </c>
      <c r="CP205" s="21" t="str">
        <f t="shared" si="32"/>
        <v>LuchadorSin</v>
      </c>
      <c r="CQ205" s="36"/>
      <c r="CR205">
        <f t="shared" si="31"/>
        <v>11</v>
      </c>
    </row>
    <row r="206" spans="1:110" ht="12.75" customHeight="1">
      <c r="A206" s="219">
        <v>206</v>
      </c>
      <c r="B206" s="7145"/>
      <c r="C206" s="809">
        <f>SUMIF(PDs!$AD$6:$AD$10,Tablas!D206,PDs!$AE$6:$AE$10)</f>
        <v>0</v>
      </c>
      <c r="D206" s="811" t="s">
        <v>1908</v>
      </c>
      <c r="E206" s="75">
        <v>5</v>
      </c>
      <c r="F206" s="75">
        <v>15</v>
      </c>
      <c r="G206" s="75">
        <v>15</v>
      </c>
      <c r="H206" s="75">
        <v>20</v>
      </c>
      <c r="I206" s="557">
        <v>0.60000000000000009</v>
      </c>
      <c r="J206" s="200">
        <v>0.5</v>
      </c>
      <c r="K206" s="200">
        <v>0.5</v>
      </c>
      <c r="L206" s="201">
        <v>3</v>
      </c>
      <c r="M206" s="201">
        <v>5</v>
      </c>
      <c r="N206" s="201"/>
      <c r="O206" s="697"/>
      <c r="P206" s="201">
        <v>5</v>
      </c>
      <c r="Q206" s="201">
        <v>20</v>
      </c>
      <c r="R206" s="201">
        <v>2</v>
      </c>
      <c r="S206" s="201">
        <v>2</v>
      </c>
      <c r="T206" s="201">
        <v>2</v>
      </c>
      <c r="U206" s="201">
        <v>2</v>
      </c>
      <c r="V206" s="201">
        <v>2</v>
      </c>
      <c r="W206" s="201">
        <v>20</v>
      </c>
      <c r="X206" s="201">
        <v>2</v>
      </c>
      <c r="Y206" s="697">
        <v>60</v>
      </c>
      <c r="Z206" s="697">
        <v>3</v>
      </c>
      <c r="AA206" s="697">
        <v>3</v>
      </c>
      <c r="AB206" s="697">
        <v>1</v>
      </c>
      <c r="AC206" s="697">
        <v>3</v>
      </c>
      <c r="AD206" s="697">
        <v>3</v>
      </c>
      <c r="AE206" s="697">
        <v>20</v>
      </c>
      <c r="AF206" s="697">
        <v>3</v>
      </c>
      <c r="AG206" s="697">
        <v>2</v>
      </c>
      <c r="AH206" s="697">
        <v>1</v>
      </c>
      <c r="AI206" s="697">
        <v>2</v>
      </c>
      <c r="AJ206" s="697">
        <v>2</v>
      </c>
      <c r="AK206" s="697">
        <v>2</v>
      </c>
      <c r="AL206" s="697">
        <v>2</v>
      </c>
      <c r="AM206" s="697">
        <v>2</v>
      </c>
      <c r="AN206" s="1127">
        <v>3</v>
      </c>
      <c r="AO206" s="1127">
        <v>3</v>
      </c>
      <c r="AP206" s="201">
        <v>1</v>
      </c>
      <c r="AQ206" s="202">
        <v>3</v>
      </c>
      <c r="AR206" s="202">
        <v>3</v>
      </c>
      <c r="AS206" s="202">
        <v>3</v>
      </c>
      <c r="AT206" s="202">
        <v>3</v>
      </c>
      <c r="AU206" s="202">
        <v>3</v>
      </c>
      <c r="AV206" s="202">
        <v>3</v>
      </c>
      <c r="AW206" s="202">
        <v>3</v>
      </c>
      <c r="AX206" s="202">
        <v>3</v>
      </c>
      <c r="AY206" s="202">
        <v>3</v>
      </c>
      <c r="AZ206" s="202">
        <v>3</v>
      </c>
      <c r="BA206" s="202">
        <v>3</v>
      </c>
      <c r="BB206" s="202">
        <v>3</v>
      </c>
      <c r="BC206" s="202"/>
      <c r="BD206" s="202"/>
      <c r="BE206" s="202"/>
      <c r="BF206" s="202"/>
      <c r="BG206" s="202"/>
      <c r="BH206" s="202">
        <v>5</v>
      </c>
      <c r="BI206" s="202"/>
      <c r="BJ206" s="202"/>
      <c r="BK206" s="202">
        <v>10</v>
      </c>
      <c r="BL206" s="202">
        <v>10</v>
      </c>
      <c r="BM206" s="202">
        <v>5</v>
      </c>
      <c r="BN206" s="202"/>
      <c r="BO206" s="202">
        <v>10</v>
      </c>
      <c r="BP206" s="202"/>
      <c r="BQ206" s="202"/>
      <c r="BR206" s="202"/>
      <c r="BS206" s="202"/>
      <c r="BT206" s="202"/>
      <c r="BU206" s="202"/>
      <c r="BV206" s="75"/>
      <c r="BW206" s="75"/>
      <c r="BX206" s="202"/>
      <c r="BY206" s="202"/>
      <c r="BZ206" s="75"/>
      <c r="CA206" s="202"/>
      <c r="CB206" s="202"/>
      <c r="CC206" s="75"/>
      <c r="CD206" s="75"/>
      <c r="CE206" s="75"/>
      <c r="CF206" s="75"/>
      <c r="CG206" s="75"/>
      <c r="CH206" s="75"/>
      <c r="CI206" s="75"/>
      <c r="CJ206" s="75"/>
      <c r="CK206" s="75"/>
      <c r="CL206" s="75"/>
      <c r="CM206" s="75"/>
      <c r="CN206" s="84" t="s">
        <v>1904</v>
      </c>
      <c r="CO206" s="84" t="s">
        <v>1905</v>
      </c>
      <c r="CP206" s="21" t="str">
        <f t="shared" si="32"/>
        <v>LuchadorSin</v>
      </c>
      <c r="CQ206" s="36"/>
      <c r="CR206">
        <f t="shared" si="31"/>
        <v>14</v>
      </c>
    </row>
    <row r="207" spans="1:110" ht="12.75" customHeight="1">
      <c r="A207" s="219">
        <v>207</v>
      </c>
      <c r="B207" s="7145"/>
      <c r="C207" s="809">
        <f>SUMIF(PDs!$AD$6:$AD$10,Tablas!D207,PDs!$AE$6:$AE$10)</f>
        <v>0</v>
      </c>
      <c r="D207" s="811" t="s">
        <v>2406</v>
      </c>
      <c r="E207" s="75">
        <v>5</v>
      </c>
      <c r="F207" s="75">
        <v>15</v>
      </c>
      <c r="G207" s="75">
        <v>15</v>
      </c>
      <c r="H207" s="75">
        <v>20</v>
      </c>
      <c r="I207" s="557">
        <v>0.60000000000000009</v>
      </c>
      <c r="J207" s="200">
        <v>0.5</v>
      </c>
      <c r="K207" s="200">
        <v>0.5</v>
      </c>
      <c r="L207" s="201">
        <v>3</v>
      </c>
      <c r="M207" s="201">
        <v>5</v>
      </c>
      <c r="N207" s="201"/>
      <c r="O207" s="697"/>
      <c r="P207" s="201">
        <v>5</v>
      </c>
      <c r="Q207" s="201"/>
      <c r="R207" s="201">
        <v>2</v>
      </c>
      <c r="S207" s="201">
        <v>2</v>
      </c>
      <c r="T207" s="201">
        <v>2</v>
      </c>
      <c r="U207" s="201">
        <v>2</v>
      </c>
      <c r="V207" s="201">
        <v>2</v>
      </c>
      <c r="W207" s="201">
        <v>20</v>
      </c>
      <c r="X207" s="201">
        <v>2</v>
      </c>
      <c r="Y207" s="697">
        <v>60</v>
      </c>
      <c r="Z207" s="697">
        <v>3</v>
      </c>
      <c r="AA207" s="697">
        <v>3</v>
      </c>
      <c r="AB207" s="697">
        <v>1</v>
      </c>
      <c r="AC207" s="697">
        <v>3</v>
      </c>
      <c r="AD207" s="697">
        <v>3</v>
      </c>
      <c r="AE207" s="697">
        <v>20</v>
      </c>
      <c r="AF207" s="697">
        <v>3</v>
      </c>
      <c r="AG207" s="697">
        <v>2</v>
      </c>
      <c r="AH207" s="697">
        <v>1</v>
      </c>
      <c r="AI207" s="697">
        <v>2</v>
      </c>
      <c r="AJ207" s="697">
        <v>2</v>
      </c>
      <c r="AK207" s="697">
        <v>2</v>
      </c>
      <c r="AL207" s="697">
        <v>2</v>
      </c>
      <c r="AM207" s="697">
        <v>2</v>
      </c>
      <c r="AN207" s="1127">
        <v>3</v>
      </c>
      <c r="AO207" s="1127">
        <v>3</v>
      </c>
      <c r="AP207" s="201">
        <v>1</v>
      </c>
      <c r="AQ207" s="202">
        <v>3</v>
      </c>
      <c r="AR207" s="202">
        <v>3</v>
      </c>
      <c r="AS207" s="202">
        <v>3</v>
      </c>
      <c r="AT207" s="202">
        <v>3</v>
      </c>
      <c r="AU207" s="202">
        <v>3</v>
      </c>
      <c r="AV207" s="202">
        <v>3</v>
      </c>
      <c r="AW207" s="202">
        <v>3</v>
      </c>
      <c r="AX207" s="202">
        <v>3</v>
      </c>
      <c r="AY207" s="202">
        <v>3</v>
      </c>
      <c r="AZ207" s="202">
        <v>3</v>
      </c>
      <c r="BA207" s="202">
        <v>3</v>
      </c>
      <c r="BB207" s="202">
        <v>3</v>
      </c>
      <c r="BC207" s="202"/>
      <c r="BD207" s="202"/>
      <c r="BE207" s="202"/>
      <c r="BF207" s="202"/>
      <c r="BG207" s="202"/>
      <c r="BH207" s="202">
        <v>5</v>
      </c>
      <c r="BI207" s="202"/>
      <c r="BJ207" s="202">
        <v>10</v>
      </c>
      <c r="BK207" s="202">
        <v>10</v>
      </c>
      <c r="BL207" s="202">
        <v>10</v>
      </c>
      <c r="BM207" s="202">
        <v>5</v>
      </c>
      <c r="BN207" s="202"/>
      <c r="BO207" s="202"/>
      <c r="BP207" s="202"/>
      <c r="BQ207" s="202"/>
      <c r="BR207" s="202"/>
      <c r="BS207" s="202"/>
      <c r="BT207" s="202"/>
      <c r="BU207" s="202"/>
      <c r="BV207" s="75"/>
      <c r="BW207" s="75"/>
      <c r="BX207" s="202"/>
      <c r="BY207" s="202"/>
      <c r="BZ207" s="75"/>
      <c r="CA207" s="202"/>
      <c r="CB207" s="202"/>
      <c r="CC207" s="75"/>
      <c r="CD207" s="75"/>
      <c r="CE207" s="75"/>
      <c r="CF207" s="75"/>
      <c r="CG207" s="75"/>
      <c r="CH207" s="75"/>
      <c r="CI207" s="75"/>
      <c r="CJ207" s="75"/>
      <c r="CK207" s="75"/>
      <c r="CL207" s="75"/>
      <c r="CM207" s="75"/>
      <c r="CN207" s="84" t="s">
        <v>1904</v>
      </c>
      <c r="CO207" s="84" t="s">
        <v>1905</v>
      </c>
      <c r="CP207" s="21" t="str">
        <f t="shared" si="32"/>
        <v>LuchadorSin</v>
      </c>
      <c r="CQ207" s="36"/>
      <c r="CR207">
        <f t="shared" si="31"/>
        <v>19</v>
      </c>
    </row>
    <row r="208" spans="1:110" ht="12.75" customHeight="1">
      <c r="A208" s="219">
        <v>208</v>
      </c>
      <c r="B208" s="7145"/>
      <c r="C208" s="809">
        <f>SUMIF(PDs!$AD$6:$AD$10,Tablas!D208,PDs!$AE$6:$AE$10)</f>
        <v>0</v>
      </c>
      <c r="D208" s="811" t="s">
        <v>9503</v>
      </c>
      <c r="E208" s="75">
        <v>5</v>
      </c>
      <c r="F208" s="75">
        <v>20</v>
      </c>
      <c r="G208" s="75">
        <v>10</v>
      </c>
      <c r="H208" s="75">
        <v>10</v>
      </c>
      <c r="I208" s="557">
        <v>0.60000000000000009</v>
      </c>
      <c r="J208" s="200">
        <v>0.5</v>
      </c>
      <c r="K208" s="200">
        <v>0.5</v>
      </c>
      <c r="L208" s="201">
        <v>3</v>
      </c>
      <c r="M208" s="201">
        <v>5</v>
      </c>
      <c r="N208" s="201">
        <v>5</v>
      </c>
      <c r="O208" s="697"/>
      <c r="P208" s="201">
        <v>10</v>
      </c>
      <c r="Q208" s="201"/>
      <c r="R208" s="201">
        <v>2</v>
      </c>
      <c r="S208" s="201">
        <v>2</v>
      </c>
      <c r="T208" s="201">
        <v>2</v>
      </c>
      <c r="U208" s="201">
        <v>1</v>
      </c>
      <c r="V208" s="201">
        <v>3</v>
      </c>
      <c r="W208" s="201">
        <v>30</v>
      </c>
      <c r="X208" s="201">
        <v>3</v>
      </c>
      <c r="Y208" s="697">
        <v>70</v>
      </c>
      <c r="Z208" s="697">
        <v>3</v>
      </c>
      <c r="AA208" s="697">
        <v>3</v>
      </c>
      <c r="AB208" s="697">
        <v>3</v>
      </c>
      <c r="AC208" s="697">
        <v>3</v>
      </c>
      <c r="AD208" s="697">
        <v>3</v>
      </c>
      <c r="AE208" s="697">
        <v>20</v>
      </c>
      <c r="AF208" s="697">
        <v>3</v>
      </c>
      <c r="AG208" s="697">
        <v>2</v>
      </c>
      <c r="AH208" s="697">
        <v>2</v>
      </c>
      <c r="AI208" s="697">
        <v>2</v>
      </c>
      <c r="AJ208" s="697">
        <v>3</v>
      </c>
      <c r="AK208" s="697">
        <v>1</v>
      </c>
      <c r="AL208" s="697">
        <v>3</v>
      </c>
      <c r="AM208" s="697">
        <v>2</v>
      </c>
      <c r="AN208" s="1127">
        <v>3</v>
      </c>
      <c r="AO208" s="1127">
        <v>3</v>
      </c>
      <c r="AP208" s="202">
        <v>3</v>
      </c>
      <c r="AQ208" s="202">
        <v>3</v>
      </c>
      <c r="AR208" s="202">
        <v>3</v>
      </c>
      <c r="AS208" s="202">
        <v>3</v>
      </c>
      <c r="AT208" s="202">
        <v>3</v>
      </c>
      <c r="AU208" s="202">
        <v>3</v>
      </c>
      <c r="AV208" s="202">
        <v>3</v>
      </c>
      <c r="AW208" s="202">
        <v>3</v>
      </c>
      <c r="AX208" s="202">
        <v>3</v>
      </c>
      <c r="AY208" s="202">
        <v>3</v>
      </c>
      <c r="AZ208" s="202">
        <v>3</v>
      </c>
      <c r="BA208" s="202">
        <v>3</v>
      </c>
      <c r="BB208" s="202">
        <v>3</v>
      </c>
      <c r="BC208" s="202">
        <v>5</v>
      </c>
      <c r="BD208" s="202"/>
      <c r="BE208" s="202"/>
      <c r="BF208" s="202"/>
      <c r="BG208" s="202"/>
      <c r="BH208" s="202"/>
      <c r="BI208" s="202"/>
      <c r="BJ208" s="202"/>
      <c r="BK208" s="202"/>
      <c r="BL208" s="202"/>
      <c r="BM208" s="202"/>
      <c r="BN208" s="202"/>
      <c r="BO208" s="202"/>
      <c r="BP208" s="202"/>
      <c r="BQ208" s="202"/>
      <c r="BR208" s="202"/>
      <c r="BS208" s="202"/>
      <c r="BT208" s="202"/>
      <c r="BU208" s="202"/>
      <c r="BV208" s="75"/>
      <c r="BW208" s="75"/>
      <c r="BX208" s="202"/>
      <c r="BY208" s="202"/>
      <c r="BZ208" s="75"/>
      <c r="CA208" s="75"/>
      <c r="CB208" s="75"/>
      <c r="CC208" s="75"/>
      <c r="CD208" s="75"/>
      <c r="CE208" s="75"/>
      <c r="CF208" s="75"/>
      <c r="CG208" s="75"/>
      <c r="CH208" s="75"/>
      <c r="CI208" s="75"/>
      <c r="CJ208" s="75"/>
      <c r="CK208" s="75"/>
      <c r="CL208" s="75"/>
      <c r="CM208" s="75"/>
      <c r="CN208" s="84" t="s">
        <v>1904</v>
      </c>
      <c r="CO208" s="84" t="s">
        <v>1905</v>
      </c>
      <c r="CP208" s="21" t="str">
        <f t="shared" si="32"/>
        <v>LuchadorSin</v>
      </c>
      <c r="CQ208" s="36"/>
      <c r="CR208">
        <f t="shared" si="31"/>
        <v>16</v>
      </c>
    </row>
    <row r="209" spans="1:109" ht="12.75" customHeight="1">
      <c r="A209" s="219">
        <v>209</v>
      </c>
      <c r="B209" s="7145"/>
      <c r="C209" s="3804">
        <f>SUMIF(PDs!$AD$6:$AD$10,Tablas!D209,PDs!$AE$6:$AE$10)</f>
        <v>0</v>
      </c>
      <c r="D209" s="3816" t="s">
        <v>1909</v>
      </c>
      <c r="E209" s="3806">
        <v>5</v>
      </c>
      <c r="F209" s="3806">
        <v>5</v>
      </c>
      <c r="G209" s="3806">
        <v>20</v>
      </c>
      <c r="H209" s="3806">
        <v>50</v>
      </c>
      <c r="I209" s="3807">
        <v>0.60000000000000009</v>
      </c>
      <c r="J209" s="3808">
        <v>0.5</v>
      </c>
      <c r="K209" s="3808">
        <v>0.5</v>
      </c>
      <c r="L209" s="3809">
        <v>3</v>
      </c>
      <c r="M209" s="3809">
        <v>5</v>
      </c>
      <c r="N209" s="3809"/>
      <c r="O209" s="3810"/>
      <c r="P209" s="3809"/>
      <c r="Q209" s="3809"/>
      <c r="R209" s="3809">
        <v>2</v>
      </c>
      <c r="S209" s="3809">
        <v>2</v>
      </c>
      <c r="T209" s="3809">
        <v>2</v>
      </c>
      <c r="U209" s="3809">
        <v>2</v>
      </c>
      <c r="V209" s="3811">
        <v>1</v>
      </c>
      <c r="W209" s="3811">
        <v>10</v>
      </c>
      <c r="X209" s="3811">
        <v>3</v>
      </c>
      <c r="Y209" s="3812">
        <v>70</v>
      </c>
      <c r="Z209" s="3812">
        <v>3</v>
      </c>
      <c r="AA209" s="3812">
        <v>3</v>
      </c>
      <c r="AB209" s="3812">
        <v>3</v>
      </c>
      <c r="AC209" s="3812">
        <v>3</v>
      </c>
      <c r="AD209" s="3812">
        <v>3</v>
      </c>
      <c r="AE209" s="3812">
        <v>20</v>
      </c>
      <c r="AF209" s="3812">
        <v>3</v>
      </c>
      <c r="AG209" s="3812">
        <v>2</v>
      </c>
      <c r="AH209" s="3812">
        <v>2</v>
      </c>
      <c r="AI209" s="3812">
        <v>2</v>
      </c>
      <c r="AJ209" s="3812">
        <v>3</v>
      </c>
      <c r="AK209" s="3812">
        <v>2</v>
      </c>
      <c r="AL209" s="3812">
        <v>2</v>
      </c>
      <c r="AM209" s="3812">
        <v>2</v>
      </c>
      <c r="AN209" s="3812">
        <v>3</v>
      </c>
      <c r="AO209" s="3812">
        <v>3</v>
      </c>
      <c r="AP209" s="3811">
        <v>3</v>
      </c>
      <c r="AQ209" s="3811">
        <v>3</v>
      </c>
      <c r="AR209" s="3811">
        <v>3</v>
      </c>
      <c r="AS209" s="3811">
        <v>3</v>
      </c>
      <c r="AT209" s="3811">
        <v>3</v>
      </c>
      <c r="AU209" s="3811">
        <v>3</v>
      </c>
      <c r="AV209" s="3811">
        <v>3</v>
      </c>
      <c r="AW209" s="3811">
        <v>3</v>
      </c>
      <c r="AX209" s="3811">
        <v>3</v>
      </c>
      <c r="AY209" s="3811">
        <v>3</v>
      </c>
      <c r="AZ209" s="3811">
        <v>3</v>
      </c>
      <c r="BA209" s="3811">
        <v>3</v>
      </c>
      <c r="BB209" s="3811">
        <v>3</v>
      </c>
      <c r="BC209" s="3811"/>
      <c r="BD209" s="3811"/>
      <c r="BE209" s="3811"/>
      <c r="BF209" s="3811"/>
      <c r="BG209" s="3811"/>
      <c r="BH209" s="3811">
        <v>10</v>
      </c>
      <c r="BI209" s="3811"/>
      <c r="BJ209" s="3811"/>
      <c r="BK209" s="3811"/>
      <c r="BL209" s="3811"/>
      <c r="BM209" s="3811"/>
      <c r="BN209" s="3811"/>
      <c r="BO209" s="3811"/>
      <c r="BP209" s="3811"/>
      <c r="BQ209" s="3811"/>
      <c r="BR209" s="3811"/>
      <c r="BS209" s="3811"/>
      <c r="BT209" s="3811"/>
      <c r="BU209" s="3811"/>
      <c r="BV209" s="3806"/>
      <c r="BW209" s="3806"/>
      <c r="BX209" s="3806"/>
      <c r="BY209" s="3806"/>
      <c r="BZ209" s="3806"/>
      <c r="CA209" s="3806"/>
      <c r="CB209" s="3806"/>
      <c r="CC209" s="3806"/>
      <c r="CD209" s="3806"/>
      <c r="CE209" s="3806"/>
      <c r="CF209" s="3806"/>
      <c r="CG209" s="3806"/>
      <c r="CH209" s="3806"/>
      <c r="CI209" s="3806"/>
      <c r="CJ209" s="3806"/>
      <c r="CK209" s="3806"/>
      <c r="CL209" s="3806"/>
      <c r="CM209" s="3806"/>
      <c r="CN209" s="3813" t="s">
        <v>1910</v>
      </c>
      <c r="CO209" s="3813" t="s">
        <v>1905</v>
      </c>
      <c r="CP209" s="3814" t="str">
        <f t="shared" si="32"/>
        <v>DomineSin</v>
      </c>
      <c r="CQ209" s="3815"/>
      <c r="CR209">
        <f t="shared" si="31"/>
        <v>10</v>
      </c>
    </row>
    <row r="210" spans="1:109" ht="13.5" customHeight="1">
      <c r="A210" s="219">
        <v>210</v>
      </c>
      <c r="B210" s="7145"/>
      <c r="C210" s="809">
        <f>SUMIF(PDs!$AD$6:$AD$10,Tablas!D210,PDs!$AE$6:$AE$10)</f>
        <v>0</v>
      </c>
      <c r="D210" s="811" t="s">
        <v>1911</v>
      </c>
      <c r="E210" s="75">
        <v>5</v>
      </c>
      <c r="F210" s="75">
        <v>10</v>
      </c>
      <c r="G210" s="75">
        <v>20</v>
      </c>
      <c r="H210" s="75">
        <v>30</v>
      </c>
      <c r="I210" s="557">
        <v>0.60000000000000009</v>
      </c>
      <c r="J210" s="200">
        <v>0.5</v>
      </c>
      <c r="K210" s="200">
        <v>0.5</v>
      </c>
      <c r="L210" s="201">
        <v>3</v>
      </c>
      <c r="M210" s="201"/>
      <c r="N210" s="201"/>
      <c r="O210" s="697"/>
      <c r="P210" s="201"/>
      <c r="Q210" s="201"/>
      <c r="R210" s="201">
        <v>2</v>
      </c>
      <c r="S210" s="201">
        <v>2</v>
      </c>
      <c r="T210" s="201">
        <v>2</v>
      </c>
      <c r="U210" s="201">
        <v>2</v>
      </c>
      <c r="V210" s="201">
        <v>2</v>
      </c>
      <c r="W210" s="201">
        <v>15</v>
      </c>
      <c r="X210" s="201">
        <v>3</v>
      </c>
      <c r="Y210" s="697">
        <v>70</v>
      </c>
      <c r="Z210" s="697">
        <v>3</v>
      </c>
      <c r="AA210" s="697">
        <v>3</v>
      </c>
      <c r="AB210" s="697">
        <v>3</v>
      </c>
      <c r="AC210" s="697">
        <v>3</v>
      </c>
      <c r="AD210" s="697">
        <v>3</v>
      </c>
      <c r="AE210" s="697">
        <v>20</v>
      </c>
      <c r="AF210" s="697">
        <v>3</v>
      </c>
      <c r="AG210" s="697">
        <v>2</v>
      </c>
      <c r="AH210" s="697">
        <v>2</v>
      </c>
      <c r="AI210" s="697">
        <v>2</v>
      </c>
      <c r="AJ210" s="697">
        <v>3</v>
      </c>
      <c r="AK210" s="697">
        <v>2</v>
      </c>
      <c r="AL210" s="697">
        <v>2</v>
      </c>
      <c r="AM210" s="697">
        <v>2</v>
      </c>
      <c r="AN210" s="1127">
        <v>3</v>
      </c>
      <c r="AO210" s="1127">
        <v>3</v>
      </c>
      <c r="AP210" s="202">
        <v>3</v>
      </c>
      <c r="AQ210" s="202">
        <v>3</v>
      </c>
      <c r="AR210" s="202">
        <v>3</v>
      </c>
      <c r="AS210" s="202">
        <v>3</v>
      </c>
      <c r="AT210" s="202">
        <v>3</v>
      </c>
      <c r="AU210" s="202">
        <v>3</v>
      </c>
      <c r="AV210" s="202">
        <v>3</v>
      </c>
      <c r="AW210" s="202">
        <v>3</v>
      </c>
      <c r="AX210" s="202">
        <v>3</v>
      </c>
      <c r="AY210" s="202">
        <v>3</v>
      </c>
      <c r="AZ210" s="202">
        <v>3</v>
      </c>
      <c r="BA210" s="202">
        <v>3</v>
      </c>
      <c r="BB210" s="202">
        <v>3</v>
      </c>
      <c r="BC210" s="202"/>
      <c r="BD210" s="202"/>
      <c r="BE210" s="202"/>
      <c r="BF210" s="202"/>
      <c r="BG210" s="202"/>
      <c r="BH210" s="202">
        <v>5</v>
      </c>
      <c r="BI210" s="202"/>
      <c r="BJ210" s="202"/>
      <c r="BK210" s="202"/>
      <c r="BL210" s="202"/>
      <c r="BM210" s="202"/>
      <c r="BN210" s="202"/>
      <c r="BO210" s="202"/>
      <c r="BP210" s="202"/>
      <c r="BQ210" s="202"/>
      <c r="BR210" s="202"/>
      <c r="BS210" s="202"/>
      <c r="BT210" s="202"/>
      <c r="BU210" s="202"/>
      <c r="BV210" s="75"/>
      <c r="BW210" s="75"/>
      <c r="BX210" s="202"/>
      <c r="BY210" s="202"/>
      <c r="BZ210" s="202"/>
      <c r="CA210" s="75"/>
      <c r="CB210" s="75"/>
      <c r="CC210" s="75"/>
      <c r="CD210" s="75"/>
      <c r="CE210" s="75"/>
      <c r="CF210" s="75"/>
      <c r="CG210" s="75"/>
      <c r="CH210" s="75"/>
      <c r="CI210" s="75"/>
      <c r="CJ210" s="75"/>
      <c r="CK210" s="75"/>
      <c r="CL210" s="75"/>
      <c r="CM210" s="75"/>
      <c r="CN210" s="84" t="s">
        <v>1910</v>
      </c>
      <c r="CO210" s="84" t="s">
        <v>1904</v>
      </c>
      <c r="CP210" s="21" t="str">
        <f t="shared" si="32"/>
        <v>DomineLuchador</v>
      </c>
      <c r="CQ210" s="3817"/>
      <c r="CR210">
        <f t="shared" si="31"/>
        <v>3</v>
      </c>
    </row>
    <row r="211" spans="1:109" s="88" customFormat="1" ht="12.75" customHeight="1">
      <c r="A211" s="219">
        <v>211</v>
      </c>
      <c r="B211" s="7145"/>
      <c r="C211" s="3804">
        <f>SUMIF(PDs!$AD$6:$AD$10,Tablas!D211,PDs!$AE$6:$AE$10)</f>
        <v>0</v>
      </c>
      <c r="D211" s="3816" t="s">
        <v>1912</v>
      </c>
      <c r="E211" s="3806">
        <v>5</v>
      </c>
      <c r="F211" s="3806">
        <v>10</v>
      </c>
      <c r="G211" s="3806">
        <v>20</v>
      </c>
      <c r="H211" s="3806">
        <v>20</v>
      </c>
      <c r="I211" s="3807">
        <v>0.60000000000000009</v>
      </c>
      <c r="J211" s="3808">
        <v>0.5</v>
      </c>
      <c r="K211" s="3808">
        <v>0.5</v>
      </c>
      <c r="L211" s="3809">
        <v>3</v>
      </c>
      <c r="M211" s="3809">
        <v>5</v>
      </c>
      <c r="N211" s="3809"/>
      <c r="O211" s="3810"/>
      <c r="P211" s="3809"/>
      <c r="Q211" s="3809"/>
      <c r="R211" s="3809">
        <v>2</v>
      </c>
      <c r="S211" s="3809">
        <v>2</v>
      </c>
      <c r="T211" s="3809">
        <v>2</v>
      </c>
      <c r="U211" s="3809">
        <v>2</v>
      </c>
      <c r="V211" s="3811">
        <v>2</v>
      </c>
      <c r="W211" s="3811">
        <v>20</v>
      </c>
      <c r="X211" s="3811">
        <v>3</v>
      </c>
      <c r="Y211" s="3812">
        <v>70</v>
      </c>
      <c r="Z211" s="3812">
        <v>3</v>
      </c>
      <c r="AA211" s="3812">
        <v>3</v>
      </c>
      <c r="AB211" s="3812">
        <v>3</v>
      </c>
      <c r="AC211" s="3812">
        <v>3</v>
      </c>
      <c r="AD211" s="3812">
        <v>3</v>
      </c>
      <c r="AE211" s="3812">
        <v>20</v>
      </c>
      <c r="AF211" s="3812">
        <v>3</v>
      </c>
      <c r="AG211" s="3812">
        <v>2</v>
      </c>
      <c r="AH211" s="3812">
        <v>2</v>
      </c>
      <c r="AI211" s="3812">
        <v>1</v>
      </c>
      <c r="AJ211" s="3812">
        <v>3</v>
      </c>
      <c r="AK211" s="3812">
        <v>3</v>
      </c>
      <c r="AL211" s="3812">
        <v>2</v>
      </c>
      <c r="AM211" s="3812">
        <v>2</v>
      </c>
      <c r="AN211" s="3812">
        <v>3</v>
      </c>
      <c r="AO211" s="3812">
        <v>3</v>
      </c>
      <c r="AP211" s="3811">
        <v>3</v>
      </c>
      <c r="AQ211" s="3811">
        <v>1</v>
      </c>
      <c r="AR211" s="3811">
        <v>2</v>
      </c>
      <c r="AS211" s="3811">
        <v>1</v>
      </c>
      <c r="AT211" s="3811">
        <v>2</v>
      </c>
      <c r="AU211" s="3811">
        <v>3</v>
      </c>
      <c r="AV211" s="3811">
        <v>3</v>
      </c>
      <c r="AW211" s="3811">
        <v>3</v>
      </c>
      <c r="AX211" s="3811">
        <v>3</v>
      </c>
      <c r="AY211" s="3811">
        <v>3</v>
      </c>
      <c r="AZ211" s="3811">
        <v>3</v>
      </c>
      <c r="BA211" s="3811">
        <v>3</v>
      </c>
      <c r="BB211" s="3811">
        <v>3</v>
      </c>
      <c r="BC211" s="3811"/>
      <c r="BD211" s="3811"/>
      <c r="BE211" s="3811"/>
      <c r="BF211" s="3811"/>
      <c r="BG211" s="3811"/>
      <c r="BH211" s="3811"/>
      <c r="BI211" s="3811"/>
      <c r="BJ211" s="3811"/>
      <c r="BK211" s="3811"/>
      <c r="BL211" s="3811"/>
      <c r="BM211" s="3811"/>
      <c r="BN211" s="3811"/>
      <c r="BO211" s="3811"/>
      <c r="BP211" s="3811">
        <v>10</v>
      </c>
      <c r="BQ211" s="3811">
        <v>10</v>
      </c>
      <c r="BR211" s="3811">
        <v>10</v>
      </c>
      <c r="BS211" s="3811">
        <v>5</v>
      </c>
      <c r="BT211" s="3811">
        <v>5</v>
      </c>
      <c r="BU211" s="3811">
        <v>5</v>
      </c>
      <c r="BV211" s="3806"/>
      <c r="BW211" s="3806"/>
      <c r="BX211" s="3806"/>
      <c r="BY211" s="3806"/>
      <c r="BZ211" s="3806"/>
      <c r="CA211" s="3806"/>
      <c r="CB211" s="3806"/>
      <c r="CC211" s="3806"/>
      <c r="CD211" s="3806"/>
      <c r="CE211" s="3806"/>
      <c r="CF211" s="3806"/>
      <c r="CG211" s="3806"/>
      <c r="CH211" s="3806"/>
      <c r="CI211" s="3806"/>
      <c r="CJ211" s="3806"/>
      <c r="CK211" s="3806"/>
      <c r="CL211" s="3806">
        <v>10</v>
      </c>
      <c r="CM211" s="3806"/>
      <c r="CN211" s="3813" t="s">
        <v>1913</v>
      </c>
      <c r="CO211" s="3813" t="s">
        <v>1904</v>
      </c>
      <c r="CP211" s="3814" t="str">
        <f t="shared" si="32"/>
        <v>AcechadorLuchador</v>
      </c>
      <c r="CQ211" s="3815"/>
      <c r="CR211">
        <f t="shared" si="31"/>
        <v>10</v>
      </c>
      <c r="CS211"/>
      <c r="CT211"/>
      <c r="CU211"/>
      <c r="CV211"/>
      <c r="CW211"/>
      <c r="CX211"/>
      <c r="CY211"/>
      <c r="CZ211"/>
      <c r="DA211"/>
      <c r="DB211"/>
      <c r="DC211"/>
      <c r="DD211"/>
      <c r="DE211"/>
    </row>
    <row r="212" spans="1:109" ht="12.75" customHeight="1">
      <c r="A212" s="219">
        <v>212</v>
      </c>
      <c r="B212" s="7145"/>
      <c r="C212" s="809">
        <f>SUMIF(PDs!$AD$6:$AD$10,Tablas!D212,PDs!$AE$6:$AE$10)</f>
        <v>0</v>
      </c>
      <c r="D212" s="811" t="s">
        <v>1914</v>
      </c>
      <c r="E212" s="75">
        <v>10</v>
      </c>
      <c r="F212" s="75">
        <v>5</v>
      </c>
      <c r="G212" s="75">
        <v>20</v>
      </c>
      <c r="H212" s="75">
        <v>25</v>
      </c>
      <c r="I212" s="557">
        <v>0.60000000000000009</v>
      </c>
      <c r="J212" s="200">
        <v>0.5</v>
      </c>
      <c r="K212" s="200">
        <v>0.5</v>
      </c>
      <c r="L212" s="201">
        <v>3</v>
      </c>
      <c r="M212" s="201">
        <v>5</v>
      </c>
      <c r="N212" s="201"/>
      <c r="O212" s="697">
        <v>5</v>
      </c>
      <c r="P212" s="201"/>
      <c r="Q212" s="201"/>
      <c r="R212" s="201">
        <v>2</v>
      </c>
      <c r="S212" s="201">
        <v>3</v>
      </c>
      <c r="T212" s="201">
        <v>2</v>
      </c>
      <c r="U212" s="201">
        <v>2</v>
      </c>
      <c r="V212" s="202">
        <v>2</v>
      </c>
      <c r="W212" s="202">
        <v>20</v>
      </c>
      <c r="X212" s="202">
        <v>3</v>
      </c>
      <c r="Y212" s="1127">
        <v>70</v>
      </c>
      <c r="Z212" s="1127">
        <v>3</v>
      </c>
      <c r="AA212" s="1127">
        <v>3</v>
      </c>
      <c r="AB212" s="1127">
        <v>3</v>
      </c>
      <c r="AC212" s="1127">
        <v>3</v>
      </c>
      <c r="AD212" s="1127">
        <v>3</v>
      </c>
      <c r="AE212" s="1127">
        <v>20</v>
      </c>
      <c r="AF212" s="1127">
        <v>3</v>
      </c>
      <c r="AG212" s="1127">
        <v>2</v>
      </c>
      <c r="AH212" s="1127">
        <v>2</v>
      </c>
      <c r="AI212" s="1127">
        <v>2</v>
      </c>
      <c r="AJ212" s="1127">
        <v>3</v>
      </c>
      <c r="AK212" s="1127">
        <v>2</v>
      </c>
      <c r="AL212" s="1127">
        <v>2</v>
      </c>
      <c r="AM212" s="1127">
        <v>2</v>
      </c>
      <c r="AN212" s="1127">
        <v>3</v>
      </c>
      <c r="AO212" s="1127">
        <v>3</v>
      </c>
      <c r="AP212" s="202">
        <v>3</v>
      </c>
      <c r="AQ212" s="202">
        <v>3</v>
      </c>
      <c r="AR212" s="202">
        <v>3</v>
      </c>
      <c r="AS212" s="202">
        <v>3</v>
      </c>
      <c r="AT212" s="202">
        <v>3</v>
      </c>
      <c r="AU212" s="202">
        <v>3</v>
      </c>
      <c r="AV212" s="202">
        <v>3</v>
      </c>
      <c r="AW212" s="202">
        <v>3</v>
      </c>
      <c r="AX212" s="202">
        <v>3</v>
      </c>
      <c r="AY212" s="202">
        <v>3</v>
      </c>
      <c r="AZ212" s="202">
        <v>3</v>
      </c>
      <c r="BA212" s="202">
        <v>3</v>
      </c>
      <c r="BB212" s="202">
        <v>3</v>
      </c>
      <c r="BC212" s="202"/>
      <c r="BD212" s="202"/>
      <c r="BE212" s="202"/>
      <c r="BF212" s="202"/>
      <c r="BG212" s="202"/>
      <c r="BH212" s="202"/>
      <c r="BI212" s="202"/>
      <c r="BJ212" s="202"/>
      <c r="BK212" s="202"/>
      <c r="BL212" s="202"/>
      <c r="BM212" s="202"/>
      <c r="BN212" s="202"/>
      <c r="BO212" s="202"/>
      <c r="BP212" s="202">
        <v>10</v>
      </c>
      <c r="BQ212" s="202">
        <v>10</v>
      </c>
      <c r="BR212" s="202"/>
      <c r="BS212" s="202"/>
      <c r="BT212" s="202"/>
      <c r="BU212" s="202"/>
      <c r="BV212" s="75">
        <v>10</v>
      </c>
      <c r="BW212" s="75"/>
      <c r="BX212" s="202"/>
      <c r="BY212" s="202"/>
      <c r="BZ212" s="202"/>
      <c r="CA212" s="75"/>
      <c r="CB212" s="75"/>
      <c r="CC212" s="75">
        <v>10</v>
      </c>
      <c r="CD212" s="75"/>
      <c r="CE212" s="75"/>
      <c r="CF212" s="75"/>
      <c r="CG212" s="75"/>
      <c r="CH212" s="75"/>
      <c r="CI212" s="75"/>
      <c r="CJ212" s="75"/>
      <c r="CK212" s="75"/>
      <c r="CL212" s="75"/>
      <c r="CM212" s="75">
        <v>5</v>
      </c>
      <c r="CN212" s="84" t="s">
        <v>1913</v>
      </c>
      <c r="CO212" s="84" t="s">
        <v>1904</v>
      </c>
      <c r="CP212" s="21" t="str">
        <f t="shared" si="32"/>
        <v>AcechadorLuchador</v>
      </c>
      <c r="CQ212" s="36"/>
      <c r="CR212">
        <f t="shared" si="31"/>
        <v>6</v>
      </c>
    </row>
    <row r="213" spans="1:109" ht="12.75" customHeight="1">
      <c r="A213" s="219">
        <v>213</v>
      </c>
      <c r="B213" s="7145"/>
      <c r="C213" s="809">
        <f>SUMIF(PDs!$AD$6:$AD$10,Tablas!D213,PDs!$AE$6:$AE$10)</f>
        <v>0</v>
      </c>
      <c r="D213" s="811" t="s">
        <v>1915</v>
      </c>
      <c r="E213" s="75">
        <v>10</v>
      </c>
      <c r="F213" s="75">
        <v>5</v>
      </c>
      <c r="G213" s="75">
        <v>20</v>
      </c>
      <c r="H213" s="75">
        <v>20</v>
      </c>
      <c r="I213" s="557">
        <v>0.5</v>
      </c>
      <c r="J213" s="200">
        <v>0.5</v>
      </c>
      <c r="K213" s="200">
        <v>0.5</v>
      </c>
      <c r="L213" s="201">
        <v>3</v>
      </c>
      <c r="M213" s="201"/>
      <c r="N213" s="201"/>
      <c r="O213" s="697">
        <v>5</v>
      </c>
      <c r="P213" s="201"/>
      <c r="Q213" s="201"/>
      <c r="R213" s="201">
        <v>2</v>
      </c>
      <c r="S213" s="201">
        <v>3</v>
      </c>
      <c r="T213" s="201">
        <v>2</v>
      </c>
      <c r="U213" s="201">
        <v>3</v>
      </c>
      <c r="V213" s="202">
        <v>2</v>
      </c>
      <c r="W213" s="202">
        <v>25</v>
      </c>
      <c r="X213" s="202">
        <v>3</v>
      </c>
      <c r="Y213" s="1127">
        <v>70</v>
      </c>
      <c r="Z213" s="1127">
        <v>3</v>
      </c>
      <c r="AA213" s="1127">
        <v>3</v>
      </c>
      <c r="AB213" s="1127">
        <v>3</v>
      </c>
      <c r="AC213" s="1127">
        <v>3</v>
      </c>
      <c r="AD213" s="1127">
        <v>3</v>
      </c>
      <c r="AE213" s="1127">
        <v>20</v>
      </c>
      <c r="AF213" s="1127">
        <v>3</v>
      </c>
      <c r="AG213" s="1127">
        <v>1</v>
      </c>
      <c r="AH213" s="1127">
        <v>2</v>
      </c>
      <c r="AI213" s="1127">
        <v>2</v>
      </c>
      <c r="AJ213" s="1127">
        <v>3</v>
      </c>
      <c r="AK213" s="1127">
        <v>3</v>
      </c>
      <c r="AL213" s="1127">
        <v>1</v>
      </c>
      <c r="AM213" s="1127">
        <v>2</v>
      </c>
      <c r="AN213" s="1127">
        <v>3</v>
      </c>
      <c r="AO213" s="1127">
        <v>3</v>
      </c>
      <c r="AP213" s="202">
        <v>3</v>
      </c>
      <c r="AQ213" s="202">
        <v>3</v>
      </c>
      <c r="AR213" s="202">
        <v>3</v>
      </c>
      <c r="AS213" s="202">
        <v>3</v>
      </c>
      <c r="AT213" s="202">
        <v>3</v>
      </c>
      <c r="AU213" s="202">
        <v>1</v>
      </c>
      <c r="AV213" s="202">
        <v>3</v>
      </c>
      <c r="AW213" s="202">
        <v>3</v>
      </c>
      <c r="AX213" s="202">
        <v>3</v>
      </c>
      <c r="AY213" s="202">
        <v>3</v>
      </c>
      <c r="AZ213" s="202">
        <v>3</v>
      </c>
      <c r="BA213" s="202">
        <v>3</v>
      </c>
      <c r="BB213" s="202">
        <v>3</v>
      </c>
      <c r="BC213" s="202"/>
      <c r="BD213" s="202"/>
      <c r="BE213" s="202"/>
      <c r="BF213" s="202"/>
      <c r="BG213" s="202">
        <v>5</v>
      </c>
      <c r="BH213" s="202"/>
      <c r="BI213" s="202"/>
      <c r="BJ213" s="202"/>
      <c r="BK213" s="202"/>
      <c r="BL213" s="202"/>
      <c r="BM213" s="202"/>
      <c r="BN213" s="202"/>
      <c r="BO213" s="202"/>
      <c r="BP213" s="202">
        <v>5</v>
      </c>
      <c r="BQ213" s="202">
        <v>5</v>
      </c>
      <c r="BR213" s="202"/>
      <c r="BS213" s="202">
        <v>5</v>
      </c>
      <c r="BT213" s="202"/>
      <c r="BU213" s="202"/>
      <c r="BV213" s="75">
        <v>5</v>
      </c>
      <c r="BW213" s="75"/>
      <c r="BX213" s="202"/>
      <c r="BY213" s="202"/>
      <c r="BZ213" s="202"/>
      <c r="CA213" s="75"/>
      <c r="CB213" s="75"/>
      <c r="CC213" s="75">
        <v>5</v>
      </c>
      <c r="CD213" s="75">
        <v>10</v>
      </c>
      <c r="CE213" s="75"/>
      <c r="CF213" s="75"/>
      <c r="CG213" s="75"/>
      <c r="CH213" s="75"/>
      <c r="CI213" s="75"/>
      <c r="CJ213" s="75"/>
      <c r="CK213" s="75"/>
      <c r="CL213" s="75"/>
      <c r="CM213" s="75">
        <v>5</v>
      </c>
      <c r="CN213" s="84" t="s">
        <v>1913</v>
      </c>
      <c r="CO213" s="84" t="s">
        <v>1905</v>
      </c>
      <c r="CP213" s="21" t="str">
        <f t="shared" si="32"/>
        <v>AcechadorSin</v>
      </c>
      <c r="CQ213" s="36"/>
      <c r="CR213">
        <f t="shared" si="31"/>
        <v>6</v>
      </c>
    </row>
    <row r="214" spans="1:109" ht="12.75" customHeight="1">
      <c r="A214" s="219">
        <v>214</v>
      </c>
      <c r="B214" s="7145"/>
      <c r="C214" s="2800">
        <f>SUMIF(PDs!$AD$6:$AD$10,Tablas!D214,PDs!$AE$6:$AE$10)</f>
        <v>0</v>
      </c>
      <c r="D214" s="2801" t="s">
        <v>10153</v>
      </c>
      <c r="E214" s="2802">
        <v>10</v>
      </c>
      <c r="F214" s="2802">
        <v>5</v>
      </c>
      <c r="G214" s="2802">
        <v>20</v>
      </c>
      <c r="H214" s="2802">
        <v>20</v>
      </c>
      <c r="I214" s="2803">
        <v>0.5</v>
      </c>
      <c r="J214" s="2804">
        <v>0.5</v>
      </c>
      <c r="K214" s="2804">
        <v>0.6</v>
      </c>
      <c r="L214" s="2805">
        <v>1</v>
      </c>
      <c r="M214" s="2805"/>
      <c r="N214" s="2805"/>
      <c r="O214" s="2806">
        <v>5</v>
      </c>
      <c r="P214" s="2805"/>
      <c r="Q214" s="2805"/>
      <c r="R214" s="2805">
        <v>3</v>
      </c>
      <c r="S214" s="2805">
        <v>3</v>
      </c>
      <c r="T214" s="2805">
        <v>2</v>
      </c>
      <c r="U214" s="2805">
        <v>3</v>
      </c>
      <c r="V214" s="2807">
        <v>2</v>
      </c>
      <c r="W214" s="2807">
        <v>25</v>
      </c>
      <c r="X214" s="2807">
        <v>3</v>
      </c>
      <c r="Y214" s="2808">
        <v>70</v>
      </c>
      <c r="Z214" s="2808">
        <v>3</v>
      </c>
      <c r="AA214" s="2808">
        <v>3</v>
      </c>
      <c r="AB214" s="2808">
        <v>3</v>
      </c>
      <c r="AC214" s="2808">
        <v>3</v>
      </c>
      <c r="AD214" s="2808">
        <v>3</v>
      </c>
      <c r="AE214" s="2808">
        <v>15</v>
      </c>
      <c r="AF214" s="2808">
        <v>2</v>
      </c>
      <c r="AG214" s="2808">
        <v>2</v>
      </c>
      <c r="AH214" s="2808">
        <v>2</v>
      </c>
      <c r="AI214" s="2808">
        <v>2</v>
      </c>
      <c r="AJ214" s="2808">
        <v>2</v>
      </c>
      <c r="AK214" s="2808">
        <v>3</v>
      </c>
      <c r="AL214" s="2808">
        <v>1</v>
      </c>
      <c r="AM214" s="2808">
        <v>2</v>
      </c>
      <c r="AN214" s="2808">
        <v>3</v>
      </c>
      <c r="AO214" s="2808">
        <v>2</v>
      </c>
      <c r="AP214" s="2807">
        <v>2</v>
      </c>
      <c r="AQ214" s="2807">
        <v>1</v>
      </c>
      <c r="AR214" s="2807">
        <v>2</v>
      </c>
      <c r="AS214" s="2807">
        <v>2</v>
      </c>
      <c r="AT214" s="2807">
        <v>2</v>
      </c>
      <c r="AU214" s="2807">
        <v>2</v>
      </c>
      <c r="AV214" s="2807">
        <v>2</v>
      </c>
      <c r="AW214" s="2807">
        <v>2</v>
      </c>
      <c r="AX214" s="2807">
        <v>2</v>
      </c>
      <c r="AY214" s="2807">
        <v>2</v>
      </c>
      <c r="AZ214" s="2807">
        <v>2</v>
      </c>
      <c r="BA214" s="2807">
        <v>2</v>
      </c>
      <c r="BB214" s="2807">
        <v>2</v>
      </c>
      <c r="BC214" s="2807"/>
      <c r="BD214" s="2807"/>
      <c r="BE214" s="2807"/>
      <c r="BF214" s="2807"/>
      <c r="BG214" s="2807"/>
      <c r="BH214" s="2807"/>
      <c r="BI214" s="2807"/>
      <c r="BJ214" s="2807"/>
      <c r="BK214" s="2807"/>
      <c r="BL214" s="2807"/>
      <c r="BM214" s="2807">
        <v>5</v>
      </c>
      <c r="BN214" s="2807"/>
      <c r="BO214" s="2807"/>
      <c r="BP214" s="2807"/>
      <c r="BQ214" s="2807"/>
      <c r="BR214" s="2807"/>
      <c r="BS214" s="2807"/>
      <c r="BT214" s="2807"/>
      <c r="BU214" s="2807"/>
      <c r="BV214" s="2802">
        <v>10</v>
      </c>
      <c r="BW214" s="2802"/>
      <c r="BX214" s="2802"/>
      <c r="BY214" s="2802">
        <v>10</v>
      </c>
      <c r="BZ214" s="2802">
        <v>5</v>
      </c>
      <c r="CA214" s="2802">
        <v>5</v>
      </c>
      <c r="CB214" s="2802"/>
      <c r="CC214" s="2802">
        <v>10</v>
      </c>
      <c r="CD214" s="2802">
        <v>10</v>
      </c>
      <c r="CE214" s="2802"/>
      <c r="CF214" s="2802"/>
      <c r="CG214" s="2802"/>
      <c r="CH214" s="2802">
        <v>5</v>
      </c>
      <c r="CI214" s="2802"/>
      <c r="CJ214" s="2802"/>
      <c r="CK214" s="2802"/>
      <c r="CL214" s="2802"/>
      <c r="CM214" s="2802">
        <v>5</v>
      </c>
      <c r="CN214" s="2809" t="s">
        <v>1913</v>
      </c>
      <c r="CO214" s="2809" t="s">
        <v>1921</v>
      </c>
      <c r="CP214" s="2730" t="str">
        <f t="shared" si="32"/>
        <v>AcechadorPsíquico</v>
      </c>
      <c r="CQ214" s="2810"/>
      <c r="CR214">
        <f t="shared" si="31"/>
        <v>19</v>
      </c>
    </row>
    <row r="215" spans="1:109" ht="12.75" customHeight="1">
      <c r="A215" s="219">
        <v>215</v>
      </c>
      <c r="B215" s="7145"/>
      <c r="C215" s="2800">
        <f>SUMIF(PDs!$AD$6:$AD$10,Tablas!D215,PDs!$AE$6:$AE$10)</f>
        <v>0</v>
      </c>
      <c r="D215" s="2801" t="s">
        <v>10152</v>
      </c>
      <c r="E215" s="2802">
        <v>10</v>
      </c>
      <c r="F215" s="2802">
        <v>5</v>
      </c>
      <c r="G215" s="2802">
        <v>20</v>
      </c>
      <c r="H215" s="2802">
        <v>20</v>
      </c>
      <c r="I215" s="2803">
        <v>0.5</v>
      </c>
      <c r="J215" s="2804">
        <v>0.5</v>
      </c>
      <c r="K215" s="2804">
        <v>0.6</v>
      </c>
      <c r="L215" s="2805">
        <v>1</v>
      </c>
      <c r="M215" s="2805"/>
      <c r="N215" s="2805"/>
      <c r="O215" s="2806">
        <v>5</v>
      </c>
      <c r="P215" s="2805"/>
      <c r="Q215" s="2805"/>
      <c r="R215" s="2805">
        <v>3</v>
      </c>
      <c r="S215" s="2805">
        <v>3</v>
      </c>
      <c r="T215" s="2805">
        <v>2</v>
      </c>
      <c r="U215" s="2805">
        <v>3</v>
      </c>
      <c r="V215" s="2807">
        <v>2</v>
      </c>
      <c r="W215" s="2807">
        <v>25</v>
      </c>
      <c r="X215" s="2807">
        <v>3</v>
      </c>
      <c r="Y215" s="2808">
        <v>70</v>
      </c>
      <c r="Z215" s="2808">
        <v>3</v>
      </c>
      <c r="AA215" s="2808">
        <v>3</v>
      </c>
      <c r="AB215" s="2808">
        <v>3</v>
      </c>
      <c r="AC215" s="2808">
        <v>3</v>
      </c>
      <c r="AD215" s="2808">
        <v>3</v>
      </c>
      <c r="AE215" s="2808">
        <v>15</v>
      </c>
      <c r="AF215" s="2808">
        <v>2</v>
      </c>
      <c r="AG215" s="2808">
        <v>2</v>
      </c>
      <c r="AH215" s="2808">
        <v>2</v>
      </c>
      <c r="AI215" s="2808">
        <v>2</v>
      </c>
      <c r="AJ215" s="2808">
        <v>2</v>
      </c>
      <c r="AK215" s="2808">
        <v>3</v>
      </c>
      <c r="AL215" s="2808">
        <v>1</v>
      </c>
      <c r="AM215" s="2808">
        <v>2</v>
      </c>
      <c r="AN215" s="2808">
        <v>3</v>
      </c>
      <c r="AO215" s="2808">
        <v>2</v>
      </c>
      <c r="AP215" s="2807">
        <v>2</v>
      </c>
      <c r="AQ215" s="2807">
        <v>1</v>
      </c>
      <c r="AR215" s="2807">
        <v>2</v>
      </c>
      <c r="AS215" s="2807">
        <v>2</v>
      </c>
      <c r="AT215" s="2807">
        <v>2</v>
      </c>
      <c r="AU215" s="2807">
        <v>2</v>
      </c>
      <c r="AV215" s="2807">
        <v>2</v>
      </c>
      <c r="AW215" s="2807">
        <v>2</v>
      </c>
      <c r="AX215" s="2807">
        <v>2</v>
      </c>
      <c r="AY215" s="2807">
        <v>2</v>
      </c>
      <c r="AZ215" s="2807">
        <v>2</v>
      </c>
      <c r="BA215" s="2807">
        <v>2</v>
      </c>
      <c r="BB215" s="2807">
        <v>2</v>
      </c>
      <c r="BC215" s="2807"/>
      <c r="BD215" s="2807"/>
      <c r="BE215" s="2807"/>
      <c r="BF215" s="2807"/>
      <c r="BG215" s="2807"/>
      <c r="BH215" s="2807"/>
      <c r="BI215" s="2807"/>
      <c r="BJ215" s="2807"/>
      <c r="BK215" s="2807"/>
      <c r="BL215" s="2807">
        <v>5</v>
      </c>
      <c r="BM215" s="2807">
        <v>5</v>
      </c>
      <c r="BN215" s="2807"/>
      <c r="BO215" s="2807"/>
      <c r="BP215" s="2807"/>
      <c r="BQ215" s="2807"/>
      <c r="BR215" s="2807"/>
      <c r="BS215" s="2807"/>
      <c r="BT215" s="2807"/>
      <c r="BU215" s="2807"/>
      <c r="BV215" s="2802">
        <v>10</v>
      </c>
      <c r="BW215" s="2802"/>
      <c r="BX215" s="2802"/>
      <c r="BY215" s="2802">
        <v>10</v>
      </c>
      <c r="BZ215" s="2802">
        <v>5</v>
      </c>
      <c r="CA215" s="2802"/>
      <c r="CB215" s="2802"/>
      <c r="CC215" s="2802">
        <v>10</v>
      </c>
      <c r="CD215" s="2802">
        <v>10</v>
      </c>
      <c r="CE215" s="2802"/>
      <c r="CF215" s="2802"/>
      <c r="CG215" s="2802"/>
      <c r="CH215" s="2802">
        <v>5</v>
      </c>
      <c r="CI215" s="2802"/>
      <c r="CJ215" s="2802"/>
      <c r="CK215" s="2802"/>
      <c r="CL215" s="2802"/>
      <c r="CM215" s="2802">
        <v>5</v>
      </c>
      <c r="CN215" s="2809" t="s">
        <v>1913</v>
      </c>
      <c r="CO215" s="2809" t="s">
        <v>1921</v>
      </c>
      <c r="CP215" s="2730" t="str">
        <f t="shared" si="32"/>
        <v>AcechadorPsíquico</v>
      </c>
      <c r="CQ215" s="2810"/>
      <c r="CR215">
        <f t="shared" si="31"/>
        <v>19</v>
      </c>
    </row>
    <row r="216" spans="1:109" ht="12.75" customHeight="1">
      <c r="A216" s="219">
        <v>216</v>
      </c>
      <c r="B216" s="7145"/>
      <c r="C216" s="3804">
        <f>SUMIF(PDs!$AD$6:$AD$10,Tablas!D216,PDs!$AE$6:$AE$10)</f>
        <v>0</v>
      </c>
      <c r="D216" s="3805" t="s">
        <v>1916</v>
      </c>
      <c r="E216" s="3806">
        <v>10</v>
      </c>
      <c r="F216" s="3806">
        <v>5</v>
      </c>
      <c r="G216" s="3806">
        <v>20</v>
      </c>
      <c r="H216" s="3806">
        <v>20</v>
      </c>
      <c r="I216" s="3807">
        <v>0.5</v>
      </c>
      <c r="J216" s="3808">
        <v>0.5</v>
      </c>
      <c r="K216" s="3808">
        <v>0.5</v>
      </c>
      <c r="L216" s="3809">
        <v>3</v>
      </c>
      <c r="M216" s="3809">
        <v>5</v>
      </c>
      <c r="N216" s="3809"/>
      <c r="O216" s="3810"/>
      <c r="P216" s="3809"/>
      <c r="Q216" s="3809"/>
      <c r="R216" s="3811">
        <v>2</v>
      </c>
      <c r="S216" s="3811">
        <v>3</v>
      </c>
      <c r="T216" s="3811">
        <v>2</v>
      </c>
      <c r="U216" s="3811">
        <v>3</v>
      </c>
      <c r="V216" s="3811">
        <v>2</v>
      </c>
      <c r="W216" s="3811">
        <v>20</v>
      </c>
      <c r="X216" s="3811">
        <v>3</v>
      </c>
      <c r="Y216" s="3812">
        <v>70</v>
      </c>
      <c r="Z216" s="3812">
        <v>3</v>
      </c>
      <c r="AA216" s="3812">
        <v>3</v>
      </c>
      <c r="AB216" s="3812">
        <v>3</v>
      </c>
      <c r="AC216" s="3812">
        <v>3</v>
      </c>
      <c r="AD216" s="3812">
        <v>3</v>
      </c>
      <c r="AE216" s="3812">
        <v>20</v>
      </c>
      <c r="AF216" s="3812">
        <v>3</v>
      </c>
      <c r="AG216" s="3812">
        <v>2</v>
      </c>
      <c r="AH216" s="3812">
        <v>2</v>
      </c>
      <c r="AI216" s="3812">
        <v>1</v>
      </c>
      <c r="AJ216" s="3812">
        <v>3</v>
      </c>
      <c r="AK216" s="3812">
        <v>3</v>
      </c>
      <c r="AL216" s="3812">
        <v>2</v>
      </c>
      <c r="AM216" s="3812">
        <v>2</v>
      </c>
      <c r="AN216" s="3812">
        <v>3</v>
      </c>
      <c r="AO216" s="3812">
        <v>3</v>
      </c>
      <c r="AP216" s="3811">
        <v>2</v>
      </c>
      <c r="AQ216" s="3811">
        <v>3</v>
      </c>
      <c r="AR216" s="3811">
        <v>3</v>
      </c>
      <c r="AS216" s="3811">
        <v>3</v>
      </c>
      <c r="AT216" s="3811">
        <v>3</v>
      </c>
      <c r="AU216" s="3811">
        <v>3</v>
      </c>
      <c r="AV216" s="3811">
        <v>1</v>
      </c>
      <c r="AW216" s="3811">
        <v>2</v>
      </c>
      <c r="AX216" s="3811">
        <v>3</v>
      </c>
      <c r="AY216" s="3811">
        <v>3</v>
      </c>
      <c r="AZ216" s="3811">
        <v>3</v>
      </c>
      <c r="BA216" s="3811">
        <v>3</v>
      </c>
      <c r="BB216" s="3811">
        <v>3</v>
      </c>
      <c r="BC216" s="3811"/>
      <c r="BD216" s="3811"/>
      <c r="BE216" s="3811"/>
      <c r="BF216" s="3811"/>
      <c r="BG216" s="3811"/>
      <c r="BH216" s="3811"/>
      <c r="BI216" s="3811"/>
      <c r="BJ216" s="3811"/>
      <c r="BK216" s="3811"/>
      <c r="BL216" s="3811">
        <v>10</v>
      </c>
      <c r="BM216" s="3811"/>
      <c r="BN216" s="3811"/>
      <c r="BO216" s="3811"/>
      <c r="BP216" s="3811">
        <v>10</v>
      </c>
      <c r="BQ216" s="3811">
        <v>10</v>
      </c>
      <c r="BR216" s="3811"/>
      <c r="BS216" s="3811">
        <v>10</v>
      </c>
      <c r="BT216" s="3811"/>
      <c r="BU216" s="3811"/>
      <c r="BV216" s="3806">
        <v>10</v>
      </c>
      <c r="BW216" s="3806"/>
      <c r="BX216" s="3806"/>
      <c r="BY216" s="3806"/>
      <c r="BZ216" s="3806"/>
      <c r="CA216" s="3806"/>
      <c r="CB216" s="3806"/>
      <c r="CC216" s="3806">
        <v>10</v>
      </c>
      <c r="CD216" s="3806"/>
      <c r="CE216" s="3806">
        <v>10</v>
      </c>
      <c r="CF216" s="3806"/>
      <c r="CG216" s="3806"/>
      <c r="CH216" s="3806"/>
      <c r="CI216" s="3806"/>
      <c r="CJ216" s="3806"/>
      <c r="CK216" s="3806"/>
      <c r="CL216" s="3806"/>
      <c r="CM216" s="3806">
        <v>5</v>
      </c>
      <c r="CN216" s="3813" t="s">
        <v>1913</v>
      </c>
      <c r="CO216" s="3813" t="s">
        <v>1905</v>
      </c>
      <c r="CP216" s="3814" t="str">
        <f t="shared" si="32"/>
        <v>AcechadorSin</v>
      </c>
      <c r="CQ216" s="3815"/>
      <c r="CR216">
        <f t="shared" si="31"/>
        <v>7</v>
      </c>
    </row>
    <row r="217" spans="1:109" ht="12.75" customHeight="1">
      <c r="A217" s="219">
        <v>217</v>
      </c>
      <c r="B217" s="7145"/>
      <c r="C217" s="4114">
        <f>SUMIF(PDs!$AD$6:$AD$10,Tablas!D217,PDs!$AE$6:$AE$10)</f>
        <v>0</v>
      </c>
      <c r="D217" s="4115" t="s">
        <v>1917</v>
      </c>
      <c r="E217" s="4116">
        <v>5</v>
      </c>
      <c r="F217" s="4116">
        <v>5</v>
      </c>
      <c r="G217" s="4116">
        <v>20</v>
      </c>
      <c r="H217" s="4116">
        <v>10</v>
      </c>
      <c r="I217" s="4117">
        <v>0.5</v>
      </c>
      <c r="J217" s="4118">
        <v>0.60000000000000009</v>
      </c>
      <c r="K217" s="4118">
        <v>0.5</v>
      </c>
      <c r="L217" s="4119">
        <v>3</v>
      </c>
      <c r="M217" s="4119"/>
      <c r="N217" s="4119"/>
      <c r="O217" s="4120"/>
      <c r="P217" s="4119"/>
      <c r="Q217" s="4119">
        <v>100</v>
      </c>
      <c r="R217" s="4119">
        <v>3</v>
      </c>
      <c r="S217" s="4119">
        <v>3</v>
      </c>
      <c r="T217" s="4119">
        <v>2</v>
      </c>
      <c r="U217" s="4119">
        <v>3</v>
      </c>
      <c r="V217" s="4121">
        <v>3</v>
      </c>
      <c r="W217" s="4121">
        <v>30</v>
      </c>
      <c r="X217" s="4121">
        <v>1</v>
      </c>
      <c r="Y217" s="4122">
        <v>50</v>
      </c>
      <c r="Z217" s="4122">
        <v>2</v>
      </c>
      <c r="AA217" s="4122">
        <v>2</v>
      </c>
      <c r="AB217" s="4122">
        <v>2</v>
      </c>
      <c r="AC217" s="4122">
        <v>2</v>
      </c>
      <c r="AD217" s="4122">
        <v>2</v>
      </c>
      <c r="AE217" s="4122">
        <v>20</v>
      </c>
      <c r="AF217" s="4122">
        <v>3</v>
      </c>
      <c r="AG217" s="4122">
        <v>2</v>
      </c>
      <c r="AH217" s="4122">
        <v>2</v>
      </c>
      <c r="AI217" s="4122">
        <v>2</v>
      </c>
      <c r="AJ217" s="4122">
        <v>2</v>
      </c>
      <c r="AK217" s="4122">
        <v>3</v>
      </c>
      <c r="AL217" s="4122">
        <v>2</v>
      </c>
      <c r="AM217" s="4122">
        <v>2</v>
      </c>
      <c r="AN217" s="4122">
        <v>3</v>
      </c>
      <c r="AO217" s="4122">
        <v>3</v>
      </c>
      <c r="AP217" s="4121">
        <v>3</v>
      </c>
      <c r="AQ217" s="4121">
        <v>3</v>
      </c>
      <c r="AR217" s="4121">
        <v>3</v>
      </c>
      <c r="AS217" s="4121">
        <v>3</v>
      </c>
      <c r="AT217" s="4121">
        <v>3</v>
      </c>
      <c r="AU217" s="4121">
        <v>3</v>
      </c>
      <c r="AV217" s="4121">
        <v>3</v>
      </c>
      <c r="AW217" s="4121">
        <v>3</v>
      </c>
      <c r="AX217" s="4121">
        <v>1</v>
      </c>
      <c r="AY217" s="4121">
        <v>3</v>
      </c>
      <c r="AZ217" s="4121">
        <v>3</v>
      </c>
      <c r="BA217" s="4121">
        <v>3</v>
      </c>
      <c r="BB217" s="4121">
        <v>3</v>
      </c>
      <c r="BC217" s="4121"/>
      <c r="BD217" s="4121"/>
      <c r="BE217" s="4121"/>
      <c r="BF217" s="4121"/>
      <c r="BG217" s="4121"/>
      <c r="BH217" s="4121"/>
      <c r="BI217" s="4121"/>
      <c r="BJ217" s="4121"/>
      <c r="BK217" s="4121"/>
      <c r="BL217" s="4121"/>
      <c r="BM217" s="4121"/>
      <c r="BN217" s="4121"/>
      <c r="BO217" s="4121"/>
      <c r="BP217" s="4121"/>
      <c r="BQ217" s="4121"/>
      <c r="BR217" s="4121"/>
      <c r="BS217" s="4121"/>
      <c r="BT217" s="4121"/>
      <c r="BU217" s="4121"/>
      <c r="BV217" s="4116"/>
      <c r="BW217" s="4116"/>
      <c r="BX217" s="4116"/>
      <c r="BY217" s="4116"/>
      <c r="BZ217" s="4116"/>
      <c r="CA217" s="4116"/>
      <c r="CB217" s="4116"/>
      <c r="CC217" s="4116"/>
      <c r="CD217" s="4116"/>
      <c r="CE217" s="4116"/>
      <c r="CF217" s="4116">
        <v>5</v>
      </c>
      <c r="CG217" s="4116">
        <v>10</v>
      </c>
      <c r="CH217" s="4116"/>
      <c r="CI217" s="4116"/>
      <c r="CJ217" s="4116"/>
      <c r="CK217" s="4116"/>
      <c r="CL217" s="4116"/>
      <c r="CM217" s="4116"/>
      <c r="CN217" s="4023" t="s">
        <v>1918</v>
      </c>
      <c r="CO217" s="4023" t="s">
        <v>1905</v>
      </c>
      <c r="CP217" s="4123" t="str">
        <f t="shared" si="32"/>
        <v>MísticoSin</v>
      </c>
      <c r="CQ217" s="4124"/>
      <c r="CR217">
        <f t="shared" si="31"/>
        <v>9</v>
      </c>
    </row>
    <row r="218" spans="1:109" ht="12.75" customHeight="1">
      <c r="A218" s="219">
        <v>218</v>
      </c>
      <c r="B218" s="7145"/>
      <c r="C218" s="4114">
        <f>SUMIF(PDs!$AD$6:$AD$10,Tablas!D218,PDs!$AE$6:$AE$10)</f>
        <v>0</v>
      </c>
      <c r="D218" s="4115" t="s">
        <v>1919</v>
      </c>
      <c r="E218" s="4116">
        <v>5</v>
      </c>
      <c r="F218" s="4116">
        <v>10</v>
      </c>
      <c r="G218" s="4116">
        <v>20</v>
      </c>
      <c r="H218" s="4116">
        <v>20</v>
      </c>
      <c r="I218" s="4117">
        <v>0.5</v>
      </c>
      <c r="J218" s="4118">
        <v>0.5</v>
      </c>
      <c r="K218" s="4118">
        <v>0.5</v>
      </c>
      <c r="L218" s="4119">
        <v>3</v>
      </c>
      <c r="M218" s="4119">
        <v>5</v>
      </c>
      <c r="N218" s="4119">
        <v>5</v>
      </c>
      <c r="O218" s="4120">
        <v>5</v>
      </c>
      <c r="P218" s="4121"/>
      <c r="Q218" s="4121">
        <v>50</v>
      </c>
      <c r="R218" s="4121">
        <v>2</v>
      </c>
      <c r="S218" s="4121">
        <v>2</v>
      </c>
      <c r="T218" s="4121">
        <v>2</v>
      </c>
      <c r="U218" s="4121">
        <v>2</v>
      </c>
      <c r="V218" s="4121">
        <v>2</v>
      </c>
      <c r="W218" s="4121">
        <v>25</v>
      </c>
      <c r="X218" s="4121">
        <v>1</v>
      </c>
      <c r="Y218" s="4122">
        <v>50</v>
      </c>
      <c r="Z218" s="4122">
        <v>2</v>
      </c>
      <c r="AA218" s="4122">
        <v>2</v>
      </c>
      <c r="AB218" s="4122">
        <v>2</v>
      </c>
      <c r="AC218" s="4122">
        <v>2</v>
      </c>
      <c r="AD218" s="4122">
        <v>2</v>
      </c>
      <c r="AE218" s="4122">
        <v>20</v>
      </c>
      <c r="AF218" s="4122">
        <v>3</v>
      </c>
      <c r="AG218" s="4122">
        <v>2</v>
      </c>
      <c r="AH218" s="4122">
        <v>2</v>
      </c>
      <c r="AI218" s="4122">
        <v>2</v>
      </c>
      <c r="AJ218" s="4122">
        <v>2</v>
      </c>
      <c r="AK218" s="4122">
        <v>2</v>
      </c>
      <c r="AL218" s="4122">
        <v>2</v>
      </c>
      <c r="AM218" s="4122">
        <v>2</v>
      </c>
      <c r="AN218" s="4122">
        <v>3</v>
      </c>
      <c r="AO218" s="4122">
        <v>3</v>
      </c>
      <c r="AP218" s="4121">
        <v>3</v>
      </c>
      <c r="AQ218" s="4121">
        <v>3</v>
      </c>
      <c r="AR218" s="4121">
        <v>3</v>
      </c>
      <c r="AS218" s="4121">
        <v>3</v>
      </c>
      <c r="AT218" s="4121">
        <v>3</v>
      </c>
      <c r="AU218" s="4121">
        <v>3</v>
      </c>
      <c r="AV218" s="4121">
        <v>3</v>
      </c>
      <c r="AW218" s="4121">
        <v>3</v>
      </c>
      <c r="AX218" s="4121">
        <v>3</v>
      </c>
      <c r="AY218" s="4121">
        <v>3</v>
      </c>
      <c r="AZ218" s="4121">
        <v>3</v>
      </c>
      <c r="BA218" s="4121">
        <v>3</v>
      </c>
      <c r="BB218" s="4121">
        <v>3</v>
      </c>
      <c r="BC218" s="4121"/>
      <c r="BD218" s="4121"/>
      <c r="BE218" s="4121"/>
      <c r="BF218" s="4121"/>
      <c r="BG218" s="4121"/>
      <c r="BH218" s="4121"/>
      <c r="BI218" s="4121"/>
      <c r="BJ218" s="4121"/>
      <c r="BK218" s="4121"/>
      <c r="BL218" s="4121"/>
      <c r="BM218" s="4121"/>
      <c r="BN218" s="4121"/>
      <c r="BO218" s="4121"/>
      <c r="BP218" s="4121"/>
      <c r="BQ218" s="4121"/>
      <c r="BR218" s="4121"/>
      <c r="BS218" s="4121"/>
      <c r="BT218" s="4121"/>
      <c r="BU218" s="4121"/>
      <c r="BV218" s="4116"/>
      <c r="BW218" s="4116"/>
      <c r="BX218" s="4116"/>
      <c r="BY218" s="4116"/>
      <c r="BZ218" s="4116"/>
      <c r="CA218" s="4116"/>
      <c r="CB218" s="4116"/>
      <c r="CC218" s="4116"/>
      <c r="CD218" s="4116"/>
      <c r="CE218" s="4116"/>
      <c r="CF218" s="4116"/>
      <c r="CG218" s="4116">
        <v>5</v>
      </c>
      <c r="CH218" s="4116"/>
      <c r="CI218" s="4116"/>
      <c r="CJ218" s="4116"/>
      <c r="CK218" s="4116"/>
      <c r="CL218" s="4116"/>
      <c r="CM218" s="4116"/>
      <c r="CN218" s="4023" t="s">
        <v>1904</v>
      </c>
      <c r="CO218" s="4023" t="s">
        <v>1918</v>
      </c>
      <c r="CP218" s="4123" t="str">
        <f t="shared" si="32"/>
        <v>LuchadorMístico</v>
      </c>
      <c r="CQ218" s="4124"/>
      <c r="CR218">
        <f t="shared" si="31"/>
        <v>7</v>
      </c>
    </row>
    <row r="219" spans="1:109" ht="12.75" customHeight="1">
      <c r="A219" s="219">
        <v>219</v>
      </c>
      <c r="B219" s="7145"/>
      <c r="C219" s="4114">
        <f>SUMIF(PDs!$AD$6:$AD$10,Tablas!D219,PDs!$AE$6:$AE$10)</f>
        <v>0</v>
      </c>
      <c r="D219" s="4115" t="s">
        <v>1920</v>
      </c>
      <c r="E219" s="4116">
        <v>5</v>
      </c>
      <c r="F219" s="4116">
        <v>5</v>
      </c>
      <c r="G219" s="4116">
        <v>20</v>
      </c>
      <c r="H219" s="4116">
        <v>20</v>
      </c>
      <c r="I219" s="4117">
        <v>0.5</v>
      </c>
      <c r="J219" s="4118">
        <v>0.60000000000000009</v>
      </c>
      <c r="K219" s="4118">
        <v>0.5</v>
      </c>
      <c r="L219" s="4119">
        <v>3</v>
      </c>
      <c r="M219" s="4119"/>
      <c r="N219" s="4119"/>
      <c r="O219" s="4120"/>
      <c r="P219" s="4119"/>
      <c r="Q219" s="4119">
        <v>75</v>
      </c>
      <c r="R219" s="4119">
        <v>3</v>
      </c>
      <c r="S219" s="4119">
        <v>3</v>
      </c>
      <c r="T219" s="4119">
        <v>2</v>
      </c>
      <c r="U219" s="4119">
        <v>3</v>
      </c>
      <c r="V219" s="4121">
        <v>2</v>
      </c>
      <c r="W219" s="4121">
        <v>25</v>
      </c>
      <c r="X219" s="4121">
        <v>1</v>
      </c>
      <c r="Y219" s="4122">
        <v>60</v>
      </c>
      <c r="Z219" s="4122">
        <v>2</v>
      </c>
      <c r="AA219" s="4122">
        <v>3</v>
      </c>
      <c r="AB219" s="4122">
        <v>3</v>
      </c>
      <c r="AC219" s="4122">
        <v>3</v>
      </c>
      <c r="AD219" s="4122">
        <v>3</v>
      </c>
      <c r="AE219" s="4122">
        <v>20</v>
      </c>
      <c r="AF219" s="4122">
        <v>3</v>
      </c>
      <c r="AG219" s="4122">
        <v>2</v>
      </c>
      <c r="AH219" s="4122">
        <v>2</v>
      </c>
      <c r="AI219" s="4122">
        <v>2</v>
      </c>
      <c r="AJ219" s="4122">
        <v>2</v>
      </c>
      <c r="AK219" s="4122">
        <v>3</v>
      </c>
      <c r="AL219" s="4122">
        <v>2</v>
      </c>
      <c r="AM219" s="4122">
        <v>2</v>
      </c>
      <c r="AN219" s="4122">
        <v>3</v>
      </c>
      <c r="AO219" s="4122">
        <v>3</v>
      </c>
      <c r="AP219" s="4121">
        <v>3</v>
      </c>
      <c r="AQ219" s="4121">
        <v>3</v>
      </c>
      <c r="AR219" s="4121">
        <v>3</v>
      </c>
      <c r="AS219" s="4121">
        <v>3</v>
      </c>
      <c r="AT219" s="4121">
        <v>3</v>
      </c>
      <c r="AU219" s="4121">
        <v>3</v>
      </c>
      <c r="AV219" s="4121">
        <v>3</v>
      </c>
      <c r="AW219" s="4121">
        <v>3</v>
      </c>
      <c r="AX219" s="4121">
        <v>3</v>
      </c>
      <c r="AY219" s="4121">
        <v>1</v>
      </c>
      <c r="AZ219" s="4121">
        <v>1</v>
      </c>
      <c r="BA219" s="4121">
        <v>3</v>
      </c>
      <c r="BB219" s="4121">
        <v>3</v>
      </c>
      <c r="BC219" s="4121"/>
      <c r="BD219" s="4121"/>
      <c r="BE219" s="4121"/>
      <c r="BF219" s="4121"/>
      <c r="BG219" s="4121">
        <v>10</v>
      </c>
      <c r="BH219" s="4121"/>
      <c r="BI219" s="4121"/>
      <c r="BJ219" s="4121"/>
      <c r="BK219" s="4121"/>
      <c r="BL219" s="4121"/>
      <c r="BM219" s="4121">
        <v>5</v>
      </c>
      <c r="BN219" s="4121"/>
      <c r="BO219" s="4121"/>
      <c r="BP219" s="4121"/>
      <c r="BQ219" s="4121"/>
      <c r="BR219" s="4121"/>
      <c r="BS219" s="4121"/>
      <c r="BT219" s="4121"/>
      <c r="BU219" s="4121"/>
      <c r="BV219" s="4116">
        <v>10</v>
      </c>
      <c r="BW219" s="4116"/>
      <c r="BX219" s="4116"/>
      <c r="BY219" s="4116"/>
      <c r="BZ219" s="4116"/>
      <c r="CA219" s="4116"/>
      <c r="CB219" s="4116"/>
      <c r="CC219" s="4116">
        <v>10</v>
      </c>
      <c r="CD219" s="4116">
        <v>5</v>
      </c>
      <c r="CE219" s="4116"/>
      <c r="CF219" s="4116"/>
      <c r="CG219" s="4116">
        <v>5</v>
      </c>
      <c r="CH219" s="4116">
        <v>5</v>
      </c>
      <c r="CI219" s="4116"/>
      <c r="CJ219" s="4116"/>
      <c r="CK219" s="4116"/>
      <c r="CL219" s="4116"/>
      <c r="CM219" s="4116"/>
      <c r="CN219" s="4023" t="s">
        <v>1913</v>
      </c>
      <c r="CO219" s="4023" t="s">
        <v>1918</v>
      </c>
      <c r="CP219" s="4123" t="str">
        <f t="shared" si="32"/>
        <v>AcechadorMístico</v>
      </c>
      <c r="CQ219" s="4124"/>
      <c r="CR219">
        <f t="shared" si="31"/>
        <v>11</v>
      </c>
    </row>
    <row r="220" spans="1:109" ht="12.75" customHeight="1">
      <c r="A220" s="219">
        <v>220</v>
      </c>
      <c r="B220" s="7145"/>
      <c r="C220" s="2800">
        <f>SUMIF(PDs!$AD$6:$AD$10,Tablas!D220,PDs!$AE$6:$AE$10)</f>
        <v>0</v>
      </c>
      <c r="D220" s="2801" t="s">
        <v>10154</v>
      </c>
      <c r="E220" s="2802">
        <v>5</v>
      </c>
      <c r="F220" s="2802">
        <v>5</v>
      </c>
      <c r="G220" s="2802">
        <v>20</v>
      </c>
      <c r="H220" s="2802">
        <v>10</v>
      </c>
      <c r="I220" s="2803">
        <v>0.5</v>
      </c>
      <c r="J220" s="2804">
        <v>0.5</v>
      </c>
      <c r="K220" s="2804">
        <v>0.5</v>
      </c>
      <c r="L220" s="2805">
        <v>1</v>
      </c>
      <c r="M220" s="2805"/>
      <c r="N220" s="2805"/>
      <c r="O220" s="2806"/>
      <c r="P220" s="2805"/>
      <c r="Q220" s="2805">
        <v>100</v>
      </c>
      <c r="R220" s="2805">
        <v>3</v>
      </c>
      <c r="S220" s="2805">
        <v>3</v>
      </c>
      <c r="T220" s="2805">
        <v>2</v>
      </c>
      <c r="U220" s="2805">
        <v>3</v>
      </c>
      <c r="V220" s="2807">
        <v>3</v>
      </c>
      <c r="W220" s="2807">
        <v>30</v>
      </c>
      <c r="X220" s="2807">
        <v>1</v>
      </c>
      <c r="Y220" s="2808">
        <v>50</v>
      </c>
      <c r="Z220" s="2808">
        <v>2</v>
      </c>
      <c r="AA220" s="2808">
        <v>2</v>
      </c>
      <c r="AB220" s="2808">
        <v>2</v>
      </c>
      <c r="AC220" s="2808">
        <v>2</v>
      </c>
      <c r="AD220" s="2808">
        <v>2</v>
      </c>
      <c r="AE220" s="2808">
        <v>10</v>
      </c>
      <c r="AF220" s="2808">
        <v>2</v>
      </c>
      <c r="AG220" s="2808">
        <v>2</v>
      </c>
      <c r="AH220" s="2808">
        <v>2</v>
      </c>
      <c r="AI220" s="2808">
        <v>2</v>
      </c>
      <c r="AJ220" s="2808">
        <v>2</v>
      </c>
      <c r="AK220" s="2808">
        <v>3</v>
      </c>
      <c r="AL220" s="2808">
        <v>2</v>
      </c>
      <c r="AM220" s="2808">
        <v>2</v>
      </c>
      <c r="AN220" s="2808">
        <v>3</v>
      </c>
      <c r="AO220" s="2808">
        <v>2</v>
      </c>
      <c r="AP220" s="2807">
        <v>2</v>
      </c>
      <c r="AQ220" s="2807">
        <v>3</v>
      </c>
      <c r="AR220" s="2807">
        <v>3</v>
      </c>
      <c r="AS220" s="2807">
        <v>3</v>
      </c>
      <c r="AT220" s="2807">
        <v>3</v>
      </c>
      <c r="AU220" s="2807">
        <v>3</v>
      </c>
      <c r="AV220" s="2807">
        <v>3</v>
      </c>
      <c r="AW220" s="2807">
        <v>3</v>
      </c>
      <c r="AX220" s="2807">
        <v>3</v>
      </c>
      <c r="AY220" s="2807">
        <v>3</v>
      </c>
      <c r="AZ220" s="2807">
        <v>3</v>
      </c>
      <c r="BA220" s="2807">
        <v>3</v>
      </c>
      <c r="BB220" s="2807">
        <v>3</v>
      </c>
      <c r="BC220" s="2807"/>
      <c r="BD220" s="2807"/>
      <c r="BE220" s="2807"/>
      <c r="BF220" s="2807"/>
      <c r="BG220" s="2807"/>
      <c r="BH220" s="2807"/>
      <c r="BI220" s="2807"/>
      <c r="BJ220" s="2807"/>
      <c r="BK220" s="2807"/>
      <c r="BL220" s="2807"/>
      <c r="BM220" s="2807"/>
      <c r="BN220" s="2807"/>
      <c r="BO220" s="2807"/>
      <c r="BP220" s="2807"/>
      <c r="BQ220" s="2807"/>
      <c r="BR220" s="2807"/>
      <c r="BS220" s="2807"/>
      <c r="BT220" s="2807"/>
      <c r="BU220" s="2807"/>
      <c r="BV220" s="2802"/>
      <c r="BW220" s="2802"/>
      <c r="BX220" s="2802">
        <v>5</v>
      </c>
      <c r="BY220" s="2802"/>
      <c r="BZ220" s="2802"/>
      <c r="CA220" s="2802">
        <v>5</v>
      </c>
      <c r="CB220" s="2802"/>
      <c r="CC220" s="2802"/>
      <c r="CD220" s="2802"/>
      <c r="CE220" s="2802"/>
      <c r="CF220" s="2802">
        <v>5</v>
      </c>
      <c r="CG220" s="2802">
        <v>10</v>
      </c>
      <c r="CH220" s="2802"/>
      <c r="CI220" s="2802"/>
      <c r="CJ220" s="2802"/>
      <c r="CK220" s="2802"/>
      <c r="CL220" s="2802"/>
      <c r="CM220" s="2802"/>
      <c r="CN220" s="2809" t="s">
        <v>1918</v>
      </c>
      <c r="CO220" s="2809" t="s">
        <v>1921</v>
      </c>
      <c r="CP220" s="2730" t="str">
        <f t="shared" si="32"/>
        <v>MísticoPsíquico</v>
      </c>
      <c r="CQ220" s="2810"/>
      <c r="CR220">
        <f t="shared" si="31"/>
        <v>19</v>
      </c>
    </row>
    <row r="221" spans="1:109" ht="12.75" customHeight="1">
      <c r="A221" s="219">
        <v>221</v>
      </c>
      <c r="B221" s="7145"/>
      <c r="C221" s="2800">
        <f>SUMIF(PDs!$AD$6:$AD$10,Tablas!D221,PDs!$AE$6:$AE$10)</f>
        <v>0</v>
      </c>
      <c r="D221" s="2801" t="s">
        <v>11697</v>
      </c>
      <c r="E221" s="2802">
        <v>5</v>
      </c>
      <c r="F221" s="2802">
        <v>5</v>
      </c>
      <c r="G221" s="2802">
        <v>20</v>
      </c>
      <c r="H221" s="2802">
        <v>10</v>
      </c>
      <c r="I221" s="2803">
        <v>0.5</v>
      </c>
      <c r="J221" s="2804">
        <v>0.5</v>
      </c>
      <c r="K221" s="2804">
        <v>0.5</v>
      </c>
      <c r="L221" s="2805">
        <v>1</v>
      </c>
      <c r="M221" s="2805"/>
      <c r="N221" s="2805"/>
      <c r="O221" s="2806"/>
      <c r="P221" s="2805"/>
      <c r="Q221" s="2805">
        <v>100</v>
      </c>
      <c r="R221" s="2805">
        <v>3</v>
      </c>
      <c r="S221" s="2805">
        <v>3</v>
      </c>
      <c r="T221" s="2805">
        <v>2</v>
      </c>
      <c r="U221" s="2805">
        <v>3</v>
      </c>
      <c r="V221" s="2807">
        <v>3</v>
      </c>
      <c r="W221" s="2807">
        <v>30</v>
      </c>
      <c r="X221" s="2807">
        <v>1</v>
      </c>
      <c r="Y221" s="2808">
        <v>50</v>
      </c>
      <c r="Z221" s="2808">
        <v>2</v>
      </c>
      <c r="AA221" s="2808">
        <v>2</v>
      </c>
      <c r="AB221" s="2808">
        <v>2</v>
      </c>
      <c r="AC221" s="2808">
        <v>2</v>
      </c>
      <c r="AD221" s="2808">
        <v>2</v>
      </c>
      <c r="AE221" s="2808">
        <v>10</v>
      </c>
      <c r="AF221" s="2808">
        <v>2</v>
      </c>
      <c r="AG221" s="2808">
        <v>2</v>
      </c>
      <c r="AH221" s="2808">
        <v>2</v>
      </c>
      <c r="AI221" s="2808">
        <v>2</v>
      </c>
      <c r="AJ221" s="2808">
        <v>2</v>
      </c>
      <c r="AK221" s="2808">
        <v>3</v>
      </c>
      <c r="AL221" s="2808">
        <v>2</v>
      </c>
      <c r="AM221" s="2808">
        <v>2</v>
      </c>
      <c r="AN221" s="2808">
        <v>3</v>
      </c>
      <c r="AO221" s="2808">
        <v>2</v>
      </c>
      <c r="AP221" s="2807">
        <v>2</v>
      </c>
      <c r="AQ221" s="2807">
        <v>3</v>
      </c>
      <c r="AR221" s="2807">
        <v>3</v>
      </c>
      <c r="AS221" s="2807">
        <v>3</v>
      </c>
      <c r="AT221" s="2807">
        <v>3</v>
      </c>
      <c r="AU221" s="2807">
        <v>3</v>
      </c>
      <c r="AV221" s="2807">
        <v>3</v>
      </c>
      <c r="AW221" s="2807">
        <v>3</v>
      </c>
      <c r="AX221" s="2807">
        <v>3</v>
      </c>
      <c r="AY221" s="2807">
        <v>3</v>
      </c>
      <c r="AZ221" s="2807">
        <v>3</v>
      </c>
      <c r="BA221" s="2807">
        <v>3</v>
      </c>
      <c r="BB221" s="2807">
        <v>3</v>
      </c>
      <c r="BC221" s="2807"/>
      <c r="BD221" s="2807"/>
      <c r="BE221" s="2807"/>
      <c r="BF221" s="2807"/>
      <c r="BG221" s="2807"/>
      <c r="BH221" s="2807"/>
      <c r="BI221" s="2807"/>
      <c r="BJ221" s="2807"/>
      <c r="BK221" s="2807"/>
      <c r="BL221" s="2807">
        <v>5</v>
      </c>
      <c r="BM221" s="2807"/>
      <c r="BN221" s="2807"/>
      <c r="BO221" s="2807"/>
      <c r="BP221" s="2807"/>
      <c r="BQ221" s="2807"/>
      <c r="BR221" s="2807"/>
      <c r="BS221" s="2807"/>
      <c r="BT221" s="2807"/>
      <c r="BU221" s="2807"/>
      <c r="BV221" s="2802"/>
      <c r="BW221" s="2802"/>
      <c r="BX221" s="2802"/>
      <c r="BY221" s="2802">
        <v>5</v>
      </c>
      <c r="BZ221" s="2802"/>
      <c r="CA221" s="2802"/>
      <c r="CB221" s="2802"/>
      <c r="CC221" s="2802"/>
      <c r="CD221" s="2802"/>
      <c r="CE221" s="2802"/>
      <c r="CF221" s="2802">
        <v>5</v>
      </c>
      <c r="CG221" s="2802">
        <v>10</v>
      </c>
      <c r="CH221" s="2802"/>
      <c r="CI221" s="2802"/>
      <c r="CJ221" s="2802"/>
      <c r="CK221" s="2802"/>
      <c r="CL221" s="2802"/>
      <c r="CM221" s="2802"/>
      <c r="CN221" s="2809" t="s">
        <v>1918</v>
      </c>
      <c r="CO221" s="2809" t="s">
        <v>1921</v>
      </c>
      <c r="CP221" s="2730" t="str">
        <f t="shared" si="32"/>
        <v>MísticoPsíquico</v>
      </c>
      <c r="CQ221" s="2810"/>
      <c r="CR221">
        <f t="shared" si="31"/>
        <v>19</v>
      </c>
    </row>
    <row r="222" spans="1:109" ht="12.75" customHeight="1">
      <c r="A222" s="219">
        <v>222</v>
      </c>
      <c r="B222" s="7145"/>
      <c r="C222" s="4114">
        <f>SUMIF(PDs!$AD$6:$AD$10,Tablas!D222,PDs!$AE$6:$AE$10)</f>
        <v>0</v>
      </c>
      <c r="D222" s="3871" t="s">
        <v>1922</v>
      </c>
      <c r="E222" s="4116">
        <v>5</v>
      </c>
      <c r="F222" s="4116">
        <v>5</v>
      </c>
      <c r="G222" s="4116">
        <v>20</v>
      </c>
      <c r="H222" s="4116">
        <v>10</v>
      </c>
      <c r="I222" s="4117">
        <v>0.5</v>
      </c>
      <c r="J222" s="4118">
        <v>0.60000000000000009</v>
      </c>
      <c r="K222" s="4118">
        <v>0.5</v>
      </c>
      <c r="L222" s="4119">
        <v>3</v>
      </c>
      <c r="M222" s="4119"/>
      <c r="N222" s="4119"/>
      <c r="O222" s="4120"/>
      <c r="P222" s="4119"/>
      <c r="Q222" s="4119">
        <v>50</v>
      </c>
      <c r="R222" s="4121">
        <v>3</v>
      </c>
      <c r="S222" s="4121">
        <v>3</v>
      </c>
      <c r="T222" s="4121">
        <v>2</v>
      </c>
      <c r="U222" s="4121">
        <v>3</v>
      </c>
      <c r="V222" s="4121">
        <v>3</v>
      </c>
      <c r="W222" s="4121">
        <v>30</v>
      </c>
      <c r="X222" s="4121">
        <v>1</v>
      </c>
      <c r="Y222" s="4122">
        <v>60</v>
      </c>
      <c r="Z222" s="4122">
        <v>3</v>
      </c>
      <c r="AA222" s="4122">
        <v>1</v>
      </c>
      <c r="AB222" s="4122">
        <v>1</v>
      </c>
      <c r="AC222" s="4122">
        <v>1</v>
      </c>
      <c r="AD222" s="4122">
        <v>1</v>
      </c>
      <c r="AE222" s="4122">
        <v>20</v>
      </c>
      <c r="AF222" s="4122">
        <v>3</v>
      </c>
      <c r="AG222" s="4122">
        <v>2</v>
      </c>
      <c r="AH222" s="4122">
        <v>2</v>
      </c>
      <c r="AI222" s="4122">
        <v>2</v>
      </c>
      <c r="AJ222" s="4122">
        <v>2</v>
      </c>
      <c r="AK222" s="4122">
        <v>3</v>
      </c>
      <c r="AL222" s="4122">
        <v>2</v>
      </c>
      <c r="AM222" s="4122">
        <v>2</v>
      </c>
      <c r="AN222" s="4122">
        <v>3</v>
      </c>
      <c r="AO222" s="4122">
        <v>3</v>
      </c>
      <c r="AP222" s="4121">
        <v>3</v>
      </c>
      <c r="AQ222" s="4121">
        <v>3</v>
      </c>
      <c r="AR222" s="4121">
        <v>3</v>
      </c>
      <c r="AS222" s="4121">
        <v>3</v>
      </c>
      <c r="AT222" s="4121">
        <v>3</v>
      </c>
      <c r="AU222" s="4121">
        <v>3</v>
      </c>
      <c r="AV222" s="4121">
        <v>3</v>
      </c>
      <c r="AW222" s="4121">
        <v>3</v>
      </c>
      <c r="AX222" s="4121">
        <v>3</v>
      </c>
      <c r="AY222" s="4121">
        <v>3</v>
      </c>
      <c r="AZ222" s="4121">
        <v>3</v>
      </c>
      <c r="BA222" s="4121">
        <v>1</v>
      </c>
      <c r="BB222" s="4121">
        <v>1</v>
      </c>
      <c r="BC222" s="4121"/>
      <c r="BD222" s="4121">
        <v>0</v>
      </c>
      <c r="BE222" s="4121"/>
      <c r="BF222" s="4121"/>
      <c r="BG222" s="4121"/>
      <c r="BH222" s="4121"/>
      <c r="BI222" s="4121"/>
      <c r="BJ222" s="4121"/>
      <c r="BK222" s="4121"/>
      <c r="BL222" s="4121"/>
      <c r="BM222" s="4121"/>
      <c r="BN222" s="4116">
        <v>10</v>
      </c>
      <c r="BO222" s="4121">
        <v>10</v>
      </c>
      <c r="BP222" s="4121"/>
      <c r="BQ222" s="4121"/>
      <c r="BR222" s="4121"/>
      <c r="BS222" s="4121"/>
      <c r="BT222" s="4121"/>
      <c r="BU222" s="4121"/>
      <c r="BV222" s="4116"/>
      <c r="BW222" s="4116">
        <v>5</v>
      </c>
      <c r="BX222" s="4116"/>
      <c r="BY222" s="4116"/>
      <c r="BZ222" s="4116"/>
      <c r="CA222" s="4116"/>
      <c r="CB222" s="4116"/>
      <c r="CC222" s="4116"/>
      <c r="CD222" s="4116"/>
      <c r="CE222" s="4116"/>
      <c r="CF222" s="4116">
        <v>10</v>
      </c>
      <c r="CG222" s="4116">
        <v>5</v>
      </c>
      <c r="CH222" s="4116"/>
      <c r="CI222" s="4116"/>
      <c r="CJ222" s="4116">
        <v>10</v>
      </c>
      <c r="CK222" s="4116"/>
      <c r="CL222" s="4116"/>
      <c r="CM222" s="4116"/>
      <c r="CN222" s="4023" t="s">
        <v>1918</v>
      </c>
      <c r="CO222" s="4023" t="s">
        <v>1905</v>
      </c>
      <c r="CP222" s="4123" t="str">
        <f t="shared" si="32"/>
        <v>MísticoSin</v>
      </c>
      <c r="CQ222" s="4124"/>
      <c r="CR222">
        <f t="shared" si="31"/>
        <v>10</v>
      </c>
    </row>
    <row r="223" spans="1:109" ht="12.75" customHeight="1">
      <c r="A223" s="219">
        <v>223</v>
      </c>
      <c r="B223" s="7145"/>
      <c r="C223" s="4114">
        <f>SUMIF(PDs!$AD$6:$AD$10,Tablas!D223,PDs!$AE$6:$AE$10)</f>
        <v>0</v>
      </c>
      <c r="D223" s="4115" t="s">
        <v>1923</v>
      </c>
      <c r="E223" s="4116">
        <v>5</v>
      </c>
      <c r="F223" s="4116">
        <v>10</v>
      </c>
      <c r="G223" s="4116">
        <v>20</v>
      </c>
      <c r="H223" s="4116">
        <v>20</v>
      </c>
      <c r="I223" s="4117">
        <v>0.5</v>
      </c>
      <c r="J223" s="4118">
        <v>0.5</v>
      </c>
      <c r="K223" s="4118">
        <v>0.5</v>
      </c>
      <c r="L223" s="4119">
        <v>3</v>
      </c>
      <c r="M223" s="4119">
        <v>5</v>
      </c>
      <c r="N223" s="4119">
        <v>5</v>
      </c>
      <c r="O223" s="4120">
        <v>5</v>
      </c>
      <c r="P223" s="4119"/>
      <c r="Q223" s="4119">
        <v>50</v>
      </c>
      <c r="R223" s="4119">
        <v>2</v>
      </c>
      <c r="S223" s="4119">
        <v>2</v>
      </c>
      <c r="T223" s="4119">
        <v>2</v>
      </c>
      <c r="U223" s="4119">
        <v>2</v>
      </c>
      <c r="V223" s="4121">
        <v>2</v>
      </c>
      <c r="W223" s="4121">
        <v>20</v>
      </c>
      <c r="X223" s="4121">
        <v>1</v>
      </c>
      <c r="Y223" s="4122">
        <v>60</v>
      </c>
      <c r="Z223" s="4122">
        <v>3</v>
      </c>
      <c r="AA223" s="4122">
        <v>1</v>
      </c>
      <c r="AB223" s="4122">
        <v>1</v>
      </c>
      <c r="AC223" s="4122">
        <v>1</v>
      </c>
      <c r="AD223" s="4122">
        <v>1</v>
      </c>
      <c r="AE223" s="4122">
        <v>20</v>
      </c>
      <c r="AF223" s="4122">
        <v>3</v>
      </c>
      <c r="AG223" s="4122">
        <v>2</v>
      </c>
      <c r="AH223" s="4122">
        <v>2</v>
      </c>
      <c r="AI223" s="4122">
        <v>2</v>
      </c>
      <c r="AJ223" s="4122">
        <v>2</v>
      </c>
      <c r="AK223" s="4122">
        <v>2</v>
      </c>
      <c r="AL223" s="4122">
        <v>2</v>
      </c>
      <c r="AM223" s="4122">
        <v>2</v>
      </c>
      <c r="AN223" s="4122">
        <v>3</v>
      </c>
      <c r="AO223" s="4122">
        <v>3</v>
      </c>
      <c r="AP223" s="4121">
        <v>3</v>
      </c>
      <c r="AQ223" s="4121">
        <v>3</v>
      </c>
      <c r="AR223" s="4121">
        <v>3</v>
      </c>
      <c r="AS223" s="4121">
        <v>3</v>
      </c>
      <c r="AT223" s="4121">
        <v>3</v>
      </c>
      <c r="AU223" s="4121">
        <v>3</v>
      </c>
      <c r="AV223" s="4121">
        <v>3</v>
      </c>
      <c r="AW223" s="4121">
        <v>3</v>
      </c>
      <c r="AX223" s="4121">
        <v>3</v>
      </c>
      <c r="AY223" s="4121">
        <v>3</v>
      </c>
      <c r="AZ223" s="4121">
        <v>3</v>
      </c>
      <c r="BA223" s="4121">
        <v>3</v>
      </c>
      <c r="BB223" s="4121">
        <v>3</v>
      </c>
      <c r="BC223" s="4121"/>
      <c r="BD223" s="4121"/>
      <c r="BE223" s="4121"/>
      <c r="BF223" s="4121"/>
      <c r="BG223" s="4121"/>
      <c r="BH223" s="4121"/>
      <c r="BI223" s="4121"/>
      <c r="BJ223" s="4121"/>
      <c r="BK223" s="4121"/>
      <c r="BL223" s="4121"/>
      <c r="BM223" s="4121"/>
      <c r="BN223" s="4116">
        <v>5</v>
      </c>
      <c r="BO223" s="4121">
        <v>5</v>
      </c>
      <c r="BP223" s="4121"/>
      <c r="BQ223" s="4121"/>
      <c r="BR223" s="4121"/>
      <c r="BS223" s="4121"/>
      <c r="BT223" s="4121"/>
      <c r="BU223" s="4121"/>
      <c r="BV223" s="4116"/>
      <c r="BW223" s="4116">
        <v>10</v>
      </c>
      <c r="BX223" s="4116"/>
      <c r="BY223" s="4116"/>
      <c r="BZ223" s="4116"/>
      <c r="CA223" s="4116"/>
      <c r="CB223" s="4116"/>
      <c r="CC223" s="4116"/>
      <c r="CD223" s="4116"/>
      <c r="CE223" s="4116"/>
      <c r="CF223" s="4116">
        <v>5</v>
      </c>
      <c r="CG223" s="4116"/>
      <c r="CH223" s="4116"/>
      <c r="CI223" s="4116"/>
      <c r="CJ223" s="4116">
        <v>10</v>
      </c>
      <c r="CK223" s="4116">
        <v>5</v>
      </c>
      <c r="CL223" s="4116"/>
      <c r="CM223" s="4116"/>
      <c r="CN223" s="4023" t="s">
        <v>1904</v>
      </c>
      <c r="CO223" s="4023" t="s">
        <v>1918</v>
      </c>
      <c r="CP223" s="4123" t="str">
        <f t="shared" si="32"/>
        <v>LuchadorMístico</v>
      </c>
      <c r="CQ223" s="4124"/>
      <c r="CR223">
        <f t="shared" si="31"/>
        <v>19</v>
      </c>
    </row>
    <row r="224" spans="1:109" ht="12.75" customHeight="1">
      <c r="A224" s="219">
        <v>224</v>
      </c>
      <c r="B224" s="7145"/>
      <c r="C224" s="2800">
        <f>SUMIF(PDs!$AD$6:$AD$10,Tablas!D224,PDs!$AE$6:$AE$10)</f>
        <v>0</v>
      </c>
      <c r="D224" s="2801" t="s">
        <v>10157</v>
      </c>
      <c r="E224" s="2802">
        <v>5</v>
      </c>
      <c r="F224" s="2802">
        <v>5</v>
      </c>
      <c r="G224" s="2802">
        <v>20</v>
      </c>
      <c r="H224" s="2802">
        <v>10</v>
      </c>
      <c r="I224" s="2803">
        <v>0.5</v>
      </c>
      <c r="J224" s="2804">
        <v>0.5</v>
      </c>
      <c r="K224" s="2804">
        <v>0.60000000000000009</v>
      </c>
      <c r="L224" s="2805">
        <v>1</v>
      </c>
      <c r="M224" s="2805"/>
      <c r="N224" s="2805"/>
      <c r="O224" s="2806"/>
      <c r="P224" s="2805"/>
      <c r="Q224" s="2805"/>
      <c r="R224" s="2805">
        <v>3</v>
      </c>
      <c r="S224" s="2805">
        <v>3</v>
      </c>
      <c r="T224" s="2805">
        <v>2</v>
      </c>
      <c r="U224" s="2805">
        <v>3</v>
      </c>
      <c r="V224" s="2807">
        <v>3</v>
      </c>
      <c r="W224" s="2807">
        <v>30</v>
      </c>
      <c r="X224" s="2807">
        <v>3</v>
      </c>
      <c r="Y224" s="2808">
        <v>70</v>
      </c>
      <c r="Z224" s="2808">
        <v>3</v>
      </c>
      <c r="AA224" s="2808">
        <v>3</v>
      </c>
      <c r="AB224" s="2808">
        <v>3</v>
      </c>
      <c r="AC224" s="2808">
        <v>3</v>
      </c>
      <c r="AD224" s="2808">
        <v>3</v>
      </c>
      <c r="AE224" s="2808">
        <v>10</v>
      </c>
      <c r="AF224" s="2808">
        <v>2</v>
      </c>
      <c r="AG224" s="2808">
        <v>2</v>
      </c>
      <c r="AH224" s="2808">
        <v>2</v>
      </c>
      <c r="AI224" s="2808">
        <v>2</v>
      </c>
      <c r="AJ224" s="2808">
        <v>2</v>
      </c>
      <c r="AK224" s="2808">
        <v>3</v>
      </c>
      <c r="AL224" s="2808">
        <v>2</v>
      </c>
      <c r="AM224" s="2808">
        <v>2</v>
      </c>
      <c r="AN224" s="2808">
        <v>3</v>
      </c>
      <c r="AO224" s="2808">
        <v>2</v>
      </c>
      <c r="AP224" s="2807">
        <v>2</v>
      </c>
      <c r="AQ224" s="2807">
        <v>3</v>
      </c>
      <c r="AR224" s="2807">
        <v>3</v>
      </c>
      <c r="AS224" s="2807">
        <v>3</v>
      </c>
      <c r="AT224" s="2807">
        <v>3</v>
      </c>
      <c r="AU224" s="2807">
        <v>3</v>
      </c>
      <c r="AV224" s="2807">
        <v>3</v>
      </c>
      <c r="AW224" s="2807">
        <v>3</v>
      </c>
      <c r="AX224" s="2807">
        <v>3</v>
      </c>
      <c r="AY224" s="2807">
        <v>3</v>
      </c>
      <c r="AZ224" s="2807">
        <v>3</v>
      </c>
      <c r="BA224" s="2807">
        <v>3</v>
      </c>
      <c r="BB224" s="2807">
        <v>3</v>
      </c>
      <c r="BC224" s="2807"/>
      <c r="BD224" s="2807"/>
      <c r="BE224" s="2807"/>
      <c r="BF224" s="2807"/>
      <c r="BG224" s="2807"/>
      <c r="BH224" s="2807"/>
      <c r="BI224" s="2807"/>
      <c r="BJ224" s="2807"/>
      <c r="BK224" s="2807"/>
      <c r="BL224" s="2807"/>
      <c r="BM224" s="2807"/>
      <c r="BN224" s="2807"/>
      <c r="BO224" s="2807"/>
      <c r="BP224" s="2807"/>
      <c r="BQ224" s="2807"/>
      <c r="BR224" s="2807"/>
      <c r="BS224" s="2807"/>
      <c r="BT224" s="2807"/>
      <c r="BU224" s="2807"/>
      <c r="BV224" s="2802"/>
      <c r="BW224" s="2802"/>
      <c r="BX224" s="2802">
        <v>10</v>
      </c>
      <c r="BY224" s="2802"/>
      <c r="BZ224" s="2802"/>
      <c r="CA224" s="2802">
        <v>10</v>
      </c>
      <c r="CB224" s="2802"/>
      <c r="CC224" s="2802"/>
      <c r="CD224" s="2802"/>
      <c r="CE224" s="2802"/>
      <c r="CF224" s="2802"/>
      <c r="CG224" s="2802"/>
      <c r="CH224" s="2802"/>
      <c r="CI224" s="2802"/>
      <c r="CJ224" s="2802"/>
      <c r="CK224" s="2802"/>
      <c r="CL224" s="2802"/>
      <c r="CM224" s="2802"/>
      <c r="CN224" s="2809" t="s">
        <v>1921</v>
      </c>
      <c r="CO224" s="2809" t="s">
        <v>1905</v>
      </c>
      <c r="CP224" s="2730" t="str">
        <f t="shared" si="32"/>
        <v>PsíquicoSin</v>
      </c>
      <c r="CQ224" s="2810"/>
      <c r="CR224">
        <f t="shared" si="31"/>
        <v>14</v>
      </c>
    </row>
    <row r="225" spans="1:96" ht="12.75" customHeight="1">
      <c r="A225" s="219">
        <v>225</v>
      </c>
      <c r="B225" s="7145"/>
      <c r="C225" s="2800">
        <f>SUMIF(PDs!$AD$6:$AD$10,Tablas!D225,PDs!$AE$6:$AE$10)</f>
        <v>0</v>
      </c>
      <c r="D225" s="2801" t="s">
        <v>10155</v>
      </c>
      <c r="E225" s="2802">
        <v>5</v>
      </c>
      <c r="F225" s="2802">
        <v>5</v>
      </c>
      <c r="G225" s="2802">
        <v>20</v>
      </c>
      <c r="H225" s="2802">
        <v>10</v>
      </c>
      <c r="I225" s="2803">
        <v>0.5</v>
      </c>
      <c r="J225" s="2804">
        <v>0.5</v>
      </c>
      <c r="K225" s="2804">
        <v>0.6</v>
      </c>
      <c r="L225" s="2805">
        <v>1</v>
      </c>
      <c r="M225" s="2805"/>
      <c r="N225" s="2805"/>
      <c r="O225" s="2806"/>
      <c r="P225" s="2805"/>
      <c r="Q225" s="2805"/>
      <c r="R225" s="2805">
        <v>3</v>
      </c>
      <c r="S225" s="2805">
        <v>3</v>
      </c>
      <c r="T225" s="2805">
        <v>2</v>
      </c>
      <c r="U225" s="2805">
        <v>3</v>
      </c>
      <c r="V225" s="2807">
        <v>3</v>
      </c>
      <c r="W225" s="2807">
        <v>30</v>
      </c>
      <c r="X225" s="2807">
        <v>3</v>
      </c>
      <c r="Y225" s="2808">
        <v>70</v>
      </c>
      <c r="Z225" s="2808">
        <v>3</v>
      </c>
      <c r="AA225" s="2808">
        <v>3</v>
      </c>
      <c r="AB225" s="2808">
        <v>3</v>
      </c>
      <c r="AC225" s="2808">
        <v>3</v>
      </c>
      <c r="AD225" s="2808">
        <v>3</v>
      </c>
      <c r="AE225" s="2808">
        <v>10</v>
      </c>
      <c r="AF225" s="2808">
        <v>2</v>
      </c>
      <c r="AG225" s="2808">
        <v>2</v>
      </c>
      <c r="AH225" s="2808">
        <v>2</v>
      </c>
      <c r="AI225" s="2808">
        <v>2</v>
      </c>
      <c r="AJ225" s="2808">
        <v>2</v>
      </c>
      <c r="AK225" s="2808">
        <v>3</v>
      </c>
      <c r="AL225" s="2808">
        <v>2</v>
      </c>
      <c r="AM225" s="2808">
        <v>2</v>
      </c>
      <c r="AN225" s="2808">
        <v>3</v>
      </c>
      <c r="AO225" s="2808">
        <v>2</v>
      </c>
      <c r="AP225" s="2807">
        <v>2</v>
      </c>
      <c r="AQ225" s="2807">
        <v>3</v>
      </c>
      <c r="AR225" s="2807">
        <v>3</v>
      </c>
      <c r="AS225" s="2807">
        <v>3</v>
      </c>
      <c r="AT225" s="2807">
        <v>3</v>
      </c>
      <c r="AU225" s="2807">
        <v>3</v>
      </c>
      <c r="AV225" s="2807">
        <v>3</v>
      </c>
      <c r="AW225" s="2807">
        <v>3</v>
      </c>
      <c r="AX225" s="2807">
        <v>3</v>
      </c>
      <c r="AY225" s="2807">
        <v>3</v>
      </c>
      <c r="AZ225" s="2807">
        <v>3</v>
      </c>
      <c r="BA225" s="2807">
        <v>3</v>
      </c>
      <c r="BB225" s="2807">
        <v>3</v>
      </c>
      <c r="BC225" s="2807"/>
      <c r="BD225" s="2807"/>
      <c r="BE225" s="2807"/>
      <c r="BF225" s="2807"/>
      <c r="BG225" s="2807"/>
      <c r="BH225" s="2807"/>
      <c r="BI225" s="2807"/>
      <c r="BJ225" s="2807"/>
      <c r="BK225" s="2807"/>
      <c r="BL225" s="2807">
        <v>10</v>
      </c>
      <c r="BM225" s="2807"/>
      <c r="BN225" s="2807"/>
      <c r="BO225" s="2807"/>
      <c r="BP225" s="2807"/>
      <c r="BQ225" s="2807"/>
      <c r="BR225" s="2807"/>
      <c r="BS225" s="2807"/>
      <c r="BT225" s="2807"/>
      <c r="BU225" s="2807"/>
      <c r="BV225" s="2802"/>
      <c r="BW225" s="2802"/>
      <c r="BX225" s="2802"/>
      <c r="BY225" s="2802">
        <v>10</v>
      </c>
      <c r="BZ225" s="2802"/>
      <c r="CA225" s="2802"/>
      <c r="CB225" s="2802"/>
      <c r="CC225" s="2802"/>
      <c r="CD225" s="2802"/>
      <c r="CE225" s="2802"/>
      <c r="CF225" s="2802"/>
      <c r="CG225" s="2802"/>
      <c r="CH225" s="2802"/>
      <c r="CI225" s="2802"/>
      <c r="CJ225" s="2802"/>
      <c r="CK225" s="2802"/>
      <c r="CL225" s="2802"/>
      <c r="CM225" s="2802"/>
      <c r="CN225" s="2809" t="s">
        <v>1921</v>
      </c>
      <c r="CO225" s="2809" t="s">
        <v>1905</v>
      </c>
      <c r="CP225" s="2730" t="str">
        <f t="shared" si="32"/>
        <v>PsíquicoSin</v>
      </c>
      <c r="CQ225" s="2810"/>
      <c r="CR225">
        <f t="shared" si="31"/>
        <v>14</v>
      </c>
    </row>
    <row r="226" spans="1:96" ht="12.75" customHeight="1">
      <c r="A226" s="219">
        <v>226</v>
      </c>
      <c r="B226" s="7145"/>
      <c r="C226" s="2800">
        <f>SUMIF(PDs!$AD$6:$AD$10,Tablas!D226,PDs!$AE$6:$AE$10)</f>
        <v>0</v>
      </c>
      <c r="D226" s="2801" t="s">
        <v>10156</v>
      </c>
      <c r="E226" s="2802">
        <v>5</v>
      </c>
      <c r="F226" s="2802">
        <v>10</v>
      </c>
      <c r="G226" s="2802">
        <v>20</v>
      </c>
      <c r="H226" s="2802">
        <v>20</v>
      </c>
      <c r="I226" s="2803">
        <v>0.5</v>
      </c>
      <c r="J226" s="2804">
        <v>0.5</v>
      </c>
      <c r="K226" s="2804">
        <v>0.5</v>
      </c>
      <c r="L226" s="2805">
        <v>1</v>
      </c>
      <c r="M226" s="2805">
        <v>5</v>
      </c>
      <c r="N226" s="2805">
        <v>5</v>
      </c>
      <c r="O226" s="2806">
        <v>5</v>
      </c>
      <c r="P226" s="2805"/>
      <c r="Q226" s="2805"/>
      <c r="R226" s="2807">
        <v>2</v>
      </c>
      <c r="S226" s="2807">
        <v>2</v>
      </c>
      <c r="T226" s="2807">
        <v>2</v>
      </c>
      <c r="U226" s="2807">
        <v>2</v>
      </c>
      <c r="V226" s="2807">
        <v>2</v>
      </c>
      <c r="W226" s="2807">
        <v>25</v>
      </c>
      <c r="X226" s="2807">
        <v>3</v>
      </c>
      <c r="Y226" s="2808">
        <v>70</v>
      </c>
      <c r="Z226" s="2808">
        <v>3</v>
      </c>
      <c r="AA226" s="2808">
        <v>3</v>
      </c>
      <c r="AB226" s="2808">
        <v>3</v>
      </c>
      <c r="AC226" s="2808">
        <v>3</v>
      </c>
      <c r="AD226" s="2808">
        <v>3</v>
      </c>
      <c r="AE226" s="2808">
        <v>15</v>
      </c>
      <c r="AF226" s="2808">
        <v>2</v>
      </c>
      <c r="AG226" s="2808">
        <v>2</v>
      </c>
      <c r="AH226" s="2808">
        <v>2</v>
      </c>
      <c r="AI226" s="2808">
        <v>2</v>
      </c>
      <c r="AJ226" s="2808">
        <v>2</v>
      </c>
      <c r="AK226" s="2808">
        <v>2</v>
      </c>
      <c r="AL226" s="2808">
        <v>2</v>
      </c>
      <c r="AM226" s="2808">
        <v>2</v>
      </c>
      <c r="AN226" s="2808">
        <v>3</v>
      </c>
      <c r="AO226" s="2808">
        <v>3</v>
      </c>
      <c r="AP226" s="2807">
        <v>3</v>
      </c>
      <c r="AQ226" s="2807">
        <v>3</v>
      </c>
      <c r="AR226" s="2807">
        <v>3</v>
      </c>
      <c r="AS226" s="2807">
        <v>3</v>
      </c>
      <c r="AT226" s="2807">
        <v>3</v>
      </c>
      <c r="AU226" s="2807">
        <v>3</v>
      </c>
      <c r="AV226" s="2807">
        <v>3</v>
      </c>
      <c r="AW226" s="2807">
        <v>3</v>
      </c>
      <c r="AX226" s="2807">
        <v>3</v>
      </c>
      <c r="AY226" s="2807">
        <v>3</v>
      </c>
      <c r="AZ226" s="2807">
        <v>3</v>
      </c>
      <c r="BA226" s="2807">
        <v>3</v>
      </c>
      <c r="BB226" s="2807">
        <v>3</v>
      </c>
      <c r="BC226" s="2807"/>
      <c r="BD226" s="2807"/>
      <c r="BE226" s="2807"/>
      <c r="BF226" s="2807"/>
      <c r="BG226" s="2807"/>
      <c r="BH226" s="2807"/>
      <c r="BI226" s="2807"/>
      <c r="BJ226" s="2807"/>
      <c r="BK226" s="2807"/>
      <c r="BL226" s="2807"/>
      <c r="BM226" s="2807"/>
      <c r="BN226" s="2807"/>
      <c r="BO226" s="2807"/>
      <c r="BP226" s="2807"/>
      <c r="BQ226" s="2807"/>
      <c r="BR226" s="2807"/>
      <c r="BS226" s="2807"/>
      <c r="BT226" s="2807"/>
      <c r="BU226" s="2807"/>
      <c r="BV226" s="2802"/>
      <c r="BW226" s="2802"/>
      <c r="BX226" s="2802">
        <v>5</v>
      </c>
      <c r="BY226" s="2802"/>
      <c r="BZ226" s="2802"/>
      <c r="CA226" s="2802">
        <v>5</v>
      </c>
      <c r="CB226" s="2802"/>
      <c r="CC226" s="2802"/>
      <c r="CD226" s="2802"/>
      <c r="CE226" s="2802"/>
      <c r="CF226" s="2802"/>
      <c r="CG226" s="2802"/>
      <c r="CH226" s="2802"/>
      <c r="CI226" s="2802"/>
      <c r="CJ226" s="2802"/>
      <c r="CK226" s="2802"/>
      <c r="CL226" s="2802"/>
      <c r="CM226" s="2802"/>
      <c r="CN226" s="2809" t="s">
        <v>1904</v>
      </c>
      <c r="CO226" s="2809" t="s">
        <v>1921</v>
      </c>
      <c r="CP226" s="2730" t="str">
        <f t="shared" si="32"/>
        <v>LuchadorPsíquico</v>
      </c>
      <c r="CQ226" s="2810"/>
      <c r="CR226">
        <f t="shared" si="31"/>
        <v>18</v>
      </c>
    </row>
    <row r="227" spans="1:96" ht="12.75" customHeight="1">
      <c r="A227" s="219">
        <v>227</v>
      </c>
      <c r="B227" s="7145"/>
      <c r="C227" s="2800">
        <f>SUMIF(PDs!$AD$6:$AD$10,Tablas!D227,PDs!$AE$6:$AE$10)</f>
        <v>0</v>
      </c>
      <c r="D227" s="2801" t="s">
        <v>10158</v>
      </c>
      <c r="E227" s="2802">
        <v>5</v>
      </c>
      <c r="F227" s="2802">
        <v>10</v>
      </c>
      <c r="G227" s="2802">
        <v>20</v>
      </c>
      <c r="H227" s="2802">
        <v>20</v>
      </c>
      <c r="I227" s="2803">
        <v>0.5</v>
      </c>
      <c r="J227" s="2804">
        <v>0.5</v>
      </c>
      <c r="K227" s="2804">
        <v>0.5</v>
      </c>
      <c r="L227" s="2805">
        <v>1</v>
      </c>
      <c r="M227" s="2805">
        <v>5</v>
      </c>
      <c r="N227" s="2805">
        <v>5</v>
      </c>
      <c r="O227" s="2806">
        <v>5</v>
      </c>
      <c r="P227" s="2805"/>
      <c r="Q227" s="2805"/>
      <c r="R227" s="2807">
        <v>2</v>
      </c>
      <c r="S227" s="2807">
        <v>2</v>
      </c>
      <c r="T227" s="2807">
        <v>2</v>
      </c>
      <c r="U227" s="2807">
        <v>2</v>
      </c>
      <c r="V227" s="2807">
        <v>2</v>
      </c>
      <c r="W227" s="2807">
        <v>25</v>
      </c>
      <c r="X227" s="2807">
        <v>3</v>
      </c>
      <c r="Y227" s="2808">
        <v>70</v>
      </c>
      <c r="Z227" s="2808">
        <v>3</v>
      </c>
      <c r="AA227" s="2808">
        <v>3</v>
      </c>
      <c r="AB227" s="2808">
        <v>3</v>
      </c>
      <c r="AC227" s="2808">
        <v>3</v>
      </c>
      <c r="AD227" s="2808">
        <v>3</v>
      </c>
      <c r="AE227" s="2808">
        <v>15</v>
      </c>
      <c r="AF227" s="2808">
        <v>2</v>
      </c>
      <c r="AG227" s="2808">
        <v>2</v>
      </c>
      <c r="AH227" s="2808">
        <v>2</v>
      </c>
      <c r="AI227" s="2808">
        <v>2</v>
      </c>
      <c r="AJ227" s="2808">
        <v>2</v>
      </c>
      <c r="AK227" s="2808">
        <v>2</v>
      </c>
      <c r="AL227" s="2808">
        <v>2</v>
      </c>
      <c r="AM227" s="2808">
        <v>2</v>
      </c>
      <c r="AN227" s="2808">
        <v>3</v>
      </c>
      <c r="AO227" s="2808">
        <v>3</v>
      </c>
      <c r="AP227" s="2807">
        <v>3</v>
      </c>
      <c r="AQ227" s="2807">
        <v>3</v>
      </c>
      <c r="AR227" s="2807">
        <v>3</v>
      </c>
      <c r="AS227" s="2807">
        <v>3</v>
      </c>
      <c r="AT227" s="2807">
        <v>3</v>
      </c>
      <c r="AU227" s="2807">
        <v>3</v>
      </c>
      <c r="AV227" s="2807">
        <v>3</v>
      </c>
      <c r="AW227" s="2807">
        <v>3</v>
      </c>
      <c r="AX227" s="2807">
        <v>3</v>
      </c>
      <c r="AY227" s="2807">
        <v>3</v>
      </c>
      <c r="AZ227" s="2807">
        <v>3</v>
      </c>
      <c r="BA227" s="2807">
        <v>3</v>
      </c>
      <c r="BB227" s="2807">
        <v>3</v>
      </c>
      <c r="BC227" s="2807"/>
      <c r="BD227" s="2807"/>
      <c r="BE227" s="2807"/>
      <c r="BF227" s="2807"/>
      <c r="BG227" s="2807"/>
      <c r="BH227" s="2807"/>
      <c r="BI227" s="2807"/>
      <c r="BJ227" s="2807"/>
      <c r="BK227" s="2807"/>
      <c r="BL227" s="2807">
        <v>5</v>
      </c>
      <c r="BM227" s="2807"/>
      <c r="BN227" s="2807"/>
      <c r="BO227" s="2807"/>
      <c r="BP227" s="2807"/>
      <c r="BQ227" s="2807"/>
      <c r="BR227" s="2807"/>
      <c r="BS227" s="2807"/>
      <c r="BT227" s="2807"/>
      <c r="BU227" s="2807"/>
      <c r="BV227" s="2802"/>
      <c r="BW227" s="2802"/>
      <c r="BX227" s="2802"/>
      <c r="BY227" s="2802">
        <v>5</v>
      </c>
      <c r="BZ227" s="2802"/>
      <c r="CA227" s="2802"/>
      <c r="CB227" s="2802"/>
      <c r="CC227" s="2802"/>
      <c r="CD227" s="2802"/>
      <c r="CE227" s="2802"/>
      <c r="CF227" s="2802"/>
      <c r="CG227" s="2802"/>
      <c r="CH227" s="2802"/>
      <c r="CI227" s="2802"/>
      <c r="CJ227" s="2802"/>
      <c r="CK227" s="2802"/>
      <c r="CL227" s="2802"/>
      <c r="CM227" s="2802"/>
      <c r="CN227" s="2809" t="s">
        <v>1904</v>
      </c>
      <c r="CO227" s="2809" t="s">
        <v>1921</v>
      </c>
      <c r="CP227" s="2730" t="str">
        <f t="shared" si="32"/>
        <v>LuchadorPsíquico</v>
      </c>
      <c r="CQ227" s="2810"/>
      <c r="CR227">
        <f t="shared" si="31"/>
        <v>18</v>
      </c>
    </row>
    <row r="228" spans="1:96" ht="12.75" customHeight="1" thickBot="1">
      <c r="A228" s="219">
        <v>228</v>
      </c>
      <c r="B228" s="7145"/>
      <c r="C228" s="810">
        <f>SUMIF(PDs!$AD$6:$AD$10,Tablas!D228,PDs!$AE$6:$AE$10)</f>
        <v>0</v>
      </c>
      <c r="D228" s="812" t="s">
        <v>1398</v>
      </c>
      <c r="E228" s="194">
        <v>5</v>
      </c>
      <c r="F228" s="194">
        <v>5</v>
      </c>
      <c r="G228" s="194">
        <v>20</v>
      </c>
      <c r="H228" s="194">
        <v>20</v>
      </c>
      <c r="I228" s="558">
        <v>0.60000000000000009</v>
      </c>
      <c r="J228" s="203">
        <v>0.60000000000000009</v>
      </c>
      <c r="K228" s="203">
        <v>0.60000000000000009</v>
      </c>
      <c r="L228" s="204">
        <v>2</v>
      </c>
      <c r="M228" s="204"/>
      <c r="N228" s="204"/>
      <c r="O228" s="698"/>
      <c r="P228" s="204"/>
      <c r="Q228" s="204">
        <v>10</v>
      </c>
      <c r="R228" s="204">
        <v>2</v>
      </c>
      <c r="S228" s="204">
        <v>2</v>
      </c>
      <c r="T228" s="204">
        <v>2</v>
      </c>
      <c r="U228" s="204">
        <v>2</v>
      </c>
      <c r="V228" s="205">
        <v>2</v>
      </c>
      <c r="W228" s="205">
        <v>20</v>
      </c>
      <c r="X228" s="205">
        <v>2</v>
      </c>
      <c r="Y228" s="1128">
        <v>60</v>
      </c>
      <c r="Z228" s="1128">
        <v>2</v>
      </c>
      <c r="AA228" s="1128">
        <v>2</v>
      </c>
      <c r="AB228" s="1128">
        <v>2</v>
      </c>
      <c r="AC228" s="1128">
        <v>2</v>
      </c>
      <c r="AD228" s="1128">
        <v>2</v>
      </c>
      <c r="AE228" s="1128">
        <v>20</v>
      </c>
      <c r="AF228" s="1128">
        <v>2</v>
      </c>
      <c r="AG228" s="1128">
        <v>2</v>
      </c>
      <c r="AH228" s="1128">
        <v>2</v>
      </c>
      <c r="AI228" s="1128">
        <v>2</v>
      </c>
      <c r="AJ228" s="1128">
        <v>2</v>
      </c>
      <c r="AK228" s="1128">
        <v>2</v>
      </c>
      <c r="AL228" s="1128">
        <v>2</v>
      </c>
      <c r="AM228" s="1128">
        <v>2</v>
      </c>
      <c r="AN228" s="1128">
        <v>3</v>
      </c>
      <c r="AO228" s="1128">
        <v>3</v>
      </c>
      <c r="AP228" s="205">
        <v>3</v>
      </c>
      <c r="AQ228" s="205">
        <v>3</v>
      </c>
      <c r="AR228" s="205">
        <v>3</v>
      </c>
      <c r="AS228" s="205">
        <v>3</v>
      </c>
      <c r="AT228" s="205">
        <v>3</v>
      </c>
      <c r="AU228" s="205">
        <v>3</v>
      </c>
      <c r="AV228" s="205">
        <v>3</v>
      </c>
      <c r="AW228" s="205">
        <v>3</v>
      </c>
      <c r="AX228" s="205">
        <v>3</v>
      </c>
      <c r="AY228" s="205">
        <v>3</v>
      </c>
      <c r="AZ228" s="205">
        <v>3</v>
      </c>
      <c r="BA228" s="205">
        <v>3</v>
      </c>
      <c r="BB228" s="205">
        <v>3</v>
      </c>
      <c r="BC228" s="205"/>
      <c r="BD228" s="205"/>
      <c r="BE228" s="205"/>
      <c r="BF228" s="205"/>
      <c r="BG228" s="205"/>
      <c r="BH228" s="205"/>
      <c r="BI228" s="205"/>
      <c r="BJ228" s="205"/>
      <c r="BK228" s="205"/>
      <c r="BL228" s="205"/>
      <c r="BM228" s="205"/>
      <c r="BN228" s="205"/>
      <c r="BO228" s="205"/>
      <c r="BP228" s="205"/>
      <c r="BQ228" s="205"/>
      <c r="BR228" s="205"/>
      <c r="BS228" s="205"/>
      <c r="BT228" s="205"/>
      <c r="BU228" s="205"/>
      <c r="BV228" s="194"/>
      <c r="BW228" s="194"/>
      <c r="BX228" s="205"/>
      <c r="BY228" s="205"/>
      <c r="BZ228" s="194"/>
      <c r="CA228" s="194"/>
      <c r="CB228" s="194"/>
      <c r="CC228" s="194"/>
      <c r="CD228" s="194"/>
      <c r="CE228" s="194"/>
      <c r="CF228" s="194"/>
      <c r="CG228" s="194"/>
      <c r="CH228" s="194"/>
      <c r="CI228" s="194"/>
      <c r="CJ228" s="194"/>
      <c r="CK228" s="194"/>
      <c r="CL228" s="194"/>
      <c r="CM228" s="194"/>
      <c r="CN228" s="187" t="s">
        <v>1905</v>
      </c>
      <c r="CO228" s="187" t="s">
        <v>1905</v>
      </c>
      <c r="CP228" s="66" t="str">
        <f t="shared" si="32"/>
        <v>SinSin</v>
      </c>
      <c r="CQ228" s="67"/>
      <c r="CR228">
        <f t="shared" si="31"/>
        <v>5</v>
      </c>
    </row>
    <row r="229" spans="1:96" ht="12.75" customHeight="1" thickBot="1">
      <c r="A229" s="219">
        <v>229</v>
      </c>
      <c r="B229" s="7145"/>
      <c r="C229" s="88"/>
      <c r="D229" s="8126" t="s">
        <v>6880</v>
      </c>
      <c r="E229" s="197" t="str">
        <f>E201</f>
        <v>Turno</v>
      </c>
      <c r="F229" s="197" t="str">
        <f>F201</f>
        <v>PV</v>
      </c>
      <c r="G229" s="197" t="s">
        <v>1315</v>
      </c>
      <c r="H229" s="197" t="str">
        <f>H201</f>
        <v>Conocimiento Marcial</v>
      </c>
      <c r="I229" s="197" t="s">
        <v>1315</v>
      </c>
      <c r="J229" s="197" t="s">
        <v>1315</v>
      </c>
      <c r="K229" s="197" t="s">
        <v>1315</v>
      </c>
      <c r="L229" s="197" t="s">
        <v>1315</v>
      </c>
      <c r="M229" s="197" t="str">
        <f>M201</f>
        <v>H. Ataque</v>
      </c>
      <c r="N229" s="197" t="str">
        <f>N201</f>
        <v>H. Parada</v>
      </c>
      <c r="O229" s="197" t="str">
        <f>O201</f>
        <v>H. Esquiva</v>
      </c>
      <c r="P229" s="197" t="str">
        <f>P201</f>
        <v>Llevar Armadura</v>
      </c>
      <c r="Q229" s="197" t="str">
        <f>Q201</f>
        <v>Zeón</v>
      </c>
      <c r="R229" s="197" t="s">
        <v>1315</v>
      </c>
      <c r="S229" s="197" t="s">
        <v>1315</v>
      </c>
      <c r="T229" s="197" t="s">
        <v>1315</v>
      </c>
      <c r="U229" s="197" t="s">
        <v>1315</v>
      </c>
      <c r="V229" s="197" t="s">
        <v>1315</v>
      </c>
      <c r="W229" s="197" t="s">
        <v>1315</v>
      </c>
      <c r="X229" s="197" t="s">
        <v>1315</v>
      </c>
      <c r="Y229" s="541" t="s">
        <v>1315</v>
      </c>
      <c r="Z229" s="541" t="s">
        <v>1315</v>
      </c>
      <c r="AA229" s="541" t="s">
        <v>1315</v>
      </c>
      <c r="AB229" s="541" t="s">
        <v>1315</v>
      </c>
      <c r="AC229" s="541" t="s">
        <v>1315</v>
      </c>
      <c r="AD229" s="541" t="s">
        <v>1315</v>
      </c>
      <c r="AE229" s="541" t="s">
        <v>1315</v>
      </c>
      <c r="AF229" s="541" t="s">
        <v>1315</v>
      </c>
      <c r="AG229" s="541" t="s">
        <v>1315</v>
      </c>
      <c r="AH229" s="541" t="s">
        <v>1315</v>
      </c>
      <c r="AI229" s="541" t="s">
        <v>1315</v>
      </c>
      <c r="AJ229" s="541" t="s">
        <v>1315</v>
      </c>
      <c r="AK229" s="541" t="s">
        <v>1315</v>
      </c>
      <c r="AL229" s="541" t="s">
        <v>1315</v>
      </c>
      <c r="AM229" s="541" t="s">
        <v>1315</v>
      </c>
      <c r="AN229" s="541" t="s">
        <v>1315</v>
      </c>
      <c r="AO229" s="541" t="s">
        <v>1315</v>
      </c>
      <c r="AP229" s="197" t="s">
        <v>1315</v>
      </c>
      <c r="AQ229" s="197" t="s">
        <v>1315</v>
      </c>
      <c r="AR229" s="197" t="s">
        <v>1315</v>
      </c>
      <c r="AS229" s="197" t="s">
        <v>1315</v>
      </c>
      <c r="AT229" s="197" t="s">
        <v>1315</v>
      </c>
      <c r="AU229" s="197" t="s">
        <v>1315</v>
      </c>
      <c r="AV229" s="197" t="s">
        <v>1315</v>
      </c>
      <c r="AW229" s="197" t="s">
        <v>1315</v>
      </c>
      <c r="AX229" s="197" t="s">
        <v>1315</v>
      </c>
      <c r="AY229" s="197" t="s">
        <v>1315</v>
      </c>
      <c r="AZ229" s="197" t="s">
        <v>1315</v>
      </c>
      <c r="BA229" s="197" t="s">
        <v>1315</v>
      </c>
      <c r="BB229" s="197" t="s">
        <v>1315</v>
      </c>
      <c r="BC229" s="197" t="str">
        <f t="shared" ref="BC229:BV229" si="33">BC201</f>
        <v>P. Fuerza</v>
      </c>
      <c r="BD229" s="197" t="str">
        <f t="shared" si="33"/>
        <v>Acrobacias</v>
      </c>
      <c r="BE229" s="197" t="str">
        <f t="shared" si="33"/>
        <v>Saltar</v>
      </c>
      <c r="BF229" s="197" t="str">
        <f t="shared" si="33"/>
        <v>Atletismo</v>
      </c>
      <c r="BG229" s="197" t="str">
        <f t="shared" si="33"/>
        <v>T. Manos</v>
      </c>
      <c r="BH229" s="197" t="str">
        <f t="shared" si="33"/>
        <v>Estilo</v>
      </c>
      <c r="BI229" s="197" t="str">
        <f t="shared" si="33"/>
        <v>Liderazgo</v>
      </c>
      <c r="BJ229" s="197" t="str">
        <f t="shared" si="33"/>
        <v>Res. Dolor</v>
      </c>
      <c r="BK229" s="197" t="str">
        <f t="shared" si="33"/>
        <v>Intimidar</v>
      </c>
      <c r="BL229" s="197" t="str">
        <f t="shared" si="33"/>
        <v>Frialdad</v>
      </c>
      <c r="BM229" s="197" t="str">
        <f t="shared" si="33"/>
        <v>Persuasión</v>
      </c>
      <c r="BN229" s="197" t="str">
        <f t="shared" si="33"/>
        <v>Desconvocar</v>
      </c>
      <c r="BO229" s="197" t="str">
        <f t="shared" si="33"/>
        <v>Controlar</v>
      </c>
      <c r="BP229" s="197" t="str">
        <f t="shared" si="33"/>
        <v>Advertir</v>
      </c>
      <c r="BQ229" s="197" t="str">
        <f t="shared" si="33"/>
        <v>Buscar</v>
      </c>
      <c r="BR229" s="197" t="str">
        <f t="shared" si="33"/>
        <v>Rastrear</v>
      </c>
      <c r="BS229" s="197" t="str">
        <f t="shared" si="33"/>
        <v>Trampería</v>
      </c>
      <c r="BT229" s="197" t="str">
        <f t="shared" si="33"/>
        <v>Animales</v>
      </c>
      <c r="BU229" s="197" t="str">
        <f t="shared" si="33"/>
        <v>Herbolaria</v>
      </c>
      <c r="BV229" s="197" t="str">
        <f t="shared" si="33"/>
        <v>Ocultarse</v>
      </c>
      <c r="BW229" s="197" t="str">
        <f t="shared" ref="BW229" si="34">BW201</f>
        <v>Historia</v>
      </c>
      <c r="BX229" s="197" t="str">
        <f>BX201</f>
        <v>Ciencia</v>
      </c>
      <c r="BY229" s="197" t="str">
        <f>BY201</f>
        <v>Memorizar</v>
      </c>
      <c r="BZ229" s="197" t="str">
        <f>BZ201</f>
        <v>Cerrajería</v>
      </c>
      <c r="CA229" s="197" t="str">
        <f>CA201</f>
        <v>Investigación Psi</v>
      </c>
      <c r="CB229" s="197" t="str">
        <f t="shared" ref="CB229" si="35">CB201</f>
        <v>Táctica</v>
      </c>
      <c r="CC229" s="197" t="str">
        <f t="shared" ref="CC229:CH229" si="36">CC201</f>
        <v>Sigilo</v>
      </c>
      <c r="CD229" s="197" t="str">
        <f t="shared" si="36"/>
        <v>Robo</v>
      </c>
      <c r="CE229" s="197" t="str">
        <f t="shared" si="36"/>
        <v>Venenos</v>
      </c>
      <c r="CF229" s="197" t="str">
        <f t="shared" si="36"/>
        <v>Ocultismo</v>
      </c>
      <c r="CG229" s="197" t="str">
        <f t="shared" si="36"/>
        <v>V. Mágica</v>
      </c>
      <c r="CH229" s="197" t="str">
        <f t="shared" si="36"/>
        <v>Disfraz</v>
      </c>
      <c r="CI229" s="197" t="str">
        <f t="shared" ref="CI229" si="37">CI201</f>
        <v>Arte</v>
      </c>
      <c r="CJ229" s="197" t="str">
        <f>CJ201</f>
        <v>Convocar</v>
      </c>
      <c r="CK229" s="197" t="str">
        <f>CK201</f>
        <v>Atar</v>
      </c>
      <c r="CL229" s="197" t="str">
        <f>CL201</f>
        <v>Detección Ki</v>
      </c>
      <c r="CM229" s="197" t="str">
        <f>CM201</f>
        <v>Ocultación Ki</v>
      </c>
      <c r="CN229" s="88"/>
      <c r="CO229" s="88"/>
      <c r="CP229" s="88"/>
      <c r="CQ229" s="88"/>
    </row>
    <row r="230" spans="1:96" ht="12.75" customHeight="1">
      <c r="A230" s="219">
        <v>230</v>
      </c>
      <c r="B230" s="7145"/>
      <c r="D230" s="8127"/>
      <c r="E230" s="813">
        <f>SUMPRODUCT($C$202:$C$228,E$202:E$228)</f>
        <v>0</v>
      </c>
      <c r="F230" s="813">
        <f>SUMPRODUCT($C$202:$C$228,F$202:F$228)</f>
        <v>0</v>
      </c>
      <c r="G230" s="813" t="s">
        <v>1315</v>
      </c>
      <c r="H230" s="814">
        <f>SUMPRODUCT($C$202:$C$228,$H$202:$H$228)</f>
        <v>0</v>
      </c>
      <c r="I230" s="813" t="s">
        <v>1315</v>
      </c>
      <c r="J230" s="813" t="s">
        <v>1315</v>
      </c>
      <c r="K230" s="813" t="s">
        <v>1315</v>
      </c>
      <c r="L230" s="814" t="s">
        <v>1315</v>
      </c>
      <c r="M230" s="814">
        <f>MIN(50,SUMPRODUCT($C$202:$C$228,M$202:M$228))</f>
        <v>0</v>
      </c>
      <c r="N230" s="814">
        <f>MIN(50,SUMPRODUCT($C$202:$C$228,N$202:N$228))</f>
        <v>0</v>
      </c>
      <c r="O230" s="814">
        <f>MIN(50,SUMPRODUCT($C$202:$C$228,O$202:O$228))</f>
        <v>0</v>
      </c>
      <c r="P230" s="813">
        <f>SUMPRODUCT($C$202:$C$228,P$202:P$228)</f>
        <v>0</v>
      </c>
      <c r="Q230" s="813">
        <f>SUMPRODUCT($C$202:$C$228,Q$202:Q$228)</f>
        <v>0</v>
      </c>
      <c r="R230" s="813" t="s">
        <v>1315</v>
      </c>
      <c r="S230" s="813" t="s">
        <v>1315</v>
      </c>
      <c r="T230" s="813" t="s">
        <v>1315</v>
      </c>
      <c r="U230" s="813" t="s">
        <v>1315</v>
      </c>
      <c r="V230" s="813" t="s">
        <v>1315</v>
      </c>
      <c r="W230" s="813" t="s">
        <v>1315</v>
      </c>
      <c r="X230" s="813" t="s">
        <v>1315</v>
      </c>
      <c r="Y230" s="1129" t="s">
        <v>1315</v>
      </c>
      <c r="Z230" s="1129" t="s">
        <v>1315</v>
      </c>
      <c r="AA230" s="1129" t="s">
        <v>1315</v>
      </c>
      <c r="AB230" s="1129" t="s">
        <v>1315</v>
      </c>
      <c r="AC230" s="1129" t="s">
        <v>1315</v>
      </c>
      <c r="AD230" s="1129" t="s">
        <v>1315</v>
      </c>
      <c r="AE230" s="1129" t="s">
        <v>1315</v>
      </c>
      <c r="AF230" s="1129" t="s">
        <v>1315</v>
      </c>
      <c r="AG230" s="1129" t="s">
        <v>1315</v>
      </c>
      <c r="AH230" s="1129" t="s">
        <v>1315</v>
      </c>
      <c r="AI230" s="1129" t="s">
        <v>1315</v>
      </c>
      <c r="AJ230" s="1129" t="s">
        <v>1315</v>
      </c>
      <c r="AK230" s="1129" t="s">
        <v>1315</v>
      </c>
      <c r="AL230" s="1129" t="s">
        <v>1315</v>
      </c>
      <c r="AM230" s="1129" t="s">
        <v>1315</v>
      </c>
      <c r="AN230" s="1129" t="s">
        <v>1315</v>
      </c>
      <c r="AO230" s="1129" t="s">
        <v>1315</v>
      </c>
      <c r="AP230" s="813" t="s">
        <v>1315</v>
      </c>
      <c r="AQ230" s="813" t="s">
        <v>1315</v>
      </c>
      <c r="AR230" s="813" t="s">
        <v>1315</v>
      </c>
      <c r="AS230" s="813" t="s">
        <v>1315</v>
      </c>
      <c r="AT230" s="813" t="s">
        <v>1315</v>
      </c>
      <c r="AU230" s="813" t="s">
        <v>1315</v>
      </c>
      <c r="AV230" s="813" t="s">
        <v>1315</v>
      </c>
      <c r="AW230" s="813" t="s">
        <v>1315</v>
      </c>
      <c r="AX230" s="813" t="s">
        <v>1315</v>
      </c>
      <c r="AY230" s="813" t="s">
        <v>1315</v>
      </c>
      <c r="AZ230" s="813" t="s">
        <v>1315</v>
      </c>
      <c r="BA230" s="813" t="s">
        <v>1315</v>
      </c>
      <c r="BB230" s="813" t="s">
        <v>1315</v>
      </c>
      <c r="BC230" s="813">
        <f t="shared" ref="BC230:CM230" si="38">SUMPRODUCT($C$202:$C$228,BC$202:BC$228)</f>
        <v>0</v>
      </c>
      <c r="BD230" s="813">
        <f t="shared" si="38"/>
        <v>0</v>
      </c>
      <c r="BE230" s="813">
        <f t="shared" si="38"/>
        <v>0</v>
      </c>
      <c r="BF230" s="813">
        <f t="shared" si="38"/>
        <v>0</v>
      </c>
      <c r="BG230" s="813">
        <f t="shared" si="38"/>
        <v>0</v>
      </c>
      <c r="BH230" s="813">
        <f t="shared" si="38"/>
        <v>0</v>
      </c>
      <c r="BI230" s="813">
        <f t="shared" si="38"/>
        <v>0</v>
      </c>
      <c r="BJ230" s="813">
        <f t="shared" si="38"/>
        <v>0</v>
      </c>
      <c r="BK230" s="813">
        <f t="shared" si="38"/>
        <v>0</v>
      </c>
      <c r="BL230" s="813">
        <f t="shared" si="38"/>
        <v>0</v>
      </c>
      <c r="BM230" s="813">
        <f t="shared" si="38"/>
        <v>0</v>
      </c>
      <c r="BN230" s="813">
        <f t="shared" si="38"/>
        <v>0</v>
      </c>
      <c r="BO230" s="813">
        <f t="shared" si="38"/>
        <v>0</v>
      </c>
      <c r="BP230" s="813">
        <f t="shared" si="38"/>
        <v>0</v>
      </c>
      <c r="BQ230" s="813">
        <f t="shared" si="38"/>
        <v>0</v>
      </c>
      <c r="BR230" s="813">
        <f t="shared" si="38"/>
        <v>0</v>
      </c>
      <c r="BS230" s="813">
        <f t="shared" si="38"/>
        <v>0</v>
      </c>
      <c r="BT230" s="813">
        <f t="shared" si="38"/>
        <v>0</v>
      </c>
      <c r="BU230" s="813">
        <f t="shared" si="38"/>
        <v>0</v>
      </c>
      <c r="BV230" s="813">
        <f t="shared" si="38"/>
        <v>0</v>
      </c>
      <c r="BW230" s="813">
        <f t="shared" si="38"/>
        <v>0</v>
      </c>
      <c r="BX230" s="813">
        <f t="shared" si="38"/>
        <v>0</v>
      </c>
      <c r="BY230" s="813">
        <f t="shared" si="38"/>
        <v>0</v>
      </c>
      <c r="BZ230" s="813">
        <f t="shared" si="38"/>
        <v>0</v>
      </c>
      <c r="CA230" s="813">
        <f t="shared" si="38"/>
        <v>0</v>
      </c>
      <c r="CB230" s="813">
        <f t="shared" si="38"/>
        <v>0</v>
      </c>
      <c r="CC230" s="813">
        <f t="shared" si="38"/>
        <v>0</v>
      </c>
      <c r="CD230" s="813">
        <f t="shared" si="38"/>
        <v>0</v>
      </c>
      <c r="CE230" s="813">
        <f t="shared" si="38"/>
        <v>0</v>
      </c>
      <c r="CF230" s="813">
        <f t="shared" si="38"/>
        <v>0</v>
      </c>
      <c r="CG230" s="813">
        <f t="shared" si="38"/>
        <v>0</v>
      </c>
      <c r="CH230" s="813">
        <f t="shared" si="38"/>
        <v>0</v>
      </c>
      <c r="CI230" s="813">
        <f t="shared" si="38"/>
        <v>0</v>
      </c>
      <c r="CJ230" s="813">
        <f t="shared" si="38"/>
        <v>0</v>
      </c>
      <c r="CK230" s="813">
        <f t="shared" si="38"/>
        <v>0</v>
      </c>
      <c r="CL230" s="813">
        <f t="shared" si="38"/>
        <v>0</v>
      </c>
      <c r="CM230" s="815">
        <f t="shared" si="38"/>
        <v>0</v>
      </c>
    </row>
    <row r="231" spans="1:96" ht="12.75" customHeight="1">
      <c r="A231" s="219">
        <v>231</v>
      </c>
      <c r="B231" s="7145"/>
    </row>
    <row r="232" spans="1:96" ht="12.75" customHeight="1" thickBot="1">
      <c r="A232" s="219">
        <v>232</v>
      </c>
      <c r="B232" s="7145"/>
    </row>
    <row r="233" spans="1:96" ht="12.75" customHeight="1">
      <c r="A233" s="219">
        <v>233</v>
      </c>
      <c r="B233" s="7145"/>
      <c r="C233" s="8176" t="s">
        <v>6888</v>
      </c>
      <c r="D233" s="8176"/>
      <c r="E233" s="8176"/>
      <c r="F233" s="8176"/>
      <c r="G233" s="8176"/>
      <c r="H233" s="8176"/>
      <c r="I233" s="8176"/>
      <c r="J233" s="8176"/>
      <c r="K233" s="8176"/>
      <c r="L233" s="8176"/>
      <c r="M233" s="8176"/>
      <c r="N233" s="8176"/>
      <c r="O233" s="8176"/>
      <c r="P233" s="8176"/>
      <c r="Q233" s="8176"/>
      <c r="R233" s="8176"/>
      <c r="S233" s="8176"/>
      <c r="T233" s="8176"/>
      <c r="U233" s="8176"/>
      <c r="V233" s="8176"/>
      <c r="W233" s="8176"/>
      <c r="X233" s="8176"/>
      <c r="Y233" s="8176"/>
      <c r="Z233" s="8176"/>
      <c r="AB233" s="7990" t="s">
        <v>2099</v>
      </c>
      <c r="AC233" s="7991"/>
      <c r="AD233" s="7991"/>
      <c r="AE233" s="7991"/>
      <c r="AF233" s="7991"/>
      <c r="AG233" s="7991"/>
      <c r="AH233" s="7991"/>
      <c r="AI233" s="7992"/>
      <c r="AJ233"/>
    </row>
    <row r="234" spans="1:96" ht="12.75" customHeight="1">
      <c r="A234" s="219">
        <v>234</v>
      </c>
      <c r="B234" s="7145"/>
      <c r="C234" s="8176"/>
      <c r="D234" s="8176"/>
      <c r="E234" s="8176"/>
      <c r="F234" s="8176"/>
      <c r="G234" s="8176"/>
      <c r="H234" s="8176"/>
      <c r="I234" s="8176"/>
      <c r="J234" s="8176"/>
      <c r="K234" s="8176"/>
      <c r="L234" s="8176"/>
      <c r="M234" s="8176"/>
      <c r="N234" s="8176"/>
      <c r="O234" s="8176"/>
      <c r="P234" s="8176"/>
      <c r="Q234" s="8176"/>
      <c r="R234" s="8176"/>
      <c r="S234" s="8176"/>
      <c r="T234" s="8176"/>
      <c r="U234" s="8176"/>
      <c r="V234" s="8176"/>
      <c r="W234" s="8176"/>
      <c r="X234" s="8176"/>
      <c r="Y234" s="8176"/>
      <c r="Z234" s="8176"/>
      <c r="AB234" s="7993"/>
      <c r="AC234" s="7994"/>
      <c r="AD234" s="7994"/>
      <c r="AE234" s="7994"/>
      <c r="AF234" s="7994"/>
      <c r="AG234" s="7994"/>
      <c r="AH234" s="7994"/>
      <c r="AI234" s="7995"/>
      <c r="AJ234"/>
    </row>
    <row r="235" spans="1:96" ht="12.75" customHeight="1" thickBot="1">
      <c r="A235" s="219">
        <v>235</v>
      </c>
      <c r="B235" s="7145"/>
      <c r="C235" s="8176"/>
      <c r="D235" s="8176"/>
      <c r="E235" s="8176"/>
      <c r="F235" s="8176"/>
      <c r="G235" s="8176"/>
      <c r="H235" s="8176"/>
      <c r="I235" s="8176"/>
      <c r="J235" s="8176"/>
      <c r="K235" s="8176"/>
      <c r="L235" s="8176"/>
      <c r="M235" s="8176"/>
      <c r="N235" s="8176"/>
      <c r="O235" s="8176"/>
      <c r="P235" s="8176"/>
      <c r="Q235" s="8176"/>
      <c r="R235" s="8176"/>
      <c r="S235" s="8176"/>
      <c r="T235" s="8176"/>
      <c r="U235" s="8176"/>
      <c r="V235" s="8176"/>
      <c r="W235" s="8176"/>
      <c r="X235" s="8176"/>
      <c r="Y235" s="8176"/>
      <c r="Z235" s="8176"/>
      <c r="AB235" s="3271" t="s">
        <v>5966</v>
      </c>
      <c r="AC235" s="3272"/>
      <c r="AD235" s="3254" t="s">
        <v>1300</v>
      </c>
      <c r="AE235" s="3254" t="s">
        <v>1349</v>
      </c>
      <c r="AF235" s="3254" t="s">
        <v>2097</v>
      </c>
      <c r="AG235" s="3254" t="s">
        <v>2098</v>
      </c>
      <c r="AH235" s="3256" t="s">
        <v>1757</v>
      </c>
      <c r="AI235" s="3255" t="s">
        <v>1258</v>
      </c>
      <c r="AJ235"/>
    </row>
    <row r="236" spans="1:96" ht="12.75" customHeight="1" thickBot="1">
      <c r="A236" s="219">
        <v>236</v>
      </c>
      <c r="B236" s="7145"/>
      <c r="H236"/>
      <c r="I236" s="510"/>
      <c r="N236"/>
      <c r="O236" s="510"/>
      <c r="AB236" s="3261" t="str">
        <f>"Tablas!"&amp;ADDRESS(ROW(AB237),COLUMN(AB237))&amp;":"&amp;ADDRESS(ROW(AB237)+MAX(AC236:AC384),COLUMN(AB237))</f>
        <v>Tablas!$AB$237:$AB$377</v>
      </c>
      <c r="AC236" s="3188">
        <v>0</v>
      </c>
      <c r="AD236" s="2731" t="s">
        <v>9553</v>
      </c>
      <c r="AE236" s="3189"/>
      <c r="AF236" s="3189"/>
      <c r="AG236" s="3190"/>
      <c r="AH236" s="3215"/>
      <c r="AI236" s="3194"/>
      <c r="AJ236"/>
    </row>
    <row r="237" spans="1:96" ht="12.75" customHeight="1">
      <c r="A237" s="219">
        <v>237</v>
      </c>
      <c r="B237" s="7145"/>
      <c r="C237" s="8131" t="s">
        <v>2095</v>
      </c>
      <c r="D237" s="8132"/>
      <c r="E237" s="8132"/>
      <c r="F237" s="8132"/>
      <c r="G237" s="8133"/>
      <c r="I237" s="510"/>
      <c r="L237" s="7834" t="s">
        <v>2343</v>
      </c>
      <c r="M237" s="7835"/>
      <c r="N237" s="7835"/>
      <c r="O237" s="7835"/>
      <c r="P237" s="7835"/>
      <c r="Q237" s="7835"/>
      <c r="R237" s="7835"/>
      <c r="S237" s="7835"/>
      <c r="T237" s="7836"/>
      <c r="V237" s="7934" t="s">
        <v>12325</v>
      </c>
      <c r="W237" s="7934"/>
      <c r="X237" s="7934"/>
      <c r="Y237" s="7934"/>
      <c r="AB237" s="3187" t="str">
        <f>AD236</f>
        <v xml:space="preserve"> &gt; VENTAJAS COMUNES</v>
      </c>
      <c r="AC237" s="3188">
        <f t="shared" ref="AC237:AC268" si="39">COUNTIF($AD$236:$AD$379,"&lt;="&amp;AD237)-COUNTIF($AD$236:$AD$379,"*&gt;*")</f>
        <v>100</v>
      </c>
      <c r="AD237" s="2731" t="s">
        <v>2100</v>
      </c>
      <c r="AE237" s="3189">
        <v>1</v>
      </c>
      <c r="AF237" s="3189">
        <f>COUNTIF(Principal!$C$35:$J$47,AD237)+COUNTIF(Principal!$C$48:$F$49,AD237)</f>
        <v>0</v>
      </c>
      <c r="AG237" s="3190">
        <f>AF237*AE237</f>
        <v>0</v>
      </c>
      <c r="AH237" s="3215"/>
      <c r="AI237" s="3194" t="s">
        <v>2649</v>
      </c>
      <c r="AJ237"/>
    </row>
    <row r="238" spans="1:96" ht="12.75" customHeight="1">
      <c r="A238" s="219">
        <v>238</v>
      </c>
      <c r="B238" s="7145"/>
      <c r="C238" s="780" t="s">
        <v>1209</v>
      </c>
      <c r="D238" s="2159" t="s">
        <v>2649</v>
      </c>
      <c r="E238" s="2159" t="s">
        <v>6165</v>
      </c>
      <c r="F238" s="2159" t="s">
        <v>6164</v>
      </c>
      <c r="G238" s="781" t="s">
        <v>6734</v>
      </c>
      <c r="I238" s="510"/>
      <c r="L238" s="8082"/>
      <c r="M238" s="8083"/>
      <c r="N238" s="8083"/>
      <c r="O238" s="8083"/>
      <c r="P238" s="8083"/>
      <c r="Q238" s="8083"/>
      <c r="R238" s="8083"/>
      <c r="S238" s="8083"/>
      <c r="T238" s="8084"/>
      <c r="V238" s="7934"/>
      <c r="W238" s="7934"/>
      <c r="X238" s="7934"/>
      <c r="Y238" s="7934"/>
      <c r="AB238" s="3187" t="str">
        <f t="shared" ref="AB238:AB269" si="40">VLOOKUP(A1,$AC$237:$AD$384,2,0)</f>
        <v>+1 a característica: AGI</v>
      </c>
      <c r="AC238" s="3188">
        <f t="shared" si="39"/>
        <v>1</v>
      </c>
      <c r="AD238" s="3195" t="s">
        <v>9545</v>
      </c>
      <c r="AE238" s="3189">
        <v>1</v>
      </c>
      <c r="AF238" s="3189">
        <f>COUNTIF(Principal!$C$35:$J$47,AD238)+COUNTIF(Principal!$C$48:$F$49,AD238)</f>
        <v>0</v>
      </c>
      <c r="AG238" s="3190">
        <f t="shared" ref="AG238:AG301" si="41">AF238*AE238</f>
        <v>0</v>
      </c>
      <c r="AH238" s="3215"/>
      <c r="AI238" s="3194" t="s">
        <v>2649</v>
      </c>
      <c r="AJ238"/>
    </row>
    <row r="239" spans="1:96" ht="12.75" customHeight="1" thickBot="1">
      <c r="A239" s="219">
        <v>239</v>
      </c>
      <c r="B239" s="7145"/>
      <c r="C239" s="783">
        <f>D239+E239+F239+G239</f>
        <v>0</v>
      </c>
      <c r="D239" s="784">
        <f>SUM(AG237:AG384)+SUM(AG508:AG551)+SUM(AG580:AG583)</f>
        <v>0</v>
      </c>
      <c r="E239" s="784">
        <f>E241+F241</f>
        <v>0</v>
      </c>
      <c r="F239" s="784">
        <f>SUM(AG485:AG506)+SUM(AG572:AG578)</f>
        <v>0</v>
      </c>
      <c r="G239" s="785">
        <f>Q293</f>
        <v>0</v>
      </c>
      <c r="I239" s="510"/>
      <c r="L239" s="1057"/>
      <c r="M239" s="171"/>
      <c r="N239" s="171" t="s">
        <v>1300</v>
      </c>
      <c r="O239" s="171" t="s">
        <v>1349</v>
      </c>
      <c r="P239" s="171" t="s">
        <v>2097</v>
      </c>
      <c r="Q239" s="171" t="s">
        <v>2098</v>
      </c>
      <c r="R239" s="8069" t="s">
        <v>1408</v>
      </c>
      <c r="S239" s="8128"/>
      <c r="T239" s="1058" t="s">
        <v>7938</v>
      </c>
      <c r="V239" s="3936" t="s">
        <v>1300</v>
      </c>
      <c r="W239" s="3936" t="s">
        <v>11842</v>
      </c>
      <c r="X239" s="3936" t="s">
        <v>11850</v>
      </c>
      <c r="Y239" s="3937" t="s">
        <v>11858</v>
      </c>
      <c r="AB239" s="3187" t="str">
        <f t="shared" si="40"/>
        <v>+1 a característica: CON</v>
      </c>
      <c r="AC239" s="3188">
        <f t="shared" si="39"/>
        <v>2</v>
      </c>
      <c r="AD239" s="3195" t="s">
        <v>9546</v>
      </c>
      <c r="AE239" s="3189">
        <v>1</v>
      </c>
      <c r="AF239" s="3189">
        <f>COUNTIF(Principal!$C$35:$J$47,AD239)+COUNTIF(Principal!$C$48:$F$49,AD239)</f>
        <v>0</v>
      </c>
      <c r="AG239" s="3190">
        <f t="shared" si="41"/>
        <v>0</v>
      </c>
      <c r="AH239" s="3215"/>
      <c r="AI239" s="3194" t="s">
        <v>2649</v>
      </c>
      <c r="AJ239"/>
    </row>
    <row r="240" spans="1:96" ht="12.75" customHeight="1" thickBot="1">
      <c r="A240" s="219">
        <v>240</v>
      </c>
      <c r="B240" s="7145"/>
      <c r="E240" s="778" t="s">
        <v>2113</v>
      </c>
      <c r="F240" s="779" t="s">
        <v>6163</v>
      </c>
      <c r="H240"/>
      <c r="L240" s="515" t="str">
        <f>N240</f>
        <v>&gt; LEGADOS DE SANGRE</v>
      </c>
      <c r="M240" s="787">
        <f>COUNTIF($N$241:$N$288,"&lt;="&amp;N240)</f>
        <v>0</v>
      </c>
      <c r="N240" s="47" t="s">
        <v>2344</v>
      </c>
      <c r="O240" s="1675"/>
      <c r="P240" s="1670"/>
      <c r="Q240" s="1686"/>
      <c r="R240" s="707"/>
      <c r="S240" s="1047"/>
      <c r="T240" s="1911"/>
      <c r="V240" s="47"/>
      <c r="W240" s="304" t="str">
        <f>IF(V240&lt;&gt;"-","Afinidad elemental","")</f>
        <v>Afinidad elemental</v>
      </c>
      <c r="X240" s="304" t="str">
        <f>IF(V240&lt;&gt;"-","Empatía hacia un concepto","")</f>
        <v>Empatía hacia un concepto</v>
      </c>
      <c r="Y240" s="699" t="str">
        <f>IF(V240&lt;&gt;"-","Control elemental","")</f>
        <v>Control elemental</v>
      </c>
      <c r="AB240" s="3187" t="str">
        <f t="shared" si="40"/>
        <v>+1 a característica: DES</v>
      </c>
      <c r="AC240" s="3188">
        <f t="shared" si="39"/>
        <v>3</v>
      </c>
      <c r="AD240" s="3195" t="s">
        <v>9547</v>
      </c>
      <c r="AE240" s="3189">
        <v>1</v>
      </c>
      <c r="AF240" s="3189">
        <f>COUNTIF(Principal!$C$35:$J$47,AD240)+COUNTIF(Principal!$C$48:$F$49,AD240)</f>
        <v>0</v>
      </c>
      <c r="AG240" s="3190">
        <f t="shared" si="41"/>
        <v>0</v>
      </c>
      <c r="AH240" s="3215"/>
      <c r="AI240" s="3194" t="s">
        <v>2649</v>
      </c>
      <c r="AJ240"/>
    </row>
    <row r="241" spans="1:36" ht="12.75" customHeight="1" thickBot="1">
      <c r="A241" s="219">
        <v>241</v>
      </c>
      <c r="B241" s="7145"/>
      <c r="E241" s="782">
        <f>SUM(AG386:AG436)+SUM(AG553:AG563)</f>
        <v>0</v>
      </c>
      <c r="F241" s="782">
        <f>SUM(AG438:AG483)+SUM(AG565:AG570)</f>
        <v>0</v>
      </c>
      <c r="H241"/>
      <c r="L241" s="515" t="str">
        <f>VLOOKUP(A1,$M$240:$N$288,2,0)</f>
        <v>Armas Naturales (1)</v>
      </c>
      <c r="M241" s="787">
        <f>COUNTIF($N$241:$N$288,"&lt;="&amp;N241)</f>
        <v>22</v>
      </c>
      <c r="N241" s="47" t="s">
        <v>12458</v>
      </c>
      <c r="O241" s="1675">
        <f>1+IF(Principal!$Y$24="No",1,0)</f>
        <v>1</v>
      </c>
      <c r="P241" s="1670">
        <f>COUNTIF(Principal!$C$35:$J$47,Tablas!N241)</f>
        <v>0</v>
      </c>
      <c r="Q241" s="1669">
        <f t="shared" ref="Q241" si="42">P241*O241</f>
        <v>0</v>
      </c>
      <c r="R241" s="1908" t="s">
        <v>12474</v>
      </c>
      <c r="S241" s="1047"/>
      <c r="T241" s="1912" t="str">
        <f t="shared" ref="T241:T248" si="43">IF(P241=0,"",R241)</f>
        <v/>
      </c>
      <c r="V241" s="47" t="str" cm="1">
        <f t="array" ref="V241:V255">IFERROR(VLOOKUP($N$241:$N$255,Principal!G42:J48,1,0),"-")</f>
        <v>-</v>
      </c>
      <c r="W241" s="304" t="str">
        <f>IF(V241&lt;&gt;"-","Ojos de fuego","")</f>
        <v/>
      </c>
      <c r="X241" s="304" t="str">
        <f>IF(V241&lt;&gt;"-","Extensión flamígera","")</f>
        <v/>
      </c>
      <c r="Y241" s="699" t="str">
        <f>IF(V241&lt;&gt;"-","Quemar","")</f>
        <v/>
      </c>
      <c r="AB241" s="3187" t="str">
        <f t="shared" si="40"/>
        <v>+1 a característica: FUE</v>
      </c>
      <c r="AC241" s="3188">
        <f t="shared" si="39"/>
        <v>4</v>
      </c>
      <c r="AD241" s="3195" t="s">
        <v>9548</v>
      </c>
      <c r="AE241" s="3189">
        <v>1</v>
      </c>
      <c r="AF241" s="3189">
        <f>COUNTIF(Principal!$C$35:$J$47,AD241)+COUNTIF(Principal!$C$48:$F$49,AD241)</f>
        <v>0</v>
      </c>
      <c r="AG241" s="3190">
        <f t="shared" si="41"/>
        <v>0</v>
      </c>
      <c r="AH241" s="3215"/>
      <c r="AI241" s="3194" t="s">
        <v>2649</v>
      </c>
      <c r="AJ241"/>
    </row>
    <row r="242" spans="1:36" ht="12.75" customHeight="1" thickBot="1">
      <c r="A242" s="219">
        <v>242</v>
      </c>
      <c r="B242" s="7145"/>
      <c r="H242"/>
      <c r="L242" s="515" t="str">
        <f t="shared" ref="L242:L288" si="44">VLOOKUP(A2,$M$240:$N$288,2,0)</f>
        <v>Armas Naturales (2)</v>
      </c>
      <c r="M242" s="787">
        <f t="shared" ref="M242:M288" si="45">COUNTIF($N$241:$N$288,"&lt;="&amp;N242)</f>
        <v>23</v>
      </c>
      <c r="N242" s="47" t="s">
        <v>12459</v>
      </c>
      <c r="O242" s="1675">
        <v>2</v>
      </c>
      <c r="P242" s="1670">
        <f>COUNTIF(Principal!$C$35:$J$47,Tablas!N242)</f>
        <v>0</v>
      </c>
      <c r="Q242" s="1669">
        <f t="shared" ref="Q242:Q248" si="46">P242*O242</f>
        <v>0</v>
      </c>
      <c r="R242" s="1908" t="s">
        <v>12475</v>
      </c>
      <c r="S242" s="1047"/>
      <c r="T242" s="1912" t="str">
        <f t="shared" si="43"/>
        <v/>
      </c>
      <c r="V242" s="47" t="str">
        <v>-</v>
      </c>
      <c r="W242" s="304" t="str">
        <f>IF(V242&lt;&gt;"-","Jinete de los vientos","")</f>
        <v/>
      </c>
      <c r="X242" s="304" t="str">
        <f>IF(V242&lt;&gt;"-","Percepción estival","")</f>
        <v/>
      </c>
      <c r="Y242" s="699" t="str">
        <f>IF(V242&lt;&gt;"-","Celeridad","")</f>
        <v/>
      </c>
      <c r="AB242" s="3187" t="str">
        <f t="shared" si="40"/>
        <v>+1 a característica: INT</v>
      </c>
      <c r="AC242" s="3188">
        <f t="shared" si="39"/>
        <v>5</v>
      </c>
      <c r="AD242" s="3195" t="s">
        <v>9549</v>
      </c>
      <c r="AE242" s="3189">
        <v>1</v>
      </c>
      <c r="AF242" s="3189">
        <f>COUNTIF(Principal!$C$35:$J$47,AD242)+COUNTIF(Principal!$C$48:$F$49,AD242)</f>
        <v>0</v>
      </c>
      <c r="AG242" s="3190">
        <f t="shared" si="41"/>
        <v>0</v>
      </c>
      <c r="AH242" s="3215"/>
      <c r="AI242" s="3194" t="s">
        <v>2649</v>
      </c>
      <c r="AJ242"/>
    </row>
    <row r="243" spans="1:36" ht="12.75" customHeight="1">
      <c r="A243" s="219">
        <v>243</v>
      </c>
      <c r="B243" s="7145"/>
      <c r="C243" s="7834" t="s">
        <v>2096</v>
      </c>
      <c r="D243" s="7835"/>
      <c r="E243" s="7835"/>
      <c r="F243" s="7835"/>
      <c r="G243" s="7835"/>
      <c r="H243" s="7836"/>
      <c r="L243" s="515" t="str">
        <f t="shared" si="44"/>
        <v>Devorador de Existencia</v>
      </c>
      <c r="M243" s="787">
        <f t="shared" si="45"/>
        <v>20</v>
      </c>
      <c r="N243" s="47" t="s">
        <v>12467</v>
      </c>
      <c r="O243" s="1675">
        <f>1+IF(Principal!$Y$24="No",1,0)</f>
        <v>1</v>
      </c>
      <c r="P243" s="1670">
        <f>COUNTIF(Principal!$C$35:$J$47,Tablas!N243)</f>
        <v>0</v>
      </c>
      <c r="Q243" s="1669">
        <f t="shared" si="46"/>
        <v>0</v>
      </c>
      <c r="R243" s="1908" t="s">
        <v>12474</v>
      </c>
      <c r="S243" s="1047"/>
      <c r="T243" s="1912" t="str">
        <f t="shared" si="43"/>
        <v/>
      </c>
      <c r="V243" s="47" t="str">
        <v>-</v>
      </c>
      <c r="W243" s="304" t="str">
        <f>IF(V243&lt;&gt;"-","Cuerpo helado","")</f>
        <v/>
      </c>
      <c r="X243" s="304" t="str">
        <f>IF(V243&lt;&gt;"-","Sentir alteraciones ambientales","")</f>
        <v/>
      </c>
      <c r="Y243" s="699" t="str">
        <f>IF(V243&lt;&gt;"-","Égida cristalizada","")</f>
        <v/>
      </c>
      <c r="AB243" s="3187" t="str">
        <f t="shared" si="40"/>
        <v>+1 a característica: PER</v>
      </c>
      <c r="AC243" s="3188">
        <f t="shared" si="39"/>
        <v>6</v>
      </c>
      <c r="AD243" s="3195" t="s">
        <v>9550</v>
      </c>
      <c r="AE243" s="3189">
        <v>1</v>
      </c>
      <c r="AF243" s="3189">
        <f>COUNTIF(Principal!$C$35:$J$47,AD243)+COUNTIF(Principal!$C$48:$F$49,AD243)</f>
        <v>0</v>
      </c>
      <c r="AG243" s="3190">
        <f t="shared" si="41"/>
        <v>0</v>
      </c>
      <c r="AH243" s="3215"/>
      <c r="AI243" s="3194" t="s">
        <v>2649</v>
      </c>
      <c r="AJ243"/>
    </row>
    <row r="244" spans="1:36" ht="12.75" customHeight="1">
      <c r="A244" s="219">
        <v>244</v>
      </c>
      <c r="B244" s="7145"/>
      <c r="C244" s="8082"/>
      <c r="D244" s="8083"/>
      <c r="E244" s="8083"/>
      <c r="F244" s="8083"/>
      <c r="G244" s="8083"/>
      <c r="H244" s="8084"/>
      <c r="L244" s="515" t="str">
        <f t="shared" si="44"/>
        <v>Esencia Venenosa</v>
      </c>
      <c r="M244" s="787">
        <f t="shared" si="45"/>
        <v>21</v>
      </c>
      <c r="N244" s="47" t="s">
        <v>12466</v>
      </c>
      <c r="O244" s="1675">
        <v>2</v>
      </c>
      <c r="P244" s="1670">
        <f>COUNTIF(Principal!$C$35:$J$47,Tablas!N244)</f>
        <v>0</v>
      </c>
      <c r="Q244" s="1669">
        <f t="shared" si="46"/>
        <v>0</v>
      </c>
      <c r="R244" s="1908" t="s">
        <v>12475</v>
      </c>
      <c r="S244" s="1047"/>
      <c r="T244" s="1912" t="str">
        <f t="shared" si="43"/>
        <v/>
      </c>
      <c r="V244" s="47" t="str">
        <v>-</v>
      </c>
      <c r="W244" s="304" t="str">
        <f>IF(V244&lt;&gt;"-","Lazo con las tormentas","")</f>
        <v/>
      </c>
      <c r="X244" s="304" t="str">
        <f>IF(V244&lt;&gt;"-","Retroalimentación","")</f>
        <v/>
      </c>
      <c r="Y244" s="699" t="str">
        <f>IF(V244&lt;&gt;"-","Estática","")</f>
        <v/>
      </c>
      <c r="AB244" s="3187" t="str">
        <f t="shared" si="40"/>
        <v>+1 a característica: POD</v>
      </c>
      <c r="AC244" s="3188">
        <f t="shared" si="39"/>
        <v>7</v>
      </c>
      <c r="AD244" s="3195" t="s">
        <v>9551</v>
      </c>
      <c r="AE244" s="3189">
        <v>1</v>
      </c>
      <c r="AF244" s="3189">
        <f>COUNTIF(Principal!$C$35:$J$47,AD244)+COUNTIF(Principal!$C$48:$F$49,AD244)</f>
        <v>0</v>
      </c>
      <c r="AG244" s="3190">
        <f t="shared" si="41"/>
        <v>0</v>
      </c>
      <c r="AH244" s="3215"/>
      <c r="AI244" s="3194" t="s">
        <v>2649</v>
      </c>
      <c r="AJ244"/>
    </row>
    <row r="245" spans="1:36" ht="12.75" customHeight="1">
      <c r="A245" s="219">
        <v>245</v>
      </c>
      <c r="B245" s="7145"/>
      <c r="C245" s="2155"/>
      <c r="D245" s="2156"/>
      <c r="E245" s="206" t="s">
        <v>1300</v>
      </c>
      <c r="F245" s="206" t="s">
        <v>859</v>
      </c>
      <c r="G245" s="206" t="s">
        <v>1004</v>
      </c>
      <c r="H245" s="568" t="s">
        <v>1757</v>
      </c>
      <c r="L245" s="515" t="str">
        <f t="shared" si="44"/>
        <v>La Sangre de Orochi</v>
      </c>
      <c r="M245" s="787">
        <f t="shared" si="45"/>
        <v>24</v>
      </c>
      <c r="N245" s="47" t="s">
        <v>12468</v>
      </c>
      <c r="O245" s="1675">
        <f>1+IF(Principal!$Y$24="No",1,0)</f>
        <v>1</v>
      </c>
      <c r="P245" s="1670">
        <f>COUNTIF(Principal!$C$35:$J$47,Tablas!N245)</f>
        <v>0</v>
      </c>
      <c r="Q245" s="1669">
        <f t="shared" si="46"/>
        <v>0</v>
      </c>
      <c r="R245" s="1908" t="s">
        <v>12474</v>
      </c>
      <c r="S245" s="1047"/>
      <c r="T245" s="1912" t="str">
        <f t="shared" si="43"/>
        <v/>
      </c>
      <c r="V245" s="47" t="str">
        <v>-</v>
      </c>
      <c r="W245" s="304" t="str">
        <f>IF(V245&lt;&gt;"-","Movimiento acuático","")</f>
        <v/>
      </c>
      <c r="X245" s="304" t="str">
        <f>IF(V245&lt;&gt;"-","Branquias","")</f>
        <v/>
      </c>
      <c r="Y245" s="699" t="str">
        <f>IF(V245&lt;&gt;"-","Fluidizado","")</f>
        <v/>
      </c>
      <c r="AB245" s="3187" t="str">
        <f t="shared" si="40"/>
        <v>+1 a característica: VOL</v>
      </c>
      <c r="AC245" s="3188">
        <f t="shared" si="39"/>
        <v>8</v>
      </c>
      <c r="AD245" s="3195" t="s">
        <v>9552</v>
      </c>
      <c r="AE245" s="3189">
        <v>1</v>
      </c>
      <c r="AF245" s="3189">
        <f>COUNTIF(Principal!$C$35:$J$47,AD245)+COUNTIF(Principal!$C$48:$F$49,AD245)</f>
        <v>0</v>
      </c>
      <c r="AG245" s="3190">
        <f t="shared" si="41"/>
        <v>0</v>
      </c>
      <c r="AH245" s="3215"/>
      <c r="AI245" s="3194" t="s">
        <v>2649</v>
      </c>
      <c r="AJ245"/>
    </row>
    <row r="246" spans="1:36" ht="12.75" customHeight="1">
      <c r="A246" s="219">
        <v>246</v>
      </c>
      <c r="B246" s="7145"/>
      <c r="C246" s="443"/>
      <c r="D246" s="21"/>
      <c r="E246" s="131" t="s">
        <v>6643</v>
      </c>
      <c r="F246" s="1686"/>
      <c r="G246" s="1686"/>
      <c r="H246" s="512"/>
      <c r="L246" s="515" t="str">
        <f t="shared" si="44"/>
        <v>La Sangre de Uroboros</v>
      </c>
      <c r="M246" s="787">
        <f t="shared" si="45"/>
        <v>25</v>
      </c>
      <c r="N246" s="47" t="s">
        <v>12465</v>
      </c>
      <c r="O246" s="1675">
        <v>2</v>
      </c>
      <c r="P246" s="1670">
        <f>COUNTIF(Principal!$C$35:$J$47,Tablas!N246)</f>
        <v>0</v>
      </c>
      <c r="Q246" s="1669">
        <f t="shared" si="46"/>
        <v>0</v>
      </c>
      <c r="R246" s="1908" t="s">
        <v>12475</v>
      </c>
      <c r="S246" s="1047"/>
      <c r="T246" s="1912" t="str">
        <f t="shared" si="43"/>
        <v/>
      </c>
      <c r="V246" s="47" t="str">
        <v>-</v>
      </c>
      <c r="W246" s="304" t="str">
        <f>IF(V246&lt;&gt;"-","Regeneración","")</f>
        <v/>
      </c>
      <c r="X246" s="304" t="str">
        <f>IF(V246&lt;&gt;"-","Aguante frente a críticos","")</f>
        <v/>
      </c>
      <c r="Y246" s="304" t="str">
        <f>IF(V246&lt;&gt;"-","Coraza","")</f>
        <v/>
      </c>
      <c r="AB246" s="3187" t="str">
        <f t="shared" si="40"/>
        <v>Ac. de Ki incrementada (1)</v>
      </c>
      <c r="AC246" s="3188">
        <f t="shared" si="39"/>
        <v>117</v>
      </c>
      <c r="AD246" s="2731" t="s">
        <v>2101</v>
      </c>
      <c r="AE246" s="3189">
        <v>2</v>
      </c>
      <c r="AF246" s="3189">
        <f>COUNTIF(Principal!$C$35:$J$47,AD246)+COUNTIF(Principal!$C$48:$F$49,AD246)</f>
        <v>0</v>
      </c>
      <c r="AG246" s="3190">
        <f t="shared" si="41"/>
        <v>0</v>
      </c>
      <c r="AH246" s="3215"/>
      <c r="AI246" s="3194" t="s">
        <v>2649</v>
      </c>
      <c r="AJ246"/>
    </row>
    <row r="247" spans="1:36" ht="12.75" customHeight="1">
      <c r="A247" s="219">
        <v>247</v>
      </c>
      <c r="B247" s="7145"/>
      <c r="C247" s="443"/>
      <c r="D247" s="84"/>
      <c r="E247" s="2157" t="s">
        <v>2453</v>
      </c>
      <c r="F247" s="1669">
        <f>Principal!H50</f>
        <v>0</v>
      </c>
      <c r="G247" s="1669">
        <f t="shared" ref="G247:G254" si="47">H263+2*H504</f>
        <v>0</v>
      </c>
      <c r="H247" s="512">
        <v>1</v>
      </c>
      <c r="L247" s="515" t="str">
        <f t="shared" si="44"/>
        <v>Legado de la Luna (Tsukiyomi)</v>
      </c>
      <c r="M247" s="787">
        <f t="shared" si="45"/>
        <v>30</v>
      </c>
      <c r="N247" s="47" t="s">
        <v>12469</v>
      </c>
      <c r="O247" s="1675">
        <f>1+IF(Principal!$Y$24="No",1,0)</f>
        <v>1</v>
      </c>
      <c r="P247" s="1670">
        <f>COUNTIF(Principal!$C$35:$J$47,Tablas!N247)</f>
        <v>0</v>
      </c>
      <c r="Q247" s="1669">
        <f t="shared" si="46"/>
        <v>0</v>
      </c>
      <c r="R247" s="1908" t="s">
        <v>12474</v>
      </c>
      <c r="S247" s="1047"/>
      <c r="T247" s="1912" t="str">
        <f t="shared" si="43"/>
        <v/>
      </c>
      <c r="V247" s="47" t="str">
        <v>-</v>
      </c>
      <c r="W247" s="304" t="str">
        <f>IF(V247&lt;&gt;"-","Manifestar la oscuridad","")</f>
        <v/>
      </c>
      <c r="X247" s="304" t="str">
        <f>IF(V247&lt;&gt;"-","Ocultación","")</f>
        <v/>
      </c>
      <c r="Y247" s="699" t="str">
        <f>IF(V247&lt;&gt;"-","A través de las sombras","")</f>
        <v/>
      </c>
      <c r="AB247" s="3187" t="str">
        <f t="shared" si="40"/>
        <v>Ac. de Ki incrementada (2)</v>
      </c>
      <c r="AC247" s="3188">
        <f t="shared" si="39"/>
        <v>101</v>
      </c>
      <c r="AD247" s="2731" t="s">
        <v>2102</v>
      </c>
      <c r="AE247" s="3189">
        <v>1</v>
      </c>
      <c r="AF247" s="3189">
        <f>COUNTIF(Principal!$C$35:$J$47,AD247)+COUNTIF(Principal!$C$48:$F$49,AD247)</f>
        <v>0</v>
      </c>
      <c r="AG247" s="3190">
        <f t="shared" si="41"/>
        <v>0</v>
      </c>
      <c r="AH247" s="3215">
        <v>1</v>
      </c>
      <c r="AI247" s="3194" t="s">
        <v>2649</v>
      </c>
      <c r="AJ247"/>
    </row>
    <row r="248" spans="1:36" ht="12.75" customHeight="1">
      <c r="A248" s="219">
        <v>248</v>
      </c>
      <c r="B248" s="7145"/>
      <c r="C248" s="443"/>
      <c r="D248" s="84"/>
      <c r="E248" s="2157" t="s">
        <v>2455</v>
      </c>
      <c r="F248" s="1669">
        <f>Principal!H51</f>
        <v>0</v>
      </c>
      <c r="G248" s="1669">
        <f t="shared" si="47"/>
        <v>0</v>
      </c>
      <c r="H248" s="512">
        <v>1</v>
      </c>
      <c r="L248" s="515" t="str">
        <f t="shared" si="44"/>
        <v>Legado de la Vigilia (1)</v>
      </c>
      <c r="M248" s="787">
        <f t="shared" si="45"/>
        <v>31</v>
      </c>
      <c r="N248" s="47" t="s">
        <v>12464</v>
      </c>
      <c r="O248" s="1675">
        <v>2</v>
      </c>
      <c r="P248" s="1670">
        <f>COUNTIF(Principal!$C$35:$J$47,Tablas!N248)</f>
        <v>0</v>
      </c>
      <c r="Q248" s="1669">
        <f t="shared" si="46"/>
        <v>0</v>
      </c>
      <c r="R248" s="1908" t="s">
        <v>12475</v>
      </c>
      <c r="S248" s="1047"/>
      <c r="T248" s="1912" t="str">
        <f t="shared" si="43"/>
        <v/>
      </c>
      <c r="V248" s="47" t="str">
        <v>-</v>
      </c>
      <c r="W248" s="304" t="str">
        <f>IF(V248&lt;&gt;"-","Manifestar la luz","")</f>
        <v/>
      </c>
      <c r="X248" s="304" t="str">
        <f>IF(V248&lt;&gt;"-","Detección lumínica","")</f>
        <v/>
      </c>
      <c r="Y248" s="699" t="str">
        <f>IF(V248&lt;&gt;"-","Percepción de Shephirah","")</f>
        <v/>
      </c>
      <c r="AB248" s="3187" t="str">
        <f t="shared" si="40"/>
        <v>Acc. psíquico natural (1)</v>
      </c>
      <c r="AC248" s="3188">
        <f t="shared" si="39"/>
        <v>102</v>
      </c>
      <c r="AD248" s="2731" t="s">
        <v>2103</v>
      </c>
      <c r="AE248" s="3189">
        <v>2</v>
      </c>
      <c r="AF248" s="3189">
        <f>COUNTIF(Principal!$C$35:$J$47,AD248)+COUNTIF(Principal!$C$48:$F$49,AD248)</f>
        <v>0</v>
      </c>
      <c r="AG248" s="3190">
        <f t="shared" si="41"/>
        <v>0</v>
      </c>
      <c r="AH248" s="3215">
        <v>1</v>
      </c>
      <c r="AI248" s="3194" t="s">
        <v>2649</v>
      </c>
      <c r="AJ248"/>
    </row>
    <row r="249" spans="1:36" ht="12.75" customHeight="1">
      <c r="A249" s="219">
        <v>249</v>
      </c>
      <c r="B249" s="7145"/>
      <c r="C249" s="443"/>
      <c r="D249" s="84"/>
      <c r="E249" s="2157" t="s">
        <v>2457</v>
      </c>
      <c r="F249" s="1669">
        <f>Principal!H52</f>
        <v>0</v>
      </c>
      <c r="G249" s="1669">
        <f t="shared" si="47"/>
        <v>0</v>
      </c>
      <c r="H249" s="512">
        <v>1</v>
      </c>
      <c r="L249" s="515" t="str">
        <f t="shared" si="44"/>
        <v>Legado de la Vigilia (2)</v>
      </c>
      <c r="M249" s="787">
        <f t="shared" si="45"/>
        <v>28</v>
      </c>
      <c r="N249" s="47" t="s">
        <v>12470</v>
      </c>
      <c r="O249" s="1675">
        <f>1+IF(Principal!$Y$24="No",1,0)</f>
        <v>1</v>
      </c>
      <c r="P249" s="1670">
        <f>COUNTIF(Principal!$C$35:$J$47,Tablas!N249)</f>
        <v>0</v>
      </c>
      <c r="Q249" s="1669">
        <f t="shared" ref="Q249:Q264" si="48">P249*O249</f>
        <v>0</v>
      </c>
      <c r="R249" s="1908" t="s">
        <v>12474</v>
      </c>
      <c r="S249" s="1047"/>
      <c r="T249" s="1912" t="str">
        <f t="shared" ref="T249:T255" si="49">IF(P249=0,"",R249)</f>
        <v/>
      </c>
      <c r="V249" t="str">
        <v>-</v>
      </c>
      <c r="AB249" s="3187" t="str">
        <f t="shared" si="40"/>
        <v>Acc. psíquico natural (2)</v>
      </c>
      <c r="AC249" s="3188">
        <f t="shared" si="39"/>
        <v>103</v>
      </c>
      <c r="AD249" s="2731" t="s">
        <v>2104</v>
      </c>
      <c r="AE249" s="3189">
        <v>1</v>
      </c>
      <c r="AF249" s="3189">
        <f>COUNTIF(Principal!$C$35:$J$47,AD249)+COUNTIF(Principal!$C$48:$F$49,AD249)</f>
        <v>0</v>
      </c>
      <c r="AG249" s="3190">
        <f t="shared" si="41"/>
        <v>0</v>
      </c>
      <c r="AH249" s="3215">
        <v>1</v>
      </c>
      <c r="AI249" s="3194" t="s">
        <v>2649</v>
      </c>
      <c r="AJ249"/>
    </row>
    <row r="250" spans="1:36" ht="12.75" customHeight="1">
      <c r="A250" s="219">
        <v>250</v>
      </c>
      <c r="B250" s="7145"/>
      <c r="C250" s="443"/>
      <c r="D250" s="84"/>
      <c r="E250" s="2157" t="s">
        <v>2459</v>
      </c>
      <c r="F250" s="1669">
        <f>Principal!H53</f>
        <v>0</v>
      </c>
      <c r="G250" s="1669">
        <f t="shared" si="47"/>
        <v>0</v>
      </c>
      <c r="H250" s="512">
        <v>1</v>
      </c>
      <c r="L250" s="515" t="str">
        <f t="shared" si="44"/>
        <v>Legado de la Vigilia (3)</v>
      </c>
      <c r="M250" s="787">
        <f t="shared" si="45"/>
        <v>29</v>
      </c>
      <c r="N250" s="47" t="s">
        <v>12463</v>
      </c>
      <c r="O250" s="1675">
        <v>2</v>
      </c>
      <c r="P250" s="1670">
        <f>COUNTIF(Principal!$C$35:$J$47,Tablas!N250)</f>
        <v>0</v>
      </c>
      <c r="Q250" s="1669">
        <f t="shared" si="48"/>
        <v>0</v>
      </c>
      <c r="R250" s="1908" t="s">
        <v>12475</v>
      </c>
      <c r="S250" s="1047"/>
      <c r="T250" s="1912" t="str">
        <f>IF(P250=0,"",R250)</f>
        <v/>
      </c>
      <c r="V250" t="str">
        <v>-</v>
      </c>
      <c r="AB250" s="3187" t="str">
        <f t="shared" si="40"/>
        <v>Acc. psíquico natural (3)</v>
      </c>
      <c r="AC250" s="3188">
        <f t="shared" si="39"/>
        <v>104</v>
      </c>
      <c r="AD250" s="2731" t="s">
        <v>2105</v>
      </c>
      <c r="AE250" s="3189">
        <v>2</v>
      </c>
      <c r="AF250" s="3189">
        <f>COUNTIF(Principal!$C$35:$J$47,AD250)+COUNTIF(Principal!$C$48:$F$49,AD250)</f>
        <v>0</v>
      </c>
      <c r="AG250" s="3190">
        <f t="shared" si="41"/>
        <v>0</v>
      </c>
      <c r="AH250" s="3215">
        <v>1</v>
      </c>
      <c r="AI250" s="3194" t="s">
        <v>2649</v>
      </c>
      <c r="AJ250"/>
    </row>
    <row r="251" spans="1:36" ht="12.75" customHeight="1">
      <c r="A251" s="219">
        <v>251</v>
      </c>
      <c r="B251" s="7145"/>
      <c r="C251" s="443"/>
      <c r="D251" s="84"/>
      <c r="E251" s="2157" t="s">
        <v>2461</v>
      </c>
      <c r="F251" s="1669">
        <f>Principal!J50</f>
        <v>0</v>
      </c>
      <c r="G251" s="1669">
        <f t="shared" si="47"/>
        <v>0</v>
      </c>
      <c r="H251" s="512">
        <v>1</v>
      </c>
      <c r="L251" s="515" t="str">
        <f t="shared" si="44"/>
        <v>Legado demoníaco (1)</v>
      </c>
      <c r="M251" s="787">
        <f t="shared" si="45"/>
        <v>34</v>
      </c>
      <c r="N251" s="47" t="s">
        <v>12471</v>
      </c>
      <c r="O251" s="1675">
        <f>1+IF(Principal!$Y$24="No",1,0)</f>
        <v>1</v>
      </c>
      <c r="P251" s="1670">
        <f>COUNTIF(Principal!$C$35:$J$47,Tablas!N251)</f>
        <v>0</v>
      </c>
      <c r="Q251" s="1669">
        <f t="shared" si="48"/>
        <v>0</v>
      </c>
      <c r="R251" s="1908" t="s">
        <v>12474</v>
      </c>
      <c r="S251" s="1047"/>
      <c r="T251" s="1912" t="str">
        <f t="shared" si="49"/>
        <v/>
      </c>
      <c r="V251" t="str">
        <v>-</v>
      </c>
      <c r="AB251" s="3187" t="str">
        <f t="shared" si="40"/>
        <v>Acceso a 1 disciplina psiquica</v>
      </c>
      <c r="AC251" s="3188">
        <f t="shared" si="39"/>
        <v>105</v>
      </c>
      <c r="AD251" s="3196" t="s">
        <v>2106</v>
      </c>
      <c r="AE251" s="3189">
        <v>1</v>
      </c>
      <c r="AF251" s="3189">
        <f>COUNTIF(Principal!$C$35:$J$47,AD251)+COUNTIF(Principal!$C$48:$F$49,AD251)</f>
        <v>0</v>
      </c>
      <c r="AG251" s="3190">
        <f t="shared" si="41"/>
        <v>0</v>
      </c>
      <c r="AH251" s="3215">
        <v>1</v>
      </c>
      <c r="AI251" s="3194" t="s">
        <v>2649</v>
      </c>
      <c r="AJ251"/>
    </row>
    <row r="252" spans="1:36" ht="12.75" customHeight="1">
      <c r="A252" s="219">
        <v>252</v>
      </c>
      <c r="B252" s="7145"/>
      <c r="C252" s="443"/>
      <c r="D252" s="84"/>
      <c r="E252" s="2157" t="s">
        <v>2463</v>
      </c>
      <c r="F252" s="1669">
        <f>Principal!J51</f>
        <v>0</v>
      </c>
      <c r="G252" s="1669">
        <f t="shared" si="47"/>
        <v>0</v>
      </c>
      <c r="H252" s="512">
        <v>1</v>
      </c>
      <c r="L252" s="515" t="str">
        <f t="shared" si="44"/>
        <v>Legado demoníaco (2)</v>
      </c>
      <c r="M252" s="787">
        <f t="shared" si="45"/>
        <v>35</v>
      </c>
      <c r="N252" s="47" t="s">
        <v>12462</v>
      </c>
      <c r="O252" s="1675">
        <v>2</v>
      </c>
      <c r="P252" s="1670">
        <f>COUNTIF(Principal!$C$35:$J$47,Tablas!N252)</f>
        <v>0</v>
      </c>
      <c r="Q252" s="1669">
        <f t="shared" si="48"/>
        <v>0</v>
      </c>
      <c r="R252" s="1908" t="s">
        <v>12475</v>
      </c>
      <c r="S252" s="1047"/>
      <c r="T252" s="1912" t="str">
        <f t="shared" si="49"/>
        <v/>
      </c>
      <c r="V252" t="str">
        <v>-</v>
      </c>
      <c r="AB252" s="3187" t="str">
        <f t="shared" si="40"/>
        <v>Acceso libre a dis. psiquicas</v>
      </c>
      <c r="AC252" s="3188">
        <f t="shared" si="39"/>
        <v>106</v>
      </c>
      <c r="AD252" s="3196" t="s">
        <v>2107</v>
      </c>
      <c r="AE252" s="3189">
        <v>2</v>
      </c>
      <c r="AF252" s="3189">
        <f>COUNTIF(Principal!$C$35:$J$47,AD252)+COUNTIF(Principal!$C$48:$F$49,AD252)</f>
        <v>0</v>
      </c>
      <c r="AG252" s="3190">
        <f t="shared" si="41"/>
        <v>0</v>
      </c>
      <c r="AH252" s="3215">
        <v>1</v>
      </c>
      <c r="AI252" s="3194" t="s">
        <v>2649</v>
      </c>
      <c r="AJ252"/>
    </row>
    <row r="253" spans="1:36" ht="12.75" customHeight="1">
      <c r="A253" s="219">
        <v>253</v>
      </c>
      <c r="B253" s="7145"/>
      <c r="C253" s="443"/>
      <c r="D253" s="84"/>
      <c r="E253" s="2157" t="s">
        <v>2465</v>
      </c>
      <c r="F253" s="1669">
        <f>Principal!J52</f>
        <v>0</v>
      </c>
      <c r="G253" s="1669">
        <f t="shared" si="47"/>
        <v>0</v>
      </c>
      <c r="H253" s="512">
        <v>1</v>
      </c>
      <c r="L253" s="515" t="str">
        <f t="shared" si="44"/>
        <v>Legado demoníaco (3)</v>
      </c>
      <c r="M253" s="787">
        <f t="shared" si="45"/>
        <v>26</v>
      </c>
      <c r="N253" s="47" t="s">
        <v>12472</v>
      </c>
      <c r="O253" s="1675">
        <f>1+IF(Principal!$Y$24="No",1,0)</f>
        <v>1</v>
      </c>
      <c r="P253" s="1670">
        <f>COUNTIF(Principal!$C$35:$J$47,Tablas!N253)</f>
        <v>0</v>
      </c>
      <c r="Q253" s="1669">
        <f t="shared" si="48"/>
        <v>0</v>
      </c>
      <c r="R253" s="1908" t="s">
        <v>12474</v>
      </c>
      <c r="S253" s="1047"/>
      <c r="T253" s="1912" t="str">
        <f t="shared" si="49"/>
        <v/>
      </c>
      <c r="V253" t="str">
        <v>-</v>
      </c>
      <c r="AB253" s="3187" t="str">
        <f t="shared" si="40"/>
        <v>Acumulación plena</v>
      </c>
      <c r="AC253" s="3188">
        <f t="shared" si="39"/>
        <v>14</v>
      </c>
      <c r="AD253" s="3197" t="s">
        <v>2108</v>
      </c>
      <c r="AE253" s="3198">
        <v>1</v>
      </c>
      <c r="AF253" s="3189">
        <f>COUNTIF(Principal!$C$35:$J$47,AD253)+COUNTIF(Principal!$C$48:$F$49,AD253)</f>
        <v>0</v>
      </c>
      <c r="AG253" s="3190">
        <f t="shared" si="41"/>
        <v>0</v>
      </c>
      <c r="AH253" s="3215"/>
      <c r="AI253" s="3194" t="s">
        <v>2649</v>
      </c>
      <c r="AJ253"/>
    </row>
    <row r="254" spans="1:36" ht="12.75" customHeight="1" thickBot="1">
      <c r="A254" s="219">
        <v>254</v>
      </c>
      <c r="B254" s="7145"/>
      <c r="C254" s="445"/>
      <c r="D254" s="446"/>
      <c r="E254" s="2158" t="s">
        <v>2467</v>
      </c>
      <c r="F254" s="1915">
        <f>Principal!J53</f>
        <v>0</v>
      </c>
      <c r="G254" s="1915">
        <f t="shared" si="47"/>
        <v>0</v>
      </c>
      <c r="H254" s="514">
        <v>1</v>
      </c>
      <c r="L254" s="515" t="str">
        <f t="shared" si="44"/>
        <v>Los Ojos de la Muerte</v>
      </c>
      <c r="M254" s="787">
        <f t="shared" si="45"/>
        <v>27</v>
      </c>
      <c r="N254" s="47" t="s">
        <v>12461</v>
      </c>
      <c r="O254" s="1675">
        <v>2</v>
      </c>
      <c r="P254" s="1670">
        <f>COUNTIF(Principal!$C$35:$J$47,Tablas!N254)</f>
        <v>0</v>
      </c>
      <c r="Q254" s="1669">
        <f t="shared" si="48"/>
        <v>0</v>
      </c>
      <c r="R254" s="1908" t="s">
        <v>12475</v>
      </c>
      <c r="S254" s="1047"/>
      <c r="T254" s="1912" t="str">
        <f t="shared" si="49"/>
        <v/>
      </c>
      <c r="V254" t="str">
        <v>-</v>
      </c>
      <c r="AB254" s="3187" t="str">
        <f t="shared" si="40"/>
        <v>Afinidad animal</v>
      </c>
      <c r="AC254" s="3188">
        <f t="shared" si="39"/>
        <v>15</v>
      </c>
      <c r="AD254" s="2731" t="s">
        <v>2109</v>
      </c>
      <c r="AE254" s="3198">
        <v>2</v>
      </c>
      <c r="AF254" s="3189">
        <f>COUNTIF(Principal!$C$35:$J$47,AD254)+COUNTIF(Principal!$C$48:$F$49,AD254)</f>
        <v>0</v>
      </c>
      <c r="AG254" s="3190">
        <f t="shared" si="41"/>
        <v>0</v>
      </c>
      <c r="AH254" s="3215"/>
      <c r="AI254" s="3194" t="s">
        <v>2649</v>
      </c>
      <c r="AJ254"/>
    </row>
    <row r="255" spans="1:36" ht="12.75" customHeight="1">
      <c r="A255" s="219">
        <v>255</v>
      </c>
      <c r="B255" s="7145"/>
      <c r="H255"/>
      <c r="I255" s="510"/>
      <c r="L255" s="515" t="str">
        <f t="shared" si="44"/>
        <v>Ojos de Kvri</v>
      </c>
      <c r="M255" s="787">
        <f t="shared" si="45"/>
        <v>32</v>
      </c>
      <c r="N255" s="47" t="s">
        <v>12473</v>
      </c>
      <c r="O255" s="1675">
        <f>1+IF(Principal!$Y$24="No",1,0)</f>
        <v>1</v>
      </c>
      <c r="P255" s="1670">
        <f>COUNTIF(Principal!$C$35:$J$47,Tablas!N255)</f>
        <v>0</v>
      </c>
      <c r="Q255" s="1669">
        <f t="shared" si="48"/>
        <v>0</v>
      </c>
      <c r="R255" s="1908" t="s">
        <v>12474</v>
      </c>
      <c r="S255" s="1047"/>
      <c r="T255" s="1912" t="str">
        <f t="shared" si="49"/>
        <v/>
      </c>
      <c r="V255" t="str">
        <v>-</v>
      </c>
      <c r="AB255" s="3187" t="str">
        <f t="shared" si="40"/>
        <v>Afinidad de uso</v>
      </c>
      <c r="AC255" s="3188">
        <f t="shared" si="39"/>
        <v>17</v>
      </c>
      <c r="AD255" s="2731" t="s">
        <v>2110</v>
      </c>
      <c r="AE255" s="3198">
        <v>1</v>
      </c>
      <c r="AF255" s="3189">
        <f>COUNTIF(Principal!$C$35:$J$47,AD255)+COUNTIF(Principal!$C$48:$F$49,AD255)</f>
        <v>0</v>
      </c>
      <c r="AG255" s="3190">
        <f t="shared" si="41"/>
        <v>0</v>
      </c>
      <c r="AH255" s="3215"/>
      <c r="AI255" s="3194" t="s">
        <v>2649</v>
      </c>
      <c r="AJ255"/>
    </row>
    <row r="256" spans="1:36" ht="12.75" customHeight="1">
      <c r="A256" s="219">
        <v>256</v>
      </c>
      <c r="B256" s="7145"/>
      <c r="H256"/>
      <c r="I256" s="510"/>
      <c r="L256" s="515" t="str">
        <f t="shared" si="44"/>
        <v>Ojos del Alma</v>
      </c>
      <c r="M256" s="787">
        <f t="shared" si="45"/>
        <v>33</v>
      </c>
      <c r="N256" s="47" t="s">
        <v>12460</v>
      </c>
      <c r="O256" s="1675">
        <v>2</v>
      </c>
      <c r="P256" s="1670">
        <f>COUNTIF(Principal!$C$35:$J$47,Tablas!N256)</f>
        <v>0</v>
      </c>
      <c r="Q256" s="1669">
        <f t="shared" si="48"/>
        <v>0</v>
      </c>
      <c r="R256" s="1908" t="s">
        <v>12475</v>
      </c>
      <c r="S256" s="1047"/>
      <c r="T256" s="1912" t="str">
        <f t="shared" ref="T256" si="50">IF(P256=0,"",R256)</f>
        <v/>
      </c>
      <c r="AB256" s="3187" t="str">
        <f t="shared" si="40"/>
        <v>Afortunado</v>
      </c>
      <c r="AC256" s="3188">
        <f t="shared" si="39"/>
        <v>97</v>
      </c>
      <c r="AD256" s="2731" t="s">
        <v>9747</v>
      </c>
      <c r="AE256" s="3198">
        <v>1</v>
      </c>
      <c r="AF256" s="3189">
        <f>COUNTIF(Principal!$C$35:$J$47,AD256)+COUNTIF(Principal!$C$48:$F$49,AD256)</f>
        <v>0</v>
      </c>
      <c r="AG256" s="3190">
        <f t="shared" si="41"/>
        <v>0</v>
      </c>
      <c r="AH256" s="3215">
        <v>1</v>
      </c>
      <c r="AI256" s="3194" t="s">
        <v>2649</v>
      </c>
      <c r="AJ256"/>
    </row>
    <row r="257" spans="1:36" ht="12.75" customHeight="1" thickBot="1">
      <c r="A257" s="219">
        <v>257</v>
      </c>
      <c r="B257" s="7145"/>
      <c r="H257"/>
      <c r="I257" s="510"/>
      <c r="L257" s="515" t="str">
        <f t="shared" si="44"/>
        <v>Ojos del Destino</v>
      </c>
      <c r="M257" s="787">
        <f t="shared" si="45"/>
        <v>14</v>
      </c>
      <c r="N257" s="47" t="s">
        <v>2346</v>
      </c>
      <c r="O257" s="1675">
        <f>2+IF(Principal!$Y$24="No",1,0)</f>
        <v>2</v>
      </c>
      <c r="P257" s="1670">
        <f>COUNTIF(Principal!$C$35:$J$47,Tablas!N257)</f>
        <v>0</v>
      </c>
      <c r="Q257" s="1669">
        <f t="shared" si="48"/>
        <v>0</v>
      </c>
      <c r="R257" s="1908" t="s">
        <v>7921</v>
      </c>
      <c r="S257" s="1047"/>
      <c r="T257" s="1912" t="str">
        <f t="shared" ref="T257:T264" si="51">IF(P257=0,"",R257)</f>
        <v/>
      </c>
      <c r="AB257" s="3187" t="str">
        <f t="shared" si="40"/>
        <v>Al límite</v>
      </c>
      <c r="AC257" s="3188">
        <f t="shared" si="39"/>
        <v>98</v>
      </c>
      <c r="AD257" s="2731" t="s">
        <v>9748</v>
      </c>
      <c r="AE257" s="3198">
        <v>2</v>
      </c>
      <c r="AF257" s="3189">
        <f>COUNTIF(Principal!$C$35:$J$47,AD257)+COUNTIF(Principal!$C$48:$F$49,AD257)</f>
        <v>0</v>
      </c>
      <c r="AG257" s="3190">
        <f t="shared" si="41"/>
        <v>0</v>
      </c>
      <c r="AH257" s="3215">
        <v>1</v>
      </c>
      <c r="AI257" s="3194" t="s">
        <v>2649</v>
      </c>
      <c r="AJ257"/>
    </row>
    <row r="258" spans="1:36" ht="12.75" customHeight="1">
      <c r="A258" s="219">
        <v>258</v>
      </c>
      <c r="B258" s="7145"/>
      <c r="C258" s="8177" t="s">
        <v>2099</v>
      </c>
      <c r="D258" s="8178"/>
      <c r="E258" s="8178"/>
      <c r="F258" s="8178"/>
      <c r="G258" s="8178"/>
      <c r="H258" s="8178"/>
      <c r="I258" s="8178"/>
      <c r="J258" s="8179"/>
      <c r="L258" s="515" t="str">
        <f t="shared" si="44"/>
        <v>Ojos del Pecado</v>
      </c>
      <c r="M258" s="787">
        <f t="shared" si="45"/>
        <v>16</v>
      </c>
      <c r="N258" s="47" t="s">
        <v>2347</v>
      </c>
      <c r="O258" s="1675">
        <f>1+IF(Principal!$Y$24="No",1,0)</f>
        <v>1</v>
      </c>
      <c r="P258" s="1670">
        <f>COUNTIF(Principal!$C$35:$J$47,Tablas!N258)</f>
        <v>0</v>
      </c>
      <c r="Q258" s="1669">
        <f t="shared" si="48"/>
        <v>0</v>
      </c>
      <c r="R258" s="1908" t="s">
        <v>7922</v>
      </c>
      <c r="S258" s="1047"/>
      <c r="T258" s="1912" t="str">
        <f t="shared" si="51"/>
        <v/>
      </c>
      <c r="AB258" s="3187" t="str">
        <f t="shared" si="40"/>
        <v>Ambidestría</v>
      </c>
      <c r="AC258" s="3188">
        <f t="shared" si="39"/>
        <v>99</v>
      </c>
      <c r="AD258" s="2731" t="s">
        <v>9749</v>
      </c>
      <c r="AE258" s="3189">
        <v>3</v>
      </c>
      <c r="AF258" s="3189">
        <f>COUNTIF(Principal!$C$35:$J$47,AD258)+COUNTIF(Principal!$C$48:$F$49,AD258)</f>
        <v>0</v>
      </c>
      <c r="AG258" s="3190">
        <f t="shared" si="41"/>
        <v>0</v>
      </c>
      <c r="AH258" s="3215">
        <v>1</v>
      </c>
      <c r="AI258" s="3194" t="s">
        <v>2649</v>
      </c>
      <c r="AJ258"/>
    </row>
    <row r="259" spans="1:36" ht="12.75" customHeight="1">
      <c r="A259" s="219">
        <v>259</v>
      </c>
      <c r="B259" s="7145"/>
      <c r="C259" s="8180"/>
      <c r="D259" s="8083"/>
      <c r="E259" s="8083"/>
      <c r="F259" s="8083"/>
      <c r="G259" s="8083"/>
      <c r="H259" s="8083"/>
      <c r="I259" s="8083"/>
      <c r="J259" s="8181"/>
      <c r="L259" s="515" t="str">
        <f t="shared" si="44"/>
        <v>Ojos del Shinigami</v>
      </c>
      <c r="M259" s="787">
        <f t="shared" si="45"/>
        <v>7</v>
      </c>
      <c r="N259" s="47" t="s">
        <v>2348</v>
      </c>
      <c r="O259" s="1675">
        <f>1+IF(Principal!$Y$24="No",1,0)</f>
        <v>1</v>
      </c>
      <c r="P259" s="1670">
        <f>COUNTIF(Principal!$C$35:$J$47,Tablas!N259)</f>
        <v>0</v>
      </c>
      <c r="Q259" s="1669">
        <f t="shared" si="48"/>
        <v>0</v>
      </c>
      <c r="R259" s="1908" t="s">
        <v>7923</v>
      </c>
      <c r="S259" s="1047"/>
      <c r="T259" s="1912" t="str">
        <f t="shared" si="51"/>
        <v/>
      </c>
      <c r="AB259" s="3187" t="str">
        <f t="shared" si="40"/>
        <v>Apr. innato (2): Atléticas</v>
      </c>
      <c r="AC259" s="3188">
        <f t="shared" si="39"/>
        <v>113</v>
      </c>
      <c r="AD259" s="2731" t="s">
        <v>2111</v>
      </c>
      <c r="AE259" s="3189">
        <v>1</v>
      </c>
      <c r="AF259" s="3189">
        <f>COUNTIF(Principal!$C$35:$J$47,AD259)+COUNTIF(Principal!$C$48:$F$49,AD259)</f>
        <v>0</v>
      </c>
      <c r="AG259" s="3190">
        <f t="shared" si="41"/>
        <v>0</v>
      </c>
      <c r="AH259" s="3215">
        <v>1</v>
      </c>
      <c r="AI259" s="3194" t="s">
        <v>2649</v>
      </c>
      <c r="AJ259"/>
    </row>
    <row r="260" spans="1:36" ht="12.75" customHeight="1">
      <c r="A260" s="219">
        <v>260</v>
      </c>
      <c r="B260" s="7145"/>
      <c r="C260" s="8026" t="s">
        <v>5966</v>
      </c>
      <c r="D260" s="8027"/>
      <c r="E260" s="206" t="s">
        <v>1300</v>
      </c>
      <c r="F260" s="206" t="s">
        <v>1349</v>
      </c>
      <c r="G260" s="206" t="s">
        <v>2097</v>
      </c>
      <c r="H260" s="206" t="s">
        <v>2098</v>
      </c>
      <c r="I260" s="568" t="s">
        <v>1757</v>
      </c>
      <c r="J260" s="1667" t="s">
        <v>1258</v>
      </c>
      <c r="L260" s="515" t="str">
        <f t="shared" si="44"/>
        <v>Sangre de Aeon: Boreas (1)</v>
      </c>
      <c r="M260" s="787">
        <f t="shared" si="45"/>
        <v>6</v>
      </c>
      <c r="N260" s="47" t="s">
        <v>2349</v>
      </c>
      <c r="O260" s="1675">
        <f>1+IF(Principal!$Y$24="No",1,0)</f>
        <v>1</v>
      </c>
      <c r="P260" s="1670">
        <f>COUNTIF(Principal!$C$35:$J$47,Tablas!N260)</f>
        <v>0</v>
      </c>
      <c r="Q260" s="1669">
        <f t="shared" si="48"/>
        <v>0</v>
      </c>
      <c r="R260" s="1908" t="s">
        <v>7924</v>
      </c>
      <c r="S260" s="1047"/>
      <c r="T260" s="1912" t="str">
        <f t="shared" si="51"/>
        <v/>
      </c>
      <c r="AB260" s="3187" t="str">
        <f t="shared" si="40"/>
        <v>Apr. innato (2): Creativas</v>
      </c>
      <c r="AC260" s="3188">
        <f t="shared" si="39"/>
        <v>21</v>
      </c>
      <c r="AD260" s="2731" t="s">
        <v>2112</v>
      </c>
      <c r="AE260" s="3189">
        <v>1</v>
      </c>
      <c r="AF260" s="3189">
        <f>COUNTIF(Principal!$C$35:$J$47,AD260)+COUNTIF(Principal!$C$48:$F$49,AD260)</f>
        <v>0</v>
      </c>
      <c r="AG260" s="3190">
        <f t="shared" si="41"/>
        <v>0</v>
      </c>
      <c r="AH260" s="3215">
        <v>1</v>
      </c>
      <c r="AI260" s="3194" t="s">
        <v>2649</v>
      </c>
      <c r="AJ260"/>
    </row>
    <row r="261" spans="1:36" ht="12.75" customHeight="1">
      <c r="A261" s="219">
        <v>261</v>
      </c>
      <c r="B261" s="7145"/>
      <c r="C261" s="1668" t="str">
        <f>"Tablas!"&amp;ADDRESS(ROW(C262),COLUMN(C262))&amp;":"&amp;ADDRESS(ROW(C262)+MAX(D261:D409),COLUMN(C262))</f>
        <v>Tablas!$C$262:$C$402</v>
      </c>
      <c r="D261" s="787">
        <v>0</v>
      </c>
      <c r="E261" s="47" t="s">
        <v>9553</v>
      </c>
      <c r="F261" s="1669"/>
      <c r="G261" s="1669"/>
      <c r="H261" s="1670"/>
      <c r="I261" s="1671"/>
      <c r="J261" s="1672"/>
      <c r="L261" s="515" t="str">
        <f t="shared" si="44"/>
        <v>Sangre de Aeon: Boreas (2)</v>
      </c>
      <c r="M261" s="787">
        <f t="shared" si="45"/>
        <v>37</v>
      </c>
      <c r="N261" s="47" t="s">
        <v>2350</v>
      </c>
      <c r="O261" s="1675">
        <f>1+IF(Principal!$Y$24="No",1,0)</f>
        <v>1</v>
      </c>
      <c r="P261" s="1670">
        <f>COUNTIF(Principal!$C$35:$J$47,Tablas!N261)</f>
        <v>0</v>
      </c>
      <c r="Q261" s="1669">
        <f t="shared" si="48"/>
        <v>0</v>
      </c>
      <c r="R261" s="1908" t="s">
        <v>7925</v>
      </c>
      <c r="S261" s="1047"/>
      <c r="T261" s="1912" t="str">
        <f t="shared" si="51"/>
        <v/>
      </c>
      <c r="AB261" s="3187" t="str">
        <f t="shared" si="40"/>
        <v>Apr. innato (2): Intelectuales</v>
      </c>
      <c r="AC261" s="3188">
        <f t="shared" si="39"/>
        <v>63</v>
      </c>
      <c r="AD261" s="2731" t="s">
        <v>2113</v>
      </c>
      <c r="AE261" s="3189">
        <v>2</v>
      </c>
      <c r="AF261" s="3189">
        <f>COUNTIF(Principal!$C$35:$J$47,AD261)+COUNTIF(Principal!$C$48:$F$49,AD261)</f>
        <v>0</v>
      </c>
      <c r="AG261" s="3190">
        <f t="shared" si="41"/>
        <v>0</v>
      </c>
      <c r="AH261" s="3215">
        <v>2</v>
      </c>
      <c r="AI261" s="3194" t="s">
        <v>2649</v>
      </c>
      <c r="AJ261"/>
    </row>
    <row r="262" spans="1:36" ht="12.75" customHeight="1">
      <c r="A262" s="219">
        <v>262</v>
      </c>
      <c r="B262" s="7145"/>
      <c r="C262" s="1673" t="str">
        <f>E261</f>
        <v xml:space="preserve"> &gt; VENTAJAS COMUNES</v>
      </c>
      <c r="D262" s="787">
        <f t="shared" ref="D262:D325" si="52">COUNTIF($E$261:$E$404,"&lt;="&amp;E262)-COUNTIF($E$261:$E$404,"*&gt;*")</f>
        <v>100</v>
      </c>
      <c r="E262" s="47" t="s">
        <v>2100</v>
      </c>
      <c r="F262" s="1669">
        <v>1</v>
      </c>
      <c r="G262" s="1669">
        <f>COUNTIF(Principal!$C$35:$J$47,Tablas!E262)+COUNTIF(Principal!$C$48:$F$49,Tablas!E262)</f>
        <v>0</v>
      </c>
      <c r="H262" s="1670">
        <f>G262*F262</f>
        <v>0</v>
      </c>
      <c r="I262" s="792"/>
      <c r="J262" s="1674" t="s">
        <v>2649</v>
      </c>
      <c r="L262" s="515" t="str">
        <f t="shared" si="44"/>
        <v>Sangre de Aeon: Kagutsuchi (1)</v>
      </c>
      <c r="M262" s="787">
        <f t="shared" si="45"/>
        <v>38</v>
      </c>
      <c r="N262" s="47" t="s">
        <v>2351</v>
      </c>
      <c r="O262" s="1675">
        <f>2+IF(Principal!$Y$24="No",1,0)</f>
        <v>2</v>
      </c>
      <c r="P262" s="1670">
        <f>COUNTIF(Principal!$C$35:$J$47,Tablas!N262)</f>
        <v>0</v>
      </c>
      <c r="Q262" s="1669">
        <f t="shared" si="48"/>
        <v>0</v>
      </c>
      <c r="R262" s="1908" t="s">
        <v>7926</v>
      </c>
      <c r="S262" s="1047"/>
      <c r="T262" s="1912" t="str">
        <f t="shared" si="51"/>
        <v/>
      </c>
      <c r="AB262" s="3187" t="str">
        <f t="shared" si="40"/>
        <v>Apr. innato (2): Perceptivas</v>
      </c>
      <c r="AC262" s="3188">
        <f t="shared" si="39"/>
        <v>135</v>
      </c>
      <c r="AD262" s="2731" t="s">
        <v>1766</v>
      </c>
      <c r="AE262" s="3189">
        <v>1</v>
      </c>
      <c r="AF262" s="3189">
        <f>COUNTIF(Principal!$C$35:$J$47,AD262)+COUNTIF(Principal!$C$48:$F$49,AD262)</f>
        <v>0</v>
      </c>
      <c r="AG262" s="3190">
        <f t="shared" si="41"/>
        <v>0</v>
      </c>
      <c r="AH262" s="3215"/>
      <c r="AI262" s="3194" t="s">
        <v>2649</v>
      </c>
      <c r="AJ262"/>
    </row>
    <row r="263" spans="1:36" ht="12.75" customHeight="1">
      <c r="A263" s="219">
        <v>263</v>
      </c>
      <c r="B263" s="7145"/>
      <c r="C263" s="1673" t="str">
        <f t="shared" ref="C263:C294" si="53">VLOOKUP(A1,$D$262:$E$409,2,0)</f>
        <v>+1 a característica: AGI</v>
      </c>
      <c r="D263" s="787">
        <f t="shared" si="52"/>
        <v>1</v>
      </c>
      <c r="E263" s="793" t="s">
        <v>9545</v>
      </c>
      <c r="F263" s="1669">
        <v>1</v>
      </c>
      <c r="G263" s="1669">
        <f>COUNTIF(Principal!$C$35:$J$47,Tablas!E263)+COUNTIF(Principal!$C$48:$F$49,Tablas!E263)</f>
        <v>0</v>
      </c>
      <c r="H263" s="1670">
        <f t="shared" ref="H263:H270" si="54">G263*F263</f>
        <v>0</v>
      </c>
      <c r="I263" s="792"/>
      <c r="J263" s="1674" t="s">
        <v>2649</v>
      </c>
      <c r="L263" s="515" t="str">
        <f t="shared" si="44"/>
        <v>Sangre de Aeon: Kagutsuchi (2)</v>
      </c>
      <c r="M263" s="787">
        <f t="shared" si="45"/>
        <v>39</v>
      </c>
      <c r="N263" s="47" t="s">
        <v>2352</v>
      </c>
      <c r="O263" s="1675">
        <f>3+IF(Principal!$Y$24="No",1,0)</f>
        <v>3</v>
      </c>
      <c r="P263" s="1670">
        <f>COUNTIF(Principal!$C$35:$J$47,Tablas!N263)</f>
        <v>0</v>
      </c>
      <c r="Q263" s="1669">
        <f t="shared" si="48"/>
        <v>0</v>
      </c>
      <c r="R263" s="1908" t="s">
        <v>7927</v>
      </c>
      <c r="S263" s="1047"/>
      <c r="T263" s="1912" t="str">
        <f t="shared" si="51"/>
        <v/>
      </c>
      <c r="AB263" s="3187" t="str">
        <f t="shared" si="40"/>
        <v>Apr. innato (2): Sociales</v>
      </c>
      <c r="AC263" s="3188">
        <f t="shared" si="39"/>
        <v>81</v>
      </c>
      <c r="AD263" s="2731" t="s">
        <v>2114</v>
      </c>
      <c r="AE263" s="3189">
        <v>1</v>
      </c>
      <c r="AF263" s="3189">
        <f>COUNTIF(Principal!$C$35:$J$47,AD263)+COUNTIF(Principal!$C$48:$F$49,AD263)</f>
        <v>0</v>
      </c>
      <c r="AG263" s="3190">
        <f t="shared" si="41"/>
        <v>0</v>
      </c>
      <c r="AH263" s="3215"/>
      <c r="AI263" s="3194" t="s">
        <v>2649</v>
      </c>
      <c r="AJ263"/>
    </row>
    <row r="264" spans="1:36" ht="12.75" customHeight="1">
      <c r="A264" s="219">
        <v>264</v>
      </c>
      <c r="B264" s="7145"/>
      <c r="C264" s="1673" t="str">
        <f t="shared" si="53"/>
        <v>+1 a característica: CON</v>
      </c>
      <c r="D264" s="787">
        <f t="shared" si="52"/>
        <v>2</v>
      </c>
      <c r="E264" s="793" t="s">
        <v>9546</v>
      </c>
      <c r="F264" s="1669">
        <v>1</v>
      </c>
      <c r="G264" s="1669">
        <f>COUNTIF(Principal!$C$35:$J$47,Tablas!E264)+COUNTIF(Principal!$C$48:$F$49,Tablas!E264)</f>
        <v>0</v>
      </c>
      <c r="H264" s="1670">
        <f t="shared" si="54"/>
        <v>0</v>
      </c>
      <c r="I264" s="792"/>
      <c r="J264" s="1674" t="s">
        <v>2649</v>
      </c>
      <c r="L264" s="515" t="str">
        <f t="shared" si="44"/>
        <v>Sangre de Aeon: Niflheim (1)</v>
      </c>
      <c r="M264" s="787">
        <f t="shared" si="45"/>
        <v>17</v>
      </c>
      <c r="N264" s="47" t="s">
        <v>2353</v>
      </c>
      <c r="O264" s="1675">
        <f>2+IF(Principal!$Y$24="No",1,0)</f>
        <v>2</v>
      </c>
      <c r="P264" s="1670">
        <f>COUNTIF(Principal!$C$35:$J$47,Tablas!N264)</f>
        <v>0</v>
      </c>
      <c r="Q264" s="1669">
        <f t="shared" si="48"/>
        <v>0</v>
      </c>
      <c r="R264" s="1908" t="s">
        <v>7928</v>
      </c>
      <c r="S264" s="1047"/>
      <c r="T264" s="1912" t="str">
        <f t="shared" si="51"/>
        <v/>
      </c>
      <c r="AB264" s="3187" t="str">
        <f t="shared" si="40"/>
        <v>Apr. innato (2): Subterfugio</v>
      </c>
      <c r="AC264" s="3188">
        <f t="shared" si="39"/>
        <v>50</v>
      </c>
      <c r="AD264" s="2731" t="s">
        <v>1390</v>
      </c>
      <c r="AE264" s="3189">
        <v>1</v>
      </c>
      <c r="AF264" s="3189">
        <f>COUNTIF(Principal!$C$35:$J$47,AD264)+COUNTIF(Principal!$C$48:$F$49,AD264)</f>
        <v>0</v>
      </c>
      <c r="AG264" s="3190">
        <f t="shared" si="41"/>
        <v>0</v>
      </c>
      <c r="AH264" s="3215">
        <v>1</v>
      </c>
      <c r="AI264" s="3194" t="s">
        <v>2649</v>
      </c>
      <c r="AJ264"/>
    </row>
    <row r="265" spans="1:36" ht="12.75" customHeight="1">
      <c r="A265" s="219">
        <v>265</v>
      </c>
      <c r="B265" s="7145"/>
      <c r="C265" s="1673" t="str">
        <f t="shared" si="53"/>
        <v>+1 a característica: DES</v>
      </c>
      <c r="D265" s="787">
        <f t="shared" si="52"/>
        <v>3</v>
      </c>
      <c r="E265" s="793" t="s">
        <v>9547</v>
      </c>
      <c r="F265" s="1669">
        <v>1</v>
      </c>
      <c r="G265" s="1669">
        <f>COUNTIF(Principal!$C$35:$J$47,Tablas!E265)+COUNTIF(Principal!$C$48:$F$49,Tablas!E265)</f>
        <v>0</v>
      </c>
      <c r="H265" s="1670">
        <f t="shared" si="54"/>
        <v>0</v>
      </c>
      <c r="I265" s="792"/>
      <c r="J265" s="1674" t="s">
        <v>2649</v>
      </c>
      <c r="L265" s="515" t="str">
        <f t="shared" si="44"/>
        <v>Sangre de Aeon: Niflheim (2)</v>
      </c>
      <c r="M265" s="787">
        <f t="shared" si="45"/>
        <v>46</v>
      </c>
      <c r="N265" s="47" t="s">
        <v>2354</v>
      </c>
      <c r="O265" s="1675">
        <f>1+IF(Principal!$Y$24="No",1,0)</f>
        <v>1</v>
      </c>
      <c r="P265" s="1670">
        <f>COUNTIF(Principal!$C$35:$J$47,Tablas!N265)</f>
        <v>0</v>
      </c>
      <c r="Q265" s="1669">
        <f t="shared" ref="Q265:Q288" si="55">P265*O265</f>
        <v>0</v>
      </c>
      <c r="R265" s="1908" t="s">
        <v>7929</v>
      </c>
      <c r="S265" s="1047"/>
      <c r="T265" s="1912" t="str">
        <f t="shared" ref="T265:T270" si="56">IF(P265=0,"",R265)</f>
        <v/>
      </c>
      <c r="AB265" s="3187" t="str">
        <f t="shared" si="40"/>
        <v>Apr. innato (2): Vigor</v>
      </c>
      <c r="AC265" s="3188">
        <f t="shared" si="39"/>
        <v>51</v>
      </c>
      <c r="AD265" s="2731" t="s">
        <v>1392</v>
      </c>
      <c r="AE265" s="3189">
        <v>2</v>
      </c>
      <c r="AF265" s="3189">
        <f>COUNTIF(Principal!$C$35:$J$47,AD265)+COUNTIF(Principal!$C$48:$F$49,AD265)</f>
        <v>0</v>
      </c>
      <c r="AG265" s="3190">
        <f t="shared" si="41"/>
        <v>0</v>
      </c>
      <c r="AH265" s="3215">
        <v>1</v>
      </c>
      <c r="AI265" s="3194" t="s">
        <v>2649</v>
      </c>
      <c r="AJ265"/>
    </row>
    <row r="266" spans="1:36" ht="12.75" customHeight="1">
      <c r="A266" s="219">
        <v>266</v>
      </c>
      <c r="B266" s="7145"/>
      <c r="C266" s="1673" t="str">
        <f t="shared" si="53"/>
        <v>+1 a característica: FUE</v>
      </c>
      <c r="D266" s="787">
        <f t="shared" si="52"/>
        <v>4</v>
      </c>
      <c r="E266" s="793" t="s">
        <v>9548</v>
      </c>
      <c r="F266" s="1669">
        <v>1</v>
      </c>
      <c r="G266" s="1669">
        <f>COUNTIF(Principal!$C$35:$J$47,Tablas!E266)+COUNTIF(Principal!$C$48:$F$49,Tablas!E266)</f>
        <v>0</v>
      </c>
      <c r="H266" s="1670">
        <f t="shared" si="54"/>
        <v>0</v>
      </c>
      <c r="I266" s="792"/>
      <c r="J266" s="1674" t="s">
        <v>2649</v>
      </c>
      <c r="L266" s="515" t="str">
        <f t="shared" si="44"/>
        <v>Sangre de Aeon: Phandemonium (1)</v>
      </c>
      <c r="M266" s="787">
        <f t="shared" si="45"/>
        <v>5</v>
      </c>
      <c r="N266" s="47" t="s">
        <v>2355</v>
      </c>
      <c r="O266" s="1675">
        <f>1+IF(Principal!$Y$24="No",1,0)</f>
        <v>1</v>
      </c>
      <c r="P266" s="1670">
        <f>COUNTIF(Principal!$C$35:$J$47,Tablas!N266)</f>
        <v>0</v>
      </c>
      <c r="Q266" s="1669">
        <f t="shared" si="55"/>
        <v>0</v>
      </c>
      <c r="R266" s="1908" t="s">
        <v>7930</v>
      </c>
      <c r="S266" s="1047"/>
      <c r="T266" s="1912" t="str">
        <f t="shared" si="56"/>
        <v/>
      </c>
      <c r="AB266" s="3187" t="str">
        <f t="shared" si="40"/>
        <v>Apr. innato (3): Atléticas</v>
      </c>
      <c r="AC266" s="3188">
        <f t="shared" si="39"/>
        <v>43</v>
      </c>
      <c r="AD266" s="2731" t="s">
        <v>2115</v>
      </c>
      <c r="AE266" s="3189">
        <v>2</v>
      </c>
      <c r="AF266" s="3189">
        <f>COUNTIF(Principal!$C$35:$J$47,AD266)+COUNTIF(Principal!$C$48:$F$49,AD266)</f>
        <v>0</v>
      </c>
      <c r="AG266" s="3190">
        <f t="shared" si="41"/>
        <v>0</v>
      </c>
      <c r="AH266" s="3215">
        <v>1</v>
      </c>
      <c r="AI266" s="3194" t="s">
        <v>2649</v>
      </c>
      <c r="AJ266"/>
    </row>
    <row r="267" spans="1:36" ht="12.75" customHeight="1">
      <c r="A267" s="219">
        <v>267</v>
      </c>
      <c r="B267" s="7145"/>
      <c r="C267" s="1673" t="str">
        <f t="shared" si="53"/>
        <v>+1 a característica: INT</v>
      </c>
      <c r="D267" s="787">
        <f t="shared" si="52"/>
        <v>5</v>
      </c>
      <c r="E267" s="793" t="s">
        <v>9549</v>
      </c>
      <c r="F267" s="1669">
        <v>1</v>
      </c>
      <c r="G267" s="1669">
        <f>COUNTIF(Principal!$C$35:$J$47,Tablas!E267)+COUNTIF(Principal!$C$48:$F$49,Tablas!E267)</f>
        <v>0</v>
      </c>
      <c r="H267" s="1670">
        <f t="shared" si="54"/>
        <v>0</v>
      </c>
      <c r="I267" s="792"/>
      <c r="J267" s="1674" t="s">
        <v>2649</v>
      </c>
      <c r="L267" s="515" t="str">
        <f t="shared" si="44"/>
        <v>Sangre de Aeon: Phandemonium (2)</v>
      </c>
      <c r="M267" s="787">
        <f t="shared" si="45"/>
        <v>3</v>
      </c>
      <c r="N267" s="47" t="s">
        <v>2356</v>
      </c>
      <c r="O267" s="1675">
        <f>2+IF(Principal!$Y$24="No",1,0)</f>
        <v>2</v>
      </c>
      <c r="P267" s="1670">
        <f>COUNTIF(Principal!$C$35:$J$47,Tablas!N267)</f>
        <v>0</v>
      </c>
      <c r="Q267" s="1669">
        <f t="shared" si="55"/>
        <v>0</v>
      </c>
      <c r="R267" s="1908" t="s">
        <v>7931</v>
      </c>
      <c r="S267" s="1047"/>
      <c r="T267" s="1912" t="str">
        <f t="shared" si="56"/>
        <v/>
      </c>
      <c r="AB267" s="3187" t="str">
        <f t="shared" si="40"/>
        <v>Apr. innato (3): Creativas</v>
      </c>
      <c r="AC267" s="3188">
        <f t="shared" si="39"/>
        <v>47</v>
      </c>
      <c r="AD267" s="2731" t="s">
        <v>2116</v>
      </c>
      <c r="AE267" s="3189">
        <v>2</v>
      </c>
      <c r="AF267" s="3189">
        <f>COUNTIF(Principal!$C$35:$J$47,AD267)+COUNTIF(Principal!$C$48:$F$49,AD267)</f>
        <v>0</v>
      </c>
      <c r="AG267" s="3190">
        <f t="shared" si="41"/>
        <v>0</v>
      </c>
      <c r="AH267" s="3215">
        <v>1</v>
      </c>
      <c r="AI267" s="3194" t="s">
        <v>2649</v>
      </c>
      <c r="AJ267"/>
    </row>
    <row r="268" spans="1:36" ht="12.75" customHeight="1">
      <c r="A268" s="219">
        <v>268</v>
      </c>
      <c r="B268" s="7145"/>
      <c r="C268" s="1673" t="str">
        <f t="shared" si="53"/>
        <v>+1 a característica: PER</v>
      </c>
      <c r="D268" s="787">
        <f t="shared" si="52"/>
        <v>6</v>
      </c>
      <c r="E268" s="793" t="s">
        <v>9550</v>
      </c>
      <c r="F268" s="1669">
        <v>1</v>
      </c>
      <c r="G268" s="1669">
        <f>COUNTIF(Principal!$C$35:$J$47,Tablas!E268)+COUNTIF(Principal!$C$48:$F$49,Tablas!E268)</f>
        <v>0</v>
      </c>
      <c r="H268" s="1670">
        <f t="shared" si="54"/>
        <v>0</v>
      </c>
      <c r="I268" s="792"/>
      <c r="J268" s="1674" t="s">
        <v>2649</v>
      </c>
      <c r="L268" s="515" t="str">
        <f t="shared" si="44"/>
        <v>Sangre de Aeon: Ran (1)</v>
      </c>
      <c r="M268" s="787">
        <f t="shared" si="45"/>
        <v>4</v>
      </c>
      <c r="N268" s="47" t="s">
        <v>2357</v>
      </c>
      <c r="O268" s="1675">
        <f>1+IF(Principal!$Y$24="No",1,0)</f>
        <v>1</v>
      </c>
      <c r="P268" s="1670">
        <f>COUNTIF(Principal!$C$35:$J$47,Tablas!N268)</f>
        <v>0</v>
      </c>
      <c r="Q268" s="1669">
        <f t="shared" si="55"/>
        <v>0</v>
      </c>
      <c r="R268" s="1908" t="s">
        <v>7932</v>
      </c>
      <c r="S268" s="1047"/>
      <c r="T268" s="1912" t="str">
        <f t="shared" si="56"/>
        <v/>
      </c>
      <c r="AB268" s="3187" t="str">
        <f t="shared" si="40"/>
        <v>Apr. innato (3): Intelectuales</v>
      </c>
      <c r="AC268" s="3188">
        <f t="shared" si="39"/>
        <v>46</v>
      </c>
      <c r="AD268" s="2731" t="s">
        <v>2117</v>
      </c>
      <c r="AE268" s="3189">
        <v>2</v>
      </c>
      <c r="AF268" s="3189">
        <f>COUNTIF(Principal!$C$35:$J$47,AD268)+COUNTIF(Principal!$C$48:$F$49,AD268)</f>
        <v>0</v>
      </c>
      <c r="AG268" s="3190">
        <f t="shared" si="41"/>
        <v>0</v>
      </c>
      <c r="AH268" s="3215">
        <v>1</v>
      </c>
      <c r="AI268" s="3194" t="s">
        <v>2649</v>
      </c>
      <c r="AJ268"/>
    </row>
    <row r="269" spans="1:36" ht="12.75" customHeight="1">
      <c r="A269" s="219">
        <v>269</v>
      </c>
      <c r="B269" s="7145"/>
      <c r="C269" s="1673" t="str">
        <f t="shared" si="53"/>
        <v>+1 a característica: POD</v>
      </c>
      <c r="D269" s="787">
        <f t="shared" si="52"/>
        <v>7</v>
      </c>
      <c r="E269" s="793" t="s">
        <v>9551</v>
      </c>
      <c r="F269" s="1669">
        <v>1</v>
      </c>
      <c r="G269" s="1669">
        <f>COUNTIF(Principal!$C$35:$J$47,Tablas!E269)+COUNTIF(Principal!$C$48:$F$49,Tablas!E269)</f>
        <v>0</v>
      </c>
      <c r="H269" s="1670">
        <f t="shared" si="54"/>
        <v>0</v>
      </c>
      <c r="I269" s="792"/>
      <c r="J269" s="1674" t="s">
        <v>2649</v>
      </c>
      <c r="L269" s="515" t="str">
        <f t="shared" si="44"/>
        <v>Sangre de Aeon: Ran (2)</v>
      </c>
      <c r="M269" s="787">
        <f t="shared" si="45"/>
        <v>1</v>
      </c>
      <c r="N269" s="47" t="s">
        <v>9632</v>
      </c>
      <c r="O269" s="1675">
        <f>1+IF(Principal!$Y$24="No",1,0)</f>
        <v>1</v>
      </c>
      <c r="P269" s="1670">
        <f>COUNTIF(Principal!$C$35:$J$47,Tablas!N269)+P270</f>
        <v>0</v>
      </c>
      <c r="Q269" s="1669">
        <f t="shared" si="55"/>
        <v>0</v>
      </c>
      <c r="R269" s="1908" t="s">
        <v>7933</v>
      </c>
      <c r="S269" s="1047"/>
      <c r="T269" s="1912" t="str">
        <f t="shared" si="56"/>
        <v/>
      </c>
      <c r="AB269" s="3187" t="str">
        <f t="shared" si="40"/>
        <v>Apr. innato (3): Perceptivas</v>
      </c>
      <c r="AC269" s="3188">
        <f t="shared" ref="AC269:AC300" si="57">COUNTIF($AD$236:$AD$379,"&lt;="&amp;AD269)-COUNTIF($AD$236:$AD$379,"*&gt;*")</f>
        <v>45</v>
      </c>
      <c r="AD269" s="2731" t="s">
        <v>2118</v>
      </c>
      <c r="AE269" s="3189">
        <v>2</v>
      </c>
      <c r="AF269" s="3189">
        <f>COUNTIF(Principal!$C$35:$J$47,AD269)+COUNTIF(Principal!$C$48:$F$49,AD269)</f>
        <v>0</v>
      </c>
      <c r="AG269" s="3190">
        <f t="shared" si="41"/>
        <v>0</v>
      </c>
      <c r="AH269" s="3215">
        <v>1</v>
      </c>
      <c r="AI269" s="3194" t="s">
        <v>2649</v>
      </c>
      <c r="AJ269"/>
    </row>
    <row r="270" spans="1:36" ht="12.75" customHeight="1">
      <c r="A270" s="219">
        <v>270</v>
      </c>
      <c r="B270" s="7145"/>
      <c r="C270" s="1673" t="str">
        <f t="shared" si="53"/>
        <v>+1 a característica: VOL</v>
      </c>
      <c r="D270" s="787">
        <f t="shared" si="52"/>
        <v>8</v>
      </c>
      <c r="E270" s="793" t="s">
        <v>9552</v>
      </c>
      <c r="F270" s="1669">
        <v>1</v>
      </c>
      <c r="G270" s="1669">
        <f>COUNTIF(Principal!$C$35:$J$47,Tablas!E270)+COUNTIF(Principal!$C$48:$F$49,Tablas!E270)</f>
        <v>0</v>
      </c>
      <c r="H270" s="1670">
        <f t="shared" si="54"/>
        <v>0</v>
      </c>
      <c r="I270" s="792"/>
      <c r="J270" s="1674" t="s">
        <v>2649</v>
      </c>
      <c r="L270" s="515" t="str">
        <f t="shared" si="44"/>
        <v>Sangre de Aeon: Rudraksha (1)</v>
      </c>
      <c r="M270" s="787">
        <f t="shared" si="45"/>
        <v>2</v>
      </c>
      <c r="N270" s="47" t="s">
        <v>9633</v>
      </c>
      <c r="O270" s="1675">
        <f>1</f>
        <v>1</v>
      </c>
      <c r="P270" s="1670">
        <f>COUNTIF(Principal!$C$35:$J$47,Tablas!N270)</f>
        <v>0</v>
      </c>
      <c r="Q270" s="1669">
        <f t="shared" si="55"/>
        <v>0</v>
      </c>
      <c r="R270" s="1908"/>
      <c r="S270" s="1047"/>
      <c r="T270" s="1912" t="str">
        <f t="shared" si="56"/>
        <v/>
      </c>
      <c r="AB270" s="3187" t="str">
        <f t="shared" ref="AB270:AB301" si="58">VLOOKUP(A33,$AC$237:$AD$384,2,0)</f>
        <v>Apr. innato (3): Sociales</v>
      </c>
      <c r="AC270" s="3188">
        <f t="shared" si="57"/>
        <v>49</v>
      </c>
      <c r="AD270" s="2731" t="s">
        <v>2119</v>
      </c>
      <c r="AE270" s="3189">
        <v>2</v>
      </c>
      <c r="AF270" s="3189">
        <f>COUNTIF(Principal!$C$35:$J$47,AD270)+COUNTIF(Principal!$C$48:$F$49,AD270)</f>
        <v>0</v>
      </c>
      <c r="AG270" s="3190">
        <f t="shared" si="41"/>
        <v>0</v>
      </c>
      <c r="AH270" s="3215">
        <v>1</v>
      </c>
      <c r="AI270" s="3194" t="s">
        <v>2649</v>
      </c>
      <c r="AJ270"/>
    </row>
    <row r="271" spans="1:36" ht="12.75" customHeight="1">
      <c r="A271" s="219">
        <v>271</v>
      </c>
      <c r="B271" s="7145"/>
      <c r="C271" s="1673" t="str">
        <f t="shared" si="53"/>
        <v>Ac. de Ki incrementada (1)</v>
      </c>
      <c r="D271" s="787">
        <f t="shared" si="52"/>
        <v>117</v>
      </c>
      <c r="E271" s="47" t="s">
        <v>2101</v>
      </c>
      <c r="F271" s="1669">
        <v>2</v>
      </c>
      <c r="G271" s="1669">
        <f>COUNTIF(Principal!$C$35:$J$47,Tablas!E271)+COUNTIF(Principal!$C$48:$F$49,Tablas!E271)</f>
        <v>0</v>
      </c>
      <c r="H271" s="1670">
        <f t="shared" ref="H271:H290" si="59">G271*F271</f>
        <v>0</v>
      </c>
      <c r="I271" s="792"/>
      <c r="J271" s="1674" t="s">
        <v>2649</v>
      </c>
      <c r="L271" s="515" t="str">
        <f t="shared" si="44"/>
        <v>Sangre de Aeon: Rudraksha (2)</v>
      </c>
      <c r="M271" s="787">
        <f t="shared" si="45"/>
        <v>42</v>
      </c>
      <c r="N271" s="47" t="s">
        <v>2358</v>
      </c>
      <c r="O271" s="1675">
        <f>1+IF(Principal!$Y$24="No",1,0)</f>
        <v>1</v>
      </c>
      <c r="P271" s="1670">
        <f>COUNTIF(Principal!$C$35:$J$47,Tablas!N271)</f>
        <v>0</v>
      </c>
      <c r="Q271" s="1669">
        <f t="shared" si="55"/>
        <v>0</v>
      </c>
      <c r="R271" s="1908" t="s">
        <v>10541</v>
      </c>
      <c r="S271" s="1047"/>
      <c r="T271" s="1912" t="str">
        <f>IF(P271=0,"",R271)</f>
        <v/>
      </c>
      <c r="AB271" s="3187" t="str">
        <f t="shared" si="58"/>
        <v>Apr. innato (3): Subterfugio</v>
      </c>
      <c r="AC271" s="3188">
        <f t="shared" si="57"/>
        <v>48</v>
      </c>
      <c r="AD271" s="2731" t="s">
        <v>2120</v>
      </c>
      <c r="AE271" s="3189">
        <v>2</v>
      </c>
      <c r="AF271" s="3189">
        <f>COUNTIF(Principal!$C$35:$J$47,AD271)+COUNTIF(Principal!$C$48:$F$49,AD271)</f>
        <v>0</v>
      </c>
      <c r="AG271" s="3190">
        <f t="shared" si="41"/>
        <v>0</v>
      </c>
      <c r="AH271" s="3215">
        <v>1</v>
      </c>
      <c r="AI271" s="3194" t="s">
        <v>2649</v>
      </c>
      <c r="AJ271"/>
    </row>
    <row r="272" spans="1:36" ht="12.75" customHeight="1">
      <c r="A272" s="219">
        <v>272</v>
      </c>
      <c r="B272" s="7145"/>
      <c r="C272" s="1673" t="str">
        <f t="shared" si="53"/>
        <v>Ac. de Ki incrementada (2)</v>
      </c>
      <c r="D272" s="787">
        <f t="shared" si="52"/>
        <v>101</v>
      </c>
      <c r="E272" s="47" t="s">
        <v>2102</v>
      </c>
      <c r="F272" s="1669">
        <v>1</v>
      </c>
      <c r="G272" s="1669">
        <f>COUNTIF(Principal!$C$35:$J$47,Tablas!E272)+COUNTIF(Principal!$C$48:$F$49,Tablas!E272)</f>
        <v>0</v>
      </c>
      <c r="H272" s="1670">
        <f t="shared" si="59"/>
        <v>0</v>
      </c>
      <c r="I272" s="792">
        <v>1</v>
      </c>
      <c r="J272" s="1674" t="s">
        <v>2649</v>
      </c>
      <c r="L272" s="515" t="str">
        <f t="shared" si="44"/>
        <v>Sangre de Aeon: Shephirah (1)</v>
      </c>
      <c r="M272" s="787">
        <f t="shared" si="45"/>
        <v>40</v>
      </c>
      <c r="N272" s="47" t="s">
        <v>2359</v>
      </c>
      <c r="O272" s="1675">
        <f>1+IF(Principal!$Y$24="No",1,0)</f>
        <v>1</v>
      </c>
      <c r="P272" s="1670">
        <f>COUNTIF(Principal!$C$35:$J$47,Tablas!N272)</f>
        <v>0</v>
      </c>
      <c r="Q272" s="1669">
        <f t="shared" si="55"/>
        <v>0</v>
      </c>
      <c r="R272" s="1908" t="s">
        <v>7934</v>
      </c>
      <c r="S272" s="1047"/>
      <c r="T272" s="1912" t="str">
        <f>IF(P272=0,"",R272)</f>
        <v/>
      </c>
      <c r="AB272" s="3187" t="str">
        <f t="shared" si="58"/>
        <v>Apr. innato (3): Vigor</v>
      </c>
      <c r="AC272" s="3188">
        <f t="shared" si="57"/>
        <v>44</v>
      </c>
      <c r="AD272" s="2731" t="s">
        <v>2121</v>
      </c>
      <c r="AE272" s="3189">
        <v>2</v>
      </c>
      <c r="AF272" s="3189">
        <f>COUNTIF(Principal!$C$35:$J$47,AD272)+COUNTIF(Principal!$C$48:$F$49,AD272)</f>
        <v>0</v>
      </c>
      <c r="AG272" s="3190">
        <f t="shared" si="41"/>
        <v>0</v>
      </c>
      <c r="AH272" s="3215">
        <v>1</v>
      </c>
      <c r="AI272" s="3194" t="s">
        <v>2649</v>
      </c>
      <c r="AJ272"/>
    </row>
    <row r="273" spans="1:36" ht="12.75" customHeight="1">
      <c r="A273" s="219">
        <v>273</v>
      </c>
      <c r="B273" s="7145"/>
      <c r="C273" s="1673" t="str">
        <f t="shared" si="53"/>
        <v>Acc. psíquico natural (1)</v>
      </c>
      <c r="D273" s="787">
        <f t="shared" si="52"/>
        <v>102</v>
      </c>
      <c r="E273" s="47" t="s">
        <v>2103</v>
      </c>
      <c r="F273" s="1669">
        <v>2</v>
      </c>
      <c r="G273" s="1669">
        <f>COUNTIF(Principal!$C$35:$J$47,Tablas!E273)+COUNTIF(Principal!$C$48:$F$49,Tablas!E273)</f>
        <v>0</v>
      </c>
      <c r="H273" s="1670">
        <f t="shared" si="59"/>
        <v>0</v>
      </c>
      <c r="I273" s="792">
        <v>1</v>
      </c>
      <c r="J273" s="1674" t="s">
        <v>2649</v>
      </c>
      <c r="L273" s="515" t="str">
        <f t="shared" si="44"/>
        <v>Sangre de Aeon: Shephirah (2)</v>
      </c>
      <c r="M273" s="787">
        <f t="shared" si="45"/>
        <v>47</v>
      </c>
      <c r="N273" s="47" t="s">
        <v>2360</v>
      </c>
      <c r="O273" s="1675">
        <f>1+IF(Principal!$Y$24="No",1,0)</f>
        <v>1</v>
      </c>
      <c r="P273" s="1670">
        <f>COUNTIF(Principal!$C$35:$J$47,Tablas!N273)</f>
        <v>0</v>
      </c>
      <c r="Q273" s="1669">
        <f t="shared" si="55"/>
        <v>0</v>
      </c>
      <c r="R273" s="1908" t="s">
        <v>7935</v>
      </c>
      <c r="S273" s="1047"/>
      <c r="T273" s="1912" t="str">
        <f>IF(P273=0,"",R273)</f>
        <v/>
      </c>
      <c r="AB273" s="3187" t="str">
        <f t="shared" si="58"/>
        <v>Aprendizaje (1)</v>
      </c>
      <c r="AC273" s="3188">
        <f t="shared" si="57"/>
        <v>39</v>
      </c>
      <c r="AD273" s="2731" t="s">
        <v>9651</v>
      </c>
      <c r="AE273" s="3189">
        <v>1</v>
      </c>
      <c r="AF273" s="3189">
        <f>COUNTIF(Principal!$C$35:$J$47,AD273)+COUNTIF(Principal!$C$48:$F$49,AD273)</f>
        <v>0</v>
      </c>
      <c r="AG273" s="3190">
        <f t="shared" si="41"/>
        <v>0</v>
      </c>
      <c r="AH273" s="3215">
        <v>1</v>
      </c>
      <c r="AI273" s="3194" t="s">
        <v>2649</v>
      </c>
      <c r="AJ273"/>
    </row>
    <row r="274" spans="1:36" ht="12.75" customHeight="1">
      <c r="A274" s="219">
        <v>274</v>
      </c>
      <c r="B274" s="7145"/>
      <c r="C274" s="1673" t="str">
        <f t="shared" si="53"/>
        <v>Acc. psíquico natural (2)</v>
      </c>
      <c r="D274" s="787">
        <f t="shared" si="52"/>
        <v>103</v>
      </c>
      <c r="E274" s="47" t="s">
        <v>2104</v>
      </c>
      <c r="F274" s="1669">
        <v>1</v>
      </c>
      <c r="G274" s="1669">
        <f>COUNTIF(Principal!$C$35:$J$47,Tablas!E274)+COUNTIF(Principal!$C$48:$F$49,Tablas!E274)</f>
        <v>0</v>
      </c>
      <c r="H274" s="1670">
        <f t="shared" si="59"/>
        <v>0</v>
      </c>
      <c r="I274" s="792">
        <v>1</v>
      </c>
      <c r="J274" s="1674" t="s">
        <v>2649</v>
      </c>
      <c r="L274" s="515" t="str">
        <f t="shared" si="44"/>
        <v>Sangre de Aeon: Toa (1)</v>
      </c>
      <c r="M274" s="787">
        <f t="shared" si="45"/>
        <v>36</v>
      </c>
      <c r="N274" s="47" t="s">
        <v>2361</v>
      </c>
      <c r="O274" s="1675">
        <f>1+IF(Principal!$Y$24="No",1,0)</f>
        <v>1</v>
      </c>
      <c r="P274" s="1670">
        <f>COUNTIF(Principal!$C$35:$J$47,Tablas!N274)</f>
        <v>0</v>
      </c>
      <c r="Q274" s="1669">
        <f t="shared" si="55"/>
        <v>0</v>
      </c>
      <c r="R274" s="1908" t="s">
        <v>7936</v>
      </c>
      <c r="S274" s="1047"/>
      <c r="T274" s="1912" t="str">
        <f>IF(P274=0,"",R274)</f>
        <v/>
      </c>
      <c r="AB274" s="3187" t="str">
        <f t="shared" si="58"/>
        <v>Aprendizaje (2)</v>
      </c>
      <c r="AC274" s="3188">
        <f t="shared" si="57"/>
        <v>40</v>
      </c>
      <c r="AD274" s="2731" t="s">
        <v>9652</v>
      </c>
      <c r="AE274" s="3189">
        <v>2</v>
      </c>
      <c r="AF274" s="3189">
        <f>COUNTIF(Principal!$C$35:$J$47,AD274)+COUNTIF(Principal!$C$48:$F$49,AD274)</f>
        <v>0</v>
      </c>
      <c r="AG274" s="3190">
        <f t="shared" si="41"/>
        <v>0</v>
      </c>
      <c r="AH274" s="3215">
        <v>1</v>
      </c>
      <c r="AI274" s="3194" t="s">
        <v>2649</v>
      </c>
      <c r="AJ274"/>
    </row>
    <row r="275" spans="1:36" ht="12.75" customHeight="1">
      <c r="A275" s="219">
        <v>275</v>
      </c>
      <c r="B275" s="7145"/>
      <c r="C275" s="1673" t="str">
        <f t="shared" si="53"/>
        <v>Acc. psíquico natural (3)</v>
      </c>
      <c r="D275" s="787">
        <f t="shared" si="52"/>
        <v>104</v>
      </c>
      <c r="E275" s="47" t="s">
        <v>2105</v>
      </c>
      <c r="F275" s="1669">
        <v>2</v>
      </c>
      <c r="G275" s="1669">
        <f>COUNTIF(Principal!$C$35:$J$47,Tablas!E275)+COUNTIF(Principal!$C$48:$F$49,Tablas!E275)</f>
        <v>0</v>
      </c>
      <c r="H275" s="1670">
        <f t="shared" si="59"/>
        <v>0</v>
      </c>
      <c r="I275" s="792">
        <v>1</v>
      </c>
      <c r="J275" s="1674" t="s">
        <v>2649</v>
      </c>
      <c r="L275" s="515" t="str">
        <f t="shared" si="44"/>
        <v>Sangre de Aeon: Toa (2)</v>
      </c>
      <c r="M275" s="787">
        <f t="shared" si="45"/>
        <v>48</v>
      </c>
      <c r="N275" s="47" t="s">
        <v>2362</v>
      </c>
      <c r="O275" s="1675">
        <f>1+IF(Principal!$Y$24="No",1,0)</f>
        <v>1</v>
      </c>
      <c r="P275" s="1670">
        <f>COUNTIF(Principal!$C$35:$J$47,Tablas!N275)</f>
        <v>0</v>
      </c>
      <c r="Q275" s="1669">
        <f t="shared" si="55"/>
        <v>0</v>
      </c>
      <c r="R275" s="1908" t="s">
        <v>7937</v>
      </c>
      <c r="S275" s="1047"/>
      <c r="T275" s="1912" t="str">
        <f>IF(P275=0,"",R275)</f>
        <v/>
      </c>
      <c r="U275" s="214"/>
      <c r="V275" s="215"/>
      <c r="X275" s="510"/>
      <c r="AB275" s="3187" t="str">
        <f t="shared" si="58"/>
        <v>Aprendizaje (3)</v>
      </c>
      <c r="AC275" s="3188">
        <f t="shared" si="57"/>
        <v>41</v>
      </c>
      <c r="AD275" s="2731" t="s">
        <v>9653</v>
      </c>
      <c r="AE275" s="3189">
        <v>3</v>
      </c>
      <c r="AF275" s="3189">
        <f>COUNTIF(Principal!$C$35:$J$47,AD275)+COUNTIF(Principal!$C$48:$F$49,AD275)</f>
        <v>0</v>
      </c>
      <c r="AG275" s="3190">
        <f t="shared" si="41"/>
        <v>0</v>
      </c>
      <c r="AH275" s="3215">
        <v>1</v>
      </c>
      <c r="AI275" s="3194" t="s">
        <v>2649</v>
      </c>
      <c r="AJ275"/>
    </row>
    <row r="276" spans="1:36" ht="12.75" customHeight="1">
      <c r="A276" s="219">
        <v>276</v>
      </c>
      <c r="B276" s="7145"/>
      <c r="C276" s="1673" t="str">
        <f t="shared" si="53"/>
        <v>Acceso a 1 disciplina psiquica</v>
      </c>
      <c r="D276" s="787">
        <f t="shared" si="52"/>
        <v>105</v>
      </c>
      <c r="E276" s="786" t="s">
        <v>2106</v>
      </c>
      <c r="F276" s="1669">
        <v>1</v>
      </c>
      <c r="G276" s="1669">
        <f>COUNTIF(Principal!$C$35:$J$47,Tablas!E276)+COUNTIF(Principal!$C$48:$F$49,Tablas!E276)</f>
        <v>0</v>
      </c>
      <c r="H276" s="1670">
        <f t="shared" si="59"/>
        <v>0</v>
      </c>
      <c r="I276" s="792">
        <v>1</v>
      </c>
      <c r="J276" s="1674" t="s">
        <v>2649</v>
      </c>
      <c r="L276" s="515" t="str">
        <f t="shared" si="44"/>
        <v>Sangre de El Dragón</v>
      </c>
      <c r="M276" s="787">
        <f t="shared" si="45"/>
        <v>15</v>
      </c>
      <c r="N276" s="3293" t="s">
        <v>10528</v>
      </c>
      <c r="O276" s="3294">
        <v>1</v>
      </c>
      <c r="P276" s="3295">
        <f>COUNTIF(Principal!$C$35:$J$47,Tablas!N276)</f>
        <v>0</v>
      </c>
      <c r="Q276" s="3296">
        <f t="shared" si="55"/>
        <v>0</v>
      </c>
      <c r="R276" s="3297" t="s">
        <v>10542</v>
      </c>
      <c r="S276" s="3298"/>
      <c r="T276" s="3742" t="str">
        <f t="shared" ref="T276:T288" si="60">IF(P276=0,"",R276)</f>
        <v/>
      </c>
      <c r="X276" s="510"/>
      <c r="AB276" s="3187" t="str">
        <f t="shared" si="58"/>
        <v>Aprendizaje innato (1)</v>
      </c>
      <c r="AC276" s="3188">
        <f t="shared" si="57"/>
        <v>22</v>
      </c>
      <c r="AD276" s="2731" t="s">
        <v>9650</v>
      </c>
      <c r="AE276" s="3189">
        <v>2</v>
      </c>
      <c r="AF276" s="3189">
        <f>COUNTIF(Principal!$C$35:$J$47,AD276)+COUNTIF(Principal!$C$48:$F$49,AD276)</f>
        <v>0</v>
      </c>
      <c r="AG276" s="3190">
        <f t="shared" si="41"/>
        <v>0</v>
      </c>
      <c r="AH276" s="3215">
        <v>1</v>
      </c>
      <c r="AI276" s="3194" t="s">
        <v>2649</v>
      </c>
      <c r="AJ276"/>
    </row>
    <row r="277" spans="1:36" ht="12.75" customHeight="1">
      <c r="A277" s="219">
        <v>277</v>
      </c>
      <c r="B277" s="7145"/>
      <c r="C277" s="1673" t="str">
        <f t="shared" si="53"/>
        <v>Acceso libre a dis. psiquicas</v>
      </c>
      <c r="D277" s="787">
        <f t="shared" si="52"/>
        <v>106</v>
      </c>
      <c r="E277" s="786" t="s">
        <v>2107</v>
      </c>
      <c r="F277" s="1669">
        <v>2</v>
      </c>
      <c r="G277" s="1669">
        <f>COUNTIF(Principal!$C$35:$J$47,Tablas!E277)+COUNTIF(Principal!$C$48:$F$49,Tablas!E277)</f>
        <v>0</v>
      </c>
      <c r="H277" s="1670">
        <f t="shared" si="59"/>
        <v>0</v>
      </c>
      <c r="I277" s="792">
        <v>1</v>
      </c>
      <c r="J277" s="1674" t="s">
        <v>2649</v>
      </c>
      <c r="L277" s="515" t="str">
        <f t="shared" si="44"/>
        <v>Sangre de Grandes Bestias (1)</v>
      </c>
      <c r="M277" s="787">
        <f t="shared" si="45"/>
        <v>45</v>
      </c>
      <c r="N277" s="3293" t="s">
        <v>10529</v>
      </c>
      <c r="O277" s="3294">
        <v>1</v>
      </c>
      <c r="P277" s="3295">
        <f>COUNTIF(Principal!$C$35:$J$47,Tablas!N277)</f>
        <v>0</v>
      </c>
      <c r="Q277" s="3296">
        <f t="shared" si="55"/>
        <v>0</v>
      </c>
      <c r="R277" s="3297" t="s">
        <v>10543</v>
      </c>
      <c r="S277" s="3298"/>
      <c r="T277" s="3742" t="str">
        <f t="shared" si="60"/>
        <v/>
      </c>
      <c r="AB277" s="3187" t="str">
        <f t="shared" si="58"/>
        <v>Aprendizaje innato (2)</v>
      </c>
      <c r="AC277" s="3188">
        <f t="shared" si="57"/>
        <v>26</v>
      </c>
      <c r="AD277" s="2731" t="s">
        <v>9654</v>
      </c>
      <c r="AE277" s="3189">
        <v>2</v>
      </c>
      <c r="AF277" s="3189">
        <f>COUNTIF(Principal!$C$35:$J$47,AD277)+COUNTIF(Principal!$C$48:$F$49,AD277)</f>
        <v>0</v>
      </c>
      <c r="AG277" s="3190">
        <f t="shared" si="41"/>
        <v>0</v>
      </c>
      <c r="AH277" s="3215">
        <v>1</v>
      </c>
      <c r="AI277" s="3194" t="s">
        <v>2649</v>
      </c>
      <c r="AJ277"/>
    </row>
    <row r="278" spans="1:36" ht="12.75" customHeight="1">
      <c r="A278" s="219">
        <v>278</v>
      </c>
      <c r="B278" s="7145"/>
      <c r="C278" s="1673" t="str">
        <f t="shared" si="53"/>
        <v>Acumulación plena</v>
      </c>
      <c r="D278" s="787">
        <f t="shared" si="52"/>
        <v>14</v>
      </c>
      <c r="E278" s="540" t="s">
        <v>2108</v>
      </c>
      <c r="F278" s="1675">
        <v>1</v>
      </c>
      <c r="G278" s="1669">
        <f>COUNTIF(Principal!$C$35:$J$47,Tablas!E278)+COUNTIF(Principal!$C$48:$F$49,Tablas!E278)</f>
        <v>0</v>
      </c>
      <c r="H278" s="1670">
        <f t="shared" si="59"/>
        <v>0</v>
      </c>
      <c r="I278" s="792"/>
      <c r="J278" s="1674" t="s">
        <v>2649</v>
      </c>
      <c r="L278" s="515" t="str">
        <f t="shared" si="44"/>
        <v>Sangre de Grandes Bestias (2)</v>
      </c>
      <c r="M278" s="787">
        <f t="shared" si="45"/>
        <v>43</v>
      </c>
      <c r="N278" s="3293" t="s">
        <v>10530</v>
      </c>
      <c r="O278" s="3294">
        <v>2</v>
      </c>
      <c r="P278" s="3295">
        <f>COUNTIF(Principal!$C$35:$J$47,Tablas!N278)</f>
        <v>0</v>
      </c>
      <c r="Q278" s="3296">
        <f t="shared" si="55"/>
        <v>0</v>
      </c>
      <c r="R278" s="3297" t="s">
        <v>10544</v>
      </c>
      <c r="S278" s="3298"/>
      <c r="T278" s="3742" t="str">
        <f t="shared" si="60"/>
        <v/>
      </c>
      <c r="AB278" s="3187" t="str">
        <f t="shared" si="58"/>
        <v>Aprendizaje innato (3)</v>
      </c>
      <c r="AC278" s="3188">
        <f t="shared" si="57"/>
        <v>25</v>
      </c>
      <c r="AD278" s="2731" t="s">
        <v>9655</v>
      </c>
      <c r="AE278" s="3189">
        <v>2</v>
      </c>
      <c r="AF278" s="3189">
        <f>COUNTIF(Principal!$C$35:$J$47,AD278)+COUNTIF(Principal!$C$48:$F$49,AD278)</f>
        <v>0</v>
      </c>
      <c r="AG278" s="3190">
        <f t="shared" si="41"/>
        <v>0</v>
      </c>
      <c r="AH278" s="3215">
        <v>1</v>
      </c>
      <c r="AI278" s="3194" t="s">
        <v>2649</v>
      </c>
      <c r="AJ278"/>
    </row>
    <row r="279" spans="1:36" ht="12.75" customHeight="1">
      <c r="A279" s="219">
        <v>279</v>
      </c>
      <c r="B279" s="7145"/>
      <c r="C279" s="1673" t="str">
        <f t="shared" si="53"/>
        <v>Afinidad animal</v>
      </c>
      <c r="D279" s="787">
        <f t="shared" si="52"/>
        <v>15</v>
      </c>
      <c r="E279" s="47" t="s">
        <v>2109</v>
      </c>
      <c r="F279" s="1675">
        <v>2</v>
      </c>
      <c r="G279" s="1669">
        <f>COUNTIF(Principal!$C$35:$J$47,Tablas!E279)+COUNTIF(Principal!$C$48:$F$49,Tablas!E279)</f>
        <v>0</v>
      </c>
      <c r="H279" s="1670">
        <f t="shared" si="59"/>
        <v>0</v>
      </c>
      <c r="I279" s="792"/>
      <c r="J279" s="1674" t="s">
        <v>2649</v>
      </c>
      <c r="L279" s="515" t="str">
        <f t="shared" si="44"/>
        <v>Sangre de Grandes Bestias (3)</v>
      </c>
      <c r="M279" s="787">
        <f t="shared" si="45"/>
        <v>19</v>
      </c>
      <c r="N279" s="3293" t="s">
        <v>10531</v>
      </c>
      <c r="O279" s="3294">
        <v>1</v>
      </c>
      <c r="P279" s="3295">
        <f>COUNTIF(Principal!$C$35:$J$47,Tablas!N279)</f>
        <v>0</v>
      </c>
      <c r="Q279" s="3296">
        <f t="shared" si="55"/>
        <v>0</v>
      </c>
      <c r="R279" s="3297" t="s">
        <v>10545</v>
      </c>
      <c r="S279" s="3298"/>
      <c r="T279" s="3742" t="str">
        <f t="shared" si="60"/>
        <v/>
      </c>
      <c r="AB279" s="3187" t="str">
        <f t="shared" si="58"/>
        <v>Aprendizaje marcial</v>
      </c>
      <c r="AC279" s="3188">
        <f t="shared" si="57"/>
        <v>24</v>
      </c>
      <c r="AD279" s="2731" t="s">
        <v>9656</v>
      </c>
      <c r="AE279" s="3189">
        <v>2</v>
      </c>
      <c r="AF279" s="3189">
        <f>COUNTIF(Principal!$C$35:$J$47,AD279)+COUNTIF(Principal!$C$48:$F$49,AD279)</f>
        <v>0</v>
      </c>
      <c r="AG279" s="3190">
        <f t="shared" si="41"/>
        <v>0</v>
      </c>
      <c r="AH279" s="3215">
        <v>1</v>
      </c>
      <c r="AI279" s="3194" t="s">
        <v>2649</v>
      </c>
      <c r="AJ279"/>
    </row>
    <row r="280" spans="1:36" ht="12.75" customHeight="1">
      <c r="A280" s="219">
        <v>280</v>
      </c>
      <c r="B280" s="7145"/>
      <c r="C280" s="1673" t="str">
        <f t="shared" si="53"/>
        <v>Afinidad de uso</v>
      </c>
      <c r="D280" s="787">
        <f t="shared" si="52"/>
        <v>17</v>
      </c>
      <c r="E280" s="47" t="s">
        <v>2110</v>
      </c>
      <c r="F280" s="1675">
        <v>1</v>
      </c>
      <c r="G280" s="1669">
        <f>COUNTIF(Principal!$C$35:$J$47,Tablas!E280)+COUNTIF(Principal!$C$48:$F$49,Tablas!E280)</f>
        <v>0</v>
      </c>
      <c r="H280" s="1670">
        <f t="shared" si="59"/>
        <v>0</v>
      </c>
      <c r="I280" s="792"/>
      <c r="J280" s="1674" t="s">
        <v>2649</v>
      </c>
      <c r="L280" s="515" t="str">
        <f t="shared" si="44"/>
        <v>Sangre de Kami: Genus Loci</v>
      </c>
      <c r="M280" s="787">
        <f t="shared" si="45"/>
        <v>18</v>
      </c>
      <c r="N280" s="3293" t="s">
        <v>10532</v>
      </c>
      <c r="O280" s="3294">
        <v>1</v>
      </c>
      <c r="P280" s="3295">
        <f>COUNTIF(Principal!$C$35:$J$47,Tablas!N280)</f>
        <v>0</v>
      </c>
      <c r="Q280" s="3296">
        <f t="shared" si="55"/>
        <v>0</v>
      </c>
      <c r="R280" s="3297" t="s">
        <v>10546</v>
      </c>
      <c r="S280" s="3298"/>
      <c r="T280" s="3742" t="str">
        <f t="shared" si="60"/>
        <v/>
      </c>
      <c r="AB280" s="3187" t="str">
        <f t="shared" si="58"/>
        <v>Apto en campo: Atléticas</v>
      </c>
      <c r="AC280" s="3188">
        <f t="shared" si="57"/>
        <v>28</v>
      </c>
      <c r="AD280" s="2731" t="s">
        <v>9657</v>
      </c>
      <c r="AE280" s="3189">
        <v>2</v>
      </c>
      <c r="AF280" s="3189">
        <f>COUNTIF(Principal!$C$35:$J$47,AD280)+COUNTIF(Principal!$C$48:$F$49,AD280)</f>
        <v>0</v>
      </c>
      <c r="AG280" s="3190">
        <f t="shared" si="41"/>
        <v>0</v>
      </c>
      <c r="AH280" s="3215">
        <v>1</v>
      </c>
      <c r="AI280" s="3194" t="s">
        <v>2649</v>
      </c>
      <c r="AJ280"/>
    </row>
    <row r="281" spans="1:36" ht="13.5" customHeight="1">
      <c r="A281" s="219">
        <v>281</v>
      </c>
      <c r="B281" s="7145"/>
      <c r="C281" s="1673" t="str">
        <f t="shared" si="53"/>
        <v>Afortunado</v>
      </c>
      <c r="D281" s="787">
        <f t="shared" si="52"/>
        <v>97</v>
      </c>
      <c r="E281" s="47" t="s">
        <v>9747</v>
      </c>
      <c r="F281" s="1675">
        <v>1</v>
      </c>
      <c r="G281" s="1669">
        <f>COUNTIF(Principal!$C$35:$J$47,Tablas!E281)+COUNTIF(Principal!$C$48:$F$49,Tablas!E281)</f>
        <v>0</v>
      </c>
      <c r="H281" s="1670">
        <f t="shared" si="59"/>
        <v>0</v>
      </c>
      <c r="I281" s="792">
        <v>1</v>
      </c>
      <c r="J281" s="1674" t="s">
        <v>2649</v>
      </c>
      <c r="L281" s="515" t="str">
        <f t="shared" si="44"/>
        <v>Sangre de las Arenas</v>
      </c>
      <c r="M281" s="787">
        <f t="shared" si="45"/>
        <v>44</v>
      </c>
      <c r="N281" s="3293" t="s">
        <v>10533</v>
      </c>
      <c r="O281" s="3294">
        <v>2</v>
      </c>
      <c r="P281" s="3295">
        <f>COUNTIF(Principal!$C$35:$J$47,Tablas!N281)</f>
        <v>0</v>
      </c>
      <c r="Q281" s="3296">
        <f t="shared" si="55"/>
        <v>0</v>
      </c>
      <c r="R281" s="3297" t="s">
        <v>10547</v>
      </c>
      <c r="S281" s="3298"/>
      <c r="T281" s="3742" t="str">
        <f t="shared" si="60"/>
        <v/>
      </c>
      <c r="AB281" s="3187" t="str">
        <f t="shared" si="58"/>
        <v>Apto en campo: Creativas</v>
      </c>
      <c r="AC281" s="3188">
        <f t="shared" si="57"/>
        <v>27</v>
      </c>
      <c r="AD281" s="2731" t="s">
        <v>9658</v>
      </c>
      <c r="AE281" s="3189">
        <v>2</v>
      </c>
      <c r="AF281" s="3189">
        <f>COUNTIF(Principal!$C$35:$J$47,AD281)+COUNTIF(Principal!$C$48:$F$49,AD281)</f>
        <v>0</v>
      </c>
      <c r="AG281" s="3190">
        <f t="shared" si="41"/>
        <v>0</v>
      </c>
      <c r="AH281" s="3215">
        <v>1</v>
      </c>
      <c r="AI281" s="3194" t="s">
        <v>2649</v>
      </c>
      <c r="AJ281"/>
    </row>
    <row r="282" spans="1:36" ht="12.75" customHeight="1">
      <c r="A282" s="219">
        <v>282</v>
      </c>
      <c r="B282" s="7145"/>
      <c r="C282" s="1673" t="str">
        <f t="shared" si="53"/>
        <v>Al límite</v>
      </c>
      <c r="D282" s="787">
        <f t="shared" si="52"/>
        <v>98</v>
      </c>
      <c r="E282" s="47" t="s">
        <v>9748</v>
      </c>
      <c r="F282" s="1675">
        <v>2</v>
      </c>
      <c r="G282" s="1669">
        <f>COUNTIF(Principal!$C$35:$J$47,Tablas!E282)+COUNTIF(Principal!$C$48:$F$49,Tablas!E282)</f>
        <v>0</v>
      </c>
      <c r="H282" s="1670">
        <f t="shared" si="59"/>
        <v>0</v>
      </c>
      <c r="I282" s="792">
        <v>1</v>
      </c>
      <c r="J282" s="1674" t="s">
        <v>2649</v>
      </c>
      <c r="L282" s="515" t="str">
        <f t="shared" si="44"/>
        <v>Sangre de los Muertos</v>
      </c>
      <c r="M282" s="787">
        <f t="shared" si="45"/>
        <v>11</v>
      </c>
      <c r="N282" s="3293" t="s">
        <v>10535</v>
      </c>
      <c r="O282" s="3294">
        <v>1</v>
      </c>
      <c r="P282" s="3295">
        <f>COUNTIF(Principal!$C$35:$J$47,Tablas!N282)</f>
        <v>0</v>
      </c>
      <c r="Q282" s="3296">
        <f t="shared" si="55"/>
        <v>0</v>
      </c>
      <c r="R282" s="3297" t="s">
        <v>10548</v>
      </c>
      <c r="S282" s="3298"/>
      <c r="T282" s="3742" t="str">
        <f t="shared" si="60"/>
        <v/>
      </c>
      <c r="Y282"/>
      <c r="Z282"/>
      <c r="AB282" s="3187" t="str">
        <f t="shared" si="58"/>
        <v>Apto en campo: Intelectuales</v>
      </c>
      <c r="AC282" s="3188">
        <f t="shared" si="57"/>
        <v>23</v>
      </c>
      <c r="AD282" s="2731" t="s">
        <v>9659</v>
      </c>
      <c r="AE282" s="3189">
        <v>2</v>
      </c>
      <c r="AF282" s="3189">
        <f>COUNTIF(Principal!$C$35:$J$47,AD282)+COUNTIF(Principal!$C$48:$F$49,AD282)</f>
        <v>0</v>
      </c>
      <c r="AG282" s="3190">
        <f t="shared" si="41"/>
        <v>0</v>
      </c>
      <c r="AH282" s="3215">
        <v>1</v>
      </c>
      <c r="AI282" s="3194" t="s">
        <v>2649</v>
      </c>
      <c r="AJ282"/>
    </row>
    <row r="283" spans="1:36" ht="12.75" customHeight="1">
      <c r="A283" s="219">
        <v>283</v>
      </c>
      <c r="B283" s="7145"/>
      <c r="C283" s="1673" t="str">
        <f t="shared" si="53"/>
        <v>Ambidestría</v>
      </c>
      <c r="D283" s="787">
        <f t="shared" si="52"/>
        <v>99</v>
      </c>
      <c r="E283" s="47" t="s">
        <v>9749</v>
      </c>
      <c r="F283" s="1669">
        <v>3</v>
      </c>
      <c r="G283" s="1669">
        <f>COUNTIF(Principal!$C$35:$J$47,Tablas!E283)+COUNTIF(Principal!$C$48:$F$49,Tablas!E283)</f>
        <v>0</v>
      </c>
      <c r="H283" s="1670">
        <f t="shared" si="59"/>
        <v>0</v>
      </c>
      <c r="I283" s="792">
        <v>1</v>
      </c>
      <c r="J283" s="1674" t="s">
        <v>2649</v>
      </c>
      <c r="L283" s="515" t="str">
        <f t="shared" si="44"/>
        <v>Sangre de Mebagaresi</v>
      </c>
      <c r="M283" s="787">
        <f t="shared" si="45"/>
        <v>12</v>
      </c>
      <c r="N283" s="3293" t="s">
        <v>10536</v>
      </c>
      <c r="O283" s="3294">
        <v>2</v>
      </c>
      <c r="P283" s="3295">
        <f>COUNTIF(Principal!$C$35:$J$47,Tablas!N283)</f>
        <v>0</v>
      </c>
      <c r="Q283" s="3296">
        <f t="shared" si="55"/>
        <v>0</v>
      </c>
      <c r="R283" s="3297" t="s">
        <v>10548</v>
      </c>
      <c r="S283" s="3299"/>
      <c r="T283" s="3742" t="str">
        <f t="shared" si="60"/>
        <v/>
      </c>
      <c r="Y283"/>
      <c r="Z283"/>
      <c r="AB283" s="3187" t="str">
        <f t="shared" si="58"/>
        <v>Apto en campo: Perceptivas</v>
      </c>
      <c r="AC283" s="3188">
        <f t="shared" si="57"/>
        <v>29</v>
      </c>
      <c r="AD283" s="2731" t="s">
        <v>9660</v>
      </c>
      <c r="AE283" s="3189">
        <v>3</v>
      </c>
      <c r="AF283" s="3189">
        <f>COUNTIF(Principal!$C$35:$J$47,AD283)+COUNTIF(Principal!$C$48:$F$49,AD283)</f>
        <v>0</v>
      </c>
      <c r="AG283" s="3190">
        <f t="shared" si="41"/>
        <v>0</v>
      </c>
      <c r="AH283" s="3215">
        <v>1</v>
      </c>
      <c r="AI283" s="3194" t="s">
        <v>2649</v>
      </c>
      <c r="AJ283"/>
    </row>
    <row r="284" spans="1:36" ht="12.75" customHeight="1">
      <c r="A284" s="219">
        <v>284</v>
      </c>
      <c r="B284" s="7145"/>
      <c r="C284" s="1673" t="str">
        <f t="shared" si="53"/>
        <v>Apr. innato (2): Atléticas</v>
      </c>
      <c r="D284" s="787">
        <f t="shared" si="52"/>
        <v>113</v>
      </c>
      <c r="E284" s="47" t="s">
        <v>2111</v>
      </c>
      <c r="F284" s="1669">
        <v>1</v>
      </c>
      <c r="G284" s="1669">
        <f>COUNTIF(Principal!$C$35:$J$47,Tablas!E284)+COUNTIF(Principal!$C$48:$F$49,Tablas!E284)</f>
        <v>0</v>
      </c>
      <c r="H284" s="1670">
        <f t="shared" si="59"/>
        <v>0</v>
      </c>
      <c r="I284" s="792">
        <v>1</v>
      </c>
      <c r="J284" s="1674" t="s">
        <v>2649</v>
      </c>
      <c r="L284" s="515" t="str">
        <f t="shared" si="44"/>
        <v>Sangre de Thelxie'kalarr</v>
      </c>
      <c r="M284" s="787">
        <f t="shared" si="45"/>
        <v>13</v>
      </c>
      <c r="N284" s="3293" t="s">
        <v>10537</v>
      </c>
      <c r="O284" s="3294">
        <v>3</v>
      </c>
      <c r="P284" s="3295">
        <f>COUNTIF(Principal!$C$35:$J$47,Tablas!N284)</f>
        <v>0</v>
      </c>
      <c r="Q284" s="3296">
        <f t="shared" si="55"/>
        <v>0</v>
      </c>
      <c r="R284" s="3297" t="s">
        <v>10548</v>
      </c>
      <c r="S284" s="3299"/>
      <c r="T284" s="3742" t="str">
        <f t="shared" si="60"/>
        <v/>
      </c>
      <c r="AB284" s="3187" t="str">
        <f t="shared" si="58"/>
        <v>Apto en campo: Sociales</v>
      </c>
      <c r="AC284" s="3188">
        <f t="shared" si="57"/>
        <v>33</v>
      </c>
      <c r="AD284" s="2731" t="s">
        <v>9661</v>
      </c>
      <c r="AE284" s="3189">
        <v>3</v>
      </c>
      <c r="AF284" s="3189">
        <f>COUNTIF(Principal!$C$35:$J$47,AD284)+COUNTIF(Principal!$C$48:$F$49,AD284)</f>
        <v>0</v>
      </c>
      <c r="AG284" s="3190">
        <f t="shared" si="41"/>
        <v>0</v>
      </c>
      <c r="AH284" s="3215">
        <v>1</v>
      </c>
      <c r="AI284" s="3194" t="s">
        <v>2649</v>
      </c>
      <c r="AJ284"/>
    </row>
    <row r="285" spans="1:36" ht="12.75" customHeight="1">
      <c r="A285" s="219">
        <v>285</v>
      </c>
      <c r="B285" s="7145"/>
      <c r="C285" s="1673" t="str">
        <f t="shared" si="53"/>
        <v>Apr. innato (2): Creativas</v>
      </c>
      <c r="D285" s="787">
        <f t="shared" si="52"/>
        <v>21</v>
      </c>
      <c r="E285" s="47" t="s">
        <v>2112</v>
      </c>
      <c r="F285" s="1669">
        <v>1</v>
      </c>
      <c r="G285" s="1669">
        <f>COUNTIF(Principal!$C$35:$J$47,Tablas!E285)+COUNTIF(Principal!$C$48:$F$49,Tablas!E285)</f>
        <v>0</v>
      </c>
      <c r="H285" s="1670">
        <f t="shared" si="59"/>
        <v>0</v>
      </c>
      <c r="I285" s="792">
        <v>1</v>
      </c>
      <c r="J285" s="1674" t="s">
        <v>2649</v>
      </c>
      <c r="L285" s="515" t="str">
        <f t="shared" si="44"/>
        <v>Sangre de Vanitas</v>
      </c>
      <c r="M285" s="787">
        <f t="shared" si="45"/>
        <v>41</v>
      </c>
      <c r="N285" s="3293" t="s">
        <v>10534</v>
      </c>
      <c r="O285" s="3294">
        <v>2</v>
      </c>
      <c r="P285" s="3295">
        <f>COUNTIF(Principal!$C$35:$J$47,Tablas!N285)</f>
        <v>0</v>
      </c>
      <c r="Q285" s="3296">
        <f t="shared" si="55"/>
        <v>0</v>
      </c>
      <c r="R285" s="3297" t="s">
        <v>10549</v>
      </c>
      <c r="S285" s="3298"/>
      <c r="T285" s="3742" t="str">
        <f t="shared" si="60"/>
        <v/>
      </c>
      <c r="AB285" s="3187" t="str">
        <f t="shared" si="58"/>
        <v>Apto en campo: Subterfugio</v>
      </c>
      <c r="AC285" s="3188">
        <f t="shared" si="57"/>
        <v>32</v>
      </c>
      <c r="AD285" s="2731" t="s">
        <v>9662</v>
      </c>
      <c r="AE285" s="3189">
        <v>3</v>
      </c>
      <c r="AF285" s="3189">
        <f>COUNTIF(Principal!$C$35:$J$47,AD285)+COUNTIF(Principal!$C$48:$F$49,AD285)</f>
        <v>0</v>
      </c>
      <c r="AG285" s="3190">
        <f t="shared" si="41"/>
        <v>0</v>
      </c>
      <c r="AH285" s="3215">
        <v>1</v>
      </c>
      <c r="AI285" s="3194" t="s">
        <v>2649</v>
      </c>
      <c r="AJ285"/>
    </row>
    <row r="286" spans="1:36" ht="12.75" customHeight="1">
      <c r="A286" s="219">
        <v>286</v>
      </c>
      <c r="B286" s="7145"/>
      <c r="C286" s="1673" t="str">
        <f t="shared" si="53"/>
        <v>Apr. innato (2): Intelectuales</v>
      </c>
      <c r="D286" s="787">
        <f t="shared" si="52"/>
        <v>63</v>
      </c>
      <c r="E286" s="47" t="s">
        <v>2113</v>
      </c>
      <c r="F286" s="1669">
        <v>2</v>
      </c>
      <c r="G286" s="1669">
        <f>COUNTIF(Principal!$C$35:$J$47,Tablas!E286)+COUNTIF(Principal!$C$48:$F$49,Tablas!E286)</f>
        <v>0</v>
      </c>
      <c r="H286" s="1670">
        <f t="shared" si="59"/>
        <v>0</v>
      </c>
      <c r="I286" s="792">
        <v>2</v>
      </c>
      <c r="J286" s="1674" t="s">
        <v>2649</v>
      </c>
      <c r="L286" s="515" t="str">
        <f t="shared" si="44"/>
        <v>Sangre Eterna</v>
      </c>
      <c r="M286" s="787">
        <f t="shared" si="45"/>
        <v>8</v>
      </c>
      <c r="N286" s="3293" t="s">
        <v>10540</v>
      </c>
      <c r="O286" s="3294">
        <v>1</v>
      </c>
      <c r="P286" s="3295">
        <f>COUNTIF(Principal!$C$35:$J$47,Tablas!N286)</f>
        <v>0</v>
      </c>
      <c r="Q286" s="3296">
        <f t="shared" si="55"/>
        <v>0</v>
      </c>
      <c r="R286" s="3297" t="s">
        <v>10550</v>
      </c>
      <c r="S286" s="3298"/>
      <c r="T286" s="3742" t="str">
        <f t="shared" si="60"/>
        <v/>
      </c>
      <c r="AB286" s="3187" t="str">
        <f t="shared" si="58"/>
        <v>Apto en campo: Vigor</v>
      </c>
      <c r="AC286" s="3188">
        <f t="shared" si="57"/>
        <v>31</v>
      </c>
      <c r="AD286" s="2731" t="s">
        <v>9663</v>
      </c>
      <c r="AE286" s="3189">
        <v>3</v>
      </c>
      <c r="AF286" s="3189">
        <f>COUNTIF(Principal!$C$35:$J$47,AD286)+COUNTIF(Principal!$C$48:$F$49,AD286)</f>
        <v>0</v>
      </c>
      <c r="AG286" s="3190">
        <f t="shared" si="41"/>
        <v>0</v>
      </c>
      <c r="AH286" s="3215">
        <v>1</v>
      </c>
      <c r="AI286" s="3194" t="s">
        <v>2649</v>
      </c>
      <c r="AJ286"/>
    </row>
    <row r="287" spans="1:36" ht="12.75" customHeight="1">
      <c r="A287" s="219">
        <v>287</v>
      </c>
      <c r="B287" s="7145"/>
      <c r="C287" s="1673" t="str">
        <f t="shared" si="53"/>
        <v>Apr. innato (2): Perceptivas</v>
      </c>
      <c r="D287" s="787">
        <f t="shared" si="52"/>
        <v>135</v>
      </c>
      <c r="E287" s="47" t="s">
        <v>1766</v>
      </c>
      <c r="F287" s="1669">
        <v>1</v>
      </c>
      <c r="G287" s="1669">
        <f>COUNTIF(Principal!$C$35:$J$47,Tablas!E287)+COUNTIF(Principal!$C$48:$F$49,Tablas!E287)</f>
        <v>0</v>
      </c>
      <c r="H287" s="1670">
        <f t="shared" si="59"/>
        <v>0</v>
      </c>
      <c r="I287" s="792"/>
      <c r="J287" s="1674" t="s">
        <v>2649</v>
      </c>
      <c r="L287" s="515" t="str">
        <f t="shared" si="44"/>
        <v>Sangre Kami: Sr. de la Guerra</v>
      </c>
      <c r="M287" s="787">
        <f t="shared" si="45"/>
        <v>9</v>
      </c>
      <c r="N287" s="3293" t="s">
        <v>10538</v>
      </c>
      <c r="O287" s="3294">
        <v>2</v>
      </c>
      <c r="P287" s="3295">
        <f>COUNTIF(Principal!$C$35:$J$47,Tablas!N287)</f>
        <v>0</v>
      </c>
      <c r="Q287" s="3296">
        <f t="shared" si="55"/>
        <v>0</v>
      </c>
      <c r="R287" s="3297" t="s">
        <v>10550</v>
      </c>
      <c r="S287" s="3299"/>
      <c r="T287" s="3742" t="str">
        <f t="shared" si="60"/>
        <v/>
      </c>
      <c r="AB287" s="3187" t="str">
        <f t="shared" si="58"/>
        <v>Apto en una materia (1)</v>
      </c>
      <c r="AC287" s="3188">
        <f t="shared" si="57"/>
        <v>35</v>
      </c>
      <c r="AD287" s="2731" t="s">
        <v>9664</v>
      </c>
      <c r="AE287" s="3189">
        <v>3</v>
      </c>
      <c r="AF287" s="3189">
        <f>COUNTIF(Principal!$C$35:$J$47,AD287)+COUNTIF(Principal!$C$48:$F$49,AD287)</f>
        <v>0</v>
      </c>
      <c r="AG287" s="3190">
        <f t="shared" si="41"/>
        <v>0</v>
      </c>
      <c r="AH287" s="3215">
        <v>1</v>
      </c>
      <c r="AI287" s="3194" t="s">
        <v>2649</v>
      </c>
      <c r="AJ287"/>
    </row>
    <row r="288" spans="1:36" ht="12.75" customHeight="1">
      <c r="A288" s="219">
        <v>288</v>
      </c>
      <c r="B288" s="7145"/>
      <c r="C288" s="1673" t="str">
        <f t="shared" si="53"/>
        <v>Apr. innato (2): Sociales</v>
      </c>
      <c r="D288" s="787">
        <f t="shared" si="52"/>
        <v>81</v>
      </c>
      <c r="E288" s="47" t="s">
        <v>2114</v>
      </c>
      <c r="F288" s="1669">
        <v>1</v>
      </c>
      <c r="G288" s="1669">
        <f>COUNTIF(Principal!$C$35:$J$47,Tablas!E288)+COUNTIF(Principal!$C$48:$F$49,Tablas!E288)</f>
        <v>0</v>
      </c>
      <c r="H288" s="1670">
        <f t="shared" si="59"/>
        <v>0</v>
      </c>
      <c r="I288" s="792"/>
      <c r="J288" s="1674" t="s">
        <v>2649</v>
      </c>
      <c r="L288" s="515" t="str">
        <f t="shared" si="44"/>
        <v>Sangre Latente</v>
      </c>
      <c r="M288" s="787">
        <f t="shared" si="45"/>
        <v>10</v>
      </c>
      <c r="N288" s="3293" t="s">
        <v>10539</v>
      </c>
      <c r="O288" s="3294">
        <v>3</v>
      </c>
      <c r="P288" s="3295">
        <f>COUNTIF(Principal!$C$35:$J$47,Tablas!N288)</f>
        <v>0</v>
      </c>
      <c r="Q288" s="3296">
        <f t="shared" si="55"/>
        <v>0</v>
      </c>
      <c r="R288" s="3297" t="s">
        <v>10550</v>
      </c>
      <c r="S288" s="3299"/>
      <c r="T288" s="3742" t="str">
        <f t="shared" si="60"/>
        <v/>
      </c>
      <c r="AB288" s="3187" t="str">
        <f t="shared" si="58"/>
        <v>Apto en una materia (2)</v>
      </c>
      <c r="AC288" s="3188">
        <f t="shared" si="57"/>
        <v>34</v>
      </c>
      <c r="AD288" s="2731" t="s">
        <v>9665</v>
      </c>
      <c r="AE288" s="3189">
        <v>3</v>
      </c>
      <c r="AF288" s="3189">
        <f>COUNTIF(Principal!$C$35:$J$47,AD288)+COUNTIF(Principal!$C$48:$F$49,AD288)</f>
        <v>0</v>
      </c>
      <c r="AG288" s="3190">
        <f t="shared" si="41"/>
        <v>0</v>
      </c>
      <c r="AH288" s="3215">
        <v>1</v>
      </c>
      <c r="AI288" s="3194" t="s">
        <v>2649</v>
      </c>
      <c r="AJ288"/>
    </row>
    <row r="289" spans="1:36" ht="12.75" customHeight="1">
      <c r="A289" s="219">
        <v>289</v>
      </c>
      <c r="B289" s="7145"/>
      <c r="C289" s="1673" t="str">
        <f t="shared" si="53"/>
        <v>Apr. innato (2): Subterfugio</v>
      </c>
      <c r="D289" s="787">
        <f t="shared" si="52"/>
        <v>50</v>
      </c>
      <c r="E289" s="47" t="s">
        <v>1390</v>
      </c>
      <c r="F289" s="1669">
        <v>1</v>
      </c>
      <c r="G289" s="1669">
        <f>COUNTIF(Principal!$C$35:$J$47,Tablas!E289)+COUNTIF(Principal!$C$48:$F$49,Tablas!E289)</f>
        <v>0</v>
      </c>
      <c r="H289" s="1670">
        <f t="shared" si="59"/>
        <v>0</v>
      </c>
      <c r="I289" s="792">
        <v>1</v>
      </c>
      <c r="J289" s="1674" t="s">
        <v>2649</v>
      </c>
      <c r="L289" s="515" t="str">
        <f>N289</f>
        <v>&gt; LEGADOS PERSONALIZADOS</v>
      </c>
      <c r="M289" s="787">
        <f>COUNTIF($N$241:$N$270,"&lt;="&amp;N289)</f>
        <v>0</v>
      </c>
      <c r="N289" s="47" t="s">
        <v>9122</v>
      </c>
      <c r="O289" s="1675"/>
      <c r="P289" s="1670"/>
      <c r="Q289" s="1669"/>
      <c r="R289" s="1908"/>
      <c r="S289" s="1047"/>
      <c r="T289" s="1912" t="str">
        <f>IF(P289=0,"",R289)</f>
        <v/>
      </c>
      <c r="AB289" s="3187" t="str">
        <f t="shared" si="58"/>
        <v>Armadura mística</v>
      </c>
      <c r="AC289" s="3188">
        <f t="shared" si="57"/>
        <v>30</v>
      </c>
      <c r="AD289" s="2731" t="s">
        <v>9666</v>
      </c>
      <c r="AE289" s="3189">
        <v>3</v>
      </c>
      <c r="AF289" s="3189">
        <f>COUNTIF(Principal!$C$35:$J$47,AD289)+COUNTIF(Principal!$C$48:$F$49,AD289)</f>
        <v>0</v>
      </c>
      <c r="AG289" s="3190">
        <f t="shared" si="41"/>
        <v>0</v>
      </c>
      <c r="AH289" s="3215">
        <v>1</v>
      </c>
      <c r="AI289" s="3194" t="s">
        <v>2649</v>
      </c>
      <c r="AJ289"/>
    </row>
    <row r="290" spans="1:36" ht="12.75" customHeight="1">
      <c r="A290" s="219">
        <v>290</v>
      </c>
      <c r="B290" s="7145"/>
      <c r="C290" s="1673" t="str">
        <f t="shared" si="53"/>
        <v>Apr. innato (2): Vigor</v>
      </c>
      <c r="D290" s="787">
        <f t="shared" si="52"/>
        <v>51</v>
      </c>
      <c r="E290" s="47" t="s">
        <v>1392</v>
      </c>
      <c r="F290" s="1669">
        <v>2</v>
      </c>
      <c r="G290" s="1669">
        <f>COUNTIF(Principal!$C$35:$J$47,Tablas!E290)+COUNTIF(Principal!$C$48:$F$49,Tablas!E290)</f>
        <v>0</v>
      </c>
      <c r="H290" s="1670">
        <f t="shared" si="59"/>
        <v>0</v>
      </c>
      <c r="I290" s="792">
        <v>1</v>
      </c>
      <c r="J290" s="1674" t="s">
        <v>2649</v>
      </c>
      <c r="L290" s="515" t="str">
        <f>N290</f>
        <v>Legado Personalizado #1</v>
      </c>
      <c r="M290" s="787">
        <v>1</v>
      </c>
      <c r="N290" s="47" t="str">
        <f>IF(Personalización!V97="","Legado Personalizado #1",Personalización!V97)</f>
        <v>Legado Personalizado #1</v>
      </c>
      <c r="O290" s="1675">
        <f>Personalización!AB97+IF(Principal!$Y$24="No",1,0)</f>
        <v>0</v>
      </c>
      <c r="P290" s="1670">
        <f>COUNTIF(Principal!$C$35:$J$47,Tablas!N290)</f>
        <v>0</v>
      </c>
      <c r="Q290" s="1669">
        <f>P290*O290</f>
        <v>0</v>
      </c>
      <c r="R290" s="1908" t="str">
        <f>", "&amp;N290</f>
        <v>, Legado Personalizado #1</v>
      </c>
      <c r="S290" s="1047"/>
      <c r="T290" s="1912" t="str">
        <f>IF(P290=0,"",R290)</f>
        <v/>
      </c>
      <c r="AB290" s="3187" t="str">
        <f t="shared" si="58"/>
        <v>Armadura natural</v>
      </c>
      <c r="AC290" s="3188">
        <f t="shared" si="57"/>
        <v>56</v>
      </c>
      <c r="AD290" s="2731" t="s">
        <v>2122</v>
      </c>
      <c r="AE290" s="3189">
        <v>2</v>
      </c>
      <c r="AF290" s="3189">
        <f>COUNTIF(Principal!$C$35:$J$47,AD290)+COUNTIF(Principal!$C$48:$F$49,AD290)</f>
        <v>0</v>
      </c>
      <c r="AG290" s="3190">
        <f t="shared" si="41"/>
        <v>0</v>
      </c>
      <c r="AH290" s="3215">
        <v>1</v>
      </c>
      <c r="AI290" s="3199" t="s">
        <v>2649</v>
      </c>
      <c r="AJ290"/>
    </row>
    <row r="291" spans="1:36" ht="13.5" customHeight="1">
      <c r="A291" s="219">
        <v>291</v>
      </c>
      <c r="B291" s="7145"/>
      <c r="C291" s="1673" t="str">
        <f t="shared" si="53"/>
        <v>Apr. innato (3): Atléticas</v>
      </c>
      <c r="D291" s="787">
        <f t="shared" si="52"/>
        <v>43</v>
      </c>
      <c r="E291" s="47" t="s">
        <v>2115</v>
      </c>
      <c r="F291" s="1669">
        <v>2</v>
      </c>
      <c r="G291" s="1669">
        <f>COUNTIF(Principal!$C$35:$J$47,Tablas!E291)+COUNTIF(Principal!$C$48:$F$49,Tablas!E291)</f>
        <v>0</v>
      </c>
      <c r="H291" s="1670">
        <f t="shared" ref="H291:H300" si="61">G291*F291</f>
        <v>0</v>
      </c>
      <c r="I291" s="792">
        <v>1</v>
      </c>
      <c r="J291" s="1674" t="s">
        <v>2649</v>
      </c>
      <c r="L291" s="515" t="str">
        <f>N291</f>
        <v>Legado Personalizado #1</v>
      </c>
      <c r="M291" s="787">
        <v>2</v>
      </c>
      <c r="N291" s="47" t="str">
        <f>IF(Personalización!V98="","Legado Personalizado #1",Personalización!V98)</f>
        <v>Legado Personalizado #1</v>
      </c>
      <c r="O291" s="1675">
        <f>Personalización!AB98+IF(Principal!$Y$24="No",1,0)</f>
        <v>0</v>
      </c>
      <c r="P291" s="1670">
        <f>COUNTIF(Principal!$C$35:$J$47,Tablas!N291)</f>
        <v>0</v>
      </c>
      <c r="Q291" s="1669">
        <f>P291*O291</f>
        <v>0</v>
      </c>
      <c r="R291" s="1908" t="str">
        <f>", "&amp;N291</f>
        <v>, Legado Personalizado #1</v>
      </c>
      <c r="S291" s="1047"/>
      <c r="T291" s="1912" t="str">
        <f>IF(P291=0,"",R291)</f>
        <v/>
      </c>
      <c r="AB291" s="3187" t="str">
        <f t="shared" si="58"/>
        <v>Bono natural incrementado</v>
      </c>
      <c r="AC291" s="3188">
        <f t="shared" si="57"/>
        <v>115</v>
      </c>
      <c r="AD291" s="2731" t="s">
        <v>2123</v>
      </c>
      <c r="AE291" s="3189">
        <v>1</v>
      </c>
      <c r="AF291" s="3189">
        <f>COUNTIF(Principal!$C$35:$J$47,AD291)+COUNTIF(Principal!$C$48:$F$49,AD291)</f>
        <v>0</v>
      </c>
      <c r="AG291" s="3190">
        <f t="shared" si="41"/>
        <v>0</v>
      </c>
      <c r="AH291" s="3215"/>
      <c r="AI291" s="3199" t="s">
        <v>2649</v>
      </c>
      <c r="AJ291"/>
    </row>
    <row r="292" spans="1:36" ht="12.75" customHeight="1" thickBot="1">
      <c r="A292" s="219">
        <v>292</v>
      </c>
      <c r="B292" s="7145"/>
      <c r="C292" s="1673" t="str">
        <f t="shared" si="53"/>
        <v>Apr. innato (3): Creativas</v>
      </c>
      <c r="D292" s="787">
        <f t="shared" si="52"/>
        <v>47</v>
      </c>
      <c r="E292" s="47" t="s">
        <v>2116</v>
      </c>
      <c r="F292" s="1669">
        <v>2</v>
      </c>
      <c r="G292" s="1669">
        <f>COUNTIF(Principal!$C$35:$J$47,Tablas!E292)+COUNTIF(Principal!$C$48:$F$49,Tablas!E292)</f>
        <v>0</v>
      </c>
      <c r="H292" s="1670">
        <f t="shared" si="61"/>
        <v>0</v>
      </c>
      <c r="I292" s="792">
        <v>1</v>
      </c>
      <c r="J292" s="1674" t="s">
        <v>2649</v>
      </c>
      <c r="L292" s="1059" t="str">
        <f>N292</f>
        <v>Legado Personalizado #1</v>
      </c>
      <c r="M292" s="1060">
        <v>3</v>
      </c>
      <c r="N292" s="561" t="str">
        <f>IF(Personalización!V99="","Legado Personalizado #1",Personalización!V99)</f>
        <v>Legado Personalizado #1</v>
      </c>
      <c r="O292" s="1913">
        <f>Personalización!AB99+IF(Principal!$Y$24="No",1,0)</f>
        <v>0</v>
      </c>
      <c r="P292" s="1914">
        <f>COUNTIF(Principal!$C$35:$J$47,Tablas!N292)</f>
        <v>0</v>
      </c>
      <c r="Q292" s="1915">
        <f>P292*O292</f>
        <v>0</v>
      </c>
      <c r="R292" s="1916" t="str">
        <f>", "&amp;N292</f>
        <v>, Legado Personalizado #1</v>
      </c>
      <c r="S292" s="1917"/>
      <c r="T292" s="1918" t="str">
        <f>IF(P292=0,"",R292)</f>
        <v/>
      </c>
      <c r="AB292" s="3187" t="str">
        <f t="shared" si="58"/>
        <v>Buena suerte</v>
      </c>
      <c r="AC292" s="3188">
        <f t="shared" si="57"/>
        <v>68</v>
      </c>
      <c r="AD292" s="2731" t="s">
        <v>2124</v>
      </c>
      <c r="AE292" s="3189">
        <v>1</v>
      </c>
      <c r="AF292" s="3189">
        <f>COUNTIF(Principal!$C$35:$J$47,AD292)+COUNTIF(Principal!$C$48:$F$49,AD292)</f>
        <v>0</v>
      </c>
      <c r="AG292" s="3190">
        <f t="shared" si="41"/>
        <v>0</v>
      </c>
      <c r="AH292" s="3215"/>
      <c r="AI292" s="3199" t="s">
        <v>2649</v>
      </c>
      <c r="AJ292"/>
    </row>
    <row r="293" spans="1:36" ht="12.75" customHeight="1" thickBot="1">
      <c r="A293" s="219">
        <v>293</v>
      </c>
      <c r="B293" s="7145"/>
      <c r="C293" s="1673" t="str">
        <f t="shared" si="53"/>
        <v>Apr. innato (3): Intelectuales</v>
      </c>
      <c r="D293" s="787">
        <f t="shared" si="52"/>
        <v>46</v>
      </c>
      <c r="E293" s="47" t="s">
        <v>2117</v>
      </c>
      <c r="F293" s="1669">
        <v>2</v>
      </c>
      <c r="G293" s="1669">
        <f>COUNTIF(Principal!$C$35:$J$47,Tablas!E293)+COUNTIF(Principal!$C$48:$F$49,Tablas!E293)</f>
        <v>0</v>
      </c>
      <c r="H293" s="1670">
        <f t="shared" si="61"/>
        <v>0</v>
      </c>
      <c r="I293" s="792">
        <v>1</v>
      </c>
      <c r="J293" s="1674" t="s">
        <v>2649</v>
      </c>
      <c r="N293"/>
      <c r="Q293" s="2618">
        <f>SUM(Q241:Q292)</f>
        <v>0</v>
      </c>
      <c r="R293" s="1909" t="str">
        <f>MID(T241&amp;T249&amp;T250&amp;T251&amp;T252&amp;T253&amp;T254&amp;T255&amp;T257&amp;T258&amp;T259&amp;T260&amp;T261&amp;T262&amp;T263&amp;T264&amp;T265&amp;T266&amp;T267&amp;T268&amp;T269&amp;T271&amp;T272&amp;T273&amp;T274&amp;T275&amp;T290&amp;T291&amp;T292&amp;T276&amp;T277&amp;T278&amp;T279&amp;T281&amp;T280&amp;T282&amp;T283&amp;T284&amp;T286&amp;T285&amp;T287&amp;T288,3,20000)</f>
        <v/>
      </c>
      <c r="S293" s="1910"/>
      <c r="T293" s="1910"/>
      <c r="AB293" s="3187" t="str">
        <f t="shared" si="58"/>
        <v>Con. de todas las materias</v>
      </c>
      <c r="AC293" s="3188">
        <f t="shared" si="57"/>
        <v>55</v>
      </c>
      <c r="AD293" s="2731" t="s">
        <v>2125</v>
      </c>
      <c r="AE293" s="3189">
        <v>1</v>
      </c>
      <c r="AF293" s="3189">
        <f>COUNTIF(Principal!$C$35:$J$47,AD293)+COUNTIF(Principal!$C$48:$F$49,AD293)</f>
        <v>0</v>
      </c>
      <c r="AG293" s="3190">
        <f t="shared" si="41"/>
        <v>0</v>
      </c>
      <c r="AH293" s="3215"/>
      <c r="AI293" s="3199" t="s">
        <v>2649</v>
      </c>
      <c r="AJ293"/>
    </row>
    <row r="294" spans="1:36" ht="12.75" customHeight="1">
      <c r="A294" s="219">
        <v>294</v>
      </c>
      <c r="B294" s="7145"/>
      <c r="C294" s="1673" t="str">
        <f t="shared" si="53"/>
        <v>Apr. innato (3): Perceptivas</v>
      </c>
      <c r="D294" s="787">
        <f t="shared" si="52"/>
        <v>45</v>
      </c>
      <c r="E294" s="47" t="s">
        <v>2118</v>
      </c>
      <c r="F294" s="1669">
        <v>2</v>
      </c>
      <c r="G294" s="1669">
        <f>COUNTIF(Principal!$C$35:$J$47,Tablas!E294)+COUNTIF(Principal!$C$48:$F$49,Tablas!E294)</f>
        <v>0</v>
      </c>
      <c r="H294" s="1670">
        <f t="shared" si="61"/>
        <v>0</v>
      </c>
      <c r="I294" s="792">
        <v>1</v>
      </c>
      <c r="J294" s="1674" t="s">
        <v>2649</v>
      </c>
      <c r="AB294" s="3187" t="str">
        <f t="shared" si="58"/>
        <v>Convocador de masas (1)</v>
      </c>
      <c r="AC294" s="3188">
        <f t="shared" si="57"/>
        <v>19</v>
      </c>
      <c r="AD294" s="2731" t="s">
        <v>2126</v>
      </c>
      <c r="AE294" s="3189">
        <v>1</v>
      </c>
      <c r="AF294" s="3189">
        <f>COUNTIF(Principal!$C$35:$J$47,AD294)+COUNTIF(Principal!$C$48:$F$49,AD294)</f>
        <v>0</v>
      </c>
      <c r="AG294" s="3190">
        <f t="shared" si="41"/>
        <v>0</v>
      </c>
      <c r="AH294" s="3215"/>
      <c r="AI294" s="3199" t="s">
        <v>2649</v>
      </c>
      <c r="AJ294"/>
    </row>
    <row r="295" spans="1:36" ht="12.75" customHeight="1">
      <c r="A295" s="219">
        <v>295</v>
      </c>
      <c r="B295" s="7145"/>
      <c r="C295" s="1673" t="str">
        <f t="shared" ref="C295:C326" si="62">VLOOKUP(A33,$D$262:$E$409,2,0)</f>
        <v>Apr. innato (3): Sociales</v>
      </c>
      <c r="D295" s="787">
        <f t="shared" si="52"/>
        <v>49</v>
      </c>
      <c r="E295" s="47" t="s">
        <v>2119</v>
      </c>
      <c r="F295" s="1669">
        <v>2</v>
      </c>
      <c r="G295" s="1669">
        <f>COUNTIF(Principal!$C$35:$J$47,Tablas!E295)+COUNTIF(Principal!$C$48:$F$49,Tablas!E295)</f>
        <v>0</v>
      </c>
      <c r="H295" s="1670">
        <f t="shared" si="61"/>
        <v>0</v>
      </c>
      <c r="I295" s="792">
        <v>1</v>
      </c>
      <c r="J295" s="1674" t="s">
        <v>2649</v>
      </c>
      <c r="AB295" s="3187" t="str">
        <f t="shared" si="58"/>
        <v>Convocador de masas (2)</v>
      </c>
      <c r="AC295" s="3188">
        <f t="shared" si="57"/>
        <v>94</v>
      </c>
      <c r="AD295" s="2731" t="s">
        <v>2127</v>
      </c>
      <c r="AE295" s="3189">
        <v>1</v>
      </c>
      <c r="AF295" s="3189">
        <f>COUNTIF(Principal!$C$35:$J$47,AD295)+COUNTIF(Principal!$C$48:$F$49,AD295)</f>
        <v>0</v>
      </c>
      <c r="AG295" s="3190">
        <f t="shared" si="41"/>
        <v>0</v>
      </c>
      <c r="AH295" s="3215">
        <v>1</v>
      </c>
      <c r="AI295" s="3199" t="s">
        <v>2649</v>
      </c>
      <c r="AJ295"/>
    </row>
    <row r="296" spans="1:36" ht="12.75" customHeight="1">
      <c r="A296" s="219">
        <v>296</v>
      </c>
      <c r="B296" s="7145"/>
      <c r="C296" s="1673" t="str">
        <f t="shared" si="62"/>
        <v>Apr. innato (3): Subterfugio</v>
      </c>
      <c r="D296" s="787">
        <f t="shared" si="52"/>
        <v>48</v>
      </c>
      <c r="E296" s="47" t="s">
        <v>2120</v>
      </c>
      <c r="F296" s="1669">
        <v>2</v>
      </c>
      <c r="G296" s="1669">
        <f>COUNTIF(Principal!$C$35:$J$47,Tablas!E296)+COUNTIF(Principal!$C$48:$F$49,Tablas!E296)</f>
        <v>0</v>
      </c>
      <c r="H296" s="1670">
        <f t="shared" si="61"/>
        <v>0</v>
      </c>
      <c r="I296" s="792">
        <v>1</v>
      </c>
      <c r="J296" s="1674" t="s">
        <v>2649</v>
      </c>
      <c r="AB296" s="3187" t="str">
        <f t="shared" si="58"/>
        <v>Convocador de masas (3)</v>
      </c>
      <c r="AC296" s="3188">
        <f t="shared" si="57"/>
        <v>95</v>
      </c>
      <c r="AD296" s="2731" t="s">
        <v>2128</v>
      </c>
      <c r="AE296" s="3189">
        <v>2</v>
      </c>
      <c r="AF296" s="3189">
        <f>COUNTIF(Principal!$C$35:$J$47,AD296)+COUNTIF(Principal!$C$48:$F$49,AD296)</f>
        <v>0</v>
      </c>
      <c r="AG296" s="3190">
        <f t="shared" si="41"/>
        <v>0</v>
      </c>
      <c r="AH296" s="3215">
        <v>1</v>
      </c>
      <c r="AI296" s="3194" t="s">
        <v>2649</v>
      </c>
      <c r="AJ296"/>
    </row>
    <row r="297" spans="1:36" ht="12.75" customHeight="1">
      <c r="A297" s="219">
        <v>297</v>
      </c>
      <c r="B297" s="7145"/>
      <c r="C297" s="1673" t="str">
        <f t="shared" si="62"/>
        <v>Apr. innato (3): Vigor</v>
      </c>
      <c r="D297" s="787">
        <f t="shared" si="52"/>
        <v>44</v>
      </c>
      <c r="E297" s="47" t="s">
        <v>2121</v>
      </c>
      <c r="F297" s="1669">
        <v>2</v>
      </c>
      <c r="G297" s="1669">
        <f>COUNTIF(Principal!$C$35:$J$47,Tablas!E297)+COUNTIF(Principal!$C$48:$F$49,Tablas!E297)</f>
        <v>0</v>
      </c>
      <c r="H297" s="1670">
        <f t="shared" si="61"/>
        <v>0</v>
      </c>
      <c r="I297" s="792">
        <v>1</v>
      </c>
      <c r="J297" s="1674" t="s">
        <v>2649</v>
      </c>
      <c r="AB297" s="3187" t="str">
        <f t="shared" si="58"/>
        <v>Difícil de matar (1)</v>
      </c>
      <c r="AC297" s="3188">
        <f t="shared" si="57"/>
        <v>96</v>
      </c>
      <c r="AD297" s="2731" t="s">
        <v>2129</v>
      </c>
      <c r="AE297" s="3189">
        <v>3</v>
      </c>
      <c r="AF297" s="3189">
        <f>COUNTIF(Principal!$C$35:$J$47,AD297)+COUNTIF(Principal!$C$48:$F$49,AD297)</f>
        <v>0</v>
      </c>
      <c r="AG297" s="3190">
        <f t="shared" si="41"/>
        <v>0</v>
      </c>
      <c r="AH297" s="3215">
        <v>1</v>
      </c>
      <c r="AI297" s="3194" t="s">
        <v>2649</v>
      </c>
      <c r="AJ297"/>
    </row>
    <row r="298" spans="1:36" ht="12.75" customHeight="1">
      <c r="A298" s="219">
        <v>298</v>
      </c>
      <c r="B298" s="7145"/>
      <c r="C298" s="1673" t="str">
        <f t="shared" si="62"/>
        <v>Aprendizaje (1)</v>
      </c>
      <c r="D298" s="787">
        <f t="shared" si="52"/>
        <v>39</v>
      </c>
      <c r="E298" s="47" t="s">
        <v>9651</v>
      </c>
      <c r="F298" s="1669">
        <v>1</v>
      </c>
      <c r="G298" s="1669">
        <f>COUNTIF(Principal!$C$35:$J$47,Tablas!E298)+COUNTIF(Principal!$C$48:$F$49,Tablas!E298)</f>
        <v>0</v>
      </c>
      <c r="H298" s="1670">
        <f t="shared" si="61"/>
        <v>0</v>
      </c>
      <c r="I298" s="792">
        <v>1</v>
      </c>
      <c r="J298" s="1674" t="s">
        <v>2649</v>
      </c>
      <c r="AB298" s="3187" t="str">
        <f t="shared" si="58"/>
        <v>Difícil de matar (2)</v>
      </c>
      <c r="AC298" s="3188">
        <f t="shared" si="57"/>
        <v>118</v>
      </c>
      <c r="AD298" s="2731" t="s">
        <v>2130</v>
      </c>
      <c r="AE298" s="3189">
        <v>1</v>
      </c>
      <c r="AF298" s="3189">
        <f>COUNTIF(Principal!$C$35:$J$47,AD298)+COUNTIF(Principal!$C$48:$F$49,AD298)</f>
        <v>0</v>
      </c>
      <c r="AG298" s="3190">
        <f t="shared" si="41"/>
        <v>0</v>
      </c>
      <c r="AH298" s="3215">
        <v>1</v>
      </c>
      <c r="AI298" s="3194" t="s">
        <v>2649</v>
      </c>
      <c r="AJ298" s="3232" t="s">
        <v>8025</v>
      </c>
    </row>
    <row r="299" spans="1:36" ht="12.75" customHeight="1">
      <c r="A299" s="219">
        <v>299</v>
      </c>
      <c r="B299" s="7145"/>
      <c r="C299" s="1673" t="str">
        <f t="shared" si="62"/>
        <v>Aprendizaje (2)</v>
      </c>
      <c r="D299" s="787">
        <f t="shared" si="52"/>
        <v>40</v>
      </c>
      <c r="E299" s="47" t="s">
        <v>9652</v>
      </c>
      <c r="F299" s="1669">
        <v>2</v>
      </c>
      <c r="G299" s="1669">
        <f>COUNTIF(Principal!$C$35:$J$47,Tablas!E299)+COUNTIF(Principal!$C$48:$F$49,Tablas!E299)</f>
        <v>0</v>
      </c>
      <c r="H299" s="1670">
        <f t="shared" si="61"/>
        <v>0</v>
      </c>
      <c r="I299" s="792">
        <v>1</v>
      </c>
      <c r="J299" s="1674" t="s">
        <v>2649</v>
      </c>
      <c r="AB299" s="3187" t="str">
        <f t="shared" si="58"/>
        <v>Difícil de matar (3)</v>
      </c>
      <c r="AC299" s="3188">
        <f t="shared" si="57"/>
        <v>119</v>
      </c>
      <c r="AD299" s="2731" t="s">
        <v>2131</v>
      </c>
      <c r="AE299" s="3189">
        <v>1</v>
      </c>
      <c r="AF299" s="3189">
        <f>COUNTIF(Principal!$C$35:$J$47,AD299)+COUNTIF(Principal!$C$48:$F$49,AD299)</f>
        <v>0</v>
      </c>
      <c r="AG299" s="3190">
        <f t="shared" si="41"/>
        <v>0</v>
      </c>
      <c r="AH299" s="3215">
        <v>1</v>
      </c>
      <c r="AI299" s="3194" t="s">
        <v>2649</v>
      </c>
      <c r="AJ299" s="3233">
        <f t="array" ref="AJ299">MAX({1;2;3;4;5}*AF298:AF302)+MIN({-1;-2;-3;-4;-5}*AF303:AF307)</f>
        <v>0</v>
      </c>
    </row>
    <row r="300" spans="1:36" ht="12.75" customHeight="1">
      <c r="A300" s="219">
        <v>300</v>
      </c>
      <c r="B300" s="7145"/>
      <c r="C300" s="1673" t="str">
        <f t="shared" si="62"/>
        <v>Aprendizaje (3)</v>
      </c>
      <c r="D300" s="787">
        <f t="shared" si="52"/>
        <v>41</v>
      </c>
      <c r="E300" s="47" t="s">
        <v>9653</v>
      </c>
      <c r="F300" s="1669">
        <v>3</v>
      </c>
      <c r="G300" s="1669">
        <f>COUNTIF(Principal!$C$35:$J$47,Tablas!E300)+COUNTIF(Principal!$C$48:$F$49,Tablas!E300)</f>
        <v>0</v>
      </c>
      <c r="H300" s="1670">
        <f t="shared" si="61"/>
        <v>0</v>
      </c>
      <c r="I300" s="792">
        <v>1</v>
      </c>
      <c r="J300" s="1674" t="s">
        <v>2649</v>
      </c>
      <c r="AB300" s="3187" t="str">
        <f t="shared" si="58"/>
        <v>Don</v>
      </c>
      <c r="AC300" s="3188">
        <f t="shared" si="57"/>
        <v>120</v>
      </c>
      <c r="AD300" s="2731" t="s">
        <v>2132</v>
      </c>
      <c r="AE300" s="3189">
        <v>1</v>
      </c>
      <c r="AF300" s="3189">
        <f>COUNTIF(Principal!$C$35:$J$47,AD300)+COUNTIF(Principal!$C$48:$F$49,AD300)</f>
        <v>0</v>
      </c>
      <c r="AG300" s="3190">
        <f t="shared" si="41"/>
        <v>0</v>
      </c>
      <c r="AH300" s="3215">
        <v>1</v>
      </c>
      <c r="AI300" s="3194" t="s">
        <v>2649</v>
      </c>
      <c r="AJ300"/>
    </row>
    <row r="301" spans="1:36" ht="12.75" customHeight="1">
      <c r="A301" s="219">
        <v>301</v>
      </c>
      <c r="B301" s="7145"/>
      <c r="C301" s="1673" t="str">
        <f t="shared" si="62"/>
        <v>Aprendizaje innato (1)</v>
      </c>
      <c r="D301" s="787">
        <f t="shared" si="52"/>
        <v>22</v>
      </c>
      <c r="E301" s="47" t="s">
        <v>9650</v>
      </c>
      <c r="F301" s="1669">
        <v>2</v>
      </c>
      <c r="G301" s="1669">
        <f>COUNTIF(Principal!$C$35:$J$47,Tablas!E301)+COUNTIF(Principal!$C$48:$F$49,Tablas!E301)</f>
        <v>0</v>
      </c>
      <c r="H301" s="1670">
        <f t="shared" ref="H301:H332" si="63">G301*F301</f>
        <v>0</v>
      </c>
      <c r="I301" s="792">
        <v>1</v>
      </c>
      <c r="J301" s="1674" t="s">
        <v>2649</v>
      </c>
      <c r="AB301" s="3187" t="str">
        <f t="shared" si="58"/>
        <v>Don incompleto</v>
      </c>
      <c r="AC301" s="3188">
        <f t="shared" ref="AC301:AC332" si="64">COUNTIF($AD$236:$AD$379,"&lt;="&amp;AD301)-COUNTIF($AD$236:$AD$379,"*&gt;*")</f>
        <v>121</v>
      </c>
      <c r="AD301" s="2731" t="s">
        <v>2133</v>
      </c>
      <c r="AE301" s="3189">
        <v>1</v>
      </c>
      <c r="AF301" s="3189">
        <f>COUNTIF(Principal!$C$35:$J$47,AD301)+COUNTIF(Principal!$C$48:$F$49,AD301)</f>
        <v>0</v>
      </c>
      <c r="AG301" s="3190">
        <f t="shared" si="41"/>
        <v>0</v>
      </c>
      <c r="AH301" s="3215">
        <v>1</v>
      </c>
      <c r="AI301" s="3194" t="s">
        <v>2649</v>
      </c>
      <c r="AJ301"/>
    </row>
    <row r="302" spans="1:36" ht="12.75" customHeight="1">
      <c r="A302" s="219">
        <v>302</v>
      </c>
      <c r="B302" s="7145"/>
      <c r="C302" s="1673" t="str">
        <f t="shared" si="62"/>
        <v>Aprendizaje innato (2)</v>
      </c>
      <c r="D302" s="787">
        <f t="shared" si="52"/>
        <v>26</v>
      </c>
      <c r="E302" s="47" t="s">
        <v>9654</v>
      </c>
      <c r="F302" s="1669">
        <v>2</v>
      </c>
      <c r="G302" s="1669">
        <f>COUNTIF(Principal!$C$35:$J$47,Tablas!E302)+COUNTIF(Principal!$C$48:$F$49,Tablas!E302)</f>
        <v>0</v>
      </c>
      <c r="H302" s="1670">
        <f t="shared" si="63"/>
        <v>0</v>
      </c>
      <c r="I302" s="792">
        <v>1</v>
      </c>
      <c r="J302" s="1674" t="s">
        <v>2649</v>
      </c>
      <c r="AB302" s="3187" t="str">
        <f t="shared" ref="AB302:AB333" si="65">VLOOKUP(A65,$AC$237:$AD$384,2,0)</f>
        <v>Elan (1)</v>
      </c>
      <c r="AC302" s="3188">
        <f t="shared" si="64"/>
        <v>122</v>
      </c>
      <c r="AD302" s="2731" t="s">
        <v>2134</v>
      </c>
      <c r="AE302" s="3189">
        <v>1</v>
      </c>
      <c r="AF302" s="3189">
        <f>COUNTIF(Principal!$C$35:$J$47,AD302)+COUNTIF(Principal!$C$48:$F$49,AD302)</f>
        <v>0</v>
      </c>
      <c r="AG302" s="3190">
        <f t="shared" ref="AG302:AG330" si="66">AF302*AE302</f>
        <v>0</v>
      </c>
      <c r="AH302" s="3215">
        <v>1</v>
      </c>
      <c r="AI302" s="3194" t="s">
        <v>2649</v>
      </c>
      <c r="AJ302"/>
    </row>
    <row r="303" spans="1:36" ht="12.75" customHeight="1">
      <c r="A303" s="219">
        <v>303</v>
      </c>
      <c r="B303" s="7145"/>
      <c r="C303" s="1673" t="str">
        <f t="shared" si="62"/>
        <v>Aprendizaje innato (3)</v>
      </c>
      <c r="D303" s="787">
        <f t="shared" si="52"/>
        <v>25</v>
      </c>
      <c r="E303" s="47" t="s">
        <v>9655</v>
      </c>
      <c r="F303" s="1669">
        <v>2</v>
      </c>
      <c r="G303" s="1669">
        <f>COUNTIF(Principal!$C$35:$J$47,Tablas!E303)+COUNTIF(Principal!$C$48:$F$49,Tablas!E303)</f>
        <v>0</v>
      </c>
      <c r="H303" s="1670">
        <f t="shared" si="63"/>
        <v>0</v>
      </c>
      <c r="I303" s="792">
        <v>1</v>
      </c>
      <c r="J303" s="1674" t="s">
        <v>2649</v>
      </c>
      <c r="AB303" s="3187" t="str">
        <f t="shared" si="65"/>
        <v>Elan (2)</v>
      </c>
      <c r="AC303" s="3188">
        <f t="shared" si="64"/>
        <v>123</v>
      </c>
      <c r="AD303" s="2731" t="s">
        <v>2135</v>
      </c>
      <c r="AE303" s="3189">
        <v>1</v>
      </c>
      <c r="AF303" s="3189">
        <f>COUNTIF(Principal!$C$35:$J$47,AD303)+COUNTIF(Principal!$C$48:$F$49,AD303)</f>
        <v>0</v>
      </c>
      <c r="AG303" s="3190">
        <f t="shared" si="66"/>
        <v>0</v>
      </c>
      <c r="AH303" s="3215">
        <v>1</v>
      </c>
      <c r="AI303" s="3194" t="s">
        <v>2649</v>
      </c>
      <c r="AJ303"/>
    </row>
    <row r="304" spans="1:36" ht="12.75" customHeight="1">
      <c r="A304" s="219">
        <v>304</v>
      </c>
      <c r="B304" s="7145"/>
      <c r="C304" s="1673" t="str">
        <f t="shared" si="62"/>
        <v>Aprendizaje marcial</v>
      </c>
      <c r="D304" s="787">
        <f t="shared" si="52"/>
        <v>24</v>
      </c>
      <c r="E304" s="47" t="s">
        <v>9656</v>
      </c>
      <c r="F304" s="1669">
        <v>2</v>
      </c>
      <c r="G304" s="1669">
        <f>COUNTIF(Principal!$C$35:$J$47,Tablas!E304)+COUNTIF(Principal!$C$48:$F$49,Tablas!E304)</f>
        <v>0</v>
      </c>
      <c r="H304" s="1670">
        <f t="shared" si="63"/>
        <v>0</v>
      </c>
      <c r="I304" s="792">
        <v>1</v>
      </c>
      <c r="J304" s="1674" t="s">
        <v>2649</v>
      </c>
      <c r="AB304" s="3187" t="str">
        <f t="shared" si="65"/>
        <v>Elan (3)</v>
      </c>
      <c r="AC304" s="3188">
        <f t="shared" si="64"/>
        <v>124</v>
      </c>
      <c r="AD304" s="2731" t="s">
        <v>2136</v>
      </c>
      <c r="AE304" s="3189">
        <v>1</v>
      </c>
      <c r="AF304" s="3189">
        <f>COUNTIF(Principal!$C$35:$J$47,AD304)+COUNTIF(Principal!$C$48:$F$49,AD304)</f>
        <v>0</v>
      </c>
      <c r="AG304" s="3190">
        <f t="shared" si="66"/>
        <v>0</v>
      </c>
      <c r="AH304" s="3215">
        <v>1</v>
      </c>
      <c r="AI304" s="3194" t="s">
        <v>2649</v>
      </c>
      <c r="AJ304"/>
    </row>
    <row r="305" spans="1:36" ht="12.75" customHeight="1" thickBot="1">
      <c r="A305" s="219">
        <v>305</v>
      </c>
      <c r="B305" s="7145"/>
      <c r="C305" s="1673" t="str">
        <f t="shared" si="62"/>
        <v>Apto en campo: Atléticas</v>
      </c>
      <c r="D305" s="787">
        <f t="shared" si="52"/>
        <v>28</v>
      </c>
      <c r="E305" s="47" t="s">
        <v>9657</v>
      </c>
      <c r="F305" s="1669">
        <v>2</v>
      </c>
      <c r="G305" s="1669">
        <f>COUNTIF(Principal!$C$35:$J$47,Tablas!E305)+COUNTIF(Principal!$C$48:$F$49,Tablas!E305)</f>
        <v>0</v>
      </c>
      <c r="H305" s="1670">
        <f t="shared" si="63"/>
        <v>0</v>
      </c>
      <c r="I305" s="792">
        <v>1</v>
      </c>
      <c r="J305" s="1674" t="s">
        <v>2649</v>
      </c>
      <c r="AB305" s="3187" t="str">
        <f t="shared" si="65"/>
        <v>Encanto</v>
      </c>
      <c r="AC305" s="3188">
        <f t="shared" si="64"/>
        <v>125</v>
      </c>
      <c r="AD305" s="2731" t="s">
        <v>2137</v>
      </c>
      <c r="AE305" s="3189">
        <v>1</v>
      </c>
      <c r="AF305" s="3189">
        <f>COUNTIF(Principal!$C$35:$J$47,AD305)+COUNTIF(Principal!$C$48:$F$49,AD305)</f>
        <v>0</v>
      </c>
      <c r="AG305" s="3190">
        <f t="shared" si="66"/>
        <v>0</v>
      </c>
      <c r="AH305" s="3215">
        <v>1</v>
      </c>
      <c r="AI305" s="3194" t="s">
        <v>2649</v>
      </c>
      <c r="AJ305"/>
    </row>
    <row r="306" spans="1:36" ht="12.75" customHeight="1">
      <c r="A306" s="219">
        <v>306</v>
      </c>
      <c r="B306" s="7145"/>
      <c r="C306" s="1673" t="str">
        <f t="shared" si="62"/>
        <v>Apto en campo: Creativas</v>
      </c>
      <c r="D306" s="787">
        <f t="shared" si="52"/>
        <v>27</v>
      </c>
      <c r="E306" s="47" t="s">
        <v>9658</v>
      </c>
      <c r="F306" s="1669">
        <v>2</v>
      </c>
      <c r="G306" s="1669">
        <f>COUNTIF(Principal!$C$35:$J$47,Tablas!E306)+COUNTIF(Principal!$C$48:$F$49,Tablas!E306)</f>
        <v>0</v>
      </c>
      <c r="H306" s="1670">
        <f t="shared" si="63"/>
        <v>0</v>
      </c>
      <c r="I306" s="792">
        <v>1</v>
      </c>
      <c r="J306" s="1674" t="s">
        <v>2649</v>
      </c>
      <c r="L306" s="7834" t="s">
        <v>2311</v>
      </c>
      <c r="M306" s="7835"/>
      <c r="N306" s="7835"/>
      <c r="O306" s="7835"/>
      <c r="P306" s="7835"/>
      <c r="Q306" s="7835"/>
      <c r="R306" s="7835"/>
      <c r="S306" s="7835"/>
      <c r="T306" s="7835"/>
      <c r="U306" s="7835"/>
      <c r="V306" s="7835"/>
      <c r="W306" s="7835"/>
      <c r="X306" s="7836"/>
      <c r="AB306" s="3187" t="str">
        <f t="shared" si="65"/>
        <v>Esencia Sheele</v>
      </c>
      <c r="AC306" s="3188">
        <f t="shared" si="64"/>
        <v>126</v>
      </c>
      <c r="AD306" s="2731" t="s">
        <v>2138</v>
      </c>
      <c r="AE306" s="3189">
        <v>1</v>
      </c>
      <c r="AF306" s="3189">
        <f>COUNTIF(Principal!$C$35:$J$47,AD306)+COUNTIF(Principal!$C$48:$F$49,AD306)</f>
        <v>0</v>
      </c>
      <c r="AG306" s="3190">
        <f t="shared" si="66"/>
        <v>0</v>
      </c>
      <c r="AH306" s="3215">
        <v>1</v>
      </c>
      <c r="AI306" s="3194" t="s">
        <v>2649</v>
      </c>
      <c r="AJ306"/>
    </row>
    <row r="307" spans="1:36" ht="12.75" customHeight="1" thickBot="1">
      <c r="A307" s="219">
        <v>307</v>
      </c>
      <c r="B307" s="7145"/>
      <c r="C307" s="1673" t="str">
        <f t="shared" si="62"/>
        <v>Apto en campo: Intelectuales</v>
      </c>
      <c r="D307" s="787">
        <f t="shared" si="52"/>
        <v>23</v>
      </c>
      <c r="E307" s="47" t="s">
        <v>9659</v>
      </c>
      <c r="F307" s="1669">
        <v>2</v>
      </c>
      <c r="G307" s="1669">
        <f>COUNTIF(Principal!$C$35:$J$47,Tablas!E307)+COUNTIF(Principal!$C$48:$F$49,Tablas!E307)</f>
        <v>0</v>
      </c>
      <c r="H307" s="1670">
        <f t="shared" si="63"/>
        <v>0</v>
      </c>
      <c r="I307" s="792">
        <v>1</v>
      </c>
      <c r="J307" s="1674" t="s">
        <v>2649</v>
      </c>
      <c r="L307" s="7837"/>
      <c r="M307" s="7838"/>
      <c r="N307" s="7838"/>
      <c r="O307" s="7838"/>
      <c r="P307" s="7838"/>
      <c r="Q307" s="7838"/>
      <c r="R307" s="7838"/>
      <c r="S307" s="7838"/>
      <c r="T307" s="7838"/>
      <c r="U307" s="7838"/>
      <c r="V307" s="7838"/>
      <c r="W307" s="7838"/>
      <c r="X307" s="7839"/>
      <c r="AB307" s="3187" t="str">
        <f t="shared" si="65"/>
        <v>Familiar (2)</v>
      </c>
      <c r="AC307" s="3188">
        <f t="shared" si="64"/>
        <v>127</v>
      </c>
      <c r="AD307" s="2731" t="s">
        <v>2139</v>
      </c>
      <c r="AE307" s="3189">
        <v>1</v>
      </c>
      <c r="AF307" s="3189">
        <f>COUNTIF(Principal!$C$35:$J$47,AD307)+COUNTIF(Principal!$C$48:$F$49,AD307)</f>
        <v>0</v>
      </c>
      <c r="AG307" s="3190">
        <f t="shared" si="66"/>
        <v>0</v>
      </c>
      <c r="AH307" s="3246">
        <v>1</v>
      </c>
      <c r="AI307" s="3199" t="s">
        <v>2649</v>
      </c>
      <c r="AJ307"/>
    </row>
    <row r="308" spans="1:36" ht="12.75" customHeight="1">
      <c r="A308" s="219">
        <v>308</v>
      </c>
      <c r="B308" s="7145"/>
      <c r="C308" s="1673" t="str">
        <f t="shared" si="62"/>
        <v>Apto en campo: Perceptivas</v>
      </c>
      <c r="D308" s="787">
        <f t="shared" si="52"/>
        <v>29</v>
      </c>
      <c r="E308" s="47" t="s">
        <v>9660</v>
      </c>
      <c r="F308" s="1669">
        <v>3</v>
      </c>
      <c r="G308" s="1669">
        <f>COUNTIF(Principal!$C$35:$J$47,Tablas!E308)+COUNTIF(Principal!$C$48:$F$49,Tablas!E308)</f>
        <v>0</v>
      </c>
      <c r="H308" s="1670">
        <f t="shared" si="63"/>
        <v>0</v>
      </c>
      <c r="I308" s="792">
        <v>1</v>
      </c>
      <c r="J308" s="1674" t="s">
        <v>2649</v>
      </c>
      <c r="L308" s="884"/>
      <c r="M308" s="206"/>
      <c r="N308" s="7860" t="s">
        <v>1390</v>
      </c>
      <c r="O308" s="7861"/>
      <c r="P308" s="8030" t="s">
        <v>1392</v>
      </c>
      <c r="Q308" s="8030"/>
      <c r="R308" s="7856" t="s">
        <v>1391</v>
      </c>
      <c r="S308" s="7857"/>
      <c r="T308" s="7860" t="s">
        <v>1393</v>
      </c>
      <c r="U308" s="7861"/>
      <c r="V308" s="8028" t="s">
        <v>1394</v>
      </c>
      <c r="W308" s="8029"/>
      <c r="X308" s="8185" t="s">
        <v>6646</v>
      </c>
      <c r="AB308" s="3187" t="str">
        <f t="shared" si="65"/>
        <v>Familiar (3)</v>
      </c>
      <c r="AC308" s="3188">
        <f t="shared" si="64"/>
        <v>112</v>
      </c>
      <c r="AD308" s="2731" t="s">
        <v>2140</v>
      </c>
      <c r="AE308" s="3189">
        <v>2</v>
      </c>
      <c r="AF308" s="3189">
        <f>COUNTIF(Principal!$C$35:$J$47,AD308)+COUNTIF(Principal!$C$48:$F$49,AD308)</f>
        <v>0</v>
      </c>
      <c r="AG308" s="3190">
        <f t="shared" si="66"/>
        <v>0</v>
      </c>
      <c r="AH308" s="3246"/>
      <c r="AI308" s="3199" t="s">
        <v>2649</v>
      </c>
      <c r="AJ308"/>
    </row>
    <row r="309" spans="1:36" ht="12.75" customHeight="1" thickBot="1">
      <c r="A309" s="219">
        <v>309</v>
      </c>
      <c r="B309" s="7145"/>
      <c r="C309" s="1673" t="str">
        <f t="shared" si="62"/>
        <v>Apto en campo: Sociales</v>
      </c>
      <c r="D309" s="787">
        <f t="shared" si="52"/>
        <v>33</v>
      </c>
      <c r="E309" s="47" t="s">
        <v>9661</v>
      </c>
      <c r="F309" s="1669">
        <v>3</v>
      </c>
      <c r="G309" s="1669">
        <f>COUNTIF(Principal!$C$35:$J$47,Tablas!E309)+COUNTIF(Principal!$C$48:$F$49,Tablas!E309)</f>
        <v>0</v>
      </c>
      <c r="H309" s="1670">
        <f t="shared" si="63"/>
        <v>0</v>
      </c>
      <c r="I309" s="792">
        <v>1</v>
      </c>
      <c r="J309" s="1674" t="s">
        <v>2649</v>
      </c>
      <c r="L309" s="2456" t="s">
        <v>1258</v>
      </c>
      <c r="M309" s="2457" t="s">
        <v>1300</v>
      </c>
      <c r="N309" s="1234" t="s">
        <v>1349</v>
      </c>
      <c r="O309" s="1234" t="s">
        <v>2097</v>
      </c>
      <c r="P309" s="2458" t="s">
        <v>1349</v>
      </c>
      <c r="Q309" s="1234" t="s">
        <v>2097</v>
      </c>
      <c r="R309" s="2458" t="s">
        <v>1349</v>
      </c>
      <c r="S309" s="1234" t="s">
        <v>2097</v>
      </c>
      <c r="T309" s="2458" t="s">
        <v>1349</v>
      </c>
      <c r="U309" s="1234" t="s">
        <v>2097</v>
      </c>
      <c r="V309" s="2458" t="s">
        <v>1349</v>
      </c>
      <c r="W309" s="1102" t="s">
        <v>2097</v>
      </c>
      <c r="X309" s="8186"/>
      <c r="AB309" s="3187" t="str">
        <f t="shared" si="65"/>
        <v>Habilidoso</v>
      </c>
      <c r="AC309" s="3188">
        <f t="shared" si="64"/>
        <v>53</v>
      </c>
      <c r="AD309" s="2731" t="s">
        <v>2141</v>
      </c>
      <c r="AE309" s="3189">
        <v>1</v>
      </c>
      <c r="AF309" s="3189">
        <f>COUNTIF(Principal!$C$35:$J$47,AD309)+COUNTIF(Principal!$C$48:$F$49,AD309)</f>
        <v>0</v>
      </c>
      <c r="AG309" s="3190">
        <f t="shared" si="66"/>
        <v>0</v>
      </c>
      <c r="AH309" s="3246">
        <v>1</v>
      </c>
      <c r="AI309" s="3199" t="s">
        <v>2649</v>
      </c>
      <c r="AJ309"/>
    </row>
    <row r="310" spans="1:36" ht="12.75" customHeight="1">
      <c r="A310" s="219">
        <v>310</v>
      </c>
      <c r="B310" s="7145"/>
      <c r="C310" s="1673" t="str">
        <f t="shared" si="62"/>
        <v>Apto en campo: Subterfugio</v>
      </c>
      <c r="D310" s="787">
        <f t="shared" si="52"/>
        <v>32</v>
      </c>
      <c r="E310" s="47" t="s">
        <v>9662</v>
      </c>
      <c r="F310" s="1669">
        <v>3</v>
      </c>
      <c r="G310" s="1669">
        <f>COUNTIF(Principal!$C$35:$J$47,Tablas!E310)+COUNTIF(Principal!$C$48:$F$49,Tablas!E310)</f>
        <v>0</v>
      </c>
      <c r="H310" s="1670">
        <f t="shared" si="63"/>
        <v>0</v>
      </c>
      <c r="I310" s="792">
        <v>1</v>
      </c>
      <c r="J310" s="1674" t="s">
        <v>2649</v>
      </c>
      <c r="L310" s="443" t="s">
        <v>1263</v>
      </c>
      <c r="M310" s="883" t="s">
        <v>1264</v>
      </c>
      <c r="N310" s="84">
        <v>1</v>
      </c>
      <c r="O310" s="84">
        <f>IF(Personalización!$L$11=M310,1,0)+IF(Personalización!$N$11=M310,1,0)+IF(Personalización!$P$11=M310,1,0)</f>
        <v>0</v>
      </c>
      <c r="P310" s="1670">
        <v>2</v>
      </c>
      <c r="Q310" s="84">
        <f>IF(Personalización!$L$12=M310,1,0)+IF(Personalización!$N$12=M310,1,0)+IF(Personalización!$P$12=M310,1,0)</f>
        <v>0</v>
      </c>
      <c r="R310" s="1670">
        <v>1</v>
      </c>
      <c r="S310" s="84">
        <f>IF(Personalización!$L$13=M310,1,0)+IF(Personalización!$N$13=M310,1,0)+IF(Personalización!$P$13=M310,1,0)</f>
        <v>0</v>
      </c>
      <c r="T310" s="1670">
        <v>2</v>
      </c>
      <c r="U310" s="84">
        <f>IF(Personalización!$L$14=M310,1,0)+IF(Personalización!$N$14=M310,1,0)+IF(Personalización!$P$14=M310,1,0)</f>
        <v>0</v>
      </c>
      <c r="V310" s="1670">
        <v>3</v>
      </c>
      <c r="W310" s="512">
        <f>IF(Personalización!$L$15=M310,1,0)+IF(Personalización!$N$15=M310,1,0)+IF(Personalización!$P$15=M310,1,0)</f>
        <v>0</v>
      </c>
      <c r="X310" s="512">
        <f>10*Tablas!S310+20*Tablas!U310+30*Tablas!W310+5*VLOOKUP("Apr. innato (2): "&amp;L310,$E$298:$G$314,3,FALSE)+10*VLOOKUP("Apr. innato (3): "&amp;L310,$E$298:$G$314,3,FALSE)</f>
        <v>0</v>
      </c>
      <c r="AB310" s="3187" t="str">
        <f t="shared" si="65"/>
        <v>Infatigable (1)</v>
      </c>
      <c r="AC310" s="3188">
        <f t="shared" si="64"/>
        <v>52</v>
      </c>
      <c r="AD310" s="2731" t="s">
        <v>2142</v>
      </c>
      <c r="AE310" s="3189">
        <v>1</v>
      </c>
      <c r="AF310" s="3189">
        <f>COUNTIF(Principal!$C$35:$J$47,AD310)+COUNTIF(Principal!$C$48:$F$49,AD310)</f>
        <v>0</v>
      </c>
      <c r="AG310" s="3190">
        <f t="shared" si="66"/>
        <v>0</v>
      </c>
      <c r="AH310" s="3246">
        <v>1</v>
      </c>
      <c r="AI310" s="3199" t="s">
        <v>2649</v>
      </c>
      <c r="AJ310"/>
    </row>
    <row r="311" spans="1:36" ht="12.75" customHeight="1">
      <c r="A311" s="219">
        <v>311</v>
      </c>
      <c r="B311" s="7145"/>
      <c r="C311" s="1673" t="str">
        <f t="shared" si="62"/>
        <v>Apto en campo: Vigor</v>
      </c>
      <c r="D311" s="787">
        <f t="shared" si="52"/>
        <v>31</v>
      </c>
      <c r="E311" s="47" t="s">
        <v>9663</v>
      </c>
      <c r="F311" s="1669">
        <v>3</v>
      </c>
      <c r="G311" s="1669">
        <f>COUNTIF(Principal!$C$35:$J$47,Tablas!E311)+COUNTIF(Principal!$C$48:$F$49,Tablas!E311)</f>
        <v>0</v>
      </c>
      <c r="H311" s="1670">
        <f t="shared" si="63"/>
        <v>0</v>
      </c>
      <c r="I311" s="792">
        <v>1</v>
      </c>
      <c r="J311" s="1674" t="s">
        <v>2649</v>
      </c>
      <c r="L311" s="443" t="s">
        <v>1263</v>
      </c>
      <c r="M311" s="883" t="s">
        <v>1265</v>
      </c>
      <c r="N311" s="84">
        <v>1</v>
      </c>
      <c r="O311" s="84">
        <f>IF(Personalización!$L$11=M311,1,0)+IF(Personalización!$N$11=M311,1,0)+IF(Personalización!$P$11=M311,1,0)</f>
        <v>0</v>
      </c>
      <c r="P311" s="1670">
        <v>2</v>
      </c>
      <c r="Q311" s="84">
        <f>IF(Personalización!$L$12=M311,1,0)+IF(Personalización!$N$12=M311,1,0)+IF(Personalización!$P$12=M311,1,0)</f>
        <v>0</v>
      </c>
      <c r="R311" s="1670">
        <v>1</v>
      </c>
      <c r="S311" s="84">
        <f>IF(Personalización!$L$13=M311,1,0)+IF(Personalización!$N$13=M311,1,0)+IF(Personalización!$P$13=M311,1,0)</f>
        <v>0</v>
      </c>
      <c r="T311" s="1670">
        <v>2</v>
      </c>
      <c r="U311" s="84">
        <f>IF(Personalización!$L$14=M311,1,0)+IF(Personalización!$N$14=M311,1,0)+IF(Personalización!$P$14=M311,1,0)</f>
        <v>0</v>
      </c>
      <c r="V311" s="1670">
        <v>3</v>
      </c>
      <c r="W311" s="512">
        <f>IF(Personalización!$L$15=M311,1,0)+IF(Personalización!$N$15=M311,1,0)+IF(Personalización!$P$15=M311,1,0)</f>
        <v>0</v>
      </c>
      <c r="X311" s="512">
        <f>10*Tablas!S311+20*Tablas!U311+30*Tablas!W311+5*VLOOKUP("Apr. innato (2): "&amp;L311,$E$298:$G$314,3,FALSE)+10*VLOOKUP("Apr. innato (3): "&amp;L311,$E$298:$G$314,3,FALSE)</f>
        <v>0</v>
      </c>
      <c r="AB311" s="3187" t="str">
        <f t="shared" si="65"/>
        <v>Infatigable (2)</v>
      </c>
      <c r="AC311" s="3188">
        <f t="shared" si="64"/>
        <v>11</v>
      </c>
      <c r="AD311" s="2731" t="s">
        <v>2143</v>
      </c>
      <c r="AE311" s="3189">
        <v>1</v>
      </c>
      <c r="AF311" s="3189">
        <f>COUNTIF(Principal!$C$35:$J$47,AD311)+COUNTIF(Principal!$C$48:$F$49,AD311)</f>
        <v>0</v>
      </c>
      <c r="AG311" s="3190">
        <f t="shared" si="66"/>
        <v>0</v>
      </c>
      <c r="AH311" s="3246"/>
      <c r="AI311" s="3199" t="s">
        <v>2649</v>
      </c>
      <c r="AJ311"/>
    </row>
    <row r="312" spans="1:36" ht="12.75" customHeight="1">
      <c r="A312" s="219">
        <v>312</v>
      </c>
      <c r="B312" s="7145"/>
      <c r="C312" s="1673" t="str">
        <f t="shared" si="62"/>
        <v>Apto en una materia (1)</v>
      </c>
      <c r="D312" s="787">
        <f t="shared" si="52"/>
        <v>35</v>
      </c>
      <c r="E312" s="47" t="s">
        <v>9664</v>
      </c>
      <c r="F312" s="1669">
        <v>3</v>
      </c>
      <c r="G312" s="1669">
        <f>COUNTIF(Principal!$C$35:$J$47,Tablas!E312)+COUNTIF(Principal!$C$48:$F$49,Tablas!E312)</f>
        <v>0</v>
      </c>
      <c r="H312" s="1670">
        <f t="shared" si="63"/>
        <v>0</v>
      </c>
      <c r="I312" s="792">
        <v>1</v>
      </c>
      <c r="J312" s="1674" t="s">
        <v>2649</v>
      </c>
      <c r="L312" s="443" t="s">
        <v>1263</v>
      </c>
      <c r="M312" s="883" t="s">
        <v>1268</v>
      </c>
      <c r="N312" s="84">
        <v>1</v>
      </c>
      <c r="O312" s="84">
        <f>IF(Personalización!$L$11=M312,1,0)+IF(Personalización!$N$11=M312,1,0)+IF(Personalización!$P$11=M312,1,0)</f>
        <v>0</v>
      </c>
      <c r="P312" s="1670">
        <v>2</v>
      </c>
      <c r="Q312" s="84">
        <f>IF(Personalización!$L$12=M312,1,0)+IF(Personalización!$N$12=M312,1,0)+IF(Personalización!$P$12=M312,1,0)</f>
        <v>0</v>
      </c>
      <c r="R312" s="1670">
        <v>1</v>
      </c>
      <c r="S312" s="84">
        <f>IF(Personalización!$L$13=M312,1,0)+IF(Personalización!$N$13=M312,1,0)+IF(Personalización!$P$13=M312,1,0)</f>
        <v>0</v>
      </c>
      <c r="T312" s="1670">
        <v>2</v>
      </c>
      <c r="U312" s="84">
        <f>IF(Personalización!$L$14=M312,1,0)+IF(Personalización!$N$14=M312,1,0)+IF(Personalización!$P$14=M312,1,0)</f>
        <v>0</v>
      </c>
      <c r="V312" s="1670">
        <v>3</v>
      </c>
      <c r="W312" s="512">
        <f>IF(Personalización!$L$15=M312,1,0)+IF(Personalización!$N$15=M312,1,0)+IF(Personalización!$P$15=M312,1,0)</f>
        <v>0</v>
      </c>
      <c r="X312" s="512">
        <f>10*Tablas!S312+20*Tablas!U312+30*Tablas!W312+5*VLOOKUP("Apr. innato (2): "&amp;L312,$E$298:$G$314,3,FALSE)+10*VLOOKUP("Apr. innato (3): "&amp;L312,$E$298:$G$314,3,FALSE)</f>
        <v>0</v>
      </c>
      <c r="AB312" s="3187" t="str">
        <f t="shared" si="65"/>
        <v>Infatigable (3)</v>
      </c>
      <c r="AC312" s="3188">
        <f t="shared" si="64"/>
        <v>12</v>
      </c>
      <c r="AD312" s="2731" t="s">
        <v>2144</v>
      </c>
      <c r="AE312" s="3189">
        <v>2</v>
      </c>
      <c r="AF312" s="3189">
        <f>COUNTIF(Principal!$C$35:$J$47,AD312)+COUNTIF(Principal!$C$48:$F$49,AD312)</f>
        <v>0</v>
      </c>
      <c r="AG312" s="3190">
        <f t="shared" si="66"/>
        <v>0</v>
      </c>
      <c r="AH312" s="3246"/>
      <c r="AI312" s="3199" t="s">
        <v>2649</v>
      </c>
      <c r="AJ312"/>
    </row>
    <row r="313" spans="1:36" ht="12.75" customHeight="1">
      <c r="A313" s="219">
        <v>313</v>
      </c>
      <c r="B313" s="7145"/>
      <c r="C313" s="1673" t="str">
        <f t="shared" si="62"/>
        <v>Apto en una materia (2)</v>
      </c>
      <c r="D313" s="787">
        <f t="shared" si="52"/>
        <v>34</v>
      </c>
      <c r="E313" s="47" t="s">
        <v>9665</v>
      </c>
      <c r="F313" s="1669">
        <v>3</v>
      </c>
      <c r="G313" s="1669">
        <f>COUNTIF(Principal!$C$35:$J$47,Tablas!E313)+COUNTIF(Principal!$C$48:$F$49,Tablas!E313)</f>
        <v>0</v>
      </c>
      <c r="H313" s="1670">
        <f t="shared" si="63"/>
        <v>0</v>
      </c>
      <c r="I313" s="792">
        <v>1</v>
      </c>
      <c r="J313" s="1674" t="s">
        <v>2649</v>
      </c>
      <c r="L313" s="443" t="s">
        <v>1263</v>
      </c>
      <c r="M313" s="883" t="s">
        <v>1272</v>
      </c>
      <c r="N313" s="84">
        <v>1</v>
      </c>
      <c r="O313" s="84">
        <f>IF(Personalización!$L$11=M313,1,0)+IF(Personalización!$N$11=M313,1,0)+IF(Personalización!$P$11=M313,1,0)</f>
        <v>0</v>
      </c>
      <c r="P313" s="1670">
        <v>2</v>
      </c>
      <c r="Q313" s="84">
        <f>IF(Personalización!$L$12=M313,1,0)+IF(Personalización!$N$12=M313,1,0)+IF(Personalización!$P$12=M313,1,0)</f>
        <v>0</v>
      </c>
      <c r="R313" s="1670">
        <v>1</v>
      </c>
      <c r="S313" s="84">
        <f>IF(Personalización!$L$13=M313,1,0)+IF(Personalización!$N$13=M313,1,0)+IF(Personalización!$P$13=M313,1,0)</f>
        <v>0</v>
      </c>
      <c r="T313" s="1670">
        <v>2</v>
      </c>
      <c r="U313" s="84">
        <f>IF(Personalización!$L$14=M313,1,0)+IF(Personalización!$N$14=M313,1,0)+IF(Personalización!$P$14=M313,1,0)</f>
        <v>0</v>
      </c>
      <c r="V313" s="1670">
        <v>3</v>
      </c>
      <c r="W313" s="512">
        <f>IF(Personalización!$L$15=M313,1,0)+IF(Personalización!$N$15=M313,1,0)+IF(Personalización!$P$15=M313,1,0)</f>
        <v>0</v>
      </c>
      <c r="X313" s="512">
        <f>10*Tablas!S313+20*Tablas!U313+30*Tablas!W313+5*VLOOKUP("Apr. innato (2): "&amp;L313,$E$298:$G$314,3,FALSE)+10*VLOOKUP("Apr. innato (3): "&amp;L313,$E$298:$G$314,3,FALSE)</f>
        <v>0</v>
      </c>
      <c r="AB313" s="3187" t="str">
        <f t="shared" si="65"/>
        <v>Inm. al dolor y al cansancio</v>
      </c>
      <c r="AC313" s="3188">
        <f t="shared" si="64"/>
        <v>13</v>
      </c>
      <c r="AD313" s="2731" t="s">
        <v>2145</v>
      </c>
      <c r="AE313" s="3189">
        <v>3</v>
      </c>
      <c r="AF313" s="3189">
        <f>COUNTIF(Principal!$C$35:$J$47,AD313)+COUNTIF(Principal!$C$48:$F$49,AD313)</f>
        <v>0</v>
      </c>
      <c r="AG313" s="3190">
        <f t="shared" si="66"/>
        <v>0</v>
      </c>
      <c r="AH313" s="3246"/>
      <c r="AI313" s="3199" t="s">
        <v>2649</v>
      </c>
      <c r="AJ313"/>
    </row>
    <row r="314" spans="1:36" ht="12.75" customHeight="1">
      <c r="A314" s="219">
        <v>314</v>
      </c>
      <c r="B314" s="7145"/>
      <c r="C314" s="1673" t="str">
        <f t="shared" si="62"/>
        <v>Armadura mística</v>
      </c>
      <c r="D314" s="787">
        <f t="shared" si="52"/>
        <v>30</v>
      </c>
      <c r="E314" s="47" t="s">
        <v>9666</v>
      </c>
      <c r="F314" s="1669">
        <v>3</v>
      </c>
      <c r="G314" s="1669">
        <f>COUNTIF(Principal!$C$35:$J$47,Tablas!E314)+COUNTIF(Principal!$C$48:$F$49,Tablas!E314)</f>
        <v>0</v>
      </c>
      <c r="H314" s="1670">
        <f t="shared" si="63"/>
        <v>0</v>
      </c>
      <c r="I314" s="792">
        <v>1</v>
      </c>
      <c r="J314" s="1674" t="s">
        <v>2649</v>
      </c>
      <c r="L314" s="443" t="s">
        <v>1263</v>
      </c>
      <c r="M314" s="883" t="s">
        <v>1275</v>
      </c>
      <c r="N314" s="84">
        <v>1</v>
      </c>
      <c r="O314" s="84">
        <f>IF(Personalización!$L$11=M314,1,0)+IF(Personalización!$N$11=M314,1,0)+IF(Personalización!$P$11=M314,1,0)</f>
        <v>0</v>
      </c>
      <c r="P314" s="1670">
        <v>2</v>
      </c>
      <c r="Q314" s="84">
        <f>IF(Personalización!$L$12=M314,1,0)+IF(Personalización!$N$12=M314,1,0)+IF(Personalización!$P$12=M314,1,0)</f>
        <v>0</v>
      </c>
      <c r="R314" s="1670">
        <v>1</v>
      </c>
      <c r="S314" s="84">
        <f>IF(Personalización!$L$13=M314,1,0)+IF(Personalización!$N$13=M314,1,0)+IF(Personalización!$P$13=M314,1,0)</f>
        <v>0</v>
      </c>
      <c r="T314" s="1670">
        <v>2</v>
      </c>
      <c r="U314" s="84">
        <f>IF(Personalización!$L$14=M314,1,0)+IF(Personalización!$N$14=M314,1,0)+IF(Personalización!$P$14=M314,1,0)</f>
        <v>0</v>
      </c>
      <c r="V314" s="1670">
        <v>3</v>
      </c>
      <c r="W314" s="512">
        <f>IF(Personalización!$L$15=M314,1,0)+IF(Personalización!$N$15=M314,1,0)+IF(Personalización!$P$15=M314,1,0)</f>
        <v>0</v>
      </c>
      <c r="X314" s="512">
        <f>10*Tablas!S314+20*Tablas!U314+30*Tablas!W314+5*VLOOKUP("Apr. innato (2): "&amp;L314,$E$298:$G$314,3,FALSE)+10*VLOOKUP("Apr. innato (3): "&amp;L314,$E$298:$G$314,3,FALSE)</f>
        <v>0</v>
      </c>
      <c r="AB314" s="3187" t="str">
        <f t="shared" si="65"/>
        <v>Inmunidad psíquica</v>
      </c>
      <c r="AC314" s="3188">
        <f t="shared" si="64"/>
        <v>76</v>
      </c>
      <c r="AD314" s="2731" t="s">
        <v>2146</v>
      </c>
      <c r="AE314" s="3189">
        <v>1</v>
      </c>
      <c r="AF314" s="3189">
        <f>COUNTIF(Principal!$C$35:$J$47,AD314)+COUNTIF(Principal!$C$48:$F$49,AD314)</f>
        <v>0</v>
      </c>
      <c r="AG314" s="3190">
        <f t="shared" si="66"/>
        <v>0</v>
      </c>
      <c r="AH314" s="3246">
        <v>1</v>
      </c>
      <c r="AI314" s="3199" t="s">
        <v>2649</v>
      </c>
      <c r="AJ314"/>
    </row>
    <row r="315" spans="1:36" ht="12.75" customHeight="1">
      <c r="A315" s="219">
        <v>315</v>
      </c>
      <c r="B315" s="7145"/>
      <c r="C315" s="1673" t="str">
        <f t="shared" si="62"/>
        <v>Armadura natural</v>
      </c>
      <c r="D315" s="787">
        <f t="shared" si="52"/>
        <v>56</v>
      </c>
      <c r="E315" s="47" t="s">
        <v>2122</v>
      </c>
      <c r="F315" s="1669">
        <v>2</v>
      </c>
      <c r="G315" s="1669">
        <f>COUNTIF(Principal!$C$35:$J$47,Tablas!E315)+COUNTIF(Principal!$C$48:$F$49,Tablas!E315)</f>
        <v>0</v>
      </c>
      <c r="H315" s="1670">
        <f t="shared" si="63"/>
        <v>0</v>
      </c>
      <c r="I315" s="792">
        <v>1</v>
      </c>
      <c r="J315" s="1674" t="s">
        <v>2649</v>
      </c>
      <c r="L315" s="443" t="s">
        <v>1263</v>
      </c>
      <c r="M315" s="883" t="s">
        <v>1278</v>
      </c>
      <c r="N315" s="84">
        <v>1</v>
      </c>
      <c r="O315" s="84">
        <f>IF(Personalización!$L$11=M315,1,0)+IF(Personalización!$N$11=M315,1,0)+IF(Personalización!$P$11=M315,1,0)</f>
        <v>0</v>
      </c>
      <c r="P315" s="1670">
        <v>2</v>
      </c>
      <c r="Q315" s="84">
        <f>IF(Personalización!$L$12=M315,1,0)+IF(Personalización!$N$12=M315,1,0)+IF(Personalización!$P$12=M315,1,0)</f>
        <v>0</v>
      </c>
      <c r="R315" s="1670">
        <v>1</v>
      </c>
      <c r="S315" s="84">
        <f>IF(Personalización!$L$13=M315,1,0)+IF(Personalización!$N$13=M315,1,0)+IF(Personalización!$P$13=M315,1,0)</f>
        <v>0</v>
      </c>
      <c r="T315" s="1670">
        <v>2</v>
      </c>
      <c r="U315" s="84">
        <f>IF(Personalización!$L$14=M315,1,0)+IF(Personalización!$N$14=M315,1,0)+IF(Personalización!$P$14=M315,1,0)</f>
        <v>0</v>
      </c>
      <c r="V315" s="1670">
        <v>3</v>
      </c>
      <c r="W315" s="512">
        <f>IF(Personalización!$L$15=M315,1,0)+IF(Personalización!$N$15=M315,1,0)+IF(Personalización!$P$15=M315,1,0)</f>
        <v>0</v>
      </c>
      <c r="X315" s="512">
        <f>10*Tablas!S315+20*Tablas!U315+30*Tablas!W315+5*VLOOKUP("Apr. innato (2): "&amp;L315,$E$298:$G$314,3,FALSE)+10*VLOOKUP("Apr. innato (3): "&amp;L315,$E$298:$G$314,3,FALSE)</f>
        <v>0</v>
      </c>
      <c r="AB315" s="3187" t="str">
        <f t="shared" si="65"/>
        <v>Inmunidad sobrenatural (1)</v>
      </c>
      <c r="AC315" s="3188">
        <f t="shared" si="64"/>
        <v>133</v>
      </c>
      <c r="AD315" s="2731" t="s">
        <v>2147</v>
      </c>
      <c r="AE315" s="3189">
        <v>1</v>
      </c>
      <c r="AF315" s="3189">
        <f>COUNTIF(Principal!$C$35:$J$47,AD315)+COUNTIF(Principal!$C$48:$F$49,AD315)</f>
        <v>0</v>
      </c>
      <c r="AG315" s="3190">
        <f t="shared" si="66"/>
        <v>0</v>
      </c>
      <c r="AH315" s="3246"/>
      <c r="AI315" s="3199" t="s">
        <v>2649</v>
      </c>
      <c r="AJ315"/>
    </row>
    <row r="316" spans="1:36" ht="12.75" customHeight="1">
      <c r="A316" s="219">
        <v>316</v>
      </c>
      <c r="B316" s="7145"/>
      <c r="C316" s="1673" t="str">
        <f t="shared" si="62"/>
        <v>Bono natural incrementado</v>
      </c>
      <c r="D316" s="787">
        <f t="shared" si="52"/>
        <v>115</v>
      </c>
      <c r="E316" s="47" t="s">
        <v>2123</v>
      </c>
      <c r="F316" s="1669">
        <v>1</v>
      </c>
      <c r="G316" s="1669">
        <f>COUNTIF(Principal!$C$35:$J$47,Tablas!E316)+COUNTIF(Principal!$C$48:$F$49,Tablas!E316)</f>
        <v>0</v>
      </c>
      <c r="H316" s="1670">
        <f t="shared" si="63"/>
        <v>0</v>
      </c>
      <c r="I316" s="792"/>
      <c r="J316" s="1674" t="s">
        <v>2649</v>
      </c>
      <c r="L316" s="443" t="s">
        <v>1263</v>
      </c>
      <c r="M316" s="883" t="s">
        <v>5858</v>
      </c>
      <c r="N316" s="84">
        <v>1</v>
      </c>
      <c r="O316" s="84">
        <f>IF(Personalización!$L$11=M316,1,0)+IF(Personalización!$N$11=M316,1,0)+IF(Personalización!$P$11=M316,1,0)</f>
        <v>0</v>
      </c>
      <c r="P316" s="1670">
        <v>2</v>
      </c>
      <c r="Q316" s="84">
        <f>IF(Personalización!$L$12=M316,1,0)+IF(Personalización!$N$12=M316,1,0)+IF(Personalización!$P$12=M316,1,0)</f>
        <v>0</v>
      </c>
      <c r="R316" s="1670">
        <v>1</v>
      </c>
      <c r="S316" s="84">
        <f>IF(Personalización!$L$13=M316,1,0)+IF(Personalización!$N$13=M316,1,0)+IF(Personalización!$P$13=M316,1,0)</f>
        <v>0</v>
      </c>
      <c r="T316" s="1670">
        <v>2</v>
      </c>
      <c r="U316" s="84">
        <f>IF(Personalización!$L$14=M316,1,0)+IF(Personalización!$N$14=M316,1,0)+IF(Personalización!$P$14=M316,1,0)</f>
        <v>0</v>
      </c>
      <c r="V316" s="1670">
        <v>3</v>
      </c>
      <c r="W316" s="512">
        <f>IF(Personalización!$L$15=M316,1,0)+IF(Personalización!$N$15=M316,1,0)+IF(Personalización!$P$15=M316,1,0)</f>
        <v>0</v>
      </c>
      <c r="X316" s="512">
        <f>10*Tablas!S316+20*Tablas!U316+30*Tablas!W316+5*VLOOKUP("Apr. innato (2): "&amp;L316,$E$298:$G$314,3,FALSE)+10*VLOOKUP("Apr. innato (3): "&amp;L316,$E$298:$G$314,3,FALSE)</f>
        <v>0</v>
      </c>
      <c r="AB316" s="3187" t="str">
        <f t="shared" si="65"/>
        <v>Inmunidad sobrenatural (2)</v>
      </c>
      <c r="AC316" s="3188">
        <f t="shared" si="64"/>
        <v>86</v>
      </c>
      <c r="AD316" s="2731" t="s">
        <v>2148</v>
      </c>
      <c r="AE316" s="3189">
        <v>1</v>
      </c>
      <c r="AF316" s="3189">
        <f>COUNTIF(Principal!$C$35:$J$47,AD316)+COUNTIF(Principal!$C$48:$F$49,AD316)</f>
        <v>0</v>
      </c>
      <c r="AG316" s="3190">
        <f t="shared" si="66"/>
        <v>0</v>
      </c>
      <c r="AH316" s="3246">
        <v>1</v>
      </c>
      <c r="AI316" s="3199" t="s">
        <v>2649</v>
      </c>
      <c r="AJ316"/>
    </row>
    <row r="317" spans="1:36" ht="12.75" customHeight="1">
      <c r="A317" s="219">
        <v>317</v>
      </c>
      <c r="B317" s="7145"/>
      <c r="C317" s="1673" t="str">
        <f t="shared" si="62"/>
        <v>Buena suerte</v>
      </c>
      <c r="D317" s="787">
        <f t="shared" si="52"/>
        <v>68</v>
      </c>
      <c r="E317" s="47" t="s">
        <v>2124</v>
      </c>
      <c r="F317" s="1669">
        <v>1</v>
      </c>
      <c r="G317" s="1669">
        <f>COUNTIF(Principal!$C$35:$J$47,Tablas!E317)+COUNTIF(Principal!$C$48:$F$49,Tablas!E317)</f>
        <v>0</v>
      </c>
      <c r="H317" s="1670">
        <f t="shared" si="63"/>
        <v>0</v>
      </c>
      <c r="I317" s="792"/>
      <c r="J317" s="1674" t="s">
        <v>2649</v>
      </c>
      <c r="L317" s="443" t="s">
        <v>1281</v>
      </c>
      <c r="M317" s="883" t="s">
        <v>1282</v>
      </c>
      <c r="N317" s="84">
        <v>1</v>
      </c>
      <c r="O317" s="84">
        <f>IF(Personalización!$L$11=M317,1,0)+IF(Personalización!$N$11=M317,1,0)+IF(Personalización!$P$11=M317,1,0)</f>
        <v>0</v>
      </c>
      <c r="P317" s="1670">
        <v>2</v>
      </c>
      <c r="Q317" s="84">
        <f>IF(Personalización!$L$12=M317,1,0)+IF(Personalización!$N$12=M317,1,0)+IF(Personalización!$P$12=M317,1,0)</f>
        <v>0</v>
      </c>
      <c r="R317" s="1670">
        <v>1</v>
      </c>
      <c r="S317" s="84">
        <f>IF(Personalización!$L$13=M317,1,0)+IF(Personalización!$N$13=M317,1,0)+IF(Personalización!$P$13=M317,1,0)</f>
        <v>0</v>
      </c>
      <c r="T317" s="1670">
        <v>2</v>
      </c>
      <c r="U317" s="84">
        <f>IF(Personalización!$L$14=M317,1,0)+IF(Personalización!$N$14=M317,1,0)+IF(Personalización!$P$14=M317,1,0)</f>
        <v>0</v>
      </c>
      <c r="V317" s="1670">
        <v>3</v>
      </c>
      <c r="W317" s="512">
        <f>IF(Personalización!$L$15=M317,1,0)+IF(Personalización!$N$15=M317,1,0)+IF(Personalización!$P$15=M317,1,0)</f>
        <v>0</v>
      </c>
      <c r="X317" s="512">
        <f>10*Tablas!S317+20*Tablas!U317+30*Tablas!W317+5*VLOOKUP("Apr. innato (2): "&amp;L317,$E$298:$G$314,3,FALSE)+10*VLOOKUP("Apr. innato (3): "&amp;L317,$E$298:$G$314,3,FALSE)</f>
        <v>0</v>
      </c>
      <c r="AB317" s="3187" t="str">
        <f t="shared" si="65"/>
        <v>Inmunidad sobrenatural (3)</v>
      </c>
      <c r="AC317" s="3188">
        <f t="shared" si="64"/>
        <v>87</v>
      </c>
      <c r="AD317" s="2731" t="s">
        <v>2149</v>
      </c>
      <c r="AE317" s="3189">
        <v>2</v>
      </c>
      <c r="AF317" s="3189">
        <f>COUNTIF(Principal!$C$35:$J$47,AD317)+COUNTIF(Principal!$C$48:$F$49,AD317)</f>
        <v>0</v>
      </c>
      <c r="AG317" s="3190">
        <f t="shared" si="66"/>
        <v>0</v>
      </c>
      <c r="AH317" s="3246">
        <v>1</v>
      </c>
      <c r="AI317" s="3199" t="s">
        <v>2649</v>
      </c>
      <c r="AJ317"/>
    </row>
    <row r="318" spans="1:36" ht="12.75" customHeight="1">
      <c r="A318" s="219">
        <v>318</v>
      </c>
      <c r="B318" s="7145"/>
      <c r="C318" s="1673" t="str">
        <f t="shared" si="62"/>
        <v>Con. de todas las materias</v>
      </c>
      <c r="D318" s="787">
        <f t="shared" si="52"/>
        <v>55</v>
      </c>
      <c r="E318" s="47" t="s">
        <v>2125</v>
      </c>
      <c r="F318" s="1669">
        <v>1</v>
      </c>
      <c r="G318" s="1669">
        <f>COUNTIF(Principal!$C$35:$J$47,Tablas!E318)+COUNTIF(Principal!$C$48:$F$49,Tablas!E318)</f>
        <v>0</v>
      </c>
      <c r="H318" s="1670">
        <f t="shared" si="63"/>
        <v>0</v>
      </c>
      <c r="I318" s="792"/>
      <c r="J318" s="1674" t="s">
        <v>2649</v>
      </c>
      <c r="L318" s="443" t="s">
        <v>1281</v>
      </c>
      <c r="M318" s="883" t="s">
        <v>1284</v>
      </c>
      <c r="N318" s="84">
        <v>1</v>
      </c>
      <c r="O318" s="84">
        <f>IF(Personalización!$L$11=M318,1,0)+IF(Personalización!$N$11=M318,1,0)+IF(Personalización!$P$11=M318,1,0)</f>
        <v>0</v>
      </c>
      <c r="P318" s="1670">
        <v>2</v>
      </c>
      <c r="Q318" s="84">
        <f>IF(Personalización!$L$12=M318,1,0)+IF(Personalización!$N$12=M318,1,0)+IF(Personalización!$P$12=M318,1,0)</f>
        <v>0</v>
      </c>
      <c r="R318" s="1670">
        <v>1</v>
      </c>
      <c r="S318" s="84">
        <f>IF(Personalización!$L$13=M318,1,0)+IF(Personalización!$N$13=M318,1,0)+IF(Personalización!$P$13=M318,1,0)</f>
        <v>0</v>
      </c>
      <c r="T318" s="1670">
        <v>2</v>
      </c>
      <c r="U318" s="84">
        <f>IF(Personalización!$L$14=M318,1,0)+IF(Personalización!$N$14=M318,1,0)+IF(Personalización!$P$14=M318,1,0)</f>
        <v>0</v>
      </c>
      <c r="V318" s="1670">
        <v>3</v>
      </c>
      <c r="W318" s="512">
        <f>IF(Personalización!$L$15=M318,1,0)+IF(Personalización!$N$15=M318,1,0)+IF(Personalización!$P$15=M318,1,0)</f>
        <v>0</v>
      </c>
      <c r="X318" s="512">
        <f>10*Tablas!S318+20*Tablas!U318+30*Tablas!W318+5*VLOOKUP("Apr. innato (2): "&amp;L318,$E$298:$G$314,3,FALSE)+10*VLOOKUP("Apr. innato (3): "&amp;L318,$E$298:$G$314,3,FALSE)</f>
        <v>0</v>
      </c>
      <c r="AB318" s="3187" t="str">
        <f t="shared" si="65"/>
        <v>Inquietante</v>
      </c>
      <c r="AC318" s="3188">
        <f t="shared" si="64"/>
        <v>88</v>
      </c>
      <c r="AD318" s="2731" t="s">
        <v>2150</v>
      </c>
      <c r="AE318" s="3189">
        <v>3</v>
      </c>
      <c r="AF318" s="3189">
        <f>COUNTIF(Principal!$C$35:$J$47,AD318)+COUNTIF(Principal!$C$48:$F$49,AD318)</f>
        <v>0</v>
      </c>
      <c r="AG318" s="3190">
        <f t="shared" si="66"/>
        <v>0</v>
      </c>
      <c r="AH318" s="3246">
        <v>1</v>
      </c>
      <c r="AI318" s="3199" t="s">
        <v>2649</v>
      </c>
      <c r="AJ318"/>
    </row>
    <row r="319" spans="1:36" ht="12.75" customHeight="1">
      <c r="A319" s="219">
        <v>319</v>
      </c>
      <c r="B319" s="7145"/>
      <c r="C319" s="1673" t="str">
        <f t="shared" si="62"/>
        <v>Convocador de masas (1)</v>
      </c>
      <c r="D319" s="787">
        <f t="shared" si="52"/>
        <v>19</v>
      </c>
      <c r="E319" s="47" t="s">
        <v>2126</v>
      </c>
      <c r="F319" s="1669">
        <v>1</v>
      </c>
      <c r="G319" s="1669">
        <f>COUNTIF(Principal!$C$35:$J$47,Tablas!E319)+COUNTIF(Principal!$C$48:$F$49,Tablas!E319)</f>
        <v>0</v>
      </c>
      <c r="H319" s="1670">
        <f t="shared" si="63"/>
        <v>0</v>
      </c>
      <c r="I319" s="792"/>
      <c r="J319" s="1674" t="s">
        <v>2649</v>
      </c>
      <c r="L319" s="443" t="s">
        <v>1281</v>
      </c>
      <c r="M319" s="883" t="s">
        <v>1287</v>
      </c>
      <c r="N319" s="84">
        <v>1</v>
      </c>
      <c r="O319" s="84">
        <f>IF(Personalización!$L$11=M319,1,0)+IF(Personalización!$N$11=M319,1,0)+IF(Personalización!$P$11=M319,1,0)</f>
        <v>0</v>
      </c>
      <c r="P319" s="1670">
        <v>2</v>
      </c>
      <c r="Q319" s="84">
        <f>IF(Personalización!$L$12=M319,1,0)+IF(Personalización!$N$12=M319,1,0)+IF(Personalización!$P$12=M319,1,0)</f>
        <v>0</v>
      </c>
      <c r="R319" s="1670">
        <v>1</v>
      </c>
      <c r="S319" s="84">
        <f>IF(Personalización!$L$13=M319,1,0)+IF(Personalización!$N$13=M319,1,0)+IF(Personalización!$P$13=M319,1,0)</f>
        <v>0</v>
      </c>
      <c r="T319" s="1670">
        <v>2</v>
      </c>
      <c r="U319" s="84">
        <f>IF(Personalización!$L$14=M319,1,0)+IF(Personalización!$N$14=M319,1,0)+IF(Personalización!$P$14=M319,1,0)</f>
        <v>0</v>
      </c>
      <c r="V319" s="1670">
        <v>3</v>
      </c>
      <c r="W319" s="512">
        <f>IF(Personalización!$L$15=M319,1,0)+IF(Personalización!$N$15=M319,1,0)+IF(Personalización!$P$15=M319,1,0)</f>
        <v>0</v>
      </c>
      <c r="X319" s="512">
        <f>10*Tablas!S319+20*Tablas!U319+30*Tablas!W319+5*VLOOKUP("Apr. innato (2): "&amp;L319,$E$298:$G$314,3,FALSE)+10*VLOOKUP("Apr. innato (3): "&amp;L319,$E$298:$G$314,3,FALSE)</f>
        <v>0</v>
      </c>
      <c r="AB319" s="3187" t="str">
        <f t="shared" si="65"/>
        <v>Inutilidad gestual</v>
      </c>
      <c r="AC319" s="3188">
        <f t="shared" si="64"/>
        <v>73</v>
      </c>
      <c r="AD319" s="2731" t="s">
        <v>2151</v>
      </c>
      <c r="AE319" s="3189">
        <v>1</v>
      </c>
      <c r="AF319" s="3189">
        <f>COUNTIF(Principal!$C$35:$J$47,AD319)+COUNTIF(Principal!$C$48:$F$49,AD319)</f>
        <v>0</v>
      </c>
      <c r="AG319" s="3190">
        <f t="shared" si="66"/>
        <v>0</v>
      </c>
      <c r="AH319" s="3246">
        <v>1</v>
      </c>
      <c r="AI319" s="3199" t="s">
        <v>2649</v>
      </c>
      <c r="AJ319"/>
    </row>
    <row r="320" spans="1:36" ht="12.75" customHeight="1">
      <c r="A320" s="219">
        <v>320</v>
      </c>
      <c r="B320" s="7145"/>
      <c r="C320" s="1673" t="str">
        <f t="shared" si="62"/>
        <v>Convocador de masas (2)</v>
      </c>
      <c r="D320" s="787">
        <f t="shared" si="52"/>
        <v>94</v>
      </c>
      <c r="E320" s="47" t="s">
        <v>2127</v>
      </c>
      <c r="F320" s="1669">
        <v>1</v>
      </c>
      <c r="G320" s="1669">
        <f>COUNTIF(Principal!$C$35:$J$47,Tablas!E320)+COUNTIF(Principal!$C$48:$F$49,Tablas!E320)</f>
        <v>0</v>
      </c>
      <c r="H320" s="1670">
        <f t="shared" si="63"/>
        <v>0</v>
      </c>
      <c r="I320" s="792">
        <v>1</v>
      </c>
      <c r="J320" s="1674" t="s">
        <v>2649</v>
      </c>
      <c r="L320" s="443" t="s">
        <v>1281</v>
      </c>
      <c r="M320" s="883" t="s">
        <v>1289</v>
      </c>
      <c r="N320" s="84">
        <v>1</v>
      </c>
      <c r="O320" s="84">
        <f>IF(Personalización!$L$11=M320,1,0)+IF(Personalización!$N$11=M320,1,0)+IF(Personalización!$P$11=M320,1,0)</f>
        <v>0</v>
      </c>
      <c r="P320" s="1670">
        <v>2</v>
      </c>
      <c r="Q320" s="84">
        <f>IF(Personalización!$L$12=M320,1,0)+IF(Personalización!$N$12=M320,1,0)+IF(Personalización!$P$12=M320,1,0)</f>
        <v>0</v>
      </c>
      <c r="R320" s="1670">
        <v>1</v>
      </c>
      <c r="S320" s="84">
        <f>IF(Personalización!$L$13=M320,1,0)+IF(Personalización!$N$13=M320,1,0)+IF(Personalización!$P$13=M320,1,0)</f>
        <v>0</v>
      </c>
      <c r="T320" s="1670">
        <v>2</v>
      </c>
      <c r="U320" s="84">
        <f>IF(Personalización!$L$14=M320,1,0)+IF(Personalización!$N$14=M320,1,0)+IF(Personalización!$P$14=M320,1,0)</f>
        <v>0</v>
      </c>
      <c r="V320" s="1670">
        <v>3</v>
      </c>
      <c r="W320" s="512">
        <f>IF(Personalización!$L$15=M320,1,0)+IF(Personalización!$N$15=M320,1,0)+IF(Personalización!$P$15=M320,1,0)</f>
        <v>0</v>
      </c>
      <c r="X320" s="512">
        <f>10*Tablas!S320+20*Tablas!U320+30*Tablas!W320+5*VLOOKUP("Apr. innato (2): "&amp;L320,$E$298:$G$314,3,FALSE)+10*VLOOKUP("Apr. innato (3): "&amp;L320,$E$298:$G$314,3,FALSE)</f>
        <v>0</v>
      </c>
      <c r="AB320" s="3187" t="str">
        <f t="shared" si="65"/>
        <v>Ki imperceptible</v>
      </c>
      <c r="AC320" s="3188">
        <f t="shared" si="64"/>
        <v>74</v>
      </c>
      <c r="AD320" s="2731" t="s">
        <v>2152</v>
      </c>
      <c r="AE320" s="3189">
        <v>2</v>
      </c>
      <c r="AF320" s="3189">
        <f>COUNTIF(Principal!$C$35:$J$47,AD320)+COUNTIF(Principal!$C$48:$F$49,AD320)</f>
        <v>0</v>
      </c>
      <c r="AG320" s="3190">
        <f t="shared" si="66"/>
        <v>0</v>
      </c>
      <c r="AH320" s="3215">
        <v>1</v>
      </c>
      <c r="AI320" s="3194" t="s">
        <v>2649</v>
      </c>
      <c r="AJ320"/>
    </row>
    <row r="321" spans="1:36" ht="12.75" customHeight="1">
      <c r="A321" s="219">
        <v>321</v>
      </c>
      <c r="B321" s="7145"/>
      <c r="C321" s="1673" t="str">
        <f t="shared" si="62"/>
        <v>Convocador de masas (3)</v>
      </c>
      <c r="D321" s="787">
        <f t="shared" si="52"/>
        <v>95</v>
      </c>
      <c r="E321" s="47" t="s">
        <v>2128</v>
      </c>
      <c r="F321" s="1669">
        <v>2</v>
      </c>
      <c r="G321" s="1669">
        <f>COUNTIF(Principal!$C$35:$J$47,Tablas!E321)+COUNTIF(Principal!$C$48:$F$49,Tablas!E321)</f>
        <v>0</v>
      </c>
      <c r="H321" s="1670">
        <f t="shared" si="63"/>
        <v>0</v>
      </c>
      <c r="I321" s="792">
        <v>1</v>
      </c>
      <c r="J321" s="1674" t="s">
        <v>2649</v>
      </c>
      <c r="L321" s="443" t="s">
        <v>1281</v>
      </c>
      <c r="M321" s="883" t="s">
        <v>685</v>
      </c>
      <c r="N321" s="84">
        <v>1</v>
      </c>
      <c r="O321" s="84">
        <f>IF(Personalización!$L$11=M321,1,0)+IF(Personalización!$N$11=M321,1,0)+IF(Personalización!$P$11=M321,1,0)</f>
        <v>0</v>
      </c>
      <c r="P321" s="1670">
        <v>2</v>
      </c>
      <c r="Q321" s="84">
        <f>IF(Personalización!$L$12=M321,1,0)+IF(Personalización!$N$12=M321,1,0)+IF(Personalización!$P$12=M321,1,0)</f>
        <v>0</v>
      </c>
      <c r="R321" s="1670">
        <v>1</v>
      </c>
      <c r="S321" s="84">
        <f>IF(Personalización!$L$13=M321,1,0)+IF(Personalización!$N$13=M321,1,0)+IF(Personalización!$P$13=M321,1,0)</f>
        <v>0</v>
      </c>
      <c r="T321" s="1670">
        <v>2</v>
      </c>
      <c r="U321" s="84">
        <f>IF(Personalización!$L$14=M321,1,0)+IF(Personalización!$N$14=M321,1,0)+IF(Personalización!$P$14=M321,1,0)</f>
        <v>0</v>
      </c>
      <c r="V321" s="1670">
        <v>3</v>
      </c>
      <c r="W321" s="512">
        <f>IF(Personalización!$L$15=M321,1,0)+IF(Personalización!$N$15=M321,1,0)+IF(Personalización!$P$15=M321,1,0)</f>
        <v>0</v>
      </c>
      <c r="X321" s="512">
        <f>10*Tablas!S321+20*Tablas!U321+30*Tablas!W321+5*VLOOKUP("Apr. innato (2): "&amp;L321,$E$298:$G$314,3,FALSE)+10*VLOOKUP("Apr. innato (3): "&amp;L321,$E$298:$G$314,3,FALSE)</f>
        <v>0</v>
      </c>
      <c r="AB321" s="3187" t="str">
        <f t="shared" si="65"/>
        <v>Libre albedrío</v>
      </c>
      <c r="AC321" s="3188">
        <f t="shared" si="64"/>
        <v>75</v>
      </c>
      <c r="AD321" s="2731" t="s">
        <v>2153</v>
      </c>
      <c r="AE321" s="3189">
        <v>3</v>
      </c>
      <c r="AF321" s="3189">
        <f>COUNTIF(Principal!$C$35:$J$47,AD321)+COUNTIF(Principal!$C$48:$F$49,AD321)</f>
        <v>0</v>
      </c>
      <c r="AG321" s="3190">
        <f t="shared" si="66"/>
        <v>0</v>
      </c>
      <c r="AH321" s="3215">
        <v>1</v>
      </c>
      <c r="AI321" s="3194" t="s">
        <v>2649</v>
      </c>
      <c r="AJ321"/>
    </row>
    <row r="322" spans="1:36" ht="12.75" customHeight="1">
      <c r="A322" s="219">
        <v>322</v>
      </c>
      <c r="B322" s="7145"/>
      <c r="C322" s="1673" t="str">
        <f t="shared" si="62"/>
        <v>Difícil de matar (1)</v>
      </c>
      <c r="D322" s="787">
        <f t="shared" si="52"/>
        <v>96</v>
      </c>
      <c r="E322" s="47" t="s">
        <v>2129</v>
      </c>
      <c r="F322" s="1669">
        <v>3</v>
      </c>
      <c r="G322" s="1669">
        <f>COUNTIF(Principal!$C$35:$J$47,Tablas!E322)+COUNTIF(Principal!$C$48:$F$49,Tablas!E322)</f>
        <v>0</v>
      </c>
      <c r="H322" s="1670">
        <f t="shared" si="63"/>
        <v>0</v>
      </c>
      <c r="I322" s="792">
        <v>1</v>
      </c>
      <c r="J322" s="1674" t="s">
        <v>2649</v>
      </c>
      <c r="L322" s="443" t="s">
        <v>1281</v>
      </c>
      <c r="M322" s="883" t="s">
        <v>686</v>
      </c>
      <c r="N322" s="84">
        <v>1</v>
      </c>
      <c r="O322" s="84">
        <f>IF(Personalización!$L$11=M322,1,0)+IF(Personalización!$N$11=M322,1,0)+IF(Personalización!$P$11=M322,1,0)</f>
        <v>0</v>
      </c>
      <c r="P322" s="1670">
        <v>2</v>
      </c>
      <c r="Q322" s="84">
        <f>IF(Personalización!$L$12=M322,1,0)+IF(Personalización!$N$12=M322,1,0)+IF(Personalización!$P$12=M322,1,0)</f>
        <v>0</v>
      </c>
      <c r="R322" s="1670">
        <v>1</v>
      </c>
      <c r="S322" s="84">
        <f>IF(Personalización!$L$13=M322,1,0)+IF(Personalización!$N$13=M322,1,0)+IF(Personalización!$P$13=M322,1,0)</f>
        <v>0</v>
      </c>
      <c r="T322" s="1670">
        <v>2</v>
      </c>
      <c r="U322" s="84">
        <f>IF(Personalización!$L$14=M322,1,0)+IF(Personalización!$N$14=M322,1,0)+IF(Personalización!$P$14=M322,1,0)</f>
        <v>0</v>
      </c>
      <c r="V322" s="1670">
        <v>3</v>
      </c>
      <c r="W322" s="512">
        <f>IF(Personalización!$L$15=M322,1,0)+IF(Personalización!$N$15=M322,1,0)+IF(Personalización!$P$15=M322,1,0)</f>
        <v>0</v>
      </c>
      <c r="X322" s="512">
        <f>10*Tablas!S322+20*Tablas!U322+30*Tablas!W322+5*VLOOKUP("Apr. innato (2): "&amp;L322,$E$298:$G$314,3,FALSE)+10*VLOOKUP("Apr. innato (3): "&amp;L322,$E$298:$G$314,3,FALSE)</f>
        <v>0</v>
      </c>
      <c r="AB322" s="3187" t="str">
        <f t="shared" si="65"/>
        <v>Límite dual</v>
      </c>
      <c r="AC322" s="3188">
        <f t="shared" si="64"/>
        <v>-4</v>
      </c>
      <c r="AD322" s="2731" t="str">
        <f>IF(Personalización!$G$34="Sí","Desplazamiento rápido"," &gt; Desplazamiento rápido")</f>
        <v xml:space="preserve"> &gt; Desplazamiento rápido</v>
      </c>
      <c r="AE322" s="3189">
        <v>1</v>
      </c>
      <c r="AF322" s="3189">
        <f>COUNTIF(Principal!$C$35:$J$47,AD322)+COUNTIF(Principal!$C$48:$F$49,AD322)</f>
        <v>0</v>
      </c>
      <c r="AG322" s="3190">
        <f t="shared" si="66"/>
        <v>0</v>
      </c>
      <c r="AH322" s="3215">
        <v>1</v>
      </c>
      <c r="AI322" s="3194" t="s">
        <v>2649</v>
      </c>
      <c r="AJ322"/>
    </row>
    <row r="323" spans="1:36" ht="12.75" customHeight="1">
      <c r="A323" s="219">
        <v>323</v>
      </c>
      <c r="B323" s="7145"/>
      <c r="C323" s="1673" t="str">
        <f t="shared" si="62"/>
        <v>Difícil de matar (2)</v>
      </c>
      <c r="D323" s="787">
        <f t="shared" si="52"/>
        <v>118</v>
      </c>
      <c r="E323" s="47" t="s">
        <v>2130</v>
      </c>
      <c r="F323" s="1669">
        <v>1</v>
      </c>
      <c r="G323" s="1669">
        <f>COUNTIF(Principal!$C$35:$J$47,Tablas!E323)+COUNTIF(Principal!$C$48:$F$49,Tablas!E323)</f>
        <v>0</v>
      </c>
      <c r="H323" s="1670">
        <f t="shared" si="63"/>
        <v>0</v>
      </c>
      <c r="I323" s="792">
        <v>1</v>
      </c>
      <c r="J323" s="1674" t="s">
        <v>2649</v>
      </c>
      <c r="K323" s="1664" t="s">
        <v>8025</v>
      </c>
      <c r="L323" s="443" t="s">
        <v>1281</v>
      </c>
      <c r="M323" s="883" t="s">
        <v>687</v>
      </c>
      <c r="N323" s="84">
        <v>1</v>
      </c>
      <c r="O323" s="84">
        <f>IF(Personalización!$L$11=M323,1,0)+IF(Personalización!$N$11=M323,1,0)+IF(Personalización!$P$11=M323,1,0)</f>
        <v>0</v>
      </c>
      <c r="P323" s="1670">
        <v>2</v>
      </c>
      <c r="Q323" s="84">
        <f>IF(Personalización!$L$12=M323,1,0)+IF(Personalización!$N$12=M323,1,0)+IF(Personalización!$P$12=M323,1,0)</f>
        <v>0</v>
      </c>
      <c r="R323" s="1670">
        <v>1</v>
      </c>
      <c r="S323" s="84">
        <f>IF(Personalización!$L$13=M323,1,0)+IF(Personalización!$N$13=M323,1,0)+IF(Personalización!$P$13=M323,1,0)</f>
        <v>0</v>
      </c>
      <c r="T323" s="1670">
        <v>2</v>
      </c>
      <c r="U323" s="84">
        <f>IF(Personalización!$L$14=M323,1,0)+IF(Personalización!$N$14=M323,1,0)+IF(Personalización!$P$14=M323,1,0)</f>
        <v>0</v>
      </c>
      <c r="V323" s="1670">
        <v>3</v>
      </c>
      <c r="W323" s="512">
        <f>IF(Personalización!$L$15=M323,1,0)+IF(Personalización!$N$15=M323,1,0)+IF(Personalización!$P$15=M323,1,0)</f>
        <v>0</v>
      </c>
      <c r="X323" s="512">
        <f>10*Tablas!S323+20*Tablas!U323+30*Tablas!W323+5*VLOOKUP("Apr. innato (2): "&amp;L323,$E$298:$G$314,3,FALSE)+10*VLOOKUP("Apr. innato (3): "&amp;L323,$E$298:$G$314,3,FALSE)</f>
        <v>0</v>
      </c>
      <c r="AB323" s="3187" t="str">
        <f t="shared" si="65"/>
        <v>Maestro marcial (1)</v>
      </c>
      <c r="AC323" s="3188">
        <f t="shared" si="64"/>
        <v>91</v>
      </c>
      <c r="AD323" s="2731" t="s">
        <v>2154</v>
      </c>
      <c r="AE323" s="3189">
        <v>1</v>
      </c>
      <c r="AF323" s="3189">
        <f>COUNTIF(Principal!$C$35:$J$47,AD323)+COUNTIF(Principal!$C$48:$F$49,AD323)</f>
        <v>0</v>
      </c>
      <c r="AG323" s="3190">
        <f t="shared" si="66"/>
        <v>0</v>
      </c>
      <c r="AH323" s="3215"/>
      <c r="AI323" s="3194" t="s">
        <v>2649</v>
      </c>
      <c r="AJ323"/>
    </row>
    <row r="324" spans="1:36" ht="12.75" customHeight="1">
      <c r="A324" s="219">
        <v>324</v>
      </c>
      <c r="B324" s="7145"/>
      <c r="C324" s="1673" t="str">
        <f t="shared" si="62"/>
        <v>Difícil de matar (3)</v>
      </c>
      <c r="D324" s="787">
        <f t="shared" si="52"/>
        <v>119</v>
      </c>
      <c r="E324" s="47" t="s">
        <v>2131</v>
      </c>
      <c r="F324" s="1669">
        <v>1</v>
      </c>
      <c r="G324" s="1669">
        <f>COUNTIF(Principal!$C$35:$J$47,Tablas!E324)+COUNTIF(Principal!$C$48:$F$49,Tablas!E324)</f>
        <v>0</v>
      </c>
      <c r="H324" s="1670">
        <f t="shared" si="63"/>
        <v>0</v>
      </c>
      <c r="I324" s="792">
        <v>1</v>
      </c>
      <c r="J324" s="1674" t="s">
        <v>2649</v>
      </c>
      <c r="K324" s="1665">
        <f t="array" ref="K324">MAX({1;2;3;4;5}*G323:G327)+MIN({-1;-2;-3;-4;-5}*G328:G332)</f>
        <v>0</v>
      </c>
      <c r="L324" s="443" t="s">
        <v>6645</v>
      </c>
      <c r="M324" s="883" t="s">
        <v>1291</v>
      </c>
      <c r="N324" s="84">
        <v>1</v>
      </c>
      <c r="O324" s="84">
        <f>IF(Personalización!$L$11=M324,1,0)+IF(Personalización!$N$11=M324,1,0)+IF(Personalización!$P$11=M324,1,0)</f>
        <v>0</v>
      </c>
      <c r="P324" s="1670">
        <v>2</v>
      </c>
      <c r="Q324" s="84">
        <f>IF(Personalización!$L$12=M324,1,0)+IF(Personalización!$N$12=M324,1,0)+IF(Personalización!$P$12=M324,1,0)</f>
        <v>0</v>
      </c>
      <c r="R324" s="1670">
        <v>1</v>
      </c>
      <c r="S324" s="84">
        <f>IF(Personalización!$L$13=M324,1,0)+IF(Personalización!$N$13=M324,1,0)+IF(Personalización!$P$13=M324,1,0)</f>
        <v>0</v>
      </c>
      <c r="T324" s="1670">
        <v>2</v>
      </c>
      <c r="U324" s="84">
        <f>IF(Personalización!$L$14=M324,1,0)+IF(Personalización!$N$14=M324,1,0)+IF(Personalización!$P$14=M324,1,0)</f>
        <v>0</v>
      </c>
      <c r="V324" s="1670">
        <v>3</v>
      </c>
      <c r="W324" s="512">
        <f>IF(Personalización!$L$15=M324,1,0)+IF(Personalización!$N$15=M324,1,0)+IF(Personalización!$P$15=M324,1,0)</f>
        <v>0</v>
      </c>
      <c r="X324" s="512">
        <f>10*Tablas!S324+20*Tablas!U324+30*Tablas!W324+5*VLOOKUP("Apr. innato (2): "&amp;L324,$E$298:$G$314,3,FALSE)+10*VLOOKUP("Apr. innato (3): "&amp;L324,$E$298:$G$314,3,FALSE)</f>
        <v>0</v>
      </c>
      <c r="AB324" s="3187" t="str">
        <f t="shared" si="65"/>
        <v>Maestro marcial (2)</v>
      </c>
      <c r="AC324" s="3188">
        <f t="shared" si="64"/>
        <v>92</v>
      </c>
      <c r="AD324" s="2731" t="s">
        <v>2155</v>
      </c>
      <c r="AE324" s="3189">
        <v>2</v>
      </c>
      <c r="AF324" s="3189">
        <f>COUNTIF(Principal!$C$35:$J$47,AD324)+COUNTIF(Principal!$C$48:$F$49,AD324)</f>
        <v>0</v>
      </c>
      <c r="AG324" s="3190">
        <f t="shared" si="66"/>
        <v>0</v>
      </c>
      <c r="AH324" s="3215"/>
      <c r="AI324" s="3194" t="s">
        <v>2649</v>
      </c>
      <c r="AJ324"/>
    </row>
    <row r="325" spans="1:36" ht="12.75" customHeight="1">
      <c r="A325" s="219">
        <v>325</v>
      </c>
      <c r="B325" s="7145"/>
      <c r="C325" s="1673" t="str">
        <f t="shared" si="62"/>
        <v>Don</v>
      </c>
      <c r="D325" s="787">
        <f t="shared" si="52"/>
        <v>120</v>
      </c>
      <c r="E325" s="47" t="s">
        <v>2132</v>
      </c>
      <c r="F325" s="1669">
        <v>1</v>
      </c>
      <c r="G325" s="1669">
        <f>COUNTIF(Principal!$C$35:$J$47,Tablas!E325)+COUNTIF(Principal!$C$48:$F$49,Tablas!E325)</f>
        <v>0</v>
      </c>
      <c r="H325" s="1670">
        <f t="shared" si="63"/>
        <v>0</v>
      </c>
      <c r="I325" s="792">
        <v>1</v>
      </c>
      <c r="J325" s="1674" t="s">
        <v>2649</v>
      </c>
      <c r="L325" s="443" t="s">
        <v>6645</v>
      </c>
      <c r="M325" s="883" t="s">
        <v>1292</v>
      </c>
      <c r="N325" s="84">
        <v>1</v>
      </c>
      <c r="O325" s="84">
        <f>IF(Personalización!$L$11=M325,1,0)+IF(Personalización!$N$11=M325,1,0)+IF(Personalización!$P$11=M325,1,0)</f>
        <v>0</v>
      </c>
      <c r="P325" s="1670">
        <v>2</v>
      </c>
      <c r="Q325" s="84">
        <f>IF(Personalización!$L$12=M325,1,0)+IF(Personalización!$N$12=M325,1,0)+IF(Personalización!$P$12=M325,1,0)</f>
        <v>0</v>
      </c>
      <c r="R325" s="1670">
        <v>1</v>
      </c>
      <c r="S325" s="84">
        <f>IF(Personalización!$L$13=M325,1,0)+IF(Personalización!$N$13=M325,1,0)+IF(Personalización!$P$13=M325,1,0)</f>
        <v>0</v>
      </c>
      <c r="T325" s="1670">
        <v>2</v>
      </c>
      <c r="U325" s="84">
        <f>IF(Personalización!$L$14=M325,1,0)+IF(Personalización!$N$14=M325,1,0)+IF(Personalización!$P$14=M325,1,0)</f>
        <v>0</v>
      </c>
      <c r="V325" s="1670">
        <v>3</v>
      </c>
      <c r="W325" s="512">
        <f>IF(Personalización!$L$15=M325,1,0)+IF(Personalización!$N$15=M325,1,0)+IF(Personalización!$P$15=M325,1,0)</f>
        <v>0</v>
      </c>
      <c r="X325" s="512">
        <f>10*Tablas!S325+20*Tablas!U325+30*Tablas!W325+5*VLOOKUP("Apr. innato (2): "&amp;L325,$E$298:$G$314,3,FALSE)+10*VLOOKUP("Apr. innato (3): "&amp;L325,$E$298:$G$314,3,FALSE)</f>
        <v>0</v>
      </c>
      <c r="AB325" s="3187" t="str">
        <f t="shared" si="65"/>
        <v>Maestro marcial (3)</v>
      </c>
      <c r="AC325" s="3188">
        <f t="shared" si="64"/>
        <v>93</v>
      </c>
      <c r="AD325" s="2731" t="s">
        <v>2156</v>
      </c>
      <c r="AE325" s="3189">
        <v>3</v>
      </c>
      <c r="AF325" s="3189">
        <f>COUNTIF(Principal!$C$35:$J$47,AD325)+COUNTIF(Principal!$C$48:$F$49,AD325)</f>
        <v>0</v>
      </c>
      <c r="AG325" s="3190">
        <f t="shared" si="66"/>
        <v>0</v>
      </c>
      <c r="AH325" s="3215"/>
      <c r="AI325" s="3194" t="s">
        <v>2649</v>
      </c>
      <c r="AJ325"/>
    </row>
    <row r="326" spans="1:36" ht="12.75" customHeight="1">
      <c r="A326" s="219">
        <v>326</v>
      </c>
      <c r="B326" s="7145"/>
      <c r="C326" s="1673" t="str">
        <f t="shared" si="62"/>
        <v>Don incompleto</v>
      </c>
      <c r="D326" s="787">
        <f t="shared" ref="D326:D389" si="67">COUNTIF($E$261:$E$404,"&lt;="&amp;E326)-COUNTIF($E$261:$E$404,"*&gt;*")</f>
        <v>121</v>
      </c>
      <c r="E326" s="47" t="s">
        <v>2133</v>
      </c>
      <c r="F326" s="1669">
        <v>1</v>
      </c>
      <c r="G326" s="1669">
        <f>COUNTIF(Principal!$C$35:$J$47,Tablas!E326)+COUNTIF(Principal!$C$48:$F$49,Tablas!E326)</f>
        <v>0</v>
      </c>
      <c r="H326" s="1670">
        <f t="shared" si="63"/>
        <v>0</v>
      </c>
      <c r="I326" s="792">
        <v>1</v>
      </c>
      <c r="J326" s="1674" t="s">
        <v>2649</v>
      </c>
      <c r="L326" s="443" t="s">
        <v>6645</v>
      </c>
      <c r="M326" s="883" t="s">
        <v>1293</v>
      </c>
      <c r="N326" s="84">
        <v>1</v>
      </c>
      <c r="O326" s="84">
        <f>IF(Personalización!$L$11=M326,1,0)+IF(Personalización!$N$11=M326,1,0)+IF(Personalización!$P$11=M326,1,0)</f>
        <v>0</v>
      </c>
      <c r="P326" s="1670">
        <v>2</v>
      </c>
      <c r="Q326" s="84">
        <f>IF(Personalización!$L$12=M326,1,0)+IF(Personalización!$N$12=M326,1,0)+IF(Personalización!$P$12=M326,1,0)</f>
        <v>0</v>
      </c>
      <c r="R326" s="1670">
        <v>1</v>
      </c>
      <c r="S326" s="84">
        <f>IF(Personalización!$L$13=M326,1,0)+IF(Personalización!$N$13=M326,1,0)+IF(Personalización!$P$13=M326,1,0)</f>
        <v>0</v>
      </c>
      <c r="T326" s="1670">
        <v>2</v>
      </c>
      <c r="U326" s="84">
        <f>IF(Personalización!$L$14=M326,1,0)+IF(Personalización!$N$14=M326,1,0)+IF(Personalización!$P$14=M326,1,0)</f>
        <v>0</v>
      </c>
      <c r="V326" s="1670">
        <v>3</v>
      </c>
      <c r="W326" s="512">
        <f>IF(Personalización!$L$15=M326,1,0)+IF(Personalización!$N$15=M326,1,0)+IF(Personalización!$P$15=M326,1,0)</f>
        <v>0</v>
      </c>
      <c r="X326" s="512">
        <f>10*Tablas!S326+20*Tablas!U326+30*Tablas!W326+5*VLOOKUP("Apr. innato (2): "&amp;L326,$E$298:$G$314,3,FALSE)+10*VLOOKUP("Apr. innato (3): "&amp;L326,$E$298:$G$314,3,FALSE)</f>
        <v>0</v>
      </c>
      <c r="AB326" s="3187" t="str">
        <f t="shared" si="65"/>
        <v>Percepción del Ki</v>
      </c>
      <c r="AC326" s="3188">
        <f t="shared" si="64"/>
        <v>65</v>
      </c>
      <c r="AD326" s="2731" t="s">
        <v>2157</v>
      </c>
      <c r="AE326" s="3189">
        <v>1</v>
      </c>
      <c r="AF326" s="3189">
        <f>COUNTIF(Principal!$C$35:$J$47,AD326)+COUNTIF(Principal!$C$48:$F$49,AD326)</f>
        <v>0</v>
      </c>
      <c r="AG326" s="3190">
        <f t="shared" si="66"/>
        <v>0</v>
      </c>
      <c r="AH326" s="3215"/>
      <c r="AI326" s="3194" t="s">
        <v>2649</v>
      </c>
      <c r="AJ326"/>
    </row>
    <row r="327" spans="1:36" ht="12.75" customHeight="1">
      <c r="A327" s="219">
        <v>327</v>
      </c>
      <c r="B327" s="7145"/>
      <c r="C327" s="1673" t="str">
        <f t="shared" ref="C327:C358" si="68">VLOOKUP(A65,$D$262:$E$409,2,0)</f>
        <v>Elan (1)</v>
      </c>
      <c r="D327" s="787">
        <f t="shared" si="67"/>
        <v>122</v>
      </c>
      <c r="E327" s="47" t="s">
        <v>2134</v>
      </c>
      <c r="F327" s="1669">
        <v>1</v>
      </c>
      <c r="G327" s="1669">
        <f>COUNTIF(Principal!$C$35:$J$47,Tablas!E327)+COUNTIF(Principal!$C$48:$F$49,Tablas!E327)</f>
        <v>0</v>
      </c>
      <c r="H327" s="1670">
        <f t="shared" si="63"/>
        <v>0</v>
      </c>
      <c r="I327" s="792">
        <v>1</v>
      </c>
      <c r="J327" s="1674" t="s">
        <v>2649</v>
      </c>
      <c r="L327" s="443" t="s">
        <v>1294</v>
      </c>
      <c r="M327" s="883" t="s">
        <v>1295</v>
      </c>
      <c r="N327" s="84">
        <v>1</v>
      </c>
      <c r="O327" s="84">
        <f>IF(Personalización!$L$11=M327,1,0)+IF(Personalización!$N$11=M327,1,0)+IF(Personalización!$P$11=M327,1,0)</f>
        <v>0</v>
      </c>
      <c r="P327" s="1670">
        <v>2</v>
      </c>
      <c r="Q327" s="84">
        <f>IF(Personalización!$L$12=M327,1,0)+IF(Personalización!$N$12=M327,1,0)+IF(Personalización!$P$12=M327,1,0)</f>
        <v>0</v>
      </c>
      <c r="R327" s="1670">
        <v>1</v>
      </c>
      <c r="S327" s="84">
        <f>IF(Personalización!$L$13=M327,1,0)+IF(Personalización!$N$13=M327,1,0)+IF(Personalización!$P$13=M327,1,0)</f>
        <v>0</v>
      </c>
      <c r="T327" s="1670">
        <v>2</v>
      </c>
      <c r="U327" s="84">
        <f>IF(Personalización!$L$14=M327,1,0)+IF(Personalización!$N$14=M327,1,0)+IF(Personalización!$P$14=M327,1,0)</f>
        <v>0</v>
      </c>
      <c r="V327" s="1670">
        <v>3</v>
      </c>
      <c r="W327" s="512">
        <f>IF(Personalización!$L$15=M327,1,0)+IF(Personalización!$N$15=M327,1,0)+IF(Personalización!$P$15=M327,1,0)</f>
        <v>0</v>
      </c>
      <c r="X327" s="512">
        <f>10*Tablas!S327+20*Tablas!U327+30*Tablas!W327+5*VLOOKUP("Apr. innato (2): "&amp;L327,$E$298:$G$314,3,FALSE)+10*VLOOKUP("Apr. innato (3): "&amp;L327,$E$298:$G$314,3,FALSE)</f>
        <v>0</v>
      </c>
      <c r="AB327" s="3187" t="str">
        <f t="shared" si="65"/>
        <v>Poder innato</v>
      </c>
      <c r="AC327" s="3188">
        <f t="shared" si="64"/>
        <v>66</v>
      </c>
      <c r="AD327" s="2731" t="s">
        <v>2158</v>
      </c>
      <c r="AE327" s="3189">
        <v>2</v>
      </c>
      <c r="AF327" s="3189">
        <f>COUNTIF(Principal!$C$35:$J$47,AD327)+COUNTIF(Principal!$C$48:$F$49,AD327)</f>
        <v>0</v>
      </c>
      <c r="AG327" s="3190">
        <f t="shared" si="66"/>
        <v>0</v>
      </c>
      <c r="AH327" s="3215"/>
      <c r="AI327" s="3194" t="s">
        <v>2649</v>
      </c>
      <c r="AJ327"/>
    </row>
    <row r="328" spans="1:36" ht="12.75" customHeight="1">
      <c r="A328" s="219">
        <v>328</v>
      </c>
      <c r="B328" s="7145"/>
      <c r="C328" s="1673" t="str">
        <f t="shared" si="68"/>
        <v>Elan (2)</v>
      </c>
      <c r="D328" s="787">
        <f t="shared" si="67"/>
        <v>123</v>
      </c>
      <c r="E328" s="47" t="s">
        <v>2135</v>
      </c>
      <c r="F328" s="1669">
        <v>1</v>
      </c>
      <c r="G328" s="1669">
        <f>COUNTIF(Principal!$C$35:$J$47,Tablas!E328)+COUNTIF(Principal!$C$48:$F$49,Tablas!E328)</f>
        <v>0</v>
      </c>
      <c r="H328" s="1670">
        <f t="shared" si="63"/>
        <v>0</v>
      </c>
      <c r="I328" s="792">
        <v>1</v>
      </c>
      <c r="J328" s="1674" t="s">
        <v>2649</v>
      </c>
      <c r="L328" s="443" t="s">
        <v>1294</v>
      </c>
      <c r="M328" s="883" t="s">
        <v>1296</v>
      </c>
      <c r="N328" s="84">
        <v>1</v>
      </c>
      <c r="O328" s="84">
        <f>IF(Personalización!$L$11=M328,1,0)+IF(Personalización!$N$11=M328,1,0)+IF(Personalización!$P$11=M328,1,0)</f>
        <v>0</v>
      </c>
      <c r="P328" s="1670">
        <v>2</v>
      </c>
      <c r="Q328" s="84">
        <f>IF(Personalización!$L$12=M328,1,0)+IF(Personalización!$N$12=M328,1,0)+IF(Personalización!$P$12=M328,1,0)</f>
        <v>0</v>
      </c>
      <c r="R328" s="1670">
        <v>1</v>
      </c>
      <c r="S328" s="84">
        <f>IF(Personalización!$L$13=M328,1,0)+IF(Personalización!$N$13=M328,1,0)+IF(Personalización!$P$13=M328,1,0)</f>
        <v>0</v>
      </c>
      <c r="T328" s="1670">
        <v>2</v>
      </c>
      <c r="U328" s="84">
        <f>IF(Personalización!$L$14=M328,1,0)+IF(Personalización!$N$14=M328,1,0)+IF(Personalización!$P$14=M328,1,0)</f>
        <v>0</v>
      </c>
      <c r="V328" s="1670">
        <v>3</v>
      </c>
      <c r="W328" s="512">
        <f>IF(Personalización!$L$15=M328,1,0)+IF(Personalización!$N$15=M328,1,0)+IF(Personalización!$P$15=M328,1,0)</f>
        <v>0</v>
      </c>
      <c r="X328" s="512">
        <f>10*Tablas!S328+20*Tablas!U328+30*Tablas!W328+5*VLOOKUP("Apr. innato (2): "&amp;L328,$E$298:$G$314,3,FALSE)+10*VLOOKUP("Apr. innato (3): "&amp;L328,$E$298:$G$314,3,FALSE)</f>
        <v>0</v>
      </c>
      <c r="AB328" s="3187" t="str">
        <f t="shared" si="65"/>
        <v>Recuperación de Ki (1)</v>
      </c>
      <c r="AC328" s="3188">
        <f t="shared" si="64"/>
        <v>67</v>
      </c>
      <c r="AD328" s="2731" t="s">
        <v>2159</v>
      </c>
      <c r="AE328" s="3189">
        <v>3</v>
      </c>
      <c r="AF328" s="3189">
        <f>COUNTIF(Principal!$C$35:$J$47,AD328)+COUNTIF(Principal!$C$48:$F$49,AD328)</f>
        <v>0</v>
      </c>
      <c r="AG328" s="3190">
        <f t="shared" si="66"/>
        <v>0</v>
      </c>
      <c r="AH328" s="3215"/>
      <c r="AI328" s="3194" t="s">
        <v>2649</v>
      </c>
      <c r="AJ328"/>
    </row>
    <row r="329" spans="1:36" ht="12.75" customHeight="1">
      <c r="A329" s="219">
        <v>329</v>
      </c>
      <c r="B329" s="7145"/>
      <c r="C329" s="1673" t="str">
        <f t="shared" si="68"/>
        <v>Elan (3)</v>
      </c>
      <c r="D329" s="787">
        <f t="shared" si="67"/>
        <v>124</v>
      </c>
      <c r="E329" s="47" t="s">
        <v>2136</v>
      </c>
      <c r="F329" s="1669">
        <v>1</v>
      </c>
      <c r="G329" s="1669">
        <f>COUNTIF(Principal!$C$35:$J$47,Tablas!E329)+COUNTIF(Principal!$C$48:$F$49,Tablas!E329)</f>
        <v>0</v>
      </c>
      <c r="H329" s="1670">
        <f t="shared" si="63"/>
        <v>0</v>
      </c>
      <c r="I329" s="792">
        <v>1</v>
      </c>
      <c r="J329" s="1674" t="s">
        <v>2649</v>
      </c>
      <c r="L329" s="443" t="s">
        <v>1294</v>
      </c>
      <c r="M329" s="883" t="s">
        <v>2405</v>
      </c>
      <c r="N329" s="84">
        <v>1</v>
      </c>
      <c r="O329" s="84">
        <f>IF(Personalización!$L$11=M329,1,0)+IF(Personalización!$N$11=M329,1,0)+IF(Personalización!$P$11=M329,1,0)</f>
        <v>0</v>
      </c>
      <c r="P329" s="1670">
        <v>2</v>
      </c>
      <c r="Q329" s="84">
        <f>IF(Personalización!$L$12=M329,1,0)+IF(Personalización!$N$12=M329,1,0)+IF(Personalización!$P$12=M329,1,0)</f>
        <v>0</v>
      </c>
      <c r="R329" s="1670">
        <v>1</v>
      </c>
      <c r="S329" s="84">
        <f>IF(Personalización!$L$13=M329,1,0)+IF(Personalización!$N$13=M329,1,0)+IF(Personalización!$P$13=M329,1,0)</f>
        <v>0</v>
      </c>
      <c r="T329" s="1670">
        <v>2</v>
      </c>
      <c r="U329" s="84">
        <f>IF(Personalización!$L$14=M329,1,0)+IF(Personalización!$N$14=M329,1,0)+IF(Personalización!$P$14=M329,1,0)</f>
        <v>0</v>
      </c>
      <c r="V329" s="1670">
        <v>3</v>
      </c>
      <c r="W329" s="512">
        <f>IF(Personalización!$L$15=M329,1,0)+IF(Personalización!$N$15=M329,1,0)+IF(Personalización!$P$15=M329,1,0)</f>
        <v>0</v>
      </c>
      <c r="X329" s="512">
        <f>10*Tablas!S329+20*Tablas!U329+30*Tablas!W329+5*VLOOKUP("Apr. innato (2): "&amp;L329,$E$298:$G$314,3,FALSE)+10*VLOOKUP("Apr. innato (3): "&amp;L329,$E$298:$G$314,3,FALSE)</f>
        <v>0</v>
      </c>
      <c r="AB329" s="3187" t="str">
        <f t="shared" si="65"/>
        <v>Recuperación de Ki (2)</v>
      </c>
      <c r="AC329" s="3188">
        <f t="shared" si="64"/>
        <v>36</v>
      </c>
      <c r="AD329" s="2731" t="s">
        <v>2160</v>
      </c>
      <c r="AE329" s="3189">
        <v>1</v>
      </c>
      <c r="AF329" s="3189">
        <f>COUNTIF(Principal!$C$35:$J$47,AD329)+COUNTIF(Principal!$C$48:$F$49,AD329)</f>
        <v>0</v>
      </c>
      <c r="AG329" s="3190">
        <f t="shared" si="66"/>
        <v>0</v>
      </c>
      <c r="AH329" s="3215"/>
      <c r="AI329" s="3194" t="s">
        <v>2649</v>
      </c>
      <c r="AJ329"/>
    </row>
    <row r="330" spans="1:36" ht="12.75" customHeight="1">
      <c r="A330" s="219">
        <v>330</v>
      </c>
      <c r="B330" s="7145"/>
      <c r="C330" s="1673" t="str">
        <f t="shared" si="68"/>
        <v>Encanto</v>
      </c>
      <c r="D330" s="787">
        <f t="shared" si="67"/>
        <v>125</v>
      </c>
      <c r="E330" s="47" t="s">
        <v>2137</v>
      </c>
      <c r="F330" s="1669">
        <v>1</v>
      </c>
      <c r="G330" s="1669">
        <f>COUNTIF(Principal!$C$35:$J$47,Tablas!E330)+COUNTIF(Principal!$C$48:$F$49,Tablas!E330)</f>
        <v>0</v>
      </c>
      <c r="H330" s="1670">
        <f t="shared" si="63"/>
        <v>0</v>
      </c>
      <c r="I330" s="792">
        <v>1</v>
      </c>
      <c r="J330" s="1674" t="s">
        <v>2649</v>
      </c>
      <c r="L330" s="443" t="s">
        <v>1294</v>
      </c>
      <c r="M330" s="883" t="s">
        <v>1297</v>
      </c>
      <c r="N330" s="84">
        <v>1</v>
      </c>
      <c r="O330" s="84">
        <f>IF(Personalización!$L$11=M330,1,0)+IF(Personalización!$N$11=M330,1,0)+IF(Personalización!$P$11=M330,1,0)</f>
        <v>0</v>
      </c>
      <c r="P330" s="1670">
        <v>2</v>
      </c>
      <c r="Q330" s="84">
        <f>IF(Personalización!$L$12=M330,1,0)+IF(Personalización!$N$12=M330,1,0)+IF(Personalización!$P$12=M330,1,0)</f>
        <v>0</v>
      </c>
      <c r="R330" s="1670">
        <v>1</v>
      </c>
      <c r="S330" s="84">
        <f>IF(Personalización!$L$13=M330,1,0)+IF(Personalización!$N$13=M330,1,0)+IF(Personalización!$P$13=M330,1,0)</f>
        <v>0</v>
      </c>
      <c r="T330" s="1670">
        <v>2</v>
      </c>
      <c r="U330" s="84">
        <f>IF(Personalización!$L$14=M330,1,0)+IF(Personalización!$N$14=M330,1,0)+IF(Personalización!$P$14=M330,1,0)</f>
        <v>0</v>
      </c>
      <c r="V330" s="1670">
        <v>3</v>
      </c>
      <c r="W330" s="512">
        <f>IF(Personalización!$L$15=M330,1,0)+IF(Personalización!$N$15=M330,1,0)+IF(Personalización!$P$15=M330,1,0)</f>
        <v>0</v>
      </c>
      <c r="X330" s="512">
        <f>10*Tablas!S330+20*Tablas!U330+30*Tablas!W330+5*VLOOKUP("Apr. innato (2): "&amp;L330,$E$298:$G$314,3,FALSE)+10*VLOOKUP("Apr. innato (3): "&amp;L330,$E$298:$G$314,3,FALSE)</f>
        <v>0</v>
      </c>
      <c r="AB330" s="3187" t="str">
        <f t="shared" si="65"/>
        <v>Recuperación de Ki (3)</v>
      </c>
      <c r="AC330" s="3188">
        <f t="shared" si="64"/>
        <v>37</v>
      </c>
      <c r="AD330" s="2731" t="s">
        <v>2161</v>
      </c>
      <c r="AE330" s="3189">
        <v>2</v>
      </c>
      <c r="AF330" s="3189">
        <f>COUNTIF(Principal!$C$35:$J$47,AD330)+COUNTIF(Principal!$C$48:$F$49,AD330)</f>
        <v>0</v>
      </c>
      <c r="AG330" s="3190">
        <f t="shared" si="66"/>
        <v>0</v>
      </c>
      <c r="AH330" s="3215"/>
      <c r="AI330" s="3194" t="s">
        <v>2649</v>
      </c>
      <c r="AJ330"/>
    </row>
    <row r="331" spans="1:36" ht="12.75" customHeight="1">
      <c r="A331" s="219">
        <v>331</v>
      </c>
      <c r="B331" s="7145"/>
      <c r="C331" s="1673" t="str">
        <f t="shared" si="68"/>
        <v>Esencia Sheele</v>
      </c>
      <c r="D331" s="787">
        <f t="shared" si="67"/>
        <v>126</v>
      </c>
      <c r="E331" s="47" t="s">
        <v>2138</v>
      </c>
      <c r="F331" s="1669">
        <v>1</v>
      </c>
      <c r="G331" s="1669">
        <f>COUNTIF(Principal!$C$35:$J$47,Tablas!E331)+COUNTIF(Principal!$C$48:$F$49,Tablas!E331)</f>
        <v>0</v>
      </c>
      <c r="H331" s="1670">
        <f t="shared" si="63"/>
        <v>0</v>
      </c>
      <c r="I331" s="792">
        <v>1</v>
      </c>
      <c r="J331" s="1674" t="s">
        <v>2649</v>
      </c>
      <c r="L331" s="443" t="s">
        <v>1294</v>
      </c>
      <c r="M331" s="883" t="s">
        <v>1299</v>
      </c>
      <c r="N331" s="84">
        <v>1</v>
      </c>
      <c r="O331" s="84">
        <f>IF(Personalización!$L$11=M331,1,0)+IF(Personalización!$N$11=M331,1,0)+IF(Personalización!$P$11=M331,1,0)</f>
        <v>0</v>
      </c>
      <c r="P331" s="1670">
        <v>2</v>
      </c>
      <c r="Q331" s="84">
        <f>IF(Personalización!$L$12=M331,1,0)+IF(Personalización!$N$12=M331,1,0)+IF(Personalización!$P$12=M331,1,0)</f>
        <v>0</v>
      </c>
      <c r="R331" s="1670">
        <v>1</v>
      </c>
      <c r="S331" s="84">
        <f>IF(Personalización!$L$13=M331,1,0)+IF(Personalización!$N$13=M331,1,0)+IF(Personalización!$P$13=M331,1,0)</f>
        <v>0</v>
      </c>
      <c r="T331" s="1670">
        <v>2</v>
      </c>
      <c r="U331" s="84">
        <f>IF(Personalización!$L$14=M331,1,0)+IF(Personalización!$N$14=M331,1,0)+IF(Personalización!$P$14=M331,1,0)</f>
        <v>0</v>
      </c>
      <c r="V331" s="1670">
        <v>3</v>
      </c>
      <c r="W331" s="512">
        <f>IF(Personalización!$L$15=M331,1,0)+IF(Personalización!$N$15=M331,1,0)+IF(Personalización!$P$15=M331,1,0)</f>
        <v>0</v>
      </c>
      <c r="X331" s="512">
        <f>10*Tablas!S331+20*Tablas!U331+30*Tablas!W331+5*VLOOKUP("Apr. innato (2): "&amp;L331,$E$298:$G$314,3,FALSE)+10*VLOOKUP("Apr. innato (3): "&amp;L331,$E$298:$G$314,3,FALSE)</f>
        <v>0</v>
      </c>
      <c r="AB331" s="3187" t="str">
        <f t="shared" si="65"/>
        <v>Reflejos rápidos (1)</v>
      </c>
      <c r="AC331" s="3188">
        <f t="shared" si="64"/>
        <v>38</v>
      </c>
      <c r="AD331" s="2731" t="s">
        <v>2162</v>
      </c>
      <c r="AE331" s="3189">
        <v>3</v>
      </c>
      <c r="AF331" s="3189">
        <f>COUNTIF(Principal!$C$35:$J$47,AD331)+COUNTIF(Principal!$C$48:$F$49,AD331)</f>
        <v>0</v>
      </c>
      <c r="AG331" s="3190">
        <f>AF331*AE331</f>
        <v>0</v>
      </c>
      <c r="AH331" s="3215"/>
      <c r="AI331" s="3194" t="s">
        <v>2649</v>
      </c>
      <c r="AJ331"/>
    </row>
    <row r="332" spans="1:36" ht="12.75" customHeight="1">
      <c r="A332" s="219">
        <v>332</v>
      </c>
      <c r="B332" s="7145"/>
      <c r="C332" s="1673" t="str">
        <f t="shared" si="68"/>
        <v>Familiar (2)</v>
      </c>
      <c r="D332" s="787">
        <f t="shared" si="67"/>
        <v>127</v>
      </c>
      <c r="E332" s="47" t="s">
        <v>2139</v>
      </c>
      <c r="F332" s="1669">
        <v>1</v>
      </c>
      <c r="G332" s="1669">
        <f>COUNTIF(Principal!$C$35:$J$47,Tablas!E332)+COUNTIF(Principal!$C$48:$F$49,Tablas!E332)</f>
        <v>0</v>
      </c>
      <c r="H332" s="1670">
        <f t="shared" si="63"/>
        <v>0</v>
      </c>
      <c r="I332" s="792">
        <v>1</v>
      </c>
      <c r="J332" s="1674" t="s">
        <v>2649</v>
      </c>
      <c r="L332" s="443" t="s">
        <v>1294</v>
      </c>
      <c r="M332" s="883" t="s">
        <v>688</v>
      </c>
      <c r="N332" s="84">
        <v>1</v>
      </c>
      <c r="O332" s="84">
        <f>IF(Personalización!$L$11=M332,1,0)+IF(Personalización!$N$11=M332,1,0)+IF(Personalización!$P$11=M332,1,0)</f>
        <v>0</v>
      </c>
      <c r="P332" s="1670">
        <v>2</v>
      </c>
      <c r="Q332" s="84">
        <f>IF(Personalización!$L$12=M332,1,0)+IF(Personalización!$N$12=M332,1,0)+IF(Personalización!$P$12=M332,1,0)</f>
        <v>0</v>
      </c>
      <c r="R332" s="1670">
        <v>1</v>
      </c>
      <c r="S332" s="84">
        <f>IF(Personalización!$L$13=M332,1,0)+IF(Personalización!$N$13=M332,1,0)+IF(Personalización!$P$13=M332,1,0)</f>
        <v>0</v>
      </c>
      <c r="T332" s="1670">
        <v>2</v>
      </c>
      <c r="U332" s="84">
        <f>IF(Personalización!$L$14=M332,1,0)+IF(Personalización!$N$14=M332,1,0)+IF(Personalización!$P$14=M332,1,0)</f>
        <v>0</v>
      </c>
      <c r="V332" s="1670">
        <v>3</v>
      </c>
      <c r="W332" s="512">
        <f>IF(Personalización!$L$15=M332,1,0)+IF(Personalización!$N$15=M332,1,0)+IF(Personalización!$P$15=M332,1,0)</f>
        <v>0</v>
      </c>
      <c r="X332" s="512">
        <f>10*Tablas!S332+20*Tablas!U332+30*Tablas!W332+5*VLOOKUP("Apr. innato (2): "&amp;L332,$E$298:$G$314,3,FALSE)+10*VLOOKUP("Apr. innato (3): "&amp;L332,$E$298:$G$314,3,FALSE)</f>
        <v>0</v>
      </c>
      <c r="AB332" s="3187" t="str">
        <f t="shared" si="65"/>
        <v>Reflejos rápidos (2)</v>
      </c>
      <c r="AC332" s="3188">
        <f t="shared" si="64"/>
        <v>-3</v>
      </c>
      <c r="AD332" s="2731" t="str">
        <f>IF(Personalización!$G$34="Sí","Mutación (1)"," &gt; Mutación (1)")</f>
        <v xml:space="preserve"> &gt; Mutación (1)</v>
      </c>
      <c r="AE332" s="3189">
        <v>1</v>
      </c>
      <c r="AF332" s="3189">
        <f>COUNTIF(Principal!$C$35:$J$47,AD332)+COUNTIF(Principal!$C$48:$F$49,AD332)</f>
        <v>0</v>
      </c>
      <c r="AG332" s="3190">
        <f>AF332*AE332</f>
        <v>0</v>
      </c>
      <c r="AH332" s="3215"/>
      <c r="AI332" s="3194" t="s">
        <v>2649</v>
      </c>
      <c r="AJ332"/>
    </row>
    <row r="333" spans="1:36" ht="12.75" customHeight="1">
      <c r="A333" s="219">
        <v>333</v>
      </c>
      <c r="B333" s="7145"/>
      <c r="C333" s="1673" t="str">
        <f t="shared" si="68"/>
        <v>Familiar (3)</v>
      </c>
      <c r="D333" s="787">
        <f t="shared" si="67"/>
        <v>112</v>
      </c>
      <c r="E333" s="47" t="s">
        <v>2140</v>
      </c>
      <c r="F333" s="1669">
        <v>2</v>
      </c>
      <c r="G333" s="1669">
        <f>COUNTIF(Principal!$C$35:$J$47,Tablas!E333)+COUNTIF(Principal!$C$48:$F$49,Tablas!E333)</f>
        <v>0</v>
      </c>
      <c r="H333" s="1670">
        <f t="shared" ref="H333:H355" si="69">G333*F333</f>
        <v>0</v>
      </c>
      <c r="I333" s="792"/>
      <c r="J333" s="1674" t="s">
        <v>2649</v>
      </c>
      <c r="L333" s="443" t="s">
        <v>1294</v>
      </c>
      <c r="M333" s="883" t="s">
        <v>1302</v>
      </c>
      <c r="N333" s="84">
        <v>1</v>
      </c>
      <c r="O333" s="84">
        <f>IF(Personalización!$L$11=M333,1,0)+IF(Personalización!$N$11=M333,1,0)+IF(Personalización!$P$11=M333,1,0)</f>
        <v>0</v>
      </c>
      <c r="P333" s="1670">
        <v>2</v>
      </c>
      <c r="Q333" s="84">
        <f>IF(Personalización!$L$12=M333,1,0)+IF(Personalización!$N$12=M333,1,0)+IF(Personalización!$P$12=M333,1,0)</f>
        <v>0</v>
      </c>
      <c r="R333" s="1670">
        <v>1</v>
      </c>
      <c r="S333" s="84">
        <f>IF(Personalización!$L$13=M333,1,0)+IF(Personalización!$N$13=M333,1,0)+IF(Personalización!$P$13=M333,1,0)</f>
        <v>0</v>
      </c>
      <c r="T333" s="1670">
        <v>2</v>
      </c>
      <c r="U333" s="84">
        <f>IF(Personalización!$L$14=M333,1,0)+IF(Personalización!$N$14=M333,1,0)+IF(Personalización!$P$14=M333,1,0)</f>
        <v>0</v>
      </c>
      <c r="V333" s="1670">
        <v>3</v>
      </c>
      <c r="W333" s="512">
        <f>IF(Personalización!$L$15=M333,1,0)+IF(Personalización!$N$15=M333,1,0)+IF(Personalización!$P$15=M333,1,0)</f>
        <v>0</v>
      </c>
      <c r="X333" s="512">
        <f>10*Tablas!S333+20*Tablas!U333+30*Tablas!W333+5*VLOOKUP("Apr. innato (2): "&amp;L333,$E$298:$G$314,3,FALSE)+10*VLOOKUP("Apr. innato (3): "&amp;L333,$E$298:$G$314,3,FALSE)</f>
        <v>0</v>
      </c>
      <c r="AB333" s="3187" t="str">
        <f t="shared" si="65"/>
        <v>Reflejos rápidos (3)</v>
      </c>
      <c r="AC333" s="3188">
        <f t="shared" ref="AC333:AC364" si="70">COUNTIF($AD$236:$AD$379,"&lt;="&amp;AD333)-COUNTIF($AD$236:$AD$379,"*&gt;*")</f>
        <v>-2</v>
      </c>
      <c r="AD333" s="2731" t="str">
        <f>IF(Personalización!$G$34="Sí","Mutación (2)"," &gt; Mutación (2)")</f>
        <v xml:space="preserve"> &gt; Mutación (2)</v>
      </c>
      <c r="AE333" s="3189">
        <v>2</v>
      </c>
      <c r="AF333" s="3189">
        <f>COUNTIF(Principal!$C$35:$J$47,AD333)+COUNTIF(Principal!$C$48:$F$49,AD333)</f>
        <v>0</v>
      </c>
      <c r="AG333" s="3190">
        <f>AF333*AE333</f>
        <v>0</v>
      </c>
      <c r="AH333" s="3215"/>
      <c r="AI333" s="3194" t="s">
        <v>2649</v>
      </c>
      <c r="AJ333"/>
    </row>
    <row r="334" spans="1:36" ht="12.75" customHeight="1">
      <c r="A334" s="219">
        <v>334</v>
      </c>
      <c r="B334" s="7145"/>
      <c r="C334" s="1673" t="str">
        <f t="shared" si="68"/>
        <v>Habilidoso</v>
      </c>
      <c r="D334" s="787">
        <f t="shared" si="67"/>
        <v>53</v>
      </c>
      <c r="E334" s="47" t="s">
        <v>2141</v>
      </c>
      <c r="F334" s="1669">
        <v>1</v>
      </c>
      <c r="G334" s="1669">
        <f>COUNTIF(Principal!$C$35:$J$47,Tablas!E334)+COUNTIF(Principal!$C$48:$F$49,Tablas!E334)</f>
        <v>0</v>
      </c>
      <c r="H334" s="1670">
        <f t="shared" si="69"/>
        <v>0</v>
      </c>
      <c r="I334" s="792">
        <v>1</v>
      </c>
      <c r="J334" s="1674" t="s">
        <v>2649</v>
      </c>
      <c r="L334" s="443" t="s">
        <v>1294</v>
      </c>
      <c r="M334" s="883" t="s">
        <v>1303</v>
      </c>
      <c r="N334" s="84">
        <v>1</v>
      </c>
      <c r="O334" s="84">
        <f>IF(Personalización!$L$11=M334,1,0)+IF(Personalización!$N$11=M334,1,0)+IF(Personalización!$P$11=M334,1,0)</f>
        <v>0</v>
      </c>
      <c r="P334" s="1670">
        <v>2</v>
      </c>
      <c r="Q334" s="84">
        <f>IF(Personalización!$L$12=M334,1,0)+IF(Personalización!$N$12=M334,1,0)+IF(Personalización!$P$12=M334,1,0)</f>
        <v>0</v>
      </c>
      <c r="R334" s="1670">
        <v>1</v>
      </c>
      <c r="S334" s="84">
        <f>IF(Personalización!$L$13=M334,1,0)+IF(Personalización!$N$13=M334,1,0)+IF(Personalización!$P$13=M334,1,0)</f>
        <v>0</v>
      </c>
      <c r="T334" s="1670">
        <v>2</v>
      </c>
      <c r="U334" s="84">
        <f>IF(Personalización!$L$14=M334,1,0)+IF(Personalización!$N$14=M334,1,0)+IF(Personalización!$P$14=M334,1,0)</f>
        <v>0</v>
      </c>
      <c r="V334" s="1670">
        <v>3</v>
      </c>
      <c r="W334" s="512">
        <f>IF(Personalización!$L$15=M334,1,0)+IF(Personalización!$N$15=M334,1,0)+IF(Personalización!$P$15=M334,1,0)</f>
        <v>0</v>
      </c>
      <c r="X334" s="512">
        <f>10*Tablas!S334+20*Tablas!U334+30*Tablas!W334+5*VLOOKUP("Apr. innato (2): "&amp;L334,$E$298:$G$314,3,FALSE)+10*VLOOKUP("Apr. innato (3): "&amp;L334,$E$298:$G$314,3,FALSE)</f>
        <v>0</v>
      </c>
      <c r="AB334" s="3187" t="str">
        <f t="shared" ref="AB334:AB365" si="71">VLOOKUP(A97,$AC$237:$AD$384,2,0)</f>
        <v>Regeneración (1) básica</v>
      </c>
      <c r="AC334" s="3188">
        <f t="shared" si="70"/>
        <v>-1</v>
      </c>
      <c r="AD334" s="2731" t="str">
        <f>IF(Personalización!$G$34="Sí","Mutación (3)"," &gt; Mutación (3)")</f>
        <v xml:space="preserve"> &gt; Mutación (3)</v>
      </c>
      <c r="AE334" s="3189">
        <v>3</v>
      </c>
      <c r="AF334" s="3189">
        <f>COUNTIF(Principal!$C$35:$J$47,AD334)+COUNTIF(Principal!$C$48:$F$49,AD334)</f>
        <v>0</v>
      </c>
      <c r="AG334" s="3190">
        <f>AF334*AE334</f>
        <v>0</v>
      </c>
      <c r="AH334" s="3215"/>
      <c r="AI334" s="3194" t="s">
        <v>2649</v>
      </c>
      <c r="AJ334"/>
    </row>
    <row r="335" spans="1:36" ht="12.75" customHeight="1">
      <c r="A335" s="219">
        <v>335</v>
      </c>
      <c r="B335" s="7145"/>
      <c r="C335" s="1673" t="str">
        <f t="shared" si="68"/>
        <v>Infatigable (1)</v>
      </c>
      <c r="D335" s="787">
        <f t="shared" si="67"/>
        <v>52</v>
      </c>
      <c r="E335" s="47" t="s">
        <v>2142</v>
      </c>
      <c r="F335" s="1669">
        <v>1</v>
      </c>
      <c r="G335" s="1669">
        <f>COUNTIF(Principal!$C$35:$J$47,Tablas!E335)+COUNTIF(Principal!$C$48:$F$49,Tablas!E335)</f>
        <v>0</v>
      </c>
      <c r="H335" s="1670">
        <f t="shared" si="69"/>
        <v>0</v>
      </c>
      <c r="I335" s="792">
        <v>1</v>
      </c>
      <c r="J335" s="1674" t="s">
        <v>2649</v>
      </c>
      <c r="L335" s="443" t="s">
        <v>1294</v>
      </c>
      <c r="M335" s="883" t="s">
        <v>1304</v>
      </c>
      <c r="N335" s="84">
        <v>1</v>
      </c>
      <c r="O335" s="84">
        <f>IF(Personalización!$L$11=M335,1,0)+IF(Personalización!$N$11=M335,1,0)+IF(Personalización!$P$11=M335,1,0)</f>
        <v>0</v>
      </c>
      <c r="P335" s="1670">
        <v>2</v>
      </c>
      <c r="Q335" s="84">
        <f>IF(Personalización!$L$12=M335,1,0)+IF(Personalización!$N$12=M335,1,0)+IF(Personalización!$P$12=M335,1,0)</f>
        <v>0</v>
      </c>
      <c r="R335" s="1670">
        <v>1</v>
      </c>
      <c r="S335" s="84">
        <f>IF(Personalización!$L$13=M335,1,0)+IF(Personalización!$N$13=M335,1,0)+IF(Personalización!$P$13=M335,1,0)</f>
        <v>0</v>
      </c>
      <c r="T335" s="1670">
        <v>2</v>
      </c>
      <c r="U335" s="84">
        <f>IF(Personalización!$L$14=M335,1,0)+IF(Personalización!$N$14=M335,1,0)+IF(Personalización!$P$14=M335,1,0)</f>
        <v>0</v>
      </c>
      <c r="V335" s="1670">
        <v>3</v>
      </c>
      <c r="W335" s="512">
        <f>IF(Personalización!$L$15=M335,1,0)+IF(Personalización!$N$15=M335,1,0)+IF(Personalización!$P$15=M335,1,0)</f>
        <v>0</v>
      </c>
      <c r="X335" s="512">
        <f>10*Tablas!S335+20*Tablas!U335+30*Tablas!W335+5*VLOOKUP("Apr. innato (2): "&amp;L335,$E$298:$G$314,3,FALSE)+10*VLOOKUP("Apr. innato (3): "&amp;L335,$E$298:$G$314,3,FALSE)</f>
        <v>0</v>
      </c>
      <c r="AB335" s="3187" t="str">
        <f t="shared" si="71"/>
        <v>Regeneración (2) avanzada</v>
      </c>
      <c r="AC335" s="3188">
        <f t="shared" si="70"/>
        <v>-5</v>
      </c>
      <c r="AD335" s="2731" t="s">
        <v>9554</v>
      </c>
      <c r="AE335" s="3189"/>
      <c r="AF335" s="3189"/>
      <c r="AG335" s="3190"/>
      <c r="AH335" s="3215"/>
      <c r="AI335" s="3194" t="s">
        <v>2649</v>
      </c>
      <c r="AJ335"/>
    </row>
    <row r="336" spans="1:36" ht="12.75" customHeight="1">
      <c r="A336" s="219">
        <v>336</v>
      </c>
      <c r="B336" s="7145"/>
      <c r="C336" s="1673" t="str">
        <f t="shared" si="68"/>
        <v>Infatigable (2)</v>
      </c>
      <c r="D336" s="787">
        <f t="shared" si="67"/>
        <v>11</v>
      </c>
      <c r="E336" s="47" t="s">
        <v>2143</v>
      </c>
      <c r="F336" s="1669">
        <v>1</v>
      </c>
      <c r="G336" s="1669">
        <f>COUNTIF(Principal!$C$35:$J$47,Tablas!E336)+COUNTIF(Principal!$C$48:$F$49,Tablas!E336)</f>
        <v>0</v>
      </c>
      <c r="H336" s="1670">
        <f t="shared" si="69"/>
        <v>0</v>
      </c>
      <c r="I336" s="792"/>
      <c r="J336" s="1674" t="s">
        <v>2649</v>
      </c>
      <c r="L336" s="443" t="s">
        <v>1294</v>
      </c>
      <c r="M336" s="883" t="s">
        <v>1305</v>
      </c>
      <c r="N336" s="84">
        <v>1</v>
      </c>
      <c r="O336" s="84">
        <f>IF(Personalización!$L$11=M336,1,0)+IF(Personalización!$N$11=M336,1,0)+IF(Personalización!$P$11=M336,1,0)</f>
        <v>0</v>
      </c>
      <c r="P336" s="1670">
        <v>2</v>
      </c>
      <c r="Q336" s="84">
        <f>IF(Personalización!$L$12=M336,1,0)+IF(Personalización!$N$12=M336,1,0)+IF(Personalización!$P$12=M336,1,0)</f>
        <v>0</v>
      </c>
      <c r="R336" s="1670">
        <v>1</v>
      </c>
      <c r="S336" s="84">
        <f>IF(Personalización!$L$13=M336,1,0)+IF(Personalización!$N$13=M336,1,0)+IF(Personalización!$P$13=M336,1,0)</f>
        <v>0</v>
      </c>
      <c r="T336" s="1670">
        <v>2</v>
      </c>
      <c r="U336" s="84">
        <f>IF(Personalización!$L$14=M336,1,0)+IF(Personalización!$N$14=M336,1,0)+IF(Personalización!$P$14=M336,1,0)</f>
        <v>0</v>
      </c>
      <c r="V336" s="1670">
        <v>3</v>
      </c>
      <c r="W336" s="512">
        <f>IF(Personalización!$L$15=M336,1,0)+IF(Personalización!$N$15=M336,1,0)+IF(Personalización!$P$15=M336,1,0)</f>
        <v>0</v>
      </c>
      <c r="X336" s="512">
        <f>10*Tablas!S336+20*Tablas!U336+30*Tablas!W336+5*VLOOKUP("Apr. innato (2): "&amp;L336,$E$298:$G$314,3,FALSE)+10*VLOOKUP("Apr. innato (3): "&amp;L336,$E$298:$G$314,3,FALSE)</f>
        <v>0</v>
      </c>
      <c r="AB336" s="3187" t="str">
        <f t="shared" si="71"/>
        <v>Regeneración (3) mayor</v>
      </c>
      <c r="AC336" s="3188">
        <f t="shared" si="70"/>
        <v>60</v>
      </c>
      <c r="AD336" s="2731" t="s">
        <v>2254</v>
      </c>
      <c r="AE336" s="3189">
        <v>1</v>
      </c>
      <c r="AF336" s="3189">
        <f>COUNTIF(Principal!$C$35:$J$47,AD336)+COUNTIF(Principal!$C$48:$F$49,AD336)</f>
        <v>0</v>
      </c>
      <c r="AG336" s="3190">
        <f t="shared" ref="AG336:AG357" si="72">AF336*AE336</f>
        <v>0</v>
      </c>
      <c r="AH336" s="3215">
        <v>2</v>
      </c>
      <c r="AI336" s="3194" t="s">
        <v>2649</v>
      </c>
      <c r="AJ336"/>
    </row>
    <row r="337" spans="1:36" ht="12.75" customHeight="1">
      <c r="A337" s="219">
        <v>337</v>
      </c>
      <c r="B337" s="7145"/>
      <c r="C337" s="1673" t="str">
        <f t="shared" si="68"/>
        <v>Infatigable (3)</v>
      </c>
      <c r="D337" s="787">
        <f t="shared" si="67"/>
        <v>12</v>
      </c>
      <c r="E337" s="47" t="s">
        <v>2144</v>
      </c>
      <c r="F337" s="1669">
        <v>2</v>
      </c>
      <c r="G337" s="1669">
        <f>COUNTIF(Principal!$C$35:$J$47,Tablas!E337)+COUNTIF(Principal!$C$48:$F$49,Tablas!E337)</f>
        <v>0</v>
      </c>
      <c r="H337" s="1670">
        <f t="shared" si="69"/>
        <v>0</v>
      </c>
      <c r="I337" s="792"/>
      <c r="J337" s="1674" t="s">
        <v>2649</v>
      </c>
      <c r="L337" s="443" t="s">
        <v>1294</v>
      </c>
      <c r="M337" s="883" t="s">
        <v>1306</v>
      </c>
      <c r="N337" s="84">
        <v>1</v>
      </c>
      <c r="O337" s="84">
        <f>IF(Personalización!$L$11=M337,1,0)+IF(Personalización!$N$11=M337,1,0)+IF(Personalización!$P$11=M337,1,0)</f>
        <v>0</v>
      </c>
      <c r="P337" s="1670">
        <v>2</v>
      </c>
      <c r="Q337" s="84">
        <f>IF(Personalización!$L$12=M337,1,0)+IF(Personalización!$N$12=M337,1,0)+IF(Personalización!$P$12=M337,1,0)</f>
        <v>0</v>
      </c>
      <c r="R337" s="1670">
        <v>1</v>
      </c>
      <c r="S337" s="84">
        <f>IF(Personalización!$L$13=M337,1,0)+IF(Personalización!$N$13=M337,1,0)+IF(Personalización!$P$13=M337,1,0)</f>
        <v>0</v>
      </c>
      <c r="T337" s="1670">
        <v>2</v>
      </c>
      <c r="U337" s="84">
        <f>IF(Personalización!$L$14=M337,1,0)+IF(Personalización!$N$14=M337,1,0)+IF(Personalización!$P$14=M337,1,0)</f>
        <v>0</v>
      </c>
      <c r="V337" s="1670">
        <v>3</v>
      </c>
      <c r="W337" s="512">
        <f>IF(Personalización!$L$15=M337,1,0)+IF(Personalización!$N$15=M337,1,0)+IF(Personalización!$P$15=M337,1,0)</f>
        <v>0</v>
      </c>
      <c r="X337" s="512">
        <f>10*Tablas!S337+20*Tablas!U337+30*Tablas!W337+5*VLOOKUP("Apr. innato (2): "&amp;L337,$E$298:$G$314,3,FALSE)+10*VLOOKUP("Apr. innato (3): "&amp;L337,$E$298:$G$314,3,FALSE)</f>
        <v>0</v>
      </c>
      <c r="AB337" s="3187" t="str">
        <f t="shared" si="71"/>
        <v>Repetir tirada de características</v>
      </c>
      <c r="AC337" s="3188">
        <f t="shared" si="70"/>
        <v>61</v>
      </c>
      <c r="AD337" s="2731" t="s">
        <v>2255</v>
      </c>
      <c r="AE337" s="3189">
        <v>2</v>
      </c>
      <c r="AF337" s="3189">
        <f>COUNTIF(Principal!$C$35:$J$47,AD337)+COUNTIF(Principal!$C$48:$F$49,AD337)</f>
        <v>0</v>
      </c>
      <c r="AG337" s="3190">
        <f t="shared" si="72"/>
        <v>0</v>
      </c>
      <c r="AH337" s="3215">
        <v>2</v>
      </c>
      <c r="AI337" s="3194" t="s">
        <v>2649</v>
      </c>
      <c r="AJ337"/>
    </row>
    <row r="338" spans="1:36" ht="12.75" customHeight="1">
      <c r="A338" s="219">
        <v>338</v>
      </c>
      <c r="B338" s="7145"/>
      <c r="C338" s="1673" t="str">
        <f t="shared" si="68"/>
        <v>Inm. al dolor y al cansancio</v>
      </c>
      <c r="D338" s="787">
        <f t="shared" si="67"/>
        <v>13</v>
      </c>
      <c r="E338" s="47" t="s">
        <v>2145</v>
      </c>
      <c r="F338" s="1669">
        <v>3</v>
      </c>
      <c r="G338" s="1669">
        <f>COUNTIF(Principal!$C$35:$J$47,Tablas!E338)+COUNTIF(Principal!$C$48:$F$49,Tablas!E338)</f>
        <v>0</v>
      </c>
      <c r="H338" s="1670">
        <f t="shared" si="69"/>
        <v>0</v>
      </c>
      <c r="I338" s="792"/>
      <c r="J338" s="1674" t="s">
        <v>2649</v>
      </c>
      <c r="L338" s="443" t="s">
        <v>1294</v>
      </c>
      <c r="M338" s="883" t="s">
        <v>1307</v>
      </c>
      <c r="N338" s="84">
        <v>1</v>
      </c>
      <c r="O338" s="84">
        <f>IF(Personalización!$L$11=M338,1,0)+IF(Personalización!$N$11=M338,1,0)+IF(Personalización!$P$11=M338,1,0)</f>
        <v>0</v>
      </c>
      <c r="P338" s="1670">
        <v>2</v>
      </c>
      <c r="Q338" s="84">
        <f>IF(Personalización!$L$12=M338,1,0)+IF(Personalización!$N$12=M338,1,0)+IF(Personalización!$P$12=M338,1,0)</f>
        <v>0</v>
      </c>
      <c r="R338" s="1670">
        <v>1</v>
      </c>
      <c r="S338" s="84">
        <f>IF(Personalización!$L$13=M338,1,0)+IF(Personalización!$N$13=M338,1,0)+IF(Personalización!$P$13=M338,1,0)</f>
        <v>0</v>
      </c>
      <c r="T338" s="1670">
        <v>2</v>
      </c>
      <c r="U338" s="84">
        <f>IF(Personalización!$L$14=M338,1,0)+IF(Personalización!$N$14=M338,1,0)+IF(Personalización!$P$14=M338,1,0)</f>
        <v>0</v>
      </c>
      <c r="V338" s="1670">
        <v>3</v>
      </c>
      <c r="W338" s="512">
        <f>IF(Personalización!$L$15=M338,1,0)+IF(Personalización!$N$15=M338,1,0)+IF(Personalización!$P$15=M338,1,0)</f>
        <v>0</v>
      </c>
      <c r="X338" s="512">
        <f>10*Tablas!S338+20*Tablas!U338+30*Tablas!W338+5*VLOOKUP("Apr. innato (2): "&amp;L338,$E$298:$G$314,3,FALSE)+10*VLOOKUP("Apr. innato (3): "&amp;L338,$E$298:$G$314,3,FALSE)</f>
        <v>0</v>
      </c>
      <c r="AB338" s="3187" t="str">
        <f t="shared" si="71"/>
        <v>Res. física excepcional (1)</v>
      </c>
      <c r="AC338" s="3188">
        <f t="shared" si="70"/>
        <v>62</v>
      </c>
      <c r="AD338" s="2731" t="s">
        <v>2256</v>
      </c>
      <c r="AE338" s="3189">
        <v>3</v>
      </c>
      <c r="AF338" s="3189">
        <f>COUNTIF(Principal!$C$35:$J$47,AD338)+COUNTIF(Principal!$C$48:$F$49,AD338)</f>
        <v>0</v>
      </c>
      <c r="AG338" s="3190">
        <f t="shared" si="72"/>
        <v>0</v>
      </c>
      <c r="AH338" s="3215">
        <v>2</v>
      </c>
      <c r="AI338" s="3194" t="s">
        <v>2649</v>
      </c>
      <c r="AJ338"/>
    </row>
    <row r="339" spans="1:36" ht="12.75" customHeight="1">
      <c r="A339" s="219">
        <v>339</v>
      </c>
      <c r="B339" s="7145"/>
      <c r="C339" s="1673" t="str">
        <f t="shared" si="68"/>
        <v>Inmunidad psíquica</v>
      </c>
      <c r="D339" s="787">
        <f t="shared" si="67"/>
        <v>76</v>
      </c>
      <c r="E339" s="47" t="s">
        <v>2146</v>
      </c>
      <c r="F339" s="1669">
        <v>1</v>
      </c>
      <c r="G339" s="1669">
        <f>COUNTIF(Principal!$C$35:$J$47,Tablas!E339)+COUNTIF(Principal!$C$48:$F$49,Tablas!E339)</f>
        <v>0</v>
      </c>
      <c r="H339" s="1670">
        <f t="shared" si="69"/>
        <v>0</v>
      </c>
      <c r="I339" s="792">
        <v>1</v>
      </c>
      <c r="J339" s="1674" t="s">
        <v>2649</v>
      </c>
      <c r="L339" s="3291" t="s">
        <v>1294</v>
      </c>
      <c r="M339" s="3218" t="s">
        <v>10029</v>
      </c>
      <c r="N339" s="2809">
        <v>1</v>
      </c>
      <c r="O339" s="2809">
        <f>IF(Personalización!$L$11=M339,1,0)+IF(Personalización!$N$11=M339,1,0)+IF(Personalización!$P$11=M339,1,0)</f>
        <v>0</v>
      </c>
      <c r="P339" s="3190">
        <v>2</v>
      </c>
      <c r="Q339" s="2809">
        <f>IF(Personalización!$L$12=M339,1,0)+IF(Personalización!$N$12=M339,1,0)+IF(Personalización!$P$12=M339,1,0)</f>
        <v>0</v>
      </c>
      <c r="R339" s="3190">
        <v>1</v>
      </c>
      <c r="S339" s="2809">
        <f>IF(Personalización!$L$13=M339,1,0)+IF(Personalización!$N$13=M339,1,0)+IF(Personalización!$P$13=M339,1,0)</f>
        <v>0</v>
      </c>
      <c r="T339" s="3190">
        <v>2</v>
      </c>
      <c r="U339" s="2809">
        <f>IF(Personalización!$L$14=M339,1,0)+IF(Personalización!$N$14=M339,1,0)+IF(Personalización!$P$14=M339,1,0)</f>
        <v>0</v>
      </c>
      <c r="V339" s="3190">
        <v>3</v>
      </c>
      <c r="W339" s="3292">
        <f>IF(Personalización!$L$15=M339,1,0)+IF(Personalización!$N$15=M339,1,0)+IF(Personalización!$P$15=M339,1,0)</f>
        <v>0</v>
      </c>
      <c r="X339" s="3292">
        <f>10*Tablas!S339+20*Tablas!U339+30*Tablas!W339+5*VLOOKUP("Apr. innato (2): "&amp;L339,$E$298:$G$314,3,FALSE)+10*VLOOKUP("Apr. innato (3): "&amp;L339,$E$298:$G$314,3,FALSE)</f>
        <v>0</v>
      </c>
      <c r="AB339" s="3187" t="str">
        <f t="shared" si="71"/>
        <v>Res. física excepcional (2)</v>
      </c>
      <c r="AC339" s="3188">
        <f t="shared" si="70"/>
        <v>20</v>
      </c>
      <c r="AD339" s="2731" t="s">
        <v>2257</v>
      </c>
      <c r="AE339" s="3189">
        <v>1</v>
      </c>
      <c r="AF339" s="3189">
        <f>COUNTIF(Principal!$C$35:$J$47,AD339)+COUNTIF(Principal!$C$48:$F$49,AD339)</f>
        <v>0</v>
      </c>
      <c r="AG339" s="3190">
        <f t="shared" si="72"/>
        <v>0</v>
      </c>
      <c r="AH339" s="3215"/>
      <c r="AI339" s="3194" t="s">
        <v>2649</v>
      </c>
      <c r="AJ339"/>
    </row>
    <row r="340" spans="1:36" ht="12.75" customHeight="1">
      <c r="A340" s="219">
        <v>340</v>
      </c>
      <c r="B340" s="7145"/>
      <c r="C340" s="1673" t="str">
        <f t="shared" si="68"/>
        <v>Inmunidad sobrenatural (1)</v>
      </c>
      <c r="D340" s="787">
        <f t="shared" si="67"/>
        <v>133</v>
      </c>
      <c r="E340" s="47" t="s">
        <v>2147</v>
      </c>
      <c r="F340" s="1669">
        <v>1</v>
      </c>
      <c r="G340" s="1669">
        <f>COUNTIF(Principal!$C$35:$J$47,Tablas!E340)+COUNTIF(Principal!$C$48:$F$49,Tablas!E340)</f>
        <v>0</v>
      </c>
      <c r="H340" s="1670">
        <f t="shared" si="69"/>
        <v>0</v>
      </c>
      <c r="I340" s="792"/>
      <c r="J340" s="1674" t="s">
        <v>2649</v>
      </c>
      <c r="L340" s="443" t="s">
        <v>1308</v>
      </c>
      <c r="M340" s="883" t="s">
        <v>1309</v>
      </c>
      <c r="N340" s="84">
        <v>1</v>
      </c>
      <c r="O340" s="84">
        <f>IF(Personalización!$L$11=M340,1,0)+IF(Personalización!$N$11=M340,1,0)+IF(Personalización!$P$11=M340,1,0)</f>
        <v>0</v>
      </c>
      <c r="P340" s="1670">
        <v>2</v>
      </c>
      <c r="Q340" s="84">
        <f>IF(Personalización!$L$12=M340,1,0)+IF(Personalización!$N$12=M340,1,0)+IF(Personalización!$P$12=M340,1,0)</f>
        <v>0</v>
      </c>
      <c r="R340" s="1670">
        <v>1</v>
      </c>
      <c r="S340" s="84">
        <f>IF(Personalización!$L$13=M340,1,0)+IF(Personalización!$N$13=M340,1,0)+IF(Personalización!$P$13=M340,1,0)</f>
        <v>0</v>
      </c>
      <c r="T340" s="1670">
        <v>2</v>
      </c>
      <c r="U340" s="84">
        <f>IF(Personalización!$L$14=M340,1,0)+IF(Personalización!$N$14=M340,1,0)+IF(Personalización!$P$14=M340,1,0)</f>
        <v>0</v>
      </c>
      <c r="V340" s="1670">
        <v>3</v>
      </c>
      <c r="W340" s="512">
        <f>IF(Personalización!$L$15=M340,1,0)+IF(Personalización!$N$15=M340,1,0)+IF(Personalización!$P$15=M340,1,0)</f>
        <v>0</v>
      </c>
      <c r="X340" s="512">
        <f>10*Tablas!S340+20*Tablas!U340+30*Tablas!W340+5*VLOOKUP("Apr. innato (2): "&amp;L340,$E$298:$G$314,3,FALSE)+10*VLOOKUP("Apr. innato (3): "&amp;L340,$E$298:$G$314,3,FALSE)</f>
        <v>0</v>
      </c>
      <c r="AB340" s="3187" t="str">
        <f t="shared" si="71"/>
        <v>Res. mágica excepcional (1)</v>
      </c>
      <c r="AC340" s="3188">
        <f t="shared" si="70"/>
        <v>78</v>
      </c>
      <c r="AD340" s="2731" t="s">
        <v>2258</v>
      </c>
      <c r="AE340" s="3189">
        <v>1</v>
      </c>
      <c r="AF340" s="3189">
        <f>COUNTIF(Principal!$C$35:$J$47,AD340)+COUNTIF(Principal!$C$48:$F$49,AD340)</f>
        <v>0</v>
      </c>
      <c r="AG340" s="3190">
        <f t="shared" si="72"/>
        <v>0</v>
      </c>
      <c r="AH340" s="3215"/>
      <c r="AI340" s="3194" t="s">
        <v>2649</v>
      </c>
      <c r="AJ340"/>
    </row>
    <row r="341" spans="1:36" ht="12.75" customHeight="1">
      <c r="A341" s="219">
        <v>341</v>
      </c>
      <c r="B341" s="7145"/>
      <c r="C341" s="1673" t="str">
        <f t="shared" si="68"/>
        <v>Inmunidad sobrenatural (2)</v>
      </c>
      <c r="D341" s="787">
        <f t="shared" si="67"/>
        <v>86</v>
      </c>
      <c r="E341" s="47" t="s">
        <v>2148</v>
      </c>
      <c r="F341" s="1669">
        <v>1</v>
      </c>
      <c r="G341" s="1669">
        <f>COUNTIF(Principal!$C$35:$J$47,Tablas!E341)+COUNTIF(Principal!$C$48:$F$49,Tablas!E341)</f>
        <v>0</v>
      </c>
      <c r="H341" s="1670">
        <f t="shared" si="69"/>
        <v>0</v>
      </c>
      <c r="I341" s="792">
        <v>1</v>
      </c>
      <c r="J341" s="1674" t="s">
        <v>2649</v>
      </c>
      <c r="L341" s="443" t="s">
        <v>1308</v>
      </c>
      <c r="M341" s="883" t="s">
        <v>1310</v>
      </c>
      <c r="N341" s="84">
        <v>1</v>
      </c>
      <c r="O341" s="84">
        <f>IF(Personalización!$L$11=M341,1,0)+IF(Personalización!$N$11=M341,1,0)+IF(Personalización!$P$11=M341,1,0)</f>
        <v>0</v>
      </c>
      <c r="P341" s="1670">
        <v>2</v>
      </c>
      <c r="Q341" s="84">
        <f>IF(Personalización!$L$12=M341,1,0)+IF(Personalización!$N$12=M341,1,0)+IF(Personalización!$P$12=M341,1,0)</f>
        <v>0</v>
      </c>
      <c r="R341" s="1670">
        <v>1</v>
      </c>
      <c r="S341" s="84">
        <f>IF(Personalización!$L$13=M341,1,0)+IF(Personalización!$N$13=M341,1,0)+IF(Personalización!$P$13=M341,1,0)</f>
        <v>0</v>
      </c>
      <c r="T341" s="1670">
        <v>2</v>
      </c>
      <c r="U341" s="84">
        <f>IF(Personalización!$L$14=M341,1,0)+IF(Personalización!$N$14=M341,1,0)+IF(Personalización!$P$14=M341,1,0)</f>
        <v>0</v>
      </c>
      <c r="V341" s="1670">
        <v>3</v>
      </c>
      <c r="W341" s="512">
        <f>IF(Personalización!$L$15=M341,1,0)+IF(Personalización!$N$15=M341,1,0)+IF(Personalización!$P$15=M341,1,0)</f>
        <v>0</v>
      </c>
      <c r="X341" s="512">
        <f>10*Tablas!S341+20*Tablas!U341+30*Tablas!W341+5*VLOOKUP("Apr. innato (2): "&amp;L341,$E$298:$G$314,3,FALSE)+10*VLOOKUP("Apr. innato (3): "&amp;L341,$E$298:$G$314,3,FALSE)</f>
        <v>0</v>
      </c>
      <c r="AB341" s="3187" t="str">
        <f t="shared" si="71"/>
        <v>Res. mágica excepcional (2)</v>
      </c>
      <c r="AC341" s="3188">
        <f t="shared" si="70"/>
        <v>79</v>
      </c>
      <c r="AD341" s="2731" t="s">
        <v>2259</v>
      </c>
      <c r="AE341" s="3189">
        <v>2</v>
      </c>
      <c r="AF341" s="3189">
        <f>COUNTIF(Principal!$C$35:$J$47,AD341)+COUNTIF(Principal!$C$48:$F$49,AD341)</f>
        <v>0</v>
      </c>
      <c r="AG341" s="3190">
        <f t="shared" si="72"/>
        <v>0</v>
      </c>
      <c r="AH341" s="3215"/>
      <c r="AI341" s="3194" t="s">
        <v>2649</v>
      </c>
      <c r="AJ341"/>
    </row>
    <row r="342" spans="1:36" ht="12.75" customHeight="1">
      <c r="A342" s="219">
        <v>342</v>
      </c>
      <c r="B342" s="7145"/>
      <c r="C342" s="1673" t="str">
        <f t="shared" si="68"/>
        <v>Inmunidad sobrenatural (3)</v>
      </c>
      <c r="D342" s="787">
        <f t="shared" si="67"/>
        <v>87</v>
      </c>
      <c r="E342" s="47" t="s">
        <v>2149</v>
      </c>
      <c r="F342" s="1669">
        <v>2</v>
      </c>
      <c r="G342" s="1669">
        <f>COUNTIF(Principal!$C$35:$J$47,Tablas!E342)+COUNTIF(Principal!$C$48:$F$49,Tablas!E342)</f>
        <v>0</v>
      </c>
      <c r="H342" s="1670">
        <f t="shared" si="69"/>
        <v>0</v>
      </c>
      <c r="I342" s="792">
        <v>1</v>
      </c>
      <c r="J342" s="1674" t="s">
        <v>2649</v>
      </c>
      <c r="L342" s="443" t="s">
        <v>1308</v>
      </c>
      <c r="M342" s="883" t="s">
        <v>1313</v>
      </c>
      <c r="N342" s="84">
        <v>1</v>
      </c>
      <c r="O342" s="84">
        <f>IF(Personalización!$L$11=M342,1,0)+IF(Personalización!$N$11=M342,1,0)+IF(Personalización!$P$11=M342,1,0)</f>
        <v>0</v>
      </c>
      <c r="P342" s="1670">
        <v>2</v>
      </c>
      <c r="Q342" s="84">
        <f>IF(Personalización!$L$12=M342,1,0)+IF(Personalización!$N$12=M342,1,0)+IF(Personalización!$P$12=M342,1,0)</f>
        <v>0</v>
      </c>
      <c r="R342" s="1670">
        <v>1</v>
      </c>
      <c r="S342" s="84">
        <f>IF(Personalización!$L$13=M342,1,0)+IF(Personalización!$N$13=M342,1,0)+IF(Personalización!$P$13=M342,1,0)</f>
        <v>0</v>
      </c>
      <c r="T342" s="1670">
        <v>2</v>
      </c>
      <c r="U342" s="84">
        <f>IF(Personalización!$L$14=M342,1,0)+IF(Personalización!$N$14=M342,1,0)+IF(Personalización!$P$14=M342,1,0)</f>
        <v>0</v>
      </c>
      <c r="V342" s="1670">
        <v>3</v>
      </c>
      <c r="W342" s="512">
        <f>IF(Personalización!$L$15=M342,1,0)+IF(Personalización!$N$15=M342,1,0)+IF(Personalización!$P$15=M342,1,0)</f>
        <v>0</v>
      </c>
      <c r="X342" s="512">
        <f>10*Tablas!S342+20*Tablas!U342+30*Tablas!W342+5*VLOOKUP("Apr. innato (2): "&amp;L342,$E$298:$G$314,3,FALSE)+10*VLOOKUP("Apr. innato (3): "&amp;L342,$E$298:$G$314,3,FALSE)</f>
        <v>0</v>
      </c>
      <c r="AB342" s="3187" t="str">
        <f t="shared" si="71"/>
        <v>Res. psi. excepcional (1)</v>
      </c>
      <c r="AC342" s="3188">
        <f t="shared" si="70"/>
        <v>80</v>
      </c>
      <c r="AD342" s="2731" t="s">
        <v>2260</v>
      </c>
      <c r="AE342" s="3189">
        <v>3</v>
      </c>
      <c r="AF342" s="3189">
        <f>COUNTIF(Principal!$C$35:$J$47,AD342)+COUNTIF(Principal!$C$48:$F$49,AD342)</f>
        <v>0</v>
      </c>
      <c r="AG342" s="3190">
        <f t="shared" si="72"/>
        <v>0</v>
      </c>
      <c r="AH342" s="3215"/>
      <c r="AI342" s="3194" t="s">
        <v>2649</v>
      </c>
      <c r="AJ342"/>
    </row>
    <row r="343" spans="1:36" ht="12.75" customHeight="1">
      <c r="A343" s="219">
        <v>343</v>
      </c>
      <c r="B343" s="7145"/>
      <c r="C343" s="1673" t="str">
        <f t="shared" si="68"/>
        <v>Inquietante</v>
      </c>
      <c r="D343" s="787">
        <f t="shared" si="67"/>
        <v>88</v>
      </c>
      <c r="E343" s="47" t="s">
        <v>2150</v>
      </c>
      <c r="F343" s="1669">
        <v>3</v>
      </c>
      <c r="G343" s="1669">
        <f>COUNTIF(Principal!$C$35:$J$47,Tablas!E343)+COUNTIF(Principal!$C$48:$F$49,Tablas!E343)</f>
        <v>0</v>
      </c>
      <c r="H343" s="1670">
        <f t="shared" si="69"/>
        <v>0</v>
      </c>
      <c r="I343" s="792">
        <v>1</v>
      </c>
      <c r="J343" s="1674" t="s">
        <v>2649</v>
      </c>
      <c r="L343" s="443" t="s">
        <v>1316</v>
      </c>
      <c r="M343" s="883" t="s">
        <v>1317</v>
      </c>
      <c r="N343" s="84">
        <v>1</v>
      </c>
      <c r="O343" s="84">
        <f>IF(Personalización!$L$11=M343,1,0)+IF(Personalización!$N$11=M343,1,0)+IF(Personalización!$P$11=M343,1,0)</f>
        <v>0</v>
      </c>
      <c r="P343" s="1670">
        <v>2</v>
      </c>
      <c r="Q343" s="84">
        <f>IF(Personalización!$L$12=M343,1,0)+IF(Personalización!$N$12=M343,1,0)+IF(Personalización!$P$12=M343,1,0)</f>
        <v>0</v>
      </c>
      <c r="R343" s="1670">
        <v>1</v>
      </c>
      <c r="S343" s="84">
        <f>IF(Personalización!$L$13=M343,1,0)+IF(Personalización!$N$13=M343,1,0)+IF(Personalización!$P$13=M343,1,0)</f>
        <v>0</v>
      </c>
      <c r="T343" s="1670">
        <v>2</v>
      </c>
      <c r="U343" s="84">
        <f>IF(Personalización!$L$14=M343,1,0)+IF(Personalización!$N$14=M343,1,0)+IF(Personalización!$P$14=M343,1,0)</f>
        <v>0</v>
      </c>
      <c r="V343" s="1670">
        <v>3</v>
      </c>
      <c r="W343" s="512">
        <f>IF(Personalización!$L$15=M343,1,0)+IF(Personalización!$N$15=M343,1,0)+IF(Personalización!$P$15=M343,1,0)</f>
        <v>0</v>
      </c>
      <c r="X343" s="512">
        <f>10*Tablas!S343+20*Tablas!U343+30*Tablas!W343+5*VLOOKUP("Apr. innato (2): "&amp;L343,$E$298:$G$314,3,FALSE)+10*VLOOKUP("Apr. innato (3): "&amp;L343,$E$298:$G$314,3,FALSE)</f>
        <v>0</v>
      </c>
      <c r="AB343" s="3187" t="str">
        <f t="shared" si="71"/>
        <v>Res. psi. excepcional (2)</v>
      </c>
      <c r="AC343" s="3188">
        <f t="shared" si="70"/>
        <v>114</v>
      </c>
      <c r="AD343" s="2731" t="s">
        <v>2261</v>
      </c>
      <c r="AE343" s="3189">
        <v>2</v>
      </c>
      <c r="AF343" s="3189">
        <f>COUNTIF(Principal!$C$35:$J$47,AD343)+COUNTIF(Principal!$C$48:$F$49,AD343)</f>
        <v>0</v>
      </c>
      <c r="AG343" s="3190">
        <f t="shared" si="72"/>
        <v>0</v>
      </c>
      <c r="AH343" s="3215"/>
      <c r="AI343" s="3194" t="s">
        <v>2649</v>
      </c>
      <c r="AJ343"/>
    </row>
    <row r="344" spans="1:36" ht="12.75" customHeight="1">
      <c r="A344" s="219">
        <v>344</v>
      </c>
      <c r="B344" s="7145"/>
      <c r="C344" s="1673" t="str">
        <f t="shared" si="68"/>
        <v>Inutilidad gestual</v>
      </c>
      <c r="D344" s="787">
        <f t="shared" si="67"/>
        <v>73</v>
      </c>
      <c r="E344" s="47" t="s">
        <v>2151</v>
      </c>
      <c r="F344" s="1669">
        <v>1</v>
      </c>
      <c r="G344" s="1669">
        <f>COUNTIF(Principal!$C$35:$J$47,Tablas!E344)+COUNTIF(Principal!$C$48:$F$49,Tablas!E344)</f>
        <v>0</v>
      </c>
      <c r="H344" s="1670">
        <f t="shared" si="69"/>
        <v>0</v>
      </c>
      <c r="I344" s="792">
        <v>1</v>
      </c>
      <c r="J344" s="1674" t="s">
        <v>2649</v>
      </c>
      <c r="L344" s="443" t="s">
        <v>1316</v>
      </c>
      <c r="M344" s="883" t="s">
        <v>1319</v>
      </c>
      <c r="N344" s="84">
        <v>1</v>
      </c>
      <c r="O344" s="84">
        <f>IF(Personalización!$L$11=M344,1,0)+IF(Personalización!$N$11=M344,1,0)+IF(Personalización!$P$11=M344,1,0)</f>
        <v>0</v>
      </c>
      <c r="P344" s="1670">
        <v>2</v>
      </c>
      <c r="Q344" s="84">
        <f>IF(Personalización!$L$12=M344,1,0)+IF(Personalización!$N$12=M344,1,0)+IF(Personalización!$P$12=M344,1,0)</f>
        <v>0</v>
      </c>
      <c r="R344" s="1670">
        <v>1</v>
      </c>
      <c r="S344" s="84">
        <f>IF(Personalización!$L$13=M344,1,0)+IF(Personalización!$N$13=M344,1,0)+IF(Personalización!$P$13=M344,1,0)</f>
        <v>0</v>
      </c>
      <c r="T344" s="1670">
        <v>2</v>
      </c>
      <c r="U344" s="84">
        <f>IF(Personalización!$L$14=M344,1,0)+IF(Personalización!$N$14=M344,1,0)+IF(Personalización!$P$14=M344,1,0)</f>
        <v>0</v>
      </c>
      <c r="V344" s="1670">
        <v>3</v>
      </c>
      <c r="W344" s="512">
        <f>IF(Personalización!$L$15=M344,1,0)+IF(Personalización!$N$15=M344,1,0)+IF(Personalización!$P$15=M344,1,0)</f>
        <v>0</v>
      </c>
      <c r="X344" s="512">
        <f>10*Tablas!S344+20*Tablas!U344+30*Tablas!W344+5*VLOOKUP("Apr. innato (2): "&amp;L344,$E$298:$G$314,3,FALSE)+10*VLOOKUP("Apr. innato (3): "&amp;L344,$E$298:$G$314,3,FALSE)</f>
        <v>0</v>
      </c>
      <c r="AB344" s="3187" t="str">
        <f t="shared" si="71"/>
        <v>Seductor</v>
      </c>
      <c r="AC344" s="3188">
        <f t="shared" si="70"/>
        <v>109</v>
      </c>
      <c r="AD344" s="2731" t="s">
        <v>2262</v>
      </c>
      <c r="AE344" s="3189">
        <v>3</v>
      </c>
      <c r="AF344" s="3189">
        <f>COUNTIF(Principal!$C$35:$J$47,AD344)+COUNTIF(Principal!$C$48:$F$49,AD344)</f>
        <v>0</v>
      </c>
      <c r="AG344" s="3190">
        <f t="shared" si="72"/>
        <v>0</v>
      </c>
      <c r="AH344" s="3215">
        <v>1</v>
      </c>
      <c r="AI344" s="3194" t="s">
        <v>2649</v>
      </c>
      <c r="AJ344"/>
    </row>
    <row r="345" spans="1:36" ht="12.75" customHeight="1">
      <c r="A345" s="219">
        <v>345</v>
      </c>
      <c r="B345" s="7145"/>
      <c r="C345" s="1673" t="str">
        <f t="shared" si="68"/>
        <v>Ki imperceptible</v>
      </c>
      <c r="D345" s="787">
        <f t="shared" si="67"/>
        <v>74</v>
      </c>
      <c r="E345" s="47" t="s">
        <v>2152</v>
      </c>
      <c r="F345" s="1669">
        <v>2</v>
      </c>
      <c r="G345" s="1669">
        <f>COUNTIF(Principal!$C$35:$J$47,Tablas!E345)+COUNTIF(Principal!$C$48:$F$49,Tablas!E345)</f>
        <v>0</v>
      </c>
      <c r="H345" s="1670">
        <f t="shared" si="69"/>
        <v>0</v>
      </c>
      <c r="I345" s="792">
        <v>1</v>
      </c>
      <c r="J345" s="1674" t="s">
        <v>2649</v>
      </c>
      <c r="L345" s="443" t="s">
        <v>1316</v>
      </c>
      <c r="M345" s="883" t="s">
        <v>1321</v>
      </c>
      <c r="N345" s="84">
        <v>1</v>
      </c>
      <c r="O345" s="84">
        <f>IF(Personalización!$L$11=M345,1,0)+IF(Personalización!$N$11=M345,1,0)+IF(Personalización!$P$11=M345,1,0)</f>
        <v>0</v>
      </c>
      <c r="P345" s="1670">
        <v>2</v>
      </c>
      <c r="Q345" s="84">
        <f>IF(Personalización!$L$12=M345,1,0)+IF(Personalización!$N$12=M345,1,0)+IF(Personalización!$P$12=M345,1,0)</f>
        <v>0</v>
      </c>
      <c r="R345" s="1670">
        <v>1</v>
      </c>
      <c r="S345" s="84">
        <f>IF(Personalización!$L$13=M345,1,0)+IF(Personalización!$N$13=M345,1,0)+IF(Personalización!$P$13=M345,1,0)</f>
        <v>0</v>
      </c>
      <c r="T345" s="1670">
        <v>2</v>
      </c>
      <c r="U345" s="84">
        <f>IF(Personalización!$L$14=M345,1,0)+IF(Personalización!$N$14=M345,1,0)+IF(Personalización!$P$14=M345,1,0)</f>
        <v>0</v>
      </c>
      <c r="V345" s="1670">
        <v>3</v>
      </c>
      <c r="W345" s="512">
        <f>IF(Personalización!$L$15=M345,1,0)+IF(Personalización!$N$15=M345,1,0)+IF(Personalización!$P$15=M345,1,0)</f>
        <v>0</v>
      </c>
      <c r="X345" s="512">
        <f>10*Tablas!S345+20*Tablas!U345+30*Tablas!W345+5*VLOOKUP("Apr. innato (2): "&amp;L345,$E$298:$G$314,3,FALSE)+10*VLOOKUP("Apr. innato (3): "&amp;L345,$E$298:$G$314,3,FALSE)</f>
        <v>0</v>
      </c>
      <c r="AB345" s="3187" t="str">
        <f t="shared" si="71"/>
        <v>Sellos magistrales</v>
      </c>
      <c r="AC345" s="3188">
        <f t="shared" si="70"/>
        <v>111</v>
      </c>
      <c r="AD345" s="2731" t="s">
        <v>2263</v>
      </c>
      <c r="AE345" s="3189">
        <v>3</v>
      </c>
      <c r="AF345" s="3189">
        <f>COUNTIF(Principal!$C$35:$J$47,AD345)+COUNTIF(Principal!$C$48:$F$49,AD345)</f>
        <v>0</v>
      </c>
      <c r="AG345" s="3190">
        <f t="shared" si="72"/>
        <v>0</v>
      </c>
      <c r="AH345" s="3215">
        <v>1</v>
      </c>
      <c r="AI345" s="3194" t="s">
        <v>2649</v>
      </c>
      <c r="AJ345"/>
    </row>
    <row r="346" spans="1:36" ht="12.75" customHeight="1">
      <c r="A346" s="219">
        <v>346</v>
      </c>
      <c r="B346" s="7145"/>
      <c r="C346" s="1673" t="str">
        <f t="shared" si="68"/>
        <v>Libre albedrío</v>
      </c>
      <c r="D346" s="787">
        <f t="shared" si="67"/>
        <v>75</v>
      </c>
      <c r="E346" s="47" t="s">
        <v>2153</v>
      </c>
      <c r="F346" s="1669">
        <v>3</v>
      </c>
      <c r="G346" s="1669">
        <f>COUNTIF(Principal!$C$35:$J$47,Tablas!E346)+COUNTIF(Principal!$C$48:$F$49,Tablas!E346)</f>
        <v>0</v>
      </c>
      <c r="H346" s="1670">
        <f t="shared" si="69"/>
        <v>0</v>
      </c>
      <c r="I346" s="792">
        <v>1</v>
      </c>
      <c r="J346" s="1674" t="s">
        <v>2649</v>
      </c>
      <c r="L346" s="443" t="s">
        <v>1316</v>
      </c>
      <c r="M346" s="883" t="s">
        <v>1323</v>
      </c>
      <c r="N346" s="84">
        <v>1</v>
      </c>
      <c r="O346" s="84">
        <f>IF(Personalización!$L$11=M346,1,0)+IF(Personalización!$N$11=M346,1,0)+IF(Personalización!$P$11=M346,1,0)</f>
        <v>0</v>
      </c>
      <c r="P346" s="1670">
        <v>2</v>
      </c>
      <c r="Q346" s="84">
        <f>IF(Personalización!$L$12=M346,1,0)+IF(Personalización!$N$12=M346,1,0)+IF(Personalización!$P$12=M346,1,0)</f>
        <v>0</v>
      </c>
      <c r="R346" s="1670">
        <v>1</v>
      </c>
      <c r="S346" s="84">
        <f>IF(Personalización!$L$13=M346,1,0)+IF(Personalización!$N$13=M346,1,0)+IF(Personalización!$P$13=M346,1,0)</f>
        <v>0</v>
      </c>
      <c r="T346" s="1670">
        <v>2</v>
      </c>
      <c r="U346" s="84">
        <f>IF(Personalización!$L$14=M346,1,0)+IF(Personalización!$N$14=M346,1,0)+IF(Personalización!$P$14=M346,1,0)</f>
        <v>0</v>
      </c>
      <c r="V346" s="1670">
        <v>3</v>
      </c>
      <c r="W346" s="512">
        <f>IF(Personalización!$L$15=M346,1,0)+IF(Personalización!$N$15=M346,1,0)+IF(Personalización!$P$15=M346,1,0)</f>
        <v>0</v>
      </c>
      <c r="X346" s="512">
        <f>10*Tablas!S346+20*Tablas!U346+30*Tablas!W346+5*VLOOKUP("Apr. innato (2): "&amp;L346,$E$298:$G$314,3,FALSE)+10*VLOOKUP("Apr. innato (3): "&amp;L346,$E$298:$G$314,3,FALSE)</f>
        <v>0</v>
      </c>
      <c r="AB346" s="3187" t="str">
        <f t="shared" si="71"/>
        <v>Sentido del combate: Ataque</v>
      </c>
      <c r="AC346" s="3188">
        <f t="shared" si="70"/>
        <v>110</v>
      </c>
      <c r="AD346" s="2731" t="s">
        <v>2264</v>
      </c>
      <c r="AE346" s="3189">
        <v>3</v>
      </c>
      <c r="AF346" s="3189">
        <f>COUNTIF(Principal!$C$35:$J$47,AD346)+COUNTIF(Principal!$C$48:$F$49,AD346)</f>
        <v>0</v>
      </c>
      <c r="AG346" s="3190">
        <f t="shared" si="72"/>
        <v>0</v>
      </c>
      <c r="AH346" s="3215">
        <v>1</v>
      </c>
      <c r="AI346" s="3194" t="s">
        <v>2649</v>
      </c>
      <c r="AJ346"/>
    </row>
    <row r="347" spans="1:36" ht="12.75" customHeight="1">
      <c r="A347" s="219">
        <v>347</v>
      </c>
      <c r="B347" s="7145"/>
      <c r="C347" s="1673" t="str">
        <f t="shared" si="68"/>
        <v>Límite dual</v>
      </c>
      <c r="D347" s="787">
        <f t="shared" si="67"/>
        <v>-4</v>
      </c>
      <c r="E347" s="47" t="str">
        <f>IF(Personalización!$G$34="Sí","Desplazamiento rápido"," &gt; Desplazamiento rápido")</f>
        <v xml:space="preserve"> &gt; Desplazamiento rápido</v>
      </c>
      <c r="F347" s="1669">
        <v>1</v>
      </c>
      <c r="G347" s="1669">
        <f>COUNTIF(Principal!$C$35:$J$47,Tablas!E347)+COUNTIF(Principal!$C$48:$F$49,Tablas!E347)</f>
        <v>0</v>
      </c>
      <c r="H347" s="1670">
        <f t="shared" si="69"/>
        <v>0</v>
      </c>
      <c r="I347" s="792">
        <v>1</v>
      </c>
      <c r="J347" s="1674" t="s">
        <v>2649</v>
      </c>
      <c r="L347" s="443" t="s">
        <v>1316</v>
      </c>
      <c r="M347" s="883" t="s">
        <v>1325</v>
      </c>
      <c r="N347" s="84">
        <v>1</v>
      </c>
      <c r="O347" s="84">
        <f>IF(Personalización!$L$11=M347,1,0)+IF(Personalización!$N$11=M347,1,0)+IF(Personalización!$P$11=M347,1,0)</f>
        <v>0</v>
      </c>
      <c r="P347" s="1670">
        <v>2</v>
      </c>
      <c r="Q347" s="84">
        <f>IF(Personalización!$L$12=M347,1,0)+IF(Personalización!$N$12=M347,1,0)+IF(Personalización!$P$12=M347,1,0)</f>
        <v>0</v>
      </c>
      <c r="R347" s="1670">
        <v>1</v>
      </c>
      <c r="S347" s="84">
        <f>IF(Personalización!$L$13=M347,1,0)+IF(Personalización!$N$13=M347,1,0)+IF(Personalización!$P$13=M347,1,0)</f>
        <v>0</v>
      </c>
      <c r="T347" s="1670">
        <v>2</v>
      </c>
      <c r="U347" s="84">
        <f>IF(Personalización!$L$14=M347,1,0)+IF(Personalización!$N$14=M347,1,0)+IF(Personalización!$P$14=M347,1,0)</f>
        <v>0</v>
      </c>
      <c r="V347" s="1670">
        <v>3</v>
      </c>
      <c r="W347" s="512">
        <f>IF(Personalización!$L$15=M347,1,0)+IF(Personalización!$N$15=M347,1,0)+IF(Personalización!$P$15=M347,1,0)</f>
        <v>0</v>
      </c>
      <c r="X347" s="512">
        <f>10*Tablas!S347+20*Tablas!U347+30*Tablas!W347+5*VLOOKUP("Apr. innato (2): "&amp;L347,$E$298:$G$314,3,FALSE)+10*VLOOKUP("Apr. innato (3): "&amp;L347,$E$298:$G$314,3,FALSE)</f>
        <v>0</v>
      </c>
      <c r="AB347" s="3187" t="str">
        <f t="shared" si="71"/>
        <v>Sentido del combate: Esquiva</v>
      </c>
      <c r="AC347" s="3188">
        <f t="shared" si="70"/>
        <v>54</v>
      </c>
      <c r="AD347" s="2731" t="s">
        <v>2265</v>
      </c>
      <c r="AE347" s="3189">
        <v>2</v>
      </c>
      <c r="AF347" s="3189">
        <f>COUNTIF(Principal!$C$35:$J$47,AD347)+COUNTIF(Principal!$C$48:$F$49,AD347)</f>
        <v>0</v>
      </c>
      <c r="AG347" s="3190">
        <f t="shared" si="72"/>
        <v>0</v>
      </c>
      <c r="AH347" s="3215">
        <v>1</v>
      </c>
      <c r="AI347" s="3194" t="s">
        <v>2649</v>
      </c>
      <c r="AJ347"/>
    </row>
    <row r="348" spans="1:36" ht="12.75" customHeight="1">
      <c r="A348" s="219">
        <v>348</v>
      </c>
      <c r="B348" s="7145"/>
      <c r="C348" s="1673" t="str">
        <f t="shared" si="68"/>
        <v>Maestro marcial (1)</v>
      </c>
      <c r="D348" s="787">
        <f t="shared" si="67"/>
        <v>91</v>
      </c>
      <c r="E348" s="47" t="s">
        <v>2154</v>
      </c>
      <c r="F348" s="1669">
        <v>1</v>
      </c>
      <c r="G348" s="1669">
        <f>COUNTIF(Principal!$C$35:$J$47,Tablas!E348)+COUNTIF(Principal!$C$48:$F$49,Tablas!E348)</f>
        <v>0</v>
      </c>
      <c r="H348" s="1670">
        <f t="shared" si="69"/>
        <v>0</v>
      </c>
      <c r="I348" s="792"/>
      <c r="J348" s="1674" t="s">
        <v>2649</v>
      </c>
      <c r="L348" s="443" t="s">
        <v>1316</v>
      </c>
      <c r="M348" s="883" t="s">
        <v>1327</v>
      </c>
      <c r="N348" s="84">
        <v>1</v>
      </c>
      <c r="O348" s="84">
        <f>IF(Personalización!$L$11=M348,1,0)+IF(Personalización!$N$11=M348,1,0)+IF(Personalización!$P$11=M348,1,0)</f>
        <v>0</v>
      </c>
      <c r="P348" s="1670">
        <v>2</v>
      </c>
      <c r="Q348" s="84">
        <f>IF(Personalización!$L$12=M348,1,0)+IF(Personalización!$N$12=M348,1,0)+IF(Personalización!$P$12=M348,1,0)</f>
        <v>0</v>
      </c>
      <c r="R348" s="1670">
        <v>1</v>
      </c>
      <c r="S348" s="84">
        <f>IF(Personalización!$L$13=M348,1,0)+IF(Personalización!$N$13=M348,1,0)+IF(Personalización!$P$13=M348,1,0)</f>
        <v>0</v>
      </c>
      <c r="T348" s="1670">
        <v>2</v>
      </c>
      <c r="U348" s="84">
        <f>IF(Personalización!$L$14=M348,1,0)+IF(Personalización!$N$14=M348,1,0)+IF(Personalización!$P$14=M348,1,0)</f>
        <v>0</v>
      </c>
      <c r="V348" s="1670">
        <v>3</v>
      </c>
      <c r="W348" s="512">
        <f>IF(Personalización!$L$15=M348,1,0)+IF(Personalización!$N$15=M348,1,0)+IF(Personalización!$P$15=M348,1,0)</f>
        <v>0</v>
      </c>
      <c r="X348" s="512">
        <f>10*Tablas!S348+20*Tablas!U348+30*Tablas!W348+5*VLOOKUP("Apr. innato (2): "&amp;L348,$E$298:$G$314,3,FALSE)+10*VLOOKUP("Apr. innato (3): "&amp;L348,$E$298:$G$314,3,FALSE)</f>
        <v>0</v>
      </c>
      <c r="AB348" s="3187" t="str">
        <f t="shared" si="71"/>
        <v>Sentido del combate: Parada</v>
      </c>
      <c r="AC348" s="3188">
        <f t="shared" si="70"/>
        <v>130</v>
      </c>
      <c r="AD348" s="2731" t="s">
        <v>2266</v>
      </c>
      <c r="AE348" s="3189">
        <v>1</v>
      </c>
      <c r="AF348" s="3189">
        <f>COUNTIF(Principal!$C$35:$J$47,AD348)+COUNTIF(Principal!$C$48:$F$49,AD348)</f>
        <v>0</v>
      </c>
      <c r="AG348" s="3190">
        <f t="shared" si="72"/>
        <v>0</v>
      </c>
      <c r="AH348" s="3215">
        <v>1</v>
      </c>
      <c r="AI348" s="3194" t="s">
        <v>2649</v>
      </c>
      <c r="AJ348"/>
    </row>
    <row r="349" spans="1:36" ht="12.75" customHeight="1">
      <c r="A349" s="219">
        <v>349</v>
      </c>
      <c r="B349" s="7145"/>
      <c r="C349" s="1673" t="str">
        <f t="shared" si="68"/>
        <v>Maestro marcial (2)</v>
      </c>
      <c r="D349" s="787">
        <f t="shared" si="67"/>
        <v>92</v>
      </c>
      <c r="E349" s="47" t="s">
        <v>2155</v>
      </c>
      <c r="F349" s="1669">
        <v>2</v>
      </c>
      <c r="G349" s="1669">
        <f>COUNTIF(Principal!$C$35:$J$47,Tablas!E349)+COUNTIF(Principal!$C$48:$F$49,Tablas!E349)</f>
        <v>0</v>
      </c>
      <c r="H349" s="1670">
        <f t="shared" si="69"/>
        <v>0</v>
      </c>
      <c r="I349" s="792"/>
      <c r="J349" s="1674" t="s">
        <v>2649</v>
      </c>
      <c r="L349" s="443" t="s">
        <v>1316</v>
      </c>
      <c r="M349" s="883" t="s">
        <v>1328</v>
      </c>
      <c r="N349" s="84">
        <v>1</v>
      </c>
      <c r="O349" s="84">
        <f>IF(Personalización!$L$11=M349,1,0)+IF(Personalización!$N$11=M349,1,0)+IF(Personalización!$P$11=M349,1,0)</f>
        <v>0</v>
      </c>
      <c r="P349" s="1670">
        <v>2</v>
      </c>
      <c r="Q349" s="84">
        <f>IF(Personalización!$L$12=M349,1,0)+IF(Personalización!$N$12=M349,1,0)+IF(Personalización!$P$12=M349,1,0)</f>
        <v>0</v>
      </c>
      <c r="R349" s="1670">
        <v>1</v>
      </c>
      <c r="S349" s="84">
        <f>IF(Personalización!$L$13=M349,1,0)+IF(Personalización!$N$13=M349,1,0)+IF(Personalización!$P$13=M349,1,0)</f>
        <v>0</v>
      </c>
      <c r="T349" s="1670">
        <v>2</v>
      </c>
      <c r="U349" s="84">
        <f>IF(Personalización!$L$14=M349,1,0)+IF(Personalización!$N$14=M349,1,0)+IF(Personalización!$P$14=M349,1,0)</f>
        <v>0</v>
      </c>
      <c r="V349" s="1670">
        <v>3</v>
      </c>
      <c r="W349" s="512">
        <f>IF(Personalización!$L$15=M349,1,0)+IF(Personalización!$N$15=M349,1,0)+IF(Personalización!$P$15=M349,1,0)</f>
        <v>0</v>
      </c>
      <c r="X349" s="512">
        <f>10*Tablas!S349+20*Tablas!U349+30*Tablas!W349+5*VLOOKUP("Apr. innato (2): "&amp;L349,$E$298:$G$314,3,FALSE)+10*VLOOKUP("Apr. innato (3): "&amp;L349,$E$298:$G$314,3,FALSE)</f>
        <v>0</v>
      </c>
      <c r="AB349" s="3187" t="str">
        <f t="shared" si="71"/>
        <v>Sentido del peligro</v>
      </c>
      <c r="AC349" s="3188">
        <f t="shared" si="70"/>
        <v>131</v>
      </c>
      <c r="AD349" s="2731" t="s">
        <v>2267</v>
      </c>
      <c r="AE349" s="3189">
        <v>2</v>
      </c>
      <c r="AF349" s="3189">
        <f>COUNTIF(Principal!$C$35:$J$47,AD349)+COUNTIF(Principal!$C$48:$F$49,AD349)</f>
        <v>0</v>
      </c>
      <c r="AG349" s="3190">
        <f t="shared" si="72"/>
        <v>0</v>
      </c>
      <c r="AH349" s="3215">
        <v>1</v>
      </c>
      <c r="AI349" s="3194" t="s">
        <v>2649</v>
      </c>
      <c r="AJ349"/>
    </row>
    <row r="350" spans="1:36" ht="12.75" customHeight="1">
      <c r="A350" s="219">
        <v>350</v>
      </c>
      <c r="B350" s="7145"/>
      <c r="C350" s="1673" t="str">
        <f t="shared" si="68"/>
        <v>Maestro marcial (3)</v>
      </c>
      <c r="D350" s="787">
        <f t="shared" si="67"/>
        <v>93</v>
      </c>
      <c r="E350" s="47" t="s">
        <v>2156</v>
      </c>
      <c r="F350" s="1669">
        <v>3</v>
      </c>
      <c r="G350" s="1669">
        <f>COUNTIF(Principal!$C$35:$J$47,Tablas!E350)+COUNTIF(Principal!$C$48:$F$49,Tablas!E350)</f>
        <v>0</v>
      </c>
      <c r="H350" s="1670">
        <f t="shared" si="69"/>
        <v>0</v>
      </c>
      <c r="I350" s="792"/>
      <c r="J350" s="1674" t="s">
        <v>2649</v>
      </c>
      <c r="L350" s="443" t="s">
        <v>1329</v>
      </c>
      <c r="M350" s="883" t="s">
        <v>1330</v>
      </c>
      <c r="N350" s="84">
        <v>1</v>
      </c>
      <c r="O350" s="84">
        <f>IF(Personalización!$L$11=M350,1,0)+IF(Personalización!$N$11=M350,1,0)+IF(Personalización!$P$11=M350,1,0)</f>
        <v>0</v>
      </c>
      <c r="P350" s="1670">
        <v>2</v>
      </c>
      <c r="Q350" s="84">
        <f>IF(Personalización!$L$12=M350,1,0)+IF(Personalización!$N$12=M350,1,0)+IF(Personalización!$P$12=M350,1,0)</f>
        <v>0</v>
      </c>
      <c r="R350" s="1670">
        <v>1</v>
      </c>
      <c r="S350" s="84">
        <f>IF(Personalización!$L$13=M350,1,0)+IF(Personalización!$N$13=M350,1,0)+IF(Personalización!$P$13=M350,1,0)</f>
        <v>0</v>
      </c>
      <c r="T350" s="1670">
        <v>2</v>
      </c>
      <c r="U350" s="84">
        <f>IF(Personalización!$L$14=M350,1,0)+IF(Personalización!$N$14=M350,1,0)+IF(Personalización!$P$14=M350,1,0)</f>
        <v>0</v>
      </c>
      <c r="V350" s="1670">
        <v>3</v>
      </c>
      <c r="W350" s="512">
        <f>IF(Personalización!$L$15=M350,1,0)+IF(Personalización!$N$15=M350,1,0)+IF(Personalización!$P$15=M350,1,0)</f>
        <v>0</v>
      </c>
      <c r="X350" s="512">
        <f>10*Tablas!S350+20*Tablas!U350+30*Tablas!W350+5*VLOOKUP("Apr. innato (2): "&amp;L350,$E$298:$G$314,3,FALSE)+10*VLOOKUP("Apr. innato (3): "&amp;L350,$E$298:$G$314,3,FALSE)</f>
        <v>0</v>
      </c>
      <c r="AB350" s="3187" t="str">
        <f t="shared" si="71"/>
        <v>Sentidos agudos</v>
      </c>
      <c r="AC350" s="3188">
        <f t="shared" si="70"/>
        <v>132</v>
      </c>
      <c r="AD350" s="2731" t="s">
        <v>2268</v>
      </c>
      <c r="AE350" s="3189">
        <v>3</v>
      </c>
      <c r="AF350" s="3189">
        <f>COUNTIF(Principal!$C$35:$J$47,AD350)+COUNTIF(Principal!$C$48:$F$49,AD350)</f>
        <v>0</v>
      </c>
      <c r="AG350" s="3190">
        <f t="shared" si="72"/>
        <v>0</v>
      </c>
      <c r="AH350" s="3215">
        <v>1</v>
      </c>
      <c r="AI350" s="3194" t="s">
        <v>2649</v>
      </c>
      <c r="AJ350"/>
    </row>
    <row r="351" spans="1:36" ht="12.75" customHeight="1">
      <c r="A351" s="219">
        <v>351</v>
      </c>
      <c r="B351" s="7145"/>
      <c r="C351" s="1673" t="str">
        <f t="shared" si="68"/>
        <v>Percepción del Ki</v>
      </c>
      <c r="D351" s="787">
        <f t="shared" si="67"/>
        <v>65</v>
      </c>
      <c r="E351" s="47" t="s">
        <v>2157</v>
      </c>
      <c r="F351" s="1669">
        <v>1</v>
      </c>
      <c r="G351" s="1669">
        <f>COUNTIF(Principal!$C$35:$J$47,Tablas!E351)+COUNTIF(Principal!$C$48:$F$49,Tablas!E351)</f>
        <v>0</v>
      </c>
      <c r="H351" s="1670">
        <f t="shared" si="69"/>
        <v>0</v>
      </c>
      <c r="I351" s="792"/>
      <c r="J351" s="1674" t="s">
        <v>2649</v>
      </c>
      <c r="L351" s="443" t="s">
        <v>1329</v>
      </c>
      <c r="M351" s="883" t="s">
        <v>1331</v>
      </c>
      <c r="N351" s="84">
        <v>1</v>
      </c>
      <c r="O351" s="84">
        <f>IF(Personalización!$L$11=M351,1,0)+IF(Personalización!$N$11=M351,1,0)+IF(Personalización!$P$11=M351,1,0)</f>
        <v>0</v>
      </c>
      <c r="P351" s="1670">
        <v>2</v>
      </c>
      <c r="Q351" s="84">
        <f>IF(Personalización!$L$12=M351,1,0)+IF(Personalización!$N$12=M351,1,0)+IF(Personalización!$P$12=M351,1,0)</f>
        <v>0</v>
      </c>
      <c r="R351" s="1670">
        <v>1</v>
      </c>
      <c r="S351" s="84">
        <f>IF(Personalización!$L$13=M351,1,0)+IF(Personalización!$N$13=M351,1,0)+IF(Personalización!$P$13=M351,1,0)</f>
        <v>0</v>
      </c>
      <c r="T351" s="1670">
        <v>2</v>
      </c>
      <c r="U351" s="84">
        <f>IF(Personalización!$L$14=M351,1,0)+IF(Personalización!$N$14=M351,1,0)+IF(Personalización!$P$14=M351,1,0)</f>
        <v>0</v>
      </c>
      <c r="V351" s="1670">
        <v>3</v>
      </c>
      <c r="W351" s="512">
        <f>IF(Personalización!$L$15=M351,1,0)+IF(Personalización!$N$15=M351,1,0)+IF(Personalización!$P$15=M351,1,0)</f>
        <v>0</v>
      </c>
      <c r="X351" s="512">
        <f>10*Tablas!S351+20*Tablas!U351+30*Tablas!W351+5*VLOOKUP("Apr. innato (2): "&amp;L351,$E$298:$G$314,3,FALSE)+10*VLOOKUP("Apr. innato (3): "&amp;L351,$E$298:$G$314,3,FALSE)</f>
        <v>0</v>
      </c>
      <c r="AB351" s="3187" t="str">
        <f t="shared" si="71"/>
        <v>Sin límite de familiares</v>
      </c>
      <c r="AC351" s="3188">
        <f t="shared" si="70"/>
        <v>134</v>
      </c>
      <c r="AD351" s="2731" t="s">
        <v>2269</v>
      </c>
      <c r="AE351" s="3189">
        <v>1</v>
      </c>
      <c r="AF351" s="3189">
        <f>COUNTIF(Principal!$C$35:$J$47,AD351)+COUNTIF(Principal!$C$48:$F$49,AD351)</f>
        <v>0</v>
      </c>
      <c r="AG351" s="3190">
        <f t="shared" si="72"/>
        <v>0</v>
      </c>
      <c r="AH351" s="3215">
        <v>1</v>
      </c>
      <c r="AI351" s="3194" t="s">
        <v>2649</v>
      </c>
      <c r="AJ351"/>
    </row>
    <row r="352" spans="1:36" ht="12.75" customHeight="1">
      <c r="A352" s="219">
        <v>352</v>
      </c>
      <c r="B352" s="7145"/>
      <c r="C352" s="1673" t="str">
        <f t="shared" si="68"/>
        <v>Poder innato</v>
      </c>
      <c r="D352" s="787">
        <f t="shared" si="67"/>
        <v>66</v>
      </c>
      <c r="E352" s="47" t="s">
        <v>2158</v>
      </c>
      <c r="F352" s="1669">
        <v>2</v>
      </c>
      <c r="G352" s="1669">
        <f>COUNTIF(Principal!$C$35:$J$47,Tablas!E352)+COUNTIF(Principal!$C$48:$F$49,Tablas!E352)</f>
        <v>0</v>
      </c>
      <c r="H352" s="1670">
        <f t="shared" si="69"/>
        <v>0</v>
      </c>
      <c r="I352" s="792"/>
      <c r="J352" s="1674" t="s">
        <v>2649</v>
      </c>
      <c r="L352" s="443" t="s">
        <v>1329</v>
      </c>
      <c r="M352" s="883" t="s">
        <v>1332</v>
      </c>
      <c r="N352" s="84">
        <v>1</v>
      </c>
      <c r="O352" s="84">
        <f>IF(Personalización!$L$11=M352,1,0)+IF(Personalización!$N$11=M352,1,0)+IF(Personalización!$P$11=M352,1,0)</f>
        <v>0</v>
      </c>
      <c r="P352" s="1670">
        <v>2</v>
      </c>
      <c r="Q352" s="84">
        <f>IF(Personalización!$L$12=M352,1,0)+IF(Personalización!$N$12=M352,1,0)+IF(Personalización!$P$12=M352,1,0)</f>
        <v>0</v>
      </c>
      <c r="R352" s="1670">
        <v>1</v>
      </c>
      <c r="S352" s="84">
        <f>IF(Personalización!$L$13=M352,1,0)+IF(Personalización!$N$13=M352,1,0)+IF(Personalización!$P$13=M352,1,0)</f>
        <v>0</v>
      </c>
      <c r="T352" s="1670">
        <v>2</v>
      </c>
      <c r="U352" s="84">
        <f>IF(Personalización!$L$14=M352,1,0)+IF(Personalización!$N$14=M352,1,0)+IF(Personalización!$P$14=M352,1,0)</f>
        <v>0</v>
      </c>
      <c r="V352" s="1670">
        <v>3</v>
      </c>
      <c r="W352" s="512">
        <f>IF(Personalización!$L$15=M352,1,0)+IF(Personalización!$N$15=M352,1,0)+IF(Personalización!$P$15=M352,1,0)</f>
        <v>0</v>
      </c>
      <c r="X352" s="512">
        <f>10*Tablas!S352+20*Tablas!U352+30*Tablas!W352+5*VLOOKUP("Apr. innato (2): "&amp;L352,$E$298:$G$314,3,FALSE)+10*VLOOKUP("Apr. innato (3): "&amp;L352,$E$298:$G$314,3,FALSE)</f>
        <v>0</v>
      </c>
      <c r="AB352" s="3187" t="str">
        <f t="shared" si="71"/>
        <v>Sueño ligero</v>
      </c>
      <c r="AC352" s="3188">
        <f t="shared" si="70"/>
        <v>116</v>
      </c>
      <c r="AD352" s="2731" t="s">
        <v>2270</v>
      </c>
      <c r="AE352" s="3189">
        <v>1</v>
      </c>
      <c r="AF352" s="3189">
        <f>COUNTIF(Principal!$C$35:$J$47,AD352)+COUNTIF(Principal!$C$48:$F$49,AD352)</f>
        <v>0</v>
      </c>
      <c r="AG352" s="3190">
        <f t="shared" si="72"/>
        <v>0</v>
      </c>
      <c r="AH352" s="3215"/>
      <c r="AI352" s="3194" t="s">
        <v>2649</v>
      </c>
      <c r="AJ352"/>
    </row>
    <row r="353" spans="1:36" ht="12.75" customHeight="1">
      <c r="A353" s="219">
        <v>353</v>
      </c>
      <c r="B353" s="7145"/>
      <c r="C353" s="1673" t="str">
        <f t="shared" si="68"/>
        <v>Recuperación de Ki (1)</v>
      </c>
      <c r="D353" s="787">
        <f t="shared" si="67"/>
        <v>67</v>
      </c>
      <c r="E353" s="47" t="s">
        <v>2159</v>
      </c>
      <c r="F353" s="1669">
        <v>3</v>
      </c>
      <c r="G353" s="1669">
        <f>COUNTIF(Principal!$C$35:$J$47,Tablas!E353)+COUNTIF(Principal!$C$48:$F$49,Tablas!E353)</f>
        <v>0</v>
      </c>
      <c r="H353" s="1670">
        <f t="shared" si="69"/>
        <v>0</v>
      </c>
      <c r="I353" s="792"/>
      <c r="J353" s="1674" t="s">
        <v>2649</v>
      </c>
      <c r="L353" s="443" t="s">
        <v>1329</v>
      </c>
      <c r="M353" s="883" t="s">
        <v>682</v>
      </c>
      <c r="N353" s="84">
        <v>1</v>
      </c>
      <c r="O353" s="84">
        <f>IF(Personalización!$L$11=M353,1,0)+IF(Personalización!$N$11=M353,1,0)+IF(Personalización!$P$11=M353,1,0)</f>
        <v>0</v>
      </c>
      <c r="P353" s="1670">
        <v>2</v>
      </c>
      <c r="Q353" s="84">
        <f>IF(Personalización!$L$12=M353,1,0)+IF(Personalización!$N$12=M353,1,0)+IF(Personalización!$P$12=M353,1,0)</f>
        <v>0</v>
      </c>
      <c r="R353" s="1670">
        <v>1</v>
      </c>
      <c r="S353" s="84">
        <f>IF(Personalización!$L$13=M353,1,0)+IF(Personalización!$N$13=M353,1,0)+IF(Personalización!$P$13=M353,1,0)</f>
        <v>0</v>
      </c>
      <c r="T353" s="1670">
        <v>2</v>
      </c>
      <c r="U353" s="84">
        <f>IF(Personalización!$L$14=M353,1,0)+IF(Personalización!$N$14=M353,1,0)+IF(Personalización!$P$14=M353,1,0)</f>
        <v>0</v>
      </c>
      <c r="V353" s="1670">
        <v>3</v>
      </c>
      <c r="W353" s="512">
        <f>IF(Personalización!$L$15=M353,1,0)+IF(Personalización!$N$15=M353,1,0)+IF(Personalización!$P$15=M353,1,0)</f>
        <v>0</v>
      </c>
      <c r="X353" s="512">
        <f>10*Tablas!S353+20*Tablas!U353+30*Tablas!W353+5*VLOOKUP("Apr. innato (2): "&amp;L353,$E$298:$G$314,3,FALSE)+10*VLOOKUP("Apr. innato (3): "&amp;L353,$E$298:$G$314,3,FALSE)</f>
        <v>0</v>
      </c>
      <c r="AB353" s="3187" t="str">
        <f t="shared" si="71"/>
        <v>Superviviente</v>
      </c>
      <c r="AC353" s="3188">
        <f t="shared" si="70"/>
        <v>129</v>
      </c>
      <c r="AD353" s="2731" t="s">
        <v>2271</v>
      </c>
      <c r="AE353" s="3189">
        <v>1</v>
      </c>
      <c r="AF353" s="3189">
        <f>COUNTIF(Principal!$C$35:$J$47,AD353)+COUNTIF(Principal!$C$48:$F$49,AD353)</f>
        <v>0</v>
      </c>
      <c r="AG353" s="3190">
        <f t="shared" si="72"/>
        <v>0</v>
      </c>
      <c r="AH353" s="3215"/>
      <c r="AI353" s="3194" t="s">
        <v>2649</v>
      </c>
      <c r="AJ353"/>
    </row>
    <row r="354" spans="1:36" ht="12.75" customHeight="1">
      <c r="A354" s="219">
        <v>354</v>
      </c>
      <c r="B354" s="7145"/>
      <c r="C354" s="1673" t="str">
        <f t="shared" si="68"/>
        <v>Recuperación de Ki (2)</v>
      </c>
      <c r="D354" s="787">
        <f t="shared" si="67"/>
        <v>36</v>
      </c>
      <c r="E354" s="47" t="s">
        <v>2160</v>
      </c>
      <c r="F354" s="1669">
        <v>1</v>
      </c>
      <c r="G354" s="1669">
        <f>COUNTIF(Principal!$C$35:$J$47,Tablas!E354)+COUNTIF(Principal!$C$48:$F$49,Tablas!E354)</f>
        <v>0</v>
      </c>
      <c r="H354" s="1670">
        <f t="shared" si="69"/>
        <v>0</v>
      </c>
      <c r="I354" s="792"/>
      <c r="J354" s="1674" t="s">
        <v>2649</v>
      </c>
      <c r="L354" s="443" t="s">
        <v>1329</v>
      </c>
      <c r="M354" s="883" t="s">
        <v>683</v>
      </c>
      <c r="N354" s="84">
        <v>1</v>
      </c>
      <c r="O354" s="84">
        <f>IF(Personalización!$L$11=M354,1,0)+IF(Personalización!$N$11=M354,1,0)+IF(Personalización!$P$11=M354,1,0)</f>
        <v>0</v>
      </c>
      <c r="P354" s="1670">
        <v>2</v>
      </c>
      <c r="Q354" s="84">
        <f>IF(Personalización!$L$12=M354,1,0)+IF(Personalización!$N$12=M354,1,0)+IF(Personalización!$P$12=M354,1,0)</f>
        <v>0</v>
      </c>
      <c r="R354" s="1670">
        <v>1</v>
      </c>
      <c r="S354" s="84">
        <f>IF(Personalización!$L$13=M354,1,0)+IF(Personalización!$N$13=M354,1,0)+IF(Personalización!$P$13=M354,1,0)</f>
        <v>0</v>
      </c>
      <c r="T354" s="1670">
        <v>2</v>
      </c>
      <c r="U354" s="84">
        <f>IF(Personalización!$L$14=M354,1,0)+IF(Personalización!$N$14=M354,1,0)+IF(Personalización!$P$14=M354,1,0)</f>
        <v>0</v>
      </c>
      <c r="V354" s="1670">
        <v>3</v>
      </c>
      <c r="W354" s="512">
        <f>IF(Personalización!$L$15=M354,1,0)+IF(Personalización!$N$15=M354,1,0)+IF(Personalización!$P$15=M354,1,0)</f>
        <v>0</v>
      </c>
      <c r="X354" s="512">
        <f>10*Tablas!S354+20*Tablas!U354+30*Tablas!W354+5*VLOOKUP("Apr. innato (2): "&amp;L354,$E$298:$G$314,3,FALSE)+10*VLOOKUP("Apr. innato (3): "&amp;L354,$E$298:$G$314,3,FALSE)</f>
        <v>0</v>
      </c>
      <c r="AB354" s="3187" t="str">
        <f t="shared" si="71"/>
        <v>Sustituir característica por 9</v>
      </c>
      <c r="AC354" s="3188">
        <f t="shared" si="70"/>
        <v>77</v>
      </c>
      <c r="AD354" s="2731" t="s">
        <v>2272</v>
      </c>
      <c r="AE354" s="3189">
        <v>1</v>
      </c>
      <c r="AF354" s="3189">
        <f>COUNTIF(Principal!$C$35:$J$47,AD354)+COUNTIF(Principal!$C$48:$F$49,AD354)</f>
        <v>0</v>
      </c>
      <c r="AG354" s="3190">
        <f t="shared" si="72"/>
        <v>0</v>
      </c>
      <c r="AH354" s="3215"/>
      <c r="AI354" s="3194" t="s">
        <v>2649</v>
      </c>
      <c r="AJ354"/>
    </row>
    <row r="355" spans="1:36" ht="12.75" customHeight="1">
      <c r="A355" s="219">
        <v>355</v>
      </c>
      <c r="B355" s="7145"/>
      <c r="C355" s="1673" t="str">
        <f t="shared" si="68"/>
        <v>Recuperación de Ki (3)</v>
      </c>
      <c r="D355" s="787">
        <f t="shared" si="67"/>
        <v>37</v>
      </c>
      <c r="E355" s="47" t="s">
        <v>2161</v>
      </c>
      <c r="F355" s="1669">
        <v>2</v>
      </c>
      <c r="G355" s="1669">
        <f>COUNTIF(Principal!$C$35:$J$47,Tablas!E355)+COUNTIF(Principal!$C$48:$F$49,Tablas!E355)</f>
        <v>0</v>
      </c>
      <c r="H355" s="1670">
        <f t="shared" si="69"/>
        <v>0</v>
      </c>
      <c r="I355" s="792"/>
      <c r="J355" s="1674" t="s">
        <v>2649</v>
      </c>
      <c r="L355" s="443" t="s">
        <v>1329</v>
      </c>
      <c r="M355" s="883" t="s">
        <v>684</v>
      </c>
      <c r="N355" s="84">
        <v>1</v>
      </c>
      <c r="O355" s="84">
        <f>IF(Personalización!$L$11=M355,1,0)+IF(Personalización!$N$11=M355,1,0)+IF(Personalización!$P$11=M355,1,0)</f>
        <v>0</v>
      </c>
      <c r="P355" s="1670">
        <v>2</v>
      </c>
      <c r="Q355" s="84">
        <f>IF(Personalización!$L$12=M355,1,0)+IF(Personalización!$N$12=M355,1,0)+IF(Personalización!$P$12=M355,1,0)</f>
        <v>0</v>
      </c>
      <c r="R355" s="1670">
        <v>1</v>
      </c>
      <c r="S355" s="84">
        <f>IF(Personalización!$L$13=M355,1,0)+IF(Personalización!$N$13=M355,1,0)+IF(Personalización!$P$13=M355,1,0)</f>
        <v>0</v>
      </c>
      <c r="T355" s="1670">
        <v>2</v>
      </c>
      <c r="U355" s="84">
        <f>IF(Personalización!$L$14=M355,1,0)+IF(Personalización!$N$14=M355,1,0)+IF(Personalización!$P$14=M355,1,0)</f>
        <v>0</v>
      </c>
      <c r="V355" s="1670">
        <v>3</v>
      </c>
      <c r="W355" s="512">
        <f>IF(Personalización!$L$15=M355,1,0)+IF(Personalización!$N$15=M355,1,0)+IF(Personalización!$P$15=M355,1,0)</f>
        <v>0</v>
      </c>
      <c r="X355" s="512">
        <f>10*Tablas!S355+20*Tablas!U355+30*Tablas!W355+5*VLOOKUP("Apr. innato (2): "&amp;L355,$E$298:$G$314,3,FALSE)+10*VLOOKUP("Apr. innato (3): "&amp;L355,$E$298:$G$314,3,FALSE)</f>
        <v>0</v>
      </c>
      <c r="AB355" s="3187" t="str">
        <f t="shared" si="71"/>
        <v>Tamaño no natural +1</v>
      </c>
      <c r="AC355" s="3188">
        <f t="shared" si="70"/>
        <v>72</v>
      </c>
      <c r="AD355" s="2731" t="s">
        <v>2273</v>
      </c>
      <c r="AE355" s="3189">
        <v>1</v>
      </c>
      <c r="AF355" s="3189">
        <f>COUNTIF(Principal!$C$35:$J$47,AD355)+COUNTIF(Principal!$C$48:$F$49,AD355)</f>
        <v>0</v>
      </c>
      <c r="AG355" s="3190">
        <f t="shared" si="72"/>
        <v>0</v>
      </c>
      <c r="AH355" s="3215">
        <v>2</v>
      </c>
      <c r="AI355" s="3194" t="s">
        <v>2649</v>
      </c>
      <c r="AJ355"/>
    </row>
    <row r="356" spans="1:36" ht="12.75" customHeight="1">
      <c r="A356" s="219">
        <v>356</v>
      </c>
      <c r="B356" s="7145"/>
      <c r="C356" s="1673" t="str">
        <f t="shared" si="68"/>
        <v>Reflejos rápidos (1)</v>
      </c>
      <c r="D356" s="787">
        <f t="shared" si="67"/>
        <v>38</v>
      </c>
      <c r="E356" s="47" t="s">
        <v>2162</v>
      </c>
      <c r="F356" s="1669">
        <v>3</v>
      </c>
      <c r="G356" s="1669">
        <f>COUNTIF(Principal!$C$35:$J$47,Tablas!E356)+COUNTIF(Principal!$C$48:$F$49,Tablas!E356)</f>
        <v>0</v>
      </c>
      <c r="H356" s="1670">
        <f>G356*F356</f>
        <v>0</v>
      </c>
      <c r="I356" s="792"/>
      <c r="J356" s="1674" t="s">
        <v>2649</v>
      </c>
      <c r="L356" s="443" t="s">
        <v>1329</v>
      </c>
      <c r="M356" s="883" t="s">
        <v>1333</v>
      </c>
      <c r="N356" s="84">
        <v>1</v>
      </c>
      <c r="O356" s="84">
        <f>IF(Personalización!$L$11=M356,1,0)+IF(Personalización!$N$11=M356,1,0)+IF(Personalización!$P$11=M356,1,0)</f>
        <v>0</v>
      </c>
      <c r="P356" s="1670">
        <v>2</v>
      </c>
      <c r="Q356" s="84">
        <f>IF(Personalización!$L$12=M356,1,0)+IF(Personalización!$N$12=M356,1,0)+IF(Personalización!$P$12=M356,1,0)</f>
        <v>0</v>
      </c>
      <c r="R356" s="1670">
        <v>1</v>
      </c>
      <c r="S356" s="84">
        <f>IF(Personalización!$L$13=M356,1,0)+IF(Personalización!$N$13=M356,1,0)+IF(Personalización!$P$13=M356,1,0)</f>
        <v>0</v>
      </c>
      <c r="T356" s="1670">
        <v>2</v>
      </c>
      <c r="U356" s="84">
        <f>IF(Personalización!$L$14=M356,1,0)+IF(Personalización!$N$14=M356,1,0)+IF(Personalización!$P$14=M356,1,0)</f>
        <v>0</v>
      </c>
      <c r="V356" s="1670">
        <v>3</v>
      </c>
      <c r="W356" s="512">
        <f>IF(Personalización!$L$15=M356,1,0)+IF(Personalización!$N$15=M356,1,0)+IF(Personalización!$P$15=M356,1,0)</f>
        <v>0</v>
      </c>
      <c r="X356" s="512">
        <f>10*Tablas!S356+20*Tablas!U356+30*Tablas!W356+5*VLOOKUP("Apr. innato (2): "&amp;L356,$E$298:$G$314,3,FALSE)+10*VLOOKUP("Apr. innato (3): "&amp;L356,$E$298:$G$314,3,FALSE)</f>
        <v>0</v>
      </c>
      <c r="AB356" s="3187" t="str">
        <f t="shared" si="71"/>
        <v>Tamaño no natural +2</v>
      </c>
      <c r="AC356" s="3188">
        <f t="shared" si="70"/>
        <v>84</v>
      </c>
      <c r="AD356" s="2731" t="s">
        <v>2274</v>
      </c>
      <c r="AE356" s="3189">
        <v>1</v>
      </c>
      <c r="AF356" s="3189">
        <f>COUNTIF(Principal!$C$35:$J$47,AD356)+COUNTIF(Principal!$C$48:$F$49,AD356)</f>
        <v>0</v>
      </c>
      <c r="AG356" s="3190">
        <f t="shared" si="72"/>
        <v>0</v>
      </c>
      <c r="AH356" s="3215"/>
      <c r="AI356" s="3194" t="s">
        <v>2649</v>
      </c>
      <c r="AJ356"/>
    </row>
    <row r="357" spans="1:36" ht="12.75" customHeight="1">
      <c r="A357" s="219">
        <v>357</v>
      </c>
      <c r="B357" s="7145"/>
      <c r="C357" s="1673" t="str">
        <f t="shared" si="68"/>
        <v>Reflejos rápidos (2)</v>
      </c>
      <c r="D357" s="787">
        <f t="shared" si="67"/>
        <v>-3</v>
      </c>
      <c r="E357" s="47" t="str">
        <f>IF(Personalización!$G$34="Sí","Mutación (1)"," &gt; Mutación (1)")</f>
        <v xml:space="preserve"> &gt; Mutación (1)</v>
      </c>
      <c r="F357" s="1669">
        <v>1</v>
      </c>
      <c r="G357" s="1669">
        <f>COUNTIF(Principal!$C$35:$J$47,Tablas!E357)+COUNTIF(Principal!$C$48:$F$49,Tablas!E357)</f>
        <v>0</v>
      </c>
      <c r="H357" s="1670">
        <f>G357*F357</f>
        <v>0</v>
      </c>
      <c r="I357" s="792"/>
      <c r="J357" s="1674" t="s">
        <v>2649</v>
      </c>
      <c r="L357" s="443" t="s">
        <v>1329</v>
      </c>
      <c r="M357" s="883" t="s">
        <v>1335</v>
      </c>
      <c r="N357" s="84">
        <v>1</v>
      </c>
      <c r="O357" s="84">
        <f>IF(Personalización!$L$11=M357,1,0)+IF(Personalización!$N$11=M357,1,0)+IF(Personalización!$P$11=M357,1,0)</f>
        <v>0</v>
      </c>
      <c r="P357" s="1670">
        <v>2</v>
      </c>
      <c r="Q357" s="84">
        <f>IF(Personalización!$L$12=M357,1,0)+IF(Personalización!$N$12=M357,1,0)+IF(Personalización!$P$12=M357,1,0)</f>
        <v>0</v>
      </c>
      <c r="R357" s="1670">
        <v>1</v>
      </c>
      <c r="S357" s="84">
        <f>IF(Personalización!$L$13=M357,1,0)+IF(Personalización!$N$13=M357,1,0)+IF(Personalización!$P$13=M357,1,0)</f>
        <v>0</v>
      </c>
      <c r="T357" s="1670">
        <v>2</v>
      </c>
      <c r="U357" s="84">
        <f>IF(Personalización!$L$14=M357,1,0)+IF(Personalización!$N$14=M357,1,0)+IF(Personalización!$P$14=M357,1,0)</f>
        <v>0</v>
      </c>
      <c r="V357" s="1670">
        <v>3</v>
      </c>
      <c r="W357" s="512">
        <f>IF(Personalización!$L$15=M357,1,0)+IF(Personalización!$N$15=M357,1,0)+IF(Personalización!$P$15=M357,1,0)</f>
        <v>0</v>
      </c>
      <c r="X357" s="512">
        <f>10*Tablas!S357+20*Tablas!U357+30*Tablas!W357+5*VLOOKUP("Apr. innato (2): "&amp;L357,$E$298:$G$314,3,FALSE)+10*VLOOKUP("Apr. innato (3): "&amp;L357,$E$298:$G$314,3,FALSE)</f>
        <v>0</v>
      </c>
      <c r="AB357" s="3187" t="str">
        <f t="shared" si="71"/>
        <v>Tamaño no natural +3</v>
      </c>
      <c r="AC357" s="3188">
        <f t="shared" si="70"/>
        <v>107</v>
      </c>
      <c r="AD357" s="2731" t="s">
        <v>2275</v>
      </c>
      <c r="AE357" s="3189">
        <v>1</v>
      </c>
      <c r="AF357" s="3189">
        <f>COUNTIF(Principal!$C$35:$J$47,AD357)+COUNTIF(Principal!$C$48:$F$49,AD357)</f>
        <v>0</v>
      </c>
      <c r="AG357" s="3190">
        <f t="shared" si="72"/>
        <v>0</v>
      </c>
      <c r="AH357" s="3215"/>
      <c r="AI357" s="3194" t="s">
        <v>2649</v>
      </c>
      <c r="AJ357"/>
    </row>
    <row r="358" spans="1:36" ht="12.75" customHeight="1">
      <c r="A358" s="219">
        <v>358</v>
      </c>
      <c r="B358" s="7145"/>
      <c r="C358" s="1673" t="str">
        <f t="shared" si="68"/>
        <v>Reflejos rápidos (3)</v>
      </c>
      <c r="D358" s="787">
        <f t="shared" si="67"/>
        <v>-2</v>
      </c>
      <c r="E358" s="47" t="str">
        <f>IF(Personalización!$G$34="Sí","Mutación (2)"," &gt; Mutación (2)")</f>
        <v xml:space="preserve"> &gt; Mutación (2)</v>
      </c>
      <c r="F358" s="1669">
        <v>2</v>
      </c>
      <c r="G358" s="1669">
        <f>COUNTIF(Principal!$C$35:$J$47,Tablas!E358)+COUNTIF(Principal!$C$48:$F$49,Tablas!E358)</f>
        <v>0</v>
      </c>
      <c r="H358" s="1670">
        <f>G358*F358</f>
        <v>0</v>
      </c>
      <c r="I358" s="792"/>
      <c r="J358" s="1674" t="s">
        <v>2649</v>
      </c>
      <c r="L358" s="443" t="s">
        <v>1329</v>
      </c>
      <c r="M358" s="883" t="s">
        <v>5859</v>
      </c>
      <c r="N358" s="84">
        <v>1</v>
      </c>
      <c r="O358" s="84">
        <f>IF(Personalización!$L$11=M358,1,0)+IF(Personalización!$N$11=M358,1,0)+IF(Personalización!$P$11=M358,1,0)</f>
        <v>0</v>
      </c>
      <c r="P358" s="1670">
        <v>2</v>
      </c>
      <c r="Q358" s="84">
        <f>IF(Personalización!$L$12=M358,1,0)+IF(Personalización!$N$12=M358,1,0)+IF(Personalización!$P$12=M358,1,0)</f>
        <v>0</v>
      </c>
      <c r="R358" s="1670">
        <v>1</v>
      </c>
      <c r="S358" s="84">
        <f>IF(Personalización!$L$13=M358,1,0)+IF(Personalización!$N$13=M358,1,0)+IF(Personalización!$P$13=M358,1,0)</f>
        <v>0</v>
      </c>
      <c r="T358" s="1670">
        <v>2</v>
      </c>
      <c r="U358" s="84">
        <f>IF(Personalización!$L$14=M358,1,0)+IF(Personalización!$N$14=M358,1,0)+IF(Personalización!$P$14=M358,1,0)</f>
        <v>0</v>
      </c>
      <c r="V358" s="1670">
        <v>3</v>
      </c>
      <c r="W358" s="512">
        <f>IF(Personalización!$L$15=M358,1,0)+IF(Personalización!$N$15=M358,1,0)+IF(Personalización!$P$15=M358,1,0)</f>
        <v>0</v>
      </c>
      <c r="X358" s="512">
        <f>10*Tablas!S358+20*Tablas!U358+30*Tablas!W358+5*VLOOKUP("Apr. innato (2): "&amp;L358,$E$298:$G$314,3,FALSE)+10*VLOOKUP("Apr. innato (3): "&amp;L358,$E$298:$G$314,3,FALSE)</f>
        <v>0</v>
      </c>
      <c r="AB358" s="3187" t="str">
        <f t="shared" si="71"/>
        <v>Tamaño no natural +4</v>
      </c>
      <c r="AC358" s="3188">
        <f t="shared" si="70"/>
        <v>-7</v>
      </c>
      <c r="AD358" s="2731" t="s">
        <v>9555</v>
      </c>
      <c r="AE358" s="3189"/>
      <c r="AF358" s="3189"/>
      <c r="AG358" s="3190"/>
      <c r="AH358" s="3215"/>
      <c r="AI358" s="3194" t="s">
        <v>2649</v>
      </c>
      <c r="AJ358"/>
    </row>
    <row r="359" spans="1:36" ht="12.75" customHeight="1">
      <c r="A359" s="219">
        <v>359</v>
      </c>
      <c r="B359" s="7145"/>
      <c r="C359" s="1673" t="str">
        <f t="shared" ref="C359:C390" si="73">VLOOKUP(A97,$D$262:$E$409,2,0)</f>
        <v>Regeneración (1) básica</v>
      </c>
      <c r="D359" s="787">
        <f t="shared" si="67"/>
        <v>-1</v>
      </c>
      <c r="E359" s="47" t="str">
        <f>IF(Personalización!$G$34="Sí","Mutación (3)"," &gt; Mutación (3)")</f>
        <v xml:space="preserve"> &gt; Mutación (3)</v>
      </c>
      <c r="F359" s="1669">
        <v>3</v>
      </c>
      <c r="G359" s="1669">
        <f>COUNTIF(Principal!$C$35:$J$47,Tablas!E359)+COUNTIF(Principal!$C$48:$F$49,Tablas!E359)</f>
        <v>0</v>
      </c>
      <c r="H359" s="1670">
        <f>G359*F359</f>
        <v>0</v>
      </c>
      <c r="I359" s="792"/>
      <c r="J359" s="1674" t="s">
        <v>2649</v>
      </c>
      <c r="L359" s="443" t="s">
        <v>1329</v>
      </c>
      <c r="M359" s="883" t="s">
        <v>5860</v>
      </c>
      <c r="N359" s="84">
        <v>1</v>
      </c>
      <c r="O359" s="84">
        <f>IF(Personalización!$L$11=M359,1,0)+IF(Personalización!$N$11=M359,1,0)+IF(Personalización!$P$11=M359,1,0)</f>
        <v>0</v>
      </c>
      <c r="P359" s="1670">
        <v>2</v>
      </c>
      <c r="Q359" s="84">
        <f>IF(Personalización!$L$12=M359,1,0)+IF(Personalización!$N$12=M359,1,0)+IF(Personalización!$P$12=M359,1,0)</f>
        <v>0</v>
      </c>
      <c r="R359" s="1670">
        <v>1</v>
      </c>
      <c r="S359" s="84">
        <f>IF(Personalización!$L$13=M359,1,0)+IF(Personalización!$N$13=M359,1,0)+IF(Personalización!$P$13=M359,1,0)</f>
        <v>0</v>
      </c>
      <c r="T359" s="1670">
        <v>2</v>
      </c>
      <c r="U359" s="84">
        <f>IF(Personalización!$L$14=M359,1,0)+IF(Personalización!$N$14=M359,1,0)+IF(Personalización!$P$14=M359,1,0)</f>
        <v>0</v>
      </c>
      <c r="V359" s="1670">
        <v>3</v>
      </c>
      <c r="W359" s="512">
        <f>IF(Personalización!$L$15=M359,1,0)+IF(Personalización!$N$15=M359,1,0)+IF(Personalización!$P$15=M359,1,0)</f>
        <v>0</v>
      </c>
      <c r="X359" s="512">
        <f>10*Tablas!S359+20*Tablas!U359+30*Tablas!W359+5*VLOOKUP("Apr. innato (2): "&amp;L359,$E$298:$G$314,3,FALSE)+10*VLOOKUP("Apr. innato (3): "&amp;L359,$E$298:$G$314,3,FALSE)</f>
        <v>0</v>
      </c>
      <c r="AB359" s="3187" t="str">
        <f t="shared" si="71"/>
        <v>Tamaño no natural +5</v>
      </c>
      <c r="AC359" s="3188">
        <f t="shared" si="70"/>
        <v>16</v>
      </c>
      <c r="AD359" s="2731" t="s">
        <v>2290</v>
      </c>
      <c r="AE359" s="3189">
        <v>2</v>
      </c>
      <c r="AF359" s="3189">
        <f>COUNTIF(Principal!$C$35:$J$47,AD359)+COUNTIF(Principal!$C$48:$F$49,AD359)</f>
        <v>0</v>
      </c>
      <c r="AG359" s="3190">
        <f t="shared" ref="AG359:AG369" si="74">AF359*AE359</f>
        <v>0</v>
      </c>
      <c r="AH359" s="3215"/>
      <c r="AI359" s="3194" t="s">
        <v>2649</v>
      </c>
      <c r="AJ359"/>
    </row>
    <row r="360" spans="1:36" ht="12.75" customHeight="1">
      <c r="A360" s="219">
        <v>360</v>
      </c>
      <c r="B360" s="7145"/>
      <c r="C360" s="1673" t="str">
        <f t="shared" si="73"/>
        <v>Regeneración (2) avanzada</v>
      </c>
      <c r="D360" s="787">
        <f t="shared" si="67"/>
        <v>-5</v>
      </c>
      <c r="E360" s="47" t="s">
        <v>9554</v>
      </c>
      <c r="F360" s="1669"/>
      <c r="G360" s="1669"/>
      <c r="H360" s="1670"/>
      <c r="I360" s="792"/>
      <c r="J360" s="1674" t="s">
        <v>2649</v>
      </c>
      <c r="L360" s="443" t="s">
        <v>1329</v>
      </c>
      <c r="M360" s="883" t="s">
        <v>5861</v>
      </c>
      <c r="N360" s="84">
        <v>1</v>
      </c>
      <c r="O360" s="84">
        <f>IF(Personalización!$L$11=M360,1,0)+IF(Personalización!$N$11=M360,1,0)+IF(Personalización!$P$11=M360,1,0)</f>
        <v>0</v>
      </c>
      <c r="P360" s="1670">
        <v>2</v>
      </c>
      <c r="Q360" s="84">
        <f>IF(Personalización!$L$12=M360,1,0)+IF(Personalización!$N$12=M360,1,0)+IF(Personalización!$P$12=M360,1,0)</f>
        <v>0</v>
      </c>
      <c r="R360" s="1670">
        <v>1</v>
      </c>
      <c r="S360" s="84">
        <f>IF(Personalización!$L$13=M360,1,0)+IF(Personalización!$N$13=M360,1,0)+IF(Personalización!$P$13=M360,1,0)</f>
        <v>0</v>
      </c>
      <c r="T360" s="1670">
        <v>2</v>
      </c>
      <c r="U360" s="84">
        <f>IF(Personalización!$L$14=M360,1,0)+IF(Personalización!$N$14=M360,1,0)+IF(Personalización!$P$14=M360,1,0)</f>
        <v>0</v>
      </c>
      <c r="V360" s="1670">
        <v>3</v>
      </c>
      <c r="W360" s="512">
        <f>IF(Personalización!$L$15=M360,1,0)+IF(Personalización!$N$15=M360,1,0)+IF(Personalización!$P$15=M360,1,0)</f>
        <v>0</v>
      </c>
      <c r="X360" s="512">
        <f>10*Tablas!S360+20*Tablas!U360+30*Tablas!W360+5*VLOOKUP("Apr. innato (2): "&amp;L360,$E$298:$G$314,3,FALSE)+10*VLOOKUP("Apr. innato (3): "&amp;L360,$E$298:$G$314,3,FALSE)</f>
        <v>0</v>
      </c>
      <c r="AB360" s="3187" t="str">
        <f t="shared" si="71"/>
        <v>Tamaño no natural -1</v>
      </c>
      <c r="AC360" s="3188">
        <f t="shared" si="70"/>
        <v>42</v>
      </c>
      <c r="AD360" s="2731" t="s">
        <v>2291</v>
      </c>
      <c r="AE360" s="3189">
        <v>1</v>
      </c>
      <c r="AF360" s="3189">
        <f>COUNTIF(Principal!$C$35:$J$47,AD360)+COUNTIF(Principal!$C$48:$F$49,AD360)</f>
        <v>0</v>
      </c>
      <c r="AG360" s="3190">
        <f t="shared" si="74"/>
        <v>0</v>
      </c>
      <c r="AH360" s="3215"/>
      <c r="AI360" s="3194" t="s">
        <v>2649</v>
      </c>
      <c r="AJ360"/>
    </row>
    <row r="361" spans="1:36" ht="12.75" customHeight="1">
      <c r="A361" s="219">
        <v>361</v>
      </c>
      <c r="B361" s="7145"/>
      <c r="C361" s="1673" t="str">
        <f t="shared" si="73"/>
        <v>Regeneración (3) mayor</v>
      </c>
      <c r="D361" s="787">
        <f t="shared" si="67"/>
        <v>60</v>
      </c>
      <c r="E361" s="47" t="s">
        <v>2254</v>
      </c>
      <c r="F361" s="1669">
        <v>1</v>
      </c>
      <c r="G361" s="1669">
        <f>COUNTIF(Principal!$C$35:$J$47,Tablas!E361)+COUNTIF(Principal!$C$48:$F$49,Tablas!E361)</f>
        <v>0</v>
      </c>
      <c r="H361" s="1670">
        <f t="shared" ref="H361:H382" si="75">G361*F361</f>
        <v>0</v>
      </c>
      <c r="I361" s="792">
        <v>2</v>
      </c>
      <c r="J361" s="1674" t="s">
        <v>2649</v>
      </c>
      <c r="L361" s="443" t="s">
        <v>1329</v>
      </c>
      <c r="M361" s="883" t="s">
        <v>5862</v>
      </c>
      <c r="N361" s="84">
        <v>1</v>
      </c>
      <c r="O361" s="84">
        <f>IF(Personalización!$L$11=M361,1,0)+IF(Personalización!$N$11=M361,1,0)+IF(Personalización!$P$11=M361,1,0)</f>
        <v>0</v>
      </c>
      <c r="P361" s="1670">
        <v>2</v>
      </c>
      <c r="Q361" s="84">
        <f>IF(Personalización!$L$12=M361,1,0)+IF(Personalización!$N$12=M361,1,0)+IF(Personalización!$P$12=M361,1,0)</f>
        <v>0</v>
      </c>
      <c r="R361" s="1670">
        <v>1</v>
      </c>
      <c r="S361" s="84">
        <f>IF(Personalización!$L$13=M361,1,0)+IF(Personalización!$N$13=M361,1,0)+IF(Personalización!$P$13=M361,1,0)</f>
        <v>0</v>
      </c>
      <c r="T361" s="1670">
        <v>2</v>
      </c>
      <c r="U361" s="84">
        <f>IF(Personalización!$L$14=M361,1,0)+IF(Personalización!$N$14=M361,1,0)+IF(Personalización!$P$14=M361,1,0)</f>
        <v>0</v>
      </c>
      <c r="V361" s="1670">
        <v>3</v>
      </c>
      <c r="W361" s="512">
        <f>IF(Personalización!$L$15=M361,1,0)+IF(Personalización!$N$15=M361,1,0)+IF(Personalización!$P$15=M361,1,0)</f>
        <v>0</v>
      </c>
      <c r="X361" s="512">
        <f>10*Tablas!S361+20*Tablas!U361+30*Tablas!W361+5*VLOOKUP("Apr. innato (2): "&amp;L361,$E$298:$G$314,3,FALSE)+10*VLOOKUP("Apr. innato (3): "&amp;L361,$E$298:$G$314,3,FALSE)</f>
        <v>0</v>
      </c>
      <c r="AB361" s="3187" t="str">
        <f t="shared" si="71"/>
        <v>Tamaño no natural -2</v>
      </c>
      <c r="AC361" s="3188">
        <f t="shared" si="70"/>
        <v>83</v>
      </c>
      <c r="AD361" s="2731" t="s">
        <v>2292</v>
      </c>
      <c r="AE361" s="3189">
        <v>1</v>
      </c>
      <c r="AF361" s="3189">
        <f>COUNTIF(Principal!$C$35:$J$47,AD361)+COUNTIF(Principal!$C$48:$F$49,AD361)</f>
        <v>0</v>
      </c>
      <c r="AG361" s="3190">
        <f t="shared" si="74"/>
        <v>0</v>
      </c>
      <c r="AH361" s="3215">
        <v>1</v>
      </c>
      <c r="AI361" s="3194" t="s">
        <v>2649</v>
      </c>
      <c r="AJ361"/>
    </row>
    <row r="362" spans="1:36" ht="12.75" customHeight="1">
      <c r="A362" s="219">
        <v>362</v>
      </c>
      <c r="B362" s="7145"/>
      <c r="C362" s="1673" t="str">
        <f t="shared" si="73"/>
        <v>Repetir tirada de características</v>
      </c>
      <c r="D362" s="787">
        <f t="shared" si="67"/>
        <v>61</v>
      </c>
      <c r="E362" s="47" t="s">
        <v>2255</v>
      </c>
      <c r="F362" s="1669">
        <v>2</v>
      </c>
      <c r="G362" s="1669">
        <f>COUNTIF(Principal!$C$35:$J$47,Tablas!E362)+COUNTIF(Principal!$C$48:$F$49,Tablas!E362)</f>
        <v>0</v>
      </c>
      <c r="H362" s="1670">
        <f t="shared" si="75"/>
        <v>0</v>
      </c>
      <c r="I362" s="792">
        <v>2</v>
      </c>
      <c r="J362" s="1674" t="s">
        <v>2649</v>
      </c>
      <c r="L362" s="443" t="e">
        <f>VLOOKUP(PDs!D196,PDs!AH197:AI203,2,FALSE)</f>
        <v>#N/A</v>
      </c>
      <c r="M362" s="883" t="str">
        <f>IF(PDs!E196=0,"#1",PDs!E196)</f>
        <v>#1</v>
      </c>
      <c r="N362" s="84">
        <v>1</v>
      </c>
      <c r="O362" s="84">
        <f>IF(Personalización!$L$11=M362,1,0)+IF(Personalización!$N$11=M362,1,0)+IF(Personalización!$P$11=M362,1,0)</f>
        <v>0</v>
      </c>
      <c r="P362" s="1670">
        <v>2</v>
      </c>
      <c r="Q362" s="84">
        <f>IF(Personalización!$L$12=M362,1,0)+IF(Personalización!$N$12=M362,1,0)+IF(Personalización!$P$12=M362,1,0)</f>
        <v>0</v>
      </c>
      <c r="R362" s="1670">
        <v>1</v>
      </c>
      <c r="S362" s="84">
        <f>IF(Personalización!$L$13=M362,1,0)+IF(Personalización!$N$13=M362,1,0)+IF(Personalización!$P$13=M362,1,0)</f>
        <v>0</v>
      </c>
      <c r="T362" s="1670">
        <v>2</v>
      </c>
      <c r="U362" s="84">
        <f>IF(Personalización!$L$14=M362,1,0)+IF(Personalización!$N$14=M362,1,0)+IF(Personalización!$P$14=M362,1,0)</f>
        <v>0</v>
      </c>
      <c r="V362" s="1670">
        <v>3</v>
      </c>
      <c r="W362" s="512">
        <f>IF(Personalización!$L$15=M362,1,0)+IF(Personalización!$N$15=M362,1,0)+IF(Personalización!$P$15=M362,1,0)</f>
        <v>0</v>
      </c>
      <c r="X362" s="512">
        <f>10*Tablas!S362+20*Tablas!U362+30*Tablas!W362+IF(ISNA(L362),0,5*VLOOKUP("Apr. innato (2): "&amp;L362,$E$298:$G$314,3,FALSE)+10*VLOOKUP("Apr. innato (3): "&amp;L362,$E$298:$G$314,3,FALSE))</f>
        <v>0</v>
      </c>
      <c r="AB362" s="3187" t="str">
        <f t="shared" si="71"/>
        <v>Tamaño no natural -3</v>
      </c>
      <c r="AC362" s="3188">
        <f t="shared" si="70"/>
        <v>90</v>
      </c>
      <c r="AD362" s="2731" t="s">
        <v>2293</v>
      </c>
      <c r="AE362" s="3189">
        <v>1</v>
      </c>
      <c r="AF362" s="3189">
        <f>COUNTIF(Principal!$C$35:$J$47,AD362)+COUNTIF(Principal!$C$48:$F$49,AD362)</f>
        <v>0</v>
      </c>
      <c r="AG362" s="3190">
        <f t="shared" si="74"/>
        <v>0</v>
      </c>
      <c r="AH362" s="3215">
        <v>1</v>
      </c>
      <c r="AI362" s="3194" t="s">
        <v>2649</v>
      </c>
      <c r="AJ362"/>
    </row>
    <row r="363" spans="1:36" ht="12.75" customHeight="1">
      <c r="A363" s="219">
        <v>363</v>
      </c>
      <c r="B363" s="7145"/>
      <c r="C363" s="1673" t="str">
        <f t="shared" si="73"/>
        <v>Res. física excepcional (1)</v>
      </c>
      <c r="D363" s="787">
        <f t="shared" si="67"/>
        <v>62</v>
      </c>
      <c r="E363" s="47" t="s">
        <v>2256</v>
      </c>
      <c r="F363" s="1669">
        <v>3</v>
      </c>
      <c r="G363" s="1669">
        <f>COUNTIF(Principal!$C$35:$J$47,Tablas!E363)+COUNTIF(Principal!$C$48:$F$49,Tablas!E363)</f>
        <v>0</v>
      </c>
      <c r="H363" s="1670">
        <f t="shared" si="75"/>
        <v>0</v>
      </c>
      <c r="I363" s="792">
        <v>2</v>
      </c>
      <c r="J363" s="1674" t="s">
        <v>2649</v>
      </c>
      <c r="L363" s="443" t="e">
        <f>VLOOKUP(PDs!D197,PDs!AH198:AI203,2,FALSE)</f>
        <v>#N/A</v>
      </c>
      <c r="M363" s="883" t="str">
        <f>IF(PDs!E197=0,"#2",PDs!E197)</f>
        <v>#2</v>
      </c>
      <c r="N363" s="84">
        <v>1</v>
      </c>
      <c r="O363" s="84">
        <f>IF(Personalización!$L$11=M363,1,0)+IF(Personalización!$N$11=M363,1,0)+IF(Personalización!$P$11=M363,1,0)</f>
        <v>0</v>
      </c>
      <c r="P363" s="1670">
        <v>2</v>
      </c>
      <c r="Q363" s="84">
        <f>IF(Personalización!$L$12=M363,1,0)+IF(Personalización!$N$12=M363,1,0)+IF(Personalización!$P$12=M363,1,0)</f>
        <v>0</v>
      </c>
      <c r="R363" s="1670">
        <v>1</v>
      </c>
      <c r="S363" s="84">
        <f>IF(Personalización!$L$13=M363,1,0)+IF(Personalización!$N$13=M363,1,0)+IF(Personalización!$P$13=M363,1,0)</f>
        <v>0</v>
      </c>
      <c r="T363" s="1670">
        <v>2</v>
      </c>
      <c r="U363" s="84">
        <f>IF(Personalización!$L$14=M363,1,0)+IF(Personalización!$N$14=M363,1,0)+IF(Personalización!$P$14=M363,1,0)</f>
        <v>0</v>
      </c>
      <c r="V363" s="1670">
        <v>3</v>
      </c>
      <c r="W363" s="512">
        <f>IF(Personalización!$L$15=M363,1,0)+IF(Personalización!$N$15=M363,1,0)+IF(Personalización!$P$15=M363,1,0)</f>
        <v>0</v>
      </c>
      <c r="X363" s="512">
        <f>10*Tablas!S363+20*Tablas!U363+30*Tablas!W363+IF(ISNA(L363),0,5*VLOOKUP("Apr. innato (2): "&amp;L363,$E$298:$G$314,3,FALSE)+10*VLOOKUP("Apr. innato (3): "&amp;L363,$E$298:$G$314,3,FALSE))</f>
        <v>0</v>
      </c>
      <c r="AB363" s="3187" t="str">
        <f t="shared" si="71"/>
        <v>Tamaño no natural -4</v>
      </c>
      <c r="AC363" s="3188">
        <f t="shared" si="70"/>
        <v>128</v>
      </c>
      <c r="AD363" s="2731" t="s">
        <v>2294</v>
      </c>
      <c r="AE363" s="3189">
        <v>1</v>
      </c>
      <c r="AF363" s="3189">
        <f>COUNTIF(Principal!$C$35:$J$47,AD363)+COUNTIF(Principal!$C$48:$F$49,AD363)</f>
        <v>0</v>
      </c>
      <c r="AG363" s="3190">
        <f t="shared" si="74"/>
        <v>0</v>
      </c>
      <c r="AH363" s="3215"/>
      <c r="AI363" s="3194" t="s">
        <v>2649</v>
      </c>
      <c r="AJ363"/>
    </row>
    <row r="364" spans="1:36" ht="12.75" customHeight="1">
      <c r="A364" s="219">
        <v>364</v>
      </c>
      <c r="B364" s="7145"/>
      <c r="C364" s="1673" t="str">
        <f t="shared" si="73"/>
        <v>Res. física excepcional (2)</v>
      </c>
      <c r="D364" s="787">
        <f t="shared" si="67"/>
        <v>20</v>
      </c>
      <c r="E364" s="47" t="s">
        <v>2257</v>
      </c>
      <c r="F364" s="1669">
        <v>1</v>
      </c>
      <c r="G364" s="1669">
        <f>COUNTIF(Principal!$C$35:$J$47,Tablas!E364)+COUNTIF(Principal!$C$48:$F$49,Tablas!E364)</f>
        <v>0</v>
      </c>
      <c r="H364" s="1670">
        <f t="shared" si="75"/>
        <v>0</v>
      </c>
      <c r="I364" s="792"/>
      <c r="J364" s="1674" t="s">
        <v>2649</v>
      </c>
      <c r="L364" s="443" t="e">
        <f>VLOOKUP(PDs!D198,PDs!AH199:AI204,2,FALSE)</f>
        <v>#N/A</v>
      </c>
      <c r="M364" s="883" t="str">
        <f>IF(PDs!E198=0,"#3",PDs!E198)</f>
        <v>#3</v>
      </c>
      <c r="N364" s="84">
        <v>1</v>
      </c>
      <c r="O364" s="84">
        <f>IF(Personalización!$L$11=M364,1,0)+IF(Personalización!$N$11=M364,1,0)+IF(Personalización!$P$11=M364,1,0)</f>
        <v>0</v>
      </c>
      <c r="P364" s="1670">
        <v>2</v>
      </c>
      <c r="Q364" s="84">
        <f>IF(Personalización!$L$12=M364,1,0)+IF(Personalización!$N$12=M364,1,0)+IF(Personalización!$P$12=M364,1,0)</f>
        <v>0</v>
      </c>
      <c r="R364" s="1670">
        <v>1</v>
      </c>
      <c r="S364" s="84">
        <f>IF(Personalización!$L$13=M364,1,0)+IF(Personalización!$N$13=M364,1,0)+IF(Personalización!$P$13=M364,1,0)</f>
        <v>0</v>
      </c>
      <c r="T364" s="1670">
        <v>2</v>
      </c>
      <c r="U364" s="84">
        <f>IF(Personalización!$L$14=M364,1,0)+IF(Personalización!$N$14=M364,1,0)+IF(Personalización!$P$14=M364,1,0)</f>
        <v>0</v>
      </c>
      <c r="V364" s="1670">
        <v>3</v>
      </c>
      <c r="W364" s="512">
        <f>IF(Personalización!$L$15=M364,1,0)+IF(Personalización!$N$15=M364,1,0)+IF(Personalización!$P$15=M364,1,0)</f>
        <v>0</v>
      </c>
      <c r="X364" s="512">
        <f>10*Tablas!S364+20*Tablas!U364+30*Tablas!W364+IF(ISNA(L364),0,5*VLOOKUP("Apr. innato (2): "&amp;L364,$E$298:$G$314,3,FALSE)+10*VLOOKUP("Apr. innato (3): "&amp;L364,$E$298:$G$314,3,FALSE))</f>
        <v>0</v>
      </c>
      <c r="AB364" s="3187" t="str">
        <f t="shared" si="71"/>
        <v>Tamaño no natural -5</v>
      </c>
      <c r="AC364" s="3188">
        <f t="shared" si="70"/>
        <v>9</v>
      </c>
      <c r="AD364" s="2731" t="s">
        <v>2295</v>
      </c>
      <c r="AE364" s="3189">
        <v>1</v>
      </c>
      <c r="AF364" s="3189">
        <f>COUNTIF(Principal!$C$35:$J$47,AD364)+COUNTIF(Principal!$C$48:$F$49,AD364)</f>
        <v>0</v>
      </c>
      <c r="AG364" s="3190">
        <f t="shared" si="74"/>
        <v>0</v>
      </c>
      <c r="AH364" s="3215"/>
      <c r="AI364" s="3194" t="s">
        <v>2649</v>
      </c>
      <c r="AJ364"/>
    </row>
    <row r="365" spans="1:36" ht="12.75" customHeight="1">
      <c r="A365" s="219">
        <v>365</v>
      </c>
      <c r="B365" s="7145"/>
      <c r="C365" s="1673" t="str">
        <f t="shared" si="73"/>
        <v>Res. mágica excepcional (1)</v>
      </c>
      <c r="D365" s="787">
        <f t="shared" si="67"/>
        <v>78</v>
      </c>
      <c r="E365" s="47" t="s">
        <v>2258</v>
      </c>
      <c r="F365" s="1669">
        <v>1</v>
      </c>
      <c r="G365" s="1669">
        <f>COUNTIF(Principal!$C$35:$J$47,Tablas!E365)+COUNTIF(Principal!$C$48:$F$49,Tablas!E365)</f>
        <v>0</v>
      </c>
      <c r="H365" s="1670">
        <f t="shared" si="75"/>
        <v>0</v>
      </c>
      <c r="I365" s="792"/>
      <c r="J365" s="1674" t="s">
        <v>2649</v>
      </c>
      <c r="L365" s="443" t="e">
        <f>VLOOKUP(PDs!D199,PDs!AH200:AI205,2,FALSE)</f>
        <v>#N/A</v>
      </c>
      <c r="M365" s="883" t="str">
        <f>IF(PDs!E199=0,"#4",PDs!E199)</f>
        <v>#4</v>
      </c>
      <c r="N365" s="84">
        <v>1</v>
      </c>
      <c r="O365" s="84">
        <f>IF(Personalización!$L$11=M365,1,0)+IF(Personalización!$N$11=M365,1,0)+IF(Personalización!$P$11=M365,1,0)</f>
        <v>0</v>
      </c>
      <c r="P365" s="1670">
        <v>2</v>
      </c>
      <c r="Q365" s="84">
        <f>IF(Personalización!$L$12=M365,1,0)+IF(Personalización!$N$12=M365,1,0)+IF(Personalización!$P$12=M365,1,0)</f>
        <v>0</v>
      </c>
      <c r="R365" s="1670">
        <v>1</v>
      </c>
      <c r="S365" s="84">
        <f>IF(Personalización!$L$13=M365,1,0)+IF(Personalización!$N$13=M365,1,0)+IF(Personalización!$P$13=M365,1,0)</f>
        <v>0</v>
      </c>
      <c r="T365" s="1670">
        <v>2</v>
      </c>
      <c r="U365" s="84">
        <f>IF(Personalización!$L$14=M365,1,0)+IF(Personalización!$N$14=M365,1,0)+IF(Personalización!$P$14=M365,1,0)</f>
        <v>0</v>
      </c>
      <c r="V365" s="1670">
        <v>3</v>
      </c>
      <c r="W365" s="512">
        <f>IF(Personalización!$L$15=M365,1,0)+IF(Personalización!$N$15=M365,1,0)+IF(Personalización!$P$15=M365,1,0)</f>
        <v>0</v>
      </c>
      <c r="X365" s="512">
        <f>10*Tablas!S365+20*Tablas!U365+30*Tablas!W365+IF(ISNA(L365),0,5*VLOOKUP("Apr. innato (2): "&amp;L365,$E$298:$G$314,3,FALSE)+10*VLOOKUP("Apr. innato (3): "&amp;L365,$E$298:$G$314,3,FALSE))</f>
        <v>0</v>
      </c>
      <c r="AB365" s="3187" t="str">
        <f t="shared" si="71"/>
        <v>Técnicas desvinculadas</v>
      </c>
      <c r="AC365" s="3188">
        <f t="shared" ref="AC365:AC379" si="76">COUNTIF($AD$236:$AD$379,"&lt;="&amp;AD365)-COUNTIF($AD$236:$AD$379,"*&gt;*")</f>
        <v>10</v>
      </c>
      <c r="AD365" s="2731" t="s">
        <v>2296</v>
      </c>
      <c r="AE365" s="3189">
        <v>2</v>
      </c>
      <c r="AF365" s="3189">
        <f>COUNTIF(Principal!$C$35:$J$47,AD365)+COUNTIF(Principal!$C$48:$F$49,AD365)</f>
        <v>0</v>
      </c>
      <c r="AG365" s="3190">
        <f t="shared" si="74"/>
        <v>0</v>
      </c>
      <c r="AH365" s="3215"/>
      <c r="AI365" s="3194" t="s">
        <v>2649</v>
      </c>
      <c r="AJ365"/>
    </row>
    <row r="366" spans="1:36" ht="12.75" customHeight="1" thickBot="1">
      <c r="A366" s="219">
        <v>366</v>
      </c>
      <c r="B366" s="7145"/>
      <c r="C366" s="1673" t="str">
        <f t="shared" si="73"/>
        <v>Res. mágica excepcional (2)</v>
      </c>
      <c r="D366" s="787">
        <f t="shared" si="67"/>
        <v>79</v>
      </c>
      <c r="E366" s="47" t="s">
        <v>2259</v>
      </c>
      <c r="F366" s="1669">
        <v>2</v>
      </c>
      <c r="G366" s="1669">
        <f>COUNTIF(Principal!$C$35:$J$47,Tablas!E366)+COUNTIF(Principal!$C$48:$F$49,Tablas!E366)</f>
        <v>0</v>
      </c>
      <c r="H366" s="1670">
        <f t="shared" si="75"/>
        <v>0</v>
      </c>
      <c r="I366" s="792"/>
      <c r="J366" s="1674" t="s">
        <v>2649</v>
      </c>
      <c r="L366" s="445" t="e">
        <f>VLOOKUP(PDs!D200,PDs!AH201:AI206,2,FALSE)</f>
        <v>#N/A</v>
      </c>
      <c r="M366" s="885" t="str">
        <f>IF(PDs!E200=0,"#5",PDs!E200)</f>
        <v>#5</v>
      </c>
      <c r="N366" s="446">
        <v>1</v>
      </c>
      <c r="O366" s="446">
        <f>IF(Personalización!$L$11=M366,1,0)+IF(Personalización!$N$11=M366,1,0)+IF(Personalización!$P$11=M366,1,0)</f>
        <v>0</v>
      </c>
      <c r="P366" s="1914">
        <v>2</v>
      </c>
      <c r="Q366" s="446">
        <f>IF(Personalización!$L$12=M366,1,0)+IF(Personalización!$N$12=M366,1,0)+IF(Personalización!$P$12=M366,1,0)</f>
        <v>0</v>
      </c>
      <c r="R366" s="1914">
        <v>1</v>
      </c>
      <c r="S366" s="446">
        <f>IF(Personalización!$L$13=M366,1,0)+IF(Personalización!$N$13=M366,1,0)+IF(Personalización!$P$13=M366,1,0)</f>
        <v>0</v>
      </c>
      <c r="T366" s="1914">
        <v>2</v>
      </c>
      <c r="U366" s="446">
        <f>IF(Personalización!$L$14=M366,1,0)+IF(Personalización!$N$14=M366,1,0)+IF(Personalización!$P$14=M366,1,0)</f>
        <v>0</v>
      </c>
      <c r="V366" s="1914">
        <v>3</v>
      </c>
      <c r="W366" s="514">
        <f>IF(Personalización!$L$15=M366,1,0)+IF(Personalización!$N$15=M366,1,0)+IF(Personalización!$P$15=M366,1,0)</f>
        <v>0</v>
      </c>
      <c r="X366" s="514">
        <f>10*Tablas!S366+20*Tablas!U366+30*Tablas!W366+IF(ISNA(L366),0,5*VLOOKUP("Apr. innato (2): "&amp;L366,$E$298:$G$314,3,FALSE)+10*VLOOKUP("Apr. innato (3): "&amp;L366,$E$298:$G$314,3,FALSE))</f>
        <v>0</v>
      </c>
      <c r="AB366" s="3187" t="str">
        <f t="shared" ref="AB366:AB384" si="77">VLOOKUP(A129,$AC$237:$AD$384,2,0)</f>
        <v>Tocado por el Destino</v>
      </c>
      <c r="AC366" s="3188">
        <f t="shared" si="76"/>
        <v>89</v>
      </c>
      <c r="AD366" s="2731" t="s">
        <v>2297</v>
      </c>
      <c r="AE366" s="3189">
        <v>1</v>
      </c>
      <c r="AF366" s="3189">
        <f>COUNTIF(Principal!$C$35:$J$47,AD366)+COUNTIF(Principal!$C$48:$F$49,AD366)</f>
        <v>0</v>
      </c>
      <c r="AG366" s="3190">
        <f t="shared" si="74"/>
        <v>0</v>
      </c>
      <c r="AH366" s="3215">
        <v>1</v>
      </c>
      <c r="AI366" s="3194" t="s">
        <v>2649</v>
      </c>
      <c r="AJ366"/>
    </row>
    <row r="367" spans="1:36" ht="12.75" customHeight="1">
      <c r="A367" s="219">
        <v>367</v>
      </c>
      <c r="B367" s="7145"/>
      <c r="C367" s="1673" t="str">
        <f t="shared" si="73"/>
        <v>Res. psi. excepcional (1)</v>
      </c>
      <c r="D367" s="787">
        <f t="shared" si="67"/>
        <v>80</v>
      </c>
      <c r="E367" s="47" t="s">
        <v>2260</v>
      </c>
      <c r="F367" s="1669">
        <v>3</v>
      </c>
      <c r="G367" s="1669">
        <f>COUNTIF(Principal!$C$35:$J$47,Tablas!E367)+COUNTIF(Principal!$C$48:$F$49,Tablas!E367)</f>
        <v>0</v>
      </c>
      <c r="H367" s="1670">
        <f t="shared" si="75"/>
        <v>0</v>
      </c>
      <c r="I367" s="792"/>
      <c r="J367" s="1674" t="s">
        <v>2649</v>
      </c>
      <c r="N367"/>
      <c r="AB367" s="3187" t="str">
        <f t="shared" si="77"/>
        <v>Uso de armadura (1)</v>
      </c>
      <c r="AC367" s="3188">
        <f t="shared" si="76"/>
        <v>85</v>
      </c>
      <c r="AD367" s="2731" t="s">
        <v>2298</v>
      </c>
      <c r="AE367" s="3189">
        <v>1</v>
      </c>
      <c r="AF367" s="3189">
        <f>COUNTIF(Principal!$C$35:$J$47,AD367)+COUNTIF(Principal!$C$48:$F$49,AD367)</f>
        <v>0</v>
      </c>
      <c r="AG367" s="3190">
        <f t="shared" si="74"/>
        <v>0</v>
      </c>
      <c r="AH367" s="3215">
        <v>1</v>
      </c>
      <c r="AI367" s="3194" t="s">
        <v>2649</v>
      </c>
      <c r="AJ367"/>
    </row>
    <row r="368" spans="1:36" ht="12.75" customHeight="1">
      <c r="A368" s="219">
        <v>368</v>
      </c>
      <c r="B368" s="7145"/>
      <c r="C368" s="1673" t="str">
        <f t="shared" si="73"/>
        <v>Res. psi. excepcional (2)</v>
      </c>
      <c r="D368" s="787">
        <f t="shared" si="67"/>
        <v>114</v>
      </c>
      <c r="E368" s="47" t="s">
        <v>2261</v>
      </c>
      <c r="F368" s="1669">
        <v>2</v>
      </c>
      <c r="G368" s="1669">
        <f>COUNTIF(Principal!$C$35:$J$47,Tablas!E368)+COUNTIF(Principal!$C$48:$F$49,Tablas!E368)</f>
        <v>0</v>
      </c>
      <c r="H368" s="1670">
        <f t="shared" si="75"/>
        <v>0</v>
      </c>
      <c r="I368" s="792"/>
      <c r="J368" s="1674" t="s">
        <v>2649</v>
      </c>
      <c r="N368"/>
      <c r="AB368" s="3187" t="str">
        <f t="shared" si="77"/>
        <v>Uso de armadura (2)</v>
      </c>
      <c r="AC368" s="3188">
        <f t="shared" si="76"/>
        <v>82</v>
      </c>
      <c r="AD368" s="2731" t="s">
        <v>2299</v>
      </c>
      <c r="AE368" s="3189">
        <v>1</v>
      </c>
      <c r="AF368" s="3189">
        <f>COUNTIF(Principal!$C$35:$J$47,AD368)+COUNTIF(Principal!$C$48:$F$49,AD368)</f>
        <v>0</v>
      </c>
      <c r="AG368" s="3190">
        <f t="shared" si="74"/>
        <v>0</v>
      </c>
      <c r="AH368" s="3215"/>
      <c r="AI368" s="3194" t="s">
        <v>2649</v>
      </c>
      <c r="AJ368"/>
    </row>
    <row r="369" spans="1:36" ht="12.75" customHeight="1">
      <c r="A369" s="219">
        <v>369</v>
      </c>
      <c r="B369" s="7145"/>
      <c r="C369" s="1673" t="str">
        <f t="shared" si="73"/>
        <v>Seductor</v>
      </c>
      <c r="D369" s="787">
        <f t="shared" si="67"/>
        <v>109</v>
      </c>
      <c r="E369" s="47" t="s">
        <v>2262</v>
      </c>
      <c r="F369" s="1669">
        <v>3</v>
      </c>
      <c r="G369" s="1669">
        <f>COUNTIF(Principal!$C$35:$J$47,Tablas!E369)+COUNTIF(Principal!$C$48:$F$49,Tablas!E369)</f>
        <v>0</v>
      </c>
      <c r="H369" s="1670">
        <f t="shared" si="75"/>
        <v>0</v>
      </c>
      <c r="I369" s="792">
        <v>1</v>
      </c>
      <c r="J369" s="1674" t="s">
        <v>2649</v>
      </c>
      <c r="N369"/>
      <c r="AB369" s="3187" t="str">
        <f t="shared" si="77"/>
        <v>Uso de armadura (3)</v>
      </c>
      <c r="AC369" s="3188">
        <f t="shared" si="76"/>
        <v>108</v>
      </c>
      <c r="AD369" s="2731" t="s">
        <v>2300</v>
      </c>
      <c r="AE369" s="3189">
        <v>1</v>
      </c>
      <c r="AF369" s="3189">
        <f>COUNTIF(Principal!$C$35:$J$47,AD369)+COUNTIF(Principal!$C$48:$F$49,AD369)</f>
        <v>0</v>
      </c>
      <c r="AG369" s="3190">
        <f t="shared" si="74"/>
        <v>0</v>
      </c>
      <c r="AH369" s="3215"/>
      <c r="AI369" s="3194" t="s">
        <v>2649</v>
      </c>
      <c r="AJ369"/>
    </row>
    <row r="370" spans="1:36" ht="12.75" customHeight="1">
      <c r="A370" s="219">
        <v>370</v>
      </c>
      <c r="B370" s="7145"/>
      <c r="C370" s="1673" t="str">
        <f t="shared" si="73"/>
        <v>Sellos magistrales</v>
      </c>
      <c r="D370" s="787">
        <f t="shared" si="67"/>
        <v>111</v>
      </c>
      <c r="E370" s="47" t="s">
        <v>2263</v>
      </c>
      <c r="F370" s="1669">
        <v>3</v>
      </c>
      <c r="G370" s="1669">
        <f>COUNTIF(Principal!$C$35:$J$47,Tablas!E370)+COUNTIF(Principal!$C$48:$F$49,Tablas!E370)</f>
        <v>0</v>
      </c>
      <c r="H370" s="1670">
        <f t="shared" si="75"/>
        <v>0</v>
      </c>
      <c r="I370" s="792">
        <v>1</v>
      </c>
      <c r="J370" s="1674" t="s">
        <v>2649</v>
      </c>
      <c r="N370"/>
      <c r="AB370" s="3187" t="str">
        <f t="shared" si="77"/>
        <v>Ver lo sobrenatural</v>
      </c>
      <c r="AC370" s="3188">
        <f t="shared" si="76"/>
        <v>-8</v>
      </c>
      <c r="AD370" s="2731" t="s">
        <v>9556</v>
      </c>
      <c r="AE370" s="3189"/>
      <c r="AF370" s="3189"/>
      <c r="AG370" s="3190"/>
      <c r="AH370" s="3215"/>
      <c r="AI370" s="3194" t="s">
        <v>2649</v>
      </c>
      <c r="AJ370"/>
    </row>
    <row r="371" spans="1:36" ht="12.75" customHeight="1">
      <c r="A371" s="219">
        <v>371</v>
      </c>
      <c r="B371" s="7145"/>
      <c r="C371" s="1673" t="str">
        <f t="shared" si="73"/>
        <v>Sentido del combate: Ataque</v>
      </c>
      <c r="D371" s="787">
        <f t="shared" si="67"/>
        <v>110</v>
      </c>
      <c r="E371" s="47" t="s">
        <v>2264</v>
      </c>
      <c r="F371" s="1669">
        <v>3</v>
      </c>
      <c r="G371" s="1669">
        <f>COUNTIF(Principal!$C$35:$J$47,Tablas!E371)+COUNTIF(Principal!$C$48:$F$49,Tablas!E371)</f>
        <v>0</v>
      </c>
      <c r="H371" s="1670">
        <f t="shared" si="75"/>
        <v>0</v>
      </c>
      <c r="I371" s="792">
        <v>1</v>
      </c>
      <c r="J371" s="1674" t="s">
        <v>2649</v>
      </c>
      <c r="N371"/>
      <c r="AB371" s="3187" t="str">
        <f t="shared" si="77"/>
        <v>Versátil</v>
      </c>
      <c r="AC371" s="3188">
        <f t="shared" si="76"/>
        <v>64</v>
      </c>
      <c r="AD371" s="2731" t="s">
        <v>2301</v>
      </c>
      <c r="AE371" s="3189">
        <v>1</v>
      </c>
      <c r="AF371" s="3189">
        <f>COUNTIF(Principal!$C$35:$J$47,AD371)+COUNTIF(Principal!$C$48:$F$49,AD371)</f>
        <v>0</v>
      </c>
      <c r="AG371" s="3190">
        <f t="shared" ref="AG371:AG377" si="78">AF371*AE371</f>
        <v>0</v>
      </c>
      <c r="AH371" s="3215"/>
      <c r="AI371" s="3194" t="s">
        <v>2649</v>
      </c>
      <c r="AJ371"/>
    </row>
    <row r="372" spans="1:36" ht="12.75" customHeight="1">
      <c r="A372" s="219">
        <v>372</v>
      </c>
      <c r="B372" s="7145"/>
      <c r="C372" s="1673" t="str">
        <f t="shared" si="73"/>
        <v>Sentido del combate: Esquiva</v>
      </c>
      <c r="D372" s="787">
        <f t="shared" si="67"/>
        <v>54</v>
      </c>
      <c r="E372" s="47" t="s">
        <v>2265</v>
      </c>
      <c r="F372" s="1669">
        <v>2</v>
      </c>
      <c r="G372" s="1669">
        <f>COUNTIF(Principal!$C$35:$J$47,Tablas!E372)+COUNTIF(Principal!$C$48:$F$49,Tablas!E372)</f>
        <v>0</v>
      </c>
      <c r="H372" s="1670">
        <f t="shared" si="75"/>
        <v>0</v>
      </c>
      <c r="I372" s="792">
        <v>1</v>
      </c>
      <c r="J372" s="1674" t="s">
        <v>2649</v>
      </c>
      <c r="N372"/>
      <c r="AB372" s="3187" t="str">
        <f t="shared" si="77"/>
        <v>Visión nocturna</v>
      </c>
      <c r="AC372" s="3188">
        <f t="shared" si="76"/>
        <v>69</v>
      </c>
      <c r="AD372" s="2731" t="s">
        <v>5825</v>
      </c>
      <c r="AE372" s="3189">
        <v>1</v>
      </c>
      <c r="AF372" s="3189">
        <f>COUNTIF(Principal!$C$35:$J$47,AD372)+COUNTIF(Principal!$C$48:$F$49,AD372)</f>
        <v>0</v>
      </c>
      <c r="AG372" s="3190">
        <f t="shared" si="78"/>
        <v>0</v>
      </c>
      <c r="AH372" s="3215"/>
      <c r="AI372" s="3194" t="s">
        <v>2649</v>
      </c>
      <c r="AJ372"/>
    </row>
    <row r="373" spans="1:36" ht="12.75" customHeight="1">
      <c r="A373" s="219">
        <v>373</v>
      </c>
      <c r="B373" s="7145"/>
      <c r="C373" s="1673" t="str">
        <f t="shared" si="73"/>
        <v>Sentido del combate: Parada</v>
      </c>
      <c r="D373" s="787">
        <f t="shared" si="67"/>
        <v>130</v>
      </c>
      <c r="E373" s="47" t="s">
        <v>2266</v>
      </c>
      <c r="F373" s="1669">
        <v>1</v>
      </c>
      <c r="G373" s="1669">
        <f>COUNTIF(Principal!$C$35:$J$47,Tablas!E373)+COUNTIF(Principal!$C$48:$F$49,Tablas!E373)</f>
        <v>0</v>
      </c>
      <c r="H373" s="1670">
        <f t="shared" si="75"/>
        <v>0</v>
      </c>
      <c r="I373" s="792">
        <v>1</v>
      </c>
      <c r="J373" s="1674" t="s">
        <v>2649</v>
      </c>
      <c r="N373"/>
      <c r="AB373" s="3187" t="str">
        <f t="shared" si="77"/>
        <v xml:space="preserve"> &gt; VENTAJAS PERSONALIZADAS</v>
      </c>
      <c r="AC373" s="3188">
        <f t="shared" si="76"/>
        <v>70</v>
      </c>
      <c r="AD373" s="2731" t="s">
        <v>2302</v>
      </c>
      <c r="AE373" s="3189">
        <v>2</v>
      </c>
      <c r="AF373" s="3189">
        <f>COUNTIF(Principal!$C$35:$J$47,AD373)+COUNTIF(Principal!$C$48:$F$49,AD373)</f>
        <v>0</v>
      </c>
      <c r="AG373" s="3190">
        <f t="shared" si="78"/>
        <v>0</v>
      </c>
      <c r="AH373" s="3215"/>
      <c r="AI373" s="3194" t="s">
        <v>2649</v>
      </c>
      <c r="AJ373"/>
    </row>
    <row r="374" spans="1:36" ht="12.75" customHeight="1">
      <c r="A374" s="219">
        <v>374</v>
      </c>
      <c r="B374" s="7145"/>
      <c r="C374" s="1673" t="str">
        <f t="shared" si="73"/>
        <v>Sentido del peligro</v>
      </c>
      <c r="D374" s="787">
        <f t="shared" si="67"/>
        <v>131</v>
      </c>
      <c r="E374" s="47" t="s">
        <v>2267</v>
      </c>
      <c r="F374" s="1669">
        <v>2</v>
      </c>
      <c r="G374" s="1669">
        <f>COUNTIF(Principal!$C$35:$J$47,Tablas!E374)+COUNTIF(Principal!$C$48:$F$49,Tablas!E374)</f>
        <v>0</v>
      </c>
      <c r="H374" s="1670">
        <f t="shared" si="75"/>
        <v>0</v>
      </c>
      <c r="I374" s="792">
        <v>1</v>
      </c>
      <c r="J374" s="1674" t="s">
        <v>2649</v>
      </c>
      <c r="N374"/>
      <c r="AB374" s="3187" t="str">
        <f t="shared" si="77"/>
        <v>Ventaja personalizada #1</v>
      </c>
      <c r="AC374" s="3188">
        <f t="shared" si="76"/>
        <v>71</v>
      </c>
      <c r="AD374" s="2731" t="s">
        <v>2303</v>
      </c>
      <c r="AE374" s="3189">
        <v>3</v>
      </c>
      <c r="AF374" s="3189">
        <f>COUNTIF(Principal!$C$35:$J$47,AD374)+COUNTIF(Principal!$C$48:$F$49,AD374)</f>
        <v>0</v>
      </c>
      <c r="AG374" s="3190">
        <f t="shared" si="78"/>
        <v>0</v>
      </c>
      <c r="AH374" s="3215"/>
      <c r="AI374" s="3194" t="s">
        <v>2649</v>
      </c>
      <c r="AJ374"/>
    </row>
    <row r="375" spans="1:36" ht="12.75" customHeight="1">
      <c r="A375" s="219">
        <v>375</v>
      </c>
      <c r="B375" s="7145"/>
      <c r="C375" s="1673" t="str">
        <f t="shared" si="73"/>
        <v>Sentidos agudos</v>
      </c>
      <c r="D375" s="787">
        <f t="shared" si="67"/>
        <v>132</v>
      </c>
      <c r="E375" s="47" t="s">
        <v>2268</v>
      </c>
      <c r="F375" s="1669">
        <v>3</v>
      </c>
      <c r="G375" s="1669">
        <f>COUNTIF(Principal!$C$35:$J$47,Tablas!E375)+COUNTIF(Principal!$C$48:$F$49,Tablas!E375)</f>
        <v>0</v>
      </c>
      <c r="H375" s="1670">
        <f t="shared" si="75"/>
        <v>0</v>
      </c>
      <c r="I375" s="792">
        <v>1</v>
      </c>
      <c r="J375" s="1674" t="s">
        <v>2649</v>
      </c>
      <c r="N375"/>
      <c r="AB375" s="3187" t="str">
        <f t="shared" si="77"/>
        <v>Ventaja personalizada #2</v>
      </c>
      <c r="AC375" s="3188">
        <f t="shared" si="76"/>
        <v>57</v>
      </c>
      <c r="AD375" s="2731" t="s">
        <v>2304</v>
      </c>
      <c r="AE375" s="3189">
        <v>1</v>
      </c>
      <c r="AF375" s="3189">
        <f>COUNTIF(Principal!$C$35:$J$47,AD375)+COUNTIF(Principal!$C$48:$F$49,AD375)</f>
        <v>0</v>
      </c>
      <c r="AG375" s="3190">
        <f t="shared" si="78"/>
        <v>0</v>
      </c>
      <c r="AH375" s="3215">
        <v>1</v>
      </c>
      <c r="AI375" s="3194" t="s">
        <v>2649</v>
      </c>
      <c r="AJ375"/>
    </row>
    <row r="376" spans="1:36" ht="12.75" customHeight="1">
      <c r="A376" s="219">
        <v>376</v>
      </c>
      <c r="B376" s="7145"/>
      <c r="C376" s="1673" t="str">
        <f t="shared" si="73"/>
        <v>Sin límite de familiares</v>
      </c>
      <c r="D376" s="787">
        <f t="shared" si="67"/>
        <v>134</v>
      </c>
      <c r="E376" s="47" t="s">
        <v>2269</v>
      </c>
      <c r="F376" s="1669">
        <v>1</v>
      </c>
      <c r="G376" s="1669">
        <f>COUNTIF(Principal!$C$35:$J$47,Tablas!E376)+COUNTIF(Principal!$C$48:$F$49,Tablas!E376)</f>
        <v>0</v>
      </c>
      <c r="H376" s="1670">
        <f t="shared" si="75"/>
        <v>0</v>
      </c>
      <c r="I376" s="792">
        <v>1</v>
      </c>
      <c r="J376" s="1674" t="s">
        <v>2649</v>
      </c>
      <c r="N376"/>
      <c r="AB376" s="3187" t="str">
        <f t="shared" si="77"/>
        <v>Ventaja personalizada #3</v>
      </c>
      <c r="AC376" s="3188">
        <f t="shared" si="76"/>
        <v>58</v>
      </c>
      <c r="AD376" s="2731" t="s">
        <v>2305</v>
      </c>
      <c r="AE376" s="3189">
        <v>2</v>
      </c>
      <c r="AF376" s="3189">
        <f>COUNTIF(Principal!$C$35:$J$47,AD376)+COUNTIF(Principal!$C$48:$F$49,AD376)</f>
        <v>0</v>
      </c>
      <c r="AG376" s="3190">
        <f t="shared" si="78"/>
        <v>0</v>
      </c>
      <c r="AH376" s="3215">
        <v>1</v>
      </c>
      <c r="AI376" s="3194" t="s">
        <v>2649</v>
      </c>
      <c r="AJ376"/>
    </row>
    <row r="377" spans="1:36" ht="12.75" customHeight="1">
      <c r="A377" s="219">
        <v>377</v>
      </c>
      <c r="B377" s="7145"/>
      <c r="C377" s="1673" t="str">
        <f t="shared" si="73"/>
        <v>Sueño ligero</v>
      </c>
      <c r="D377" s="787">
        <f t="shared" si="67"/>
        <v>116</v>
      </c>
      <c r="E377" s="47" t="s">
        <v>2270</v>
      </c>
      <c r="F377" s="1669">
        <v>1</v>
      </c>
      <c r="G377" s="1669">
        <f>COUNTIF(Principal!$C$35:$J$47,Tablas!E377)+COUNTIF(Principal!$C$48:$F$49,Tablas!E377)</f>
        <v>0</v>
      </c>
      <c r="H377" s="1670">
        <f t="shared" si="75"/>
        <v>0</v>
      </c>
      <c r="I377" s="792"/>
      <c r="J377" s="1674" t="s">
        <v>2649</v>
      </c>
      <c r="N377"/>
      <c r="AB377" s="3187" t="str">
        <f t="shared" si="77"/>
        <v>Ventaja personalizada #4</v>
      </c>
      <c r="AC377" s="3188">
        <f t="shared" si="76"/>
        <v>59</v>
      </c>
      <c r="AD377" s="2731" t="s">
        <v>2306</v>
      </c>
      <c r="AE377" s="3189">
        <v>3</v>
      </c>
      <c r="AF377" s="3189">
        <f>COUNTIF(Principal!$C$35:$J$47,AD377)+COUNTIF(Principal!$C$48:$F$49,AD377)</f>
        <v>0</v>
      </c>
      <c r="AG377" s="3190">
        <f t="shared" si="78"/>
        <v>0</v>
      </c>
      <c r="AH377" s="3215">
        <v>1</v>
      </c>
      <c r="AI377" s="3194" t="s">
        <v>2649</v>
      </c>
      <c r="AJ377"/>
    </row>
    <row r="378" spans="1:36" ht="12.75" customHeight="1">
      <c r="A378" s="219">
        <v>378</v>
      </c>
      <c r="B378" s="7145"/>
      <c r="C378" s="1673" t="str">
        <f t="shared" si="73"/>
        <v>Superviviente</v>
      </c>
      <c r="D378" s="787">
        <f t="shared" si="67"/>
        <v>129</v>
      </c>
      <c r="E378" s="47" t="s">
        <v>2271</v>
      </c>
      <c r="F378" s="1669">
        <v>1</v>
      </c>
      <c r="G378" s="1669">
        <f>COUNTIF(Principal!$C$35:$J$47,Tablas!E378)+COUNTIF(Principal!$C$48:$F$49,Tablas!E378)</f>
        <v>0</v>
      </c>
      <c r="H378" s="1670">
        <f t="shared" si="75"/>
        <v>0</v>
      </c>
      <c r="I378" s="792"/>
      <c r="J378" s="1674" t="s">
        <v>2649</v>
      </c>
      <c r="N378"/>
      <c r="AB378" s="3187" t="e">
        <f t="shared" si="77"/>
        <v>#N/A</v>
      </c>
      <c r="AC378" s="3188">
        <f t="shared" si="76"/>
        <v>-6</v>
      </c>
      <c r="AD378" s="2731" t="s">
        <v>9557</v>
      </c>
      <c r="AE378" s="3189"/>
      <c r="AF378" s="3189"/>
      <c r="AG378" s="3190"/>
      <c r="AH378" s="3215"/>
      <c r="AI378" s="3194" t="s">
        <v>2649</v>
      </c>
      <c r="AJ378"/>
    </row>
    <row r="379" spans="1:36" ht="12.75" customHeight="1">
      <c r="A379" s="219">
        <v>379</v>
      </c>
      <c r="B379" s="7145"/>
      <c r="C379" s="1673" t="str">
        <f t="shared" si="73"/>
        <v>Sustituir característica por 9</v>
      </c>
      <c r="D379" s="787">
        <f t="shared" si="67"/>
        <v>77</v>
      </c>
      <c r="E379" s="47" t="s">
        <v>2272</v>
      </c>
      <c r="F379" s="1669">
        <v>1</v>
      </c>
      <c r="G379" s="1669">
        <f>COUNTIF(Principal!$C$35:$J$47,Tablas!E379)+COUNTIF(Principal!$C$48:$F$49,Tablas!E379)</f>
        <v>0</v>
      </c>
      <c r="H379" s="1670">
        <f t="shared" si="75"/>
        <v>0</v>
      </c>
      <c r="I379" s="792"/>
      <c r="J379" s="1674" t="s">
        <v>2649</v>
      </c>
      <c r="N379"/>
      <c r="AB379" s="3187" t="e">
        <f t="shared" si="77"/>
        <v>#N/A</v>
      </c>
      <c r="AC379" s="3188">
        <f t="shared" si="76"/>
        <v>18</v>
      </c>
      <c r="AD379" s="2731" t="s">
        <v>2310</v>
      </c>
      <c r="AE379" s="3189">
        <v>1</v>
      </c>
      <c r="AF379" s="3189">
        <f>COUNTIF(Principal!$C$35:$J$47,AD379)+COUNTIF(Principal!$C$48:$F$49,AD379)</f>
        <v>0</v>
      </c>
      <c r="AG379" s="3190">
        <f>AF379*AE379</f>
        <v>0</v>
      </c>
      <c r="AH379" s="3215"/>
      <c r="AI379" s="3194" t="s">
        <v>2649</v>
      </c>
      <c r="AJ379"/>
    </row>
    <row r="380" spans="1:36" ht="12.75" customHeight="1">
      <c r="A380" s="219">
        <v>380</v>
      </c>
      <c r="B380" s="7145"/>
      <c r="C380" s="1673" t="str">
        <f t="shared" si="73"/>
        <v>Tamaño no natural +1</v>
      </c>
      <c r="D380" s="787">
        <f t="shared" si="67"/>
        <v>72</v>
      </c>
      <c r="E380" s="47" t="s">
        <v>2273</v>
      </c>
      <c r="F380" s="1669">
        <v>1</v>
      </c>
      <c r="G380" s="1669">
        <f>COUNTIF(Principal!$C$35:$J$47,Tablas!E380)+COUNTIF(Principal!$C$48:$F$49,Tablas!E380)</f>
        <v>0</v>
      </c>
      <c r="H380" s="1670">
        <f t="shared" si="75"/>
        <v>0</v>
      </c>
      <c r="I380" s="792">
        <v>2</v>
      </c>
      <c r="J380" s="1674" t="s">
        <v>2649</v>
      </c>
      <c r="N380"/>
      <c r="AB380" s="3187" t="e">
        <f t="shared" si="77"/>
        <v>#N/A</v>
      </c>
      <c r="AC380" s="3188">
        <f>MAX(AC236:AC379)+1</f>
        <v>136</v>
      </c>
      <c r="AD380" s="2731" t="s">
        <v>9558</v>
      </c>
      <c r="AE380" s="3189"/>
      <c r="AF380" s="3189"/>
      <c r="AG380" s="3190"/>
      <c r="AH380" s="3215"/>
      <c r="AI380" s="3194" t="s">
        <v>2649</v>
      </c>
      <c r="AJ380" s="2055"/>
    </row>
    <row r="381" spans="1:36" ht="12.75" customHeight="1">
      <c r="A381" s="219">
        <v>381</v>
      </c>
      <c r="B381" s="7145"/>
      <c r="C381" s="1673" t="str">
        <f t="shared" si="73"/>
        <v>Tamaño no natural +2</v>
      </c>
      <c r="D381" s="787">
        <f t="shared" si="67"/>
        <v>84</v>
      </c>
      <c r="E381" s="47" t="s">
        <v>2274</v>
      </c>
      <c r="F381" s="1669">
        <v>1</v>
      </c>
      <c r="G381" s="1669">
        <f>COUNTIF(Principal!$C$35:$J$47,Tablas!E381)+COUNTIF(Principal!$C$48:$F$49,Tablas!E381)</f>
        <v>0</v>
      </c>
      <c r="H381" s="1670">
        <f t="shared" si="75"/>
        <v>0</v>
      </c>
      <c r="I381" s="792"/>
      <c r="J381" s="1674" t="s">
        <v>2649</v>
      </c>
      <c r="N381"/>
      <c r="AB381" s="3187" t="e">
        <f t="shared" si="77"/>
        <v>#N/A</v>
      </c>
      <c r="AC381" s="3188">
        <f>IF(LEN(AD381)&gt;0,AC380+1,MIN(AC236:AC380)-1)</f>
        <v>137</v>
      </c>
      <c r="AD381" s="2731" t="str">
        <f>IF(Personalización!$C30="","Ventaja personalizada #1",Personalización!$C30)</f>
        <v>Ventaja personalizada #1</v>
      </c>
      <c r="AE381" s="3189">
        <f>Personalización!G30</f>
        <v>0</v>
      </c>
      <c r="AF381" s="3189">
        <f>COUNTIF(Principal!$C$35:$J$47,AD381)+COUNTIF(Principal!$C$48:$F$49,AD381)</f>
        <v>0</v>
      </c>
      <c r="AG381" s="3190">
        <f>AF381*AE381</f>
        <v>0</v>
      </c>
      <c r="AH381" s="3215"/>
      <c r="AI381" s="3194" t="s">
        <v>2649</v>
      </c>
      <c r="AJ381" s="2055"/>
    </row>
    <row r="382" spans="1:36" ht="12.75" customHeight="1">
      <c r="A382" s="219">
        <v>382</v>
      </c>
      <c r="B382" s="7145"/>
      <c r="C382" s="1676" t="str">
        <f t="shared" si="73"/>
        <v>Tamaño no natural +3</v>
      </c>
      <c r="D382" s="787">
        <f t="shared" si="67"/>
        <v>107</v>
      </c>
      <c r="E382" s="47" t="s">
        <v>2275</v>
      </c>
      <c r="F382" s="1669">
        <v>1</v>
      </c>
      <c r="G382" s="1669">
        <f>COUNTIF(Principal!$C$35:$J$47,Tablas!E382)+COUNTIF(Principal!$C$48:$F$49,Tablas!E382)</f>
        <v>0</v>
      </c>
      <c r="H382" s="1670">
        <f t="shared" si="75"/>
        <v>0</v>
      </c>
      <c r="I382" s="792"/>
      <c r="J382" s="1674" t="s">
        <v>2649</v>
      </c>
      <c r="N382"/>
      <c r="AB382" s="3187" t="e">
        <f t="shared" si="77"/>
        <v>#N/A</v>
      </c>
      <c r="AC382" s="3188">
        <f>IF(LEN(AD382)&gt;0,AC381+1,MIN(AC236:AC381)-1)</f>
        <v>138</v>
      </c>
      <c r="AD382" s="2731" t="str">
        <f>IF(Personalización!$C31="","Ventaja personalizada #2",Personalización!$C31)</f>
        <v>Ventaja personalizada #2</v>
      </c>
      <c r="AE382" s="3189">
        <f>Personalización!G31</f>
        <v>0</v>
      </c>
      <c r="AF382" s="3189">
        <f>COUNTIF(Principal!$C$35:$J$47,AD382)+COUNTIF(Principal!$C$48:$F$49,AD382)</f>
        <v>0</v>
      </c>
      <c r="AG382" s="3190">
        <f>AF382*AE382</f>
        <v>0</v>
      </c>
      <c r="AH382" s="3215"/>
      <c r="AI382" s="3194" t="s">
        <v>2649</v>
      </c>
      <c r="AJ382" s="2055"/>
    </row>
    <row r="383" spans="1:36" ht="12.75" customHeight="1">
      <c r="A383" s="219">
        <v>383</v>
      </c>
      <c r="B383" s="7145"/>
      <c r="C383" s="1676" t="str">
        <f t="shared" si="73"/>
        <v>Tamaño no natural +4</v>
      </c>
      <c r="D383" s="787">
        <f t="shared" si="67"/>
        <v>-7</v>
      </c>
      <c r="E383" s="47" t="s">
        <v>9555</v>
      </c>
      <c r="F383" s="1669"/>
      <c r="G383" s="1669"/>
      <c r="H383" s="1670"/>
      <c r="I383" s="792"/>
      <c r="J383" s="1674" t="s">
        <v>2649</v>
      </c>
      <c r="N383"/>
      <c r="AB383" s="3187" t="e">
        <f t="shared" si="77"/>
        <v>#N/A</v>
      </c>
      <c r="AC383" s="3188">
        <f>IF(LEN(AD383)&gt;0,AC382+1,MIN(AC236:AC382)-1)</f>
        <v>139</v>
      </c>
      <c r="AD383" s="2731" t="str">
        <f>IF(Personalización!$C32="","Ventaja personalizada #3",Personalización!$C32)</f>
        <v>Ventaja personalizada #3</v>
      </c>
      <c r="AE383" s="3189">
        <f>Personalización!G32</f>
        <v>0</v>
      </c>
      <c r="AF383" s="3189">
        <f>COUNTIF(Principal!$C$35:$J$47,AD383)+COUNTIF(Principal!$C$48:$F$49,AD383)</f>
        <v>0</v>
      </c>
      <c r="AG383" s="3190">
        <f>AF383*AE383</f>
        <v>0</v>
      </c>
      <c r="AH383" s="3215"/>
      <c r="AI383" s="3194" t="s">
        <v>2649</v>
      </c>
      <c r="AJ383" s="2055"/>
    </row>
    <row r="384" spans="1:36" ht="12.75" customHeight="1">
      <c r="A384" s="219">
        <v>384</v>
      </c>
      <c r="B384" s="7145"/>
      <c r="C384" s="1676" t="str">
        <f t="shared" si="73"/>
        <v>Tamaño no natural +5</v>
      </c>
      <c r="D384" s="787">
        <f t="shared" si="67"/>
        <v>16</v>
      </c>
      <c r="E384" s="47" t="s">
        <v>2290</v>
      </c>
      <c r="F384" s="1669">
        <v>2</v>
      </c>
      <c r="G384" s="1669">
        <f>COUNTIF(Principal!$C$35:$J$47,Tablas!E384)+COUNTIF(Principal!$C$48:$F$49,Tablas!E384)</f>
        <v>0</v>
      </c>
      <c r="H384" s="1670">
        <f t="shared" ref="H384:H394" si="79">G384*F384</f>
        <v>0</v>
      </c>
      <c r="I384" s="792"/>
      <c r="J384" s="1674" t="s">
        <v>2649</v>
      </c>
      <c r="N384"/>
      <c r="AB384" s="3187" t="e">
        <f t="shared" si="77"/>
        <v>#N/A</v>
      </c>
      <c r="AC384" s="3188">
        <f>IF(LEN(AD384)&gt;0,AC383+1,MIN(AC236:AC383)-1)</f>
        <v>140</v>
      </c>
      <c r="AD384" s="2731" t="str">
        <f>IF(Personalización!$C33="","Ventaja personalizada #4",Personalización!$C33)</f>
        <v>Ventaja personalizada #4</v>
      </c>
      <c r="AE384" s="3189">
        <f>Personalización!G33</f>
        <v>0</v>
      </c>
      <c r="AF384" s="3189">
        <f>COUNTIF(Principal!$C$35:$J$47,AD384)+COUNTIF(Principal!$C$48:$F$49,AD384)</f>
        <v>0</v>
      </c>
      <c r="AG384" s="3190">
        <f>AF384*AE384</f>
        <v>0</v>
      </c>
      <c r="AH384" s="3215"/>
      <c r="AI384" s="3194" t="s">
        <v>2649</v>
      </c>
      <c r="AJ384" s="2055"/>
    </row>
    <row r="385" spans="1:36" ht="12.75" customHeight="1">
      <c r="A385" s="219">
        <v>385</v>
      </c>
      <c r="B385" s="7145"/>
      <c r="C385" s="1676" t="str">
        <f t="shared" si="73"/>
        <v>Tamaño no natural -1</v>
      </c>
      <c r="D385" s="787">
        <f t="shared" si="67"/>
        <v>42</v>
      </c>
      <c r="E385" s="47" t="s">
        <v>2291</v>
      </c>
      <c r="F385" s="1669">
        <v>1</v>
      </c>
      <c r="G385" s="1669">
        <f>COUNTIF(Principal!$C$35:$J$47,Tablas!E385)+COUNTIF(Principal!$C$48:$F$49,Tablas!E385)</f>
        <v>0</v>
      </c>
      <c r="H385" s="1670">
        <f t="shared" si="79"/>
        <v>0</v>
      </c>
      <c r="I385" s="792"/>
      <c r="J385" s="1674" t="s">
        <v>2649</v>
      </c>
      <c r="N385"/>
      <c r="AB385" s="3270"/>
      <c r="AC385" s="3252"/>
      <c r="AD385" s="3201" t="s">
        <v>9559</v>
      </c>
      <c r="AE385" s="3202"/>
      <c r="AF385" s="3202"/>
      <c r="AG385" s="3203"/>
      <c r="AH385" s="3228"/>
      <c r="AI385" s="3192" t="s">
        <v>2113</v>
      </c>
      <c r="AJ385"/>
    </row>
    <row r="386" spans="1:36" ht="12.75" customHeight="1">
      <c r="A386" s="219">
        <v>386</v>
      </c>
      <c r="B386" s="7145"/>
      <c r="C386" s="1676" t="str">
        <f t="shared" si="73"/>
        <v>Tamaño no natural -2</v>
      </c>
      <c r="D386" s="787">
        <f t="shared" si="67"/>
        <v>83</v>
      </c>
      <c r="E386" s="47" t="s">
        <v>2292</v>
      </c>
      <c r="F386" s="1669">
        <v>1</v>
      </c>
      <c r="G386" s="1669">
        <f>COUNTIF(Principal!$C$35:$J$47,Tablas!E386)+COUNTIF(Principal!$C$48:$F$49,Tablas!E386)</f>
        <v>0</v>
      </c>
      <c r="H386" s="1670">
        <f t="shared" si="79"/>
        <v>0</v>
      </c>
      <c r="I386" s="792">
        <v>1</v>
      </c>
      <c r="J386" s="1674" t="s">
        <v>2649</v>
      </c>
      <c r="N386"/>
      <c r="AB386" s="3268"/>
      <c r="AC386" s="3253">
        <f>COUNTIF($AD$386:$AD$436,"&lt;="&amp;AD386)-COUNTIF($AD$386:$AD$436,"*&gt;*")</f>
        <v>39</v>
      </c>
      <c r="AD386" s="2731" t="s">
        <v>2163</v>
      </c>
      <c r="AE386" s="3189">
        <v>1</v>
      </c>
      <c r="AF386" s="3189">
        <f>COUNTIF(Principal!$C$35:$J$47,AD386)+COUNTIF(Principal!$C$48:$F$49,AD386)</f>
        <v>0</v>
      </c>
      <c r="AG386" s="3190">
        <f t="shared" ref="AG386:AG418" si="80">AF386*AE386</f>
        <v>0</v>
      </c>
      <c r="AH386" s="3215">
        <v>1</v>
      </c>
      <c r="AI386" s="3194" t="s">
        <v>2113</v>
      </c>
      <c r="AJ386"/>
    </row>
    <row r="387" spans="1:36" ht="12.75" customHeight="1">
      <c r="A387" s="219">
        <v>387</v>
      </c>
      <c r="B387" s="7145"/>
      <c r="C387" s="1676" t="str">
        <f t="shared" si="73"/>
        <v>Tamaño no natural -3</v>
      </c>
      <c r="D387" s="787">
        <f t="shared" si="67"/>
        <v>90</v>
      </c>
      <c r="E387" s="47" t="s">
        <v>2293</v>
      </c>
      <c r="F387" s="1669">
        <v>1</v>
      </c>
      <c r="G387" s="1669">
        <f>COUNTIF(Principal!$C$35:$J$47,Tablas!E387)+COUNTIF(Principal!$C$48:$F$49,Tablas!E387)</f>
        <v>0</v>
      </c>
      <c r="H387" s="1670">
        <f t="shared" si="79"/>
        <v>0</v>
      </c>
      <c r="I387" s="792">
        <v>1</v>
      </c>
      <c r="J387" s="1674" t="s">
        <v>2649</v>
      </c>
      <c r="N387"/>
      <c r="AB387" s="3269" t="str">
        <f>AD385</f>
        <v xml:space="preserve"> &gt; VENTAJAS: DON</v>
      </c>
      <c r="AC387" s="3253">
        <f t="shared" ref="AC387:AC436" si="81">COUNTIF($AD$386:$AD$436,"&lt;="&amp;AD387)-COUNTIF($AD$386:$AD$436,"*&gt;*")</f>
        <v>40</v>
      </c>
      <c r="AD387" s="2731" t="s">
        <v>2164</v>
      </c>
      <c r="AE387" s="3189">
        <v>2</v>
      </c>
      <c r="AF387" s="3189">
        <f>COUNTIF(Principal!$C$35:$J$47,AD387)+COUNTIF(Principal!$C$48:$F$49,AD387)</f>
        <v>0</v>
      </c>
      <c r="AG387" s="3190">
        <f t="shared" si="80"/>
        <v>0</v>
      </c>
      <c r="AH387" s="3215">
        <v>1</v>
      </c>
      <c r="AI387" s="3194" t="s">
        <v>2113</v>
      </c>
      <c r="AJ387"/>
    </row>
    <row r="388" spans="1:36" ht="12.75" customHeight="1">
      <c r="A388" s="219">
        <v>388</v>
      </c>
      <c r="B388" s="7145"/>
      <c r="C388" s="1676" t="str">
        <f t="shared" si="73"/>
        <v>Tamaño no natural -4</v>
      </c>
      <c r="D388" s="787">
        <f t="shared" si="67"/>
        <v>128</v>
      </c>
      <c r="E388" s="47" t="s">
        <v>2294</v>
      </c>
      <c r="F388" s="1669">
        <v>1</v>
      </c>
      <c r="G388" s="1669">
        <f>COUNTIF(Principal!$C$35:$J$47,Tablas!E388)+COUNTIF(Principal!$C$48:$F$49,Tablas!E388)</f>
        <v>0</v>
      </c>
      <c r="H388" s="1670">
        <f t="shared" si="79"/>
        <v>0</v>
      </c>
      <c r="I388" s="792"/>
      <c r="J388" s="1674" t="s">
        <v>2649</v>
      </c>
      <c r="N388"/>
      <c r="AB388" s="3204" t="str">
        <f>VLOOKUP(A1,$AC$386:$AD$436,2,0)</f>
        <v>Aprendizaje mágico gradual</v>
      </c>
      <c r="AC388" s="3253">
        <f t="shared" si="81"/>
        <v>41</v>
      </c>
      <c r="AD388" s="2731" t="s">
        <v>2165</v>
      </c>
      <c r="AE388" s="3189">
        <v>3</v>
      </c>
      <c r="AF388" s="3189">
        <f>COUNTIF(Principal!$C$35:$J$47,AD388)+COUNTIF(Principal!$C$48:$F$49,AD388)</f>
        <v>0</v>
      </c>
      <c r="AG388" s="3190">
        <f t="shared" si="80"/>
        <v>0</v>
      </c>
      <c r="AH388" s="3215">
        <v>1</v>
      </c>
      <c r="AI388" s="3194" t="s">
        <v>2113</v>
      </c>
      <c r="AJ388"/>
    </row>
    <row r="389" spans="1:36" ht="12.75" customHeight="1">
      <c r="A389" s="219">
        <v>389</v>
      </c>
      <c r="B389" s="7145"/>
      <c r="C389" s="1676" t="str">
        <f t="shared" si="73"/>
        <v>Tamaño no natural -5</v>
      </c>
      <c r="D389" s="787">
        <f t="shared" si="67"/>
        <v>9</v>
      </c>
      <c r="E389" s="47" t="s">
        <v>2295</v>
      </c>
      <c r="F389" s="1669">
        <v>1</v>
      </c>
      <c r="G389" s="1669">
        <f>COUNTIF(Principal!$C$35:$J$47,Tablas!E389)+COUNTIF(Principal!$C$48:$F$49,Tablas!E389)</f>
        <v>0</v>
      </c>
      <c r="H389" s="1670">
        <f t="shared" si="79"/>
        <v>0</v>
      </c>
      <c r="I389" s="792"/>
      <c r="J389" s="1674" t="s">
        <v>2649</v>
      </c>
      <c r="N389"/>
      <c r="AB389" s="3204" t="str">
        <f t="shared" ref="AB389:AB436" si="82">VLOOKUP(A2,$AC$386:$AD$436,2,0)</f>
        <v>Apto desarrollo de la magia</v>
      </c>
      <c r="AC389" s="3253">
        <f t="shared" si="81"/>
        <v>2</v>
      </c>
      <c r="AD389" s="2731" t="s">
        <v>2166</v>
      </c>
      <c r="AE389" s="3189">
        <v>1</v>
      </c>
      <c r="AF389" s="3189">
        <f>COUNTIF(Principal!$C$35:$J$47,AD389)+COUNTIF(Principal!$C$48:$F$49,AD389)</f>
        <v>0</v>
      </c>
      <c r="AG389" s="3190">
        <f t="shared" si="80"/>
        <v>0</v>
      </c>
      <c r="AH389" s="3215">
        <v>1</v>
      </c>
      <c r="AI389" s="3194" t="s">
        <v>2113</v>
      </c>
      <c r="AJ389"/>
    </row>
    <row r="390" spans="1:36" ht="12.75" customHeight="1">
      <c r="A390" s="219">
        <v>390</v>
      </c>
      <c r="B390" s="7145"/>
      <c r="C390" s="1676" t="str">
        <f t="shared" si="73"/>
        <v>Técnicas desvinculadas</v>
      </c>
      <c r="D390" s="787">
        <f t="shared" ref="D390:D404" si="83">COUNTIF($E$261:$E$404,"&lt;="&amp;E390)-COUNTIF($E$261:$E$404,"*&gt;*")</f>
        <v>10</v>
      </c>
      <c r="E390" s="47" t="s">
        <v>2296</v>
      </c>
      <c r="F390" s="1669">
        <v>2</v>
      </c>
      <c r="G390" s="1669">
        <f>COUNTIF(Principal!$C$35:$J$47,Tablas!E390)+COUNTIF(Principal!$C$48:$F$49,Tablas!E390)</f>
        <v>0</v>
      </c>
      <c r="H390" s="1670">
        <f t="shared" si="79"/>
        <v>0</v>
      </c>
      <c r="I390" s="792"/>
      <c r="J390" s="1674" t="s">
        <v>2649</v>
      </c>
      <c r="N390"/>
      <c r="AB390" s="3204" t="str">
        <f t="shared" si="82"/>
        <v>Con. natural de Vía: Agua</v>
      </c>
      <c r="AC390" s="3253">
        <f t="shared" si="81"/>
        <v>10</v>
      </c>
      <c r="AD390" s="2731" t="s">
        <v>2167</v>
      </c>
      <c r="AE390" s="3189">
        <v>1</v>
      </c>
      <c r="AF390" s="3189">
        <f>COUNTIF(Principal!$C$35:$J$47,AD390)+COUNTIF(Principal!$C$48:$F$49,AD390)</f>
        <v>0</v>
      </c>
      <c r="AG390" s="3190">
        <f t="shared" si="80"/>
        <v>0</v>
      </c>
      <c r="AH390" s="3215">
        <v>1</v>
      </c>
      <c r="AI390" s="3194" t="s">
        <v>2113</v>
      </c>
      <c r="AJ390" s="3234" t="s">
        <v>1553</v>
      </c>
    </row>
    <row r="391" spans="1:36" ht="12.75" customHeight="1">
      <c r="A391" s="219">
        <v>391</v>
      </c>
      <c r="B391" s="7145"/>
      <c r="C391" s="1676" t="str">
        <f t="shared" ref="C391:C409" si="84">VLOOKUP(A129,$D$262:$E$409,2,0)</f>
        <v>Tocado por el Destino</v>
      </c>
      <c r="D391" s="787">
        <f t="shared" si="83"/>
        <v>89</v>
      </c>
      <c r="E391" s="47" t="s">
        <v>2297</v>
      </c>
      <c r="F391" s="1669">
        <v>1</v>
      </c>
      <c r="G391" s="1669">
        <f>COUNTIF(Principal!$C$35:$J$47,Tablas!E391)+COUNTIF(Principal!$C$48:$F$49,Tablas!E391)</f>
        <v>0</v>
      </c>
      <c r="H391" s="1670">
        <f t="shared" si="79"/>
        <v>0</v>
      </c>
      <c r="I391" s="792">
        <v>1</v>
      </c>
      <c r="J391" s="1674" t="s">
        <v>2649</v>
      </c>
      <c r="N391"/>
      <c r="AB391" s="3204" t="str">
        <f t="shared" si="82"/>
        <v>Con. natural de Vía: Aire</v>
      </c>
      <c r="AC391" s="3253">
        <f t="shared" si="81"/>
        <v>12</v>
      </c>
      <c r="AD391" s="2731" t="s">
        <v>2168</v>
      </c>
      <c r="AE391" s="3189">
        <v>1</v>
      </c>
      <c r="AF391" s="3189">
        <f>COUNTIF(Principal!$C$35:$J$47,AD391)+COUNTIF(Principal!$C$48:$F$49,AD391)</f>
        <v>0</v>
      </c>
      <c r="AG391" s="3190">
        <f t="shared" si="80"/>
        <v>0</v>
      </c>
      <c r="AH391" s="3215">
        <v>1</v>
      </c>
      <c r="AI391" s="3194" t="s">
        <v>2113</v>
      </c>
      <c r="AJ391" s="3235" t="s">
        <v>1554</v>
      </c>
    </row>
    <row r="392" spans="1:36" ht="12.75" customHeight="1">
      <c r="A392" s="219">
        <v>392</v>
      </c>
      <c r="B392" s="7145"/>
      <c r="C392" s="1676" t="str">
        <f t="shared" si="84"/>
        <v>Uso de armadura (1)</v>
      </c>
      <c r="D392" s="787">
        <f t="shared" si="83"/>
        <v>85</v>
      </c>
      <c r="E392" s="47" t="s">
        <v>2298</v>
      </c>
      <c r="F392" s="1669">
        <v>1</v>
      </c>
      <c r="G392" s="1669">
        <f>COUNTIF(Principal!$C$35:$J$47,Tablas!E392)+COUNTIF(Principal!$C$48:$F$49,Tablas!E392)</f>
        <v>0</v>
      </c>
      <c r="H392" s="1670">
        <f t="shared" si="79"/>
        <v>0</v>
      </c>
      <c r="I392" s="792">
        <v>1</v>
      </c>
      <c r="J392" s="1674" t="s">
        <v>2649</v>
      </c>
      <c r="N392"/>
      <c r="AB392" s="3204" t="str">
        <f t="shared" si="82"/>
        <v>Con. natural de Vía: Creación</v>
      </c>
      <c r="AC392" s="3253">
        <f t="shared" si="81"/>
        <v>8</v>
      </c>
      <c r="AD392" s="2731" t="s">
        <v>2169</v>
      </c>
      <c r="AE392" s="3189">
        <v>1</v>
      </c>
      <c r="AF392" s="3189">
        <f>COUNTIF(Principal!$C$35:$J$47,AD392)+COUNTIF(Principal!$C$48:$F$49,AD392)</f>
        <v>0</v>
      </c>
      <c r="AG392" s="3190">
        <f t="shared" si="80"/>
        <v>0</v>
      </c>
      <c r="AH392" s="3215">
        <v>1</v>
      </c>
      <c r="AI392" s="3194" t="s">
        <v>2113</v>
      </c>
      <c r="AJ392" s="3235" t="s">
        <v>1468</v>
      </c>
    </row>
    <row r="393" spans="1:36" ht="12.75" customHeight="1">
      <c r="A393" s="219">
        <v>393</v>
      </c>
      <c r="B393" s="7145"/>
      <c r="C393" s="1676" t="str">
        <f t="shared" si="84"/>
        <v>Uso de armadura (2)</v>
      </c>
      <c r="D393" s="787">
        <f t="shared" si="83"/>
        <v>82</v>
      </c>
      <c r="E393" s="47" t="s">
        <v>2299</v>
      </c>
      <c r="F393" s="1669">
        <v>1</v>
      </c>
      <c r="G393" s="1669">
        <f>COUNTIF(Principal!$C$35:$J$47,Tablas!E393)+COUNTIF(Principal!$C$48:$F$49,Tablas!E393)</f>
        <v>0</v>
      </c>
      <c r="H393" s="1670">
        <f t="shared" si="79"/>
        <v>0</v>
      </c>
      <c r="I393" s="792"/>
      <c r="J393" s="1674" t="s">
        <v>2649</v>
      </c>
      <c r="N393"/>
      <c r="AB393" s="3204" t="str">
        <f t="shared" si="82"/>
        <v>Con. natural de Vía: Destruc.</v>
      </c>
      <c r="AC393" s="3253">
        <f t="shared" si="81"/>
        <v>3</v>
      </c>
      <c r="AD393" s="2731" t="s">
        <v>2170</v>
      </c>
      <c r="AE393" s="3189">
        <v>1</v>
      </c>
      <c r="AF393" s="3189">
        <f>COUNTIF(Principal!$C$35:$J$47,AD393)+COUNTIF(Principal!$C$48:$F$49,AD393)</f>
        <v>0</v>
      </c>
      <c r="AG393" s="3190">
        <f t="shared" si="80"/>
        <v>0</v>
      </c>
      <c r="AH393" s="3215">
        <v>1</v>
      </c>
      <c r="AI393" s="3194" t="s">
        <v>2113</v>
      </c>
      <c r="AJ393" s="3235" t="s">
        <v>1464</v>
      </c>
    </row>
    <row r="394" spans="1:36" ht="12.75" customHeight="1">
      <c r="A394" s="219">
        <v>394</v>
      </c>
      <c r="B394" s="7145"/>
      <c r="C394" s="1676" t="str">
        <f t="shared" si="84"/>
        <v>Uso de armadura (3)</v>
      </c>
      <c r="D394" s="787">
        <f t="shared" si="83"/>
        <v>108</v>
      </c>
      <c r="E394" s="47" t="s">
        <v>2300</v>
      </c>
      <c r="F394" s="1669">
        <v>1</v>
      </c>
      <c r="G394" s="1669">
        <f>COUNTIF(Principal!$C$35:$J$47,Tablas!E394)+COUNTIF(Principal!$C$48:$F$49,Tablas!E394)</f>
        <v>0</v>
      </c>
      <c r="H394" s="1670">
        <f t="shared" si="79"/>
        <v>0</v>
      </c>
      <c r="I394" s="792"/>
      <c r="J394" s="1674" t="s">
        <v>2649</v>
      </c>
      <c r="N394"/>
      <c r="AB394" s="3204" t="str">
        <f t="shared" si="82"/>
        <v>Con. natural de Vía: Esencia</v>
      </c>
      <c r="AC394" s="3253">
        <f t="shared" si="81"/>
        <v>4</v>
      </c>
      <c r="AD394" s="2731" t="s">
        <v>2171</v>
      </c>
      <c r="AE394" s="3189">
        <v>1</v>
      </c>
      <c r="AF394" s="3189">
        <f>COUNTIF(Principal!$C$35:$J$47,AD394)+COUNTIF(Principal!$C$48:$F$49,AD394)</f>
        <v>0</v>
      </c>
      <c r="AG394" s="3190">
        <f t="shared" si="80"/>
        <v>0</v>
      </c>
      <c r="AH394" s="3215">
        <v>1</v>
      </c>
      <c r="AI394" s="3194" t="s">
        <v>2113</v>
      </c>
      <c r="AJ394" s="3235" t="s">
        <v>1461</v>
      </c>
    </row>
    <row r="395" spans="1:36" ht="12.75" customHeight="1">
      <c r="A395" s="219">
        <v>395</v>
      </c>
      <c r="B395" s="7145"/>
      <c r="C395" s="1676" t="str">
        <f t="shared" si="84"/>
        <v>Ver lo sobrenatural</v>
      </c>
      <c r="D395" s="787">
        <f t="shared" si="83"/>
        <v>-8</v>
      </c>
      <c r="E395" s="47" t="s">
        <v>9556</v>
      </c>
      <c r="F395" s="1669"/>
      <c r="G395" s="1669"/>
      <c r="H395" s="1670"/>
      <c r="I395" s="792"/>
      <c r="J395" s="1674" t="s">
        <v>2649</v>
      </c>
      <c r="N395"/>
      <c r="AB395" s="3204" t="str">
        <f t="shared" si="82"/>
        <v>Con. natural de Vía: Fuego</v>
      </c>
      <c r="AC395" s="3253">
        <f t="shared" si="81"/>
        <v>13</v>
      </c>
      <c r="AD395" s="2731" t="s">
        <v>2172</v>
      </c>
      <c r="AE395" s="3189">
        <v>1</v>
      </c>
      <c r="AF395" s="3189">
        <f>COUNTIF(Principal!$C$35:$J$47,AD395)+COUNTIF(Principal!$C$48:$F$49,AD395)</f>
        <v>0</v>
      </c>
      <c r="AG395" s="3190">
        <f t="shared" si="80"/>
        <v>0</v>
      </c>
      <c r="AH395" s="3215">
        <v>1</v>
      </c>
      <c r="AI395" s="3194" t="s">
        <v>2113</v>
      </c>
      <c r="AJ395" s="3235" t="s">
        <v>1558</v>
      </c>
    </row>
    <row r="396" spans="1:36" ht="12.75" customHeight="1">
      <c r="A396" s="219">
        <v>396</v>
      </c>
      <c r="B396" s="7145"/>
      <c r="C396" s="1676" t="str">
        <f t="shared" si="84"/>
        <v>Versátil</v>
      </c>
      <c r="D396" s="787">
        <f t="shared" si="83"/>
        <v>64</v>
      </c>
      <c r="E396" s="47" t="s">
        <v>2301</v>
      </c>
      <c r="F396" s="1669">
        <v>1</v>
      </c>
      <c r="G396" s="1669">
        <f>COUNTIF(Principal!$C$35:$J$47,Tablas!E396)+COUNTIF(Principal!$C$48:$F$49,Tablas!E396)</f>
        <v>0</v>
      </c>
      <c r="H396" s="1670">
        <f t="shared" ref="H396:H402" si="85">G396*F396</f>
        <v>0</v>
      </c>
      <c r="I396" s="792"/>
      <c r="J396" s="1674" t="s">
        <v>2649</v>
      </c>
      <c r="N396"/>
      <c r="AB396" s="3204" t="str">
        <f t="shared" si="82"/>
        <v>Con. natural de Vía: Ilusión</v>
      </c>
      <c r="AC396" s="3253">
        <f t="shared" si="81"/>
        <v>5</v>
      </c>
      <c r="AD396" s="2731" t="s">
        <v>2173</v>
      </c>
      <c r="AE396" s="3189">
        <v>1</v>
      </c>
      <c r="AF396" s="3189">
        <f>COUNTIF(Principal!$C$35:$J$47,AD396)+COUNTIF(Principal!$C$48:$F$49,AD396)</f>
        <v>0</v>
      </c>
      <c r="AG396" s="3190">
        <f t="shared" si="80"/>
        <v>0</v>
      </c>
      <c r="AH396" s="3215">
        <v>1</v>
      </c>
      <c r="AI396" s="3194" t="s">
        <v>2113</v>
      </c>
      <c r="AJ396" s="3235" t="s">
        <v>1560</v>
      </c>
    </row>
    <row r="397" spans="1:36" ht="12.75" customHeight="1">
      <c r="A397" s="219">
        <v>397</v>
      </c>
      <c r="B397" s="7145"/>
      <c r="C397" s="1676" t="str">
        <f t="shared" si="84"/>
        <v>Visión nocturna</v>
      </c>
      <c r="D397" s="787">
        <f t="shared" si="83"/>
        <v>69</v>
      </c>
      <c r="E397" s="47" t="s">
        <v>5825</v>
      </c>
      <c r="F397" s="1669">
        <v>1</v>
      </c>
      <c r="G397" s="1669">
        <f>COUNTIF(Principal!$C$35:$J$47,Tablas!E397)+COUNTIF(Principal!$C$48:$F$49,Tablas!E397)</f>
        <v>0</v>
      </c>
      <c r="H397" s="1670">
        <f t="shared" si="85"/>
        <v>0</v>
      </c>
      <c r="I397" s="792"/>
      <c r="J397" s="1674" t="s">
        <v>2649</v>
      </c>
      <c r="N397"/>
      <c r="AB397" s="3204" t="str">
        <f t="shared" si="82"/>
        <v>Con. natural de Vía: Luz</v>
      </c>
      <c r="AC397" s="3253">
        <f t="shared" si="81"/>
        <v>6</v>
      </c>
      <c r="AD397" s="2731" t="s">
        <v>2174</v>
      </c>
      <c r="AE397" s="3189">
        <v>1</v>
      </c>
      <c r="AF397" s="3189">
        <f>COUNTIF(Principal!$C$35:$J$47,AD397)+COUNTIF(Principal!$C$48:$F$49,AD397)</f>
        <v>0</v>
      </c>
      <c r="AG397" s="3190">
        <f t="shared" si="80"/>
        <v>0</v>
      </c>
      <c r="AH397" s="3215">
        <v>1</v>
      </c>
      <c r="AI397" s="3194" t="s">
        <v>2113</v>
      </c>
      <c r="AJ397" s="3235" t="s">
        <v>1561</v>
      </c>
    </row>
    <row r="398" spans="1:36" ht="12.75" customHeight="1">
      <c r="A398" s="219">
        <v>398</v>
      </c>
      <c r="B398" s="7145"/>
      <c r="C398" s="1676" t="str">
        <f t="shared" si="84"/>
        <v xml:space="preserve"> &gt; VENTAJAS PERSONALIZADAS</v>
      </c>
      <c r="D398" s="787">
        <f t="shared" si="83"/>
        <v>70</v>
      </c>
      <c r="E398" s="47" t="s">
        <v>2302</v>
      </c>
      <c r="F398" s="1669">
        <v>2</v>
      </c>
      <c r="G398" s="1669">
        <f>COUNTIF(Principal!$C$35:$J$47,Tablas!E398)+COUNTIF(Principal!$C$48:$F$49,Tablas!E398)</f>
        <v>0</v>
      </c>
      <c r="H398" s="1670">
        <f t="shared" si="85"/>
        <v>0</v>
      </c>
      <c r="I398" s="792"/>
      <c r="J398" s="1674" t="s">
        <v>2649</v>
      </c>
      <c r="N398"/>
      <c r="AB398" s="3204" t="str">
        <f t="shared" si="82"/>
        <v>Con. natural de Vía: Nigro.</v>
      </c>
      <c r="AC398" s="3253">
        <f t="shared" si="81"/>
        <v>7</v>
      </c>
      <c r="AD398" s="2731" t="s">
        <v>2175</v>
      </c>
      <c r="AE398" s="3189">
        <v>1</v>
      </c>
      <c r="AF398" s="3189">
        <f>COUNTIF(Principal!$C$35:$J$47,AD398)+COUNTIF(Principal!$C$48:$F$49,AD398)</f>
        <v>0</v>
      </c>
      <c r="AG398" s="3190">
        <f t="shared" si="80"/>
        <v>0</v>
      </c>
      <c r="AH398" s="3215">
        <v>1</v>
      </c>
      <c r="AI398" s="3194" t="s">
        <v>2113</v>
      </c>
      <c r="AJ398" s="3235" t="s">
        <v>1563</v>
      </c>
    </row>
    <row r="399" spans="1:36" ht="12.75" customHeight="1">
      <c r="A399" s="219">
        <v>399</v>
      </c>
      <c r="B399" s="7145"/>
      <c r="C399" s="1676" t="str">
        <f t="shared" si="84"/>
        <v>Ventaja personalizada #1</v>
      </c>
      <c r="D399" s="787">
        <f t="shared" si="83"/>
        <v>71</v>
      </c>
      <c r="E399" s="47" t="s">
        <v>2303</v>
      </c>
      <c r="F399" s="1669">
        <v>3</v>
      </c>
      <c r="G399" s="1669">
        <f>COUNTIF(Principal!$C$35:$J$47,Tablas!E399)+COUNTIF(Principal!$C$48:$F$49,Tablas!E399)</f>
        <v>0</v>
      </c>
      <c r="H399" s="1670">
        <f t="shared" si="85"/>
        <v>0</v>
      </c>
      <c r="I399" s="792"/>
      <c r="J399" s="1674" t="s">
        <v>2649</v>
      </c>
      <c r="N399"/>
      <c r="AB399" s="3204" t="str">
        <f t="shared" si="82"/>
        <v>Con. natural de Vía: Osc.</v>
      </c>
      <c r="AC399" s="3253">
        <f t="shared" si="81"/>
        <v>9</v>
      </c>
      <c r="AD399" s="2731" t="s">
        <v>2176</v>
      </c>
      <c r="AE399" s="3189">
        <v>1</v>
      </c>
      <c r="AF399" s="3189">
        <f>COUNTIF(Principal!$C$35:$J$47,AD399)+COUNTIF(Principal!$C$48:$F$49,AD399)</f>
        <v>0</v>
      </c>
      <c r="AG399" s="3190">
        <f t="shared" si="80"/>
        <v>0</v>
      </c>
      <c r="AH399" s="3215">
        <v>1</v>
      </c>
      <c r="AI399" s="3194" t="s">
        <v>2113</v>
      </c>
      <c r="AJ399" s="3235" t="s">
        <v>1565</v>
      </c>
    </row>
    <row r="400" spans="1:36" ht="12.75" customHeight="1">
      <c r="A400" s="219">
        <v>400</v>
      </c>
      <c r="B400" s="7145"/>
      <c r="C400" s="1676" t="str">
        <f t="shared" si="84"/>
        <v>Ventaja personalizada #2</v>
      </c>
      <c r="D400" s="787">
        <f t="shared" si="83"/>
        <v>57</v>
      </c>
      <c r="E400" s="47" t="s">
        <v>2304</v>
      </c>
      <c r="F400" s="1669">
        <v>1</v>
      </c>
      <c r="G400" s="1669">
        <f>COUNTIF(Principal!$C$35:$J$47,Tablas!E400)+COUNTIF(Principal!$C$48:$F$49,Tablas!E400)</f>
        <v>0</v>
      </c>
      <c r="H400" s="1670">
        <f t="shared" si="85"/>
        <v>0</v>
      </c>
      <c r="I400" s="792">
        <v>1</v>
      </c>
      <c r="J400" s="1674" t="s">
        <v>2649</v>
      </c>
      <c r="N400"/>
      <c r="AB400" s="3204" t="str">
        <f t="shared" si="82"/>
        <v>Con. natural de Vía: Tierra</v>
      </c>
      <c r="AC400" s="3253">
        <f t="shared" si="81"/>
        <v>11</v>
      </c>
      <c r="AD400" s="2731" t="s">
        <v>2177</v>
      </c>
      <c r="AE400" s="3189">
        <v>1</v>
      </c>
      <c r="AF400" s="3189">
        <f>COUNTIF(Principal!$C$35:$J$47,AD400)+COUNTIF(Principal!$C$48:$F$49,AD400)</f>
        <v>0</v>
      </c>
      <c r="AG400" s="3190">
        <f t="shared" si="80"/>
        <v>0</v>
      </c>
      <c r="AH400" s="3215">
        <v>1</v>
      </c>
      <c r="AI400" s="3194" t="s">
        <v>2113</v>
      </c>
      <c r="AJ400" s="3236" t="s">
        <v>1567</v>
      </c>
    </row>
    <row r="401" spans="1:36" ht="12.75" customHeight="1">
      <c r="A401" s="219">
        <v>401</v>
      </c>
      <c r="B401" s="7145"/>
      <c r="C401" s="1676" t="str">
        <f t="shared" si="84"/>
        <v>Ventaja personalizada #3</v>
      </c>
      <c r="D401" s="787">
        <f t="shared" si="83"/>
        <v>58</v>
      </c>
      <c r="E401" s="47" t="s">
        <v>2305</v>
      </c>
      <c r="F401" s="1669">
        <v>2</v>
      </c>
      <c r="G401" s="1669">
        <f>COUNTIF(Principal!$C$35:$J$47,Tablas!E401)+COUNTIF(Principal!$C$48:$F$49,Tablas!E401)</f>
        <v>0</v>
      </c>
      <c r="H401" s="1670">
        <f t="shared" si="85"/>
        <v>0</v>
      </c>
      <c r="I401" s="792">
        <v>1</v>
      </c>
      <c r="J401" s="1674" t="s">
        <v>2649</v>
      </c>
      <c r="N401"/>
      <c r="AB401" s="3204" t="str">
        <f t="shared" si="82"/>
        <v>Des. elemental: Agua</v>
      </c>
      <c r="AC401" s="3253">
        <f t="shared" si="81"/>
        <v>30</v>
      </c>
      <c r="AD401" s="2731" t="s">
        <v>2178</v>
      </c>
      <c r="AE401" s="3189">
        <v>1</v>
      </c>
      <c r="AF401" s="3189">
        <f>COUNTIF(Principal!$C$35:$J$47,AD401)+COUNTIF(Principal!$C$48:$F$49,AD401)</f>
        <v>0</v>
      </c>
      <c r="AG401" s="3190">
        <f t="shared" si="80"/>
        <v>0</v>
      </c>
      <c r="AH401" s="3215">
        <v>1</v>
      </c>
      <c r="AI401" s="3194" t="s">
        <v>2113</v>
      </c>
      <c r="AJ401"/>
    </row>
    <row r="402" spans="1:36" ht="12.75" customHeight="1">
      <c r="A402" s="219">
        <v>402</v>
      </c>
      <c r="B402" s="7145"/>
      <c r="C402" s="1676" t="str">
        <f t="shared" si="84"/>
        <v>Ventaja personalizada #4</v>
      </c>
      <c r="D402" s="787">
        <f t="shared" si="83"/>
        <v>59</v>
      </c>
      <c r="E402" s="47" t="s">
        <v>2306</v>
      </c>
      <c r="F402" s="1669">
        <v>3</v>
      </c>
      <c r="G402" s="1669">
        <f>COUNTIF(Principal!$C$35:$J$47,Tablas!E402)+COUNTIF(Principal!$C$48:$F$49,Tablas!E402)</f>
        <v>0</v>
      </c>
      <c r="H402" s="1670">
        <f t="shared" si="85"/>
        <v>0</v>
      </c>
      <c r="I402" s="792">
        <v>1</v>
      </c>
      <c r="J402" s="1674" t="s">
        <v>2649</v>
      </c>
      <c r="N402"/>
      <c r="AB402" s="3204" t="str">
        <f t="shared" si="82"/>
        <v>Des. elemental: Aire</v>
      </c>
      <c r="AC402" s="3253">
        <f t="shared" si="81"/>
        <v>31</v>
      </c>
      <c r="AD402" s="2731" t="s">
        <v>2179</v>
      </c>
      <c r="AE402" s="3189">
        <v>2</v>
      </c>
      <c r="AF402" s="3189">
        <f>COUNTIF(Principal!$C$35:$J$47,AD402)+COUNTIF(Principal!$C$48:$F$49,AD402)</f>
        <v>0</v>
      </c>
      <c r="AG402" s="3190">
        <f t="shared" si="80"/>
        <v>0</v>
      </c>
      <c r="AH402" s="3215">
        <v>1</v>
      </c>
      <c r="AI402" s="3194" t="s">
        <v>2113</v>
      </c>
      <c r="AJ402"/>
    </row>
    <row r="403" spans="1:36" ht="12.75" customHeight="1">
      <c r="A403" s="219">
        <v>403</v>
      </c>
      <c r="B403" s="7145"/>
      <c r="C403" s="1676" t="e">
        <f t="shared" si="84"/>
        <v>#N/A</v>
      </c>
      <c r="D403" s="787">
        <f t="shared" si="83"/>
        <v>-6</v>
      </c>
      <c r="E403" s="47" t="s">
        <v>9557</v>
      </c>
      <c r="F403" s="1669"/>
      <c r="G403" s="1669"/>
      <c r="H403" s="1670"/>
      <c r="I403" s="792"/>
      <c r="J403" s="1674" t="s">
        <v>2649</v>
      </c>
      <c r="N403"/>
      <c r="AB403" s="3204" t="str">
        <f t="shared" si="82"/>
        <v>Des. elemental: Creación</v>
      </c>
      <c r="AC403" s="3253">
        <f t="shared" si="81"/>
        <v>32</v>
      </c>
      <c r="AD403" s="2731" t="s">
        <v>2180</v>
      </c>
      <c r="AE403" s="3189">
        <v>3</v>
      </c>
      <c r="AF403" s="3189">
        <f>COUNTIF(Principal!$C$35:$J$47,AD403)+COUNTIF(Principal!$C$48:$F$49,AD403)</f>
        <v>0</v>
      </c>
      <c r="AG403" s="3190">
        <f t="shared" si="80"/>
        <v>0</v>
      </c>
      <c r="AH403" s="3215">
        <v>1</v>
      </c>
      <c r="AI403" s="3194" t="s">
        <v>2113</v>
      </c>
      <c r="AJ403"/>
    </row>
    <row r="404" spans="1:36" ht="12.75" customHeight="1">
      <c r="A404" s="219">
        <v>404</v>
      </c>
      <c r="B404" s="7145"/>
      <c r="C404" s="1676" t="e">
        <f t="shared" si="84"/>
        <v>#N/A</v>
      </c>
      <c r="D404" s="787">
        <f t="shared" si="83"/>
        <v>18</v>
      </c>
      <c r="E404" s="47" t="s">
        <v>2310</v>
      </c>
      <c r="F404" s="1669">
        <v>1</v>
      </c>
      <c r="G404" s="1669">
        <f>COUNTIF(Principal!$C$35:$J$47,Tablas!E404)+COUNTIF(Principal!$C$48:$F$49,Tablas!E404)</f>
        <v>0</v>
      </c>
      <c r="H404" s="1670">
        <f>G404*F404</f>
        <v>0</v>
      </c>
      <c r="I404" s="792"/>
      <c r="J404" s="1674" t="s">
        <v>2649</v>
      </c>
      <c r="N404"/>
      <c r="AB404" s="3204" t="str">
        <f t="shared" si="82"/>
        <v>Des. elemental: Destrucción</v>
      </c>
      <c r="AC404" s="3253">
        <f t="shared" si="81"/>
        <v>38</v>
      </c>
      <c r="AD404" s="2731" t="s">
        <v>2181</v>
      </c>
      <c r="AE404" s="3189">
        <v>1</v>
      </c>
      <c r="AF404" s="3189">
        <f>COUNTIF(Principal!$C$35:$J$47,AD404)+COUNTIF(Principal!$C$48:$F$49,AD404)</f>
        <v>0</v>
      </c>
      <c r="AG404" s="3190">
        <f t="shared" si="80"/>
        <v>0</v>
      </c>
      <c r="AH404" s="3215"/>
      <c r="AI404" s="3194" t="s">
        <v>2113</v>
      </c>
      <c r="AJ404"/>
    </row>
    <row r="405" spans="1:36" ht="12.75" customHeight="1">
      <c r="A405" s="219">
        <v>405</v>
      </c>
      <c r="B405" s="7145"/>
      <c r="C405" s="1676" t="e">
        <f t="shared" si="84"/>
        <v>#N/A</v>
      </c>
      <c r="D405" s="787">
        <f>MAX(D261:D404)+1</f>
        <v>136</v>
      </c>
      <c r="E405" s="47" t="s">
        <v>9558</v>
      </c>
      <c r="F405" s="1669"/>
      <c r="G405" s="1669"/>
      <c r="H405" s="1670"/>
      <c r="I405" s="792"/>
      <c r="J405" s="1674" t="s">
        <v>2649</v>
      </c>
      <c r="K405" s="2055"/>
      <c r="N405"/>
      <c r="AB405" s="3204" t="str">
        <f t="shared" si="82"/>
        <v>Des. elemental: Esencia</v>
      </c>
      <c r="AC405" s="3253">
        <f t="shared" si="81"/>
        <v>29</v>
      </c>
      <c r="AD405" s="2731" t="s">
        <v>2182</v>
      </c>
      <c r="AE405" s="3189">
        <v>1</v>
      </c>
      <c r="AF405" s="3189">
        <f>COUNTIF(Principal!$C$35:$J$47,AD405)+COUNTIF(Principal!$C$48:$F$49,AD405)</f>
        <v>0</v>
      </c>
      <c r="AG405" s="3190">
        <f t="shared" si="80"/>
        <v>0</v>
      </c>
      <c r="AH405" s="3215"/>
      <c r="AI405" s="3194" t="s">
        <v>2113</v>
      </c>
      <c r="AJ405"/>
    </row>
    <row r="406" spans="1:36" ht="12.75" customHeight="1">
      <c r="A406" s="219">
        <v>406</v>
      </c>
      <c r="B406" s="7145"/>
      <c r="C406" s="1676" t="e">
        <f t="shared" si="84"/>
        <v>#N/A</v>
      </c>
      <c r="D406" s="787">
        <f>IF(LEN(E406)&gt;0,D405+1,MIN($D$261:D405)-1)</f>
        <v>137</v>
      </c>
      <c r="E406" s="47" t="str">
        <f>IF(Personalización!$C30="","Ventaja personalizada #"&amp;A1,Personalización!$C30)</f>
        <v>Ventaja personalizada #1</v>
      </c>
      <c r="F406" s="1669">
        <f>Personalización!G30</f>
        <v>0</v>
      </c>
      <c r="G406" s="1669">
        <f>COUNTIF(Principal!$C$35:$J$47,Tablas!E406)+COUNTIF(Principal!$C$48:$F$49,Tablas!E406)</f>
        <v>0</v>
      </c>
      <c r="H406" s="1670">
        <f>G406*F406</f>
        <v>0</v>
      </c>
      <c r="I406" s="792"/>
      <c r="J406" s="1674" t="s">
        <v>2649</v>
      </c>
      <c r="K406" s="2055"/>
      <c r="N406"/>
      <c r="AB406" s="3204" t="str">
        <f t="shared" si="82"/>
        <v>Des. elemental: Fuego</v>
      </c>
      <c r="AC406" s="3253">
        <f t="shared" si="81"/>
        <v>28</v>
      </c>
      <c r="AD406" s="2731" t="s">
        <v>2183</v>
      </c>
      <c r="AE406" s="3189">
        <v>1</v>
      </c>
      <c r="AF406" s="3189">
        <f>COUNTIF(Principal!$C$35:$J$47,AD406)+COUNTIF(Principal!$C$48:$F$49,AD406)</f>
        <v>0</v>
      </c>
      <c r="AG406" s="3190">
        <f t="shared" si="80"/>
        <v>0</v>
      </c>
      <c r="AH406" s="3215"/>
      <c r="AI406" s="3194" t="s">
        <v>2113</v>
      </c>
      <c r="AJ406"/>
    </row>
    <row r="407" spans="1:36" ht="12.75" customHeight="1">
      <c r="A407" s="219">
        <v>407</v>
      </c>
      <c r="B407" s="7145"/>
      <c r="C407" s="1676" t="e">
        <f t="shared" si="84"/>
        <v>#N/A</v>
      </c>
      <c r="D407" s="787">
        <f>IF(LEN(E407)&gt;0,D406+1,MIN($D$261:D406)-1)</f>
        <v>138</v>
      </c>
      <c r="E407" s="47" t="str">
        <f>IF(Personalización!$C31="","Ventaja personalizada #"&amp;A2,Personalización!$C31)</f>
        <v>Ventaja personalizada #2</v>
      </c>
      <c r="F407" s="1669">
        <f>Personalización!G31</f>
        <v>0</v>
      </c>
      <c r="G407" s="1669">
        <f>COUNTIF(Principal!$C$35:$J$47,Tablas!E407)+COUNTIF(Principal!$C$48:$F$49,Tablas!E407)</f>
        <v>0</v>
      </c>
      <c r="H407" s="1670">
        <f>G407*F407</f>
        <v>0</v>
      </c>
      <c r="I407" s="792"/>
      <c r="J407" s="1674" t="s">
        <v>2649</v>
      </c>
      <c r="K407" s="2055"/>
      <c r="N407"/>
      <c r="AB407" s="3204" t="str">
        <f t="shared" si="82"/>
        <v>Des. elemental: Ilusión</v>
      </c>
      <c r="AC407" s="3253">
        <f t="shared" si="81"/>
        <v>21</v>
      </c>
      <c r="AD407" s="2731" t="s">
        <v>2184</v>
      </c>
      <c r="AE407" s="3189">
        <v>1</v>
      </c>
      <c r="AF407" s="3189">
        <f>COUNTIF(Principal!$C$35:$J$47,AD407)+COUNTIF(Principal!$C$48:$F$49,AD407)</f>
        <v>0</v>
      </c>
      <c r="AG407" s="3190">
        <f t="shared" si="80"/>
        <v>0</v>
      </c>
      <c r="AH407" s="3215">
        <v>1</v>
      </c>
      <c r="AI407" s="3194" t="s">
        <v>2113</v>
      </c>
      <c r="AJ407"/>
    </row>
    <row r="408" spans="1:36" ht="12.75" customHeight="1">
      <c r="A408" s="219">
        <v>408</v>
      </c>
      <c r="B408" s="7145"/>
      <c r="C408" s="1676" t="e">
        <f t="shared" si="84"/>
        <v>#N/A</v>
      </c>
      <c r="D408" s="787">
        <f>IF(LEN(E408)&gt;0,D407+1,MIN($D$261:D407)-1)</f>
        <v>139</v>
      </c>
      <c r="E408" s="47" t="str">
        <f>IF(Personalización!$C32="","Ventaja personalizada #"&amp;A3,Personalización!$C32)</f>
        <v>Ventaja personalizada #3</v>
      </c>
      <c r="F408" s="1669">
        <f>Personalización!G32</f>
        <v>0</v>
      </c>
      <c r="G408" s="1669">
        <f>COUNTIF(Principal!$C$35:$J$47,Tablas!E408)+COUNTIF(Principal!$C$48:$F$49,Tablas!E408)</f>
        <v>0</v>
      </c>
      <c r="H408" s="1670">
        <f>G408*F408</f>
        <v>0</v>
      </c>
      <c r="I408" s="792"/>
      <c r="J408" s="1674" t="s">
        <v>2649</v>
      </c>
      <c r="K408" s="2055"/>
      <c r="N408"/>
      <c r="AB408" s="3204" t="str">
        <f t="shared" si="82"/>
        <v>Des. elemental: Luz</v>
      </c>
      <c r="AC408" s="3253">
        <f t="shared" si="81"/>
        <v>23</v>
      </c>
      <c r="AD408" s="2731" t="s">
        <v>2185</v>
      </c>
      <c r="AE408" s="3189">
        <v>1</v>
      </c>
      <c r="AF408" s="3189">
        <f>COUNTIF(Principal!$C$35:$J$47,AD408)+COUNTIF(Principal!$C$48:$F$49,AD408)</f>
        <v>0</v>
      </c>
      <c r="AG408" s="3190">
        <f t="shared" si="80"/>
        <v>0</v>
      </c>
      <c r="AH408" s="3215">
        <v>1</v>
      </c>
      <c r="AI408" s="3194" t="s">
        <v>2113</v>
      </c>
      <c r="AJ408"/>
    </row>
    <row r="409" spans="1:36" ht="12.75" customHeight="1">
      <c r="A409" s="219">
        <v>409</v>
      </c>
      <c r="B409" s="7145"/>
      <c r="C409" s="1677" t="e">
        <f t="shared" si="84"/>
        <v>#N/A</v>
      </c>
      <c r="D409" s="787">
        <f>IF(LEN(E409)&gt;0,D408+1,MIN($D$261:D408)-1)</f>
        <v>140</v>
      </c>
      <c r="E409" s="47" t="str">
        <f>IF(Personalización!$C33="","Ventaja personalizada #"&amp;A4,Personalización!$C33)</f>
        <v>Ventaja personalizada #4</v>
      </c>
      <c r="F409" s="1669">
        <f>Personalización!G33</f>
        <v>0</v>
      </c>
      <c r="G409" s="1669">
        <f>COUNTIF(Principal!$C$35:$J$47,Tablas!E409)+COUNTIF(Principal!$C$48:$F$49,Tablas!E409)</f>
        <v>0</v>
      </c>
      <c r="H409" s="1670">
        <f>G409*F409</f>
        <v>0</v>
      </c>
      <c r="I409" s="792"/>
      <c r="J409" s="1674" t="s">
        <v>2649</v>
      </c>
      <c r="K409" s="2055"/>
      <c r="N409"/>
      <c r="AB409" s="3204" t="str">
        <f t="shared" si="82"/>
        <v>Des. elemental: Nigromancia</v>
      </c>
      <c r="AC409" s="3253">
        <f t="shared" si="81"/>
        <v>19</v>
      </c>
      <c r="AD409" s="2731" t="s">
        <v>2186</v>
      </c>
      <c r="AE409" s="3189">
        <v>1</v>
      </c>
      <c r="AF409" s="3189">
        <f>COUNTIF(Principal!$C$35:$J$47,AD409)+COUNTIF(Principal!$C$48:$F$49,AD409)</f>
        <v>0</v>
      </c>
      <c r="AG409" s="3190">
        <f t="shared" si="80"/>
        <v>0</v>
      </c>
      <c r="AH409" s="3215">
        <v>1</v>
      </c>
      <c r="AI409" s="3194" t="s">
        <v>2113</v>
      </c>
      <c r="AJ409"/>
    </row>
    <row r="410" spans="1:36" ht="12.75" customHeight="1">
      <c r="A410" s="219">
        <v>410</v>
      </c>
      <c r="B410" s="7145"/>
      <c r="C410" s="1678"/>
      <c r="D410" s="788"/>
      <c r="E410" s="1679" t="s">
        <v>9559</v>
      </c>
      <c r="F410" s="682"/>
      <c r="G410" s="682"/>
      <c r="H410" s="791"/>
      <c r="I410" s="1671"/>
      <c r="J410" s="1672" t="s">
        <v>2113</v>
      </c>
      <c r="N410"/>
      <c r="AB410" s="3204" t="str">
        <f t="shared" si="82"/>
        <v>Des. elemental: Oscuridad</v>
      </c>
      <c r="AC410" s="3253">
        <f t="shared" si="81"/>
        <v>14</v>
      </c>
      <c r="AD410" s="2731" t="s">
        <v>2187</v>
      </c>
      <c r="AE410" s="3189">
        <v>1</v>
      </c>
      <c r="AF410" s="3189">
        <f>COUNTIF(Principal!$C$35:$J$47,AD410)+COUNTIF(Principal!$C$48:$F$49,AD410)</f>
        <v>0</v>
      </c>
      <c r="AG410" s="3190">
        <f t="shared" si="80"/>
        <v>0</v>
      </c>
      <c r="AH410" s="3215">
        <v>1</v>
      </c>
      <c r="AI410" s="3194" t="s">
        <v>2113</v>
      </c>
      <c r="AJ410"/>
    </row>
    <row r="411" spans="1:36" ht="12.75" customHeight="1">
      <c r="A411" s="219">
        <v>411</v>
      </c>
      <c r="B411" s="7145"/>
      <c r="C411" s="1678"/>
      <c r="D411" s="787">
        <f t="shared" ref="D411:D454" si="86">COUNTIF($E$411:$E$454,"&lt;="&amp;E411)-COUNTIF($E$411:$E$454,"*&gt;*")</f>
        <v>39</v>
      </c>
      <c r="E411" s="47" t="s">
        <v>2163</v>
      </c>
      <c r="F411" s="1669">
        <v>1</v>
      </c>
      <c r="G411" s="1669">
        <f>COUNTIF(Principal!$C$35:$J$47,Tablas!E411)+COUNTIF(Principal!$C$48:$F$49,Tablas!E411)</f>
        <v>0</v>
      </c>
      <c r="H411" s="1670">
        <f t="shared" ref="H411:H443" si="87">G411*F411</f>
        <v>0</v>
      </c>
      <c r="I411" s="792">
        <v>1</v>
      </c>
      <c r="J411" s="1674" t="s">
        <v>2113</v>
      </c>
      <c r="N411"/>
      <c r="AB411" s="3204" t="str">
        <f t="shared" si="82"/>
        <v>Des. elemental: Tierra</v>
      </c>
      <c r="AC411" s="3253">
        <f t="shared" si="81"/>
        <v>15</v>
      </c>
      <c r="AD411" s="2731" t="s">
        <v>2188</v>
      </c>
      <c r="AE411" s="3189">
        <v>1</v>
      </c>
      <c r="AF411" s="3189">
        <f>COUNTIF(Principal!$C$35:$J$47,AD411)+COUNTIF(Principal!$C$48:$F$49,AD411)</f>
        <v>0</v>
      </c>
      <c r="AG411" s="3190">
        <f t="shared" si="80"/>
        <v>0</v>
      </c>
      <c r="AH411" s="3215">
        <v>1</v>
      </c>
      <c r="AI411" s="3194" t="s">
        <v>2113</v>
      </c>
      <c r="AJ411"/>
    </row>
    <row r="412" spans="1:36" ht="12.75" customHeight="1">
      <c r="A412" s="219">
        <v>412</v>
      </c>
      <c r="B412" s="7145"/>
      <c r="C412" s="1678" t="str">
        <f>E410</f>
        <v xml:space="preserve"> &gt; VENTAJAS: DON</v>
      </c>
      <c r="D412" s="787">
        <f t="shared" si="86"/>
        <v>40</v>
      </c>
      <c r="E412" s="47" t="s">
        <v>2164</v>
      </c>
      <c r="F412" s="1669">
        <v>2</v>
      </c>
      <c r="G412" s="1669">
        <f>COUNTIF(Principal!$C$35:$J$47,Tablas!E412)+COUNTIF(Principal!$C$48:$F$49,Tablas!E412)</f>
        <v>0</v>
      </c>
      <c r="H412" s="1670">
        <f t="shared" si="87"/>
        <v>0</v>
      </c>
      <c r="I412" s="792">
        <v>1</v>
      </c>
      <c r="J412" s="1674" t="s">
        <v>2113</v>
      </c>
      <c r="N412"/>
      <c r="AB412" s="3204" t="str">
        <f t="shared" si="82"/>
        <v>Desequilibrio sephirótico</v>
      </c>
      <c r="AC412" s="3253">
        <f t="shared" si="81"/>
        <v>24</v>
      </c>
      <c r="AD412" s="2731" t="s">
        <v>2189</v>
      </c>
      <c r="AE412" s="3189">
        <v>1</v>
      </c>
      <c r="AF412" s="3189">
        <f>COUNTIF(Principal!$C$35:$J$47,AD412)+COUNTIF(Principal!$C$48:$F$49,AD412)</f>
        <v>0</v>
      </c>
      <c r="AG412" s="3190">
        <f t="shared" si="80"/>
        <v>0</v>
      </c>
      <c r="AH412" s="3215">
        <v>1</v>
      </c>
      <c r="AI412" s="3194" t="s">
        <v>2113</v>
      </c>
      <c r="AJ412"/>
    </row>
    <row r="413" spans="1:36" ht="12.75" customHeight="1">
      <c r="A413" s="219">
        <v>413</v>
      </c>
      <c r="B413" s="7145"/>
      <c r="C413" s="1676" t="str">
        <f t="shared" ref="C413:C454" si="88">VLOOKUP(A1,$D$411:$E$454,2,0)</f>
        <v>Aprendizaje mágico gradual</v>
      </c>
      <c r="D413" s="787">
        <f t="shared" si="86"/>
        <v>41</v>
      </c>
      <c r="E413" s="47" t="s">
        <v>2165</v>
      </c>
      <c r="F413" s="1669">
        <v>3</v>
      </c>
      <c r="G413" s="1669">
        <f>COUNTIF(Principal!$C$35:$J$47,Tablas!E413)+COUNTIF(Principal!$C$48:$F$49,Tablas!E413)</f>
        <v>0</v>
      </c>
      <c r="H413" s="1670">
        <f t="shared" si="87"/>
        <v>0</v>
      </c>
      <c r="I413" s="792">
        <v>1</v>
      </c>
      <c r="J413" s="1674" t="s">
        <v>2113</v>
      </c>
      <c r="N413"/>
      <c r="AB413" s="3204" t="str">
        <f t="shared" si="82"/>
        <v>Dicción mágica</v>
      </c>
      <c r="AC413" s="3253">
        <f t="shared" si="81"/>
        <v>16</v>
      </c>
      <c r="AD413" s="2731" t="s">
        <v>2190</v>
      </c>
      <c r="AE413" s="3189">
        <v>1</v>
      </c>
      <c r="AF413" s="3189">
        <f>COUNTIF(Principal!$C$35:$J$47,AD413)+COUNTIF(Principal!$C$48:$F$49,AD413)</f>
        <v>0</v>
      </c>
      <c r="AG413" s="3190">
        <f t="shared" si="80"/>
        <v>0</v>
      </c>
      <c r="AH413" s="3215">
        <v>1</v>
      </c>
      <c r="AI413" s="3194" t="s">
        <v>2113</v>
      </c>
      <c r="AJ413"/>
    </row>
    <row r="414" spans="1:36" ht="12.75" customHeight="1">
      <c r="A414" s="219">
        <v>414</v>
      </c>
      <c r="B414" s="7145"/>
      <c r="C414" s="1676" t="str">
        <f t="shared" si="88"/>
        <v>Apto desarrollo de la magia</v>
      </c>
      <c r="D414" s="787">
        <f t="shared" si="86"/>
        <v>2</v>
      </c>
      <c r="E414" s="47" t="s">
        <v>2166</v>
      </c>
      <c r="F414" s="1669">
        <v>1</v>
      </c>
      <c r="G414" s="1669">
        <f>COUNTIF(Principal!$C$35:$J$47,Tablas!E414)+COUNTIF(Principal!$C$48:$F$49,Tablas!E414)</f>
        <v>0</v>
      </c>
      <c r="H414" s="1670">
        <f t="shared" si="87"/>
        <v>0</v>
      </c>
      <c r="I414" s="792">
        <v>1</v>
      </c>
      <c r="J414" s="1674" t="s">
        <v>2113</v>
      </c>
      <c r="N414"/>
      <c r="AB414" s="3204" t="str">
        <f t="shared" si="82"/>
        <v>Hechicero nato</v>
      </c>
      <c r="AC414" s="3253">
        <f t="shared" si="81"/>
        <v>17</v>
      </c>
      <c r="AD414" s="2731" t="s">
        <v>2191</v>
      </c>
      <c r="AE414" s="3189">
        <v>1</v>
      </c>
      <c r="AF414" s="3189">
        <f>COUNTIF(Principal!$C$35:$J$47,AD414)+COUNTIF(Principal!$C$48:$F$49,AD414)</f>
        <v>0</v>
      </c>
      <c r="AG414" s="3190">
        <f t="shared" si="80"/>
        <v>0</v>
      </c>
      <c r="AH414" s="3215">
        <v>1</v>
      </c>
      <c r="AI414" s="3194" t="s">
        <v>2113</v>
      </c>
      <c r="AJ414"/>
    </row>
    <row r="415" spans="1:36" ht="12.75" customHeight="1">
      <c r="A415" s="219">
        <v>415</v>
      </c>
      <c r="B415" s="7145"/>
      <c r="C415" s="1676" t="str">
        <f t="shared" si="88"/>
        <v>Con. natural de Vía: Agua</v>
      </c>
      <c r="D415" s="787">
        <f t="shared" si="86"/>
        <v>10</v>
      </c>
      <c r="E415" s="47" t="s">
        <v>2167</v>
      </c>
      <c r="F415" s="1669">
        <v>1</v>
      </c>
      <c r="G415" s="1669">
        <f>COUNTIF(Principal!$C$35:$J$47,Tablas!E415)+COUNTIF(Principal!$C$48:$F$49,Tablas!E415)</f>
        <v>0</v>
      </c>
      <c r="H415" s="1670">
        <f t="shared" si="87"/>
        <v>0</v>
      </c>
      <c r="I415" s="792">
        <v>1</v>
      </c>
      <c r="J415" s="1674" t="s">
        <v>2113</v>
      </c>
      <c r="K415" s="1215" t="s">
        <v>1553</v>
      </c>
      <c r="N415"/>
      <c r="AB415" s="3204" t="str">
        <f t="shared" si="82"/>
        <v>Inutilidad oral</v>
      </c>
      <c r="AC415" s="3253">
        <f t="shared" si="81"/>
        <v>18</v>
      </c>
      <c r="AD415" s="2731" t="s">
        <v>2192</v>
      </c>
      <c r="AE415" s="3189">
        <v>1</v>
      </c>
      <c r="AF415" s="3189">
        <f>COUNTIF(Principal!$C$35:$J$47,AD415)+COUNTIF(Principal!$C$48:$F$49,AD415)</f>
        <v>0</v>
      </c>
      <c r="AG415" s="3190">
        <f t="shared" si="80"/>
        <v>0</v>
      </c>
      <c r="AH415" s="3215">
        <v>1</v>
      </c>
      <c r="AI415" s="3194" t="s">
        <v>2113</v>
      </c>
      <c r="AJ415"/>
    </row>
    <row r="416" spans="1:36" ht="12.75" customHeight="1">
      <c r="A416" s="219">
        <v>416</v>
      </c>
      <c r="B416" s="7145"/>
      <c r="C416" s="1676" t="str">
        <f t="shared" si="88"/>
        <v>Con. natural de Vía: Aire</v>
      </c>
      <c r="D416" s="787">
        <f t="shared" si="86"/>
        <v>12</v>
      </c>
      <c r="E416" s="47" t="s">
        <v>2168</v>
      </c>
      <c r="F416" s="1669">
        <v>1</v>
      </c>
      <c r="G416" s="1669">
        <f>COUNTIF(Principal!$C$35:$J$47,Tablas!E416)+COUNTIF(Principal!$C$48:$F$49,Tablas!E416)</f>
        <v>0</v>
      </c>
      <c r="H416" s="1670">
        <f t="shared" si="87"/>
        <v>0</v>
      </c>
      <c r="I416" s="792">
        <v>1</v>
      </c>
      <c r="J416" s="1674" t="s">
        <v>2113</v>
      </c>
      <c r="K416" s="1216" t="s">
        <v>1554</v>
      </c>
      <c r="N416"/>
      <c r="AB416" s="3204" t="str">
        <f t="shared" si="82"/>
        <v>Inutilidad somática</v>
      </c>
      <c r="AC416" s="3253">
        <f t="shared" si="81"/>
        <v>20</v>
      </c>
      <c r="AD416" s="2731" t="s">
        <v>2193</v>
      </c>
      <c r="AE416" s="3189">
        <v>1</v>
      </c>
      <c r="AF416" s="3189">
        <f>COUNTIF(Principal!$C$35:$J$47,AD416)+COUNTIF(Principal!$C$48:$F$49,AD416)</f>
        <v>0</v>
      </c>
      <c r="AG416" s="3190">
        <f t="shared" si="80"/>
        <v>0</v>
      </c>
      <c r="AH416" s="3215">
        <v>1</v>
      </c>
      <c r="AI416" s="3194" t="s">
        <v>2113</v>
      </c>
      <c r="AJ416"/>
    </row>
    <row r="417" spans="1:36" ht="12.75" customHeight="1">
      <c r="A417" s="219">
        <v>417</v>
      </c>
      <c r="B417" s="7145"/>
      <c r="C417" s="1676" t="str">
        <f t="shared" si="88"/>
        <v>Con. natural de Vía: Creación</v>
      </c>
      <c r="D417" s="787">
        <f t="shared" si="86"/>
        <v>8</v>
      </c>
      <c r="E417" s="47" t="s">
        <v>2169</v>
      </c>
      <c r="F417" s="1669">
        <v>1</v>
      </c>
      <c r="G417" s="1669">
        <f>COUNTIF(Principal!$C$35:$J$47,Tablas!E417)+COUNTIF(Principal!$C$48:$F$49,Tablas!E417)</f>
        <v>0</v>
      </c>
      <c r="H417" s="1670">
        <f t="shared" si="87"/>
        <v>0</v>
      </c>
      <c r="I417" s="792">
        <v>1</v>
      </c>
      <c r="J417" s="1674" t="s">
        <v>2113</v>
      </c>
      <c r="K417" s="1216" t="s">
        <v>1468</v>
      </c>
      <c r="N417"/>
      <c r="AB417" s="3204" t="str">
        <f t="shared" si="82"/>
        <v>Magia innata mejorada (1)</v>
      </c>
      <c r="AC417" s="3253">
        <f t="shared" si="81"/>
        <v>22</v>
      </c>
      <c r="AD417" s="2731" t="s">
        <v>2194</v>
      </c>
      <c r="AE417" s="3189">
        <v>1</v>
      </c>
      <c r="AF417" s="3189">
        <f>COUNTIF(Principal!$C$35:$J$47,AD417)+COUNTIF(Principal!$C$48:$F$49,AD417)</f>
        <v>0</v>
      </c>
      <c r="AG417" s="3190">
        <f t="shared" si="80"/>
        <v>0</v>
      </c>
      <c r="AH417" s="3215">
        <v>1</v>
      </c>
      <c r="AI417" s="3194" t="s">
        <v>2113</v>
      </c>
      <c r="AJ417"/>
    </row>
    <row r="418" spans="1:36" ht="12.75" customHeight="1">
      <c r="A418" s="219">
        <v>418</v>
      </c>
      <c r="B418" s="7145"/>
      <c r="C418" s="1676" t="str">
        <f t="shared" si="88"/>
        <v>Con. natural de Vía: Destruc.</v>
      </c>
      <c r="D418" s="787">
        <f t="shared" si="86"/>
        <v>3</v>
      </c>
      <c r="E418" s="47" t="s">
        <v>2170</v>
      </c>
      <c r="F418" s="1669">
        <v>1</v>
      </c>
      <c r="G418" s="1669">
        <f>COUNTIF(Principal!$C$35:$J$47,Tablas!E418)+COUNTIF(Principal!$C$48:$F$49,Tablas!E418)</f>
        <v>0</v>
      </c>
      <c r="H418" s="1670">
        <f t="shared" si="87"/>
        <v>0</v>
      </c>
      <c r="I418" s="792">
        <v>1</v>
      </c>
      <c r="J418" s="1674" t="s">
        <v>2113</v>
      </c>
      <c r="K418" s="1216" t="s">
        <v>1464</v>
      </c>
      <c r="N418"/>
      <c r="AB418" s="3204" t="str">
        <f t="shared" si="82"/>
        <v>Magia innata mejorada (2)</v>
      </c>
      <c r="AC418" s="3253">
        <f t="shared" si="81"/>
        <v>25</v>
      </c>
      <c r="AD418" s="2731" t="s">
        <v>2195</v>
      </c>
      <c r="AE418" s="3189">
        <v>2</v>
      </c>
      <c r="AF418" s="3189">
        <f>COUNTIF(Principal!$C$35:$J$47,AD418)+COUNTIF(Principal!$C$48:$F$49,AD418)</f>
        <v>0</v>
      </c>
      <c r="AG418" s="3190">
        <f t="shared" si="80"/>
        <v>0</v>
      </c>
      <c r="AH418" s="3215">
        <v>1</v>
      </c>
      <c r="AI418" s="3194" t="s">
        <v>2113</v>
      </c>
      <c r="AJ418"/>
    </row>
    <row r="419" spans="1:36" ht="12.75" customHeight="1">
      <c r="A419" s="219">
        <v>419</v>
      </c>
      <c r="B419" s="7145"/>
      <c r="C419" s="1676" t="str">
        <f t="shared" si="88"/>
        <v>Con. natural de Vía: Esencia</v>
      </c>
      <c r="D419" s="787">
        <f t="shared" si="86"/>
        <v>4</v>
      </c>
      <c r="E419" s="47" t="s">
        <v>2171</v>
      </c>
      <c r="F419" s="1669">
        <v>1</v>
      </c>
      <c r="G419" s="1669">
        <f>COUNTIF(Principal!$C$35:$J$47,Tablas!E419)+COUNTIF(Principal!$C$48:$F$49,Tablas!E419)</f>
        <v>0</v>
      </c>
      <c r="H419" s="1670">
        <f t="shared" si="87"/>
        <v>0</v>
      </c>
      <c r="I419" s="792">
        <v>1</v>
      </c>
      <c r="J419" s="1674" t="s">
        <v>2113</v>
      </c>
      <c r="K419" s="1216" t="s">
        <v>1461</v>
      </c>
      <c r="N419"/>
      <c r="AB419" s="3204" t="str">
        <f t="shared" si="82"/>
        <v>Magia innata mejorada (3)</v>
      </c>
      <c r="AC419" s="3253">
        <f t="shared" si="81"/>
        <v>0</v>
      </c>
      <c r="AD419" s="2731" t="s">
        <v>9560</v>
      </c>
      <c r="AE419" s="3189"/>
      <c r="AF419" s="3189"/>
      <c r="AG419" s="3190"/>
      <c r="AH419" s="3215"/>
      <c r="AI419" s="3194" t="s">
        <v>2113</v>
      </c>
      <c r="AJ419"/>
    </row>
    <row r="420" spans="1:36" ht="12.75" customHeight="1">
      <c r="A420" s="219">
        <v>420</v>
      </c>
      <c r="B420" s="7145"/>
      <c r="C420" s="1676" t="str">
        <f t="shared" si="88"/>
        <v>Con. natural de Vía: Fuego</v>
      </c>
      <c r="D420" s="787">
        <f t="shared" si="86"/>
        <v>13</v>
      </c>
      <c r="E420" s="47" t="s">
        <v>2172</v>
      </c>
      <c r="F420" s="1669">
        <v>1</v>
      </c>
      <c r="G420" s="1669">
        <f>COUNTIF(Principal!$C$35:$J$47,Tablas!E420)+COUNTIF(Principal!$C$48:$F$49,Tablas!E420)</f>
        <v>0</v>
      </c>
      <c r="H420" s="1670">
        <f t="shared" si="87"/>
        <v>0</v>
      </c>
      <c r="I420" s="792">
        <v>1</v>
      </c>
      <c r="J420" s="1674" t="s">
        <v>2113</v>
      </c>
      <c r="K420" s="1216" t="s">
        <v>1558</v>
      </c>
      <c r="N420"/>
      <c r="AB420" s="3204" t="str">
        <f t="shared" si="82"/>
        <v>Magia opuesta</v>
      </c>
      <c r="AC420" s="3253">
        <f t="shared" si="81"/>
        <v>33</v>
      </c>
      <c r="AD420" s="2731" t="s">
        <v>2276</v>
      </c>
      <c r="AE420" s="3189">
        <v>1</v>
      </c>
      <c r="AF420" s="3189">
        <f>COUNTIF(Principal!$C$35:$J$47,AD420)+COUNTIF(Principal!$C$48:$F$49,AD420)</f>
        <v>0</v>
      </c>
      <c r="AG420" s="3190">
        <f t="shared" ref="AG420:AG425" si="89">AF420*AE420</f>
        <v>0</v>
      </c>
      <c r="AH420" s="3215">
        <v>1</v>
      </c>
      <c r="AI420" s="3194" t="s">
        <v>2113</v>
      </c>
      <c r="AJ420"/>
    </row>
    <row r="421" spans="1:36" ht="12.75" customHeight="1">
      <c r="A421" s="219">
        <v>421</v>
      </c>
      <c r="B421" s="7145"/>
      <c r="C421" s="1676" t="str">
        <f t="shared" si="88"/>
        <v>Con. natural de Vía: Ilusión</v>
      </c>
      <c r="D421" s="787">
        <f t="shared" si="86"/>
        <v>5</v>
      </c>
      <c r="E421" s="47" t="s">
        <v>2173</v>
      </c>
      <c r="F421" s="1669">
        <v>1</v>
      </c>
      <c r="G421" s="1669">
        <f>COUNTIF(Principal!$C$35:$J$47,Tablas!E421)+COUNTIF(Principal!$C$48:$F$49,Tablas!E421)</f>
        <v>0</v>
      </c>
      <c r="H421" s="1670">
        <f t="shared" si="87"/>
        <v>0</v>
      </c>
      <c r="I421" s="792">
        <v>1</v>
      </c>
      <c r="J421" s="1674" t="s">
        <v>2113</v>
      </c>
      <c r="K421" s="1216" t="s">
        <v>1560</v>
      </c>
      <c r="N421"/>
      <c r="AB421" s="3204" t="str">
        <f t="shared" si="82"/>
        <v>Naturaleza mágica (1)</v>
      </c>
      <c r="AC421" s="3253">
        <f t="shared" si="81"/>
        <v>34</v>
      </c>
      <c r="AD421" s="2731" t="s">
        <v>2277</v>
      </c>
      <c r="AE421" s="3189">
        <v>1</v>
      </c>
      <c r="AF421" s="3189">
        <f>COUNTIF(Principal!$C$35:$J$47,AD421)+COUNTIF(Principal!$C$48:$F$49,AD421)</f>
        <v>0</v>
      </c>
      <c r="AG421" s="3190">
        <f t="shared" si="89"/>
        <v>0</v>
      </c>
      <c r="AH421" s="3215">
        <v>1</v>
      </c>
      <c r="AI421" s="3194" t="s">
        <v>2113</v>
      </c>
      <c r="AJ421"/>
    </row>
    <row r="422" spans="1:36" ht="12.75" customHeight="1">
      <c r="A422" s="219">
        <v>422</v>
      </c>
      <c r="B422" s="7145"/>
      <c r="C422" s="1676" t="str">
        <f t="shared" si="88"/>
        <v>Con. natural de Vía: Luz</v>
      </c>
      <c r="D422" s="787">
        <f t="shared" si="86"/>
        <v>6</v>
      </c>
      <c r="E422" s="47" t="s">
        <v>2174</v>
      </c>
      <c r="F422" s="1669">
        <v>1</v>
      </c>
      <c r="G422" s="1669">
        <f>COUNTIF(Principal!$C$35:$J$47,Tablas!E422)+COUNTIF(Principal!$C$48:$F$49,Tablas!E422)</f>
        <v>0</v>
      </c>
      <c r="H422" s="1670">
        <f t="shared" si="87"/>
        <v>0</v>
      </c>
      <c r="I422" s="792">
        <v>1</v>
      </c>
      <c r="J422" s="1674" t="s">
        <v>2113</v>
      </c>
      <c r="K422" s="1216" t="s">
        <v>1561</v>
      </c>
      <c r="N422"/>
      <c r="AB422" s="3204" t="str">
        <f t="shared" si="82"/>
        <v>Naturaleza mágica (2)</v>
      </c>
      <c r="AC422" s="3253">
        <f t="shared" si="81"/>
        <v>35</v>
      </c>
      <c r="AD422" s="2731" t="s">
        <v>2278</v>
      </c>
      <c r="AE422" s="3189">
        <v>2</v>
      </c>
      <c r="AF422" s="3189">
        <f>COUNTIF(Principal!$C$35:$J$47,AD422)+COUNTIF(Principal!$C$48:$F$49,AD422)</f>
        <v>0</v>
      </c>
      <c r="AG422" s="3190">
        <f t="shared" si="89"/>
        <v>0</v>
      </c>
      <c r="AH422" s="3215">
        <v>1</v>
      </c>
      <c r="AI422" s="3194" t="s">
        <v>2113</v>
      </c>
      <c r="AJ422"/>
    </row>
    <row r="423" spans="1:36" ht="12.75" customHeight="1">
      <c r="A423" s="219">
        <v>423</v>
      </c>
      <c r="B423" s="7145"/>
      <c r="C423" s="1676" t="str">
        <f t="shared" si="88"/>
        <v>Con. natural de Vía: Nigro.</v>
      </c>
      <c r="D423" s="787">
        <f t="shared" si="86"/>
        <v>7</v>
      </c>
      <c r="E423" s="47" t="s">
        <v>2175</v>
      </c>
      <c r="F423" s="1669">
        <v>1</v>
      </c>
      <c r="G423" s="1669">
        <f>COUNTIF(Principal!$C$35:$J$47,Tablas!E423)+COUNTIF(Principal!$C$48:$F$49,Tablas!E423)</f>
        <v>0</v>
      </c>
      <c r="H423" s="1670">
        <f t="shared" si="87"/>
        <v>0</v>
      </c>
      <c r="I423" s="792">
        <v>1</v>
      </c>
      <c r="J423" s="1674" t="s">
        <v>2113</v>
      </c>
      <c r="K423" s="1216" t="s">
        <v>1563</v>
      </c>
      <c r="N423"/>
      <c r="AB423" s="3204" t="str">
        <f t="shared" si="82"/>
        <v>Naturaleza mágica (3)</v>
      </c>
      <c r="AC423" s="3253">
        <f t="shared" si="81"/>
        <v>36</v>
      </c>
      <c r="AD423" s="2731" t="s">
        <v>2279</v>
      </c>
      <c r="AE423" s="3189">
        <v>3</v>
      </c>
      <c r="AF423" s="3189">
        <f>COUNTIF(Principal!$C$35:$J$47,AD423)+COUNTIF(Principal!$C$48:$F$49,AD423)</f>
        <v>0</v>
      </c>
      <c r="AG423" s="3190">
        <f t="shared" si="89"/>
        <v>0</v>
      </c>
      <c r="AH423" s="3215">
        <v>1</v>
      </c>
      <c r="AI423" s="3194" t="s">
        <v>2113</v>
      </c>
      <c r="AJ423"/>
    </row>
    <row r="424" spans="1:36" ht="12.75" customHeight="1">
      <c r="A424" s="219">
        <v>424</v>
      </c>
      <c r="B424" s="7145"/>
      <c r="C424" s="1676" t="str">
        <f t="shared" si="88"/>
        <v>Con. natural de Vía: Osc.</v>
      </c>
      <c r="D424" s="787">
        <f t="shared" si="86"/>
        <v>9</v>
      </c>
      <c r="E424" s="47" t="s">
        <v>2176</v>
      </c>
      <c r="F424" s="1669">
        <v>1</v>
      </c>
      <c r="G424" s="1669">
        <f>COUNTIF(Principal!$C$35:$J$47,Tablas!E424)+COUNTIF(Principal!$C$48:$F$49,Tablas!E424)</f>
        <v>0</v>
      </c>
      <c r="H424" s="1670">
        <f t="shared" si="87"/>
        <v>0</v>
      </c>
      <c r="I424" s="792">
        <v>1</v>
      </c>
      <c r="J424" s="1674" t="s">
        <v>2113</v>
      </c>
      <c r="K424" s="1216" t="s">
        <v>1565</v>
      </c>
      <c r="N424"/>
      <c r="AB424" s="3204" t="str">
        <f t="shared" si="82"/>
        <v>Poder natural</v>
      </c>
      <c r="AC424" s="3253">
        <f t="shared" si="81"/>
        <v>37</v>
      </c>
      <c r="AD424" s="2731" t="s">
        <v>2280</v>
      </c>
      <c r="AE424" s="3189">
        <v>1</v>
      </c>
      <c r="AF424" s="3189">
        <f>COUNTIF(Principal!$C$35:$J$47,AD424)+COUNTIF(Principal!$C$48:$F$49,AD424)</f>
        <v>0</v>
      </c>
      <c r="AG424" s="3190">
        <f t="shared" si="89"/>
        <v>0</v>
      </c>
      <c r="AH424" s="3215"/>
      <c r="AI424" s="3194" t="s">
        <v>2113</v>
      </c>
      <c r="AJ424"/>
    </row>
    <row r="425" spans="1:36" ht="12.75" customHeight="1">
      <c r="A425" s="219">
        <v>425</v>
      </c>
      <c r="B425" s="7145"/>
      <c r="C425" s="1676" t="str">
        <f t="shared" si="88"/>
        <v>Con. natural de Vía: Tierra</v>
      </c>
      <c r="D425" s="787">
        <f t="shared" si="86"/>
        <v>11</v>
      </c>
      <c r="E425" s="47" t="s">
        <v>2177</v>
      </c>
      <c r="F425" s="1669">
        <v>1</v>
      </c>
      <c r="G425" s="1669">
        <f>COUNTIF(Principal!$C$35:$J$47,Tablas!E425)+COUNTIF(Principal!$C$48:$F$49,Tablas!E425)</f>
        <v>0</v>
      </c>
      <c r="H425" s="1670">
        <f t="shared" si="87"/>
        <v>0</v>
      </c>
      <c r="I425" s="792">
        <v>1</v>
      </c>
      <c r="J425" s="1674" t="s">
        <v>2113</v>
      </c>
      <c r="K425" s="1666" t="s">
        <v>1567</v>
      </c>
      <c r="N425"/>
      <c r="AB425" s="3204" t="str">
        <f t="shared" si="82"/>
        <v>Potencial enfrentado</v>
      </c>
      <c r="AC425" s="3253">
        <f t="shared" si="81"/>
        <v>26</v>
      </c>
      <c r="AD425" s="2731" t="s">
        <v>2281</v>
      </c>
      <c r="AE425" s="3189">
        <v>1</v>
      </c>
      <c r="AF425" s="3189">
        <f>COUNTIF(Principal!$C$35:$J$47,AD425)+COUNTIF(Principal!$C$48:$F$49,AD425)</f>
        <v>0</v>
      </c>
      <c r="AG425" s="3190">
        <f t="shared" si="89"/>
        <v>0</v>
      </c>
      <c r="AH425" s="3215"/>
      <c r="AI425" s="3194" t="s">
        <v>2113</v>
      </c>
      <c r="AJ425"/>
    </row>
    <row r="426" spans="1:36" ht="12.75" customHeight="1">
      <c r="A426" s="219">
        <v>426</v>
      </c>
      <c r="B426" s="7145"/>
      <c r="C426" s="1676" t="str">
        <f t="shared" si="88"/>
        <v>Des. elemental: Agua</v>
      </c>
      <c r="D426" s="787">
        <f t="shared" si="86"/>
        <v>30</v>
      </c>
      <c r="E426" s="47" t="s">
        <v>2178</v>
      </c>
      <c r="F426" s="1669">
        <v>1</v>
      </c>
      <c r="G426" s="1669">
        <f>COUNTIF(Principal!$C$35:$J$47,Tablas!E426)+COUNTIF(Principal!$C$48:$F$49,Tablas!E426)</f>
        <v>0</v>
      </c>
      <c r="H426" s="1670">
        <f t="shared" si="87"/>
        <v>0</v>
      </c>
      <c r="I426" s="792">
        <v>1</v>
      </c>
      <c r="J426" s="1674" t="s">
        <v>2113</v>
      </c>
      <c r="N426"/>
      <c r="AB426" s="3204" t="str">
        <f t="shared" si="82"/>
        <v>Rec. superior de magia (1)</v>
      </c>
      <c r="AC426" s="3253">
        <f t="shared" si="81"/>
        <v>-1</v>
      </c>
      <c r="AD426" s="2731" t="s">
        <v>9561</v>
      </c>
      <c r="AE426" s="3189"/>
      <c r="AF426" s="3189"/>
      <c r="AG426" s="3190"/>
      <c r="AH426" s="3215"/>
      <c r="AI426" s="3194" t="s">
        <v>2113</v>
      </c>
      <c r="AJ426"/>
    </row>
    <row r="427" spans="1:36" ht="12.75" customHeight="1">
      <c r="A427" s="219">
        <v>427</v>
      </c>
      <c r="B427" s="7145"/>
      <c r="C427" s="1676" t="str">
        <f t="shared" si="88"/>
        <v>Des. elemental: Aire</v>
      </c>
      <c r="D427" s="787">
        <f t="shared" si="86"/>
        <v>31</v>
      </c>
      <c r="E427" s="47" t="s">
        <v>2179</v>
      </c>
      <c r="F427" s="1669">
        <v>2</v>
      </c>
      <c r="G427" s="1669">
        <f>COUNTIF(Principal!$C$35:$J$47,Tablas!E427)+COUNTIF(Principal!$C$48:$F$49,Tablas!E427)</f>
        <v>0</v>
      </c>
      <c r="H427" s="1670">
        <f t="shared" si="87"/>
        <v>0</v>
      </c>
      <c r="I427" s="792">
        <v>1</v>
      </c>
      <c r="J427" s="1674" t="s">
        <v>2113</v>
      </c>
      <c r="N427"/>
      <c r="AB427" s="3204" t="str">
        <f t="shared" si="82"/>
        <v>Rec. superior de magia (2)</v>
      </c>
      <c r="AC427" s="3253">
        <f t="shared" si="81"/>
        <v>42</v>
      </c>
      <c r="AD427" s="2731" t="s">
        <v>2307</v>
      </c>
      <c r="AE427" s="3189">
        <v>1</v>
      </c>
      <c r="AF427" s="3189">
        <f>COUNTIF(Principal!$C$35:$J$47,AD427)+COUNTIF(Principal!$C$48:$F$49,AD427)</f>
        <v>0</v>
      </c>
      <c r="AG427" s="3190">
        <f>AF427*AE427</f>
        <v>0</v>
      </c>
      <c r="AH427" s="3215"/>
      <c r="AI427" s="3194" t="s">
        <v>2113</v>
      </c>
      <c r="AJ427"/>
    </row>
    <row r="428" spans="1:36" ht="12.75" customHeight="1">
      <c r="A428" s="219">
        <v>428</v>
      </c>
      <c r="B428" s="7145"/>
      <c r="C428" s="1676" t="str">
        <f t="shared" si="88"/>
        <v>Des. elemental: Creación</v>
      </c>
      <c r="D428" s="787">
        <f t="shared" si="86"/>
        <v>32</v>
      </c>
      <c r="E428" s="47" t="s">
        <v>2180</v>
      </c>
      <c r="F428" s="1669">
        <v>3</v>
      </c>
      <c r="G428" s="1669">
        <f>COUNTIF(Principal!$C$35:$J$47,Tablas!E428)+COUNTIF(Principal!$C$48:$F$49,Tablas!E428)</f>
        <v>0</v>
      </c>
      <c r="H428" s="1670">
        <f t="shared" si="87"/>
        <v>0</v>
      </c>
      <c r="I428" s="792">
        <v>1</v>
      </c>
      <c r="J428" s="1674" t="s">
        <v>2113</v>
      </c>
      <c r="N428"/>
      <c r="AB428" s="3204" t="str">
        <f t="shared" si="82"/>
        <v>Rec. superior de magia (3)</v>
      </c>
      <c r="AC428" s="3253">
        <f t="shared" si="81"/>
        <v>27</v>
      </c>
      <c r="AD428" s="2731" t="s">
        <v>2308</v>
      </c>
      <c r="AE428" s="3189">
        <v>1</v>
      </c>
      <c r="AF428" s="3189">
        <f>COUNTIF(Principal!$C$35:$J$47,AD428)+COUNTIF(Principal!$C$48:$F$49,AD428)</f>
        <v>0</v>
      </c>
      <c r="AG428" s="3190">
        <f>AF428*AE428</f>
        <v>0</v>
      </c>
      <c r="AH428" s="3215"/>
      <c r="AI428" s="3194" t="s">
        <v>2113</v>
      </c>
      <c r="AJ428"/>
    </row>
    <row r="429" spans="1:36" ht="12.75" customHeight="1">
      <c r="A429" s="219">
        <v>429</v>
      </c>
      <c r="B429" s="7145"/>
      <c r="C429" s="1676" t="str">
        <f t="shared" si="88"/>
        <v>Des. elemental: Destrucción</v>
      </c>
      <c r="D429" s="787">
        <f t="shared" si="86"/>
        <v>38</v>
      </c>
      <c r="E429" s="47" t="s">
        <v>2181</v>
      </c>
      <c r="F429" s="1669">
        <v>1</v>
      </c>
      <c r="G429" s="1669">
        <f>COUNTIF(Principal!$C$35:$J$47,Tablas!E429)+COUNTIF(Principal!$C$48:$F$49,Tablas!E429)</f>
        <v>0</v>
      </c>
      <c r="H429" s="1670">
        <f t="shared" si="87"/>
        <v>0</v>
      </c>
      <c r="I429" s="792"/>
      <c r="J429" s="1674" t="s">
        <v>2113</v>
      </c>
      <c r="N429"/>
      <c r="AB429" s="3204" t="str">
        <f t="shared" si="82"/>
        <v>Versatilidad metamágica</v>
      </c>
      <c r="AC429" s="3253">
        <f t="shared" si="81"/>
        <v>1</v>
      </c>
      <c r="AD429" s="3205" t="s">
        <v>2309</v>
      </c>
      <c r="AE429" s="3206">
        <v>2</v>
      </c>
      <c r="AF429" s="3189">
        <f>COUNTIF(Principal!$C$35:$J$47,AD429)+COUNTIF(Principal!$C$48:$F$49,AD429)</f>
        <v>0</v>
      </c>
      <c r="AG429" s="3207">
        <f>AF429*AE429</f>
        <v>0</v>
      </c>
      <c r="AH429" s="3224">
        <v>1</v>
      </c>
      <c r="AI429" s="3194" t="s">
        <v>2113</v>
      </c>
      <c r="AJ429"/>
    </row>
    <row r="430" spans="1:36" ht="12.75" customHeight="1">
      <c r="A430" s="219">
        <v>430</v>
      </c>
      <c r="B430" s="7145"/>
      <c r="C430" s="1676" t="str">
        <f t="shared" si="88"/>
        <v>Des. elemental: Esencia</v>
      </c>
      <c r="D430" s="787">
        <f t="shared" si="86"/>
        <v>29</v>
      </c>
      <c r="E430" s="47" t="s">
        <v>2182</v>
      </c>
      <c r="F430" s="1669">
        <v>1</v>
      </c>
      <c r="G430" s="1669">
        <f>COUNTIF(Principal!$C$35:$J$47,Tablas!E430)+COUNTIF(Principal!$C$48:$F$49,Tablas!E430)</f>
        <v>0</v>
      </c>
      <c r="H430" s="1670">
        <f t="shared" si="87"/>
        <v>0</v>
      </c>
      <c r="I430" s="792"/>
      <c r="J430" s="1674" t="s">
        <v>2113</v>
      </c>
      <c r="N430"/>
      <c r="AB430" s="3204" t="e">
        <f t="shared" si="82"/>
        <v>#N/A</v>
      </c>
      <c r="AC430" s="3253">
        <f t="shared" si="81"/>
        <v>-2</v>
      </c>
      <c r="AD430" s="2740"/>
      <c r="AE430" s="3189">
        <v>2</v>
      </c>
      <c r="AF430" s="3189">
        <f>COUNTIF(Principal!$C$35:$J$47,AD430)+COUNTIF(Principal!$C$48:$F$49,AD430)</f>
        <v>0</v>
      </c>
      <c r="AG430" s="3207">
        <f t="shared" ref="AG430:AG436" si="90">AF430*AE430</f>
        <v>0</v>
      </c>
      <c r="AH430" s="3215"/>
      <c r="AI430" s="3194" t="s">
        <v>2113</v>
      </c>
      <c r="AJ430"/>
    </row>
    <row r="431" spans="1:36" ht="12.75" customHeight="1">
      <c r="A431" s="219">
        <v>431</v>
      </c>
      <c r="B431" s="7145"/>
      <c r="C431" s="1676" t="str">
        <f t="shared" si="88"/>
        <v>Des. elemental: Fuego</v>
      </c>
      <c r="D431" s="787">
        <f t="shared" si="86"/>
        <v>28</v>
      </c>
      <c r="E431" s="47" t="s">
        <v>2183</v>
      </c>
      <c r="F431" s="1669">
        <v>1</v>
      </c>
      <c r="G431" s="1669">
        <f>COUNTIF(Principal!$C$35:$J$47,Tablas!E431)+COUNTIF(Principal!$C$48:$F$49,Tablas!E431)</f>
        <v>0</v>
      </c>
      <c r="H431" s="1670">
        <f t="shared" si="87"/>
        <v>0</v>
      </c>
      <c r="I431" s="792"/>
      <c r="J431" s="1674" t="s">
        <v>2113</v>
      </c>
      <c r="N431"/>
      <c r="AB431" s="3204" t="e">
        <f t="shared" si="82"/>
        <v>#N/A</v>
      </c>
      <c r="AC431" s="3253">
        <f t="shared" si="81"/>
        <v>-2</v>
      </c>
      <c r="AD431" s="2740"/>
      <c r="AE431" s="3189">
        <v>1</v>
      </c>
      <c r="AF431" s="3189">
        <f>COUNTIF(Principal!$C$35:$J$47,AD431)+COUNTIF(Principal!$C$48:$F$49,AD431)</f>
        <v>0</v>
      </c>
      <c r="AG431" s="3207">
        <f t="shared" si="90"/>
        <v>0</v>
      </c>
      <c r="AH431" s="3215"/>
      <c r="AI431" s="3194" t="s">
        <v>2113</v>
      </c>
      <c r="AJ431"/>
    </row>
    <row r="432" spans="1:36" ht="12.75" customHeight="1">
      <c r="A432" s="219">
        <v>432</v>
      </c>
      <c r="B432" s="7145"/>
      <c r="C432" s="1676" t="str">
        <f t="shared" si="88"/>
        <v>Des. elemental: Ilusión</v>
      </c>
      <c r="D432" s="787">
        <f t="shared" si="86"/>
        <v>21</v>
      </c>
      <c r="E432" s="47" t="s">
        <v>2184</v>
      </c>
      <c r="F432" s="1669">
        <v>1</v>
      </c>
      <c r="G432" s="1669">
        <f>COUNTIF(Principal!$C$35:$J$47,Tablas!E432)+COUNTIF(Principal!$C$48:$F$49,Tablas!E432)</f>
        <v>0</v>
      </c>
      <c r="H432" s="1670">
        <f t="shared" si="87"/>
        <v>0</v>
      </c>
      <c r="I432" s="792">
        <v>1</v>
      </c>
      <c r="J432" s="1674" t="s">
        <v>2113</v>
      </c>
      <c r="N432"/>
      <c r="AB432" s="3204" t="e">
        <f t="shared" si="82"/>
        <v>#N/A</v>
      </c>
      <c r="AC432" s="3253">
        <f t="shared" si="81"/>
        <v>-2</v>
      </c>
      <c r="AD432" s="2740"/>
      <c r="AE432" s="3189">
        <v>2</v>
      </c>
      <c r="AF432" s="3189">
        <f>COUNTIF(Principal!$C$35:$J$47,AD432)+COUNTIF(Principal!$C$48:$F$49,AD432)</f>
        <v>0</v>
      </c>
      <c r="AG432" s="3207">
        <f t="shared" si="90"/>
        <v>0</v>
      </c>
      <c r="AH432" s="3215"/>
      <c r="AI432" s="3194" t="s">
        <v>2113</v>
      </c>
      <c r="AJ432"/>
    </row>
    <row r="433" spans="1:36" ht="12.75" customHeight="1">
      <c r="A433" s="219">
        <v>433</v>
      </c>
      <c r="B433" s="7145"/>
      <c r="C433" s="1676" t="str">
        <f t="shared" si="88"/>
        <v>Des. elemental: Luz</v>
      </c>
      <c r="D433" s="787">
        <f t="shared" si="86"/>
        <v>23</v>
      </c>
      <c r="E433" s="47" t="s">
        <v>2185</v>
      </c>
      <c r="F433" s="1669">
        <v>1</v>
      </c>
      <c r="G433" s="1669">
        <f>COUNTIF(Principal!$C$35:$J$47,Tablas!E433)+COUNTIF(Principal!$C$48:$F$49,Tablas!E433)</f>
        <v>0</v>
      </c>
      <c r="H433" s="1670">
        <f t="shared" si="87"/>
        <v>0</v>
      </c>
      <c r="I433" s="792">
        <v>1</v>
      </c>
      <c r="J433" s="1674" t="s">
        <v>2113</v>
      </c>
      <c r="N433"/>
      <c r="AB433" s="3204" t="e">
        <f t="shared" si="82"/>
        <v>#N/A</v>
      </c>
      <c r="AC433" s="3253">
        <f t="shared" si="81"/>
        <v>-2</v>
      </c>
      <c r="AD433" s="2740"/>
      <c r="AE433" s="3189">
        <v>1</v>
      </c>
      <c r="AF433" s="3189">
        <f>COUNTIF(Principal!$C$35:$J$47,AD433)+COUNTIF(Principal!$C$48:$F$49,AD433)</f>
        <v>0</v>
      </c>
      <c r="AG433" s="3207">
        <f t="shared" si="90"/>
        <v>0</v>
      </c>
      <c r="AH433" s="3215"/>
      <c r="AI433" s="3194" t="s">
        <v>2113</v>
      </c>
      <c r="AJ433"/>
    </row>
    <row r="434" spans="1:36" ht="12.75" customHeight="1">
      <c r="A434" s="219">
        <v>434</v>
      </c>
      <c r="B434" s="7145"/>
      <c r="C434" s="1676" t="str">
        <f t="shared" si="88"/>
        <v>Des. elemental: Nigromancia</v>
      </c>
      <c r="D434" s="787">
        <f t="shared" si="86"/>
        <v>19</v>
      </c>
      <c r="E434" s="47" t="s">
        <v>2186</v>
      </c>
      <c r="F434" s="1669">
        <v>1</v>
      </c>
      <c r="G434" s="1669">
        <f>COUNTIF(Principal!$C$35:$J$47,Tablas!E434)+COUNTIF(Principal!$C$48:$F$49,Tablas!E434)</f>
        <v>0</v>
      </c>
      <c r="H434" s="1670">
        <f t="shared" si="87"/>
        <v>0</v>
      </c>
      <c r="I434" s="792">
        <v>1</v>
      </c>
      <c r="J434" s="1674" t="s">
        <v>2113</v>
      </c>
      <c r="N434"/>
      <c r="AB434" s="3204" t="e">
        <f t="shared" si="82"/>
        <v>#N/A</v>
      </c>
      <c r="AC434" s="3253">
        <f t="shared" si="81"/>
        <v>-2</v>
      </c>
      <c r="AD434" s="2740"/>
      <c r="AE434" s="3189">
        <v>1</v>
      </c>
      <c r="AF434" s="3189">
        <f>COUNTIF(Principal!$C$35:$J$47,AD434)+COUNTIF(Principal!$C$48:$F$49,AD434)</f>
        <v>0</v>
      </c>
      <c r="AG434" s="3207">
        <f t="shared" si="90"/>
        <v>0</v>
      </c>
      <c r="AH434" s="3215"/>
      <c r="AI434" s="3194" t="s">
        <v>2113</v>
      </c>
      <c r="AJ434"/>
    </row>
    <row r="435" spans="1:36" ht="12.75" customHeight="1">
      <c r="A435" s="219">
        <v>435</v>
      </c>
      <c r="B435" s="7145"/>
      <c r="C435" s="1676" t="str">
        <f t="shared" si="88"/>
        <v>Des. elemental: Oscuridad</v>
      </c>
      <c r="D435" s="787">
        <f t="shared" si="86"/>
        <v>14</v>
      </c>
      <c r="E435" s="47" t="s">
        <v>2187</v>
      </c>
      <c r="F435" s="1669">
        <v>1</v>
      </c>
      <c r="G435" s="1669">
        <f>COUNTIF(Principal!$C$35:$J$47,Tablas!E435)+COUNTIF(Principal!$C$48:$F$49,Tablas!E435)</f>
        <v>0</v>
      </c>
      <c r="H435" s="1670">
        <f t="shared" si="87"/>
        <v>0</v>
      </c>
      <c r="I435" s="792">
        <v>1</v>
      </c>
      <c r="J435" s="1674" t="s">
        <v>2113</v>
      </c>
      <c r="N435"/>
      <c r="AB435" s="3204" t="e">
        <f t="shared" si="82"/>
        <v>#N/A</v>
      </c>
      <c r="AC435" s="3253">
        <f t="shared" si="81"/>
        <v>-2</v>
      </c>
      <c r="AD435" s="2740"/>
      <c r="AE435" s="3189">
        <v>2</v>
      </c>
      <c r="AF435" s="3189">
        <f>COUNTIF(Principal!$C$35:$J$47,AD435)+COUNTIF(Principal!$C$48:$F$49,AD435)</f>
        <v>0</v>
      </c>
      <c r="AG435" s="3207">
        <f t="shared" si="90"/>
        <v>0</v>
      </c>
      <c r="AH435" s="3215"/>
      <c r="AI435" s="3194" t="s">
        <v>2113</v>
      </c>
      <c r="AJ435"/>
    </row>
    <row r="436" spans="1:36" ht="12.75" customHeight="1">
      <c r="A436" s="219">
        <v>436</v>
      </c>
      <c r="B436" s="7145"/>
      <c r="C436" s="1676" t="str">
        <f t="shared" si="88"/>
        <v>Des. elemental: Tierra</v>
      </c>
      <c r="D436" s="787">
        <f t="shared" si="86"/>
        <v>15</v>
      </c>
      <c r="E436" s="47" t="s">
        <v>2188</v>
      </c>
      <c r="F436" s="1669">
        <v>1</v>
      </c>
      <c r="G436" s="1669">
        <f>COUNTIF(Principal!$C$35:$J$47,Tablas!E436)+COUNTIF(Principal!$C$48:$F$49,Tablas!E436)</f>
        <v>0</v>
      </c>
      <c r="H436" s="1670">
        <f t="shared" si="87"/>
        <v>0</v>
      </c>
      <c r="I436" s="792">
        <v>1</v>
      </c>
      <c r="J436" s="1674" t="s">
        <v>2113</v>
      </c>
      <c r="N436"/>
      <c r="AB436" s="3204" t="e">
        <f t="shared" si="82"/>
        <v>#N/A</v>
      </c>
      <c r="AC436" s="3253">
        <f t="shared" si="81"/>
        <v>-2</v>
      </c>
      <c r="AD436" s="2740"/>
      <c r="AE436" s="3189">
        <v>1</v>
      </c>
      <c r="AF436" s="3189">
        <f>COUNTIF(Principal!$C$35:$J$47,AD436)+COUNTIF(Principal!$C$48:$F$49,AD436)</f>
        <v>0</v>
      </c>
      <c r="AG436" s="3207">
        <f t="shared" si="90"/>
        <v>0</v>
      </c>
      <c r="AH436" s="3215"/>
      <c r="AI436" s="3194" t="s">
        <v>2113</v>
      </c>
      <c r="AJ436"/>
    </row>
    <row r="437" spans="1:36" ht="12.75" customHeight="1">
      <c r="A437" s="219">
        <v>437</v>
      </c>
      <c r="B437" s="7145"/>
      <c r="C437" s="1676" t="str">
        <f t="shared" si="88"/>
        <v>Desequilibrio sephirótico</v>
      </c>
      <c r="D437" s="787">
        <f t="shared" si="86"/>
        <v>24</v>
      </c>
      <c r="E437" s="47" t="s">
        <v>2189</v>
      </c>
      <c r="F437" s="1669">
        <v>1</v>
      </c>
      <c r="G437" s="1669">
        <f>COUNTIF(Principal!$C$35:$J$47,Tablas!E437)+COUNTIF(Principal!$C$48:$F$49,Tablas!E437)</f>
        <v>0</v>
      </c>
      <c r="H437" s="1670">
        <f t="shared" si="87"/>
        <v>0</v>
      </c>
      <c r="I437" s="792">
        <v>1</v>
      </c>
      <c r="J437" s="1674" t="s">
        <v>2113</v>
      </c>
      <c r="N437"/>
      <c r="AB437" s="3237" t="str">
        <f>AD437</f>
        <v xml:space="preserve"> &gt; VENTAJAS: PSIQUICOS</v>
      </c>
      <c r="AC437" s="3238">
        <f t="shared" ref="AC437:AC483" si="91">COUNTIF($AD$438:$AD$483,"&lt;="&amp;AD437)-COUNTIF($AD$438:$AD$483,"*&gt;*")</f>
        <v>0</v>
      </c>
      <c r="AD437" s="2731" t="s">
        <v>9562</v>
      </c>
      <c r="AE437" s="3189"/>
      <c r="AF437" s="3189"/>
      <c r="AG437" s="3190"/>
      <c r="AH437" s="3215"/>
      <c r="AI437" s="3194" t="s">
        <v>6163</v>
      </c>
      <c r="AJ437"/>
    </row>
    <row r="438" spans="1:36" ht="12.75" customHeight="1">
      <c r="A438" s="219">
        <v>438</v>
      </c>
      <c r="B438" s="7145"/>
      <c r="C438" s="1676" t="str">
        <f t="shared" si="88"/>
        <v>Dicción mágica</v>
      </c>
      <c r="D438" s="787">
        <f t="shared" si="86"/>
        <v>16</v>
      </c>
      <c r="E438" s="47" t="s">
        <v>2190</v>
      </c>
      <c r="F438" s="1669">
        <v>1</v>
      </c>
      <c r="G438" s="1669">
        <f>COUNTIF(Principal!$C$35:$J$47,Tablas!E438)+COUNTIF(Principal!$C$48:$F$49,Tablas!E438)</f>
        <v>0</v>
      </c>
      <c r="H438" s="1670">
        <f t="shared" si="87"/>
        <v>0</v>
      </c>
      <c r="I438" s="792">
        <v>1</v>
      </c>
      <c r="J438" s="1674" t="s">
        <v>2113</v>
      </c>
      <c r="N438"/>
      <c r="AB438" s="3204" t="str">
        <f t="shared" ref="AB438:AB483" si="92">VLOOKUP(A1,$AC$438:$AD$483,2,0)</f>
        <v>Aceleración psicológica</v>
      </c>
      <c r="AC438" s="3188">
        <f t="shared" si="91"/>
        <v>9</v>
      </c>
      <c r="AD438" s="2731" t="s">
        <v>2196</v>
      </c>
      <c r="AE438" s="3189">
        <v>1</v>
      </c>
      <c r="AF438" s="3189">
        <f>COUNTIF(Principal!$C$35:$J$47,AD438)+COUNTIF(Principal!$C$48:$F$49,AD438)</f>
        <v>0</v>
      </c>
      <c r="AG438" s="3190">
        <f t="shared" ref="AG438:AG456" si="93">AF438*AE438</f>
        <v>0</v>
      </c>
      <c r="AH438" s="3215">
        <v>1</v>
      </c>
      <c r="AI438" s="3194" t="s">
        <v>6163</v>
      </c>
      <c r="AJ438"/>
    </row>
    <row r="439" spans="1:36" ht="12.75" customHeight="1">
      <c r="A439" s="219">
        <v>439</v>
      </c>
      <c r="B439" s="7145"/>
      <c r="C439" s="1676" t="str">
        <f t="shared" si="88"/>
        <v>Hechicero nato</v>
      </c>
      <c r="D439" s="787">
        <f t="shared" si="86"/>
        <v>17</v>
      </c>
      <c r="E439" s="47" t="s">
        <v>2191</v>
      </c>
      <c r="F439" s="1669">
        <v>1</v>
      </c>
      <c r="G439" s="1669">
        <f>COUNTIF(Principal!$C$35:$J$47,Tablas!E439)+COUNTIF(Principal!$C$48:$F$49,Tablas!E439)</f>
        <v>0</v>
      </c>
      <c r="H439" s="1670">
        <f t="shared" si="87"/>
        <v>0</v>
      </c>
      <c r="I439" s="792">
        <v>1</v>
      </c>
      <c r="J439" s="1674" t="s">
        <v>2113</v>
      </c>
      <c r="N439"/>
      <c r="AB439" s="3204" t="str">
        <f t="shared" si="92"/>
        <v>Ambivalencia psíquica</v>
      </c>
      <c r="AC439" s="3188">
        <f t="shared" si="91"/>
        <v>5</v>
      </c>
      <c r="AD439" s="2731" t="s">
        <v>2197</v>
      </c>
      <c r="AE439" s="3189">
        <v>1</v>
      </c>
      <c r="AF439" s="3189">
        <f>COUNTIF(Principal!$C$35:$J$47,AD439)+COUNTIF(Principal!$C$48:$F$49,AD439)</f>
        <v>0</v>
      </c>
      <c r="AG439" s="3190">
        <f t="shared" si="93"/>
        <v>0</v>
      </c>
      <c r="AH439" s="3215">
        <v>1</v>
      </c>
      <c r="AI439" s="3194" t="s">
        <v>6163</v>
      </c>
      <c r="AJ439"/>
    </row>
    <row r="440" spans="1:36" ht="12.75" customHeight="1">
      <c r="A440" s="219">
        <v>440</v>
      </c>
      <c r="B440" s="7145"/>
      <c r="C440" s="1676" t="str">
        <f t="shared" si="88"/>
        <v>Inutilidad oral</v>
      </c>
      <c r="D440" s="787">
        <f t="shared" si="86"/>
        <v>18</v>
      </c>
      <c r="E440" s="47" t="s">
        <v>2192</v>
      </c>
      <c r="F440" s="1669">
        <v>1</v>
      </c>
      <c r="G440" s="1669">
        <f>COUNTIF(Principal!$C$35:$J$47,Tablas!E440)+COUNTIF(Principal!$C$48:$F$49,Tablas!E440)</f>
        <v>0</v>
      </c>
      <c r="H440" s="1670">
        <f t="shared" si="87"/>
        <v>0</v>
      </c>
      <c r="I440" s="792">
        <v>1</v>
      </c>
      <c r="J440" s="1674" t="s">
        <v>2113</v>
      </c>
      <c r="N440"/>
      <c r="AB440" s="3204" t="str">
        <f t="shared" si="92"/>
        <v>Bipolaridad (1)</v>
      </c>
      <c r="AC440" s="3188">
        <f t="shared" si="91"/>
        <v>38</v>
      </c>
      <c r="AD440" s="2731" t="s">
        <v>1619</v>
      </c>
      <c r="AE440" s="3189">
        <v>2</v>
      </c>
      <c r="AF440" s="3189">
        <f>COUNTIF(Principal!$C$35:$J$47,AD440)+COUNTIF(Principal!$C$48:$F$49,AD440)</f>
        <v>0</v>
      </c>
      <c r="AG440" s="3190">
        <f t="shared" si="93"/>
        <v>0</v>
      </c>
      <c r="AH440" s="3215"/>
      <c r="AI440" s="3194" t="s">
        <v>6163</v>
      </c>
      <c r="AJ440"/>
    </row>
    <row r="441" spans="1:36" ht="12.75" customHeight="1">
      <c r="A441" s="219">
        <v>441</v>
      </c>
      <c r="B441" s="7145"/>
      <c r="C441" s="1676" t="str">
        <f t="shared" si="88"/>
        <v>Inutilidad somática</v>
      </c>
      <c r="D441" s="787">
        <f t="shared" si="86"/>
        <v>20</v>
      </c>
      <c r="E441" s="47" t="s">
        <v>2193</v>
      </c>
      <c r="F441" s="1669">
        <v>1</v>
      </c>
      <c r="G441" s="1669">
        <f>COUNTIF(Principal!$C$35:$J$47,Tablas!E441)+COUNTIF(Principal!$C$48:$F$49,Tablas!E441)</f>
        <v>0</v>
      </c>
      <c r="H441" s="1670">
        <f t="shared" si="87"/>
        <v>0</v>
      </c>
      <c r="I441" s="792">
        <v>1</v>
      </c>
      <c r="J441" s="1674" t="s">
        <v>2113</v>
      </c>
      <c r="N441"/>
      <c r="AB441" s="3204" t="str">
        <f t="shared" si="92"/>
        <v>Bipolaridad (2)</v>
      </c>
      <c r="AC441" s="3188">
        <f t="shared" si="91"/>
        <v>44</v>
      </c>
      <c r="AD441" s="2731" t="s">
        <v>2198</v>
      </c>
      <c r="AE441" s="3189">
        <v>1</v>
      </c>
      <c r="AF441" s="3189">
        <f>COUNTIF(Principal!$C$35:$J$47,AD441)+COUNTIF(Principal!$C$48:$F$49,AD441)</f>
        <v>0</v>
      </c>
      <c r="AG441" s="3190">
        <f t="shared" si="93"/>
        <v>0</v>
      </c>
      <c r="AH441" s="3215"/>
      <c r="AI441" s="3194" t="s">
        <v>6163</v>
      </c>
      <c r="AJ441"/>
    </row>
    <row r="442" spans="1:36" ht="12.75" customHeight="1">
      <c r="A442" s="219">
        <v>442</v>
      </c>
      <c r="B442" s="7145"/>
      <c r="C442" s="1676" t="str">
        <f t="shared" si="88"/>
        <v>Magia innata mejorada (1)</v>
      </c>
      <c r="D442" s="787">
        <f t="shared" si="86"/>
        <v>22</v>
      </c>
      <c r="E442" s="47" t="s">
        <v>2194</v>
      </c>
      <c r="F442" s="1669">
        <v>1</v>
      </c>
      <c r="G442" s="1669">
        <f>COUNTIF(Principal!$C$35:$J$47,Tablas!E442)+COUNTIF(Principal!$C$48:$F$49,Tablas!E442)</f>
        <v>0</v>
      </c>
      <c r="H442" s="1670">
        <f t="shared" si="87"/>
        <v>0</v>
      </c>
      <c r="I442" s="792">
        <v>1</v>
      </c>
      <c r="J442" s="1674" t="s">
        <v>2113</v>
      </c>
      <c r="N442"/>
      <c r="AB442" s="3204" t="str">
        <f t="shared" si="92"/>
        <v>Calibre</v>
      </c>
      <c r="AC442" s="3188">
        <f t="shared" si="91"/>
        <v>41</v>
      </c>
      <c r="AD442" s="2731" t="s">
        <v>2199</v>
      </c>
      <c r="AE442" s="3189">
        <v>1</v>
      </c>
      <c r="AF442" s="3189">
        <f>COUNTIF(Principal!$C$35:$J$47,AD442)+COUNTIF(Principal!$C$48:$F$49,AD442)</f>
        <v>0</v>
      </c>
      <c r="AG442" s="3190">
        <f t="shared" si="93"/>
        <v>0</v>
      </c>
      <c r="AH442" s="3215"/>
      <c r="AI442" s="3194" t="s">
        <v>6163</v>
      </c>
      <c r="AJ442"/>
    </row>
    <row r="443" spans="1:36" ht="12.75" customHeight="1">
      <c r="A443" s="219">
        <v>443</v>
      </c>
      <c r="B443" s="7145"/>
      <c r="C443" s="1676" t="str">
        <f t="shared" si="88"/>
        <v>Magia innata mejorada (2)</v>
      </c>
      <c r="D443" s="787">
        <f t="shared" si="86"/>
        <v>25</v>
      </c>
      <c r="E443" s="47" t="s">
        <v>2195</v>
      </c>
      <c r="F443" s="1669">
        <v>2</v>
      </c>
      <c r="G443" s="1669">
        <f>COUNTIF(Principal!$C$35:$J$47,Tablas!E443)+COUNTIF(Principal!$C$48:$F$49,Tablas!E443)</f>
        <v>0</v>
      </c>
      <c r="H443" s="1670">
        <f t="shared" si="87"/>
        <v>0</v>
      </c>
      <c r="I443" s="792">
        <v>1</v>
      </c>
      <c r="J443" s="1674" t="s">
        <v>2113</v>
      </c>
      <c r="N443"/>
      <c r="AB443" s="3204" t="str">
        <f t="shared" si="92"/>
        <v>Con. psíquico innato (1)</v>
      </c>
      <c r="AC443" s="3188">
        <f t="shared" si="91"/>
        <v>42</v>
      </c>
      <c r="AD443" s="2731" t="s">
        <v>2200</v>
      </c>
      <c r="AE443" s="3189">
        <v>2</v>
      </c>
      <c r="AF443" s="3189">
        <f>COUNTIF(Principal!$C$35:$J$47,AD443)+COUNTIF(Principal!$C$48:$F$49,AD443)</f>
        <v>0</v>
      </c>
      <c r="AG443" s="3190">
        <f t="shared" si="93"/>
        <v>0</v>
      </c>
      <c r="AH443" s="3215"/>
      <c r="AI443" s="3194" t="s">
        <v>6163</v>
      </c>
      <c r="AJ443"/>
    </row>
    <row r="444" spans="1:36" ht="12.75" customHeight="1">
      <c r="A444" s="219">
        <v>444</v>
      </c>
      <c r="B444" s="7145"/>
      <c r="C444" s="1676" t="str">
        <f t="shared" si="88"/>
        <v>Magia innata mejorada (3)</v>
      </c>
      <c r="D444" s="787">
        <f t="shared" si="86"/>
        <v>0</v>
      </c>
      <c r="E444" s="47" t="s">
        <v>9560</v>
      </c>
      <c r="F444" s="1669"/>
      <c r="G444" s="1669"/>
      <c r="H444" s="1670"/>
      <c r="I444" s="792"/>
      <c r="J444" s="1674" t="s">
        <v>2113</v>
      </c>
      <c r="N444"/>
      <c r="AB444" s="3204" t="str">
        <f t="shared" si="92"/>
        <v>Con. psíquico innato (2)</v>
      </c>
      <c r="AC444" s="3188">
        <f t="shared" si="91"/>
        <v>43</v>
      </c>
      <c r="AD444" s="2731" t="s">
        <v>2201</v>
      </c>
      <c r="AE444" s="3189">
        <v>3</v>
      </c>
      <c r="AF444" s="3189">
        <f>COUNTIF(Principal!$C$35:$J$47,AD444)+COUNTIF(Principal!$C$48:$F$49,AD444)</f>
        <v>0</v>
      </c>
      <c r="AG444" s="3190">
        <f t="shared" si="93"/>
        <v>0</v>
      </c>
      <c r="AH444" s="3215"/>
      <c r="AI444" s="3194" t="s">
        <v>6163</v>
      </c>
      <c r="AJ444"/>
    </row>
    <row r="445" spans="1:36" ht="12.75" customHeight="1">
      <c r="A445" s="219">
        <v>445</v>
      </c>
      <c r="B445" s="7145"/>
      <c r="C445" s="1676" t="str">
        <f t="shared" si="88"/>
        <v>Magia opuesta</v>
      </c>
      <c r="D445" s="787">
        <f t="shared" si="86"/>
        <v>33</v>
      </c>
      <c r="E445" s="47" t="s">
        <v>2276</v>
      </c>
      <c r="F445" s="1669">
        <v>1</v>
      </c>
      <c r="G445" s="1669">
        <f>COUNTIF(Principal!$C$35:$J$47,Tablas!E445)+COUNTIF(Principal!$C$48:$F$49,Tablas!E445)</f>
        <v>0</v>
      </c>
      <c r="H445" s="1670">
        <f t="shared" ref="H445:H450" si="94">G445*F445</f>
        <v>0</v>
      </c>
      <c r="I445" s="792">
        <v>1</v>
      </c>
      <c r="J445" s="1674" t="s">
        <v>2113</v>
      </c>
      <c r="N445"/>
      <c r="AB445" s="3204" t="str">
        <f t="shared" si="92"/>
        <v>Con. psíquico innato (3)</v>
      </c>
      <c r="AC445" s="3188">
        <f t="shared" si="91"/>
        <v>31</v>
      </c>
      <c r="AD445" s="2731" t="s">
        <v>2202</v>
      </c>
      <c r="AE445" s="3189">
        <v>2</v>
      </c>
      <c r="AF445" s="3189">
        <f>COUNTIF(Principal!$C$35:$J$47,AD445)+COUNTIF(Principal!$C$48:$F$49,AD445)</f>
        <v>0</v>
      </c>
      <c r="AG445" s="3190">
        <f t="shared" si="93"/>
        <v>0</v>
      </c>
      <c r="AH445" s="3215">
        <v>1</v>
      </c>
      <c r="AI445" s="3194" t="s">
        <v>6163</v>
      </c>
      <c r="AJ445"/>
    </row>
    <row r="446" spans="1:36" ht="12.75" customHeight="1">
      <c r="A446" s="219">
        <v>446</v>
      </c>
      <c r="B446" s="7145"/>
      <c r="C446" s="1676" t="str">
        <f t="shared" si="88"/>
        <v>Naturaleza mágica (1)</v>
      </c>
      <c r="D446" s="787">
        <f t="shared" si="86"/>
        <v>34</v>
      </c>
      <c r="E446" s="47" t="s">
        <v>2277</v>
      </c>
      <c r="F446" s="1669">
        <v>1</v>
      </c>
      <c r="G446" s="1669">
        <f>COUNTIF(Principal!$C$35:$J$47,Tablas!E446)+COUNTIF(Principal!$C$48:$F$49,Tablas!E446)</f>
        <v>0</v>
      </c>
      <c r="H446" s="1670">
        <f t="shared" si="94"/>
        <v>0</v>
      </c>
      <c r="I446" s="792">
        <v>1</v>
      </c>
      <c r="J446" s="1674" t="s">
        <v>2113</v>
      </c>
      <c r="N446"/>
      <c r="AB446" s="3204" t="str">
        <f t="shared" si="92"/>
        <v>Concentración extrema</v>
      </c>
      <c r="AC446" s="3188">
        <f t="shared" si="91"/>
        <v>27</v>
      </c>
      <c r="AD446" s="2731" t="s">
        <v>2203</v>
      </c>
      <c r="AE446" s="3189">
        <v>2</v>
      </c>
      <c r="AF446" s="3189">
        <f>COUNTIF(Principal!$C$35:$J$47,AD446)+COUNTIF(Principal!$C$48:$F$49,AD446)</f>
        <v>0</v>
      </c>
      <c r="AG446" s="3190">
        <f t="shared" si="93"/>
        <v>0</v>
      </c>
      <c r="AH446" s="3215">
        <v>1</v>
      </c>
      <c r="AI446" s="3194" t="s">
        <v>6163</v>
      </c>
      <c r="AJ446"/>
    </row>
    <row r="447" spans="1:36" ht="12.75" customHeight="1">
      <c r="A447" s="219">
        <v>447</v>
      </c>
      <c r="B447" s="7145"/>
      <c r="C447" s="1676" t="str">
        <f t="shared" si="88"/>
        <v>Naturaleza mágica (2)</v>
      </c>
      <c r="D447" s="787">
        <f t="shared" si="86"/>
        <v>35</v>
      </c>
      <c r="E447" s="47" t="s">
        <v>2278</v>
      </c>
      <c r="F447" s="1669">
        <v>2</v>
      </c>
      <c r="G447" s="1669">
        <f>COUNTIF(Principal!$C$35:$J$47,Tablas!E447)+COUNTIF(Principal!$C$48:$F$49,Tablas!E447)</f>
        <v>0</v>
      </c>
      <c r="H447" s="1670">
        <f t="shared" si="94"/>
        <v>0</v>
      </c>
      <c r="I447" s="792">
        <v>1</v>
      </c>
      <c r="J447" s="1674" t="s">
        <v>2113</v>
      </c>
      <c r="N447"/>
      <c r="AB447" s="3204" t="str">
        <f t="shared" si="92"/>
        <v>Concentración pasiva</v>
      </c>
      <c r="AC447" s="3188">
        <f t="shared" si="91"/>
        <v>35</v>
      </c>
      <c r="AD447" s="2731" t="s">
        <v>2204</v>
      </c>
      <c r="AE447" s="3189">
        <v>2</v>
      </c>
      <c r="AF447" s="3189">
        <f>COUNTIF(Principal!$C$35:$J$47,AD447)+COUNTIF(Principal!$C$48:$F$49,AD447)</f>
        <v>0</v>
      </c>
      <c r="AG447" s="3190">
        <f t="shared" si="93"/>
        <v>0</v>
      </c>
      <c r="AH447" s="3215">
        <v>1</v>
      </c>
      <c r="AI447" s="3194" t="s">
        <v>6163</v>
      </c>
      <c r="AJ447"/>
    </row>
    <row r="448" spans="1:36" ht="12.75" customHeight="1">
      <c r="A448" s="219">
        <v>448</v>
      </c>
      <c r="B448" s="7145"/>
      <c r="C448" s="1676" t="str">
        <f t="shared" si="88"/>
        <v>Naturaleza mágica (3)</v>
      </c>
      <c r="D448" s="787">
        <f t="shared" si="86"/>
        <v>36</v>
      </c>
      <c r="E448" s="47" t="s">
        <v>2279</v>
      </c>
      <c r="F448" s="1669">
        <v>3</v>
      </c>
      <c r="G448" s="1669">
        <f>COUNTIF(Principal!$C$35:$J$47,Tablas!E448)+COUNTIF(Principal!$C$48:$F$49,Tablas!E448)</f>
        <v>0</v>
      </c>
      <c r="H448" s="1670">
        <f t="shared" si="94"/>
        <v>0</v>
      </c>
      <c r="I448" s="792">
        <v>1</v>
      </c>
      <c r="J448" s="1674" t="s">
        <v>2113</v>
      </c>
      <c r="N448"/>
      <c r="AB448" s="3204" t="str">
        <f t="shared" si="92"/>
        <v>Conexión sistemática (1)</v>
      </c>
      <c r="AC448" s="3188">
        <f t="shared" si="91"/>
        <v>34</v>
      </c>
      <c r="AD448" s="2731" t="s">
        <v>2205</v>
      </c>
      <c r="AE448" s="3189">
        <v>2</v>
      </c>
      <c r="AF448" s="3189">
        <f>COUNTIF(Principal!$C$35:$J$47,AD448)+COUNTIF(Principal!$C$48:$F$49,AD448)</f>
        <v>0</v>
      </c>
      <c r="AG448" s="3190">
        <f t="shared" si="93"/>
        <v>0</v>
      </c>
      <c r="AH448" s="3215">
        <v>1</v>
      </c>
      <c r="AI448" s="3199" t="s">
        <v>6163</v>
      </c>
      <c r="AJ448"/>
    </row>
    <row r="449" spans="1:36" ht="12.75" customHeight="1">
      <c r="A449" s="219">
        <v>449</v>
      </c>
      <c r="B449" s="7145"/>
      <c r="C449" s="1676" t="str">
        <f t="shared" si="88"/>
        <v>Poder natural</v>
      </c>
      <c r="D449" s="787">
        <f t="shared" si="86"/>
        <v>37</v>
      </c>
      <c r="E449" s="47" t="s">
        <v>2280</v>
      </c>
      <c r="F449" s="1669">
        <v>1</v>
      </c>
      <c r="G449" s="1669">
        <f>COUNTIF(Principal!$C$35:$J$47,Tablas!E449)+COUNTIF(Principal!$C$48:$F$49,Tablas!E449)</f>
        <v>0</v>
      </c>
      <c r="H449" s="1670">
        <f t="shared" si="94"/>
        <v>0</v>
      </c>
      <c r="I449" s="792"/>
      <c r="J449" s="1674" t="s">
        <v>2113</v>
      </c>
      <c r="N449"/>
      <c r="AB449" s="3204" t="str">
        <f t="shared" si="92"/>
        <v>Conexión sistemática (2)</v>
      </c>
      <c r="AC449" s="3188">
        <f t="shared" si="91"/>
        <v>28</v>
      </c>
      <c r="AD449" s="2731" t="s">
        <v>2206</v>
      </c>
      <c r="AE449" s="3189">
        <v>2</v>
      </c>
      <c r="AF449" s="3189">
        <f>COUNTIF(Principal!$C$35:$J$47,AD449)+COUNTIF(Principal!$C$48:$F$49,AD449)</f>
        <v>0</v>
      </c>
      <c r="AG449" s="3190">
        <f t="shared" si="93"/>
        <v>0</v>
      </c>
      <c r="AH449" s="3215">
        <v>1</v>
      </c>
      <c r="AI449" s="3199" t="s">
        <v>6163</v>
      </c>
      <c r="AJ449"/>
    </row>
    <row r="450" spans="1:36" ht="12.75" customHeight="1">
      <c r="A450" s="219">
        <v>450</v>
      </c>
      <c r="B450" s="7145"/>
      <c r="C450" s="1676" t="str">
        <f t="shared" si="88"/>
        <v>Potencial enfrentado</v>
      </c>
      <c r="D450" s="787">
        <f t="shared" si="86"/>
        <v>26</v>
      </c>
      <c r="E450" s="47" t="s">
        <v>2281</v>
      </c>
      <c r="F450" s="1669">
        <v>1</v>
      </c>
      <c r="G450" s="1669">
        <f>COUNTIF(Principal!$C$35:$J$47,Tablas!E450)+COUNTIF(Principal!$C$48:$F$49,Tablas!E450)</f>
        <v>0</v>
      </c>
      <c r="H450" s="1670">
        <f t="shared" si="94"/>
        <v>0</v>
      </c>
      <c r="I450" s="792"/>
      <c r="J450" s="1674" t="s">
        <v>2113</v>
      </c>
      <c r="N450"/>
      <c r="AB450" s="3204" t="str">
        <f t="shared" si="92"/>
        <v>Conexión sistemática (3)</v>
      </c>
      <c r="AC450" s="3188">
        <f t="shared" si="91"/>
        <v>29</v>
      </c>
      <c r="AD450" s="2731" t="s">
        <v>2207</v>
      </c>
      <c r="AE450" s="3189">
        <v>2</v>
      </c>
      <c r="AF450" s="3189">
        <f>COUNTIF(Principal!$C$35:$J$47,AD450)+COUNTIF(Principal!$C$48:$F$49,AD450)</f>
        <v>0</v>
      </c>
      <c r="AG450" s="3190">
        <f t="shared" si="93"/>
        <v>0</v>
      </c>
      <c r="AH450" s="3215">
        <v>1</v>
      </c>
      <c r="AI450" s="3199" t="s">
        <v>6163</v>
      </c>
      <c r="AJ450"/>
    </row>
    <row r="451" spans="1:36" ht="12.75" customHeight="1">
      <c r="A451" s="219">
        <v>451</v>
      </c>
      <c r="B451" s="7145"/>
      <c r="C451" s="1676" t="str">
        <f t="shared" si="88"/>
        <v>Rec. superior de magia (1)</v>
      </c>
      <c r="D451" s="787">
        <f t="shared" si="86"/>
        <v>-1</v>
      </c>
      <c r="E451" s="47" t="s">
        <v>9561</v>
      </c>
      <c r="F451" s="1669"/>
      <c r="G451" s="1669"/>
      <c r="H451" s="1670"/>
      <c r="I451" s="792"/>
      <c r="J451" s="1674" t="s">
        <v>2113</v>
      </c>
      <c r="N451"/>
      <c r="AB451" s="3204" t="str">
        <f t="shared" si="92"/>
        <v>Des. psí: Antimateria</v>
      </c>
      <c r="AC451" s="3188">
        <f t="shared" si="91"/>
        <v>32</v>
      </c>
      <c r="AD451" s="2731" t="s">
        <v>2208</v>
      </c>
      <c r="AE451" s="3189">
        <v>2</v>
      </c>
      <c r="AF451" s="3189">
        <f>COUNTIF(Principal!$C$35:$J$47,AD451)+COUNTIF(Principal!$C$48:$F$49,AD451)</f>
        <v>0</v>
      </c>
      <c r="AG451" s="3190">
        <f t="shared" si="93"/>
        <v>0</v>
      </c>
      <c r="AH451" s="3215">
        <v>1</v>
      </c>
      <c r="AI451" s="3199" t="s">
        <v>6163</v>
      </c>
      <c r="AJ451"/>
    </row>
    <row r="452" spans="1:36" ht="12.75" customHeight="1">
      <c r="A452" s="219">
        <v>452</v>
      </c>
      <c r="B452" s="7145"/>
      <c r="C452" s="1676" t="str">
        <f t="shared" si="88"/>
        <v>Rec. superior de magia (2)</v>
      </c>
      <c r="D452" s="787">
        <f t="shared" si="86"/>
        <v>42</v>
      </c>
      <c r="E452" s="47" t="s">
        <v>2307</v>
      </c>
      <c r="F452" s="1669">
        <v>1</v>
      </c>
      <c r="G452" s="1669">
        <f>COUNTIF(Principal!$C$35:$J$47,Tablas!E452)+COUNTIF(Principal!$C$48:$F$49,Tablas!E452)</f>
        <v>0</v>
      </c>
      <c r="H452" s="1670">
        <f>G452*F452</f>
        <v>0</v>
      </c>
      <c r="I452" s="792"/>
      <c r="J452" s="1674" t="s">
        <v>2113</v>
      </c>
      <c r="N452"/>
      <c r="AB452" s="3204" t="str">
        <f t="shared" si="92"/>
        <v>Des. psí: Bioquinesis</v>
      </c>
      <c r="AC452" s="3188">
        <f t="shared" si="91"/>
        <v>33</v>
      </c>
      <c r="AD452" s="2731" t="s">
        <v>2209</v>
      </c>
      <c r="AE452" s="3189">
        <v>2</v>
      </c>
      <c r="AF452" s="3189">
        <f>COUNTIF(Principal!$C$35:$J$47,AD452)+COUNTIF(Principal!$C$48:$F$49,AD452)</f>
        <v>0</v>
      </c>
      <c r="AG452" s="3190">
        <f t="shared" si="93"/>
        <v>0</v>
      </c>
      <c r="AH452" s="3215">
        <v>1</v>
      </c>
      <c r="AI452" s="3199" t="s">
        <v>6163</v>
      </c>
      <c r="AJ452"/>
    </row>
    <row r="453" spans="1:36" ht="12.75" customHeight="1">
      <c r="A453" s="219">
        <v>453</v>
      </c>
      <c r="B453" s="7145"/>
      <c r="C453" s="1676" t="str">
        <f t="shared" si="88"/>
        <v>Rec. superior de magia (3)</v>
      </c>
      <c r="D453" s="787">
        <f t="shared" si="86"/>
        <v>27</v>
      </c>
      <c r="E453" s="47" t="s">
        <v>2308</v>
      </c>
      <c r="F453" s="1669">
        <v>1</v>
      </c>
      <c r="G453" s="1669">
        <f>COUNTIF(Principal!$C$35:$J$47,Tablas!E453)+COUNTIF(Principal!$C$48:$F$49,Tablas!E453)</f>
        <v>0</v>
      </c>
      <c r="H453" s="1670">
        <f>G453*F453</f>
        <v>0</v>
      </c>
      <c r="I453" s="792"/>
      <c r="J453" s="1674" t="s">
        <v>2113</v>
      </c>
      <c r="N453"/>
      <c r="AB453" s="3204" t="str">
        <f t="shared" si="92"/>
        <v>Des. psí: Control del sonido</v>
      </c>
      <c r="AC453" s="3188">
        <f t="shared" si="91"/>
        <v>26</v>
      </c>
      <c r="AD453" s="2731" t="s">
        <v>2210</v>
      </c>
      <c r="AE453" s="3189">
        <v>2</v>
      </c>
      <c r="AF453" s="3189">
        <f>COUNTIF(Principal!$C$35:$J$47,AD453)+COUNTIF(Principal!$C$48:$F$49,AD453)</f>
        <v>0</v>
      </c>
      <c r="AG453" s="3190">
        <f t="shared" si="93"/>
        <v>0</v>
      </c>
      <c r="AH453" s="3215">
        <v>1</v>
      </c>
      <c r="AI453" s="3199" t="s">
        <v>6163</v>
      </c>
      <c r="AJ453"/>
    </row>
    <row r="454" spans="1:36" ht="12.75" customHeight="1">
      <c r="A454" s="219">
        <v>454</v>
      </c>
      <c r="B454" s="7145"/>
      <c r="C454" s="1677" t="str">
        <f t="shared" si="88"/>
        <v>Versatilidad metamágica</v>
      </c>
      <c r="D454" s="1680">
        <f t="shared" si="86"/>
        <v>1</v>
      </c>
      <c r="E454" s="1681" t="s">
        <v>2309</v>
      </c>
      <c r="F454" s="789">
        <v>2</v>
      </c>
      <c r="G454" s="789">
        <f>COUNTIF(Principal!$C$35:$J$47,Tablas!E454)+COUNTIF(Principal!$C$48:$F$49,Tablas!E454)</f>
        <v>0</v>
      </c>
      <c r="H454" s="1682">
        <f>G454*F454</f>
        <v>0</v>
      </c>
      <c r="I454" s="1683">
        <v>1</v>
      </c>
      <c r="J454" s="1684" t="s">
        <v>2113</v>
      </c>
      <c r="N454"/>
      <c r="AB454" s="3204" t="str">
        <f t="shared" si="92"/>
        <v>Des. psí: Cronoquinesis</v>
      </c>
      <c r="AC454" s="3188">
        <f t="shared" si="91"/>
        <v>19</v>
      </c>
      <c r="AD454" s="2731" t="s">
        <v>2211</v>
      </c>
      <c r="AE454" s="3189">
        <v>2</v>
      </c>
      <c r="AF454" s="3189">
        <f>COUNTIF(Principal!$C$35:$J$47,AD454)+COUNTIF(Principal!$C$48:$F$49,AD454)</f>
        <v>0</v>
      </c>
      <c r="AG454" s="3190">
        <f t="shared" si="93"/>
        <v>0</v>
      </c>
      <c r="AH454" s="3215">
        <v>1</v>
      </c>
      <c r="AI454" s="3199" t="s">
        <v>6163</v>
      </c>
      <c r="AJ454"/>
    </row>
    <row r="455" spans="1:36" ht="12.75" customHeight="1">
      <c r="A455" s="219">
        <v>455</v>
      </c>
      <c r="B455" s="7145"/>
      <c r="C455" s="1678" t="str">
        <f>E455</f>
        <v xml:space="preserve"> &gt; VENTAJAS: PSIQUICOS</v>
      </c>
      <c r="D455" s="787">
        <f t="shared" ref="D455:D479" si="95">COUNTIF($E$456:$E$479,"&lt;="&amp;E455)-COUNTIF($E$456:$E$479,"*&gt;*")</f>
        <v>0</v>
      </c>
      <c r="E455" s="47" t="s">
        <v>9562</v>
      </c>
      <c r="F455" s="1669"/>
      <c r="G455" s="1669"/>
      <c r="H455" s="1670"/>
      <c r="I455" s="792"/>
      <c r="J455" s="1674" t="s">
        <v>6163</v>
      </c>
      <c r="N455"/>
      <c r="AB455" s="3204" t="str">
        <f t="shared" si="92"/>
        <v>Des. psí: Dominio del espacio</v>
      </c>
      <c r="AC455" s="3188">
        <f t="shared" si="91"/>
        <v>36</v>
      </c>
      <c r="AD455" s="2731" t="s">
        <v>2212</v>
      </c>
      <c r="AE455" s="3189">
        <v>2</v>
      </c>
      <c r="AF455" s="3189">
        <f>COUNTIF(Principal!$C$35:$J$47,AD455)+COUNTIF(Principal!$C$48:$F$49,AD455)</f>
        <v>0</v>
      </c>
      <c r="AG455" s="3190">
        <f t="shared" si="93"/>
        <v>0</v>
      </c>
      <c r="AH455" s="3215">
        <v>1</v>
      </c>
      <c r="AI455" s="3199" t="s">
        <v>6163</v>
      </c>
      <c r="AJ455"/>
    </row>
    <row r="456" spans="1:36" ht="12.75" customHeight="1">
      <c r="A456" s="219">
        <v>456</v>
      </c>
      <c r="B456" s="7145"/>
      <c r="C456" s="1678" t="str">
        <f t="shared" ref="C456:C478" si="96">VLOOKUP(A1,$D$455:$E$479,2,0)</f>
        <v>Ambivalencia psíquica</v>
      </c>
      <c r="D456" s="787">
        <f t="shared" si="95"/>
        <v>3</v>
      </c>
      <c r="E456" s="47" t="s">
        <v>2196</v>
      </c>
      <c r="F456" s="1669">
        <v>2</v>
      </c>
      <c r="G456" s="1669">
        <f>COUNTIF(Principal!$C$35:$J$47,Tablas!E456)+COUNTIF(Principal!$C$48:$F$49,Tablas!E456)</f>
        <v>0</v>
      </c>
      <c r="H456" s="1670">
        <f t="shared" ref="H456:H476" si="97">G456*F456</f>
        <v>0</v>
      </c>
      <c r="I456" s="792">
        <v>1</v>
      </c>
      <c r="J456" s="1674" t="s">
        <v>6163</v>
      </c>
      <c r="N456"/>
      <c r="AB456" s="3204" t="str">
        <f t="shared" si="92"/>
        <v>Des. psí: Electromagnetismo</v>
      </c>
      <c r="AC456" s="3188">
        <f t="shared" si="91"/>
        <v>30</v>
      </c>
      <c r="AD456" s="2731" t="s">
        <v>2213</v>
      </c>
      <c r="AE456" s="3189">
        <v>2</v>
      </c>
      <c r="AF456" s="3189">
        <f>COUNTIF(Principal!$C$35:$J$47,AD456)+COUNTIF(Principal!$C$48:$F$49,AD456)</f>
        <v>0</v>
      </c>
      <c r="AG456" s="3190">
        <f t="shared" si="93"/>
        <v>0</v>
      </c>
      <c r="AH456" s="3215">
        <v>1</v>
      </c>
      <c r="AI456" s="3199" t="s">
        <v>6163</v>
      </c>
      <c r="AJ456"/>
    </row>
    <row r="457" spans="1:36" ht="12.75" customHeight="1">
      <c r="A457" s="219">
        <v>457</v>
      </c>
      <c r="B457" s="7145"/>
      <c r="C457" s="1678" t="str">
        <f t="shared" si="96"/>
        <v>Calibre</v>
      </c>
      <c r="D457" s="787">
        <f t="shared" si="95"/>
        <v>2</v>
      </c>
      <c r="E457" s="47" t="s">
        <v>2197</v>
      </c>
      <c r="F457" s="1669">
        <v>1</v>
      </c>
      <c r="G457" s="1669">
        <f>COUNTIF(Principal!$C$35:$J$47,Tablas!E457)+COUNTIF(Principal!$C$48:$F$49,Tablas!E457)</f>
        <v>0</v>
      </c>
      <c r="H457" s="1670">
        <f t="shared" si="97"/>
        <v>0</v>
      </c>
      <c r="I457" s="792">
        <v>1</v>
      </c>
      <c r="J457" s="1674" t="s">
        <v>6163</v>
      </c>
      <c r="N457"/>
      <c r="AB457" s="3204" t="str">
        <f t="shared" si="92"/>
        <v>Des. psí: Filoquinesis</v>
      </c>
      <c r="AC457" s="3188">
        <f t="shared" si="91"/>
        <v>25</v>
      </c>
      <c r="AD457" s="2731" t="s">
        <v>10515</v>
      </c>
      <c r="AE457" s="3189">
        <v>2</v>
      </c>
      <c r="AF457" s="3189">
        <f>COUNTIF(Principal!$C$35:$J$47,AD457)+COUNTIF(Principal!$C$48:$F$49,AD457)</f>
        <v>0</v>
      </c>
      <c r="AG457" s="3190">
        <f>AF457*AE457</f>
        <v>0</v>
      </c>
      <c r="AH457" s="3215">
        <v>1</v>
      </c>
      <c r="AI457" s="3199" t="s">
        <v>6163</v>
      </c>
      <c r="AJ457"/>
    </row>
    <row r="458" spans="1:36" ht="12.75" customHeight="1">
      <c r="A458" s="219">
        <v>458</v>
      </c>
      <c r="B458" s="7145"/>
      <c r="C458" s="1678" t="str">
        <f t="shared" si="96"/>
        <v>Concentración extrema</v>
      </c>
      <c r="D458" s="787">
        <f t="shared" si="95"/>
        <v>18</v>
      </c>
      <c r="E458" s="47" t="s">
        <v>1619</v>
      </c>
      <c r="F458" s="1669">
        <v>2</v>
      </c>
      <c r="G458" s="1669">
        <f>COUNTIF(Principal!$C$35:$J$47,Tablas!E458)+COUNTIF(Principal!$C$48:$F$49,Tablas!E458)</f>
        <v>0</v>
      </c>
      <c r="H458" s="1670">
        <f t="shared" si="97"/>
        <v>0</v>
      </c>
      <c r="I458" s="792"/>
      <c r="J458" s="1674" t="s">
        <v>6163</v>
      </c>
      <c r="N458"/>
      <c r="AB458" s="3204" t="str">
        <f t="shared" si="92"/>
        <v>Des. psí: Gravitatoria</v>
      </c>
      <c r="AC458" s="3188">
        <f t="shared" si="91"/>
        <v>21</v>
      </c>
      <c r="AD458" s="2731" t="s">
        <v>10492</v>
      </c>
      <c r="AE458" s="3189">
        <v>2</v>
      </c>
      <c r="AF458" s="3189">
        <f>COUNTIF(Principal!$C$35:$J$47,AD458)+COUNTIF(Principal!$C$48:$F$49,AD458)</f>
        <v>0</v>
      </c>
      <c r="AG458" s="3190">
        <f t="shared" ref="AG458:AG465" si="98">AF458*AE458</f>
        <v>0</v>
      </c>
      <c r="AH458" s="3215">
        <v>1</v>
      </c>
      <c r="AI458" s="3199" t="s">
        <v>6163</v>
      </c>
      <c r="AJ458"/>
    </row>
    <row r="459" spans="1:36" ht="12.75" customHeight="1">
      <c r="A459" s="219">
        <v>459</v>
      </c>
      <c r="B459" s="7145"/>
      <c r="C459" s="1678" t="str">
        <f t="shared" si="96"/>
        <v>Concentración pasiva</v>
      </c>
      <c r="D459" s="787">
        <f t="shared" si="95"/>
        <v>23</v>
      </c>
      <c r="E459" s="47" t="s">
        <v>2198</v>
      </c>
      <c r="F459" s="1669">
        <v>2</v>
      </c>
      <c r="G459" s="1669">
        <f>COUNTIF(Principal!$C$35:$J$47,Tablas!E459)+COUNTIF(Principal!$C$48:$F$49,Tablas!E459)</f>
        <v>0</v>
      </c>
      <c r="H459" s="1670">
        <f t="shared" si="97"/>
        <v>0</v>
      </c>
      <c r="I459" s="792"/>
      <c r="J459" s="1674" t="s">
        <v>6163</v>
      </c>
      <c r="N459"/>
      <c r="AB459" s="3204" t="str">
        <f t="shared" si="92"/>
        <v>Des. psí: Hidroquinesis</v>
      </c>
      <c r="AC459" s="3188">
        <f t="shared" si="91"/>
        <v>16</v>
      </c>
      <c r="AD459" s="2731" t="s">
        <v>10493</v>
      </c>
      <c r="AE459" s="3189">
        <v>2</v>
      </c>
      <c r="AF459" s="3189">
        <f>COUNTIF(Principal!$C$35:$J$47,AD459)+COUNTIF(Principal!$C$48:$F$49,AD459)</f>
        <v>0</v>
      </c>
      <c r="AG459" s="3190">
        <f t="shared" si="98"/>
        <v>0</v>
      </c>
      <c r="AH459" s="3215">
        <v>1</v>
      </c>
      <c r="AI459" s="3199" t="s">
        <v>6163</v>
      </c>
      <c r="AJ459"/>
    </row>
    <row r="460" spans="1:36" ht="12.75" customHeight="1">
      <c r="A460" s="219">
        <v>460</v>
      </c>
      <c r="B460" s="7145"/>
      <c r="C460" s="1678" t="str">
        <f t="shared" si="96"/>
        <v>Des. psí: Electromagnetismo</v>
      </c>
      <c r="D460" s="787">
        <f t="shared" si="95"/>
        <v>20</v>
      </c>
      <c r="E460" s="47" t="s">
        <v>2199</v>
      </c>
      <c r="F460" s="1669">
        <v>1</v>
      </c>
      <c r="G460" s="1669">
        <f>COUNTIF(Principal!$C$35:$J$47,Tablas!E460)+COUNTIF(Principal!$C$48:$F$49,Tablas!E460)</f>
        <v>0</v>
      </c>
      <c r="H460" s="1670">
        <f t="shared" si="97"/>
        <v>0</v>
      </c>
      <c r="I460" s="792"/>
      <c r="J460" s="1674" t="s">
        <v>6163</v>
      </c>
      <c r="N460"/>
      <c r="AB460" s="3204" t="str">
        <f t="shared" si="92"/>
        <v>Des. psí: Presión</v>
      </c>
      <c r="AC460" s="3188">
        <f t="shared" si="91"/>
        <v>23</v>
      </c>
      <c r="AD460" s="2731" t="s">
        <v>10494</v>
      </c>
      <c r="AE460" s="3189">
        <v>2</v>
      </c>
      <c r="AF460" s="3189">
        <f>COUNTIF(Principal!$C$35:$J$47,AD460)+COUNTIF(Principal!$C$48:$F$49,AD460)</f>
        <v>0</v>
      </c>
      <c r="AG460" s="3190">
        <f t="shared" si="98"/>
        <v>0</v>
      </c>
      <c r="AH460" s="3215">
        <v>1</v>
      </c>
      <c r="AI460" s="3199" t="s">
        <v>6163</v>
      </c>
      <c r="AJ460"/>
    </row>
    <row r="461" spans="1:36" ht="12.75" customHeight="1">
      <c r="A461" s="219">
        <v>461</v>
      </c>
      <c r="B461" s="7145"/>
      <c r="C461" s="1678" t="str">
        <f t="shared" si="96"/>
        <v>Des. psí: Hipersensibilidad</v>
      </c>
      <c r="D461" s="787">
        <f t="shared" si="95"/>
        <v>21</v>
      </c>
      <c r="E461" s="47" t="s">
        <v>2200</v>
      </c>
      <c r="F461" s="1669">
        <v>2</v>
      </c>
      <c r="G461" s="1669">
        <f>COUNTIF(Principal!$C$35:$J$47,Tablas!E461)+COUNTIF(Principal!$C$48:$F$49,Tablas!E461)</f>
        <v>0</v>
      </c>
      <c r="H461" s="1670">
        <f t="shared" si="97"/>
        <v>0</v>
      </c>
      <c r="I461" s="792"/>
      <c r="J461" s="1674" t="s">
        <v>6163</v>
      </c>
      <c r="N461"/>
      <c r="AB461" s="3204" t="str">
        <f t="shared" si="92"/>
        <v>Des. psí: Sentiente</v>
      </c>
      <c r="AC461" s="3188">
        <f t="shared" si="91"/>
        <v>14</v>
      </c>
      <c r="AD461" s="2731" t="s">
        <v>10495</v>
      </c>
      <c r="AE461" s="3189">
        <v>2</v>
      </c>
      <c r="AF461" s="3189">
        <f>COUNTIF(Principal!$C$35:$J$47,AD461)+COUNTIF(Principal!$C$48:$F$49,AD461)</f>
        <v>0</v>
      </c>
      <c r="AG461" s="3190">
        <f t="shared" si="98"/>
        <v>0</v>
      </c>
      <c r="AH461" s="3215">
        <v>1</v>
      </c>
      <c r="AI461" s="3199" t="s">
        <v>6163</v>
      </c>
      <c r="AJ461"/>
    </row>
    <row r="462" spans="1:36" ht="12.75" customHeight="1">
      <c r="A462" s="219">
        <v>462</v>
      </c>
      <c r="B462" s="7145"/>
      <c r="C462" s="1678" t="str">
        <f t="shared" si="96"/>
        <v>Des. psíquico: Causalidad</v>
      </c>
      <c r="D462" s="787">
        <f t="shared" si="95"/>
        <v>22</v>
      </c>
      <c r="E462" s="47" t="s">
        <v>2201</v>
      </c>
      <c r="F462" s="1669">
        <v>3</v>
      </c>
      <c r="G462" s="1669">
        <f>COUNTIF(Principal!$C$35:$J$47,Tablas!E462)+COUNTIF(Principal!$C$48:$F$49,Tablas!E462)</f>
        <v>0</v>
      </c>
      <c r="H462" s="1670">
        <f t="shared" si="97"/>
        <v>0</v>
      </c>
      <c r="I462" s="792"/>
      <c r="J462" s="1674" t="s">
        <v>6163</v>
      </c>
      <c r="N462"/>
      <c r="AB462" s="3204" t="str">
        <f t="shared" si="92"/>
        <v>Des. psíquico: Bioquinesis</v>
      </c>
      <c r="AC462" s="3188">
        <f t="shared" si="91"/>
        <v>20</v>
      </c>
      <c r="AD462" s="2731" t="s">
        <v>10496</v>
      </c>
      <c r="AE462" s="3189">
        <v>2</v>
      </c>
      <c r="AF462" s="3189">
        <f>COUNTIF(Principal!$C$35:$J$47,AD462)+COUNTIF(Principal!$C$48:$F$49,AD462)</f>
        <v>0</v>
      </c>
      <c r="AG462" s="3190">
        <f t="shared" si="98"/>
        <v>0</v>
      </c>
      <c r="AH462" s="3215">
        <v>1</v>
      </c>
      <c r="AI462" s="3199" t="s">
        <v>6163</v>
      </c>
      <c r="AJ462"/>
    </row>
    <row r="463" spans="1:36" ht="12.75" customHeight="1">
      <c r="A463" s="219">
        <v>463</v>
      </c>
      <c r="B463" s="7145"/>
      <c r="C463" s="1678" t="str">
        <f t="shared" si="96"/>
        <v>Des. psíquico: Crioquinesis</v>
      </c>
      <c r="D463" s="787">
        <f t="shared" si="95"/>
        <v>12</v>
      </c>
      <c r="E463" s="47" t="s">
        <v>2202</v>
      </c>
      <c r="F463" s="1669">
        <v>2</v>
      </c>
      <c r="G463" s="1669">
        <f>COUNTIF(Principal!$C$35:$J$47,Tablas!E463)+COUNTIF(Principal!$C$48:$F$49,Tablas!E463)</f>
        <v>0</v>
      </c>
      <c r="H463" s="1670">
        <f t="shared" si="97"/>
        <v>0</v>
      </c>
      <c r="I463" s="792">
        <v>1</v>
      </c>
      <c r="J463" s="1674" t="s">
        <v>6163</v>
      </c>
      <c r="N463"/>
      <c r="AB463" s="3204" t="str">
        <f t="shared" si="92"/>
        <v>Des. psíquico: Causalidad</v>
      </c>
      <c r="AC463" s="3188">
        <f t="shared" si="91"/>
        <v>18</v>
      </c>
      <c r="AD463" s="2731" t="s">
        <v>10497</v>
      </c>
      <c r="AE463" s="3189">
        <v>2</v>
      </c>
      <c r="AF463" s="3189">
        <f>COUNTIF(Principal!$C$35:$J$47,AD463)+COUNTIF(Principal!$C$48:$F$49,AD463)</f>
        <v>0</v>
      </c>
      <c r="AG463" s="3190">
        <f t="shared" si="98"/>
        <v>0</v>
      </c>
      <c r="AH463" s="3215">
        <v>1</v>
      </c>
      <c r="AI463" s="3199" t="s">
        <v>6163</v>
      </c>
      <c r="AJ463"/>
    </row>
    <row r="464" spans="1:36" ht="12.75" customHeight="1">
      <c r="A464" s="219">
        <v>464</v>
      </c>
      <c r="B464" s="7145"/>
      <c r="C464" s="1678" t="str">
        <f t="shared" si="96"/>
        <v>Des. psíquico: Energía</v>
      </c>
      <c r="D464" s="787">
        <f t="shared" si="95"/>
        <v>8</v>
      </c>
      <c r="E464" s="47" t="s">
        <v>2203</v>
      </c>
      <c r="F464" s="1669">
        <v>2</v>
      </c>
      <c r="G464" s="1669">
        <f>COUNTIF(Principal!$C$35:$J$47,Tablas!E464)+COUNTIF(Principal!$C$48:$F$49,Tablas!E464)</f>
        <v>0</v>
      </c>
      <c r="H464" s="1670">
        <f t="shared" si="97"/>
        <v>0</v>
      </c>
      <c r="I464" s="792">
        <v>1</v>
      </c>
      <c r="J464" s="1674" t="s">
        <v>6163</v>
      </c>
      <c r="N464"/>
      <c r="AB464" s="3204" t="str">
        <f t="shared" si="92"/>
        <v>Des. psíquico: Crioquinesis</v>
      </c>
      <c r="AC464" s="3188">
        <f t="shared" si="91"/>
        <v>22</v>
      </c>
      <c r="AD464" s="2731" t="s">
        <v>10498</v>
      </c>
      <c r="AE464" s="3189">
        <v>2</v>
      </c>
      <c r="AF464" s="3189">
        <f>COUNTIF(Principal!$C$35:$J$47,AD464)+COUNTIF(Principal!$C$48:$F$49,AD464)</f>
        <v>0</v>
      </c>
      <c r="AG464" s="3190">
        <f t="shared" si="98"/>
        <v>0</v>
      </c>
      <c r="AH464" s="3215">
        <v>1</v>
      </c>
      <c r="AI464" s="3199" t="s">
        <v>6163</v>
      </c>
      <c r="AJ464"/>
    </row>
    <row r="465" spans="1:36" ht="12.75" customHeight="1">
      <c r="A465" s="219">
        <v>465</v>
      </c>
      <c r="B465" s="7145"/>
      <c r="C465" s="1678" t="str">
        <f t="shared" si="96"/>
        <v>Des. psíquico: Inc. Físico</v>
      </c>
      <c r="D465" s="787">
        <f t="shared" si="95"/>
        <v>16</v>
      </c>
      <c r="E465" s="47" t="s">
        <v>2204</v>
      </c>
      <c r="F465" s="1669">
        <v>2</v>
      </c>
      <c r="G465" s="1669">
        <f>COUNTIF(Principal!$C$35:$J$47,Tablas!E465)+COUNTIF(Principal!$C$48:$F$49,Tablas!E465)</f>
        <v>0</v>
      </c>
      <c r="H465" s="1670">
        <f t="shared" si="97"/>
        <v>0</v>
      </c>
      <c r="I465" s="792">
        <v>1</v>
      </c>
      <c r="J465" s="1674" t="s">
        <v>6163</v>
      </c>
      <c r="N465"/>
      <c r="AB465" s="3204" t="str">
        <f t="shared" si="92"/>
        <v>Des. psíquico: Energía</v>
      </c>
      <c r="AC465" s="3188">
        <f t="shared" si="91"/>
        <v>17</v>
      </c>
      <c r="AD465" s="2731" t="s">
        <v>11092</v>
      </c>
      <c r="AE465" s="3189">
        <v>2</v>
      </c>
      <c r="AF465" s="3189">
        <f>COUNTIF(Principal!$C$35:$J$47,AD465)+COUNTIF(Principal!$C$48:$F$49,AD465)</f>
        <v>0</v>
      </c>
      <c r="AG465" s="3190">
        <f t="shared" si="98"/>
        <v>0</v>
      </c>
      <c r="AH465" s="3215">
        <v>1</v>
      </c>
      <c r="AI465" s="3199" t="s">
        <v>6163</v>
      </c>
      <c r="AJ465"/>
    </row>
    <row r="466" spans="1:36" ht="12.75" customHeight="1">
      <c r="A466" s="219">
        <v>466</v>
      </c>
      <c r="B466" s="7145"/>
      <c r="C466" s="1678" t="str">
        <f t="shared" si="96"/>
        <v>Des. psíquico: Luz</v>
      </c>
      <c r="D466" s="787">
        <f t="shared" si="95"/>
        <v>15</v>
      </c>
      <c r="E466" s="47" t="s">
        <v>2205</v>
      </c>
      <c r="F466" s="1669">
        <v>2</v>
      </c>
      <c r="G466" s="1669">
        <f>COUNTIF(Principal!$C$35:$J$47,Tablas!E466)+COUNTIF(Principal!$C$48:$F$49,Tablas!E466)</f>
        <v>0</v>
      </c>
      <c r="H466" s="1670">
        <f t="shared" si="97"/>
        <v>0</v>
      </c>
      <c r="I466" s="792">
        <v>1</v>
      </c>
      <c r="J466" s="1674" t="s">
        <v>6163</v>
      </c>
      <c r="N466"/>
      <c r="AB466" s="3204" t="str">
        <f t="shared" si="92"/>
        <v>Des. psíquico: Inc. Físico</v>
      </c>
      <c r="AC466" s="3188">
        <f t="shared" si="91"/>
        <v>24</v>
      </c>
      <c r="AD466" s="2731" t="s">
        <v>10513</v>
      </c>
      <c r="AE466" s="3189">
        <v>2</v>
      </c>
      <c r="AF466" s="3189">
        <f>COUNTIF(Principal!$C$35:$J$47,AD466)+COUNTIF(Principal!$C$48:$F$49,AD466)</f>
        <v>0</v>
      </c>
      <c r="AG466" s="3190">
        <f>AF466*AE466</f>
        <v>0</v>
      </c>
      <c r="AH466" s="3215">
        <v>1</v>
      </c>
      <c r="AI466" s="3199" t="s">
        <v>6163</v>
      </c>
      <c r="AJ466"/>
    </row>
    <row r="467" spans="1:36" ht="12.75" customHeight="1">
      <c r="A467" s="219">
        <v>467</v>
      </c>
      <c r="B467" s="7145"/>
      <c r="C467" s="1678" t="str">
        <f t="shared" si="96"/>
        <v>Des. psíquico: Piroquinesis</v>
      </c>
      <c r="D467" s="787">
        <f t="shared" si="95"/>
        <v>9</v>
      </c>
      <c r="E467" s="47" t="s">
        <v>2206</v>
      </c>
      <c r="F467" s="1669">
        <v>2</v>
      </c>
      <c r="G467" s="1669">
        <f>COUNTIF(Principal!$C$35:$J$47,Tablas!E467)+COUNTIF(Principal!$C$48:$F$49,Tablas!E467)</f>
        <v>0</v>
      </c>
      <c r="H467" s="1670">
        <f t="shared" si="97"/>
        <v>0</v>
      </c>
      <c r="I467" s="792">
        <v>1</v>
      </c>
      <c r="J467" s="1674" t="s">
        <v>6163</v>
      </c>
      <c r="N467"/>
      <c r="AB467" s="3204" t="str">
        <f t="shared" si="92"/>
        <v>Des. psíquico: Luz</v>
      </c>
      <c r="AC467" s="3188">
        <f t="shared" si="91"/>
        <v>15</v>
      </c>
      <c r="AD467" s="2731" t="s">
        <v>10514</v>
      </c>
      <c r="AE467" s="3189">
        <v>2</v>
      </c>
      <c r="AF467" s="3189">
        <f>COUNTIF(Principal!$C$35:$J$47,AD467)+COUNTIF(Principal!$C$48:$F$49,AD467)</f>
        <v>0</v>
      </c>
      <c r="AG467" s="3190">
        <f>AF467*AE467</f>
        <v>0</v>
      </c>
      <c r="AH467" s="3215">
        <v>1</v>
      </c>
      <c r="AI467" s="3199" t="s">
        <v>6163</v>
      </c>
      <c r="AJ467"/>
    </row>
    <row r="468" spans="1:36" ht="12.75" customHeight="1">
      <c r="A468" s="219">
        <v>468</v>
      </c>
      <c r="B468" s="7145"/>
      <c r="C468" s="1678" t="str">
        <f t="shared" si="96"/>
        <v>Des. psíquico: Sentiente</v>
      </c>
      <c r="D468" s="787">
        <f t="shared" si="95"/>
        <v>10</v>
      </c>
      <c r="E468" s="47" t="s">
        <v>2207</v>
      </c>
      <c r="F468" s="1669">
        <v>2</v>
      </c>
      <c r="G468" s="1669">
        <f>COUNTIF(Principal!$C$35:$J$47,Tablas!E468)+COUNTIF(Principal!$C$48:$F$49,Tablas!E468)</f>
        <v>0</v>
      </c>
      <c r="H468" s="1670">
        <f t="shared" si="97"/>
        <v>0</v>
      </c>
      <c r="I468" s="792">
        <v>1</v>
      </c>
      <c r="J468" s="1674" t="s">
        <v>6163</v>
      </c>
      <c r="N468"/>
      <c r="AB468" s="3204" t="str">
        <f t="shared" si="92"/>
        <v>Des. psíquico: Piroquinesis</v>
      </c>
      <c r="AC468" s="3188">
        <f t="shared" si="91"/>
        <v>10</v>
      </c>
      <c r="AD468" s="2731" t="s">
        <v>2215</v>
      </c>
      <c r="AE468" s="3189">
        <v>1</v>
      </c>
      <c r="AF468" s="3189">
        <f>COUNTIF(Principal!$C$35:$J$47,AD468)+COUNTIF(Principal!$C$48:$F$49,AD468)</f>
        <v>0</v>
      </c>
      <c r="AG468" s="3190">
        <f>AF468*AE468</f>
        <v>0</v>
      </c>
      <c r="AH468" s="3215"/>
      <c r="AI468" s="3199" t="s">
        <v>6163</v>
      </c>
      <c r="AJ468"/>
    </row>
    <row r="469" spans="1:36" ht="12.75" customHeight="1">
      <c r="A469" s="219">
        <v>469</v>
      </c>
      <c r="B469" s="7145"/>
      <c r="C469" s="1678" t="str">
        <f t="shared" si="96"/>
        <v>Des. psíquico: Telemetría</v>
      </c>
      <c r="D469" s="787">
        <f t="shared" si="95"/>
        <v>13</v>
      </c>
      <c r="E469" s="47" t="s">
        <v>2208</v>
      </c>
      <c r="F469" s="1669">
        <v>2</v>
      </c>
      <c r="G469" s="1669">
        <f>COUNTIF(Principal!$C$35:$J$47,Tablas!E469)+COUNTIF(Principal!$C$48:$F$49,Tablas!E469)</f>
        <v>0</v>
      </c>
      <c r="H469" s="1670">
        <f t="shared" si="97"/>
        <v>0</v>
      </c>
      <c r="I469" s="792">
        <v>1</v>
      </c>
      <c r="J469" s="1674" t="s">
        <v>6163</v>
      </c>
      <c r="N469"/>
      <c r="AB469" s="3204" t="str">
        <f t="shared" si="92"/>
        <v>Des. psíquico: Sentiente</v>
      </c>
      <c r="AC469" s="3188">
        <f t="shared" si="91"/>
        <v>0</v>
      </c>
      <c r="AD469" s="2731" t="s">
        <v>9563</v>
      </c>
      <c r="AE469" s="3189"/>
      <c r="AF469" s="3189"/>
      <c r="AG469" s="3190"/>
      <c r="AH469" s="3215"/>
      <c r="AI469" s="3199" t="s">
        <v>6163</v>
      </c>
      <c r="AJ469"/>
    </row>
    <row r="470" spans="1:36" ht="12.75" customHeight="1">
      <c r="A470" s="219">
        <v>470</v>
      </c>
      <c r="B470" s="7145"/>
      <c r="C470" s="1678" t="str">
        <f t="shared" si="96"/>
        <v>Des. psíquico: Telepatía</v>
      </c>
      <c r="D470" s="787">
        <f t="shared" si="95"/>
        <v>14</v>
      </c>
      <c r="E470" s="47" t="s">
        <v>2209</v>
      </c>
      <c r="F470" s="1669">
        <v>2</v>
      </c>
      <c r="G470" s="1669">
        <f>COUNTIF(Principal!$C$35:$J$47,Tablas!E470)+COUNTIF(Principal!$C$48:$F$49,Tablas!E470)</f>
        <v>0</v>
      </c>
      <c r="H470" s="1670">
        <f t="shared" si="97"/>
        <v>0</v>
      </c>
      <c r="I470" s="792">
        <v>1</v>
      </c>
      <c r="J470" s="1674" t="s">
        <v>6163</v>
      </c>
      <c r="N470"/>
      <c r="AB470" s="3204" t="str">
        <f t="shared" si="92"/>
        <v>Des. psíquico: Telemetría</v>
      </c>
      <c r="AC470" s="3188">
        <f t="shared" si="91"/>
        <v>2</v>
      </c>
      <c r="AD470" s="2731" t="s">
        <v>2282</v>
      </c>
      <c r="AE470" s="3189">
        <v>1</v>
      </c>
      <c r="AF470" s="3189">
        <f>COUNTIF(Principal!$C$35:$J$47,AD470)+COUNTIF(Principal!$C$48:$F$49,AD470)</f>
        <v>0</v>
      </c>
      <c r="AG470" s="3190">
        <f>AF470*AE470</f>
        <v>0</v>
      </c>
      <c r="AH470" s="3215"/>
      <c r="AI470" s="3199" t="s">
        <v>6163</v>
      </c>
      <c r="AJ470"/>
    </row>
    <row r="471" spans="1:36" ht="12.75" customHeight="1">
      <c r="A471" s="219">
        <v>471</v>
      </c>
      <c r="B471" s="7145"/>
      <c r="C471" s="1678" t="str">
        <f t="shared" si="96"/>
        <v>Des. psíquico: Telequinesis</v>
      </c>
      <c r="D471" s="787">
        <f t="shared" si="95"/>
        <v>7</v>
      </c>
      <c r="E471" s="47" t="s">
        <v>2210</v>
      </c>
      <c r="F471" s="1669">
        <v>2</v>
      </c>
      <c r="G471" s="1669">
        <f>COUNTIF(Principal!$C$35:$J$47,Tablas!E471)+COUNTIF(Principal!$C$48:$F$49,Tablas!E471)</f>
        <v>0</v>
      </c>
      <c r="H471" s="1670">
        <f t="shared" si="97"/>
        <v>0</v>
      </c>
      <c r="I471" s="792">
        <v>1</v>
      </c>
      <c r="J471" s="1674" t="s">
        <v>6163</v>
      </c>
      <c r="N471"/>
      <c r="AB471" s="3204" t="str">
        <f t="shared" si="92"/>
        <v>Des. psíquico: Telepatía</v>
      </c>
      <c r="AC471" s="3188">
        <f t="shared" si="91"/>
        <v>39</v>
      </c>
      <c r="AD471" s="3209" t="s">
        <v>2283</v>
      </c>
      <c r="AE471" s="3189">
        <v>1</v>
      </c>
      <c r="AF471" s="3189">
        <f>COUNTIF(Principal!$C$35:$J$47,AD471)+COUNTIF(Principal!$C$48:$F$49,AD471)</f>
        <v>0</v>
      </c>
      <c r="AG471" s="3210">
        <f>AF471*AE471</f>
        <v>0</v>
      </c>
      <c r="AH471" s="3215"/>
      <c r="AI471" s="3199" t="s">
        <v>6163</v>
      </c>
      <c r="AJ471"/>
    </row>
    <row r="472" spans="1:36" ht="12.75" customHeight="1">
      <c r="A472" s="219">
        <v>472</v>
      </c>
      <c r="B472" s="7145"/>
      <c r="C472" s="1678" t="str">
        <f t="shared" si="96"/>
        <v>Des. psíquico: Teletransporte</v>
      </c>
      <c r="D472" s="787">
        <f t="shared" si="95"/>
        <v>5</v>
      </c>
      <c r="E472" s="47" t="s">
        <v>2211</v>
      </c>
      <c r="F472" s="1669">
        <v>2</v>
      </c>
      <c r="G472" s="1669">
        <f>COUNTIF(Principal!$C$35:$J$47,Tablas!E472)+COUNTIF(Principal!$C$48:$F$49,Tablas!E472)</f>
        <v>0</v>
      </c>
      <c r="H472" s="1670">
        <f t="shared" si="97"/>
        <v>0</v>
      </c>
      <c r="I472" s="792">
        <v>1</v>
      </c>
      <c r="J472" s="1674" t="s">
        <v>6163</v>
      </c>
      <c r="N472"/>
      <c r="AB472" s="3204" t="str">
        <f t="shared" si="92"/>
        <v>Des. psíquico: Telequinesis</v>
      </c>
      <c r="AC472" s="3188">
        <f t="shared" si="91"/>
        <v>-1</v>
      </c>
      <c r="AD472" s="3211" t="s">
        <v>10499</v>
      </c>
      <c r="AE472" s="3212"/>
      <c r="AF472" s="3213"/>
      <c r="AG472" s="3213">
        <f t="shared" ref="AG472:AG478" si="99">AF472*AE472</f>
        <v>0</v>
      </c>
      <c r="AH472" s="3257"/>
      <c r="AI472" s="3244" t="s">
        <v>6163</v>
      </c>
      <c r="AJ472"/>
    </row>
    <row r="473" spans="1:36" ht="12.75" customHeight="1">
      <c r="A473" s="219">
        <v>473</v>
      </c>
      <c r="B473" s="7145"/>
      <c r="C473" s="1678" t="str">
        <f t="shared" si="96"/>
        <v>Mantenimiento añadido</v>
      </c>
      <c r="D473" s="787">
        <f t="shared" si="95"/>
        <v>17</v>
      </c>
      <c r="E473" s="47" t="s">
        <v>2212</v>
      </c>
      <c r="F473" s="1669">
        <v>2</v>
      </c>
      <c r="G473" s="1669">
        <f>COUNTIF(Principal!$C$35:$J$47,Tablas!E473)+COUNTIF(Principal!$C$48:$F$49,Tablas!E473)</f>
        <v>0</v>
      </c>
      <c r="H473" s="1670">
        <f t="shared" si="97"/>
        <v>0</v>
      </c>
      <c r="I473" s="792">
        <v>1</v>
      </c>
      <c r="J473" s="1674" t="s">
        <v>6163</v>
      </c>
      <c r="N473"/>
      <c r="AB473" s="3204" t="str">
        <f t="shared" si="92"/>
        <v>Des. psíquico: Teletransporte</v>
      </c>
      <c r="AC473" s="3188">
        <f t="shared" si="91"/>
        <v>1</v>
      </c>
      <c r="AD473" s="3211" t="s">
        <v>10500</v>
      </c>
      <c r="AE473" s="3214">
        <v>1</v>
      </c>
      <c r="AF473" s="3213">
        <f>COUNTIF(Principal!$C$35:$J$47,AD473)+COUNTIF(Principal!$C$48:$F$49,AD473)</f>
        <v>0</v>
      </c>
      <c r="AG473" s="3213">
        <f t="shared" si="99"/>
        <v>0</v>
      </c>
      <c r="AH473" s="3258"/>
      <c r="AI473" s="3244" t="s">
        <v>6163</v>
      </c>
      <c r="AJ473"/>
    </row>
    <row r="474" spans="1:36" ht="12.75" customHeight="1">
      <c r="A474" s="219">
        <v>474</v>
      </c>
      <c r="B474" s="7145"/>
      <c r="C474" s="1678" t="str">
        <f t="shared" si="96"/>
        <v>Mod. psíquico incrementado</v>
      </c>
      <c r="D474" s="787">
        <f t="shared" si="95"/>
        <v>11</v>
      </c>
      <c r="E474" s="47" t="s">
        <v>2213</v>
      </c>
      <c r="F474" s="1669">
        <v>2</v>
      </c>
      <c r="G474" s="1669">
        <f>COUNTIF(Principal!$C$35:$J$47,Tablas!E474)+COUNTIF(Principal!$C$48:$F$49,Tablas!E474)</f>
        <v>0</v>
      </c>
      <c r="H474" s="1670">
        <f t="shared" si="97"/>
        <v>0</v>
      </c>
      <c r="I474" s="792">
        <v>1</v>
      </c>
      <c r="J474" s="1674" t="s">
        <v>6163</v>
      </c>
      <c r="N474"/>
      <c r="AB474" s="3204" t="str">
        <f t="shared" si="92"/>
        <v>Hacker psiónico</v>
      </c>
      <c r="AC474" s="3188">
        <f t="shared" si="91"/>
        <v>40</v>
      </c>
      <c r="AD474" s="3211" t="s">
        <v>10501</v>
      </c>
      <c r="AE474" s="3214">
        <v>2</v>
      </c>
      <c r="AF474" s="3213">
        <f>COUNTIF(Principal!$C$35:$J$47,AD474)+COUNTIF(Principal!$C$48:$F$49,AD474)</f>
        <v>0</v>
      </c>
      <c r="AG474" s="3213">
        <f t="shared" si="99"/>
        <v>0</v>
      </c>
      <c r="AH474" s="3258"/>
      <c r="AI474" s="3244" t="s">
        <v>6163</v>
      </c>
      <c r="AJ474"/>
    </row>
    <row r="475" spans="1:36" ht="12.75" customHeight="1">
      <c r="A475" s="219">
        <v>475</v>
      </c>
      <c r="B475" s="7145"/>
      <c r="C475" s="1678" t="str">
        <f t="shared" si="96"/>
        <v>Recuperación de CVs (1)</v>
      </c>
      <c r="D475" s="787">
        <f t="shared" si="95"/>
        <v>6</v>
      </c>
      <c r="E475" s="47" t="s">
        <v>2214</v>
      </c>
      <c r="F475" s="1669">
        <v>2</v>
      </c>
      <c r="G475" s="1669">
        <f>COUNTIF(Principal!$C$35:$J$47,Tablas!E475)+COUNTIF(Principal!$C$48:$F$49,Tablas!E475)</f>
        <v>0</v>
      </c>
      <c r="H475" s="1670">
        <f t="shared" si="97"/>
        <v>0</v>
      </c>
      <c r="I475" s="792">
        <v>1</v>
      </c>
      <c r="J475" s="1674" t="s">
        <v>6163</v>
      </c>
      <c r="N475"/>
      <c r="AB475" s="3204" t="str">
        <f t="shared" si="92"/>
        <v>Mantenimiento añadido</v>
      </c>
      <c r="AC475" s="3188">
        <f t="shared" si="91"/>
        <v>3</v>
      </c>
      <c r="AD475" s="3211" t="s">
        <v>10502</v>
      </c>
      <c r="AE475" s="3214">
        <v>1</v>
      </c>
      <c r="AF475" s="3213">
        <f>COUNTIF(Principal!$C$35:$J$47,AD475)+COUNTIF(Principal!$C$48:$F$49,AD475)</f>
        <v>0</v>
      </c>
      <c r="AG475" s="3213">
        <f t="shared" si="99"/>
        <v>0</v>
      </c>
      <c r="AH475" s="3258"/>
      <c r="AI475" s="3244" t="s">
        <v>6163</v>
      </c>
      <c r="AJ475"/>
    </row>
    <row r="476" spans="1:36" ht="12.75" customHeight="1">
      <c r="A476" s="219">
        <v>476</v>
      </c>
      <c r="B476" s="7145"/>
      <c r="C476" s="1678" t="str">
        <f t="shared" si="96"/>
        <v>Recuperación de CVs (2)</v>
      </c>
      <c r="D476" s="787">
        <f t="shared" si="95"/>
        <v>4</v>
      </c>
      <c r="E476" s="47" t="s">
        <v>2215</v>
      </c>
      <c r="F476" s="1669">
        <v>2</v>
      </c>
      <c r="G476" s="1669">
        <f>COUNTIF(Principal!$C$35:$J$47,Tablas!E476)+COUNTIF(Principal!$C$48:$F$49,Tablas!E476)</f>
        <v>0</v>
      </c>
      <c r="H476" s="1670">
        <f t="shared" si="97"/>
        <v>0</v>
      </c>
      <c r="I476" s="792"/>
      <c r="J476" s="1674" t="s">
        <v>6163</v>
      </c>
      <c r="N476"/>
      <c r="AB476" s="3204" t="str">
        <f t="shared" si="92"/>
        <v>Mod. psíquico incrementado</v>
      </c>
      <c r="AC476" s="3188">
        <f t="shared" si="91"/>
        <v>4</v>
      </c>
      <c r="AD476" s="3211" t="s">
        <v>10503</v>
      </c>
      <c r="AE476" s="3214">
        <v>2</v>
      </c>
      <c r="AF476" s="3213">
        <f>COUNTIF(Principal!$C$35:$J$47,AD476)+COUNTIF(Principal!$C$48:$F$49,AD476)</f>
        <v>0</v>
      </c>
      <c r="AG476" s="3213">
        <f t="shared" si="99"/>
        <v>0</v>
      </c>
      <c r="AH476" s="3258"/>
      <c r="AI476" s="3244" t="s">
        <v>6163</v>
      </c>
      <c r="AJ476"/>
    </row>
    <row r="477" spans="1:36" ht="12.75" customHeight="1">
      <c r="A477" s="219">
        <v>477</v>
      </c>
      <c r="B477" s="7145"/>
      <c r="C477" s="1678" t="str">
        <f t="shared" si="96"/>
        <v>Recuperación de CVs (3)</v>
      </c>
      <c r="D477" s="787">
        <f t="shared" si="95"/>
        <v>0</v>
      </c>
      <c r="E477" s="47" t="s">
        <v>9563</v>
      </c>
      <c r="F477" s="1669"/>
      <c r="G477" s="1669"/>
      <c r="H477" s="1670"/>
      <c r="I477" s="792"/>
      <c r="J477" s="1674" t="s">
        <v>6163</v>
      </c>
      <c r="N477"/>
      <c r="AB477" s="3204" t="str">
        <f t="shared" si="92"/>
        <v>Neurodivergente</v>
      </c>
      <c r="AC477" s="3188">
        <f t="shared" si="91"/>
        <v>6</v>
      </c>
      <c r="AD477" s="3211" t="s">
        <v>10504</v>
      </c>
      <c r="AE477" s="3214">
        <v>1</v>
      </c>
      <c r="AF477" s="3213">
        <f>COUNTIF(Principal!$C$35:$J$47,AD477)+COUNTIF(Principal!$C$48:$F$49,AD477)</f>
        <v>0</v>
      </c>
      <c r="AG477" s="3213">
        <f t="shared" si="99"/>
        <v>0</v>
      </c>
      <c r="AH477" s="3258"/>
      <c r="AI477" s="3244" t="s">
        <v>6163</v>
      </c>
      <c r="AJ477"/>
    </row>
    <row r="478" spans="1:36" ht="12.75" customHeight="1">
      <c r="A478" s="219">
        <v>478</v>
      </c>
      <c r="B478" s="7145"/>
      <c r="C478" s="1678" t="str">
        <f t="shared" si="96"/>
        <v>Res. a la fatiga psíquica</v>
      </c>
      <c r="D478" s="787">
        <f t="shared" si="95"/>
        <v>1</v>
      </c>
      <c r="E478" s="47" t="s">
        <v>2282</v>
      </c>
      <c r="F478" s="1669">
        <v>1</v>
      </c>
      <c r="G478" s="1669">
        <f>COUNTIF(Principal!$C$35:$J$47,Tablas!E478)+COUNTIF(Principal!$C$48:$F$49,Tablas!E478)</f>
        <v>0</v>
      </c>
      <c r="H478" s="1670">
        <f>G478*F478</f>
        <v>0</v>
      </c>
      <c r="I478" s="792"/>
      <c r="J478" s="1674" t="s">
        <v>6163</v>
      </c>
      <c r="N478"/>
      <c r="AB478" s="3204" t="str">
        <f t="shared" si="92"/>
        <v>Recuperación de CVs (1)</v>
      </c>
      <c r="AC478" s="3188">
        <f t="shared" si="91"/>
        <v>7</v>
      </c>
      <c r="AD478" s="3211" t="s">
        <v>10505</v>
      </c>
      <c r="AE478" s="3214">
        <v>2</v>
      </c>
      <c r="AF478" s="3213">
        <f>COUNTIF(Principal!$C$35:$J$47,AD478)+COUNTIF(Principal!$C$48:$F$49,AD478)</f>
        <v>0</v>
      </c>
      <c r="AG478" s="3213">
        <f t="shared" si="99"/>
        <v>0</v>
      </c>
      <c r="AH478" s="3258"/>
      <c r="AI478" s="3244" t="s">
        <v>6163</v>
      </c>
      <c r="AJ478"/>
    </row>
    <row r="479" spans="1:36" ht="12.75" customHeight="1">
      <c r="A479" s="219">
        <v>479</v>
      </c>
      <c r="B479" s="7145"/>
      <c r="C479" s="1685"/>
      <c r="D479" s="1680">
        <f t="shared" si="95"/>
        <v>19</v>
      </c>
      <c r="E479" s="1681" t="s">
        <v>2283</v>
      </c>
      <c r="F479" s="789">
        <v>1</v>
      </c>
      <c r="G479" s="789">
        <f>COUNTIF(Principal!$C$35:$J$47,Tablas!E479)+COUNTIF(Principal!$C$48:$F$49,Tablas!E479)</f>
        <v>0</v>
      </c>
      <c r="H479" s="1682">
        <f>G479*F479</f>
        <v>0</v>
      </c>
      <c r="I479" s="1683"/>
      <c r="J479" s="1684" t="s">
        <v>6163</v>
      </c>
      <c r="N479"/>
      <c r="AB479" s="3204" t="str">
        <f t="shared" si="92"/>
        <v>Recuperación de CVs (2)</v>
      </c>
      <c r="AC479" s="3188">
        <f t="shared" si="91"/>
        <v>8</v>
      </c>
      <c r="AD479" s="3211" t="s">
        <v>10506</v>
      </c>
      <c r="AE479" s="3214">
        <v>3</v>
      </c>
      <c r="AF479" s="3213">
        <f>COUNTIF(Principal!$C$35:$J$47,AD479)+COUNTIF(Principal!$C$48:$F$49,AD479)</f>
        <v>0</v>
      </c>
      <c r="AG479" s="3213">
        <f t="shared" ref="AG479:AG483" si="100">AF479*AE479</f>
        <v>0</v>
      </c>
      <c r="AH479" s="3258"/>
      <c r="AI479" s="3244" t="s">
        <v>6163</v>
      </c>
      <c r="AJ479"/>
    </row>
    <row r="480" spans="1:36" ht="12.75" customHeight="1">
      <c r="A480" s="219">
        <v>480</v>
      </c>
      <c r="B480" s="7145"/>
      <c r="C480" s="1678" t="str">
        <f t="shared" ref="C480:C502" si="101">VLOOKUP(A1,$D$480:$E$502,2,0)</f>
        <v xml:space="preserve"> &gt; VENTAJAS TRASFONDO</v>
      </c>
      <c r="D480" s="787">
        <f t="shared" ref="D480:D502" si="102">COUNTIF($E$480:$E$502,"&lt;="&amp;E480)</f>
        <v>1</v>
      </c>
      <c r="E480" s="47" t="s">
        <v>9564</v>
      </c>
      <c r="F480" s="1686"/>
      <c r="G480" s="1669"/>
      <c r="H480" s="84"/>
      <c r="I480" s="790"/>
      <c r="J480" s="1674" t="s">
        <v>6164</v>
      </c>
      <c r="N480"/>
      <c r="AB480" s="3204" t="str">
        <f t="shared" si="92"/>
        <v>Recuperación de CVs (3)</v>
      </c>
      <c r="AC480" s="3188">
        <f t="shared" si="91"/>
        <v>11</v>
      </c>
      <c r="AD480" s="3193" t="s">
        <v>10507</v>
      </c>
      <c r="AE480" s="3213">
        <v>1</v>
      </c>
      <c r="AF480" s="3213">
        <f>COUNTIF(Principal!$C$35:$J$47,AD480)+COUNTIF(Principal!$C$48:$F$49,AD480)</f>
        <v>0</v>
      </c>
      <c r="AG480" s="3213">
        <f t="shared" si="100"/>
        <v>0</v>
      </c>
      <c r="AH480" s="3216"/>
      <c r="AI480" s="3246" t="s">
        <v>6163</v>
      </c>
      <c r="AJ480"/>
    </row>
    <row r="481" spans="1:36" ht="12.75" customHeight="1">
      <c r="A481" s="219">
        <v>481</v>
      </c>
      <c r="B481" s="7145"/>
      <c r="C481" s="1678" t="str">
        <f t="shared" si="101"/>
        <v>Aliado poderoso (1)</v>
      </c>
      <c r="D481" s="787">
        <f t="shared" si="102"/>
        <v>17</v>
      </c>
      <c r="E481" s="47" t="s">
        <v>2312</v>
      </c>
      <c r="F481" s="1675">
        <v>1</v>
      </c>
      <c r="G481" s="1669">
        <f>COUNTIF(Principal!$C$35:$J$47,Tablas!E481)+COUNTIF(Principal!$C$48:$F$49,Tablas!E481)</f>
        <v>0</v>
      </c>
      <c r="H481" s="84">
        <f t="shared" ref="H481:H502" si="103">G481*F481</f>
        <v>0</v>
      </c>
      <c r="I481" s="790"/>
      <c r="J481" s="1674" t="s">
        <v>6164</v>
      </c>
      <c r="N481"/>
      <c r="AB481" s="3204" t="str">
        <f t="shared" si="92"/>
        <v>Res. a la fatiga psíquica</v>
      </c>
      <c r="AC481" s="3188">
        <f t="shared" si="91"/>
        <v>12</v>
      </c>
      <c r="AD481" s="3193" t="s">
        <v>10508</v>
      </c>
      <c r="AE481" s="3213">
        <v>2</v>
      </c>
      <c r="AF481" s="3213">
        <f>COUNTIF(Principal!$C$35:$J$47,AD481)+COUNTIF(Principal!$C$48:$F$49,AD481)</f>
        <v>0</v>
      </c>
      <c r="AG481" s="3213">
        <f t="shared" si="100"/>
        <v>0</v>
      </c>
      <c r="AH481" s="3216"/>
      <c r="AI481" s="3246" t="s">
        <v>6163</v>
      </c>
      <c r="AJ481"/>
    </row>
    <row r="482" spans="1:36" ht="12.75" customHeight="1">
      <c r="A482" s="219">
        <v>482</v>
      </c>
      <c r="B482" s="7145"/>
      <c r="C482" s="1678" t="str">
        <f t="shared" si="101"/>
        <v>Aliado poderoso (2)</v>
      </c>
      <c r="D482" s="787">
        <f t="shared" si="102"/>
        <v>18</v>
      </c>
      <c r="E482" s="47" t="s">
        <v>2313</v>
      </c>
      <c r="F482" s="1675">
        <v>2</v>
      </c>
      <c r="G482" s="1669">
        <f>COUNTIF(Principal!$C$35:$J$47,Tablas!E482)+COUNTIF(Principal!$C$48:$F$49,Tablas!E482)</f>
        <v>0</v>
      </c>
      <c r="H482" s="84">
        <f t="shared" si="103"/>
        <v>0</v>
      </c>
      <c r="I482" s="790"/>
      <c r="J482" s="1674" t="s">
        <v>6164</v>
      </c>
      <c r="N482"/>
      <c r="AB482" s="3204" t="e">
        <f t="shared" si="92"/>
        <v>#N/A</v>
      </c>
      <c r="AC482" s="3188">
        <f t="shared" si="91"/>
        <v>13</v>
      </c>
      <c r="AD482" s="3193" t="s">
        <v>10509</v>
      </c>
      <c r="AE482" s="3213">
        <v>3</v>
      </c>
      <c r="AF482" s="3213">
        <f>COUNTIF(Principal!$C$35:$J$47,AD482)+COUNTIF(Principal!$C$48:$F$49,AD482)</f>
        <v>0</v>
      </c>
      <c r="AG482" s="3213">
        <f t="shared" si="100"/>
        <v>0</v>
      </c>
      <c r="AH482" s="3216"/>
      <c r="AI482" s="3246" t="s">
        <v>6163</v>
      </c>
      <c r="AJ482"/>
    </row>
    <row r="483" spans="1:36" ht="12.75" customHeight="1">
      <c r="A483" s="219">
        <v>483</v>
      </c>
      <c r="B483" s="7145"/>
      <c r="C483" s="1678" t="str">
        <f t="shared" si="101"/>
        <v>Aliado poderoso (3)</v>
      </c>
      <c r="D483" s="787">
        <f t="shared" si="102"/>
        <v>16</v>
      </c>
      <c r="E483" s="47" t="s">
        <v>2314</v>
      </c>
      <c r="F483" s="1675">
        <v>3</v>
      </c>
      <c r="G483" s="1669">
        <f>COUNTIF(Principal!$C$35:$J$47,Tablas!E483)+COUNTIF(Principal!$C$48:$F$49,Tablas!E483)</f>
        <v>0</v>
      </c>
      <c r="H483" s="84">
        <f t="shared" si="103"/>
        <v>0</v>
      </c>
      <c r="I483" s="790"/>
      <c r="J483" s="1674" t="s">
        <v>6164</v>
      </c>
      <c r="N483"/>
      <c r="AB483" s="3204" t="e">
        <f t="shared" si="92"/>
        <v>#N/A</v>
      </c>
      <c r="AC483" s="3188">
        <f t="shared" si="91"/>
        <v>37</v>
      </c>
      <c r="AD483" s="3193" t="s">
        <v>10510</v>
      </c>
      <c r="AE483" s="3213">
        <v>1</v>
      </c>
      <c r="AF483" s="3213">
        <f>COUNTIF(Principal!$C$35:$J$47,AD483)+COUNTIF(Principal!$C$48:$F$49,AD483)</f>
        <v>0</v>
      </c>
      <c r="AG483" s="3213">
        <f t="shared" si="100"/>
        <v>0</v>
      </c>
      <c r="AH483" s="3216"/>
      <c r="AI483" s="3247" t="s">
        <v>6163</v>
      </c>
      <c r="AJ483"/>
    </row>
    <row r="484" spans="1:36" ht="12.75" customHeight="1">
      <c r="A484" s="219">
        <v>484</v>
      </c>
      <c r="B484" s="7145"/>
      <c r="C484" s="1678" t="str">
        <f t="shared" si="101"/>
        <v>Artefacto (1)</v>
      </c>
      <c r="D484" s="787">
        <f t="shared" si="102"/>
        <v>11</v>
      </c>
      <c r="E484" s="47" t="s">
        <v>2315</v>
      </c>
      <c r="F484" s="1669">
        <v>1</v>
      </c>
      <c r="G484" s="1669">
        <f>COUNTIF(Principal!$C$35:$J$47,Tablas!E484)+COUNTIF(Principal!$C$48:$F$49,Tablas!E484)</f>
        <v>0</v>
      </c>
      <c r="H484" s="84">
        <f t="shared" si="103"/>
        <v>0</v>
      </c>
      <c r="I484" s="790"/>
      <c r="J484" s="1674" t="s">
        <v>6164</v>
      </c>
      <c r="N484"/>
      <c r="AB484" s="3217" t="str">
        <f t="shared" ref="AB484:AB506" si="104">VLOOKUP(A1,$AC$484:$AD$506,2,0)</f>
        <v xml:space="preserve"> &gt; VENTAJAS TRASFONDO</v>
      </c>
      <c r="AC484" s="3239">
        <f t="shared" ref="AC484:AC506" si="105">COUNTIF($AD$484:$AD$506,"&lt;="&amp;AD484)</f>
        <v>1</v>
      </c>
      <c r="AD484" s="3191" t="s">
        <v>9564</v>
      </c>
      <c r="AE484" s="3240"/>
      <c r="AF484" s="3241"/>
      <c r="AG484" s="3242"/>
      <c r="AH484" s="3242"/>
      <c r="AI484" s="3245" t="s">
        <v>6164</v>
      </c>
      <c r="AJ484"/>
    </row>
    <row r="485" spans="1:36" ht="12.75" customHeight="1">
      <c r="A485" s="219">
        <v>485</v>
      </c>
      <c r="B485" s="7145"/>
      <c r="C485" s="1678" t="str">
        <f t="shared" si="101"/>
        <v>Artefacto (2)</v>
      </c>
      <c r="D485" s="787">
        <f t="shared" si="102"/>
        <v>12</v>
      </c>
      <c r="E485" s="47" t="s">
        <v>2316</v>
      </c>
      <c r="F485" s="1669">
        <v>2</v>
      </c>
      <c r="G485" s="1669">
        <f>COUNTIF(Principal!$C$35:$J$47,Tablas!E485)+COUNTIF(Principal!$C$48:$F$49,Tablas!E485)</f>
        <v>0</v>
      </c>
      <c r="H485" s="84">
        <f t="shared" si="103"/>
        <v>0</v>
      </c>
      <c r="I485" s="790"/>
      <c r="J485" s="1674" t="s">
        <v>6164</v>
      </c>
      <c r="N485"/>
      <c r="AB485" s="3219" t="str">
        <f t="shared" si="104"/>
        <v>Aliado poderoso (1)</v>
      </c>
      <c r="AC485" s="3248">
        <f t="shared" si="105"/>
        <v>17</v>
      </c>
      <c r="AD485" s="3193" t="s">
        <v>2312</v>
      </c>
      <c r="AE485" s="3220">
        <v>1</v>
      </c>
      <c r="AF485" s="3189">
        <f>COUNTIF(Principal!$C$35:$J$47,AD485)+COUNTIF(Principal!$C$48:$F$49,AD485)</f>
        <v>0</v>
      </c>
      <c r="AG485" s="2809">
        <f t="shared" ref="AG485:AG506" si="106">AF485*AE485</f>
        <v>0</v>
      </c>
      <c r="AH485" s="3215"/>
      <c r="AI485" s="3199" t="s">
        <v>6164</v>
      </c>
      <c r="AJ485"/>
    </row>
    <row r="486" spans="1:36" ht="12.75" customHeight="1">
      <c r="A486" s="219">
        <v>486</v>
      </c>
      <c r="B486" s="7145"/>
      <c r="C486" s="1678" t="str">
        <f t="shared" si="101"/>
        <v>Artefacto (3)</v>
      </c>
      <c r="D486" s="787">
        <f t="shared" si="102"/>
        <v>13</v>
      </c>
      <c r="E486" s="47" t="s">
        <v>2317</v>
      </c>
      <c r="F486" s="1669">
        <v>3</v>
      </c>
      <c r="G486" s="1669">
        <f>COUNTIF(Principal!$C$35:$J$47,Tablas!E486)+COUNTIF(Principal!$C$48:$F$49,Tablas!E486)</f>
        <v>0</v>
      </c>
      <c r="H486" s="84">
        <f t="shared" si="103"/>
        <v>0</v>
      </c>
      <c r="I486" s="790"/>
      <c r="J486" s="1674" t="s">
        <v>6164</v>
      </c>
      <c r="N486"/>
      <c r="AB486" s="3219" t="str">
        <f t="shared" si="104"/>
        <v>Aliado poderoso (2)</v>
      </c>
      <c r="AC486" s="3248">
        <f t="shared" si="105"/>
        <v>18</v>
      </c>
      <c r="AD486" s="3193" t="s">
        <v>2313</v>
      </c>
      <c r="AE486" s="3220">
        <v>2</v>
      </c>
      <c r="AF486" s="3189">
        <f>COUNTIF(Principal!$C$35:$J$47,AD486)+COUNTIF(Principal!$C$48:$F$49,AD486)</f>
        <v>0</v>
      </c>
      <c r="AG486" s="2809">
        <f t="shared" si="106"/>
        <v>0</v>
      </c>
      <c r="AH486" s="3215"/>
      <c r="AI486" s="3199" t="s">
        <v>6164</v>
      </c>
      <c r="AJ486"/>
    </row>
    <row r="487" spans="1:36" ht="12.75" customHeight="1">
      <c r="A487" s="219">
        <v>487</v>
      </c>
      <c r="B487" s="7145"/>
      <c r="C487" s="1678" t="str">
        <f t="shared" si="101"/>
        <v>Contactos (1)</v>
      </c>
      <c r="D487" s="787">
        <f t="shared" si="102"/>
        <v>5</v>
      </c>
      <c r="E487" s="47" t="s">
        <v>2318</v>
      </c>
      <c r="F487" s="1669">
        <v>1</v>
      </c>
      <c r="G487" s="1669">
        <f>COUNTIF(Principal!$C$35:$J$47,Tablas!E487)+COUNTIF(Principal!$C$48:$F$49,Tablas!E487)</f>
        <v>0</v>
      </c>
      <c r="H487" s="84">
        <f t="shared" si="103"/>
        <v>0</v>
      </c>
      <c r="I487" s="790"/>
      <c r="J487" s="1674" t="s">
        <v>6164</v>
      </c>
      <c r="N487"/>
      <c r="AB487" s="3219" t="str">
        <f t="shared" si="104"/>
        <v>Aliado poderoso (3)</v>
      </c>
      <c r="AC487" s="3248">
        <f t="shared" si="105"/>
        <v>16</v>
      </c>
      <c r="AD487" s="2731" t="s">
        <v>2314</v>
      </c>
      <c r="AE487" s="3198">
        <v>3</v>
      </c>
      <c r="AF487" s="3189">
        <f>COUNTIF(Principal!$C$35:$J$47,AD487)+COUNTIF(Principal!$C$48:$F$49,AD487)</f>
        <v>0</v>
      </c>
      <c r="AG487" s="2809">
        <f t="shared" si="106"/>
        <v>0</v>
      </c>
      <c r="AH487" s="3215"/>
      <c r="AI487" s="3199" t="s">
        <v>6164</v>
      </c>
      <c r="AJ487"/>
    </row>
    <row r="488" spans="1:36" ht="12.75" customHeight="1">
      <c r="A488" s="219">
        <v>488</v>
      </c>
      <c r="B488" s="7145"/>
      <c r="C488" s="1678" t="str">
        <f t="shared" si="101"/>
        <v>Contactos (2)</v>
      </c>
      <c r="D488" s="787">
        <f t="shared" si="102"/>
        <v>6</v>
      </c>
      <c r="E488" s="47" t="s">
        <v>2319</v>
      </c>
      <c r="F488" s="1669">
        <v>2</v>
      </c>
      <c r="G488" s="1669">
        <f>COUNTIF(Principal!$C$35:$J$47,Tablas!E488)+COUNTIF(Principal!$C$48:$F$49,Tablas!E488)</f>
        <v>0</v>
      </c>
      <c r="H488" s="84">
        <f t="shared" si="103"/>
        <v>0</v>
      </c>
      <c r="I488" s="790"/>
      <c r="J488" s="1674" t="s">
        <v>6164</v>
      </c>
      <c r="N488"/>
      <c r="AB488" s="3219" t="str">
        <f t="shared" si="104"/>
        <v>Artefacto (1)</v>
      </c>
      <c r="AC488" s="3248">
        <f t="shared" si="105"/>
        <v>11</v>
      </c>
      <c r="AD488" s="2731" t="s">
        <v>2315</v>
      </c>
      <c r="AE488" s="3189">
        <v>1</v>
      </c>
      <c r="AF488" s="3189">
        <f>COUNTIF(Principal!$C$35:$J$47,AD488)+COUNTIF(Principal!$C$48:$F$49,AD488)</f>
        <v>0</v>
      </c>
      <c r="AG488" s="2809">
        <f t="shared" si="106"/>
        <v>0</v>
      </c>
      <c r="AH488" s="3215"/>
      <c r="AI488" s="3199" t="s">
        <v>6164</v>
      </c>
      <c r="AJ488"/>
    </row>
    <row r="489" spans="1:36" ht="12.75" customHeight="1">
      <c r="A489" s="219">
        <v>489</v>
      </c>
      <c r="B489" s="7145"/>
      <c r="C489" s="1678" t="str">
        <f t="shared" si="101"/>
        <v>Contactos (3)</v>
      </c>
      <c r="D489" s="787">
        <f t="shared" si="102"/>
        <v>7</v>
      </c>
      <c r="E489" s="47" t="s">
        <v>2320</v>
      </c>
      <c r="F489" s="1669">
        <v>3</v>
      </c>
      <c r="G489" s="1669">
        <f>COUNTIF(Principal!$C$35:$J$47,Tablas!E489)+COUNTIF(Principal!$C$48:$F$49,Tablas!E489)</f>
        <v>0</v>
      </c>
      <c r="H489" s="84">
        <f t="shared" si="103"/>
        <v>0</v>
      </c>
      <c r="I489" s="790"/>
      <c r="J489" s="1674" t="s">
        <v>6164</v>
      </c>
      <c r="N489"/>
      <c r="AB489" s="3219" t="str">
        <f t="shared" si="104"/>
        <v>Artefacto (2)</v>
      </c>
      <c r="AC489" s="3248">
        <f t="shared" si="105"/>
        <v>12</v>
      </c>
      <c r="AD489" s="2731" t="s">
        <v>2316</v>
      </c>
      <c r="AE489" s="3189">
        <v>2</v>
      </c>
      <c r="AF489" s="3189">
        <f>COUNTIF(Principal!$C$35:$J$47,AD489)+COUNTIF(Principal!$C$48:$F$49,AD489)</f>
        <v>0</v>
      </c>
      <c r="AG489" s="2809">
        <f t="shared" si="106"/>
        <v>0</v>
      </c>
      <c r="AH489" s="3215"/>
      <c r="AI489" s="3199" t="s">
        <v>6164</v>
      </c>
      <c r="AJ489"/>
    </row>
    <row r="490" spans="1:36" ht="12.75" customHeight="1">
      <c r="A490" s="219">
        <v>490</v>
      </c>
      <c r="B490" s="7145"/>
      <c r="C490" s="1678" t="str">
        <f t="shared" si="101"/>
        <v>Curtido (1)</v>
      </c>
      <c r="D490" s="787">
        <f t="shared" si="102"/>
        <v>14</v>
      </c>
      <c r="E490" s="47" t="s">
        <v>2321</v>
      </c>
      <c r="F490" s="1669">
        <v>1</v>
      </c>
      <c r="G490" s="1669">
        <f>COUNTIF(Principal!$C$35:$J$47,Tablas!E490)+COUNTIF(Principal!$C$48:$F$49,Tablas!E490)</f>
        <v>0</v>
      </c>
      <c r="H490" s="84">
        <f t="shared" si="103"/>
        <v>0</v>
      </c>
      <c r="I490" s="790"/>
      <c r="J490" s="1674" t="s">
        <v>6164</v>
      </c>
      <c r="N490"/>
      <c r="AB490" s="3219" t="str">
        <f t="shared" si="104"/>
        <v>Artefacto (3)</v>
      </c>
      <c r="AC490" s="3248">
        <f t="shared" si="105"/>
        <v>13</v>
      </c>
      <c r="AD490" s="2731" t="s">
        <v>2317</v>
      </c>
      <c r="AE490" s="3189">
        <v>3</v>
      </c>
      <c r="AF490" s="3189">
        <f>COUNTIF(Principal!$C$35:$J$47,AD490)+COUNTIF(Principal!$C$48:$F$49,AD490)</f>
        <v>0</v>
      </c>
      <c r="AG490" s="2809">
        <f t="shared" si="106"/>
        <v>0</v>
      </c>
      <c r="AH490" s="3215"/>
      <c r="AI490" s="3199" t="s">
        <v>6164</v>
      </c>
      <c r="AJ490"/>
    </row>
    <row r="491" spans="1:36" ht="12.75" customHeight="1">
      <c r="A491" s="219">
        <v>491</v>
      </c>
      <c r="B491" s="7145"/>
      <c r="C491" s="1678" t="str">
        <f t="shared" si="101"/>
        <v>Curtido (2)</v>
      </c>
      <c r="D491" s="787">
        <f t="shared" si="102"/>
        <v>15</v>
      </c>
      <c r="E491" s="47" t="s">
        <v>2322</v>
      </c>
      <c r="F491" s="1669">
        <v>2</v>
      </c>
      <c r="G491" s="1669">
        <f>COUNTIF(Principal!$C$35:$J$47,Tablas!E491)+COUNTIF(Principal!$C$48:$F$49,Tablas!E491)</f>
        <v>0</v>
      </c>
      <c r="H491" s="84">
        <f t="shared" si="103"/>
        <v>0</v>
      </c>
      <c r="I491" s="790"/>
      <c r="J491" s="1674" t="s">
        <v>6164</v>
      </c>
      <c r="N491"/>
      <c r="AB491" s="3219" t="str">
        <f t="shared" si="104"/>
        <v>Contactos (1)</v>
      </c>
      <c r="AC491" s="3248">
        <f t="shared" si="105"/>
        <v>5</v>
      </c>
      <c r="AD491" s="2731" t="s">
        <v>2318</v>
      </c>
      <c r="AE491" s="3189">
        <v>1</v>
      </c>
      <c r="AF491" s="3189">
        <f>COUNTIF(Principal!$C$35:$J$47,AD491)+COUNTIF(Principal!$C$48:$F$49,AD491)</f>
        <v>0</v>
      </c>
      <c r="AG491" s="2809">
        <f t="shared" si="106"/>
        <v>0</v>
      </c>
      <c r="AH491" s="3215"/>
      <c r="AI491" s="3199" t="s">
        <v>6164</v>
      </c>
      <c r="AJ491"/>
    </row>
    <row r="492" spans="1:36" ht="12.75" customHeight="1">
      <c r="A492" s="219">
        <v>492</v>
      </c>
      <c r="B492" s="7145"/>
      <c r="C492" s="1678" t="str">
        <f t="shared" si="101"/>
        <v>Curtido (3)</v>
      </c>
      <c r="D492" s="787">
        <f t="shared" si="102"/>
        <v>21</v>
      </c>
      <c r="E492" s="47" t="s">
        <v>2323</v>
      </c>
      <c r="F492" s="1669">
        <v>1</v>
      </c>
      <c r="G492" s="1669">
        <f>COUNTIF(Principal!$C$35:$J$47,Tablas!E492)+COUNTIF(Principal!$C$48:$F$49,Tablas!E492)</f>
        <v>0</v>
      </c>
      <c r="H492" s="84">
        <f t="shared" si="103"/>
        <v>0</v>
      </c>
      <c r="I492" s="790"/>
      <c r="J492" s="1674" t="s">
        <v>6164</v>
      </c>
      <c r="N492"/>
      <c r="AB492" s="3219" t="str">
        <f t="shared" si="104"/>
        <v>Contactos (2)</v>
      </c>
      <c r="AC492" s="3248">
        <f t="shared" si="105"/>
        <v>6</v>
      </c>
      <c r="AD492" s="2731" t="s">
        <v>2319</v>
      </c>
      <c r="AE492" s="3189">
        <v>2</v>
      </c>
      <c r="AF492" s="3189">
        <f>COUNTIF(Principal!$C$35:$J$47,AD492)+COUNTIF(Principal!$C$48:$F$49,AD492)</f>
        <v>0</v>
      </c>
      <c r="AG492" s="2809">
        <f t="shared" si="106"/>
        <v>0</v>
      </c>
      <c r="AH492" s="3215"/>
      <c r="AI492" s="3194" t="s">
        <v>6164</v>
      </c>
      <c r="AJ492"/>
    </row>
    <row r="493" spans="1:36" ht="12.75" customHeight="1">
      <c r="A493" s="219">
        <v>493</v>
      </c>
      <c r="B493" s="7145"/>
      <c r="C493" s="1678" t="str">
        <f t="shared" si="101"/>
        <v>Fama (1)</v>
      </c>
      <c r="D493" s="787">
        <f t="shared" si="102"/>
        <v>23</v>
      </c>
      <c r="E493" s="47" t="s">
        <v>2324</v>
      </c>
      <c r="F493" s="1669">
        <v>2</v>
      </c>
      <c r="G493" s="1669">
        <f>COUNTIF(Principal!$C$35:$J$47,Tablas!E493)+COUNTIF(Principal!$C$48:$F$49,Tablas!E493)</f>
        <v>0</v>
      </c>
      <c r="H493" s="84">
        <f t="shared" si="103"/>
        <v>0</v>
      </c>
      <c r="I493" s="790"/>
      <c r="J493" s="1674" t="s">
        <v>6164</v>
      </c>
      <c r="N493"/>
      <c r="AB493" s="3219" t="str">
        <f t="shared" si="104"/>
        <v>Contactos (3)</v>
      </c>
      <c r="AC493" s="3248">
        <f t="shared" si="105"/>
        <v>7</v>
      </c>
      <c r="AD493" s="2731" t="s">
        <v>2320</v>
      </c>
      <c r="AE493" s="3189">
        <v>3</v>
      </c>
      <c r="AF493" s="3189">
        <f>COUNTIF(Principal!$C$35:$J$47,AD493)+COUNTIF(Principal!$C$48:$F$49,AD493)</f>
        <v>0</v>
      </c>
      <c r="AG493" s="2809">
        <f t="shared" si="106"/>
        <v>0</v>
      </c>
      <c r="AH493" s="3215"/>
      <c r="AI493" s="3194" t="s">
        <v>6164</v>
      </c>
      <c r="AJ493"/>
    </row>
    <row r="494" spans="1:36" ht="12.75" customHeight="1">
      <c r="A494" s="219">
        <v>494</v>
      </c>
      <c r="B494" s="7145"/>
      <c r="C494" s="1678" t="str">
        <f t="shared" si="101"/>
        <v>Fama (2)</v>
      </c>
      <c r="D494" s="787">
        <f t="shared" si="102"/>
        <v>19</v>
      </c>
      <c r="E494" s="47" t="s">
        <v>2325</v>
      </c>
      <c r="F494" s="1669">
        <v>1</v>
      </c>
      <c r="G494" s="1669">
        <f>COUNTIF(Principal!$C$35:$J$47,Tablas!E494)+COUNTIF(Principal!$C$48:$F$49,Tablas!E494)</f>
        <v>0</v>
      </c>
      <c r="H494" s="84">
        <f t="shared" si="103"/>
        <v>0</v>
      </c>
      <c r="I494" s="790"/>
      <c r="J494" s="1674" t="s">
        <v>6164</v>
      </c>
      <c r="N494"/>
      <c r="AB494" s="3219" t="str">
        <f t="shared" si="104"/>
        <v>Curtido (1)</v>
      </c>
      <c r="AC494" s="3248">
        <f t="shared" si="105"/>
        <v>14</v>
      </c>
      <c r="AD494" s="2731" t="s">
        <v>2321</v>
      </c>
      <c r="AE494" s="3189">
        <v>1</v>
      </c>
      <c r="AF494" s="3189">
        <f>COUNTIF(Principal!$C$35:$J$47,AD494)+COUNTIF(Principal!$C$48:$F$49,AD494)</f>
        <v>0</v>
      </c>
      <c r="AG494" s="2809">
        <f t="shared" si="106"/>
        <v>0</v>
      </c>
      <c r="AH494" s="3215"/>
      <c r="AI494" s="3194" t="s">
        <v>6164</v>
      </c>
      <c r="AJ494"/>
    </row>
    <row r="495" spans="1:36" ht="12.75" customHeight="1">
      <c r="A495" s="219">
        <v>495</v>
      </c>
      <c r="B495" s="7145"/>
      <c r="C495" s="1678" t="str">
        <f t="shared" si="101"/>
        <v>Fondos iniciales (10 000 mo)</v>
      </c>
      <c r="D495" s="787">
        <f t="shared" si="102"/>
        <v>20</v>
      </c>
      <c r="E495" s="47" t="s">
        <v>2326</v>
      </c>
      <c r="F495" s="1669">
        <v>2</v>
      </c>
      <c r="G495" s="1669">
        <f>COUNTIF(Principal!$C$35:$J$47,Tablas!E495)+COUNTIF(Principal!$C$48:$F$49,Tablas!E495)</f>
        <v>0</v>
      </c>
      <c r="H495" s="84">
        <f t="shared" si="103"/>
        <v>0</v>
      </c>
      <c r="I495" s="790"/>
      <c r="J495" s="1674" t="s">
        <v>6164</v>
      </c>
      <c r="N495"/>
      <c r="AB495" s="3219" t="str">
        <f t="shared" si="104"/>
        <v>Curtido (2)</v>
      </c>
      <c r="AC495" s="3248">
        <f t="shared" si="105"/>
        <v>15</v>
      </c>
      <c r="AD495" s="2731" t="s">
        <v>2322</v>
      </c>
      <c r="AE495" s="3189">
        <v>2</v>
      </c>
      <c r="AF495" s="3189">
        <f>COUNTIF(Principal!$C$35:$J$47,AD495)+COUNTIF(Principal!$C$48:$F$49,AD495)</f>
        <v>0</v>
      </c>
      <c r="AG495" s="2809">
        <f t="shared" si="106"/>
        <v>0</v>
      </c>
      <c r="AH495" s="3215"/>
      <c r="AI495" s="3194" t="s">
        <v>6164</v>
      </c>
      <c r="AJ495"/>
    </row>
    <row r="496" spans="1:36" ht="12.75" customHeight="1">
      <c r="A496" s="219">
        <v>496</v>
      </c>
      <c r="B496" s="7145"/>
      <c r="C496" s="1678" t="str">
        <f t="shared" si="101"/>
        <v>Fondos iniciales (2 000 mo)</v>
      </c>
      <c r="D496" s="787">
        <f t="shared" si="102"/>
        <v>8</v>
      </c>
      <c r="E496" s="47" t="s">
        <v>2327</v>
      </c>
      <c r="F496" s="1669">
        <v>1</v>
      </c>
      <c r="G496" s="1669">
        <f>COUNTIF(Principal!$C$35:$J$47,Tablas!E496)+COUNTIF(Principal!$C$48:$F$49,Tablas!E496)</f>
        <v>0</v>
      </c>
      <c r="H496" s="84">
        <f t="shared" si="103"/>
        <v>0</v>
      </c>
      <c r="I496" s="790"/>
      <c r="J496" s="1674" t="s">
        <v>6164</v>
      </c>
      <c r="N496"/>
      <c r="AB496" s="3219" t="str">
        <f t="shared" si="104"/>
        <v>Curtido (3)</v>
      </c>
      <c r="AC496" s="3248">
        <f t="shared" si="105"/>
        <v>21</v>
      </c>
      <c r="AD496" s="2731" t="s">
        <v>2323</v>
      </c>
      <c r="AE496" s="3189">
        <v>1</v>
      </c>
      <c r="AF496" s="3189">
        <f>COUNTIF(Principal!$C$35:$J$47,AD496)+COUNTIF(Principal!$C$48:$F$49,AD496)</f>
        <v>0</v>
      </c>
      <c r="AG496" s="2809">
        <f t="shared" si="106"/>
        <v>0</v>
      </c>
      <c r="AH496" s="3215"/>
      <c r="AI496" s="3194" t="s">
        <v>6164</v>
      </c>
      <c r="AJ496"/>
    </row>
    <row r="497" spans="1:36" ht="12.75" customHeight="1">
      <c r="A497" s="219">
        <v>497</v>
      </c>
      <c r="B497" s="7145"/>
      <c r="C497" s="1678" t="str">
        <f t="shared" si="101"/>
        <v>Fondos iniciales (5 000 mo)</v>
      </c>
      <c r="D497" s="787">
        <f t="shared" si="102"/>
        <v>9</v>
      </c>
      <c r="E497" s="47" t="s">
        <v>2328</v>
      </c>
      <c r="F497" s="1669">
        <v>2</v>
      </c>
      <c r="G497" s="1669">
        <f>COUNTIF(Principal!$C$35:$J$47,Tablas!E497)+COUNTIF(Principal!$C$48:$F$49,Tablas!E497)</f>
        <v>0</v>
      </c>
      <c r="H497" s="84">
        <f t="shared" si="103"/>
        <v>0</v>
      </c>
      <c r="I497" s="790"/>
      <c r="J497" s="1674" t="s">
        <v>6164</v>
      </c>
      <c r="N497"/>
      <c r="AB497" s="3219" t="str">
        <f t="shared" si="104"/>
        <v>Fama (1)</v>
      </c>
      <c r="AC497" s="3248">
        <f t="shared" si="105"/>
        <v>23</v>
      </c>
      <c r="AD497" s="2731" t="s">
        <v>2324</v>
      </c>
      <c r="AE497" s="3189">
        <v>2</v>
      </c>
      <c r="AF497" s="3189">
        <f>COUNTIF(Principal!$C$35:$J$47,AD497)+COUNTIF(Principal!$C$48:$F$49,AD497)</f>
        <v>0</v>
      </c>
      <c r="AG497" s="2809">
        <f t="shared" si="106"/>
        <v>0</v>
      </c>
      <c r="AH497" s="3215"/>
      <c r="AI497" s="3194" t="s">
        <v>6164</v>
      </c>
      <c r="AJ497"/>
    </row>
    <row r="498" spans="1:36" ht="12.75" customHeight="1">
      <c r="A498" s="219">
        <v>498</v>
      </c>
      <c r="B498" s="7145"/>
      <c r="C498" s="1678" t="str">
        <f t="shared" si="101"/>
        <v>Posición social (1)</v>
      </c>
      <c r="D498" s="787">
        <f t="shared" si="102"/>
        <v>10</v>
      </c>
      <c r="E498" s="47" t="s">
        <v>2329</v>
      </c>
      <c r="F498" s="1669">
        <v>3</v>
      </c>
      <c r="G498" s="1669">
        <f>COUNTIF(Principal!$C$35:$J$47,Tablas!E498)+COUNTIF(Principal!$C$48:$F$49,Tablas!E498)</f>
        <v>0</v>
      </c>
      <c r="H498" s="84">
        <f t="shared" si="103"/>
        <v>0</v>
      </c>
      <c r="I498" s="790"/>
      <c r="J498" s="1674" t="s">
        <v>6164</v>
      </c>
      <c r="N498"/>
      <c r="AB498" s="3219" t="str">
        <f t="shared" si="104"/>
        <v>Fama (2)</v>
      </c>
      <c r="AC498" s="3248">
        <f t="shared" si="105"/>
        <v>19</v>
      </c>
      <c r="AD498" s="2731" t="s">
        <v>2325</v>
      </c>
      <c r="AE498" s="3189">
        <v>1</v>
      </c>
      <c r="AF498" s="3189">
        <f>COUNTIF(Principal!$C$35:$J$47,AD498)+COUNTIF(Principal!$C$48:$F$49,AD498)</f>
        <v>0</v>
      </c>
      <c r="AG498" s="2809">
        <f t="shared" si="106"/>
        <v>0</v>
      </c>
      <c r="AH498" s="3215"/>
      <c r="AI498" s="3194" t="s">
        <v>6164</v>
      </c>
      <c r="AJ498"/>
    </row>
    <row r="499" spans="1:36" ht="12.75" customHeight="1">
      <c r="A499" s="219">
        <v>499</v>
      </c>
      <c r="B499" s="7145"/>
      <c r="C499" s="1678" t="str">
        <f t="shared" si="101"/>
        <v>Posición social (2)</v>
      </c>
      <c r="D499" s="787">
        <f t="shared" si="102"/>
        <v>2</v>
      </c>
      <c r="E499" s="47" t="s">
        <v>2330</v>
      </c>
      <c r="F499" s="1669">
        <v>1</v>
      </c>
      <c r="G499" s="1669">
        <f>COUNTIF(Principal!$C$35:$J$47,Tablas!E499)+COUNTIF(Principal!$C$48:$F$49,Tablas!E499)</f>
        <v>0</v>
      </c>
      <c r="H499" s="84">
        <f t="shared" si="103"/>
        <v>0</v>
      </c>
      <c r="I499" s="790"/>
      <c r="J499" s="1674" t="s">
        <v>6164</v>
      </c>
      <c r="N499"/>
      <c r="AB499" s="3219" t="str">
        <f t="shared" si="104"/>
        <v>Fondos iniciales (10 000 mo)</v>
      </c>
      <c r="AC499" s="3248">
        <f t="shared" si="105"/>
        <v>20</v>
      </c>
      <c r="AD499" s="2731" t="s">
        <v>2326</v>
      </c>
      <c r="AE499" s="3189">
        <v>2</v>
      </c>
      <c r="AF499" s="3189">
        <f>COUNTIF(Principal!$C$35:$J$47,AD499)+COUNTIF(Principal!$C$48:$F$49,AD499)</f>
        <v>0</v>
      </c>
      <c r="AG499" s="2809">
        <f t="shared" si="106"/>
        <v>0</v>
      </c>
      <c r="AH499" s="3215"/>
      <c r="AI499" s="3194" t="s">
        <v>6164</v>
      </c>
      <c r="AJ499"/>
    </row>
    <row r="500" spans="1:36" ht="12.75" customHeight="1">
      <c r="A500" s="219">
        <v>500</v>
      </c>
      <c r="B500" s="7145"/>
      <c r="C500" s="1678" t="str">
        <f t="shared" si="101"/>
        <v>Raices culturales</v>
      </c>
      <c r="D500" s="787">
        <f t="shared" si="102"/>
        <v>3</v>
      </c>
      <c r="E500" s="47" t="s">
        <v>2331</v>
      </c>
      <c r="F500" s="1669">
        <v>2</v>
      </c>
      <c r="G500" s="1669">
        <f>COUNTIF(Principal!$C$35:$J$47,Tablas!E500)+COUNTIF(Principal!$C$48:$F$49,Tablas!E500)</f>
        <v>0</v>
      </c>
      <c r="H500" s="84">
        <f t="shared" si="103"/>
        <v>0</v>
      </c>
      <c r="I500" s="790"/>
      <c r="J500" s="1674" t="s">
        <v>6164</v>
      </c>
      <c r="N500"/>
      <c r="AB500" s="3219" t="str">
        <f t="shared" si="104"/>
        <v>Fondos iniciales (2 000 mo)</v>
      </c>
      <c r="AC500" s="3248">
        <f t="shared" si="105"/>
        <v>8</v>
      </c>
      <c r="AD500" s="2731" t="s">
        <v>2327</v>
      </c>
      <c r="AE500" s="3189">
        <v>1</v>
      </c>
      <c r="AF500" s="3189">
        <f>COUNTIF(Principal!$C$35:$J$47,AD500)+COUNTIF(Principal!$C$48:$F$49,AD500)</f>
        <v>0</v>
      </c>
      <c r="AG500" s="2809">
        <f t="shared" si="106"/>
        <v>0</v>
      </c>
      <c r="AH500" s="3215"/>
      <c r="AI500" s="3194" t="s">
        <v>6164</v>
      </c>
      <c r="AJ500"/>
    </row>
    <row r="501" spans="1:36" ht="12.75" customHeight="1">
      <c r="A501" s="219">
        <v>501</v>
      </c>
      <c r="B501" s="7145"/>
      <c r="C501" s="1678" t="str">
        <f t="shared" si="101"/>
        <v>Sangre Antigua</v>
      </c>
      <c r="D501" s="787">
        <f t="shared" si="102"/>
        <v>4</v>
      </c>
      <c r="E501" s="47" t="s">
        <v>2332</v>
      </c>
      <c r="F501" s="1669">
        <v>3</v>
      </c>
      <c r="G501" s="1669">
        <f>COUNTIF(Principal!$C$35:$J$47,Tablas!E501)+COUNTIF(Principal!$C$48:$F$49,Tablas!E501)</f>
        <v>0</v>
      </c>
      <c r="H501" s="84">
        <f t="shared" si="103"/>
        <v>0</v>
      </c>
      <c r="I501" s="790"/>
      <c r="J501" s="1674" t="s">
        <v>6164</v>
      </c>
      <c r="N501"/>
      <c r="AB501" s="3219" t="str">
        <f t="shared" si="104"/>
        <v>Fondos iniciales (5 000 mo)</v>
      </c>
      <c r="AC501" s="3248">
        <f t="shared" si="105"/>
        <v>9</v>
      </c>
      <c r="AD501" s="2731" t="s">
        <v>2328</v>
      </c>
      <c r="AE501" s="3189">
        <v>2</v>
      </c>
      <c r="AF501" s="3189">
        <f>COUNTIF(Principal!$C$35:$J$47,AD501)+COUNTIF(Principal!$C$48:$F$49,AD501)</f>
        <v>0</v>
      </c>
      <c r="AG501" s="2809">
        <f t="shared" si="106"/>
        <v>0</v>
      </c>
      <c r="AH501" s="3215"/>
      <c r="AI501" s="3194" t="s">
        <v>6164</v>
      </c>
      <c r="AJ501"/>
    </row>
    <row r="502" spans="1:36" ht="12.75" customHeight="1">
      <c r="A502" s="219">
        <v>502</v>
      </c>
      <c r="B502" s="7145"/>
      <c r="C502" s="1685" t="str">
        <f t="shared" si="101"/>
        <v>Santo</v>
      </c>
      <c r="D502" s="1680">
        <f t="shared" si="102"/>
        <v>22</v>
      </c>
      <c r="E502" s="1681" t="s">
        <v>2333</v>
      </c>
      <c r="F502" s="789">
        <v>2</v>
      </c>
      <c r="G502" s="789">
        <f>COUNTIF(Principal!$C$35:$J$47,Tablas!E502)+COUNTIF(Principal!$C$48:$F$49,Tablas!E502)</f>
        <v>0</v>
      </c>
      <c r="H502" s="1687">
        <f t="shared" si="103"/>
        <v>0</v>
      </c>
      <c r="I502" s="1688"/>
      <c r="J502" s="1684" t="s">
        <v>6164</v>
      </c>
      <c r="N502"/>
      <c r="AB502" s="3219" t="str">
        <f t="shared" si="104"/>
        <v>Posición social (1)</v>
      </c>
      <c r="AC502" s="3248">
        <f t="shared" si="105"/>
        <v>10</v>
      </c>
      <c r="AD502" s="2731" t="s">
        <v>2329</v>
      </c>
      <c r="AE502" s="3189">
        <v>3</v>
      </c>
      <c r="AF502" s="3189">
        <f>COUNTIF(Principal!$C$35:$J$47,AD502)+COUNTIF(Principal!$C$48:$F$49,AD502)</f>
        <v>0</v>
      </c>
      <c r="AG502" s="2809">
        <f t="shared" si="106"/>
        <v>0</v>
      </c>
      <c r="AH502" s="3215"/>
      <c r="AI502" s="3194" t="s">
        <v>6164</v>
      </c>
      <c r="AJ502"/>
    </row>
    <row r="503" spans="1:36" ht="12.75" customHeight="1">
      <c r="A503" s="219">
        <v>503</v>
      </c>
      <c r="B503" s="7145"/>
      <c r="C503" s="1711" t="str">
        <f>"Tablas!"&amp;ADDRESS(ROW(C504),COLUMN(C504))&amp;":"&amp;ADDRESS(ROW(C504)+MAX(D503:D574),COLUMN(C504))</f>
        <v>Tablas!$C$504:$C$560</v>
      </c>
      <c r="D503" s="787">
        <f t="shared" ref="D503:D547" si="107">COUNTIF($E$503:$E$547,"&lt;="&amp;E503)-COUNTIF($E$503:$E$547,"*&gt;*")</f>
        <v>0</v>
      </c>
      <c r="E503" s="47" t="s">
        <v>9565</v>
      </c>
      <c r="F503" s="1669"/>
      <c r="G503" s="1669"/>
      <c r="H503" s="1670"/>
      <c r="I503" s="790"/>
      <c r="J503" s="1674" t="s">
        <v>2649</v>
      </c>
      <c r="N503"/>
      <c r="AB503" s="3219" t="str">
        <f t="shared" si="104"/>
        <v>Posición social (2)</v>
      </c>
      <c r="AC503" s="3248">
        <f t="shared" si="105"/>
        <v>2</v>
      </c>
      <c r="AD503" s="2731" t="s">
        <v>2330</v>
      </c>
      <c r="AE503" s="3189">
        <v>1</v>
      </c>
      <c r="AF503" s="3189">
        <f>COUNTIF(Principal!$C$35:$J$47,AD503)+COUNTIF(Principal!$C$48:$F$49,AD503)</f>
        <v>0</v>
      </c>
      <c r="AG503" s="2809">
        <f t="shared" si="106"/>
        <v>0</v>
      </c>
      <c r="AH503" s="3215"/>
      <c r="AI503" s="3194" t="s">
        <v>6164</v>
      </c>
      <c r="AJ503"/>
    </row>
    <row r="504" spans="1:36" ht="12.75" customHeight="1">
      <c r="A504" s="219">
        <v>504</v>
      </c>
      <c r="B504" s="7145"/>
      <c r="C504" s="1678" t="str">
        <f>E503</f>
        <v xml:space="preserve"> &gt; DESVENTAJAS COMUNES</v>
      </c>
      <c r="D504" s="787">
        <f t="shared" si="107"/>
        <v>1</v>
      </c>
      <c r="E504" s="793" t="s">
        <v>6735</v>
      </c>
      <c r="F504" s="1669">
        <v>-1</v>
      </c>
      <c r="G504" s="1669">
        <f>COUNTIF(Principal!$C$51:$F$53,Tablas!E504)</f>
        <v>0</v>
      </c>
      <c r="H504" s="1670">
        <f t="shared" ref="H504:H538" si="108">G504*F504</f>
        <v>0</v>
      </c>
      <c r="I504" s="792">
        <v>1</v>
      </c>
      <c r="J504" s="1674" t="s">
        <v>2649</v>
      </c>
      <c r="N504"/>
      <c r="AB504" s="3219" t="str">
        <f t="shared" si="104"/>
        <v>Raices culturales</v>
      </c>
      <c r="AC504" s="3248">
        <f t="shared" si="105"/>
        <v>3</v>
      </c>
      <c r="AD504" s="2731" t="s">
        <v>2331</v>
      </c>
      <c r="AE504" s="3189">
        <v>2</v>
      </c>
      <c r="AF504" s="3189">
        <f>COUNTIF(Principal!$C$35:$J$47,AD504)+COUNTIF(Principal!$C$48:$F$49,AD504)</f>
        <v>0</v>
      </c>
      <c r="AG504" s="2809">
        <f t="shared" si="106"/>
        <v>0</v>
      </c>
      <c r="AH504" s="3215"/>
      <c r="AI504" s="3194" t="s">
        <v>6164</v>
      </c>
      <c r="AJ504"/>
    </row>
    <row r="505" spans="1:36" ht="12.75" customHeight="1">
      <c r="A505" s="219">
        <v>505</v>
      </c>
      <c r="B505" s="7145"/>
      <c r="C505" s="1678" t="str">
        <f t="shared" ref="C505:C536" si="109">VLOOKUP(A1,$D$503:$E$574,2,0)</f>
        <v>-2 a característica: AGI</v>
      </c>
      <c r="D505" s="787">
        <f t="shared" si="107"/>
        <v>2</v>
      </c>
      <c r="E505" s="793" t="s">
        <v>6736</v>
      </c>
      <c r="F505" s="1669">
        <v>-1</v>
      </c>
      <c r="G505" s="1669">
        <f>COUNTIF(Principal!$C$51:$F$53,Tablas!E505)</f>
        <v>0</v>
      </c>
      <c r="H505" s="1670">
        <f t="shared" si="108"/>
        <v>0</v>
      </c>
      <c r="I505" s="792">
        <v>1</v>
      </c>
      <c r="J505" s="1674" t="s">
        <v>2649</v>
      </c>
      <c r="N505"/>
      <c r="AB505" s="3219" t="str">
        <f t="shared" si="104"/>
        <v>Sangre Antigua</v>
      </c>
      <c r="AC505" s="3248">
        <f t="shared" si="105"/>
        <v>4</v>
      </c>
      <c r="AD505" s="2731" t="s">
        <v>2332</v>
      </c>
      <c r="AE505" s="3189">
        <v>3</v>
      </c>
      <c r="AF505" s="3189">
        <f>COUNTIF(Principal!$C$35:$J$47,AD505)+COUNTIF(Principal!$C$48:$F$49,AD505)</f>
        <v>0</v>
      </c>
      <c r="AG505" s="2809">
        <f t="shared" si="106"/>
        <v>0</v>
      </c>
      <c r="AH505" s="3215"/>
      <c r="AI505" s="3194" t="s">
        <v>6164</v>
      </c>
      <c r="AJ505"/>
    </row>
    <row r="506" spans="1:36" ht="12.75" customHeight="1">
      <c r="A506" s="219">
        <v>506</v>
      </c>
      <c r="B506" s="7145"/>
      <c r="C506" s="1678" t="str">
        <f t="shared" si="109"/>
        <v>-2 a característica: CON</v>
      </c>
      <c r="D506" s="787">
        <f t="shared" si="107"/>
        <v>3</v>
      </c>
      <c r="E506" s="793" t="s">
        <v>6737</v>
      </c>
      <c r="F506" s="1669">
        <v>-1</v>
      </c>
      <c r="G506" s="1669">
        <f>COUNTIF(Principal!$C$51:$F$53,Tablas!E506)</f>
        <v>0</v>
      </c>
      <c r="H506" s="1670">
        <f t="shared" si="108"/>
        <v>0</v>
      </c>
      <c r="I506" s="792">
        <v>1</v>
      </c>
      <c r="J506" s="1674" t="s">
        <v>2649</v>
      </c>
      <c r="N506"/>
      <c r="AB506" s="3221" t="str">
        <f t="shared" si="104"/>
        <v>Santo</v>
      </c>
      <c r="AC506" s="3249">
        <f t="shared" si="105"/>
        <v>22</v>
      </c>
      <c r="AD506" s="3222" t="s">
        <v>2333</v>
      </c>
      <c r="AE506" s="3206">
        <v>2</v>
      </c>
      <c r="AF506" s="3189">
        <f>COUNTIF(Principal!$C$35:$J$47,AD506)+COUNTIF(Principal!$C$48:$F$49,AD506)</f>
        <v>0</v>
      </c>
      <c r="AG506" s="3223">
        <f t="shared" si="106"/>
        <v>0</v>
      </c>
      <c r="AH506" s="3224"/>
      <c r="AI506" s="3208" t="s">
        <v>6164</v>
      </c>
      <c r="AJ506"/>
    </row>
    <row r="507" spans="1:36" ht="12.75" customHeight="1">
      <c r="A507" s="219">
        <v>507</v>
      </c>
      <c r="B507" s="7145"/>
      <c r="C507" s="1678" t="str">
        <f t="shared" si="109"/>
        <v>-2 a característica: DES</v>
      </c>
      <c r="D507" s="787">
        <f t="shared" si="107"/>
        <v>4</v>
      </c>
      <c r="E507" s="793" t="s">
        <v>6738</v>
      </c>
      <c r="F507" s="1669">
        <v>-1</v>
      </c>
      <c r="G507" s="1669">
        <f>COUNTIF(Principal!$C$51:$F$53,Tablas!E507)</f>
        <v>0</v>
      </c>
      <c r="H507" s="1670">
        <f t="shared" si="108"/>
        <v>0</v>
      </c>
      <c r="I507" s="792">
        <v>1</v>
      </c>
      <c r="J507" s="1674" t="s">
        <v>2649</v>
      </c>
      <c r="N507"/>
      <c r="AB507" s="3260" t="str">
        <f>"Tablas!"&amp;ADDRESS(ROW(AB508),COLUMN(AB508))&amp;":"&amp;ADDRESS(ROW(AB508)+MAX(AC507:AC587),COLUMN(AB508))</f>
        <v>Tablas!$AB$508:$AB$564</v>
      </c>
      <c r="AC507" s="3239">
        <f t="shared" ref="AC507:AC551" si="110">COUNTIF($AD$507:$AD$551,"&lt;="&amp;AD507)-COUNTIF($AD$507:$AD$551,"*&gt;*")</f>
        <v>0</v>
      </c>
      <c r="AD507" s="2731" t="s">
        <v>9565</v>
      </c>
      <c r="AE507" s="3189"/>
      <c r="AF507" s="3189"/>
      <c r="AG507" s="3190"/>
      <c r="AH507" s="3215"/>
      <c r="AI507" s="3194" t="s">
        <v>2649</v>
      </c>
      <c r="AJ507"/>
    </row>
    <row r="508" spans="1:36" ht="12.75" customHeight="1">
      <c r="A508" s="219">
        <v>508</v>
      </c>
      <c r="B508" s="7145"/>
      <c r="C508" s="1678" t="str">
        <f t="shared" si="109"/>
        <v>-2 a característica: FUE</v>
      </c>
      <c r="D508" s="787">
        <f t="shared" si="107"/>
        <v>5</v>
      </c>
      <c r="E508" s="793" t="s">
        <v>6739</v>
      </c>
      <c r="F508" s="1669">
        <v>-1</v>
      </c>
      <c r="G508" s="1669">
        <f>COUNTIF(Principal!$C$51:$F$53,Tablas!E508)</f>
        <v>0</v>
      </c>
      <c r="H508" s="1670">
        <f t="shared" si="108"/>
        <v>0</v>
      </c>
      <c r="I508" s="792">
        <v>1</v>
      </c>
      <c r="J508" s="1674" t="s">
        <v>2649</v>
      </c>
      <c r="N508"/>
      <c r="AB508" s="3200" t="str">
        <f>AD507</f>
        <v xml:space="preserve"> &gt; DESVENTAJAS COMUNES</v>
      </c>
      <c r="AC508" s="3248">
        <f t="shared" si="110"/>
        <v>1</v>
      </c>
      <c r="AD508" s="3195" t="s">
        <v>6735</v>
      </c>
      <c r="AE508" s="3189">
        <v>-1</v>
      </c>
      <c r="AF508" s="3189">
        <f>COUNTIF(Principal!$C$51:$F$53,AD508)</f>
        <v>0</v>
      </c>
      <c r="AG508" s="3190">
        <f t="shared" ref="AG508:AG542" si="111">AF508*AE508</f>
        <v>0</v>
      </c>
      <c r="AH508" s="3215">
        <v>1</v>
      </c>
      <c r="AI508" s="3194" t="s">
        <v>2649</v>
      </c>
      <c r="AJ508"/>
    </row>
    <row r="509" spans="1:36" ht="12.75" customHeight="1">
      <c r="A509" s="219">
        <v>509</v>
      </c>
      <c r="B509" s="7145"/>
      <c r="C509" s="1678" t="str">
        <f t="shared" si="109"/>
        <v>-2 a característica: INT</v>
      </c>
      <c r="D509" s="787">
        <f t="shared" si="107"/>
        <v>6</v>
      </c>
      <c r="E509" s="793" t="s">
        <v>6740</v>
      </c>
      <c r="F509" s="1669">
        <v>-1</v>
      </c>
      <c r="G509" s="1669">
        <f>COUNTIF(Principal!$C$51:$F$53,Tablas!E509)</f>
        <v>0</v>
      </c>
      <c r="H509" s="1670">
        <f t="shared" si="108"/>
        <v>0</v>
      </c>
      <c r="I509" s="792">
        <v>1</v>
      </c>
      <c r="J509" s="1674" t="s">
        <v>2649</v>
      </c>
      <c r="N509"/>
      <c r="AB509" s="3200" t="str">
        <f t="shared" ref="AB509:AB540" si="112">VLOOKUP(A1,$AC$507:$AD$583,2,0)</f>
        <v>-2 a característica: AGI</v>
      </c>
      <c r="AC509" s="3248">
        <f t="shared" si="110"/>
        <v>2</v>
      </c>
      <c r="AD509" s="3195" t="s">
        <v>6736</v>
      </c>
      <c r="AE509" s="3189">
        <v>-1</v>
      </c>
      <c r="AF509" s="3189">
        <f>COUNTIF(Principal!$C$51:$F$53,AD509)</f>
        <v>0</v>
      </c>
      <c r="AG509" s="3190">
        <f t="shared" si="111"/>
        <v>0</v>
      </c>
      <c r="AH509" s="3215">
        <v>1</v>
      </c>
      <c r="AI509" s="3194" t="s">
        <v>2649</v>
      </c>
      <c r="AJ509"/>
    </row>
    <row r="510" spans="1:36" ht="12.75" customHeight="1">
      <c r="A510" s="219">
        <v>510</v>
      </c>
      <c r="B510" s="7145"/>
      <c r="C510" s="1678" t="str">
        <f t="shared" si="109"/>
        <v>-2 a característica: PER</v>
      </c>
      <c r="D510" s="787">
        <f t="shared" si="107"/>
        <v>7</v>
      </c>
      <c r="E510" s="793" t="s">
        <v>6741</v>
      </c>
      <c r="F510" s="1669">
        <v>-1</v>
      </c>
      <c r="G510" s="1669">
        <f>COUNTIF(Principal!$C$51:$F$53,Tablas!E510)</f>
        <v>0</v>
      </c>
      <c r="H510" s="1670">
        <f t="shared" si="108"/>
        <v>0</v>
      </c>
      <c r="I510" s="792">
        <v>1</v>
      </c>
      <c r="J510" s="1674" t="s">
        <v>2649</v>
      </c>
      <c r="N510"/>
      <c r="AB510" s="3200" t="str">
        <f t="shared" si="112"/>
        <v>-2 a característica: CON</v>
      </c>
      <c r="AC510" s="3248">
        <f t="shared" si="110"/>
        <v>3</v>
      </c>
      <c r="AD510" s="3195" t="s">
        <v>6737</v>
      </c>
      <c r="AE510" s="3189">
        <v>-1</v>
      </c>
      <c r="AF510" s="3189">
        <f>COUNTIF(Principal!$C$51:$F$53,AD510)</f>
        <v>0</v>
      </c>
      <c r="AG510" s="3190">
        <f t="shared" si="111"/>
        <v>0</v>
      </c>
      <c r="AH510" s="3215">
        <v>1</v>
      </c>
      <c r="AI510" s="3194" t="s">
        <v>2649</v>
      </c>
      <c r="AJ510"/>
    </row>
    <row r="511" spans="1:36" ht="12.75" customHeight="1">
      <c r="A511" s="219">
        <v>511</v>
      </c>
      <c r="B511" s="7145"/>
      <c r="C511" s="1678" t="str">
        <f t="shared" si="109"/>
        <v>-2 a característica: POD</v>
      </c>
      <c r="D511" s="787">
        <f t="shared" si="107"/>
        <v>8</v>
      </c>
      <c r="E511" s="793" t="s">
        <v>6742</v>
      </c>
      <c r="F511" s="1669">
        <v>-1</v>
      </c>
      <c r="G511" s="1669">
        <f>COUNTIF(Principal!$C$51:$F$53,Tablas!E511)</f>
        <v>0</v>
      </c>
      <c r="H511" s="1670">
        <f t="shared" si="108"/>
        <v>0</v>
      </c>
      <c r="I511" s="792">
        <v>1</v>
      </c>
      <c r="J511" s="1674" t="s">
        <v>2649</v>
      </c>
      <c r="N511"/>
      <c r="AB511" s="3200" t="str">
        <f t="shared" si="112"/>
        <v>-2 a característica: DES</v>
      </c>
      <c r="AC511" s="3248">
        <f t="shared" si="110"/>
        <v>4</v>
      </c>
      <c r="AD511" s="3195" t="s">
        <v>6738</v>
      </c>
      <c r="AE511" s="3189">
        <v>-1</v>
      </c>
      <c r="AF511" s="3189">
        <f>COUNTIF(Principal!$C$51:$F$53,AD511)</f>
        <v>0</v>
      </c>
      <c r="AG511" s="3190">
        <f t="shared" si="111"/>
        <v>0</v>
      </c>
      <c r="AH511" s="3215">
        <v>1</v>
      </c>
      <c r="AI511" s="3194" t="s">
        <v>2649</v>
      </c>
      <c r="AJ511"/>
    </row>
    <row r="512" spans="1:36" ht="12.75" customHeight="1">
      <c r="A512" s="219">
        <v>512</v>
      </c>
      <c r="B512" s="7145"/>
      <c r="C512" s="1678" t="str">
        <f t="shared" si="109"/>
        <v>-2 a característica: VOL</v>
      </c>
      <c r="D512" s="787">
        <f t="shared" si="107"/>
        <v>31</v>
      </c>
      <c r="E512" s="47" t="s">
        <v>2216</v>
      </c>
      <c r="F512" s="1669">
        <v>-1</v>
      </c>
      <c r="G512" s="1669">
        <f>COUNTIF(Principal!$C$51:$F$53,Tablas!E512)</f>
        <v>0</v>
      </c>
      <c r="H512" s="1670">
        <f t="shared" si="108"/>
        <v>0</v>
      </c>
      <c r="I512" s="792">
        <v>2</v>
      </c>
      <c r="J512" s="1674" t="s">
        <v>2649</v>
      </c>
      <c r="N512"/>
      <c r="AB512" s="3200" t="str">
        <f t="shared" si="112"/>
        <v>-2 a característica: FUE</v>
      </c>
      <c r="AC512" s="3248">
        <f t="shared" si="110"/>
        <v>5</v>
      </c>
      <c r="AD512" s="3195" t="s">
        <v>6739</v>
      </c>
      <c r="AE512" s="3189">
        <v>-1</v>
      </c>
      <c r="AF512" s="3189">
        <f>COUNTIF(Principal!$C$51:$F$53,AD512)</f>
        <v>0</v>
      </c>
      <c r="AG512" s="3190">
        <f t="shared" si="111"/>
        <v>0</v>
      </c>
      <c r="AH512" s="3215">
        <v>1</v>
      </c>
      <c r="AI512" s="3194" t="s">
        <v>2649</v>
      </c>
      <c r="AJ512"/>
    </row>
    <row r="513" spans="1:36" ht="12.75" customHeight="1">
      <c r="A513" s="219">
        <v>513</v>
      </c>
      <c r="B513" s="7145"/>
      <c r="C513" s="1678" t="str">
        <f t="shared" si="109"/>
        <v>Adicción o vicio grave</v>
      </c>
      <c r="D513" s="787">
        <f t="shared" si="107"/>
        <v>36</v>
      </c>
      <c r="E513" s="47" t="s">
        <v>1768</v>
      </c>
      <c r="F513" s="1669">
        <v>-1</v>
      </c>
      <c r="G513" s="1669">
        <f>COUNTIF(Principal!$C$51:$F$53,Tablas!E513)</f>
        <v>0</v>
      </c>
      <c r="H513" s="1670">
        <f t="shared" si="108"/>
        <v>0</v>
      </c>
      <c r="I513" s="792">
        <v>1</v>
      </c>
      <c r="J513" s="1674" t="s">
        <v>2649</v>
      </c>
      <c r="N513"/>
      <c r="AB513" s="3200" t="str">
        <f t="shared" si="112"/>
        <v>-2 a característica: INT</v>
      </c>
      <c r="AC513" s="3248">
        <f t="shared" si="110"/>
        <v>6</v>
      </c>
      <c r="AD513" s="3195" t="s">
        <v>6740</v>
      </c>
      <c r="AE513" s="3189">
        <v>-1</v>
      </c>
      <c r="AF513" s="3189">
        <f>COUNTIF(Principal!$C$51:$F$53,AD513)</f>
        <v>0</v>
      </c>
      <c r="AG513" s="3190">
        <f t="shared" si="111"/>
        <v>0</v>
      </c>
      <c r="AH513" s="3215">
        <v>1</v>
      </c>
      <c r="AI513" s="3194" t="s">
        <v>2649</v>
      </c>
      <c r="AJ513"/>
    </row>
    <row r="514" spans="1:36" ht="12.75" customHeight="1">
      <c r="A514" s="219">
        <v>514</v>
      </c>
      <c r="B514" s="7145"/>
      <c r="C514" s="1678" t="str">
        <f t="shared" si="109"/>
        <v>Alergia grave</v>
      </c>
      <c r="D514" s="787">
        <f t="shared" si="107"/>
        <v>42</v>
      </c>
      <c r="E514" s="47" t="s">
        <v>2217</v>
      </c>
      <c r="F514" s="1669">
        <v>-1</v>
      </c>
      <c r="G514" s="1669">
        <f>COUNTIF(Principal!$C$51:$F$53,Tablas!E514)</f>
        <v>0</v>
      </c>
      <c r="H514" s="1670">
        <f t="shared" si="108"/>
        <v>0</v>
      </c>
      <c r="I514" s="792">
        <v>1</v>
      </c>
      <c r="J514" s="1674" t="s">
        <v>2649</v>
      </c>
      <c r="N514"/>
      <c r="AB514" s="3200" t="str">
        <f t="shared" si="112"/>
        <v>-2 a característica: PER</v>
      </c>
      <c r="AC514" s="3248">
        <f t="shared" si="110"/>
        <v>7</v>
      </c>
      <c r="AD514" s="3195" t="s">
        <v>6741</v>
      </c>
      <c r="AE514" s="3189">
        <v>-1</v>
      </c>
      <c r="AF514" s="3189">
        <f>COUNTIF(Principal!$C$51:$F$53,AD514)</f>
        <v>0</v>
      </c>
      <c r="AG514" s="3190">
        <f t="shared" si="111"/>
        <v>0</v>
      </c>
      <c r="AH514" s="3215">
        <v>1</v>
      </c>
      <c r="AI514" s="3194" t="s">
        <v>2649</v>
      </c>
      <c r="AJ514"/>
    </row>
    <row r="515" spans="1:36" ht="12.75" customHeight="1">
      <c r="A515" s="219">
        <v>515</v>
      </c>
      <c r="B515" s="7145"/>
      <c r="C515" s="1678" t="str">
        <f t="shared" si="109"/>
        <v>Aprendizaje lento (1)</v>
      </c>
      <c r="D515" s="787">
        <f t="shared" si="107"/>
        <v>24</v>
      </c>
      <c r="E515" s="47" t="s">
        <v>2218</v>
      </c>
      <c r="F515" s="1669">
        <v>-1</v>
      </c>
      <c r="G515" s="1669">
        <f>COUNTIF(Principal!$C$51:$F$53,Tablas!E515)</f>
        <v>0</v>
      </c>
      <c r="H515" s="1670">
        <f t="shared" si="108"/>
        <v>0</v>
      </c>
      <c r="I515" s="792"/>
      <c r="J515" s="1674" t="s">
        <v>2649</v>
      </c>
      <c r="N515"/>
      <c r="AB515" s="3200" t="str">
        <f t="shared" si="112"/>
        <v>-2 a característica: POD</v>
      </c>
      <c r="AC515" s="3248">
        <f t="shared" si="110"/>
        <v>8</v>
      </c>
      <c r="AD515" s="3195" t="s">
        <v>6742</v>
      </c>
      <c r="AE515" s="3189">
        <v>-1</v>
      </c>
      <c r="AF515" s="3189">
        <f>COUNTIF(Principal!$C$51:$F$53,AD515)</f>
        <v>0</v>
      </c>
      <c r="AG515" s="3190">
        <f t="shared" si="111"/>
        <v>0</v>
      </c>
      <c r="AH515" s="3215">
        <v>1</v>
      </c>
      <c r="AI515" s="3194" t="s">
        <v>2649</v>
      </c>
      <c r="AJ515"/>
    </row>
    <row r="516" spans="1:36" ht="12.75" customHeight="1">
      <c r="A516" s="219">
        <v>516</v>
      </c>
      <c r="B516" s="7145"/>
      <c r="C516" s="1678" t="str">
        <f t="shared" si="109"/>
        <v>Aprendizaje lento (2)</v>
      </c>
      <c r="D516" s="787">
        <f t="shared" si="107"/>
        <v>41</v>
      </c>
      <c r="E516" s="47" t="s">
        <v>2219</v>
      </c>
      <c r="F516" s="1669">
        <v>-1</v>
      </c>
      <c r="G516" s="1669">
        <f>COUNTIF(Principal!$C$51:$F$53,Tablas!E516)</f>
        <v>0</v>
      </c>
      <c r="H516" s="1670">
        <f t="shared" si="108"/>
        <v>0</v>
      </c>
      <c r="I516" s="792">
        <v>1</v>
      </c>
      <c r="J516" s="1674" t="s">
        <v>2649</v>
      </c>
      <c r="N516"/>
      <c r="AB516" s="3200" t="str">
        <f t="shared" si="112"/>
        <v>-2 a característica: VOL</v>
      </c>
      <c r="AC516" s="3248">
        <f t="shared" si="110"/>
        <v>31</v>
      </c>
      <c r="AD516" s="2731" t="s">
        <v>2216</v>
      </c>
      <c r="AE516" s="3189">
        <v>-1</v>
      </c>
      <c r="AF516" s="3189">
        <f>COUNTIF(Principal!$C$51:$F$53,AD516)</f>
        <v>0</v>
      </c>
      <c r="AG516" s="3190">
        <f t="shared" si="111"/>
        <v>0</v>
      </c>
      <c r="AH516" s="3215">
        <v>2</v>
      </c>
      <c r="AI516" s="3194" t="s">
        <v>2649</v>
      </c>
      <c r="AJ516"/>
    </row>
    <row r="517" spans="1:36" ht="12.75" customHeight="1">
      <c r="A517" s="219">
        <v>517</v>
      </c>
      <c r="B517" s="7145"/>
      <c r="C517" s="1678" t="str">
        <f t="shared" si="109"/>
        <v>Arma exclusiva</v>
      </c>
      <c r="D517" s="787">
        <f t="shared" si="107"/>
        <v>40</v>
      </c>
      <c r="E517" s="47" t="s">
        <v>2220</v>
      </c>
      <c r="F517" s="1669">
        <v>-1</v>
      </c>
      <c r="G517" s="1669">
        <f>COUNTIF(Principal!$C$51:$F$53,Tablas!E517)</f>
        <v>0</v>
      </c>
      <c r="H517" s="1670">
        <f t="shared" si="108"/>
        <v>0</v>
      </c>
      <c r="I517" s="792"/>
      <c r="J517" s="1674" t="s">
        <v>2649</v>
      </c>
      <c r="N517"/>
      <c r="AB517" s="3200" t="str">
        <f t="shared" si="112"/>
        <v>Adicción o vicio grave</v>
      </c>
      <c r="AC517" s="3248">
        <f t="shared" si="110"/>
        <v>36</v>
      </c>
      <c r="AD517" s="2731" t="s">
        <v>1768</v>
      </c>
      <c r="AE517" s="3189">
        <v>-1</v>
      </c>
      <c r="AF517" s="3189">
        <f>COUNTIF(Principal!$C$51:$F$53,AD517)</f>
        <v>0</v>
      </c>
      <c r="AG517" s="3190">
        <f t="shared" si="111"/>
        <v>0</v>
      </c>
      <c r="AH517" s="3215">
        <v>1</v>
      </c>
      <c r="AI517" s="3194" t="s">
        <v>2649</v>
      </c>
      <c r="AJ517"/>
    </row>
    <row r="518" spans="1:36" ht="12.75" customHeight="1">
      <c r="A518" s="219">
        <v>518</v>
      </c>
      <c r="B518" s="7145"/>
      <c r="C518" s="1678" t="str">
        <f t="shared" si="109"/>
        <v>Aspecto desagradable</v>
      </c>
      <c r="D518" s="787">
        <f t="shared" si="107"/>
        <v>23</v>
      </c>
      <c r="E518" s="47" t="s">
        <v>2221</v>
      </c>
      <c r="F518" s="1669">
        <v>-1</v>
      </c>
      <c r="G518" s="1669">
        <f>COUNTIF(Principal!$C$51:$F$53,Tablas!E518)</f>
        <v>0</v>
      </c>
      <c r="H518" s="1670">
        <f t="shared" si="108"/>
        <v>0</v>
      </c>
      <c r="I518" s="792"/>
      <c r="J518" s="1674" t="s">
        <v>2649</v>
      </c>
      <c r="N518"/>
      <c r="AB518" s="3200" t="str">
        <f t="shared" si="112"/>
        <v>Alergia grave</v>
      </c>
      <c r="AC518" s="3248">
        <f t="shared" si="110"/>
        <v>42</v>
      </c>
      <c r="AD518" s="2731" t="s">
        <v>2217</v>
      </c>
      <c r="AE518" s="3189">
        <v>-1</v>
      </c>
      <c r="AF518" s="3189">
        <f>COUNTIF(Principal!$C$51:$F$53,AD518)</f>
        <v>0</v>
      </c>
      <c r="AG518" s="3190">
        <f t="shared" si="111"/>
        <v>0</v>
      </c>
      <c r="AH518" s="3215">
        <v>1</v>
      </c>
      <c r="AI518" s="3194" t="s">
        <v>2649</v>
      </c>
      <c r="AJ518"/>
    </row>
    <row r="519" spans="1:36" ht="12.75" customHeight="1">
      <c r="A519" s="219">
        <v>519</v>
      </c>
      <c r="B519" s="7145"/>
      <c r="C519" s="1678" t="str">
        <f t="shared" si="109"/>
        <v>Ciego</v>
      </c>
      <c r="D519" s="787">
        <f t="shared" si="107"/>
        <v>17</v>
      </c>
      <c r="E519" s="47" t="s">
        <v>2222</v>
      </c>
      <c r="F519" s="1669">
        <v>-1</v>
      </c>
      <c r="G519" s="1669">
        <f>COUNTIF(Principal!$C$51:$F$53,Tablas!E519)</f>
        <v>0</v>
      </c>
      <c r="H519" s="1670">
        <f t="shared" si="108"/>
        <v>0</v>
      </c>
      <c r="I519" s="792">
        <v>1</v>
      </c>
      <c r="J519" s="1674" t="s">
        <v>2649</v>
      </c>
      <c r="N519"/>
      <c r="AB519" s="3200" t="str">
        <f t="shared" si="112"/>
        <v>Aprendizaje lento (1)</v>
      </c>
      <c r="AC519" s="3248">
        <f t="shared" si="110"/>
        <v>24</v>
      </c>
      <c r="AD519" s="2731" t="s">
        <v>2218</v>
      </c>
      <c r="AE519" s="3189">
        <v>-1</v>
      </c>
      <c r="AF519" s="3189">
        <f>COUNTIF(Principal!$C$51:$F$53,AD519)</f>
        <v>0</v>
      </c>
      <c r="AG519" s="3190">
        <f t="shared" si="111"/>
        <v>0</v>
      </c>
      <c r="AH519" s="3215"/>
      <c r="AI519" s="3194" t="s">
        <v>2649</v>
      </c>
      <c r="AJ519"/>
    </row>
    <row r="520" spans="1:36" ht="12.75" customHeight="1">
      <c r="A520" s="219">
        <v>520</v>
      </c>
      <c r="B520" s="7145"/>
      <c r="C520" s="1678" t="str">
        <f t="shared" si="109"/>
        <v>Cobardía</v>
      </c>
      <c r="D520" s="787">
        <f t="shared" si="107"/>
        <v>14</v>
      </c>
      <c r="E520" s="47" t="s">
        <v>2223</v>
      </c>
      <c r="F520" s="1669">
        <v>-1</v>
      </c>
      <c r="G520" s="1669">
        <f>COUNTIF(Principal!$C$51:$F$53,Tablas!E520)</f>
        <v>0</v>
      </c>
      <c r="H520" s="1670">
        <f t="shared" si="108"/>
        <v>0</v>
      </c>
      <c r="I520" s="792"/>
      <c r="J520" s="1674" t="s">
        <v>2649</v>
      </c>
      <c r="N520"/>
      <c r="AB520" s="3200" t="str">
        <f t="shared" si="112"/>
        <v>Aprendizaje lento (2)</v>
      </c>
      <c r="AC520" s="3248">
        <f t="shared" si="110"/>
        <v>41</v>
      </c>
      <c r="AD520" s="2731" t="s">
        <v>2219</v>
      </c>
      <c r="AE520" s="3189">
        <v>-1</v>
      </c>
      <c r="AF520" s="3189">
        <f>COUNTIF(Principal!$C$51:$F$53,AD520)</f>
        <v>0</v>
      </c>
      <c r="AG520" s="3190">
        <f t="shared" si="111"/>
        <v>0</v>
      </c>
      <c r="AH520" s="3215">
        <v>1</v>
      </c>
      <c r="AI520" s="3194" t="s">
        <v>2649</v>
      </c>
      <c r="AJ520"/>
    </row>
    <row r="521" spans="1:36" ht="12.75" customHeight="1">
      <c r="A521" s="219">
        <v>521</v>
      </c>
      <c r="B521" s="7145"/>
      <c r="C521" s="1678" t="str">
        <f t="shared" si="109"/>
        <v>Debilidad física</v>
      </c>
      <c r="D521" s="787">
        <f t="shared" si="107"/>
        <v>27</v>
      </c>
      <c r="E521" s="47" t="s">
        <v>2224</v>
      </c>
      <c r="F521" s="1669">
        <v>-1</v>
      </c>
      <c r="G521" s="1669">
        <f>COUNTIF(Principal!$C$51:$F$53,Tablas!E521)</f>
        <v>0</v>
      </c>
      <c r="H521" s="1670">
        <f t="shared" si="108"/>
        <v>0</v>
      </c>
      <c r="I521" s="792"/>
      <c r="J521" s="1674" t="s">
        <v>2649</v>
      </c>
      <c r="N521"/>
      <c r="AB521" s="3200" t="str">
        <f t="shared" si="112"/>
        <v>Arma exclusiva</v>
      </c>
      <c r="AC521" s="3248">
        <f t="shared" si="110"/>
        <v>40</v>
      </c>
      <c r="AD521" s="2731" t="s">
        <v>2220</v>
      </c>
      <c r="AE521" s="3189">
        <v>-1</v>
      </c>
      <c r="AF521" s="3189">
        <f>COUNTIF(Principal!$C$51:$F$53,AD521)</f>
        <v>0</v>
      </c>
      <c r="AG521" s="3190">
        <f t="shared" si="111"/>
        <v>0</v>
      </c>
      <c r="AH521" s="3215"/>
      <c r="AI521" s="3194" t="s">
        <v>2649</v>
      </c>
      <c r="AJ521"/>
    </row>
    <row r="522" spans="1:36" ht="12.75" customHeight="1">
      <c r="A522" s="219">
        <v>522</v>
      </c>
      <c r="B522" s="7145"/>
      <c r="C522" s="1678" t="str">
        <f t="shared" si="109"/>
        <v>Desafortunado</v>
      </c>
      <c r="D522" s="787">
        <f t="shared" si="107"/>
        <v>21</v>
      </c>
      <c r="E522" s="47" t="s">
        <v>2225</v>
      </c>
      <c r="F522" s="1669">
        <v>-2</v>
      </c>
      <c r="G522" s="1669">
        <f>COUNTIF(Principal!$C$51:$F$53,Tablas!E522)</f>
        <v>0</v>
      </c>
      <c r="H522" s="1670">
        <f t="shared" si="108"/>
        <v>0</v>
      </c>
      <c r="I522" s="792"/>
      <c r="J522" s="1674" t="s">
        <v>2649</v>
      </c>
      <c r="N522"/>
      <c r="AB522" s="3200" t="str">
        <f t="shared" si="112"/>
        <v>Aspecto desagradable</v>
      </c>
      <c r="AC522" s="3248">
        <f t="shared" si="110"/>
        <v>23</v>
      </c>
      <c r="AD522" s="2731" t="s">
        <v>2221</v>
      </c>
      <c r="AE522" s="3189">
        <v>-1</v>
      </c>
      <c r="AF522" s="3189">
        <f>COUNTIF(Principal!$C$51:$F$53,AD522)</f>
        <v>0</v>
      </c>
      <c r="AG522" s="3190">
        <f t="shared" si="111"/>
        <v>0</v>
      </c>
      <c r="AH522" s="3215"/>
      <c r="AI522" s="3194" t="s">
        <v>2649</v>
      </c>
      <c r="AJ522"/>
    </row>
    <row r="523" spans="1:36" ht="12.75" customHeight="1">
      <c r="A523" s="219">
        <v>523</v>
      </c>
      <c r="B523" s="7145"/>
      <c r="C523" s="1678" t="str">
        <f t="shared" si="109"/>
        <v>Destino aciago</v>
      </c>
      <c r="D523" s="787">
        <f t="shared" si="107"/>
        <v>10</v>
      </c>
      <c r="E523" s="47" t="s">
        <v>2226</v>
      </c>
      <c r="F523" s="1669">
        <v>-1</v>
      </c>
      <c r="G523" s="1669">
        <f>COUNTIF(Principal!$C$51:$F$53,Tablas!E523)</f>
        <v>0</v>
      </c>
      <c r="H523" s="1670">
        <f t="shared" si="108"/>
        <v>0</v>
      </c>
      <c r="I523" s="792"/>
      <c r="J523" s="1674" t="s">
        <v>2649</v>
      </c>
      <c r="N523"/>
      <c r="AB523" s="3200" t="str">
        <f t="shared" si="112"/>
        <v>Ciego</v>
      </c>
      <c r="AC523" s="3248">
        <f t="shared" si="110"/>
        <v>17</v>
      </c>
      <c r="AD523" s="2731" t="s">
        <v>2222</v>
      </c>
      <c r="AE523" s="3189">
        <v>-1</v>
      </c>
      <c r="AF523" s="3189">
        <f>COUNTIF(Principal!$C$51:$F$53,AD523)</f>
        <v>0</v>
      </c>
      <c r="AG523" s="3190">
        <f t="shared" si="111"/>
        <v>0</v>
      </c>
      <c r="AH523" s="3215">
        <v>1</v>
      </c>
      <c r="AI523" s="3194" t="s">
        <v>2649</v>
      </c>
      <c r="AJ523"/>
    </row>
    <row r="524" spans="1:36" ht="12.75" customHeight="1">
      <c r="A524" s="219">
        <v>524</v>
      </c>
      <c r="B524" s="7145"/>
      <c r="C524" s="1678" t="str">
        <f t="shared" si="109"/>
        <v>Endeble</v>
      </c>
      <c r="D524" s="787">
        <f t="shared" si="107"/>
        <v>39</v>
      </c>
      <c r="E524" s="47" t="s">
        <v>2227</v>
      </c>
      <c r="F524" s="1669">
        <v>-1</v>
      </c>
      <c r="G524" s="1669">
        <f>COUNTIF(Principal!$C$51:$F$53,Tablas!E524)</f>
        <v>0</v>
      </c>
      <c r="H524" s="1670">
        <f t="shared" si="108"/>
        <v>0</v>
      </c>
      <c r="I524" s="792"/>
      <c r="J524" s="1674" t="s">
        <v>2649</v>
      </c>
      <c r="N524"/>
      <c r="AB524" s="3200" t="str">
        <f t="shared" si="112"/>
        <v>Cobardía</v>
      </c>
      <c r="AC524" s="3248">
        <f t="shared" si="110"/>
        <v>14</v>
      </c>
      <c r="AD524" s="2731" t="s">
        <v>2223</v>
      </c>
      <c r="AE524" s="3189">
        <v>-1</v>
      </c>
      <c r="AF524" s="3189">
        <f>COUNTIF(Principal!$C$51:$F$53,AD524)</f>
        <v>0</v>
      </c>
      <c r="AG524" s="3190">
        <f t="shared" si="111"/>
        <v>0</v>
      </c>
      <c r="AH524" s="3215"/>
      <c r="AI524" s="3194" t="s">
        <v>2649</v>
      </c>
      <c r="AJ524"/>
    </row>
    <row r="525" spans="1:36" ht="12.75" customHeight="1">
      <c r="A525" s="219">
        <v>525</v>
      </c>
      <c r="B525" s="7145"/>
      <c r="C525" s="1678" t="str">
        <f t="shared" si="109"/>
        <v>Enfermedad grave</v>
      </c>
      <c r="D525" s="787">
        <f t="shared" si="107"/>
        <v>25</v>
      </c>
      <c r="E525" s="47" t="s">
        <v>2228</v>
      </c>
      <c r="F525" s="1669">
        <v>-1</v>
      </c>
      <c r="G525" s="1669">
        <f>COUNTIF(Principal!$C$51:$F$53,Tablas!E525)</f>
        <v>0</v>
      </c>
      <c r="H525" s="1670">
        <f t="shared" si="108"/>
        <v>0</v>
      </c>
      <c r="I525" s="792"/>
      <c r="J525" s="1674" t="s">
        <v>2649</v>
      </c>
      <c r="N525"/>
      <c r="AB525" s="3200" t="str">
        <f t="shared" si="112"/>
        <v>Debilidad física</v>
      </c>
      <c r="AC525" s="3248">
        <f t="shared" si="110"/>
        <v>27</v>
      </c>
      <c r="AD525" s="2731" t="s">
        <v>2224</v>
      </c>
      <c r="AE525" s="3189">
        <v>-1</v>
      </c>
      <c r="AF525" s="3189">
        <f>COUNTIF(Principal!$C$51:$F$53,AD525)</f>
        <v>0</v>
      </c>
      <c r="AG525" s="3190">
        <f t="shared" si="111"/>
        <v>0</v>
      </c>
      <c r="AH525" s="3215"/>
      <c r="AI525" s="3194" t="s">
        <v>2649</v>
      </c>
      <c r="AJ525"/>
    </row>
    <row r="526" spans="1:36" ht="12.75" customHeight="1">
      <c r="A526" s="219">
        <v>526</v>
      </c>
      <c r="B526" s="7145"/>
      <c r="C526" s="1678" t="str">
        <f t="shared" si="109"/>
        <v>Exhausto</v>
      </c>
      <c r="D526" s="787">
        <f t="shared" si="107"/>
        <v>28</v>
      </c>
      <c r="E526" s="47" t="s">
        <v>2229</v>
      </c>
      <c r="F526" s="1669">
        <v>-1</v>
      </c>
      <c r="G526" s="1669">
        <f>COUNTIF(Principal!$C$51:$F$53,Tablas!E526)</f>
        <v>0</v>
      </c>
      <c r="H526" s="1670">
        <f t="shared" si="108"/>
        <v>0</v>
      </c>
      <c r="I526" s="792"/>
      <c r="J526" s="1674" t="s">
        <v>2649</v>
      </c>
      <c r="N526"/>
      <c r="AB526" s="3200" t="str">
        <f t="shared" si="112"/>
        <v>Desafortunado</v>
      </c>
      <c r="AC526" s="3248">
        <f t="shared" si="110"/>
        <v>21</v>
      </c>
      <c r="AD526" s="2731" t="s">
        <v>2225</v>
      </c>
      <c r="AE526" s="3189">
        <v>-2</v>
      </c>
      <c r="AF526" s="3189">
        <f>COUNTIF(Principal!$C$51:$F$53,AD526)</f>
        <v>0</v>
      </c>
      <c r="AG526" s="3190">
        <f t="shared" si="111"/>
        <v>0</v>
      </c>
      <c r="AH526" s="3215"/>
      <c r="AI526" s="3194" t="s">
        <v>2649</v>
      </c>
      <c r="AJ526"/>
    </row>
    <row r="527" spans="1:36" ht="12.75" customHeight="1">
      <c r="A527" s="219">
        <v>527</v>
      </c>
      <c r="B527" s="7145"/>
      <c r="C527" s="1678" t="str">
        <f t="shared" si="109"/>
        <v>Extremidad atrofiada</v>
      </c>
      <c r="D527" s="787">
        <f t="shared" si="107"/>
        <v>18</v>
      </c>
      <c r="E527" s="47" t="s">
        <v>2230</v>
      </c>
      <c r="F527" s="1669">
        <v>-1</v>
      </c>
      <c r="G527" s="1669">
        <f>COUNTIF(Principal!$C$51:$F$53,Tablas!E527)</f>
        <v>0</v>
      </c>
      <c r="H527" s="1670">
        <f t="shared" si="108"/>
        <v>0</v>
      </c>
      <c r="I527" s="792"/>
      <c r="J527" s="1674" t="s">
        <v>2649</v>
      </c>
      <c r="N527"/>
      <c r="AB527" s="3200" t="str">
        <f t="shared" si="112"/>
        <v>Destino aciago</v>
      </c>
      <c r="AC527" s="3248">
        <f t="shared" si="110"/>
        <v>10</v>
      </c>
      <c r="AD527" s="2731" t="s">
        <v>2226</v>
      </c>
      <c r="AE527" s="3189">
        <v>-1</v>
      </c>
      <c r="AF527" s="3189">
        <f>COUNTIF(Principal!$C$51:$F$53,AD527)</f>
        <v>0</v>
      </c>
      <c r="AG527" s="3190">
        <f t="shared" si="111"/>
        <v>0</v>
      </c>
      <c r="AH527" s="3215"/>
      <c r="AI527" s="3194" t="s">
        <v>2649</v>
      </c>
      <c r="AJ527"/>
    </row>
    <row r="528" spans="1:36" ht="12.75" customHeight="1">
      <c r="A528" s="219">
        <v>528</v>
      </c>
      <c r="B528" s="7145"/>
      <c r="C528" s="1678" t="str">
        <f t="shared" si="109"/>
        <v>Fácil posesión</v>
      </c>
      <c r="D528" s="787">
        <f t="shared" si="107"/>
        <v>32</v>
      </c>
      <c r="E528" s="47" t="s">
        <v>2231</v>
      </c>
      <c r="F528" s="1669">
        <v>-1</v>
      </c>
      <c r="G528" s="1669">
        <f>COUNTIF(Principal!$C$51:$F$53,Tablas!E528)</f>
        <v>0</v>
      </c>
      <c r="H528" s="1670">
        <f t="shared" si="108"/>
        <v>0</v>
      </c>
      <c r="I528" s="792"/>
      <c r="J528" s="1674" t="s">
        <v>2649</v>
      </c>
      <c r="N528"/>
      <c r="AB528" s="3200" t="str">
        <f t="shared" si="112"/>
        <v>Endeble</v>
      </c>
      <c r="AC528" s="3248">
        <f t="shared" si="110"/>
        <v>39</v>
      </c>
      <c r="AD528" s="2731" t="s">
        <v>2227</v>
      </c>
      <c r="AE528" s="3189">
        <v>-1</v>
      </c>
      <c r="AF528" s="3189">
        <f>COUNTIF(Principal!$C$51:$F$53,AD528)</f>
        <v>0</v>
      </c>
      <c r="AG528" s="3190">
        <f t="shared" si="111"/>
        <v>0</v>
      </c>
      <c r="AH528" s="3215"/>
      <c r="AI528" s="3194" t="s">
        <v>2649</v>
      </c>
      <c r="AJ528"/>
    </row>
    <row r="529" spans="1:36" ht="12.75" customHeight="1">
      <c r="A529" s="219">
        <v>529</v>
      </c>
      <c r="B529" s="7145"/>
      <c r="C529" s="1678" t="str">
        <f t="shared" si="109"/>
        <v>Fobia grave</v>
      </c>
      <c r="D529" s="787">
        <f t="shared" si="107"/>
        <v>15</v>
      </c>
      <c r="E529" s="47" t="s">
        <v>2232</v>
      </c>
      <c r="F529" s="1669">
        <v>-2</v>
      </c>
      <c r="G529" s="1669">
        <f>COUNTIF(Principal!$C$51:$F$53,Tablas!E529)</f>
        <v>0</v>
      </c>
      <c r="H529" s="1670">
        <f t="shared" si="108"/>
        <v>0</v>
      </c>
      <c r="I529" s="792"/>
      <c r="J529" s="1674" t="s">
        <v>2649</v>
      </c>
      <c r="N529"/>
      <c r="AB529" s="3200" t="str">
        <f t="shared" si="112"/>
        <v>Enfermedad grave</v>
      </c>
      <c r="AC529" s="3248">
        <f t="shared" si="110"/>
        <v>25</v>
      </c>
      <c r="AD529" s="2731" t="s">
        <v>2228</v>
      </c>
      <c r="AE529" s="3189">
        <v>-1</v>
      </c>
      <c r="AF529" s="3189">
        <f>COUNTIF(Principal!$C$51:$F$53,AD529)</f>
        <v>0</v>
      </c>
      <c r="AG529" s="3190">
        <f t="shared" si="111"/>
        <v>0</v>
      </c>
      <c r="AH529" s="3215"/>
      <c r="AI529" s="3194" t="s">
        <v>2649</v>
      </c>
      <c r="AJ529"/>
    </row>
    <row r="530" spans="1:36" ht="12.75" customHeight="1">
      <c r="A530" s="219">
        <v>530</v>
      </c>
      <c r="B530" s="7145"/>
      <c r="C530" s="1678" t="str">
        <f t="shared" si="109"/>
        <v>Insufrible</v>
      </c>
      <c r="D530" s="787">
        <f t="shared" si="107"/>
        <v>38</v>
      </c>
      <c r="E530" s="47" t="s">
        <v>2233</v>
      </c>
      <c r="F530" s="1669">
        <v>-1</v>
      </c>
      <c r="G530" s="1669">
        <f>COUNTIF(Principal!$C$51:$F$53,Tablas!E530)</f>
        <v>0</v>
      </c>
      <c r="H530" s="1670">
        <f t="shared" si="108"/>
        <v>0</v>
      </c>
      <c r="I530" s="792"/>
      <c r="J530" s="1674" t="s">
        <v>2649</v>
      </c>
      <c r="N530"/>
      <c r="AB530" s="3200" t="str">
        <f t="shared" si="112"/>
        <v>Exhausto</v>
      </c>
      <c r="AC530" s="3248">
        <f t="shared" si="110"/>
        <v>28</v>
      </c>
      <c r="AD530" s="2731" t="s">
        <v>2229</v>
      </c>
      <c r="AE530" s="3189">
        <v>-1</v>
      </c>
      <c r="AF530" s="3189">
        <f>COUNTIF(Principal!$C$51:$F$53,AD530)</f>
        <v>0</v>
      </c>
      <c r="AG530" s="3190">
        <f t="shared" si="111"/>
        <v>0</v>
      </c>
      <c r="AH530" s="3215"/>
      <c r="AI530" s="3194" t="s">
        <v>2649</v>
      </c>
      <c r="AJ530"/>
    </row>
    <row r="531" spans="1:36" ht="12.75" customHeight="1">
      <c r="A531" s="219">
        <v>531</v>
      </c>
      <c r="B531" s="7145"/>
      <c r="C531" s="1678" t="str">
        <f t="shared" si="109"/>
        <v>Lenta curación</v>
      </c>
      <c r="D531" s="787">
        <f t="shared" si="107"/>
        <v>13</v>
      </c>
      <c r="E531" s="47" t="s">
        <v>2234</v>
      </c>
      <c r="F531" s="1669">
        <v>-1</v>
      </c>
      <c r="G531" s="1669">
        <f>COUNTIF(Principal!$C$51:$F$53,Tablas!E531)</f>
        <v>0</v>
      </c>
      <c r="H531" s="1670">
        <f t="shared" si="108"/>
        <v>0</v>
      </c>
      <c r="I531" s="792">
        <v>1</v>
      </c>
      <c r="J531" s="1674" t="s">
        <v>2649</v>
      </c>
      <c r="N531"/>
      <c r="AB531" s="3200" t="str">
        <f t="shared" si="112"/>
        <v>Extremidad atrofiada</v>
      </c>
      <c r="AC531" s="3248">
        <f t="shared" si="110"/>
        <v>18</v>
      </c>
      <c r="AD531" s="2731" t="s">
        <v>2230</v>
      </c>
      <c r="AE531" s="3189">
        <v>-1</v>
      </c>
      <c r="AF531" s="3189">
        <f>COUNTIF(Principal!$C$51:$F$53,AD531)</f>
        <v>0</v>
      </c>
      <c r="AG531" s="3190">
        <f t="shared" si="111"/>
        <v>0</v>
      </c>
      <c r="AH531" s="3215"/>
      <c r="AI531" s="3194" t="s">
        <v>2649</v>
      </c>
      <c r="AJ531"/>
    </row>
    <row r="532" spans="1:36" ht="12.75" customHeight="1">
      <c r="A532" s="219">
        <v>532</v>
      </c>
      <c r="B532" s="7145"/>
      <c r="C532" s="1678" t="str">
        <f t="shared" si="109"/>
        <v>Mala suerte</v>
      </c>
      <c r="D532" s="787">
        <f t="shared" si="107"/>
        <v>34</v>
      </c>
      <c r="E532" s="47" t="s">
        <v>2235</v>
      </c>
      <c r="F532" s="1669">
        <v>-1</v>
      </c>
      <c r="G532" s="1669">
        <f>COUNTIF(Principal!$C$51:$F$53,Tablas!E532)</f>
        <v>0</v>
      </c>
      <c r="H532" s="1670">
        <f t="shared" si="108"/>
        <v>0</v>
      </c>
      <c r="I532" s="792">
        <v>1</v>
      </c>
      <c r="J532" s="1674" t="s">
        <v>2649</v>
      </c>
      <c r="N532"/>
      <c r="AB532" s="3200" t="str">
        <f t="shared" si="112"/>
        <v>Fácil posesión</v>
      </c>
      <c r="AC532" s="3248">
        <f t="shared" si="110"/>
        <v>32</v>
      </c>
      <c r="AD532" s="2731" t="s">
        <v>2231</v>
      </c>
      <c r="AE532" s="3189">
        <v>-1</v>
      </c>
      <c r="AF532" s="3189">
        <f>COUNTIF(Principal!$C$51:$F$53,AD532)</f>
        <v>0</v>
      </c>
      <c r="AG532" s="3190">
        <f t="shared" si="111"/>
        <v>0</v>
      </c>
      <c r="AH532" s="3215"/>
      <c r="AI532" s="3194" t="s">
        <v>2649</v>
      </c>
      <c r="AJ532"/>
    </row>
    <row r="533" spans="1:36" ht="12.75" customHeight="1">
      <c r="A533" s="219">
        <v>533</v>
      </c>
      <c r="B533" s="7145"/>
      <c r="C533" s="1678" t="str">
        <f t="shared" si="109"/>
        <v>Maldito (1)</v>
      </c>
      <c r="D533" s="787">
        <f t="shared" si="107"/>
        <v>35</v>
      </c>
      <c r="E533" s="47" t="s">
        <v>2236</v>
      </c>
      <c r="F533" s="1669">
        <v>-2</v>
      </c>
      <c r="G533" s="1669">
        <f>COUNTIF(Principal!$C$51:$F$53,Tablas!E533)</f>
        <v>0</v>
      </c>
      <c r="H533" s="1670">
        <f t="shared" si="108"/>
        <v>0</v>
      </c>
      <c r="I533" s="792">
        <v>1</v>
      </c>
      <c r="J533" s="1674" t="s">
        <v>2649</v>
      </c>
      <c r="N533"/>
      <c r="AB533" s="3200" t="str">
        <f t="shared" si="112"/>
        <v>Fobia grave</v>
      </c>
      <c r="AC533" s="3248">
        <f t="shared" si="110"/>
        <v>15</v>
      </c>
      <c r="AD533" s="2731" t="s">
        <v>2232</v>
      </c>
      <c r="AE533" s="3189">
        <v>-2</v>
      </c>
      <c r="AF533" s="3189">
        <f>COUNTIF(Principal!$C$51:$F$53,AD533)</f>
        <v>0</v>
      </c>
      <c r="AG533" s="3190">
        <f t="shared" si="111"/>
        <v>0</v>
      </c>
      <c r="AH533" s="3215"/>
      <c r="AI533" s="3194" t="s">
        <v>2649</v>
      </c>
      <c r="AJ533"/>
    </row>
    <row r="534" spans="1:36" ht="12.75" customHeight="1">
      <c r="A534" s="219">
        <v>534</v>
      </c>
      <c r="B534" s="7145"/>
      <c r="C534" s="1678" t="str">
        <f t="shared" si="109"/>
        <v>Maldito (2)</v>
      </c>
      <c r="D534" s="787">
        <f t="shared" si="107"/>
        <v>9</v>
      </c>
      <c r="E534" s="47" t="s">
        <v>2237</v>
      </c>
      <c r="F534" s="1669">
        <v>-1</v>
      </c>
      <c r="G534" s="1669">
        <f>COUNTIF(Principal!$C$51:$F$53,Tablas!E534)</f>
        <v>0</v>
      </c>
      <c r="H534" s="1670">
        <f t="shared" si="108"/>
        <v>0</v>
      </c>
      <c r="I534" s="792"/>
      <c r="J534" s="1674" t="s">
        <v>2649</v>
      </c>
      <c r="N534"/>
      <c r="AB534" s="3200" t="str">
        <f t="shared" si="112"/>
        <v>Insufrible</v>
      </c>
      <c r="AC534" s="3248">
        <f t="shared" si="110"/>
        <v>38</v>
      </c>
      <c r="AD534" s="2731" t="s">
        <v>2233</v>
      </c>
      <c r="AE534" s="3189">
        <v>-1</v>
      </c>
      <c r="AF534" s="3189">
        <f>COUNTIF(Principal!$C$51:$F$53,AD534)</f>
        <v>0</v>
      </c>
      <c r="AG534" s="3190">
        <f t="shared" si="111"/>
        <v>0</v>
      </c>
      <c r="AH534" s="3215"/>
      <c r="AI534" s="3194" t="s">
        <v>2649</v>
      </c>
      <c r="AJ534"/>
    </row>
    <row r="535" spans="1:36" ht="12.75" customHeight="1">
      <c r="A535" s="219">
        <v>535</v>
      </c>
      <c r="B535" s="7145"/>
      <c r="C535" s="1678" t="str">
        <f t="shared" si="109"/>
        <v>Miopía</v>
      </c>
      <c r="D535" s="787">
        <f t="shared" si="107"/>
        <v>11</v>
      </c>
      <c r="E535" s="47" t="s">
        <v>2238</v>
      </c>
      <c r="F535" s="1669">
        <v>-1</v>
      </c>
      <c r="G535" s="1669">
        <f>COUNTIF(Principal!$C$51:$F$53,Tablas!E535)</f>
        <v>0</v>
      </c>
      <c r="H535" s="1670">
        <f t="shared" si="108"/>
        <v>0</v>
      </c>
      <c r="I535" s="792"/>
      <c r="J535" s="1674" t="s">
        <v>2649</v>
      </c>
      <c r="N535"/>
      <c r="AB535" s="3200" t="str">
        <f t="shared" si="112"/>
        <v>Lenta curación</v>
      </c>
      <c r="AC535" s="3248">
        <f t="shared" si="110"/>
        <v>13</v>
      </c>
      <c r="AD535" s="2731" t="s">
        <v>2234</v>
      </c>
      <c r="AE535" s="3189">
        <v>-1</v>
      </c>
      <c r="AF535" s="3189">
        <f>COUNTIF(Principal!$C$51:$F$53,AD535)</f>
        <v>0</v>
      </c>
      <c r="AG535" s="3190">
        <f t="shared" si="111"/>
        <v>0</v>
      </c>
      <c r="AH535" s="3215">
        <v>1</v>
      </c>
      <c r="AI535" s="3194" t="s">
        <v>2649</v>
      </c>
      <c r="AJ535"/>
    </row>
    <row r="536" spans="1:36" ht="12.75" customHeight="1">
      <c r="A536" s="219">
        <v>536</v>
      </c>
      <c r="B536" s="7145"/>
      <c r="C536" s="1678" t="str">
        <f t="shared" si="109"/>
        <v>Mudo</v>
      </c>
      <c r="D536" s="787">
        <f t="shared" si="107"/>
        <v>12</v>
      </c>
      <c r="E536" s="47" t="s">
        <v>2239</v>
      </c>
      <c r="F536" s="1669">
        <v>-2</v>
      </c>
      <c r="G536" s="1669">
        <f>COUNTIF(Principal!$C$51:$F$53,Tablas!E536)</f>
        <v>0</v>
      </c>
      <c r="H536" s="1670">
        <f t="shared" si="108"/>
        <v>0</v>
      </c>
      <c r="I536" s="792"/>
      <c r="J536" s="1674" t="s">
        <v>2649</v>
      </c>
      <c r="N536"/>
      <c r="AB536" s="3200" t="str">
        <f t="shared" si="112"/>
        <v>Mala suerte</v>
      </c>
      <c r="AC536" s="3248">
        <f t="shared" si="110"/>
        <v>34</v>
      </c>
      <c r="AD536" s="2731" t="s">
        <v>2235</v>
      </c>
      <c r="AE536" s="3189">
        <v>-1</v>
      </c>
      <c r="AF536" s="3189">
        <f>COUNTIF(Principal!$C$51:$F$53,AD536)</f>
        <v>0</v>
      </c>
      <c r="AG536" s="3190">
        <f t="shared" si="111"/>
        <v>0</v>
      </c>
      <c r="AH536" s="3215">
        <v>1</v>
      </c>
      <c r="AI536" s="3194" t="s">
        <v>2649</v>
      </c>
      <c r="AJ536"/>
    </row>
    <row r="537" spans="1:36" ht="12.75" customHeight="1">
      <c r="A537" s="219">
        <v>537</v>
      </c>
      <c r="B537" s="7145"/>
      <c r="C537" s="1678" t="str">
        <f t="shared" ref="C537:C568" si="113">VLOOKUP(A33,$D$503:$E$574,2,0)</f>
        <v>Patoso</v>
      </c>
      <c r="D537" s="787">
        <f t="shared" si="107"/>
        <v>43</v>
      </c>
      <c r="E537" s="47" t="s">
        <v>2240</v>
      </c>
      <c r="F537" s="1669">
        <v>-1</v>
      </c>
      <c r="G537" s="1669">
        <f>COUNTIF(Principal!$C$51:$F$53,Tablas!E537)</f>
        <v>0</v>
      </c>
      <c r="H537" s="1670">
        <f t="shared" si="108"/>
        <v>0</v>
      </c>
      <c r="I537" s="792">
        <v>1</v>
      </c>
      <c r="J537" s="1674" t="s">
        <v>2649</v>
      </c>
      <c r="N537"/>
      <c r="AB537" s="3200" t="str">
        <f t="shared" si="112"/>
        <v>Maldito (1)</v>
      </c>
      <c r="AC537" s="3248">
        <f t="shared" si="110"/>
        <v>35</v>
      </c>
      <c r="AD537" s="2731" t="s">
        <v>2236</v>
      </c>
      <c r="AE537" s="3189">
        <v>-2</v>
      </c>
      <c r="AF537" s="3189">
        <f>COUNTIF(Principal!$C$51:$F$53,AD537)</f>
        <v>0</v>
      </c>
      <c r="AG537" s="3190">
        <f t="shared" si="111"/>
        <v>0</v>
      </c>
      <c r="AH537" s="3215">
        <v>1</v>
      </c>
      <c r="AI537" s="3194" t="s">
        <v>2649</v>
      </c>
      <c r="AJ537"/>
    </row>
    <row r="538" spans="1:36" ht="12.75" customHeight="1">
      <c r="A538" s="219">
        <v>538</v>
      </c>
      <c r="B538" s="7145"/>
      <c r="C538" s="1678" t="str">
        <f t="shared" si="113"/>
        <v>Reacción lenta (1)</v>
      </c>
      <c r="D538" s="787">
        <f t="shared" si="107"/>
        <v>22</v>
      </c>
      <c r="E538" s="47" t="s">
        <v>2241</v>
      </c>
      <c r="F538" s="1669">
        <v>-1</v>
      </c>
      <c r="G538" s="1669">
        <f>COUNTIF(Principal!$C$51:$F$53,Tablas!E538)</f>
        <v>0</v>
      </c>
      <c r="H538" s="1670">
        <f t="shared" si="108"/>
        <v>0</v>
      </c>
      <c r="I538" s="792">
        <v>1</v>
      </c>
      <c r="J538" s="1674" t="s">
        <v>2649</v>
      </c>
      <c r="N538"/>
      <c r="AB538" s="3200" t="str">
        <f t="shared" si="112"/>
        <v>Maldito (2)</v>
      </c>
      <c r="AC538" s="3248">
        <f t="shared" si="110"/>
        <v>9</v>
      </c>
      <c r="AD538" s="2731" t="s">
        <v>2237</v>
      </c>
      <c r="AE538" s="3189">
        <v>-1</v>
      </c>
      <c r="AF538" s="3189">
        <f>COUNTIF(Principal!$C$51:$F$53,AD538)</f>
        <v>0</v>
      </c>
      <c r="AG538" s="3190">
        <f t="shared" si="111"/>
        <v>0</v>
      </c>
      <c r="AH538" s="3215"/>
      <c r="AI538" s="3194" t="s">
        <v>2649</v>
      </c>
      <c r="AJ538"/>
    </row>
    <row r="539" spans="1:36" ht="12.75" customHeight="1">
      <c r="A539" s="219">
        <v>539</v>
      </c>
      <c r="B539" s="7145"/>
      <c r="C539" s="1678" t="str">
        <f t="shared" si="113"/>
        <v>Reacción lenta (2)</v>
      </c>
      <c r="D539" s="787">
        <f t="shared" si="107"/>
        <v>-1</v>
      </c>
      <c r="E539" s="47" t="s">
        <v>9566</v>
      </c>
      <c r="F539" s="1669"/>
      <c r="G539" s="1669"/>
      <c r="H539" s="1670"/>
      <c r="I539" s="792"/>
      <c r="J539" s="1674" t="s">
        <v>2649</v>
      </c>
      <c r="N539"/>
      <c r="AB539" s="3200" t="str">
        <f t="shared" si="112"/>
        <v>Miopía</v>
      </c>
      <c r="AC539" s="3248">
        <f t="shared" si="110"/>
        <v>11</v>
      </c>
      <c r="AD539" s="2731" t="s">
        <v>2238</v>
      </c>
      <c r="AE539" s="3189">
        <v>-1</v>
      </c>
      <c r="AF539" s="3189">
        <f>COUNTIF(Principal!$C$51:$F$53,AD539)</f>
        <v>0</v>
      </c>
      <c r="AG539" s="3190">
        <f t="shared" si="111"/>
        <v>0</v>
      </c>
      <c r="AH539" s="3215"/>
      <c r="AI539" s="3194" t="s">
        <v>2649</v>
      </c>
      <c r="AJ539"/>
    </row>
    <row r="540" spans="1:36" ht="12.75" customHeight="1">
      <c r="A540" s="219">
        <v>540</v>
      </c>
      <c r="B540" s="7145"/>
      <c r="C540" s="1678" t="str">
        <f t="shared" si="113"/>
        <v>Salud enfermiza</v>
      </c>
      <c r="D540" s="787">
        <f t="shared" si="107"/>
        <v>20</v>
      </c>
      <c r="E540" s="47" t="s">
        <v>2284</v>
      </c>
      <c r="F540" s="1669">
        <v>-1</v>
      </c>
      <c r="G540" s="1669">
        <f>COUNTIF(Principal!$C$51:$F$53,Tablas!E540)</f>
        <v>0</v>
      </c>
      <c r="H540" s="1670">
        <f t="shared" ref="H540:H547" si="114">G540*F540</f>
        <v>0</v>
      </c>
      <c r="I540" s="792"/>
      <c r="J540" s="1674" t="s">
        <v>2649</v>
      </c>
      <c r="N540"/>
      <c r="AB540" s="3200" t="str">
        <f t="shared" si="112"/>
        <v>Mudo</v>
      </c>
      <c r="AC540" s="3248">
        <f t="shared" si="110"/>
        <v>12</v>
      </c>
      <c r="AD540" s="2731" t="s">
        <v>2239</v>
      </c>
      <c r="AE540" s="3189">
        <v>-2</v>
      </c>
      <c r="AF540" s="3189">
        <f>COUNTIF(Principal!$C$51:$F$53,AD540)</f>
        <v>0</v>
      </c>
      <c r="AG540" s="3190">
        <f t="shared" si="111"/>
        <v>0</v>
      </c>
      <c r="AH540" s="3215"/>
      <c r="AI540" s="3194" t="s">
        <v>2649</v>
      </c>
      <c r="AJ540"/>
    </row>
    <row r="541" spans="1:36" ht="12.75" customHeight="1">
      <c r="A541" s="219">
        <v>541</v>
      </c>
      <c r="B541" s="7145"/>
      <c r="C541" s="1678" t="str">
        <f t="shared" si="113"/>
        <v>Sin bonificador natural</v>
      </c>
      <c r="D541" s="787">
        <f t="shared" si="107"/>
        <v>16</v>
      </c>
      <c r="E541" s="47" t="s">
        <v>2285</v>
      </c>
      <c r="F541" s="1669">
        <v>-1</v>
      </c>
      <c r="G541" s="1669">
        <f>COUNTIF(Principal!$C$51:$F$53,Tablas!E541)</f>
        <v>0</v>
      </c>
      <c r="H541" s="1670">
        <f t="shared" si="114"/>
        <v>0</v>
      </c>
      <c r="I541" s="792"/>
      <c r="J541" s="1674" t="s">
        <v>2649</v>
      </c>
      <c r="N541"/>
      <c r="AB541" s="3200" t="str">
        <f t="shared" ref="AB541:AB560" si="115">VLOOKUP(A33,$AC$507:$AD$583,2,0)</f>
        <v>Patoso</v>
      </c>
      <c r="AC541" s="3248">
        <f t="shared" si="110"/>
        <v>43</v>
      </c>
      <c r="AD541" s="2731" t="s">
        <v>2240</v>
      </c>
      <c r="AE541" s="3189">
        <v>-1</v>
      </c>
      <c r="AF541" s="3189">
        <f>COUNTIF(Principal!$C$51:$F$53,AD541)</f>
        <v>0</v>
      </c>
      <c r="AG541" s="3190">
        <f t="shared" si="111"/>
        <v>0</v>
      </c>
      <c r="AH541" s="3215">
        <v>1</v>
      </c>
      <c r="AI541" s="3194" t="s">
        <v>2649</v>
      </c>
      <c r="AJ541"/>
    </row>
    <row r="542" spans="1:36" ht="12.75" customHeight="1">
      <c r="A542" s="219">
        <v>542</v>
      </c>
      <c r="B542" s="7145"/>
      <c r="C542" s="1678" t="str">
        <f t="shared" si="113"/>
        <v>Sordo</v>
      </c>
      <c r="D542" s="787">
        <f t="shared" si="107"/>
        <v>33</v>
      </c>
      <c r="E542" s="47" t="s">
        <v>2286</v>
      </c>
      <c r="F542" s="1669">
        <v>-1</v>
      </c>
      <c r="G542" s="1669">
        <f>COUNTIF(Principal!$C$51:$F$53,Tablas!E542)</f>
        <v>0</v>
      </c>
      <c r="H542" s="1670">
        <f t="shared" si="114"/>
        <v>0</v>
      </c>
      <c r="I542" s="792"/>
      <c r="J542" s="1674" t="s">
        <v>2649</v>
      </c>
      <c r="N542"/>
      <c r="AB542" s="3200" t="str">
        <f t="shared" si="115"/>
        <v>Reacción lenta (1)</v>
      </c>
      <c r="AC542" s="3248">
        <f t="shared" si="110"/>
        <v>22</v>
      </c>
      <c r="AD542" s="2731" t="s">
        <v>2241</v>
      </c>
      <c r="AE542" s="3189">
        <v>-1</v>
      </c>
      <c r="AF542" s="3189">
        <f>COUNTIF(Principal!$C$51:$F$53,AD542)</f>
        <v>0</v>
      </c>
      <c r="AG542" s="3190">
        <f t="shared" si="111"/>
        <v>0</v>
      </c>
      <c r="AH542" s="3215">
        <v>1</v>
      </c>
      <c r="AI542" s="3194" t="s">
        <v>2649</v>
      </c>
      <c r="AJ542"/>
    </row>
    <row r="543" spans="1:36" ht="12.75" customHeight="1">
      <c r="A543" s="219">
        <v>543</v>
      </c>
      <c r="B543" s="7145"/>
      <c r="C543" s="1678" t="str">
        <f t="shared" si="113"/>
        <v>Sueño profundo</v>
      </c>
      <c r="D543" s="787">
        <f t="shared" si="107"/>
        <v>37</v>
      </c>
      <c r="E543" s="47" t="s">
        <v>2287</v>
      </c>
      <c r="F543" s="1669">
        <v>-1</v>
      </c>
      <c r="G543" s="1669">
        <f>COUNTIF(Principal!$C$51:$F$53,Tablas!E543)</f>
        <v>0</v>
      </c>
      <c r="H543" s="1670">
        <f t="shared" si="114"/>
        <v>0</v>
      </c>
      <c r="I543" s="792">
        <v>1</v>
      </c>
      <c r="J543" s="1674" t="s">
        <v>2649</v>
      </c>
      <c r="N543"/>
      <c r="AB543" s="3200" t="str">
        <f t="shared" si="115"/>
        <v>Reacción lenta (2)</v>
      </c>
      <c r="AC543" s="3248">
        <f t="shared" si="110"/>
        <v>-1</v>
      </c>
      <c r="AD543" s="2731" t="s">
        <v>9566</v>
      </c>
      <c r="AE543" s="3189"/>
      <c r="AF543" s="3189"/>
      <c r="AG543" s="3190"/>
      <c r="AH543" s="3215"/>
      <c r="AI543" s="3194" t="s">
        <v>2649</v>
      </c>
      <c r="AJ543"/>
    </row>
    <row r="544" spans="1:36" ht="12.75" customHeight="1">
      <c r="A544" s="219">
        <v>544</v>
      </c>
      <c r="B544" s="7145"/>
      <c r="C544" s="1678" t="str">
        <f t="shared" si="113"/>
        <v>Vulnerable a frío o calor</v>
      </c>
      <c r="D544" s="787">
        <f t="shared" si="107"/>
        <v>26</v>
      </c>
      <c r="E544" s="47" t="s">
        <v>2288</v>
      </c>
      <c r="F544" s="1669">
        <v>-1</v>
      </c>
      <c r="G544" s="1669">
        <f>COUNTIF(Principal!$C$51:$F$53,Tablas!E544)</f>
        <v>0</v>
      </c>
      <c r="H544" s="1670">
        <f t="shared" si="114"/>
        <v>0</v>
      </c>
      <c r="I544" s="792"/>
      <c r="J544" s="1674" t="s">
        <v>2649</v>
      </c>
      <c r="N544"/>
      <c r="AB544" s="3200" t="str">
        <f t="shared" si="115"/>
        <v>Salud enfermiza</v>
      </c>
      <c r="AC544" s="3248">
        <f t="shared" si="110"/>
        <v>20</v>
      </c>
      <c r="AD544" s="2731" t="s">
        <v>2284</v>
      </c>
      <c r="AE544" s="3189">
        <v>-1</v>
      </c>
      <c r="AF544" s="3189">
        <f>COUNTIF(Principal!$C$51:$F$53,AD544)</f>
        <v>0</v>
      </c>
      <c r="AG544" s="3190">
        <f t="shared" ref="AG544:AG551" si="116">AF544*AE544</f>
        <v>0</v>
      </c>
      <c r="AH544" s="3215"/>
      <c r="AI544" s="3194" t="s">
        <v>2649</v>
      </c>
      <c r="AJ544" s="2055"/>
    </row>
    <row r="545" spans="1:36" ht="12.75" customHeight="1">
      <c r="A545" s="219">
        <v>545</v>
      </c>
      <c r="B545" s="7145"/>
      <c r="C545" s="1678" t="str">
        <f t="shared" si="113"/>
        <v>Vulnerable a la magia</v>
      </c>
      <c r="D545" s="787">
        <f t="shared" si="107"/>
        <v>29</v>
      </c>
      <c r="E545" s="47" t="s">
        <v>2335</v>
      </c>
      <c r="F545" s="1669">
        <v>-1</v>
      </c>
      <c r="G545" s="1669">
        <f>COUNTIF(Principal!$C$51:$F$53,Tablas!E545)</f>
        <v>0</v>
      </c>
      <c r="H545" s="84">
        <f t="shared" si="114"/>
        <v>0</v>
      </c>
      <c r="I545" s="790"/>
      <c r="J545" s="1674" t="s">
        <v>2649</v>
      </c>
      <c r="N545"/>
      <c r="AB545" s="3200" t="str">
        <f t="shared" si="115"/>
        <v>Sin bonificador natural</v>
      </c>
      <c r="AC545" s="3248">
        <f t="shared" si="110"/>
        <v>16</v>
      </c>
      <c r="AD545" s="2731" t="s">
        <v>2285</v>
      </c>
      <c r="AE545" s="3189">
        <v>-1</v>
      </c>
      <c r="AF545" s="3189">
        <f>COUNTIF(Principal!$C$51:$F$53,AD545)</f>
        <v>0</v>
      </c>
      <c r="AG545" s="3190">
        <f t="shared" si="116"/>
        <v>0</v>
      </c>
      <c r="AH545" s="3215"/>
      <c r="AI545" s="3194" t="s">
        <v>2649</v>
      </c>
      <c r="AJ545" s="2055"/>
    </row>
    <row r="546" spans="1:36" ht="12.75" customHeight="1">
      <c r="A546" s="219">
        <v>546</v>
      </c>
      <c r="B546" s="7145"/>
      <c r="C546" s="1678" t="str">
        <f t="shared" si="113"/>
        <v>Vulnerable a los venenos</v>
      </c>
      <c r="D546" s="787">
        <f t="shared" si="107"/>
        <v>30</v>
      </c>
      <c r="E546" s="47" t="s">
        <v>2336</v>
      </c>
      <c r="F546" s="1669">
        <v>-2</v>
      </c>
      <c r="G546" s="1669">
        <f>COUNTIF(Principal!$C$51:$F$53,Tablas!E546)</f>
        <v>0</v>
      </c>
      <c r="H546" s="84">
        <f t="shared" si="114"/>
        <v>0</v>
      </c>
      <c r="I546" s="790"/>
      <c r="J546" s="1674" t="s">
        <v>2649</v>
      </c>
      <c r="N546"/>
      <c r="AB546" s="3200" t="str">
        <f t="shared" si="115"/>
        <v>Sordo</v>
      </c>
      <c r="AC546" s="3248">
        <f t="shared" si="110"/>
        <v>33</v>
      </c>
      <c r="AD546" s="2731" t="s">
        <v>2286</v>
      </c>
      <c r="AE546" s="3189">
        <v>-1</v>
      </c>
      <c r="AF546" s="3189">
        <f>COUNTIF(Principal!$C$51:$F$53,AD546)</f>
        <v>0</v>
      </c>
      <c r="AG546" s="3190">
        <f t="shared" si="116"/>
        <v>0</v>
      </c>
      <c r="AH546" s="3215"/>
      <c r="AI546" s="3194" t="s">
        <v>2649</v>
      </c>
      <c r="AJ546" s="2055"/>
    </row>
    <row r="547" spans="1:36" ht="12.75" customHeight="1">
      <c r="A547" s="219">
        <v>547</v>
      </c>
      <c r="B547" s="7145"/>
      <c r="C547" s="1678" t="str">
        <f t="shared" si="113"/>
        <v>Vulnerable al dolor</v>
      </c>
      <c r="D547" s="1680">
        <f t="shared" si="107"/>
        <v>19</v>
      </c>
      <c r="E547" s="1681" t="s">
        <v>2289</v>
      </c>
      <c r="F547" s="789">
        <v>-2</v>
      </c>
      <c r="G547" s="789">
        <f>COUNTIF(Principal!$C$51:$F$53,Tablas!E547)</f>
        <v>0</v>
      </c>
      <c r="H547" s="1682">
        <f t="shared" si="114"/>
        <v>0</v>
      </c>
      <c r="I547" s="1683"/>
      <c r="J547" s="1684" t="s">
        <v>2649</v>
      </c>
      <c r="N547"/>
      <c r="AB547" s="3200" t="str">
        <f t="shared" si="115"/>
        <v>Sueño profundo</v>
      </c>
      <c r="AC547" s="3248">
        <f t="shared" si="110"/>
        <v>37</v>
      </c>
      <c r="AD547" s="2731" t="s">
        <v>2287</v>
      </c>
      <c r="AE547" s="3189">
        <v>-1</v>
      </c>
      <c r="AF547" s="3189">
        <f>COUNTIF(Principal!$C$51:$F$53,AD547)</f>
        <v>0</v>
      </c>
      <c r="AG547" s="3190">
        <f t="shared" si="116"/>
        <v>0</v>
      </c>
      <c r="AH547" s="3215">
        <v>1</v>
      </c>
      <c r="AI547" s="3194" t="s">
        <v>2649</v>
      </c>
      <c r="AJ547" s="2055"/>
    </row>
    <row r="548" spans="1:36" ht="12.75" customHeight="1">
      <c r="A548" s="219">
        <v>548</v>
      </c>
      <c r="B548" s="7145"/>
      <c r="C548" s="1678" t="str">
        <f t="shared" si="113"/>
        <v xml:space="preserve"> &gt; DESVENTAJAS TRASFONDO</v>
      </c>
      <c r="D548" s="787">
        <f>IF(Don,COUNTIF($E$548:$E$556,"&lt;="&amp;E548)+MAX($D$503:$D$547),MIN($D$503:D547)-1)</f>
        <v>-2</v>
      </c>
      <c r="E548" s="47" t="s">
        <v>9567</v>
      </c>
      <c r="F548" s="1669"/>
      <c r="G548" s="1669"/>
      <c r="H548" s="1670"/>
      <c r="I548" s="1697"/>
      <c r="J548" s="1692" t="s">
        <v>2113</v>
      </c>
      <c r="N548"/>
      <c r="AB548" s="3200" t="str">
        <f t="shared" si="115"/>
        <v>Vulnerable a frío o calor</v>
      </c>
      <c r="AC548" s="3248">
        <f t="shared" si="110"/>
        <v>26</v>
      </c>
      <c r="AD548" s="2731" t="s">
        <v>2288</v>
      </c>
      <c r="AE548" s="3189">
        <v>-1</v>
      </c>
      <c r="AF548" s="3189">
        <f>COUNTIF(Principal!$C$51:$F$53,AD548)</f>
        <v>0</v>
      </c>
      <c r="AG548" s="3190">
        <f t="shared" si="116"/>
        <v>0</v>
      </c>
      <c r="AH548" s="3215"/>
      <c r="AI548" s="3194" t="s">
        <v>2649</v>
      </c>
      <c r="AJ548" s="2055"/>
    </row>
    <row r="549" spans="1:36" ht="12.75" customHeight="1">
      <c r="A549" s="219">
        <v>549</v>
      </c>
      <c r="B549" s="7145"/>
      <c r="C549" s="1678" t="str">
        <f t="shared" si="113"/>
        <v>Código de conducta</v>
      </c>
      <c r="D549" s="787">
        <f>IF(Don,COUNTIF($E$548:$E$556,"&lt;="&amp;E549)+MAX($D$503:$D$547),MIN($D$503:D548)-1)</f>
        <v>-3</v>
      </c>
      <c r="E549" s="47" t="s">
        <v>2242</v>
      </c>
      <c r="F549" s="1669">
        <v>-1</v>
      </c>
      <c r="G549" s="1669">
        <f>COUNTIF(Principal!$C$51:$F$53,Tablas!E549)</f>
        <v>0</v>
      </c>
      <c r="H549" s="1670">
        <f t="shared" ref="H549:H556" si="117">G549*F549</f>
        <v>0</v>
      </c>
      <c r="I549" s="1698"/>
      <c r="J549" s="1692" t="s">
        <v>2113</v>
      </c>
      <c r="N549"/>
      <c r="AB549" s="3200" t="str">
        <f t="shared" si="115"/>
        <v>Vulnerable a la magia</v>
      </c>
      <c r="AC549" s="3248">
        <f t="shared" si="110"/>
        <v>29</v>
      </c>
      <c r="AD549" s="2731" t="s">
        <v>2335</v>
      </c>
      <c r="AE549" s="3189">
        <v>-1</v>
      </c>
      <c r="AF549" s="3189">
        <f>COUNTIF(Principal!$C$51:$F$53,AD549)</f>
        <v>0</v>
      </c>
      <c r="AG549" s="2809">
        <f t="shared" si="116"/>
        <v>0</v>
      </c>
      <c r="AH549" s="3215"/>
      <c r="AI549" s="3194" t="s">
        <v>2649</v>
      </c>
      <c r="AJ549" s="2055"/>
    </row>
    <row r="550" spans="1:36" ht="12.75" customHeight="1">
      <c r="A550" s="219">
        <v>550</v>
      </c>
      <c r="B550" s="7145"/>
      <c r="C550" s="1678" t="str">
        <f t="shared" si="113"/>
        <v>Deudas</v>
      </c>
      <c r="D550" s="787">
        <f>IF(Don,COUNTIF($E$548:$E$556,"&lt;="&amp;E550)+MAX($D$503:$D$547),MIN($D$503:D549)-1)</f>
        <v>-4</v>
      </c>
      <c r="E550" s="47" t="s">
        <v>2243</v>
      </c>
      <c r="F550" s="1669">
        <v>-1</v>
      </c>
      <c r="G550" s="1669">
        <f>COUNTIF(Principal!$C$51:$F$53,Tablas!E550)</f>
        <v>0</v>
      </c>
      <c r="H550" s="1670">
        <f t="shared" si="117"/>
        <v>0</v>
      </c>
      <c r="I550" s="1698"/>
      <c r="J550" s="1692" t="s">
        <v>2113</v>
      </c>
      <c r="N550"/>
      <c r="AB550" s="3200" t="str">
        <f t="shared" si="115"/>
        <v>Vulnerable a los venenos</v>
      </c>
      <c r="AC550" s="3248">
        <f t="shared" si="110"/>
        <v>30</v>
      </c>
      <c r="AD550" s="2731" t="s">
        <v>2336</v>
      </c>
      <c r="AE550" s="3189">
        <v>-2</v>
      </c>
      <c r="AF550" s="3189">
        <f>COUNTIF(Principal!$C$51:$F$53,AD550)</f>
        <v>0</v>
      </c>
      <c r="AG550" s="2809">
        <f t="shared" si="116"/>
        <v>0</v>
      </c>
      <c r="AH550" s="3215"/>
      <c r="AI550" s="3194" t="s">
        <v>2649</v>
      </c>
    </row>
    <row r="551" spans="1:36" ht="12.75" customHeight="1">
      <c r="A551" s="219">
        <v>551</v>
      </c>
      <c r="B551" s="7145"/>
      <c r="C551" s="1678" t="str">
        <f t="shared" si="113"/>
        <v>Enemigo poderoso (1)</v>
      </c>
      <c r="D551" s="787">
        <f>IF(Don,COUNTIF($E$548:$E$556,"&lt;="&amp;E551)+MAX($D$503:$D$547),MIN($D$503:D550)-1)</f>
        <v>-5</v>
      </c>
      <c r="E551" s="47" t="s">
        <v>2244</v>
      </c>
      <c r="F551" s="1669">
        <v>-1</v>
      </c>
      <c r="G551" s="1669">
        <f>COUNTIF(Principal!$C$51:$F$53,Tablas!E551)</f>
        <v>0</v>
      </c>
      <c r="H551" s="1670">
        <f t="shared" si="117"/>
        <v>0</v>
      </c>
      <c r="I551" s="1698"/>
      <c r="J551" s="1692" t="s">
        <v>2113</v>
      </c>
      <c r="N551"/>
      <c r="AB551" s="3200" t="str">
        <f t="shared" si="115"/>
        <v>Vulnerable al dolor</v>
      </c>
      <c r="AC551" s="3248">
        <f t="shared" si="110"/>
        <v>19</v>
      </c>
      <c r="AD551" s="3222" t="s">
        <v>2289</v>
      </c>
      <c r="AE551" s="3206">
        <v>-2</v>
      </c>
      <c r="AF551" s="3189">
        <f>COUNTIF(Principal!$C$51:$F$53,AD551)</f>
        <v>0</v>
      </c>
      <c r="AG551" s="3207">
        <f t="shared" si="116"/>
        <v>0</v>
      </c>
      <c r="AH551" s="3224"/>
      <c r="AI551" s="3208" t="s">
        <v>2649</v>
      </c>
    </row>
    <row r="552" spans="1:36" ht="12.75" customHeight="1">
      <c r="A552" s="219">
        <v>552</v>
      </c>
      <c r="B552" s="7145"/>
      <c r="C552" s="1678" t="str">
        <f t="shared" si="113"/>
        <v>Enemigo poderoso (2)</v>
      </c>
      <c r="D552" s="787">
        <f>IF(Don,COUNTIF($E$548:$E$556,"&lt;="&amp;E552)+MAX($D$503:$D$547),MIN($D$503:D551)-1)</f>
        <v>-6</v>
      </c>
      <c r="E552" s="47" t="s">
        <v>2245</v>
      </c>
      <c r="F552" s="1669">
        <v>-1</v>
      </c>
      <c r="G552" s="1669">
        <f>COUNTIF(Principal!$C$51:$F$53,Tablas!E552)</f>
        <v>0</v>
      </c>
      <c r="H552" s="1670">
        <f t="shared" si="117"/>
        <v>0</v>
      </c>
      <c r="I552" s="1698"/>
      <c r="J552" s="1692" t="s">
        <v>2113</v>
      </c>
      <c r="N552"/>
      <c r="AB552" s="3237" t="str">
        <f t="shared" si="115"/>
        <v xml:space="preserve"> &gt; DESVENTAJAS TRASFONDO</v>
      </c>
      <c r="AC552" s="3262">
        <f>IF(Don,COUNTIF($AD$552:$AD$563,"&lt;="&amp;AD552)+MAX($AC$507:$AC$551),MIN($AC$507:$AC$551)-1)</f>
        <v>-2</v>
      </c>
      <c r="AD552" s="2731" t="s">
        <v>9567</v>
      </c>
      <c r="AE552" s="3189"/>
      <c r="AF552" s="3678"/>
      <c r="AG552" s="3190"/>
      <c r="AH552" s="3228"/>
      <c r="AI552" s="3199" t="s">
        <v>2113</v>
      </c>
    </row>
    <row r="553" spans="1:36" ht="12.75" customHeight="1">
      <c r="A553" s="219">
        <v>553</v>
      </c>
      <c r="B553" s="7145"/>
      <c r="C553" s="1678" t="str">
        <f t="shared" si="113"/>
        <v>Novato</v>
      </c>
      <c r="D553" s="787">
        <f>IF(Don,COUNTIF($E$548:$E$556,"&lt;="&amp;E553)+MAX($D$503:$D$547),MIN($D$503:D552)-1)</f>
        <v>-7</v>
      </c>
      <c r="E553" s="47" t="s">
        <v>2246</v>
      </c>
      <c r="F553" s="1669">
        <v>-1</v>
      </c>
      <c r="G553" s="1669">
        <f>COUNTIF(Principal!$C$51:$F$53,Tablas!E553)</f>
        <v>0</v>
      </c>
      <c r="H553" s="1670">
        <f t="shared" si="117"/>
        <v>0</v>
      </c>
      <c r="I553" s="1698">
        <v>1</v>
      </c>
      <c r="J553" s="1692" t="s">
        <v>2113</v>
      </c>
      <c r="N553"/>
      <c r="AB553" s="3204" t="str">
        <f t="shared" si="115"/>
        <v>Código de conducta</v>
      </c>
      <c r="AC553" s="3248">
        <f t="shared" ref="AC553:AC563" si="118">IF(Don,COUNTIF($AD$552:$AD$563,"&lt;="&amp;AD553)+MAX($AC$507:$AC$551),MIN($AC$508:$AC$551)-1)</f>
        <v>-2</v>
      </c>
      <c r="AD553" s="2731" t="s">
        <v>2242</v>
      </c>
      <c r="AE553" s="3189">
        <v>-1</v>
      </c>
      <c r="AF553" s="3189">
        <f>COUNTIF(Principal!$C$51:$F$53,AD553)</f>
        <v>0</v>
      </c>
      <c r="AG553" s="3190">
        <f t="shared" ref="AG553:AG563" si="119">AF553*AE553</f>
        <v>0</v>
      </c>
      <c r="AH553" s="3215"/>
      <c r="AI553" s="3199" t="s">
        <v>2113</v>
      </c>
    </row>
    <row r="554" spans="1:36" ht="12.75" customHeight="1">
      <c r="A554" s="219">
        <v>554</v>
      </c>
      <c r="B554" s="7145"/>
      <c r="C554" s="1678" t="str">
        <f t="shared" si="113"/>
        <v>Paria</v>
      </c>
      <c r="D554" s="787">
        <f>IF(Don,COUNTIF($E$548:$E$556,"&lt;="&amp;E554)+MAX($D$503:$D$547),MIN($D$503:D553)-1)</f>
        <v>-8</v>
      </c>
      <c r="E554" s="47" t="s">
        <v>2247</v>
      </c>
      <c r="F554" s="1669">
        <v>-2</v>
      </c>
      <c r="G554" s="1669">
        <f>COUNTIF(Principal!$C$51:$F$53,Tablas!E554)</f>
        <v>0</v>
      </c>
      <c r="H554" s="1670">
        <f t="shared" si="117"/>
        <v>0</v>
      </c>
      <c r="I554" s="1698">
        <v>1</v>
      </c>
      <c r="J554" s="1692" t="s">
        <v>2113</v>
      </c>
      <c r="N554"/>
      <c r="AB554" s="3204" t="str">
        <f t="shared" si="115"/>
        <v>Deudas</v>
      </c>
      <c r="AC554" s="3248">
        <f t="shared" si="118"/>
        <v>-2</v>
      </c>
      <c r="AD554" s="2731" t="s">
        <v>2243</v>
      </c>
      <c r="AE554" s="3189">
        <v>-1</v>
      </c>
      <c r="AF554" s="3189">
        <f>COUNTIF(Principal!$C$51:$F$53,AD554)</f>
        <v>0</v>
      </c>
      <c r="AG554" s="3190">
        <f t="shared" si="119"/>
        <v>0</v>
      </c>
      <c r="AH554" s="3215"/>
      <c r="AI554" s="3199" t="s">
        <v>2113</v>
      </c>
    </row>
    <row r="555" spans="1:36" ht="12.75" customHeight="1">
      <c r="A555" s="219">
        <v>555</v>
      </c>
      <c r="B555" s="7145"/>
      <c r="C555" s="1678" t="str">
        <f t="shared" si="113"/>
        <v>Secreto inconfesable</v>
      </c>
      <c r="D555" s="787">
        <f>IF(Don,COUNTIF($E$548:$E$556,"&lt;="&amp;E555)+MAX($D$503:$D$547),MIN($D$503:D554)-1)</f>
        <v>-9</v>
      </c>
      <c r="E555" s="47" t="s">
        <v>2248</v>
      </c>
      <c r="F555" s="1669">
        <v>-1</v>
      </c>
      <c r="G555" s="1669">
        <f>COUNTIF(Principal!$C$51:$F$53,Tablas!E555)</f>
        <v>0</v>
      </c>
      <c r="H555" s="1670">
        <f t="shared" si="117"/>
        <v>0</v>
      </c>
      <c r="I555" s="1698">
        <v>2</v>
      </c>
      <c r="J555" s="1692" t="s">
        <v>2113</v>
      </c>
      <c r="N555"/>
      <c r="AB555" s="3204" t="str">
        <f t="shared" si="115"/>
        <v>Enemigo poderoso (1)</v>
      </c>
      <c r="AC555" s="3248">
        <f t="shared" si="118"/>
        <v>-2</v>
      </c>
      <c r="AD555" s="2731" t="s">
        <v>2244</v>
      </c>
      <c r="AE555" s="3189">
        <v>-1</v>
      </c>
      <c r="AF555" s="3189">
        <f>COUNTIF(Principal!$C$51:$F$53,AD555)</f>
        <v>0</v>
      </c>
      <c r="AG555" s="3190">
        <f t="shared" si="119"/>
        <v>0</v>
      </c>
      <c r="AH555" s="3215"/>
      <c r="AI555" s="3199" t="s">
        <v>2113</v>
      </c>
    </row>
    <row r="556" spans="1:36" ht="12.75" customHeight="1">
      <c r="A556" s="219">
        <v>556</v>
      </c>
      <c r="B556" s="7145"/>
      <c r="C556" s="1678" t="str">
        <f t="shared" si="113"/>
        <v xml:space="preserve"> &gt; DESVENTAJAS PERSONALIZADAS</v>
      </c>
      <c r="D556" s="1680">
        <f>IF(Don,COUNTIF($E$548:$E$556,"&lt;="&amp;E556)+MAX($D$503:$D$547),MIN($D$503:D555)-1)</f>
        <v>-10</v>
      </c>
      <c r="E556" s="47" t="s">
        <v>2249</v>
      </c>
      <c r="F556" s="1669">
        <v>-2</v>
      </c>
      <c r="G556" s="1669">
        <f>COUNTIF(Principal!$C$51:$F$53,Tablas!E556)</f>
        <v>0</v>
      </c>
      <c r="H556" s="1670">
        <f t="shared" si="117"/>
        <v>0</v>
      </c>
      <c r="I556" s="1699"/>
      <c r="J556" s="1692" t="s">
        <v>2113</v>
      </c>
      <c r="N556"/>
      <c r="AB556" s="3204" t="str">
        <f t="shared" si="115"/>
        <v>Enemigo poderoso (2)</v>
      </c>
      <c r="AC556" s="3248">
        <f t="shared" si="118"/>
        <v>-2</v>
      </c>
      <c r="AD556" s="2731" t="s">
        <v>2245</v>
      </c>
      <c r="AE556" s="3189">
        <v>-1</v>
      </c>
      <c r="AF556" s="3189">
        <f>COUNTIF(Principal!$C$51:$F$53,AD556)</f>
        <v>0</v>
      </c>
      <c r="AG556" s="3190">
        <f t="shared" si="119"/>
        <v>0</v>
      </c>
      <c r="AH556" s="3215"/>
      <c r="AI556" s="3199" t="s">
        <v>2113</v>
      </c>
    </row>
    <row r="557" spans="1:36" ht="12.75" customHeight="1">
      <c r="A557" s="219">
        <v>557</v>
      </c>
      <c r="B557" s="7145"/>
      <c r="C557" s="1678" t="str">
        <f t="shared" si="113"/>
        <v>Desventaja Personalizada #1</v>
      </c>
      <c r="D557" s="787">
        <f>IF(Psíquico,COUNTIF($E$557:$E$561,"&lt;="&amp;E557)+MAX($D$503:$D$556),MIN($D$503:D556)-1)</f>
        <v>-11</v>
      </c>
      <c r="E557" s="1679" t="s">
        <v>9568</v>
      </c>
      <c r="F557" s="682"/>
      <c r="G557" s="682"/>
      <c r="H557" s="791"/>
      <c r="I557" s="1697"/>
      <c r="J557" s="1704" t="s">
        <v>6163</v>
      </c>
      <c r="N557"/>
      <c r="AB557" s="3204" t="str">
        <f t="shared" si="115"/>
        <v>Novato</v>
      </c>
      <c r="AC557" s="3248">
        <f t="shared" si="118"/>
        <v>-2</v>
      </c>
      <c r="AD557" s="2731" t="s">
        <v>2246</v>
      </c>
      <c r="AE557" s="3189">
        <v>-1</v>
      </c>
      <c r="AF557" s="3189">
        <f>COUNTIF(Principal!$C$51:$F$53,AD557)</f>
        <v>0</v>
      </c>
      <c r="AG557" s="3190">
        <f t="shared" si="119"/>
        <v>0</v>
      </c>
      <c r="AH557" s="3215">
        <v>1</v>
      </c>
      <c r="AI557" s="3199" t="s">
        <v>2113</v>
      </c>
    </row>
    <row r="558" spans="1:36" ht="12.75" customHeight="1">
      <c r="A558" s="219">
        <v>558</v>
      </c>
      <c r="B558" s="7145"/>
      <c r="C558" s="1678" t="str">
        <f t="shared" si="113"/>
        <v>Desventaja Personalizada #2</v>
      </c>
      <c r="D558" s="787">
        <f>IF(Psíquico,COUNTIF($E$557:$E$561,"&lt;="&amp;E558)+MAX($D$503:$D$556),MIN($D$503:D557)-1)</f>
        <v>-12</v>
      </c>
      <c r="E558" s="47" t="s">
        <v>2250</v>
      </c>
      <c r="F558" s="1669">
        <v>-1</v>
      </c>
      <c r="G558" s="1669">
        <f>COUNTIF(Principal!$C$51:$F$53,Tablas!E558)</f>
        <v>0</v>
      </c>
      <c r="H558" s="1670">
        <f>G558*F558</f>
        <v>0</v>
      </c>
      <c r="I558" s="1698">
        <v>1</v>
      </c>
      <c r="J558" s="1705" t="s">
        <v>6163</v>
      </c>
      <c r="N558"/>
      <c r="AB558" s="3204" t="str">
        <f t="shared" si="115"/>
        <v>Paria</v>
      </c>
      <c r="AC558" s="3248">
        <f t="shared" si="118"/>
        <v>-2</v>
      </c>
      <c r="AD558" s="2731" t="s">
        <v>2247</v>
      </c>
      <c r="AE558" s="3189">
        <v>-2</v>
      </c>
      <c r="AF558" s="3189">
        <f>COUNTIF(Principal!$C$51:$F$53,AD558)</f>
        <v>0</v>
      </c>
      <c r="AG558" s="3190">
        <f t="shared" si="119"/>
        <v>0</v>
      </c>
      <c r="AH558" s="3215">
        <v>1</v>
      </c>
      <c r="AI558" s="3199" t="s">
        <v>2113</v>
      </c>
    </row>
    <row r="559" spans="1:36" ht="12.75" customHeight="1">
      <c r="A559" s="219">
        <v>559</v>
      </c>
      <c r="B559" s="7145"/>
      <c r="C559" s="1678" t="str">
        <f t="shared" si="113"/>
        <v>Desventaja Personalizada #3</v>
      </c>
      <c r="D559" s="787">
        <f>IF(Psíquico,COUNTIF($E$557:$E$561,"&lt;="&amp;E559)+MAX($D$503:$D$556),MIN($D$503:D558)-1)</f>
        <v>-13</v>
      </c>
      <c r="E559" s="47" t="s">
        <v>2251</v>
      </c>
      <c r="F559" s="1669">
        <v>-1</v>
      </c>
      <c r="G559" s="1669">
        <f>COUNTIF(Principal!$C$51:$F$53,Tablas!E559)</f>
        <v>0</v>
      </c>
      <c r="H559" s="1670">
        <f>G559*F559</f>
        <v>0</v>
      </c>
      <c r="I559" s="1698"/>
      <c r="J559" s="1705" t="s">
        <v>6163</v>
      </c>
      <c r="N559"/>
      <c r="AB559" s="3204" t="str">
        <f t="shared" si="115"/>
        <v>Secreto inconfesable</v>
      </c>
      <c r="AC559" s="3248">
        <f t="shared" si="118"/>
        <v>-2</v>
      </c>
      <c r="AD559" s="2731" t="s">
        <v>2248</v>
      </c>
      <c r="AE559" s="3189">
        <v>-1</v>
      </c>
      <c r="AF559" s="3189">
        <f>COUNTIF(Principal!$C$51:$F$53,AD559)</f>
        <v>0</v>
      </c>
      <c r="AG559" s="3190">
        <f t="shared" si="119"/>
        <v>0</v>
      </c>
      <c r="AH559" s="3215">
        <v>2</v>
      </c>
      <c r="AI559" s="3199" t="s">
        <v>2113</v>
      </c>
    </row>
    <row r="560" spans="1:36" ht="12.75" customHeight="1">
      <c r="A560" s="219">
        <v>560</v>
      </c>
      <c r="B560" s="7145"/>
      <c r="C560" s="1678" t="str">
        <f t="shared" si="113"/>
        <v>Desventaja Personalizada #4</v>
      </c>
      <c r="D560" s="787">
        <f>IF(Psíquico,COUNTIF($E$557:$E$561,"&lt;="&amp;E560)+MAX($D$503:$D$556),MIN($D$503:D559)-1)</f>
        <v>-14</v>
      </c>
      <c r="E560" s="47" t="s">
        <v>2252</v>
      </c>
      <c r="F560" s="1669">
        <v>-1</v>
      </c>
      <c r="G560" s="1669">
        <f>COUNTIF(Principal!$C$51:$F$53,Tablas!E560)</f>
        <v>0</v>
      </c>
      <c r="H560" s="1670">
        <f>G560*F560</f>
        <v>0</v>
      </c>
      <c r="I560" s="1698"/>
      <c r="J560" s="1705" t="s">
        <v>6163</v>
      </c>
      <c r="N560"/>
      <c r="AB560" s="3204" t="str">
        <f t="shared" si="115"/>
        <v xml:space="preserve"> &gt; DESVENTAJAS PERSONALIZADAS</v>
      </c>
      <c r="AC560" s="3248">
        <f t="shared" si="118"/>
        <v>-2</v>
      </c>
      <c r="AD560" s="2731" t="s">
        <v>2249</v>
      </c>
      <c r="AE560" s="3189">
        <v>-2</v>
      </c>
      <c r="AF560" s="3189">
        <f>COUNTIF(Principal!$C$51:$F$53,AD560)</f>
        <v>0</v>
      </c>
      <c r="AG560" s="3190">
        <f t="shared" si="119"/>
        <v>0</v>
      </c>
      <c r="AH560" s="3224"/>
      <c r="AI560" s="3199" t="s">
        <v>2113</v>
      </c>
    </row>
    <row r="561" spans="1:35" ht="12.75" customHeight="1">
      <c r="A561" s="219">
        <v>561</v>
      </c>
      <c r="B561" s="7145"/>
      <c r="C561" s="1678" t="e">
        <f t="shared" si="113"/>
        <v>#N/A</v>
      </c>
      <c r="D561" s="1680">
        <f>IF(Psíquico,COUNTIF($E$557:$E$561,"&lt;="&amp;E561)+MAX($D$503:$D$556),MIN($D$503:D560)-1)</f>
        <v>-15</v>
      </c>
      <c r="E561" s="47" t="s">
        <v>2253</v>
      </c>
      <c r="F561" s="1669">
        <v>-2</v>
      </c>
      <c r="G561" s="1669">
        <f>COUNTIF(Principal!$C$51:$F$53,Tablas!E561)</f>
        <v>0</v>
      </c>
      <c r="H561" s="1670">
        <f>G561*F561</f>
        <v>0</v>
      </c>
      <c r="I561" s="1699"/>
      <c r="J561" s="1706" t="s">
        <v>6163</v>
      </c>
      <c r="N561"/>
      <c r="AB561" s="3204" t="str">
        <f t="shared" ref="AB561:AB582" si="120">VLOOKUP(A53,$AC$507:$AD$583,2,0)</f>
        <v>Desventaja Personalizada 1</v>
      </c>
      <c r="AC561" s="3248">
        <f t="shared" si="118"/>
        <v>-2</v>
      </c>
      <c r="AD561" s="2740"/>
      <c r="AE561" s="3225">
        <v>-1</v>
      </c>
      <c r="AF561" s="3189">
        <f>COUNTIF(Principal!$C$51:$F$53,AD561)</f>
        <v>0</v>
      </c>
      <c r="AG561" s="3190">
        <f t="shared" si="119"/>
        <v>0</v>
      </c>
      <c r="AH561" s="2740"/>
      <c r="AI561" s="3199" t="s">
        <v>2113</v>
      </c>
    </row>
    <row r="562" spans="1:35" ht="12.75" customHeight="1">
      <c r="A562" s="219">
        <v>562</v>
      </c>
      <c r="B562" s="7145"/>
      <c r="C562" s="1678" t="e">
        <f t="shared" si="113"/>
        <v>#N/A</v>
      </c>
      <c r="D562" s="787">
        <f t="shared" ref="D562:D569" si="121">COUNTIF($E$562:$E$569,"&lt;="&amp;E562)+MAX($D$503:$D$561)</f>
        <v>44</v>
      </c>
      <c r="E562" s="1679" t="s">
        <v>9569</v>
      </c>
      <c r="F562" s="683"/>
      <c r="G562" s="682"/>
      <c r="H562" s="1689"/>
      <c r="I562" s="1700"/>
      <c r="J562" s="1707" t="s">
        <v>6164</v>
      </c>
      <c r="N562"/>
      <c r="AB562" s="3204" t="str">
        <f t="shared" si="120"/>
        <v>Desventaja Personalizada 2</v>
      </c>
      <c r="AC562" s="3248">
        <f t="shared" si="118"/>
        <v>-2</v>
      </c>
      <c r="AD562" s="2740"/>
      <c r="AE562" s="3225">
        <v>-1</v>
      </c>
      <c r="AF562" s="3189">
        <f>COUNTIF(Principal!$C$51:$F$53,AD562)</f>
        <v>0</v>
      </c>
      <c r="AG562" s="3190">
        <f t="shared" si="119"/>
        <v>0</v>
      </c>
      <c r="AH562" s="2740"/>
      <c r="AI562" s="3199" t="s">
        <v>2113</v>
      </c>
    </row>
    <row r="563" spans="1:35" ht="12.75" customHeight="1">
      <c r="A563" s="219">
        <v>563</v>
      </c>
      <c r="B563" s="7145"/>
      <c r="C563" s="1678" t="e">
        <f t="shared" si="113"/>
        <v>#N/A</v>
      </c>
      <c r="D563" s="787">
        <f t="shared" si="121"/>
        <v>49</v>
      </c>
      <c r="E563" s="47" t="s">
        <v>2334</v>
      </c>
      <c r="F563" s="1669">
        <v>-1</v>
      </c>
      <c r="G563" s="1669">
        <f>COUNTIF(Principal!$C$51:$F$53,Tablas!E563)</f>
        <v>0</v>
      </c>
      <c r="H563" s="84">
        <f t="shared" ref="H563:H569" si="122">G563*F563</f>
        <v>0</v>
      </c>
      <c r="I563" s="1701"/>
      <c r="J563" s="1706" t="s">
        <v>6164</v>
      </c>
      <c r="N563"/>
      <c r="AB563" s="3204" t="str">
        <f t="shared" si="120"/>
        <v>Desventaja Personalizada 3</v>
      </c>
      <c r="AC563" s="3248">
        <f t="shared" si="118"/>
        <v>-2</v>
      </c>
      <c r="AD563" s="2740"/>
      <c r="AE563" s="3225">
        <v>-1</v>
      </c>
      <c r="AF563" s="3189">
        <f>COUNTIF(Principal!$C$51:$F$53,AD563)</f>
        <v>0</v>
      </c>
      <c r="AG563" s="3190">
        <f t="shared" si="119"/>
        <v>0</v>
      </c>
      <c r="AH563" s="2740"/>
      <c r="AI563" s="3199" t="s">
        <v>2113</v>
      </c>
    </row>
    <row r="564" spans="1:35" ht="12.75" customHeight="1">
      <c r="A564" s="219">
        <v>564</v>
      </c>
      <c r="B564" s="7145"/>
      <c r="C564" s="1678" t="e">
        <f t="shared" si="113"/>
        <v>#N/A</v>
      </c>
      <c r="D564" s="787">
        <f t="shared" si="121"/>
        <v>50</v>
      </c>
      <c r="E564" s="47" t="s">
        <v>2337</v>
      </c>
      <c r="F564" s="1669">
        <v>-1</v>
      </c>
      <c r="G564" s="1669">
        <f>COUNTIF(Principal!$C$51:$F$53,Tablas!E564)</f>
        <v>0</v>
      </c>
      <c r="H564" s="84">
        <f t="shared" si="122"/>
        <v>0</v>
      </c>
      <c r="I564" s="1701"/>
      <c r="J564" s="1706" t="s">
        <v>6164</v>
      </c>
      <c r="N564"/>
      <c r="AB564" s="3204" t="str">
        <f t="shared" si="120"/>
        <v>Desventaja Personalizada 4</v>
      </c>
      <c r="AC564" s="3248">
        <f>IF(Psíquico,COUNTIF($AD$564:$AD$570,"&lt;="&amp;AD564)+MAX($AC$507:$AC$560),MIN($AC$507:$AC$560)-1)</f>
        <v>-3</v>
      </c>
      <c r="AD564" s="3201" t="s">
        <v>9568</v>
      </c>
      <c r="AE564" s="3202"/>
      <c r="AF564" s="3202"/>
      <c r="AG564" s="3203"/>
      <c r="AH564" s="3228"/>
      <c r="AI564" s="3265" t="s">
        <v>6163</v>
      </c>
    </row>
    <row r="565" spans="1:35" ht="12.75" customHeight="1">
      <c r="A565" s="219">
        <v>565</v>
      </c>
      <c r="B565" s="7145"/>
      <c r="C565" s="1678" t="e">
        <f t="shared" si="113"/>
        <v>#N/A</v>
      </c>
      <c r="D565" s="787">
        <f t="shared" si="121"/>
        <v>47</v>
      </c>
      <c r="E565" s="47" t="s">
        <v>2338</v>
      </c>
      <c r="F565" s="1669">
        <v>-1</v>
      </c>
      <c r="G565" s="1669">
        <f>COUNTIF(Principal!$C$51:$F$53,Tablas!E565)</f>
        <v>0</v>
      </c>
      <c r="H565" s="84">
        <f t="shared" si="122"/>
        <v>0</v>
      </c>
      <c r="I565" s="1702"/>
      <c r="J565" s="1706" t="s">
        <v>6164</v>
      </c>
      <c r="N565"/>
      <c r="AB565" s="3204" t="e">
        <f t="shared" si="120"/>
        <v>#N/A</v>
      </c>
      <c r="AC565" s="3248">
        <f>IF(Psíquico,COUNTIF($AD$564:$AD$570,"&lt;="&amp;AD565)+MAX($AC$507:$AC$560),MIN($AC$507:$AC$564)-1)</f>
        <v>-4</v>
      </c>
      <c r="AD565" s="2731" t="s">
        <v>2250</v>
      </c>
      <c r="AE565" s="3189">
        <v>-1</v>
      </c>
      <c r="AF565" s="3189">
        <f>COUNTIF(Principal!$C$51:$F$53,AD565)</f>
        <v>0</v>
      </c>
      <c r="AG565" s="3190">
        <f t="shared" ref="AG565:AG570" si="123">AF565*AE565</f>
        <v>0</v>
      </c>
      <c r="AH565" s="3215">
        <v>1</v>
      </c>
      <c r="AI565" s="3266" t="s">
        <v>6163</v>
      </c>
    </row>
    <row r="566" spans="1:35" ht="12.75" customHeight="1">
      <c r="A566" s="219">
        <v>566</v>
      </c>
      <c r="B566" s="7145"/>
      <c r="C566" s="1678" t="e">
        <f t="shared" si="113"/>
        <v>#N/A</v>
      </c>
      <c r="D566" s="787">
        <f t="shared" si="121"/>
        <v>48</v>
      </c>
      <c r="E566" s="47" t="s">
        <v>2339</v>
      </c>
      <c r="F566" s="1669">
        <v>-2</v>
      </c>
      <c r="G566" s="1669">
        <f>COUNTIF(Principal!$C$51:$F$53,Tablas!E566)</f>
        <v>0</v>
      </c>
      <c r="H566" s="84">
        <f t="shared" si="122"/>
        <v>0</v>
      </c>
      <c r="I566" s="1702"/>
      <c r="J566" s="1706" t="s">
        <v>6164</v>
      </c>
      <c r="N566"/>
      <c r="AB566" s="3204" t="e">
        <f t="shared" si="120"/>
        <v>#N/A</v>
      </c>
      <c r="AC566" s="3248">
        <f>IF(Psíquico,COUNTIF($AD$564:$AD$570,"&lt;="&amp;AD566)+MAX($AC$507:$AC$560),MIN($AC$507:$AC$565)-1)</f>
        <v>-5</v>
      </c>
      <c r="AD566" s="2731" t="s">
        <v>2251</v>
      </c>
      <c r="AE566" s="3189">
        <v>-1</v>
      </c>
      <c r="AF566" s="3189">
        <f>COUNTIF(Principal!$C$51:$F$53,AD566)</f>
        <v>0</v>
      </c>
      <c r="AG566" s="3190">
        <f t="shared" si="123"/>
        <v>0</v>
      </c>
      <c r="AH566" s="3215"/>
      <c r="AI566" s="3266" t="s">
        <v>6163</v>
      </c>
    </row>
    <row r="567" spans="1:35" ht="12.75" customHeight="1">
      <c r="A567" s="219">
        <v>567</v>
      </c>
      <c r="B567" s="7145"/>
      <c r="C567" s="1678" t="e">
        <f t="shared" si="113"/>
        <v>#N/A</v>
      </c>
      <c r="D567" s="787">
        <f t="shared" si="121"/>
        <v>46</v>
      </c>
      <c r="E567" s="47" t="s">
        <v>2340</v>
      </c>
      <c r="F567" s="1669">
        <v>-1</v>
      </c>
      <c r="G567" s="1669">
        <f>COUNTIF(Principal!$C$51:$F$53,Tablas!E567)</f>
        <v>0</v>
      </c>
      <c r="H567" s="84">
        <f t="shared" si="122"/>
        <v>0</v>
      </c>
      <c r="I567" s="1702"/>
      <c r="J567" s="1706" t="s">
        <v>6164</v>
      </c>
      <c r="N567"/>
      <c r="AB567" s="3204" t="e">
        <f t="shared" si="120"/>
        <v>#N/A</v>
      </c>
      <c r="AC567" s="3248">
        <f>IF(Psíquico,COUNTIF($AD$564:$AD$570,"&lt;="&amp;AD567)+MAX($AC$507:$AC$560),MIN($AC$507:$AC$566)-1)</f>
        <v>-6</v>
      </c>
      <c r="AD567" s="2731" t="s">
        <v>2252</v>
      </c>
      <c r="AE567" s="3189">
        <v>-1</v>
      </c>
      <c r="AF567" s="3189">
        <f>COUNTIF(Principal!$C$51:$F$53,AD567)</f>
        <v>0</v>
      </c>
      <c r="AG567" s="3190">
        <f t="shared" si="123"/>
        <v>0</v>
      </c>
      <c r="AH567" s="3215"/>
      <c r="AI567" s="3266" t="s">
        <v>6163</v>
      </c>
    </row>
    <row r="568" spans="1:35" ht="12.75" customHeight="1">
      <c r="A568" s="219">
        <v>568</v>
      </c>
      <c r="B568" s="7145"/>
      <c r="C568" s="1678" t="e">
        <f t="shared" si="113"/>
        <v>#N/A</v>
      </c>
      <c r="D568" s="787">
        <f t="shared" si="121"/>
        <v>45</v>
      </c>
      <c r="E568" s="47" t="s">
        <v>2341</v>
      </c>
      <c r="F568" s="1669">
        <v>-1</v>
      </c>
      <c r="G568" s="1669">
        <f>COUNTIF(Principal!$C$51:$F$53,Tablas!E568)</f>
        <v>0</v>
      </c>
      <c r="H568" s="84">
        <f t="shared" si="122"/>
        <v>0</v>
      </c>
      <c r="I568" s="1702"/>
      <c r="J568" s="1706" t="s">
        <v>6164</v>
      </c>
      <c r="N568"/>
      <c r="AB568" s="3204" t="e">
        <f t="shared" si="120"/>
        <v>#N/A</v>
      </c>
      <c r="AC568" s="3248">
        <f>IF(Psíquico,COUNTIF($AD$564:$AD$570,"&lt;="&amp;AD568)+MAX($AC$507:$AC$560),MIN($AC$507:$AC$567)-1)</f>
        <v>-7</v>
      </c>
      <c r="AD568" s="2731" t="s">
        <v>2253</v>
      </c>
      <c r="AE568" s="3189">
        <v>-2</v>
      </c>
      <c r="AF568" s="3189">
        <f>COUNTIF(Principal!$C$51:$F$53,AD568)</f>
        <v>0</v>
      </c>
      <c r="AG568" s="3190">
        <f t="shared" si="123"/>
        <v>0</v>
      </c>
      <c r="AH568" s="3215"/>
      <c r="AI568" s="3199" t="s">
        <v>6163</v>
      </c>
    </row>
    <row r="569" spans="1:35" ht="12.75" customHeight="1">
      <c r="A569" s="219">
        <v>569</v>
      </c>
      <c r="B569" s="7145"/>
      <c r="C569" s="1678" t="e">
        <f t="shared" ref="C569:C574" si="124">VLOOKUP(A65,$D$503:$E$574,2,0)</f>
        <v>#N/A</v>
      </c>
      <c r="D569" s="787">
        <f t="shared" si="121"/>
        <v>51</v>
      </c>
      <c r="E569" s="47" t="s">
        <v>2342</v>
      </c>
      <c r="F569" s="1669">
        <v>-1</v>
      </c>
      <c r="G569" s="1669">
        <f>COUNTIF(Principal!$C$51:$F$53,Tablas!E569)</f>
        <v>0</v>
      </c>
      <c r="H569" s="84">
        <f t="shared" si="122"/>
        <v>0</v>
      </c>
      <c r="I569" s="1703"/>
      <c r="J569" s="1706" t="s">
        <v>6164</v>
      </c>
      <c r="K569" s="2055"/>
      <c r="N569"/>
      <c r="AB569" s="3204" t="e">
        <f t="shared" si="120"/>
        <v>#N/A</v>
      </c>
      <c r="AC569" s="3248">
        <f>IF(Psíquico,COUNTIF($AD$564:$AD$570,"&lt;="&amp;AD569)+MAX($AC$507:$AC$560),MIN($AC$507:$AC$568)-1)</f>
        <v>-8</v>
      </c>
      <c r="AD569" s="3211" t="s">
        <v>10511</v>
      </c>
      <c r="AE569" s="3225">
        <v>-1</v>
      </c>
      <c r="AF569" s="3189">
        <f>COUNTIF(Principal!$C$51:$F$53,AD569)</f>
        <v>0</v>
      </c>
      <c r="AG569" s="3190">
        <f t="shared" si="123"/>
        <v>0</v>
      </c>
      <c r="AH569" s="3215"/>
      <c r="AI569" s="3199" t="s">
        <v>6163</v>
      </c>
    </row>
    <row r="570" spans="1:35" ht="12.75" customHeight="1">
      <c r="A570" s="219">
        <v>570</v>
      </c>
      <c r="B570" s="7145"/>
      <c r="C570" s="1678" t="e">
        <f t="shared" si="124"/>
        <v>#N/A</v>
      </c>
      <c r="D570" s="1709">
        <f>MAX($D$503:$D$569)+1</f>
        <v>52</v>
      </c>
      <c r="E570" s="1671" t="s">
        <v>9570</v>
      </c>
      <c r="F570" s="1690"/>
      <c r="G570" s="1691"/>
      <c r="H570" s="1690"/>
      <c r="I570" s="1691"/>
      <c r="J570" s="1707" t="s">
        <v>2649</v>
      </c>
      <c r="K570" s="2055"/>
      <c r="N570"/>
      <c r="AB570" s="3204" t="e">
        <f t="shared" si="120"/>
        <v>#N/A</v>
      </c>
      <c r="AC570" s="3248">
        <f>IF(Psíquico,COUNTIF($AD$564:$AD$570,"&lt;="&amp;AD570)+MAX($AC$507:$AC$560),MIN($AC$507:$AC$569)-1)</f>
        <v>-9</v>
      </c>
      <c r="AD570" s="3263" t="s">
        <v>10512</v>
      </c>
      <c r="AE570" s="3225">
        <v>-1</v>
      </c>
      <c r="AF570" s="3189">
        <f>COUNTIF(Principal!$C$51:$F$53,AD570)</f>
        <v>0</v>
      </c>
      <c r="AG570" s="3190">
        <f t="shared" si="123"/>
        <v>0</v>
      </c>
      <c r="AH570" s="3215"/>
      <c r="AI570" s="3199" t="s">
        <v>6163</v>
      </c>
    </row>
    <row r="571" spans="1:35" ht="12.75" customHeight="1">
      <c r="A571" s="219">
        <v>571</v>
      </c>
      <c r="B571" s="7145"/>
      <c r="C571" s="1678" t="e">
        <f t="shared" si="124"/>
        <v>#N/A</v>
      </c>
      <c r="D571" s="787">
        <f>IF(LEN(E571)&gt;0,D570+1,MIN($D$503:D570)-1)</f>
        <v>53</v>
      </c>
      <c r="E571" s="1663" t="str">
        <f>IF(OR(Personalización!$C30="",Personalización!$G30&gt;0),"Desventaja Personalizada #"&amp;A1,Personalización!$C30)</f>
        <v>Desventaja Personalizada #1</v>
      </c>
      <c r="F571" s="84">
        <f>IF(Personalización!G30&lt;=0,Personalización!G30,0)</f>
        <v>0</v>
      </c>
      <c r="G571" s="1669">
        <f>COUNTIF(Principal!$C$51:$F$53,Tablas!E571)</f>
        <v>0</v>
      </c>
      <c r="H571" s="84">
        <f>G571*F571</f>
        <v>0</v>
      </c>
      <c r="I571" s="804"/>
      <c r="J571" s="1706" t="s">
        <v>2649</v>
      </c>
      <c r="K571" s="2055"/>
      <c r="N571"/>
      <c r="AB571" s="3204" t="e">
        <f t="shared" si="120"/>
        <v>#N/A</v>
      </c>
      <c r="AC571" s="3239">
        <f t="shared" ref="AC571:AC578" si="125">COUNTIF($AD$571:$AD$578,"&lt;="&amp;AD571)+MAX($AC$507:$AC$570)</f>
        <v>44</v>
      </c>
      <c r="AD571" s="3201" t="s">
        <v>9569</v>
      </c>
      <c r="AE571" s="3226"/>
      <c r="AF571" s="3202"/>
      <c r="AG571" s="3227"/>
      <c r="AH571" s="3228"/>
      <c r="AI571" s="3243" t="s">
        <v>6164</v>
      </c>
    </row>
    <row r="572" spans="1:35" ht="12.75" customHeight="1">
      <c r="A572" s="219">
        <v>572</v>
      </c>
      <c r="B572" s="7145"/>
      <c r="C572" s="1678" t="e">
        <f t="shared" si="124"/>
        <v>#N/A</v>
      </c>
      <c r="D572" s="252">
        <f>IF(LEN(E572)&gt;0,D571+1,MIN($D$503:D571)-1)</f>
        <v>54</v>
      </c>
      <c r="E572" s="1663" t="str">
        <f>IF(OR(Personalización!$C31="",Personalización!$G31&gt;0),"Desventaja Personalizada #"&amp;A2,Personalización!$C31)</f>
        <v>Desventaja Personalizada #2</v>
      </c>
      <c r="F572" s="84">
        <f>IF(Personalización!G31&lt;=0,Personalización!G31,0)</f>
        <v>0</v>
      </c>
      <c r="G572" s="804">
        <f>COUNTIF(Principal!$C$51:$F$53,Tablas!E572)</f>
        <v>0</v>
      </c>
      <c r="H572" s="84">
        <f>G572*F572</f>
        <v>0</v>
      </c>
      <c r="I572" s="804"/>
      <c r="J572" s="1706" t="s">
        <v>2649</v>
      </c>
      <c r="K572" s="2055"/>
      <c r="N572"/>
      <c r="AB572" s="3204" t="e">
        <f t="shared" si="120"/>
        <v>#N/A</v>
      </c>
      <c r="AC572" s="3248">
        <f t="shared" si="125"/>
        <v>49</v>
      </c>
      <c r="AD572" s="2731" t="s">
        <v>2334</v>
      </c>
      <c r="AE572" s="3189">
        <v>-1</v>
      </c>
      <c r="AF572" s="3189">
        <f>COUNTIF(Principal!$C$51:$F$53,AD572)</f>
        <v>0</v>
      </c>
      <c r="AG572" s="2809">
        <f t="shared" ref="AG572:AG578" si="126">AF572*AE572</f>
        <v>0</v>
      </c>
      <c r="AH572" s="3215"/>
      <c r="AI572" s="3199" t="s">
        <v>6164</v>
      </c>
    </row>
    <row r="573" spans="1:35" ht="12.75" customHeight="1">
      <c r="A573" s="219">
        <v>573</v>
      </c>
      <c r="B573" s="7145"/>
      <c r="C573" s="1678" t="e">
        <f t="shared" si="124"/>
        <v>#N/A</v>
      </c>
      <c r="D573" s="252">
        <f>IF(LEN(E573)&gt;0,D572+1,MIN($D$503:D572)-1)</f>
        <v>55</v>
      </c>
      <c r="E573" s="1663" t="str">
        <f>IF(OR(Personalización!$C32="",Personalización!$G32&gt;0),"Desventaja Personalizada #"&amp;A3,Personalización!$C32)</f>
        <v>Desventaja Personalizada #3</v>
      </c>
      <c r="F573" s="84">
        <f>IF(Personalización!G32&lt;=0,Personalización!G32,0)</f>
        <v>0</v>
      </c>
      <c r="G573" s="804">
        <f>COUNTIF(Principal!$C$51:$F$53,Tablas!E573)</f>
        <v>0</v>
      </c>
      <c r="H573" s="84">
        <f>G573*F573</f>
        <v>0</v>
      </c>
      <c r="I573" s="804"/>
      <c r="J573" s="1706" t="s">
        <v>2649</v>
      </c>
      <c r="K573" s="2055"/>
      <c r="N573"/>
      <c r="AB573" s="3204" t="e">
        <f t="shared" si="120"/>
        <v>#N/A</v>
      </c>
      <c r="AC573" s="3248">
        <f t="shared" si="125"/>
        <v>50</v>
      </c>
      <c r="AD573" s="2731" t="s">
        <v>2337</v>
      </c>
      <c r="AE573" s="3189">
        <v>-1</v>
      </c>
      <c r="AF573" s="3189">
        <f>COUNTIF(Principal!$C$51:$F$53,AD573)</f>
        <v>0</v>
      </c>
      <c r="AG573" s="2809">
        <f t="shared" si="126"/>
        <v>0</v>
      </c>
      <c r="AH573" s="3215"/>
      <c r="AI573" s="3199" t="s">
        <v>6164</v>
      </c>
    </row>
    <row r="574" spans="1:35" ht="12.75" customHeight="1" thickBot="1">
      <c r="A574" s="219">
        <v>574</v>
      </c>
      <c r="B574" s="7145"/>
      <c r="C574" s="1693" t="e">
        <f t="shared" si="124"/>
        <v>#N/A</v>
      </c>
      <c r="D574" s="1710">
        <f>IF(LEN(E574)&gt;0,D573+1,MIN($D$503:D573)-1)</f>
        <v>56</v>
      </c>
      <c r="E574" s="1694" t="str">
        <f>IF(OR(Personalización!$C33="",Personalización!$G33&gt;0),"Desventaja Personalizada #"&amp;A4,Personalización!$C33)</f>
        <v>Desventaja Personalizada #4</v>
      </c>
      <c r="F574" s="1695">
        <f>IF(Personalización!G33&lt;=0,Personalización!G33,0)</f>
        <v>0</v>
      </c>
      <c r="G574" s="1696">
        <f>COUNTIF(Principal!$C$51:$F$53,Tablas!E574)</f>
        <v>0</v>
      </c>
      <c r="H574" s="1695">
        <f>G574*F574</f>
        <v>0</v>
      </c>
      <c r="I574" s="1696"/>
      <c r="J574" s="1708" t="s">
        <v>2649</v>
      </c>
      <c r="K574" s="2055"/>
      <c r="N574"/>
      <c r="AB574" s="3204" t="e">
        <f t="shared" si="120"/>
        <v>#N/A</v>
      </c>
      <c r="AC574" s="3248">
        <f t="shared" si="125"/>
        <v>47</v>
      </c>
      <c r="AD574" s="2731" t="s">
        <v>2338</v>
      </c>
      <c r="AE574" s="3189">
        <v>-1</v>
      </c>
      <c r="AF574" s="3189">
        <f>COUNTIF(Principal!$C$51:$F$53,AD574)</f>
        <v>0</v>
      </c>
      <c r="AG574" s="2809">
        <f t="shared" si="126"/>
        <v>0</v>
      </c>
      <c r="AH574" s="3257"/>
      <c r="AI574" s="3199" t="s">
        <v>6164</v>
      </c>
    </row>
    <row r="575" spans="1:35" ht="12.75" customHeight="1">
      <c r="A575" s="219">
        <v>575</v>
      </c>
      <c r="B575" s="7145"/>
      <c r="N575"/>
      <c r="AB575" s="3204" t="e">
        <f t="shared" si="120"/>
        <v>#N/A</v>
      </c>
      <c r="AC575" s="3248">
        <f t="shared" si="125"/>
        <v>48</v>
      </c>
      <c r="AD575" s="2731" t="s">
        <v>2339</v>
      </c>
      <c r="AE575" s="3189">
        <v>-2</v>
      </c>
      <c r="AF575" s="3189">
        <f>COUNTIF(Principal!$C$51:$F$53,AD575)</f>
        <v>0</v>
      </c>
      <c r="AG575" s="2809">
        <f t="shared" si="126"/>
        <v>0</v>
      </c>
      <c r="AH575" s="3257"/>
      <c r="AI575" s="3199" t="s">
        <v>6164</v>
      </c>
    </row>
    <row r="576" spans="1:35" ht="12.75" customHeight="1">
      <c r="B576" s="7145"/>
      <c r="N576"/>
      <c r="AB576" s="3204" t="e">
        <f t="shared" si="120"/>
        <v>#N/A</v>
      </c>
      <c r="AC576" s="3248">
        <f t="shared" si="125"/>
        <v>46</v>
      </c>
      <c r="AD576" s="2731" t="s">
        <v>2340</v>
      </c>
      <c r="AE576" s="3189">
        <v>-1</v>
      </c>
      <c r="AF576" s="3189">
        <f>COUNTIF(Principal!$C$51:$F$53,AD576)</f>
        <v>0</v>
      </c>
      <c r="AG576" s="2809">
        <f t="shared" si="126"/>
        <v>0</v>
      </c>
      <c r="AH576" s="3257"/>
      <c r="AI576" s="3199" t="s">
        <v>6164</v>
      </c>
    </row>
    <row r="577" spans="1:73" ht="12.75" customHeight="1">
      <c r="B577" s="7145"/>
      <c r="N577"/>
      <c r="AB577" s="3204" t="e">
        <f t="shared" si="120"/>
        <v>#N/A</v>
      </c>
      <c r="AC577" s="3248">
        <f t="shared" si="125"/>
        <v>45</v>
      </c>
      <c r="AD577" s="2731" t="s">
        <v>2341</v>
      </c>
      <c r="AE577" s="3189">
        <v>-1</v>
      </c>
      <c r="AF577" s="3189">
        <f>COUNTIF(Principal!$C$51:$F$53,AD577)</f>
        <v>0</v>
      </c>
      <c r="AG577" s="2809">
        <f t="shared" si="126"/>
        <v>0</v>
      </c>
      <c r="AH577" s="3257"/>
      <c r="AI577" s="3199" t="s">
        <v>6164</v>
      </c>
    </row>
    <row r="578" spans="1:73" ht="12.75" customHeight="1">
      <c r="B578" s="7145"/>
      <c r="N578"/>
      <c r="AB578" s="3204" t="e">
        <f t="shared" si="120"/>
        <v>#N/A</v>
      </c>
      <c r="AC578" s="3248">
        <f t="shared" si="125"/>
        <v>51</v>
      </c>
      <c r="AD578" s="2731" t="s">
        <v>2342</v>
      </c>
      <c r="AE578" s="3189">
        <v>-1</v>
      </c>
      <c r="AF578" s="3189">
        <f>COUNTIF(Principal!$C$51:$F$53,AD578)</f>
        <v>0</v>
      </c>
      <c r="AG578" s="2809">
        <f t="shared" si="126"/>
        <v>0</v>
      </c>
      <c r="AH578" s="3259"/>
      <c r="AI578" s="3199" t="s">
        <v>6164</v>
      </c>
    </row>
    <row r="579" spans="1:73" ht="12.75" customHeight="1">
      <c r="B579" s="7145"/>
      <c r="N579"/>
      <c r="AB579" s="3204" t="e">
        <f t="shared" si="120"/>
        <v>#N/A</v>
      </c>
      <c r="AC579" s="3250">
        <f>MAX(AC507:AC578)+1</f>
        <v>52</v>
      </c>
      <c r="AD579" s="3191" t="s">
        <v>9570</v>
      </c>
      <c r="AE579" s="3229"/>
      <c r="AF579" s="3228"/>
      <c r="AG579" s="3229"/>
      <c r="AH579" s="3228"/>
      <c r="AI579" s="3243" t="s">
        <v>2649</v>
      </c>
    </row>
    <row r="580" spans="1:73" ht="12.75" customHeight="1">
      <c r="B580" s="7145"/>
      <c r="N580"/>
      <c r="AB580" s="3204" t="e">
        <f t="shared" si="120"/>
        <v>#N/A</v>
      </c>
      <c r="AC580" s="3248">
        <f>IF(LEN(AD580)&gt;0,AC579+1,MIN($AC$507:$AC$579)-1)</f>
        <v>53</v>
      </c>
      <c r="AD580" s="3193" t="str">
        <f>IF(OR(Personalización!$C30="",Personalización!$G27&gt;0),"Desventaja Personalizada 1",Personalización!$C30)</f>
        <v>Desventaja Personalizada 1</v>
      </c>
      <c r="AE580" s="2809">
        <f>IF(Personalización!G30&lt;=0,Personalización!G30,0)</f>
        <v>0</v>
      </c>
      <c r="AF580" s="3189">
        <f>COUNTIF(Principal!$C$51:$F$53,AD580)</f>
        <v>0</v>
      </c>
      <c r="AG580" s="2809">
        <f>AF580*AE580</f>
        <v>0</v>
      </c>
      <c r="AH580" s="3215"/>
      <c r="AI580" s="3199" t="s">
        <v>2649</v>
      </c>
    </row>
    <row r="581" spans="1:73" ht="12.75" customHeight="1">
      <c r="B581" s="7145"/>
      <c r="N581"/>
      <c r="AB581" s="3204" t="e">
        <f t="shared" si="120"/>
        <v>#N/A</v>
      </c>
      <c r="AC581" s="3248">
        <f>IF(LEN(AD581)&gt;0,AC580+1,MIN($AB$510:AC580)-1)</f>
        <v>54</v>
      </c>
      <c r="AD581" s="3193" t="str">
        <f>IF(OR(Personalización!$C31="",Personalización!$G27&gt;0),"Desventaja Personalizada 2",Personalización!$C31)</f>
        <v>Desventaja Personalizada 2</v>
      </c>
      <c r="AE581" s="2809">
        <f>IF(Personalización!G31&lt;=0,Personalización!G31,0)</f>
        <v>0</v>
      </c>
      <c r="AF581" s="3189">
        <f>COUNTIF(Principal!$C$51:$F$53,AD581)</f>
        <v>0</v>
      </c>
      <c r="AG581" s="2809">
        <f>AF581*AE581</f>
        <v>0</v>
      </c>
      <c r="AH581" s="3215"/>
      <c r="AI581" s="3199" t="s">
        <v>2649</v>
      </c>
    </row>
    <row r="582" spans="1:73" ht="12.75" customHeight="1">
      <c r="B582" s="7145"/>
      <c r="N582"/>
      <c r="AB582" s="3204" t="e">
        <f t="shared" si="120"/>
        <v>#N/A</v>
      </c>
      <c r="AC582" s="3248">
        <f>IF(LEN(AD582)&gt;0,AC581+1,MIN($AB$510:AC581)-1)</f>
        <v>55</v>
      </c>
      <c r="AD582" s="3193" t="str">
        <f>IF(OR(Personalización!$C32="",Personalización!$G27&gt;0),"Desventaja Personalizada 3",Personalización!$C32)</f>
        <v>Desventaja Personalizada 3</v>
      </c>
      <c r="AE582" s="2809">
        <f>IF(Personalización!G32&lt;=0,Personalización!G32,0)</f>
        <v>0</v>
      </c>
      <c r="AF582" s="3189">
        <f>COUNTIF(Principal!$C$51:$F$53,AD582)</f>
        <v>0</v>
      </c>
      <c r="AG582" s="2809">
        <f>AF582*AE582</f>
        <v>0</v>
      </c>
      <c r="AH582" s="3215"/>
      <c r="AI582" s="3199" t="s">
        <v>2649</v>
      </c>
    </row>
    <row r="583" spans="1:73" ht="12.75" customHeight="1" thickBot="1">
      <c r="B583" s="7145"/>
      <c r="N583"/>
      <c r="AB583" s="3677" t="e">
        <f>VLOOKUP(A72,$AC$507:$AD$583,2,0)</f>
        <v>#N/A</v>
      </c>
      <c r="AC583" s="3251">
        <f>IF(LEN(AD583)&gt;0,AC582+1,MIN($AB$510:AC582)-1)</f>
        <v>56</v>
      </c>
      <c r="AD583" s="3264" t="str">
        <f>IF(OR(Personalización!$C33="",Personalización!$G27&gt;0),"Desventaja Personalizada 4",Personalización!$C33)</f>
        <v>Desventaja Personalizada 4</v>
      </c>
      <c r="AE583" s="2809">
        <f>IF(Personalización!G33&lt;=0,Personalización!G33,0)</f>
        <v>0</v>
      </c>
      <c r="AF583" s="3189">
        <f>COUNTIF(Principal!$C$51:$F$53,AD583)</f>
        <v>0</v>
      </c>
      <c r="AG583" s="3231">
        <f>AF583*AE583</f>
        <v>0</v>
      </c>
      <c r="AH583" s="3230"/>
      <c r="AI583" s="3267" t="s">
        <v>2649</v>
      </c>
    </row>
    <row r="584" spans="1:73" ht="12.75" customHeight="1">
      <c r="B584" s="7145"/>
      <c r="N584"/>
    </row>
    <row r="585" spans="1:73" ht="12.75" customHeight="1">
      <c r="A585" s="219">
        <v>576</v>
      </c>
      <c r="B585" s="7145"/>
      <c r="H585"/>
      <c r="I585" s="510"/>
      <c r="N585"/>
      <c r="O585" s="510"/>
    </row>
    <row r="586" spans="1:73" ht="12.75" customHeight="1">
      <c r="A586" s="219">
        <v>577</v>
      </c>
      <c r="B586" s="7145"/>
      <c r="C586" s="7146" t="s">
        <v>6889</v>
      </c>
      <c r="D586" s="7146"/>
      <c r="E586" s="7146"/>
      <c r="F586" s="7146"/>
      <c r="G586" s="7146"/>
      <c r="H586" s="7146"/>
      <c r="I586" s="7146"/>
      <c r="J586" s="7146"/>
      <c r="K586" s="7146"/>
      <c r="L586" s="7146"/>
      <c r="M586" s="7146"/>
      <c r="N586" s="7146"/>
      <c r="O586" s="7146"/>
      <c r="P586" s="7146"/>
      <c r="Q586" s="7146"/>
      <c r="R586" s="7146"/>
      <c r="S586" s="7146"/>
      <c r="T586" s="7146"/>
      <c r="U586" s="7146"/>
      <c r="V586" s="7146"/>
      <c r="W586" s="7146"/>
      <c r="X586" s="7146"/>
      <c r="Y586" s="7146"/>
      <c r="Z586" s="7146"/>
      <c r="AA586" s="7146"/>
      <c r="AB586" s="7146"/>
      <c r="AC586" s="7146"/>
      <c r="AD586" s="7146"/>
      <c r="AE586" s="7146"/>
      <c r="AF586" s="7146"/>
      <c r="AG586" s="7146"/>
      <c r="AH586" s="7146"/>
      <c r="AI586" s="7146"/>
      <c r="AJ586" s="7146"/>
      <c r="AK586" s="7146"/>
      <c r="AL586" s="7146"/>
      <c r="AM586" s="7146"/>
      <c r="AN586" s="7146"/>
      <c r="AO586" s="7146"/>
      <c r="AP586" s="7146"/>
      <c r="AQ586" s="7146"/>
      <c r="AR586" s="7146"/>
      <c r="AS586" s="7146"/>
      <c r="AT586" s="7146"/>
      <c r="AU586" s="7146"/>
      <c r="AV586" s="7146"/>
      <c r="AW586" s="7146"/>
      <c r="AX586" s="7146"/>
      <c r="AY586" s="7146"/>
      <c r="AZ586" s="7146"/>
      <c r="BA586" s="7146"/>
      <c r="BB586" s="7146"/>
      <c r="BC586" s="7146"/>
      <c r="BD586" s="7146"/>
      <c r="BE586" s="7146"/>
      <c r="BF586" s="7146"/>
      <c r="BG586" s="7146"/>
      <c r="BH586" s="7146"/>
      <c r="BI586" s="7146"/>
      <c r="BJ586" s="7146"/>
      <c r="BK586" s="7146"/>
      <c r="BL586" s="7146"/>
      <c r="BM586" s="7146"/>
      <c r="BN586" s="7146"/>
      <c r="BO586" s="7146"/>
      <c r="BP586" s="7146"/>
      <c r="BQ586" s="7146"/>
      <c r="BR586" s="7146"/>
      <c r="BS586" s="7146"/>
      <c r="BT586" s="7146"/>
      <c r="BU586" s="7146"/>
    </row>
    <row r="587" spans="1:73" ht="12.75" customHeight="1">
      <c r="A587" s="219">
        <v>578</v>
      </c>
      <c r="B587" s="7145"/>
      <c r="C587" s="7146"/>
      <c r="D587" s="7146"/>
      <c r="E587" s="7146"/>
      <c r="F587" s="7146"/>
      <c r="G587" s="7146"/>
      <c r="H587" s="7146"/>
      <c r="I587" s="7146"/>
      <c r="J587" s="7146"/>
      <c r="K587" s="7146"/>
      <c r="L587" s="7146"/>
      <c r="M587" s="7146"/>
      <c r="N587" s="7146"/>
      <c r="O587" s="7146"/>
      <c r="P587" s="7146"/>
      <c r="Q587" s="7146"/>
      <c r="R587" s="7146"/>
      <c r="S587" s="7146"/>
      <c r="T587" s="7146"/>
      <c r="U587" s="7146"/>
      <c r="V587" s="7146"/>
      <c r="W587" s="7146"/>
      <c r="X587" s="7146"/>
      <c r="Y587" s="7146"/>
      <c r="Z587" s="7146"/>
      <c r="AA587" s="7146"/>
      <c r="AB587" s="7146"/>
      <c r="AC587" s="7146"/>
      <c r="AD587" s="7146"/>
      <c r="AE587" s="7146"/>
      <c r="AF587" s="7146"/>
      <c r="AG587" s="7146"/>
      <c r="AH587" s="7146"/>
      <c r="AI587" s="7146"/>
      <c r="AJ587" s="7146"/>
      <c r="AK587" s="7146"/>
      <c r="AL587" s="7146"/>
      <c r="AM587" s="7146"/>
      <c r="AN587" s="7146"/>
      <c r="AO587" s="7146"/>
      <c r="AP587" s="7146"/>
      <c r="AQ587" s="7146"/>
      <c r="AR587" s="7146"/>
      <c r="AS587" s="7146"/>
      <c r="AT587" s="7146"/>
      <c r="AU587" s="7146"/>
      <c r="AV587" s="7146"/>
      <c r="AW587" s="7146"/>
      <c r="AX587" s="7146"/>
      <c r="AY587" s="7146"/>
      <c r="AZ587" s="7146"/>
      <c r="BA587" s="7146"/>
      <c r="BB587" s="7146"/>
      <c r="BC587" s="7146"/>
      <c r="BD587" s="7146"/>
      <c r="BE587" s="7146"/>
      <c r="BF587" s="7146"/>
      <c r="BG587" s="7146"/>
      <c r="BH587" s="7146"/>
      <c r="BI587" s="7146"/>
      <c r="BJ587" s="7146"/>
      <c r="BK587" s="7146"/>
      <c r="BL587" s="7146"/>
      <c r="BM587" s="7146"/>
      <c r="BN587" s="7146"/>
      <c r="BO587" s="7146"/>
      <c r="BP587" s="7146"/>
      <c r="BQ587" s="7146"/>
      <c r="BR587" s="7146"/>
      <c r="BS587" s="7146"/>
      <c r="BT587" s="7146"/>
      <c r="BU587" s="7146"/>
    </row>
    <row r="588" spans="1:73" ht="12.75" customHeight="1">
      <c r="A588" s="219">
        <v>579</v>
      </c>
      <c r="B588" s="7145"/>
      <c r="C588" s="7146"/>
      <c r="D588" s="7146"/>
      <c r="E588" s="7146"/>
      <c r="F588" s="7146"/>
      <c r="G588" s="7146"/>
      <c r="H588" s="7146"/>
      <c r="I588" s="7146"/>
      <c r="J588" s="7146"/>
      <c r="K588" s="7146"/>
      <c r="L588" s="7146"/>
      <c r="M588" s="7146"/>
      <c r="N588" s="7146"/>
      <c r="O588" s="7146"/>
      <c r="P588" s="7146"/>
      <c r="Q588" s="7146"/>
      <c r="R588" s="7146"/>
      <c r="S588" s="7146"/>
      <c r="T588" s="7146"/>
      <c r="U588" s="7146"/>
      <c r="V588" s="7146"/>
      <c r="W588" s="7146"/>
      <c r="X588" s="7146"/>
      <c r="Y588" s="7146"/>
      <c r="Z588" s="7146"/>
      <c r="AA588" s="7146"/>
      <c r="AB588" s="7146"/>
      <c r="AC588" s="7146"/>
      <c r="AD588" s="7146"/>
      <c r="AE588" s="7146"/>
      <c r="AF588" s="7146"/>
      <c r="AG588" s="7146"/>
      <c r="AH588" s="7146"/>
      <c r="AI588" s="7146"/>
      <c r="AJ588" s="7146"/>
      <c r="AK588" s="7146"/>
      <c r="AL588" s="7146"/>
      <c r="AM588" s="7146"/>
      <c r="AN588" s="7146"/>
      <c r="AO588" s="7146"/>
      <c r="AP588" s="7146"/>
      <c r="AQ588" s="7146"/>
      <c r="AR588" s="7146"/>
      <c r="AS588" s="7146"/>
      <c r="AT588" s="7146"/>
      <c r="AU588" s="7146"/>
      <c r="AV588" s="7146"/>
      <c r="AW588" s="7146"/>
      <c r="AX588" s="7146"/>
      <c r="AY588" s="7146"/>
      <c r="AZ588" s="7146"/>
      <c r="BA588" s="7146"/>
      <c r="BB588" s="7146"/>
      <c r="BC588" s="7146"/>
      <c r="BD588" s="7146"/>
      <c r="BE588" s="7146"/>
      <c r="BF588" s="7146"/>
      <c r="BG588" s="7146"/>
      <c r="BH588" s="7146"/>
      <c r="BI588" s="7146"/>
      <c r="BJ588" s="7146"/>
      <c r="BK588" s="7146"/>
      <c r="BL588" s="7146"/>
      <c r="BM588" s="7146"/>
      <c r="BN588" s="7146"/>
      <c r="BO588" s="7146"/>
      <c r="BP588" s="7146"/>
      <c r="BQ588" s="7146"/>
      <c r="BR588" s="7146"/>
      <c r="BS588" s="7146"/>
      <c r="BT588" s="7146"/>
      <c r="BU588" s="7146"/>
    </row>
    <row r="589" spans="1:73" ht="12.75" customHeight="1" thickBot="1">
      <c r="A589" s="219">
        <v>580</v>
      </c>
      <c r="B589" s="7145"/>
      <c r="H589"/>
      <c r="I589" s="510"/>
      <c r="N589"/>
      <c r="O589" s="510"/>
      <c r="AL589"/>
    </row>
    <row r="590" spans="1:73" ht="12.75" customHeight="1" thickBot="1">
      <c r="A590" s="219">
        <v>581</v>
      </c>
      <c r="B590" s="7145"/>
      <c r="C590" s="7842" t="s">
        <v>1015</v>
      </c>
      <c r="D590" s="7843"/>
      <c r="E590" s="7843"/>
      <c r="F590" s="7843"/>
      <c r="G590" s="7843"/>
      <c r="H590" s="7843"/>
      <c r="I590" s="7843"/>
      <c r="J590" s="7843"/>
      <c r="K590" s="7843"/>
      <c r="L590" s="7843"/>
      <c r="M590" s="7843"/>
      <c r="N590" s="7843"/>
      <c r="O590" s="7843"/>
      <c r="P590" s="7843"/>
      <c r="Q590" s="7843"/>
      <c r="R590" s="7844"/>
      <c r="T590" s="7858" t="s">
        <v>1067</v>
      </c>
      <c r="U590" s="7858"/>
      <c r="X590" s="7862" t="s">
        <v>2363</v>
      </c>
      <c r="Y590" s="7863"/>
      <c r="Z590" s="7863"/>
      <c r="AA590" s="7864"/>
      <c r="AC590" s="7859" t="s">
        <v>1009</v>
      </c>
      <c r="AG590" s="7862" t="s">
        <v>8153</v>
      </c>
      <c r="AH590" s="7863"/>
      <c r="AI590" s="7863"/>
      <c r="AJ590" s="7863"/>
      <c r="AK590" s="7864"/>
      <c r="AL590"/>
    </row>
    <row r="591" spans="1:73" ht="12.75" customHeight="1" thickBot="1">
      <c r="A591" s="219">
        <v>582</v>
      </c>
      <c r="B591" s="7145"/>
      <c r="C591" s="7845"/>
      <c r="D591" s="7846"/>
      <c r="E591" s="7846"/>
      <c r="F591" s="7846"/>
      <c r="G591" s="7846"/>
      <c r="H591" s="7846"/>
      <c r="I591" s="7846"/>
      <c r="J591" s="7846"/>
      <c r="K591" s="7846"/>
      <c r="L591" s="7846"/>
      <c r="M591" s="7846"/>
      <c r="N591" s="7846"/>
      <c r="O591" s="7846"/>
      <c r="P591" s="7846"/>
      <c r="Q591" s="7846"/>
      <c r="R591" s="7847"/>
      <c r="T591" s="170" t="s">
        <v>1951</v>
      </c>
      <c r="U591" s="172" t="s">
        <v>1068</v>
      </c>
      <c r="X591" s="7865"/>
      <c r="Y591" s="6485"/>
      <c r="Z591" s="6485"/>
      <c r="AA591" s="7866"/>
      <c r="AC591" s="7859"/>
      <c r="AE591" s="1265" t="s">
        <v>1951</v>
      </c>
      <c r="AF591" s="1260"/>
      <c r="AG591" s="7865"/>
      <c r="AH591" s="6485"/>
      <c r="AI591" s="6485"/>
      <c r="AJ591" s="6485"/>
      <c r="AK591" s="7866"/>
      <c r="AL591"/>
    </row>
    <row r="592" spans="1:73" ht="12.75" customHeight="1" thickBot="1">
      <c r="A592" s="219">
        <v>583</v>
      </c>
      <c r="B592" s="7145"/>
      <c r="C592" s="662"/>
      <c r="D592" s="169">
        <v>1</v>
      </c>
      <c r="E592" s="169">
        <v>2</v>
      </c>
      <c r="F592" s="169">
        <v>3</v>
      </c>
      <c r="G592" s="169">
        <v>4</v>
      </c>
      <c r="H592" s="169">
        <v>5</v>
      </c>
      <c r="I592" s="548">
        <v>6</v>
      </c>
      <c r="J592" s="169">
        <v>7</v>
      </c>
      <c r="K592" s="169">
        <v>8</v>
      </c>
      <c r="L592" s="169">
        <v>9</v>
      </c>
      <c r="M592" s="1018">
        <v>10</v>
      </c>
      <c r="N592" s="1018">
        <v>11</v>
      </c>
      <c r="O592" s="691">
        <v>12</v>
      </c>
      <c r="P592" s="1018">
        <v>13</v>
      </c>
      <c r="Q592" s="1018">
        <v>14</v>
      </c>
      <c r="R592" s="1027">
        <v>15</v>
      </c>
      <c r="T592" s="241" t="s">
        <v>1069</v>
      </c>
      <c r="U592" s="190">
        <v>0</v>
      </c>
      <c r="X592" s="835" t="s">
        <v>2364</v>
      </c>
      <c r="Y592" s="549" t="s">
        <v>1349</v>
      </c>
      <c r="Z592" s="562" t="s">
        <v>1408</v>
      </c>
      <c r="AA592" s="568" t="s">
        <v>2097</v>
      </c>
      <c r="AC592" s="1130" t="s">
        <v>1826</v>
      </c>
      <c r="AE592" s="1130" t="s">
        <v>8222</v>
      </c>
      <c r="AF592" s="1260"/>
      <c r="AG592" s="835" t="s">
        <v>8143</v>
      </c>
      <c r="AH592" s="562" t="s">
        <v>8154</v>
      </c>
      <c r="AI592" s="562" t="s">
        <v>8157</v>
      </c>
      <c r="AJ592" s="562" t="s">
        <v>8155</v>
      </c>
      <c r="AK592" s="568" t="s">
        <v>8156</v>
      </c>
      <c r="AL592"/>
    </row>
    <row r="593" spans="1:38" ht="12.75" customHeight="1" thickBot="1">
      <c r="A593" s="219">
        <v>584</v>
      </c>
      <c r="B593" s="7145"/>
      <c r="C593" s="662"/>
      <c r="D593" s="169" t="s">
        <v>1407</v>
      </c>
      <c r="E593" s="169" t="s">
        <v>1688</v>
      </c>
      <c r="F593" s="169" t="s">
        <v>1259</v>
      </c>
      <c r="G593" s="169" t="s">
        <v>1016</v>
      </c>
      <c r="H593" s="169" t="s">
        <v>1818</v>
      </c>
      <c r="I593" s="548" t="s">
        <v>1952</v>
      </c>
      <c r="J593" s="169" t="s">
        <v>1189</v>
      </c>
      <c r="K593" s="169" t="s">
        <v>1230</v>
      </c>
      <c r="L593" s="169" t="s">
        <v>1410</v>
      </c>
      <c r="M593" s="169" t="s">
        <v>1357</v>
      </c>
      <c r="N593" s="169" t="s">
        <v>1411</v>
      </c>
      <c r="O593" s="548" t="s">
        <v>1412</v>
      </c>
      <c r="P593" s="169" t="s">
        <v>1413</v>
      </c>
      <c r="Q593" s="169" t="s">
        <v>1414</v>
      </c>
      <c r="R593" s="661" t="s">
        <v>1415</v>
      </c>
      <c r="T593" s="243" t="s">
        <v>1070</v>
      </c>
      <c r="U593" s="50">
        <v>-60</v>
      </c>
      <c r="X593" s="839" t="s">
        <v>2365</v>
      </c>
      <c r="Y593" s="47">
        <v>10</v>
      </c>
      <c r="Z593" s="76" t="s">
        <v>2366</v>
      </c>
      <c r="AA593" s="512"/>
      <c r="AC593" s="1130" t="s">
        <v>1010</v>
      </c>
      <c r="AE593" s="1130" t="s">
        <v>8223</v>
      </c>
      <c r="AG593" s="515" t="s">
        <v>1456</v>
      </c>
      <c r="AH593" s="218" t="s">
        <v>1582</v>
      </c>
      <c r="AI593" s="218">
        <v>40</v>
      </c>
      <c r="AJ593" s="218">
        <v>2</v>
      </c>
      <c r="AK593" s="761">
        <v>0</v>
      </c>
      <c r="AL593"/>
    </row>
    <row r="594" spans="1:38" ht="12.75" customHeight="1" thickBot="1">
      <c r="A594" s="219">
        <v>585</v>
      </c>
      <c r="B594" s="7145"/>
      <c r="C594" s="1028"/>
      <c r="D594" s="222" t="s">
        <v>1017</v>
      </c>
      <c r="E594" s="199">
        <v>0</v>
      </c>
      <c r="F594" s="199">
        <v>0</v>
      </c>
      <c r="G594" s="199">
        <v>0</v>
      </c>
      <c r="H594" s="199">
        <v>0</v>
      </c>
      <c r="I594" s="223">
        <v>0</v>
      </c>
      <c r="J594" s="199" t="s">
        <v>1315</v>
      </c>
      <c r="K594" s="199" t="s">
        <v>1315</v>
      </c>
      <c r="L594" s="199">
        <v>0</v>
      </c>
      <c r="M594" s="199">
        <v>0</v>
      </c>
      <c r="N594" s="199">
        <v>0</v>
      </c>
      <c r="O594" s="223">
        <v>0</v>
      </c>
      <c r="P594" s="199">
        <v>0</v>
      </c>
      <c r="Q594" s="199">
        <v>0</v>
      </c>
      <c r="R594" s="1029">
        <v>0</v>
      </c>
      <c r="T594" s="243" t="s">
        <v>1071</v>
      </c>
      <c r="U594" s="50">
        <v>-40</v>
      </c>
      <c r="X594" s="839" t="s">
        <v>2367</v>
      </c>
      <c r="Y594" s="47">
        <v>15</v>
      </c>
      <c r="Z594" s="76" t="s">
        <v>2368</v>
      </c>
      <c r="AA594" s="512"/>
      <c r="AC594" s="104" t="s">
        <v>1011</v>
      </c>
      <c r="AG594" s="515" t="s">
        <v>8144</v>
      </c>
      <c r="AH594" s="218" t="s">
        <v>1585</v>
      </c>
      <c r="AI594" s="218">
        <v>60</v>
      </c>
      <c r="AJ594" s="218">
        <v>2</v>
      </c>
      <c r="AK594" s="761">
        <v>1</v>
      </c>
      <c r="AL594"/>
    </row>
    <row r="595" spans="1:38" ht="12.75" customHeight="1" thickBot="1">
      <c r="A595" s="219">
        <v>586</v>
      </c>
      <c r="B595" s="7145"/>
      <c r="C595" s="443"/>
      <c r="D595" s="78" t="s">
        <v>1018</v>
      </c>
      <c r="E595" s="75">
        <v>0</v>
      </c>
      <c r="F595" s="75">
        <v>-5</v>
      </c>
      <c r="G595" s="75">
        <v>0</v>
      </c>
      <c r="H595" s="75">
        <v>10</v>
      </c>
      <c r="I595" s="540">
        <v>25</v>
      </c>
      <c r="J595" s="75" t="s">
        <v>1012</v>
      </c>
      <c r="K595" s="75" t="s">
        <v>1010</v>
      </c>
      <c r="L595" s="75">
        <v>1</v>
      </c>
      <c r="M595" s="75">
        <v>1</v>
      </c>
      <c r="N595" s="75">
        <v>1</v>
      </c>
      <c r="O595" s="540">
        <v>1</v>
      </c>
      <c r="P595" s="75">
        <v>2</v>
      </c>
      <c r="Q595" s="75">
        <v>2</v>
      </c>
      <c r="R595" s="1030">
        <v>0</v>
      </c>
      <c r="T595" s="244" t="s">
        <v>1072</v>
      </c>
      <c r="U595" s="179">
        <v>-20</v>
      </c>
      <c r="X595" s="839" t="s">
        <v>2369</v>
      </c>
      <c r="Y595" s="47">
        <v>20</v>
      </c>
      <c r="Z595" s="76" t="s">
        <v>2370</v>
      </c>
      <c r="AA595" s="512"/>
      <c r="AG595" s="515" t="s">
        <v>8168</v>
      </c>
      <c r="AH595" s="218" t="s">
        <v>5822</v>
      </c>
      <c r="AI595" s="218">
        <v>80</v>
      </c>
      <c r="AJ595" s="218">
        <v>3</v>
      </c>
      <c r="AK595" s="761">
        <v>1</v>
      </c>
      <c r="AL595"/>
    </row>
    <row r="596" spans="1:38" ht="12.75" customHeight="1" thickBot="1">
      <c r="A596" s="219">
        <v>587</v>
      </c>
      <c r="B596" s="7145"/>
      <c r="C596" s="443"/>
      <c r="D596" s="78" t="s">
        <v>1019</v>
      </c>
      <c r="E596" s="75">
        <v>0</v>
      </c>
      <c r="F596" s="75">
        <v>0</v>
      </c>
      <c r="G596" s="75">
        <v>0</v>
      </c>
      <c r="H596" s="75">
        <v>12</v>
      </c>
      <c r="I596" s="540">
        <v>25</v>
      </c>
      <c r="J596" s="75" t="s">
        <v>1012</v>
      </c>
      <c r="K596" s="75" t="s">
        <v>1010</v>
      </c>
      <c r="L596" s="75">
        <v>1</v>
      </c>
      <c r="M596" s="75">
        <v>0</v>
      </c>
      <c r="N596" s="75">
        <v>2</v>
      </c>
      <c r="O596" s="540">
        <v>1</v>
      </c>
      <c r="P596" s="75">
        <v>2</v>
      </c>
      <c r="Q596" s="75">
        <v>1</v>
      </c>
      <c r="R596" s="1030">
        <v>0</v>
      </c>
      <c r="X596" s="839" t="s">
        <v>2371</v>
      </c>
      <c r="Y596" s="47">
        <v>50</v>
      </c>
      <c r="Z596" s="76" t="s">
        <v>2372</v>
      </c>
      <c r="AA596" s="512"/>
      <c r="AC596" s="1131" t="s">
        <v>1189</v>
      </c>
      <c r="AG596" s="515" t="s">
        <v>8145</v>
      </c>
      <c r="AH596" s="218" t="s">
        <v>1589</v>
      </c>
      <c r="AI596" s="218">
        <v>100</v>
      </c>
      <c r="AJ596" s="218">
        <v>3</v>
      </c>
      <c r="AK596" s="761">
        <v>2</v>
      </c>
      <c r="AL596"/>
    </row>
    <row r="597" spans="1:38" ht="12.75" customHeight="1" thickBot="1">
      <c r="A597" s="219">
        <v>588</v>
      </c>
      <c r="B597" s="7145"/>
      <c r="C597" s="443"/>
      <c r="D597" s="78" t="s">
        <v>1020</v>
      </c>
      <c r="E597" s="75">
        <v>0</v>
      </c>
      <c r="F597" s="75">
        <v>-5</v>
      </c>
      <c r="G597" s="75">
        <v>0</v>
      </c>
      <c r="H597" s="75">
        <v>10</v>
      </c>
      <c r="I597" s="540">
        <v>25</v>
      </c>
      <c r="J597" s="75" t="s">
        <v>1014</v>
      </c>
      <c r="K597" s="75" t="s">
        <v>1010</v>
      </c>
      <c r="L597" s="75">
        <v>1</v>
      </c>
      <c r="M597" s="75">
        <v>0</v>
      </c>
      <c r="N597" s="75">
        <v>2</v>
      </c>
      <c r="O597" s="540">
        <v>1</v>
      </c>
      <c r="P597" s="75">
        <v>2</v>
      </c>
      <c r="Q597" s="75">
        <v>2</v>
      </c>
      <c r="R597" s="1030">
        <v>0</v>
      </c>
      <c r="X597" s="840" t="s">
        <v>2373</v>
      </c>
      <c r="Y597" s="47">
        <v>40</v>
      </c>
      <c r="Z597" s="76" t="s">
        <v>2374</v>
      </c>
      <c r="AA597" s="512"/>
      <c r="AC597" s="1132" t="s">
        <v>1012</v>
      </c>
      <c r="AG597" s="515" t="s">
        <v>8146</v>
      </c>
      <c r="AH597" s="218" t="s">
        <v>5823</v>
      </c>
      <c r="AI597" s="218">
        <v>140</v>
      </c>
      <c r="AJ597" s="218">
        <v>4</v>
      </c>
      <c r="AK597" s="761">
        <v>3</v>
      </c>
      <c r="AL597"/>
    </row>
    <row r="598" spans="1:38" ht="12.75" customHeight="1" thickBot="1">
      <c r="A598" s="219">
        <v>589</v>
      </c>
      <c r="B598" s="7145"/>
      <c r="C598" s="443"/>
      <c r="D598" s="78" t="s">
        <v>1021</v>
      </c>
      <c r="E598" s="75">
        <v>10</v>
      </c>
      <c r="F598" s="75">
        <v>-10</v>
      </c>
      <c r="G598" s="75">
        <v>0</v>
      </c>
      <c r="H598" s="75">
        <v>11</v>
      </c>
      <c r="I598" s="540">
        <v>25</v>
      </c>
      <c r="J598" s="75" t="s">
        <v>1012</v>
      </c>
      <c r="K598" s="75" t="s">
        <v>1010</v>
      </c>
      <c r="L598" s="75">
        <v>2</v>
      </c>
      <c r="M598" s="75">
        <v>1</v>
      </c>
      <c r="N598" s="75">
        <v>2</v>
      </c>
      <c r="O598" s="540">
        <v>0</v>
      </c>
      <c r="P598" s="75">
        <v>2</v>
      </c>
      <c r="Q598" s="75">
        <v>2</v>
      </c>
      <c r="R598" s="1030">
        <v>0</v>
      </c>
      <c r="T598" s="8004" t="s">
        <v>6664</v>
      </c>
      <c r="U598" s="8005"/>
      <c r="V598" s="8006"/>
      <c r="X598" s="841" t="s">
        <v>2375</v>
      </c>
      <c r="Y598" s="561">
        <v>50</v>
      </c>
      <c r="Z598" s="836" t="s">
        <v>2376</v>
      </c>
      <c r="AA598" s="514"/>
      <c r="AC598" s="1130" t="s">
        <v>1013</v>
      </c>
      <c r="AG598" s="515" t="s">
        <v>8147</v>
      </c>
      <c r="AH598" s="218" t="s">
        <v>1592</v>
      </c>
      <c r="AI598" s="218">
        <v>180</v>
      </c>
      <c r="AJ598" s="218">
        <v>4</v>
      </c>
      <c r="AK598" s="761">
        <v>4</v>
      </c>
      <c r="AL598"/>
    </row>
    <row r="599" spans="1:38" ht="12.75" customHeight="1">
      <c r="A599" s="219">
        <v>590</v>
      </c>
      <c r="B599" s="7145"/>
      <c r="C599" s="443"/>
      <c r="D599" s="78" t="s">
        <v>1022</v>
      </c>
      <c r="E599" s="75">
        <v>10</v>
      </c>
      <c r="F599" s="75">
        <v>-10</v>
      </c>
      <c r="G599" s="75">
        <v>0</v>
      </c>
      <c r="H599" s="75">
        <v>10</v>
      </c>
      <c r="I599" s="540">
        <v>25</v>
      </c>
      <c r="J599" s="75" t="s">
        <v>1012</v>
      </c>
      <c r="K599" s="75" t="s">
        <v>1010</v>
      </c>
      <c r="L599" s="75">
        <v>2</v>
      </c>
      <c r="M599" s="75">
        <v>1</v>
      </c>
      <c r="N599" s="75">
        <v>2</v>
      </c>
      <c r="O599" s="540">
        <v>1</v>
      </c>
      <c r="P599" s="75">
        <v>2</v>
      </c>
      <c r="Q599" s="75">
        <v>2</v>
      </c>
      <c r="R599" s="1030">
        <v>0</v>
      </c>
      <c r="T599" s="7945" t="s">
        <v>1386</v>
      </c>
      <c r="U599" s="7946"/>
      <c r="V599" s="3938" t="s">
        <v>2097</v>
      </c>
      <c r="X599" s="8007" t="str">
        <f>X598</f>
        <v>Tabla de armas arquetípicas</v>
      </c>
      <c r="Y599" s="8008"/>
      <c r="Z599" s="8008"/>
      <c r="AA599" s="8009"/>
      <c r="AC599" s="1130" t="s">
        <v>1014</v>
      </c>
      <c r="AG599" s="515" t="s">
        <v>8148</v>
      </c>
      <c r="AH599" s="218" t="s">
        <v>1594</v>
      </c>
      <c r="AI599" s="218">
        <v>240</v>
      </c>
      <c r="AJ599" s="218">
        <v>5</v>
      </c>
      <c r="AK599" s="761">
        <v>5</v>
      </c>
      <c r="AL599"/>
    </row>
    <row r="600" spans="1:38" ht="12.75" customHeight="1" thickBot="1">
      <c r="A600" s="219">
        <v>591</v>
      </c>
      <c r="B600" s="7145"/>
      <c r="C600" s="443"/>
      <c r="D600" s="78" t="s">
        <v>1023</v>
      </c>
      <c r="E600" s="75">
        <v>10</v>
      </c>
      <c r="F600" s="75">
        <v>0</v>
      </c>
      <c r="G600" s="75">
        <v>1</v>
      </c>
      <c r="H600" s="75">
        <v>12</v>
      </c>
      <c r="I600" s="540">
        <v>25</v>
      </c>
      <c r="J600" s="75" t="s">
        <v>1014</v>
      </c>
      <c r="K600" s="75" t="s">
        <v>1010</v>
      </c>
      <c r="L600" s="75">
        <v>1</v>
      </c>
      <c r="M600" s="75">
        <v>0</v>
      </c>
      <c r="N600" s="75">
        <v>2</v>
      </c>
      <c r="O600" s="540">
        <v>1</v>
      </c>
      <c r="P600" s="75">
        <v>2</v>
      </c>
      <c r="Q600" s="75">
        <v>1</v>
      </c>
      <c r="R600" s="1030">
        <v>0</v>
      </c>
      <c r="T600" s="7996" t="s">
        <v>1491</v>
      </c>
      <c r="U600" s="7997"/>
      <c r="V600" s="3939">
        <f>IF($P$269&gt;0,MIN(COUNTIF(Personalización!$V$102:$X$105,Tablas!$T600),2),0)</f>
        <v>0</v>
      </c>
      <c r="X600" s="801" t="str">
        <f>IF(Personalización!Y41=0,"Tabla personalizada #1",Personalización!Y41)</f>
        <v>Tabla personalizada #1</v>
      </c>
      <c r="Y600" s="218"/>
      <c r="Z600" s="218" t="str">
        <f>IF(COUNTIF(PDs!$Y$43:$AA$48,Personalización!$Y$41)&gt;0,Personalización!$Y$43&amp;IF(Personalización!$Y$44="","",", "&amp;Personalización!$Y$44)&amp;IF(Personalización!$Y$45="","",", "&amp;Personalización!$Y$45)&amp;IF(Personalización!$Y$46="","",", "&amp;Personalización!$Y$46)&amp;IF(Personalización!$Y$47="","",", "&amp;Personalización!$Y$47),"")</f>
        <v/>
      </c>
      <c r="AA600" s="794">
        <f>COUNTIF(PDs!$Y$43:$AA$48,Tablas!X600)</f>
        <v>0</v>
      </c>
      <c r="AC600" s="104" t="s">
        <v>1419</v>
      </c>
      <c r="AG600" s="1059" t="s">
        <v>8149</v>
      </c>
      <c r="AH600" s="957" t="s">
        <v>1537</v>
      </c>
      <c r="AI600" s="957">
        <v>280</v>
      </c>
      <c r="AJ600" s="957">
        <v>6</v>
      </c>
      <c r="AK600" s="1250">
        <v>6</v>
      </c>
      <c r="AL600"/>
    </row>
    <row r="601" spans="1:38" ht="12.75" customHeight="1" thickBot="1">
      <c r="A601" s="219">
        <v>592</v>
      </c>
      <c r="B601" s="7145"/>
      <c r="C601" s="443"/>
      <c r="D601" s="78" t="s">
        <v>1024</v>
      </c>
      <c r="E601" s="75">
        <v>20</v>
      </c>
      <c r="F601" s="75">
        <v>-10</v>
      </c>
      <c r="G601" s="75">
        <v>0</v>
      </c>
      <c r="H601" s="75">
        <v>12</v>
      </c>
      <c r="I601" s="540">
        <v>25</v>
      </c>
      <c r="J601" s="75" t="s">
        <v>1012</v>
      </c>
      <c r="K601" s="75" t="s">
        <v>1010</v>
      </c>
      <c r="L601" s="75">
        <v>3</v>
      </c>
      <c r="M601" s="75">
        <v>1</v>
      </c>
      <c r="N601" s="75">
        <v>1</v>
      </c>
      <c r="O601" s="540">
        <v>0</v>
      </c>
      <c r="P601" s="75">
        <v>2</v>
      </c>
      <c r="Q601" s="75">
        <v>2</v>
      </c>
      <c r="R601" s="1030">
        <v>0</v>
      </c>
      <c r="T601" s="7996" t="s">
        <v>1494</v>
      </c>
      <c r="U601" s="7997"/>
      <c r="V601" s="3939">
        <f>IF($P$269&gt;0,MIN(COUNTIF(Personalización!$V$102:$X$105,Tablas!$T601),2),0)</f>
        <v>0</v>
      </c>
      <c r="X601" s="801" t="str">
        <f>IF(Personalización!AB41=0,"Tabla personalizada #2",Personalización!AB41)</f>
        <v>Tabla personalizada #2</v>
      </c>
      <c r="Y601" s="218"/>
      <c r="Z601" s="218" t="str">
        <f>IF(COUNTIF(PDs!$Y$43:$AA$48,Personalización!$AB$41)&gt;0,Personalización!$AB$43&amp;IF(Personalización!$AB$44="","",", "&amp;Personalización!$AB$44)&amp;IF(Personalización!$AB$45="","",", "&amp;Personalización!$AB$45)&amp;IF(Personalización!$AB$46="","",", "&amp;Personalización!$AB$46)&amp;IF(Personalización!$AB$47="","",", "&amp;Personalización!$AB$47),"")</f>
        <v/>
      </c>
      <c r="AA601" s="794">
        <f>COUNTIF(PDs!$Y$43:$AA$48,Tablas!X601)</f>
        <v>0</v>
      </c>
      <c r="AL601"/>
    </row>
    <row r="602" spans="1:38" ht="12.75" customHeight="1" thickBot="1">
      <c r="A602" s="219">
        <v>593</v>
      </c>
      <c r="B602" s="7145"/>
      <c r="C602" s="443"/>
      <c r="D602" s="78" t="s">
        <v>1025</v>
      </c>
      <c r="E602" s="75">
        <v>25</v>
      </c>
      <c r="F602" s="75">
        <v>-10</v>
      </c>
      <c r="G602" s="75">
        <v>0</v>
      </c>
      <c r="H602" s="75">
        <v>12</v>
      </c>
      <c r="I602" s="540">
        <v>25</v>
      </c>
      <c r="J602" s="75" t="s">
        <v>1012</v>
      </c>
      <c r="K602" s="75" t="s">
        <v>1010</v>
      </c>
      <c r="L602" s="75">
        <v>3</v>
      </c>
      <c r="M602" s="75">
        <v>2</v>
      </c>
      <c r="N602" s="75">
        <v>3</v>
      </c>
      <c r="O602" s="540">
        <v>1</v>
      </c>
      <c r="P602" s="75">
        <v>0</v>
      </c>
      <c r="Q602" s="75">
        <v>1</v>
      </c>
      <c r="R602" s="1030">
        <v>0</v>
      </c>
      <c r="T602" s="7996" t="s">
        <v>1983</v>
      </c>
      <c r="U602" s="7997"/>
      <c r="V602" s="3939">
        <f>IF($P$269&gt;0,MIN(COUNTIF(Personalización!$V$102:$X$105,Tablas!$T602),2),0)</f>
        <v>0</v>
      </c>
      <c r="X602" s="801" t="str">
        <f>IF(Personalización!AE41=0,"Tabla personalizada #3",Personalización!AE41)</f>
        <v>Tabla personalizada #3</v>
      </c>
      <c r="Y602" s="218"/>
      <c r="Z602" s="218" t="str">
        <f>IF(COUNTIF(PDs!$Y$43:$AA$48,Personalización!$AE$41)&gt;0,Personalización!$AE$43&amp;IF(Personalización!$AE$44="","",", "&amp;Personalización!$AE$44)&amp;IF(Personalización!$AE$45="","",", "&amp;Personalización!$AE$45)&amp;IF(Personalización!$AE$46="","",", "&amp;Personalización!$AE$46)&amp;IF(Personalización!$AE$47="","",", "&amp;Personalización!$AE$47),"")</f>
        <v/>
      </c>
      <c r="AA602" s="794">
        <f>COUNTIF(PDs!$Y$43:$AA$48,Tablas!X602)</f>
        <v>0</v>
      </c>
      <c r="AC602" s="8015" t="s">
        <v>8073</v>
      </c>
      <c r="AD602" s="8016"/>
      <c r="AE602" s="8016"/>
      <c r="AF602" s="8017"/>
    </row>
    <row r="603" spans="1:38" ht="12.75" customHeight="1" thickBot="1">
      <c r="A603" s="219">
        <v>594</v>
      </c>
      <c r="B603" s="7145"/>
      <c r="C603" s="443"/>
      <c r="D603" s="78" t="s">
        <v>1026</v>
      </c>
      <c r="E603" s="75">
        <v>30</v>
      </c>
      <c r="F603" s="75">
        <v>-15</v>
      </c>
      <c r="G603" s="75">
        <v>1</v>
      </c>
      <c r="H603" s="75">
        <v>15</v>
      </c>
      <c r="I603" s="540">
        <v>30</v>
      </c>
      <c r="J603" s="75" t="s">
        <v>1014</v>
      </c>
      <c r="K603" s="75" t="s">
        <v>1010</v>
      </c>
      <c r="L603" s="75">
        <v>4</v>
      </c>
      <c r="M603" s="75">
        <v>2</v>
      </c>
      <c r="N603" s="75">
        <v>1</v>
      </c>
      <c r="O603" s="540">
        <v>2</v>
      </c>
      <c r="P603" s="75">
        <v>0</v>
      </c>
      <c r="Q603" s="75">
        <v>1</v>
      </c>
      <c r="R603" s="1030">
        <v>0</v>
      </c>
      <c r="T603" s="7996" t="s">
        <v>6665</v>
      </c>
      <c r="U603" s="7997"/>
      <c r="V603" s="3939">
        <f>IF($P$269&gt;0,MIN(COUNTIF(Personalización!$V$102:$X$105,Tablas!$T603),2),0)</f>
        <v>0</v>
      </c>
      <c r="X603" s="801" t="str">
        <f>IF(Personalización!AH41=0,"Tabla personalizada #4",Personalización!AH41)</f>
        <v>Tabla personalizada #4</v>
      </c>
      <c r="Y603" s="218"/>
      <c r="Z603" s="218" t="str">
        <f>IF(COUNTIF(PDs!$Y$43:$AA$48,Personalización!$AH$41)&gt;0,Personalización!$AH$43&amp;IF(Personalización!$AH$44="","",", "&amp;Personalización!$AH$44)&amp;IF(Personalización!$AH$45="","",", "&amp;Personalización!$AH$45)&amp;IF(Personalización!$AH$46="","",", "&amp;Personalización!$AH$46)&amp;IF(Personalización!$AH$47="","",", "&amp;Personalización!$AH$47),"")</f>
        <v/>
      </c>
      <c r="AA603" s="794">
        <f>COUNTIF(PDs!$Y$43:$AA$48,Tablas!X603)</f>
        <v>0</v>
      </c>
      <c r="AC603" s="1101" t="s">
        <v>1274</v>
      </c>
      <c r="AD603" s="1101" t="s">
        <v>1434</v>
      </c>
      <c r="AE603" s="1101" t="s">
        <v>8074</v>
      </c>
      <c r="AF603" s="1208" t="s">
        <v>8075</v>
      </c>
    </row>
    <row r="604" spans="1:38" ht="12.75" customHeight="1">
      <c r="A604" s="219">
        <v>595</v>
      </c>
      <c r="B604" s="7145"/>
      <c r="C604" s="443"/>
      <c r="D604" s="78" t="s">
        <v>1027</v>
      </c>
      <c r="E604" s="75">
        <v>60</v>
      </c>
      <c r="F604" s="75">
        <v>-20</v>
      </c>
      <c r="G604" s="75">
        <v>2</v>
      </c>
      <c r="H604" s="75">
        <v>15</v>
      </c>
      <c r="I604" s="540">
        <v>30</v>
      </c>
      <c r="J604" s="75" t="s">
        <v>1012</v>
      </c>
      <c r="K604" s="75" t="s">
        <v>1010</v>
      </c>
      <c r="L604" s="75">
        <v>4</v>
      </c>
      <c r="M604" s="75">
        <v>3</v>
      </c>
      <c r="N604" s="75">
        <v>1</v>
      </c>
      <c r="O604" s="540">
        <v>2</v>
      </c>
      <c r="P604" s="75">
        <v>0</v>
      </c>
      <c r="Q604" s="75">
        <v>1</v>
      </c>
      <c r="R604" s="1030">
        <v>0</v>
      </c>
      <c r="T604" s="7996" t="s">
        <v>6666</v>
      </c>
      <c r="U604" s="7997"/>
      <c r="V604" s="3939">
        <f>IF($P$269&gt;0,MIN(COUNTIF(Personalización!$V$102:$X$105,Tablas!$T604),2),0)</f>
        <v>0</v>
      </c>
      <c r="X604" s="801" t="s">
        <v>2377</v>
      </c>
      <c r="Y604" s="218"/>
      <c r="Z604" s="218" t="s">
        <v>8198</v>
      </c>
      <c r="AA604" s="794">
        <f>COUNTIF(PDs!$Y$43:$AA$48,Tablas!X604)</f>
        <v>0</v>
      </c>
      <c r="AC604" s="1209" t="s">
        <v>8081</v>
      </c>
      <c r="AD604" s="699">
        <v>0</v>
      </c>
      <c r="AE604" s="699">
        <v>0</v>
      </c>
      <c r="AF604" s="1150">
        <v>0</v>
      </c>
    </row>
    <row r="605" spans="1:38" ht="12.75" customHeight="1">
      <c r="A605" s="219">
        <v>596</v>
      </c>
      <c r="B605" s="7145"/>
      <c r="C605" s="443"/>
      <c r="D605" s="78" t="s">
        <v>1028</v>
      </c>
      <c r="E605" s="75">
        <v>0</v>
      </c>
      <c r="F605" s="75">
        <v>0</v>
      </c>
      <c r="G605" s="75">
        <v>0</v>
      </c>
      <c r="H605" s="75">
        <v>0</v>
      </c>
      <c r="I605" s="540">
        <v>0</v>
      </c>
      <c r="J605" s="75" t="s">
        <v>1315</v>
      </c>
      <c r="K605" s="75" t="s">
        <v>1315</v>
      </c>
      <c r="L605" s="75">
        <v>0</v>
      </c>
      <c r="M605" s="75">
        <v>0</v>
      </c>
      <c r="N605" s="75">
        <v>0</v>
      </c>
      <c r="O605" s="540">
        <v>0</v>
      </c>
      <c r="P605" s="75">
        <v>0</v>
      </c>
      <c r="Q605" s="75">
        <v>0</v>
      </c>
      <c r="R605" s="1030">
        <v>0</v>
      </c>
      <c r="T605" s="7996" t="s">
        <v>6667</v>
      </c>
      <c r="U605" s="7997"/>
      <c r="V605" s="3939">
        <f>IF($P$269&gt;0,MIN(COUNTIF(Personalización!$V$102:$X$105,Tablas!$T605),2),0)</f>
        <v>0</v>
      </c>
      <c r="X605" s="801" t="s">
        <v>2378</v>
      </c>
      <c r="Y605" s="218"/>
      <c r="Z605" s="218" t="s">
        <v>8215</v>
      </c>
      <c r="AA605" s="794">
        <f>COUNTIF(PDs!$Y$43:$AA$48,Tablas!X605)</f>
        <v>0</v>
      </c>
      <c r="AC605" s="1209" t="s">
        <v>8077</v>
      </c>
      <c r="AD605" s="699">
        <v>10</v>
      </c>
      <c r="AE605" s="699">
        <v>-10</v>
      </c>
      <c r="AF605" s="1150">
        <v>0</v>
      </c>
    </row>
    <row r="606" spans="1:38" ht="12.75" customHeight="1">
      <c r="A606" s="219">
        <v>597</v>
      </c>
      <c r="B606" s="7145"/>
      <c r="C606" s="443"/>
      <c r="D606" s="78" t="s">
        <v>1029</v>
      </c>
      <c r="E606" s="75">
        <v>20</v>
      </c>
      <c r="F606" s="75">
        <v>-10</v>
      </c>
      <c r="G606" s="75">
        <v>0</v>
      </c>
      <c r="H606" s="75">
        <v>13</v>
      </c>
      <c r="I606" s="540">
        <v>25</v>
      </c>
      <c r="J606" s="75" t="s">
        <v>1013</v>
      </c>
      <c r="K606" s="75" t="s">
        <v>1011</v>
      </c>
      <c r="L606" s="75">
        <v>2</v>
      </c>
      <c r="M606" s="75">
        <v>2</v>
      </c>
      <c r="N606" s="75">
        <v>2</v>
      </c>
      <c r="O606" s="540">
        <v>2</v>
      </c>
      <c r="P606" s="75">
        <v>2</v>
      </c>
      <c r="Q606" s="75">
        <v>2</v>
      </c>
      <c r="R606" s="1030">
        <v>0</v>
      </c>
      <c r="T606" s="7996" t="s">
        <v>6668</v>
      </c>
      <c r="U606" s="7997"/>
      <c r="V606" s="3939">
        <f>IF($P$269&gt;0,MIN(COUNTIF(Personalización!$V$102:$X$105,Tablas!$T606),2),0)</f>
        <v>0</v>
      </c>
      <c r="X606" s="801" t="s">
        <v>2379</v>
      </c>
      <c r="Y606" s="218"/>
      <c r="Z606" s="218" t="s">
        <v>2380</v>
      </c>
      <c r="AA606" s="794">
        <f>COUNTIF(PDs!$Y$43:$AA$48,Tablas!X606)</f>
        <v>0</v>
      </c>
      <c r="AC606" s="1209" t="s">
        <v>8078</v>
      </c>
      <c r="AD606" s="699">
        <v>10</v>
      </c>
      <c r="AE606" s="699">
        <v>0</v>
      </c>
      <c r="AF606" s="1150">
        <v>-5</v>
      </c>
    </row>
    <row r="607" spans="1:38" ht="12.75" customHeight="1">
      <c r="A607" s="219">
        <v>598</v>
      </c>
      <c r="B607" s="7145"/>
      <c r="C607" s="443"/>
      <c r="D607" s="78" t="s">
        <v>1030</v>
      </c>
      <c r="E607" s="75">
        <v>25</v>
      </c>
      <c r="F607" s="75">
        <v>-10</v>
      </c>
      <c r="G607" s="75">
        <v>1</v>
      </c>
      <c r="H607" s="75">
        <v>14</v>
      </c>
      <c r="I607" s="540">
        <v>25</v>
      </c>
      <c r="J607" s="75" t="s">
        <v>1013</v>
      </c>
      <c r="K607" s="75" t="s">
        <v>1011</v>
      </c>
      <c r="L607" s="75">
        <v>3</v>
      </c>
      <c r="M607" s="75">
        <v>1</v>
      </c>
      <c r="N607" s="75">
        <v>2</v>
      </c>
      <c r="O607" s="540">
        <v>2</v>
      </c>
      <c r="P607" s="75">
        <v>1</v>
      </c>
      <c r="Q607" s="75">
        <v>2</v>
      </c>
      <c r="R607" s="1030">
        <v>0</v>
      </c>
      <c r="T607" s="7996" t="s">
        <v>6669</v>
      </c>
      <c r="U607" s="7997"/>
      <c r="V607" s="3939">
        <f>IF($P$269&gt;0,MIN(COUNTIF(Personalización!$V$102:$X$105,Tablas!$T607),2),0)</f>
        <v>0</v>
      </c>
      <c r="X607" s="801" t="s">
        <v>2381</v>
      </c>
      <c r="Y607" s="218"/>
      <c r="Z607" s="218" t="s">
        <v>2382</v>
      </c>
      <c r="AA607" s="794">
        <f>COUNTIF(PDs!$Y$43:$AA$48,Tablas!X607)</f>
        <v>0</v>
      </c>
      <c r="AC607" s="1209" t="s">
        <v>8076</v>
      </c>
      <c r="AD607" s="699">
        <v>20</v>
      </c>
      <c r="AE607" s="699">
        <v>-20</v>
      </c>
      <c r="AF607" s="1150">
        <v>0</v>
      </c>
    </row>
    <row r="608" spans="1:38" ht="12.75" customHeight="1" thickBot="1">
      <c r="A608" s="219">
        <v>599</v>
      </c>
      <c r="B608" s="7145"/>
      <c r="C608" s="443"/>
      <c r="D608" s="78" t="s">
        <v>1031</v>
      </c>
      <c r="E608" s="75">
        <v>30</v>
      </c>
      <c r="F608" s="75">
        <v>-15</v>
      </c>
      <c r="G608" s="75">
        <v>0</v>
      </c>
      <c r="H608" s="75">
        <v>13</v>
      </c>
      <c r="I608" s="540">
        <v>25</v>
      </c>
      <c r="J608" s="75" t="s">
        <v>1012</v>
      </c>
      <c r="K608" s="75" t="s">
        <v>1011</v>
      </c>
      <c r="L608" s="75">
        <v>4</v>
      </c>
      <c r="M608" s="75">
        <v>3</v>
      </c>
      <c r="N608" s="75">
        <v>3</v>
      </c>
      <c r="O608" s="540">
        <v>2</v>
      </c>
      <c r="P608" s="75">
        <v>0</v>
      </c>
      <c r="Q608" s="75">
        <v>2</v>
      </c>
      <c r="R608" s="1030">
        <v>0</v>
      </c>
      <c r="T608" s="7996" t="s">
        <v>6670</v>
      </c>
      <c r="U608" s="7997"/>
      <c r="V608" s="3939">
        <f>IF($P$269&gt;0,MIN(COUNTIF(Personalización!$V$102:$X$105,Tablas!$T608),2),0)</f>
        <v>0</v>
      </c>
      <c r="X608" s="801" t="s">
        <v>2383</v>
      </c>
      <c r="Y608" s="218"/>
      <c r="Z608" s="218" t="s">
        <v>7973</v>
      </c>
      <c r="AA608" s="794">
        <f>COUNTIF(PDs!$Y$43:$AA$48,Tablas!X608)</f>
        <v>0</v>
      </c>
      <c r="AC608" s="1210" t="s">
        <v>8079</v>
      </c>
      <c r="AD608" s="1122">
        <v>20</v>
      </c>
      <c r="AE608" s="1122">
        <v>0</v>
      </c>
      <c r="AF608" s="1155">
        <v>-10</v>
      </c>
    </row>
    <row r="609" spans="1:39" ht="12.75" customHeight="1" thickBot="1">
      <c r="A609" s="219">
        <v>600</v>
      </c>
      <c r="B609" s="7145"/>
      <c r="C609" s="443"/>
      <c r="D609" s="78" t="s">
        <v>1013</v>
      </c>
      <c r="E609" s="75">
        <v>40</v>
      </c>
      <c r="F609" s="75">
        <v>-15</v>
      </c>
      <c r="G609" s="75">
        <v>1</v>
      </c>
      <c r="H609" s="75">
        <v>16</v>
      </c>
      <c r="I609" s="540">
        <v>30</v>
      </c>
      <c r="J609" s="75" t="s">
        <v>1013</v>
      </c>
      <c r="K609" s="75" t="s">
        <v>1011</v>
      </c>
      <c r="L609" s="75">
        <v>4</v>
      </c>
      <c r="M609" s="3806">
        <v>4</v>
      </c>
      <c r="N609" s="75">
        <v>4</v>
      </c>
      <c r="O609" s="540">
        <v>1</v>
      </c>
      <c r="P609" s="75">
        <v>0</v>
      </c>
      <c r="Q609" s="75">
        <v>1</v>
      </c>
      <c r="R609" s="1030">
        <v>0</v>
      </c>
      <c r="T609" s="7935" t="s">
        <v>12326</v>
      </c>
      <c r="U609" s="7936"/>
      <c r="V609" s="3941">
        <f>IF($P$269&gt;0,MIN(COUNTIF(Personalización!$V$102:$X$105,Tablas!$T609),2),0)</f>
        <v>0</v>
      </c>
      <c r="X609" s="801" t="s">
        <v>2384</v>
      </c>
      <c r="Y609" s="218"/>
      <c r="Z609" s="218" t="s">
        <v>2385</v>
      </c>
      <c r="AA609" s="794">
        <f>COUNTIF(PDs!$Y$43:$AA$48,Tablas!X609)</f>
        <v>0</v>
      </c>
    </row>
    <row r="610" spans="1:39" ht="12.75" customHeight="1" thickBot="1">
      <c r="A610" s="219">
        <v>601</v>
      </c>
      <c r="B610" s="7145"/>
      <c r="C610" s="443"/>
      <c r="D610" s="78" t="s">
        <v>1032</v>
      </c>
      <c r="E610" s="75">
        <v>50</v>
      </c>
      <c r="F610" s="75">
        <v>-20</v>
      </c>
      <c r="G610" s="75">
        <v>2</v>
      </c>
      <c r="H610" s="75">
        <v>15</v>
      </c>
      <c r="I610" s="540">
        <v>30</v>
      </c>
      <c r="J610" s="75" t="s">
        <v>1014</v>
      </c>
      <c r="K610" s="75" t="s">
        <v>1011</v>
      </c>
      <c r="L610" s="75">
        <v>4</v>
      </c>
      <c r="M610" s="75">
        <v>3</v>
      </c>
      <c r="N610" s="75">
        <v>2</v>
      </c>
      <c r="O610" s="540">
        <v>3</v>
      </c>
      <c r="P610" s="75">
        <v>2</v>
      </c>
      <c r="Q610" s="75">
        <v>2</v>
      </c>
      <c r="R610" s="1030">
        <v>0</v>
      </c>
      <c r="T610" s="7935" t="s">
        <v>979</v>
      </c>
      <c r="U610" s="7936"/>
      <c r="V610" s="3941">
        <f>IF($P$269&gt;0,MIN(COUNTIF(Personalización!$V$102:$X$105,Tablas!$T610),2),0)</f>
        <v>0</v>
      </c>
      <c r="X610" s="801" t="s">
        <v>1916</v>
      </c>
      <c r="Y610" s="218"/>
      <c r="Z610" s="218" t="s">
        <v>2386</v>
      </c>
      <c r="AA610" s="794">
        <f>COUNTIF(PDs!$Y$43:$AA$48,Tablas!X610)</f>
        <v>0</v>
      </c>
      <c r="AC610" s="8012" t="s">
        <v>1043</v>
      </c>
      <c r="AE610" s="8014" t="s">
        <v>1054</v>
      </c>
      <c r="AF610" s="8014"/>
      <c r="AG610" s="8014"/>
      <c r="AH610" s="8014"/>
      <c r="AI610" s="8014"/>
      <c r="AJ610" s="8014"/>
      <c r="AK610" s="8014"/>
    </row>
    <row r="611" spans="1:39" ht="12.75" customHeight="1" thickBot="1">
      <c r="A611" s="219">
        <v>602</v>
      </c>
      <c r="B611" s="7145"/>
      <c r="C611" s="443"/>
      <c r="D611" s="78" t="s">
        <v>1033</v>
      </c>
      <c r="E611" s="75">
        <v>70</v>
      </c>
      <c r="F611" s="75">
        <v>-20</v>
      </c>
      <c r="G611" s="75">
        <v>3</v>
      </c>
      <c r="H611" s="75">
        <v>16</v>
      </c>
      <c r="I611" s="540">
        <v>35</v>
      </c>
      <c r="J611" s="75" t="s">
        <v>1014</v>
      </c>
      <c r="K611" s="75" t="s">
        <v>1011</v>
      </c>
      <c r="L611" s="75">
        <v>4</v>
      </c>
      <c r="M611" s="3806">
        <v>3</v>
      </c>
      <c r="N611" s="75">
        <v>4</v>
      </c>
      <c r="O611" s="540">
        <v>2</v>
      </c>
      <c r="P611" s="75">
        <v>0</v>
      </c>
      <c r="Q611" s="75">
        <v>1</v>
      </c>
      <c r="R611" s="1030">
        <v>1</v>
      </c>
      <c r="T611" s="7935" t="s">
        <v>6013</v>
      </c>
      <c r="U611" s="7936"/>
      <c r="V611" s="3941">
        <f>IF($P$269&gt;0,MIN(COUNTIF(Personalización!$V$102:$X$105,Tablas!$T611),2),0)</f>
        <v>0</v>
      </c>
      <c r="X611" s="801" t="s">
        <v>2387</v>
      </c>
      <c r="Y611" s="218"/>
      <c r="Z611" s="218" t="s">
        <v>2388</v>
      </c>
      <c r="AA611" s="794">
        <f>COUNTIF(PDs!$Y$43:$AA$48,Tablas!X611)</f>
        <v>0</v>
      </c>
      <c r="AC611" s="8013"/>
      <c r="AE611" s="1133" t="s">
        <v>1055</v>
      </c>
      <c r="AF611" s="1134" t="s">
        <v>1056</v>
      </c>
      <c r="AG611" s="1134" t="s">
        <v>1057</v>
      </c>
      <c r="AH611" s="1134" t="s">
        <v>1058</v>
      </c>
      <c r="AI611" s="1134" t="s">
        <v>1059</v>
      </c>
      <c r="AJ611" s="1134" t="s">
        <v>1060</v>
      </c>
      <c r="AK611" s="564" t="s">
        <v>1061</v>
      </c>
    </row>
    <row r="612" spans="1:39" ht="12.75" customHeight="1" thickBot="1">
      <c r="A612" s="219">
        <v>603</v>
      </c>
      <c r="B612" s="7145"/>
      <c r="C612" s="443"/>
      <c r="D612" s="78" t="s">
        <v>1783</v>
      </c>
      <c r="E612" s="75">
        <v>80</v>
      </c>
      <c r="F612" s="75">
        <v>-25</v>
      </c>
      <c r="G612" s="75">
        <v>3</v>
      </c>
      <c r="H612" s="75">
        <v>17</v>
      </c>
      <c r="I612" s="540">
        <v>35</v>
      </c>
      <c r="J612" s="75" t="s">
        <v>1014</v>
      </c>
      <c r="K612" s="75" t="s">
        <v>1011</v>
      </c>
      <c r="L612" s="75">
        <v>4</v>
      </c>
      <c r="M612" s="75">
        <v>4</v>
      </c>
      <c r="N612" s="75">
        <v>4</v>
      </c>
      <c r="O612" s="540">
        <v>3</v>
      </c>
      <c r="P612" s="75">
        <v>0</v>
      </c>
      <c r="Q612" s="75">
        <v>3</v>
      </c>
      <c r="R612" s="1030">
        <v>1</v>
      </c>
      <c r="T612" s="8020" t="s">
        <v>12327</v>
      </c>
      <c r="U612" s="8021"/>
      <c r="V612" s="3942">
        <f>IF($P$269&gt;0,MIN(COUNTIF(Personalización!$V$102:$X$105,Tablas!$T612),2),0)</f>
        <v>0</v>
      </c>
      <c r="X612" s="801" t="s">
        <v>2389</v>
      </c>
      <c r="Y612" s="218"/>
      <c r="Z612" s="218" t="s">
        <v>2390</v>
      </c>
      <c r="AA612" s="794">
        <f>COUNTIF(PDs!$Y$43:$AA$48,Tablas!X612)</f>
        <v>0</v>
      </c>
      <c r="AC612" s="653">
        <v>-10</v>
      </c>
      <c r="AE612" s="1137" t="s">
        <v>1436</v>
      </c>
      <c r="AF612" s="559">
        <v>1</v>
      </c>
      <c r="AG612" s="559">
        <v>1</v>
      </c>
      <c r="AH612" s="559">
        <v>0</v>
      </c>
      <c r="AI612" s="559">
        <v>1</v>
      </c>
      <c r="AJ612" s="559">
        <v>0</v>
      </c>
      <c r="AK612" s="565">
        <v>0</v>
      </c>
    </row>
    <row r="613" spans="1:39" ht="12.75" customHeight="1" thickBot="1">
      <c r="A613" s="219">
        <v>604</v>
      </c>
      <c r="B613" s="7145"/>
      <c r="C613" s="443"/>
      <c r="D613" s="78" t="s">
        <v>1034</v>
      </c>
      <c r="E613" s="75">
        <v>90</v>
      </c>
      <c r="F613" s="75">
        <v>-35</v>
      </c>
      <c r="G613" s="75">
        <v>4</v>
      </c>
      <c r="H613" s="75">
        <v>17</v>
      </c>
      <c r="I613" s="540">
        <v>40</v>
      </c>
      <c r="J613" s="75" t="s">
        <v>1014</v>
      </c>
      <c r="K613" s="75" t="s">
        <v>1011</v>
      </c>
      <c r="L613" s="75">
        <v>5</v>
      </c>
      <c r="M613" s="3806">
        <v>3</v>
      </c>
      <c r="N613" s="75">
        <v>5</v>
      </c>
      <c r="O613" s="540">
        <v>3</v>
      </c>
      <c r="P613" s="75">
        <v>0</v>
      </c>
      <c r="Q613" s="75">
        <v>3</v>
      </c>
      <c r="R613" s="1030">
        <v>1</v>
      </c>
      <c r="X613" s="801" t="s">
        <v>2391</v>
      </c>
      <c r="Y613" s="218"/>
      <c r="Z613" s="218" t="s">
        <v>9496</v>
      </c>
      <c r="AA613" s="794">
        <f>COUNTIF(PDs!$Y$43:$AA$48,Tablas!X613)</f>
        <v>0</v>
      </c>
      <c r="AC613" s="653">
        <v>-5</v>
      </c>
      <c r="AE613" s="553" t="s">
        <v>1822</v>
      </c>
      <c r="AF613" s="47">
        <v>9</v>
      </c>
      <c r="AG613" s="47">
        <v>23</v>
      </c>
      <c r="AH613" s="47">
        <v>2</v>
      </c>
      <c r="AI613" s="47">
        <v>1.5</v>
      </c>
      <c r="AJ613" s="47">
        <v>6</v>
      </c>
      <c r="AK613" s="132">
        <v>3</v>
      </c>
    </row>
    <row r="614" spans="1:39" ht="12.75" customHeight="1" thickBot="1">
      <c r="A614" s="219">
        <v>605</v>
      </c>
      <c r="B614" s="7145"/>
      <c r="C614" s="443"/>
      <c r="D614" s="78" t="s">
        <v>1014</v>
      </c>
      <c r="E614" s="75">
        <v>100</v>
      </c>
      <c r="F614" s="75">
        <v>-50</v>
      </c>
      <c r="G614" s="75">
        <v>4</v>
      </c>
      <c r="H614" s="75">
        <v>18</v>
      </c>
      <c r="I614" s="540">
        <v>45</v>
      </c>
      <c r="J614" s="75" t="s">
        <v>1014</v>
      </c>
      <c r="K614" s="75" t="s">
        <v>1011</v>
      </c>
      <c r="L614" s="75">
        <v>5</v>
      </c>
      <c r="M614" s="3806">
        <v>4</v>
      </c>
      <c r="N614" s="75">
        <v>5</v>
      </c>
      <c r="O614" s="540">
        <v>4</v>
      </c>
      <c r="P614" s="75">
        <v>0</v>
      </c>
      <c r="Q614" s="75">
        <v>4</v>
      </c>
      <c r="R614" s="1030">
        <v>2</v>
      </c>
      <c r="T614" s="7947" t="s">
        <v>6672</v>
      </c>
      <c r="U614" s="8003"/>
      <c r="V614" s="7948"/>
      <c r="X614" s="801" t="s">
        <v>2392</v>
      </c>
      <c r="Y614" s="218"/>
      <c r="Z614" s="218" t="s">
        <v>2393</v>
      </c>
      <c r="AA614" s="794">
        <f>COUNTIF(PDs!$Y$43:$AA$48,Tablas!X614)</f>
        <v>0</v>
      </c>
      <c r="AC614" s="653">
        <v>0</v>
      </c>
      <c r="AE614" s="1105" t="s">
        <v>1062</v>
      </c>
      <c r="AF614" s="556">
        <v>23</v>
      </c>
      <c r="AG614" s="556">
        <v>29</v>
      </c>
      <c r="AH614" s="556">
        <v>5</v>
      </c>
      <c r="AI614" s="556">
        <v>2</v>
      </c>
      <c r="AJ614" s="556">
        <v>16</v>
      </c>
      <c r="AK614" s="560">
        <v>8</v>
      </c>
    </row>
    <row r="615" spans="1:39" ht="12.75" customHeight="1">
      <c r="A615" s="219">
        <v>606</v>
      </c>
      <c r="B615" s="7145"/>
      <c r="C615" s="443"/>
      <c r="D615" s="78" t="s">
        <v>1035</v>
      </c>
      <c r="E615" s="75">
        <v>120</v>
      </c>
      <c r="F615" s="75">
        <v>-60</v>
      </c>
      <c r="G615" s="75">
        <v>5</v>
      </c>
      <c r="H615" s="75">
        <v>19</v>
      </c>
      <c r="I615" s="540">
        <v>45</v>
      </c>
      <c r="J615" s="75" t="s">
        <v>1014</v>
      </c>
      <c r="K615" s="75" t="s">
        <v>1011</v>
      </c>
      <c r="L615" s="75">
        <v>6</v>
      </c>
      <c r="M615" s="3806">
        <v>5</v>
      </c>
      <c r="N615" s="75">
        <v>6</v>
      </c>
      <c r="O615" s="540">
        <v>4</v>
      </c>
      <c r="P615" s="75">
        <v>0</v>
      </c>
      <c r="Q615" s="75">
        <v>4</v>
      </c>
      <c r="R615" s="1030">
        <v>2</v>
      </c>
      <c r="T615" s="8010" t="s">
        <v>6013</v>
      </c>
      <c r="U615" s="8011"/>
      <c r="V615" s="770">
        <f>COUNTIF(Combate!$AB$55:$AG$64,$E$1116)*COUNTIF(Personalización!$AD$103:$AF$105,Tablas!$T615)</f>
        <v>0</v>
      </c>
      <c r="X615" s="802" t="s">
        <v>2394</v>
      </c>
      <c r="Y615" s="803"/>
      <c r="Z615" s="803" t="s">
        <v>9667</v>
      </c>
      <c r="AA615" s="943">
        <f>COUNTIF(PDs!$Y$43:$AA$48,Tablas!X615)</f>
        <v>0</v>
      </c>
      <c r="AC615" s="653">
        <v>5</v>
      </c>
    </row>
    <row r="616" spans="1:39" ht="12.75" customHeight="1" thickBot="1">
      <c r="A616" s="219">
        <v>607</v>
      </c>
      <c r="B616" s="7145"/>
      <c r="C616" s="443"/>
      <c r="D616" s="78" t="s">
        <v>1036</v>
      </c>
      <c r="E616" s="75">
        <v>150</v>
      </c>
      <c r="F616" s="75">
        <v>-70</v>
      </c>
      <c r="G616" s="75">
        <v>6</v>
      </c>
      <c r="H616" s="75">
        <v>20</v>
      </c>
      <c r="I616" s="540">
        <v>50</v>
      </c>
      <c r="J616" s="75" t="s">
        <v>1014</v>
      </c>
      <c r="K616" s="75" t="s">
        <v>1011</v>
      </c>
      <c r="L616" s="75">
        <v>7</v>
      </c>
      <c r="M616" s="3806">
        <v>6</v>
      </c>
      <c r="N616" s="75">
        <v>7</v>
      </c>
      <c r="O616" s="540">
        <v>4</v>
      </c>
      <c r="P616" s="75">
        <v>0</v>
      </c>
      <c r="Q616" s="75">
        <v>4</v>
      </c>
      <c r="R616" s="1030">
        <v>2</v>
      </c>
      <c r="T616" s="8010" t="s">
        <v>6674</v>
      </c>
      <c r="U616" s="8011"/>
      <c r="V616" s="770">
        <f>COUNTIF(Combate!$AB$55:$AG$64,$E$1116)*COUNTIF(Personalización!$AD$103:$AF$105,Tablas!$T616)</f>
        <v>0</v>
      </c>
      <c r="X616" s="802" t="s">
        <v>11723</v>
      </c>
      <c r="Y616" s="803"/>
      <c r="Z616" s="803" t="str">
        <f>Personalización!C135&amp;IF(Personalización!C136="","",", "&amp;Personalización!C136)&amp;IF(Personalización!C137="","",", "&amp;Personalización!C137)&amp;IF(Personalización!C138="","",", "&amp;Personalización!C138)&amp;IF(Personalización!C139="","",", "&amp;Personalización!C139)</f>
        <v/>
      </c>
      <c r="AA616" s="943">
        <v>1</v>
      </c>
      <c r="AC616" s="653">
        <v>10</v>
      </c>
    </row>
    <row r="617" spans="1:39" ht="12.75" customHeight="1">
      <c r="A617" s="219">
        <v>608</v>
      </c>
      <c r="B617" s="7145"/>
      <c r="C617" s="443"/>
      <c r="D617" s="78" t="s">
        <v>1037</v>
      </c>
      <c r="E617" s="75">
        <v>0</v>
      </c>
      <c r="F617" s="75">
        <v>0</v>
      </c>
      <c r="G617" s="75">
        <v>0</v>
      </c>
      <c r="H617" s="75">
        <v>0</v>
      </c>
      <c r="I617" s="540">
        <v>0</v>
      </c>
      <c r="J617" s="75" t="s">
        <v>1315</v>
      </c>
      <c r="K617" s="75" t="s">
        <v>1315</v>
      </c>
      <c r="L617" s="75">
        <v>0</v>
      </c>
      <c r="M617" s="75">
        <v>0</v>
      </c>
      <c r="N617" s="75">
        <v>0</v>
      </c>
      <c r="O617" s="540">
        <v>0</v>
      </c>
      <c r="P617" s="75">
        <v>0</v>
      </c>
      <c r="Q617" s="75">
        <v>0</v>
      </c>
      <c r="R617" s="1030">
        <v>0</v>
      </c>
      <c r="T617" s="8010" t="s">
        <v>97</v>
      </c>
      <c r="U617" s="8011"/>
      <c r="V617" s="770">
        <f>COUNTIF(Combate!$AB$55:$AG$64,$E$1116)*COUNTIF(Personalización!$AD$103:$AF$105,Tablas!$T617)</f>
        <v>0</v>
      </c>
      <c r="X617" s="7949" t="str">
        <f>X596</f>
        <v>Tabla de tipología</v>
      </c>
      <c r="Y617" s="7950"/>
      <c r="Z617" s="7950"/>
      <c r="AA617" s="7951"/>
      <c r="AC617" s="653">
        <v>15</v>
      </c>
    </row>
    <row r="618" spans="1:39" ht="12.75" customHeight="1">
      <c r="A618" s="219">
        <v>609</v>
      </c>
      <c r="B618" s="7145"/>
      <c r="C618" s="443"/>
      <c r="D618" s="78" t="s">
        <v>1038</v>
      </c>
      <c r="E618" s="75">
        <v>25</v>
      </c>
      <c r="F618" s="75">
        <v>-10</v>
      </c>
      <c r="G618" s="75">
        <v>0</v>
      </c>
      <c r="H618" s="75">
        <v>13</v>
      </c>
      <c r="I618" s="540">
        <v>25</v>
      </c>
      <c r="J618" s="75" t="s">
        <v>1012</v>
      </c>
      <c r="K618" s="75" t="s">
        <v>1010</v>
      </c>
      <c r="L618" s="75">
        <v>3</v>
      </c>
      <c r="M618" s="75">
        <v>1</v>
      </c>
      <c r="N618" s="75">
        <v>1</v>
      </c>
      <c r="O618" s="540">
        <v>2</v>
      </c>
      <c r="P618" s="75">
        <v>0</v>
      </c>
      <c r="Q618" s="75">
        <v>1</v>
      </c>
      <c r="R618" s="1030">
        <v>0</v>
      </c>
      <c r="T618" s="8010" t="s">
        <v>6677</v>
      </c>
      <c r="U618" s="8011"/>
      <c r="V618" s="770">
        <f>COUNTIF(Combate!$AB$55:$AG$64,$E$1116)*COUNTIF(Personalización!$AD$103:$AF$105,Tablas!$T618)</f>
        <v>0</v>
      </c>
      <c r="X618" s="801" t="s">
        <v>1315</v>
      </c>
      <c r="Y618" s="218"/>
      <c r="Z618" s="218"/>
      <c r="AA618" s="794"/>
      <c r="AC618" s="653">
        <v>20</v>
      </c>
    </row>
    <row r="619" spans="1:39" ht="12.75" customHeight="1">
      <c r="A619" s="219">
        <v>610</v>
      </c>
      <c r="B619" s="7145"/>
      <c r="C619" s="443"/>
      <c r="D619" s="78" t="s">
        <v>1039</v>
      </c>
      <c r="E619" s="75">
        <v>30</v>
      </c>
      <c r="F619" s="75">
        <v>-10</v>
      </c>
      <c r="G619" s="75">
        <v>0</v>
      </c>
      <c r="H619" s="75">
        <v>14</v>
      </c>
      <c r="I619" s="540">
        <v>25</v>
      </c>
      <c r="J619" s="75" t="s">
        <v>1014</v>
      </c>
      <c r="K619" s="75" t="s">
        <v>1011</v>
      </c>
      <c r="L619" s="75">
        <v>3</v>
      </c>
      <c r="M619" s="75">
        <v>2</v>
      </c>
      <c r="N619" s="75">
        <v>2</v>
      </c>
      <c r="O619" s="540">
        <v>2</v>
      </c>
      <c r="P619" s="75">
        <v>0</v>
      </c>
      <c r="Q619" s="75">
        <v>1</v>
      </c>
      <c r="R619" s="1030">
        <v>0</v>
      </c>
      <c r="T619" s="8010" t="s">
        <v>6679</v>
      </c>
      <c r="U619" s="8011"/>
      <c r="V619" s="770">
        <f>COUNTIF(Combate!$AB$55:$AG$64,$E$1116)*COUNTIF(Personalización!$AD$103:$AF$105,Tablas!$T619)</f>
        <v>0</v>
      </c>
      <c r="X619" s="801" t="s">
        <v>1962</v>
      </c>
      <c r="Y619" s="218"/>
      <c r="Z619" s="218" t="s">
        <v>7843</v>
      </c>
      <c r="AA619" s="794">
        <f>COUNTIF(PDs!$Y$43:$AA$48,Tablas!X619)</f>
        <v>0</v>
      </c>
      <c r="AC619" s="653">
        <v>25</v>
      </c>
    </row>
    <row r="620" spans="1:39" ht="12.75" customHeight="1" thickBot="1">
      <c r="A620" s="219">
        <v>611</v>
      </c>
      <c r="B620" s="7145"/>
      <c r="C620" s="443"/>
      <c r="D620" s="78" t="s">
        <v>1040</v>
      </c>
      <c r="E620" s="75">
        <v>30</v>
      </c>
      <c r="F620" s="75">
        <v>-10</v>
      </c>
      <c r="G620" s="75">
        <v>1</v>
      </c>
      <c r="H620" s="75">
        <v>15</v>
      </c>
      <c r="I620" s="540">
        <v>30</v>
      </c>
      <c r="J620" s="75" t="s">
        <v>1014</v>
      </c>
      <c r="K620" s="75" t="s">
        <v>1011</v>
      </c>
      <c r="L620" s="75">
        <v>3</v>
      </c>
      <c r="M620" s="75">
        <v>2</v>
      </c>
      <c r="N620" s="75">
        <v>3</v>
      </c>
      <c r="O620" s="540">
        <v>2</v>
      </c>
      <c r="P620" s="75">
        <v>2</v>
      </c>
      <c r="Q620" s="75">
        <v>2</v>
      </c>
      <c r="R620" s="1030">
        <v>0</v>
      </c>
      <c r="T620" s="8018" t="s">
        <v>6681</v>
      </c>
      <c r="U620" s="8019"/>
      <c r="V620" s="3940">
        <f>COUNTIF(Combate!$AB$55:$AG$64,$E$1116)*COUNTIF(Personalización!$AD$103:$AF$105,Tablas!$T620)</f>
        <v>0</v>
      </c>
      <c r="X620" s="801" t="s">
        <v>1972</v>
      </c>
      <c r="Y620" s="218"/>
      <c r="Z620" s="218" t="s">
        <v>9682</v>
      </c>
      <c r="AA620" s="794">
        <f>COUNTIF(PDs!$Y$43:$AA$48,Tablas!X620)</f>
        <v>0</v>
      </c>
      <c r="AC620" s="653">
        <v>30</v>
      </c>
    </row>
    <row r="621" spans="1:39" ht="12.75" customHeight="1" thickBot="1">
      <c r="A621" s="219">
        <v>612</v>
      </c>
      <c r="B621" s="7145"/>
      <c r="C621" s="443"/>
      <c r="D621" s="78" t="s">
        <v>1041</v>
      </c>
      <c r="E621" s="75">
        <v>35</v>
      </c>
      <c r="F621" s="75">
        <v>-15</v>
      </c>
      <c r="G621" s="75">
        <v>1</v>
      </c>
      <c r="H621" s="75">
        <v>14</v>
      </c>
      <c r="I621" s="540">
        <v>25</v>
      </c>
      <c r="J621" s="75" t="s">
        <v>1012</v>
      </c>
      <c r="K621" s="75" t="s">
        <v>1011</v>
      </c>
      <c r="L621" s="75">
        <v>4</v>
      </c>
      <c r="M621" s="75">
        <v>2</v>
      </c>
      <c r="N621" s="75">
        <v>3</v>
      </c>
      <c r="O621" s="540">
        <v>1</v>
      </c>
      <c r="P621" s="75">
        <v>0</v>
      </c>
      <c r="Q621" s="75">
        <v>1</v>
      </c>
      <c r="R621" s="1030">
        <v>0</v>
      </c>
      <c r="X621" s="801" t="s">
        <v>1970</v>
      </c>
      <c r="Y621" s="218"/>
      <c r="Z621" s="218" t="s">
        <v>7844</v>
      </c>
      <c r="AA621" s="794">
        <f>COUNTIF(PDs!$Y$43:$AA$48,Tablas!X621)</f>
        <v>0</v>
      </c>
      <c r="AC621" s="653">
        <v>35</v>
      </c>
      <c r="AE621" s="7865" t="s">
        <v>6827</v>
      </c>
      <c r="AF621" s="6485"/>
      <c r="AG621" s="6485"/>
      <c r="AH621" s="6485"/>
      <c r="AI621" s="6485"/>
      <c r="AJ621" s="6485"/>
      <c r="AK621" s="6485"/>
      <c r="AL621" s="6485"/>
      <c r="AM621" s="6485"/>
    </row>
    <row r="622" spans="1:39" ht="12.75" customHeight="1" thickBot="1">
      <c r="A622" s="219">
        <v>613</v>
      </c>
      <c r="B622" s="7145"/>
      <c r="C622" s="443"/>
      <c r="D622" s="78" t="s">
        <v>9785</v>
      </c>
      <c r="E622" s="75">
        <v>0</v>
      </c>
      <c r="F622" s="75">
        <v>0</v>
      </c>
      <c r="G622" s="75">
        <v>0</v>
      </c>
      <c r="H622" s="75">
        <v>0</v>
      </c>
      <c r="I622" s="540">
        <v>0</v>
      </c>
      <c r="J622" s="75" t="s">
        <v>1315</v>
      </c>
      <c r="K622" s="75" t="s">
        <v>1315</v>
      </c>
      <c r="L622" s="75">
        <v>0</v>
      </c>
      <c r="M622" s="75">
        <v>0</v>
      </c>
      <c r="N622" s="75">
        <v>0</v>
      </c>
      <c r="O622" s="540">
        <v>0</v>
      </c>
      <c r="P622" s="75">
        <v>0</v>
      </c>
      <c r="Q622" s="75">
        <v>0</v>
      </c>
      <c r="R622" s="1030">
        <v>0</v>
      </c>
      <c r="T622" s="7947" t="s">
        <v>6671</v>
      </c>
      <c r="U622" s="7948"/>
      <c r="X622" s="801" t="s">
        <v>2016</v>
      </c>
      <c r="Y622" s="218"/>
      <c r="Z622" s="218" t="s">
        <v>7845</v>
      </c>
      <c r="AA622" s="794">
        <f>COUNTIF(PDs!$Y$43:$AA$48,Tablas!X622)</f>
        <v>0</v>
      </c>
      <c r="AC622" s="653">
        <v>40</v>
      </c>
      <c r="AE622" s="7865"/>
      <c r="AF622" s="6485"/>
      <c r="AG622" s="6485"/>
      <c r="AH622" s="6485"/>
      <c r="AI622" s="6485"/>
      <c r="AJ622" s="6485"/>
      <c r="AK622" s="6485"/>
      <c r="AL622" s="6485"/>
      <c r="AM622" s="6485"/>
    </row>
    <row r="623" spans="1:39" ht="12.75" customHeight="1">
      <c r="A623" s="219">
        <v>614</v>
      </c>
      <c r="B623" s="7145"/>
      <c r="C623" s="443"/>
      <c r="D623" s="78" t="s">
        <v>9786</v>
      </c>
      <c r="E623" s="75">
        <v>0</v>
      </c>
      <c r="F623" s="75">
        <v>0</v>
      </c>
      <c r="G623" s="75">
        <v>0</v>
      </c>
      <c r="H623" s="75">
        <v>0</v>
      </c>
      <c r="I623" s="540">
        <v>0</v>
      </c>
      <c r="J623" s="75" t="s">
        <v>1014</v>
      </c>
      <c r="K623" s="75" t="s">
        <v>1826</v>
      </c>
      <c r="L623" s="75">
        <v>1</v>
      </c>
      <c r="M623" s="75">
        <v>1</v>
      </c>
      <c r="N623" s="75">
        <v>1</v>
      </c>
      <c r="O623" s="540">
        <v>1</v>
      </c>
      <c r="P623" s="75">
        <v>1</v>
      </c>
      <c r="Q623" s="75">
        <v>1</v>
      </c>
      <c r="R623" s="1030">
        <v>2</v>
      </c>
      <c r="T623" s="773" t="s">
        <v>6665</v>
      </c>
      <c r="U623" s="770">
        <f>COUNTIF(Combate!$AB$55:$AG$64,$E$1107)*COUNTIF(Personalización!$AH$102:$AJ$104,Tablas!$T623)</f>
        <v>0</v>
      </c>
      <c r="X623" s="801" t="s">
        <v>1974</v>
      </c>
      <c r="Y623" s="218"/>
      <c r="Z623" s="218" t="s">
        <v>9680</v>
      </c>
      <c r="AA623" s="794">
        <f>COUNTIF(PDs!$Y$43:$AA$48,Tablas!X623)</f>
        <v>0</v>
      </c>
      <c r="AC623" s="653">
        <v>45</v>
      </c>
      <c r="AE623" s="8182" t="s">
        <v>7850</v>
      </c>
      <c r="AF623" s="8183"/>
      <c r="AG623" s="938" t="str">
        <f>Arma_Desarrollada&amp;", "</f>
        <v xml:space="preserve">Arma #1, </v>
      </c>
      <c r="AH623" s="937"/>
      <c r="AI623" s="937"/>
      <c r="AJ623" s="937"/>
      <c r="AK623" s="1135"/>
      <c r="AL623" s="1135"/>
      <c r="AM623" s="1136"/>
    </row>
    <row r="624" spans="1:39" ht="12.75" customHeight="1" thickBot="1">
      <c r="A624" s="219">
        <v>615</v>
      </c>
      <c r="B624" s="7145"/>
      <c r="C624" s="443"/>
      <c r="D624" s="78" t="s">
        <v>9787</v>
      </c>
      <c r="E624" s="75">
        <v>0</v>
      </c>
      <c r="F624" s="75">
        <v>0</v>
      </c>
      <c r="G624" s="75">
        <v>0</v>
      </c>
      <c r="H624" s="75">
        <v>0</v>
      </c>
      <c r="I624" s="540">
        <v>0</v>
      </c>
      <c r="J624" s="75" t="s">
        <v>1014</v>
      </c>
      <c r="K624" s="75" t="s">
        <v>1826</v>
      </c>
      <c r="L624" s="75">
        <v>2</v>
      </c>
      <c r="M624" s="75">
        <v>2</v>
      </c>
      <c r="N624" s="75">
        <v>2</v>
      </c>
      <c r="O624" s="540">
        <v>2</v>
      </c>
      <c r="P624" s="75">
        <v>2</v>
      </c>
      <c r="Q624" s="75">
        <v>2</v>
      </c>
      <c r="R624" s="1030">
        <v>5</v>
      </c>
      <c r="T624" s="771" t="s">
        <v>6673</v>
      </c>
      <c r="U624" s="770">
        <f>COUNTIF(Combate!$AB$55:$AG$64,$E$1107)*COUNTIF(Personalización!$AH$102:$AJ$104,Tablas!$T624)</f>
        <v>0</v>
      </c>
      <c r="X624" s="801" t="s">
        <v>1994</v>
      </c>
      <c r="Y624" s="218"/>
      <c r="Z624" s="218" t="s">
        <v>7846</v>
      </c>
      <c r="AA624" s="794">
        <f>COUNTIF(PDs!$Y$43:$AA$48,Tablas!X624)</f>
        <v>0</v>
      </c>
      <c r="AC624" s="654">
        <v>50</v>
      </c>
      <c r="AE624" s="7952" t="s">
        <v>7854</v>
      </c>
      <c r="AF624" s="7953"/>
      <c r="AG624" s="938" t="str">
        <f>IF(AH624="","",AH624&amp;", ")&amp;IF(AI624="","",AI624&amp;", ")&amp;IF(AJ624="","",AJ624&amp;", ")&amp;IF(AK624="","",AK624&amp;", ")&amp;IF(AL624="","",AL624&amp;", ")&amp;IF(AM624="","",AM624&amp;", ")</f>
        <v/>
      </c>
      <c r="AH624" s="937" t="str">
        <f>IF(ISNUMBER(SEARCH("Uso de arma",INDEX(PDs!$V43:$V$48,Tablas!A1))),INDEX(PDs!$Y$43:$Y$48,Tablas!A1),"")</f>
        <v/>
      </c>
      <c r="AI624" s="937" t="str">
        <f>IF(ISNUMBER(SEARCH("Uso de arma",INDEX(PDs!$V43:$V$48,Tablas!B1))),INDEX(PDs!$Y$43:$Y$48,Tablas!B1),"")</f>
        <v/>
      </c>
      <c r="AJ624" s="937" t="str">
        <f>IF(ISNUMBER(SEARCH("Uso de arma",INDEX(PDs!$V43:$V$48,Tablas!C1))),INDEX(PDs!$Y$43:$Y$48,Tablas!C1),"")</f>
        <v/>
      </c>
      <c r="AK624" s="1135" t="str">
        <f>IF(ISNUMBER(SEARCH("Uso de arma",INDEX(PDs!$V43:$V$48,Tablas!D1))),INDEX(PDs!$Y$43:$Y$48,Tablas!D1),"")</f>
        <v/>
      </c>
      <c r="AL624" s="1135" t="str">
        <f>IF(ISNUMBER(SEARCH("Uso de arma",INDEX(PDs!$V43:$V$48,Tablas!E1))),INDEX(PDs!$Y$43:$Y$48,Tablas!E1),"")</f>
        <v/>
      </c>
      <c r="AM624" s="1136" t="str">
        <f>IF(ISNUMBER(SEARCH("Uso de arma",INDEX(PDs!$V43:$V$48,Tablas!F1))),INDEX(PDs!$Y$43:$Y$48,Tablas!F1),"")</f>
        <v/>
      </c>
    </row>
    <row r="625" spans="1:39" ht="12.75" customHeight="1">
      <c r="A625" s="219">
        <v>616</v>
      </c>
      <c r="B625" s="7145"/>
      <c r="C625" s="443"/>
      <c r="D625" s="78" t="s">
        <v>9788</v>
      </c>
      <c r="E625" s="75">
        <v>0</v>
      </c>
      <c r="F625" s="75">
        <v>0</v>
      </c>
      <c r="G625" s="75">
        <v>0</v>
      </c>
      <c r="H625" s="75">
        <v>0</v>
      </c>
      <c r="I625" s="540">
        <v>0</v>
      </c>
      <c r="J625" s="75" t="s">
        <v>1014</v>
      </c>
      <c r="K625" s="75" t="s">
        <v>1826</v>
      </c>
      <c r="L625" s="75">
        <v>4</v>
      </c>
      <c r="M625" s="75">
        <v>4</v>
      </c>
      <c r="N625" s="75">
        <v>4</v>
      </c>
      <c r="O625" s="540">
        <v>4</v>
      </c>
      <c r="P625" s="75">
        <v>4</v>
      </c>
      <c r="Q625" s="75">
        <v>4</v>
      </c>
      <c r="R625" s="1030">
        <v>8</v>
      </c>
      <c r="T625" s="771" t="s">
        <v>6675</v>
      </c>
      <c r="U625" s="770">
        <f>COUNTIF(Combate!$AB$55:$AG$64,$E$1107)*COUNTIF(Personalización!$AH$102:$AJ$104,Tablas!$T625)</f>
        <v>0</v>
      </c>
      <c r="X625" s="801" t="s">
        <v>1963</v>
      </c>
      <c r="Y625" s="218"/>
      <c r="Z625" s="218" t="s">
        <v>9681</v>
      </c>
      <c r="AA625" s="794">
        <f>COUNTIF(PDs!$Y$43:$AA$48,Tablas!X625)</f>
        <v>0</v>
      </c>
      <c r="AC625" s="219"/>
      <c r="AE625" s="7952" t="s">
        <v>7851</v>
      </c>
      <c r="AF625" s="7953"/>
      <c r="AG625" s="938" t="str">
        <f>IF(AH625="","",AH625&amp;", ")&amp;IF(AI625="","",AI625&amp;", ")&amp;IF(AJ625="","",AJ625&amp;", ")&amp;IF(AK625="","",AK625&amp;", ")&amp;IF(AL625="","",AL625&amp;", ")&amp;IF(AM625="","",AM625&amp;", ")</f>
        <v/>
      </c>
      <c r="AH625" s="937" t="str">
        <f>IF(ISNUMBER(SEARCH("profesión",INDEX(Compra_TablasArmas,Tablas!A1,18))),VLOOKUP(INDEX(Compra_TablasArmas,Tablas!A1,21),Tabla_ArmasArquetípicas,3,FALSE),"")</f>
        <v/>
      </c>
      <c r="AI625" s="937" t="str">
        <f>IF(ISNUMBER(SEARCH("profesión",INDEX(Compra_TablasArmas,Tablas!B1,18))),VLOOKUP(INDEX(Compra_TablasArmas,Tablas!B1,21),Tabla_ArmasArquetípicas,3,FALSE),"")</f>
        <v/>
      </c>
      <c r="AJ625" s="937" t="str">
        <f>IF(ISNUMBER(SEARCH("profesión",INDEX(Compra_TablasArmas,Tablas!C1,18))),VLOOKUP(INDEX(Compra_TablasArmas,Tablas!C1,21),Tabla_ArmasArquetípicas,3,FALSE),"")</f>
        <v/>
      </c>
      <c r="AK625" s="1135" t="str">
        <f>IF(ISNUMBER(SEARCH("profesión",INDEX(Compra_TablasArmas,Tablas!D1,18))),VLOOKUP(INDEX(Compra_TablasArmas,Tablas!D1,21),Tabla_ArmasArquetípicas,3,FALSE),"")</f>
        <v/>
      </c>
      <c r="AL625" s="1135" t="str">
        <f>IF(ISNUMBER(SEARCH("profesión",INDEX(Compra_TablasArmas,Tablas!E1,18))),VLOOKUP(INDEX(Compra_TablasArmas,Tablas!E1,21),Tabla_ArmasArquetípicas,3,FALSE),"")</f>
        <v/>
      </c>
      <c r="AM625" s="1136" t="str">
        <f>IF(ISNUMBER(SEARCH("profesión",INDEX(Compra_TablasArmas,Tablas!F1,18))),VLOOKUP(INDEX(Compra_TablasArmas,Tablas!F1,21),Tabla_ArmasArquetípicas,3,FALSE),"")</f>
        <v/>
      </c>
    </row>
    <row r="626" spans="1:39" ht="12.75" customHeight="1">
      <c r="A626" s="219">
        <v>617</v>
      </c>
      <c r="B626" s="7145"/>
      <c r="C626" s="443"/>
      <c r="D626" s="78" t="s">
        <v>9789</v>
      </c>
      <c r="E626" s="75">
        <v>0</v>
      </c>
      <c r="F626" s="75">
        <v>0</v>
      </c>
      <c r="G626" s="75">
        <v>0</v>
      </c>
      <c r="H626" s="75">
        <v>0</v>
      </c>
      <c r="I626" s="540">
        <v>0</v>
      </c>
      <c r="J626" s="75" t="s">
        <v>1014</v>
      </c>
      <c r="K626" s="75" t="s">
        <v>1826</v>
      </c>
      <c r="L626" s="75">
        <v>6</v>
      </c>
      <c r="M626" s="75">
        <v>6</v>
      </c>
      <c r="N626" s="75">
        <v>6</v>
      </c>
      <c r="O626" s="540">
        <v>6</v>
      </c>
      <c r="P626" s="75">
        <v>6</v>
      </c>
      <c r="Q626" s="75">
        <v>6</v>
      </c>
      <c r="R626" s="1030">
        <v>12</v>
      </c>
      <c r="T626" s="771" t="s">
        <v>6676</v>
      </c>
      <c r="U626" s="770">
        <f>COUNTIF(Combate!$AB$55:$AG$64,$E$1107)*COUNTIF(Personalización!$AH$102:$AJ$104,Tablas!$T626)</f>
        <v>0</v>
      </c>
      <c r="X626" s="801" t="s">
        <v>1990</v>
      </c>
      <c r="Y626" s="218"/>
      <c r="Z626" s="218" t="s">
        <v>7847</v>
      </c>
      <c r="AA626" s="794">
        <f>COUNTIF(PDs!$Y$43:$AA$48,Tablas!X626)</f>
        <v>0</v>
      </c>
      <c r="AC626" s="219"/>
      <c r="AE626" s="7952" t="s">
        <v>7852</v>
      </c>
      <c r="AF626" s="7953"/>
      <c r="AG626" s="938" t="str">
        <f>IF(AH626="","",AH626&amp;", ")&amp;IF(AI626="","",AI626&amp;", ")&amp;IF(AJ626="","",AJ626&amp;", ")&amp;IF(AK626="","",AK626&amp;", ")&amp;IF(AL626="","",AL626&amp;", ")&amp;IF(AM626="","",AM626&amp;", ")</f>
        <v/>
      </c>
      <c r="AH626" s="937" t="str">
        <f>IF(INDEX(PDs!$E$78:$E$80,Tablas!A1)="","",VLOOKUP(INDEX(PDs!$E$78:$E$80,Tablas!A1),Tabla_AM_Armas,5,FALSE))</f>
        <v/>
      </c>
      <c r="AI626" s="937" t="str">
        <f>IF(INDEX(PDs!$E$78:$E$80,Tablas!B1)="","",VLOOKUP(INDEX(PDs!$E$78:$E$80,Tablas!B1),Tabla_AM_Armas,5,FALSE))</f>
        <v/>
      </c>
      <c r="AJ626" s="937" t="str">
        <f>IF(INDEX(PDs!$E$78:$E$80,Tablas!C1)="","",VLOOKUP(INDEX(PDs!$E$78:$E$80,Tablas!C1),Tabla_AM_Armas,5,FALSE))</f>
        <v/>
      </c>
      <c r="AK626" s="1135"/>
      <c r="AL626" s="1135"/>
      <c r="AM626" s="1136"/>
    </row>
    <row r="627" spans="1:39" ht="12.75" customHeight="1">
      <c r="A627" s="219">
        <v>618</v>
      </c>
      <c r="B627" s="7145"/>
      <c r="C627" s="443"/>
      <c r="D627" s="78" t="s">
        <v>9790</v>
      </c>
      <c r="E627" s="75">
        <v>0</v>
      </c>
      <c r="F627" s="75">
        <v>0</v>
      </c>
      <c r="G627" s="75">
        <v>0</v>
      </c>
      <c r="H627" s="75">
        <v>0</v>
      </c>
      <c r="I627" s="540">
        <v>0</v>
      </c>
      <c r="J627" s="75" t="s">
        <v>1014</v>
      </c>
      <c r="K627" s="75" t="s">
        <v>1826</v>
      </c>
      <c r="L627" s="75">
        <v>2</v>
      </c>
      <c r="M627" s="75">
        <v>2</v>
      </c>
      <c r="N627" s="75">
        <v>2</v>
      </c>
      <c r="O627" s="540">
        <v>2</v>
      </c>
      <c r="P627" s="75">
        <v>2</v>
      </c>
      <c r="Q627" s="75">
        <v>2</v>
      </c>
      <c r="R627" s="1030">
        <v>0</v>
      </c>
      <c r="T627" s="771" t="s">
        <v>6678</v>
      </c>
      <c r="U627" s="770">
        <f>COUNTIF(Combate!$AB$55:$AG$64,$E$1107)*COUNTIF(Personalización!$AH$102:$AJ$104,Tablas!$T627)</f>
        <v>0</v>
      </c>
      <c r="X627" s="801" t="s">
        <v>1966</v>
      </c>
      <c r="Y627" s="218"/>
      <c r="Z627" s="218" t="s">
        <v>7848</v>
      </c>
      <c r="AA627" s="794">
        <f>COUNTIF(PDs!$Y$43:$AA$48,Tablas!X627)</f>
        <v>0</v>
      </c>
      <c r="AE627" s="7952" t="s">
        <v>7853</v>
      </c>
      <c r="AF627" s="7953"/>
      <c r="AG627" s="938" t="str">
        <f>IF(AH627="","",AH627&amp;", ")&amp;IF(AI627="","",AI627&amp;", ")&amp;IF(AJ627="","",AJ627&amp;", ")&amp;IF(AK627="","",AK627&amp;", ")&amp;IF(AL627="","",AL627&amp;", ")&amp;IF(AM627="","",AM627&amp;", ")</f>
        <v/>
      </c>
      <c r="AH627" s="937" t="str">
        <f>IF(ISNUMBER(SEARCH("tipología",INDEX(Compra_TablasArmas,Tablas!A1,18))),VLOOKUP(INDEX(Compra_TablasArmas,Tablas!A1,21),Tabla_Tipologías,3,FALSE),"")</f>
        <v/>
      </c>
      <c r="AI627" s="937" t="str">
        <f>IF(ISNUMBER(SEARCH("tipología",INDEX(Compra_TablasArmas,Tablas!B1,18))),VLOOKUP(INDEX(Compra_TablasArmas,Tablas!B1,21),Tabla_Tipologías,3,FALSE),"")</f>
        <v/>
      </c>
      <c r="AJ627" s="937" t="str">
        <f>IF(ISNUMBER(SEARCH("tipología",INDEX(Compra_TablasArmas,Tablas!C1,18))),VLOOKUP(INDEX(Compra_TablasArmas,Tablas!C1,21),Tabla_Tipologías,3,FALSE),"")</f>
        <v/>
      </c>
      <c r="AK627" s="1135" t="str">
        <f>IF(ISNUMBER(SEARCH("tipología",INDEX(Compra_TablasArmas,Tablas!D1,18))),VLOOKUP(INDEX(Compra_TablasArmas,Tablas!D1,21),Tabla_Tipologías,3,FALSE),"")</f>
        <v/>
      </c>
      <c r="AL627" s="1135" t="str">
        <f>IF(ISNUMBER(SEARCH("tipología",INDEX(Compra_TablasArmas,Tablas!E1,18))),VLOOKUP(INDEX(Compra_TablasArmas,Tablas!E1,21),Tabla_Tipologías,3,FALSE),"")</f>
        <v/>
      </c>
      <c r="AM627" s="1136" t="str">
        <f>IF(ISNUMBER(SEARCH("tipología",INDEX(Compra_TablasArmas,Tablas!F1,18))),VLOOKUP(INDEX(Compra_TablasArmas,Tablas!F1,21),Tabla_Tipologías,3,FALSE),"")</f>
        <v/>
      </c>
    </row>
    <row r="628" spans="1:39" ht="12.75" customHeight="1" thickBot="1">
      <c r="A628" s="219">
        <v>619</v>
      </c>
      <c r="B628" s="7145"/>
      <c r="C628" s="443"/>
      <c r="D628" s="78" t="s">
        <v>9791</v>
      </c>
      <c r="E628" s="75">
        <v>0</v>
      </c>
      <c r="F628" s="75">
        <v>0</v>
      </c>
      <c r="G628" s="75">
        <v>0</v>
      </c>
      <c r="H628" s="75">
        <v>0</v>
      </c>
      <c r="I628" s="540">
        <v>0</v>
      </c>
      <c r="J628" s="75" t="s">
        <v>1014</v>
      </c>
      <c r="K628" s="75" t="s">
        <v>1826</v>
      </c>
      <c r="L628" s="75">
        <v>4</v>
      </c>
      <c r="M628" s="75">
        <v>4</v>
      </c>
      <c r="N628" s="75">
        <v>4</v>
      </c>
      <c r="O628" s="540">
        <v>4</v>
      </c>
      <c r="P628" s="75">
        <v>4</v>
      </c>
      <c r="Q628" s="75">
        <v>4</v>
      </c>
      <c r="R628" s="1030">
        <v>0</v>
      </c>
      <c r="T628" s="772" t="s">
        <v>6680</v>
      </c>
      <c r="U628" s="3940">
        <f>COUNTIF(Combate!$AB$55:$AG$64,$E$1107)*COUNTIF(Personalización!$AH$102:$AJ$104,Tablas!$T628)</f>
        <v>0</v>
      </c>
      <c r="X628" s="801" t="s">
        <v>2042</v>
      </c>
      <c r="Y628" s="218"/>
      <c r="Z628" s="218" t="s">
        <v>8135</v>
      </c>
      <c r="AA628" s="794">
        <f>COUNTIF(PDs!$Y$43:$AA$48,Tablas!X628)</f>
        <v>0</v>
      </c>
      <c r="AE628" s="7952" t="s">
        <v>11751</v>
      </c>
      <c r="AF628" s="7953"/>
      <c r="AG628" s="3663" t="str">
        <f>Z616&amp;", "</f>
        <v xml:space="preserve">, </v>
      </c>
      <c r="AH628" s="937"/>
      <c r="AI628" s="937"/>
      <c r="AJ628" s="937"/>
      <c r="AK628" s="1135"/>
      <c r="AL628" s="1135"/>
      <c r="AM628" s="1136"/>
    </row>
    <row r="629" spans="1:39" ht="12.75" customHeight="1" thickBot="1">
      <c r="A629" s="219">
        <v>620</v>
      </c>
      <c r="B629" s="7145"/>
      <c r="C629" s="443"/>
      <c r="D629" s="78" t="s">
        <v>9792</v>
      </c>
      <c r="E629" s="75">
        <v>0</v>
      </c>
      <c r="F629" s="75">
        <v>0</v>
      </c>
      <c r="G629" s="75">
        <v>0</v>
      </c>
      <c r="H629" s="75">
        <v>0</v>
      </c>
      <c r="I629" s="540">
        <v>0</v>
      </c>
      <c r="J629" s="75" t="s">
        <v>1014</v>
      </c>
      <c r="K629" s="75" t="s">
        <v>1826</v>
      </c>
      <c r="L629" s="75">
        <v>6</v>
      </c>
      <c r="M629" s="75">
        <v>6</v>
      </c>
      <c r="N629" s="75">
        <v>6</v>
      </c>
      <c r="O629" s="540">
        <v>6</v>
      </c>
      <c r="P629" s="75">
        <v>6</v>
      </c>
      <c r="Q629" s="75">
        <v>6</v>
      </c>
      <c r="R629" s="1030">
        <v>0</v>
      </c>
      <c r="X629" s="802" t="s">
        <v>1439</v>
      </c>
      <c r="Y629" s="803"/>
      <c r="Z629" s="803" t="s">
        <v>7849</v>
      </c>
      <c r="AA629" s="943">
        <f>COUNTIF(PDs!$Y$43:$AA$48,Tablas!X629)</f>
        <v>0</v>
      </c>
      <c r="AE629" s="7954" t="s">
        <v>3021</v>
      </c>
      <c r="AF629" s="7955"/>
      <c r="AG629" s="939" t="str">
        <f>SUBSTITUTE(AG623&amp;AG624&amp;AG625&amp;AG626&amp;AG627&amp;AG628," y",", ")</f>
        <v xml:space="preserve">Arma #1, , </v>
      </c>
      <c r="AH629" s="940"/>
      <c r="AI629" s="940"/>
      <c r="AJ629" s="940"/>
      <c r="AK629" s="1138"/>
      <c r="AL629" s="1138"/>
      <c r="AM629" s="1139"/>
    </row>
    <row r="630" spans="1:39" ht="12.75" customHeight="1" thickBot="1">
      <c r="A630" s="219">
        <v>621</v>
      </c>
      <c r="B630" s="7145"/>
      <c r="C630" s="443"/>
      <c r="D630" s="78" t="s">
        <v>9793</v>
      </c>
      <c r="E630" s="75">
        <v>0</v>
      </c>
      <c r="F630" s="75">
        <v>0</v>
      </c>
      <c r="G630" s="75">
        <v>0</v>
      </c>
      <c r="H630" s="75">
        <v>0</v>
      </c>
      <c r="I630" s="540">
        <v>0</v>
      </c>
      <c r="J630" s="75" t="s">
        <v>1014</v>
      </c>
      <c r="K630" s="75" t="s">
        <v>1826</v>
      </c>
      <c r="L630" s="75">
        <v>8</v>
      </c>
      <c r="M630" s="75">
        <v>8</v>
      </c>
      <c r="N630" s="75">
        <v>8</v>
      </c>
      <c r="O630" s="540">
        <v>8</v>
      </c>
      <c r="P630" s="75">
        <v>8</v>
      </c>
      <c r="Q630" s="75">
        <v>8</v>
      </c>
      <c r="R630" s="1030">
        <v>0</v>
      </c>
    </row>
    <row r="631" spans="1:39" ht="12.75" customHeight="1">
      <c r="A631" s="219">
        <v>622</v>
      </c>
      <c r="B631" s="7145"/>
      <c r="C631" s="443"/>
      <c r="D631" s="78" t="s">
        <v>9797</v>
      </c>
      <c r="E631" s="75">
        <v>0</v>
      </c>
      <c r="F631" s="75">
        <v>0</v>
      </c>
      <c r="G631" s="75">
        <v>0</v>
      </c>
      <c r="H631" s="75">
        <v>0</v>
      </c>
      <c r="I631" s="540">
        <v>0</v>
      </c>
      <c r="J631" s="75" t="s">
        <v>1014</v>
      </c>
      <c r="K631" s="75" t="s">
        <v>1826</v>
      </c>
      <c r="L631" s="75">
        <v>6</v>
      </c>
      <c r="M631" s="75">
        <v>6</v>
      </c>
      <c r="N631" s="75">
        <v>6</v>
      </c>
      <c r="O631" s="540">
        <v>6</v>
      </c>
      <c r="P631" s="75">
        <v>6</v>
      </c>
      <c r="Q631" s="75">
        <v>6</v>
      </c>
      <c r="R631" s="1030">
        <v>0</v>
      </c>
      <c r="U631" s="7979" t="s">
        <v>1044</v>
      </c>
      <c r="V631" s="7979"/>
      <c r="W631" s="7979"/>
      <c r="X631" s="7979"/>
      <c r="Y631" s="7979"/>
      <c r="Z631" s="7979"/>
      <c r="AA631" s="7979"/>
      <c r="AB631" s="7979"/>
      <c r="AC631" s="7979"/>
      <c r="AD631" s="7979"/>
      <c r="AE631" s="7979"/>
      <c r="AF631" s="7979"/>
      <c r="AG631" s="7979"/>
      <c r="AH631" s="7979"/>
      <c r="AI631" s="7979"/>
    </row>
    <row r="632" spans="1:39" ht="12.75" customHeight="1" thickBot="1">
      <c r="A632" s="219">
        <v>623</v>
      </c>
      <c r="B632" s="7145"/>
      <c r="C632" s="443"/>
      <c r="D632" s="78" t="s">
        <v>9794</v>
      </c>
      <c r="E632" s="75">
        <v>0</v>
      </c>
      <c r="F632" s="75">
        <v>0</v>
      </c>
      <c r="G632" s="75">
        <v>0</v>
      </c>
      <c r="H632" s="75">
        <v>0</v>
      </c>
      <c r="I632" s="540">
        <v>0</v>
      </c>
      <c r="J632" s="75" t="s">
        <v>1014</v>
      </c>
      <c r="K632" s="75" t="s">
        <v>1826</v>
      </c>
      <c r="L632" s="75">
        <v>8</v>
      </c>
      <c r="M632" s="75">
        <v>8</v>
      </c>
      <c r="N632" s="75">
        <v>8</v>
      </c>
      <c r="O632" s="540">
        <v>8</v>
      </c>
      <c r="P632" s="75">
        <v>8</v>
      </c>
      <c r="Q632" s="75">
        <v>8</v>
      </c>
      <c r="R632" s="1030">
        <v>0</v>
      </c>
      <c r="U632" s="196"/>
      <c r="V632" s="197" t="s">
        <v>1407</v>
      </c>
      <c r="W632" s="197" t="s">
        <v>1688</v>
      </c>
      <c r="X632" s="197" t="s">
        <v>1045</v>
      </c>
      <c r="Y632" s="197" t="s">
        <v>1818</v>
      </c>
      <c r="Z632" s="197" t="s">
        <v>1952</v>
      </c>
      <c r="AA632" s="197" t="s">
        <v>1189</v>
      </c>
      <c r="AB632" s="197" t="s">
        <v>1230</v>
      </c>
      <c r="AC632" s="197" t="s">
        <v>1410</v>
      </c>
      <c r="AD632" s="197" t="s">
        <v>1357</v>
      </c>
      <c r="AE632" s="197" t="s">
        <v>1411</v>
      </c>
      <c r="AF632" s="197" t="s">
        <v>1412</v>
      </c>
      <c r="AG632" s="197" t="s">
        <v>1413</v>
      </c>
      <c r="AH632" s="197" t="s">
        <v>1414</v>
      </c>
      <c r="AI632" s="198" t="s">
        <v>1415</v>
      </c>
    </row>
    <row r="633" spans="1:39" ht="12.75" customHeight="1">
      <c r="A633" s="219">
        <v>624</v>
      </c>
      <c r="B633" s="7145"/>
      <c r="C633" s="443"/>
      <c r="D633" s="78" t="s">
        <v>9795</v>
      </c>
      <c r="E633" s="75">
        <v>0</v>
      </c>
      <c r="F633" s="75">
        <v>0</v>
      </c>
      <c r="G633" s="75">
        <v>0</v>
      </c>
      <c r="H633" s="75">
        <v>0</v>
      </c>
      <c r="I633" s="540">
        <v>0</v>
      </c>
      <c r="J633" s="75" t="s">
        <v>1014</v>
      </c>
      <c r="K633" s="75" t="s">
        <v>1826</v>
      </c>
      <c r="L633" s="75">
        <v>10</v>
      </c>
      <c r="M633" s="75">
        <v>10</v>
      </c>
      <c r="N633" s="75">
        <v>10</v>
      </c>
      <c r="O633" s="540">
        <v>10</v>
      </c>
      <c r="P633" s="75">
        <v>10</v>
      </c>
      <c r="Q633" s="75">
        <v>10</v>
      </c>
      <c r="R633" s="1030">
        <v>0</v>
      </c>
      <c r="U633" s="85"/>
      <c r="V633" s="78" t="s">
        <v>1046</v>
      </c>
      <c r="W633" s="75">
        <v>0</v>
      </c>
      <c r="X633" s="75">
        <v>0</v>
      </c>
      <c r="Y633" s="75">
        <v>0</v>
      </c>
      <c r="Z633" s="75">
        <v>0</v>
      </c>
      <c r="AA633" s="75" t="s">
        <v>1315</v>
      </c>
      <c r="AB633" s="75" t="s">
        <v>1315</v>
      </c>
      <c r="AC633" s="75">
        <v>0</v>
      </c>
      <c r="AD633" s="75">
        <v>0</v>
      </c>
      <c r="AE633" s="75">
        <v>0</v>
      </c>
      <c r="AF633" s="75">
        <v>0</v>
      </c>
      <c r="AG633" s="75">
        <v>0</v>
      </c>
      <c r="AH633" s="75">
        <v>0</v>
      </c>
      <c r="AI633" s="224">
        <v>0</v>
      </c>
    </row>
    <row r="634" spans="1:39" ht="12.75" customHeight="1">
      <c r="A634" s="219">
        <v>625</v>
      </c>
      <c r="B634" s="7145"/>
      <c r="C634" s="443"/>
      <c r="D634" s="78" t="s">
        <v>9796</v>
      </c>
      <c r="E634" s="75">
        <v>0</v>
      </c>
      <c r="F634" s="75">
        <v>0</v>
      </c>
      <c r="G634" s="75">
        <v>0</v>
      </c>
      <c r="H634" s="75">
        <v>0</v>
      </c>
      <c r="I634" s="540">
        <v>0</v>
      </c>
      <c r="J634" s="75" t="s">
        <v>1014</v>
      </c>
      <c r="K634" s="75" t="s">
        <v>1826</v>
      </c>
      <c r="L634" s="75">
        <v>12</v>
      </c>
      <c r="M634" s="75">
        <v>12</v>
      </c>
      <c r="N634" s="75">
        <v>12</v>
      </c>
      <c r="O634" s="540">
        <v>12</v>
      </c>
      <c r="P634" s="75">
        <v>12</v>
      </c>
      <c r="Q634" s="75">
        <v>12</v>
      </c>
      <c r="R634" s="1030">
        <v>0</v>
      </c>
      <c r="U634" s="85"/>
      <c r="V634" s="239" t="str">
        <f>IF(Personalización!Y31=0,"Armadura #1",Personalización!Y31)</f>
        <v>Armadura #1</v>
      </c>
      <c r="W634" s="75">
        <f>Personalización!W33</f>
        <v>0</v>
      </c>
      <c r="X634" s="75">
        <f>Personalización!Y33</f>
        <v>0</v>
      </c>
      <c r="Y634" s="75">
        <f>Personalización!AC37</f>
        <v>0</v>
      </c>
      <c r="Z634" s="75">
        <f>Personalización!AC38</f>
        <v>0</v>
      </c>
      <c r="AA634" s="75">
        <f>Personalización!Y38</f>
        <v>0</v>
      </c>
      <c r="AB634" s="75">
        <f>Personalización!Y37</f>
        <v>0</v>
      </c>
      <c r="AC634" s="828">
        <f>Personalización!W35</f>
        <v>0</v>
      </c>
      <c r="AD634" s="75">
        <f>Personalización!X35</f>
        <v>0</v>
      </c>
      <c r="AE634" s="75">
        <f>Personalización!Y35</f>
        <v>0</v>
      </c>
      <c r="AF634" s="75">
        <f>Personalización!Z35</f>
        <v>0</v>
      </c>
      <c r="AG634" s="75">
        <f>Personalización!AA35</f>
        <v>0</v>
      </c>
      <c r="AH634" s="75">
        <f>Personalización!AB35</f>
        <v>0</v>
      </c>
      <c r="AI634" s="224">
        <f>Personalización!AC35</f>
        <v>0</v>
      </c>
    </row>
    <row r="635" spans="1:39" ht="12.75" customHeight="1">
      <c r="A635" s="219">
        <v>626</v>
      </c>
      <c r="B635" s="7145"/>
      <c r="C635" s="443"/>
      <c r="D635" s="78" t="s">
        <v>9798</v>
      </c>
      <c r="E635" s="75">
        <v>0</v>
      </c>
      <c r="F635" s="75">
        <v>0</v>
      </c>
      <c r="G635" s="75">
        <v>0</v>
      </c>
      <c r="H635" s="75">
        <v>0</v>
      </c>
      <c r="I635" s="540">
        <v>0</v>
      </c>
      <c r="J635" s="75" t="s">
        <v>1014</v>
      </c>
      <c r="K635" s="75" t="s">
        <v>1826</v>
      </c>
      <c r="L635" s="75">
        <v>2</v>
      </c>
      <c r="M635" s="75">
        <v>2</v>
      </c>
      <c r="N635" s="75">
        <v>2</v>
      </c>
      <c r="O635" s="540">
        <v>2</v>
      </c>
      <c r="P635" s="75">
        <v>2</v>
      </c>
      <c r="Q635" s="75">
        <v>2</v>
      </c>
      <c r="R635" s="1030">
        <v>0</v>
      </c>
      <c r="U635" s="85"/>
      <c r="V635" s="78" t="str">
        <f>IF(Personalización!AF31=0,"Armadura #2",Personalización!AF31)</f>
        <v>Armadura #2</v>
      </c>
      <c r="W635" s="75">
        <f>Personalización!AD33</f>
        <v>0</v>
      </c>
      <c r="X635" s="75">
        <f>Personalización!AF33</f>
        <v>0</v>
      </c>
      <c r="Y635" s="75">
        <f>Personalización!AJ37</f>
        <v>0</v>
      </c>
      <c r="Z635" s="75">
        <f>Personalización!AJ38</f>
        <v>0</v>
      </c>
      <c r="AA635" s="75">
        <f>Personalización!AF38</f>
        <v>0</v>
      </c>
      <c r="AB635" s="75">
        <f>Personalización!AF37</f>
        <v>0</v>
      </c>
      <c r="AC635" s="75">
        <f>Personalización!AD35</f>
        <v>0</v>
      </c>
      <c r="AD635" s="75">
        <f>Personalización!AE35</f>
        <v>0</v>
      </c>
      <c r="AE635" s="75">
        <f>Personalización!AF35</f>
        <v>0</v>
      </c>
      <c r="AF635" s="75">
        <f>Personalización!AG35</f>
        <v>0</v>
      </c>
      <c r="AG635" s="75">
        <f>Personalización!AH35</f>
        <v>0</v>
      </c>
      <c r="AH635" s="75">
        <f>Personalización!AI35</f>
        <v>0</v>
      </c>
      <c r="AI635" s="224">
        <f>Personalización!AJ35</f>
        <v>0</v>
      </c>
    </row>
    <row r="636" spans="1:39" ht="12.75" customHeight="1">
      <c r="A636" s="219">
        <v>627</v>
      </c>
      <c r="B636" s="7145"/>
      <c r="C636" s="443"/>
      <c r="D636" s="78" t="s">
        <v>9799</v>
      </c>
      <c r="E636" s="75">
        <v>0</v>
      </c>
      <c r="F636" s="75">
        <v>0</v>
      </c>
      <c r="G636" s="75">
        <v>0</v>
      </c>
      <c r="H636" s="75">
        <v>0</v>
      </c>
      <c r="I636" s="540">
        <v>0</v>
      </c>
      <c r="J636" s="75" t="s">
        <v>1014</v>
      </c>
      <c r="K636" s="75" t="s">
        <v>1826</v>
      </c>
      <c r="L636" s="75">
        <v>4</v>
      </c>
      <c r="M636" s="75">
        <v>4</v>
      </c>
      <c r="N636" s="75">
        <v>4</v>
      </c>
      <c r="O636" s="540">
        <v>4</v>
      </c>
      <c r="P636" s="75">
        <v>4</v>
      </c>
      <c r="Q636" s="75">
        <v>4</v>
      </c>
      <c r="R636" s="1030">
        <v>0</v>
      </c>
      <c r="U636" s="85"/>
      <c r="V636" s="78" t="s">
        <v>1047</v>
      </c>
      <c r="W636" s="75">
        <v>0</v>
      </c>
      <c r="X636" s="75">
        <v>0</v>
      </c>
      <c r="Y636" s="75">
        <v>8</v>
      </c>
      <c r="Z636" s="75">
        <v>15</v>
      </c>
      <c r="AA636" s="75" t="s">
        <v>1419</v>
      </c>
      <c r="AB636" s="75" t="s">
        <v>1011</v>
      </c>
      <c r="AC636" s="75">
        <v>2</v>
      </c>
      <c r="AD636" s="75">
        <v>2</v>
      </c>
      <c r="AE636" s="75">
        <v>1</v>
      </c>
      <c r="AF636" s="75">
        <v>1</v>
      </c>
      <c r="AG636" s="75">
        <v>1</v>
      </c>
      <c r="AH636" s="75">
        <v>1</v>
      </c>
      <c r="AI636" s="224">
        <v>0</v>
      </c>
    </row>
    <row r="637" spans="1:39" ht="12.75" customHeight="1">
      <c r="A637" s="219">
        <v>628</v>
      </c>
      <c r="B637" s="7145"/>
      <c r="C637" s="443"/>
      <c r="D637" s="78" t="s">
        <v>9800</v>
      </c>
      <c r="E637" s="75">
        <v>0</v>
      </c>
      <c r="F637" s="75">
        <v>0</v>
      </c>
      <c r="G637" s="75">
        <v>0</v>
      </c>
      <c r="H637" s="75">
        <v>0</v>
      </c>
      <c r="I637" s="540">
        <v>0</v>
      </c>
      <c r="J637" s="75" t="s">
        <v>1014</v>
      </c>
      <c r="K637" s="75" t="s">
        <v>1826</v>
      </c>
      <c r="L637" s="75">
        <v>6</v>
      </c>
      <c r="M637" s="75">
        <v>6</v>
      </c>
      <c r="N637" s="75">
        <v>6</v>
      </c>
      <c r="O637" s="540">
        <v>6</v>
      </c>
      <c r="P637" s="75">
        <v>6</v>
      </c>
      <c r="Q637" s="75">
        <v>6</v>
      </c>
      <c r="R637" s="1030">
        <v>0</v>
      </c>
      <c r="U637" s="85"/>
      <c r="V637" s="78" t="s">
        <v>1048</v>
      </c>
      <c r="W637" s="75">
        <v>0</v>
      </c>
      <c r="X637" s="75">
        <v>0</v>
      </c>
      <c r="Y637" s="75">
        <v>10</v>
      </c>
      <c r="Z637" s="75">
        <v>15</v>
      </c>
      <c r="AA637" s="75" t="s">
        <v>1419</v>
      </c>
      <c r="AB637" s="75" t="s">
        <v>1010</v>
      </c>
      <c r="AC637" s="75">
        <v>1</v>
      </c>
      <c r="AD637" s="75">
        <v>0</v>
      </c>
      <c r="AE637" s="75">
        <v>2</v>
      </c>
      <c r="AF637" s="75">
        <v>1</v>
      </c>
      <c r="AG637" s="75">
        <v>3</v>
      </c>
      <c r="AH637" s="75">
        <v>1</v>
      </c>
      <c r="AI637" s="224">
        <v>0</v>
      </c>
    </row>
    <row r="638" spans="1:39" ht="12.75" customHeight="1">
      <c r="A638" s="219">
        <v>629</v>
      </c>
      <c r="B638" s="7145"/>
      <c r="C638" s="443"/>
      <c r="D638" s="78" t="s">
        <v>9801</v>
      </c>
      <c r="E638" s="75">
        <v>0</v>
      </c>
      <c r="F638" s="75">
        <v>0</v>
      </c>
      <c r="G638" s="75">
        <v>0</v>
      </c>
      <c r="H638" s="75">
        <v>0</v>
      </c>
      <c r="I638" s="540">
        <v>0</v>
      </c>
      <c r="J638" s="75" t="s">
        <v>1014</v>
      </c>
      <c r="K638" s="75" t="s">
        <v>1826</v>
      </c>
      <c r="L638" s="75">
        <v>8</v>
      </c>
      <c r="M638" s="75">
        <v>8</v>
      </c>
      <c r="N638" s="75">
        <v>8</v>
      </c>
      <c r="O638" s="540">
        <v>8</v>
      </c>
      <c r="P638" s="75">
        <v>8</v>
      </c>
      <c r="Q638" s="75">
        <v>8</v>
      </c>
      <c r="R638" s="1030">
        <v>0</v>
      </c>
      <c r="U638" s="85"/>
      <c r="V638" s="78" t="s">
        <v>1049</v>
      </c>
      <c r="W638" s="75">
        <v>0</v>
      </c>
      <c r="X638" s="75">
        <v>-10</v>
      </c>
      <c r="Y638" s="75">
        <v>13</v>
      </c>
      <c r="Z638" s="75">
        <v>20</v>
      </c>
      <c r="AA638" s="75" t="s">
        <v>1419</v>
      </c>
      <c r="AB638" s="75" t="s">
        <v>1010</v>
      </c>
      <c r="AC638" s="75">
        <v>4</v>
      </c>
      <c r="AD638" s="75">
        <v>2</v>
      </c>
      <c r="AE638" s="75">
        <v>1</v>
      </c>
      <c r="AF638" s="75">
        <v>2</v>
      </c>
      <c r="AG638" s="75">
        <v>0</v>
      </c>
      <c r="AH638" s="75">
        <v>1</v>
      </c>
      <c r="AI638" s="224">
        <v>0</v>
      </c>
    </row>
    <row r="639" spans="1:39" ht="12.75" customHeight="1">
      <c r="A639" s="219">
        <v>630</v>
      </c>
      <c r="B639" s="7145"/>
      <c r="C639" s="443"/>
      <c r="D639" s="78" t="s">
        <v>9802</v>
      </c>
      <c r="E639" s="75">
        <v>0</v>
      </c>
      <c r="F639" s="75">
        <v>0</v>
      </c>
      <c r="G639" s="75">
        <v>0</v>
      </c>
      <c r="H639" s="75">
        <v>0</v>
      </c>
      <c r="I639" s="540">
        <v>0</v>
      </c>
      <c r="J639" s="75" t="s">
        <v>1014</v>
      </c>
      <c r="K639" s="75" t="s">
        <v>1826</v>
      </c>
      <c r="L639" s="75">
        <v>4</v>
      </c>
      <c r="M639" s="75">
        <v>4</v>
      </c>
      <c r="N639" s="75">
        <v>4</v>
      </c>
      <c r="O639" s="540">
        <v>4</v>
      </c>
      <c r="P639" s="75">
        <v>4</v>
      </c>
      <c r="Q639" s="75">
        <v>4</v>
      </c>
      <c r="R639" s="1030">
        <v>4</v>
      </c>
      <c r="U639" s="85"/>
      <c r="V639" s="78" t="s">
        <v>1050</v>
      </c>
      <c r="W639" s="75">
        <v>0</v>
      </c>
      <c r="X639" s="75">
        <v>0</v>
      </c>
      <c r="Y639" s="75">
        <v>12</v>
      </c>
      <c r="Z639" s="75">
        <v>15</v>
      </c>
      <c r="AA639" s="75" t="s">
        <v>1419</v>
      </c>
      <c r="AB639" s="75" t="s">
        <v>1011</v>
      </c>
      <c r="AC639" s="75">
        <v>4</v>
      </c>
      <c r="AD639" s="75">
        <v>4</v>
      </c>
      <c r="AE639" s="75">
        <v>3</v>
      </c>
      <c r="AF639" s="75">
        <v>2</v>
      </c>
      <c r="AG639" s="75">
        <v>0</v>
      </c>
      <c r="AH639" s="75">
        <v>3</v>
      </c>
      <c r="AI639" s="224">
        <v>0</v>
      </c>
    </row>
    <row r="640" spans="1:39" ht="12.75" customHeight="1">
      <c r="A640" s="219">
        <v>631</v>
      </c>
      <c r="B640" s="7145"/>
      <c r="C640" s="443"/>
      <c r="D640" s="78" t="s">
        <v>9803</v>
      </c>
      <c r="E640" s="75">
        <v>0</v>
      </c>
      <c r="F640" s="75">
        <v>0</v>
      </c>
      <c r="G640" s="75">
        <v>0</v>
      </c>
      <c r="H640" s="75">
        <v>0</v>
      </c>
      <c r="I640" s="540">
        <v>0</v>
      </c>
      <c r="J640" s="75" t="s">
        <v>1014</v>
      </c>
      <c r="K640" s="75" t="s">
        <v>1826</v>
      </c>
      <c r="L640" s="75">
        <v>0</v>
      </c>
      <c r="M640" s="75">
        <v>0</v>
      </c>
      <c r="N640" s="75">
        <v>0</v>
      </c>
      <c r="O640" s="540">
        <v>0</v>
      </c>
      <c r="P640" s="75">
        <v>0</v>
      </c>
      <c r="Q640" s="75">
        <v>0</v>
      </c>
      <c r="R640" s="1030">
        <v>4</v>
      </c>
      <c r="U640" s="85"/>
      <c r="V640" s="78" t="s">
        <v>1051</v>
      </c>
      <c r="W640" s="75">
        <v>0</v>
      </c>
      <c r="X640" s="75">
        <v>0</v>
      </c>
      <c r="Y640" s="75">
        <v>12</v>
      </c>
      <c r="Z640" s="75">
        <v>15</v>
      </c>
      <c r="AA640" s="75" t="s">
        <v>1419</v>
      </c>
      <c r="AB640" s="75" t="s">
        <v>1011</v>
      </c>
      <c r="AC640" s="75">
        <v>3</v>
      </c>
      <c r="AD640" s="75">
        <v>3</v>
      </c>
      <c r="AE640" s="75">
        <v>3</v>
      </c>
      <c r="AF640" s="75">
        <v>1</v>
      </c>
      <c r="AG640" s="75">
        <v>1</v>
      </c>
      <c r="AH640" s="75">
        <v>2</v>
      </c>
      <c r="AI640" s="224">
        <v>0</v>
      </c>
    </row>
    <row r="641" spans="1:92" ht="12.75" customHeight="1">
      <c r="A641" s="219">
        <v>632</v>
      </c>
      <c r="B641" s="7145"/>
      <c r="C641" s="443"/>
      <c r="D641" s="78" t="s">
        <v>9804</v>
      </c>
      <c r="E641" s="75">
        <v>0</v>
      </c>
      <c r="F641" s="75">
        <v>0</v>
      </c>
      <c r="G641" s="75">
        <v>0</v>
      </c>
      <c r="H641" s="75">
        <v>0</v>
      </c>
      <c r="I641" s="540">
        <v>0</v>
      </c>
      <c r="J641" s="75" t="s">
        <v>1014</v>
      </c>
      <c r="K641" s="75" t="s">
        <v>1826</v>
      </c>
      <c r="L641" s="75">
        <v>0</v>
      </c>
      <c r="M641" s="75">
        <v>0</v>
      </c>
      <c r="N641" s="75">
        <v>0</v>
      </c>
      <c r="O641" s="540">
        <v>0</v>
      </c>
      <c r="P641" s="75">
        <v>0</v>
      </c>
      <c r="Q641" s="75">
        <v>0</v>
      </c>
      <c r="R641" s="1030">
        <v>6</v>
      </c>
      <c r="U641" s="85"/>
      <c r="V641" s="78" t="s">
        <v>1052</v>
      </c>
      <c r="W641" s="75">
        <v>5</v>
      </c>
      <c r="X641" s="75">
        <v>-20</v>
      </c>
      <c r="Y641" s="75">
        <v>16</v>
      </c>
      <c r="Z641" s="75">
        <v>25</v>
      </c>
      <c r="AA641" s="75" t="s">
        <v>1419</v>
      </c>
      <c r="AB641" s="75" t="s">
        <v>1011</v>
      </c>
      <c r="AC641" s="75">
        <v>5</v>
      </c>
      <c r="AD641" s="75">
        <v>4</v>
      </c>
      <c r="AE641" s="75">
        <v>5</v>
      </c>
      <c r="AF641" s="75">
        <v>3</v>
      </c>
      <c r="AG641" s="75">
        <v>0</v>
      </c>
      <c r="AH641" s="75">
        <v>3</v>
      </c>
      <c r="AI641" s="224">
        <v>1</v>
      </c>
    </row>
    <row r="642" spans="1:92" ht="12.75" customHeight="1" thickBot="1">
      <c r="A642" s="219">
        <v>633</v>
      </c>
      <c r="B642" s="7145"/>
      <c r="C642" s="443"/>
      <c r="D642" s="78" t="s">
        <v>9805</v>
      </c>
      <c r="E642" s="75">
        <v>0</v>
      </c>
      <c r="F642" s="75">
        <v>0</v>
      </c>
      <c r="G642" s="75">
        <v>0</v>
      </c>
      <c r="H642" s="75">
        <v>0</v>
      </c>
      <c r="I642" s="540">
        <v>0</v>
      </c>
      <c r="J642" s="75" t="s">
        <v>1014</v>
      </c>
      <c r="K642" s="75" t="s">
        <v>1826</v>
      </c>
      <c r="L642" s="75">
        <v>0</v>
      </c>
      <c r="M642" s="75">
        <v>0</v>
      </c>
      <c r="N642" s="75">
        <v>0</v>
      </c>
      <c r="O642" s="540">
        <v>0</v>
      </c>
      <c r="P642" s="75">
        <v>0</v>
      </c>
      <c r="Q642" s="75">
        <v>0</v>
      </c>
      <c r="R642" s="1030">
        <v>8</v>
      </c>
      <c r="U642" s="186"/>
      <c r="V642" s="238" t="s">
        <v>1053</v>
      </c>
      <c r="W642" s="194">
        <v>10</v>
      </c>
      <c r="X642" s="194">
        <v>-30</v>
      </c>
      <c r="Y642" s="194">
        <v>16</v>
      </c>
      <c r="Z642" s="194">
        <v>25</v>
      </c>
      <c r="AA642" s="194" t="s">
        <v>1419</v>
      </c>
      <c r="AB642" s="194" t="s">
        <v>1011</v>
      </c>
      <c r="AC642" s="194">
        <v>5</v>
      </c>
      <c r="AD642" s="194">
        <v>5</v>
      </c>
      <c r="AE642" s="194">
        <v>5</v>
      </c>
      <c r="AF642" s="194">
        <v>4</v>
      </c>
      <c r="AG642" s="194">
        <v>0</v>
      </c>
      <c r="AH642" s="194">
        <v>4</v>
      </c>
      <c r="AI642" s="225">
        <v>2</v>
      </c>
    </row>
    <row r="643" spans="1:92" ht="12.75" customHeight="1">
      <c r="A643" s="219">
        <v>634</v>
      </c>
      <c r="B643" s="7145"/>
      <c r="C643" s="443"/>
      <c r="D643" s="78" t="s">
        <v>9806</v>
      </c>
      <c r="E643" s="75">
        <v>0</v>
      </c>
      <c r="F643" s="75">
        <v>0</v>
      </c>
      <c r="G643" s="75">
        <v>0</v>
      </c>
      <c r="H643" s="75">
        <v>0</v>
      </c>
      <c r="I643" s="540">
        <v>0</v>
      </c>
      <c r="J643" s="75" t="s">
        <v>1014</v>
      </c>
      <c r="K643" s="75" t="s">
        <v>1826</v>
      </c>
      <c r="L643" s="75">
        <v>0</v>
      </c>
      <c r="M643" s="75">
        <v>0</v>
      </c>
      <c r="N643" s="75">
        <v>0</v>
      </c>
      <c r="O643" s="540">
        <v>0</v>
      </c>
      <c r="P643" s="75">
        <v>0</v>
      </c>
      <c r="Q643" s="75">
        <v>0</v>
      </c>
      <c r="R643" s="1030">
        <v>10</v>
      </c>
    </row>
    <row r="644" spans="1:92" ht="12.75" customHeight="1">
      <c r="A644" s="219">
        <v>635</v>
      </c>
      <c r="B644" s="7145"/>
      <c r="C644" s="443"/>
      <c r="D644" s="78" t="s">
        <v>11731</v>
      </c>
      <c r="E644" s="75">
        <v>0</v>
      </c>
      <c r="F644" s="75">
        <v>0</v>
      </c>
      <c r="G644" s="75">
        <v>0</v>
      </c>
      <c r="H644" s="75">
        <v>0</v>
      </c>
      <c r="I644" s="540">
        <v>0</v>
      </c>
      <c r="J644" s="75" t="s">
        <v>1014</v>
      </c>
      <c r="K644" s="75" t="s">
        <v>1011</v>
      </c>
      <c r="L644" s="75" t="str">
        <f>IF(AND(Personalización!V108="Ukaku",Personalización!AJ107="Sí"),2,IF(AND(Personalización!V108="Koukaku",Personalización!AJ107="Sí"),6,IF(AND(Personalización!V108="Rinkaku",Personalización!AJ107="Sí"),3,IF(AND(Personalización!V108="Bikaku",Personalización!AJ107="Sí"),4,""))))</f>
        <v/>
      </c>
      <c r="M644" s="75" t="str">
        <f>IF(AND(Personalización!V108="Ukaku",Personalización!AJ107="Sí"),2,IF(AND(Personalización!V108="Koukaku",Personalización!AJ107="Sí"),6,IF(AND(Personalización!V108="Rinkaku",Personalización!AJ107="Sí"),3,IF(AND(Personalización!V108="Bikaku",Personalización!AJ107="Sí"),4,""))))</f>
        <v/>
      </c>
      <c r="N644" s="75" t="str">
        <f>IF(AND(Personalización!V108="Ukaku",Personalización!AJ107="Sí"),2,IF(AND(Personalización!V108="Koukaku",Personalización!AJ107="Sí"),6,IF(AND(Personalización!V108="Rinkaku",Personalización!AJ107="Sí"),3,IF(AND(Personalización!V108="Bikaku",Personalización!AJ107="Sí"),4,""))))</f>
        <v/>
      </c>
      <c r="O644" s="540" t="str">
        <f>IF(AND(Personalización!V108="Ukaku",Personalización!AJ107="Sí"),2,IF(AND(Personalización!V108="Koukaku",Personalización!AJ107="Sí"),6,IF(AND(Personalización!V108="Rinkaku",Personalización!AJ107="Sí"),3,IF(AND(Personalización!V108="Bikaku",Personalización!AJ107="Sí"),4,""))))</f>
        <v/>
      </c>
      <c r="P644" s="75" t="str">
        <f>IF(AND(Personalización!V108="Ukaku",Personalización!AJ107="Sí"),2,IF(AND(Personalización!V108="Koukaku",Personalización!AJ107="Sí"),6,IF(AND(Personalización!V108="Rinkaku",Personalización!AJ107="Sí"),3,IF(AND(Personalización!V108="Bikaku",Personalización!AJ107="Sí"),4,""))))</f>
        <v/>
      </c>
      <c r="Q644" s="75" t="str">
        <f>IF(AND(Personalización!V108="Ukaku",Personalización!AJ107="Sí"),2,IF(AND(Personalización!V108="Koukaku",Personalización!AJ107="Sí"),6,IF(AND(Personalización!V108="Rinkaku",Personalización!AJ107="Sí"),3,IF(AND(Personalización!V108="Bikaku",Personalización!AJ107="Sí"),4,""))))</f>
        <v/>
      </c>
      <c r="R644" s="1030" t="str">
        <f>IF(AND(Personalización!V108="Ukaku",Personalización!AJ107="Sí"),2,IF(AND(Personalización!V108="Koukaku",Personalización!AJ107="Sí"),6,IF(AND(Personalización!V108="Rinkaku",Personalización!AJ107="Sí"),3,IF(AND(Personalización!V108="Bikaku",Personalización!AJ107="Sí"),4,""))))</f>
        <v/>
      </c>
    </row>
    <row r="645" spans="1:92" ht="12.75" customHeight="1">
      <c r="A645" s="219">
        <v>636</v>
      </c>
      <c r="B645" s="7145"/>
      <c r="C645" s="443"/>
      <c r="D645" s="78" t="s">
        <v>1042</v>
      </c>
      <c r="E645" s="75">
        <v>0</v>
      </c>
      <c r="F645" s="75">
        <v>0</v>
      </c>
      <c r="G645" s="75">
        <v>0</v>
      </c>
      <c r="H645" s="75">
        <v>0</v>
      </c>
      <c r="I645" s="540">
        <v>0</v>
      </c>
      <c r="J645" s="75" t="s">
        <v>1315</v>
      </c>
      <c r="K645" s="75" t="s">
        <v>1315</v>
      </c>
      <c r="L645" s="75">
        <v>0</v>
      </c>
      <c r="M645" s="75">
        <v>0</v>
      </c>
      <c r="N645" s="75">
        <v>0</v>
      </c>
      <c r="O645" s="540">
        <v>0</v>
      </c>
      <c r="P645" s="75">
        <v>0</v>
      </c>
      <c r="Q645" s="75">
        <v>0</v>
      </c>
      <c r="R645" s="1030">
        <v>0</v>
      </c>
    </row>
    <row r="646" spans="1:92" ht="12.75" customHeight="1">
      <c r="A646" s="219">
        <v>637</v>
      </c>
      <c r="B646" s="7145"/>
      <c r="C646" s="443"/>
      <c r="D646" s="78" t="str">
        <f>IF(Personalización!Y31=0,"Armadura #1",Personalización!Y31)</f>
        <v>Armadura #1</v>
      </c>
      <c r="E646" s="75">
        <f>Personalización!W33</f>
        <v>0</v>
      </c>
      <c r="F646" s="75">
        <f>Personalización!Y33</f>
        <v>0</v>
      </c>
      <c r="G646" s="75">
        <f>Personalización!AA33</f>
        <v>0</v>
      </c>
      <c r="H646" s="75">
        <f>Personalización!AC37</f>
        <v>0</v>
      </c>
      <c r="I646" s="540">
        <f>Personalización!AC38</f>
        <v>0</v>
      </c>
      <c r="J646" s="75" t="str">
        <f>IF(Personalización!Y38&lt;&gt;"",Personalización!Y38,"-")</f>
        <v>-</v>
      </c>
      <c r="K646" s="75" t="str">
        <f>IF(Personalización!Y37&lt;&gt;"",Personalización!Y37,"-")</f>
        <v>-</v>
      </c>
      <c r="L646" s="75">
        <f>Personalización!W35</f>
        <v>0</v>
      </c>
      <c r="M646" s="75">
        <f>Personalización!X35</f>
        <v>0</v>
      </c>
      <c r="N646" s="75">
        <f>Personalización!Y35</f>
        <v>0</v>
      </c>
      <c r="O646" s="540">
        <f>Personalización!Z35</f>
        <v>0</v>
      </c>
      <c r="P646" s="75">
        <f>Personalización!AA35</f>
        <v>0</v>
      </c>
      <c r="Q646" s="75">
        <f>Personalización!AB35</f>
        <v>0</v>
      </c>
      <c r="R646" s="1030">
        <f>Personalización!AC35</f>
        <v>0</v>
      </c>
    </row>
    <row r="647" spans="1:92" ht="12.75" customHeight="1" thickBot="1">
      <c r="A647" s="219">
        <v>638</v>
      </c>
      <c r="B647" s="7145"/>
      <c r="C647" s="445"/>
      <c r="D647" s="1031" t="str">
        <f>IF(Personalización!AF31=0,"Armadura #2",Personalización!AF31)</f>
        <v>Armadura #2</v>
      </c>
      <c r="E647" s="446">
        <f>Personalización!AD33</f>
        <v>0</v>
      </c>
      <c r="F647" s="446">
        <f>Personalización!AF33</f>
        <v>0</v>
      </c>
      <c r="G647" s="446">
        <f>Personalización!AH33</f>
        <v>0</v>
      </c>
      <c r="H647" s="446">
        <f>Personalización!AJ37</f>
        <v>0</v>
      </c>
      <c r="I647" s="561">
        <f>Personalización!AJ38</f>
        <v>0</v>
      </c>
      <c r="J647" s="446" t="str">
        <f>IF(Personalización!AF38&lt;&gt;"",Personalización!AF38,"-")</f>
        <v>-</v>
      </c>
      <c r="K647" s="446" t="str">
        <f>IF(Personalización!AF37&lt;&gt;"",Personalización!AF37,"-")</f>
        <v>-</v>
      </c>
      <c r="L647" s="446">
        <f>Personalización!AD35</f>
        <v>0</v>
      </c>
      <c r="M647" s="446">
        <f>Personalización!AE35</f>
        <v>0</v>
      </c>
      <c r="N647" s="446">
        <f>Personalización!AF35</f>
        <v>0</v>
      </c>
      <c r="O647" s="561">
        <f>Personalización!AG35</f>
        <v>0</v>
      </c>
      <c r="P647" s="446">
        <f>Personalización!AH35</f>
        <v>0</v>
      </c>
      <c r="Q647" s="446">
        <f>Personalización!AI35</f>
        <v>0</v>
      </c>
      <c r="R647" s="631">
        <f>Personalización!AJ35</f>
        <v>0</v>
      </c>
    </row>
    <row r="648" spans="1:92" ht="12.75" customHeight="1" thickBot="1">
      <c r="A648" s="219">
        <v>639</v>
      </c>
      <c r="B648" s="7145"/>
    </row>
    <row r="649" spans="1:92" ht="12.75" customHeight="1">
      <c r="A649" s="219">
        <v>640</v>
      </c>
      <c r="B649" s="7145"/>
      <c r="C649" s="8035" t="s">
        <v>1946</v>
      </c>
      <c r="D649" s="8036"/>
      <c r="E649" s="8036"/>
      <c r="F649" s="8036"/>
      <c r="G649" s="8036"/>
      <c r="H649" s="8036"/>
      <c r="I649" s="8036"/>
      <c r="J649" s="8036"/>
      <c r="K649" s="8036"/>
      <c r="L649" s="8036"/>
      <c r="M649" s="8036"/>
      <c r="N649" s="8036"/>
      <c r="O649" s="8036"/>
      <c r="P649" s="8036"/>
      <c r="Q649" s="8036"/>
      <c r="R649" s="8036"/>
      <c r="S649" s="8036"/>
      <c r="T649" s="8036"/>
      <c r="U649" s="8036"/>
      <c r="V649" s="8036"/>
      <c r="W649" s="8036"/>
      <c r="X649" s="8036"/>
      <c r="Y649" s="8037"/>
      <c r="Z649" s="7396" t="s">
        <v>6801</v>
      </c>
      <c r="AA649" s="4352" t="s">
        <v>9993</v>
      </c>
      <c r="AC649" s="7862" t="s">
        <v>1066</v>
      </c>
      <c r="AD649" s="7863"/>
      <c r="AE649" s="7863"/>
      <c r="AF649" s="7863"/>
      <c r="AG649" s="7863"/>
      <c r="AH649" s="7863"/>
      <c r="AI649" s="7863"/>
      <c r="AJ649" s="7863"/>
      <c r="AK649" s="7863"/>
      <c r="AL649" s="7863"/>
      <c r="AM649" s="7863"/>
      <c r="AN649" s="7863"/>
      <c r="AO649" s="7863"/>
      <c r="AP649" s="7863"/>
      <c r="AQ649" s="7863"/>
      <c r="AR649" s="7863"/>
      <c r="AS649" s="7863"/>
      <c r="AT649" s="7863"/>
      <c r="AU649" s="7863"/>
      <c r="AV649" s="7864"/>
      <c r="AX649" s="510"/>
      <c r="AY649" s="510"/>
      <c r="AZ649" s="7939" t="s">
        <v>8286</v>
      </c>
      <c r="BA649" s="7939"/>
      <c r="BB649" s="7939"/>
      <c r="BC649" s="7939"/>
      <c r="BD649" s="7939"/>
      <c r="BE649" s="7939"/>
      <c r="BF649" s="7939"/>
      <c r="BG649" s="7939"/>
      <c r="BH649" s="7939"/>
      <c r="BI649" s="7939"/>
      <c r="BJ649" s="7939"/>
      <c r="BK649" s="7939"/>
      <c r="BL649" s="7939"/>
      <c r="BM649" s="7939"/>
      <c r="BN649" s="7939"/>
      <c r="BO649" s="7939"/>
      <c r="BP649" s="7939"/>
      <c r="BQ649" s="7939"/>
      <c r="BR649" s="7939"/>
      <c r="BS649" s="7939"/>
      <c r="BT649" s="7939"/>
      <c r="BU649" s="7939"/>
      <c r="BV649" s="7939"/>
      <c r="BW649" s="7939"/>
      <c r="BX649" s="7939"/>
      <c r="BY649" s="7939"/>
      <c r="BZ649" s="7939"/>
      <c r="CA649" s="7939"/>
      <c r="CB649" s="7939"/>
      <c r="CC649" s="7939"/>
      <c r="CD649" s="7939"/>
      <c r="CE649" s="7939"/>
      <c r="CF649" s="7939"/>
      <c r="CG649" s="7939"/>
      <c r="CH649" s="7939"/>
      <c r="CI649" s="7939"/>
      <c r="CJ649" s="7939"/>
      <c r="CK649" s="7939"/>
      <c r="CL649" s="7939"/>
      <c r="CM649" s="7939"/>
      <c r="CN649" s="7939"/>
    </row>
    <row r="650" spans="1:92" ht="12.75" customHeight="1" thickBot="1">
      <c r="A650" s="219">
        <v>641</v>
      </c>
      <c r="B650" s="7145"/>
      <c r="C650" s="8038"/>
      <c r="D650" s="8039"/>
      <c r="E650" s="8039"/>
      <c r="F650" s="8039"/>
      <c r="G650" s="8039"/>
      <c r="H650" s="8039"/>
      <c r="I650" s="8039"/>
      <c r="J650" s="8039"/>
      <c r="K650" s="8039"/>
      <c r="L650" s="8039"/>
      <c r="M650" s="8039"/>
      <c r="N650" s="8039"/>
      <c r="O650" s="8039"/>
      <c r="P650" s="8039"/>
      <c r="Q650" s="8039"/>
      <c r="R650" s="8039"/>
      <c r="S650" s="8039"/>
      <c r="T650" s="8039"/>
      <c r="U650" s="8039"/>
      <c r="V650" s="8039"/>
      <c r="W650" s="8039"/>
      <c r="X650" s="8039"/>
      <c r="Y650" s="8040"/>
      <c r="Z650" s="8031"/>
      <c r="AA650" s="4653"/>
      <c r="AC650" s="8032"/>
      <c r="AD650" s="8033"/>
      <c r="AE650" s="8033"/>
      <c r="AF650" s="8033"/>
      <c r="AG650" s="8033"/>
      <c r="AH650" s="8033"/>
      <c r="AI650" s="8033"/>
      <c r="AJ650" s="8033"/>
      <c r="AK650" s="8033"/>
      <c r="AL650" s="8033"/>
      <c r="AM650" s="8033"/>
      <c r="AN650" s="8033"/>
      <c r="AO650" s="8033"/>
      <c r="AP650" s="8033"/>
      <c r="AQ650" s="8033"/>
      <c r="AR650" s="8033"/>
      <c r="AS650" s="8033"/>
      <c r="AT650" s="8033"/>
      <c r="AU650" s="8033"/>
      <c r="AV650" s="8034"/>
      <c r="AX650" s="510"/>
      <c r="AY650" s="510"/>
      <c r="AZ650" s="7939"/>
      <c r="BA650" s="7939"/>
      <c r="BB650" s="7939"/>
      <c r="BC650" s="7939"/>
      <c r="BD650" s="7939"/>
      <c r="BE650" s="7939"/>
      <c r="BF650" s="7939"/>
      <c r="BG650" s="7939"/>
      <c r="BH650" s="7939"/>
      <c r="BI650" s="7939"/>
      <c r="BJ650" s="7939"/>
      <c r="BK650" s="7939"/>
      <c r="BL650" s="7939"/>
      <c r="BM650" s="7939"/>
      <c r="BN650" s="7939"/>
      <c r="BO650" s="7939"/>
      <c r="BP650" s="7939"/>
      <c r="BQ650" s="7939"/>
      <c r="BR650" s="7939"/>
      <c r="BS650" s="7939"/>
      <c r="BT650" s="7939"/>
      <c r="BU650" s="7939"/>
      <c r="BV650" s="7939"/>
      <c r="BW650" s="7939"/>
      <c r="BX650" s="7939"/>
      <c r="BY650" s="7939"/>
      <c r="BZ650" s="7939"/>
      <c r="CA650" s="7939"/>
      <c r="CB650" s="7939"/>
      <c r="CC650" s="7939"/>
      <c r="CD650" s="7939"/>
      <c r="CE650" s="7939"/>
      <c r="CF650" s="7939"/>
      <c r="CG650" s="7939"/>
      <c r="CH650" s="7939"/>
      <c r="CI650" s="7939"/>
      <c r="CJ650" s="7939"/>
      <c r="CK650" s="7939"/>
      <c r="CL650" s="7939"/>
      <c r="CM650" s="7939"/>
      <c r="CN650" s="7939"/>
    </row>
    <row r="651" spans="1:92" ht="12.75" customHeight="1" thickBot="1">
      <c r="A651" s="219">
        <v>642</v>
      </c>
      <c r="B651" s="7145"/>
      <c r="C651" s="960"/>
      <c r="D651" s="2235">
        <v>1</v>
      </c>
      <c r="E651" s="2235">
        <v>2</v>
      </c>
      <c r="F651" s="2235">
        <v>3</v>
      </c>
      <c r="G651" s="2235">
        <v>4</v>
      </c>
      <c r="H651" s="2235">
        <v>5</v>
      </c>
      <c r="I651" s="2235">
        <v>6</v>
      </c>
      <c r="J651" s="2235">
        <v>7</v>
      </c>
      <c r="K651" s="2235">
        <v>8</v>
      </c>
      <c r="L651" s="2235">
        <v>9</v>
      </c>
      <c r="M651" s="2235">
        <v>10</v>
      </c>
      <c r="N651" s="2235">
        <v>11</v>
      </c>
      <c r="O651" s="2235">
        <v>12</v>
      </c>
      <c r="P651" s="2235">
        <v>13</v>
      </c>
      <c r="Q651" s="2235">
        <v>14</v>
      </c>
      <c r="R651" s="2235">
        <v>15</v>
      </c>
      <c r="S651" s="2235">
        <v>16</v>
      </c>
      <c r="T651" s="2235">
        <v>17</v>
      </c>
      <c r="U651" s="2235">
        <v>18</v>
      </c>
      <c r="V651" s="2235">
        <v>19</v>
      </c>
      <c r="W651" s="2235">
        <v>20</v>
      </c>
      <c r="X651" s="2235">
        <v>21</v>
      </c>
      <c r="Y651" s="961">
        <v>22</v>
      </c>
      <c r="Z651" s="7397"/>
      <c r="AA651" s="4653"/>
      <c r="AC651" s="7855" t="s">
        <v>8173</v>
      </c>
      <c r="AD651" s="7853"/>
      <c r="AE651" s="7853"/>
      <c r="AF651" s="7853"/>
      <c r="AG651" s="7854"/>
      <c r="AH651" s="7855" t="s">
        <v>1438</v>
      </c>
      <c r="AI651" s="7853"/>
      <c r="AJ651" s="7853"/>
      <c r="AK651" s="7853"/>
      <c r="AL651" s="7854"/>
      <c r="AM651" s="7855" t="s">
        <v>8105</v>
      </c>
      <c r="AN651" s="7853"/>
      <c r="AO651" s="7853"/>
      <c r="AP651" s="7853"/>
      <c r="AQ651" s="7853"/>
      <c r="AR651" s="7853" t="s">
        <v>8174</v>
      </c>
      <c r="AS651" s="7853"/>
      <c r="AT651" s="7853"/>
      <c r="AU651" s="7853"/>
      <c r="AV651" s="7854"/>
      <c r="AX651" s="510"/>
      <c r="AY651" s="2549"/>
      <c r="AZ651" s="6466" t="s">
        <v>8272</v>
      </c>
      <c r="BA651" s="6351"/>
      <c r="BB651" s="6351"/>
      <c r="BC651" s="6351"/>
      <c r="BD651" s="6352"/>
      <c r="BE651" s="1241">
        <f>PDs!Y43</f>
        <v>0</v>
      </c>
      <c r="BF651" s="2549"/>
      <c r="BG651" s="6466" t="s">
        <v>8273</v>
      </c>
      <c r="BH651" s="6351"/>
      <c r="BI651" s="6351"/>
      <c r="BJ651" s="7853"/>
      <c r="BK651" s="7854"/>
      <c r="BL651" s="1241">
        <f>PDs!Y44</f>
        <v>0</v>
      </c>
      <c r="BM651" s="2549"/>
      <c r="BN651" s="6466" t="s">
        <v>8274</v>
      </c>
      <c r="BO651" s="6351"/>
      <c r="BP651" s="6351"/>
      <c r="BQ651" s="6351"/>
      <c r="BR651" s="6352"/>
      <c r="BS651" s="1241">
        <f>PDs!Y45</f>
        <v>0</v>
      </c>
      <c r="BT651" s="2549"/>
      <c r="BU651" s="6466" t="s">
        <v>8275</v>
      </c>
      <c r="BV651" s="6351"/>
      <c r="BW651" s="6351"/>
      <c r="BX651" s="6351"/>
      <c r="BY651" s="6352"/>
      <c r="BZ651" s="1241">
        <f>PDs!Y46</f>
        <v>0</v>
      </c>
      <c r="CA651" s="2549"/>
      <c r="CB651" s="6466" t="s">
        <v>8276</v>
      </c>
      <c r="CC651" s="6351"/>
      <c r="CD651" s="6351"/>
      <c r="CE651" s="6351"/>
      <c r="CF651" s="6352"/>
      <c r="CG651" s="1241">
        <f>PDs!Y47</f>
        <v>0</v>
      </c>
      <c r="CI651" s="6466" t="s">
        <v>8277</v>
      </c>
      <c r="CJ651" s="6351"/>
      <c r="CK651" s="6351"/>
      <c r="CL651" s="6351"/>
      <c r="CM651" s="6352"/>
      <c r="CN651" s="1241">
        <f>PDs!Y48</f>
        <v>0</v>
      </c>
    </row>
    <row r="652" spans="1:92" ht="12.75" customHeight="1" thickBot="1">
      <c r="A652" s="219">
        <v>643</v>
      </c>
      <c r="B652" s="7145"/>
      <c r="C652" s="2244"/>
      <c r="D652" s="2435" t="s">
        <v>1274</v>
      </c>
      <c r="E652" s="2435" t="s">
        <v>1425</v>
      </c>
      <c r="F652" s="2435" t="s">
        <v>1252</v>
      </c>
      <c r="G652" s="2435" t="s">
        <v>1947</v>
      </c>
      <c r="H652" s="2435" t="s">
        <v>1948</v>
      </c>
      <c r="I652" s="2435" t="s">
        <v>1949</v>
      </c>
      <c r="J652" s="2435" t="s">
        <v>1950</v>
      </c>
      <c r="K652" s="2435" t="s">
        <v>1951</v>
      </c>
      <c r="L652" s="2435" t="s">
        <v>6851</v>
      </c>
      <c r="M652" s="2435" t="s">
        <v>1818</v>
      </c>
      <c r="N652" s="2435" t="s">
        <v>1429</v>
      </c>
      <c r="O652" s="2435" t="s">
        <v>1952</v>
      </c>
      <c r="P652" s="2435" t="s">
        <v>1953</v>
      </c>
      <c r="Q652" s="2435" t="s">
        <v>1954</v>
      </c>
      <c r="R652" s="2435" t="s">
        <v>1955</v>
      </c>
      <c r="S652" s="2435" t="s">
        <v>1956</v>
      </c>
      <c r="T652" s="2435" t="s">
        <v>1957</v>
      </c>
      <c r="U652" s="2435" t="s">
        <v>1958</v>
      </c>
      <c r="V652" s="2245" t="s">
        <v>1336</v>
      </c>
      <c r="W652" s="2245"/>
      <c r="X652" s="2245" t="s">
        <v>1755</v>
      </c>
      <c r="Y652" s="2246" t="s">
        <v>9596</v>
      </c>
      <c r="Z652" s="2247" t="e">
        <f>"-/-"&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amp;$Z$816&amp;$Z$817&amp;$Z$818&amp;$Z$819&amp;$Z$820&amp;$Z$822&amp;$Z$826&amp;$Z$827&amp;$Z$828&amp;$Z$829&amp;$Z$830&amp;$Z$831&amp;$Z$832&amp;$Z$882&amp;#REF!</f>
        <v>#REF!</v>
      </c>
      <c r="AA652" s="4653"/>
      <c r="AC652" s="7851" t="str">
        <f ca="1">"Tablas!"&amp;ADDRESS(ROW(AF654),COLUMN(AF654))&amp;":"&amp;ADDRESS(ROW(AF654)+COUNTIF(AF655:AF806,"?*"),COLUMN(AF654))</f>
        <v>Tablas!$AF$654:$AF$796</v>
      </c>
      <c r="AD652" s="7852"/>
      <c r="AE652" s="6477" t="s">
        <v>9991</v>
      </c>
      <c r="AF652" s="6477"/>
      <c r="AG652" s="2585">
        <f ca="1">MAX(AD663:AD808)+COUNTIF(AD654:AD661,"&gt;0")</f>
        <v>2</v>
      </c>
      <c r="AH652" s="7851" t="str">
        <f ca="1">"Tablas!"&amp;ADDRESS(ROW(AK654),COLUMN(AK654))&amp;":"&amp;ADDRESS(ROW(AK654)+COUNTIF(AK655:AK806,"?*"),COLUMN(AK654))</f>
        <v>Tablas!$AK$654:$AK$718</v>
      </c>
      <c r="AI652" s="7852"/>
      <c r="AJ652" s="6477" t="s">
        <v>9991</v>
      </c>
      <c r="AK652" s="6477"/>
      <c r="AL652" s="2585">
        <f ca="1">MAX(AI661:AI806)+COUNTIF(AI654:AI659,"&gt;0")</f>
        <v>2</v>
      </c>
      <c r="AM652" s="7851" t="str">
        <f ca="1">"Tablas!"&amp;ADDRESS(ROW(AP654),COLUMN(AP654))&amp;":"&amp;ADDRESS(ROW(AP654)+COUNTIF(AP655:AP806,"?*"),COLUMN(AP654))</f>
        <v>Tablas!$AP$654:$AP$669</v>
      </c>
      <c r="AN652" s="7852"/>
      <c r="AO652" s="6477" t="s">
        <v>9991</v>
      </c>
      <c r="AP652" s="6477"/>
      <c r="AQ652" s="2585">
        <f ca="1">MAX(AN661:AN806)+COUNTIF(AN654:AN659,"&gt;0")</f>
        <v>0</v>
      </c>
      <c r="AR652" s="7851" t="str">
        <f ca="1">"Tablas!"&amp;ADDRESS(ROW(AU654),COLUMN(AU654))&amp;":"&amp;ADDRESS(ROW(AU654)+COUNTIF(AU655:AU806,"?*"),COLUMN(AU654))</f>
        <v>Tablas!$AU$654:$AU$674</v>
      </c>
      <c r="AS652" s="7852"/>
      <c r="AT652" s="6477" t="s">
        <v>9991</v>
      </c>
      <c r="AU652" s="6477"/>
      <c r="AV652" s="2587">
        <f ca="1">MAX(AS661:AS806)+COUNTIF(AS654:AS659,"&gt;0")</f>
        <v>0</v>
      </c>
      <c r="AX652" s="510"/>
      <c r="AY652" s="2549"/>
      <c r="AZ652" s="1452" t="s">
        <v>1072</v>
      </c>
      <c r="BA652" s="1453" t="s">
        <v>1071</v>
      </c>
      <c r="BB652" s="1468" t="s">
        <v>1070</v>
      </c>
      <c r="BC652" s="1452" t="s">
        <v>1072</v>
      </c>
      <c r="BD652" s="1453" t="s">
        <v>1071</v>
      </c>
      <c r="BE652" s="1468" t="s">
        <v>1070</v>
      </c>
      <c r="BF652" s="2549"/>
      <c r="BG652" s="1452" t="s">
        <v>1072</v>
      </c>
      <c r="BH652" s="1453" t="s">
        <v>1071</v>
      </c>
      <c r="BI652" s="1468" t="s">
        <v>1070</v>
      </c>
      <c r="BJ652" s="1452" t="s">
        <v>1072</v>
      </c>
      <c r="BK652" s="1453" t="s">
        <v>1071</v>
      </c>
      <c r="BL652" s="1468" t="s">
        <v>1070</v>
      </c>
      <c r="BM652" s="2549"/>
      <c r="BN652" s="1452" t="s">
        <v>1072</v>
      </c>
      <c r="BO652" s="1453" t="s">
        <v>1071</v>
      </c>
      <c r="BP652" s="1468" t="s">
        <v>1070</v>
      </c>
      <c r="BQ652" s="1452" t="s">
        <v>1072</v>
      </c>
      <c r="BR652" s="1453" t="s">
        <v>1071</v>
      </c>
      <c r="BS652" s="1468" t="s">
        <v>1070</v>
      </c>
      <c r="BT652" s="2549"/>
      <c r="BU652" s="1452" t="s">
        <v>1072</v>
      </c>
      <c r="BV652" s="1453" t="s">
        <v>1071</v>
      </c>
      <c r="BW652" s="1468" t="s">
        <v>1070</v>
      </c>
      <c r="BX652" s="1452" t="s">
        <v>1072</v>
      </c>
      <c r="BY652" s="1453" t="s">
        <v>1071</v>
      </c>
      <c r="BZ652" s="1468" t="s">
        <v>1070</v>
      </c>
      <c r="CA652" s="2549"/>
      <c r="CB652" s="1452" t="s">
        <v>1072</v>
      </c>
      <c r="CC652" s="1453" t="s">
        <v>1071</v>
      </c>
      <c r="CD652" s="1468" t="s">
        <v>1070</v>
      </c>
      <c r="CE652" s="1452" t="s">
        <v>1072</v>
      </c>
      <c r="CF652" s="1453" t="s">
        <v>1071</v>
      </c>
      <c r="CG652" s="1468" t="s">
        <v>1070</v>
      </c>
      <c r="CI652" s="1452" t="s">
        <v>1072</v>
      </c>
      <c r="CJ652" s="1453" t="s">
        <v>1071</v>
      </c>
      <c r="CK652" s="1468" t="s">
        <v>1070</v>
      </c>
      <c r="CL652" s="1452" t="s">
        <v>1072</v>
      </c>
      <c r="CM652" s="1453" t="s">
        <v>1071</v>
      </c>
      <c r="CN652" s="1468" t="s">
        <v>1070</v>
      </c>
    </row>
    <row r="653" spans="1:92" ht="12.75" customHeight="1" thickBot="1">
      <c r="A653" s="219">
        <v>644</v>
      </c>
      <c r="B653" s="7145"/>
      <c r="C653" s="2438"/>
      <c r="D653" s="2439" t="s">
        <v>1959</v>
      </c>
      <c r="E653" s="2440"/>
      <c r="F653" s="2440"/>
      <c r="G653" s="2440"/>
      <c r="H653" s="2440"/>
      <c r="I653" s="2440"/>
      <c r="J653" s="2440"/>
      <c r="K653" s="2441" t="s">
        <v>6850</v>
      </c>
      <c r="L653" s="2442" t="str">
        <f>IF(ISNUMBER(SEARCH($D653,Armas_Conocidas)),"Conocida",IF(ISNUMBER(SEARCH(LEFT($K653,SEARCH("/",$K653)),Tipologías_Conocidas)),IF(ISNUMBER(SEARCH($K653,Tipologías_Conocidas)),"Similar","Mixta"),"Distinta"))</f>
        <v>Distinta</v>
      </c>
      <c r="M653" s="2440"/>
      <c r="N653" s="2440"/>
      <c r="O653" s="2440"/>
      <c r="P653" s="2440"/>
      <c r="Q653" s="2440"/>
      <c r="R653" s="2440"/>
      <c r="S653" s="2440"/>
      <c r="T653" s="2440"/>
      <c r="U653" s="2440"/>
      <c r="V653" s="2441"/>
      <c r="W653" s="2440"/>
      <c r="X653" s="2443" t="s">
        <v>8236</v>
      </c>
      <c r="Y653" s="2444">
        <f>Bono_Fue</f>
        <v>0</v>
      </c>
      <c r="Z653" s="1150" t="str">
        <f>IF(AND(K653&lt;&gt;"Natural/-",ISNUMBER(SEARCH(D653&amp;",",Armas_Conocidas))),", "&amp;K653,"")</f>
        <v/>
      </c>
      <c r="AA653" s="1206" t="str">
        <f>IF(AND($K$653:$K$855&lt;&gt;"Natural/-",ISNUMBER(SEARCH($D$653:$D$855,Armas_Conocidas))),CONCATENATE($K$653:$K$855),"")</f>
        <v/>
      </c>
      <c r="AC653" s="2570" t="s">
        <v>9984</v>
      </c>
      <c r="AD653" s="2571" t="s">
        <v>9985</v>
      </c>
      <c r="AE653" s="2571"/>
      <c r="AF653" s="2571" t="s">
        <v>9987</v>
      </c>
      <c r="AG653" s="2571" t="s">
        <v>9994</v>
      </c>
      <c r="AH653" s="2570" t="s">
        <v>9984</v>
      </c>
      <c r="AI653" s="2571" t="s">
        <v>9985</v>
      </c>
      <c r="AJ653" s="2571" t="s">
        <v>9986</v>
      </c>
      <c r="AK653" s="2571" t="s">
        <v>9987</v>
      </c>
      <c r="AL653" s="2572" t="s">
        <v>9994</v>
      </c>
      <c r="AM653" s="2570" t="s">
        <v>9984</v>
      </c>
      <c r="AN653" s="2571" t="s">
        <v>9985</v>
      </c>
      <c r="AO653" s="2571" t="s">
        <v>9986</v>
      </c>
      <c r="AP653" s="2571" t="s">
        <v>9987</v>
      </c>
      <c r="AQ653" s="2572" t="s">
        <v>9994</v>
      </c>
      <c r="AR653" s="2570" t="s">
        <v>9984</v>
      </c>
      <c r="AS653" s="2571" t="s">
        <v>9985</v>
      </c>
      <c r="AT653" s="2571" t="s">
        <v>9986</v>
      </c>
      <c r="AU653" s="2571" t="s">
        <v>9987</v>
      </c>
      <c r="AV653" s="2572" t="s">
        <v>9994</v>
      </c>
      <c r="AX653" s="7396" t="s">
        <v>9983</v>
      </c>
      <c r="AY653" s="2549"/>
      <c r="AZ653" s="1238" t="s">
        <v>7899</v>
      </c>
      <c r="BA653" s="1239" t="s">
        <v>7899</v>
      </c>
      <c r="BB653" s="1240" t="s">
        <v>7899</v>
      </c>
      <c r="BC653" s="1238" t="s">
        <v>2475</v>
      </c>
      <c r="BD653" s="1239" t="s">
        <v>2475</v>
      </c>
      <c r="BE653" s="1240" t="s">
        <v>2475</v>
      </c>
      <c r="BF653" s="2549"/>
      <c r="BG653" s="1238" t="s">
        <v>7899</v>
      </c>
      <c r="BH653" s="1239" t="s">
        <v>7899</v>
      </c>
      <c r="BI653" s="1240" t="s">
        <v>7899</v>
      </c>
      <c r="BJ653" s="1238" t="s">
        <v>2475</v>
      </c>
      <c r="BK653" s="1239" t="s">
        <v>2475</v>
      </c>
      <c r="BL653" s="1240" t="s">
        <v>2475</v>
      </c>
      <c r="BM653" s="2549"/>
      <c r="BN653" s="1238" t="s">
        <v>7899</v>
      </c>
      <c r="BO653" s="1239" t="s">
        <v>7899</v>
      </c>
      <c r="BP653" s="1240" t="s">
        <v>7899</v>
      </c>
      <c r="BQ653" s="1238" t="s">
        <v>2475</v>
      </c>
      <c r="BR653" s="1239" t="s">
        <v>2475</v>
      </c>
      <c r="BS653" s="1240" t="s">
        <v>2475</v>
      </c>
      <c r="BT653" s="2549"/>
      <c r="BU653" s="1238" t="s">
        <v>7899</v>
      </c>
      <c r="BV653" s="1239" t="s">
        <v>7899</v>
      </c>
      <c r="BW653" s="1240" t="s">
        <v>7899</v>
      </c>
      <c r="BX653" s="1238" t="s">
        <v>2475</v>
      </c>
      <c r="BY653" s="1239" t="s">
        <v>2475</v>
      </c>
      <c r="BZ653" s="1240" t="s">
        <v>2475</v>
      </c>
      <c r="CA653" s="2549"/>
      <c r="CB653" s="1238" t="s">
        <v>7899</v>
      </c>
      <c r="CC653" s="1239" t="s">
        <v>7899</v>
      </c>
      <c r="CD653" s="1240" t="s">
        <v>7899</v>
      </c>
      <c r="CE653" s="1238" t="s">
        <v>2475</v>
      </c>
      <c r="CF653" s="1239" t="s">
        <v>2475</v>
      </c>
      <c r="CG653" s="1240" t="s">
        <v>2475</v>
      </c>
      <c r="CI653" s="1238" t="s">
        <v>7899</v>
      </c>
      <c r="CJ653" s="1239" t="s">
        <v>7899</v>
      </c>
      <c r="CK653" s="1240" t="s">
        <v>7899</v>
      </c>
      <c r="CL653" s="1238" t="s">
        <v>2475</v>
      </c>
      <c r="CM653" s="1239" t="s">
        <v>2475</v>
      </c>
      <c r="CN653" s="1240" t="s">
        <v>2475</v>
      </c>
    </row>
    <row r="654" spans="1:92" ht="12.75" customHeight="1">
      <c r="A654" s="219">
        <v>645</v>
      </c>
      <c r="B654" s="7145"/>
      <c r="C654" s="1034"/>
      <c r="D654" s="2237" t="s">
        <v>1770</v>
      </c>
      <c r="E654" s="70">
        <f>IF($P$269&gt;0,40+25*$V$600,IF(Raza="Ebudan",60,IF(OR(Raza="Tuan Dalyr",Raza="Turak"),40,IF(OR(Raza="Daimah",Nephilim="Nephilim Turak"),30,IF(OR(Raza="Jayán",$R$1377&gt;0,$R$1788&gt;0),VLOOKUP(Tamaño,Tabla_CreaciónSeres,8),0)))))</f>
        <v>0</v>
      </c>
      <c r="F654" s="70">
        <f>20+20*$V$601</f>
        <v>20</v>
      </c>
      <c r="G654" s="70">
        <v>0</v>
      </c>
      <c r="H654" s="70">
        <v>0</v>
      </c>
      <c r="I654" s="70" t="str">
        <f>IF(OR($P$269&gt;0,$R$1377&gt;0),IF(Personalización!$F$36="","-",Personalización!$F$36),IF(OR(Raza="Ebudan",Raza="Turak",Raza="Daimah",Raza="Jayán",Nephilim="Nehpilim Turak"),"FIL",IF(Personalización!$F$36="","-",Personalización!$F$36)))</f>
        <v>-</v>
      </c>
      <c r="J654" s="70" t="str">
        <f>IF(OR($P$269&gt;0,$R$1377&gt;0),IF(Personalización!$F$37="","-",Personalización!$F$37),IF(OR(Raza="Ebudan",Raza="Turak",Nephilim="Nephilim Turak"),"-",IF(OR(Raza="Daimah",Raza="Jayán"),"PEN",IF(Personalización!$F$37="","-",Personalización!$F$37))))</f>
        <v>-</v>
      </c>
      <c r="K654" s="76" t="str">
        <f>IF(Raza="Ebudan","Mandoble/-","Natural/-")</f>
        <v>Natural/-</v>
      </c>
      <c r="L654" s="2238" t="str">
        <f>IF(OR(Arma_Desarrollada=$D654,COUNTIF(PDs!Y43:AA48,$D654)&gt;0,$R$1377&gt;0,$P$269&gt;0,$R$1788&gt;0),"Conocida","Distinta")</f>
        <v>Distinta</v>
      </c>
      <c r="M654" s="1035">
        <f>IF(Raza="Ebudan","20",VLOOKUP(Tamaño,$W$47:$AF$54,10))</f>
        <v>4</v>
      </c>
      <c r="N654" s="1035">
        <f>IF(Raza="Ebudan","5",VLOOKUP(Tamaño,$W$47:$AF$54,9))+$S$1804</f>
        <v>-4</v>
      </c>
      <c r="O654" s="1035">
        <f>Presencia_final</f>
        <v>30</v>
      </c>
      <c r="P654" s="70"/>
      <c r="Q654" s="70"/>
      <c r="R654" s="70"/>
      <c r="S654" s="70" t="str">
        <f>IF(R1788=0,"-",IF(R1790&gt;0,0,IF(R1789&gt;0,"1h","1 sem.")))</f>
        <v>-</v>
      </c>
      <c r="T654" s="70">
        <f>IF($R$1788=0,0,IF($R$1791&gt;0,100,30))</f>
        <v>0</v>
      </c>
      <c r="U654" s="70">
        <f>FUE</f>
        <v>0</v>
      </c>
      <c r="V654" s="76" t="str">
        <f>IF(NOT(OR(COUNTIF(PoderesDeCriatura_Adquiridos,"Armas naturales")+COUNTIF(Principal!$AB$42:$AE$69,"Arma natural a distancia")&gt;0,Tablas!$P$269&gt;0,Raza="Jayán",Raza="Daimah",AND(Raza="Tuan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Turak"),"",IF(R1788&gt;0,"Arma natural a distancia"&amp;IF(R1792&gt;0," disparada",""),IF($V$602&gt;0,"Precisa","")&amp;IF(AND(SUM($V$602)&gt;0,$V$603&gt;0),", ","")&amp;IF($V$603&gt;0,"Presa (+2 a atributo)","")&amp;IF(AND(SUM($V$602:$V$603)&gt;0,$V$604&gt;0),", ","")&amp;IF($V$604&gt;0,"Escudo contra Proyectiles","")&amp;IF(AND(SUM($V$602:$V$604)&gt;0,$V$605&gt;0),", ","")&amp;IF($V$605&gt;0,"-"&amp;$V$605*3&amp;" TA enemiga","")&amp;IF(AND(SUM($V$602:$V$605)&gt;0,$V$606&gt;0),", ","")&amp;IF($V$606&gt;0,"+30 Crítico","")&amp;IF(AND(SUM($V$602:$V$606)&gt;0,$V$607&gt;0),", ","")&amp;IF($V$607&gt;0,"Ataque en Área (Grande)","")&amp;IF(AND(SUM($V$602:$V$607)&gt;0,$V$608&gt;0),", ","")&amp;IF($V$608&gt;0,"Ataque Adicional","")))))</f>
        <v>Armas naturales no disponibles</v>
      </c>
      <c r="W654" s="39"/>
      <c r="X654" s="2434" t="str">
        <f t="shared" ref="X654:X659" si="127">IF(K654="/","",IF(OR(ISNUMBER(FIND("Mandoble",K654)),ISNUMBER(FIND("Asta",K654))),"Grande",IF(ISNUMBER(FIND("Corta",K654)),"Pequeña","Mediana")))</f>
        <v>Mediana</v>
      </c>
      <c r="Y654" s="2229">
        <f>Bono_Fue</f>
        <v>0</v>
      </c>
      <c r="Z654" s="1150" t="str">
        <f>IF(AND(K654&lt;&gt;"Natural/-",ISNUMBER(SEARCH(D654&amp;",",Armas_Conocidas))),", "&amp;K654,"")</f>
        <v/>
      </c>
      <c r="AA654" s="1751"/>
      <c r="AC654" s="2576" t="s">
        <v>9990</v>
      </c>
      <c r="AD654" s="2574">
        <f t="array" aca="1" ref="AD654" ca="1">MIN(IF(AD664:AD667&gt;0,AD664:AD667))</f>
        <v>1</v>
      </c>
      <c r="AE654" s="3625">
        <f ca="1">AD654</f>
        <v>1</v>
      </c>
      <c r="AF654" s="2586" t="s">
        <v>9989</v>
      </c>
      <c r="AG654" s="2590" t="str">
        <f ca="1">IF(AG655="Armas naturales","","Armas naturales")</f>
        <v>Armas naturales</v>
      </c>
      <c r="AH654" s="2576" t="s">
        <v>9990</v>
      </c>
      <c r="AI654" s="2574">
        <f t="array" aca="1" ref="AI654" ca="1">MIN(IF(AI662:AI664&gt;0,AI662:AI664))</f>
        <v>1</v>
      </c>
      <c r="AJ654" s="2574">
        <f ca="1">AI654</f>
        <v>1</v>
      </c>
      <c r="AK654" s="2586" t="s">
        <v>9989</v>
      </c>
      <c r="AL654" s="2590"/>
      <c r="AM654" s="2576" t="s">
        <v>9990</v>
      </c>
      <c r="AN654" s="2574">
        <f t="array" ref="AN654">MIN(IF(AN663:AN665&gt;0,AN663:AN665))</f>
        <v>0</v>
      </c>
      <c r="AO654" s="2574">
        <f>AN654</f>
        <v>0</v>
      </c>
      <c r="AP654" s="2586" t="s">
        <v>9989</v>
      </c>
      <c r="AQ654" s="2591"/>
      <c r="AR654" s="2576" t="s">
        <v>9990</v>
      </c>
      <c r="AS654" s="2574">
        <f t="array" ref="AS654">MIN(IF(AS662:AS664&gt;0,AS662:AS664))</f>
        <v>0</v>
      </c>
      <c r="AT654" s="2574">
        <f>AS654</f>
        <v>0</v>
      </c>
      <c r="AU654" s="2586" t="s">
        <v>9989</v>
      </c>
      <c r="AV654" s="2592"/>
      <c r="AX654" s="8031"/>
      <c r="AY654" s="2549"/>
      <c r="AZ654" s="1469" t="str">
        <f>"Tablas!"&amp;ADDRESS(ROW(AZ655),COLUMN(AZ655))&amp;":"&amp;ADDRESS(ROW(AZ655)+MATCH("",AZ$655:AZ$797,0)-2,COLUMN(AZ655))</f>
        <v>Tablas!$AZ$655:$AZ$659</v>
      </c>
      <c r="BA654" s="1470" t="str">
        <f>"Tablas!"&amp;ADDRESS(ROW(BA655),COLUMN(BA655))&amp;":"&amp;ADDRESS(ROW(BA655)+MATCH("",BA$655:BA$797,0)-2,COLUMN(BA655))</f>
        <v>Tablas!$BA$655:$BA$659</v>
      </c>
      <c r="BB654" s="1470" t="str">
        <f>"Tablas!"&amp;ADDRESS(ROW(BB655),COLUMN(BB655))&amp;":"&amp;ADDRESS(ROW(BB655)+MATCH("",BB$655:BB$797,0)-2,COLUMN(BB655))</f>
        <v>Tablas!$BB$655:$BB$790</v>
      </c>
      <c r="BC654" s="1142"/>
      <c r="BD654" s="1143"/>
      <c r="BE654" s="1144"/>
      <c r="BF654" s="2549"/>
      <c r="BG654" s="1469" t="str">
        <f>"Tablas!"&amp;ADDRESS(ROW(BG655),COLUMN(BG655))&amp;":"&amp;ADDRESS(ROW(BG655)+MATCH("",BG$655:BG$797,0)-2,COLUMN(BG655))</f>
        <v>Tablas!$BG$655:$BG$659</v>
      </c>
      <c r="BH654" s="1470" t="str">
        <f>"Tablas!"&amp;ADDRESS(ROW(BH655),COLUMN(BH655))&amp;":"&amp;ADDRESS(ROW(BH655)+MATCH("",BH$655:BH$797,0)-2,COLUMN(BH655))</f>
        <v>Tablas!$BH$655:$BH$659</v>
      </c>
      <c r="BI654" s="1470" t="str">
        <f>"Tablas!"&amp;ADDRESS(ROW(BI655),COLUMN(BI655))&amp;":"&amp;ADDRESS(ROW(BI655)+MATCH("",BI$655:BI$797,0)-2,COLUMN(BI655))</f>
        <v>Tablas!$BI$655:$BI$790</v>
      </c>
      <c r="BJ654" s="1142"/>
      <c r="BK654" s="1143"/>
      <c r="BL654" s="1144"/>
      <c r="BM654" s="2549"/>
      <c r="BN654" s="1469" t="str">
        <f>"Tablas!"&amp;ADDRESS(ROW(BN655),COLUMN(BN655))&amp;":"&amp;ADDRESS(ROW(BN655)+MATCH("",BN$655:BN$797,0)-2,COLUMN(BN655))</f>
        <v>Tablas!$BN$655:$BN$659</v>
      </c>
      <c r="BO654" s="1470" t="str">
        <f>"Tablas!"&amp;ADDRESS(ROW(BO655),COLUMN(BO655))&amp;":"&amp;ADDRESS(ROW(BO655)+MATCH("",BO$655:BO$797,0)-2,COLUMN(BO655))</f>
        <v>Tablas!$BO$655:$BO$659</v>
      </c>
      <c r="BP654" s="1470" t="str">
        <f>"Tablas!"&amp;ADDRESS(ROW(BP655),COLUMN(BP655))&amp;":"&amp;ADDRESS(ROW(BP655)+MATCH("",BP$655:BP$797,0)-2,COLUMN(BP655))</f>
        <v>Tablas!$BP$655:$BP$790</v>
      </c>
      <c r="BQ654" s="1142"/>
      <c r="BR654" s="1143"/>
      <c r="BS654" s="1144"/>
      <c r="BT654" s="2549"/>
      <c r="BU654" s="1469" t="str">
        <f>"Tablas!"&amp;ADDRESS(ROW(BU655),COLUMN(BU655))&amp;":"&amp;ADDRESS(ROW(BU655)+MATCH("",BU$655:BU$797,0)-2,COLUMN(BU655))</f>
        <v>Tablas!$BU$655:$BU$659</v>
      </c>
      <c r="BV654" s="1470" t="str">
        <f>"Tablas!"&amp;ADDRESS(ROW(BV655),COLUMN(BV655))&amp;":"&amp;ADDRESS(ROW(BV655)+MATCH("",BV$655:BV$797,0)-2,COLUMN(BV655))</f>
        <v>Tablas!$BV$655:$BV$659</v>
      </c>
      <c r="BW654" s="1470" t="str">
        <f>"Tablas!"&amp;ADDRESS(ROW(BW655),COLUMN(BW655))&amp;":"&amp;ADDRESS(ROW(BW655)+MATCH("",BW$655:BW$797,0)-2,COLUMN(BW655))</f>
        <v>Tablas!$BW$655:$BW$790</v>
      </c>
      <c r="BX654" s="1142"/>
      <c r="BY654" s="1143"/>
      <c r="BZ654" s="1144"/>
      <c r="CA654" s="2549"/>
      <c r="CB654" s="1469" t="str">
        <f>"Tablas!"&amp;ADDRESS(ROW(CB655),COLUMN(CB655))&amp;":"&amp;ADDRESS(ROW(CB655)+MATCH("",CB$655:CB$797,0)-2,COLUMN(CB655))</f>
        <v>Tablas!$CB$655:$CB$659</v>
      </c>
      <c r="CC654" s="1470" t="str">
        <f>"Tablas!"&amp;ADDRESS(ROW(CC655),COLUMN(CC655))&amp;":"&amp;ADDRESS(ROW(CC655)+MATCH("",CC$655:CC$797,0)-2,COLUMN(CC655))</f>
        <v>Tablas!$CC$655:$CC$659</v>
      </c>
      <c r="CD654" s="1470" t="str">
        <f>"Tablas!"&amp;ADDRESS(ROW(CD655),COLUMN(CD655))&amp;":"&amp;ADDRESS(ROW(CD655)+MATCH("",CD$655:CD$797,0)-2,COLUMN(CD655))</f>
        <v>Tablas!$CD$655:$CD$790</v>
      </c>
      <c r="CE654" s="1142"/>
      <c r="CF654" s="1143"/>
      <c r="CG654" s="1144"/>
      <c r="CI654" s="1469" t="str">
        <f>"Tablas!"&amp;ADDRESS(ROW(CI655),COLUMN(CI655))&amp;":"&amp;ADDRESS(ROW(CI655)+MATCH("",CI$655:CI$797,0)-2,COLUMN(CI655))</f>
        <v>Tablas!$CI$655:$CI$659</v>
      </c>
      <c r="CJ654" s="1470" t="str">
        <f>"Tablas!"&amp;ADDRESS(ROW(CJ655),COLUMN(CJ655))&amp;":"&amp;ADDRESS(ROW(CJ655)+MATCH("",CJ$655:CJ$797,0)-2,COLUMN(CJ655))</f>
        <v>Tablas!$CJ$655:$CJ$659</v>
      </c>
      <c r="CK654" s="1470" t="str">
        <f>"Tablas!"&amp;ADDRESS(ROW(CK655),COLUMN(CK655))&amp;":"&amp;ADDRESS(ROW(CK655)+MATCH("",CK$655:CK$797,0)-2,COLUMN(CK655))</f>
        <v>Tablas!$CK$655:$CK$790</v>
      </c>
      <c r="CL654" s="1142"/>
      <c r="CM654" s="1143"/>
      <c r="CN654" s="1144"/>
    </row>
    <row r="655" spans="1:92" ht="12.75" customHeight="1">
      <c r="A655" s="219">
        <v>646</v>
      </c>
      <c r="B655" s="7145"/>
      <c r="C655" s="1034"/>
      <c r="D655" s="2237" t="str">
        <f>IF(Personalización!X18=0,"Arma #1",Personalización!X18)</f>
        <v>Arma #1</v>
      </c>
      <c r="E655" s="70">
        <f>Personalización!$Z$20</f>
        <v>0</v>
      </c>
      <c r="F655" s="70">
        <f>Personalización!$Z$19</f>
        <v>0</v>
      </c>
      <c r="G655" s="70">
        <f>Personalización!$AC$19</f>
        <v>0</v>
      </c>
      <c r="H655" s="70">
        <f>Personalización!$AE$19</f>
        <v>0</v>
      </c>
      <c r="I655" s="70" t="str">
        <f>IF(Personalización!$AA$21&lt;&gt;"",Personalización!$AA$21,"-")</f>
        <v>-</v>
      </c>
      <c r="J655" s="70" t="str">
        <f>IF(Personalización!$AB$21&lt;&gt;"",Personalización!$AB$21,"-")</f>
        <v>-</v>
      </c>
      <c r="K655" s="76" t="str">
        <f>IF(Personalización!$W$20="","-",Personalización!$W$20)&amp;"/"&amp;IF(Personalización!$W$21="","-",Personalización!$W$21)</f>
        <v>-/-</v>
      </c>
      <c r="L655" s="2238" t="str">
        <f>IF(OR(ISNUMBER(SEARCH($D655&amp;",",Armas_Conocidas)),Personalización!X$19="Sí"),"Conocida",IF(AND(OR(LEFT($K655,2)="-/",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Conocida</v>
      </c>
      <c r="M655" s="1035">
        <f>Personalización!$AC$21</f>
        <v>0</v>
      </c>
      <c r="N655" s="1035">
        <f>Personalización!$AD$21</f>
        <v>0</v>
      </c>
      <c r="O655" s="1035">
        <f>Personalización!$AE$21</f>
        <v>0</v>
      </c>
      <c r="P655" s="70">
        <f>IF(ISNUMBER(SEARCH("Escudo",$K655)),Personalización!$AJ$19,0)</f>
        <v>0</v>
      </c>
      <c r="Q655" s="70">
        <f>IF(ISNUMBER(SEARCH("Escudo",$K655)),Personalización!$AJ$20,0)</f>
        <v>0</v>
      </c>
      <c r="R655" s="70" t="s">
        <v>1315</v>
      </c>
      <c r="S655" s="70">
        <f>IF(ISNUMBER(SEARCH("Proyectiles",$K655)),Personalización!$AJ$20,0)</f>
        <v>0</v>
      </c>
      <c r="T655" s="70">
        <f>Personalización!$AJ$21</f>
        <v>0</v>
      </c>
      <c r="U655" s="70" t="str">
        <f>IF(ISNUMBER(SEARCH("Proyectiles",$K655)),Personalización!$AJ$19,"")</f>
        <v/>
      </c>
      <c r="V655" s="76" t="str">
        <f>IF(Personalización!$AC$18="","",Personalización!$AC$18)</f>
        <v/>
      </c>
      <c r="W655" s="39"/>
      <c r="X655" s="2434" t="str">
        <f t="shared" si="127"/>
        <v>Mediana</v>
      </c>
      <c r="Y655" s="2229">
        <f>IF(Personalización!$Z$21="N/A",0,IF(Personalización!$Z$21="",Bono_Fue,VLOOKUP(Personalización!$Z$21,Tabla_Características,5,0)))</f>
        <v>0</v>
      </c>
      <c r="Z655" s="1150" t="str">
        <f>IF(AND(K655&lt;&gt;"Natural/-",ISNUMBER(SEARCH(D655&amp;",",Armas_Conocidas))),", "&amp;K655,"")</f>
        <v>, -/-</v>
      </c>
      <c r="AA655" s="1751" t="s">
        <v>9990</v>
      </c>
      <c r="AC655" s="2573" t="s">
        <v>1960</v>
      </c>
      <c r="AD655" s="2574">
        <f t="array" ref="AD655">MIN(IF(AD669:AD728&gt;0,AD669:AD728))</f>
        <v>0</v>
      </c>
      <c r="AE655" s="3626">
        <f>IF(AD655&gt;0,AD655+COUNTIF(AE$654:AE654,"&gt;0"),0)</f>
        <v>0</v>
      </c>
      <c r="AF655" s="758" t="str">
        <f t="shared" ref="AF655:AF686" ca="1" si="128">IFERROR(INDEX(AC$654:AC$808,MATCH($A1,AE$654:AE$808,0)),"")</f>
        <v>&gt; ARMAS PERSONALIZADAS</v>
      </c>
      <c r="AG655" s="758" t="str">
        <f t="shared" ref="AG655:AG686" ca="1" si="129">IF($A1&lt;MIN($AE$662,IF($AE$660&gt;0,$AE$660,9999),IF($AE$661&gt;0,$AE$661,9999)),IFERROR(INDEX(AC$654:AC$808,MATCH($A1,AE$654:AE$808,0)),""),"")</f>
        <v>&gt; ARMAS PERSONALIZADAS</v>
      </c>
      <c r="AH655" s="2573" t="s">
        <v>1960</v>
      </c>
      <c r="AI655" s="2574">
        <f t="array" ref="AI655">MIN(IF(AI666:AI692&gt;0,AI666:AI692))</f>
        <v>0</v>
      </c>
      <c r="AJ655" s="2574">
        <f>IF(AI655&gt;0,AI655+COUNTIF(AJ$654:AJ654,"&gt;0"),0)</f>
        <v>0</v>
      </c>
      <c r="AK655" s="758" t="str">
        <f t="shared" ref="AK655:AK686" ca="1" si="130">IFERROR(INDEX(AH$654:AH$806,MATCH($A1,AJ$654:AJ$806,0)),"")</f>
        <v>&gt; ARMAS PERSONALIZADAS</v>
      </c>
      <c r="AL655" s="758" t="str">
        <f t="shared" ref="AL655:AL686" ca="1" si="131">IF($A1&lt;MIN(AJ$660,IF($AJ$657&gt;0,$AJ$657,9999)),IFERROR(INDEX(AH$654:AH$806,MATCH($A1,AJ$654:AJ$806,0)),""),"")</f>
        <v>&gt; ARMAS PERSONALIZADAS</v>
      </c>
      <c r="AM655" s="2576" t="s">
        <v>2040</v>
      </c>
      <c r="AN655" s="2574">
        <f t="array" ref="AN655">MIN(IF(AN667:AN674&gt;0,AN667:AN674))</f>
        <v>0</v>
      </c>
      <c r="AO655" s="2574">
        <f>IF(AN655&gt;0,AN655+COUNTIF(AO$654:AO654,"&gt;0"),0)</f>
        <v>0</v>
      </c>
      <c r="AP655" s="758" t="str">
        <f t="shared" ref="AP655:AP686" ca="1" si="132">IFERROR(INDEX(AM$654:AM$806,MATCH($A1,AO$654:AO$806,0)),"")</f>
        <v>-- NO CONOCIDAS --</v>
      </c>
      <c r="AQ655" s="2590" t="str">
        <f t="shared" ref="AQ655:AQ686" ca="1" si="133">IF($A1&lt;MIN(AO$660,IF($AO$656&gt;0,$AO$656,9999)),IFERROR(INDEX(AM$654:AM$806,MATCH($A1,AO$654:AO$806,0)),""),"")</f>
        <v/>
      </c>
      <c r="AR655" s="2573" t="s">
        <v>2040</v>
      </c>
      <c r="AS655" s="2574">
        <f t="array" ref="AS655">MIN(IF(AS666:AS674&gt;0,AS666:AS674))</f>
        <v>0</v>
      </c>
      <c r="AT655" s="2574">
        <f>IF(AS655&gt;0,AS655+COUNTIF(AT$654:AT654,"&gt;0"),0)</f>
        <v>0</v>
      </c>
      <c r="AU655" s="758" t="str">
        <f t="shared" ref="AU655:AU686" ca="1" si="134">IFERROR(INDEX(AR$654:AR$806,MATCH($A1,AT$654:AT$806,0)),"")</f>
        <v>-- NO CONOCIDAS --</v>
      </c>
      <c r="AV655" s="758" t="str">
        <f t="shared" ref="AV655:AV686" ca="1" si="135">IF($A1&lt;MIN(AT$660,IF($AT$657&gt;0,$AT$657,9999)),IFERROR(INDEX(AR$654:AR$806,MATCH($A1,AT$654:AT$806,0)),""),"")</f>
        <v/>
      </c>
      <c r="AX655" s="1141" t="str">
        <f t="shared" ref="AX655:AX686" si="136">D653</f>
        <v>Desarmado</v>
      </c>
      <c r="AY655" s="2549"/>
      <c r="AZ655" s="774" t="str">
        <f t="shared" ref="AZ655:AZ686" si="137">IF(ISNA(INDEX(Lista_ArmasYVirgo,MATCH($A1,BC$655:BC$796,0))),"",INDEX(Lista_ArmasYVirgo,MATCH($A1,BC$655:BC$796,0)))</f>
        <v>&gt; ARMAS COMUNES</v>
      </c>
      <c r="BA655" s="76" t="str">
        <f t="shared" ref="BA655:BA686" si="138">IF(ISNA(INDEX(Lista_ArmasYVirgo,MATCH($A1,BD$655:BD$796,0))),"",INDEX(Lista_ArmasYVirgo,MATCH($A1,BD$655:BD$796,0)))</f>
        <v>&gt; ARMAS COMUNES</v>
      </c>
      <c r="BB655" s="76" t="str">
        <f t="shared" ref="BB655:BB686" si="139">IF(ISNA(INDEX(Lista_ArmasYVirgo,MATCH($A1,BE$655:BE$796,0))),"",INDEX(Lista_ArmasYVirgo,MATCH($A1,BE$655:BE$796,0)))</f>
        <v>Desarmado</v>
      </c>
      <c r="BC655" s="1142">
        <f>IF(OR($L653=BC$652,$L653="",$D653=$BE$651),MAX(BC$654:BC654)+1,0)</f>
        <v>0</v>
      </c>
      <c r="BD655" s="1143">
        <f>IF(OR($L653=BD$652,$L653="",$D653=$BE$651),MAX(BD$654:BD654)+1,0)</f>
        <v>0</v>
      </c>
      <c r="BE655" s="1144">
        <f>IF(OR($L653=BE$652,$L653="",$D653=$BE$651),MAX(BE$654:BE654)+1,0)</f>
        <v>1</v>
      </c>
      <c r="BF655" s="2549"/>
      <c r="BG655" s="774" t="str">
        <f t="shared" ref="BG655:BG686" si="140">IF(ISNA(INDEX(Lista_ArmasYVirgo,MATCH($A1,BJ$655:BJ$796,0))),"",INDEX(Lista_ArmasYVirgo,MATCH($A1,BJ$655:BJ$796,0)))</f>
        <v>&gt; ARMAS COMUNES</v>
      </c>
      <c r="BH655" s="76" t="str">
        <f t="shared" ref="BH655:BH686" si="141">IF(ISNA(INDEX(Lista_ArmasYVirgo,MATCH($A1,BK$655:BK$796,0))),"",INDEX(Lista_ArmasYVirgo,MATCH($A1,BK$655:BK$796,0)))</f>
        <v>&gt; ARMAS COMUNES</v>
      </c>
      <c r="BI655" s="76" t="str">
        <f t="shared" ref="BI655:BI686" si="142">IF(ISNA(INDEX(Lista_ArmasYVirgo,MATCH($A1,BL$655:BL$796,0))),"",INDEX(Lista_ArmasYVirgo,MATCH($A1,BL$655:BL$796,0)))</f>
        <v>Desarmado</v>
      </c>
      <c r="BJ655" s="1142">
        <f>IF(OR($L653=BJ$652,$L653="",$D653=$BL$651),MAX(BJ$654:BJ654)+1,0)</f>
        <v>0</v>
      </c>
      <c r="BK655" s="1143">
        <f>IF(OR($L653=BK$652,$L653="",$D653=$BL$651),MAX(BK$654:BK654)+1,0)</f>
        <v>0</v>
      </c>
      <c r="BL655" s="1144">
        <f>IF(OR($L653=BL$652,$L653="",$D653=$BL$651),MAX(BL$654:BL654)+1,0)</f>
        <v>1</v>
      </c>
      <c r="BM655" s="2549"/>
      <c r="BN655" s="774" t="str">
        <f t="shared" ref="BN655:BN686" si="143">IF(ISNA(INDEX(Lista_ArmasYVirgo,MATCH($A1,BQ$655:BQ$796,0))),"",INDEX(Lista_ArmasYVirgo,MATCH($A1,BQ$655:BQ$796,0)))</f>
        <v>&gt; ARMAS COMUNES</v>
      </c>
      <c r="BO655" s="76" t="str">
        <f t="shared" ref="BO655:BO686" si="144">IF(ISNA(INDEX(Lista_ArmasYVirgo,MATCH($A1,BR$655:BR$796,0))),"",INDEX(Lista_ArmasYVirgo,MATCH($A1,BR$655:BR$796,0)))</f>
        <v>&gt; ARMAS COMUNES</v>
      </c>
      <c r="BP655" s="76" t="str">
        <f t="shared" ref="BP655:BP686" si="145">IF(ISNA(INDEX(Lista_ArmasYVirgo,MATCH($A1,BS$655:BS$796,0))),"",INDEX(Lista_ArmasYVirgo,MATCH($A1,BS$655:BS$796,0)))</f>
        <v>Desarmado</v>
      </c>
      <c r="BQ655" s="1142">
        <f>IF(OR($L653=BQ$652,$L653="",$D653=$BS$651),MAX(BQ$654:BQ654)+1,0)</f>
        <v>0</v>
      </c>
      <c r="BR655" s="1143">
        <f>IF(OR($L653=BR$652,$L653="",$D653=$BS$651),MAX(BR$654:BR654)+1,0)</f>
        <v>0</v>
      </c>
      <c r="BS655" s="1144">
        <f>IF(OR($L653=BS$652,$L653="",$D653=$BS$651),MAX(BS$654:BS654)+1,0)</f>
        <v>1</v>
      </c>
      <c r="BT655" s="2549"/>
      <c r="BU655" s="774" t="str">
        <f t="shared" ref="BU655:BU686" si="146">IF(ISNA(INDEX(Lista_ArmasYVirgo,MATCH($A1,BX$655:BX$796,0))),"",INDEX(Lista_ArmasYVirgo,MATCH($A1,BX$655:BX$796,0)))</f>
        <v>&gt; ARMAS COMUNES</v>
      </c>
      <c r="BV655" s="76" t="str">
        <f t="shared" ref="BV655:BV686" si="147">IF(ISNA(INDEX(Lista_ArmasYVirgo,MATCH($A1,BY$655:BY$796,0))),"",INDEX(Lista_ArmasYVirgo,MATCH($A1,BY$655:BY$796,0)))</f>
        <v>&gt; ARMAS COMUNES</v>
      </c>
      <c r="BW655" s="76" t="str">
        <f t="shared" ref="BW655:BW686" si="148">IF(ISNA(INDEX(Lista_ArmasYVirgo,MATCH($A1,BZ$655:BZ$796,0))),"",INDEX(Lista_ArmasYVirgo,MATCH($A1,BZ$655:BZ$796,0)))</f>
        <v>Desarmado</v>
      </c>
      <c r="BX655" s="1142">
        <f>IF(OR($L653=BX$652,$L653="",$D653=$BZ$651),MAX(BX$654:BX654)+1,0)</f>
        <v>0</v>
      </c>
      <c r="BY655" s="1143">
        <f>IF(OR($L653=BY$652,$L653="",$D653=$BZ$651),MAX(BY$654:BY654)+1,0)</f>
        <v>0</v>
      </c>
      <c r="BZ655" s="1144">
        <f>IF(OR($L653=BZ$652,$L653="",$D653=$BZ$651),MAX(BZ$654:BZ654)+1,0)</f>
        <v>1</v>
      </c>
      <c r="CA655" s="2549"/>
      <c r="CB655" s="774" t="str">
        <f t="shared" ref="CB655:CB686" si="149">IF(ISNA(INDEX(Lista_ArmasYVirgo,MATCH($A1,CE$655:CE$796,0))),"",INDEX(Lista_ArmasYVirgo,MATCH($A1,CE$655:CE$796,0)))</f>
        <v>&gt; ARMAS COMUNES</v>
      </c>
      <c r="CC655" s="76" t="str">
        <f t="shared" ref="CC655:CC686" si="150">IF(ISNA(INDEX(Lista_ArmasYVirgo,MATCH($A1,CF$655:CF$796,0))),"",INDEX(Lista_ArmasYVirgo,MATCH($A1,CF$655:CF$796,0)))</f>
        <v>&gt; ARMAS COMUNES</v>
      </c>
      <c r="CD655" s="76" t="str">
        <f t="shared" ref="CD655:CD686" si="151">IF(ISNA(INDEX(Lista_ArmasYVirgo,MATCH($A1,CG$655:CG$796,0))),"",INDEX(Lista_ArmasYVirgo,MATCH($A1,CG$655:CG$796,0)))</f>
        <v>Desarmado</v>
      </c>
      <c r="CE655" s="1142">
        <f>IF(OR($L653=CE$652,$L653="",$D653=$CG$651),MAX(CE$654:CE654)+1,0)</f>
        <v>0</v>
      </c>
      <c r="CF655" s="1143">
        <f>IF(OR($L653=CF$652,$L653="",$D653=$CG$651),MAX(CF$654:CF654)+1,0)</f>
        <v>0</v>
      </c>
      <c r="CG655" s="1144">
        <f>IF(OR($L653=CG$652,$L653="",$D653=$CG$651),MAX(CG$654:CG654)+1,0)</f>
        <v>1</v>
      </c>
      <c r="CI655" s="774" t="str">
        <f t="shared" ref="CI655:CI686" si="152">IF(ISNA(INDEX(Lista_ArmasYVirgo,MATCH($A1,CL$655:CL$796,0))),"",INDEX(Lista_ArmasYVirgo,MATCH($A1,CL$655:CL$796,0)))</f>
        <v>&gt; ARMAS COMUNES</v>
      </c>
      <c r="CJ655" s="76" t="str">
        <f t="shared" ref="CJ655:CJ686" si="153">IF(ISNA(INDEX(Lista_ArmasYVirgo,MATCH($A1,CM$655:CM$796,0))),"",INDEX(Lista_ArmasYVirgo,MATCH($A1,CM$655:CM$796,0)))</f>
        <v>&gt; ARMAS COMUNES</v>
      </c>
      <c r="CK655" s="76" t="str">
        <f t="shared" ref="CK655:CK686" si="154">IF(ISNA(INDEX(Lista_ArmasYVirgo,MATCH($A1,CN$655:CN$796,0))),"",INDEX(Lista_ArmasYVirgo,MATCH($A1,CN$655:CN$796,0)))</f>
        <v>Desarmado</v>
      </c>
      <c r="CL655" s="1142">
        <f>IF(OR($L653=CL$652,$L653="",$D653=$CN$651),MAX(CL$654:CL654)+1,0)</f>
        <v>0</v>
      </c>
      <c r="CM655" s="1143">
        <f>IF(OR($L653=CM$652,$L653="",$D653=$CN$651),MAX(CM$654:CM654)+1,0)</f>
        <v>0</v>
      </c>
      <c r="CN655" s="1144">
        <f>IF(OR($L653=CN$652,$L653="",$D653=$CN$651),MAX(CN$654:CN654)+1,0)</f>
        <v>1</v>
      </c>
    </row>
    <row r="656" spans="1:92" ht="12.75" customHeight="1">
      <c r="A656" s="219">
        <v>647</v>
      </c>
      <c r="B656" s="7145"/>
      <c r="C656" s="1034"/>
      <c r="D656" s="2237" t="str">
        <f>IF(Personalización!X22=0,"Arma #2",Personalización!X22)</f>
        <v>Arma #2</v>
      </c>
      <c r="E656" s="70">
        <f>Personalización!$Z$24</f>
        <v>0</v>
      </c>
      <c r="F656" s="70">
        <f>Personalización!$Z$23</f>
        <v>0</v>
      </c>
      <c r="G656" s="70">
        <f>Personalización!$AC$23</f>
        <v>0</v>
      </c>
      <c r="H656" s="70">
        <f>Personalización!$AE$23</f>
        <v>0</v>
      </c>
      <c r="I656" s="70" t="str">
        <f>IF(Personalización!$AA$25&lt;&gt;"",Personalización!$AA$25,"-")</f>
        <v>-</v>
      </c>
      <c r="J656" s="70" t="str">
        <f>IF(Personalización!$AB$25&lt;&gt;"",Personalización!$AB$25,"-")</f>
        <v>-</v>
      </c>
      <c r="K656" s="76" t="str">
        <f>IF(Personalización!$W$24="","-",Personalización!$W$24)&amp;"/"&amp;IF(Personalización!$W$25="","-",Personalización!$W$25)</f>
        <v>-/-</v>
      </c>
      <c r="L656" s="2238" t="str">
        <f>IF(OR(ISNUMBER(SEARCH($D656&amp;",",Armas_Conocidas)),Personalización!X$23="Sí"),"Conocida",IF(AND(OR(LEFT($K656,2)="-/",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1035">
        <f>Personalización!$AC$25</f>
        <v>0</v>
      </c>
      <c r="N656" s="1035">
        <f>Personalización!$AD$25</f>
        <v>0</v>
      </c>
      <c r="O656" s="1035">
        <f>Personalización!$AE$25</f>
        <v>0</v>
      </c>
      <c r="P656" s="70">
        <f>IF(ISNUMBER(SEARCH("Escudo",$K656)),Personalización!$AJ$23,0)</f>
        <v>0</v>
      </c>
      <c r="Q656" s="70">
        <f>IF(ISNUMBER(SEARCH("Escudo",$K656)),Personalización!$AJ$24,0)</f>
        <v>0</v>
      </c>
      <c r="R656" s="70" t="s">
        <v>1315</v>
      </c>
      <c r="S656" s="70">
        <f>IF(ISNUMBER(SEARCH("Proyectiles",$K656)),Personalización!$AJ$24,0)</f>
        <v>0</v>
      </c>
      <c r="T656" s="70">
        <f>Personalización!$AJ$25</f>
        <v>0</v>
      </c>
      <c r="U656" s="70" t="str">
        <f>IF(ISNUMBER(SEARCH("Proyectiles",$K656)),Personalización!$AJ$23,"")</f>
        <v/>
      </c>
      <c r="V656" s="76" t="str">
        <f>IF(Personalización!$AC$22="","",Personalización!$AC$22)</f>
        <v/>
      </c>
      <c r="W656" s="39"/>
      <c r="X656" s="2434" t="str">
        <f t="shared" si="127"/>
        <v>Mediana</v>
      </c>
      <c r="Y656" s="2229">
        <f>IF(Personalización!$Z$25="N/A",0,IF(Personalización!$Z$25="",Bono_Fue,VLOOKUP(Personalización!$Z$25,Tabla_Características,5,0)))</f>
        <v>0</v>
      </c>
      <c r="Z656" s="1150" t="str">
        <f>IF(AND(K656&lt;&gt;"Natural/-",ISNUMBER(SEARCH(D656&amp;",",Armas_Conocidas))),", "&amp;K656,"")</f>
        <v/>
      </c>
      <c r="AA656" s="1751" t="s">
        <v>9990</v>
      </c>
      <c r="AC656" s="2575" t="s">
        <v>2014</v>
      </c>
      <c r="AD656" s="2574">
        <f t="array" ref="AD656">MIN(IF(AD730:AD732&gt;0,AD730:AD732))</f>
        <v>0</v>
      </c>
      <c r="AE656" s="3626">
        <f>IF(AD656&gt;0,AD656+COUNTIF(AE$654:AE655,"&gt;0"),0)</f>
        <v>0</v>
      </c>
      <c r="AF656" s="758" t="str">
        <f t="shared" ca="1" si="128"/>
        <v>Arma #1</v>
      </c>
      <c r="AG656" s="758" t="str">
        <f t="shared" ca="1" si="129"/>
        <v>Arma #1</v>
      </c>
      <c r="AH656" s="2575" t="s">
        <v>2019</v>
      </c>
      <c r="AI656" s="2574">
        <f t="array" ref="AI656">MIN(IF(AI694:AI706&gt;0,AI694:AI706))</f>
        <v>0</v>
      </c>
      <c r="AJ656" s="2574">
        <f>IF(AI656&gt;0,AI656+COUNTIF(AJ$654:AJ655,"&gt;0"),0)</f>
        <v>0</v>
      </c>
      <c r="AK656" s="758" t="str">
        <f t="shared" ca="1" si="130"/>
        <v>Arma #1</v>
      </c>
      <c r="AL656" s="758" t="str">
        <f t="shared" ca="1" si="131"/>
        <v>Arma #1</v>
      </c>
      <c r="AM656" s="2575" t="s">
        <v>2071</v>
      </c>
      <c r="AN656" s="2574">
        <f t="array" ref="AN656">MIN(IF(AN676:AN677&gt;0,AN676:AN677))</f>
        <v>0</v>
      </c>
      <c r="AO656" s="2574">
        <f>IF(AN656&gt;0,AN656+COUNTIF(AO$654:AO655,"&gt;0"),0)</f>
        <v>0</v>
      </c>
      <c r="AP656" s="758" t="str">
        <f t="shared" ca="1" si="132"/>
        <v>Armas naturales</v>
      </c>
      <c r="AQ656" s="758" t="str">
        <f t="shared" ca="1" si="133"/>
        <v/>
      </c>
      <c r="AR656" s="2575" t="s">
        <v>7865</v>
      </c>
      <c r="AS656" s="2574">
        <f t="array" ref="AS656">MIN(IF(AS676:AS678&gt;0,AS676:AS678))</f>
        <v>0</v>
      </c>
      <c r="AT656" s="2574">
        <f>IF(AS656&gt;0,AS656+COUNTIF(AT$654:AT655,"&gt;0"),0)</f>
        <v>0</v>
      </c>
      <c r="AU656" s="758" t="str">
        <f t="shared" ca="1" si="134"/>
        <v>&gt; ARMAS PERSONALIZADAS</v>
      </c>
      <c r="AV656" s="758" t="str">
        <f t="shared" ca="1" si="135"/>
        <v/>
      </c>
      <c r="AX656" s="1141" t="str">
        <f t="shared" si="136"/>
        <v>Armas naturales</v>
      </c>
      <c r="AY656" s="2549"/>
      <c r="AZ656" s="774" t="str">
        <f t="shared" si="137"/>
        <v>&gt; ESCUDOS</v>
      </c>
      <c r="BA656" s="76" t="str">
        <f t="shared" si="138"/>
        <v>&gt; ESCUDOS</v>
      </c>
      <c r="BB656" s="76" t="str">
        <f t="shared" si="139"/>
        <v>Armas naturales</v>
      </c>
      <c r="BC656" s="1142">
        <f>IF(OR($L654=BC$652,$L654="",$D654=$BE$651),MAX(BC$654:BC655)+1,0)</f>
        <v>0</v>
      </c>
      <c r="BD656" s="1143">
        <f>IF(OR($L654=BD$652,$L654="",$D654=$BE$651),MAX(BD$654:BD655)+1,0)</f>
        <v>0</v>
      </c>
      <c r="BE656" s="1144">
        <f>IF(OR($L654=BE$652,$L654="",$D654=$BE$651),MAX(BE$654:BE655)+1,0)</f>
        <v>2</v>
      </c>
      <c r="BF656" s="2549"/>
      <c r="BG656" s="774" t="str">
        <f t="shared" si="140"/>
        <v>&gt; ESCUDOS</v>
      </c>
      <c r="BH656" s="76" t="str">
        <f t="shared" si="141"/>
        <v>&gt; ESCUDOS</v>
      </c>
      <c r="BI656" s="76" t="str">
        <f t="shared" si="142"/>
        <v>Armas naturales</v>
      </c>
      <c r="BJ656" s="1142">
        <f>IF(OR($L654=BJ$652,$L654="",$D654=$BL$651),MAX(BJ$654:BJ655)+1,0)</f>
        <v>0</v>
      </c>
      <c r="BK656" s="1143">
        <f>IF(OR($L654=BK$652,$L654="",$D654=$BL$651),MAX(BK$654:BK655)+1,0)</f>
        <v>0</v>
      </c>
      <c r="BL656" s="1144">
        <f>IF(OR($L654=BL$652,$L654="",$D654=$BL$651),MAX(BL$654:BL655)+1,0)</f>
        <v>2</v>
      </c>
      <c r="BM656" s="2549"/>
      <c r="BN656" s="774" t="str">
        <f t="shared" si="143"/>
        <v>&gt; ESCUDOS</v>
      </c>
      <c r="BO656" s="76" t="str">
        <f t="shared" si="144"/>
        <v>&gt; ESCUDOS</v>
      </c>
      <c r="BP656" s="76" t="str">
        <f t="shared" si="145"/>
        <v>Armas naturales</v>
      </c>
      <c r="BQ656" s="1142">
        <f>IF(OR($L654=BQ$652,$L654="",$D654=$BS$651),MAX(BQ$654:BQ655)+1,0)</f>
        <v>0</v>
      </c>
      <c r="BR656" s="1143">
        <f>IF(OR($L654=BR$652,$L654="",$D654=$BS$651),MAX(BR$654:BR655)+1,0)</f>
        <v>0</v>
      </c>
      <c r="BS656" s="1144">
        <f>IF(OR($L654=BS$652,$L654="",$D654=$BS$651),MAX(BS$654:BS655)+1,0)</f>
        <v>2</v>
      </c>
      <c r="BT656" s="2549"/>
      <c r="BU656" s="774" t="str">
        <f t="shared" si="146"/>
        <v>&gt; ESCUDOS</v>
      </c>
      <c r="BV656" s="76" t="str">
        <f t="shared" si="147"/>
        <v>&gt; ESCUDOS</v>
      </c>
      <c r="BW656" s="76" t="str">
        <f t="shared" si="148"/>
        <v>Armas naturales</v>
      </c>
      <c r="BX656" s="1142">
        <f>IF(OR($L654=BX$652,$L654="",$D654=$BZ$651),MAX(BX$654:BX655)+1,0)</f>
        <v>0</v>
      </c>
      <c r="BY656" s="1143">
        <f>IF(OR($L654=BY$652,$L654="",$D654=$BZ$651),MAX(BY$654:BY655)+1,0)</f>
        <v>0</v>
      </c>
      <c r="BZ656" s="1144">
        <f>IF(OR($L654=BZ$652,$L654="",$D654=$BZ$651),MAX(BZ$654:BZ655)+1,0)</f>
        <v>2</v>
      </c>
      <c r="CA656" s="2549"/>
      <c r="CB656" s="774" t="str">
        <f t="shared" si="149"/>
        <v>&gt; ESCUDOS</v>
      </c>
      <c r="CC656" s="76" t="str">
        <f t="shared" si="150"/>
        <v>&gt; ESCUDOS</v>
      </c>
      <c r="CD656" s="76" t="str">
        <f t="shared" si="151"/>
        <v>Armas naturales</v>
      </c>
      <c r="CE656" s="1142">
        <f>IF(OR($L654=CE$652,$L654="",$D654=$CG$651),MAX(CE$654:CE655)+1,0)</f>
        <v>0</v>
      </c>
      <c r="CF656" s="1143">
        <f>IF(OR($L654=CF$652,$L654="",$D654=$CG$651),MAX(CF$654:CF655)+1,0)</f>
        <v>0</v>
      </c>
      <c r="CG656" s="1144">
        <f>IF(OR($L654=CG$652,$L654="",$D654=$CG$651),MAX(CG$654:CG655)+1,0)</f>
        <v>2</v>
      </c>
      <c r="CI656" s="774" t="str">
        <f t="shared" si="152"/>
        <v>&gt; ESCUDOS</v>
      </c>
      <c r="CJ656" s="76" t="str">
        <f t="shared" si="153"/>
        <v>&gt; ESCUDOS</v>
      </c>
      <c r="CK656" s="76" t="str">
        <f t="shared" si="154"/>
        <v>Armas naturales</v>
      </c>
      <c r="CL656" s="1142">
        <f>IF(OR($L654=CL$652,$L654="",$D654=$CN$651),MAX(CL$654:CL655)+1,0)</f>
        <v>0</v>
      </c>
      <c r="CM656" s="1143">
        <f>IF(OR($L654=CM$652,$L654="",$D654=$CN$651),MAX(CM$654:CM655)+1,0)</f>
        <v>0</v>
      </c>
      <c r="CN656" s="1144">
        <f>IF(OR($L654=CN$652,$L654="",$D654=$CN$651),MAX(CN$654:CN655)+1,0)</f>
        <v>2</v>
      </c>
    </row>
    <row r="657" spans="1:92" ht="12.75" customHeight="1">
      <c r="A657" s="219">
        <v>648</v>
      </c>
      <c r="B657" s="7145"/>
      <c r="C657" s="1034"/>
      <c r="D657" s="2237" t="str">
        <f>IF(Personalización!X26=0,"Arma #3",Personalización!X26)</f>
        <v>Arma #3</v>
      </c>
      <c r="E657" s="70">
        <f>Personalización!$Z$28</f>
        <v>0</v>
      </c>
      <c r="F657" s="70">
        <f>Personalización!$Z$27</f>
        <v>0</v>
      </c>
      <c r="G657" s="70">
        <f>Personalización!$AC$27</f>
        <v>0</v>
      </c>
      <c r="H657" s="70">
        <f>Personalización!$AE$27</f>
        <v>0</v>
      </c>
      <c r="I657" s="70" t="str">
        <f>IF(Personalización!$AA$29&lt;&gt;"",Personalización!$AA$29,"-")</f>
        <v>-</v>
      </c>
      <c r="J657" s="70" t="str">
        <f>IF(Personalización!$AB$29&lt;&gt;"",Personalización!$AB$29,"-")</f>
        <v>-</v>
      </c>
      <c r="K657" s="76" t="str">
        <f>IF(Personalización!$W$28="","-",Personalización!$W$28)&amp;"/"&amp;IF(Personalización!$W$29="","-",Personalización!$W$29)</f>
        <v>-/-</v>
      </c>
      <c r="L657" s="2238" t="str">
        <f>IF(OR(ISNUMBER(SEARCH($D657&amp;",",Armas_Conocidas)),Personalización!X$27="Sí"),"Conocida",IF(AND(OR(LEFT($K657,2)="-/",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1035">
        <f>Personalización!$AC$29</f>
        <v>0</v>
      </c>
      <c r="N657" s="1035">
        <f>Personalización!$AD$29</f>
        <v>0</v>
      </c>
      <c r="O657" s="1035">
        <f>Personalización!$AE$29</f>
        <v>0</v>
      </c>
      <c r="P657" s="70">
        <f>IF(ISNUMBER(SEARCH("Escudo",$K657)),Personalización!$AJ$27,0)</f>
        <v>0</v>
      </c>
      <c r="Q657" s="70">
        <f>IF(ISNUMBER(SEARCH("Escudo",$K657)),Personalización!$AJ$28,0)</f>
        <v>0</v>
      </c>
      <c r="R657" s="70" t="s">
        <v>1315</v>
      </c>
      <c r="S657" s="70">
        <f>IF(ISNUMBER(SEARCH("Proyectiles",$K657)),Personalización!$AJ$28,0)</f>
        <v>0</v>
      </c>
      <c r="T657" s="70">
        <f>Personalización!$AJ$29</f>
        <v>0</v>
      </c>
      <c r="U657" s="70" t="str">
        <f>IF(ISNUMBER(SEARCH("Proyectiles",$K657)),Personalización!$AJ$27,"")</f>
        <v/>
      </c>
      <c r="V657" s="76" t="str">
        <f>IF(Personalización!$AC$26="","",Personalización!$AC$26)</f>
        <v/>
      </c>
      <c r="W657" s="39"/>
      <c r="X657" s="2434" t="str">
        <f t="shared" si="127"/>
        <v>Mediana</v>
      </c>
      <c r="Y657" s="2229">
        <f>IF(Personalización!$Z$29="N/A",0,IF(Personalización!$Z$29="",Bono_Fue,VLOOKUP(Personalización!$Z$29,Tabla_Características,5,0)))</f>
        <v>0</v>
      </c>
      <c r="Z657" s="1150" t="str">
        <f t="shared" ref="Z657:Z684" si="155">IF(AND(K657&lt;&gt;"Natural/-",ISNUMBER(SEARCH(D657&amp;",",Armas_Conocidas))),", "&amp;K657,"")</f>
        <v/>
      </c>
      <c r="AA657" s="1751" t="s">
        <v>9990</v>
      </c>
      <c r="AC657" s="2573" t="s">
        <v>2019</v>
      </c>
      <c r="AD657" s="2574">
        <f t="array" ref="AD657">MIN(IF(AD734:AD764&gt;0,AD734:AD764))</f>
        <v>0</v>
      </c>
      <c r="AE657" s="3626">
        <f>IF(AD657&gt;0,AD657+COUNTIF(AE$654:AE656,"&gt;0"),0)</f>
        <v>0</v>
      </c>
      <c r="AF657" s="758" t="str">
        <f t="shared" ca="1" si="128"/>
        <v>-- NO CONOCIDAS --</v>
      </c>
      <c r="AG657" s="758" t="str">
        <f t="shared" ca="1" si="129"/>
        <v/>
      </c>
      <c r="AH657" s="2575" t="s">
        <v>2071</v>
      </c>
      <c r="AI657" s="2574" cm="1">
        <f t="array" ref="AI657">MIN(IF(AI708:AI722&gt;0,AI708:AI722))</f>
        <v>0</v>
      </c>
      <c r="AJ657" s="2574">
        <f>IF(AI657&gt;0,AI657+COUNTIF(AJ$654:AJ656,"&gt;0"),0)</f>
        <v>0</v>
      </c>
      <c r="AK657" s="758" t="str">
        <f t="shared" ca="1" si="130"/>
        <v>-- NO CONOCIDAS --</v>
      </c>
      <c r="AL657" s="758" t="str">
        <f t="shared" ca="1" si="131"/>
        <v/>
      </c>
      <c r="AM657" s="931"/>
      <c r="AN657" s="758"/>
      <c r="AO657" s="758"/>
      <c r="AP657" s="758" t="str">
        <f t="shared" ca="1" si="132"/>
        <v>&gt; ARMAS PERSONALIZADAS</v>
      </c>
      <c r="AQ657" s="758" t="str">
        <f t="shared" ca="1" si="133"/>
        <v/>
      </c>
      <c r="AR657" s="2575" t="s">
        <v>2071</v>
      </c>
      <c r="AS657" s="2574">
        <f t="array" ref="AS657">MIN(IF(AS680:AS682&gt;0,AS680:AS682))</f>
        <v>0</v>
      </c>
      <c r="AT657" s="2574">
        <f>IF(AS657&gt;0,AS657+COUNTIF(AT$654:AT656,"&gt;0"),0)</f>
        <v>0</v>
      </c>
      <c r="AU657" s="758" t="str">
        <f t="shared" ca="1" si="134"/>
        <v>&gt; A. DE PROYECTILES</v>
      </c>
      <c r="AV657" s="758" t="str">
        <f t="shared" ca="1" si="135"/>
        <v/>
      </c>
      <c r="AX657" s="1141" t="str">
        <f t="shared" si="136"/>
        <v>Arma #1</v>
      </c>
      <c r="AY657" s="2549"/>
      <c r="AZ657" s="774" t="str">
        <f t="shared" si="137"/>
        <v>&gt; ARMAS EXÓTICAS</v>
      </c>
      <c r="BA657" s="76" t="str">
        <f t="shared" si="138"/>
        <v>&gt; ARMAS EXÓTICAS</v>
      </c>
      <c r="BB657" s="76" t="str">
        <f t="shared" si="139"/>
        <v>Arma #2</v>
      </c>
      <c r="BC657" s="1142">
        <f>IF(OR($L655=BC$652,$L655="",$D655=$BE$651),MAX(BC$654:BC656)+1,0)</f>
        <v>0</v>
      </c>
      <c r="BD657" s="1143">
        <f>IF(OR($L655=BD$652,$L655="",$D655=$BE$651),MAX(BD$654:BD656)+1,0)</f>
        <v>0</v>
      </c>
      <c r="BE657" s="1144">
        <f>IF(OR($L655=BE$652,$L655="",$D655=$BE$651),MAX(BE$654:BE656)+1,0)</f>
        <v>0</v>
      </c>
      <c r="BF657" s="2549"/>
      <c r="BG657" s="774" t="str">
        <f t="shared" si="140"/>
        <v>&gt; ARMAS EXÓTICAS</v>
      </c>
      <c r="BH657" s="76" t="str">
        <f t="shared" si="141"/>
        <v>&gt; ARMAS EXÓTICAS</v>
      </c>
      <c r="BI657" s="76" t="str">
        <f t="shared" si="142"/>
        <v>Arma #2</v>
      </c>
      <c r="BJ657" s="1142">
        <f>IF(OR($L655=BJ$652,$L655="",$D655=$BL$651),MAX(BJ$654:BJ656)+1,0)</f>
        <v>0</v>
      </c>
      <c r="BK657" s="1143">
        <f>IF(OR($L655=BK$652,$L655="",$D655=$BL$651),MAX(BK$654:BK656)+1,0)</f>
        <v>0</v>
      </c>
      <c r="BL657" s="1144">
        <f>IF(OR($L655=BL$652,$L655="",$D655=$BL$651),MAX(BL$654:BL656)+1,0)</f>
        <v>0</v>
      </c>
      <c r="BM657" s="2549"/>
      <c r="BN657" s="774" t="str">
        <f t="shared" si="143"/>
        <v>&gt; ARMAS EXÓTICAS</v>
      </c>
      <c r="BO657" s="76" t="str">
        <f t="shared" si="144"/>
        <v>&gt; ARMAS EXÓTICAS</v>
      </c>
      <c r="BP657" s="76" t="str">
        <f t="shared" si="145"/>
        <v>Arma #2</v>
      </c>
      <c r="BQ657" s="1142">
        <f>IF(OR($L655=BQ$652,$L655="",$D655=$BS$651),MAX(BQ$654:BQ656)+1,0)</f>
        <v>0</v>
      </c>
      <c r="BR657" s="1143">
        <f>IF(OR($L655=BR$652,$L655="",$D655=$BS$651),MAX(BR$654:BR656)+1,0)</f>
        <v>0</v>
      </c>
      <c r="BS657" s="1144">
        <f>IF(OR($L655=BS$652,$L655="",$D655=$BS$651),MAX(BS$654:BS656)+1,0)</f>
        <v>0</v>
      </c>
      <c r="BT657" s="2549"/>
      <c r="BU657" s="774" t="str">
        <f t="shared" si="146"/>
        <v>&gt; ARMAS EXÓTICAS</v>
      </c>
      <c r="BV657" s="76" t="str">
        <f t="shared" si="147"/>
        <v>&gt; ARMAS EXÓTICAS</v>
      </c>
      <c r="BW657" s="76" t="str">
        <f t="shared" si="148"/>
        <v>Arma #2</v>
      </c>
      <c r="BX657" s="1142">
        <f>IF(OR($L655=BX$652,$L655="",$D655=$BZ$651),MAX(BX$654:BX656)+1,0)</f>
        <v>0</v>
      </c>
      <c r="BY657" s="1143">
        <f>IF(OR($L655=BY$652,$L655="",$D655=$BZ$651),MAX(BY$654:BY656)+1,0)</f>
        <v>0</v>
      </c>
      <c r="BZ657" s="1144">
        <f>IF(OR($L655=BZ$652,$L655="",$D655=$BZ$651),MAX(BZ$654:BZ656)+1,0)</f>
        <v>0</v>
      </c>
      <c r="CA657" s="2549"/>
      <c r="CB657" s="774" t="str">
        <f t="shared" si="149"/>
        <v>&gt; ARMAS EXÓTICAS</v>
      </c>
      <c r="CC657" s="76" t="str">
        <f t="shared" si="150"/>
        <v>&gt; ARMAS EXÓTICAS</v>
      </c>
      <c r="CD657" s="76" t="str">
        <f t="shared" si="151"/>
        <v>Arma #2</v>
      </c>
      <c r="CE657" s="1142">
        <f>IF(OR($L655=CE$652,$L655="",$D655=$CG$651),MAX(CE$654:CE656)+1,0)</f>
        <v>0</v>
      </c>
      <c r="CF657" s="1143">
        <f>IF(OR($L655=CF$652,$L655="",$D655=$CG$651),MAX(CF$654:CF656)+1,0)</f>
        <v>0</v>
      </c>
      <c r="CG657" s="1144">
        <f>IF(OR($L655=CG$652,$L655="",$D655=$CG$651),MAX(CG$654:CG656)+1,0)</f>
        <v>0</v>
      </c>
      <c r="CI657" s="774" t="str">
        <f t="shared" si="152"/>
        <v>&gt; ARMAS EXÓTICAS</v>
      </c>
      <c r="CJ657" s="76" t="str">
        <f t="shared" si="153"/>
        <v>&gt; ARMAS EXÓTICAS</v>
      </c>
      <c r="CK657" s="76" t="str">
        <f t="shared" si="154"/>
        <v>Arma #2</v>
      </c>
      <c r="CL657" s="1142">
        <f>IF(OR($L655=CL$652,$L655="",$D655=$CN$651),MAX(CL$654:CL656)+1,0)</f>
        <v>0</v>
      </c>
      <c r="CM657" s="1143">
        <f>IF(OR($L655=CM$652,$L655="",$D655=$CN$651),MAX(CM$654:CM656)+1,0)</f>
        <v>0</v>
      </c>
      <c r="CN657" s="1144">
        <f>IF(OR($L655=CN$652,$L655="",$D655=$CN$651),MAX(CN$654:CN656)+1,0)</f>
        <v>0</v>
      </c>
    </row>
    <row r="658" spans="1:92" ht="12.75" customHeight="1">
      <c r="A658" s="219">
        <v>649</v>
      </c>
      <c r="B658" s="7145"/>
      <c r="C658" s="1034"/>
      <c r="D658" s="2237" t="s">
        <v>1960</v>
      </c>
      <c r="E658" s="2234"/>
      <c r="F658" s="2234"/>
      <c r="G658" s="2234"/>
      <c r="H658" s="2234"/>
      <c r="I658" s="2234"/>
      <c r="J658" s="2234"/>
      <c r="K658" s="2230" t="s">
        <v>6828</v>
      </c>
      <c r="L658" s="2234"/>
      <c r="M658" s="2234"/>
      <c r="N658" s="2234"/>
      <c r="O658" s="2234"/>
      <c r="P658" s="2234"/>
      <c r="Q658" s="2234"/>
      <c r="R658" s="2234"/>
      <c r="S658" s="2234"/>
      <c r="T658" s="2234"/>
      <c r="U658" s="2234"/>
      <c r="V658" s="2230"/>
      <c r="W658" s="2230"/>
      <c r="X658" s="2434" t="str">
        <f t="shared" si="127"/>
        <v/>
      </c>
      <c r="Y658" s="2229"/>
      <c r="Z658" s="1150" t="str">
        <f t="shared" si="155"/>
        <v/>
      </c>
      <c r="AA658" s="1751"/>
      <c r="AC658" s="2573" t="s">
        <v>2071</v>
      </c>
      <c r="AD658" s="2574" cm="1">
        <f t="array" aca="1" ref="AD658" ca="1">MIN(IF(AD766:AD792&gt;0,AD766:AD792))</f>
        <v>0</v>
      </c>
      <c r="AE658" s="3626">
        <f ca="1">IF(AD658&gt;0,AD658+COUNTIF(AE$654:AE657,"&gt;0"),0)</f>
        <v>0</v>
      </c>
      <c r="AF658" s="758" t="str">
        <f t="shared" ca="1" si="128"/>
        <v>Armas naturales</v>
      </c>
      <c r="AG658" s="758" t="str">
        <f t="shared" ca="1" si="129"/>
        <v/>
      </c>
      <c r="AH658" s="931"/>
      <c r="AI658" s="758"/>
      <c r="AJ658" s="758"/>
      <c r="AK658" s="758" t="str">
        <f t="shared" ca="1" si="130"/>
        <v>&gt; ARMAS PERSONALIZADAS</v>
      </c>
      <c r="AL658" s="758" t="str">
        <f t="shared" ca="1" si="131"/>
        <v/>
      </c>
      <c r="AM658" s="931"/>
      <c r="AN658" s="758"/>
      <c r="AO658" s="758"/>
      <c r="AP658" s="758" t="str">
        <f t="shared" ca="1" si="132"/>
        <v>&gt; A. DE PROYECTILES</v>
      </c>
      <c r="AQ658" s="758" t="str">
        <f t="shared" ca="1" si="133"/>
        <v/>
      </c>
      <c r="AR658" s="931"/>
      <c r="AS658" s="758"/>
      <c r="AT658" s="758"/>
      <c r="AU658" s="758" t="str">
        <f t="shared" ca="1" si="134"/>
        <v>Arco compuesto</v>
      </c>
      <c r="AV658" s="758" t="str">
        <f t="shared" ca="1" si="135"/>
        <v/>
      </c>
      <c r="AX658" s="1141" t="str">
        <f t="shared" si="136"/>
        <v>Arma #2</v>
      </c>
      <c r="AY658" s="2549"/>
      <c r="AZ658" s="774" t="str">
        <f t="shared" si="137"/>
        <v>&gt; A. DE PROYECTILES</v>
      </c>
      <c r="BA658" s="76" t="str">
        <f t="shared" si="138"/>
        <v>&gt; A. DE PROYECTILES</v>
      </c>
      <c r="BB658" s="76" t="str">
        <f t="shared" si="139"/>
        <v>Arma #3</v>
      </c>
      <c r="BC658" s="1142">
        <f>IF(OR($L656=BC$652,$L656="",$D656=$BE$651),MAX(BC$654:BC657)+1,0)</f>
        <v>0</v>
      </c>
      <c r="BD658" s="1143">
        <f>IF(OR($L656=BD$652,$L656="",$D656=$BE$651),MAX(BD$654:BD657)+1,0)</f>
        <v>0</v>
      </c>
      <c r="BE658" s="1144">
        <f>IF(OR($L656=BE$652,$L656="",$D656=$BE$651),MAX(BE$654:BE657)+1,0)</f>
        <v>3</v>
      </c>
      <c r="BF658" s="2549"/>
      <c r="BG658" s="774" t="str">
        <f t="shared" si="140"/>
        <v>&gt; A. DE PROYECTILES</v>
      </c>
      <c r="BH658" s="76" t="str">
        <f t="shared" si="141"/>
        <v>&gt; A. DE PROYECTILES</v>
      </c>
      <c r="BI658" s="76" t="str">
        <f t="shared" si="142"/>
        <v>Arma #3</v>
      </c>
      <c r="BJ658" s="1142">
        <f>IF(OR($L656=BJ$652,$L656="",$D656=$BL$651),MAX(BJ$654:BJ657)+1,0)</f>
        <v>0</v>
      </c>
      <c r="BK658" s="1143">
        <f>IF(OR($L656=BK$652,$L656="",$D656=$BL$651),MAX(BK$654:BK657)+1,0)</f>
        <v>0</v>
      </c>
      <c r="BL658" s="1144">
        <f>IF(OR($L656=BL$652,$L656="",$D656=$BL$651),MAX(BL$654:BL657)+1,0)</f>
        <v>3</v>
      </c>
      <c r="BM658" s="2549"/>
      <c r="BN658" s="774" t="str">
        <f t="shared" si="143"/>
        <v>&gt; A. DE PROYECTILES</v>
      </c>
      <c r="BO658" s="76" t="str">
        <f t="shared" si="144"/>
        <v>&gt; A. DE PROYECTILES</v>
      </c>
      <c r="BP658" s="76" t="str">
        <f t="shared" si="145"/>
        <v>Arma #3</v>
      </c>
      <c r="BQ658" s="1142">
        <f>IF(OR($L656=BQ$652,$L656="",$D656=$BS$651),MAX(BQ$654:BQ657)+1,0)</f>
        <v>0</v>
      </c>
      <c r="BR658" s="1143">
        <f>IF(OR($L656=BR$652,$L656="",$D656=$BS$651),MAX(BR$654:BR657)+1,0)</f>
        <v>0</v>
      </c>
      <c r="BS658" s="1144">
        <f>IF(OR($L656=BS$652,$L656="",$D656=$BS$651),MAX(BS$654:BS657)+1,0)</f>
        <v>3</v>
      </c>
      <c r="BT658" s="2549"/>
      <c r="BU658" s="774" t="str">
        <f t="shared" si="146"/>
        <v>&gt; A. DE PROYECTILES</v>
      </c>
      <c r="BV658" s="76" t="str">
        <f t="shared" si="147"/>
        <v>&gt; A. DE PROYECTILES</v>
      </c>
      <c r="BW658" s="76" t="str">
        <f t="shared" si="148"/>
        <v>Arma #3</v>
      </c>
      <c r="BX658" s="1142">
        <f>IF(OR($L656=BX$652,$L656="",$D656=$BZ$651),MAX(BX$654:BX657)+1,0)</f>
        <v>0</v>
      </c>
      <c r="BY658" s="1143">
        <f>IF(OR($L656=BY$652,$L656="",$D656=$BZ$651),MAX(BY$654:BY657)+1,0)</f>
        <v>0</v>
      </c>
      <c r="BZ658" s="1144">
        <f>IF(OR($L656=BZ$652,$L656="",$D656=$BZ$651),MAX(BZ$654:BZ657)+1,0)</f>
        <v>3</v>
      </c>
      <c r="CA658" s="2549"/>
      <c r="CB658" s="774" t="str">
        <f t="shared" si="149"/>
        <v>&gt; A. DE PROYECTILES</v>
      </c>
      <c r="CC658" s="76" t="str">
        <f t="shared" si="150"/>
        <v>&gt; A. DE PROYECTILES</v>
      </c>
      <c r="CD658" s="76" t="str">
        <f t="shared" si="151"/>
        <v>Arma #3</v>
      </c>
      <c r="CE658" s="1142">
        <f>IF(OR($L656=CE$652,$L656="",$D656=$CG$651),MAX(CE$654:CE657)+1,0)</f>
        <v>0</v>
      </c>
      <c r="CF658" s="1143">
        <f>IF(OR($L656=CF$652,$L656="",$D656=$CG$651),MAX(CF$654:CF657)+1,0)</f>
        <v>0</v>
      </c>
      <c r="CG658" s="1144">
        <f>IF(OR($L656=CG$652,$L656="",$D656=$CG$651),MAX(CG$654:CG657)+1,0)</f>
        <v>3</v>
      </c>
      <c r="CI658" s="774" t="str">
        <f t="shared" si="152"/>
        <v>&gt; A. DE PROYECTILES</v>
      </c>
      <c r="CJ658" s="76" t="str">
        <f t="shared" si="153"/>
        <v>&gt; A. DE PROYECTILES</v>
      </c>
      <c r="CK658" s="76" t="str">
        <f t="shared" si="154"/>
        <v>Arma #3</v>
      </c>
      <c r="CL658" s="1142">
        <f>IF(OR($L656=CL$652,$L656="",$D656=$CN$651),MAX(CL$654:CL657)+1,0)</f>
        <v>0</v>
      </c>
      <c r="CM658" s="1143">
        <f>IF(OR($L656=CM$652,$L656="",$D656=$CN$651),MAX(CM$654:CM657)+1,0)</f>
        <v>0</v>
      </c>
      <c r="CN658" s="1144">
        <f>IF(OR($L656=CN$652,$L656="",$D656=$CN$651),MAX(CN$654:CN657)+1,0)</f>
        <v>3</v>
      </c>
    </row>
    <row r="659" spans="1:92" ht="12.75" customHeight="1">
      <c r="A659" s="219">
        <v>650</v>
      </c>
      <c r="B659" s="7145"/>
      <c r="C659" s="1034"/>
      <c r="D659" s="2237" t="s">
        <v>1961</v>
      </c>
      <c r="E659" s="2239">
        <v>60</v>
      </c>
      <c r="F659" s="2236">
        <v>-15</v>
      </c>
      <c r="G659" s="2236">
        <v>11</v>
      </c>
      <c r="H659" s="2236">
        <v>6</v>
      </c>
      <c r="I659" s="2236" t="s">
        <v>1410</v>
      </c>
      <c r="J659" s="2236" t="s">
        <v>1357</v>
      </c>
      <c r="K659" s="2433" t="s">
        <v>6829</v>
      </c>
      <c r="L659" s="2236" t="str">
        <f t="shared" ref="L659:L687" si="156">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2240">
        <v>15</v>
      </c>
      <c r="N659" s="2240">
        <v>4</v>
      </c>
      <c r="O659" s="2240">
        <v>20</v>
      </c>
      <c r="P659" s="2236"/>
      <c r="Q659" s="2236"/>
      <c r="R659" s="2236" t="s">
        <v>1315</v>
      </c>
      <c r="S659" s="2236" t="s">
        <v>1315</v>
      </c>
      <c r="T659" s="2236" t="s">
        <v>1315</v>
      </c>
      <c r="U659" s="2236"/>
      <c r="V659" s="2433" t="s">
        <v>1979</v>
      </c>
      <c r="W659" s="2433"/>
      <c r="X659" s="2434" t="str">
        <f t="shared" si="127"/>
        <v>Grande</v>
      </c>
      <c r="Y659" s="2229">
        <f t="shared" ref="Y659:Y690" si="157">Bono_Fue</f>
        <v>0</v>
      </c>
      <c r="Z659" s="1150" t="str">
        <f t="shared" si="155"/>
        <v/>
      </c>
      <c r="AA659" s="1751" t="s">
        <v>1960</v>
      </c>
      <c r="AC659" s="3622" t="s">
        <v>11725</v>
      </c>
      <c r="AD659" s="2574" cm="1">
        <f t="array" ref="AD659">MIN(IF(AD794:AD798&gt;0,AD794:AD798))</f>
        <v>0</v>
      </c>
      <c r="AE659" s="3626">
        <f>IF(AD659&gt;0,AD659+COUNTIF(AE$654:AE658,"&gt;0"),0)</f>
        <v>0</v>
      </c>
      <c r="AF659" s="758" t="str">
        <f t="shared" ca="1" si="128"/>
        <v>&gt; ARMAS PERSONALIZADAS</v>
      </c>
      <c r="AG659" s="758" t="str">
        <f t="shared" ca="1" si="129"/>
        <v/>
      </c>
      <c r="AH659" s="2577"/>
      <c r="AI659" s="2588"/>
      <c r="AJ659" s="2588"/>
      <c r="AK659" s="758" t="str">
        <f t="shared" ca="1" si="130"/>
        <v>Arma #2</v>
      </c>
      <c r="AL659" s="758" t="str">
        <f t="shared" ca="1" si="131"/>
        <v/>
      </c>
      <c r="AM659" s="2577"/>
      <c r="AN659" s="2588"/>
      <c r="AO659" s="2588"/>
      <c r="AP659" s="758" t="str">
        <f t="shared" ca="1" si="132"/>
        <v>Arcabuz</v>
      </c>
      <c r="AQ659" s="758" t="str">
        <f t="shared" ca="1" si="133"/>
        <v/>
      </c>
      <c r="AR659" s="2577"/>
      <c r="AS659" s="2588"/>
      <c r="AT659" s="2588"/>
      <c r="AU659" s="758" t="str">
        <f t="shared" ca="1" si="134"/>
        <v>Arco corto</v>
      </c>
      <c r="AV659" s="758" t="str">
        <f t="shared" ca="1" si="135"/>
        <v/>
      </c>
      <c r="AX659" s="1141" t="str">
        <f t="shared" si="136"/>
        <v>Arma #3</v>
      </c>
      <c r="AY659" s="2549"/>
      <c r="AZ659" s="774" t="str">
        <f t="shared" si="137"/>
        <v>&gt; ARMAS DE ASEDIO</v>
      </c>
      <c r="BA659" s="76" t="str">
        <f t="shared" si="138"/>
        <v>&gt; ARMAS DE ASEDIO</v>
      </c>
      <c r="BB659" s="76" t="str">
        <f t="shared" si="139"/>
        <v>&gt; ARMAS COMUNES</v>
      </c>
      <c r="BC659" s="1142">
        <f>IF(OR($L657=BC$652,$L657="",$D657=$BE$651),MAX(BC$654:BC658)+1,0)</f>
        <v>0</v>
      </c>
      <c r="BD659" s="1143">
        <f>IF(OR($L657=BD$652,$L657="",$D657=$BE$651),MAX(BD$654:BD658)+1,0)</f>
        <v>0</v>
      </c>
      <c r="BE659" s="1144">
        <f>IF(OR($L657=BE$652,$L657="",$D657=$BE$651),MAX(BE$654:BE658)+1,0)</f>
        <v>4</v>
      </c>
      <c r="BF659" s="2549"/>
      <c r="BG659" s="774" t="str">
        <f t="shared" si="140"/>
        <v>&gt; ARMAS DE ASEDIO</v>
      </c>
      <c r="BH659" s="76" t="str">
        <f t="shared" si="141"/>
        <v>&gt; ARMAS DE ASEDIO</v>
      </c>
      <c r="BI659" s="76" t="str">
        <f t="shared" si="142"/>
        <v>&gt; ARMAS COMUNES</v>
      </c>
      <c r="BJ659" s="1142">
        <f>IF(OR($L657=BJ$652,$L657="",$D657=$BL$651),MAX(BJ$654:BJ658)+1,0)</f>
        <v>0</v>
      </c>
      <c r="BK659" s="1143">
        <f>IF(OR($L657=BK$652,$L657="",$D657=$BL$651),MAX(BK$654:BK658)+1,0)</f>
        <v>0</v>
      </c>
      <c r="BL659" s="1144">
        <f>IF(OR($L657=BL$652,$L657="",$D657=$BL$651),MAX(BL$654:BL658)+1,0)</f>
        <v>4</v>
      </c>
      <c r="BM659" s="2549"/>
      <c r="BN659" s="774" t="str">
        <f t="shared" si="143"/>
        <v>&gt; ARMAS DE ASEDIO</v>
      </c>
      <c r="BO659" s="76" t="str">
        <f t="shared" si="144"/>
        <v>&gt; ARMAS DE ASEDIO</v>
      </c>
      <c r="BP659" s="76" t="str">
        <f t="shared" si="145"/>
        <v>&gt; ARMAS COMUNES</v>
      </c>
      <c r="BQ659" s="1142">
        <f>IF(OR($L657=BQ$652,$L657="",$D657=$BS$651),MAX(BQ$654:BQ658)+1,0)</f>
        <v>0</v>
      </c>
      <c r="BR659" s="1143">
        <f>IF(OR($L657=BR$652,$L657="",$D657=$BS$651),MAX(BR$654:BR658)+1,0)</f>
        <v>0</v>
      </c>
      <c r="BS659" s="1144">
        <f>IF(OR($L657=BS$652,$L657="",$D657=$BS$651),MAX(BS$654:BS658)+1,0)</f>
        <v>4</v>
      </c>
      <c r="BT659" s="2549"/>
      <c r="BU659" s="774" t="str">
        <f t="shared" si="146"/>
        <v>&gt; ARMAS DE ASEDIO</v>
      </c>
      <c r="BV659" s="76" t="str">
        <f t="shared" si="147"/>
        <v>&gt; ARMAS DE ASEDIO</v>
      </c>
      <c r="BW659" s="76" t="str">
        <f t="shared" si="148"/>
        <v>&gt; ARMAS COMUNES</v>
      </c>
      <c r="BX659" s="1142">
        <f>IF(OR($L657=BX$652,$L657="",$D657=$BZ$651),MAX(BX$654:BX658)+1,0)</f>
        <v>0</v>
      </c>
      <c r="BY659" s="1143">
        <f>IF(OR($L657=BY$652,$L657="",$D657=$BZ$651),MAX(BY$654:BY658)+1,0)</f>
        <v>0</v>
      </c>
      <c r="BZ659" s="1144">
        <f>IF(OR($L657=BZ$652,$L657="",$D657=$BZ$651),MAX(BZ$654:BZ658)+1,0)</f>
        <v>4</v>
      </c>
      <c r="CA659" s="2549"/>
      <c r="CB659" s="774" t="str">
        <f t="shared" si="149"/>
        <v>&gt; ARMAS DE ASEDIO</v>
      </c>
      <c r="CC659" s="76" t="str">
        <f t="shared" si="150"/>
        <v>&gt; ARMAS DE ASEDIO</v>
      </c>
      <c r="CD659" s="76" t="str">
        <f t="shared" si="151"/>
        <v>&gt; ARMAS COMUNES</v>
      </c>
      <c r="CE659" s="1142">
        <f>IF(OR($L657=CE$652,$L657="",$D657=$CG$651),MAX(CE$654:CE658)+1,0)</f>
        <v>0</v>
      </c>
      <c r="CF659" s="1143">
        <f>IF(OR($L657=CF$652,$L657="",$D657=$CG$651),MAX(CF$654:CF658)+1,0)</f>
        <v>0</v>
      </c>
      <c r="CG659" s="1144">
        <f>IF(OR($L657=CG$652,$L657="",$D657=$CG$651),MAX(CG$654:CG658)+1,0)</f>
        <v>4</v>
      </c>
      <c r="CI659" s="774" t="str">
        <f t="shared" si="152"/>
        <v>&gt; ARMAS DE ASEDIO</v>
      </c>
      <c r="CJ659" s="76" t="str">
        <f t="shared" si="153"/>
        <v>&gt; ARMAS DE ASEDIO</v>
      </c>
      <c r="CK659" s="76" t="str">
        <f t="shared" si="154"/>
        <v>&gt; ARMAS COMUNES</v>
      </c>
      <c r="CL659" s="1142">
        <f>IF(OR($L657=CL$652,$L657="",$D657=$CN$651),MAX(CL$654:CL658)+1,0)</f>
        <v>0</v>
      </c>
      <c r="CM659" s="1143">
        <f>IF(OR($L657=CM$652,$L657="",$D657=$CN$651),MAX(CM$654:CM658)+1,0)</f>
        <v>0</v>
      </c>
      <c r="CN659" s="1144">
        <f>IF(OR($L657=CN$652,$L657="",$D657=$CN$651),MAX(CN$654:CN658)+1,0)</f>
        <v>4</v>
      </c>
    </row>
    <row r="660" spans="1:92" ht="12.75" customHeight="1">
      <c r="A660" s="219">
        <v>651</v>
      </c>
      <c r="B660" s="7145"/>
      <c r="C660" s="1034"/>
      <c r="D660" s="2237" t="s">
        <v>1964</v>
      </c>
      <c r="E660" s="2239">
        <v>35</v>
      </c>
      <c r="F660" s="2236">
        <v>-5</v>
      </c>
      <c r="G660" s="2236">
        <v>5</v>
      </c>
      <c r="H660" s="2236">
        <v>5</v>
      </c>
      <c r="I660" s="2236" t="s">
        <v>1411</v>
      </c>
      <c r="J660" s="2236" t="s">
        <v>1315</v>
      </c>
      <c r="K660" s="2433" t="s">
        <v>6830</v>
      </c>
      <c r="L660" s="2236" t="str">
        <f t="shared" si="156"/>
        <v>Distinta</v>
      </c>
      <c r="M660" s="2240">
        <v>11</v>
      </c>
      <c r="N660" s="2240">
        <v>0</v>
      </c>
      <c r="O660" s="2240">
        <v>15</v>
      </c>
      <c r="P660" s="2236"/>
      <c r="Q660" s="2236"/>
      <c r="R660" s="2240">
        <v>100</v>
      </c>
      <c r="S660" s="2236" t="s">
        <v>1315</v>
      </c>
      <c r="T660" s="2236">
        <v>20</v>
      </c>
      <c r="U660" s="2236"/>
      <c r="V660" s="2433" t="s">
        <v>8121</v>
      </c>
      <c r="W660" s="2433"/>
      <c r="X660" s="2434" t="str">
        <f t="shared" ref="X660:X723" si="158">IF(K660="/","",IF(OR(ISNUMBER(FIND("Mandoble",K660)),ISNUMBER(FIND("Asta",K660))),"Grande",IF(ISNUMBER(FIND("Corta",K660)),"Pequeña","Mediana")))</f>
        <v>Grande</v>
      </c>
      <c r="Y660" s="2229">
        <f t="shared" si="157"/>
        <v>0</v>
      </c>
      <c r="Z660" s="1150" t="str">
        <f t="shared" si="155"/>
        <v/>
      </c>
      <c r="AA660" s="1751" t="s">
        <v>1960</v>
      </c>
      <c r="AC660" s="3622" t="s">
        <v>11732</v>
      </c>
      <c r="AD660" s="2574" cm="1">
        <f t="array" ref="AD660">MIN(IF(AD800:AD802&gt;0,AD800:AD802))</f>
        <v>0</v>
      </c>
      <c r="AE660" s="3626">
        <f>IF(AD660&gt;0,AD660+COUNTIF(AE$654:AE659,"&gt;0"),0)</f>
        <v>0</v>
      </c>
      <c r="AF660" s="758" t="str">
        <f t="shared" ca="1" si="128"/>
        <v>Arma #2</v>
      </c>
      <c r="AG660" s="758" t="str">
        <f t="shared" ca="1" si="129"/>
        <v/>
      </c>
      <c r="AH660" s="2578" t="s">
        <v>9988</v>
      </c>
      <c r="AI660" s="2589">
        <v>0</v>
      </c>
      <c r="AJ660" s="2589">
        <f ca="1">IF(AH660="",0,IF(AI660=0,MAX(AJ$654:AJ659,AL$652)+1,AI660+IFERROR(VLOOKUP(VLOOKUP(AH660,$D$653:$AA$871,24,0),AH$654:AJ$659,3,0)-VLOOKUP(VLOOKUP(AH660,$D$653:$AA$871,24,0),AH$654:AJ$659,2,0)+1,0)))</f>
        <v>3</v>
      </c>
      <c r="AK660" s="758" t="str">
        <f t="shared" ca="1" si="130"/>
        <v>Arma #3</v>
      </c>
      <c r="AL660" s="758" t="str">
        <f t="shared" ca="1" si="131"/>
        <v/>
      </c>
      <c r="AM660" s="2578" t="s">
        <v>9988</v>
      </c>
      <c r="AN660" s="2589">
        <v>0</v>
      </c>
      <c r="AO660" s="2589">
        <f ca="1">IF(AM660="",0,IF(AN660=0,MAX(AO$654:AO659,AQ$652)+1,AN660+IFERROR(VLOOKUP(VLOOKUP(AM660,$D$653:$AA$871,24,0),AM$654:AO$659,3,0)-VLOOKUP(VLOOKUP(AM660,$D$653:$AA$871,24,0),AM$654:AO$659,2,0)+1,0)))</f>
        <v>1</v>
      </c>
      <c r="AP660" s="758" t="str">
        <f t="shared" ca="1" si="132"/>
        <v>Atlatl</v>
      </c>
      <c r="AQ660" s="758" t="str">
        <f t="shared" ca="1" si="133"/>
        <v/>
      </c>
      <c r="AR660" s="2578" t="s">
        <v>9988</v>
      </c>
      <c r="AS660" s="2589">
        <v>0</v>
      </c>
      <c r="AT660" s="2589">
        <f ca="1">IF(AR660="",0,IF(AS660=0,MAX(AT$654:AT659,AV$652)+1,AS660+IFERROR(VLOOKUP(VLOOKUP(AR660,$D$653:$AA$871,24,0),AR$654:AT$659,3,0)-VLOOKUP(VLOOKUP(AR660,$D$653:$AA$871,24,0),AR$654:AT$659,2,0)+1,0)))</f>
        <v>1</v>
      </c>
      <c r="AU660" s="758" t="str">
        <f t="shared" ca="1" si="134"/>
        <v>Arco de balas</v>
      </c>
      <c r="AV660" s="758" t="str">
        <f t="shared" ca="1" si="135"/>
        <v/>
      </c>
      <c r="AX660" s="1141" t="str">
        <f t="shared" si="136"/>
        <v>&gt; ARMAS COMUNES</v>
      </c>
      <c r="AY660" s="2549"/>
      <c r="AZ660" s="774" t="str">
        <f t="shared" si="137"/>
        <v/>
      </c>
      <c r="BA660" s="76" t="str">
        <f t="shared" si="138"/>
        <v/>
      </c>
      <c r="BB660" s="76" t="str">
        <f t="shared" si="139"/>
        <v>Alabarda</v>
      </c>
      <c r="BC660" s="1142">
        <f>IF(OR($L658=BC$652,$L658="",$D658=$BE$651),MAX(BC$654:BC659)+1,0)</f>
        <v>1</v>
      </c>
      <c r="BD660" s="1143">
        <f>IF(OR($L658=BD$652,$L658="",$D658=$BE$651),MAX(BD$654:BD659)+1,0)</f>
        <v>1</v>
      </c>
      <c r="BE660" s="1144">
        <f>IF(OR($L658=BE$652,$L658="",$D658=$BE$651),MAX(BE$654:BE659)+1,0)</f>
        <v>5</v>
      </c>
      <c r="BF660" s="2549"/>
      <c r="BG660" s="774" t="str">
        <f t="shared" si="140"/>
        <v/>
      </c>
      <c r="BH660" s="76" t="str">
        <f t="shared" si="141"/>
        <v/>
      </c>
      <c r="BI660" s="76" t="str">
        <f t="shared" si="142"/>
        <v>Alabarda</v>
      </c>
      <c r="BJ660" s="1142">
        <f>IF(OR($L658=BJ$652,$L658="",$D658=$BL$651),MAX(BJ$654:BJ659)+1,0)</f>
        <v>1</v>
      </c>
      <c r="BK660" s="1143">
        <f>IF(OR($L658=BK$652,$L658="",$D658=$BL$651),MAX(BK$654:BK659)+1,0)</f>
        <v>1</v>
      </c>
      <c r="BL660" s="1144">
        <f>IF(OR($L658=BL$652,$L658="",$D658=$BL$651),MAX(BL$654:BL659)+1,0)</f>
        <v>5</v>
      </c>
      <c r="BM660" s="2549"/>
      <c r="BN660" s="774" t="str">
        <f t="shared" si="143"/>
        <v/>
      </c>
      <c r="BO660" s="76" t="str">
        <f t="shared" si="144"/>
        <v/>
      </c>
      <c r="BP660" s="76" t="str">
        <f t="shared" si="145"/>
        <v>Alabarda</v>
      </c>
      <c r="BQ660" s="1142">
        <f>IF(OR($L658=BQ$652,$L658="",$D658=$BS$651),MAX(BQ$654:BQ659)+1,0)</f>
        <v>1</v>
      </c>
      <c r="BR660" s="1143">
        <f>IF(OR($L658=BR$652,$L658="",$D658=$BS$651),MAX(BR$654:BR659)+1,0)</f>
        <v>1</v>
      </c>
      <c r="BS660" s="1144">
        <f>IF(OR($L658=BS$652,$L658="",$D658=$BS$651),MAX(BS$654:BS659)+1,0)</f>
        <v>5</v>
      </c>
      <c r="BT660" s="2549"/>
      <c r="BU660" s="774" t="str">
        <f t="shared" si="146"/>
        <v/>
      </c>
      <c r="BV660" s="76" t="str">
        <f t="shared" si="147"/>
        <v/>
      </c>
      <c r="BW660" s="76" t="str">
        <f t="shared" si="148"/>
        <v>Alabarda</v>
      </c>
      <c r="BX660" s="1142">
        <f>IF(OR($L658=BX$652,$L658="",$D658=$BZ$651),MAX(BX$654:BX659)+1,0)</f>
        <v>1</v>
      </c>
      <c r="BY660" s="1143">
        <f>IF(OR($L658=BY$652,$L658="",$D658=$BZ$651),MAX(BY$654:BY659)+1,0)</f>
        <v>1</v>
      </c>
      <c r="BZ660" s="1144">
        <f>IF(OR($L658=BZ$652,$L658="",$D658=$BZ$651),MAX(BZ$654:BZ659)+1,0)</f>
        <v>5</v>
      </c>
      <c r="CA660" s="2549"/>
      <c r="CB660" s="774" t="str">
        <f t="shared" si="149"/>
        <v/>
      </c>
      <c r="CC660" s="76" t="str">
        <f t="shared" si="150"/>
        <v/>
      </c>
      <c r="CD660" s="76" t="str">
        <f t="shared" si="151"/>
        <v>Alabarda</v>
      </c>
      <c r="CE660" s="1142">
        <f>IF(OR($L658=CE$652,$L658="",$D658=$CG$651),MAX(CE$654:CE659)+1,0)</f>
        <v>1</v>
      </c>
      <c r="CF660" s="1143">
        <f>IF(OR($L658=CF$652,$L658="",$D658=$CG$651),MAX(CF$654:CF659)+1,0)</f>
        <v>1</v>
      </c>
      <c r="CG660" s="1144">
        <f>IF(OR($L658=CG$652,$L658="",$D658=$CG$651),MAX(CG$654:CG659)+1,0)</f>
        <v>5</v>
      </c>
      <c r="CI660" s="774" t="str">
        <f t="shared" si="152"/>
        <v/>
      </c>
      <c r="CJ660" s="76" t="str">
        <f t="shared" si="153"/>
        <v/>
      </c>
      <c r="CK660" s="76" t="str">
        <f t="shared" si="154"/>
        <v>Alabarda</v>
      </c>
      <c r="CL660" s="1142">
        <f>IF(OR($L658=CL$652,$L658="",$D658=$CN$651),MAX(CL$654:CL659)+1,0)</f>
        <v>1</v>
      </c>
      <c r="CM660" s="1143">
        <f>IF(OR($L658=CM$652,$L658="",$D658=$CN$651),MAX(CM$654:CM659)+1,0)</f>
        <v>1</v>
      </c>
      <c r="CN660" s="1144">
        <f>IF(OR($L658=CN$652,$L658="",$D658=$CN$651),MAX(CN$654:CN659)+1,0)</f>
        <v>5</v>
      </c>
    </row>
    <row r="661" spans="1:92" ht="12.75" customHeight="1">
      <c r="A661" s="219">
        <v>652</v>
      </c>
      <c r="B661" s="7145"/>
      <c r="C661" s="1034"/>
      <c r="D661" s="2237" t="s">
        <v>6558</v>
      </c>
      <c r="E661" s="2239">
        <v>25</v>
      </c>
      <c r="F661" s="2236">
        <v>15</v>
      </c>
      <c r="G661" s="2236">
        <v>5</v>
      </c>
      <c r="H661" s="2236">
        <v>5</v>
      </c>
      <c r="I661" s="2236" t="s">
        <v>1357</v>
      </c>
      <c r="J661" s="2236" t="s">
        <v>1315</v>
      </c>
      <c r="K661" s="2433" t="s">
        <v>6830</v>
      </c>
      <c r="L661" s="2236"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2240">
        <v>10</v>
      </c>
      <c r="N661" s="2240">
        <v>-1</v>
      </c>
      <c r="O661" s="2240">
        <v>15</v>
      </c>
      <c r="P661" s="2236"/>
      <c r="Q661" s="2236"/>
      <c r="R661" s="2236" t="s">
        <v>1315</v>
      </c>
      <c r="S661" s="2236" t="s">
        <v>1315</v>
      </c>
      <c r="T661" s="2236" t="s">
        <v>1315</v>
      </c>
      <c r="U661" s="2236"/>
      <c r="V661" s="2433" t="s">
        <v>1315</v>
      </c>
      <c r="W661" s="2433"/>
      <c r="X661" s="2434" t="str">
        <f t="shared" si="158"/>
        <v>Grande</v>
      </c>
      <c r="Y661" s="2229">
        <f t="shared" si="157"/>
        <v>0</v>
      </c>
      <c r="Z661" s="1150" t="str">
        <f t="shared" si="155"/>
        <v/>
      </c>
      <c r="AA661" s="1751" t="s">
        <v>1960</v>
      </c>
      <c r="AC661" s="3623" t="s">
        <v>9830</v>
      </c>
      <c r="AD661" s="3624" cm="1">
        <f t="array" aca="1" ref="AD661" ca="1">MIN(IF(AD803:AD808&gt;0,AD803:AD808))</f>
        <v>0</v>
      </c>
      <c r="AE661" s="3626">
        <f ca="1">IF(AD661&gt;0,AD661+COUNTIF(AE$654:AE660,"&gt;0"),0)</f>
        <v>0</v>
      </c>
      <c r="AF661" s="758" t="str">
        <f t="shared" ca="1" si="128"/>
        <v>Arma #3</v>
      </c>
      <c r="AG661" s="758" t="str">
        <f t="shared" ca="1" si="129"/>
        <v/>
      </c>
      <c r="AH661" s="2576" t="s">
        <v>9990</v>
      </c>
      <c r="AI661" s="758">
        <f ca="1">IFERROR(IF(IF(AH661&lt;&gt;"",VLOOKUP(AH661,Tabla_ArmasyEscudos,9,0),"")="Conocida",MAX(AI$660:AI660)+1,0),0)</f>
        <v>0</v>
      </c>
      <c r="AJ661" s="758">
        <f ca="1">IF(AH661="",0,IF(AI661=0,MAX(AJ$654:AJ660,AL$652)+1,AI661+IFERROR(VLOOKUP(VLOOKUP(AH661,$D$653:$AA$871,24,0),AH$654:AJ$659,3,0)-VLOOKUP(VLOOKUP(AH661,$D$653:$AA$871,24,0),AH$654:AJ$659,2,0)+1,0)))</f>
        <v>4</v>
      </c>
      <c r="AK661" s="758" t="str">
        <f t="shared" ca="1" si="130"/>
        <v>&gt; ARMAS COMUNES</v>
      </c>
      <c r="AL661" s="758" t="str">
        <f t="shared" ca="1" si="131"/>
        <v/>
      </c>
      <c r="AM661" s="2576" t="s">
        <v>1770</v>
      </c>
      <c r="AN661" s="758">
        <f>IF($R$1788&gt;0,1,0)</f>
        <v>0</v>
      </c>
      <c r="AO661" s="758">
        <f ca="1">IF(AM661="",0,IF(AN661=0,MAX(AO$654:AO660,AQ$652)+1,AN661+IFERROR(VLOOKUP(VLOOKUP(AM661,$D$653:$AA$871,24,0),AM$654:AO$659,3,0)-VLOOKUP(VLOOKUP(AM661,$D$653:$AA$871,24,0),AM$654:AO$659,2,0)+1,0)))</f>
        <v>2</v>
      </c>
      <c r="AP661" s="758" t="str">
        <f t="shared" ca="1" si="132"/>
        <v>Ballesta</v>
      </c>
      <c r="AQ661" s="758" t="str">
        <f t="shared" ca="1" si="133"/>
        <v/>
      </c>
      <c r="AR661" s="2576" t="s">
        <v>9990</v>
      </c>
      <c r="AS661" s="758">
        <f ca="1">IFERROR(IF(IF(AR661&lt;&gt;"",VLOOKUP(AR661,Tabla_ArmasyEscudos,9,0),"")="Conocida",MAX(AS$660:AS660)+1,0),0)</f>
        <v>0</v>
      </c>
      <c r="AT661" s="758">
        <f ca="1">IF(AR661="",0,IF(AS661=0,MAX(AT$654:AT660,AV$652)+1,AS661+IFERROR(VLOOKUP(VLOOKUP(AR661,$D$653:$AA$871,24,0),AR$654:AT$659,3,0)-VLOOKUP(VLOOKUP(AR661,$D$653:$AA$871,24,0),AR$654:AT$659,2,0)+1,0)))</f>
        <v>2</v>
      </c>
      <c r="AU661" s="758" t="str">
        <f t="shared" ca="1" si="134"/>
        <v>Arco largo</v>
      </c>
      <c r="AV661" s="758" t="str">
        <f t="shared" ca="1" si="135"/>
        <v/>
      </c>
      <c r="AX661" s="1141" t="str">
        <f t="shared" si="136"/>
        <v>Alabarda</v>
      </c>
      <c r="AY661" s="2549"/>
      <c r="AZ661" s="774" t="str">
        <f t="shared" si="137"/>
        <v/>
      </c>
      <c r="BA661" s="76" t="str">
        <f t="shared" si="138"/>
        <v/>
      </c>
      <c r="BB661" s="76" t="str">
        <f t="shared" si="139"/>
        <v>Arpón</v>
      </c>
      <c r="BC661" s="1142">
        <f>IF(OR($L659=BC$652,$L659="",$D659=$BE$651),MAX(BC$654:BC660)+1,0)</f>
        <v>0</v>
      </c>
      <c r="BD661" s="1143">
        <f>IF(OR($L659=BD$652,$L659="",$D659=$BE$651),MAX(BD$654:BD660)+1,0)</f>
        <v>0</v>
      </c>
      <c r="BE661" s="1144">
        <f>IF(OR($L659=BE$652,$L659="",$D659=$BE$651),MAX(BE$654:BE660)+1,0)</f>
        <v>6</v>
      </c>
      <c r="BF661" s="2549"/>
      <c r="BG661" s="774" t="str">
        <f t="shared" si="140"/>
        <v/>
      </c>
      <c r="BH661" s="76" t="str">
        <f t="shared" si="141"/>
        <v/>
      </c>
      <c r="BI661" s="76" t="str">
        <f t="shared" si="142"/>
        <v>Arpón</v>
      </c>
      <c r="BJ661" s="1142">
        <f>IF(OR($L659=BJ$652,$L659="",$D659=$BL$651),MAX(BJ$654:BJ660)+1,0)</f>
        <v>0</v>
      </c>
      <c r="BK661" s="1143">
        <f>IF(OR($L659=BK$652,$L659="",$D659=$BL$651),MAX(BK$654:BK660)+1,0)</f>
        <v>0</v>
      </c>
      <c r="BL661" s="1144">
        <f>IF(OR($L659=BL$652,$L659="",$D659=$BL$651),MAX(BL$654:BL660)+1,0)</f>
        <v>6</v>
      </c>
      <c r="BM661" s="2549"/>
      <c r="BN661" s="774" t="str">
        <f t="shared" si="143"/>
        <v/>
      </c>
      <c r="BO661" s="76" t="str">
        <f t="shared" si="144"/>
        <v/>
      </c>
      <c r="BP661" s="76" t="str">
        <f t="shared" si="145"/>
        <v>Arpón</v>
      </c>
      <c r="BQ661" s="1142">
        <f>IF(OR($L659=BQ$652,$L659="",$D659=$BS$651),MAX(BQ$654:BQ660)+1,0)</f>
        <v>0</v>
      </c>
      <c r="BR661" s="1143">
        <f>IF(OR($L659=BR$652,$L659="",$D659=$BS$651),MAX(BR$654:BR660)+1,0)</f>
        <v>0</v>
      </c>
      <c r="BS661" s="1144">
        <f>IF(OR($L659=BS$652,$L659="",$D659=$BS$651),MAX(BS$654:BS660)+1,0)</f>
        <v>6</v>
      </c>
      <c r="BT661" s="2549"/>
      <c r="BU661" s="774" t="str">
        <f t="shared" si="146"/>
        <v/>
      </c>
      <c r="BV661" s="76" t="str">
        <f t="shared" si="147"/>
        <v/>
      </c>
      <c r="BW661" s="76" t="str">
        <f t="shared" si="148"/>
        <v>Arpón</v>
      </c>
      <c r="BX661" s="1142">
        <f>IF(OR($L659=BX$652,$L659="",$D659=$BZ$651),MAX(BX$654:BX660)+1,0)</f>
        <v>0</v>
      </c>
      <c r="BY661" s="1143">
        <f>IF(OR($L659=BY$652,$L659="",$D659=$BZ$651),MAX(BY$654:BY660)+1,0)</f>
        <v>0</v>
      </c>
      <c r="BZ661" s="1144">
        <f>IF(OR($L659=BZ$652,$L659="",$D659=$BZ$651),MAX(BZ$654:BZ660)+1,0)</f>
        <v>6</v>
      </c>
      <c r="CA661" s="2549"/>
      <c r="CB661" s="774" t="str">
        <f t="shared" si="149"/>
        <v/>
      </c>
      <c r="CC661" s="76" t="str">
        <f t="shared" si="150"/>
        <v/>
      </c>
      <c r="CD661" s="76" t="str">
        <f t="shared" si="151"/>
        <v>Arpón</v>
      </c>
      <c r="CE661" s="1142">
        <f>IF(OR($L659=CE$652,$L659="",$D659=$CG$651),MAX(CE$654:CE660)+1,0)</f>
        <v>0</v>
      </c>
      <c r="CF661" s="1143">
        <f>IF(OR($L659=CF$652,$L659="",$D659=$CG$651),MAX(CF$654:CF660)+1,0)</f>
        <v>0</v>
      </c>
      <c r="CG661" s="1144">
        <f>IF(OR($L659=CG$652,$L659="",$D659=$CG$651),MAX(CG$654:CG660)+1,0)</f>
        <v>6</v>
      </c>
      <c r="CI661" s="774" t="str">
        <f t="shared" si="152"/>
        <v/>
      </c>
      <c r="CJ661" s="76" t="str">
        <f t="shared" si="153"/>
        <v/>
      </c>
      <c r="CK661" s="76" t="str">
        <f t="shared" si="154"/>
        <v>Arpón</v>
      </c>
      <c r="CL661" s="1142">
        <f>IF(OR($L659=CL$652,$L659="",$D659=$CN$651),MAX(CL$654:CL660)+1,0)</f>
        <v>0</v>
      </c>
      <c r="CM661" s="1143">
        <f>IF(OR($L659=CM$652,$L659="",$D659=$CN$651),MAX(CM$654:CM660)+1,0)</f>
        <v>0</v>
      </c>
      <c r="CN661" s="1144">
        <f>IF(OR($L659=CN$652,$L659="",$D659=$CN$651),MAX(CN$654:CN660)+1,0)</f>
        <v>6</v>
      </c>
    </row>
    <row r="662" spans="1:92" ht="12.75" customHeight="1">
      <c r="A662" s="219">
        <v>653</v>
      </c>
      <c r="B662" s="7145"/>
      <c r="C662" s="1034"/>
      <c r="D662" s="2237" t="s">
        <v>9912</v>
      </c>
      <c r="E662" s="2239">
        <v>50</v>
      </c>
      <c r="F662" s="2236">
        <v>-10</v>
      </c>
      <c r="G662" s="2236" t="s">
        <v>1315</v>
      </c>
      <c r="H662" s="2236">
        <v>6</v>
      </c>
      <c r="I662" s="2236" t="s">
        <v>1411</v>
      </c>
      <c r="J662" s="2236" t="s">
        <v>6608</v>
      </c>
      <c r="K662" s="2433" t="s">
        <v>6831</v>
      </c>
      <c r="L662" s="2236" t="str">
        <f t="shared" si="156"/>
        <v>Distinta</v>
      </c>
      <c r="M662" s="2240">
        <v>12</v>
      </c>
      <c r="N662" s="2240">
        <v>2</v>
      </c>
      <c r="O662" s="2240">
        <v>20</v>
      </c>
      <c r="P662" s="2236"/>
      <c r="Q662" s="2236"/>
      <c r="R662" s="2236" t="s">
        <v>1315</v>
      </c>
      <c r="S662" s="2236" t="s">
        <v>1315</v>
      </c>
      <c r="T662" s="2236" t="s">
        <v>1315</v>
      </c>
      <c r="U662" s="2236"/>
      <c r="V662" s="2433" t="s">
        <v>1438</v>
      </c>
      <c r="W662" s="2433"/>
      <c r="X662" s="2434" t="str">
        <f t="shared" si="158"/>
        <v>Grande</v>
      </c>
      <c r="Y662" s="2229">
        <f t="shared" si="157"/>
        <v>0</v>
      </c>
      <c r="Z662" s="1150" t="str">
        <f t="shared" si="155"/>
        <v/>
      </c>
      <c r="AA662" s="1751" t="s">
        <v>1960</v>
      </c>
      <c r="AC662" s="2578" t="s">
        <v>9988</v>
      </c>
      <c r="AD662" s="2589">
        <v>0</v>
      </c>
      <c r="AE662" s="3627">
        <f ca="1">IF(AC662="",0,IF(AD662=0,MAX(AE$654:AE661,AG$652)+1,AD662+IFERROR(VLOOKUP(VLOOKUP(AC662,$D$653:$AA$871,24,0),AC$654:AE$661,3,0)-VLOOKUP(VLOOKUP(AC662,$D$653:$AA$871,24,0),AC$654:AE$661,2,0)+1,0)))</f>
        <v>3</v>
      </c>
      <c r="AF662" s="758" t="str">
        <f t="shared" ca="1" si="128"/>
        <v>&gt; ARMAS COMUNES</v>
      </c>
      <c r="AG662" s="758" t="str">
        <f t="shared" ca="1" si="129"/>
        <v/>
      </c>
      <c r="AH662" s="1251" t="str">
        <f>IF(AND(AH664&lt;&gt;"",$D$655&lt;&gt;AH664,$D$655&lt;&gt;AH663,NOT(OR(ISNUMBER(FIND("Munición",VLOOKUP($D$655,Tabla_ArmasyEscudos,8,0))),ISNUMBER(FIND("Proyectiles",VLOOKUP($D$655,Tabla_ArmasyEscudos,8,0)))))),$D$655,"")</f>
        <v>Arma #1</v>
      </c>
      <c r="AI662" s="758">
        <f ca="1">IFERROR(IF(IF(AH662&lt;&gt;"",VLOOKUP(AH662,Tabla_ArmasyEscudos,9,0),"")="Conocida",MAX(AI$660:AI661)+1,0),0)</f>
        <v>1</v>
      </c>
      <c r="AJ662" s="758">
        <f ca="1">IF(AH662="",0,IF(AI662=0,MAX(AJ$654:AJ661,AL$652)+1,AI662+IFERROR(VLOOKUP(VLOOKUP(AH662,$D$653:$AA$871,24,0),AH$654:AJ$659,3,0)-VLOOKUP(VLOOKUP(AH662,$D$653:$AA$871,24,0),AH$654:AJ$659,2,0)+1,0)))</f>
        <v>2</v>
      </c>
      <c r="AK662" s="758" t="str">
        <f t="shared" ca="1" si="130"/>
        <v>Alabarda</v>
      </c>
      <c r="AL662" s="758" t="str">
        <f t="shared" ca="1" si="131"/>
        <v/>
      </c>
      <c r="AM662" s="2576" t="s">
        <v>9990</v>
      </c>
      <c r="AN662" s="758">
        <f ca="1">IFERROR(IF(IF(AM662&lt;&gt;"",VLOOKUP(AM662,Tabla_ArmasyEscudos,9,0),"")="Conocida",MAX(AN$660:AN661)+1,0),0)</f>
        <v>0</v>
      </c>
      <c r="AO662" s="758">
        <f ca="1">IF(AM662="",0,IF(AN662=0,MAX(AO$654:AO661,AQ$652)+1,AN662+IFERROR(VLOOKUP(VLOOKUP(AM662,$D$653:$AA$871,24,0),AM$654:AO$659,3,0)-VLOOKUP(VLOOKUP(AM662,$D$653:$AA$871,24,0),AM$654:AO$659,2,0)+1,0)))</f>
        <v>3</v>
      </c>
      <c r="AP662" s="758" t="str">
        <f t="shared" ca="1" si="132"/>
        <v>Ballesta de mano</v>
      </c>
      <c r="AQ662" s="758" t="str">
        <f t="shared" ca="1" si="133"/>
        <v/>
      </c>
      <c r="AR662" s="1251" t="str">
        <f>IF(AND(AR664&lt;&gt;"",$D$655&lt;&gt;AR664,$D$655&lt;&gt;AR663,ISNUMBER(FIND("Proyectiles",VLOOKUP($D$655,Tabla_ArmasyEscudos,8,0)))),$D$655,"")</f>
        <v/>
      </c>
      <c r="AS662" s="758">
        <f>IFERROR(IF(IF(AR662&lt;&gt;"",VLOOKUP(AR662,Tabla_ArmasyEscudos,9,0),"")="Conocida",MAX(AS$660:AS661)+1,0),0)</f>
        <v>0</v>
      </c>
      <c r="AT662" s="758">
        <f>IF(AR662="",0,IF(AS662=0,MAX(AT$654:AT661,AV$652)+1,AS662+IFERROR(VLOOKUP(VLOOKUP(AR662,$D$653:$AA$871,24,0),AR$654:AT$659,3,0)-VLOOKUP(VLOOKUP(AR662,$D$653:$AA$871,24,0),AR$654:AT$659,2,0)+1,0)))</f>
        <v>0</v>
      </c>
      <c r="AU662" s="758" t="str">
        <f t="shared" ca="1" si="134"/>
        <v>Ballesta</v>
      </c>
      <c r="AV662" s="758" t="str">
        <f t="shared" ca="1" si="135"/>
        <v/>
      </c>
      <c r="AX662" s="1141" t="str">
        <f t="shared" si="136"/>
        <v>Arpón</v>
      </c>
      <c r="AY662" s="2549"/>
      <c r="AZ662" s="774" t="str">
        <f t="shared" si="137"/>
        <v/>
      </c>
      <c r="BA662" s="76" t="str">
        <f t="shared" si="138"/>
        <v/>
      </c>
      <c r="BB662" s="76" t="str">
        <f t="shared" si="139"/>
        <v>Bastón de Combate</v>
      </c>
      <c r="BC662" s="1142">
        <f>IF(OR($L660=BC$652,$L660="",$D660=$BE$651),MAX(BC$654:BC661)+1,0)</f>
        <v>0</v>
      </c>
      <c r="BD662" s="1143">
        <f>IF(OR($L660=BD$652,$L660="",$D660=$BE$651),MAX(BD$654:BD661)+1,0)</f>
        <v>0</v>
      </c>
      <c r="BE662" s="1144">
        <f>IF(OR($L660=BE$652,$L660="",$D660=$BE$651),MAX(BE$654:BE661)+1,0)</f>
        <v>7</v>
      </c>
      <c r="BF662" s="2549"/>
      <c r="BG662" s="774" t="str">
        <f t="shared" si="140"/>
        <v/>
      </c>
      <c r="BH662" s="76" t="str">
        <f t="shared" si="141"/>
        <v/>
      </c>
      <c r="BI662" s="76" t="str">
        <f t="shared" si="142"/>
        <v>Bastón de Combate</v>
      </c>
      <c r="BJ662" s="1142">
        <f>IF(OR($L660=BJ$652,$L660="",$D660=$BL$651),MAX(BJ$654:BJ661)+1,0)</f>
        <v>0</v>
      </c>
      <c r="BK662" s="1143">
        <f>IF(OR($L660=BK$652,$L660="",$D660=$BL$651),MAX(BK$654:BK661)+1,0)</f>
        <v>0</v>
      </c>
      <c r="BL662" s="1144">
        <f>IF(OR($L660=BL$652,$L660="",$D660=$BL$651),MAX(BL$654:BL661)+1,0)</f>
        <v>7</v>
      </c>
      <c r="BM662" s="2549"/>
      <c r="BN662" s="774" t="str">
        <f t="shared" si="143"/>
        <v/>
      </c>
      <c r="BO662" s="76" t="str">
        <f t="shared" si="144"/>
        <v/>
      </c>
      <c r="BP662" s="76" t="str">
        <f t="shared" si="145"/>
        <v>Bastón de Combate</v>
      </c>
      <c r="BQ662" s="1142">
        <f>IF(OR($L660=BQ$652,$L660="",$D660=$BS$651),MAX(BQ$654:BQ661)+1,0)</f>
        <v>0</v>
      </c>
      <c r="BR662" s="1143">
        <f>IF(OR($L660=BR$652,$L660="",$D660=$BS$651),MAX(BR$654:BR661)+1,0)</f>
        <v>0</v>
      </c>
      <c r="BS662" s="1144">
        <f>IF(OR($L660=BS$652,$L660="",$D660=$BS$651),MAX(BS$654:BS661)+1,0)</f>
        <v>7</v>
      </c>
      <c r="BT662" s="2549"/>
      <c r="BU662" s="774" t="str">
        <f t="shared" si="146"/>
        <v/>
      </c>
      <c r="BV662" s="76" t="str">
        <f t="shared" si="147"/>
        <v/>
      </c>
      <c r="BW662" s="76" t="str">
        <f t="shared" si="148"/>
        <v>Bastón de Combate</v>
      </c>
      <c r="BX662" s="1142">
        <f>IF(OR($L660=BX$652,$L660="",$D660=$BZ$651),MAX(BX$654:BX661)+1,0)</f>
        <v>0</v>
      </c>
      <c r="BY662" s="1143">
        <f>IF(OR($L660=BY$652,$L660="",$D660=$BZ$651),MAX(BY$654:BY661)+1,0)</f>
        <v>0</v>
      </c>
      <c r="BZ662" s="1144">
        <f>IF(OR($L660=BZ$652,$L660="",$D660=$BZ$651),MAX(BZ$654:BZ661)+1,0)</f>
        <v>7</v>
      </c>
      <c r="CA662" s="2549"/>
      <c r="CB662" s="774" t="str">
        <f t="shared" si="149"/>
        <v/>
      </c>
      <c r="CC662" s="76" t="str">
        <f t="shared" si="150"/>
        <v/>
      </c>
      <c r="CD662" s="76" t="str">
        <f t="shared" si="151"/>
        <v>Bastón de Combate</v>
      </c>
      <c r="CE662" s="1142">
        <f>IF(OR($L660=CE$652,$L660="",$D660=$CG$651),MAX(CE$654:CE661)+1,0)</f>
        <v>0</v>
      </c>
      <c r="CF662" s="1143">
        <f>IF(OR($L660=CF$652,$L660="",$D660=$CG$651),MAX(CF$654:CF661)+1,0)</f>
        <v>0</v>
      </c>
      <c r="CG662" s="1144">
        <f>IF(OR($L660=CG$652,$L660="",$D660=$CG$651),MAX(CG$654:CG661)+1,0)</f>
        <v>7</v>
      </c>
      <c r="CI662" s="774" t="str">
        <f t="shared" si="152"/>
        <v/>
      </c>
      <c r="CJ662" s="76" t="str">
        <f t="shared" si="153"/>
        <v/>
      </c>
      <c r="CK662" s="76" t="str">
        <f t="shared" si="154"/>
        <v>Bastón de Combate</v>
      </c>
      <c r="CL662" s="1142">
        <f>IF(OR($L660=CL$652,$L660="",$D660=$CN$651),MAX(CL$654:CL661)+1,0)</f>
        <v>0</v>
      </c>
      <c r="CM662" s="1143">
        <f>IF(OR($L660=CM$652,$L660="",$D660=$CN$651),MAX(CM$654:CM661)+1,0)</f>
        <v>0</v>
      </c>
      <c r="CN662" s="1144">
        <f>IF(OR($L660=CN$652,$L660="",$D660=$CN$651),MAX(CN$654:CN661)+1,0)</f>
        <v>7</v>
      </c>
    </row>
    <row r="663" spans="1:92" ht="12.75" customHeight="1">
      <c r="A663" s="219">
        <v>654</v>
      </c>
      <c r="B663" s="7145"/>
      <c r="C663" s="1034"/>
      <c r="D663" s="3876" t="s">
        <v>6559</v>
      </c>
      <c r="E663" s="3877">
        <v>50</v>
      </c>
      <c r="F663" s="3878">
        <v>-15</v>
      </c>
      <c r="G663" s="3878" t="s">
        <v>1315</v>
      </c>
      <c r="H663" s="3878">
        <v>6</v>
      </c>
      <c r="I663" s="3878" t="s">
        <v>1410</v>
      </c>
      <c r="J663" s="3878" t="s">
        <v>1357</v>
      </c>
      <c r="K663" s="3879" t="s">
        <v>6830</v>
      </c>
      <c r="L663" s="3878" t="str">
        <f t="shared" ref="L663" si="159">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3880">
        <v>12</v>
      </c>
      <c r="N663" s="3880">
        <v>4</v>
      </c>
      <c r="O663" s="3880">
        <v>20</v>
      </c>
      <c r="P663" s="3878"/>
      <c r="Q663" s="3878"/>
      <c r="R663" s="3878" t="s">
        <v>1315</v>
      </c>
      <c r="S663" s="3878" t="s">
        <v>1315</v>
      </c>
      <c r="T663" s="3878" t="s">
        <v>1315</v>
      </c>
      <c r="U663" s="3878"/>
      <c r="V663" s="3879" t="s">
        <v>12104</v>
      </c>
      <c r="W663" s="2433"/>
      <c r="X663" s="2434" t="str">
        <f t="shared" si="158"/>
        <v>Grande</v>
      </c>
      <c r="Y663" s="2229">
        <f t="shared" si="157"/>
        <v>0</v>
      </c>
      <c r="Z663" s="1150" t="str">
        <f t="shared" si="155"/>
        <v/>
      </c>
      <c r="AA663" s="1751" t="s">
        <v>1960</v>
      </c>
      <c r="AC663" s="2576" t="s">
        <v>1770</v>
      </c>
      <c r="AD663" s="758">
        <f>IFERROR(IF(IF(AC663&lt;&gt;"",VLOOKUP(AC663,Tabla_ArmasyEscudos,9,0),"")="Conocida",MAX(AD$662:AD662)+1,0),0)</f>
        <v>0</v>
      </c>
      <c r="AE663" s="758">
        <f ca="1">IF(AC663="",0,IF(AD663=0,MAX(AE$654:AE662,AG$652)+1,AD663+IFERROR(VLOOKUP(VLOOKUP(AC663,$D$653:$AA$871,24,0),AC$654:AE$661,3,0)-VLOOKUP(VLOOKUP(AC663,$D$653:$AA$871,24,0),AC$654:AE$661,2,0)+1,0)))</f>
        <v>4</v>
      </c>
      <c r="AF663" s="758" t="str">
        <f t="shared" ca="1" si="128"/>
        <v>Alabarda</v>
      </c>
      <c r="AG663" s="758" t="str">
        <f t="shared" ca="1" si="129"/>
        <v/>
      </c>
      <c r="AH663" s="1251" t="str">
        <f>IF(AH664&lt;&gt;"",IF(AND($D$656&lt;&gt;AH664,NOT(OR(ISNUMBER(FIND("Munición",VLOOKUP($D$656,Tabla_ArmasyEscudos,8,0))),ISNUMBER(FIND("Proyectiles",VLOOKUP($D$656,Tabla_ArmasyEscudos,8,0)))))),$D$656,IF(AND($D$655&lt;&gt;AH664,NOT(OR(ISNUMBER(FIND("Munición",VLOOKUP($D$655,Tabla_ArmasyEscudos,8,0))),ISNUMBER(FIND("Proyectiles",VLOOKUP($D$655,Tabla_ArmasyEscudos,8,0)))))),$D$655,"")),"")</f>
        <v>Arma #2</v>
      </c>
      <c r="AI663" s="758">
        <f>IFERROR(IF(IF(AH663&lt;&gt;"",VLOOKUP(AH663,Tabla_ArmasyEscudos,9,0),"")="Conocida",MAX(AI$660:AI662)+1,0),0)</f>
        <v>0</v>
      </c>
      <c r="AJ663" s="758">
        <f ca="1">IF(AH663="",0,IF(AI663=0,MAX(AJ$654:AJ662,AL$652)+1,AI663+IFERROR(VLOOKUP(VLOOKUP(AH663,$D$653:$AA$871,24,0),AH$654:AJ$659,3,0)-VLOOKUP(VLOOKUP(AH663,$D$653:$AA$871,24,0),AH$654:AJ$659,2,0)+1,0)))</f>
        <v>5</v>
      </c>
      <c r="AK663" s="758" t="str">
        <f t="shared" ca="1" si="130"/>
        <v>Arpón</v>
      </c>
      <c r="AL663" s="758" t="str">
        <f t="shared" ca="1" si="131"/>
        <v/>
      </c>
      <c r="AM663" s="1251" t="str">
        <f>IF(AND(AM665&lt;&gt;"",$D$655&lt;&gt;AM665,$D$655&lt;&gt;AM664,ISNUMBER(FIND("Proyectiles",VLOOKUP($D$655,Tabla_ArmasyEscudos,8,0)))),$D$655,"")</f>
        <v/>
      </c>
      <c r="AN663" s="758">
        <f>IFERROR(IF(IF(AM663&lt;&gt;"",VLOOKUP(AM663,Tabla_ArmasyEscudos,9,0),"")="Conocida",MAX(AN$660:AN662)+1,0),0)</f>
        <v>0</v>
      </c>
      <c r="AO663" s="758">
        <f>IF(AM663="",0,IF(AN663=0,MAX(AO$654:AO662,AQ$652)+1,AN663+IFERROR(VLOOKUP(VLOOKUP(AM663,$D$653:$AA$871,24,0),AM$654:AO$659,3,0)-VLOOKUP(VLOOKUP(AM663,$D$653:$AA$871,24,0),AM$654:AO$659,2,0)+1,0)))</f>
        <v>0</v>
      </c>
      <c r="AP663" s="758" t="str">
        <f t="shared" ca="1" si="132"/>
        <v>Ballesta de repetición</v>
      </c>
      <c r="AQ663" s="758" t="str">
        <f t="shared" ca="1" si="133"/>
        <v/>
      </c>
      <c r="AR663" s="1251" t="str">
        <f>IF(AR664&lt;&gt;"",IF(AND($D$656&lt;&gt;AR664,ISNUMBER(FIND("Proyectiles",VLOOKUP($D$656,Tabla_ArmasyEscudos,8,0)))),$D$656,IF(AND($D$655&lt;&gt;AR664,ISNUMBER(FIND("Proyectiles",VLOOKUP($D$655,Tabla_ArmasyEscudos,8,0)))),$D$655,"")),"")</f>
        <v/>
      </c>
      <c r="AS663" s="758">
        <f>IFERROR(IF(IF(AR663&lt;&gt;"",VLOOKUP(AR663,Tabla_ArmasyEscudos,9,0),"")="Conocida",MAX(AS$660:AS662)+1,0),0)</f>
        <v>0</v>
      </c>
      <c r="AT663" s="758">
        <f>IF(AR663="",0,IF(AS663=0,MAX(AT$654:AT662,AV$652)+1,AS663+IFERROR(VLOOKUP(VLOOKUP(AR663,$D$653:$AA$871,24,0),AR$654:AT$659,3,0)-VLOOKUP(VLOOKUP(AR663,$D$653:$AA$871,24,0),AR$654:AT$659,2,0)+1,0)))</f>
        <v>0</v>
      </c>
      <c r="AU663" s="758" t="str">
        <f t="shared" ca="1" si="134"/>
        <v>Ballesta de repetición</v>
      </c>
      <c r="AV663" s="758" t="str">
        <f t="shared" ca="1" si="135"/>
        <v/>
      </c>
      <c r="AX663" s="1141" t="str">
        <f t="shared" si="136"/>
        <v>Bastón de Combate</v>
      </c>
      <c r="AY663" s="2549"/>
      <c r="AZ663" s="774" t="str">
        <f t="shared" si="137"/>
        <v/>
      </c>
      <c r="BA663" s="76" t="str">
        <f t="shared" si="138"/>
        <v/>
      </c>
      <c r="BB663" s="76" t="str">
        <f t="shared" si="139"/>
        <v>Bec de Corbin</v>
      </c>
      <c r="BC663" s="1142">
        <f>IF(OR($L661=BC$652,$L661="",$D661=$BE$651),MAX(BC$654:BC662)+1,0)</f>
        <v>0</v>
      </c>
      <c r="BD663" s="1143">
        <f>IF(OR($L661=BD$652,$L661="",$D661=$BE$651),MAX(BD$654:BD662)+1,0)</f>
        <v>0</v>
      </c>
      <c r="BE663" s="1144">
        <f>IF(OR($L661=BE$652,$L661="",$D661=$BE$651),MAX(BE$654:BE662)+1,0)</f>
        <v>8</v>
      </c>
      <c r="BF663" s="2549"/>
      <c r="BG663" s="774" t="str">
        <f t="shared" si="140"/>
        <v/>
      </c>
      <c r="BH663" s="76" t="str">
        <f t="shared" si="141"/>
        <v/>
      </c>
      <c r="BI663" s="76" t="str">
        <f t="shared" si="142"/>
        <v>Bec de Corbin</v>
      </c>
      <c r="BJ663" s="1142">
        <f>IF(OR($L661=BJ$652,$L661="",$D661=$BL$651),MAX(BJ$654:BJ662)+1,0)</f>
        <v>0</v>
      </c>
      <c r="BK663" s="1143">
        <f>IF(OR($L661=BK$652,$L661="",$D661=$BL$651),MAX(BK$654:BK662)+1,0)</f>
        <v>0</v>
      </c>
      <c r="BL663" s="1144">
        <f>IF(OR($L661=BL$652,$L661="",$D661=$BL$651),MAX(BL$654:BL662)+1,0)</f>
        <v>8</v>
      </c>
      <c r="BM663" s="2549"/>
      <c r="BN663" s="774" t="str">
        <f t="shared" si="143"/>
        <v/>
      </c>
      <c r="BO663" s="76" t="str">
        <f t="shared" si="144"/>
        <v/>
      </c>
      <c r="BP663" s="76" t="str">
        <f t="shared" si="145"/>
        <v>Bec de Corbin</v>
      </c>
      <c r="BQ663" s="1142">
        <f>IF(OR($L661=BQ$652,$L661="",$D661=$BS$651),MAX(BQ$654:BQ662)+1,0)</f>
        <v>0</v>
      </c>
      <c r="BR663" s="1143">
        <f>IF(OR($L661=BR$652,$L661="",$D661=$BS$651),MAX(BR$654:BR662)+1,0)</f>
        <v>0</v>
      </c>
      <c r="BS663" s="1144">
        <f>IF(OR($L661=BS$652,$L661="",$D661=$BS$651),MAX(BS$654:BS662)+1,0)</f>
        <v>8</v>
      </c>
      <c r="BT663" s="2549"/>
      <c r="BU663" s="774" t="str">
        <f t="shared" si="146"/>
        <v/>
      </c>
      <c r="BV663" s="76" t="str">
        <f t="shared" si="147"/>
        <v/>
      </c>
      <c r="BW663" s="76" t="str">
        <f t="shared" si="148"/>
        <v>Bec de Corbin</v>
      </c>
      <c r="BX663" s="1142">
        <f>IF(OR($L661=BX$652,$L661="",$D661=$BZ$651),MAX(BX$654:BX662)+1,0)</f>
        <v>0</v>
      </c>
      <c r="BY663" s="1143">
        <f>IF(OR($L661=BY$652,$L661="",$D661=$BZ$651),MAX(BY$654:BY662)+1,0)</f>
        <v>0</v>
      </c>
      <c r="BZ663" s="1144">
        <f>IF(OR($L661=BZ$652,$L661="",$D661=$BZ$651),MAX(BZ$654:BZ662)+1,0)</f>
        <v>8</v>
      </c>
      <c r="CA663" s="2549"/>
      <c r="CB663" s="774" t="str">
        <f t="shared" si="149"/>
        <v/>
      </c>
      <c r="CC663" s="76" t="str">
        <f t="shared" si="150"/>
        <v/>
      </c>
      <c r="CD663" s="76" t="str">
        <f t="shared" si="151"/>
        <v>Bec de Corbin</v>
      </c>
      <c r="CE663" s="1142">
        <f>IF(OR($L661=CE$652,$L661="",$D661=$CG$651),MAX(CE$654:CE662)+1,0)</f>
        <v>0</v>
      </c>
      <c r="CF663" s="1143">
        <f>IF(OR($L661=CF$652,$L661="",$D661=$CG$651),MAX(CF$654:CF662)+1,0)</f>
        <v>0</v>
      </c>
      <c r="CG663" s="1144">
        <f>IF(OR($L661=CG$652,$L661="",$D661=$CG$651),MAX(CG$654:CG662)+1,0)</f>
        <v>8</v>
      </c>
      <c r="CI663" s="774" t="str">
        <f t="shared" si="152"/>
        <v/>
      </c>
      <c r="CJ663" s="76" t="str">
        <f t="shared" si="153"/>
        <v/>
      </c>
      <c r="CK663" s="76" t="str">
        <f t="shared" si="154"/>
        <v>Bec de Corbin</v>
      </c>
      <c r="CL663" s="1142">
        <f>IF(OR($L661=CL$652,$L661="",$D661=$CN$651),MAX(CL$654:CL662)+1,0)</f>
        <v>0</v>
      </c>
      <c r="CM663" s="1143">
        <f>IF(OR($L661=CM$652,$L661="",$D661=$CN$651),MAX(CM$654:CM662)+1,0)</f>
        <v>0</v>
      </c>
      <c r="CN663" s="1144">
        <f>IF(OR($L661=CN$652,$L661="",$D661=$CN$651),MAX(CN$654:CN662)+1,0)</f>
        <v>8</v>
      </c>
    </row>
    <row r="664" spans="1:92" ht="12.75" customHeight="1">
      <c r="A664" s="219">
        <v>655</v>
      </c>
      <c r="B664" s="7145"/>
      <c r="C664" s="1034"/>
      <c r="D664" s="2237" t="s">
        <v>1965</v>
      </c>
      <c r="E664" s="2236">
        <v>20</v>
      </c>
      <c r="F664" s="2236">
        <v>0</v>
      </c>
      <c r="G664" s="2236">
        <v>5</v>
      </c>
      <c r="H664" s="2236">
        <v>5</v>
      </c>
      <c r="I664" s="2236" t="s">
        <v>1357</v>
      </c>
      <c r="J664" s="2236" t="s">
        <v>1315</v>
      </c>
      <c r="K664" s="2433" t="s">
        <v>6832</v>
      </c>
      <c r="L664" s="2236" t="str">
        <f t="shared" si="156"/>
        <v>Distinta</v>
      </c>
      <c r="M664" s="2240">
        <v>10</v>
      </c>
      <c r="N664" s="2240">
        <v>2</v>
      </c>
      <c r="O664" s="2240">
        <v>15</v>
      </c>
      <c r="P664" s="2236"/>
      <c r="Q664" s="2236"/>
      <c r="R664" s="2240">
        <v>50</v>
      </c>
      <c r="S664" s="2236" t="s">
        <v>1315</v>
      </c>
      <c r="T664" s="2236">
        <v>20</v>
      </c>
      <c r="U664" s="2236"/>
      <c r="V664" s="2433" t="s">
        <v>1967</v>
      </c>
      <c r="W664" s="2433"/>
      <c r="X664" s="2434" t="str">
        <f t="shared" si="158"/>
        <v>Mediana</v>
      </c>
      <c r="Y664" s="2229">
        <f t="shared" si="157"/>
        <v>0</v>
      </c>
      <c r="Z664" s="1150" t="str">
        <f t="shared" si="155"/>
        <v/>
      </c>
      <c r="AA664" s="1751" t="s">
        <v>1960</v>
      </c>
      <c r="AC664" s="2576" t="s">
        <v>9990</v>
      </c>
      <c r="AD664" s="758">
        <f ca="1">IFERROR(IF(IF(AC664&lt;&gt;"",VLOOKUP(AC664,Tabla_ArmasyEscudos,9,0),"")="Conocida",MAX(AD$662:AD663)+1,0),0)</f>
        <v>0</v>
      </c>
      <c r="AE664" s="758">
        <f ca="1">IF(AC664="",0,IF(AD664=0,MAX(AE$654:AE663,AG$652)+1,AD664+IFERROR(VLOOKUP(VLOOKUP(AC664,$D$653:$AA$871,24,0),AC$654:AE$661,3,0)-VLOOKUP(VLOOKUP(AC664,$D$653:$AA$871,24,0),AC$654:AE$661,2,0)+1,0)))</f>
        <v>5</v>
      </c>
      <c r="AF664" s="758" t="str">
        <f t="shared" ca="1" si="128"/>
        <v>Arpón</v>
      </c>
      <c r="AG664" s="758" t="str">
        <f t="shared" ca="1" si="129"/>
        <v/>
      </c>
      <c r="AH664" s="1251"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I664" s="758">
        <f>IFERROR(IF(IF(AH664&lt;&gt;"",VLOOKUP(AH664,Tabla_ArmasyEscudos,9,0),"")="Conocida",MAX(AI$660:AI663)+1,0),0)</f>
        <v>0</v>
      </c>
      <c r="AJ664" s="758">
        <f ca="1">IF(AH664="",0,IF(AI664=0,MAX(AJ$654:AJ663,AL$652)+1,AI664+IFERROR(VLOOKUP(VLOOKUP(AH664,$D$653:$AA$871,24,0),AH$654:AJ$659,3,0)-VLOOKUP(VLOOKUP(AH664,$D$653:$AA$871,24,0),AH$654:AJ$659,2,0)+1,0)))</f>
        <v>6</v>
      </c>
      <c r="AK664" s="758" t="str">
        <f t="shared" ca="1" si="130"/>
        <v>Bec de Corbin</v>
      </c>
      <c r="AL664" s="758" t="str">
        <f t="shared" ca="1" si="131"/>
        <v/>
      </c>
      <c r="AM664" s="1251" t="str">
        <f>IF(AM665&lt;&gt;"",IF(AND($D$656&lt;&gt;AM665,ISNUMBER(FIND("Proyectiles",VLOOKUP($D$656,Tabla_ArmasyEscudos,8,0)))),$D$656,IF(AND($D$655&lt;&gt;AM665,ISNUMBER(FIND("Proyectiles",VLOOKUP($D$655,Tabla_ArmasyEscudos,8,0)))),$D$655,"")),"")</f>
        <v/>
      </c>
      <c r="AN664" s="758">
        <f>IFERROR(IF(IF(AM664&lt;&gt;"",VLOOKUP(AM664,Tabla_ArmasyEscudos,9,0),"")="Conocida",MAX(AN$660:AN663)+1,0),0)</f>
        <v>0</v>
      </c>
      <c r="AO664" s="758">
        <f>IF(AM664="",0,IF(AN664=0,MAX(AO$654:AO663,AQ$652)+1,AN664+IFERROR(VLOOKUP(VLOOKUP(AM664,$D$653:$AA$871,24,0),AM$654:AO$659,3,0)-VLOOKUP(VLOOKUP(AM664,$D$653:$AA$871,24,0),AM$654:AO$659,2,0)+1,0)))</f>
        <v>0</v>
      </c>
      <c r="AP664" s="758" t="str">
        <f t="shared" ca="1" si="132"/>
        <v>Ballesta pesada</v>
      </c>
      <c r="AQ664" s="758" t="str">
        <f t="shared" ca="1" si="133"/>
        <v/>
      </c>
      <c r="AR664" s="1251" t="str">
        <f>IF(ISNUMBER(FIND("Proyectiles",VLOOKUP($D$657,Tabla_ArmasyEscudos,8,0))),$D$657,IF(ISNUMBER(FIND("Proyectiles",VLOOKUP($D$656,Tabla_ArmasyEscudos,8,0))),$D$656,IF(ISNUMBER(FIND("Proyectiles",VLOOKUP($D$655,Tabla_ArmasyEscudos,8,0))),$D$655,"")))</f>
        <v/>
      </c>
      <c r="AS664" s="758">
        <f>IFERROR(IF(IF(AR664&lt;&gt;"",VLOOKUP(AR664,Tabla_ArmasyEscudos,9,0),"")="Conocida",MAX(AS$660:AS663)+1,0),0)</f>
        <v>0</v>
      </c>
      <c r="AT664" s="758">
        <f>IF(AR664="",0,IF(AS664=0,MAX(AT$654:AT663,AV$652)+1,AS664+IFERROR(VLOOKUP(VLOOKUP(AR664,$D$653:$AA$871,24,0),AR$654:AT$659,3,0)-VLOOKUP(VLOOKUP(AR664,$D$653:$AA$871,24,0),AR$654:AT$659,2,0)+1,0)))</f>
        <v>0</v>
      </c>
      <c r="AU664" s="758" t="str">
        <f t="shared" ca="1" si="134"/>
        <v>Ballesta pesada</v>
      </c>
      <c r="AV664" s="758" t="str">
        <f t="shared" ca="1" si="135"/>
        <v/>
      </c>
      <c r="AX664" s="1141" t="str">
        <f t="shared" si="136"/>
        <v>Bec de Corbin</v>
      </c>
      <c r="AY664" s="2549"/>
      <c r="AZ664" s="774" t="str">
        <f t="shared" si="137"/>
        <v/>
      </c>
      <c r="BA664" s="76" t="str">
        <f t="shared" si="138"/>
        <v/>
      </c>
      <c r="BB664" s="76" t="str">
        <f t="shared" si="139"/>
        <v>Berdiche</v>
      </c>
      <c r="BC664" s="1142">
        <f>IF(OR($L662=BC$652,$L662="",$D662=$BE$651),MAX(BC$654:BC663)+1,0)</f>
        <v>0</v>
      </c>
      <c r="BD664" s="1143">
        <f>IF(OR($L662=BD$652,$L662="",$D662=$BE$651),MAX(BD$654:BD663)+1,0)</f>
        <v>0</v>
      </c>
      <c r="BE664" s="1144">
        <f>IF(OR($L662=BE$652,$L662="",$D662=$BE$651),MAX(BE$654:BE663)+1,0)</f>
        <v>9</v>
      </c>
      <c r="BF664" s="2549"/>
      <c r="BG664" s="774" t="str">
        <f t="shared" si="140"/>
        <v/>
      </c>
      <c r="BH664" s="76" t="str">
        <f t="shared" si="141"/>
        <v/>
      </c>
      <c r="BI664" s="76" t="str">
        <f t="shared" si="142"/>
        <v>Berdiche</v>
      </c>
      <c r="BJ664" s="1142">
        <f>IF(OR($L662=BJ$652,$L662="",$D662=$BL$651),MAX(BJ$654:BJ663)+1,0)</f>
        <v>0</v>
      </c>
      <c r="BK664" s="1143">
        <f>IF(OR($L662=BK$652,$L662="",$D662=$BL$651),MAX(BK$654:BK663)+1,0)</f>
        <v>0</v>
      </c>
      <c r="BL664" s="1144">
        <f>IF(OR($L662=BL$652,$L662="",$D662=$BL$651),MAX(BL$654:BL663)+1,0)</f>
        <v>9</v>
      </c>
      <c r="BM664" s="2549"/>
      <c r="BN664" s="774" t="str">
        <f t="shared" si="143"/>
        <v/>
      </c>
      <c r="BO664" s="76" t="str">
        <f t="shared" si="144"/>
        <v/>
      </c>
      <c r="BP664" s="76" t="str">
        <f t="shared" si="145"/>
        <v>Berdiche</v>
      </c>
      <c r="BQ664" s="1142">
        <f>IF(OR($L662=BQ$652,$L662="",$D662=$BS$651),MAX(BQ$654:BQ663)+1,0)</f>
        <v>0</v>
      </c>
      <c r="BR664" s="1143">
        <f>IF(OR($L662=BR$652,$L662="",$D662=$BS$651),MAX(BR$654:BR663)+1,0)</f>
        <v>0</v>
      </c>
      <c r="BS664" s="1144">
        <f>IF(OR($L662=BS$652,$L662="",$D662=$BS$651),MAX(BS$654:BS663)+1,0)</f>
        <v>9</v>
      </c>
      <c r="BT664" s="2549"/>
      <c r="BU664" s="774" t="str">
        <f t="shared" si="146"/>
        <v/>
      </c>
      <c r="BV664" s="76" t="str">
        <f t="shared" si="147"/>
        <v/>
      </c>
      <c r="BW664" s="76" t="str">
        <f t="shared" si="148"/>
        <v>Berdiche</v>
      </c>
      <c r="BX664" s="1142">
        <f>IF(OR($L662=BX$652,$L662="",$D662=$BZ$651),MAX(BX$654:BX663)+1,0)</f>
        <v>0</v>
      </c>
      <c r="BY664" s="1143">
        <f>IF(OR($L662=BY$652,$L662="",$D662=$BZ$651),MAX(BY$654:BY663)+1,0)</f>
        <v>0</v>
      </c>
      <c r="BZ664" s="1144">
        <f>IF(OR($L662=BZ$652,$L662="",$D662=$BZ$651),MAX(BZ$654:BZ663)+1,0)</f>
        <v>9</v>
      </c>
      <c r="CA664" s="2549"/>
      <c r="CB664" s="774" t="str">
        <f t="shared" si="149"/>
        <v/>
      </c>
      <c r="CC664" s="76" t="str">
        <f t="shared" si="150"/>
        <v/>
      </c>
      <c r="CD664" s="76" t="str">
        <f t="shared" si="151"/>
        <v>Berdiche</v>
      </c>
      <c r="CE664" s="1142">
        <f>IF(OR($L662=CE$652,$L662="",$D662=$CG$651),MAX(CE$654:CE663)+1,0)</f>
        <v>0</v>
      </c>
      <c r="CF664" s="1143">
        <f>IF(OR($L662=CF$652,$L662="",$D662=$CG$651),MAX(CF$654:CF663)+1,0)</f>
        <v>0</v>
      </c>
      <c r="CG664" s="1144">
        <f>IF(OR($L662=CG$652,$L662="",$D662=$CG$651),MAX(CG$654:CG663)+1,0)</f>
        <v>9</v>
      </c>
      <c r="CI664" s="774" t="str">
        <f t="shared" si="152"/>
        <v/>
      </c>
      <c r="CJ664" s="76" t="str">
        <f t="shared" si="153"/>
        <v/>
      </c>
      <c r="CK664" s="76" t="str">
        <f t="shared" si="154"/>
        <v>Berdiche</v>
      </c>
      <c r="CL664" s="1142">
        <f>IF(OR($L662=CL$652,$L662="",$D662=$CN$651),MAX(CL$654:CL663)+1,0)</f>
        <v>0</v>
      </c>
      <c r="CM664" s="1143">
        <f>IF(OR($L662=CM$652,$L662="",$D662=$CN$651),MAX(CM$654:CM663)+1,0)</f>
        <v>0</v>
      </c>
      <c r="CN664" s="1144">
        <f>IF(OR($L662=CN$652,$L662="",$D662=$CN$651),MAX(CN$654:CN663)+1,0)</f>
        <v>9</v>
      </c>
    </row>
    <row r="665" spans="1:92" ht="12.75" customHeight="1">
      <c r="A665" s="219">
        <v>656</v>
      </c>
      <c r="B665" s="7145"/>
      <c r="C665" s="1034"/>
      <c r="D665" s="2237" t="s">
        <v>1968</v>
      </c>
      <c r="E665" s="2236">
        <v>30</v>
      </c>
      <c r="F665" s="2236">
        <v>-10</v>
      </c>
      <c r="G665" s="2236">
        <v>5</v>
      </c>
      <c r="H665" s="2236">
        <v>5</v>
      </c>
      <c r="I665" s="2236" t="s">
        <v>1357</v>
      </c>
      <c r="J665" s="2236" t="s">
        <v>1315</v>
      </c>
      <c r="K665" s="2433" t="s">
        <v>6832</v>
      </c>
      <c r="L665" s="2236" t="str">
        <f t="shared" si="156"/>
        <v>Distinta</v>
      </c>
      <c r="M665" s="2240">
        <v>6</v>
      </c>
      <c r="N665" s="2240">
        <v>2</v>
      </c>
      <c r="O665" s="2240">
        <v>15</v>
      </c>
      <c r="P665" s="2236"/>
      <c r="Q665" s="2236"/>
      <c r="R665" s="2240">
        <v>80</v>
      </c>
      <c r="S665" s="2236" t="s">
        <v>1315</v>
      </c>
      <c r="T665" s="2236">
        <v>20</v>
      </c>
      <c r="U665" s="2236"/>
      <c r="V665" s="2433" t="s">
        <v>8122</v>
      </c>
      <c r="W665" s="2433"/>
      <c r="X665" s="2434" t="str">
        <f t="shared" si="158"/>
        <v>Mediana</v>
      </c>
      <c r="Y665" s="2229">
        <f t="shared" si="157"/>
        <v>0</v>
      </c>
      <c r="Z665" s="1150" t="str">
        <f t="shared" si="155"/>
        <v/>
      </c>
      <c r="AA665" s="1751" t="s">
        <v>1960</v>
      </c>
      <c r="AC665" s="1251" t="str">
        <f>IF(AND(AC667&lt;&gt;"",$D$655&lt;&gt;AC667,$D$655&lt;&gt;AC666,NOT(OR(ISNUMBER(FIND("Munición",VLOOKUP($D$655,Tabla_ArmasyEscudos,8,0))),ISNUMBER(FIND("Proyectiles",VLOOKUP($D$655,Tabla_ArmasyEscudos,8,0)))))),$D$655,"")</f>
        <v>Arma #1</v>
      </c>
      <c r="AD665" s="758">
        <f ca="1">IFERROR(IF(IF(AC665&lt;&gt;"",VLOOKUP(AC665,Tabla_ArmasyEscudos,9,0),"")="Conocida",MAX(AD$662:AD664)+1,0),0)</f>
        <v>1</v>
      </c>
      <c r="AE665" s="758">
        <f ca="1">IF(AC665="",0,IF(AD665=0,MAX(AE$654:AE664,AG$652)+1,AD665+IFERROR(VLOOKUP(VLOOKUP(AC665,$D$653:$AA$871,24,0),AC$654:AE$661,3,0)-VLOOKUP(VLOOKUP(AC665,$D$653:$AA$871,24,0),AC$654:AE$661,2,0)+1,0)))</f>
        <v>2</v>
      </c>
      <c r="AF665" s="758" t="str">
        <f t="shared" ca="1" si="128"/>
        <v>Bastón de Combate</v>
      </c>
      <c r="AG665" s="758" t="str">
        <f t="shared" ca="1" si="129"/>
        <v/>
      </c>
      <c r="AH665" s="2573" t="s">
        <v>1960</v>
      </c>
      <c r="AI665" s="758">
        <f>IFERROR(IF(IF(AH665&lt;&gt;"",VLOOKUP(AH665,Tabla_ArmasyEscudos,9,0),"")="Conocida",MAX(AI$660:AI664)+1,0),0)</f>
        <v>0</v>
      </c>
      <c r="AJ665" s="758">
        <f ca="1">IF(AH665="",0,IF(AI665=0,MAX(AJ$654:AJ664,AL$652)+1,AI665+IFERROR(VLOOKUP(VLOOKUP(AH665,$D$653:$AA$871,24,0),AH$654:AJ$659,3,0)-VLOOKUP(VLOOKUP(AH665,$D$653:$AA$871,24,0),AH$654:AJ$659,2,0)+1,0)))</f>
        <v>7</v>
      </c>
      <c r="AK665" s="758" t="str">
        <f t="shared" ca="1" si="130"/>
        <v>Berdiche</v>
      </c>
      <c r="AL665" s="758" t="str">
        <f t="shared" ca="1" si="131"/>
        <v/>
      </c>
      <c r="AM665" s="1251" t="str">
        <f>IF(ISNUMBER(FIND("Proyectiles",VLOOKUP($D$657,Tabla_ArmasyEscudos,8,0))),$D$657,IF(ISNUMBER(FIND("Proyectiles",VLOOKUP($D$656,Tabla_ArmasyEscudos,8,0))),$D$656,IF(ISNUMBER(FIND("Proyectiles",VLOOKUP($D$655,Tabla_ArmasyEscudos,8,0))),$D$655,"")))</f>
        <v/>
      </c>
      <c r="AN665" s="758">
        <f>IFERROR(IF(IF(AM665&lt;&gt;"",VLOOKUP(AM665,Tabla_ArmasyEscudos,9,0),"")="Conocida",MAX(AN$660:AN664)+1,0),0)</f>
        <v>0</v>
      </c>
      <c r="AO665" s="758">
        <f>IF(AM665="",0,IF(AN665=0,MAX(AO$654:AO664,AQ$652)+1,AN665+IFERROR(VLOOKUP(VLOOKUP(AM665,$D$653:$AA$871,24,0),AM$654:AO$659,3,0)-VLOOKUP(VLOOKUP(AM665,$D$653:$AA$871,24,0),AM$654:AO$659,2,0)+1,0)))</f>
        <v>0</v>
      </c>
      <c r="AP665" s="758" t="str">
        <f t="shared" ca="1" si="132"/>
        <v>Honda</v>
      </c>
      <c r="AQ665" s="758" t="str">
        <f t="shared" ca="1" si="133"/>
        <v/>
      </c>
      <c r="AR665" s="2573" t="s">
        <v>2040</v>
      </c>
      <c r="AS665" s="758">
        <f>IFERROR(IF(IF(AR665&lt;&gt;"",VLOOKUP(AR665,Tabla_ArmasyEscudos,9,0),"")="Conocida",MAX(AS$660:AS664)+1,0),0)</f>
        <v>0</v>
      </c>
      <c r="AT665" s="758">
        <f ca="1">IF(AR665="",0,IF(AS665=0,MAX(AT$654:AT664,AV$652)+1,AS665+IFERROR(VLOOKUP(VLOOKUP(AR665,$D$653:$AA$871,24,0),AR$654:AT$659,3,0)-VLOOKUP(VLOOKUP(AR665,$D$653:$AA$871,24,0),AR$654:AT$659,2,0)+1,0)))</f>
        <v>3</v>
      </c>
      <c r="AU665" s="758" t="str">
        <f t="shared" ca="1" si="134"/>
        <v>Cerbatana</v>
      </c>
      <c r="AV665" s="758" t="str">
        <f t="shared" ca="1" si="135"/>
        <v/>
      </c>
      <c r="AX665" s="1141" t="str">
        <f t="shared" si="136"/>
        <v>Berdiche</v>
      </c>
      <c r="AY665" s="2549"/>
      <c r="AZ665" s="774" t="str">
        <f t="shared" si="137"/>
        <v/>
      </c>
      <c r="BA665" s="76" t="str">
        <f t="shared" si="138"/>
        <v/>
      </c>
      <c r="BB665" s="76" t="str">
        <f t="shared" si="139"/>
        <v>Bolas</v>
      </c>
      <c r="BC665" s="1142">
        <f>IF(OR($L663=BC$652,$L663="",$D663=$BE$651),MAX(BC$654:BC664)+1,0)</f>
        <v>0</v>
      </c>
      <c r="BD665" s="1143">
        <f>IF(OR($L663=BD$652,$L663="",$D663=$BE$651),MAX(BD$654:BD664)+1,0)</f>
        <v>0</v>
      </c>
      <c r="BE665" s="1144">
        <f>IF(OR($L663=BE$652,$L663="",$D663=$BE$651),MAX(BE$654:BE664)+1,0)</f>
        <v>10</v>
      </c>
      <c r="BF665" s="2549"/>
      <c r="BG665" s="774" t="str">
        <f t="shared" si="140"/>
        <v/>
      </c>
      <c r="BH665" s="76" t="str">
        <f t="shared" si="141"/>
        <v/>
      </c>
      <c r="BI665" s="76" t="str">
        <f t="shared" si="142"/>
        <v>Bolas</v>
      </c>
      <c r="BJ665" s="1142">
        <f>IF(OR($L663=BJ$652,$L663="",$D663=$BL$651),MAX(BJ$654:BJ664)+1,0)</f>
        <v>0</v>
      </c>
      <c r="BK665" s="1143">
        <f>IF(OR($L663=BK$652,$L663="",$D663=$BL$651),MAX(BK$654:BK664)+1,0)</f>
        <v>0</v>
      </c>
      <c r="BL665" s="1144">
        <f>IF(OR($L663=BL$652,$L663="",$D663=$BL$651),MAX(BL$654:BL664)+1,0)</f>
        <v>10</v>
      </c>
      <c r="BM665" s="2549"/>
      <c r="BN665" s="774" t="str">
        <f t="shared" si="143"/>
        <v/>
      </c>
      <c r="BO665" s="76" t="str">
        <f t="shared" si="144"/>
        <v/>
      </c>
      <c r="BP665" s="76" t="str">
        <f t="shared" si="145"/>
        <v>Bolas</v>
      </c>
      <c r="BQ665" s="1142">
        <f>IF(OR($L663=BQ$652,$L663="",$D663=$BS$651),MAX(BQ$654:BQ664)+1,0)</f>
        <v>0</v>
      </c>
      <c r="BR665" s="1143">
        <f>IF(OR($L663=BR$652,$L663="",$D663=$BS$651),MAX(BR$654:BR664)+1,0)</f>
        <v>0</v>
      </c>
      <c r="BS665" s="1144">
        <f>IF(OR($L663=BS$652,$L663="",$D663=$BS$651),MAX(BS$654:BS664)+1,0)</f>
        <v>10</v>
      </c>
      <c r="BT665" s="2549"/>
      <c r="BU665" s="774" t="str">
        <f t="shared" si="146"/>
        <v/>
      </c>
      <c r="BV665" s="76" t="str">
        <f t="shared" si="147"/>
        <v/>
      </c>
      <c r="BW665" s="76" t="str">
        <f t="shared" si="148"/>
        <v>Bolas</v>
      </c>
      <c r="BX665" s="1142">
        <f>IF(OR($L663=BX$652,$L663="",$D663=$BZ$651),MAX(BX$654:BX664)+1,0)</f>
        <v>0</v>
      </c>
      <c r="BY665" s="1143">
        <f>IF(OR($L663=BY$652,$L663="",$D663=$BZ$651),MAX(BY$654:BY664)+1,0)</f>
        <v>0</v>
      </c>
      <c r="BZ665" s="1144">
        <f>IF(OR($L663=BZ$652,$L663="",$D663=$BZ$651),MAX(BZ$654:BZ664)+1,0)</f>
        <v>10</v>
      </c>
      <c r="CA665" s="2549"/>
      <c r="CB665" s="774" t="str">
        <f t="shared" si="149"/>
        <v/>
      </c>
      <c r="CC665" s="76" t="str">
        <f t="shared" si="150"/>
        <v/>
      </c>
      <c r="CD665" s="76" t="str">
        <f t="shared" si="151"/>
        <v>Bolas</v>
      </c>
      <c r="CE665" s="1142">
        <f>IF(OR($L663=CE$652,$L663="",$D663=$CG$651),MAX(CE$654:CE664)+1,0)</f>
        <v>0</v>
      </c>
      <c r="CF665" s="1143">
        <f>IF(OR($L663=CF$652,$L663="",$D663=$CG$651),MAX(CF$654:CF664)+1,0)</f>
        <v>0</v>
      </c>
      <c r="CG665" s="1144">
        <f>IF(OR($L663=CG$652,$L663="",$D663=$CG$651),MAX(CG$654:CG664)+1,0)</f>
        <v>10</v>
      </c>
      <c r="CI665" s="774" t="str">
        <f t="shared" si="152"/>
        <v/>
      </c>
      <c r="CJ665" s="76" t="str">
        <f t="shared" si="153"/>
        <v/>
      </c>
      <c r="CK665" s="76" t="str">
        <f t="shared" si="154"/>
        <v>Bolas</v>
      </c>
      <c r="CL665" s="1142">
        <f>IF(OR($L663=CL$652,$L663="",$D663=$CN$651),MAX(CL$654:CL664)+1,0)</f>
        <v>0</v>
      </c>
      <c r="CM665" s="1143">
        <f>IF(OR($L663=CM$652,$L663="",$D663=$CN$651),MAX(CM$654:CM664)+1,0)</f>
        <v>0</v>
      </c>
      <c r="CN665" s="1144">
        <f>IF(OR($L663=CN$652,$L663="",$D663=$CN$651),MAX(CN$654:CN664)+1,0)</f>
        <v>10</v>
      </c>
    </row>
    <row r="666" spans="1:92" ht="12.75" customHeight="1">
      <c r="A666" s="219">
        <v>657</v>
      </c>
      <c r="B666" s="7145"/>
      <c r="C666" s="1034"/>
      <c r="D666" s="2237" t="s">
        <v>6562</v>
      </c>
      <c r="E666" s="2239">
        <v>60</v>
      </c>
      <c r="F666" s="2236">
        <v>-10</v>
      </c>
      <c r="G666" s="2236">
        <v>7</v>
      </c>
      <c r="H666" s="2236">
        <v>7</v>
      </c>
      <c r="I666" s="2236" t="s">
        <v>1410</v>
      </c>
      <c r="J666" s="2236" t="s">
        <v>1315</v>
      </c>
      <c r="K666" s="2433" t="s">
        <v>6833</v>
      </c>
      <c r="L666" s="2236" t="str">
        <f t="shared" si="156"/>
        <v>Distinta</v>
      </c>
      <c r="M666" s="2240">
        <v>15</v>
      </c>
      <c r="N666" s="2240">
        <v>4</v>
      </c>
      <c r="O666" s="2240">
        <v>20</v>
      </c>
      <c r="P666" s="2236"/>
      <c r="Q666" s="2236"/>
      <c r="R666" s="2236" t="s">
        <v>1315</v>
      </c>
      <c r="S666" s="2236" t="s">
        <v>1315</v>
      </c>
      <c r="T666" s="2236" t="s">
        <v>1315</v>
      </c>
      <c r="U666" s="2236"/>
      <c r="V666" s="2433" t="s">
        <v>1315</v>
      </c>
      <c r="W666" s="2433"/>
      <c r="X666" s="2434" t="str">
        <f t="shared" si="158"/>
        <v>Mediana</v>
      </c>
      <c r="Y666" s="2229">
        <f t="shared" si="157"/>
        <v>0</v>
      </c>
      <c r="Z666" s="1150" t="str">
        <f t="shared" si="155"/>
        <v/>
      </c>
      <c r="AA666" s="1751" t="s">
        <v>1960</v>
      </c>
      <c r="AC666" s="1251" t="str">
        <f>IF(AC667&lt;&gt;"",IF(AND($D$656&lt;&gt;AC667,NOT(OR(ISNUMBER(FIND("Munición",VLOOKUP($D$656,Tabla_ArmasyEscudos,8,0))),ISNUMBER(FIND("Proyectiles",VLOOKUP($D$656,Tabla_ArmasyEscudos,8,0)))))),$D$656,IF(AND($D$655&lt;&gt;AC667,NOT(OR(ISNUMBER(FIND("Munición",VLOOKUP($D$655,Tabla_ArmasyEscudos,8,0))),ISNUMBER(FIND("Proyectiles",VLOOKUP($D$655,Tabla_ArmasyEscudos,8,0)))))),$D$655,"")),"")</f>
        <v>Arma #2</v>
      </c>
      <c r="AD666" s="758">
        <f>IFERROR(IF(IF(AC666&lt;&gt;"",VLOOKUP(AC666,Tabla_ArmasyEscudos,9,0),"")="Conocida",MAX(AD$662:AD665)+1,0),0)</f>
        <v>0</v>
      </c>
      <c r="AE666" s="758">
        <f ca="1">IF(AC666="",0,IF(AD666=0,MAX(AE$654:AE665,AG$652)+1,AD666+IFERROR(VLOOKUP(VLOOKUP(AC666,$D$653:$AA$871,24,0),AC$654:AE$661,3,0)-VLOOKUP(VLOOKUP(AC666,$D$653:$AA$871,24,0),AC$654:AE$661,2,0)+1,0)))</f>
        <v>6</v>
      </c>
      <c r="AF666" s="758" t="str">
        <f t="shared" ca="1" si="128"/>
        <v>Bolas</v>
      </c>
      <c r="AG666" s="758" t="str">
        <f t="shared" ca="1" si="129"/>
        <v/>
      </c>
      <c r="AH666" s="929" t="s">
        <v>1961</v>
      </c>
      <c r="AI666" s="758">
        <f>IFERROR(IF(IF(AH666&lt;&gt;"",VLOOKUP(AH666,Tabla_ArmasyEscudos,9,0),"")="Conocida",MAX(AI$660:AI665)+1,0),0)</f>
        <v>0</v>
      </c>
      <c r="AJ666" s="758">
        <f ca="1">IF(AH666="",0,IF(AI666=0,MAX(AJ$654:AJ665,AL$652)+1,AI666+IFERROR(VLOOKUP(VLOOKUP(AH666,$D$653:$AA$871,24,0),AH$654:AJ$659,3,0)-VLOOKUP(VLOOKUP(AH666,$D$653:$AA$871,24,0),AH$654:AJ$659,2,0)+1,0)))</f>
        <v>8</v>
      </c>
      <c r="AK666" s="758" t="str">
        <f t="shared" ca="1" si="130"/>
        <v>Brandistock</v>
      </c>
      <c r="AL666" s="758" t="str">
        <f t="shared" ca="1" si="131"/>
        <v/>
      </c>
      <c r="AM666" s="2576" t="s">
        <v>2040</v>
      </c>
      <c r="AN666" s="758">
        <f>IFERROR(IF(IF(AM666&lt;&gt;"",VLOOKUP(AM666,Tabla_ArmasyEscudos,9,0),"")="Conocida",MAX(AN$660:AN665)+1,0),0)</f>
        <v>0</v>
      </c>
      <c r="AO666" s="758">
        <f ca="1">IF(AM666="",0,IF(AN666=0,MAX(AO$654:AO665,AQ$652)+1,AN666+IFERROR(VLOOKUP(VLOOKUP(AM666,$D$653:$AA$871,24,0),AM$654:AO$659,3,0)-VLOOKUP(VLOOKUP(AM666,$D$653:$AA$871,24,0),AM$654:AO$659,2,0)+1,0)))</f>
        <v>4</v>
      </c>
      <c r="AP666" s="758" t="str">
        <f t="shared" ca="1" si="132"/>
        <v>Pistola</v>
      </c>
      <c r="AQ666" s="758" t="str">
        <f t="shared" ca="1" si="133"/>
        <v/>
      </c>
      <c r="AR666" s="929" t="s">
        <v>2041</v>
      </c>
      <c r="AS666" s="758">
        <f>IFERROR(IF(IF(AR666&lt;&gt;"",VLOOKUP(AR666,Tabla_ArmasyEscudos,9,0),"")="Conocida",MAX(AS$660:AS665)+1,0),0)</f>
        <v>0</v>
      </c>
      <c r="AT666" s="758">
        <f ca="1">IF(AR666="",0,IF(AS666=0,MAX(AT$654:AT665,AV$652)+1,AS666+IFERROR(VLOOKUP(VLOOKUP(AR666,$D$653:$AA$871,24,0),AR$654:AT$659,3,0)-VLOOKUP(VLOOKUP(AR666,$D$653:$AA$871,24,0),AR$654:AT$659,2,0)+1,0)))</f>
        <v>4</v>
      </c>
      <c r="AU666" s="758" t="str">
        <f t="shared" ca="1" si="134"/>
        <v>Daikyu</v>
      </c>
      <c r="AV666" s="758" t="str">
        <f t="shared" ca="1" si="135"/>
        <v/>
      </c>
      <c r="AX666" s="1141" t="str">
        <f t="shared" si="136"/>
        <v>Bolas</v>
      </c>
      <c r="AY666" s="2549"/>
      <c r="AZ666" s="774" t="str">
        <f t="shared" si="137"/>
        <v/>
      </c>
      <c r="BA666" s="76" t="str">
        <f t="shared" si="138"/>
        <v/>
      </c>
      <c r="BB666" s="76" t="str">
        <f t="shared" si="139"/>
        <v>Boleadoras</v>
      </c>
      <c r="BC666" s="1142">
        <f>IF(OR($L664=BC$652,$L664="",$D664=$BE$651),MAX(BC$654:BC665)+1,0)</f>
        <v>0</v>
      </c>
      <c r="BD666" s="1143">
        <f>IF(OR($L664=BD$652,$L664="",$D664=$BE$651),MAX(BD$654:BD665)+1,0)</f>
        <v>0</v>
      </c>
      <c r="BE666" s="1144">
        <f>IF(OR($L664=BE$652,$L664="",$D664=$BE$651),MAX(BE$654:BE665)+1,0)</f>
        <v>11</v>
      </c>
      <c r="BF666" s="2549"/>
      <c r="BG666" s="774" t="str">
        <f t="shared" si="140"/>
        <v/>
      </c>
      <c r="BH666" s="76" t="str">
        <f t="shared" si="141"/>
        <v/>
      </c>
      <c r="BI666" s="76" t="str">
        <f t="shared" si="142"/>
        <v>Boleadoras</v>
      </c>
      <c r="BJ666" s="1142">
        <f>IF(OR($L664=BJ$652,$L664="",$D664=$BL$651),MAX(BJ$654:BJ665)+1,0)</f>
        <v>0</v>
      </c>
      <c r="BK666" s="1143">
        <f>IF(OR($L664=BK$652,$L664="",$D664=$BL$651),MAX(BK$654:BK665)+1,0)</f>
        <v>0</v>
      </c>
      <c r="BL666" s="1144">
        <f>IF(OR($L664=BL$652,$L664="",$D664=$BL$651),MAX(BL$654:BL665)+1,0)</f>
        <v>11</v>
      </c>
      <c r="BM666" s="2549"/>
      <c r="BN666" s="774" t="str">
        <f t="shared" si="143"/>
        <v/>
      </c>
      <c r="BO666" s="76" t="str">
        <f t="shared" si="144"/>
        <v/>
      </c>
      <c r="BP666" s="76" t="str">
        <f t="shared" si="145"/>
        <v>Boleadoras</v>
      </c>
      <c r="BQ666" s="1142">
        <f>IF(OR($L664=BQ$652,$L664="",$D664=$BS$651),MAX(BQ$654:BQ665)+1,0)</f>
        <v>0</v>
      </c>
      <c r="BR666" s="1143">
        <f>IF(OR($L664=BR$652,$L664="",$D664=$BS$651),MAX(BR$654:BR665)+1,0)</f>
        <v>0</v>
      </c>
      <c r="BS666" s="1144">
        <f>IF(OR($L664=BS$652,$L664="",$D664=$BS$651),MAX(BS$654:BS665)+1,0)</f>
        <v>11</v>
      </c>
      <c r="BT666" s="2549"/>
      <c r="BU666" s="774" t="str">
        <f t="shared" si="146"/>
        <v/>
      </c>
      <c r="BV666" s="76" t="str">
        <f t="shared" si="147"/>
        <v/>
      </c>
      <c r="BW666" s="76" t="str">
        <f t="shared" si="148"/>
        <v>Boleadoras</v>
      </c>
      <c r="BX666" s="1142">
        <f>IF(OR($L664=BX$652,$L664="",$D664=$BZ$651),MAX(BX$654:BX665)+1,0)</f>
        <v>0</v>
      </c>
      <c r="BY666" s="1143">
        <f>IF(OR($L664=BY$652,$L664="",$D664=$BZ$651),MAX(BY$654:BY665)+1,0)</f>
        <v>0</v>
      </c>
      <c r="BZ666" s="1144">
        <f>IF(OR($L664=BZ$652,$L664="",$D664=$BZ$651),MAX(BZ$654:BZ665)+1,0)</f>
        <v>11</v>
      </c>
      <c r="CA666" s="2549"/>
      <c r="CB666" s="774" t="str">
        <f t="shared" si="149"/>
        <v/>
      </c>
      <c r="CC666" s="76" t="str">
        <f t="shared" si="150"/>
        <v/>
      </c>
      <c r="CD666" s="76" t="str">
        <f t="shared" si="151"/>
        <v>Boleadoras</v>
      </c>
      <c r="CE666" s="1142">
        <f>IF(OR($L664=CE$652,$L664="",$D664=$CG$651),MAX(CE$654:CE665)+1,0)</f>
        <v>0</v>
      </c>
      <c r="CF666" s="1143">
        <f>IF(OR($L664=CF$652,$L664="",$D664=$CG$651),MAX(CF$654:CF665)+1,0)</f>
        <v>0</v>
      </c>
      <c r="CG666" s="1144">
        <f>IF(OR($L664=CG$652,$L664="",$D664=$CG$651),MAX(CG$654:CG665)+1,0)</f>
        <v>11</v>
      </c>
      <c r="CI666" s="774" t="str">
        <f t="shared" si="152"/>
        <v/>
      </c>
      <c r="CJ666" s="76" t="str">
        <f t="shared" si="153"/>
        <v/>
      </c>
      <c r="CK666" s="76" t="str">
        <f t="shared" si="154"/>
        <v>Boleadoras</v>
      </c>
      <c r="CL666" s="1142">
        <f>IF(OR($L664=CL$652,$L664="",$D664=$CN$651),MAX(CL$654:CL665)+1,0)</f>
        <v>0</v>
      </c>
      <c r="CM666" s="1143">
        <f>IF(OR($L664=CM$652,$L664="",$D664=$CN$651),MAX(CM$654:CM665)+1,0)</f>
        <v>0</v>
      </c>
      <c r="CN666" s="1144">
        <f>IF(OR($L664=CN$652,$L664="",$D664=$CN$651),MAX(CN$654:CN665)+1,0)</f>
        <v>11</v>
      </c>
    </row>
    <row r="667" spans="1:92" ht="12.75" customHeight="1">
      <c r="A667" s="219">
        <v>658</v>
      </c>
      <c r="B667" s="7145"/>
      <c r="C667" s="1034"/>
      <c r="D667" s="2237" t="s">
        <v>6561</v>
      </c>
      <c r="E667" s="2239">
        <v>40</v>
      </c>
      <c r="F667" s="2236">
        <v>0</v>
      </c>
      <c r="G667" s="2236" t="s">
        <v>1315</v>
      </c>
      <c r="H667" s="2236">
        <v>6</v>
      </c>
      <c r="I667" s="2236" t="s">
        <v>1411</v>
      </c>
      <c r="J667" s="2236" t="s">
        <v>1357</v>
      </c>
      <c r="K667" s="2433" t="s">
        <v>6830</v>
      </c>
      <c r="L667" s="2236" t="str">
        <f t="shared" si="156"/>
        <v>Distinta</v>
      </c>
      <c r="M667" s="2240">
        <v>9</v>
      </c>
      <c r="N667" s="2240">
        <v>3</v>
      </c>
      <c r="O667" s="2240">
        <v>25</v>
      </c>
      <c r="P667" s="2236"/>
      <c r="Q667" s="2236"/>
      <c r="R667" s="2236" t="s">
        <v>1315</v>
      </c>
      <c r="S667" s="2236" t="s">
        <v>1315</v>
      </c>
      <c r="T667" s="2236" t="s">
        <v>1315</v>
      </c>
      <c r="U667" s="2236"/>
      <c r="V667" s="2433" t="s">
        <v>6609</v>
      </c>
      <c r="W667" s="2433"/>
      <c r="X667" s="2434" t="str">
        <f t="shared" si="158"/>
        <v>Grande</v>
      </c>
      <c r="Y667" s="2229">
        <f t="shared" si="157"/>
        <v>0</v>
      </c>
      <c r="Z667" s="1150" t="str">
        <f t="shared" si="155"/>
        <v/>
      </c>
      <c r="AA667" s="1751" t="s">
        <v>1960</v>
      </c>
      <c r="AC667" s="1251"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D667" s="758">
        <f>IFERROR(IF(IF(AC667&lt;&gt;"",VLOOKUP(AC667,Tabla_ArmasyEscudos,9,0),"")="Conocida",MAX(AD$662:AD666)+1,0),0)</f>
        <v>0</v>
      </c>
      <c r="AE667" s="758">
        <f ca="1">IF(AC667="",0,IF(AD667=0,MAX(AE$654:AE666,AG$652)+1,AD667+IFERROR(VLOOKUP(VLOOKUP(AC667,$D$653:$AA$871,24,0),AC$654:AE$661,3,0)-VLOOKUP(VLOOKUP(AC667,$D$653:$AA$871,24,0),AC$654:AE$661,2,0)+1,0)))</f>
        <v>7</v>
      </c>
      <c r="AF667" s="758" t="str">
        <f t="shared" ca="1" si="128"/>
        <v>Boleadoras</v>
      </c>
      <c r="AG667" s="758" t="str">
        <f t="shared" ca="1" si="129"/>
        <v/>
      </c>
      <c r="AH667" s="929" t="s">
        <v>1964</v>
      </c>
      <c r="AI667" s="758">
        <f>IFERROR(IF(IF(AH667&lt;&gt;"",VLOOKUP(AH667,Tabla_ArmasyEscudos,9,0),"")="Conocida",MAX(AI$660:AI666)+1,0),0)</f>
        <v>0</v>
      </c>
      <c r="AJ667" s="758">
        <f ca="1">IF(AH667="",0,IF(AI667=0,MAX(AJ$654:AJ666,AL$652)+1,AI667+IFERROR(VLOOKUP(VLOOKUP(AH667,$D$653:$AA$871,24,0),AH$654:AJ$659,3,0)-VLOOKUP(VLOOKUP(AH667,$D$653:$AA$871,24,0),AH$654:AJ$659,2,0)+1,0)))</f>
        <v>9</v>
      </c>
      <c r="AK667" s="758" t="str">
        <f t="shared" ca="1" si="130"/>
        <v>Claymore</v>
      </c>
      <c r="AL667" s="758" t="str">
        <f t="shared" ca="1" si="131"/>
        <v/>
      </c>
      <c r="AM667" s="2568" t="s">
        <v>8107</v>
      </c>
      <c r="AN667" s="758">
        <f>IFERROR(IF(IF(AM667&lt;&gt;"",VLOOKUP(AM667,Tabla_ArmasyEscudos,9,0),"")="Conocida",MAX(AN$660:AN666)+1,0),0)</f>
        <v>0</v>
      </c>
      <c r="AO667" s="758">
        <f ca="1">IF(AM667="",0,IF(AN667=0,MAX(AO$654:AO666,AQ$652)+1,AN667+IFERROR(VLOOKUP(VLOOKUP(AM667,$D$653:$AA$871,24,0),AM$654:AO$659,3,0)-VLOOKUP(VLOOKUP(AM667,$D$653:$AA$871,24,0),AM$654:AO$659,2,0)+1,0)))</f>
        <v>5</v>
      </c>
      <c r="AP667" s="758" t="str">
        <f t="shared" ca="1" si="132"/>
        <v>&gt; ARS MAGNUS</v>
      </c>
      <c r="AQ667" s="758" t="str">
        <f t="shared" ca="1" si="133"/>
        <v/>
      </c>
      <c r="AR667" s="929" t="s">
        <v>2043</v>
      </c>
      <c r="AS667" s="758">
        <f>IFERROR(IF(IF(AR667&lt;&gt;"",VLOOKUP(AR667,Tabla_ArmasyEscudos,9,0),"")="Conocida",MAX(AS$660:AS666)+1,0),0)</f>
        <v>0</v>
      </c>
      <c r="AT667" s="758">
        <f ca="1">IF(AR667="",0,IF(AS667=0,MAX(AT$654:AT666,AV$652)+1,AS667+IFERROR(VLOOKUP(VLOOKUP(AR667,$D$653:$AA$871,24,0),AR$654:AT$659,3,0)-VLOOKUP(VLOOKUP(AR667,$D$653:$AA$871,24,0),AR$654:AT$659,2,0)+1,0)))</f>
        <v>5</v>
      </c>
      <c r="AU667" s="758" t="str">
        <f t="shared" ca="1" si="134"/>
        <v>&gt; ARMAS DE ASEDIO</v>
      </c>
      <c r="AV667" s="758" t="str">
        <f t="shared" ca="1" si="135"/>
        <v/>
      </c>
      <c r="AX667" s="1141" t="str">
        <f t="shared" si="136"/>
        <v>Boleadoras</v>
      </c>
      <c r="AY667" s="2549"/>
      <c r="AZ667" s="774" t="str">
        <f t="shared" si="137"/>
        <v/>
      </c>
      <c r="BA667" s="76" t="str">
        <f t="shared" si="138"/>
        <v/>
      </c>
      <c r="BB667" s="76" t="str">
        <f t="shared" si="139"/>
        <v>Bracamarte</v>
      </c>
      <c r="BC667" s="1142">
        <f>IF(OR($L665=BC$652,$L665="",$D665=$BE$651),MAX(BC$654:BC666)+1,0)</f>
        <v>0</v>
      </c>
      <c r="BD667" s="1143">
        <f>IF(OR($L665=BD$652,$L665="",$D665=$BE$651),MAX(BD$654:BD666)+1,0)</f>
        <v>0</v>
      </c>
      <c r="BE667" s="1144">
        <f>IF(OR($L665=BE$652,$L665="",$D665=$BE$651),MAX(BE$654:BE666)+1,0)</f>
        <v>12</v>
      </c>
      <c r="BF667" s="2549"/>
      <c r="BG667" s="774" t="str">
        <f t="shared" si="140"/>
        <v/>
      </c>
      <c r="BH667" s="76" t="str">
        <f t="shared" si="141"/>
        <v/>
      </c>
      <c r="BI667" s="76" t="str">
        <f t="shared" si="142"/>
        <v>Bracamarte</v>
      </c>
      <c r="BJ667" s="1142">
        <f>IF(OR($L665=BJ$652,$L665="",$D665=$BL$651),MAX(BJ$654:BJ666)+1,0)</f>
        <v>0</v>
      </c>
      <c r="BK667" s="1143">
        <f>IF(OR($L665=BK$652,$L665="",$D665=$BL$651),MAX(BK$654:BK666)+1,0)</f>
        <v>0</v>
      </c>
      <c r="BL667" s="1144">
        <f>IF(OR($L665=BL$652,$L665="",$D665=$BL$651),MAX(BL$654:BL666)+1,0)</f>
        <v>12</v>
      </c>
      <c r="BM667" s="2549"/>
      <c r="BN667" s="774" t="str">
        <f t="shared" si="143"/>
        <v/>
      </c>
      <c r="BO667" s="76" t="str">
        <f t="shared" si="144"/>
        <v/>
      </c>
      <c r="BP667" s="76" t="str">
        <f t="shared" si="145"/>
        <v>Bracamarte</v>
      </c>
      <c r="BQ667" s="1142">
        <f>IF(OR($L665=BQ$652,$L665="",$D665=$BS$651),MAX(BQ$654:BQ666)+1,0)</f>
        <v>0</v>
      </c>
      <c r="BR667" s="1143">
        <f>IF(OR($L665=BR$652,$L665="",$D665=$BS$651),MAX(BR$654:BR666)+1,0)</f>
        <v>0</v>
      </c>
      <c r="BS667" s="1144">
        <f>IF(OR($L665=BS$652,$L665="",$D665=$BS$651),MAX(BS$654:BS666)+1,0)</f>
        <v>12</v>
      </c>
      <c r="BT667" s="2549"/>
      <c r="BU667" s="774" t="str">
        <f t="shared" si="146"/>
        <v/>
      </c>
      <c r="BV667" s="76" t="str">
        <f t="shared" si="147"/>
        <v/>
      </c>
      <c r="BW667" s="76" t="str">
        <f t="shared" si="148"/>
        <v>Bracamarte</v>
      </c>
      <c r="BX667" s="1142">
        <f>IF(OR($L665=BX$652,$L665="",$D665=$BZ$651),MAX(BX$654:BX666)+1,0)</f>
        <v>0</v>
      </c>
      <c r="BY667" s="1143">
        <f>IF(OR($L665=BY$652,$L665="",$D665=$BZ$651),MAX(BY$654:BY666)+1,0)</f>
        <v>0</v>
      </c>
      <c r="BZ667" s="1144">
        <f>IF(OR($L665=BZ$652,$L665="",$D665=$BZ$651),MAX(BZ$654:BZ666)+1,0)</f>
        <v>12</v>
      </c>
      <c r="CA667" s="2549"/>
      <c r="CB667" s="774" t="str">
        <f t="shared" si="149"/>
        <v/>
      </c>
      <c r="CC667" s="76" t="str">
        <f t="shared" si="150"/>
        <v/>
      </c>
      <c r="CD667" s="76" t="str">
        <f t="shared" si="151"/>
        <v>Bracamarte</v>
      </c>
      <c r="CE667" s="1142">
        <f>IF(OR($L665=CE$652,$L665="",$D665=$CG$651),MAX(CE$654:CE666)+1,0)</f>
        <v>0</v>
      </c>
      <c r="CF667" s="1143">
        <f>IF(OR($L665=CF$652,$L665="",$D665=$CG$651),MAX(CF$654:CF666)+1,0)</f>
        <v>0</v>
      </c>
      <c r="CG667" s="1144">
        <f>IF(OR($L665=CG$652,$L665="",$D665=$CG$651),MAX(CG$654:CG666)+1,0)</f>
        <v>12</v>
      </c>
      <c r="CI667" s="774" t="str">
        <f t="shared" si="152"/>
        <v/>
      </c>
      <c r="CJ667" s="76" t="str">
        <f t="shared" si="153"/>
        <v/>
      </c>
      <c r="CK667" s="76" t="str">
        <f t="shared" si="154"/>
        <v>Bracamarte</v>
      </c>
      <c r="CL667" s="1142">
        <f>IF(OR($L665=CL$652,$L665="",$D665=$CN$651),MAX(CL$654:CL666)+1,0)</f>
        <v>0</v>
      </c>
      <c r="CM667" s="1143">
        <f>IF(OR($L665=CM$652,$L665="",$D665=$CN$651),MAX(CM$654:CM666)+1,0)</f>
        <v>0</v>
      </c>
      <c r="CN667" s="1144">
        <f>IF(OR($L665=CN$652,$L665="",$D665=$CN$651),MAX(CN$654:CN666)+1,0)</f>
        <v>12</v>
      </c>
    </row>
    <row r="668" spans="1:92" ht="12.75" customHeight="1">
      <c r="A668" s="219">
        <v>659</v>
      </c>
      <c r="B668" s="7145"/>
      <c r="C668" s="1034"/>
      <c r="D668" s="3876" t="s">
        <v>1969</v>
      </c>
      <c r="E668" s="3877">
        <v>25</v>
      </c>
      <c r="F668" s="3878">
        <v>0</v>
      </c>
      <c r="G668" s="3878">
        <v>6</v>
      </c>
      <c r="H668" s="3878">
        <v>6</v>
      </c>
      <c r="I668" s="3878" t="s">
        <v>1357</v>
      </c>
      <c r="J668" s="3878" t="s">
        <v>1315</v>
      </c>
      <c r="K668" s="3879" t="s">
        <v>6834</v>
      </c>
      <c r="L668" s="3878" t="str">
        <f t="shared" ref="L668:L669" si="160">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3880">
        <v>13</v>
      </c>
      <c r="N668" s="3880">
        <v>2</v>
      </c>
      <c r="O668" s="3880">
        <v>15</v>
      </c>
      <c r="P668" s="3878"/>
      <c r="Q668" s="3878"/>
      <c r="R668" s="3878" t="s">
        <v>1315</v>
      </c>
      <c r="S668" s="3878" t="s">
        <v>1315</v>
      </c>
      <c r="T668" s="3878" t="s">
        <v>1315</v>
      </c>
      <c r="U668" s="3878"/>
      <c r="V668" s="3879" t="s">
        <v>12105</v>
      </c>
      <c r="W668" s="2433"/>
      <c r="X668" s="2434" t="str">
        <f t="shared" si="158"/>
        <v>Mediana</v>
      </c>
      <c r="Y668" s="2229">
        <f t="shared" si="157"/>
        <v>0</v>
      </c>
      <c r="Z668" s="1150" t="str">
        <f t="shared" si="155"/>
        <v/>
      </c>
      <c r="AA668" s="1751" t="s">
        <v>1960</v>
      </c>
      <c r="AC668" s="2573" t="s">
        <v>1960</v>
      </c>
      <c r="AD668" s="758">
        <f>IFERROR(IF(IF(AC668&lt;&gt;"",VLOOKUP(AC668,Tabla_ArmasyEscudos,9,0),"")="Conocida",MAX(AD$662:AD667)+1,0),0)</f>
        <v>0</v>
      </c>
      <c r="AE668" s="758">
        <f ca="1">IF(AC668="",0,IF(AD668=0,MAX(AE$654:AE667,AG$652)+1,AD668+IFERROR(VLOOKUP(VLOOKUP(AC668,$D$653:$AA$871,24,0),AC$654:AE$661,3,0)-VLOOKUP(VLOOKUP(AC668,$D$653:$AA$871,24,0),AC$654:AE$661,2,0)+1,0)))</f>
        <v>8</v>
      </c>
      <c r="AF668" s="758" t="str">
        <f t="shared" ca="1" si="128"/>
        <v>Bracamarte</v>
      </c>
      <c r="AG668" s="758" t="str">
        <f t="shared" ca="1" si="129"/>
        <v/>
      </c>
      <c r="AH668" s="929" t="s">
        <v>9912</v>
      </c>
      <c r="AI668" s="758">
        <f>IFERROR(IF(IF(AH668&lt;&gt;"",VLOOKUP(AH668,Tabla_ArmasyEscudos,9,0),"")="Conocida",MAX(AI$660:AI667)+1,0),0)</f>
        <v>0</v>
      </c>
      <c r="AJ668" s="758">
        <f ca="1">IF(AH668="",0,IF(AI668=0,MAX(AJ$654:AJ667,AL$652)+1,AI668+IFERROR(VLOOKUP(VLOOKUP(AH668,$D$653:$AA$871,24,0),AH$654:AJ$659,3,0)-VLOOKUP(VLOOKUP(AH668,$D$653:$AA$871,24,0),AH$654:AJ$659,2,0)+1,0)))</f>
        <v>10</v>
      </c>
      <c r="AK668" s="758" t="str">
        <f t="shared" ca="1" si="130"/>
        <v>Espada a dos manos</v>
      </c>
      <c r="AL668" s="758" t="str">
        <f t="shared" ca="1" si="131"/>
        <v/>
      </c>
      <c r="AM668" s="929" t="s">
        <v>6564</v>
      </c>
      <c r="AN668" s="758">
        <f>IFERROR(IF(IF(AM668&lt;&gt;"",VLOOKUP(AM668,Tabla_ArmasyEscudos,9,0),"")="Conocida",MAX(AN$660:AN667)+1,0),0)</f>
        <v>0</v>
      </c>
      <c r="AO668" s="758">
        <f ca="1">IF(AM668="",0,IF(AN668=0,MAX(AO$654:AO667,AQ$652)+1,AN668+IFERROR(VLOOKUP(VLOOKUP(AM668,$D$653:$AA$871,24,0),AM$654:AO$659,3,0)-VLOOKUP(VLOOKUP(AM668,$D$653:$AA$871,24,0),AM$654:AO$659,2,0)+1,0)))</f>
        <v>6</v>
      </c>
      <c r="AP668" s="758" t="str">
        <f t="shared" ca="1" si="132"/>
        <v>Leo (Espada-Pistola) P.</v>
      </c>
      <c r="AQ668" s="758" t="str">
        <f t="shared" ca="1" si="133"/>
        <v/>
      </c>
      <c r="AR668" s="929" t="s">
        <v>6560</v>
      </c>
      <c r="AS668" s="758">
        <f>IFERROR(IF(IF(AR668&lt;&gt;"",VLOOKUP(AR668,Tabla_ArmasyEscudos,9,0),"")="Conocida",MAX(AS$660:AS667)+1,0),0)</f>
        <v>0</v>
      </c>
      <c r="AT668" s="758">
        <f ca="1">IF(AR668="",0,IF(AS668=0,MAX(AT$654:AT667,AV$652)+1,AS668+IFERROR(VLOOKUP(VLOOKUP(AR668,$D$653:$AA$871,24,0),AR$654:AT$659,3,0)-VLOOKUP(VLOOKUP(AR668,$D$653:$AA$871,24,0),AR$654:AT$659,2,0)+1,0)))</f>
        <v>6</v>
      </c>
      <c r="AU668" s="758" t="str">
        <f t="shared" ca="1" si="134"/>
        <v>Balista ligera</v>
      </c>
      <c r="AV668" s="758" t="str">
        <f t="shared" ca="1" si="135"/>
        <v/>
      </c>
      <c r="AX668" s="1141" t="str">
        <f t="shared" si="136"/>
        <v>Bracamarte</v>
      </c>
      <c r="AY668" s="2549"/>
      <c r="AZ668" s="774" t="str">
        <f t="shared" si="137"/>
        <v/>
      </c>
      <c r="BA668" s="76" t="str">
        <f t="shared" si="138"/>
        <v/>
      </c>
      <c r="BB668" s="76" t="str">
        <f t="shared" si="139"/>
        <v>Brandistock</v>
      </c>
      <c r="BC668" s="1142">
        <f>IF(OR($L666=BC$652,$L666="",$D666=$BE$651),MAX(BC$654:BC667)+1,0)</f>
        <v>0</v>
      </c>
      <c r="BD668" s="1143">
        <f>IF(OR($L666=BD$652,$L666="",$D666=$BE$651),MAX(BD$654:BD667)+1,0)</f>
        <v>0</v>
      </c>
      <c r="BE668" s="1144">
        <f>IF(OR($L666=BE$652,$L666="",$D666=$BE$651),MAX(BE$654:BE667)+1,0)</f>
        <v>13</v>
      </c>
      <c r="BF668" s="2549"/>
      <c r="BG668" s="774" t="str">
        <f t="shared" si="140"/>
        <v/>
      </c>
      <c r="BH668" s="76" t="str">
        <f t="shared" si="141"/>
        <v/>
      </c>
      <c r="BI668" s="76" t="str">
        <f t="shared" si="142"/>
        <v>Brandistock</v>
      </c>
      <c r="BJ668" s="1142">
        <f>IF(OR($L666=BJ$652,$L666="",$D666=$BL$651),MAX(BJ$654:BJ667)+1,0)</f>
        <v>0</v>
      </c>
      <c r="BK668" s="1143">
        <f>IF(OR($L666=BK$652,$L666="",$D666=$BL$651),MAX(BK$654:BK667)+1,0)</f>
        <v>0</v>
      </c>
      <c r="BL668" s="1144">
        <f>IF(OR($L666=BL$652,$L666="",$D666=$BL$651),MAX(BL$654:BL667)+1,0)</f>
        <v>13</v>
      </c>
      <c r="BM668" s="2549"/>
      <c r="BN668" s="774" t="str">
        <f t="shared" si="143"/>
        <v/>
      </c>
      <c r="BO668" s="76" t="str">
        <f t="shared" si="144"/>
        <v/>
      </c>
      <c r="BP668" s="76" t="str">
        <f t="shared" si="145"/>
        <v>Brandistock</v>
      </c>
      <c r="BQ668" s="1142">
        <f>IF(OR($L666=BQ$652,$L666="",$D666=$BS$651),MAX(BQ$654:BQ667)+1,0)</f>
        <v>0</v>
      </c>
      <c r="BR668" s="1143">
        <f>IF(OR($L666=BR$652,$L666="",$D666=$BS$651),MAX(BR$654:BR667)+1,0)</f>
        <v>0</v>
      </c>
      <c r="BS668" s="1144">
        <f>IF(OR($L666=BS$652,$L666="",$D666=$BS$651),MAX(BS$654:BS667)+1,0)</f>
        <v>13</v>
      </c>
      <c r="BT668" s="2549"/>
      <c r="BU668" s="774" t="str">
        <f t="shared" si="146"/>
        <v/>
      </c>
      <c r="BV668" s="76" t="str">
        <f t="shared" si="147"/>
        <v/>
      </c>
      <c r="BW668" s="76" t="str">
        <f t="shared" si="148"/>
        <v>Brandistock</v>
      </c>
      <c r="BX668" s="1142">
        <f>IF(OR($L666=BX$652,$L666="",$D666=$BZ$651),MAX(BX$654:BX667)+1,0)</f>
        <v>0</v>
      </c>
      <c r="BY668" s="1143">
        <f>IF(OR($L666=BY$652,$L666="",$D666=$BZ$651),MAX(BY$654:BY667)+1,0)</f>
        <v>0</v>
      </c>
      <c r="BZ668" s="1144">
        <f>IF(OR($L666=BZ$652,$L666="",$D666=$BZ$651),MAX(BZ$654:BZ667)+1,0)</f>
        <v>13</v>
      </c>
      <c r="CA668" s="2549"/>
      <c r="CB668" s="774" t="str">
        <f t="shared" si="149"/>
        <v/>
      </c>
      <c r="CC668" s="76" t="str">
        <f t="shared" si="150"/>
        <v/>
      </c>
      <c r="CD668" s="76" t="str">
        <f t="shared" si="151"/>
        <v>Brandistock</v>
      </c>
      <c r="CE668" s="1142">
        <f>IF(OR($L666=CE$652,$L666="",$D666=$CG$651),MAX(CE$654:CE667)+1,0)</f>
        <v>0</v>
      </c>
      <c r="CF668" s="1143">
        <f>IF(OR($L666=CF$652,$L666="",$D666=$CG$651),MAX(CF$654:CF667)+1,0)</f>
        <v>0</v>
      </c>
      <c r="CG668" s="1144">
        <f>IF(OR($L666=CG$652,$L666="",$D666=$CG$651),MAX(CG$654:CG667)+1,0)</f>
        <v>13</v>
      </c>
      <c r="CI668" s="774" t="str">
        <f t="shared" si="152"/>
        <v/>
      </c>
      <c r="CJ668" s="76" t="str">
        <f t="shared" si="153"/>
        <v/>
      </c>
      <c r="CK668" s="76" t="str">
        <f t="shared" si="154"/>
        <v>Brandistock</v>
      </c>
      <c r="CL668" s="1142">
        <f>IF(OR($L666=CL$652,$L666="",$D666=$CN$651),MAX(CL$654:CL667)+1,0)</f>
        <v>0</v>
      </c>
      <c r="CM668" s="1143">
        <f>IF(OR($L666=CM$652,$L666="",$D666=$CN$651),MAX(CM$654:CM667)+1,0)</f>
        <v>0</v>
      </c>
      <c r="CN668" s="1144">
        <f>IF(OR($L666=CN$652,$L666="",$D666=$CN$651),MAX(CN$654:CN667)+1,0)</f>
        <v>13</v>
      </c>
    </row>
    <row r="669" spans="1:92" ht="12.75" customHeight="1">
      <c r="A669" s="219">
        <v>660</v>
      </c>
      <c r="B669" s="7145"/>
      <c r="C669" s="1034"/>
      <c r="D669" s="3876" t="s">
        <v>1971</v>
      </c>
      <c r="E669" s="3877">
        <v>25</v>
      </c>
      <c r="F669" s="3878">
        <v>10</v>
      </c>
      <c r="G669" s="3878">
        <v>3</v>
      </c>
      <c r="H669" s="3878">
        <v>3</v>
      </c>
      <c r="I669" s="3878" t="s">
        <v>1411</v>
      </c>
      <c r="J669" s="3878" t="s">
        <v>1410</v>
      </c>
      <c r="K669" s="3879" t="s">
        <v>6835</v>
      </c>
      <c r="L669" s="3878" t="str">
        <f t="shared" si="160"/>
        <v>Distinta</v>
      </c>
      <c r="M669" s="3880">
        <v>11</v>
      </c>
      <c r="N669" s="3880">
        <v>-2</v>
      </c>
      <c r="O669" s="3880">
        <v>15</v>
      </c>
      <c r="P669" s="3878"/>
      <c r="Q669" s="3878"/>
      <c r="R669" s="3878" t="s">
        <v>1315</v>
      </c>
      <c r="S669" s="3878" t="s">
        <v>1315</v>
      </c>
      <c r="T669" s="3878" t="s">
        <v>1315</v>
      </c>
      <c r="U669" s="3878"/>
      <c r="V669" s="3879" t="s">
        <v>12106</v>
      </c>
      <c r="W669" s="2433"/>
      <c r="X669" s="2434" t="str">
        <f t="shared" si="158"/>
        <v>Pequeña</v>
      </c>
      <c r="Y669" s="2229">
        <f t="shared" si="157"/>
        <v>0</v>
      </c>
      <c r="Z669" s="1150" t="str">
        <f t="shared" si="155"/>
        <v/>
      </c>
      <c r="AA669" s="1751" t="s">
        <v>1960</v>
      </c>
      <c r="AC669" s="929" t="s">
        <v>1961</v>
      </c>
      <c r="AD669" s="758">
        <f>IFERROR(IF(IF(AC669&lt;&gt;"",VLOOKUP(AC669,Tabla_ArmasyEscudos,9,0),"")="Conocida",MAX(AD$662:AD668)+1,0),0)</f>
        <v>0</v>
      </c>
      <c r="AE669" s="758">
        <f ca="1">IF(AC669="",0,IF(AD669=0,MAX(AE$654:AE668,AG$652)+1,AD669+IFERROR(VLOOKUP(VLOOKUP(AC669,$D$653:$AA$871,24,0),AC$654:AE$661,3,0)-VLOOKUP(VLOOKUP(AC669,$D$653:$AA$871,24,0),AC$654:AE$661,2,0)+1,0)))</f>
        <v>9</v>
      </c>
      <c r="AF669" s="758" t="str">
        <f t="shared" ca="1" si="128"/>
        <v>Cadena</v>
      </c>
      <c r="AG669" s="758" t="str">
        <f t="shared" ca="1" si="129"/>
        <v/>
      </c>
      <c r="AH669" s="929" t="s">
        <v>6559</v>
      </c>
      <c r="AI669" s="758">
        <f>IFERROR(IF(IF(AH669&lt;&gt;"",VLOOKUP(AH669,Tabla_ArmasyEscudos,9,0),"")="Conocida",MAX(AI$660:AI668)+1,0),0)</f>
        <v>0</v>
      </c>
      <c r="AJ669" s="758">
        <f ca="1">IF(AH669="",0,IF(AI669=0,MAX(AJ$654:AJ668,AL$652)+1,AI669+IFERROR(VLOOKUP(VLOOKUP(AH669,$D$653:$AA$871,24,0),AH$654:AJ$659,3,0)-VLOOKUP(VLOOKUP(AH669,$D$653:$AA$871,24,0),AH$654:AJ$659,2,0)+1,0)))</f>
        <v>11</v>
      </c>
      <c r="AK669" s="758" t="str">
        <f t="shared" ca="1" si="130"/>
        <v>Espada bastarda</v>
      </c>
      <c r="AL669" s="758" t="str">
        <f t="shared" ca="1" si="131"/>
        <v/>
      </c>
      <c r="AM669" s="2568" t="s">
        <v>2045</v>
      </c>
      <c r="AN669" s="758">
        <f>IFERROR(IF(IF(AM669&lt;&gt;"",VLOOKUP(AM669,Tabla_ArmasyEscudos,9,0),"")="Conocida",MAX(AN$660:AN668)+1,0),0)</f>
        <v>0</v>
      </c>
      <c r="AO669" s="758">
        <f ca="1">IF(AM669="",0,IF(AN669=0,MAX(AO$654:AO668,AQ$652)+1,AN669+IFERROR(VLOOKUP(VLOOKUP(AM669,$D$653:$AA$871,24,0),AM$654:AO$659,3,0)-VLOOKUP(VLOOKUP(AM669,$D$653:$AA$871,24,0),AM$654:AO$659,2,0)+1,0)))</f>
        <v>7</v>
      </c>
      <c r="AP669" s="758" t="str">
        <f t="shared" ca="1" si="132"/>
        <v>Leo (Lanza-Rifle) R.</v>
      </c>
      <c r="AQ669" s="758" t="str">
        <f t="shared" ca="1" si="133"/>
        <v/>
      </c>
      <c r="AR669" s="929" t="s">
        <v>2044</v>
      </c>
      <c r="AS669" s="758">
        <f>IFERROR(IF(IF(AR669&lt;&gt;"",VLOOKUP(AR669,Tabla_ArmasyEscudos,9,0),"")="Conocida",MAX(AS$660:AS668)+1,0),0)</f>
        <v>0</v>
      </c>
      <c r="AT669" s="758">
        <f ca="1">IF(AR669="",0,IF(AS669=0,MAX(AT$654:AT668,AV$652)+1,AS669+IFERROR(VLOOKUP(VLOOKUP(AR669,$D$653:$AA$871,24,0),AR$654:AT$659,3,0)-VLOOKUP(VLOOKUP(AR669,$D$653:$AA$871,24,0),AR$654:AT$659,2,0)+1,0)))</f>
        <v>7</v>
      </c>
      <c r="AU669" s="758" t="str">
        <f t="shared" ca="1" si="134"/>
        <v>Balista pesada</v>
      </c>
      <c r="AV669" s="758" t="str">
        <f t="shared" ca="1" si="135"/>
        <v/>
      </c>
      <c r="AX669" s="1141" t="str">
        <f t="shared" si="136"/>
        <v>Brandistock</v>
      </c>
      <c r="AY669" s="2549"/>
      <c r="AZ669" s="774" t="str">
        <f t="shared" si="137"/>
        <v/>
      </c>
      <c r="BA669" s="76" t="str">
        <f t="shared" si="138"/>
        <v/>
      </c>
      <c r="BB669" s="76" t="str">
        <f t="shared" si="139"/>
        <v>Cadena</v>
      </c>
      <c r="BC669" s="1142">
        <f>IF(OR($L667=BC$652,$L667="",$D667=$BE$651),MAX(BC$654:BC668)+1,0)</f>
        <v>0</v>
      </c>
      <c r="BD669" s="1143">
        <f>IF(OR($L667=BD$652,$L667="",$D667=$BE$651),MAX(BD$654:BD668)+1,0)</f>
        <v>0</v>
      </c>
      <c r="BE669" s="1144">
        <f>IF(OR($L667=BE$652,$L667="",$D667=$BE$651),MAX(BE$654:BE668)+1,0)</f>
        <v>14</v>
      </c>
      <c r="BF669" s="2549"/>
      <c r="BG669" s="774" t="str">
        <f t="shared" si="140"/>
        <v/>
      </c>
      <c r="BH669" s="76" t="str">
        <f t="shared" si="141"/>
        <v/>
      </c>
      <c r="BI669" s="76" t="str">
        <f t="shared" si="142"/>
        <v>Cadena</v>
      </c>
      <c r="BJ669" s="1142">
        <f>IF(OR($L667=BJ$652,$L667="",$D667=$BL$651),MAX(BJ$654:BJ668)+1,0)</f>
        <v>0</v>
      </c>
      <c r="BK669" s="1143">
        <f>IF(OR($L667=BK$652,$L667="",$D667=$BL$651),MAX(BK$654:BK668)+1,0)</f>
        <v>0</v>
      </c>
      <c r="BL669" s="1144">
        <f>IF(OR($L667=BL$652,$L667="",$D667=$BL$651),MAX(BL$654:BL668)+1,0)</f>
        <v>14</v>
      </c>
      <c r="BM669" s="2549"/>
      <c r="BN669" s="774" t="str">
        <f t="shared" si="143"/>
        <v/>
      </c>
      <c r="BO669" s="76" t="str">
        <f t="shared" si="144"/>
        <v/>
      </c>
      <c r="BP669" s="76" t="str">
        <f t="shared" si="145"/>
        <v>Cadena</v>
      </c>
      <c r="BQ669" s="1142">
        <f>IF(OR($L667=BQ$652,$L667="",$D667=$BS$651),MAX(BQ$654:BQ668)+1,0)</f>
        <v>0</v>
      </c>
      <c r="BR669" s="1143">
        <f>IF(OR($L667=BR$652,$L667="",$D667=$BS$651),MAX(BR$654:BR668)+1,0)</f>
        <v>0</v>
      </c>
      <c r="BS669" s="1144">
        <f>IF(OR($L667=BS$652,$L667="",$D667=$BS$651),MAX(BS$654:BS668)+1,0)</f>
        <v>14</v>
      </c>
      <c r="BT669" s="2549"/>
      <c r="BU669" s="774" t="str">
        <f t="shared" si="146"/>
        <v/>
      </c>
      <c r="BV669" s="76" t="str">
        <f t="shared" si="147"/>
        <v/>
      </c>
      <c r="BW669" s="76" t="str">
        <f t="shared" si="148"/>
        <v>Cadena</v>
      </c>
      <c r="BX669" s="1142">
        <f>IF(OR($L667=BX$652,$L667="",$D667=$BZ$651),MAX(BX$654:BX668)+1,0)</f>
        <v>0</v>
      </c>
      <c r="BY669" s="1143">
        <f>IF(OR($L667=BY$652,$L667="",$D667=$BZ$651),MAX(BY$654:BY668)+1,0)</f>
        <v>0</v>
      </c>
      <c r="BZ669" s="1144">
        <f>IF(OR($L667=BZ$652,$L667="",$D667=$BZ$651),MAX(BZ$654:BZ668)+1,0)</f>
        <v>14</v>
      </c>
      <c r="CA669" s="2549"/>
      <c r="CB669" s="774" t="str">
        <f t="shared" si="149"/>
        <v/>
      </c>
      <c r="CC669" s="76" t="str">
        <f t="shared" si="150"/>
        <v/>
      </c>
      <c r="CD669" s="76" t="str">
        <f t="shared" si="151"/>
        <v>Cadena</v>
      </c>
      <c r="CE669" s="1142">
        <f>IF(OR($L667=CE$652,$L667="",$D667=$CG$651),MAX(CE$654:CE668)+1,0)</f>
        <v>0</v>
      </c>
      <c r="CF669" s="1143">
        <f>IF(OR($L667=CF$652,$L667="",$D667=$CG$651),MAX(CF$654:CF668)+1,0)</f>
        <v>0</v>
      </c>
      <c r="CG669" s="1144">
        <f>IF(OR($L667=CG$652,$L667="",$D667=$CG$651),MAX(CG$654:CG668)+1,0)</f>
        <v>14</v>
      </c>
      <c r="CI669" s="774" t="str">
        <f t="shared" si="152"/>
        <v/>
      </c>
      <c r="CJ669" s="76" t="str">
        <f t="shared" si="153"/>
        <v/>
      </c>
      <c r="CK669" s="76" t="str">
        <f t="shared" si="154"/>
        <v>Cadena</v>
      </c>
      <c r="CL669" s="1142">
        <f>IF(OR($L667=CL$652,$L667="",$D667=$CN$651),MAX(CL$654:CL668)+1,0)</f>
        <v>0</v>
      </c>
      <c r="CM669" s="1143">
        <f>IF(OR($L667=CM$652,$L667="",$D667=$CN$651),MAX(CM$654:CM668)+1,0)</f>
        <v>0</v>
      </c>
      <c r="CN669" s="1144">
        <f>IF(OR($L667=CN$652,$L667="",$D667=$CN$651),MAX(CN$654:CN668)+1,0)</f>
        <v>14</v>
      </c>
    </row>
    <row r="670" spans="1:92" ht="12.75" customHeight="1">
      <c r="A670" s="219">
        <v>661</v>
      </c>
      <c r="B670" s="7145"/>
      <c r="C670" s="1034"/>
      <c r="D670" s="2237" t="s">
        <v>6565</v>
      </c>
      <c r="E670" s="2239">
        <v>40</v>
      </c>
      <c r="F670" s="2236">
        <v>5</v>
      </c>
      <c r="G670" s="2236">
        <v>6</v>
      </c>
      <c r="H670" s="2236">
        <v>6</v>
      </c>
      <c r="I670" s="2236" t="s">
        <v>1357</v>
      </c>
      <c r="J670" s="2236" t="s">
        <v>1315</v>
      </c>
      <c r="K670" s="2433" t="s">
        <v>6836</v>
      </c>
      <c r="L670" s="2236" t="str">
        <f t="shared" si="156"/>
        <v>Distinta</v>
      </c>
      <c r="M670" s="2240">
        <v>13</v>
      </c>
      <c r="N670" s="2240">
        <v>3</v>
      </c>
      <c r="O670" s="2240">
        <v>15</v>
      </c>
      <c r="P670" s="2236"/>
      <c r="Q670" s="2236"/>
      <c r="R670" s="2236" t="s">
        <v>1315</v>
      </c>
      <c r="S670" s="2236" t="s">
        <v>1315</v>
      </c>
      <c r="T670" s="2236" t="s">
        <v>1315</v>
      </c>
      <c r="U670" s="2236"/>
      <c r="V670" s="2433" t="s">
        <v>1315</v>
      </c>
      <c r="W670" s="2433"/>
      <c r="X670" s="2434" t="str">
        <f t="shared" si="158"/>
        <v>Mediana</v>
      </c>
      <c r="Y670" s="2229">
        <f t="shared" si="157"/>
        <v>0</v>
      </c>
      <c r="Z670" s="1150" t="str">
        <f t="shared" si="155"/>
        <v/>
      </c>
      <c r="AA670" s="1751" t="s">
        <v>1960</v>
      </c>
      <c r="AC670" s="929" t="s">
        <v>1964</v>
      </c>
      <c r="AD670" s="758">
        <f>IFERROR(IF(IF(AC670&lt;&gt;"",VLOOKUP(AC670,Tabla_ArmasyEscudos,9,0),"")="Conocida",MAX(AD$662:AD669)+1,0),0)</f>
        <v>0</v>
      </c>
      <c r="AE670" s="758">
        <f ca="1">IF(AC670="",0,IF(AD670=0,MAX(AE$654:AE669,AG$652)+1,AD670+IFERROR(VLOOKUP(VLOOKUP(AC670,$D$653:$AA$871,24,0),AC$654:AE$661,3,0)-VLOOKUP(VLOOKUP(AC670,$D$653:$AA$871,24,0),AC$654:AE$661,2,0)+1,0)))</f>
        <v>10</v>
      </c>
      <c r="AF670" s="758" t="str">
        <f t="shared" ca="1" si="128"/>
        <v>Cestus</v>
      </c>
      <c r="AG670" s="758" t="str">
        <f t="shared" ca="1" si="129"/>
        <v/>
      </c>
      <c r="AH670" s="929" t="s">
        <v>6561</v>
      </c>
      <c r="AI670" s="758">
        <f>IFERROR(IF(IF(AH670&lt;&gt;"",VLOOKUP(AH670,Tabla_ArmasyEscudos,9,0),"")="Conocida",MAX(AI$660:AI669)+1,0),0)</f>
        <v>0</v>
      </c>
      <c r="AJ670" s="758">
        <f ca="1">IF(AH670="",0,IF(AI670=0,MAX(AJ$654:AJ669,AL$652)+1,AI670+IFERROR(VLOOKUP(VLOOKUP(AH670,$D$653:$AA$871,24,0),AH$654:AJ$659,3,0)-VLOOKUP(VLOOKUP(AH670,$D$653:$AA$871,24,0),AH$654:AJ$659,2,0)+1,0)))</f>
        <v>12</v>
      </c>
      <c r="AK670" s="758" t="str">
        <f t="shared" ca="1" si="130"/>
        <v>Glavius</v>
      </c>
      <c r="AL670" s="758" t="str">
        <f t="shared" ca="1" si="131"/>
        <v/>
      </c>
      <c r="AM670" s="2568" t="s">
        <v>2047</v>
      </c>
      <c r="AN670" s="758">
        <f>IFERROR(IF(IF(AM670&lt;&gt;"",VLOOKUP(AM670,Tabla_ArmasyEscudos,9,0),"")="Conocida",MAX(AN$660:AN669)+1,0),0)</f>
        <v>0</v>
      </c>
      <c r="AO670" s="758">
        <f ca="1">IF(AM670="",0,IF(AN670=0,MAX(AO$654:AO669,AQ$652)+1,AN670+IFERROR(VLOOKUP(VLOOKUP(AM670,$D$653:$AA$871,24,0),AM$654:AO$659,3,0)-VLOOKUP(VLOOKUP(AM670,$D$653:$AA$871,24,0),AM$654:AO$659,2,0)+1,0)))</f>
        <v>8</v>
      </c>
      <c r="AP670" s="758" t="str">
        <f t="shared" ca="1" si="132"/>
        <v/>
      </c>
      <c r="AQ670" s="758" t="str">
        <f t="shared" ca="1" si="133"/>
        <v/>
      </c>
      <c r="AR670" s="2568" t="s">
        <v>2045</v>
      </c>
      <c r="AS670" s="758">
        <f>IFERROR(IF(IF(AR670&lt;&gt;"",VLOOKUP(AR670,Tabla_ArmasyEscudos,9,0),"")="Conocida",MAX(AS$660:AS669)+1,0),0)</f>
        <v>0</v>
      </c>
      <c r="AT670" s="758">
        <f ca="1">IF(AR670="",0,IF(AS670=0,MAX(AT$654:AT669,AV$652)+1,AS670+IFERROR(VLOOKUP(VLOOKUP(AR670,$D$653:$AA$871,24,0),AR$654:AT$659,3,0)-VLOOKUP(VLOOKUP(AR670,$D$653:$AA$871,24,0),AR$654:AT$659,2,0)+1,0)))</f>
        <v>8</v>
      </c>
      <c r="AU670" s="758" t="str">
        <f t="shared" ca="1" si="134"/>
        <v>Cañón</v>
      </c>
      <c r="AV670" s="758" t="str">
        <f t="shared" ca="1" si="135"/>
        <v/>
      </c>
      <c r="AX670" s="1141" t="str">
        <f t="shared" si="136"/>
        <v>Cadena</v>
      </c>
      <c r="AY670" s="2549"/>
      <c r="AZ670" s="774" t="str">
        <f t="shared" si="137"/>
        <v/>
      </c>
      <c r="BA670" s="76" t="str">
        <f t="shared" si="138"/>
        <v/>
      </c>
      <c r="BB670" s="76" t="str">
        <f t="shared" si="139"/>
        <v>Cestus</v>
      </c>
      <c r="BC670" s="1142">
        <f>IF(OR($L668=BC$652,$L668="",$D668=$BE$651),MAX(BC$654:BC669)+1,0)</f>
        <v>0</v>
      </c>
      <c r="BD670" s="1143">
        <f>IF(OR($L668=BD$652,$L668="",$D668=$BE$651),MAX(BD$654:BD669)+1,0)</f>
        <v>0</v>
      </c>
      <c r="BE670" s="1144">
        <f>IF(OR($L668=BE$652,$L668="",$D668=$BE$651),MAX(BE$654:BE669)+1,0)</f>
        <v>15</v>
      </c>
      <c r="BF670" s="2549"/>
      <c r="BG670" s="774" t="str">
        <f t="shared" si="140"/>
        <v/>
      </c>
      <c r="BH670" s="76" t="str">
        <f t="shared" si="141"/>
        <v/>
      </c>
      <c r="BI670" s="76" t="str">
        <f t="shared" si="142"/>
        <v>Cestus</v>
      </c>
      <c r="BJ670" s="1142">
        <f>IF(OR($L668=BJ$652,$L668="",$D668=$BL$651),MAX(BJ$654:BJ669)+1,0)</f>
        <v>0</v>
      </c>
      <c r="BK670" s="1143">
        <f>IF(OR($L668=BK$652,$L668="",$D668=$BL$651),MAX(BK$654:BK669)+1,0)</f>
        <v>0</v>
      </c>
      <c r="BL670" s="1144">
        <f>IF(OR($L668=BL$652,$L668="",$D668=$BL$651),MAX(BL$654:BL669)+1,0)</f>
        <v>15</v>
      </c>
      <c r="BM670" s="2549"/>
      <c r="BN670" s="774" t="str">
        <f t="shared" si="143"/>
        <v/>
      </c>
      <c r="BO670" s="76" t="str">
        <f t="shared" si="144"/>
        <v/>
      </c>
      <c r="BP670" s="76" t="str">
        <f t="shared" si="145"/>
        <v>Cestus</v>
      </c>
      <c r="BQ670" s="1142">
        <f>IF(OR($L668=BQ$652,$L668="",$D668=$BS$651),MAX(BQ$654:BQ669)+1,0)</f>
        <v>0</v>
      </c>
      <c r="BR670" s="1143">
        <f>IF(OR($L668=BR$652,$L668="",$D668=$BS$651),MAX(BR$654:BR669)+1,0)</f>
        <v>0</v>
      </c>
      <c r="BS670" s="1144">
        <f>IF(OR($L668=BS$652,$L668="",$D668=$BS$651),MAX(BS$654:BS669)+1,0)</f>
        <v>15</v>
      </c>
      <c r="BT670" s="2549"/>
      <c r="BU670" s="774" t="str">
        <f t="shared" si="146"/>
        <v/>
      </c>
      <c r="BV670" s="76" t="str">
        <f t="shared" si="147"/>
        <v/>
      </c>
      <c r="BW670" s="76" t="str">
        <f t="shared" si="148"/>
        <v>Cestus</v>
      </c>
      <c r="BX670" s="1142">
        <f>IF(OR($L668=BX$652,$L668="",$D668=$BZ$651),MAX(BX$654:BX669)+1,0)</f>
        <v>0</v>
      </c>
      <c r="BY670" s="1143">
        <f>IF(OR($L668=BY$652,$L668="",$D668=$BZ$651),MAX(BY$654:BY669)+1,0)</f>
        <v>0</v>
      </c>
      <c r="BZ670" s="1144">
        <f>IF(OR($L668=BZ$652,$L668="",$D668=$BZ$651),MAX(BZ$654:BZ669)+1,0)</f>
        <v>15</v>
      </c>
      <c r="CA670" s="2549"/>
      <c r="CB670" s="774" t="str">
        <f t="shared" si="149"/>
        <v/>
      </c>
      <c r="CC670" s="76" t="str">
        <f t="shared" si="150"/>
        <v/>
      </c>
      <c r="CD670" s="76" t="str">
        <f t="shared" si="151"/>
        <v>Cestus</v>
      </c>
      <c r="CE670" s="1142">
        <f>IF(OR($L668=CE$652,$L668="",$D668=$CG$651),MAX(CE$654:CE669)+1,0)</f>
        <v>0</v>
      </c>
      <c r="CF670" s="1143">
        <f>IF(OR($L668=CF$652,$L668="",$D668=$CG$651),MAX(CF$654:CF669)+1,0)</f>
        <v>0</v>
      </c>
      <c r="CG670" s="1144">
        <f>IF(OR($L668=CG$652,$L668="",$D668=$CG$651),MAX(CG$654:CG669)+1,0)</f>
        <v>15</v>
      </c>
      <c r="CI670" s="774" t="str">
        <f t="shared" si="152"/>
        <v/>
      </c>
      <c r="CJ670" s="76" t="str">
        <f t="shared" si="153"/>
        <v/>
      </c>
      <c r="CK670" s="76" t="str">
        <f t="shared" si="154"/>
        <v>Cestus</v>
      </c>
      <c r="CL670" s="1142">
        <f>IF(OR($L668=CL$652,$L668="",$D668=$CN$651),MAX(CL$654:CL669)+1,0)</f>
        <v>0</v>
      </c>
      <c r="CM670" s="1143">
        <f>IF(OR($L668=CM$652,$L668="",$D668=$CN$651),MAX(CM$654:CM669)+1,0)</f>
        <v>0</v>
      </c>
      <c r="CN670" s="1144">
        <f>IF(OR($L668=CN$652,$L668="",$D668=$CN$651),MAX(CN$654:CN669)+1,0)</f>
        <v>15</v>
      </c>
    </row>
    <row r="671" spans="1:92" ht="12.75" customHeight="1">
      <c r="A671" s="219">
        <v>662</v>
      </c>
      <c r="B671" s="7145"/>
      <c r="C671" s="1034"/>
      <c r="D671" s="2237" t="s">
        <v>1973</v>
      </c>
      <c r="E671" s="2239">
        <v>50</v>
      </c>
      <c r="F671" s="2236">
        <v>-5</v>
      </c>
      <c r="G671" s="2236">
        <v>5</v>
      </c>
      <c r="H671" s="2236">
        <v>5</v>
      </c>
      <c r="I671" s="2236" t="s">
        <v>1410</v>
      </c>
      <c r="J671" s="2236" t="s">
        <v>1315</v>
      </c>
      <c r="K671" s="2433" t="s">
        <v>6833</v>
      </c>
      <c r="L671" s="2236" t="str">
        <f t="shared" si="156"/>
        <v>Distinta</v>
      </c>
      <c r="M671" s="2240">
        <v>13</v>
      </c>
      <c r="N671" s="2240">
        <v>4</v>
      </c>
      <c r="O671" s="2240">
        <v>20</v>
      </c>
      <c r="P671" s="2236"/>
      <c r="Q671" s="2236"/>
      <c r="R671" s="2236" t="s">
        <v>1315</v>
      </c>
      <c r="S671" s="2236" t="s">
        <v>1315</v>
      </c>
      <c r="T671" s="2236" t="s">
        <v>1315</v>
      </c>
      <c r="U671" s="2236"/>
      <c r="V671" s="2433" t="s">
        <v>1315</v>
      </c>
      <c r="W671" s="2433"/>
      <c r="X671" s="2434" t="str">
        <f t="shared" si="158"/>
        <v>Mediana</v>
      </c>
      <c r="Y671" s="2229">
        <f t="shared" si="157"/>
        <v>0</v>
      </c>
      <c r="Z671" s="1150" t="str">
        <f t="shared" si="155"/>
        <v/>
      </c>
      <c r="AA671" s="1751" t="s">
        <v>1960</v>
      </c>
      <c r="AC671" s="929" t="s">
        <v>6558</v>
      </c>
      <c r="AD671" s="758">
        <f>IFERROR(IF(IF(AC671&lt;&gt;"",VLOOKUP(AC671,Tabla_ArmasyEscudos,9,0),"")="Conocida",MAX(AD$662:AD670)+1,0),0)</f>
        <v>0</v>
      </c>
      <c r="AE671" s="758">
        <f ca="1">IF(AC671="",0,IF(AD671=0,MAX(AE$654:AE670,AG$652)+1,AD671+IFERROR(VLOOKUP(VLOOKUP(AC671,$D$653:$AA$871,24,0),AC$654:AE$661,3,0)-VLOOKUP(VLOOKUP(AC671,$D$653:$AA$871,24,0),AC$654:AE$661,2,0)+1,0)))</f>
        <v>11</v>
      </c>
      <c r="AF671" s="758" t="str">
        <f t="shared" ca="1" si="128"/>
        <v>Chui</v>
      </c>
      <c r="AG671" s="758" t="str">
        <f t="shared" ca="1" si="129"/>
        <v/>
      </c>
      <c r="AH671" s="929" t="s">
        <v>6563</v>
      </c>
      <c r="AI671" s="758">
        <f>IFERROR(IF(IF(AH671&lt;&gt;"",VLOOKUP(AH671,Tabla_ArmasyEscudos,9,0),"")="Conocida",MAX(AI$660:AI670)+1,0),0)</f>
        <v>0</v>
      </c>
      <c r="AJ671" s="758">
        <f ca="1">IF(AH671="",0,IF(AI671=0,MAX(AJ$654:AJ670,AL$652)+1,AI671+IFERROR(VLOOKUP(VLOOKUP(AH671,$D$653:$AA$871,24,0),AH$654:AJ$659,3,0)-VLOOKUP(VLOOKUP(AH671,$D$653:$AA$871,24,0),AH$654:AJ$659,2,0)+1,0)))</f>
        <v>13</v>
      </c>
      <c r="AK671" s="758" t="str">
        <f t="shared" ca="1" si="130"/>
        <v>Goedendag</v>
      </c>
      <c r="AL671" s="758" t="str">
        <f t="shared" ca="1" si="131"/>
        <v/>
      </c>
      <c r="AM671" s="2568" t="s">
        <v>2048</v>
      </c>
      <c r="AN671" s="758">
        <f>IFERROR(IF(IF(AM671&lt;&gt;"",VLOOKUP(AM671,Tabla_ArmasyEscudos,9,0),"")="Conocida",MAX(AN$660:AN670)+1,0),0)</f>
        <v>0</v>
      </c>
      <c r="AO671" s="758">
        <f ca="1">IF(AM671="",0,IF(AN671=0,MAX(AO$654:AO670,AQ$652)+1,AN671+IFERROR(VLOOKUP(VLOOKUP(AM671,$D$653:$AA$871,24,0),AM$654:AO$659,3,0)-VLOOKUP(VLOOKUP(AM671,$D$653:$AA$871,24,0),AM$654:AO$659,2,0)+1,0)))</f>
        <v>9</v>
      </c>
      <c r="AP671" s="758" t="str">
        <f t="shared" ca="1" si="132"/>
        <v/>
      </c>
      <c r="AQ671" s="758" t="str">
        <f t="shared" ca="1" si="133"/>
        <v/>
      </c>
      <c r="AR671" s="2568" t="s">
        <v>2048</v>
      </c>
      <c r="AS671" s="758">
        <f>IFERROR(IF(IF(AR671&lt;&gt;"",VLOOKUP(AR671,Tabla_ArmasyEscudos,9,0),"")="Conocida",MAX(AS$660:AS670)+1,0),0)</f>
        <v>0</v>
      </c>
      <c r="AT671" s="758">
        <f ca="1">IF(AR671="",0,IF(AS671=0,MAX(AT$654:AT670,AV$652)+1,AS671+IFERROR(VLOOKUP(VLOOKUP(AR671,$D$653:$AA$871,24,0),AR$654:AT$659,3,0)-VLOOKUP(VLOOKUP(AR671,$D$653:$AA$871,24,0),AR$654:AT$659,2,0)+1,0)))</f>
        <v>9</v>
      </c>
      <c r="AU671" s="758" t="str">
        <f t="shared" ca="1" si="134"/>
        <v>&gt; ARS MAGNUS</v>
      </c>
      <c r="AV671" s="758" t="str">
        <f t="shared" ca="1" si="135"/>
        <v/>
      </c>
      <c r="AX671" s="1141" t="str">
        <f t="shared" si="136"/>
        <v>Cestus</v>
      </c>
      <c r="AY671" s="2549"/>
      <c r="AZ671" s="774" t="str">
        <f t="shared" si="137"/>
        <v/>
      </c>
      <c r="BA671" s="76" t="str">
        <f t="shared" si="138"/>
        <v/>
      </c>
      <c r="BB671" s="76" t="str">
        <f t="shared" si="139"/>
        <v>Chui</v>
      </c>
      <c r="BC671" s="1142">
        <f>IF(OR($L669=BC$652,$L669="",$D669=$BE$651),MAX(BC$654:BC670)+1,0)</f>
        <v>0</v>
      </c>
      <c r="BD671" s="1143">
        <f>IF(OR($L669=BD$652,$L669="",$D669=$BE$651),MAX(BD$654:BD670)+1,0)</f>
        <v>0</v>
      </c>
      <c r="BE671" s="1144">
        <f>IF(OR($L669=BE$652,$L669="",$D669=$BE$651),MAX(BE$654:BE670)+1,0)</f>
        <v>16</v>
      </c>
      <c r="BF671" s="2549"/>
      <c r="BG671" s="774" t="str">
        <f t="shared" si="140"/>
        <v/>
      </c>
      <c r="BH671" s="76" t="str">
        <f t="shared" si="141"/>
        <v/>
      </c>
      <c r="BI671" s="76" t="str">
        <f t="shared" si="142"/>
        <v>Chui</v>
      </c>
      <c r="BJ671" s="1142">
        <f>IF(OR($L669=BJ$652,$L669="",$D669=$BL$651),MAX(BJ$654:BJ670)+1,0)</f>
        <v>0</v>
      </c>
      <c r="BK671" s="1143">
        <f>IF(OR($L669=BK$652,$L669="",$D669=$BL$651),MAX(BK$654:BK670)+1,0)</f>
        <v>0</v>
      </c>
      <c r="BL671" s="1144">
        <f>IF(OR($L669=BL$652,$L669="",$D669=$BL$651),MAX(BL$654:BL670)+1,0)</f>
        <v>16</v>
      </c>
      <c r="BM671" s="2549"/>
      <c r="BN671" s="774" t="str">
        <f t="shared" si="143"/>
        <v/>
      </c>
      <c r="BO671" s="76" t="str">
        <f t="shared" si="144"/>
        <v/>
      </c>
      <c r="BP671" s="76" t="str">
        <f t="shared" si="145"/>
        <v>Chui</v>
      </c>
      <c r="BQ671" s="1142">
        <f>IF(OR($L669=BQ$652,$L669="",$D669=$BS$651),MAX(BQ$654:BQ670)+1,0)</f>
        <v>0</v>
      </c>
      <c r="BR671" s="1143">
        <f>IF(OR($L669=BR$652,$L669="",$D669=$BS$651),MAX(BR$654:BR670)+1,0)</f>
        <v>0</v>
      </c>
      <c r="BS671" s="1144">
        <f>IF(OR($L669=BS$652,$L669="",$D669=$BS$651),MAX(BS$654:BS670)+1,0)</f>
        <v>16</v>
      </c>
      <c r="BT671" s="2549"/>
      <c r="BU671" s="774" t="str">
        <f t="shared" si="146"/>
        <v/>
      </c>
      <c r="BV671" s="76" t="str">
        <f t="shared" si="147"/>
        <v/>
      </c>
      <c r="BW671" s="76" t="str">
        <f t="shared" si="148"/>
        <v>Chui</v>
      </c>
      <c r="BX671" s="1142">
        <f>IF(OR($L669=BX$652,$L669="",$D669=$BZ$651),MAX(BX$654:BX670)+1,0)</f>
        <v>0</v>
      </c>
      <c r="BY671" s="1143">
        <f>IF(OR($L669=BY$652,$L669="",$D669=$BZ$651),MAX(BY$654:BY670)+1,0)</f>
        <v>0</v>
      </c>
      <c r="BZ671" s="1144">
        <f>IF(OR($L669=BZ$652,$L669="",$D669=$BZ$651),MAX(BZ$654:BZ670)+1,0)</f>
        <v>16</v>
      </c>
      <c r="CA671" s="2549"/>
      <c r="CB671" s="774" t="str">
        <f t="shared" si="149"/>
        <v/>
      </c>
      <c r="CC671" s="76" t="str">
        <f t="shared" si="150"/>
        <v/>
      </c>
      <c r="CD671" s="76" t="str">
        <f t="shared" si="151"/>
        <v>Chui</v>
      </c>
      <c r="CE671" s="1142">
        <f>IF(OR($L669=CE$652,$L669="",$D669=$CG$651),MAX(CE$654:CE670)+1,0)</f>
        <v>0</v>
      </c>
      <c r="CF671" s="1143">
        <f>IF(OR($L669=CF$652,$L669="",$D669=$CG$651),MAX(CF$654:CF670)+1,0)</f>
        <v>0</v>
      </c>
      <c r="CG671" s="1144">
        <f>IF(OR($L669=CG$652,$L669="",$D669=$CG$651),MAX(CG$654:CG670)+1,0)</f>
        <v>16</v>
      </c>
      <c r="CI671" s="774" t="str">
        <f t="shared" si="152"/>
        <v/>
      </c>
      <c r="CJ671" s="76" t="str">
        <f t="shared" si="153"/>
        <v/>
      </c>
      <c r="CK671" s="76" t="str">
        <f t="shared" si="154"/>
        <v>Chui</v>
      </c>
      <c r="CL671" s="1142">
        <f>IF(OR($L669=CL$652,$L669="",$D669=$CN$651),MAX(CL$654:CL670)+1,0)</f>
        <v>0</v>
      </c>
      <c r="CM671" s="1143">
        <f>IF(OR($L669=CM$652,$L669="",$D669=$CN$651),MAX(CM$654:CM670)+1,0)</f>
        <v>0</v>
      </c>
      <c r="CN671" s="1144">
        <f>IF(OR($L669=CN$652,$L669="",$D669=$CN$651),MAX(CN$654:CN670)+1,0)</f>
        <v>16</v>
      </c>
    </row>
    <row r="672" spans="1:92" ht="12.75" customHeight="1">
      <c r="A672" s="219">
        <v>663</v>
      </c>
      <c r="B672" s="7145"/>
      <c r="C672" s="1034"/>
      <c r="D672" s="2237" t="s">
        <v>6568</v>
      </c>
      <c r="E672" s="2239">
        <v>35</v>
      </c>
      <c r="F672" s="2236">
        <v>0</v>
      </c>
      <c r="G672" s="2236">
        <v>4</v>
      </c>
      <c r="H672" s="2236">
        <v>4</v>
      </c>
      <c r="I672" s="2236" t="s">
        <v>1411</v>
      </c>
      <c r="J672" s="2236" t="s">
        <v>1410</v>
      </c>
      <c r="K672" s="2433" t="s">
        <v>6835</v>
      </c>
      <c r="L672" s="2236" t="str">
        <f t="shared" si="156"/>
        <v>Distinta</v>
      </c>
      <c r="M672" s="2240">
        <v>12</v>
      </c>
      <c r="N672" s="2240">
        <v>0</v>
      </c>
      <c r="O672" s="2240">
        <v>20</v>
      </c>
      <c r="P672" s="2236"/>
      <c r="Q672" s="2236"/>
      <c r="R672" s="2236" t="s">
        <v>1315</v>
      </c>
      <c r="S672" s="2236" t="s">
        <v>1315</v>
      </c>
      <c r="T672" s="2236" t="s">
        <v>1315</v>
      </c>
      <c r="U672" s="2236"/>
      <c r="V672" s="2433" t="s">
        <v>1983</v>
      </c>
      <c r="W672" s="2433"/>
      <c r="X672" s="2434" t="str">
        <f t="shared" si="158"/>
        <v>Pequeña</v>
      </c>
      <c r="Y672" s="2229">
        <f t="shared" si="157"/>
        <v>0</v>
      </c>
      <c r="Z672" s="1150" t="str">
        <f t="shared" si="155"/>
        <v/>
      </c>
      <c r="AA672" s="1751" t="s">
        <v>1960</v>
      </c>
      <c r="AC672" s="929" t="s">
        <v>1965</v>
      </c>
      <c r="AD672" s="758">
        <f>IFERROR(IF(IF(AC672&lt;&gt;"",VLOOKUP(AC672,Tabla_ArmasyEscudos,9,0),"")="Conocida",MAX(AD$662:AD671)+1,0),0)</f>
        <v>0</v>
      </c>
      <c r="AE672" s="758">
        <f ca="1">IF(AC672="",0,IF(AD672=0,MAX(AE$654:AE671,AG$652)+1,AD672+IFERROR(VLOOKUP(VLOOKUP(AC672,$D$653:$AA$871,24,0),AC$654:AE$661,3,0)-VLOOKUP(VLOOKUP(AC672,$D$653:$AA$871,24,0),AC$654:AE$661,2,0)+1,0)))</f>
        <v>12</v>
      </c>
      <c r="AF672" s="758" t="str">
        <f t="shared" ca="1" si="128"/>
        <v>Cimitarra</v>
      </c>
      <c r="AG672" s="758" t="str">
        <f t="shared" ca="1" si="129"/>
        <v/>
      </c>
      <c r="AH672" s="929" t="s">
        <v>1978</v>
      </c>
      <c r="AI672" s="758">
        <f>IFERROR(IF(IF(AH672&lt;&gt;"",VLOOKUP(AH672,Tabla_ArmasyEscudos,9,0),"")="Conocida",MAX(AI$660:AI671)+1,0),0)</f>
        <v>0</v>
      </c>
      <c r="AJ672" s="758">
        <f ca="1">IF(AH672="",0,IF(AI672=0,MAX(AJ$654:AJ671,AL$652)+1,AI672+IFERROR(VLOOKUP(VLOOKUP(AH672,$D$653:$AA$871,24,0),AH$654:AJ$659,3,0)-VLOOKUP(VLOOKUP(AH672,$D$653:$AA$871,24,0),AH$654:AJ$659,2,0)+1,0)))</f>
        <v>14</v>
      </c>
      <c r="AK672" s="758" t="str">
        <f t="shared" ca="1" si="130"/>
        <v>Gran martillo guerra</v>
      </c>
      <c r="AL672" s="758" t="str">
        <f t="shared" ca="1" si="131"/>
        <v/>
      </c>
      <c r="AM672" s="929" t="s">
        <v>2049</v>
      </c>
      <c r="AN672" s="758">
        <f>IFERROR(IF(IF(AM672&lt;&gt;"",VLOOKUP(AM672,Tabla_ArmasyEscudos,9,0),"")="Conocida",MAX(AN$660:AN671)+1,0),0)</f>
        <v>0</v>
      </c>
      <c r="AO672" s="758">
        <f ca="1">IF(AM672="",0,IF(AN672=0,MAX(AO$654:AO671,AQ$652)+1,AN672+IFERROR(VLOOKUP(VLOOKUP(AM672,$D$653:$AA$871,24,0),AM$654:AO$659,3,0)-VLOOKUP(VLOOKUP(AM672,$D$653:$AA$871,24,0),AM$654:AO$659,2,0)+1,0)))</f>
        <v>10</v>
      </c>
      <c r="AP672" s="758" t="str">
        <f t="shared" ca="1" si="132"/>
        <v/>
      </c>
      <c r="AQ672" s="758" t="str">
        <f t="shared" ca="1" si="133"/>
        <v/>
      </c>
      <c r="AR672" s="929" t="s">
        <v>2049</v>
      </c>
      <c r="AS672" s="758">
        <f>IFERROR(IF(IF(AR672&lt;&gt;"",VLOOKUP(AR672,Tabla_ArmasyEscudos,9,0),"")="Conocida",MAX(AS$660:AS671)+1,0),0)</f>
        <v>0</v>
      </c>
      <c r="AT672" s="758">
        <f ca="1">IF(AR672="",0,IF(AS672=0,MAX(AT$654:AT671,AV$652)+1,AS672+IFERROR(VLOOKUP(VLOOKUP(AR672,$D$653:$AA$871,24,0),AR$654:AT$659,3,0)-VLOOKUP(VLOOKUP(AR672,$D$653:$AA$871,24,0),AR$654:AT$659,2,0)+1,0)))</f>
        <v>10</v>
      </c>
      <c r="AU672" s="758" t="str">
        <f t="shared" ca="1" si="134"/>
        <v>Leo (Espada-Pistola) P.</v>
      </c>
      <c r="AV672" s="758" t="str">
        <f t="shared" ca="1" si="135"/>
        <v/>
      </c>
      <c r="AX672" s="1141" t="str">
        <f t="shared" si="136"/>
        <v>Chui</v>
      </c>
      <c r="AY672" s="2549"/>
      <c r="AZ672" s="774" t="str">
        <f t="shared" si="137"/>
        <v/>
      </c>
      <c r="BA672" s="76" t="str">
        <f t="shared" si="138"/>
        <v/>
      </c>
      <c r="BB672" s="76" t="str">
        <f t="shared" si="139"/>
        <v>Cimitarra</v>
      </c>
      <c r="BC672" s="1142">
        <f>IF(OR($L670=BC$652,$L670="",$D670=$BE$651),MAX(BC$654:BC671)+1,0)</f>
        <v>0</v>
      </c>
      <c r="BD672" s="1143">
        <f>IF(OR($L670=BD$652,$L670="",$D670=$BE$651),MAX(BD$654:BD671)+1,0)</f>
        <v>0</v>
      </c>
      <c r="BE672" s="1144">
        <f>IF(OR($L670=BE$652,$L670="",$D670=$BE$651),MAX(BE$654:BE671)+1,0)</f>
        <v>17</v>
      </c>
      <c r="BF672" s="2549"/>
      <c r="BG672" s="774" t="str">
        <f t="shared" si="140"/>
        <v/>
      </c>
      <c r="BH672" s="76" t="str">
        <f t="shared" si="141"/>
        <v/>
      </c>
      <c r="BI672" s="76" t="str">
        <f t="shared" si="142"/>
        <v>Cimitarra</v>
      </c>
      <c r="BJ672" s="1142">
        <f>IF(OR($L670=BJ$652,$L670="",$D670=$BL$651),MAX(BJ$654:BJ671)+1,0)</f>
        <v>0</v>
      </c>
      <c r="BK672" s="1143">
        <f>IF(OR($L670=BK$652,$L670="",$D670=$BL$651),MAX(BK$654:BK671)+1,0)</f>
        <v>0</v>
      </c>
      <c r="BL672" s="1144">
        <f>IF(OR($L670=BL$652,$L670="",$D670=$BL$651),MAX(BL$654:BL671)+1,0)</f>
        <v>17</v>
      </c>
      <c r="BM672" s="2549"/>
      <c r="BN672" s="774" t="str">
        <f t="shared" si="143"/>
        <v/>
      </c>
      <c r="BO672" s="76" t="str">
        <f t="shared" si="144"/>
        <v/>
      </c>
      <c r="BP672" s="76" t="str">
        <f t="shared" si="145"/>
        <v>Cimitarra</v>
      </c>
      <c r="BQ672" s="1142">
        <f>IF(OR($L670=BQ$652,$L670="",$D670=$BS$651),MAX(BQ$654:BQ671)+1,0)</f>
        <v>0</v>
      </c>
      <c r="BR672" s="1143">
        <f>IF(OR($L670=BR$652,$L670="",$D670=$BS$651),MAX(BR$654:BR671)+1,0)</f>
        <v>0</v>
      </c>
      <c r="BS672" s="1144">
        <f>IF(OR($L670=BS$652,$L670="",$D670=$BS$651),MAX(BS$654:BS671)+1,0)</f>
        <v>17</v>
      </c>
      <c r="BT672" s="2549"/>
      <c r="BU672" s="774" t="str">
        <f t="shared" si="146"/>
        <v/>
      </c>
      <c r="BV672" s="76" t="str">
        <f t="shared" si="147"/>
        <v/>
      </c>
      <c r="BW672" s="76" t="str">
        <f t="shared" si="148"/>
        <v>Cimitarra</v>
      </c>
      <c r="BX672" s="1142">
        <f>IF(OR($L670=BX$652,$L670="",$D670=$BZ$651),MAX(BX$654:BX671)+1,0)</f>
        <v>0</v>
      </c>
      <c r="BY672" s="1143">
        <f>IF(OR($L670=BY$652,$L670="",$D670=$BZ$651),MAX(BY$654:BY671)+1,0)</f>
        <v>0</v>
      </c>
      <c r="BZ672" s="1144">
        <f>IF(OR($L670=BZ$652,$L670="",$D670=$BZ$651),MAX(BZ$654:BZ671)+1,0)</f>
        <v>17</v>
      </c>
      <c r="CA672" s="2549"/>
      <c r="CB672" s="774" t="str">
        <f t="shared" si="149"/>
        <v/>
      </c>
      <c r="CC672" s="76" t="str">
        <f t="shared" si="150"/>
        <v/>
      </c>
      <c r="CD672" s="76" t="str">
        <f t="shared" si="151"/>
        <v>Cimitarra</v>
      </c>
      <c r="CE672" s="1142">
        <f>IF(OR($L670=CE$652,$L670="",$D670=$CG$651),MAX(CE$654:CE671)+1,0)</f>
        <v>0</v>
      </c>
      <c r="CF672" s="1143">
        <f>IF(OR($L670=CF$652,$L670="",$D670=$CG$651),MAX(CF$654:CF671)+1,0)</f>
        <v>0</v>
      </c>
      <c r="CG672" s="1144">
        <f>IF(OR($L670=CG$652,$L670="",$D670=$CG$651),MAX(CG$654:CG671)+1,0)</f>
        <v>17</v>
      </c>
      <c r="CI672" s="774" t="str">
        <f t="shared" si="152"/>
        <v/>
      </c>
      <c r="CJ672" s="76" t="str">
        <f t="shared" si="153"/>
        <v/>
      </c>
      <c r="CK672" s="76" t="str">
        <f t="shared" si="154"/>
        <v>Cimitarra</v>
      </c>
      <c r="CL672" s="1142">
        <f>IF(OR($L670=CL$652,$L670="",$D670=$CN$651),MAX(CL$654:CL671)+1,0)</f>
        <v>0</v>
      </c>
      <c r="CM672" s="1143">
        <f>IF(OR($L670=CM$652,$L670="",$D670=$CN$651),MAX(CM$654:CM671)+1,0)</f>
        <v>0</v>
      </c>
      <c r="CN672" s="1144">
        <f>IF(OR($L670=CN$652,$L670="",$D670=$CN$651),MAX(CN$654:CN671)+1,0)</f>
        <v>17</v>
      </c>
    </row>
    <row r="673" spans="1:92" ht="12.75" customHeight="1">
      <c r="A673" s="219">
        <v>664</v>
      </c>
      <c r="B673" s="7145"/>
      <c r="C673" s="1034"/>
      <c r="D673" s="2237" t="s">
        <v>6563</v>
      </c>
      <c r="E673" s="2239">
        <v>65</v>
      </c>
      <c r="F673" s="2236">
        <v>-20</v>
      </c>
      <c r="G673" s="2236" t="s">
        <v>1315</v>
      </c>
      <c r="H673" s="2236">
        <v>7</v>
      </c>
      <c r="I673" s="2236" t="s">
        <v>1410</v>
      </c>
      <c r="J673" s="2236" t="s">
        <v>1357</v>
      </c>
      <c r="K673" s="2433" t="s">
        <v>6837</v>
      </c>
      <c r="L673" s="2236" t="str">
        <f t="shared" si="156"/>
        <v>Distinta</v>
      </c>
      <c r="M673" s="2240">
        <v>16</v>
      </c>
      <c r="N673" s="2240">
        <v>5</v>
      </c>
      <c r="O673" s="2240">
        <v>25</v>
      </c>
      <c r="P673" s="2236"/>
      <c r="Q673" s="2236"/>
      <c r="R673" s="2236" t="s">
        <v>1315</v>
      </c>
      <c r="S673" s="2236" t="s">
        <v>1315</v>
      </c>
      <c r="T673" s="2236" t="s">
        <v>1315</v>
      </c>
      <c r="U673" s="2236"/>
      <c r="V673" s="2433" t="s">
        <v>1438</v>
      </c>
      <c r="W673" s="2433"/>
      <c r="X673" s="2434" t="str">
        <f t="shared" si="158"/>
        <v>Grande</v>
      </c>
      <c r="Y673" s="2229">
        <f t="shared" si="157"/>
        <v>0</v>
      </c>
      <c r="Z673" s="1150" t="str">
        <f t="shared" si="155"/>
        <v/>
      </c>
      <c r="AA673" s="1751" t="s">
        <v>1960</v>
      </c>
      <c r="AC673" s="929" t="s">
        <v>1968</v>
      </c>
      <c r="AD673" s="758">
        <f>IFERROR(IF(IF(AC673&lt;&gt;"",VLOOKUP(AC673,Tabla_ArmasyEscudos,9,0),"")="Conocida",MAX(AD$662:AD672)+1,0),0)</f>
        <v>0</v>
      </c>
      <c r="AE673" s="758">
        <f ca="1">IF(AC673="",0,IF(AD673=0,MAX(AE$654:AE672,AG$652)+1,AD673+IFERROR(VLOOKUP(VLOOKUP(AC673,$D$653:$AA$871,24,0),AC$654:AE$661,3,0)-VLOOKUP(VLOOKUP(AC673,$D$653:$AA$871,24,0),AC$654:AE$661,2,0)+1,0)))</f>
        <v>13</v>
      </c>
      <c r="AF673" s="758" t="str">
        <f t="shared" ca="1" si="128"/>
        <v>Cinquedea</v>
      </c>
      <c r="AG673" s="758" t="str">
        <f t="shared" ca="1" si="129"/>
        <v/>
      </c>
      <c r="AH673" s="929" t="s">
        <v>1981</v>
      </c>
      <c r="AI673" s="758">
        <f>IFERROR(IF(IF(AH673&lt;&gt;"",VLOOKUP(AH673,Tabla_ArmasyEscudos,9,0),"")="Conocida",MAX(AI$660:AI672)+1,0),0)</f>
        <v>0</v>
      </c>
      <c r="AJ673" s="758">
        <f ca="1">IF(AH673="",0,IF(AI673=0,MAX(AJ$654:AJ672,AL$652)+1,AI673+IFERROR(VLOOKUP(VLOOKUP(AH673,$D$653:$AA$871,24,0),AH$654:AJ$659,3,0)-VLOOKUP(VLOOKUP(AH673,$D$653:$AA$871,24,0),AH$654:AJ$659,2,0)+1,0)))</f>
        <v>15</v>
      </c>
      <c r="AK673" s="758" t="str">
        <f t="shared" ca="1" si="130"/>
        <v>Grosse Messer</v>
      </c>
      <c r="AL673" s="758" t="str">
        <f t="shared" ca="1" si="131"/>
        <v/>
      </c>
      <c r="AM673" s="2568" t="s">
        <v>2051</v>
      </c>
      <c r="AN673" s="758">
        <f>IFERROR(IF(IF(AM673&lt;&gt;"",VLOOKUP(AM673,Tabla_ArmasyEscudos,9,0),"")="Conocida",MAX(AN$660:AN672)+1,0),0)</f>
        <v>0</v>
      </c>
      <c r="AO673" s="758">
        <f ca="1">IF(AM673="",0,IF(AN673=0,MAX(AO$654:AO672,AQ$652)+1,AN673+IFERROR(VLOOKUP(VLOOKUP(AM673,$D$653:$AA$871,24,0),AM$654:AO$659,3,0)-VLOOKUP(VLOOKUP(AM673,$D$653:$AA$871,24,0),AM$654:AO$659,2,0)+1,0)))</f>
        <v>11</v>
      </c>
      <c r="AP673" s="758" t="str">
        <f t="shared" ca="1" si="132"/>
        <v/>
      </c>
      <c r="AQ673" s="758" t="str">
        <f t="shared" ca="1" si="133"/>
        <v/>
      </c>
      <c r="AR673" s="929" t="s">
        <v>2050</v>
      </c>
      <c r="AS673" s="758">
        <f>IFERROR(IF(IF(AR673&lt;&gt;"",VLOOKUP(AR673,Tabla_ArmasyEscudos,9,0),"")="Conocida",MAX(AS$660:AS672)+1,0),0)</f>
        <v>0</v>
      </c>
      <c r="AT673" s="758">
        <f ca="1">IF(AR673="",0,IF(AS673=0,MAX(AT$654:AT672,AV$652)+1,AS673+IFERROR(VLOOKUP(VLOOKUP(AR673,$D$653:$AA$871,24,0),AR$654:AT$659,3,0)-VLOOKUP(VLOOKUP(AR673,$D$653:$AA$871,24,0),AR$654:AT$659,2,0)+1,0)))</f>
        <v>11</v>
      </c>
      <c r="AU673" s="758" t="str">
        <f t="shared" ca="1" si="134"/>
        <v>Leo (Lanza-Rifle) R.</v>
      </c>
      <c r="AV673" s="758" t="str">
        <f t="shared" ca="1" si="135"/>
        <v/>
      </c>
      <c r="AX673" s="1141" t="str">
        <f t="shared" si="136"/>
        <v>Cimitarra</v>
      </c>
      <c r="AY673" s="2549"/>
      <c r="AZ673" s="774" t="str">
        <f t="shared" si="137"/>
        <v/>
      </c>
      <c r="BA673" s="76" t="str">
        <f t="shared" si="138"/>
        <v/>
      </c>
      <c r="BB673" s="76" t="str">
        <f t="shared" si="139"/>
        <v>Cinquedea</v>
      </c>
      <c r="BC673" s="1142">
        <f>IF(OR($L671=BC$652,$L671="",$D671=$BE$651),MAX(BC$654:BC672)+1,0)</f>
        <v>0</v>
      </c>
      <c r="BD673" s="1143">
        <f>IF(OR($L671=BD$652,$L671="",$D671=$BE$651),MAX(BD$654:BD672)+1,0)</f>
        <v>0</v>
      </c>
      <c r="BE673" s="1144">
        <f>IF(OR($L671=BE$652,$L671="",$D671=$BE$651),MAX(BE$654:BE672)+1,0)</f>
        <v>18</v>
      </c>
      <c r="BF673" s="2549"/>
      <c r="BG673" s="774" t="str">
        <f t="shared" si="140"/>
        <v/>
      </c>
      <c r="BH673" s="76" t="str">
        <f t="shared" si="141"/>
        <v/>
      </c>
      <c r="BI673" s="76" t="str">
        <f t="shared" si="142"/>
        <v>Cinquedea</v>
      </c>
      <c r="BJ673" s="1142">
        <f>IF(OR($L671=BJ$652,$L671="",$D671=$BL$651),MAX(BJ$654:BJ672)+1,0)</f>
        <v>0</v>
      </c>
      <c r="BK673" s="1143">
        <f>IF(OR($L671=BK$652,$L671="",$D671=$BL$651),MAX(BK$654:BK672)+1,0)</f>
        <v>0</v>
      </c>
      <c r="BL673" s="1144">
        <f>IF(OR($L671=BL$652,$L671="",$D671=$BL$651),MAX(BL$654:BL672)+1,0)</f>
        <v>18</v>
      </c>
      <c r="BM673" s="2549"/>
      <c r="BN673" s="774" t="str">
        <f t="shared" si="143"/>
        <v/>
      </c>
      <c r="BO673" s="76" t="str">
        <f t="shared" si="144"/>
        <v/>
      </c>
      <c r="BP673" s="76" t="str">
        <f t="shared" si="145"/>
        <v>Cinquedea</v>
      </c>
      <c r="BQ673" s="1142">
        <f>IF(OR($L671=BQ$652,$L671="",$D671=$BS$651),MAX(BQ$654:BQ672)+1,0)</f>
        <v>0</v>
      </c>
      <c r="BR673" s="1143">
        <f>IF(OR($L671=BR$652,$L671="",$D671=$BS$651),MAX(BR$654:BR672)+1,0)</f>
        <v>0</v>
      </c>
      <c r="BS673" s="1144">
        <f>IF(OR($L671=BS$652,$L671="",$D671=$BS$651),MAX(BS$654:BS672)+1,0)</f>
        <v>18</v>
      </c>
      <c r="BT673" s="2549"/>
      <c r="BU673" s="774" t="str">
        <f t="shared" si="146"/>
        <v/>
      </c>
      <c r="BV673" s="76" t="str">
        <f t="shared" si="147"/>
        <v/>
      </c>
      <c r="BW673" s="76" t="str">
        <f t="shared" si="148"/>
        <v>Cinquedea</v>
      </c>
      <c r="BX673" s="1142">
        <f>IF(OR($L671=BX$652,$L671="",$D671=$BZ$651),MAX(BX$654:BX672)+1,0)</f>
        <v>0</v>
      </c>
      <c r="BY673" s="1143">
        <f>IF(OR($L671=BY$652,$L671="",$D671=$BZ$651),MAX(BY$654:BY672)+1,0)</f>
        <v>0</v>
      </c>
      <c r="BZ673" s="1144">
        <f>IF(OR($L671=BZ$652,$L671="",$D671=$BZ$651),MAX(BZ$654:BZ672)+1,0)</f>
        <v>18</v>
      </c>
      <c r="CA673" s="2549"/>
      <c r="CB673" s="774" t="str">
        <f t="shared" si="149"/>
        <v/>
      </c>
      <c r="CC673" s="76" t="str">
        <f t="shared" si="150"/>
        <v/>
      </c>
      <c r="CD673" s="76" t="str">
        <f t="shared" si="151"/>
        <v>Cinquedea</v>
      </c>
      <c r="CE673" s="1142">
        <f>IF(OR($L671=CE$652,$L671="",$D671=$CG$651),MAX(CE$654:CE672)+1,0)</f>
        <v>0</v>
      </c>
      <c r="CF673" s="1143">
        <f>IF(OR($L671=CF$652,$L671="",$D671=$CG$651),MAX(CF$654:CF672)+1,0)</f>
        <v>0</v>
      </c>
      <c r="CG673" s="1144">
        <f>IF(OR($L671=CG$652,$L671="",$D671=$CG$651),MAX(CG$654:CG672)+1,0)</f>
        <v>18</v>
      </c>
      <c r="CI673" s="774" t="str">
        <f t="shared" si="152"/>
        <v/>
      </c>
      <c r="CJ673" s="76" t="str">
        <f t="shared" si="153"/>
        <v/>
      </c>
      <c r="CK673" s="76" t="str">
        <f t="shared" si="154"/>
        <v>Cinquedea</v>
      </c>
      <c r="CL673" s="1142">
        <f>IF(OR($L671=CL$652,$L671="",$D671=$CN$651),MAX(CL$654:CL672)+1,0)</f>
        <v>0</v>
      </c>
      <c r="CM673" s="1143">
        <f>IF(OR($L671=CM$652,$L671="",$D671=$CN$651),MAX(CM$654:CM672)+1,0)</f>
        <v>0</v>
      </c>
      <c r="CN673" s="1144">
        <f>IF(OR($L671=CN$652,$L671="",$D671=$CN$651),MAX(CN$654:CN672)+1,0)</f>
        <v>18</v>
      </c>
    </row>
    <row r="674" spans="1:92" ht="12.75" customHeight="1">
      <c r="A674" s="219">
        <v>665</v>
      </c>
      <c r="B674" s="7145"/>
      <c r="C674" s="1034"/>
      <c r="D674" s="3876" t="s">
        <v>1975</v>
      </c>
      <c r="E674" s="3877">
        <v>30</v>
      </c>
      <c r="F674" s="3878">
        <v>20</v>
      </c>
      <c r="G674" s="3878">
        <v>3</v>
      </c>
      <c r="H674" s="3878">
        <v>3</v>
      </c>
      <c r="I674" s="3878" t="s">
        <v>1411</v>
      </c>
      <c r="J674" s="3878" t="s">
        <v>1410</v>
      </c>
      <c r="K674" s="3879" t="s">
        <v>6835</v>
      </c>
      <c r="L674" s="3878" t="str">
        <f t="shared" si="156"/>
        <v>Distinta</v>
      </c>
      <c r="M674" s="3880">
        <v>10</v>
      </c>
      <c r="N674" s="3880">
        <v>-2</v>
      </c>
      <c r="O674" s="3880">
        <v>15</v>
      </c>
      <c r="P674" s="3878"/>
      <c r="Q674" s="3878"/>
      <c r="R674" s="3880">
        <v>50</v>
      </c>
      <c r="S674" s="3878" t="s">
        <v>1315</v>
      </c>
      <c r="T674" s="3878">
        <v>20</v>
      </c>
      <c r="U674" s="3878"/>
      <c r="V674" s="3879" t="s">
        <v>12449</v>
      </c>
      <c r="W674" s="2433"/>
      <c r="X674" s="2434" t="str">
        <f t="shared" si="158"/>
        <v>Pequeña</v>
      </c>
      <c r="Y674" s="2229">
        <f t="shared" si="157"/>
        <v>0</v>
      </c>
      <c r="Z674" s="1150" t="str">
        <f t="shared" si="155"/>
        <v/>
      </c>
      <c r="AA674" s="1751" t="s">
        <v>1960</v>
      </c>
      <c r="AC674" s="929" t="s">
        <v>6562</v>
      </c>
      <c r="AD674" s="758">
        <f>IFERROR(IF(IF(AC674&lt;&gt;"",VLOOKUP(AC674,Tabla_ArmasyEscudos,9,0),"")="Conocida",MAX(AD$662:AD673)+1,0),0)</f>
        <v>0</v>
      </c>
      <c r="AE674" s="758">
        <f ca="1">IF(AC674="",0,IF(AD674=0,MAX(AE$654:AE673,AG$652)+1,AD674+IFERROR(VLOOKUP(VLOOKUP(AC674,$D$653:$AA$871,24,0),AC$654:AE$661,3,0)-VLOOKUP(VLOOKUP(AC674,$D$653:$AA$871,24,0),AC$654:AE$661,2,0)+1,0)))</f>
        <v>14</v>
      </c>
      <c r="AF674" s="758" t="str">
        <f t="shared" ca="1" si="128"/>
        <v>Daga</v>
      </c>
      <c r="AG674" s="758" t="str">
        <f t="shared" ca="1" si="129"/>
        <v/>
      </c>
      <c r="AH674" s="929" t="s">
        <v>6566</v>
      </c>
      <c r="AI674" s="758">
        <f>IFERROR(IF(IF(AH674&lt;&gt;"",VLOOKUP(AH674,Tabla_ArmasyEscudos,9,0),"")="Conocida",MAX(AI$660:AI673)+1,0),0)</f>
        <v>0</v>
      </c>
      <c r="AJ674" s="758">
        <f ca="1">IF(AH674="",0,IF(AI674=0,MAX(AJ$654:AJ673,AL$652)+1,AI674+IFERROR(VLOOKUP(VLOOKUP(AH674,$D$653:$AA$871,24,0),AH$654:AJ$659,3,0)-VLOOKUP(VLOOKUP(AH674,$D$653:$AA$871,24,0),AH$654:AJ$659,2,0)+1,0)))</f>
        <v>16</v>
      </c>
      <c r="AK674" s="758" t="str">
        <f t="shared" ca="1" si="130"/>
        <v>Guadaña</v>
      </c>
      <c r="AL674" s="758" t="str">
        <f t="shared" ca="1" si="131"/>
        <v/>
      </c>
      <c r="AM674" s="2568" t="s">
        <v>2052</v>
      </c>
      <c r="AN674" s="758">
        <f>IFERROR(IF(IF(AM674&lt;&gt;"",VLOOKUP(AM674,Tabla_ArmasyEscudos,9,0),"")="Conocida",MAX(AN$660:AN673)+1,0),0)</f>
        <v>0</v>
      </c>
      <c r="AO674" s="758">
        <f ca="1">IF(AM674="",0,IF(AN674=0,MAX(AO$654:AO673,AQ$652)+1,AN674+IFERROR(VLOOKUP(VLOOKUP(AM674,$D$653:$AA$871,24,0),AM$654:AO$659,3,0)-VLOOKUP(VLOOKUP(AM674,$D$653:$AA$871,24,0),AM$654:AO$659,2,0)+1,0)))</f>
        <v>12</v>
      </c>
      <c r="AP674" s="758" t="str">
        <f t="shared" ca="1" si="132"/>
        <v/>
      </c>
      <c r="AQ674" s="758" t="str">
        <f t="shared" ca="1" si="133"/>
        <v/>
      </c>
      <c r="AR674" s="929" t="s">
        <v>6569</v>
      </c>
      <c r="AS674" s="758">
        <f>IFERROR(IF(IF(AR674&lt;&gt;"",VLOOKUP(AR674,Tabla_ArmasyEscudos,9,0),"")="Conocida",MAX(AS$660:AS673)+1,0),0)</f>
        <v>0</v>
      </c>
      <c r="AT674" s="758">
        <f ca="1">IF(AR674="",0,IF(AS674=0,MAX(AT$654:AT673,AV$652)+1,AS674+IFERROR(VLOOKUP(VLOOKUP(AR674,$D$653:$AA$871,24,0),AR$654:AT$659,3,0)-VLOOKUP(VLOOKUP(AR674,$D$653:$AA$871,24,0),AR$654:AT$659,2,0)+1,0)))</f>
        <v>12</v>
      </c>
      <c r="AU674" s="758" t="str">
        <f t="shared" ca="1" si="134"/>
        <v>Leo (Maza-Cañón) C.</v>
      </c>
      <c r="AV674" s="758" t="str">
        <f t="shared" ca="1" si="135"/>
        <v/>
      </c>
      <c r="AX674" s="1141" t="str">
        <f t="shared" si="136"/>
        <v>Cinquedea</v>
      </c>
      <c r="AY674" s="2549"/>
      <c r="AZ674" s="774" t="str">
        <f t="shared" si="137"/>
        <v/>
      </c>
      <c r="BA674" s="76" t="str">
        <f t="shared" si="138"/>
        <v/>
      </c>
      <c r="BB674" s="76" t="str">
        <f t="shared" si="139"/>
        <v>Claymore</v>
      </c>
      <c r="BC674" s="1142">
        <f>IF(OR($L672=BC$652,$L672="",$D672=$BE$651),MAX(BC$654:BC673)+1,0)</f>
        <v>0</v>
      </c>
      <c r="BD674" s="1143">
        <f>IF(OR($L672=BD$652,$L672="",$D672=$BE$651),MAX(BD$654:BD673)+1,0)</f>
        <v>0</v>
      </c>
      <c r="BE674" s="1144">
        <f>IF(OR($L672=BE$652,$L672="",$D672=$BE$651),MAX(BE$654:BE673)+1,0)</f>
        <v>19</v>
      </c>
      <c r="BF674" s="2549"/>
      <c r="BG674" s="774" t="str">
        <f t="shared" si="140"/>
        <v/>
      </c>
      <c r="BH674" s="76" t="str">
        <f t="shared" si="141"/>
        <v/>
      </c>
      <c r="BI674" s="76" t="str">
        <f t="shared" si="142"/>
        <v>Claymore</v>
      </c>
      <c r="BJ674" s="1142">
        <f>IF(OR($L672=BJ$652,$L672="",$D672=$BL$651),MAX(BJ$654:BJ673)+1,0)</f>
        <v>0</v>
      </c>
      <c r="BK674" s="1143">
        <f>IF(OR($L672=BK$652,$L672="",$D672=$BL$651),MAX(BK$654:BK673)+1,0)</f>
        <v>0</v>
      </c>
      <c r="BL674" s="1144">
        <f>IF(OR($L672=BL$652,$L672="",$D672=$BL$651),MAX(BL$654:BL673)+1,0)</f>
        <v>19</v>
      </c>
      <c r="BM674" s="2549"/>
      <c r="BN674" s="774" t="str">
        <f t="shared" si="143"/>
        <v/>
      </c>
      <c r="BO674" s="76" t="str">
        <f t="shared" si="144"/>
        <v/>
      </c>
      <c r="BP674" s="76" t="str">
        <f t="shared" si="145"/>
        <v>Claymore</v>
      </c>
      <c r="BQ674" s="1142">
        <f>IF(OR($L672=BQ$652,$L672="",$D672=$BS$651),MAX(BQ$654:BQ673)+1,0)</f>
        <v>0</v>
      </c>
      <c r="BR674" s="1143">
        <f>IF(OR($L672=BR$652,$L672="",$D672=$BS$651),MAX(BR$654:BR673)+1,0)</f>
        <v>0</v>
      </c>
      <c r="BS674" s="1144">
        <f>IF(OR($L672=BS$652,$L672="",$D672=$BS$651),MAX(BS$654:BS673)+1,0)</f>
        <v>19</v>
      </c>
      <c r="BT674" s="2549"/>
      <c r="BU674" s="774" t="str">
        <f t="shared" si="146"/>
        <v/>
      </c>
      <c r="BV674" s="76" t="str">
        <f t="shared" si="147"/>
        <v/>
      </c>
      <c r="BW674" s="76" t="str">
        <f t="shared" si="148"/>
        <v>Claymore</v>
      </c>
      <c r="BX674" s="1142">
        <f>IF(OR($L672=BX$652,$L672="",$D672=$BZ$651),MAX(BX$654:BX673)+1,0)</f>
        <v>0</v>
      </c>
      <c r="BY674" s="1143">
        <f>IF(OR($L672=BY$652,$L672="",$D672=$BZ$651),MAX(BY$654:BY673)+1,0)</f>
        <v>0</v>
      </c>
      <c r="BZ674" s="1144">
        <f>IF(OR($L672=BZ$652,$L672="",$D672=$BZ$651),MAX(BZ$654:BZ673)+1,0)</f>
        <v>19</v>
      </c>
      <c r="CA674" s="2549"/>
      <c r="CB674" s="774" t="str">
        <f t="shared" si="149"/>
        <v/>
      </c>
      <c r="CC674" s="76" t="str">
        <f t="shared" si="150"/>
        <v/>
      </c>
      <c r="CD674" s="76" t="str">
        <f t="shared" si="151"/>
        <v>Claymore</v>
      </c>
      <c r="CE674" s="1142">
        <f>IF(OR($L672=CE$652,$L672="",$D672=$CG$651),MAX(CE$654:CE673)+1,0)</f>
        <v>0</v>
      </c>
      <c r="CF674" s="1143">
        <f>IF(OR($L672=CF$652,$L672="",$D672=$CG$651),MAX(CF$654:CF673)+1,0)</f>
        <v>0</v>
      </c>
      <c r="CG674" s="1144">
        <f>IF(OR($L672=CG$652,$L672="",$D672=$CG$651),MAX(CG$654:CG673)+1,0)</f>
        <v>19</v>
      </c>
      <c r="CI674" s="774" t="str">
        <f t="shared" si="152"/>
        <v/>
      </c>
      <c r="CJ674" s="76" t="str">
        <f t="shared" si="153"/>
        <v/>
      </c>
      <c r="CK674" s="76" t="str">
        <f t="shared" si="154"/>
        <v>Claymore</v>
      </c>
      <c r="CL674" s="1142">
        <f>IF(OR($L672=CL$652,$L672="",$D672=$CN$651),MAX(CL$654:CL673)+1,0)</f>
        <v>0</v>
      </c>
      <c r="CM674" s="1143">
        <f>IF(OR($L672=CM$652,$L672="",$D672=$CN$651),MAX(CM$654:CM673)+1,0)</f>
        <v>0</v>
      </c>
      <c r="CN674" s="1144">
        <f>IF(OR($L672=CN$652,$L672="",$D672=$CN$651),MAX(CN$654:CN673)+1,0)</f>
        <v>19</v>
      </c>
    </row>
    <row r="675" spans="1:92" ht="12.75" customHeight="1">
      <c r="A675" s="219">
        <v>666</v>
      </c>
      <c r="B675" s="7145"/>
      <c r="C675" s="1034"/>
      <c r="D675" s="2237" t="s">
        <v>1976</v>
      </c>
      <c r="E675" s="2239">
        <v>30</v>
      </c>
      <c r="F675" s="2236">
        <v>15</v>
      </c>
      <c r="G675" s="2236">
        <v>3</v>
      </c>
      <c r="H675" s="2236">
        <v>3</v>
      </c>
      <c r="I675" s="2236" t="s">
        <v>1411</v>
      </c>
      <c r="J675" s="2236" t="s">
        <v>1410</v>
      </c>
      <c r="K675" s="2433" t="s">
        <v>6835</v>
      </c>
      <c r="L675" s="2236" t="str">
        <f t="shared" si="156"/>
        <v>Distinta</v>
      </c>
      <c r="M675" s="2240">
        <v>12</v>
      </c>
      <c r="N675" s="2240">
        <v>0</v>
      </c>
      <c r="O675" s="2240">
        <v>20</v>
      </c>
      <c r="P675" s="2236"/>
      <c r="Q675" s="2236"/>
      <c r="R675" s="2240">
        <v>50</v>
      </c>
      <c r="S675" s="2236" t="s">
        <v>1315</v>
      </c>
      <c r="T675" s="2236">
        <v>15</v>
      </c>
      <c r="U675" s="2236"/>
      <c r="V675" s="2433" t="s">
        <v>8123</v>
      </c>
      <c r="W675" s="2433"/>
      <c r="X675" s="2434" t="str">
        <f t="shared" si="158"/>
        <v>Pequeña</v>
      </c>
      <c r="Y675" s="2229">
        <f t="shared" si="157"/>
        <v>0</v>
      </c>
      <c r="Z675" s="1150" t="str">
        <f t="shared" si="155"/>
        <v/>
      </c>
      <c r="AA675" s="1751" t="s">
        <v>1960</v>
      </c>
      <c r="AC675" s="929" t="s">
        <v>1969</v>
      </c>
      <c r="AD675" s="758">
        <f>IFERROR(IF(IF(AC675&lt;&gt;"",VLOOKUP(AC675,Tabla_ArmasyEscudos,9,0),"")="Conocida",MAX(AD$662:AD674)+1,0),0)</f>
        <v>0</v>
      </c>
      <c r="AE675" s="758">
        <f ca="1">IF(AC675="",0,IF(AD675=0,MAX(AE$654:AE674,AG$652)+1,AD675+IFERROR(VLOOKUP(VLOOKUP(AC675,$D$653:$AA$871,24,0),AC$654:AE$661,3,0)-VLOOKUP(VLOOKUP(AC675,$D$653:$AA$871,24,0),AC$654:AE$661,2,0)+1,0)))</f>
        <v>15</v>
      </c>
      <c r="AF675" s="758" t="str">
        <f t="shared" ca="1" si="128"/>
        <v>Daga de parada</v>
      </c>
      <c r="AG675" s="758" t="str">
        <f t="shared" ca="1" si="129"/>
        <v/>
      </c>
      <c r="AH675" s="929" t="s">
        <v>6567</v>
      </c>
      <c r="AI675" s="758">
        <f>IFERROR(IF(IF(AH675&lt;&gt;"",VLOOKUP(AH675,Tabla_ArmasyEscudos,9,0),"")="Conocida",MAX(AI$660:AI674)+1,0),0)</f>
        <v>0</v>
      </c>
      <c r="AJ675" s="758">
        <f ca="1">IF(AH675="",0,IF(AI675=0,MAX(AJ$654:AJ674,AL$652)+1,AI675+IFERROR(VLOOKUP(VLOOKUP(AH675,$D$653:$AA$871,24,0),AH$654:AJ$659,3,0)-VLOOKUP(VLOOKUP(AH675,$D$653:$AA$871,24,0),AH$654:AJ$659,2,0)+1,0)))</f>
        <v>17</v>
      </c>
      <c r="AK675" s="758" t="str">
        <f t="shared" ca="1" si="130"/>
        <v>Guandao</v>
      </c>
      <c r="AL675" s="758" t="str">
        <f t="shared" ca="1" si="131"/>
        <v/>
      </c>
      <c r="AM675" s="2575" t="s">
        <v>2071</v>
      </c>
      <c r="AN675" s="758">
        <f>IFERROR(IF(IF(AM675&lt;&gt;"",VLOOKUP(AM675,Tabla_ArmasyEscudos,9,0),"")="Conocida",MAX(AN$660:AN674)+1,0),0)</f>
        <v>0</v>
      </c>
      <c r="AO675" s="758">
        <f ca="1">IF(AM675="",0,IF(AN675=0,MAX(AO$654:AO674,AQ$652)+1,AN675+IFERROR(VLOOKUP(VLOOKUP(AM675,$D$653:$AA$871,24,0),AM$654:AO$659,3,0)-VLOOKUP(VLOOKUP(AM675,$D$653:$AA$871,24,0),AM$654:AO$659,2,0)+1,0)))</f>
        <v>13</v>
      </c>
      <c r="AP675" s="758" t="str">
        <f t="shared" ca="1" si="132"/>
        <v/>
      </c>
      <c r="AQ675" s="758" t="str">
        <f t="shared" ca="1" si="133"/>
        <v/>
      </c>
      <c r="AR675" s="2575" t="s">
        <v>7865</v>
      </c>
      <c r="AS675" s="758">
        <f>IFERROR(IF(IF(AR675&lt;&gt;"",VLOOKUP(AR675,Tabla_ArmasyEscudos,9,0),"")="Conocida",MAX(AS$660:AS674)+1,0),0)</f>
        <v>0</v>
      </c>
      <c r="AT675" s="758">
        <f ca="1">IF(AR675="",0,IF(AS675=0,MAX(AT$654:AT674,AV$652)+1,AS675+IFERROR(VLOOKUP(VLOOKUP(AR675,$D$653:$AA$871,24,0),AR$654:AT$659,3,0)-VLOOKUP(VLOOKUP(AR675,$D$653:$AA$871,24,0),AR$654:AT$659,2,0)+1,0)))</f>
        <v>13</v>
      </c>
      <c r="AU675" s="758" t="str">
        <f t="shared" ca="1" si="134"/>
        <v/>
      </c>
      <c r="AV675" s="758" t="str">
        <f t="shared" ca="1" si="135"/>
        <v/>
      </c>
      <c r="AX675" s="1141" t="str">
        <f t="shared" si="136"/>
        <v>Claymore</v>
      </c>
      <c r="AY675" s="2549"/>
      <c r="AZ675" s="774" t="str">
        <f t="shared" si="137"/>
        <v/>
      </c>
      <c r="BA675" s="76" t="str">
        <f t="shared" si="138"/>
        <v/>
      </c>
      <c r="BB675" s="76" t="str">
        <f t="shared" si="139"/>
        <v>Daga</v>
      </c>
      <c r="BC675" s="1142">
        <f>IF(OR($L673=BC$652,$L673="",$D673=$BE$651),MAX(BC$654:BC674)+1,0)</f>
        <v>0</v>
      </c>
      <c r="BD675" s="1143">
        <f>IF(OR($L673=BD$652,$L673="",$D673=$BE$651),MAX(BD$654:BD674)+1,0)</f>
        <v>0</v>
      </c>
      <c r="BE675" s="1144">
        <f>IF(OR($L673=BE$652,$L673="",$D673=$BE$651),MAX(BE$654:BE674)+1,0)</f>
        <v>20</v>
      </c>
      <c r="BF675" s="2549"/>
      <c r="BG675" s="774" t="str">
        <f t="shared" si="140"/>
        <v/>
      </c>
      <c r="BH675" s="76" t="str">
        <f t="shared" si="141"/>
        <v/>
      </c>
      <c r="BI675" s="76" t="str">
        <f t="shared" si="142"/>
        <v>Daga</v>
      </c>
      <c r="BJ675" s="1142">
        <f>IF(OR($L673=BJ$652,$L673="",$D673=$BL$651),MAX(BJ$654:BJ674)+1,0)</f>
        <v>0</v>
      </c>
      <c r="BK675" s="1143">
        <f>IF(OR($L673=BK$652,$L673="",$D673=$BL$651),MAX(BK$654:BK674)+1,0)</f>
        <v>0</v>
      </c>
      <c r="BL675" s="1144">
        <f>IF(OR($L673=BL$652,$L673="",$D673=$BL$651),MAX(BL$654:BL674)+1,0)</f>
        <v>20</v>
      </c>
      <c r="BM675" s="2549"/>
      <c r="BN675" s="774" t="str">
        <f t="shared" si="143"/>
        <v/>
      </c>
      <c r="BO675" s="76" t="str">
        <f t="shared" si="144"/>
        <v/>
      </c>
      <c r="BP675" s="76" t="str">
        <f t="shared" si="145"/>
        <v>Daga</v>
      </c>
      <c r="BQ675" s="1142">
        <f>IF(OR($L673=BQ$652,$L673="",$D673=$BS$651),MAX(BQ$654:BQ674)+1,0)</f>
        <v>0</v>
      </c>
      <c r="BR675" s="1143">
        <f>IF(OR($L673=BR$652,$L673="",$D673=$BS$651),MAX(BR$654:BR674)+1,0)</f>
        <v>0</v>
      </c>
      <c r="BS675" s="1144">
        <f>IF(OR($L673=BS$652,$L673="",$D673=$BS$651),MAX(BS$654:BS674)+1,0)</f>
        <v>20</v>
      </c>
      <c r="BT675" s="2549"/>
      <c r="BU675" s="774" t="str">
        <f t="shared" si="146"/>
        <v/>
      </c>
      <c r="BV675" s="76" t="str">
        <f t="shared" si="147"/>
        <v/>
      </c>
      <c r="BW675" s="76" t="str">
        <f t="shared" si="148"/>
        <v>Daga</v>
      </c>
      <c r="BX675" s="1142">
        <f>IF(OR($L673=BX$652,$L673="",$D673=$BZ$651),MAX(BX$654:BX674)+1,0)</f>
        <v>0</v>
      </c>
      <c r="BY675" s="1143">
        <f>IF(OR($L673=BY$652,$L673="",$D673=$BZ$651),MAX(BY$654:BY674)+1,0)</f>
        <v>0</v>
      </c>
      <c r="BZ675" s="1144">
        <f>IF(OR($L673=BZ$652,$L673="",$D673=$BZ$651),MAX(BZ$654:BZ674)+1,0)</f>
        <v>20</v>
      </c>
      <c r="CA675" s="2549"/>
      <c r="CB675" s="774" t="str">
        <f t="shared" si="149"/>
        <v/>
      </c>
      <c r="CC675" s="76" t="str">
        <f t="shared" si="150"/>
        <v/>
      </c>
      <c r="CD675" s="76" t="str">
        <f t="shared" si="151"/>
        <v>Daga</v>
      </c>
      <c r="CE675" s="1142">
        <f>IF(OR($L673=CE$652,$L673="",$D673=$CG$651),MAX(CE$654:CE674)+1,0)</f>
        <v>0</v>
      </c>
      <c r="CF675" s="1143">
        <f>IF(OR($L673=CF$652,$L673="",$D673=$CG$651),MAX(CF$654:CF674)+1,0)</f>
        <v>0</v>
      </c>
      <c r="CG675" s="1144">
        <f>IF(OR($L673=CG$652,$L673="",$D673=$CG$651),MAX(CG$654:CG674)+1,0)</f>
        <v>20</v>
      </c>
      <c r="CI675" s="774" t="str">
        <f t="shared" si="152"/>
        <v/>
      </c>
      <c r="CJ675" s="76" t="str">
        <f t="shared" si="153"/>
        <v/>
      </c>
      <c r="CK675" s="76" t="str">
        <f t="shared" si="154"/>
        <v>Daga</v>
      </c>
      <c r="CL675" s="1142">
        <f>IF(OR($L673=CL$652,$L673="",$D673=$CN$651),MAX(CL$654:CL674)+1,0)</f>
        <v>0</v>
      </c>
      <c r="CM675" s="1143">
        <f>IF(OR($L673=CM$652,$L673="",$D673=$CN$651),MAX(CM$654:CM674)+1,0)</f>
        <v>0</v>
      </c>
      <c r="CN675" s="1144">
        <f>IF(OR($L673=CN$652,$L673="",$D673=$CN$651),MAX(CN$654:CN674)+1,0)</f>
        <v>20</v>
      </c>
    </row>
    <row r="676" spans="1:92" ht="12.75" customHeight="1">
      <c r="A676" s="219">
        <v>667</v>
      </c>
      <c r="B676" s="7145"/>
      <c r="C676" s="1034"/>
      <c r="D676" s="2237" t="s">
        <v>1977</v>
      </c>
      <c r="E676" s="2236">
        <v>20</v>
      </c>
      <c r="F676" s="2236">
        <v>20</v>
      </c>
      <c r="G676" s="2236">
        <v>3</v>
      </c>
      <c r="H676" s="2236">
        <v>3</v>
      </c>
      <c r="I676" s="2236" t="s">
        <v>1411</v>
      </c>
      <c r="J676" s="2236" t="s">
        <v>1315</v>
      </c>
      <c r="K676" s="2433" t="s">
        <v>6832</v>
      </c>
      <c r="L676" s="2236" t="str">
        <f t="shared" si="156"/>
        <v>Distinta</v>
      </c>
      <c r="M676" s="2240">
        <v>3</v>
      </c>
      <c r="N676" s="2240">
        <v>-4</v>
      </c>
      <c r="O676" s="2240">
        <v>15</v>
      </c>
      <c r="P676" s="2236"/>
      <c r="Q676" s="2236"/>
      <c r="R676" s="2240">
        <v>40</v>
      </c>
      <c r="S676" s="2236" t="s">
        <v>1315</v>
      </c>
      <c r="T676" s="2236">
        <v>20</v>
      </c>
      <c r="U676" s="2236"/>
      <c r="V676" s="2433" t="s">
        <v>8124</v>
      </c>
      <c r="W676" s="2433"/>
      <c r="X676" s="2434" t="str">
        <f t="shared" si="158"/>
        <v>Mediana</v>
      </c>
      <c r="Y676" s="2229">
        <f t="shared" si="157"/>
        <v>0</v>
      </c>
      <c r="Z676" s="1150" t="str">
        <f t="shared" si="155"/>
        <v/>
      </c>
      <c r="AA676" s="1751" t="s">
        <v>1960</v>
      </c>
      <c r="AC676" s="929" t="s">
        <v>1971</v>
      </c>
      <c r="AD676" s="758">
        <f>IFERROR(IF(IF(AC676&lt;&gt;"",VLOOKUP(AC676,Tabla_ArmasyEscudos,9,0),"")="Conocida",MAX(AD$662:AD675)+1,0),0)</f>
        <v>0</v>
      </c>
      <c r="AE676" s="758">
        <f ca="1">IF(AC676="",0,IF(AD676=0,MAX(AE$654:AE675,AG$652)+1,AD676+IFERROR(VLOOKUP(VLOOKUP(AC676,$D$653:$AA$871,24,0),AC$654:AE$661,3,0)-VLOOKUP(VLOOKUP(AC676,$D$653:$AA$871,24,0),AC$654:AE$661,2,0)+1,0)))</f>
        <v>16</v>
      </c>
      <c r="AF676" s="758" t="str">
        <f t="shared" ca="1" si="128"/>
        <v>Dardos de mano</v>
      </c>
      <c r="AG676" s="758" t="str">
        <f t="shared" ca="1" si="129"/>
        <v/>
      </c>
      <c r="AH676" s="929" t="s">
        <v>1991</v>
      </c>
      <c r="AI676" s="758">
        <f>IFERROR(IF(IF(AH676&lt;&gt;"",VLOOKUP(AH676,Tabla_ArmasyEscudos,9,0),"")="Conocida",MAX(AI$660:AI675)+1,0),0)</f>
        <v>0</v>
      </c>
      <c r="AJ676" s="758">
        <f ca="1">IF(AH676="",0,IF(AI676=0,MAX(AJ$654:AJ675,AL$652)+1,AI676+IFERROR(VLOOKUP(VLOOKUP(AH676,$D$653:$AA$871,24,0),AH$654:AJ$659,3,0)-VLOOKUP(VLOOKUP(AH676,$D$653:$AA$871,24,0),AH$654:AJ$659,2,0)+1,0)))</f>
        <v>18</v>
      </c>
      <c r="AK676" s="758" t="str">
        <f t="shared" ca="1" si="130"/>
        <v>Hacha a dos manos</v>
      </c>
      <c r="AL676" s="758" t="str">
        <f t="shared" ca="1" si="131"/>
        <v/>
      </c>
      <c r="AM676" s="2568" t="s">
        <v>8136</v>
      </c>
      <c r="AN676" s="758">
        <f>IFERROR(IF(IF(AM676&lt;&gt;"",VLOOKUP(AM676,Tabla_ArmasyEscudos,9,0),"")="Conocida",MAX(AN$660:AN675)+1,0),0)</f>
        <v>0</v>
      </c>
      <c r="AO676" s="758">
        <f ca="1">IF(AM676="",0,IF(AN676=0,MAX(AO$654:AO675,AQ$652)+1,AN676+IFERROR(VLOOKUP(VLOOKUP(AM676,$D$653:$AA$871,24,0),AM$654:AO$659,3,0)-VLOOKUP(VLOOKUP(AM676,$D$653:$AA$871,24,0),AM$654:AO$659,2,0)+1,0)))</f>
        <v>14</v>
      </c>
      <c r="AP676" s="758" t="str">
        <f t="shared" ca="1" si="132"/>
        <v/>
      </c>
      <c r="AQ676" s="758" t="str">
        <f t="shared" ca="1" si="133"/>
        <v/>
      </c>
      <c r="AR676" s="2568" t="s">
        <v>7866</v>
      </c>
      <c r="AS676" s="758">
        <f>IFERROR(IF(IF(AR676&lt;&gt;"",VLOOKUP(AR676,Tabla_ArmasyEscudos,9,0),"")="Conocida",MAX(AS$660:AS675)+1,0),0)</f>
        <v>0</v>
      </c>
      <c r="AT676" s="758">
        <f ca="1">IF(AR676="",0,IF(AS676=0,MAX(AT$654:AT675,AV$652)+1,AS676+IFERROR(VLOOKUP(VLOOKUP(AR676,$D$653:$AA$871,24,0),AR$654:AT$659,3,0)-VLOOKUP(VLOOKUP(AR676,$D$653:$AA$871,24,0),AR$654:AT$659,2,0)+1,0)))</f>
        <v>14</v>
      </c>
      <c r="AU676" s="758" t="str">
        <f t="shared" ca="1" si="134"/>
        <v/>
      </c>
      <c r="AV676" s="758" t="str">
        <f t="shared" ca="1" si="135"/>
        <v/>
      </c>
      <c r="AX676" s="1141" t="str">
        <f t="shared" si="136"/>
        <v>Daga</v>
      </c>
      <c r="AY676" s="2549"/>
      <c r="AZ676" s="774" t="str">
        <f t="shared" si="137"/>
        <v/>
      </c>
      <c r="BA676" s="76" t="str">
        <f t="shared" si="138"/>
        <v/>
      </c>
      <c r="BB676" s="76" t="str">
        <f t="shared" si="139"/>
        <v>Daga de parada</v>
      </c>
      <c r="BC676" s="1142">
        <f>IF(OR($L674=BC$652,$L674="",$D674=$BE$651),MAX(BC$654:BC675)+1,0)</f>
        <v>0</v>
      </c>
      <c r="BD676" s="1143">
        <f>IF(OR($L674=BD$652,$L674="",$D674=$BE$651),MAX(BD$654:BD675)+1,0)</f>
        <v>0</v>
      </c>
      <c r="BE676" s="1144">
        <f>IF(OR($L674=BE$652,$L674="",$D674=$BE$651),MAX(BE$654:BE675)+1,0)</f>
        <v>21</v>
      </c>
      <c r="BF676" s="2549"/>
      <c r="BG676" s="774" t="str">
        <f t="shared" si="140"/>
        <v/>
      </c>
      <c r="BH676" s="76" t="str">
        <f t="shared" si="141"/>
        <v/>
      </c>
      <c r="BI676" s="76" t="str">
        <f t="shared" si="142"/>
        <v>Daga de parada</v>
      </c>
      <c r="BJ676" s="1142">
        <f>IF(OR($L674=BJ$652,$L674="",$D674=$BL$651),MAX(BJ$654:BJ675)+1,0)</f>
        <v>0</v>
      </c>
      <c r="BK676" s="1143">
        <f>IF(OR($L674=BK$652,$L674="",$D674=$BL$651),MAX(BK$654:BK675)+1,0)</f>
        <v>0</v>
      </c>
      <c r="BL676" s="1144">
        <f>IF(OR($L674=BL$652,$L674="",$D674=$BL$651),MAX(BL$654:BL675)+1,0)</f>
        <v>21</v>
      </c>
      <c r="BM676" s="2549"/>
      <c r="BN676" s="774" t="str">
        <f t="shared" si="143"/>
        <v/>
      </c>
      <c r="BO676" s="76" t="str">
        <f t="shared" si="144"/>
        <v/>
      </c>
      <c r="BP676" s="76" t="str">
        <f t="shared" si="145"/>
        <v>Daga de parada</v>
      </c>
      <c r="BQ676" s="1142">
        <f>IF(OR($L674=BQ$652,$L674="",$D674=$BS$651),MAX(BQ$654:BQ675)+1,0)</f>
        <v>0</v>
      </c>
      <c r="BR676" s="1143">
        <f>IF(OR($L674=BR$652,$L674="",$D674=$BS$651),MAX(BR$654:BR675)+1,0)</f>
        <v>0</v>
      </c>
      <c r="BS676" s="1144">
        <f>IF(OR($L674=BS$652,$L674="",$D674=$BS$651),MAX(BS$654:BS675)+1,0)</f>
        <v>21</v>
      </c>
      <c r="BT676" s="2549"/>
      <c r="BU676" s="774" t="str">
        <f t="shared" si="146"/>
        <v/>
      </c>
      <c r="BV676" s="76" t="str">
        <f t="shared" si="147"/>
        <v/>
      </c>
      <c r="BW676" s="76" t="str">
        <f t="shared" si="148"/>
        <v>Daga de parada</v>
      </c>
      <c r="BX676" s="1142">
        <f>IF(OR($L674=BX$652,$L674="",$D674=$BZ$651),MAX(BX$654:BX675)+1,0)</f>
        <v>0</v>
      </c>
      <c r="BY676" s="1143">
        <f>IF(OR($L674=BY$652,$L674="",$D674=$BZ$651),MAX(BY$654:BY675)+1,0)</f>
        <v>0</v>
      </c>
      <c r="BZ676" s="1144">
        <f>IF(OR($L674=BZ$652,$L674="",$D674=$BZ$651),MAX(BZ$654:BZ675)+1,0)</f>
        <v>21</v>
      </c>
      <c r="CA676" s="2549"/>
      <c r="CB676" s="774" t="str">
        <f t="shared" si="149"/>
        <v/>
      </c>
      <c r="CC676" s="76" t="str">
        <f t="shared" si="150"/>
        <v/>
      </c>
      <c r="CD676" s="76" t="str">
        <f t="shared" si="151"/>
        <v>Daga de parada</v>
      </c>
      <c r="CE676" s="1142">
        <f>IF(OR($L674=CE$652,$L674="",$D674=$CG$651),MAX(CE$654:CE675)+1,0)</f>
        <v>0</v>
      </c>
      <c r="CF676" s="1143">
        <f>IF(OR($L674=CF$652,$L674="",$D674=$CG$651),MAX(CF$654:CF675)+1,0)</f>
        <v>0</v>
      </c>
      <c r="CG676" s="1144">
        <f>IF(OR($L674=CG$652,$L674="",$D674=$CG$651),MAX(CG$654:CG675)+1,0)</f>
        <v>21</v>
      </c>
      <c r="CI676" s="774" t="str">
        <f t="shared" si="152"/>
        <v/>
      </c>
      <c r="CJ676" s="76" t="str">
        <f t="shared" si="153"/>
        <v/>
      </c>
      <c r="CK676" s="76" t="str">
        <f t="shared" si="154"/>
        <v>Daga de parada</v>
      </c>
      <c r="CL676" s="1142">
        <f>IF(OR($L674=CL$652,$L674="",$D674=$CN$651),MAX(CL$654:CL675)+1,0)</f>
        <v>0</v>
      </c>
      <c r="CM676" s="1143">
        <f>IF(OR($L674=CM$652,$L674="",$D674=$CN$651),MAX(CM$654:CM675)+1,0)</f>
        <v>0</v>
      </c>
      <c r="CN676" s="1144">
        <f>IF(OR($L674=CN$652,$L674="",$D674=$CN$651),MAX(CN$654:CN675)+1,0)</f>
        <v>21</v>
      </c>
    </row>
    <row r="677" spans="1:92" ht="12.75" customHeight="1">
      <c r="A677" s="219">
        <v>668</v>
      </c>
      <c r="B677" s="7145"/>
      <c r="C677" s="1034"/>
      <c r="D677" s="2237" t="s">
        <v>6571</v>
      </c>
      <c r="E677" s="2239">
        <v>35</v>
      </c>
      <c r="F677" s="2236">
        <v>15</v>
      </c>
      <c r="G677" s="2236">
        <v>5</v>
      </c>
      <c r="H677" s="2236">
        <v>5</v>
      </c>
      <c r="I677" s="2236" t="s">
        <v>1411</v>
      </c>
      <c r="J677" s="2236" t="s">
        <v>1315</v>
      </c>
      <c r="K677" s="2433" t="s">
        <v>6835</v>
      </c>
      <c r="L677" s="2236" t="str">
        <f t="shared" si="156"/>
        <v>Distinta</v>
      </c>
      <c r="M677" s="2240">
        <v>10</v>
      </c>
      <c r="N677" s="2240">
        <v>-2</v>
      </c>
      <c r="O677" s="2240">
        <v>15</v>
      </c>
      <c r="P677" s="2236"/>
      <c r="Q677" s="2236"/>
      <c r="R677" s="2236" t="s">
        <v>1315</v>
      </c>
      <c r="S677" s="2236" t="s">
        <v>1315</v>
      </c>
      <c r="T677" s="2236" t="s">
        <v>1315</v>
      </c>
      <c r="U677" s="2236"/>
      <c r="V677" s="2433" t="s">
        <v>1983</v>
      </c>
      <c r="W677" s="2433"/>
      <c r="X677" s="2434" t="str">
        <f t="shared" si="158"/>
        <v>Pequeña</v>
      </c>
      <c r="Y677" s="2229">
        <f t="shared" si="157"/>
        <v>0</v>
      </c>
      <c r="Z677" s="1150" t="str">
        <f t="shared" si="155"/>
        <v/>
      </c>
      <c r="AA677" s="1751" t="s">
        <v>1960</v>
      </c>
      <c r="AC677" s="929" t="s">
        <v>6565</v>
      </c>
      <c r="AD677" s="758">
        <f>IFERROR(IF(IF(AC677&lt;&gt;"",VLOOKUP(AC677,Tabla_ArmasyEscudos,9,0),"")="Conocida",MAX(AD$662:AD676)+1,0),0)</f>
        <v>0</v>
      </c>
      <c r="AE677" s="758">
        <f ca="1">IF(AC677="",0,IF(AD677=0,MAX(AE$654:AE676,AG$652)+1,AD677+IFERROR(VLOOKUP(VLOOKUP(AC677,$D$653:$AA$871,24,0),AC$654:AE$661,3,0)-VLOOKUP(VLOOKUP(AC677,$D$653:$AA$871,24,0),AC$654:AE$661,2,0)+1,0)))</f>
        <v>17</v>
      </c>
      <c r="AF677" s="758" t="str">
        <f t="shared" ca="1" si="128"/>
        <v>Dirk</v>
      </c>
      <c r="AG677" s="758" t="str">
        <f t="shared" ca="1" si="129"/>
        <v/>
      </c>
      <c r="AH677" s="929" t="s">
        <v>9648</v>
      </c>
      <c r="AI677" s="758">
        <f>IFERROR(IF(IF(AH677&lt;&gt;"",VLOOKUP(AH677,Tabla_ArmasyEscudos,9,0),"")="Conocida",MAX(AI$660:AI676)+1,0),0)</f>
        <v>0</v>
      </c>
      <c r="AJ677" s="758">
        <f ca="1">IF(AH677="",0,IF(AI677=0,MAX(AJ$654:AJ676,AL$652)+1,AI677+IFERROR(VLOOKUP(VLOOKUP(AH677,$D$653:$AA$871,24,0),AH$654:AJ$659,3,0)-VLOOKUP(VLOOKUP(AH677,$D$653:$AA$871,24,0),AH$654:AJ$659,2,0)+1,0)))</f>
        <v>19</v>
      </c>
      <c r="AK677" s="758" t="str">
        <f t="shared" ca="1" si="130"/>
        <v>Lanza</v>
      </c>
      <c r="AL677" s="758" t="str">
        <f t="shared" ca="1" si="131"/>
        <v/>
      </c>
      <c r="AM677" s="2568" t="s">
        <v>8137</v>
      </c>
      <c r="AN677" s="758">
        <f>IFERROR(IF(IF(AM677&lt;&gt;"",VLOOKUP(AM677,Tabla_ArmasyEscudos,9,0),"")="Conocida",MAX(AN$660:AN676)+1,0),0)</f>
        <v>0</v>
      </c>
      <c r="AO677" s="758">
        <f ca="1">IF(AM677="",0,IF(AN677=0,MAX(AO$654:AO676,AQ$652)+1,AN677+IFERROR(VLOOKUP(VLOOKUP(AM677,$D$653:$AA$871,24,0),AM$654:AO$659,3,0)-VLOOKUP(VLOOKUP(AM677,$D$653:$AA$871,24,0),AM$654:AO$659,2,0)+1,0)))</f>
        <v>15</v>
      </c>
      <c r="AP677" s="758" t="str">
        <f t="shared" ca="1" si="132"/>
        <v/>
      </c>
      <c r="AQ677" s="758" t="str">
        <f t="shared" ca="1" si="133"/>
        <v/>
      </c>
      <c r="AR677" s="2568" t="s">
        <v>7867</v>
      </c>
      <c r="AS677" s="758">
        <f>IFERROR(IF(IF(AR677&lt;&gt;"",VLOOKUP(AR677,Tabla_ArmasyEscudos,9,0),"")="Conocida",MAX(AS$660:AS676)+1,0),0)</f>
        <v>0</v>
      </c>
      <c r="AT677" s="758">
        <f ca="1">IF(AR677="",0,IF(AS677=0,MAX(AT$654:AT676,AV$652)+1,AS677+IFERROR(VLOOKUP(VLOOKUP(AR677,$D$653:$AA$871,24,0),AR$654:AT$659,3,0)-VLOOKUP(VLOOKUP(AR677,$D$653:$AA$871,24,0),AR$654:AT$659,2,0)+1,0)))</f>
        <v>15</v>
      </c>
      <c r="AU677" s="758" t="str">
        <f t="shared" ca="1" si="134"/>
        <v/>
      </c>
      <c r="AV677" s="758" t="str">
        <f t="shared" ca="1" si="135"/>
        <v/>
      </c>
      <c r="AX677" s="1141" t="str">
        <f t="shared" si="136"/>
        <v>Daga de parada</v>
      </c>
      <c r="AY677" s="2549"/>
      <c r="AZ677" s="774" t="str">
        <f t="shared" si="137"/>
        <v/>
      </c>
      <c r="BA677" s="76" t="str">
        <f t="shared" si="138"/>
        <v/>
      </c>
      <c r="BB677" s="76" t="str">
        <f t="shared" si="139"/>
        <v>Dardos de mano</v>
      </c>
      <c r="BC677" s="1142">
        <f>IF(OR($L675=BC$652,$L675="",$D675=$BE$651),MAX(BC$654:BC676)+1,0)</f>
        <v>0</v>
      </c>
      <c r="BD677" s="1143">
        <f>IF(OR($L675=BD$652,$L675="",$D675=$BE$651),MAX(BD$654:BD676)+1,0)</f>
        <v>0</v>
      </c>
      <c r="BE677" s="1144">
        <f>IF(OR($L675=BE$652,$L675="",$D675=$BE$651),MAX(BE$654:BE676)+1,0)</f>
        <v>22</v>
      </c>
      <c r="BF677" s="2549"/>
      <c r="BG677" s="774" t="str">
        <f t="shared" si="140"/>
        <v/>
      </c>
      <c r="BH677" s="76" t="str">
        <f t="shared" si="141"/>
        <v/>
      </c>
      <c r="BI677" s="76" t="str">
        <f t="shared" si="142"/>
        <v>Dardos de mano</v>
      </c>
      <c r="BJ677" s="1142">
        <f>IF(OR($L675=BJ$652,$L675="",$D675=$BL$651),MAX(BJ$654:BJ676)+1,0)</f>
        <v>0</v>
      </c>
      <c r="BK677" s="1143">
        <f>IF(OR($L675=BK$652,$L675="",$D675=$BL$651),MAX(BK$654:BK676)+1,0)</f>
        <v>0</v>
      </c>
      <c r="BL677" s="1144">
        <f>IF(OR($L675=BL$652,$L675="",$D675=$BL$651),MAX(BL$654:BL676)+1,0)</f>
        <v>22</v>
      </c>
      <c r="BM677" s="2549"/>
      <c r="BN677" s="774" t="str">
        <f t="shared" si="143"/>
        <v/>
      </c>
      <c r="BO677" s="76" t="str">
        <f t="shared" si="144"/>
        <v/>
      </c>
      <c r="BP677" s="76" t="str">
        <f t="shared" si="145"/>
        <v>Dardos de mano</v>
      </c>
      <c r="BQ677" s="1142">
        <f>IF(OR($L675=BQ$652,$L675="",$D675=$BS$651),MAX(BQ$654:BQ676)+1,0)</f>
        <v>0</v>
      </c>
      <c r="BR677" s="1143">
        <f>IF(OR($L675=BR$652,$L675="",$D675=$BS$651),MAX(BR$654:BR676)+1,0)</f>
        <v>0</v>
      </c>
      <c r="BS677" s="1144">
        <f>IF(OR($L675=BS$652,$L675="",$D675=$BS$651),MAX(BS$654:BS676)+1,0)</f>
        <v>22</v>
      </c>
      <c r="BT677" s="2549"/>
      <c r="BU677" s="774" t="str">
        <f t="shared" si="146"/>
        <v/>
      </c>
      <c r="BV677" s="76" t="str">
        <f t="shared" si="147"/>
        <v/>
      </c>
      <c r="BW677" s="76" t="str">
        <f t="shared" si="148"/>
        <v>Dardos de mano</v>
      </c>
      <c r="BX677" s="1142">
        <f>IF(OR($L675=BX$652,$L675="",$D675=$BZ$651),MAX(BX$654:BX676)+1,0)</f>
        <v>0</v>
      </c>
      <c r="BY677" s="1143">
        <f>IF(OR($L675=BY$652,$L675="",$D675=$BZ$651),MAX(BY$654:BY676)+1,0)</f>
        <v>0</v>
      </c>
      <c r="BZ677" s="1144">
        <f>IF(OR($L675=BZ$652,$L675="",$D675=$BZ$651),MAX(BZ$654:BZ676)+1,0)</f>
        <v>22</v>
      </c>
      <c r="CA677" s="2549"/>
      <c r="CB677" s="774" t="str">
        <f t="shared" si="149"/>
        <v/>
      </c>
      <c r="CC677" s="76" t="str">
        <f t="shared" si="150"/>
        <v/>
      </c>
      <c r="CD677" s="76" t="str">
        <f t="shared" si="151"/>
        <v>Dardos de mano</v>
      </c>
      <c r="CE677" s="1142">
        <f>IF(OR($L675=CE$652,$L675="",$D675=$CG$651),MAX(CE$654:CE676)+1,0)</f>
        <v>0</v>
      </c>
      <c r="CF677" s="1143">
        <f>IF(OR($L675=CF$652,$L675="",$D675=$CG$651),MAX(CF$654:CF676)+1,0)</f>
        <v>0</v>
      </c>
      <c r="CG677" s="1144">
        <f>IF(OR($L675=CG$652,$L675="",$D675=$CG$651),MAX(CG$654:CG676)+1,0)</f>
        <v>22</v>
      </c>
      <c r="CI677" s="774" t="str">
        <f t="shared" si="152"/>
        <v/>
      </c>
      <c r="CJ677" s="76" t="str">
        <f t="shared" si="153"/>
        <v/>
      </c>
      <c r="CK677" s="76" t="str">
        <f t="shared" si="154"/>
        <v>Dardos de mano</v>
      </c>
      <c r="CL677" s="1142">
        <f>IF(OR($L675=CL$652,$L675="",$D675=$CN$651),MAX(CL$654:CL676)+1,0)</f>
        <v>0</v>
      </c>
      <c r="CM677" s="1143">
        <f>IF(OR($L675=CM$652,$L675="",$D675=$CN$651),MAX(CM$654:CM676)+1,0)</f>
        <v>0</v>
      </c>
      <c r="CN677" s="1144">
        <f>IF(OR($L675=CN$652,$L675="",$D675=$CN$651),MAX(CN$654:CN676)+1,0)</f>
        <v>22</v>
      </c>
    </row>
    <row r="678" spans="1:92" ht="12.75" customHeight="1">
      <c r="A678" s="219">
        <v>669</v>
      </c>
      <c r="B678" s="7145"/>
      <c r="C678" s="1034"/>
      <c r="D678" s="2237" t="s">
        <v>6572</v>
      </c>
      <c r="E678" s="2239">
        <v>45</v>
      </c>
      <c r="F678" s="2236">
        <v>0</v>
      </c>
      <c r="G678" s="2236">
        <v>4</v>
      </c>
      <c r="H678" s="2236">
        <v>4</v>
      </c>
      <c r="I678" s="2236" t="s">
        <v>1410</v>
      </c>
      <c r="J678" s="2236" t="s">
        <v>1411</v>
      </c>
      <c r="K678" s="2433" t="s">
        <v>6835</v>
      </c>
      <c r="L678" s="2236" t="str">
        <f t="shared" si="156"/>
        <v>Distinta</v>
      </c>
      <c r="M678" s="2240">
        <v>14</v>
      </c>
      <c r="N678" s="2240">
        <v>4</v>
      </c>
      <c r="O678" s="2240">
        <v>20</v>
      </c>
      <c r="P678" s="2236"/>
      <c r="Q678" s="2236"/>
      <c r="R678" s="2236" t="s">
        <v>1315</v>
      </c>
      <c r="S678" s="2236" t="s">
        <v>1315</v>
      </c>
      <c r="T678" s="2236" t="s">
        <v>1315</v>
      </c>
      <c r="U678" s="2236"/>
      <c r="V678" s="2433" t="s">
        <v>1315</v>
      </c>
      <c r="W678" s="2433"/>
      <c r="X678" s="2434" t="str">
        <f t="shared" si="158"/>
        <v>Pequeña</v>
      </c>
      <c r="Y678" s="2229">
        <f t="shared" si="157"/>
        <v>0</v>
      </c>
      <c r="Z678" s="1150" t="str">
        <f t="shared" si="155"/>
        <v/>
      </c>
      <c r="AA678" s="1751" t="s">
        <v>1960</v>
      </c>
      <c r="AC678" s="929" t="s">
        <v>1973</v>
      </c>
      <c r="AD678" s="758">
        <f>IFERROR(IF(IF(AC678&lt;&gt;"",VLOOKUP(AC678,Tabla_ArmasyEscudos,9,0),"")="Conocida",MAX(AD$662:AD677)+1,0),0)</f>
        <v>0</v>
      </c>
      <c r="AE678" s="758">
        <f ca="1">IF(AC678="",0,IF(AD678=0,MAX(AE$654:AE677,AG$652)+1,AD678+IFERROR(VLOOKUP(VLOOKUP(AC678,$D$653:$AA$871,24,0),AC$654:AE$661,3,0)-VLOOKUP(VLOOKUP(AC678,$D$653:$AA$871,24,0),AC$654:AE$661,2,0)+1,0)))</f>
        <v>18</v>
      </c>
      <c r="AF678" s="758" t="str">
        <f t="shared" ca="1" si="128"/>
        <v>Escramasajón</v>
      </c>
      <c r="AG678" s="758" t="str">
        <f t="shared" ca="1" si="129"/>
        <v/>
      </c>
      <c r="AH678" s="929" t="s">
        <v>1992</v>
      </c>
      <c r="AI678" s="758">
        <f>IFERROR(IF(IF(AH678&lt;&gt;"",VLOOKUP(AH678,Tabla_ArmasyEscudos,9,0),"")="Conocida",MAX(AI$660:AI677)+1,0),0)</f>
        <v>0</v>
      </c>
      <c r="AJ678" s="758">
        <f ca="1">IF(AH678="",0,IF(AI678=0,MAX(AJ$654:AJ677,AL$652)+1,AI678+IFERROR(VLOOKUP(VLOOKUP(AH678,$D$653:$AA$871,24,0),AH$654:AJ$659,3,0)-VLOOKUP(VLOOKUP(AH678,$D$653:$AA$871,24,0),AH$654:AJ$659,2,0)+1,0)))</f>
        <v>20</v>
      </c>
      <c r="AK678" s="758" t="str">
        <f t="shared" ca="1" si="130"/>
        <v>Lazo</v>
      </c>
      <c r="AL678" s="758" t="str">
        <f t="shared" ca="1" si="131"/>
        <v/>
      </c>
      <c r="AM678" s="931"/>
      <c r="AN678" s="758">
        <f>IFERROR(IF(IF(AM678&lt;&gt;"",VLOOKUP(AM678,Tabla_ArmasyEscudos,9,0),"")="Conocida",MAX(AN$660:AN677)+1,0),0)</f>
        <v>0</v>
      </c>
      <c r="AO678" s="758">
        <f>IF(AM678="",0,IF(AN678=0,MAX(AO$654:AO677,AQ$652)+1,AN678+IFERROR(VLOOKUP(VLOOKUP(AM678,$D$653:$AA$871,24,0),AM$654:AO$659,3,0)-VLOOKUP(VLOOKUP(AM678,$D$653:$AA$871,24,0),AM$654:AO$659,2,0)+1,0)))</f>
        <v>0</v>
      </c>
      <c r="AP678" s="758" t="str">
        <f t="shared" ca="1" si="132"/>
        <v/>
      </c>
      <c r="AQ678" s="758" t="str">
        <f t="shared" ca="1" si="133"/>
        <v/>
      </c>
      <c r="AR678" s="2568" t="s">
        <v>7868</v>
      </c>
      <c r="AS678" s="758">
        <f>IFERROR(IF(IF(AR678&lt;&gt;"",VLOOKUP(AR678,Tabla_ArmasyEscudos,9,0),"")="Conocida",MAX(AS$660:AS677)+1,0),0)</f>
        <v>0</v>
      </c>
      <c r="AT678" s="758">
        <f ca="1">IF(AR678="",0,IF(AS678=0,MAX(AT$654:AT677,AV$652)+1,AS678+IFERROR(VLOOKUP(VLOOKUP(AR678,$D$653:$AA$871,24,0),AR$654:AT$659,3,0)-VLOOKUP(VLOOKUP(AR678,$D$653:$AA$871,24,0),AR$654:AT$659,2,0)+1,0)))</f>
        <v>16</v>
      </c>
      <c r="AU678" s="758" t="str">
        <f t="shared" ca="1" si="134"/>
        <v/>
      </c>
      <c r="AV678" s="758" t="str">
        <f t="shared" ca="1" si="135"/>
        <v/>
      </c>
      <c r="AX678" s="1141" t="str">
        <f t="shared" si="136"/>
        <v>Dardos de mano</v>
      </c>
      <c r="AY678" s="2549"/>
      <c r="AZ678" s="774" t="str">
        <f t="shared" si="137"/>
        <v/>
      </c>
      <c r="BA678" s="76" t="str">
        <f t="shared" si="138"/>
        <v/>
      </c>
      <c r="BB678" s="76" t="str">
        <f t="shared" si="139"/>
        <v>Dirk</v>
      </c>
      <c r="BC678" s="1142">
        <f>IF(OR($L676=BC$652,$L676="",$D676=$BE$651),MAX(BC$654:BC677)+1,0)</f>
        <v>0</v>
      </c>
      <c r="BD678" s="1143">
        <f>IF(OR($L676=BD$652,$L676="",$D676=$BE$651),MAX(BD$654:BD677)+1,0)</f>
        <v>0</v>
      </c>
      <c r="BE678" s="1144">
        <f>IF(OR($L676=BE$652,$L676="",$D676=$BE$651),MAX(BE$654:BE677)+1,0)</f>
        <v>23</v>
      </c>
      <c r="BF678" s="2549"/>
      <c r="BG678" s="774" t="str">
        <f t="shared" si="140"/>
        <v/>
      </c>
      <c r="BH678" s="76" t="str">
        <f t="shared" si="141"/>
        <v/>
      </c>
      <c r="BI678" s="76" t="str">
        <f t="shared" si="142"/>
        <v>Dirk</v>
      </c>
      <c r="BJ678" s="1142">
        <f>IF(OR($L676=BJ$652,$L676="",$D676=$BL$651),MAX(BJ$654:BJ677)+1,0)</f>
        <v>0</v>
      </c>
      <c r="BK678" s="1143">
        <f>IF(OR($L676=BK$652,$L676="",$D676=$BL$651),MAX(BK$654:BK677)+1,0)</f>
        <v>0</v>
      </c>
      <c r="BL678" s="1144">
        <f>IF(OR($L676=BL$652,$L676="",$D676=$BL$651),MAX(BL$654:BL677)+1,0)</f>
        <v>23</v>
      </c>
      <c r="BM678" s="2549"/>
      <c r="BN678" s="774" t="str">
        <f t="shared" si="143"/>
        <v/>
      </c>
      <c r="BO678" s="76" t="str">
        <f t="shared" si="144"/>
        <v/>
      </c>
      <c r="BP678" s="76" t="str">
        <f t="shared" si="145"/>
        <v>Dirk</v>
      </c>
      <c r="BQ678" s="1142">
        <f>IF(OR($L676=BQ$652,$L676="",$D676=$BS$651),MAX(BQ$654:BQ677)+1,0)</f>
        <v>0</v>
      </c>
      <c r="BR678" s="1143">
        <f>IF(OR($L676=BR$652,$L676="",$D676=$BS$651),MAX(BR$654:BR677)+1,0)</f>
        <v>0</v>
      </c>
      <c r="BS678" s="1144">
        <f>IF(OR($L676=BS$652,$L676="",$D676=$BS$651),MAX(BS$654:BS677)+1,0)</f>
        <v>23</v>
      </c>
      <c r="BT678" s="2549"/>
      <c r="BU678" s="774" t="str">
        <f t="shared" si="146"/>
        <v/>
      </c>
      <c r="BV678" s="76" t="str">
        <f t="shared" si="147"/>
        <v/>
      </c>
      <c r="BW678" s="76" t="str">
        <f t="shared" si="148"/>
        <v>Dirk</v>
      </c>
      <c r="BX678" s="1142">
        <f>IF(OR($L676=BX$652,$L676="",$D676=$BZ$651),MAX(BX$654:BX677)+1,0)</f>
        <v>0</v>
      </c>
      <c r="BY678" s="1143">
        <f>IF(OR($L676=BY$652,$L676="",$D676=$BZ$651),MAX(BY$654:BY677)+1,0)</f>
        <v>0</v>
      </c>
      <c r="BZ678" s="1144">
        <f>IF(OR($L676=BZ$652,$L676="",$D676=$BZ$651),MAX(BZ$654:BZ677)+1,0)</f>
        <v>23</v>
      </c>
      <c r="CA678" s="2549"/>
      <c r="CB678" s="774" t="str">
        <f t="shared" si="149"/>
        <v/>
      </c>
      <c r="CC678" s="76" t="str">
        <f t="shared" si="150"/>
        <v/>
      </c>
      <c r="CD678" s="76" t="str">
        <f t="shared" si="151"/>
        <v>Dirk</v>
      </c>
      <c r="CE678" s="1142">
        <f>IF(OR($L676=CE$652,$L676="",$D676=$CG$651),MAX(CE$654:CE677)+1,0)</f>
        <v>0</v>
      </c>
      <c r="CF678" s="1143">
        <f>IF(OR($L676=CF$652,$L676="",$D676=$CG$651),MAX(CF$654:CF677)+1,0)</f>
        <v>0</v>
      </c>
      <c r="CG678" s="1144">
        <f>IF(OR($L676=CG$652,$L676="",$D676=$CG$651),MAX(CG$654:CG677)+1,0)</f>
        <v>23</v>
      </c>
      <c r="CI678" s="774" t="str">
        <f t="shared" si="152"/>
        <v/>
      </c>
      <c r="CJ678" s="76" t="str">
        <f t="shared" si="153"/>
        <v/>
      </c>
      <c r="CK678" s="76" t="str">
        <f t="shared" si="154"/>
        <v>Dirk</v>
      </c>
      <c r="CL678" s="1142">
        <f>IF(OR($L676=CL$652,$L676="",$D676=$CN$651),MAX(CL$654:CL677)+1,0)</f>
        <v>0</v>
      </c>
      <c r="CM678" s="1143">
        <f>IF(OR($L676=CM$652,$L676="",$D676=$CN$651),MAX(CM$654:CM677)+1,0)</f>
        <v>0</v>
      </c>
      <c r="CN678" s="1144">
        <f>IF(OR($L676=CN$652,$L676="",$D676=$CN$651),MAX(CN$654:CN677)+1,0)</f>
        <v>23</v>
      </c>
    </row>
    <row r="679" spans="1:92" ht="12.75" customHeight="1">
      <c r="A679" s="219">
        <v>670</v>
      </c>
      <c r="B679" s="7145"/>
      <c r="C679" s="1034"/>
      <c r="D679" s="2237" t="s">
        <v>1978</v>
      </c>
      <c r="E679" s="2239">
        <v>90</v>
      </c>
      <c r="F679" s="2236">
        <v>-60</v>
      </c>
      <c r="G679" s="2236">
        <v>10</v>
      </c>
      <c r="H679" s="2236">
        <v>8</v>
      </c>
      <c r="I679" s="2236" t="s">
        <v>1410</v>
      </c>
      <c r="J679" s="2236" t="s">
        <v>1357</v>
      </c>
      <c r="K679" s="2433" t="s">
        <v>6837</v>
      </c>
      <c r="L679" s="2236" t="str">
        <f t="shared" si="156"/>
        <v>Distinta</v>
      </c>
      <c r="M679" s="2240">
        <v>18</v>
      </c>
      <c r="N679" s="2240">
        <v>6</v>
      </c>
      <c r="O679" s="2240">
        <v>30</v>
      </c>
      <c r="P679" s="2236"/>
      <c r="Q679" s="2236"/>
      <c r="R679" s="2236" t="s">
        <v>1315</v>
      </c>
      <c r="S679" s="2236" t="s">
        <v>1315</v>
      </c>
      <c r="T679" s="2236" t="s">
        <v>1315</v>
      </c>
      <c r="U679" s="2236"/>
      <c r="V679" s="2433" t="s">
        <v>1979</v>
      </c>
      <c r="W679" s="2433"/>
      <c r="X679" s="2434" t="str">
        <f t="shared" si="158"/>
        <v>Grande</v>
      </c>
      <c r="Y679" s="2229">
        <f t="shared" si="157"/>
        <v>0</v>
      </c>
      <c r="Z679" s="1150" t="str">
        <f t="shared" si="155"/>
        <v/>
      </c>
      <c r="AA679" s="1751" t="s">
        <v>1960</v>
      </c>
      <c r="AC679" s="929" t="s">
        <v>6568</v>
      </c>
      <c r="AD679" s="758">
        <f>IFERROR(IF(IF(AC679&lt;&gt;"",VLOOKUP(AC679,Tabla_ArmasyEscudos,9,0),"")="Conocida",MAX(AD$662:AD678)+1,0),0)</f>
        <v>0</v>
      </c>
      <c r="AE679" s="758">
        <f ca="1">IF(AC679="",0,IF(AD679=0,MAX(AE$654:AE678,AG$652)+1,AD679+IFERROR(VLOOKUP(VLOOKUP(AC679,$D$653:$AA$871,24,0),AC$654:AE$661,3,0)-VLOOKUP(VLOOKUP(AC679,$D$653:$AA$871,24,0),AC$654:AE$661,2,0)+1,0)))</f>
        <v>19</v>
      </c>
      <c r="AF679" s="758" t="str">
        <f t="shared" ca="1" si="128"/>
        <v>Espada a dos manos</v>
      </c>
      <c r="AG679" s="758" t="str">
        <f t="shared" ca="1" si="129"/>
        <v/>
      </c>
      <c r="AH679" s="929" t="s">
        <v>6570</v>
      </c>
      <c r="AI679" s="758">
        <f>IFERROR(IF(IF(AH679&lt;&gt;"",VLOOKUP(AH679,Tabla_ArmasyEscudos,9,0),"")="Conocida",MAX(AI$660:AI678)+1,0),0)</f>
        <v>0</v>
      </c>
      <c r="AJ679" s="758">
        <f ca="1">IF(AH679="",0,IF(AI679=0,MAX(AJ$654:AJ678,AL$652)+1,AI679+IFERROR(VLOOKUP(VLOOKUP(AH679,$D$653:$AA$871,24,0),AH$654:AJ$659,3,0)-VLOOKUP(VLOOKUP(AH679,$D$653:$AA$871,24,0),AH$654:AJ$659,2,0)+1,0)))</f>
        <v>21</v>
      </c>
      <c r="AK679" s="758" t="str">
        <f t="shared" ca="1" si="130"/>
        <v>Liu Xing Chui</v>
      </c>
      <c r="AL679" s="758" t="str">
        <f t="shared" ca="1" si="131"/>
        <v/>
      </c>
      <c r="AM679" s="931"/>
      <c r="AN679" s="758">
        <f>IFERROR(IF(IF(AM679&lt;&gt;"",VLOOKUP(AM679,Tabla_ArmasyEscudos,9,0),"")="Conocida",MAX(AN$660:AN678)+1,0),0)</f>
        <v>0</v>
      </c>
      <c r="AO679" s="758">
        <f>IF(AM679="",0,IF(AN679=0,MAX(AO$654:AO678,AQ$652)+1,AN679+IFERROR(VLOOKUP(VLOOKUP(AM679,$D$653:$AA$871,24,0),AM$654:AO$659,3,0)-VLOOKUP(VLOOKUP(AM679,$D$653:$AA$871,24,0),AM$654:AO$659,2,0)+1,0)))</f>
        <v>0</v>
      </c>
      <c r="AP679" s="758" t="str">
        <f t="shared" ca="1" si="132"/>
        <v/>
      </c>
      <c r="AQ679" s="758" t="str">
        <f t="shared" ca="1" si="133"/>
        <v/>
      </c>
      <c r="AR679" s="2575" t="s">
        <v>2071</v>
      </c>
      <c r="AS679" s="758">
        <f>IFERROR(IF(IF(AR679&lt;&gt;"",VLOOKUP(AR679,Tabla_ArmasyEscudos,9,0),"")="Conocida",MAX(AS$660:AS678)+1,0),0)</f>
        <v>0</v>
      </c>
      <c r="AT679" s="758">
        <f ca="1">IF(AR679="",0,IF(AS679=0,MAX(AT$654:AT678,AV$652)+1,AS679+IFERROR(VLOOKUP(VLOOKUP(AR679,$D$653:$AA$871,24,0),AR$654:AT$659,3,0)-VLOOKUP(VLOOKUP(AR679,$D$653:$AA$871,24,0),AR$654:AT$659,2,0)+1,0)))</f>
        <v>17</v>
      </c>
      <c r="AU679" s="758" t="str">
        <f t="shared" ca="1" si="134"/>
        <v/>
      </c>
      <c r="AV679" s="758" t="str">
        <f t="shared" ca="1" si="135"/>
        <v/>
      </c>
      <c r="AX679" s="1141" t="str">
        <f t="shared" si="136"/>
        <v>Dirk</v>
      </c>
      <c r="AY679" s="2549"/>
      <c r="AZ679" s="774" t="str">
        <f t="shared" si="137"/>
        <v/>
      </c>
      <c r="BA679" s="76" t="str">
        <f t="shared" si="138"/>
        <v/>
      </c>
      <c r="BB679" s="76" t="str">
        <f t="shared" si="139"/>
        <v>Escramasajón</v>
      </c>
      <c r="BC679" s="1142">
        <f>IF(OR($L677=BC$652,$L677="",$D677=$BE$651),MAX(BC$654:BC678)+1,0)</f>
        <v>0</v>
      </c>
      <c r="BD679" s="1143">
        <f>IF(OR($L677=BD$652,$L677="",$D677=$BE$651),MAX(BD$654:BD678)+1,0)</f>
        <v>0</v>
      </c>
      <c r="BE679" s="1144">
        <f>IF(OR($L677=BE$652,$L677="",$D677=$BE$651),MAX(BE$654:BE678)+1,0)</f>
        <v>24</v>
      </c>
      <c r="BF679" s="2549"/>
      <c r="BG679" s="774" t="str">
        <f t="shared" si="140"/>
        <v/>
      </c>
      <c r="BH679" s="76" t="str">
        <f t="shared" si="141"/>
        <v/>
      </c>
      <c r="BI679" s="76" t="str">
        <f t="shared" si="142"/>
        <v>Escramasajón</v>
      </c>
      <c r="BJ679" s="1142">
        <f>IF(OR($L677=BJ$652,$L677="",$D677=$BL$651),MAX(BJ$654:BJ678)+1,0)</f>
        <v>0</v>
      </c>
      <c r="BK679" s="1143">
        <f>IF(OR($L677=BK$652,$L677="",$D677=$BL$651),MAX(BK$654:BK678)+1,0)</f>
        <v>0</v>
      </c>
      <c r="BL679" s="1144">
        <f>IF(OR($L677=BL$652,$L677="",$D677=$BL$651),MAX(BL$654:BL678)+1,0)</f>
        <v>24</v>
      </c>
      <c r="BM679" s="2549"/>
      <c r="BN679" s="774" t="str">
        <f t="shared" si="143"/>
        <v/>
      </c>
      <c r="BO679" s="76" t="str">
        <f t="shared" si="144"/>
        <v/>
      </c>
      <c r="BP679" s="76" t="str">
        <f t="shared" si="145"/>
        <v>Escramasajón</v>
      </c>
      <c r="BQ679" s="1142">
        <f>IF(OR($L677=BQ$652,$L677="",$D677=$BS$651),MAX(BQ$654:BQ678)+1,0)</f>
        <v>0</v>
      </c>
      <c r="BR679" s="1143">
        <f>IF(OR($L677=BR$652,$L677="",$D677=$BS$651),MAX(BR$654:BR678)+1,0)</f>
        <v>0</v>
      </c>
      <c r="BS679" s="1144">
        <f>IF(OR($L677=BS$652,$L677="",$D677=$BS$651),MAX(BS$654:BS678)+1,0)</f>
        <v>24</v>
      </c>
      <c r="BT679" s="2549"/>
      <c r="BU679" s="774" t="str">
        <f t="shared" si="146"/>
        <v/>
      </c>
      <c r="BV679" s="76" t="str">
        <f t="shared" si="147"/>
        <v/>
      </c>
      <c r="BW679" s="76" t="str">
        <f t="shared" si="148"/>
        <v>Escramasajón</v>
      </c>
      <c r="BX679" s="1142">
        <f>IF(OR($L677=BX$652,$L677="",$D677=$BZ$651),MAX(BX$654:BX678)+1,0)</f>
        <v>0</v>
      </c>
      <c r="BY679" s="1143">
        <f>IF(OR($L677=BY$652,$L677="",$D677=$BZ$651),MAX(BY$654:BY678)+1,0)</f>
        <v>0</v>
      </c>
      <c r="BZ679" s="1144">
        <f>IF(OR($L677=BZ$652,$L677="",$D677=$BZ$651),MAX(BZ$654:BZ678)+1,0)</f>
        <v>24</v>
      </c>
      <c r="CA679" s="2549"/>
      <c r="CB679" s="774" t="str">
        <f t="shared" si="149"/>
        <v/>
      </c>
      <c r="CC679" s="76" t="str">
        <f t="shared" si="150"/>
        <v/>
      </c>
      <c r="CD679" s="76" t="str">
        <f t="shared" si="151"/>
        <v>Escramasajón</v>
      </c>
      <c r="CE679" s="1142">
        <f>IF(OR($L677=CE$652,$L677="",$D677=$CG$651),MAX(CE$654:CE678)+1,0)</f>
        <v>0</v>
      </c>
      <c r="CF679" s="1143">
        <f>IF(OR($L677=CF$652,$L677="",$D677=$CG$651),MAX(CF$654:CF678)+1,0)</f>
        <v>0</v>
      </c>
      <c r="CG679" s="1144">
        <f>IF(OR($L677=CG$652,$L677="",$D677=$CG$651),MAX(CG$654:CG678)+1,0)</f>
        <v>24</v>
      </c>
      <c r="CI679" s="774" t="str">
        <f t="shared" si="152"/>
        <v/>
      </c>
      <c r="CJ679" s="76" t="str">
        <f t="shared" si="153"/>
        <v/>
      </c>
      <c r="CK679" s="76" t="str">
        <f t="shared" si="154"/>
        <v>Escramasajón</v>
      </c>
      <c r="CL679" s="1142">
        <f>IF(OR($L677=CL$652,$L677="",$D677=$CN$651),MAX(CL$654:CL678)+1,0)</f>
        <v>0</v>
      </c>
      <c r="CM679" s="1143">
        <f>IF(OR($L677=CM$652,$L677="",$D677=$CN$651),MAX(CM$654:CM678)+1,0)</f>
        <v>0</v>
      </c>
      <c r="CN679" s="1144">
        <f>IF(OR($L677=CN$652,$L677="",$D677=$CN$651),MAX(CN$654:CN678)+1,0)</f>
        <v>24</v>
      </c>
    </row>
    <row r="680" spans="1:92" ht="12.75" customHeight="1">
      <c r="A680" s="219">
        <v>671</v>
      </c>
      <c r="B680" s="7145"/>
      <c r="C680" s="1034"/>
      <c r="D680" s="2237" t="s">
        <v>1980</v>
      </c>
      <c r="E680" s="2239">
        <v>55</v>
      </c>
      <c r="F680" s="2236">
        <v>-5</v>
      </c>
      <c r="G680" s="2236">
        <v>5</v>
      </c>
      <c r="H680" s="2236">
        <v>5</v>
      </c>
      <c r="I680" s="2236" t="s">
        <v>1410</v>
      </c>
      <c r="J680" s="2236" t="s">
        <v>1315</v>
      </c>
      <c r="K680" s="2433" t="s">
        <v>6833</v>
      </c>
      <c r="L680" s="2236" t="str">
        <f t="shared" si="156"/>
        <v>Distinta</v>
      </c>
      <c r="M680" s="2240">
        <v>15</v>
      </c>
      <c r="N680" s="2240">
        <v>3</v>
      </c>
      <c r="O680" s="2240">
        <v>25</v>
      </c>
      <c r="P680" s="2236"/>
      <c r="Q680" s="2236"/>
      <c r="R680" s="2236" t="s">
        <v>1315</v>
      </c>
      <c r="S680" s="2236" t="s">
        <v>1315</v>
      </c>
      <c r="T680" s="2236" t="s">
        <v>1315</v>
      </c>
      <c r="U680" s="2236"/>
      <c r="V680" s="2433" t="s">
        <v>1315</v>
      </c>
      <c r="W680" s="2433"/>
      <c r="X680" s="2434" t="str">
        <f t="shared" si="158"/>
        <v>Mediana</v>
      </c>
      <c r="Y680" s="2229">
        <f t="shared" si="157"/>
        <v>0</v>
      </c>
      <c r="Z680" s="1150" t="str">
        <f t="shared" si="155"/>
        <v/>
      </c>
      <c r="AA680" s="1751" t="s">
        <v>1960</v>
      </c>
      <c r="AC680" s="929" t="s">
        <v>1975</v>
      </c>
      <c r="AD680" s="758">
        <f>IFERROR(IF(IF(AC680&lt;&gt;"",VLOOKUP(AC680,Tabla_ArmasyEscudos,9,0),"")="Conocida",MAX(AD$662:AD679)+1,0),0)</f>
        <v>0</v>
      </c>
      <c r="AE680" s="758">
        <f ca="1">IF(AC680="",0,IF(AD680=0,MAX(AE$654:AE679,AG$652)+1,AD680+IFERROR(VLOOKUP(VLOOKUP(AC680,$D$653:$AA$871,24,0),AC$654:AE$661,3,0)-VLOOKUP(VLOOKUP(AC680,$D$653:$AA$871,24,0),AC$654:AE$661,2,0)+1,0)))</f>
        <v>20</v>
      </c>
      <c r="AF680" s="758" t="str">
        <f t="shared" ca="1" si="128"/>
        <v>Espada ancha</v>
      </c>
      <c r="AG680" s="758" t="str">
        <f t="shared" ca="1" si="129"/>
        <v/>
      </c>
      <c r="AH680" s="929" t="s">
        <v>1993</v>
      </c>
      <c r="AI680" s="758">
        <f>IFERROR(IF(IF(AH680&lt;&gt;"",VLOOKUP(AH680,Tabla_ArmasyEscudos,9,0),"")="Conocida",MAX(AI$660:AI679)+1,0),0)</f>
        <v>0</v>
      </c>
      <c r="AJ680" s="758">
        <f ca="1">IF(AH680="",0,IF(AI680=0,MAX(AJ$654:AJ679,AL$652)+1,AI680+IFERROR(VLOOKUP(VLOOKUP(AH680,$D$653:$AA$871,24,0),AH$654:AJ$659,3,0)-VLOOKUP(VLOOKUP(AH680,$D$653:$AA$871,24,0),AH$654:AJ$659,2,0)+1,0)))</f>
        <v>22</v>
      </c>
      <c r="AK680" s="758" t="str">
        <f t="shared" ca="1" si="130"/>
        <v>Mangual</v>
      </c>
      <c r="AL680" s="758" t="str">
        <f t="shared" ca="1" si="131"/>
        <v/>
      </c>
      <c r="AM680" s="931"/>
      <c r="AN680" s="758">
        <f>IFERROR(IF(IF(AM680&lt;&gt;"",VLOOKUP(AM680,Tabla_ArmasyEscudos,9,0),"")="Conocida",MAX(AN$660:AN679)+1,0),0)</f>
        <v>0</v>
      </c>
      <c r="AO680" s="758">
        <f>IF(AM680="",0,IF(AN680=0,MAX(AO$654:AO679,AQ$652)+1,AN680+IFERROR(VLOOKUP(VLOOKUP(AM680,$D$653:$AA$871,24,0),AM$654:AO$659,3,0)-VLOOKUP(VLOOKUP(AM680,$D$653:$AA$871,24,0),AM$654:AO$659,2,0)+1,0)))</f>
        <v>0</v>
      </c>
      <c r="AP680" s="758" t="str">
        <f t="shared" ca="1" si="132"/>
        <v/>
      </c>
      <c r="AQ680" s="758" t="str">
        <f t="shared" ca="1" si="133"/>
        <v/>
      </c>
      <c r="AR680" s="2568" t="s">
        <v>8136</v>
      </c>
      <c r="AS680" s="758">
        <f>IFERROR(IF(IF(AR680&lt;&gt;"",VLOOKUP(AR680,Tabla_ArmasyEscudos,9,0),"")="Conocida",MAX(AS$660:AS679)+1,0),0)</f>
        <v>0</v>
      </c>
      <c r="AT680" s="758">
        <f ca="1">IF(AR680="",0,IF(AS680=0,MAX(AT$654:AT679,AV$652)+1,AS680+IFERROR(VLOOKUP(VLOOKUP(AR680,$D$653:$AA$871,24,0),AR$654:AT$659,3,0)-VLOOKUP(VLOOKUP(AR680,$D$653:$AA$871,24,0),AR$654:AT$659,2,0)+1,0)))</f>
        <v>18</v>
      </c>
      <c r="AU680" s="758" t="str">
        <f t="shared" ca="1" si="134"/>
        <v/>
      </c>
      <c r="AV680" s="758" t="str">
        <f t="shared" ca="1" si="135"/>
        <v/>
      </c>
      <c r="AX680" s="1141" t="str">
        <f t="shared" si="136"/>
        <v>Escramasajón</v>
      </c>
      <c r="AY680" s="2549"/>
      <c r="AZ680" s="774" t="str">
        <f t="shared" si="137"/>
        <v/>
      </c>
      <c r="BA680" s="76" t="str">
        <f t="shared" si="138"/>
        <v/>
      </c>
      <c r="BB680" s="76" t="str">
        <f t="shared" si="139"/>
        <v>Espada a dos manos</v>
      </c>
      <c r="BC680" s="1142">
        <f>IF(OR($L678=BC$652,$L678="",$D678=$BE$651),MAX(BC$654:BC679)+1,0)</f>
        <v>0</v>
      </c>
      <c r="BD680" s="1143">
        <f>IF(OR($L678=BD$652,$L678="",$D678=$BE$651),MAX(BD$654:BD679)+1,0)</f>
        <v>0</v>
      </c>
      <c r="BE680" s="1144">
        <f>IF(OR($L678=BE$652,$L678="",$D678=$BE$651),MAX(BE$654:BE679)+1,0)</f>
        <v>25</v>
      </c>
      <c r="BF680" s="2549"/>
      <c r="BG680" s="774" t="str">
        <f t="shared" si="140"/>
        <v/>
      </c>
      <c r="BH680" s="76" t="str">
        <f t="shared" si="141"/>
        <v/>
      </c>
      <c r="BI680" s="76" t="str">
        <f t="shared" si="142"/>
        <v>Espada a dos manos</v>
      </c>
      <c r="BJ680" s="1142">
        <f>IF(OR($L678=BJ$652,$L678="",$D678=$BL$651),MAX(BJ$654:BJ679)+1,0)</f>
        <v>0</v>
      </c>
      <c r="BK680" s="1143">
        <f>IF(OR($L678=BK$652,$L678="",$D678=$BL$651),MAX(BK$654:BK679)+1,0)</f>
        <v>0</v>
      </c>
      <c r="BL680" s="1144">
        <f>IF(OR($L678=BL$652,$L678="",$D678=$BL$651),MAX(BL$654:BL679)+1,0)</f>
        <v>25</v>
      </c>
      <c r="BM680" s="2549"/>
      <c r="BN680" s="774" t="str">
        <f t="shared" si="143"/>
        <v/>
      </c>
      <c r="BO680" s="76" t="str">
        <f t="shared" si="144"/>
        <v/>
      </c>
      <c r="BP680" s="76" t="str">
        <f t="shared" si="145"/>
        <v>Espada a dos manos</v>
      </c>
      <c r="BQ680" s="1142">
        <f>IF(OR($L678=BQ$652,$L678="",$D678=$BS$651),MAX(BQ$654:BQ679)+1,0)</f>
        <v>0</v>
      </c>
      <c r="BR680" s="1143">
        <f>IF(OR($L678=BR$652,$L678="",$D678=$BS$651),MAX(BR$654:BR679)+1,0)</f>
        <v>0</v>
      </c>
      <c r="BS680" s="1144">
        <f>IF(OR($L678=BS$652,$L678="",$D678=$BS$651),MAX(BS$654:BS679)+1,0)</f>
        <v>25</v>
      </c>
      <c r="BT680" s="2549"/>
      <c r="BU680" s="774" t="str">
        <f t="shared" si="146"/>
        <v/>
      </c>
      <c r="BV680" s="76" t="str">
        <f t="shared" si="147"/>
        <v/>
      </c>
      <c r="BW680" s="76" t="str">
        <f t="shared" si="148"/>
        <v>Espada a dos manos</v>
      </c>
      <c r="BX680" s="1142">
        <f>IF(OR($L678=BX$652,$L678="",$D678=$BZ$651),MAX(BX$654:BX679)+1,0)</f>
        <v>0</v>
      </c>
      <c r="BY680" s="1143">
        <f>IF(OR($L678=BY$652,$L678="",$D678=$BZ$651),MAX(BY$654:BY679)+1,0)</f>
        <v>0</v>
      </c>
      <c r="BZ680" s="1144">
        <f>IF(OR($L678=BZ$652,$L678="",$D678=$BZ$651),MAX(BZ$654:BZ679)+1,0)</f>
        <v>25</v>
      </c>
      <c r="CA680" s="2549"/>
      <c r="CB680" s="774" t="str">
        <f t="shared" si="149"/>
        <v/>
      </c>
      <c r="CC680" s="76" t="str">
        <f t="shared" si="150"/>
        <v/>
      </c>
      <c r="CD680" s="76" t="str">
        <f t="shared" si="151"/>
        <v>Espada a dos manos</v>
      </c>
      <c r="CE680" s="1142">
        <f>IF(OR($L678=CE$652,$L678="",$D678=$CG$651),MAX(CE$654:CE679)+1,0)</f>
        <v>0</v>
      </c>
      <c r="CF680" s="1143">
        <f>IF(OR($L678=CF$652,$L678="",$D678=$CG$651),MAX(CF$654:CF679)+1,0)</f>
        <v>0</v>
      </c>
      <c r="CG680" s="1144">
        <f>IF(OR($L678=CG$652,$L678="",$D678=$CG$651),MAX(CG$654:CG679)+1,0)</f>
        <v>25</v>
      </c>
      <c r="CI680" s="774" t="str">
        <f t="shared" si="152"/>
        <v/>
      </c>
      <c r="CJ680" s="76" t="str">
        <f t="shared" si="153"/>
        <v/>
      </c>
      <c r="CK680" s="76" t="str">
        <f t="shared" si="154"/>
        <v>Espada a dos manos</v>
      </c>
      <c r="CL680" s="1142">
        <f>IF(OR($L678=CL$652,$L678="",$D678=$CN$651),MAX(CL$654:CL679)+1,0)</f>
        <v>0</v>
      </c>
      <c r="CM680" s="1143">
        <f>IF(OR($L678=CM$652,$L678="",$D678=$CN$651),MAX(CM$654:CM679)+1,0)</f>
        <v>0</v>
      </c>
      <c r="CN680" s="1144">
        <f>IF(OR($L678=CN$652,$L678="",$D678=$CN$651),MAX(CN$654:CN679)+1,0)</f>
        <v>25</v>
      </c>
    </row>
    <row r="681" spans="1:92" ht="12.75" customHeight="1">
      <c r="A681" s="219">
        <v>672</v>
      </c>
      <c r="B681" s="7145"/>
      <c r="C681" s="1034"/>
      <c r="D681" s="2237" t="s">
        <v>1981</v>
      </c>
      <c r="E681" s="2239">
        <v>70</v>
      </c>
      <c r="F681" s="2236">
        <v>-30</v>
      </c>
      <c r="G681" s="2236">
        <v>9</v>
      </c>
      <c r="H681" s="2236">
        <v>7</v>
      </c>
      <c r="I681" s="2236" t="s">
        <v>1410</v>
      </c>
      <c r="J681" s="2236" t="s">
        <v>1357</v>
      </c>
      <c r="K681" s="2433" t="s">
        <v>6838</v>
      </c>
      <c r="L681" s="2236" t="str">
        <f t="shared" si="156"/>
        <v>Distinta</v>
      </c>
      <c r="M681" s="2240">
        <v>15</v>
      </c>
      <c r="N681" s="2240">
        <v>5</v>
      </c>
      <c r="O681" s="2240">
        <v>25</v>
      </c>
      <c r="P681" s="2236"/>
      <c r="Q681" s="2236"/>
      <c r="R681" s="2236" t="s">
        <v>1315</v>
      </c>
      <c r="S681" s="2236" t="s">
        <v>1315</v>
      </c>
      <c r="T681" s="2236" t="s">
        <v>1315</v>
      </c>
      <c r="U681" s="2236"/>
      <c r="V681" s="2433" t="s">
        <v>1979</v>
      </c>
      <c r="W681" s="2433"/>
      <c r="X681" s="2434" t="str">
        <f t="shared" si="158"/>
        <v>Grande</v>
      </c>
      <c r="Y681" s="2229">
        <f t="shared" si="157"/>
        <v>0</v>
      </c>
      <c r="Z681" s="1150" t="str">
        <f t="shared" si="155"/>
        <v/>
      </c>
      <c r="AA681" s="1751" t="s">
        <v>1960</v>
      </c>
      <c r="AC681" s="929" t="s">
        <v>1976</v>
      </c>
      <c r="AD681" s="758">
        <f>IFERROR(IF(IF(AC681&lt;&gt;"",VLOOKUP(AC681,Tabla_ArmasyEscudos,9,0),"")="Conocida",MAX(AD$662:AD680)+1,0),0)</f>
        <v>0</v>
      </c>
      <c r="AE681" s="758">
        <f ca="1">IF(AC681="",0,IF(AD681=0,MAX(AE$654:AE680,AG$652)+1,AD681+IFERROR(VLOOKUP(VLOOKUP(AC681,$D$653:$AA$871,24,0),AC$654:AE$661,3,0)-VLOOKUP(VLOOKUP(AC681,$D$653:$AA$871,24,0),AC$654:AE$661,2,0)+1,0)))</f>
        <v>21</v>
      </c>
      <c r="AF681" s="758" t="str">
        <f t="shared" ca="1" si="128"/>
        <v>Espada bastarda</v>
      </c>
      <c r="AG681" s="758" t="str">
        <f t="shared" ca="1" si="129"/>
        <v/>
      </c>
      <c r="AH681" s="929" t="s">
        <v>1998</v>
      </c>
      <c r="AI681" s="758">
        <f>IFERROR(IF(IF(AH681&lt;&gt;"",VLOOKUP(AH681,Tabla_ArmasyEscudos,9,0),"")="Conocida",MAX(AI$660:AI680)+1,0),0)</f>
        <v>0</v>
      </c>
      <c r="AJ681" s="758">
        <f ca="1">IF(AH681="",0,IF(AI681=0,MAX(AJ$654:AJ680,AL$652)+1,AI681+IFERROR(VLOOKUP(VLOOKUP(AH681,$D$653:$AA$871,24,0),AH$654:AJ$659,3,0)-VLOOKUP(VLOOKUP(AH681,$D$653:$AA$871,24,0),AH$654:AJ$659,2,0)+1,0)))</f>
        <v>23</v>
      </c>
      <c r="AK681" s="758" t="str">
        <f t="shared" ca="1" si="130"/>
        <v>Maza Barra</v>
      </c>
      <c r="AL681" s="758" t="str">
        <f t="shared" ca="1" si="131"/>
        <v/>
      </c>
      <c r="AM681" s="931"/>
      <c r="AN681" s="758">
        <f>IFERROR(IF(IF(AM681&lt;&gt;"",VLOOKUP(AM681,Tabla_ArmasyEscudos,9,0),"")="Conocida",MAX(AN$660:AN680)+1,0),0)</f>
        <v>0</v>
      </c>
      <c r="AO681" s="758">
        <f>IF(AM681="",0,IF(AN681=0,MAX(AO$654:AO680,AQ$652)+1,AN681+IFERROR(VLOOKUP(VLOOKUP(AM681,$D$653:$AA$871,24,0),AM$654:AO$659,3,0)-VLOOKUP(VLOOKUP(AM681,$D$653:$AA$871,24,0),AM$654:AO$659,2,0)+1,0)))</f>
        <v>0</v>
      </c>
      <c r="AP681" s="758" t="str">
        <f t="shared" ca="1" si="132"/>
        <v/>
      </c>
      <c r="AQ681" s="758" t="str">
        <f t="shared" ca="1" si="133"/>
        <v/>
      </c>
      <c r="AR681" s="2568" t="s">
        <v>8137</v>
      </c>
      <c r="AS681" s="758">
        <f>IFERROR(IF(IF(AR681&lt;&gt;"",VLOOKUP(AR681,Tabla_ArmasyEscudos,9,0),"")="Conocida",MAX(AS$660:AS680)+1,0),0)</f>
        <v>0</v>
      </c>
      <c r="AT681" s="758">
        <f ca="1">IF(AR681="",0,IF(AS681=0,MAX(AT$654:AT680,AV$652)+1,AS681+IFERROR(VLOOKUP(VLOOKUP(AR681,$D$653:$AA$871,24,0),AR$654:AT$659,3,0)-VLOOKUP(VLOOKUP(AR681,$D$653:$AA$871,24,0),AR$654:AT$659,2,0)+1,0)))</f>
        <v>19</v>
      </c>
      <c r="AU681" s="758" t="str">
        <f t="shared" ca="1" si="134"/>
        <v/>
      </c>
      <c r="AV681" s="758" t="str">
        <f t="shared" ca="1" si="135"/>
        <v/>
      </c>
      <c r="AX681" s="1141" t="str">
        <f t="shared" si="136"/>
        <v>Espada a dos manos</v>
      </c>
      <c r="AY681" s="2549"/>
      <c r="AZ681" s="774" t="str">
        <f t="shared" si="137"/>
        <v/>
      </c>
      <c r="BA681" s="76" t="str">
        <f t="shared" si="138"/>
        <v/>
      </c>
      <c r="BB681" s="76" t="str">
        <f t="shared" si="139"/>
        <v>Espada ancha</v>
      </c>
      <c r="BC681" s="1142">
        <f>IF(OR($L679=BC$652,$L679="",$D679=$BE$651),MAX(BC$654:BC680)+1,0)</f>
        <v>0</v>
      </c>
      <c r="BD681" s="1143">
        <f>IF(OR($L679=BD$652,$L679="",$D679=$BE$651),MAX(BD$654:BD680)+1,0)</f>
        <v>0</v>
      </c>
      <c r="BE681" s="1144">
        <f>IF(OR($L679=BE$652,$L679="",$D679=$BE$651),MAX(BE$654:BE680)+1,0)</f>
        <v>26</v>
      </c>
      <c r="BF681" s="2549"/>
      <c r="BG681" s="774" t="str">
        <f t="shared" si="140"/>
        <v/>
      </c>
      <c r="BH681" s="76" t="str">
        <f t="shared" si="141"/>
        <v/>
      </c>
      <c r="BI681" s="76" t="str">
        <f t="shared" si="142"/>
        <v>Espada ancha</v>
      </c>
      <c r="BJ681" s="1142">
        <f>IF(OR($L679=BJ$652,$L679="",$D679=$BL$651),MAX(BJ$654:BJ680)+1,0)</f>
        <v>0</v>
      </c>
      <c r="BK681" s="1143">
        <f>IF(OR($L679=BK$652,$L679="",$D679=$BL$651),MAX(BK$654:BK680)+1,0)</f>
        <v>0</v>
      </c>
      <c r="BL681" s="1144">
        <f>IF(OR($L679=BL$652,$L679="",$D679=$BL$651),MAX(BL$654:BL680)+1,0)</f>
        <v>26</v>
      </c>
      <c r="BM681" s="2549"/>
      <c r="BN681" s="774" t="str">
        <f t="shared" si="143"/>
        <v/>
      </c>
      <c r="BO681" s="76" t="str">
        <f t="shared" si="144"/>
        <v/>
      </c>
      <c r="BP681" s="76" t="str">
        <f t="shared" si="145"/>
        <v>Espada ancha</v>
      </c>
      <c r="BQ681" s="1142">
        <f>IF(OR($L679=BQ$652,$L679="",$D679=$BS$651),MAX(BQ$654:BQ680)+1,0)</f>
        <v>0</v>
      </c>
      <c r="BR681" s="1143">
        <f>IF(OR($L679=BR$652,$L679="",$D679=$BS$651),MAX(BR$654:BR680)+1,0)</f>
        <v>0</v>
      </c>
      <c r="BS681" s="1144">
        <f>IF(OR($L679=BS$652,$L679="",$D679=$BS$651),MAX(BS$654:BS680)+1,0)</f>
        <v>26</v>
      </c>
      <c r="BT681" s="2549"/>
      <c r="BU681" s="774" t="str">
        <f t="shared" si="146"/>
        <v/>
      </c>
      <c r="BV681" s="76" t="str">
        <f t="shared" si="147"/>
        <v/>
      </c>
      <c r="BW681" s="76" t="str">
        <f t="shared" si="148"/>
        <v>Espada ancha</v>
      </c>
      <c r="BX681" s="1142">
        <f>IF(OR($L679=BX$652,$L679="",$D679=$BZ$651),MAX(BX$654:BX680)+1,0)</f>
        <v>0</v>
      </c>
      <c r="BY681" s="1143">
        <f>IF(OR($L679=BY$652,$L679="",$D679=$BZ$651),MAX(BY$654:BY680)+1,0)</f>
        <v>0</v>
      </c>
      <c r="BZ681" s="1144">
        <f>IF(OR($L679=BZ$652,$L679="",$D679=$BZ$651),MAX(BZ$654:BZ680)+1,0)</f>
        <v>26</v>
      </c>
      <c r="CA681" s="2549"/>
      <c r="CB681" s="774" t="str">
        <f t="shared" si="149"/>
        <v/>
      </c>
      <c r="CC681" s="76" t="str">
        <f t="shared" si="150"/>
        <v/>
      </c>
      <c r="CD681" s="76" t="str">
        <f t="shared" si="151"/>
        <v>Espada ancha</v>
      </c>
      <c r="CE681" s="1142">
        <f>IF(OR($L679=CE$652,$L679="",$D679=$CG$651),MAX(CE$654:CE680)+1,0)</f>
        <v>0</v>
      </c>
      <c r="CF681" s="1143">
        <f>IF(OR($L679=CF$652,$L679="",$D679=$CG$651),MAX(CF$654:CF680)+1,0)</f>
        <v>0</v>
      </c>
      <c r="CG681" s="1144">
        <f>IF(OR($L679=CG$652,$L679="",$D679=$CG$651),MAX(CG$654:CG680)+1,0)</f>
        <v>26</v>
      </c>
      <c r="CI681" s="774" t="str">
        <f t="shared" si="152"/>
        <v/>
      </c>
      <c r="CJ681" s="76" t="str">
        <f t="shared" si="153"/>
        <v/>
      </c>
      <c r="CK681" s="76" t="str">
        <f t="shared" si="154"/>
        <v>Espada ancha</v>
      </c>
      <c r="CL681" s="1142">
        <f>IF(OR($L679=CL$652,$L679="",$D679=$CN$651),MAX(CL$654:CL680)+1,0)</f>
        <v>0</v>
      </c>
      <c r="CM681" s="1143">
        <f>IF(OR($L679=CM$652,$L679="",$D679=$CN$651),MAX(CM$654:CM680)+1,0)</f>
        <v>0</v>
      </c>
      <c r="CN681" s="1144">
        <f>IF(OR($L679=CN$652,$L679="",$D679=$CN$651),MAX(CN$654:CN680)+1,0)</f>
        <v>26</v>
      </c>
    </row>
    <row r="682" spans="1:92" ht="12.75" customHeight="1">
      <c r="A682" s="219">
        <v>673</v>
      </c>
      <c r="B682" s="7145"/>
      <c r="C682" s="1034"/>
      <c r="D682" s="2237" t="s">
        <v>1982</v>
      </c>
      <c r="E682" s="2239">
        <v>40</v>
      </c>
      <c r="F682" s="2236">
        <v>15</v>
      </c>
      <c r="G682" s="2236">
        <v>4</v>
      </c>
      <c r="H682" s="2236">
        <v>4</v>
      </c>
      <c r="I682" s="2236" t="s">
        <v>1411</v>
      </c>
      <c r="J682" s="2236" t="s">
        <v>1410</v>
      </c>
      <c r="K682" s="2433" t="s">
        <v>6835</v>
      </c>
      <c r="L682" s="2236" t="str">
        <f t="shared" si="156"/>
        <v>Distinta</v>
      </c>
      <c r="M682" s="2240">
        <v>12</v>
      </c>
      <c r="N682" s="2240">
        <v>1</v>
      </c>
      <c r="O682" s="2240">
        <v>20</v>
      </c>
      <c r="P682" s="2236"/>
      <c r="Q682" s="2236"/>
      <c r="R682" s="2236" t="s">
        <v>1315</v>
      </c>
      <c r="S682" s="2236" t="s">
        <v>1315</v>
      </c>
      <c r="T682" s="2236" t="s">
        <v>1315</v>
      </c>
      <c r="U682" s="2236"/>
      <c r="V682" s="2433" t="s">
        <v>1983</v>
      </c>
      <c r="W682" s="2433"/>
      <c r="X682" s="2434" t="str">
        <f t="shared" si="158"/>
        <v>Pequeña</v>
      </c>
      <c r="Y682" s="2229">
        <f t="shared" si="157"/>
        <v>0</v>
      </c>
      <c r="Z682" s="1150" t="str">
        <f t="shared" si="155"/>
        <v/>
      </c>
      <c r="AA682" s="1751" t="s">
        <v>1960</v>
      </c>
      <c r="AC682" s="929" t="s">
        <v>1977</v>
      </c>
      <c r="AD682" s="758">
        <f>IFERROR(IF(IF(AC682&lt;&gt;"",VLOOKUP(AC682,Tabla_ArmasyEscudos,9,0),"")="Conocida",MAX(AD$662:AD681)+1,0),0)</f>
        <v>0</v>
      </c>
      <c r="AE682" s="758">
        <f ca="1">IF(AC682="",0,IF(AD682=0,MAX(AE$654:AE681,AG$652)+1,AD682+IFERROR(VLOOKUP(VLOOKUP(AC682,$D$653:$AA$871,24,0),AC$654:AE$661,3,0)-VLOOKUP(VLOOKUP(AC682,$D$653:$AA$871,24,0),AC$654:AE$661,2,0)+1,0)))</f>
        <v>22</v>
      </c>
      <c r="AF682" s="758" t="str">
        <f t="shared" ca="1" si="128"/>
        <v>Espada corta</v>
      </c>
      <c r="AG682" s="758" t="str">
        <f t="shared" ca="1" si="129"/>
        <v/>
      </c>
      <c r="AH682" s="929" t="s">
        <v>2002</v>
      </c>
      <c r="AI682" s="758">
        <f>IFERROR(IF(IF(AH682&lt;&gt;"",VLOOKUP(AH682,Tabla_ArmasyEscudos,9,0),"")="Conocida",MAX(AI$660:AI681)+1,0),0)</f>
        <v>0</v>
      </c>
      <c r="AJ682" s="758">
        <f ca="1">IF(AH682="",0,IF(AI682=0,MAX(AJ$654:AJ681,AL$652)+1,AI682+IFERROR(VLOOKUP(VLOOKUP(AH682,$D$653:$AA$871,24,0),AH$654:AJ$659,3,0)-VLOOKUP(VLOOKUP(AH682,$D$653:$AA$871,24,0),AH$654:AJ$659,2,0)+1,0)))</f>
        <v>24</v>
      </c>
      <c r="AK682" s="758" t="str">
        <f t="shared" ca="1" si="130"/>
        <v>Maza pesada</v>
      </c>
      <c r="AL682" s="758" t="str">
        <f t="shared" ca="1" si="131"/>
        <v/>
      </c>
      <c r="AM682" s="931"/>
      <c r="AN682" s="758">
        <f>IFERROR(IF(IF(AM682&lt;&gt;"",VLOOKUP(AM682,Tabla_ArmasyEscudos,9,0),"")="Conocida",MAX(AN$660:AN681)+1,0),0)</f>
        <v>0</v>
      </c>
      <c r="AO682" s="758">
        <f>IF(AM682="",0,IF(AN682=0,MAX(AO$654:AO681,AQ$652)+1,AN682+IFERROR(VLOOKUP(VLOOKUP(AM682,$D$653:$AA$871,24,0),AM$654:AO$659,3,0)-VLOOKUP(VLOOKUP(AM682,$D$653:$AA$871,24,0),AM$654:AO$659,2,0)+1,0)))</f>
        <v>0</v>
      </c>
      <c r="AP682" s="758" t="str">
        <f t="shared" ca="1" si="132"/>
        <v/>
      </c>
      <c r="AQ682" s="758" t="str">
        <f t="shared" ca="1" si="133"/>
        <v/>
      </c>
      <c r="AR682" s="2568" t="s">
        <v>8138</v>
      </c>
      <c r="AS682" s="758">
        <f>IFERROR(IF(IF(AR682&lt;&gt;"",VLOOKUP(AR682,Tabla_ArmasyEscudos,9,0),"")="Conocida",MAX(AS$660:AS681)+1,0),0)</f>
        <v>0</v>
      </c>
      <c r="AT682" s="758">
        <f ca="1">IF(AR682="",0,IF(AS682=0,MAX(AT$654:AT681,AV$652)+1,AS682+IFERROR(VLOOKUP(VLOOKUP(AR682,$D$653:$AA$871,24,0),AR$654:AT$659,3,0)-VLOOKUP(VLOOKUP(AR682,$D$653:$AA$871,24,0),AR$654:AT$659,2,0)+1,0)))</f>
        <v>20</v>
      </c>
      <c r="AU682" s="758" t="str">
        <f t="shared" ca="1" si="134"/>
        <v/>
      </c>
      <c r="AV682" s="758" t="str">
        <f t="shared" ca="1" si="135"/>
        <v/>
      </c>
      <c r="AX682" s="1141" t="str">
        <f t="shared" si="136"/>
        <v>Espada ancha</v>
      </c>
      <c r="AY682" s="2549"/>
      <c r="AZ682" s="774" t="str">
        <f t="shared" si="137"/>
        <v/>
      </c>
      <c r="BA682" s="76" t="str">
        <f t="shared" si="138"/>
        <v/>
      </c>
      <c r="BB682" s="76" t="str">
        <f t="shared" si="139"/>
        <v>Espada bastarda</v>
      </c>
      <c r="BC682" s="1142">
        <f>IF(OR($L680=BC$652,$L680="",$D680=$BE$651),MAX(BC$654:BC681)+1,0)</f>
        <v>0</v>
      </c>
      <c r="BD682" s="1143">
        <f>IF(OR($L680=BD$652,$L680="",$D680=$BE$651),MAX(BD$654:BD681)+1,0)</f>
        <v>0</v>
      </c>
      <c r="BE682" s="1144">
        <f>IF(OR($L680=BE$652,$L680="",$D680=$BE$651),MAX(BE$654:BE681)+1,0)</f>
        <v>27</v>
      </c>
      <c r="BF682" s="2549"/>
      <c r="BG682" s="774" t="str">
        <f t="shared" si="140"/>
        <v/>
      </c>
      <c r="BH682" s="76" t="str">
        <f t="shared" si="141"/>
        <v/>
      </c>
      <c r="BI682" s="76" t="str">
        <f t="shared" si="142"/>
        <v>Espada bastarda</v>
      </c>
      <c r="BJ682" s="1142">
        <f>IF(OR($L680=BJ$652,$L680="",$D680=$BL$651),MAX(BJ$654:BJ681)+1,0)</f>
        <v>0</v>
      </c>
      <c r="BK682" s="1143">
        <f>IF(OR($L680=BK$652,$L680="",$D680=$BL$651),MAX(BK$654:BK681)+1,0)</f>
        <v>0</v>
      </c>
      <c r="BL682" s="1144">
        <f>IF(OR($L680=BL$652,$L680="",$D680=$BL$651),MAX(BL$654:BL681)+1,0)</f>
        <v>27</v>
      </c>
      <c r="BM682" s="2549"/>
      <c r="BN682" s="774" t="str">
        <f t="shared" si="143"/>
        <v/>
      </c>
      <c r="BO682" s="76" t="str">
        <f t="shared" si="144"/>
        <v/>
      </c>
      <c r="BP682" s="76" t="str">
        <f t="shared" si="145"/>
        <v>Espada bastarda</v>
      </c>
      <c r="BQ682" s="1142">
        <f>IF(OR($L680=BQ$652,$L680="",$D680=$BS$651),MAX(BQ$654:BQ681)+1,0)</f>
        <v>0</v>
      </c>
      <c r="BR682" s="1143">
        <f>IF(OR($L680=BR$652,$L680="",$D680=$BS$651),MAX(BR$654:BR681)+1,0)</f>
        <v>0</v>
      </c>
      <c r="BS682" s="1144">
        <f>IF(OR($L680=BS$652,$L680="",$D680=$BS$651),MAX(BS$654:BS681)+1,0)</f>
        <v>27</v>
      </c>
      <c r="BT682" s="2549"/>
      <c r="BU682" s="774" t="str">
        <f t="shared" si="146"/>
        <v/>
      </c>
      <c r="BV682" s="76" t="str">
        <f t="shared" si="147"/>
        <v/>
      </c>
      <c r="BW682" s="76" t="str">
        <f t="shared" si="148"/>
        <v>Espada bastarda</v>
      </c>
      <c r="BX682" s="1142">
        <f>IF(OR($L680=BX$652,$L680="",$D680=$BZ$651),MAX(BX$654:BX681)+1,0)</f>
        <v>0</v>
      </c>
      <c r="BY682" s="1143">
        <f>IF(OR($L680=BY$652,$L680="",$D680=$BZ$651),MAX(BY$654:BY681)+1,0)</f>
        <v>0</v>
      </c>
      <c r="BZ682" s="1144">
        <f>IF(OR($L680=BZ$652,$L680="",$D680=$BZ$651),MAX(BZ$654:BZ681)+1,0)</f>
        <v>27</v>
      </c>
      <c r="CA682" s="2549"/>
      <c r="CB682" s="774" t="str">
        <f t="shared" si="149"/>
        <v/>
      </c>
      <c r="CC682" s="76" t="str">
        <f t="shared" si="150"/>
        <v/>
      </c>
      <c r="CD682" s="76" t="str">
        <f t="shared" si="151"/>
        <v>Espada bastarda</v>
      </c>
      <c r="CE682" s="1142">
        <f>IF(OR($L680=CE$652,$L680="",$D680=$CG$651),MAX(CE$654:CE681)+1,0)</f>
        <v>0</v>
      </c>
      <c r="CF682" s="1143">
        <f>IF(OR($L680=CF$652,$L680="",$D680=$CG$651),MAX(CF$654:CF681)+1,0)</f>
        <v>0</v>
      </c>
      <c r="CG682" s="1144">
        <f>IF(OR($L680=CG$652,$L680="",$D680=$CG$651),MAX(CG$654:CG681)+1,0)</f>
        <v>27</v>
      </c>
      <c r="CI682" s="774" t="str">
        <f t="shared" si="152"/>
        <v/>
      </c>
      <c r="CJ682" s="76" t="str">
        <f t="shared" si="153"/>
        <v/>
      </c>
      <c r="CK682" s="76" t="str">
        <f t="shared" si="154"/>
        <v>Espada bastarda</v>
      </c>
      <c r="CL682" s="1142">
        <f>IF(OR($L680=CL$652,$L680="",$D680=$CN$651),MAX(CL$654:CL681)+1,0)</f>
        <v>0</v>
      </c>
      <c r="CM682" s="1143">
        <f>IF(OR($L680=CM$652,$L680="",$D680=$CN$651),MAX(CM$654:CM681)+1,0)</f>
        <v>0</v>
      </c>
      <c r="CN682" s="1144">
        <f>IF(OR($L680=CN$652,$L680="",$D680=$CN$651),MAX(CN$654:CN681)+1,0)</f>
        <v>27</v>
      </c>
    </row>
    <row r="683" spans="1:92" ht="12.75" customHeight="1">
      <c r="A683" s="219">
        <v>674</v>
      </c>
      <c r="B683" s="7145"/>
      <c r="C683" s="1034"/>
      <c r="D683" s="2237" t="s">
        <v>1984</v>
      </c>
      <c r="E683" s="2239">
        <v>50</v>
      </c>
      <c r="F683" s="2236">
        <v>0</v>
      </c>
      <c r="G683" s="2236">
        <v>6</v>
      </c>
      <c r="H683" s="2236">
        <v>6</v>
      </c>
      <c r="I683" s="2236" t="s">
        <v>1410</v>
      </c>
      <c r="J683" s="2236" t="s">
        <v>1315</v>
      </c>
      <c r="K683" s="2433" t="s">
        <v>6833</v>
      </c>
      <c r="L683" s="2236" t="str">
        <f t="shared" si="156"/>
        <v>Distinta</v>
      </c>
      <c r="M683" s="2240">
        <v>13</v>
      </c>
      <c r="N683" s="2240">
        <v>3</v>
      </c>
      <c r="O683" s="2240">
        <v>25</v>
      </c>
      <c r="P683" s="2236"/>
      <c r="Q683" s="2236"/>
      <c r="R683" s="2236" t="s">
        <v>1315</v>
      </c>
      <c r="S683" s="2236" t="s">
        <v>1315</v>
      </c>
      <c r="T683" s="2236" t="s">
        <v>1315</v>
      </c>
      <c r="U683" s="2236"/>
      <c r="V683" s="2433" t="s">
        <v>1315</v>
      </c>
      <c r="W683" s="2433"/>
      <c r="X683" s="2434" t="str">
        <f t="shared" si="158"/>
        <v>Mediana</v>
      </c>
      <c r="Y683" s="2229">
        <f t="shared" si="157"/>
        <v>0</v>
      </c>
      <c r="Z683" s="1150" t="str">
        <f t="shared" si="155"/>
        <v/>
      </c>
      <c r="AA683" s="1751" t="s">
        <v>1960</v>
      </c>
      <c r="AC683" s="929" t="s">
        <v>6571</v>
      </c>
      <c r="AD683" s="758">
        <f>IFERROR(IF(IF(AC683&lt;&gt;"",VLOOKUP(AC683,Tabla_ArmasyEscudos,9,0),"")="Conocida",MAX(AD$662:AD682)+1,0),0)</f>
        <v>0</v>
      </c>
      <c r="AE683" s="758">
        <f ca="1">IF(AC683="",0,IF(AD683=0,MAX(AE$654:AE682,AG$652)+1,AD683+IFERROR(VLOOKUP(VLOOKUP(AC683,$D$653:$AA$871,24,0),AC$654:AE$661,3,0)-VLOOKUP(VLOOKUP(AC683,$D$653:$AA$871,24,0),AC$654:AE$661,2,0)+1,0)))</f>
        <v>23</v>
      </c>
      <c r="AF683" s="758" t="str">
        <f t="shared" ca="1" si="128"/>
        <v>Espada larga</v>
      </c>
      <c r="AG683" s="758" t="str">
        <f t="shared" ca="1" si="129"/>
        <v/>
      </c>
      <c r="AH683" s="929" t="s">
        <v>6573</v>
      </c>
      <c r="AI683" s="758">
        <f>IFERROR(IF(IF(AH683&lt;&gt;"",VLOOKUP(AH683,Tabla_ArmasyEscudos,9,0),"")="Conocida",MAX(AI$660:AI682)+1,0),0)</f>
        <v>0</v>
      </c>
      <c r="AJ683" s="758">
        <f ca="1">IF(AH683="",0,IF(AI683=0,MAX(AJ$654:AJ682,AL$652)+1,AI683+IFERROR(VLOOKUP(VLOOKUP(AH683,$D$653:$AA$871,24,0),AH$654:AJ$659,3,0)-VLOOKUP(VLOOKUP(AH683,$D$653:$AA$871,24,0),AH$654:AJ$659,2,0)+1,0)))</f>
        <v>25</v>
      </c>
      <c r="AK683" s="758" t="str">
        <f t="shared" ca="1" si="130"/>
        <v>Montante</v>
      </c>
      <c r="AL683" s="758" t="str">
        <f t="shared" ca="1" si="131"/>
        <v/>
      </c>
      <c r="AM683" s="931"/>
      <c r="AN683" s="758">
        <f>IFERROR(IF(IF(AM683&lt;&gt;"",VLOOKUP(AM683,Tabla_ArmasyEscudos,9,0),"")="Conocida",MAX(AN$660:AN682)+1,0),0)</f>
        <v>0</v>
      </c>
      <c r="AO683" s="758">
        <f>IF(AM683="",0,IF(AN683=0,MAX(AO$654:AO682,AQ$652)+1,AN683+IFERROR(VLOOKUP(VLOOKUP(AM683,$D$653:$AA$871,24,0),AM$654:AO$659,3,0)-VLOOKUP(VLOOKUP(AM683,$D$653:$AA$871,24,0),AM$654:AO$659,2,0)+1,0)))</f>
        <v>0</v>
      </c>
      <c r="AP683" s="758" t="str">
        <f t="shared" ca="1" si="132"/>
        <v/>
      </c>
      <c r="AQ683" s="758" t="str">
        <f t="shared" ca="1" si="133"/>
        <v/>
      </c>
      <c r="AR683" s="931"/>
      <c r="AS683" s="758">
        <f>IFERROR(IF(IF(AR683&lt;&gt;"",VLOOKUP(AR683,Tabla_ArmasyEscudos,9,0),"")="Conocida",MAX(AS$660:AS682)+1,0),0)</f>
        <v>0</v>
      </c>
      <c r="AT683" s="758">
        <f>IF(AR683="",0,IF(AS683=0,MAX(AT$654:AT682,AV$652)+1,AS683+IFERROR(VLOOKUP(VLOOKUP(AR683,$D$653:$AA$871,24,0),AR$654:AT$659,3,0)-VLOOKUP(VLOOKUP(AR683,$D$653:$AA$871,24,0),AR$654:AT$659,2,0)+1,0)))</f>
        <v>0</v>
      </c>
      <c r="AU683" s="758" t="str">
        <f t="shared" ca="1" si="134"/>
        <v/>
      </c>
      <c r="AV683" s="758" t="str">
        <f t="shared" ca="1" si="135"/>
        <v/>
      </c>
      <c r="AX683" s="1141" t="str">
        <f t="shared" si="136"/>
        <v>Espada bastarda</v>
      </c>
      <c r="AY683" s="2549"/>
      <c r="AZ683" s="774" t="str">
        <f t="shared" si="137"/>
        <v/>
      </c>
      <c r="BA683" s="76" t="str">
        <f t="shared" si="138"/>
        <v/>
      </c>
      <c r="BB683" s="76" t="str">
        <f t="shared" si="139"/>
        <v>Espada corta</v>
      </c>
      <c r="BC683" s="1142">
        <f>IF(OR($L681=BC$652,$L681="",$D681=$BE$651),MAX(BC$654:BC682)+1,0)</f>
        <v>0</v>
      </c>
      <c r="BD683" s="1143">
        <f>IF(OR($L681=BD$652,$L681="",$D681=$BE$651),MAX(BD$654:BD682)+1,0)</f>
        <v>0</v>
      </c>
      <c r="BE683" s="1144">
        <f>IF(OR($L681=BE$652,$L681="",$D681=$BE$651),MAX(BE$654:BE682)+1,0)</f>
        <v>28</v>
      </c>
      <c r="BF683" s="2549"/>
      <c r="BG683" s="774" t="str">
        <f t="shared" si="140"/>
        <v/>
      </c>
      <c r="BH683" s="76" t="str">
        <f t="shared" si="141"/>
        <v/>
      </c>
      <c r="BI683" s="76" t="str">
        <f t="shared" si="142"/>
        <v>Espada corta</v>
      </c>
      <c r="BJ683" s="1142">
        <f>IF(OR($L681=BJ$652,$L681="",$D681=$BL$651),MAX(BJ$654:BJ682)+1,0)</f>
        <v>0</v>
      </c>
      <c r="BK683" s="1143">
        <f>IF(OR($L681=BK$652,$L681="",$D681=$BL$651),MAX(BK$654:BK682)+1,0)</f>
        <v>0</v>
      </c>
      <c r="BL683" s="1144">
        <f>IF(OR($L681=BL$652,$L681="",$D681=$BL$651),MAX(BL$654:BL682)+1,0)</f>
        <v>28</v>
      </c>
      <c r="BM683" s="2549"/>
      <c r="BN683" s="774" t="str">
        <f t="shared" si="143"/>
        <v/>
      </c>
      <c r="BO683" s="76" t="str">
        <f t="shared" si="144"/>
        <v/>
      </c>
      <c r="BP683" s="76" t="str">
        <f t="shared" si="145"/>
        <v>Espada corta</v>
      </c>
      <c r="BQ683" s="1142">
        <f>IF(OR($L681=BQ$652,$L681="",$D681=$BS$651),MAX(BQ$654:BQ682)+1,0)</f>
        <v>0</v>
      </c>
      <c r="BR683" s="1143">
        <f>IF(OR($L681=BR$652,$L681="",$D681=$BS$651),MAX(BR$654:BR682)+1,0)</f>
        <v>0</v>
      </c>
      <c r="BS683" s="1144">
        <f>IF(OR($L681=BS$652,$L681="",$D681=$BS$651),MAX(BS$654:BS682)+1,0)</f>
        <v>28</v>
      </c>
      <c r="BT683" s="2549"/>
      <c r="BU683" s="774" t="str">
        <f t="shared" si="146"/>
        <v/>
      </c>
      <c r="BV683" s="76" t="str">
        <f t="shared" si="147"/>
        <v/>
      </c>
      <c r="BW683" s="76" t="str">
        <f t="shared" si="148"/>
        <v>Espada corta</v>
      </c>
      <c r="BX683" s="1142">
        <f>IF(OR($L681=BX$652,$L681="",$D681=$BZ$651),MAX(BX$654:BX682)+1,0)</f>
        <v>0</v>
      </c>
      <c r="BY683" s="1143">
        <f>IF(OR($L681=BY$652,$L681="",$D681=$BZ$651),MAX(BY$654:BY682)+1,0)</f>
        <v>0</v>
      </c>
      <c r="BZ683" s="1144">
        <f>IF(OR($L681=BZ$652,$L681="",$D681=$BZ$651),MAX(BZ$654:BZ682)+1,0)</f>
        <v>28</v>
      </c>
      <c r="CA683" s="2549"/>
      <c r="CB683" s="774" t="str">
        <f t="shared" si="149"/>
        <v/>
      </c>
      <c r="CC683" s="76" t="str">
        <f t="shared" si="150"/>
        <v/>
      </c>
      <c r="CD683" s="76" t="str">
        <f t="shared" si="151"/>
        <v>Espada corta</v>
      </c>
      <c r="CE683" s="1142">
        <f>IF(OR($L681=CE$652,$L681="",$D681=$CG$651),MAX(CE$654:CE682)+1,0)</f>
        <v>0</v>
      </c>
      <c r="CF683" s="1143">
        <f>IF(OR($L681=CF$652,$L681="",$D681=$CG$651),MAX(CF$654:CF682)+1,0)</f>
        <v>0</v>
      </c>
      <c r="CG683" s="1144">
        <f>IF(OR($L681=CG$652,$L681="",$D681=$CG$651),MAX(CG$654:CG682)+1,0)</f>
        <v>28</v>
      </c>
      <c r="CI683" s="774" t="str">
        <f t="shared" si="152"/>
        <v/>
      </c>
      <c r="CJ683" s="76" t="str">
        <f t="shared" si="153"/>
        <v/>
      </c>
      <c r="CK683" s="76" t="str">
        <f t="shared" si="154"/>
        <v>Espada corta</v>
      </c>
      <c r="CL683" s="1142">
        <f>IF(OR($L681=CL$652,$L681="",$D681=$CN$651),MAX(CL$654:CL682)+1,0)</f>
        <v>0</v>
      </c>
      <c r="CM683" s="1143">
        <f>IF(OR($L681=CM$652,$L681="",$D681=$CN$651),MAX(CM$654:CM682)+1,0)</f>
        <v>0</v>
      </c>
      <c r="CN683" s="1144">
        <f>IF(OR($L681=CN$652,$L681="",$D681=$CN$651),MAX(CN$654:CN682)+1,0)</f>
        <v>28</v>
      </c>
    </row>
    <row r="684" spans="1:92" ht="12.75" customHeight="1">
      <c r="A684" s="219">
        <v>675</v>
      </c>
      <c r="B684" s="7145"/>
      <c r="C684" s="1034"/>
      <c r="D684" s="2237" t="s">
        <v>1985</v>
      </c>
      <c r="E684" s="2239">
        <v>25</v>
      </c>
      <c r="F684" s="2236">
        <v>20</v>
      </c>
      <c r="G684" s="2236">
        <v>3</v>
      </c>
      <c r="H684" s="2236">
        <v>3</v>
      </c>
      <c r="I684" s="2236" t="s">
        <v>1411</v>
      </c>
      <c r="J684" s="2236" t="s">
        <v>1315</v>
      </c>
      <c r="K684" s="2433" t="s">
        <v>6835</v>
      </c>
      <c r="L684" s="2236" t="str">
        <f t="shared" si="156"/>
        <v>Distinta</v>
      </c>
      <c r="M684" s="2240">
        <v>8</v>
      </c>
      <c r="N684" s="2240">
        <v>-3</v>
      </c>
      <c r="O684" s="2240">
        <v>15</v>
      </c>
      <c r="P684" s="2236"/>
      <c r="Q684" s="2236"/>
      <c r="R684" s="2240">
        <v>30</v>
      </c>
      <c r="S684" s="2236" t="s">
        <v>1315</v>
      </c>
      <c r="T684" s="2236">
        <v>30</v>
      </c>
      <c r="U684" s="2236"/>
      <c r="V684" s="2433" t="s">
        <v>8125</v>
      </c>
      <c r="W684" s="2433"/>
      <c r="X684" s="2434" t="str">
        <f t="shared" si="158"/>
        <v>Pequeña</v>
      </c>
      <c r="Y684" s="2229">
        <f t="shared" si="157"/>
        <v>0</v>
      </c>
      <c r="Z684" s="1150" t="str">
        <f t="shared" si="155"/>
        <v/>
      </c>
      <c r="AA684" s="1751" t="s">
        <v>1960</v>
      </c>
      <c r="AC684" s="929" t="s">
        <v>6572</v>
      </c>
      <c r="AD684" s="758">
        <f>IFERROR(IF(IF(AC684&lt;&gt;"",VLOOKUP(AC684,Tabla_ArmasyEscudos,9,0),"")="Conocida",MAX(AD$662:AD683)+1,0),0)</f>
        <v>0</v>
      </c>
      <c r="AE684" s="758">
        <f ca="1">IF(AC684="",0,IF(AD684=0,MAX(AE$654:AE683,AG$652)+1,AD684+IFERROR(VLOOKUP(VLOOKUP(AC684,$D$653:$AA$871,24,0),AC$654:AE$661,3,0)-VLOOKUP(VLOOKUP(AC684,$D$653:$AA$871,24,0),AC$654:AE$661,2,0)+1,0)))</f>
        <v>24</v>
      </c>
      <c r="AF684" s="758" t="str">
        <f t="shared" ca="1" si="128"/>
        <v>Estilete</v>
      </c>
      <c r="AG684" s="758" t="str">
        <f t="shared" ca="1" si="129"/>
        <v/>
      </c>
      <c r="AH684" s="929" t="s">
        <v>2003</v>
      </c>
      <c r="AI684" s="758">
        <f>IFERROR(IF(IF(AH684&lt;&gt;"",VLOOKUP(AH684,Tabla_ArmasyEscudos,9,0),"")="Conocida",MAX(AI$660:AI683)+1,0),0)</f>
        <v>0</v>
      </c>
      <c r="AJ684" s="758">
        <f ca="1">IF(AH684="",0,IF(AI684=0,MAX(AJ$654:AJ683,AL$652)+1,AI684+IFERROR(VLOOKUP(VLOOKUP(AH684,$D$653:$AA$871,24,0),AH$654:AJ$659,3,0)-VLOOKUP(VLOOKUP(AH684,$D$653:$AA$871,24,0),AH$654:AJ$659,2,0)+1,0)))</f>
        <v>26</v>
      </c>
      <c r="AK684" s="758" t="str">
        <f t="shared" ca="1" si="130"/>
        <v>Pica</v>
      </c>
      <c r="AL684" s="758" t="str">
        <f t="shared" ca="1" si="131"/>
        <v/>
      </c>
      <c r="AM684" s="931"/>
      <c r="AN684" s="758">
        <f>IFERROR(IF(IF(AM684&lt;&gt;"",VLOOKUP(AM684,Tabla_ArmasyEscudos,9,0),"")="Conocida",MAX(AN$660:AN683)+1,0),0)</f>
        <v>0</v>
      </c>
      <c r="AO684" s="758">
        <f>IF(AM684="",0,IF(AN684=0,MAX(AO$654:AO683,AQ$652)+1,AN684+IFERROR(VLOOKUP(VLOOKUP(AM684,$D$653:$AA$871,24,0),AM$654:AO$659,3,0)-VLOOKUP(VLOOKUP(AM684,$D$653:$AA$871,24,0),AM$654:AO$659,2,0)+1,0)))</f>
        <v>0</v>
      </c>
      <c r="AP684" s="758" t="str">
        <f t="shared" ca="1" si="132"/>
        <v/>
      </c>
      <c r="AQ684" s="758" t="str">
        <f t="shared" ca="1" si="133"/>
        <v/>
      </c>
      <c r="AR684" s="931"/>
      <c r="AS684" s="758">
        <f>IFERROR(IF(IF(AR684&lt;&gt;"",VLOOKUP(AR684,Tabla_ArmasyEscudos,9,0),"")="Conocida",MAX(AS$660:AS683)+1,0),0)</f>
        <v>0</v>
      </c>
      <c r="AT684" s="758">
        <f>IF(AR684="",0,IF(AS684=0,MAX(AT$654:AT683,AV$652)+1,AS684+IFERROR(VLOOKUP(VLOOKUP(AR684,$D$653:$AA$871,24,0),AR$654:AT$659,3,0)-VLOOKUP(VLOOKUP(AR684,$D$653:$AA$871,24,0),AR$654:AT$659,2,0)+1,0)))</f>
        <v>0</v>
      </c>
      <c r="AU684" s="758" t="str">
        <f t="shared" ca="1" si="134"/>
        <v/>
      </c>
      <c r="AV684" s="758" t="str">
        <f t="shared" ca="1" si="135"/>
        <v/>
      </c>
      <c r="AX684" s="1141" t="str">
        <f t="shared" si="136"/>
        <v>Espada corta</v>
      </c>
      <c r="AY684" s="2549"/>
      <c r="AZ684" s="774" t="str">
        <f t="shared" si="137"/>
        <v/>
      </c>
      <c r="BA684" s="76" t="str">
        <f t="shared" si="138"/>
        <v/>
      </c>
      <c r="BB684" s="76" t="str">
        <f t="shared" si="139"/>
        <v>Espada larga</v>
      </c>
      <c r="BC684" s="1142">
        <f>IF(OR($L682=BC$652,$L682="",$D682=$BE$651),MAX(BC$654:BC683)+1,0)</f>
        <v>0</v>
      </c>
      <c r="BD684" s="1143">
        <f>IF(OR($L682=BD$652,$L682="",$D682=$BE$651),MAX(BD$654:BD683)+1,0)</f>
        <v>0</v>
      </c>
      <c r="BE684" s="1144">
        <f>IF(OR($L682=BE$652,$L682="",$D682=$BE$651),MAX(BE$654:BE683)+1,0)</f>
        <v>29</v>
      </c>
      <c r="BF684" s="2549"/>
      <c r="BG684" s="774" t="str">
        <f t="shared" si="140"/>
        <v/>
      </c>
      <c r="BH684" s="76" t="str">
        <f t="shared" si="141"/>
        <v/>
      </c>
      <c r="BI684" s="76" t="str">
        <f t="shared" si="142"/>
        <v>Espada larga</v>
      </c>
      <c r="BJ684" s="1142">
        <f>IF(OR($L682=BJ$652,$L682="",$D682=$BL$651),MAX(BJ$654:BJ683)+1,0)</f>
        <v>0</v>
      </c>
      <c r="BK684" s="1143">
        <f>IF(OR($L682=BK$652,$L682="",$D682=$BL$651),MAX(BK$654:BK683)+1,0)</f>
        <v>0</v>
      </c>
      <c r="BL684" s="1144">
        <f>IF(OR($L682=BL$652,$L682="",$D682=$BL$651),MAX(BL$654:BL683)+1,0)</f>
        <v>29</v>
      </c>
      <c r="BM684" s="2549"/>
      <c r="BN684" s="774" t="str">
        <f t="shared" si="143"/>
        <v/>
      </c>
      <c r="BO684" s="76" t="str">
        <f t="shared" si="144"/>
        <v/>
      </c>
      <c r="BP684" s="76" t="str">
        <f t="shared" si="145"/>
        <v>Espada larga</v>
      </c>
      <c r="BQ684" s="1142">
        <f>IF(OR($L682=BQ$652,$L682="",$D682=$BS$651),MAX(BQ$654:BQ683)+1,0)</f>
        <v>0</v>
      </c>
      <c r="BR684" s="1143">
        <f>IF(OR($L682=BR$652,$L682="",$D682=$BS$651),MAX(BR$654:BR683)+1,0)</f>
        <v>0</v>
      </c>
      <c r="BS684" s="1144">
        <f>IF(OR($L682=BS$652,$L682="",$D682=$BS$651),MAX(BS$654:BS683)+1,0)</f>
        <v>29</v>
      </c>
      <c r="BT684" s="2549"/>
      <c r="BU684" s="774" t="str">
        <f t="shared" si="146"/>
        <v/>
      </c>
      <c r="BV684" s="76" t="str">
        <f t="shared" si="147"/>
        <v/>
      </c>
      <c r="BW684" s="76" t="str">
        <f t="shared" si="148"/>
        <v>Espada larga</v>
      </c>
      <c r="BX684" s="1142">
        <f>IF(OR($L682=BX$652,$L682="",$D682=$BZ$651),MAX(BX$654:BX683)+1,0)</f>
        <v>0</v>
      </c>
      <c r="BY684" s="1143">
        <f>IF(OR($L682=BY$652,$L682="",$D682=$BZ$651),MAX(BY$654:BY683)+1,0)</f>
        <v>0</v>
      </c>
      <c r="BZ684" s="1144">
        <f>IF(OR($L682=BZ$652,$L682="",$D682=$BZ$651),MAX(BZ$654:BZ683)+1,0)</f>
        <v>29</v>
      </c>
      <c r="CA684" s="2549"/>
      <c r="CB684" s="774" t="str">
        <f t="shared" si="149"/>
        <v/>
      </c>
      <c r="CC684" s="76" t="str">
        <f t="shared" si="150"/>
        <v/>
      </c>
      <c r="CD684" s="76" t="str">
        <f t="shared" si="151"/>
        <v>Espada larga</v>
      </c>
      <c r="CE684" s="1142">
        <f>IF(OR($L682=CE$652,$L682="",$D682=$CG$651),MAX(CE$654:CE683)+1,0)</f>
        <v>0</v>
      </c>
      <c r="CF684" s="1143">
        <f>IF(OR($L682=CF$652,$L682="",$D682=$CG$651),MAX(CF$654:CF683)+1,0)</f>
        <v>0</v>
      </c>
      <c r="CG684" s="1144">
        <f>IF(OR($L682=CG$652,$L682="",$D682=$CG$651),MAX(CG$654:CG683)+1,0)</f>
        <v>29</v>
      </c>
      <c r="CI684" s="774" t="str">
        <f t="shared" si="152"/>
        <v/>
      </c>
      <c r="CJ684" s="76" t="str">
        <f t="shared" si="153"/>
        <v/>
      </c>
      <c r="CK684" s="76" t="str">
        <f t="shared" si="154"/>
        <v>Espada larga</v>
      </c>
      <c r="CL684" s="1142">
        <f>IF(OR($L682=CL$652,$L682="",$D682=$CN$651),MAX(CL$654:CL683)+1,0)</f>
        <v>0</v>
      </c>
      <c r="CM684" s="1143">
        <f>IF(OR($L682=CM$652,$L682="",$D682=$CN$651),MAX(CM$654:CM683)+1,0)</f>
        <v>0</v>
      </c>
      <c r="CN684" s="1144">
        <f>IF(OR($L682=CN$652,$L682="",$D682=$CN$651),MAX(CN$654:CN683)+1,0)</f>
        <v>29</v>
      </c>
    </row>
    <row r="685" spans="1:92" ht="12.75" customHeight="1">
      <c r="A685" s="219">
        <v>676</v>
      </c>
      <c r="B685" s="7145"/>
      <c r="C685" s="1034"/>
      <c r="D685" s="2237" t="s">
        <v>1986</v>
      </c>
      <c r="E685" s="2239">
        <v>40</v>
      </c>
      <c r="F685" s="2236">
        <v>15</v>
      </c>
      <c r="G685" s="2236">
        <v>4</v>
      </c>
      <c r="H685" s="2236">
        <v>4</v>
      </c>
      <c r="I685" s="2236" t="s">
        <v>1411</v>
      </c>
      <c r="J685" s="2236" t="s">
        <v>1410</v>
      </c>
      <c r="K685" s="2433" t="s">
        <v>6833</v>
      </c>
      <c r="L685" s="2236" t="str">
        <f t="shared" si="156"/>
        <v>Distinta</v>
      </c>
      <c r="M685" s="2240">
        <v>11</v>
      </c>
      <c r="N685" s="2240">
        <v>2</v>
      </c>
      <c r="O685" s="2240">
        <v>20</v>
      </c>
      <c r="P685" s="2236"/>
      <c r="Q685" s="2236"/>
      <c r="R685" s="2236" t="s">
        <v>1315</v>
      </c>
      <c r="S685" s="2236" t="s">
        <v>1315</v>
      </c>
      <c r="T685" s="2236" t="s">
        <v>1315</v>
      </c>
      <c r="U685" s="2236"/>
      <c r="V685" s="2433" t="s">
        <v>1983</v>
      </c>
      <c r="W685" s="2433"/>
      <c r="X685" s="2434" t="str">
        <f t="shared" si="158"/>
        <v>Mediana</v>
      </c>
      <c r="Y685" s="2229">
        <f t="shared" si="157"/>
        <v>0</v>
      </c>
      <c r="Z685" s="1150" t="str">
        <f t="shared" ref="Z685:Z716" si="161">IF(AND(K685&lt;&gt;"Natural/-",ISNUMBER(SEARCH(D685&amp;",",Armas_Conocidas))),", "&amp;K685,"")</f>
        <v/>
      </c>
      <c r="AA685" s="1751" t="s">
        <v>1960</v>
      </c>
      <c r="AC685" s="929" t="s">
        <v>1978</v>
      </c>
      <c r="AD685" s="758">
        <f>IFERROR(IF(IF(AC685&lt;&gt;"",VLOOKUP(AC685,Tabla_ArmasyEscudos,9,0),"")="Conocida",MAX(AD$662:AD684)+1,0),0)</f>
        <v>0</v>
      </c>
      <c r="AE685" s="758">
        <f ca="1">IF(AC685="",0,IF(AD685=0,MAX(AE$654:AE684,AG$652)+1,AD685+IFERROR(VLOOKUP(VLOOKUP(AC685,$D$653:$AA$871,24,0),AC$654:AE$661,3,0)-VLOOKUP(VLOOKUP(AC685,$D$653:$AA$871,24,0),AC$654:AE$661,2,0)+1,0)))</f>
        <v>25</v>
      </c>
      <c r="AF685" s="758" t="str">
        <f t="shared" ca="1" si="128"/>
        <v>Estoque</v>
      </c>
      <c r="AG685" s="758" t="str">
        <f t="shared" ca="1" si="129"/>
        <v/>
      </c>
      <c r="AH685" s="929" t="s">
        <v>6574</v>
      </c>
      <c r="AI685" s="758">
        <f>IFERROR(IF(IF(AH685&lt;&gt;"",VLOOKUP(AH685,Tabla_ArmasyEscudos,9,0),"")="Conocida",MAX(AI$660:AI684)+1,0),0)</f>
        <v>0</v>
      </c>
      <c r="AJ685" s="758">
        <f ca="1">IF(AH685="",0,IF(AI685=0,MAX(AJ$654:AJ684,AL$652)+1,AI685+IFERROR(VLOOKUP(VLOOKUP(AH685,$D$653:$AA$871,24,0),AH$654:AJ$659,3,0)-VLOOKUP(VLOOKUP(AH685,$D$653:$AA$871,24,0),AH$654:AJ$659,2,0)+1,0)))</f>
        <v>27</v>
      </c>
      <c r="AK685" s="758" t="str">
        <f t="shared" ca="1" si="130"/>
        <v>Pudao</v>
      </c>
      <c r="AL685" s="758" t="str">
        <f t="shared" ca="1" si="131"/>
        <v/>
      </c>
      <c r="AM685" s="931"/>
      <c r="AN685" s="758">
        <f>IFERROR(IF(IF(AM685&lt;&gt;"",VLOOKUP(AM685,Tabla_ArmasyEscudos,9,0),"")="Conocida",MAX(AN$660:AN684)+1,0),0)</f>
        <v>0</v>
      </c>
      <c r="AO685" s="758">
        <f>IF(AM685="",0,IF(AN685=0,MAX(AO$654:AO684,AQ$652)+1,AN685+IFERROR(VLOOKUP(VLOOKUP(AM685,$D$653:$AA$871,24,0),AM$654:AO$659,3,0)-VLOOKUP(VLOOKUP(AM685,$D$653:$AA$871,24,0),AM$654:AO$659,2,0)+1,0)))</f>
        <v>0</v>
      </c>
      <c r="AP685" s="758" t="str">
        <f t="shared" ca="1" si="132"/>
        <v/>
      </c>
      <c r="AQ685" s="758" t="str">
        <f t="shared" ca="1" si="133"/>
        <v/>
      </c>
      <c r="AR685" s="931"/>
      <c r="AS685" s="758">
        <f>IFERROR(IF(IF(AR685&lt;&gt;"",VLOOKUP(AR685,Tabla_ArmasyEscudos,9,0),"")="Conocida",MAX(AS$660:AS684)+1,0),0)</f>
        <v>0</v>
      </c>
      <c r="AT685" s="758">
        <f>IF(AR685="",0,IF(AS685=0,MAX(AT$654:AT684,AV$652)+1,AS685+IFERROR(VLOOKUP(VLOOKUP(AR685,$D$653:$AA$871,24,0),AR$654:AT$659,3,0)-VLOOKUP(VLOOKUP(AR685,$D$653:$AA$871,24,0),AR$654:AT$659,2,0)+1,0)))</f>
        <v>0</v>
      </c>
      <c r="AU685" s="758" t="str">
        <f t="shared" ca="1" si="134"/>
        <v/>
      </c>
      <c r="AV685" s="758" t="str">
        <f t="shared" ca="1" si="135"/>
        <v/>
      </c>
      <c r="AX685" s="1141" t="str">
        <f t="shared" si="136"/>
        <v>Espada larga</v>
      </c>
      <c r="AY685" s="2549"/>
      <c r="AZ685" s="774" t="str">
        <f t="shared" si="137"/>
        <v/>
      </c>
      <c r="BA685" s="76" t="str">
        <f t="shared" si="138"/>
        <v/>
      </c>
      <c r="BB685" s="76" t="str">
        <f t="shared" si="139"/>
        <v>Estilete</v>
      </c>
      <c r="BC685" s="1142">
        <f>IF(OR($L683=BC$652,$L683="",$D683=$BE$651),MAX(BC$654:BC684)+1,0)</f>
        <v>0</v>
      </c>
      <c r="BD685" s="1143">
        <f>IF(OR($L683=BD$652,$L683="",$D683=$BE$651),MAX(BD$654:BD684)+1,0)</f>
        <v>0</v>
      </c>
      <c r="BE685" s="1144">
        <f>IF(OR($L683=BE$652,$L683="",$D683=$BE$651),MAX(BE$654:BE684)+1,0)</f>
        <v>30</v>
      </c>
      <c r="BF685" s="2549"/>
      <c r="BG685" s="774" t="str">
        <f t="shared" si="140"/>
        <v/>
      </c>
      <c r="BH685" s="76" t="str">
        <f t="shared" si="141"/>
        <v/>
      </c>
      <c r="BI685" s="76" t="str">
        <f t="shared" si="142"/>
        <v>Estilete</v>
      </c>
      <c r="BJ685" s="1142">
        <f>IF(OR($L683=BJ$652,$L683="",$D683=$BL$651),MAX(BJ$654:BJ684)+1,0)</f>
        <v>0</v>
      </c>
      <c r="BK685" s="1143">
        <f>IF(OR($L683=BK$652,$L683="",$D683=$BL$651),MAX(BK$654:BK684)+1,0)</f>
        <v>0</v>
      </c>
      <c r="BL685" s="1144">
        <f>IF(OR($L683=BL$652,$L683="",$D683=$BL$651),MAX(BL$654:BL684)+1,0)</f>
        <v>30</v>
      </c>
      <c r="BM685" s="2549"/>
      <c r="BN685" s="774" t="str">
        <f t="shared" si="143"/>
        <v/>
      </c>
      <c r="BO685" s="76" t="str">
        <f t="shared" si="144"/>
        <v/>
      </c>
      <c r="BP685" s="76" t="str">
        <f t="shared" si="145"/>
        <v>Estilete</v>
      </c>
      <c r="BQ685" s="1142">
        <f>IF(OR($L683=BQ$652,$L683="",$D683=$BS$651),MAX(BQ$654:BQ684)+1,0)</f>
        <v>0</v>
      </c>
      <c r="BR685" s="1143">
        <f>IF(OR($L683=BR$652,$L683="",$D683=$BS$651),MAX(BR$654:BR684)+1,0)</f>
        <v>0</v>
      </c>
      <c r="BS685" s="1144">
        <f>IF(OR($L683=BS$652,$L683="",$D683=$BS$651),MAX(BS$654:BS684)+1,0)</f>
        <v>30</v>
      </c>
      <c r="BT685" s="2549"/>
      <c r="BU685" s="774" t="str">
        <f t="shared" si="146"/>
        <v/>
      </c>
      <c r="BV685" s="76" t="str">
        <f t="shared" si="147"/>
        <v/>
      </c>
      <c r="BW685" s="76" t="str">
        <f t="shared" si="148"/>
        <v>Estilete</v>
      </c>
      <c r="BX685" s="1142">
        <f>IF(OR($L683=BX$652,$L683="",$D683=$BZ$651),MAX(BX$654:BX684)+1,0)</f>
        <v>0</v>
      </c>
      <c r="BY685" s="1143">
        <f>IF(OR($L683=BY$652,$L683="",$D683=$BZ$651),MAX(BY$654:BY684)+1,0)</f>
        <v>0</v>
      </c>
      <c r="BZ685" s="1144">
        <f>IF(OR($L683=BZ$652,$L683="",$D683=$BZ$651),MAX(BZ$654:BZ684)+1,0)</f>
        <v>30</v>
      </c>
      <c r="CA685" s="2549"/>
      <c r="CB685" s="774" t="str">
        <f t="shared" si="149"/>
        <v/>
      </c>
      <c r="CC685" s="76" t="str">
        <f t="shared" si="150"/>
        <v/>
      </c>
      <c r="CD685" s="76" t="str">
        <f t="shared" si="151"/>
        <v>Estilete</v>
      </c>
      <c r="CE685" s="1142">
        <f>IF(OR($L683=CE$652,$L683="",$D683=$CG$651),MAX(CE$654:CE684)+1,0)</f>
        <v>0</v>
      </c>
      <c r="CF685" s="1143">
        <f>IF(OR($L683=CF$652,$L683="",$D683=$CG$651),MAX(CF$654:CF684)+1,0)</f>
        <v>0</v>
      </c>
      <c r="CG685" s="1144">
        <f>IF(OR($L683=CG$652,$L683="",$D683=$CG$651),MAX(CG$654:CG684)+1,0)</f>
        <v>30</v>
      </c>
      <c r="CI685" s="774" t="str">
        <f t="shared" si="152"/>
        <v/>
      </c>
      <c r="CJ685" s="76" t="str">
        <f t="shared" si="153"/>
        <v/>
      </c>
      <c r="CK685" s="76" t="str">
        <f t="shared" si="154"/>
        <v>Estilete</v>
      </c>
      <c r="CL685" s="1142">
        <f>IF(OR($L683=CL$652,$L683="",$D683=$CN$651),MAX(CL$654:CL684)+1,0)</f>
        <v>0</v>
      </c>
      <c r="CM685" s="1143">
        <f>IF(OR($L683=CM$652,$L683="",$D683=$CN$651),MAX(CM$654:CM684)+1,0)</f>
        <v>0</v>
      </c>
      <c r="CN685" s="1144">
        <f>IF(OR($L683=CN$652,$L683="",$D683=$CN$651),MAX(CN$654:CN684)+1,0)</f>
        <v>30</v>
      </c>
    </row>
    <row r="686" spans="1:92" ht="12.75" customHeight="1">
      <c r="A686" s="219">
        <v>677</v>
      </c>
      <c r="B686" s="7145"/>
      <c r="C686" s="1034"/>
      <c r="D686" s="2237" t="s">
        <v>6579</v>
      </c>
      <c r="E686" s="2239">
        <v>60</v>
      </c>
      <c r="F686" s="2236">
        <v>-10</v>
      </c>
      <c r="G686" s="2236">
        <v>7</v>
      </c>
      <c r="H686" s="2236">
        <v>7</v>
      </c>
      <c r="I686" s="2236" t="s">
        <v>1410</v>
      </c>
      <c r="J686" s="2236" t="s">
        <v>1315</v>
      </c>
      <c r="K686" s="2433" t="s">
        <v>6839</v>
      </c>
      <c r="L686" s="2236" t="str">
        <f t="shared" si="156"/>
        <v>Distinta</v>
      </c>
      <c r="M686" s="2240">
        <v>12</v>
      </c>
      <c r="N686" s="2240">
        <v>5</v>
      </c>
      <c r="O686" s="2240">
        <v>20</v>
      </c>
      <c r="P686" s="2236"/>
      <c r="Q686" s="2236"/>
      <c r="R686" s="2236" t="s">
        <v>1315</v>
      </c>
      <c r="S686" s="2236" t="s">
        <v>1315</v>
      </c>
      <c r="T686" s="2236" t="s">
        <v>1315</v>
      </c>
      <c r="U686" s="2236"/>
      <c r="V686" s="2433" t="s">
        <v>1315</v>
      </c>
      <c r="W686" s="2433"/>
      <c r="X686" s="2434" t="str">
        <f t="shared" si="158"/>
        <v>Mediana</v>
      </c>
      <c r="Y686" s="2229">
        <f t="shared" si="157"/>
        <v>0</v>
      </c>
      <c r="Z686" s="1150" t="str">
        <f t="shared" si="161"/>
        <v/>
      </c>
      <c r="AA686" s="1751" t="s">
        <v>1960</v>
      </c>
      <c r="AC686" s="929" t="s">
        <v>1980</v>
      </c>
      <c r="AD686" s="758">
        <f>IFERROR(IF(IF(AC686&lt;&gt;"",VLOOKUP(AC686,Tabla_ArmasyEscudos,9,0),"")="Conocida",MAX(AD$662:AD685)+1,0),0)</f>
        <v>0</v>
      </c>
      <c r="AE686" s="758">
        <f ca="1">IF(AC686="",0,IF(AD686=0,MAX(AE$654:AE685,AG$652)+1,AD686+IFERROR(VLOOKUP(VLOOKUP(AC686,$D$653:$AA$871,24,0),AC$654:AE$661,3,0)-VLOOKUP(VLOOKUP(AC686,$D$653:$AA$871,24,0),AC$654:AE$661,2,0)+1,0)))</f>
        <v>26</v>
      </c>
      <c r="AF686" s="758" t="str">
        <f t="shared" ca="1" si="128"/>
        <v>Falcata</v>
      </c>
      <c r="AG686" s="758" t="str">
        <f t="shared" ca="1" si="129"/>
        <v/>
      </c>
      <c r="AH686" s="929" t="s">
        <v>2008</v>
      </c>
      <c r="AI686" s="758">
        <f>IFERROR(IF(IF(AH686&lt;&gt;"",VLOOKUP(AH686,Tabla_ArmasyEscudos,9,0),"")="Conocida",MAX(AI$660:AI685)+1,0),0)</f>
        <v>0</v>
      </c>
      <c r="AJ686" s="758">
        <f ca="1">IF(AH686="",0,IF(AI686=0,MAX(AJ$654:AJ685,AL$652)+1,AI686+IFERROR(VLOOKUP(VLOOKUP(AH686,$D$653:$AA$871,24,0),AH$654:AJ$659,3,0)-VLOOKUP(VLOOKUP(AH686,$D$653:$AA$871,24,0),AH$654:AJ$659,2,0)+1,0)))</f>
        <v>28</v>
      </c>
      <c r="AK686" s="758" t="str">
        <f t="shared" ca="1" si="130"/>
        <v>Tridente</v>
      </c>
      <c r="AL686" s="758" t="str">
        <f t="shared" ca="1" si="131"/>
        <v/>
      </c>
      <c r="AM686" s="931"/>
      <c r="AN686" s="758">
        <f>IFERROR(IF(IF(AM686&lt;&gt;"",VLOOKUP(AM686,Tabla_ArmasyEscudos,9,0),"")="Conocida",MAX(AN$660:AN685)+1,0),0)</f>
        <v>0</v>
      </c>
      <c r="AO686" s="758">
        <f>IF(AM686="",0,IF(AN686=0,MAX(AO$654:AO685,AQ$652)+1,AN686+IFERROR(VLOOKUP(VLOOKUP(AM686,$D$653:$AA$871,24,0),AM$654:AO$659,3,0)-VLOOKUP(VLOOKUP(AM686,$D$653:$AA$871,24,0),AM$654:AO$659,2,0)+1,0)))</f>
        <v>0</v>
      </c>
      <c r="AP686" s="758" t="str">
        <f t="shared" ca="1" si="132"/>
        <v/>
      </c>
      <c r="AQ686" s="758" t="str">
        <f t="shared" ca="1" si="133"/>
        <v/>
      </c>
      <c r="AR686" s="931"/>
      <c r="AS686" s="758">
        <f>IFERROR(IF(IF(AR686&lt;&gt;"",VLOOKUP(AR686,Tabla_ArmasyEscudos,9,0),"")="Conocida",MAX(AS$660:AS685)+1,0),0)</f>
        <v>0</v>
      </c>
      <c r="AT686" s="758">
        <f>IF(AR686="",0,IF(AS686=0,MAX(AT$654:AT685,AV$652)+1,AS686+IFERROR(VLOOKUP(VLOOKUP(AR686,$D$653:$AA$871,24,0),AR$654:AT$659,3,0)-VLOOKUP(VLOOKUP(AR686,$D$653:$AA$871,24,0),AR$654:AT$659,2,0)+1,0)))</f>
        <v>0</v>
      </c>
      <c r="AU686" s="758" t="str">
        <f t="shared" ca="1" si="134"/>
        <v/>
      </c>
      <c r="AV686" s="758" t="str">
        <f t="shared" ca="1" si="135"/>
        <v/>
      </c>
      <c r="AX686" s="1141" t="str">
        <f t="shared" si="136"/>
        <v>Estilete</v>
      </c>
      <c r="AY686" s="2549"/>
      <c r="AZ686" s="774" t="str">
        <f t="shared" si="137"/>
        <v/>
      </c>
      <c r="BA686" s="76" t="str">
        <f t="shared" si="138"/>
        <v/>
      </c>
      <c r="BB686" s="76" t="str">
        <f t="shared" si="139"/>
        <v>Estoque</v>
      </c>
      <c r="BC686" s="1142">
        <f>IF(OR($L684=BC$652,$L684="",$D684=$BE$651),MAX(BC$654:BC685)+1,0)</f>
        <v>0</v>
      </c>
      <c r="BD686" s="1143">
        <f>IF(OR($L684=BD$652,$L684="",$D684=$BE$651),MAX(BD$654:BD685)+1,0)</f>
        <v>0</v>
      </c>
      <c r="BE686" s="1144">
        <f>IF(OR($L684=BE$652,$L684="",$D684=$BE$651),MAX(BE$654:BE685)+1,0)</f>
        <v>31</v>
      </c>
      <c r="BF686" s="2549"/>
      <c r="BG686" s="774" t="str">
        <f t="shared" si="140"/>
        <v/>
      </c>
      <c r="BH686" s="76" t="str">
        <f t="shared" si="141"/>
        <v/>
      </c>
      <c r="BI686" s="76" t="str">
        <f t="shared" si="142"/>
        <v>Estoque</v>
      </c>
      <c r="BJ686" s="1142">
        <f>IF(OR($L684=BJ$652,$L684="",$D684=$BL$651),MAX(BJ$654:BJ685)+1,0)</f>
        <v>0</v>
      </c>
      <c r="BK686" s="1143">
        <f>IF(OR($L684=BK$652,$L684="",$D684=$BL$651),MAX(BK$654:BK685)+1,0)</f>
        <v>0</v>
      </c>
      <c r="BL686" s="1144">
        <f>IF(OR($L684=BL$652,$L684="",$D684=$BL$651),MAX(BL$654:BL685)+1,0)</f>
        <v>31</v>
      </c>
      <c r="BM686" s="2549"/>
      <c r="BN686" s="774" t="str">
        <f t="shared" si="143"/>
        <v/>
      </c>
      <c r="BO686" s="76" t="str">
        <f t="shared" si="144"/>
        <v/>
      </c>
      <c r="BP686" s="76" t="str">
        <f t="shared" si="145"/>
        <v>Estoque</v>
      </c>
      <c r="BQ686" s="1142">
        <f>IF(OR($L684=BQ$652,$L684="",$D684=$BS$651),MAX(BQ$654:BQ685)+1,0)</f>
        <v>0</v>
      </c>
      <c r="BR686" s="1143">
        <f>IF(OR($L684=BR$652,$L684="",$D684=$BS$651),MAX(BR$654:BR685)+1,0)</f>
        <v>0</v>
      </c>
      <c r="BS686" s="1144">
        <f>IF(OR($L684=BS$652,$L684="",$D684=$BS$651),MAX(BS$654:BS685)+1,0)</f>
        <v>31</v>
      </c>
      <c r="BT686" s="2549"/>
      <c r="BU686" s="774" t="str">
        <f t="shared" si="146"/>
        <v/>
      </c>
      <c r="BV686" s="76" t="str">
        <f t="shared" si="147"/>
        <v/>
      </c>
      <c r="BW686" s="76" t="str">
        <f t="shared" si="148"/>
        <v>Estoque</v>
      </c>
      <c r="BX686" s="1142">
        <f>IF(OR($L684=BX$652,$L684="",$D684=$BZ$651),MAX(BX$654:BX685)+1,0)</f>
        <v>0</v>
      </c>
      <c r="BY686" s="1143">
        <f>IF(OR($L684=BY$652,$L684="",$D684=$BZ$651),MAX(BY$654:BY685)+1,0)</f>
        <v>0</v>
      </c>
      <c r="BZ686" s="1144">
        <f>IF(OR($L684=BZ$652,$L684="",$D684=$BZ$651),MAX(BZ$654:BZ685)+1,0)</f>
        <v>31</v>
      </c>
      <c r="CA686" s="2549"/>
      <c r="CB686" s="774" t="str">
        <f t="shared" si="149"/>
        <v/>
      </c>
      <c r="CC686" s="76" t="str">
        <f t="shared" si="150"/>
        <v/>
      </c>
      <c r="CD686" s="76" t="str">
        <f t="shared" si="151"/>
        <v>Estoque</v>
      </c>
      <c r="CE686" s="1142">
        <f>IF(OR($L684=CE$652,$L684="",$D684=$CG$651),MAX(CE$654:CE685)+1,0)</f>
        <v>0</v>
      </c>
      <c r="CF686" s="1143">
        <f>IF(OR($L684=CF$652,$L684="",$D684=$CG$651),MAX(CF$654:CF685)+1,0)</f>
        <v>0</v>
      </c>
      <c r="CG686" s="1144">
        <f>IF(OR($L684=CG$652,$L684="",$D684=$CG$651),MAX(CG$654:CG685)+1,0)</f>
        <v>31</v>
      </c>
      <c r="CI686" s="774" t="str">
        <f t="shared" si="152"/>
        <v/>
      </c>
      <c r="CJ686" s="76" t="str">
        <f t="shared" si="153"/>
        <v/>
      </c>
      <c r="CK686" s="76" t="str">
        <f t="shared" si="154"/>
        <v>Estoque</v>
      </c>
      <c r="CL686" s="1142">
        <f>IF(OR($L684=CL$652,$L684="",$D684=$CN$651),MAX(CL$654:CL685)+1,0)</f>
        <v>0</v>
      </c>
      <c r="CM686" s="1143">
        <f>IF(OR($L684=CM$652,$L684="",$D684=$CN$651),MAX(CM$654:CM685)+1,0)</f>
        <v>0</v>
      </c>
      <c r="CN686" s="1144">
        <f>IF(OR($L684=CN$652,$L684="",$D684=$CN$651),MAX(CN$654:CN685)+1,0)</f>
        <v>31</v>
      </c>
    </row>
    <row r="687" spans="1:92" ht="12.75" customHeight="1">
      <c r="A687" s="219">
        <v>678</v>
      </c>
      <c r="B687" s="7145"/>
      <c r="C687" s="1034"/>
      <c r="D687" s="3876" t="s">
        <v>1987</v>
      </c>
      <c r="E687" s="3877">
        <v>35</v>
      </c>
      <c r="F687" s="3878">
        <v>15</v>
      </c>
      <c r="G687" s="3878">
        <v>3</v>
      </c>
      <c r="H687" s="3878">
        <v>3</v>
      </c>
      <c r="I687" s="3878" t="s">
        <v>1411</v>
      </c>
      <c r="J687" s="3878" t="s">
        <v>1315</v>
      </c>
      <c r="K687" s="3879" t="s">
        <v>6840</v>
      </c>
      <c r="L687" s="3878" t="str">
        <f t="shared" si="156"/>
        <v>Distinta</v>
      </c>
      <c r="M687" s="3880">
        <v>9</v>
      </c>
      <c r="N687" s="3880">
        <v>-2</v>
      </c>
      <c r="O687" s="3880">
        <v>20</v>
      </c>
      <c r="P687" s="3878"/>
      <c r="Q687" s="3878"/>
      <c r="R687" s="3878" t="s">
        <v>1315</v>
      </c>
      <c r="S687" s="3878" t="s">
        <v>1315</v>
      </c>
      <c r="T687" s="3878" t="s">
        <v>1315</v>
      </c>
      <c r="U687" s="3878"/>
      <c r="V687" s="3879" t="s">
        <v>12450</v>
      </c>
      <c r="W687" s="2433"/>
      <c r="X687" s="2434" t="str">
        <f t="shared" si="158"/>
        <v>Pequeña</v>
      </c>
      <c r="Y687" s="2229">
        <f t="shared" si="157"/>
        <v>0</v>
      </c>
      <c r="Z687" s="1150" t="str">
        <f t="shared" si="161"/>
        <v/>
      </c>
      <c r="AA687" s="1751" t="s">
        <v>1960</v>
      </c>
      <c r="AC687" s="929" t="s">
        <v>1981</v>
      </c>
      <c r="AD687" s="758">
        <f>IFERROR(IF(IF(AC687&lt;&gt;"",VLOOKUP(AC687,Tabla_ArmasyEscudos,9,0),"")="Conocida",MAX(AD$662:AD686)+1,0),0)</f>
        <v>0</v>
      </c>
      <c r="AE687" s="758">
        <f ca="1">IF(AC687="",0,IF(AD687=0,MAX(AE$654:AE686,AG$652)+1,AD687+IFERROR(VLOOKUP(VLOOKUP(AC687,$D$653:$AA$871,24,0),AC$654:AE$661,3,0)-VLOOKUP(VLOOKUP(AC687,$D$653:$AA$871,24,0),AC$654:AE$661,2,0)+1,0)))</f>
        <v>27</v>
      </c>
      <c r="AF687" s="758" t="str">
        <f t="shared" ref="AF687:AF718" ca="1" si="162">IFERROR(INDEX(AC$654:AC$808,MATCH($A33,AE$654:AE$808,0)),"")</f>
        <v>Florete</v>
      </c>
      <c r="AG687" s="758" t="str">
        <f t="shared" ref="AG687:AG718" ca="1" si="163">IF($A33&lt;MIN($AE$662,IF($AE$660&gt;0,$AE$660,9999),IF($AE$661&gt;0,$AE$661,9999)),IFERROR(INDEX(AC$654:AC$808,MATCH($A33,AE$654:AE$808,0)),""),"")</f>
        <v/>
      </c>
      <c r="AH687" s="2568" t="s">
        <v>6575</v>
      </c>
      <c r="AI687" s="758">
        <f>IFERROR(IF(IF(AH687&lt;&gt;"",VLOOKUP(AH687,Tabla_ArmasyEscudos,9,0),"")="Conocida",MAX(AI$660:AI686)+1,0),0)</f>
        <v>0</v>
      </c>
      <c r="AJ687" s="758">
        <f ca="1">IF(AH687="",0,IF(AI687=0,MAX(AJ$654:AJ686,AL$652)+1,AI687+IFERROR(VLOOKUP(VLOOKUP(AH687,$D$653:$AA$871,24,0),AH$654:AJ$659,3,0)-VLOOKUP(VLOOKUP(AH687,$D$653:$AA$871,24,0),AH$654:AJ$659,2,0)+1,0)))</f>
        <v>29</v>
      </c>
      <c r="AK687" s="758" t="str">
        <f t="shared" ref="AK687:AK718" ca="1" si="164">IFERROR(INDEX(AH$654:AH$806,MATCH($A33,AJ$654:AJ$806,0)),"")</f>
        <v>Valaska</v>
      </c>
      <c r="AL687" s="758" t="str">
        <f t="shared" ref="AL687:AL718" ca="1" si="165">IF($A33&lt;MIN(AJ$660,IF($AJ$657&gt;0,$AJ$657,9999)),IFERROR(INDEX(AH$654:AH$806,MATCH($A33,AJ$654:AJ$806,0)),""),"")</f>
        <v/>
      </c>
      <c r="AM687" s="931"/>
      <c r="AN687" s="758">
        <f>IFERROR(IF(IF(AM687&lt;&gt;"",VLOOKUP(AM687,Tabla_ArmasyEscudos,9,0),"")="Conocida",MAX(AN$660:AN686)+1,0),0)</f>
        <v>0</v>
      </c>
      <c r="AO687" s="758">
        <f>IF(AM687="",0,IF(AN687=0,MAX(AO$654:AO686,AQ$652)+1,AN687+IFERROR(VLOOKUP(VLOOKUP(AM687,$D$653:$AA$871,24,0),AM$654:AO$659,3,0)-VLOOKUP(VLOOKUP(AM687,$D$653:$AA$871,24,0),AM$654:AO$659,2,0)+1,0)))</f>
        <v>0</v>
      </c>
      <c r="AP687" s="758" t="str">
        <f t="shared" ref="AP687:AP718" ca="1" si="166">IFERROR(INDEX(AM$654:AM$806,MATCH($A33,AO$654:AO$806,0)),"")</f>
        <v/>
      </c>
      <c r="AQ687" s="758" t="str">
        <f t="shared" ref="AQ687:AQ718" ca="1" si="167">IF($A33&lt;MIN(AO$660,IF($AO$656&gt;0,$AO$656,9999)),IFERROR(INDEX(AM$654:AM$806,MATCH($A33,AO$654:AO$806,0)),""),"")</f>
        <v/>
      </c>
      <c r="AR687" s="931"/>
      <c r="AS687" s="758">
        <f>IFERROR(IF(IF(AR687&lt;&gt;"",VLOOKUP(AR687,Tabla_ArmasyEscudos,9,0),"")="Conocida",MAX(AS$660:AS686)+1,0),0)</f>
        <v>0</v>
      </c>
      <c r="AT687" s="758">
        <f>IF(AR687="",0,IF(AS687=0,MAX(AT$654:AT686,AV$652)+1,AS687+IFERROR(VLOOKUP(VLOOKUP(AR687,$D$653:$AA$871,24,0),AR$654:AT$659,3,0)-VLOOKUP(VLOOKUP(AR687,$D$653:$AA$871,24,0),AR$654:AT$659,2,0)+1,0)))</f>
        <v>0</v>
      </c>
      <c r="AU687" s="758" t="str">
        <f t="shared" ref="AU687:AU718" ca="1" si="168">IFERROR(INDEX(AR$654:AR$806,MATCH($A33,AT$654:AT$806,0)),"")</f>
        <v/>
      </c>
      <c r="AV687" s="758" t="str">
        <f t="shared" ref="AV687:AV718" ca="1" si="169">IF($A33&lt;MIN(AT$660,IF($AT$657&gt;0,$AT$657,9999)),IFERROR(INDEX(AR$654:AR$806,MATCH($A33,AT$654:AT$806,0)),""),"")</f>
        <v/>
      </c>
      <c r="AX687" s="1141" t="str">
        <f t="shared" ref="AX687:AX718" si="170">D685</f>
        <v>Estoque</v>
      </c>
      <c r="AY687" s="2549"/>
      <c r="AZ687" s="774" t="str">
        <f t="shared" ref="AZ687:AZ718" si="171">IF(ISNA(INDEX(Lista_ArmasYVirgo,MATCH($A33,BC$655:BC$796,0))),"",INDEX(Lista_ArmasYVirgo,MATCH($A33,BC$655:BC$796,0)))</f>
        <v/>
      </c>
      <c r="BA687" s="76" t="str">
        <f t="shared" ref="BA687:BA718" si="172">IF(ISNA(INDEX(Lista_ArmasYVirgo,MATCH($A33,BD$655:BD$796,0))),"",INDEX(Lista_ArmasYVirgo,MATCH($A33,BD$655:BD$796,0)))</f>
        <v/>
      </c>
      <c r="BB687" s="76" t="str">
        <f t="shared" ref="BB687:BB718" si="173">IF(ISNA(INDEX(Lista_ArmasYVirgo,MATCH($A33,BE$655:BE$796,0))),"",INDEX(Lista_ArmasYVirgo,MATCH($A33,BE$655:BE$796,0)))</f>
        <v>Falcata</v>
      </c>
      <c r="BC687" s="1142">
        <f>IF(OR($L685=BC$652,$L685="",$D685=$BE$651),MAX(BC$654:BC686)+1,0)</f>
        <v>0</v>
      </c>
      <c r="BD687" s="1143">
        <f>IF(OR($L685=BD$652,$L685="",$D685=$BE$651),MAX(BD$654:BD686)+1,0)</f>
        <v>0</v>
      </c>
      <c r="BE687" s="1144">
        <f>IF(OR($L685=BE$652,$L685="",$D685=$BE$651),MAX(BE$654:BE686)+1,0)</f>
        <v>32</v>
      </c>
      <c r="BF687" s="2549"/>
      <c r="BG687" s="774" t="str">
        <f t="shared" ref="BG687:BG718" si="174">IF(ISNA(INDEX(Lista_ArmasYVirgo,MATCH($A33,BJ$655:BJ$796,0))),"",INDEX(Lista_ArmasYVirgo,MATCH($A33,BJ$655:BJ$796,0)))</f>
        <v/>
      </c>
      <c r="BH687" s="76" t="str">
        <f t="shared" ref="BH687:BH718" si="175">IF(ISNA(INDEX(Lista_ArmasYVirgo,MATCH($A33,BK$655:BK$796,0))),"",INDEX(Lista_ArmasYVirgo,MATCH($A33,BK$655:BK$796,0)))</f>
        <v/>
      </c>
      <c r="BI687" s="76" t="str">
        <f t="shared" ref="BI687:BI718" si="176">IF(ISNA(INDEX(Lista_ArmasYVirgo,MATCH($A33,BL$655:BL$796,0))),"",INDEX(Lista_ArmasYVirgo,MATCH($A33,BL$655:BL$796,0)))</f>
        <v>Falcata</v>
      </c>
      <c r="BJ687" s="1142">
        <f>IF(OR($L685=BJ$652,$L685="",$D685=$BL$651),MAX(BJ$654:BJ686)+1,0)</f>
        <v>0</v>
      </c>
      <c r="BK687" s="1143">
        <f>IF(OR($L685=BK$652,$L685="",$D685=$BL$651),MAX(BK$654:BK686)+1,0)</f>
        <v>0</v>
      </c>
      <c r="BL687" s="1144">
        <f>IF(OR($L685=BL$652,$L685="",$D685=$BL$651),MAX(BL$654:BL686)+1,0)</f>
        <v>32</v>
      </c>
      <c r="BM687" s="2549"/>
      <c r="BN687" s="774" t="str">
        <f t="shared" ref="BN687:BN718" si="177">IF(ISNA(INDEX(Lista_ArmasYVirgo,MATCH($A33,BQ$655:BQ$796,0))),"",INDEX(Lista_ArmasYVirgo,MATCH($A33,BQ$655:BQ$796,0)))</f>
        <v/>
      </c>
      <c r="BO687" s="76" t="str">
        <f t="shared" ref="BO687:BO718" si="178">IF(ISNA(INDEX(Lista_ArmasYVirgo,MATCH($A33,BR$655:BR$796,0))),"",INDEX(Lista_ArmasYVirgo,MATCH($A33,BR$655:BR$796,0)))</f>
        <v/>
      </c>
      <c r="BP687" s="76" t="str">
        <f t="shared" ref="BP687:BP718" si="179">IF(ISNA(INDEX(Lista_ArmasYVirgo,MATCH($A33,BS$655:BS$796,0))),"",INDEX(Lista_ArmasYVirgo,MATCH($A33,BS$655:BS$796,0)))</f>
        <v>Falcata</v>
      </c>
      <c r="BQ687" s="1142">
        <f>IF(OR($L685=BQ$652,$L685="",$D685=$BS$651),MAX(BQ$654:BQ686)+1,0)</f>
        <v>0</v>
      </c>
      <c r="BR687" s="1143">
        <f>IF(OR($L685=BR$652,$L685="",$D685=$BS$651),MAX(BR$654:BR686)+1,0)</f>
        <v>0</v>
      </c>
      <c r="BS687" s="1144">
        <f>IF(OR($L685=BS$652,$L685="",$D685=$BS$651),MAX(BS$654:BS686)+1,0)</f>
        <v>32</v>
      </c>
      <c r="BT687" s="2549"/>
      <c r="BU687" s="774" t="str">
        <f t="shared" ref="BU687:BU718" si="180">IF(ISNA(INDEX(Lista_ArmasYVirgo,MATCH($A33,BX$655:BX$796,0))),"",INDEX(Lista_ArmasYVirgo,MATCH($A33,BX$655:BX$796,0)))</f>
        <v/>
      </c>
      <c r="BV687" s="76" t="str">
        <f t="shared" ref="BV687:BV718" si="181">IF(ISNA(INDEX(Lista_ArmasYVirgo,MATCH($A33,BY$655:BY$796,0))),"",INDEX(Lista_ArmasYVirgo,MATCH($A33,BY$655:BY$796,0)))</f>
        <v/>
      </c>
      <c r="BW687" s="76" t="str">
        <f t="shared" ref="BW687:BW718" si="182">IF(ISNA(INDEX(Lista_ArmasYVirgo,MATCH($A33,BZ$655:BZ$796,0))),"",INDEX(Lista_ArmasYVirgo,MATCH($A33,BZ$655:BZ$796,0)))</f>
        <v>Falcata</v>
      </c>
      <c r="BX687" s="1142">
        <f>IF(OR($L685=BX$652,$L685="",$D685=$BZ$651),MAX(BX$654:BX686)+1,0)</f>
        <v>0</v>
      </c>
      <c r="BY687" s="1143">
        <f>IF(OR($L685=BY$652,$L685="",$D685=$BZ$651),MAX(BY$654:BY686)+1,0)</f>
        <v>0</v>
      </c>
      <c r="BZ687" s="1144">
        <f>IF(OR($L685=BZ$652,$L685="",$D685=$BZ$651),MAX(BZ$654:BZ686)+1,0)</f>
        <v>32</v>
      </c>
      <c r="CA687" s="2549"/>
      <c r="CB687" s="774" t="str">
        <f t="shared" ref="CB687:CB718" si="183">IF(ISNA(INDEX(Lista_ArmasYVirgo,MATCH($A33,CE$655:CE$796,0))),"",INDEX(Lista_ArmasYVirgo,MATCH($A33,CE$655:CE$796,0)))</f>
        <v/>
      </c>
      <c r="CC687" s="76" t="str">
        <f t="shared" ref="CC687:CC718" si="184">IF(ISNA(INDEX(Lista_ArmasYVirgo,MATCH($A33,CF$655:CF$796,0))),"",INDEX(Lista_ArmasYVirgo,MATCH($A33,CF$655:CF$796,0)))</f>
        <v/>
      </c>
      <c r="CD687" s="76" t="str">
        <f t="shared" ref="CD687:CD718" si="185">IF(ISNA(INDEX(Lista_ArmasYVirgo,MATCH($A33,CG$655:CG$796,0))),"",INDEX(Lista_ArmasYVirgo,MATCH($A33,CG$655:CG$796,0)))</f>
        <v>Falcata</v>
      </c>
      <c r="CE687" s="1142">
        <f>IF(OR($L685=CE$652,$L685="",$D685=$CG$651),MAX(CE$654:CE686)+1,0)</f>
        <v>0</v>
      </c>
      <c r="CF687" s="1143">
        <f>IF(OR($L685=CF$652,$L685="",$D685=$CG$651),MAX(CF$654:CF686)+1,0)</f>
        <v>0</v>
      </c>
      <c r="CG687" s="1144">
        <f>IF(OR($L685=CG$652,$L685="",$D685=$CG$651),MAX(CG$654:CG686)+1,0)</f>
        <v>32</v>
      </c>
      <c r="CI687" s="774" t="str">
        <f t="shared" ref="CI687:CI718" si="186">IF(ISNA(INDEX(Lista_ArmasYVirgo,MATCH($A33,CL$655:CL$796,0))),"",INDEX(Lista_ArmasYVirgo,MATCH($A33,CL$655:CL$796,0)))</f>
        <v/>
      </c>
      <c r="CJ687" s="76" t="str">
        <f t="shared" ref="CJ687:CJ718" si="187">IF(ISNA(INDEX(Lista_ArmasYVirgo,MATCH($A33,CM$655:CM$796,0))),"",INDEX(Lista_ArmasYVirgo,MATCH($A33,CM$655:CM$796,0)))</f>
        <v/>
      </c>
      <c r="CK687" s="76" t="str">
        <f t="shared" ref="CK687:CK718" si="188">IF(ISNA(INDEX(Lista_ArmasYVirgo,MATCH($A33,CN$655:CN$796,0))),"",INDEX(Lista_ArmasYVirgo,MATCH($A33,CN$655:CN$796,0)))</f>
        <v>Falcata</v>
      </c>
      <c r="CL687" s="1142">
        <f>IF(OR($L685=CL$652,$L685="",$D685=$CN$651),MAX(CL$654:CL686)+1,0)</f>
        <v>0</v>
      </c>
      <c r="CM687" s="1143">
        <f>IF(OR($L685=CM$652,$L685="",$D685=$CN$651),MAX(CM$654:CM686)+1,0)</f>
        <v>0</v>
      </c>
      <c r="CN687" s="1144">
        <f>IF(OR($L685=CN$652,$L685="",$D685=$CN$651),MAX(CN$654:CN686)+1,0)</f>
        <v>32</v>
      </c>
    </row>
    <row r="688" spans="1:92" ht="12.75" customHeight="1">
      <c r="A688" s="219">
        <v>679</v>
      </c>
      <c r="B688" s="7145"/>
      <c r="C688" s="1034"/>
      <c r="D688" s="3876" t="s">
        <v>1988</v>
      </c>
      <c r="E688" s="3877">
        <v>30</v>
      </c>
      <c r="F688" s="3878">
        <v>10</v>
      </c>
      <c r="G688" s="3878">
        <v>3</v>
      </c>
      <c r="H688" s="3878">
        <v>3</v>
      </c>
      <c r="I688" s="3878" t="s">
        <v>1411</v>
      </c>
      <c r="J688" s="3878" t="s">
        <v>1315</v>
      </c>
      <c r="K688" s="3879" t="s">
        <v>6835</v>
      </c>
      <c r="L688" s="3878" t="str">
        <f t="shared" ref="L688:L690" si="189">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3880">
        <v>11</v>
      </c>
      <c r="N688" s="3880">
        <v>-2</v>
      </c>
      <c r="O688" s="3880">
        <v>15</v>
      </c>
      <c r="P688" s="3878"/>
      <c r="Q688" s="3878"/>
      <c r="R688" s="3878" t="s">
        <v>1315</v>
      </c>
      <c r="S688" s="3878" t="s">
        <v>1315</v>
      </c>
      <c r="T688" s="3878" t="s">
        <v>1315</v>
      </c>
      <c r="U688" s="3878"/>
      <c r="V688" s="3879" t="s">
        <v>6613</v>
      </c>
      <c r="W688" s="2433"/>
      <c r="X688" s="2434" t="str">
        <f t="shared" si="158"/>
        <v>Pequeña</v>
      </c>
      <c r="Y688" s="2229">
        <f t="shared" si="157"/>
        <v>0</v>
      </c>
      <c r="Z688" s="1150" t="str">
        <f t="shared" si="161"/>
        <v/>
      </c>
      <c r="AA688" s="1751" t="s">
        <v>1960</v>
      </c>
      <c r="AC688" s="929" t="s">
        <v>1982</v>
      </c>
      <c r="AD688" s="758">
        <f>IFERROR(IF(IF(AC688&lt;&gt;"",VLOOKUP(AC688,Tabla_ArmasyEscudos,9,0),"")="Conocida",MAX(AD$662:AD687)+1,0),0)</f>
        <v>0</v>
      </c>
      <c r="AE688" s="758">
        <f ca="1">IF(AC688="",0,IF(AD688=0,MAX(AE$654:AE687,AG$652)+1,AD688+IFERROR(VLOOKUP(VLOOKUP(AC688,$D$653:$AA$871,24,0),AC$654:AE$661,3,0)-VLOOKUP(VLOOKUP(AC688,$D$653:$AA$871,24,0),AC$654:AE$661,2,0)+1,0)))</f>
        <v>28</v>
      </c>
      <c r="AF688" s="758" t="str">
        <f t="shared" ca="1" si="162"/>
        <v>Garfio</v>
      </c>
      <c r="AG688" s="758" t="str">
        <f t="shared" ca="1" si="163"/>
        <v/>
      </c>
      <c r="AH688" s="2568" t="s">
        <v>6576</v>
      </c>
      <c r="AI688" s="758">
        <f>IFERROR(IF(IF(AH688&lt;&gt;"",VLOOKUP(AH688,Tabla_ArmasyEscudos,9,0),"")="Conocida",MAX(AI$660:AI687)+1,0),0)</f>
        <v>0</v>
      </c>
      <c r="AJ688" s="758">
        <f ca="1">IF(AH688="",0,IF(AI688=0,MAX(AJ$654:AJ687,AL$652)+1,AI688+IFERROR(VLOOKUP(VLOOKUP(AH688,$D$653:$AA$871,24,0),AH$654:AJ$659,3,0)-VLOOKUP(VLOOKUP(AH688,$D$653:$AA$871,24,0),AH$654:AJ$659,2,0)+1,0)))</f>
        <v>30</v>
      </c>
      <c r="AK688" s="758" t="str">
        <f t="shared" ca="1" si="164"/>
        <v>Vara</v>
      </c>
      <c r="AL688" s="758" t="str">
        <f t="shared" ca="1" si="165"/>
        <v/>
      </c>
      <c r="AM688" s="931"/>
      <c r="AN688" s="758">
        <f>IFERROR(IF(IF(AM688&lt;&gt;"",VLOOKUP(AM688,Tabla_ArmasyEscudos,9,0),"")="Conocida",MAX(AN$660:AN687)+1,0),0)</f>
        <v>0</v>
      </c>
      <c r="AO688" s="758">
        <f>IF(AM688="",0,IF(AN688=0,MAX(AO$654:AO687,AQ$652)+1,AN688+IFERROR(VLOOKUP(VLOOKUP(AM688,$D$653:$AA$871,24,0),AM$654:AO$659,3,0)-VLOOKUP(VLOOKUP(AM688,$D$653:$AA$871,24,0),AM$654:AO$659,2,0)+1,0)))</f>
        <v>0</v>
      </c>
      <c r="AP688" s="758" t="str">
        <f t="shared" ca="1" si="166"/>
        <v/>
      </c>
      <c r="AQ688" s="758" t="str">
        <f t="shared" ca="1" si="167"/>
        <v/>
      </c>
      <c r="AR688" s="931"/>
      <c r="AS688" s="758">
        <f>IFERROR(IF(IF(AR688&lt;&gt;"",VLOOKUP(AR688,Tabla_ArmasyEscudos,9,0),"")="Conocida",MAX(AS$660:AS687)+1,0),0)</f>
        <v>0</v>
      </c>
      <c r="AT688" s="758">
        <f>IF(AR688="",0,IF(AS688=0,MAX(AT$654:AT687,AV$652)+1,AS688+IFERROR(VLOOKUP(VLOOKUP(AR688,$D$653:$AA$871,24,0),AR$654:AT$659,3,0)-VLOOKUP(VLOOKUP(AR688,$D$653:$AA$871,24,0),AR$654:AT$659,2,0)+1,0)))</f>
        <v>0</v>
      </c>
      <c r="AU688" s="758" t="str">
        <f t="shared" ca="1" si="168"/>
        <v/>
      </c>
      <c r="AV688" s="758" t="str">
        <f t="shared" ca="1" si="169"/>
        <v/>
      </c>
      <c r="AX688" s="1141" t="str">
        <f t="shared" si="170"/>
        <v>Falcata</v>
      </c>
      <c r="AY688" s="2549"/>
      <c r="AZ688" s="774" t="str">
        <f t="shared" si="171"/>
        <v/>
      </c>
      <c r="BA688" s="76" t="str">
        <f t="shared" si="172"/>
        <v/>
      </c>
      <c r="BB688" s="76" t="str">
        <f t="shared" si="173"/>
        <v>Florete</v>
      </c>
      <c r="BC688" s="1142">
        <f>IF(OR($L686=BC$652,$L686="",$D686=$BE$651),MAX(BC$654:BC687)+1,0)</f>
        <v>0</v>
      </c>
      <c r="BD688" s="1143">
        <f>IF(OR($L686=BD$652,$L686="",$D686=$BE$651),MAX(BD$654:BD687)+1,0)</f>
        <v>0</v>
      </c>
      <c r="BE688" s="1144">
        <f>IF(OR($L686=BE$652,$L686="",$D686=$BE$651),MAX(BE$654:BE687)+1,0)</f>
        <v>33</v>
      </c>
      <c r="BF688" s="2549"/>
      <c r="BG688" s="774" t="str">
        <f t="shared" si="174"/>
        <v/>
      </c>
      <c r="BH688" s="76" t="str">
        <f t="shared" si="175"/>
        <v/>
      </c>
      <c r="BI688" s="76" t="str">
        <f t="shared" si="176"/>
        <v>Florete</v>
      </c>
      <c r="BJ688" s="1142">
        <f>IF(OR($L686=BJ$652,$L686="",$D686=$BL$651),MAX(BJ$654:BJ687)+1,0)</f>
        <v>0</v>
      </c>
      <c r="BK688" s="1143">
        <f>IF(OR($L686=BK$652,$L686="",$D686=$BL$651),MAX(BK$654:BK687)+1,0)</f>
        <v>0</v>
      </c>
      <c r="BL688" s="1144">
        <f>IF(OR($L686=BL$652,$L686="",$D686=$BL$651),MAX(BL$654:BL687)+1,0)</f>
        <v>33</v>
      </c>
      <c r="BM688" s="2549"/>
      <c r="BN688" s="774" t="str">
        <f t="shared" si="177"/>
        <v/>
      </c>
      <c r="BO688" s="76" t="str">
        <f t="shared" si="178"/>
        <v/>
      </c>
      <c r="BP688" s="76" t="str">
        <f t="shared" si="179"/>
        <v>Florete</v>
      </c>
      <c r="BQ688" s="1142">
        <f>IF(OR($L686=BQ$652,$L686="",$D686=$BS$651),MAX(BQ$654:BQ687)+1,0)</f>
        <v>0</v>
      </c>
      <c r="BR688" s="1143">
        <f>IF(OR($L686=BR$652,$L686="",$D686=$BS$651),MAX(BR$654:BR687)+1,0)</f>
        <v>0</v>
      </c>
      <c r="BS688" s="1144">
        <f>IF(OR($L686=BS$652,$L686="",$D686=$BS$651),MAX(BS$654:BS687)+1,0)</f>
        <v>33</v>
      </c>
      <c r="BT688" s="2549"/>
      <c r="BU688" s="774" t="str">
        <f t="shared" si="180"/>
        <v/>
      </c>
      <c r="BV688" s="76" t="str">
        <f t="shared" si="181"/>
        <v/>
      </c>
      <c r="BW688" s="76" t="str">
        <f t="shared" si="182"/>
        <v>Florete</v>
      </c>
      <c r="BX688" s="1142">
        <f>IF(OR($L686=BX$652,$L686="",$D686=$BZ$651),MAX(BX$654:BX687)+1,0)</f>
        <v>0</v>
      </c>
      <c r="BY688" s="1143">
        <f>IF(OR($L686=BY$652,$L686="",$D686=$BZ$651),MAX(BY$654:BY687)+1,0)</f>
        <v>0</v>
      </c>
      <c r="BZ688" s="1144">
        <f>IF(OR($L686=BZ$652,$L686="",$D686=$BZ$651),MAX(BZ$654:BZ687)+1,0)</f>
        <v>33</v>
      </c>
      <c r="CA688" s="2549"/>
      <c r="CB688" s="774" t="str">
        <f t="shared" si="183"/>
        <v/>
      </c>
      <c r="CC688" s="76" t="str">
        <f t="shared" si="184"/>
        <v/>
      </c>
      <c r="CD688" s="76" t="str">
        <f t="shared" si="185"/>
        <v>Florete</v>
      </c>
      <c r="CE688" s="1142">
        <f>IF(OR($L686=CE$652,$L686="",$D686=$CG$651),MAX(CE$654:CE687)+1,0)</f>
        <v>0</v>
      </c>
      <c r="CF688" s="1143">
        <f>IF(OR($L686=CF$652,$L686="",$D686=$CG$651),MAX(CF$654:CF687)+1,0)</f>
        <v>0</v>
      </c>
      <c r="CG688" s="1144">
        <f>IF(OR($L686=CG$652,$L686="",$D686=$CG$651),MAX(CG$654:CG687)+1,0)</f>
        <v>33</v>
      </c>
      <c r="CI688" s="774" t="str">
        <f t="shared" si="186"/>
        <v/>
      </c>
      <c r="CJ688" s="76" t="str">
        <f t="shared" si="187"/>
        <v/>
      </c>
      <c r="CK688" s="76" t="str">
        <f t="shared" si="188"/>
        <v>Florete</v>
      </c>
      <c r="CL688" s="1142">
        <f>IF(OR($L686=CL$652,$L686="",$D686=$CN$651),MAX(CL$654:CL687)+1,0)</f>
        <v>0</v>
      </c>
      <c r="CM688" s="1143">
        <f>IF(OR($L686=CM$652,$L686="",$D686=$CN$651),MAX(CM$654:CM687)+1,0)</f>
        <v>0</v>
      </c>
      <c r="CN688" s="1144">
        <f>IF(OR($L686=CN$652,$L686="",$D686=$CN$651),MAX(CN$654:CN687)+1,0)</f>
        <v>33</v>
      </c>
    </row>
    <row r="689" spans="1:92" ht="12.75" customHeight="1">
      <c r="A689" s="219">
        <v>680</v>
      </c>
      <c r="B689" s="7145"/>
      <c r="C689" s="1034"/>
      <c r="D689" s="2237" t="s">
        <v>1989</v>
      </c>
      <c r="E689" s="2239">
        <v>30</v>
      </c>
      <c r="F689" s="2236">
        <v>0</v>
      </c>
      <c r="G689" s="2236">
        <v>5</v>
      </c>
      <c r="H689" s="2236">
        <v>5</v>
      </c>
      <c r="I689" s="2236" t="s">
        <v>1357</v>
      </c>
      <c r="J689" s="2236" t="s">
        <v>1315</v>
      </c>
      <c r="K689" s="2433" t="s">
        <v>6836</v>
      </c>
      <c r="L689" s="2236" t="str">
        <f t="shared" si="189"/>
        <v>Distinta</v>
      </c>
      <c r="M689" s="2240">
        <v>11</v>
      </c>
      <c r="N689" s="2240">
        <v>-2</v>
      </c>
      <c r="O689" s="2240">
        <v>15</v>
      </c>
      <c r="P689" s="2236"/>
      <c r="Q689" s="2236"/>
      <c r="R689" s="2236" t="s">
        <v>1315</v>
      </c>
      <c r="S689" s="2236" t="s">
        <v>1315</v>
      </c>
      <c r="T689" s="2236" t="s">
        <v>1315</v>
      </c>
      <c r="U689" s="2236"/>
      <c r="V689" s="2433" t="s">
        <v>1315</v>
      </c>
      <c r="W689" s="2433"/>
      <c r="X689" s="2434" t="str">
        <f t="shared" si="158"/>
        <v>Mediana</v>
      </c>
      <c r="Y689" s="2229">
        <f t="shared" si="157"/>
        <v>0</v>
      </c>
      <c r="Z689" s="1150" t="str">
        <f t="shared" si="161"/>
        <v/>
      </c>
      <c r="AA689" s="1751" t="s">
        <v>1960</v>
      </c>
      <c r="AC689" s="929" t="s">
        <v>1984</v>
      </c>
      <c r="AD689" s="758">
        <f>IFERROR(IF(IF(AC689&lt;&gt;"",VLOOKUP(AC689,Tabla_ArmasyEscudos,9,0),"")="Conocida",MAX(AD$662:AD688)+1,0),0)</f>
        <v>0</v>
      </c>
      <c r="AE689" s="758">
        <f ca="1">IF(AC689="",0,IF(AD689=0,MAX(AE$654:AE688,AG$652)+1,AD689+IFERROR(VLOOKUP(VLOOKUP(AC689,$D$653:$AA$871,24,0),AC$654:AE$661,3,0)-VLOOKUP(VLOOKUP(AC689,$D$653:$AA$871,24,0),AC$654:AE$661,2,0)+1,0)))</f>
        <v>29</v>
      </c>
      <c r="AF689" s="758" t="str">
        <f t="shared" ca="1" si="162"/>
        <v>Garrote</v>
      </c>
      <c r="AG689" s="758" t="str">
        <f t="shared" ca="1" si="163"/>
        <v/>
      </c>
      <c r="AH689" s="2568" t="s">
        <v>6577</v>
      </c>
      <c r="AI689" s="758">
        <f>IFERROR(IF(IF(AH689&lt;&gt;"",VLOOKUP(AH689,Tabla_ArmasyEscudos,9,0),"")="Conocida",MAX(AI$660:AI688)+1,0),0)</f>
        <v>0</v>
      </c>
      <c r="AJ689" s="758">
        <f ca="1">IF(AH689="",0,IF(AI689=0,MAX(AJ$654:AJ688,AL$652)+1,AI689+IFERROR(VLOOKUP(VLOOKUP(AH689,$D$653:$AA$871,24,0),AH$654:AJ$659,3,0)-VLOOKUP(VLOOKUP(AH689,$D$653:$AA$871,24,0),AH$654:AJ$659,2,0)+1,0)))</f>
        <v>31</v>
      </c>
      <c r="AK689" s="758" t="str">
        <f t="shared" ca="1" si="164"/>
        <v>&gt; ARMAS EXÓTICAS</v>
      </c>
      <c r="AL689" s="758" t="str">
        <f t="shared" ca="1" si="165"/>
        <v/>
      </c>
      <c r="AM689" s="931"/>
      <c r="AN689" s="758">
        <f>IFERROR(IF(IF(AM689&lt;&gt;"",VLOOKUP(AM689,Tabla_ArmasyEscudos,9,0),"")="Conocida",MAX(AN$660:AN688)+1,0),0)</f>
        <v>0</v>
      </c>
      <c r="AO689" s="758">
        <f>IF(AM689="",0,IF(AN689=0,MAX(AO$654:AO688,AQ$652)+1,AN689+IFERROR(VLOOKUP(VLOOKUP(AM689,$D$653:$AA$871,24,0),AM$654:AO$659,3,0)-VLOOKUP(VLOOKUP(AM689,$D$653:$AA$871,24,0),AM$654:AO$659,2,0)+1,0)))</f>
        <v>0</v>
      </c>
      <c r="AP689" s="758" t="str">
        <f t="shared" ca="1" si="166"/>
        <v/>
      </c>
      <c r="AQ689" s="758" t="str">
        <f t="shared" ca="1" si="167"/>
        <v/>
      </c>
      <c r="AR689" s="2568"/>
      <c r="AS689" s="758">
        <f>IFERROR(IF(IF(AR689&lt;&gt;"",VLOOKUP(AR689,Tabla_ArmasyEscudos,9,0),"")="Conocida",MAX(AS$660:AS688)+1,0),0)</f>
        <v>0</v>
      </c>
      <c r="AT689" s="758">
        <f>IF(AR689="",0,IF(AS689=0,MAX(AT$654:AT688,AV$652)+1,AS689+IFERROR(VLOOKUP(VLOOKUP(AR689,$D$653:$AA$871,24,0),AR$654:AT$659,3,0)-VLOOKUP(VLOOKUP(AR689,$D$653:$AA$871,24,0),AR$654:AT$659,2,0)+1,0)))</f>
        <v>0</v>
      </c>
      <c r="AU689" s="758" t="str">
        <f t="shared" ca="1" si="168"/>
        <v/>
      </c>
      <c r="AV689" s="758" t="str">
        <f t="shared" ca="1" si="169"/>
        <v/>
      </c>
      <c r="AX689" s="1141" t="str">
        <f t="shared" si="170"/>
        <v>Florete</v>
      </c>
      <c r="AY689" s="2549"/>
      <c r="AZ689" s="774" t="str">
        <f t="shared" si="171"/>
        <v/>
      </c>
      <c r="BA689" s="76" t="str">
        <f t="shared" si="172"/>
        <v/>
      </c>
      <c r="BB689" s="76" t="str">
        <f t="shared" si="173"/>
        <v>Garfio</v>
      </c>
      <c r="BC689" s="1142">
        <f>IF(OR($L687=BC$652,$L687="",$D687=$BE$651),MAX(BC$654:BC688)+1,0)</f>
        <v>0</v>
      </c>
      <c r="BD689" s="1143">
        <f>IF(OR($L687=BD$652,$L687="",$D687=$BE$651),MAX(BD$654:BD688)+1,0)</f>
        <v>0</v>
      </c>
      <c r="BE689" s="1144">
        <f>IF(OR($L687=BE$652,$L687="",$D687=$BE$651),MAX(BE$654:BE688)+1,0)</f>
        <v>34</v>
      </c>
      <c r="BF689" s="2549"/>
      <c r="BG689" s="774" t="str">
        <f t="shared" si="174"/>
        <v/>
      </c>
      <c r="BH689" s="76" t="str">
        <f t="shared" si="175"/>
        <v/>
      </c>
      <c r="BI689" s="76" t="str">
        <f t="shared" si="176"/>
        <v>Garfio</v>
      </c>
      <c r="BJ689" s="1142">
        <f>IF(OR($L687=BJ$652,$L687="",$D687=$BL$651),MAX(BJ$654:BJ688)+1,0)</f>
        <v>0</v>
      </c>
      <c r="BK689" s="1143">
        <f>IF(OR($L687=BK$652,$L687="",$D687=$BL$651),MAX(BK$654:BK688)+1,0)</f>
        <v>0</v>
      </c>
      <c r="BL689" s="1144">
        <f>IF(OR($L687=BL$652,$L687="",$D687=$BL$651),MAX(BL$654:BL688)+1,0)</f>
        <v>34</v>
      </c>
      <c r="BM689" s="2549"/>
      <c r="BN689" s="774" t="str">
        <f t="shared" si="177"/>
        <v/>
      </c>
      <c r="BO689" s="76" t="str">
        <f t="shared" si="178"/>
        <v/>
      </c>
      <c r="BP689" s="76" t="str">
        <f t="shared" si="179"/>
        <v>Garfio</v>
      </c>
      <c r="BQ689" s="1142">
        <f>IF(OR($L687=BQ$652,$L687="",$D687=$BS$651),MAX(BQ$654:BQ688)+1,0)</f>
        <v>0</v>
      </c>
      <c r="BR689" s="1143">
        <f>IF(OR($L687=BR$652,$L687="",$D687=$BS$651),MAX(BR$654:BR688)+1,0)</f>
        <v>0</v>
      </c>
      <c r="BS689" s="1144">
        <f>IF(OR($L687=BS$652,$L687="",$D687=$BS$651),MAX(BS$654:BS688)+1,0)</f>
        <v>34</v>
      </c>
      <c r="BT689" s="2549"/>
      <c r="BU689" s="774" t="str">
        <f t="shared" si="180"/>
        <v/>
      </c>
      <c r="BV689" s="76" t="str">
        <f t="shared" si="181"/>
        <v/>
      </c>
      <c r="BW689" s="76" t="str">
        <f t="shared" si="182"/>
        <v>Garfio</v>
      </c>
      <c r="BX689" s="1142">
        <f>IF(OR($L687=BX$652,$L687="",$D687=$BZ$651),MAX(BX$654:BX688)+1,0)</f>
        <v>0</v>
      </c>
      <c r="BY689" s="1143">
        <f>IF(OR($L687=BY$652,$L687="",$D687=$BZ$651),MAX(BY$654:BY688)+1,0)</f>
        <v>0</v>
      </c>
      <c r="BZ689" s="1144">
        <f>IF(OR($L687=BZ$652,$L687="",$D687=$BZ$651),MAX(BZ$654:BZ688)+1,0)</f>
        <v>34</v>
      </c>
      <c r="CA689" s="2549"/>
      <c r="CB689" s="774" t="str">
        <f t="shared" si="183"/>
        <v/>
      </c>
      <c r="CC689" s="76" t="str">
        <f t="shared" si="184"/>
        <v/>
      </c>
      <c r="CD689" s="76" t="str">
        <f t="shared" si="185"/>
        <v>Garfio</v>
      </c>
      <c r="CE689" s="1142">
        <f>IF(OR($L687=CE$652,$L687="",$D687=$CG$651),MAX(CE$654:CE688)+1,0)</f>
        <v>0</v>
      </c>
      <c r="CF689" s="1143">
        <f>IF(OR($L687=CF$652,$L687="",$D687=$CG$651),MAX(CF$654:CF688)+1,0)</f>
        <v>0</v>
      </c>
      <c r="CG689" s="1144">
        <f>IF(OR($L687=CG$652,$L687="",$D687=$CG$651),MAX(CG$654:CG688)+1,0)</f>
        <v>34</v>
      </c>
      <c r="CI689" s="774" t="str">
        <f t="shared" si="186"/>
        <v/>
      </c>
      <c r="CJ689" s="76" t="str">
        <f t="shared" si="187"/>
        <v/>
      </c>
      <c r="CK689" s="76" t="str">
        <f t="shared" si="188"/>
        <v>Garfio</v>
      </c>
      <c r="CL689" s="1142">
        <f>IF(OR($L687=CL$652,$L687="",$D687=$CN$651),MAX(CL$654:CL688)+1,0)</f>
        <v>0</v>
      </c>
      <c r="CM689" s="1143">
        <f>IF(OR($L687=CM$652,$L687="",$D687=$CN$651),MAX(CM$654:CM688)+1,0)</f>
        <v>0</v>
      </c>
      <c r="CN689" s="1144">
        <f>IF(OR($L687=CN$652,$L687="",$D687=$CN$651),MAX(CN$654:CN688)+1,0)</f>
        <v>34</v>
      </c>
    </row>
    <row r="690" spans="1:92" ht="12.75" customHeight="1">
      <c r="A690" s="219">
        <v>681</v>
      </c>
      <c r="B690" s="7145"/>
      <c r="C690" s="1034"/>
      <c r="D690" s="2237" t="s">
        <v>6566</v>
      </c>
      <c r="E690" s="2239">
        <v>40</v>
      </c>
      <c r="F690" s="2236">
        <v>0</v>
      </c>
      <c r="G690" s="2236">
        <v>7</v>
      </c>
      <c r="H690" s="2236">
        <v>6</v>
      </c>
      <c r="I690" s="2236" t="s">
        <v>1411</v>
      </c>
      <c r="J690" s="2236" t="s">
        <v>1410</v>
      </c>
      <c r="K690" s="2433" t="s">
        <v>6830</v>
      </c>
      <c r="L690" s="2236" t="str">
        <f t="shared" si="189"/>
        <v>Distinta</v>
      </c>
      <c r="M690" s="2240">
        <v>12</v>
      </c>
      <c r="N690" s="2240">
        <v>1</v>
      </c>
      <c r="O690" s="2240">
        <v>20</v>
      </c>
      <c r="P690" s="2236"/>
      <c r="Q690" s="2236"/>
      <c r="R690" s="2236" t="s">
        <v>1315</v>
      </c>
      <c r="S690" s="2236" t="s">
        <v>1315</v>
      </c>
      <c r="T690" s="2236" t="s">
        <v>1315</v>
      </c>
      <c r="U690" s="2236"/>
      <c r="V690" s="2433" t="s">
        <v>1979</v>
      </c>
      <c r="W690" s="2433"/>
      <c r="X690" s="2434" t="str">
        <f t="shared" si="158"/>
        <v>Grande</v>
      </c>
      <c r="Y690" s="2229">
        <f t="shared" si="157"/>
        <v>0</v>
      </c>
      <c r="Z690" s="1150" t="str">
        <f t="shared" si="161"/>
        <v/>
      </c>
      <c r="AA690" s="1751" t="s">
        <v>1960</v>
      </c>
      <c r="AC690" s="929" t="s">
        <v>1985</v>
      </c>
      <c r="AD690" s="758">
        <f>IFERROR(IF(IF(AC690&lt;&gt;"",VLOOKUP(AC690,Tabla_ArmasyEscudos,9,0),"")="Conocida",MAX(AD$662:AD689)+1,0),0)</f>
        <v>0</v>
      </c>
      <c r="AE690" s="758">
        <f ca="1">IF(AC690="",0,IF(AD690=0,MAX(AE$654:AE689,AG$652)+1,AD690+IFERROR(VLOOKUP(VLOOKUP(AC690,$D$653:$AA$871,24,0),AC$654:AE$661,3,0)-VLOOKUP(VLOOKUP(AC690,$D$653:$AA$871,24,0),AC$654:AE$661,2,0)+1,0)))</f>
        <v>30</v>
      </c>
      <c r="AF690" s="758" t="str">
        <f t="shared" ca="1" si="162"/>
        <v>Glavius</v>
      </c>
      <c r="AG690" s="758" t="str">
        <f t="shared" ca="1" si="163"/>
        <v/>
      </c>
      <c r="AH690" s="2568" t="s">
        <v>2011</v>
      </c>
      <c r="AI690" s="758">
        <f>IFERROR(IF(IF(AH690&lt;&gt;"",VLOOKUP(AH690,Tabla_ArmasyEscudos,9,0),"")="Conocida",MAX(AI$660:AI689)+1,0),0)</f>
        <v>0</v>
      </c>
      <c r="AJ690" s="758">
        <f ca="1">IF(AH690="",0,IF(AI690=0,MAX(AJ$654:AJ689,AL$652)+1,AI690+IFERROR(VLOOKUP(VLOOKUP(AH690,$D$653:$AA$871,24,0),AH$654:AJ$659,3,0)-VLOOKUP(VLOOKUP(AH690,$D$653:$AA$871,24,0),AH$654:AJ$659,2,0)+1,0)))</f>
        <v>32</v>
      </c>
      <c r="AK690" s="758" t="str">
        <f t="shared" ca="1" si="164"/>
        <v>Anciano de primavera</v>
      </c>
      <c r="AL690" s="758" t="str">
        <f t="shared" ca="1" si="165"/>
        <v/>
      </c>
      <c r="AM690" s="931"/>
      <c r="AN690" s="758">
        <f>IFERROR(IF(IF(AM690&lt;&gt;"",VLOOKUP(AM690,Tabla_ArmasyEscudos,9,0),"")="Conocida",MAX(AN$660:AN689)+1,0),0)</f>
        <v>0</v>
      </c>
      <c r="AO690" s="758">
        <f>IF(AM690="",0,IF(AN690=0,MAX(AO$654:AO689,AQ$652)+1,AN690+IFERROR(VLOOKUP(VLOOKUP(AM690,$D$653:$AA$871,24,0),AM$654:AO$659,3,0)-VLOOKUP(VLOOKUP(AM690,$D$653:$AA$871,24,0),AM$654:AO$659,2,0)+1,0)))</f>
        <v>0</v>
      </c>
      <c r="AP690" s="758" t="str">
        <f t="shared" ca="1" si="166"/>
        <v/>
      </c>
      <c r="AQ690" s="758" t="str">
        <f t="shared" ca="1" si="167"/>
        <v/>
      </c>
      <c r="AR690" s="2568"/>
      <c r="AS690" s="758">
        <f>IFERROR(IF(IF(AR690&lt;&gt;"",VLOOKUP(AR690,Tabla_ArmasyEscudos,9,0),"")="Conocida",MAX(AS$660:AS689)+1,0),0)</f>
        <v>0</v>
      </c>
      <c r="AT690" s="758">
        <f>IF(AR690="",0,IF(AS690=0,MAX(AT$654:AT689,AV$652)+1,AS690+IFERROR(VLOOKUP(VLOOKUP(AR690,$D$653:$AA$871,24,0),AR$654:AT$659,3,0)-VLOOKUP(VLOOKUP(AR690,$D$653:$AA$871,24,0),AR$654:AT$659,2,0)+1,0)))</f>
        <v>0</v>
      </c>
      <c r="AU690" s="758" t="str">
        <f t="shared" ca="1" si="168"/>
        <v/>
      </c>
      <c r="AV690" s="758" t="str">
        <f t="shared" ca="1" si="169"/>
        <v/>
      </c>
      <c r="AX690" s="1141" t="str">
        <f t="shared" si="170"/>
        <v>Garfio</v>
      </c>
      <c r="AY690" s="2549"/>
      <c r="AZ690" s="774" t="str">
        <f t="shared" si="171"/>
        <v/>
      </c>
      <c r="BA690" s="76" t="str">
        <f t="shared" si="172"/>
        <v/>
      </c>
      <c r="BB690" s="76" t="str">
        <f t="shared" si="173"/>
        <v>Garrote</v>
      </c>
      <c r="BC690" s="1142">
        <f>IF(OR($L688=BC$652,$L688="",$D688=$BE$651),MAX(BC$654:BC689)+1,0)</f>
        <v>0</v>
      </c>
      <c r="BD690" s="1143">
        <f>IF(OR($L688=BD$652,$L688="",$D688=$BE$651),MAX(BD$654:BD689)+1,0)</f>
        <v>0</v>
      </c>
      <c r="BE690" s="1144">
        <f>IF(OR($L688=BE$652,$L688="",$D688=$BE$651),MAX(BE$654:BE689)+1,0)</f>
        <v>35</v>
      </c>
      <c r="BF690" s="2549"/>
      <c r="BG690" s="774" t="str">
        <f t="shared" si="174"/>
        <v/>
      </c>
      <c r="BH690" s="76" t="str">
        <f t="shared" si="175"/>
        <v/>
      </c>
      <c r="BI690" s="76" t="str">
        <f t="shared" si="176"/>
        <v>Garrote</v>
      </c>
      <c r="BJ690" s="1142">
        <f>IF(OR($L688=BJ$652,$L688="",$D688=$BL$651),MAX(BJ$654:BJ689)+1,0)</f>
        <v>0</v>
      </c>
      <c r="BK690" s="1143">
        <f>IF(OR($L688=BK$652,$L688="",$D688=$BL$651),MAX(BK$654:BK689)+1,0)</f>
        <v>0</v>
      </c>
      <c r="BL690" s="1144">
        <f>IF(OR($L688=BL$652,$L688="",$D688=$BL$651),MAX(BL$654:BL689)+1,0)</f>
        <v>35</v>
      </c>
      <c r="BM690" s="2549"/>
      <c r="BN690" s="774" t="str">
        <f t="shared" si="177"/>
        <v/>
      </c>
      <c r="BO690" s="76" t="str">
        <f t="shared" si="178"/>
        <v/>
      </c>
      <c r="BP690" s="76" t="str">
        <f t="shared" si="179"/>
        <v>Garrote</v>
      </c>
      <c r="BQ690" s="1142">
        <f>IF(OR($L688=BQ$652,$L688="",$D688=$BS$651),MAX(BQ$654:BQ689)+1,0)</f>
        <v>0</v>
      </c>
      <c r="BR690" s="1143">
        <f>IF(OR($L688=BR$652,$L688="",$D688=$BS$651),MAX(BR$654:BR689)+1,0)</f>
        <v>0</v>
      </c>
      <c r="BS690" s="1144">
        <f>IF(OR($L688=BS$652,$L688="",$D688=$BS$651),MAX(BS$654:BS689)+1,0)</f>
        <v>35</v>
      </c>
      <c r="BT690" s="2549"/>
      <c r="BU690" s="774" t="str">
        <f t="shared" si="180"/>
        <v/>
      </c>
      <c r="BV690" s="76" t="str">
        <f t="shared" si="181"/>
        <v/>
      </c>
      <c r="BW690" s="76" t="str">
        <f t="shared" si="182"/>
        <v>Garrote</v>
      </c>
      <c r="BX690" s="1142">
        <f>IF(OR($L688=BX$652,$L688="",$D688=$BZ$651),MAX(BX$654:BX689)+1,0)</f>
        <v>0</v>
      </c>
      <c r="BY690" s="1143">
        <f>IF(OR($L688=BY$652,$L688="",$D688=$BZ$651),MAX(BY$654:BY689)+1,0)</f>
        <v>0</v>
      </c>
      <c r="BZ690" s="1144">
        <f>IF(OR($L688=BZ$652,$L688="",$D688=$BZ$651),MAX(BZ$654:BZ689)+1,0)</f>
        <v>35</v>
      </c>
      <c r="CA690" s="2549"/>
      <c r="CB690" s="774" t="str">
        <f t="shared" si="183"/>
        <v/>
      </c>
      <c r="CC690" s="76" t="str">
        <f t="shared" si="184"/>
        <v/>
      </c>
      <c r="CD690" s="76" t="str">
        <f t="shared" si="185"/>
        <v>Garrote</v>
      </c>
      <c r="CE690" s="1142">
        <f>IF(OR($L688=CE$652,$L688="",$D688=$CG$651),MAX(CE$654:CE689)+1,0)</f>
        <v>0</v>
      </c>
      <c r="CF690" s="1143">
        <f>IF(OR($L688=CF$652,$L688="",$D688=$CG$651),MAX(CF$654:CF689)+1,0)</f>
        <v>0</v>
      </c>
      <c r="CG690" s="1144">
        <f>IF(OR($L688=CG$652,$L688="",$D688=$CG$651),MAX(CG$654:CG689)+1,0)</f>
        <v>35</v>
      </c>
      <c r="CI690" s="774" t="str">
        <f t="shared" si="186"/>
        <v/>
      </c>
      <c r="CJ690" s="76" t="str">
        <f t="shared" si="187"/>
        <v/>
      </c>
      <c r="CK690" s="76" t="str">
        <f t="shared" si="188"/>
        <v>Garrote</v>
      </c>
      <c r="CL690" s="1142">
        <f>IF(OR($L688=CL$652,$L688="",$D688=$CN$651),MAX(CL$654:CL689)+1,0)</f>
        <v>0</v>
      </c>
      <c r="CM690" s="1143">
        <f>IF(OR($L688=CM$652,$L688="",$D688=$CN$651),MAX(CM$654:CM689)+1,0)</f>
        <v>0</v>
      </c>
      <c r="CN690" s="1144">
        <f>IF(OR($L688=CN$652,$L688="",$D688=$CN$651),MAX(CN$654:CN689)+1,0)</f>
        <v>35</v>
      </c>
    </row>
    <row r="691" spans="1:92" ht="12.75" customHeight="1">
      <c r="A691" s="219">
        <v>682</v>
      </c>
      <c r="B691" s="7145"/>
      <c r="C691" s="1034"/>
      <c r="D691" s="3876" t="s">
        <v>6567</v>
      </c>
      <c r="E691" s="3877">
        <v>35</v>
      </c>
      <c r="F691" s="3878">
        <v>5</v>
      </c>
      <c r="G691" s="3878">
        <v>6</v>
      </c>
      <c r="H691" s="3878">
        <v>4</v>
      </c>
      <c r="I691" s="3878" t="s">
        <v>1411</v>
      </c>
      <c r="J691" s="3878" t="s">
        <v>1357</v>
      </c>
      <c r="K691" s="3879" t="s">
        <v>6830</v>
      </c>
      <c r="L691" s="3878" t="str">
        <f t="shared" ref="L691:L693" si="190">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3880">
        <v>10</v>
      </c>
      <c r="N691" s="3880">
        <v>2</v>
      </c>
      <c r="O691" s="3880">
        <v>20</v>
      </c>
      <c r="P691" s="3878"/>
      <c r="Q691" s="3878"/>
      <c r="R691" s="3878" t="s">
        <v>1315</v>
      </c>
      <c r="S691" s="3878" t="s">
        <v>1315</v>
      </c>
      <c r="T691" s="3878" t="s">
        <v>1315</v>
      </c>
      <c r="U691" s="3878"/>
      <c r="V691" s="3879" t="s">
        <v>12107</v>
      </c>
      <c r="W691" s="2433"/>
      <c r="X691" s="2434" t="str">
        <f t="shared" si="158"/>
        <v>Grande</v>
      </c>
      <c r="Y691" s="2229">
        <f t="shared" ref="Y691:Y722" si="191">Bono_Fue</f>
        <v>0</v>
      </c>
      <c r="Z691" s="1150" t="str">
        <f t="shared" si="161"/>
        <v/>
      </c>
      <c r="AA691" s="1751" t="s">
        <v>1960</v>
      </c>
      <c r="AC691" s="929" t="s">
        <v>1986</v>
      </c>
      <c r="AD691" s="758">
        <f>IFERROR(IF(IF(AC691&lt;&gt;"",VLOOKUP(AC691,Tabla_ArmasyEscudos,9,0),"")="Conocida",MAX(AD$662:AD690)+1,0),0)</f>
        <v>0</v>
      </c>
      <c r="AE691" s="758">
        <f ca="1">IF(AC691="",0,IF(AD691=0,MAX(AE$654:AE690,AG$652)+1,AD691+IFERROR(VLOOKUP(VLOOKUP(AC691,$D$653:$AA$871,24,0),AC$654:AE$661,3,0)-VLOOKUP(VLOOKUP(AC691,$D$653:$AA$871,24,0),AC$654:AE$661,2,0)+1,0)))</f>
        <v>31</v>
      </c>
      <c r="AF691" s="758" t="str">
        <f t="shared" ca="1" si="162"/>
        <v>Goedendag</v>
      </c>
      <c r="AG691" s="758" t="str">
        <f t="shared" ca="1" si="163"/>
        <v/>
      </c>
      <c r="AH691" s="2568" t="s">
        <v>6578</v>
      </c>
      <c r="AI691" s="758">
        <f>IFERROR(IF(IF(AH691&lt;&gt;"",VLOOKUP(AH691,Tabla_ArmasyEscudos,9,0),"")="Conocida",MAX(AI$660:AI690)+1,0),0)</f>
        <v>0</v>
      </c>
      <c r="AJ691" s="758">
        <f ca="1">IF(AH691="",0,IF(AI691=0,MAX(AJ$654:AJ690,AL$652)+1,AI691+IFERROR(VLOOKUP(VLOOKUP(AH691,$D$653:$AA$871,24,0),AH$654:AJ$659,3,0)-VLOOKUP(VLOOKUP(AH691,$D$653:$AA$871,24,0),AH$654:AJ$659,2,0)+1,0)))</f>
        <v>33</v>
      </c>
      <c r="AK691" s="758" t="str">
        <f t="shared" ca="1" si="164"/>
        <v>Boku-to</v>
      </c>
      <c r="AL691" s="758" t="str">
        <f t="shared" ca="1" si="165"/>
        <v/>
      </c>
      <c r="AM691" s="931"/>
      <c r="AN691" s="758">
        <f>IFERROR(IF(IF(AM691&lt;&gt;"",VLOOKUP(AM691,Tabla_ArmasyEscudos,9,0),"")="Conocida",MAX(AN$660:AN690)+1,0),0)</f>
        <v>0</v>
      </c>
      <c r="AO691" s="758">
        <f>IF(AM691="",0,IF(AN691=0,MAX(AO$654:AO690,AQ$652)+1,AN691+IFERROR(VLOOKUP(VLOOKUP(AM691,$D$653:$AA$871,24,0),AM$654:AO$659,3,0)-VLOOKUP(VLOOKUP(AM691,$D$653:$AA$871,24,0),AM$654:AO$659,2,0)+1,0)))</f>
        <v>0</v>
      </c>
      <c r="AP691" s="758" t="str">
        <f t="shared" ca="1" si="166"/>
        <v/>
      </c>
      <c r="AQ691" s="758" t="str">
        <f t="shared" ca="1" si="167"/>
        <v/>
      </c>
      <c r="AR691" s="2568"/>
      <c r="AS691" s="758">
        <f>IFERROR(IF(IF(AR691&lt;&gt;"",VLOOKUP(AR691,Tabla_ArmasyEscudos,9,0),"")="Conocida",MAX(AS$660:AS690)+1,0),0)</f>
        <v>0</v>
      </c>
      <c r="AT691" s="758">
        <f>IF(AR691="",0,IF(AS691=0,MAX(AT$654:AT690,AV$652)+1,AS691+IFERROR(VLOOKUP(VLOOKUP(AR691,$D$653:$AA$871,24,0),AR$654:AT$659,3,0)-VLOOKUP(VLOOKUP(AR691,$D$653:$AA$871,24,0),AR$654:AT$659,2,0)+1,0)))</f>
        <v>0</v>
      </c>
      <c r="AU691" s="758" t="str">
        <f t="shared" ca="1" si="168"/>
        <v/>
      </c>
      <c r="AV691" s="758" t="str">
        <f t="shared" ca="1" si="169"/>
        <v/>
      </c>
      <c r="AX691" s="1141" t="str">
        <f t="shared" si="170"/>
        <v>Garrote</v>
      </c>
      <c r="AY691" s="2549"/>
      <c r="AZ691" s="774" t="str">
        <f t="shared" si="171"/>
        <v/>
      </c>
      <c r="BA691" s="76" t="str">
        <f t="shared" si="172"/>
        <v/>
      </c>
      <c r="BB691" s="76" t="str">
        <f t="shared" si="173"/>
        <v>Glavius</v>
      </c>
      <c r="BC691" s="1142">
        <f>IF(OR($L689=BC$652,$L689="",$D689=$BE$651),MAX(BC$654:BC690)+1,0)</f>
        <v>0</v>
      </c>
      <c r="BD691" s="1143">
        <f>IF(OR($L689=BD$652,$L689="",$D689=$BE$651),MAX(BD$654:BD690)+1,0)</f>
        <v>0</v>
      </c>
      <c r="BE691" s="1144">
        <f>IF(OR($L689=BE$652,$L689="",$D689=$BE$651),MAX(BE$654:BE690)+1,0)</f>
        <v>36</v>
      </c>
      <c r="BF691" s="2549"/>
      <c r="BG691" s="774" t="str">
        <f t="shared" si="174"/>
        <v/>
      </c>
      <c r="BH691" s="76" t="str">
        <f t="shared" si="175"/>
        <v/>
      </c>
      <c r="BI691" s="76" t="str">
        <f t="shared" si="176"/>
        <v>Glavius</v>
      </c>
      <c r="BJ691" s="1142">
        <f>IF(OR($L689=BJ$652,$L689="",$D689=$BL$651),MAX(BJ$654:BJ690)+1,0)</f>
        <v>0</v>
      </c>
      <c r="BK691" s="1143">
        <f>IF(OR($L689=BK$652,$L689="",$D689=$BL$651),MAX(BK$654:BK690)+1,0)</f>
        <v>0</v>
      </c>
      <c r="BL691" s="1144">
        <f>IF(OR($L689=BL$652,$L689="",$D689=$BL$651),MAX(BL$654:BL690)+1,0)</f>
        <v>36</v>
      </c>
      <c r="BM691" s="2549"/>
      <c r="BN691" s="774" t="str">
        <f t="shared" si="177"/>
        <v/>
      </c>
      <c r="BO691" s="76" t="str">
        <f t="shared" si="178"/>
        <v/>
      </c>
      <c r="BP691" s="76" t="str">
        <f t="shared" si="179"/>
        <v>Glavius</v>
      </c>
      <c r="BQ691" s="1142">
        <f>IF(OR($L689=BQ$652,$L689="",$D689=$BS$651),MAX(BQ$654:BQ690)+1,0)</f>
        <v>0</v>
      </c>
      <c r="BR691" s="1143">
        <f>IF(OR($L689=BR$652,$L689="",$D689=$BS$651),MAX(BR$654:BR690)+1,0)</f>
        <v>0</v>
      </c>
      <c r="BS691" s="1144">
        <f>IF(OR($L689=BS$652,$L689="",$D689=$BS$651),MAX(BS$654:BS690)+1,0)</f>
        <v>36</v>
      </c>
      <c r="BT691" s="2549"/>
      <c r="BU691" s="774" t="str">
        <f t="shared" si="180"/>
        <v/>
      </c>
      <c r="BV691" s="76" t="str">
        <f t="shared" si="181"/>
        <v/>
      </c>
      <c r="BW691" s="76" t="str">
        <f t="shared" si="182"/>
        <v>Glavius</v>
      </c>
      <c r="BX691" s="1142">
        <f>IF(OR($L689=BX$652,$L689="",$D689=$BZ$651),MAX(BX$654:BX690)+1,0)</f>
        <v>0</v>
      </c>
      <c r="BY691" s="1143">
        <f>IF(OR($L689=BY$652,$L689="",$D689=$BZ$651),MAX(BY$654:BY690)+1,0)</f>
        <v>0</v>
      </c>
      <c r="BZ691" s="1144">
        <f>IF(OR($L689=BZ$652,$L689="",$D689=$BZ$651),MAX(BZ$654:BZ690)+1,0)</f>
        <v>36</v>
      </c>
      <c r="CA691" s="2549"/>
      <c r="CB691" s="774" t="str">
        <f t="shared" si="183"/>
        <v/>
      </c>
      <c r="CC691" s="76" t="str">
        <f t="shared" si="184"/>
        <v/>
      </c>
      <c r="CD691" s="76" t="str">
        <f t="shared" si="185"/>
        <v>Glavius</v>
      </c>
      <c r="CE691" s="1142">
        <f>IF(OR($L689=CE$652,$L689="",$D689=$CG$651),MAX(CE$654:CE690)+1,0)</f>
        <v>0</v>
      </c>
      <c r="CF691" s="1143">
        <f>IF(OR($L689=CF$652,$L689="",$D689=$CG$651),MAX(CF$654:CF690)+1,0)</f>
        <v>0</v>
      </c>
      <c r="CG691" s="1144">
        <f>IF(OR($L689=CG$652,$L689="",$D689=$CG$651),MAX(CG$654:CG690)+1,0)</f>
        <v>36</v>
      </c>
      <c r="CI691" s="774" t="str">
        <f t="shared" si="186"/>
        <v/>
      </c>
      <c r="CJ691" s="76" t="str">
        <f t="shared" si="187"/>
        <v/>
      </c>
      <c r="CK691" s="76" t="str">
        <f t="shared" si="188"/>
        <v>Glavius</v>
      </c>
      <c r="CL691" s="1142">
        <f>IF(OR($L689=CL$652,$L689="",$D689=$CN$651),MAX(CL$654:CL690)+1,0)</f>
        <v>0</v>
      </c>
      <c r="CM691" s="1143">
        <f>IF(OR($L689=CM$652,$L689="",$D689=$CN$651),MAX(CM$654:CM690)+1,0)</f>
        <v>0</v>
      </c>
      <c r="CN691" s="1144">
        <f>IF(OR($L689=CN$652,$L689="",$D689=$CN$651),MAX(CN$654:CN690)+1,0)</f>
        <v>36</v>
      </c>
    </row>
    <row r="692" spans="1:92" ht="12.75" customHeight="1">
      <c r="A692" s="219">
        <v>683</v>
      </c>
      <c r="B692" s="7145"/>
      <c r="C692" s="1034"/>
      <c r="D692" s="2237" t="s">
        <v>9648</v>
      </c>
      <c r="E692" s="2239">
        <v>75</v>
      </c>
      <c r="F692" s="2236">
        <v>-30</v>
      </c>
      <c r="G692" s="2236">
        <v>9</v>
      </c>
      <c r="H692" s="2236">
        <v>6</v>
      </c>
      <c r="I692" s="2236" t="s">
        <v>1410</v>
      </c>
      <c r="J692" s="2236" t="s">
        <v>1315</v>
      </c>
      <c r="K692" s="2433" t="s">
        <v>6837</v>
      </c>
      <c r="L692" s="2236" t="str">
        <f t="shared" si="190"/>
        <v>Distinta</v>
      </c>
      <c r="M692" s="2240">
        <v>12</v>
      </c>
      <c r="N692" s="2240">
        <v>3</v>
      </c>
      <c r="O692" s="2240">
        <v>20</v>
      </c>
      <c r="P692" s="2236"/>
      <c r="Q692" s="2236"/>
      <c r="R692" s="2236" t="s">
        <v>1315</v>
      </c>
      <c r="S692" s="2236" t="s">
        <v>1315</v>
      </c>
      <c r="T692" s="2236" t="s">
        <v>1315</v>
      </c>
      <c r="U692" s="2236"/>
      <c r="V692" s="2433" t="s">
        <v>1438</v>
      </c>
      <c r="W692" s="2433"/>
      <c r="X692" s="2434" t="str">
        <f t="shared" si="158"/>
        <v>Grande</v>
      </c>
      <c r="Y692" s="2229">
        <f t="shared" si="191"/>
        <v>0</v>
      </c>
      <c r="Z692" s="1150" t="str">
        <f t="shared" si="161"/>
        <v/>
      </c>
      <c r="AA692" s="1751" t="s">
        <v>1960</v>
      </c>
      <c r="AC692" s="929" t="s">
        <v>6579</v>
      </c>
      <c r="AD692" s="758">
        <f>IFERROR(IF(IF(AC692&lt;&gt;"",VLOOKUP(AC692,Tabla_ArmasyEscudos,9,0),"")="Conocida",MAX(AD$662:AD691)+1,0),0)</f>
        <v>0</v>
      </c>
      <c r="AE692" s="758">
        <f ca="1">IF(AC692="",0,IF(AD692=0,MAX(AE$654:AE691,AG$652)+1,AD692+IFERROR(VLOOKUP(VLOOKUP(AC692,$D$653:$AA$871,24,0),AC$654:AE$661,3,0)-VLOOKUP(VLOOKUP(AC692,$D$653:$AA$871,24,0),AC$654:AE$661,2,0)+1,0)))</f>
        <v>32</v>
      </c>
      <c r="AF692" s="758" t="str">
        <f t="shared" ca="1" si="162"/>
        <v>Gran martillo guerra</v>
      </c>
      <c r="AG692" s="758" t="str">
        <f t="shared" ca="1" si="163"/>
        <v/>
      </c>
      <c r="AH692" s="2568" t="s">
        <v>2013</v>
      </c>
      <c r="AI692" s="758">
        <f>IFERROR(IF(IF(AH692&lt;&gt;"",VLOOKUP(AH692,Tabla_ArmasyEscudos,9,0),"")="Conocida",MAX(AI$660:AI691)+1,0),0)</f>
        <v>0</v>
      </c>
      <c r="AJ692" s="758">
        <f ca="1">IF(AH692="",0,IF(AI692=0,MAX(AJ$654:AJ691,AL$652)+1,AI692+IFERROR(VLOOKUP(VLOOKUP(AH692,$D$653:$AA$871,24,0),AH$654:AJ$659,3,0)-VLOOKUP(VLOOKUP(AH692,$D$653:$AA$871,24,0),AH$654:AJ$659,2,0)+1,0)))</f>
        <v>34</v>
      </c>
      <c r="AK692" s="758" t="str">
        <f t="shared" ca="1" si="164"/>
        <v>Katana</v>
      </c>
      <c r="AL692" s="758" t="str">
        <f t="shared" ca="1" si="165"/>
        <v/>
      </c>
      <c r="AM692" s="2568"/>
      <c r="AN692" s="758">
        <f>IFERROR(IF(IF(AM692&lt;&gt;"",VLOOKUP(AM692,Tabla_ArmasyEscudos,9,0),"")="Conocida",MAX(AN$660:AN691)+1,0),0)</f>
        <v>0</v>
      </c>
      <c r="AO692" s="758">
        <f>IF(AM692="",0,IF(AN692=0,MAX(AO$654:AO691,AQ$652)+1,AN692+IFERROR(VLOOKUP(VLOOKUP(AM692,$D$653:$AA$871,24,0),AM$654:AO$659,3,0)-VLOOKUP(VLOOKUP(AM692,$D$653:$AA$871,24,0),AM$654:AO$659,2,0)+1,0)))</f>
        <v>0</v>
      </c>
      <c r="AP692" s="758" t="str">
        <f t="shared" ca="1" si="166"/>
        <v/>
      </c>
      <c r="AQ692" s="758" t="str">
        <f t="shared" ca="1" si="167"/>
        <v/>
      </c>
      <c r="AR692" s="2568"/>
      <c r="AS692" s="758">
        <f>IFERROR(IF(IF(AR692&lt;&gt;"",VLOOKUP(AR692,Tabla_ArmasyEscudos,9,0),"")="Conocida",MAX(AS$660:AS691)+1,0),0)</f>
        <v>0</v>
      </c>
      <c r="AT692" s="758">
        <f>IF(AR692="",0,IF(AS692=0,MAX(AT$654:AT691,AV$652)+1,AS692+IFERROR(VLOOKUP(VLOOKUP(AR692,$D$653:$AA$871,24,0),AR$654:AT$659,3,0)-VLOOKUP(VLOOKUP(AR692,$D$653:$AA$871,24,0),AR$654:AT$659,2,0)+1,0)))</f>
        <v>0</v>
      </c>
      <c r="AU692" s="758" t="str">
        <f t="shared" ca="1" si="168"/>
        <v/>
      </c>
      <c r="AV692" s="758" t="str">
        <f t="shared" ca="1" si="169"/>
        <v/>
      </c>
      <c r="AX692" s="1141" t="str">
        <f t="shared" si="170"/>
        <v>Glavius</v>
      </c>
      <c r="AY692" s="2549"/>
      <c r="AZ692" s="774" t="str">
        <f t="shared" si="171"/>
        <v/>
      </c>
      <c r="BA692" s="76" t="str">
        <f t="shared" si="172"/>
        <v/>
      </c>
      <c r="BB692" s="76" t="str">
        <f t="shared" si="173"/>
        <v>Goedendag</v>
      </c>
      <c r="BC692" s="1142">
        <f>IF(OR($L690=BC$652,$L690="",$D690=$BE$651),MAX(BC$654:BC691)+1,0)</f>
        <v>0</v>
      </c>
      <c r="BD692" s="1143">
        <f>IF(OR($L690=BD$652,$L690="",$D690=$BE$651),MAX(BD$654:BD691)+1,0)</f>
        <v>0</v>
      </c>
      <c r="BE692" s="1144">
        <f>IF(OR($L690=BE$652,$L690="",$D690=$BE$651),MAX(BE$654:BE691)+1,0)</f>
        <v>37</v>
      </c>
      <c r="BF692" s="2549"/>
      <c r="BG692" s="774" t="str">
        <f t="shared" si="174"/>
        <v/>
      </c>
      <c r="BH692" s="76" t="str">
        <f t="shared" si="175"/>
        <v/>
      </c>
      <c r="BI692" s="76" t="str">
        <f t="shared" si="176"/>
        <v>Goedendag</v>
      </c>
      <c r="BJ692" s="1142">
        <f>IF(OR($L690=BJ$652,$L690="",$D690=$BL$651),MAX(BJ$654:BJ691)+1,0)</f>
        <v>0</v>
      </c>
      <c r="BK692" s="1143">
        <f>IF(OR($L690=BK$652,$L690="",$D690=$BL$651),MAX(BK$654:BK691)+1,0)</f>
        <v>0</v>
      </c>
      <c r="BL692" s="1144">
        <f>IF(OR($L690=BL$652,$L690="",$D690=$BL$651),MAX(BL$654:BL691)+1,0)</f>
        <v>37</v>
      </c>
      <c r="BM692" s="2549"/>
      <c r="BN692" s="774" t="str">
        <f t="shared" si="177"/>
        <v/>
      </c>
      <c r="BO692" s="76" t="str">
        <f t="shared" si="178"/>
        <v/>
      </c>
      <c r="BP692" s="76" t="str">
        <f t="shared" si="179"/>
        <v>Goedendag</v>
      </c>
      <c r="BQ692" s="1142">
        <f>IF(OR($L690=BQ$652,$L690="",$D690=$BS$651),MAX(BQ$654:BQ691)+1,0)</f>
        <v>0</v>
      </c>
      <c r="BR692" s="1143">
        <f>IF(OR($L690=BR$652,$L690="",$D690=$BS$651),MAX(BR$654:BR691)+1,0)</f>
        <v>0</v>
      </c>
      <c r="BS692" s="1144">
        <f>IF(OR($L690=BS$652,$L690="",$D690=$BS$651),MAX(BS$654:BS691)+1,0)</f>
        <v>37</v>
      </c>
      <c r="BT692" s="2549"/>
      <c r="BU692" s="774" t="str">
        <f t="shared" si="180"/>
        <v/>
      </c>
      <c r="BV692" s="76" t="str">
        <f t="shared" si="181"/>
        <v/>
      </c>
      <c r="BW692" s="76" t="str">
        <f t="shared" si="182"/>
        <v>Goedendag</v>
      </c>
      <c r="BX692" s="1142">
        <f>IF(OR($L690=BX$652,$L690="",$D690=$BZ$651),MAX(BX$654:BX691)+1,0)</f>
        <v>0</v>
      </c>
      <c r="BY692" s="1143">
        <f>IF(OR($L690=BY$652,$L690="",$D690=$BZ$651),MAX(BY$654:BY691)+1,0)</f>
        <v>0</v>
      </c>
      <c r="BZ692" s="1144">
        <f>IF(OR($L690=BZ$652,$L690="",$D690=$BZ$651),MAX(BZ$654:BZ691)+1,0)</f>
        <v>37</v>
      </c>
      <c r="CA692" s="2549"/>
      <c r="CB692" s="774" t="str">
        <f t="shared" si="183"/>
        <v/>
      </c>
      <c r="CC692" s="76" t="str">
        <f t="shared" si="184"/>
        <v/>
      </c>
      <c r="CD692" s="76" t="str">
        <f t="shared" si="185"/>
        <v>Goedendag</v>
      </c>
      <c r="CE692" s="1142">
        <f>IF(OR($L690=CE$652,$L690="",$D690=$CG$651),MAX(CE$654:CE691)+1,0)</f>
        <v>0</v>
      </c>
      <c r="CF692" s="1143">
        <f>IF(OR($L690=CF$652,$L690="",$D690=$CG$651),MAX(CF$654:CF691)+1,0)</f>
        <v>0</v>
      </c>
      <c r="CG692" s="1144">
        <f>IF(OR($L690=CG$652,$L690="",$D690=$CG$651),MAX(CG$654:CG691)+1,0)</f>
        <v>37</v>
      </c>
      <c r="CI692" s="774" t="str">
        <f t="shared" si="186"/>
        <v/>
      </c>
      <c r="CJ692" s="76" t="str">
        <f t="shared" si="187"/>
        <v/>
      </c>
      <c r="CK692" s="76" t="str">
        <f t="shared" si="188"/>
        <v>Goedendag</v>
      </c>
      <c r="CL692" s="1142">
        <f>IF(OR($L690=CL$652,$L690="",$D690=$CN$651),MAX(CL$654:CL691)+1,0)</f>
        <v>0</v>
      </c>
      <c r="CM692" s="1143">
        <f>IF(OR($L690=CM$652,$L690="",$D690=$CN$651),MAX(CM$654:CM691)+1,0)</f>
        <v>0</v>
      </c>
      <c r="CN692" s="1144">
        <f>IF(OR($L690=CN$652,$L690="",$D690=$CN$651),MAX(CN$654:CN691)+1,0)</f>
        <v>37</v>
      </c>
    </row>
    <row r="693" spans="1:92" ht="12.75" customHeight="1">
      <c r="A693" s="219">
        <v>684</v>
      </c>
      <c r="B693" s="7145"/>
      <c r="C693" s="1034"/>
      <c r="D693" s="3876" t="s">
        <v>1991</v>
      </c>
      <c r="E693" s="3877">
        <v>70</v>
      </c>
      <c r="F693" s="3878">
        <v>-35</v>
      </c>
      <c r="G693" s="3878">
        <v>10</v>
      </c>
      <c r="H693" s="3878">
        <v>7</v>
      </c>
      <c r="I693" s="3878" t="s">
        <v>1357</v>
      </c>
      <c r="J693" s="3878" t="s">
        <v>1315</v>
      </c>
      <c r="K693" s="3879" t="s">
        <v>6836</v>
      </c>
      <c r="L693" s="3878" t="str">
        <f t="shared" si="190"/>
        <v>Distinta</v>
      </c>
      <c r="M693" s="3880">
        <v>16</v>
      </c>
      <c r="N693" s="3880">
        <v>6</v>
      </c>
      <c r="O693" s="3880">
        <v>20</v>
      </c>
      <c r="P693" s="3878"/>
      <c r="Q693" s="3878"/>
      <c r="R693" s="3878" t="s">
        <v>1315</v>
      </c>
      <c r="S693" s="3878" t="s">
        <v>1315</v>
      </c>
      <c r="T693" s="3878" t="s">
        <v>1315</v>
      </c>
      <c r="U693" s="3878"/>
      <c r="V693" s="3879" t="s">
        <v>12108</v>
      </c>
      <c r="W693" s="2433"/>
      <c r="X693" s="2434" t="str">
        <f t="shared" si="158"/>
        <v>Mediana</v>
      </c>
      <c r="Y693" s="2229">
        <f t="shared" si="191"/>
        <v>0</v>
      </c>
      <c r="Z693" s="1150" t="str">
        <f t="shared" si="161"/>
        <v/>
      </c>
      <c r="AA693" s="1751" t="s">
        <v>1960</v>
      </c>
      <c r="AC693" s="929" t="s">
        <v>1987</v>
      </c>
      <c r="AD693" s="758">
        <f>IFERROR(IF(IF(AC693&lt;&gt;"",VLOOKUP(AC693,Tabla_ArmasyEscudos,9,0),"")="Conocida",MAX(AD$662:AD692)+1,0),0)</f>
        <v>0</v>
      </c>
      <c r="AE693" s="758">
        <f ca="1">IF(AC693="",0,IF(AD693=0,MAX(AE$654:AE692,AG$652)+1,AD693+IFERROR(VLOOKUP(VLOOKUP(AC693,$D$653:$AA$871,24,0),AC$654:AE$661,3,0)-VLOOKUP(VLOOKUP(AC693,$D$653:$AA$871,24,0),AC$654:AE$661,2,0)+1,0)))</f>
        <v>33</v>
      </c>
      <c r="AF693" s="758" t="str">
        <f t="shared" ca="1" si="162"/>
        <v>Guadaña</v>
      </c>
      <c r="AG693" s="758" t="str">
        <f t="shared" ca="1" si="163"/>
        <v/>
      </c>
      <c r="AH693" s="2575" t="s">
        <v>2019</v>
      </c>
      <c r="AI693" s="758">
        <f>IFERROR(IF(IF(AH693&lt;&gt;"",VLOOKUP(AH693,Tabla_ArmasyEscudos,9,0),"")="Conocida",MAX(AI$660:AI692)+1,0),0)</f>
        <v>0</v>
      </c>
      <c r="AJ693" s="758">
        <f ca="1">IF(AH693="",0,IF(AI693=0,MAX(AJ$654:AJ692,AL$652)+1,AI693+IFERROR(VLOOKUP(VLOOKUP(AH693,$D$653:$AA$871,24,0),AH$654:AJ$659,3,0)-VLOOKUP(VLOOKUP(AH693,$D$653:$AA$871,24,0),AH$654:AJ$659,2,0)+1,0)))</f>
        <v>35</v>
      </c>
      <c r="AK693" s="758" t="str">
        <f t="shared" ca="1" si="164"/>
        <v>Katana de doble hoja</v>
      </c>
      <c r="AL693" s="758" t="str">
        <f t="shared" ca="1" si="165"/>
        <v/>
      </c>
      <c r="AM693" s="2568"/>
      <c r="AN693" s="758">
        <f>IFERROR(IF(IF(AM693&lt;&gt;"",VLOOKUP(AM693,Tabla_ArmasyEscudos,9,0),"")="Conocida",MAX(AN$660:AN692)+1,0),0)</f>
        <v>0</v>
      </c>
      <c r="AO693" s="758">
        <f>IF(AM693="",0,IF(AN693=0,MAX(AO$654:AO692,AQ$652)+1,AN693+IFERROR(VLOOKUP(VLOOKUP(AM693,$D$653:$AA$871,24,0),AM$654:AO$659,3,0)-VLOOKUP(VLOOKUP(AM693,$D$653:$AA$871,24,0),AM$654:AO$659,2,0)+1,0)))</f>
        <v>0</v>
      </c>
      <c r="AP693" s="758" t="str">
        <f t="shared" ca="1" si="166"/>
        <v/>
      </c>
      <c r="AQ693" s="758" t="str">
        <f t="shared" ca="1" si="167"/>
        <v/>
      </c>
      <c r="AR693" s="2568"/>
      <c r="AS693" s="758">
        <f>IFERROR(IF(IF(AR693&lt;&gt;"",VLOOKUP(AR693,Tabla_ArmasyEscudos,9,0),"")="Conocida",MAX(AS$660:AS692)+1,0),0)</f>
        <v>0</v>
      </c>
      <c r="AT693" s="758">
        <f>IF(AR693="",0,IF(AS693=0,MAX(AT$654:AT692,AV$652)+1,AS693+IFERROR(VLOOKUP(VLOOKUP(AR693,$D$653:$AA$871,24,0),AR$654:AT$659,3,0)-VLOOKUP(VLOOKUP(AR693,$D$653:$AA$871,24,0),AR$654:AT$659,2,0)+1,0)))</f>
        <v>0</v>
      </c>
      <c r="AU693" s="758" t="str">
        <f t="shared" ca="1" si="168"/>
        <v/>
      </c>
      <c r="AV693" s="758" t="str">
        <f t="shared" ca="1" si="169"/>
        <v/>
      </c>
      <c r="AX693" s="1141" t="str">
        <f t="shared" si="170"/>
        <v>Goedendag</v>
      </c>
      <c r="AY693" s="2549"/>
      <c r="AZ693" s="774" t="str">
        <f t="shared" si="171"/>
        <v/>
      </c>
      <c r="BA693" s="76" t="str">
        <f t="shared" si="172"/>
        <v/>
      </c>
      <c r="BB693" s="76" t="str">
        <f t="shared" si="173"/>
        <v>Grosse Messer</v>
      </c>
      <c r="BC693" s="1142">
        <f>IF(OR($L691=BC$652,$L691="",$D691=$BE$651),MAX(BC$654:BC692)+1,0)</f>
        <v>0</v>
      </c>
      <c r="BD693" s="1143">
        <f>IF(OR($L691=BD$652,$L691="",$D691=$BE$651),MAX(BD$654:BD692)+1,0)</f>
        <v>0</v>
      </c>
      <c r="BE693" s="1144">
        <f>IF(OR($L691=BE$652,$L691="",$D691=$BE$651),MAX(BE$654:BE692)+1,0)</f>
        <v>38</v>
      </c>
      <c r="BF693" s="2549"/>
      <c r="BG693" s="774" t="str">
        <f t="shared" si="174"/>
        <v/>
      </c>
      <c r="BH693" s="76" t="str">
        <f t="shared" si="175"/>
        <v/>
      </c>
      <c r="BI693" s="76" t="str">
        <f t="shared" si="176"/>
        <v>Grosse Messer</v>
      </c>
      <c r="BJ693" s="1142">
        <f>IF(OR($L691=BJ$652,$L691="",$D691=$BL$651),MAX(BJ$654:BJ692)+1,0)</f>
        <v>0</v>
      </c>
      <c r="BK693" s="1143">
        <f>IF(OR($L691=BK$652,$L691="",$D691=$BL$651),MAX(BK$654:BK692)+1,0)</f>
        <v>0</v>
      </c>
      <c r="BL693" s="1144">
        <f>IF(OR($L691=BL$652,$L691="",$D691=$BL$651),MAX(BL$654:BL692)+1,0)</f>
        <v>38</v>
      </c>
      <c r="BM693" s="2549"/>
      <c r="BN693" s="774" t="str">
        <f t="shared" si="177"/>
        <v/>
      </c>
      <c r="BO693" s="76" t="str">
        <f t="shared" si="178"/>
        <v/>
      </c>
      <c r="BP693" s="76" t="str">
        <f t="shared" si="179"/>
        <v>Grosse Messer</v>
      </c>
      <c r="BQ693" s="1142">
        <f>IF(OR($L691=BQ$652,$L691="",$D691=$BS$651),MAX(BQ$654:BQ692)+1,0)</f>
        <v>0</v>
      </c>
      <c r="BR693" s="1143">
        <f>IF(OR($L691=BR$652,$L691="",$D691=$BS$651),MAX(BR$654:BR692)+1,0)</f>
        <v>0</v>
      </c>
      <c r="BS693" s="1144">
        <f>IF(OR($L691=BS$652,$L691="",$D691=$BS$651),MAX(BS$654:BS692)+1,0)</f>
        <v>38</v>
      </c>
      <c r="BT693" s="2549"/>
      <c r="BU693" s="774" t="str">
        <f t="shared" si="180"/>
        <v/>
      </c>
      <c r="BV693" s="76" t="str">
        <f t="shared" si="181"/>
        <v/>
      </c>
      <c r="BW693" s="76" t="str">
        <f t="shared" si="182"/>
        <v>Grosse Messer</v>
      </c>
      <c r="BX693" s="1142">
        <f>IF(OR($L691=BX$652,$L691="",$D691=$BZ$651),MAX(BX$654:BX692)+1,0)</f>
        <v>0</v>
      </c>
      <c r="BY693" s="1143">
        <f>IF(OR($L691=BY$652,$L691="",$D691=$BZ$651),MAX(BY$654:BY692)+1,0)</f>
        <v>0</v>
      </c>
      <c r="BZ693" s="1144">
        <f>IF(OR($L691=BZ$652,$L691="",$D691=$BZ$651),MAX(BZ$654:BZ692)+1,0)</f>
        <v>38</v>
      </c>
      <c r="CA693" s="2549"/>
      <c r="CB693" s="774" t="str">
        <f t="shared" si="183"/>
        <v/>
      </c>
      <c r="CC693" s="76" t="str">
        <f t="shared" si="184"/>
        <v/>
      </c>
      <c r="CD693" s="76" t="str">
        <f t="shared" si="185"/>
        <v>Grosse Messer</v>
      </c>
      <c r="CE693" s="1142">
        <f>IF(OR($L691=CE$652,$L691="",$D691=$CG$651),MAX(CE$654:CE692)+1,0)</f>
        <v>0</v>
      </c>
      <c r="CF693" s="1143">
        <f>IF(OR($L691=CF$652,$L691="",$D691=$CG$651),MAX(CF$654:CF692)+1,0)</f>
        <v>0</v>
      </c>
      <c r="CG693" s="1144">
        <f>IF(OR($L691=CG$652,$L691="",$D691=$CG$651),MAX(CG$654:CG692)+1,0)</f>
        <v>38</v>
      </c>
      <c r="CI693" s="774" t="str">
        <f t="shared" si="186"/>
        <v/>
      </c>
      <c r="CJ693" s="76" t="str">
        <f t="shared" si="187"/>
        <v/>
      </c>
      <c r="CK693" s="76" t="str">
        <f t="shared" si="188"/>
        <v>Grosse Messer</v>
      </c>
      <c r="CL693" s="1142">
        <f>IF(OR($L691=CL$652,$L691="",$D691=$CN$651),MAX(CL$654:CL692)+1,0)</f>
        <v>0</v>
      </c>
      <c r="CM693" s="1143">
        <f>IF(OR($L691=CM$652,$L691="",$D691=$CN$651),MAX(CM$654:CM692)+1,0)</f>
        <v>0</v>
      </c>
      <c r="CN693" s="1144">
        <f>IF(OR($L691=CN$652,$L691="",$D691=$CN$651),MAX(CN$654:CN692)+1,0)</f>
        <v>38</v>
      </c>
    </row>
    <row r="694" spans="1:92" ht="12.75" customHeight="1">
      <c r="A694" s="219">
        <v>685</v>
      </c>
      <c r="B694" s="7145"/>
      <c r="C694" s="1034"/>
      <c r="D694" s="2237" t="s">
        <v>1992</v>
      </c>
      <c r="E694" s="2239">
        <v>35</v>
      </c>
      <c r="F694" s="2236">
        <v>0</v>
      </c>
      <c r="G694" s="2236">
        <v>9</v>
      </c>
      <c r="H694" s="2236">
        <v>5</v>
      </c>
      <c r="I694" s="2236" t="s">
        <v>1410</v>
      </c>
      <c r="J694" s="2236" t="s">
        <v>1357</v>
      </c>
      <c r="K694" s="2433" t="s">
        <v>6829</v>
      </c>
      <c r="L694" s="2236" t="str">
        <f t="shared" ref="L694:L722" si="192">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2240">
        <v>12</v>
      </c>
      <c r="N694" s="2240">
        <v>2</v>
      </c>
      <c r="O694" s="2240">
        <v>25</v>
      </c>
      <c r="P694" s="2236"/>
      <c r="Q694" s="2236"/>
      <c r="R694" s="2236" t="s">
        <v>1315</v>
      </c>
      <c r="S694" s="2236" t="s">
        <v>1315</v>
      </c>
      <c r="T694" s="2236" t="s">
        <v>1315</v>
      </c>
      <c r="U694" s="2236"/>
      <c r="V694" s="2433" t="s">
        <v>1979</v>
      </c>
      <c r="W694" s="2433"/>
      <c r="X694" s="2434" t="str">
        <f t="shared" si="158"/>
        <v>Grande</v>
      </c>
      <c r="Y694" s="2229">
        <f t="shared" si="191"/>
        <v>0</v>
      </c>
      <c r="Z694" s="1150" t="str">
        <f t="shared" si="161"/>
        <v/>
      </c>
      <c r="AA694" s="1751" t="s">
        <v>1960</v>
      </c>
      <c r="AC694" s="929" t="s">
        <v>1988</v>
      </c>
      <c r="AD694" s="758">
        <f>IFERROR(IF(IF(AC694&lt;&gt;"",VLOOKUP(AC694,Tabla_ArmasyEscudos,9,0),"")="Conocida",MAX(AD$662:AD693)+1,0),0)</f>
        <v>0</v>
      </c>
      <c r="AE694" s="758">
        <f ca="1">IF(AC694="",0,IF(AD694=0,MAX(AE$654:AE693,AG$652)+1,AD694+IFERROR(VLOOKUP(VLOOKUP(AC694,$D$653:$AA$871,24,0),AC$654:AE$661,3,0)-VLOOKUP(VLOOKUP(AC694,$D$653:$AA$871,24,0),AC$654:AE$661,2,0)+1,0)))</f>
        <v>34</v>
      </c>
      <c r="AF694" s="758" t="str">
        <f t="shared" ca="1" si="162"/>
        <v>Hacha a dos manos</v>
      </c>
      <c r="AG694" s="758" t="str">
        <f t="shared" ca="1" si="163"/>
        <v/>
      </c>
      <c r="AH694" s="2568" t="s">
        <v>2021</v>
      </c>
      <c r="AI694" s="758">
        <f>IFERROR(IF(IF(AH694&lt;&gt;"",VLOOKUP(AH694,Tabla_ArmasyEscudos,9,0),"")="Conocida",MAX(AI$660:AI693)+1,0),0)</f>
        <v>0</v>
      </c>
      <c r="AJ694" s="758">
        <f ca="1">IF(AH694="",0,IF(AI694=0,MAX(AJ$654:AJ693,AL$652)+1,AI694+IFERROR(VLOOKUP(VLOOKUP(AH694,$D$653:$AA$871,24,0),AH$654:AJ$659,3,0)-VLOOKUP(VLOOKUP(AH694,$D$653:$AA$871,24,0),AH$654:AJ$659,2,0)+1,0)))</f>
        <v>36</v>
      </c>
      <c r="AK694" s="758" t="str">
        <f t="shared" ca="1" si="164"/>
        <v>Kusari-Gama</v>
      </c>
      <c r="AL694" s="758" t="str">
        <f t="shared" ca="1" si="165"/>
        <v/>
      </c>
      <c r="AM694" s="2568"/>
      <c r="AN694" s="758">
        <f>IFERROR(IF(IF(AM694&lt;&gt;"",VLOOKUP(AM694,Tabla_ArmasyEscudos,9,0),"")="Conocida",MAX(AN$660:AN693)+1,0),0)</f>
        <v>0</v>
      </c>
      <c r="AO694" s="758">
        <f>IF(AM694="",0,IF(AN694=0,MAX(AO$654:AO693,AQ$652)+1,AN694+IFERROR(VLOOKUP(VLOOKUP(AM694,$D$653:$AA$871,24,0),AM$654:AO$659,3,0)-VLOOKUP(VLOOKUP(AM694,$D$653:$AA$871,24,0),AM$654:AO$659,2,0)+1,0)))</f>
        <v>0</v>
      </c>
      <c r="AP694" s="758" t="str">
        <f t="shared" ca="1" si="166"/>
        <v/>
      </c>
      <c r="AQ694" s="758" t="str">
        <f t="shared" ca="1" si="167"/>
        <v/>
      </c>
      <c r="AR694" s="2568"/>
      <c r="AS694" s="758">
        <f>IFERROR(IF(IF(AR694&lt;&gt;"",VLOOKUP(AR694,Tabla_ArmasyEscudos,9,0),"")="Conocida",MAX(AS$660:AS693)+1,0),0)</f>
        <v>0</v>
      </c>
      <c r="AT694" s="758">
        <f>IF(AR694="",0,IF(AS694=0,MAX(AT$654:AT693,AV$652)+1,AS694+IFERROR(VLOOKUP(VLOOKUP(AR694,$D$653:$AA$871,24,0),AR$654:AT$659,3,0)-VLOOKUP(VLOOKUP(AR694,$D$653:$AA$871,24,0),AR$654:AT$659,2,0)+1,0)))</f>
        <v>0</v>
      </c>
      <c r="AU694" s="758" t="str">
        <f t="shared" ca="1" si="168"/>
        <v/>
      </c>
      <c r="AV694" s="758" t="str">
        <f t="shared" ca="1" si="169"/>
        <v/>
      </c>
      <c r="AX694" s="1141" t="str">
        <f t="shared" si="170"/>
        <v>Grosse Messer</v>
      </c>
      <c r="AY694" s="2549"/>
      <c r="AZ694" s="774" t="str">
        <f t="shared" si="171"/>
        <v/>
      </c>
      <c r="BA694" s="76" t="str">
        <f t="shared" si="172"/>
        <v/>
      </c>
      <c r="BB694" s="76" t="str">
        <f t="shared" si="173"/>
        <v>Gran martillo guerra</v>
      </c>
      <c r="BC694" s="1142">
        <f>IF(OR($L692=BC$652,$L692="",$D692=$BE$651),MAX(BC$654:BC693)+1,0)</f>
        <v>0</v>
      </c>
      <c r="BD694" s="1143">
        <f>IF(OR($L692=BD$652,$L692="",$D692=$BE$651),MAX(BD$654:BD693)+1,0)</f>
        <v>0</v>
      </c>
      <c r="BE694" s="1144">
        <f>IF(OR($L692=BE$652,$L692="",$D692=$BE$651),MAX(BE$654:BE693)+1,0)</f>
        <v>39</v>
      </c>
      <c r="BF694" s="2549"/>
      <c r="BG694" s="774" t="str">
        <f t="shared" si="174"/>
        <v/>
      </c>
      <c r="BH694" s="76" t="str">
        <f t="shared" si="175"/>
        <v/>
      </c>
      <c r="BI694" s="76" t="str">
        <f t="shared" si="176"/>
        <v>Gran martillo guerra</v>
      </c>
      <c r="BJ694" s="1142">
        <f>IF(OR($L692=BJ$652,$L692="",$D692=$BL$651),MAX(BJ$654:BJ693)+1,0)</f>
        <v>0</v>
      </c>
      <c r="BK694" s="1143">
        <f>IF(OR($L692=BK$652,$L692="",$D692=$BL$651),MAX(BK$654:BK693)+1,0)</f>
        <v>0</v>
      </c>
      <c r="BL694" s="1144">
        <f>IF(OR($L692=BL$652,$L692="",$D692=$BL$651),MAX(BL$654:BL693)+1,0)</f>
        <v>39</v>
      </c>
      <c r="BM694" s="2549"/>
      <c r="BN694" s="774" t="str">
        <f t="shared" si="177"/>
        <v/>
      </c>
      <c r="BO694" s="76" t="str">
        <f t="shared" si="178"/>
        <v/>
      </c>
      <c r="BP694" s="76" t="str">
        <f t="shared" si="179"/>
        <v>Gran martillo guerra</v>
      </c>
      <c r="BQ694" s="1142">
        <f>IF(OR($L692=BQ$652,$L692="",$D692=$BS$651),MAX(BQ$654:BQ693)+1,0)</f>
        <v>0</v>
      </c>
      <c r="BR694" s="1143">
        <f>IF(OR($L692=BR$652,$L692="",$D692=$BS$651),MAX(BR$654:BR693)+1,0)</f>
        <v>0</v>
      </c>
      <c r="BS694" s="1144">
        <f>IF(OR($L692=BS$652,$L692="",$D692=$BS$651),MAX(BS$654:BS693)+1,0)</f>
        <v>39</v>
      </c>
      <c r="BT694" s="2549"/>
      <c r="BU694" s="774" t="str">
        <f t="shared" si="180"/>
        <v/>
      </c>
      <c r="BV694" s="76" t="str">
        <f t="shared" si="181"/>
        <v/>
      </c>
      <c r="BW694" s="76" t="str">
        <f t="shared" si="182"/>
        <v>Gran martillo guerra</v>
      </c>
      <c r="BX694" s="1142">
        <f>IF(OR($L692=BX$652,$L692="",$D692=$BZ$651),MAX(BX$654:BX693)+1,0)</f>
        <v>0</v>
      </c>
      <c r="BY694" s="1143">
        <f>IF(OR($L692=BY$652,$L692="",$D692=$BZ$651),MAX(BY$654:BY693)+1,0)</f>
        <v>0</v>
      </c>
      <c r="BZ694" s="1144">
        <f>IF(OR($L692=BZ$652,$L692="",$D692=$BZ$651),MAX(BZ$654:BZ693)+1,0)</f>
        <v>39</v>
      </c>
      <c r="CA694" s="2549"/>
      <c r="CB694" s="774" t="str">
        <f t="shared" si="183"/>
        <v/>
      </c>
      <c r="CC694" s="76" t="str">
        <f t="shared" si="184"/>
        <v/>
      </c>
      <c r="CD694" s="76" t="str">
        <f t="shared" si="185"/>
        <v>Gran martillo guerra</v>
      </c>
      <c r="CE694" s="1142">
        <f>IF(OR($L692=CE$652,$L692="",$D692=$CG$651),MAX(CE$654:CE693)+1,0)</f>
        <v>0</v>
      </c>
      <c r="CF694" s="1143">
        <f>IF(OR($L692=CF$652,$L692="",$D692=$CG$651),MAX(CF$654:CF693)+1,0)</f>
        <v>0</v>
      </c>
      <c r="CG694" s="1144">
        <f>IF(OR($L692=CG$652,$L692="",$D692=$CG$651),MAX(CG$654:CG693)+1,0)</f>
        <v>39</v>
      </c>
      <c r="CI694" s="774" t="str">
        <f t="shared" si="186"/>
        <v/>
      </c>
      <c r="CJ694" s="76" t="str">
        <f t="shared" si="187"/>
        <v/>
      </c>
      <c r="CK694" s="76" t="str">
        <f t="shared" si="188"/>
        <v>Gran martillo guerra</v>
      </c>
      <c r="CL694" s="1142">
        <f>IF(OR($L692=CL$652,$L692="",$D692=$CN$651),MAX(CL$654:CL693)+1,0)</f>
        <v>0</v>
      </c>
      <c r="CM694" s="1143">
        <f>IF(OR($L692=CM$652,$L692="",$D692=$CN$651),MAX(CM$654:CM693)+1,0)</f>
        <v>0</v>
      </c>
      <c r="CN694" s="1144">
        <f>IF(OR($L692=CN$652,$L692="",$D692=$CN$651),MAX(CN$654:CN693)+1,0)</f>
        <v>39</v>
      </c>
    </row>
    <row r="695" spans="1:92" ht="12.75" customHeight="1">
      <c r="A695" s="219">
        <v>686</v>
      </c>
      <c r="B695" s="7145"/>
      <c r="C695" s="1034"/>
      <c r="D695" s="2237" t="s">
        <v>6570</v>
      </c>
      <c r="E695" s="2239">
        <v>65</v>
      </c>
      <c r="F695" s="2236">
        <v>-20</v>
      </c>
      <c r="G695" s="2236">
        <v>11</v>
      </c>
      <c r="H695" s="2236">
        <v>7</v>
      </c>
      <c r="I695" s="2236" t="s">
        <v>1410</v>
      </c>
      <c r="J695" s="2236" t="s">
        <v>1411</v>
      </c>
      <c r="K695" s="2433" t="s">
        <v>6830</v>
      </c>
      <c r="L695" s="2236" t="str">
        <f t="shared" si="192"/>
        <v>Distinta</v>
      </c>
      <c r="M695" s="2240">
        <v>13</v>
      </c>
      <c r="N695" s="2240">
        <v>3</v>
      </c>
      <c r="O695" s="2240">
        <v>20</v>
      </c>
      <c r="P695" s="2236"/>
      <c r="Q695" s="2236"/>
      <c r="R695" s="2236" t="s">
        <v>1315</v>
      </c>
      <c r="S695" s="2236" t="s">
        <v>1315</v>
      </c>
      <c r="T695" s="2236" t="s">
        <v>1315</v>
      </c>
      <c r="U695" s="2236"/>
      <c r="V695" s="2433" t="s">
        <v>1438</v>
      </c>
      <c r="W695" s="2433"/>
      <c r="X695" s="2434" t="str">
        <f t="shared" si="158"/>
        <v>Grande</v>
      </c>
      <c r="Y695" s="2229">
        <f t="shared" si="191"/>
        <v>0</v>
      </c>
      <c r="Z695" s="1150" t="str">
        <f t="shared" si="161"/>
        <v/>
      </c>
      <c r="AA695" s="1751" t="s">
        <v>1960</v>
      </c>
      <c r="AC695" s="929" t="s">
        <v>1989</v>
      </c>
      <c r="AD695" s="758">
        <f>IFERROR(IF(IF(AC695&lt;&gt;"",VLOOKUP(AC695,Tabla_ArmasyEscudos,9,0),"")="Conocida",MAX(AD$662:AD694)+1,0),0)</f>
        <v>0</v>
      </c>
      <c r="AE695" s="758">
        <f ca="1">IF(AC695="",0,IF(AD695=0,MAX(AE$654:AE694,AG$652)+1,AD695+IFERROR(VLOOKUP(VLOOKUP(AC695,$D$653:$AA$871,24,0),AC$654:AE$661,3,0)-VLOOKUP(VLOOKUP(AC695,$D$653:$AA$871,24,0),AC$654:AE$661,2,0)+1,0)))</f>
        <v>35</v>
      </c>
      <c r="AF695" s="758" t="str">
        <f t="shared" ca="1" si="162"/>
        <v>Hacha de guerra</v>
      </c>
      <c r="AG695" s="758" t="str">
        <f t="shared" ca="1" si="163"/>
        <v/>
      </c>
      <c r="AH695" s="2568" t="s">
        <v>6580</v>
      </c>
      <c r="AI695" s="758">
        <f>IFERROR(IF(IF(AH695&lt;&gt;"",VLOOKUP(AH695,Tabla_ArmasyEscudos,9,0),"")="Conocida",MAX(AI$660:AI694)+1,0),0)</f>
        <v>0</v>
      </c>
      <c r="AJ695" s="758">
        <f ca="1">IF(AH695="",0,IF(AI695=0,MAX(AJ$654:AJ694,AL$652)+1,AI695+IFERROR(VLOOKUP(VLOOKUP(AH695,$D$653:$AA$871,24,0),AH$654:AJ$659,3,0)-VLOOKUP(VLOOKUP(AH695,$D$653:$AA$871,24,0),AH$654:AJ$659,2,0)+1,0)))</f>
        <v>37</v>
      </c>
      <c r="AK695" s="758" t="str">
        <f t="shared" ca="1" si="164"/>
        <v>Lajatang</v>
      </c>
      <c r="AL695" s="758" t="str">
        <f t="shared" ca="1" si="165"/>
        <v/>
      </c>
      <c r="AM695" s="2568"/>
      <c r="AN695" s="758">
        <f>IFERROR(IF(IF(AM695&lt;&gt;"",VLOOKUP(AM695,Tabla_ArmasyEscudos,9,0),"")="Conocida",MAX(AN$660:AN694)+1,0),0)</f>
        <v>0</v>
      </c>
      <c r="AO695" s="758">
        <f>IF(AM695="",0,IF(AN695=0,MAX(AO$654:AO694,AQ$652)+1,AN695+IFERROR(VLOOKUP(VLOOKUP(AM695,$D$653:$AA$871,24,0),AM$654:AO$659,3,0)-VLOOKUP(VLOOKUP(AM695,$D$653:$AA$871,24,0),AM$654:AO$659,2,0)+1,0)))</f>
        <v>0</v>
      </c>
      <c r="AP695" s="758" t="str">
        <f t="shared" ca="1" si="166"/>
        <v/>
      </c>
      <c r="AQ695" s="758" t="str">
        <f t="shared" ca="1" si="167"/>
        <v/>
      </c>
      <c r="AR695" s="2568"/>
      <c r="AS695" s="758">
        <f>IFERROR(IF(IF(AR695&lt;&gt;"",VLOOKUP(AR695,Tabla_ArmasyEscudos,9,0),"")="Conocida",MAX(AS$660:AS694)+1,0),0)</f>
        <v>0</v>
      </c>
      <c r="AT695" s="758">
        <f>IF(AR695="",0,IF(AS695=0,MAX(AT$654:AT694,AV$652)+1,AS695+IFERROR(VLOOKUP(VLOOKUP(AR695,$D$653:$AA$871,24,0),AR$654:AT$659,3,0)-VLOOKUP(VLOOKUP(AR695,$D$653:$AA$871,24,0),AR$654:AT$659,2,0)+1,0)))</f>
        <v>0</v>
      </c>
      <c r="AU695" s="758" t="str">
        <f t="shared" ca="1" si="168"/>
        <v/>
      </c>
      <c r="AV695" s="758" t="str">
        <f t="shared" ca="1" si="169"/>
        <v/>
      </c>
      <c r="AX695" s="1141" t="str">
        <f t="shared" si="170"/>
        <v>Gran martillo guerra</v>
      </c>
      <c r="AY695" s="2549"/>
      <c r="AZ695" s="774" t="str">
        <f t="shared" si="171"/>
        <v/>
      </c>
      <c r="BA695" s="76" t="str">
        <f t="shared" si="172"/>
        <v/>
      </c>
      <c r="BB695" s="76" t="str">
        <f t="shared" si="173"/>
        <v>Guadaña</v>
      </c>
      <c r="BC695" s="1142">
        <f>IF(OR($L693=BC$652,$L693="",$D693=$BE$651),MAX(BC$654:BC694)+1,0)</f>
        <v>0</v>
      </c>
      <c r="BD695" s="1143">
        <f>IF(OR($L693=BD$652,$L693="",$D693=$BE$651),MAX(BD$654:BD694)+1,0)</f>
        <v>0</v>
      </c>
      <c r="BE695" s="1144">
        <f>IF(OR($L693=BE$652,$L693="",$D693=$BE$651),MAX(BE$654:BE694)+1,0)</f>
        <v>40</v>
      </c>
      <c r="BF695" s="2549"/>
      <c r="BG695" s="774" t="str">
        <f t="shared" si="174"/>
        <v/>
      </c>
      <c r="BH695" s="76" t="str">
        <f t="shared" si="175"/>
        <v/>
      </c>
      <c r="BI695" s="76" t="str">
        <f t="shared" si="176"/>
        <v>Guadaña</v>
      </c>
      <c r="BJ695" s="1142">
        <f>IF(OR($L693=BJ$652,$L693="",$D693=$BL$651),MAX(BJ$654:BJ694)+1,0)</f>
        <v>0</v>
      </c>
      <c r="BK695" s="1143">
        <f>IF(OR($L693=BK$652,$L693="",$D693=$BL$651),MAX(BK$654:BK694)+1,0)</f>
        <v>0</v>
      </c>
      <c r="BL695" s="1144">
        <f>IF(OR($L693=BL$652,$L693="",$D693=$BL$651),MAX(BL$654:BL694)+1,0)</f>
        <v>40</v>
      </c>
      <c r="BM695" s="2549"/>
      <c r="BN695" s="774" t="str">
        <f t="shared" si="177"/>
        <v/>
      </c>
      <c r="BO695" s="76" t="str">
        <f t="shared" si="178"/>
        <v/>
      </c>
      <c r="BP695" s="76" t="str">
        <f t="shared" si="179"/>
        <v>Guadaña</v>
      </c>
      <c r="BQ695" s="1142">
        <f>IF(OR($L693=BQ$652,$L693="",$D693=$BS$651),MAX(BQ$654:BQ694)+1,0)</f>
        <v>0</v>
      </c>
      <c r="BR695" s="1143">
        <f>IF(OR($L693=BR$652,$L693="",$D693=$BS$651),MAX(BR$654:BR694)+1,0)</f>
        <v>0</v>
      </c>
      <c r="BS695" s="1144">
        <f>IF(OR($L693=BS$652,$L693="",$D693=$BS$651),MAX(BS$654:BS694)+1,0)</f>
        <v>40</v>
      </c>
      <c r="BT695" s="2549"/>
      <c r="BU695" s="774" t="str">
        <f t="shared" si="180"/>
        <v/>
      </c>
      <c r="BV695" s="76" t="str">
        <f t="shared" si="181"/>
        <v/>
      </c>
      <c r="BW695" s="76" t="str">
        <f t="shared" si="182"/>
        <v>Guadaña</v>
      </c>
      <c r="BX695" s="1142">
        <f>IF(OR($L693=BX$652,$L693="",$D693=$BZ$651),MAX(BX$654:BX694)+1,0)</f>
        <v>0</v>
      </c>
      <c r="BY695" s="1143">
        <f>IF(OR($L693=BY$652,$L693="",$D693=$BZ$651),MAX(BY$654:BY694)+1,0)</f>
        <v>0</v>
      </c>
      <c r="BZ695" s="1144">
        <f>IF(OR($L693=BZ$652,$L693="",$D693=$BZ$651),MAX(BZ$654:BZ694)+1,0)</f>
        <v>40</v>
      </c>
      <c r="CA695" s="2549"/>
      <c r="CB695" s="774" t="str">
        <f t="shared" si="183"/>
        <v/>
      </c>
      <c r="CC695" s="76" t="str">
        <f t="shared" si="184"/>
        <v/>
      </c>
      <c r="CD695" s="76" t="str">
        <f t="shared" si="185"/>
        <v>Guadaña</v>
      </c>
      <c r="CE695" s="1142">
        <f>IF(OR($L693=CE$652,$L693="",$D693=$CG$651),MAX(CE$654:CE694)+1,0)</f>
        <v>0</v>
      </c>
      <c r="CF695" s="1143">
        <f>IF(OR($L693=CF$652,$L693="",$D693=$CG$651),MAX(CF$654:CF694)+1,0)</f>
        <v>0</v>
      </c>
      <c r="CG695" s="1144">
        <f>IF(OR($L693=CG$652,$L693="",$D693=$CG$651),MAX(CG$654:CG694)+1,0)</f>
        <v>40</v>
      </c>
      <c r="CI695" s="774" t="str">
        <f t="shared" si="186"/>
        <v/>
      </c>
      <c r="CJ695" s="76" t="str">
        <f t="shared" si="187"/>
        <v/>
      </c>
      <c r="CK695" s="76" t="str">
        <f t="shared" si="188"/>
        <v>Guadaña</v>
      </c>
      <c r="CL695" s="1142">
        <f>IF(OR($L693=CL$652,$L693="",$D693=$CN$651),MAX(CL$654:CL694)+1,0)</f>
        <v>0</v>
      </c>
      <c r="CM695" s="1143">
        <f>IF(OR($L693=CM$652,$L693="",$D693=$CN$651),MAX(CM$654:CM694)+1,0)</f>
        <v>0</v>
      </c>
      <c r="CN695" s="1144">
        <f>IF(OR($L693=CN$652,$L693="",$D693=$CN$651),MAX(CN$654:CN694)+1,0)</f>
        <v>40</v>
      </c>
    </row>
    <row r="696" spans="1:92" ht="12.75" customHeight="1">
      <c r="A696" s="219">
        <v>687</v>
      </c>
      <c r="B696" s="7145"/>
      <c r="C696" s="1034"/>
      <c r="D696" s="2237" t="s">
        <v>1993</v>
      </c>
      <c r="E696" s="2239">
        <v>100</v>
      </c>
      <c r="F696" s="2236">
        <v>-70</v>
      </c>
      <c r="G696" s="2236">
        <v>11</v>
      </c>
      <c r="H696" s="2236">
        <v>9</v>
      </c>
      <c r="I696" s="2236" t="s">
        <v>1410</v>
      </c>
      <c r="J696" s="2236" t="s">
        <v>1357</v>
      </c>
      <c r="K696" s="2433" t="s">
        <v>6841</v>
      </c>
      <c r="L696" s="2236" t="str">
        <f t="shared" si="192"/>
        <v>Distinta</v>
      </c>
      <c r="M696" s="2240">
        <v>17</v>
      </c>
      <c r="N696" s="2240">
        <v>7</v>
      </c>
      <c r="O696" s="2240">
        <v>30</v>
      </c>
      <c r="P696" s="2236"/>
      <c r="Q696" s="2236"/>
      <c r="R696" s="2236" t="s">
        <v>1315</v>
      </c>
      <c r="S696" s="2236" t="s">
        <v>1315</v>
      </c>
      <c r="T696" s="2236" t="s">
        <v>1315</v>
      </c>
      <c r="U696" s="2236"/>
      <c r="V696" s="2433" t="s">
        <v>1979</v>
      </c>
      <c r="W696" s="2433"/>
      <c r="X696" s="2434" t="str">
        <f t="shared" si="158"/>
        <v>Grande</v>
      </c>
      <c r="Y696" s="2229">
        <f t="shared" si="191"/>
        <v>0</v>
      </c>
      <c r="Z696" s="1150" t="str">
        <f t="shared" si="161"/>
        <v/>
      </c>
      <c r="AA696" s="1751" t="s">
        <v>1960</v>
      </c>
      <c r="AC696" s="929" t="s">
        <v>6566</v>
      </c>
      <c r="AD696" s="758">
        <f>IFERROR(IF(IF(AC696&lt;&gt;"",VLOOKUP(AC696,Tabla_ArmasyEscudos,9,0),"")="Conocida",MAX(AD$662:AD695)+1,0),0)</f>
        <v>0</v>
      </c>
      <c r="AE696" s="758">
        <f ca="1">IF(AC696="",0,IF(AD696=0,MAX(AE$654:AE695,AG$652)+1,AD696+IFERROR(VLOOKUP(VLOOKUP(AC696,$D$653:$AA$871,24,0),AC$654:AE$661,3,0)-VLOOKUP(VLOOKUP(AC696,$D$653:$AA$871,24,0),AC$654:AE$661,2,0)+1,0)))</f>
        <v>36</v>
      </c>
      <c r="AF696" s="758" t="str">
        <f t="shared" ca="1" si="162"/>
        <v>Hacha de mano</v>
      </c>
      <c r="AG696" s="758" t="str">
        <f t="shared" ca="1" si="163"/>
        <v/>
      </c>
      <c r="AH696" s="2568" t="s">
        <v>2026</v>
      </c>
      <c r="AI696" s="758">
        <f>IFERROR(IF(IF(AH696&lt;&gt;"",VLOOKUP(AH696,Tabla_ArmasyEscudos,9,0),"")="Conocida",MAX(AI$660:AI695)+1,0),0)</f>
        <v>0</v>
      </c>
      <c r="AJ696" s="758">
        <f ca="1">IF(AH696="",0,IF(AI696=0,MAX(AJ$654:AJ695,AL$652)+1,AI696+IFERROR(VLOOKUP(VLOOKUP(AH696,$D$653:$AA$871,24,0),AH$654:AJ$659,3,0)-VLOOKUP(VLOOKUP(AH696,$D$653:$AA$871,24,0),AH$654:AJ$659,2,0)+1,0)))</f>
        <v>38</v>
      </c>
      <c r="AK696" s="758" t="str">
        <f t="shared" ca="1" si="164"/>
        <v>Nagimaki</v>
      </c>
      <c r="AL696" s="758" t="str">
        <f t="shared" ca="1" si="165"/>
        <v/>
      </c>
      <c r="AM696" s="2568"/>
      <c r="AN696" s="758">
        <f>IFERROR(IF(IF(AM696&lt;&gt;"",VLOOKUP(AM696,Tabla_ArmasyEscudos,9,0),"")="Conocida",MAX(AN$660:AN695)+1,0),0)</f>
        <v>0</v>
      </c>
      <c r="AO696" s="758">
        <f>IF(AM696="",0,IF(AN696=0,MAX(AO$654:AO695,AQ$652)+1,AN696+IFERROR(VLOOKUP(VLOOKUP(AM696,$D$653:$AA$871,24,0),AM$654:AO$659,3,0)-VLOOKUP(VLOOKUP(AM696,$D$653:$AA$871,24,0),AM$654:AO$659,2,0)+1,0)))</f>
        <v>0</v>
      </c>
      <c r="AP696" s="758" t="str">
        <f t="shared" ca="1" si="166"/>
        <v/>
      </c>
      <c r="AQ696" s="758" t="str">
        <f t="shared" ca="1" si="167"/>
        <v/>
      </c>
      <c r="AR696" s="2568"/>
      <c r="AS696" s="758">
        <f>IFERROR(IF(IF(AR696&lt;&gt;"",VLOOKUP(AR696,Tabla_ArmasyEscudos,9,0),"")="Conocida",MAX(AS$660:AS695)+1,0),0)</f>
        <v>0</v>
      </c>
      <c r="AT696" s="758">
        <f>IF(AR696="",0,IF(AS696=0,MAX(AT$654:AT695,AV$652)+1,AS696+IFERROR(VLOOKUP(VLOOKUP(AR696,$D$653:$AA$871,24,0),AR$654:AT$659,3,0)-VLOOKUP(VLOOKUP(AR696,$D$653:$AA$871,24,0),AR$654:AT$659,2,0)+1,0)))</f>
        <v>0</v>
      </c>
      <c r="AU696" s="758" t="str">
        <f t="shared" ca="1" si="168"/>
        <v/>
      </c>
      <c r="AV696" s="758" t="str">
        <f t="shared" ca="1" si="169"/>
        <v/>
      </c>
      <c r="AX696" s="1141" t="str">
        <f t="shared" si="170"/>
        <v>Guadaña</v>
      </c>
      <c r="AY696" s="2549"/>
      <c r="AZ696" s="774" t="str">
        <f t="shared" si="171"/>
        <v/>
      </c>
      <c r="BA696" s="76" t="str">
        <f t="shared" si="172"/>
        <v/>
      </c>
      <c r="BB696" s="76" t="str">
        <f t="shared" si="173"/>
        <v>Guandao</v>
      </c>
      <c r="BC696" s="1142">
        <f>IF(OR($L694=BC$652,$L694="",$D694=$BE$651),MAX(BC$654:BC695)+1,0)</f>
        <v>0</v>
      </c>
      <c r="BD696" s="1143">
        <f>IF(OR($L694=BD$652,$L694="",$D694=$BE$651),MAX(BD$654:BD695)+1,0)</f>
        <v>0</v>
      </c>
      <c r="BE696" s="1144">
        <f>IF(OR($L694=BE$652,$L694="",$D694=$BE$651),MAX(BE$654:BE695)+1,0)</f>
        <v>41</v>
      </c>
      <c r="BF696" s="2549"/>
      <c r="BG696" s="774" t="str">
        <f t="shared" si="174"/>
        <v/>
      </c>
      <c r="BH696" s="76" t="str">
        <f t="shared" si="175"/>
        <v/>
      </c>
      <c r="BI696" s="76" t="str">
        <f t="shared" si="176"/>
        <v>Guandao</v>
      </c>
      <c r="BJ696" s="1142">
        <f>IF(OR($L694=BJ$652,$L694="",$D694=$BL$651),MAX(BJ$654:BJ695)+1,0)</f>
        <v>0</v>
      </c>
      <c r="BK696" s="1143">
        <f>IF(OR($L694=BK$652,$L694="",$D694=$BL$651),MAX(BK$654:BK695)+1,0)</f>
        <v>0</v>
      </c>
      <c r="BL696" s="1144">
        <f>IF(OR($L694=BL$652,$L694="",$D694=$BL$651),MAX(BL$654:BL695)+1,0)</f>
        <v>41</v>
      </c>
      <c r="BM696" s="2549"/>
      <c r="BN696" s="774" t="str">
        <f t="shared" si="177"/>
        <v/>
      </c>
      <c r="BO696" s="76" t="str">
        <f t="shared" si="178"/>
        <v/>
      </c>
      <c r="BP696" s="76" t="str">
        <f t="shared" si="179"/>
        <v>Guandao</v>
      </c>
      <c r="BQ696" s="1142">
        <f>IF(OR($L694=BQ$652,$L694="",$D694=$BS$651),MAX(BQ$654:BQ695)+1,0)</f>
        <v>0</v>
      </c>
      <c r="BR696" s="1143">
        <f>IF(OR($L694=BR$652,$L694="",$D694=$BS$651),MAX(BR$654:BR695)+1,0)</f>
        <v>0</v>
      </c>
      <c r="BS696" s="1144">
        <f>IF(OR($L694=BS$652,$L694="",$D694=$BS$651),MAX(BS$654:BS695)+1,0)</f>
        <v>41</v>
      </c>
      <c r="BT696" s="2549"/>
      <c r="BU696" s="774" t="str">
        <f t="shared" si="180"/>
        <v/>
      </c>
      <c r="BV696" s="76" t="str">
        <f t="shared" si="181"/>
        <v/>
      </c>
      <c r="BW696" s="76" t="str">
        <f t="shared" si="182"/>
        <v>Guandao</v>
      </c>
      <c r="BX696" s="1142">
        <f>IF(OR($L694=BX$652,$L694="",$D694=$BZ$651),MAX(BX$654:BX695)+1,0)</f>
        <v>0</v>
      </c>
      <c r="BY696" s="1143">
        <f>IF(OR($L694=BY$652,$L694="",$D694=$BZ$651),MAX(BY$654:BY695)+1,0)</f>
        <v>0</v>
      </c>
      <c r="BZ696" s="1144">
        <f>IF(OR($L694=BZ$652,$L694="",$D694=$BZ$651),MAX(BZ$654:BZ695)+1,0)</f>
        <v>41</v>
      </c>
      <c r="CA696" s="2549"/>
      <c r="CB696" s="774" t="str">
        <f t="shared" si="183"/>
        <v/>
      </c>
      <c r="CC696" s="76" t="str">
        <f t="shared" si="184"/>
        <v/>
      </c>
      <c r="CD696" s="76" t="str">
        <f t="shared" si="185"/>
        <v>Guandao</v>
      </c>
      <c r="CE696" s="1142">
        <f>IF(OR($L694=CE$652,$L694="",$D694=$CG$651),MAX(CE$654:CE695)+1,0)</f>
        <v>0</v>
      </c>
      <c r="CF696" s="1143">
        <f>IF(OR($L694=CF$652,$L694="",$D694=$CG$651),MAX(CF$654:CF695)+1,0)</f>
        <v>0</v>
      </c>
      <c r="CG696" s="1144">
        <f>IF(OR($L694=CG$652,$L694="",$D694=$CG$651),MAX(CG$654:CG695)+1,0)</f>
        <v>41</v>
      </c>
      <c r="CI696" s="774" t="str">
        <f t="shared" si="186"/>
        <v/>
      </c>
      <c r="CJ696" s="76" t="str">
        <f t="shared" si="187"/>
        <v/>
      </c>
      <c r="CK696" s="76" t="str">
        <f t="shared" si="188"/>
        <v>Guandao</v>
      </c>
      <c r="CL696" s="1142">
        <f>IF(OR($L694=CL$652,$L694="",$D694=$CN$651),MAX(CL$654:CL695)+1,0)</f>
        <v>0</v>
      </c>
      <c r="CM696" s="1143">
        <f>IF(OR($L694=CM$652,$L694="",$D694=$CN$651),MAX(CM$654:CM695)+1,0)</f>
        <v>0</v>
      </c>
      <c r="CN696" s="1144">
        <f>IF(OR($L694=CN$652,$L694="",$D694=$CN$651),MAX(CN$654:CN695)+1,0)</f>
        <v>41</v>
      </c>
    </row>
    <row r="697" spans="1:92" ht="12.75" customHeight="1">
      <c r="A697" s="219">
        <v>688</v>
      </c>
      <c r="B697" s="7145"/>
      <c r="C697" s="1034"/>
      <c r="D697" s="2237" t="s">
        <v>1995</v>
      </c>
      <c r="E697" s="2239">
        <v>70</v>
      </c>
      <c r="F697" s="2236">
        <v>-30</v>
      </c>
      <c r="G697" s="2236">
        <v>7</v>
      </c>
      <c r="H697" s="2236">
        <v>7</v>
      </c>
      <c r="I697" s="2236" t="s">
        <v>1410</v>
      </c>
      <c r="J697" s="2236" t="s">
        <v>1357</v>
      </c>
      <c r="K697" s="2433" t="s">
        <v>6842</v>
      </c>
      <c r="L697" s="2236" t="str">
        <f t="shared" si="192"/>
        <v>Distinta</v>
      </c>
      <c r="M697" s="2240">
        <v>15</v>
      </c>
      <c r="N697" s="2240">
        <v>5</v>
      </c>
      <c r="O697" s="2240">
        <v>25</v>
      </c>
      <c r="P697" s="2236"/>
      <c r="Q697" s="2236"/>
      <c r="R697" s="2240">
        <v>100</v>
      </c>
      <c r="S697" s="2236" t="s">
        <v>1315</v>
      </c>
      <c r="T697" s="2240">
        <v>5</v>
      </c>
      <c r="U697" s="2236"/>
      <c r="V697" s="2433" t="s">
        <v>8126</v>
      </c>
      <c r="W697" s="2433"/>
      <c r="X697" s="2434" t="str">
        <f t="shared" si="158"/>
        <v>Mediana</v>
      </c>
      <c r="Y697" s="2229">
        <f t="shared" si="191"/>
        <v>0</v>
      </c>
      <c r="Z697" s="1150" t="str">
        <f t="shared" si="161"/>
        <v/>
      </c>
      <c r="AA697" s="1751" t="s">
        <v>1960</v>
      </c>
      <c r="AC697" s="929" t="s">
        <v>6567</v>
      </c>
      <c r="AD697" s="758">
        <f>IFERROR(IF(IF(AC697&lt;&gt;"",VLOOKUP(AC697,Tabla_ArmasyEscudos,9,0),"")="Conocida",MAX(AD$662:AD696)+1,0),0)</f>
        <v>0</v>
      </c>
      <c r="AE697" s="758">
        <f ca="1">IF(AC697="",0,IF(AD697=0,MAX(AE$654:AE696,AG$652)+1,AD697+IFERROR(VLOOKUP(VLOOKUP(AC697,$D$653:$AA$871,24,0),AC$654:AE$661,3,0)-VLOOKUP(VLOOKUP(AC697,$D$653:$AA$871,24,0),AC$654:AE$661,2,0)+1,0)))</f>
        <v>37</v>
      </c>
      <c r="AF697" s="758" t="str">
        <f t="shared" ca="1" si="162"/>
        <v>Hu Die Dao</v>
      </c>
      <c r="AG697" s="758" t="str">
        <f t="shared" ca="1" si="163"/>
        <v/>
      </c>
      <c r="AH697" s="2568" t="s">
        <v>2027</v>
      </c>
      <c r="AI697" s="758">
        <f>IFERROR(IF(IF(AH697&lt;&gt;"",VLOOKUP(AH697,Tabla_ArmasyEscudos,9,0),"")="Conocida",MAX(AI$660:AI696)+1,0),0)</f>
        <v>0</v>
      </c>
      <c r="AJ697" s="758">
        <f ca="1">IF(AH697="",0,IF(AI697=0,MAX(AJ$654:AJ696,AL$652)+1,AI697+IFERROR(VLOOKUP(VLOOKUP(AH697,$D$653:$AA$871,24,0),AH$654:AJ$659,3,0)-VLOOKUP(VLOOKUP(AH697,$D$653:$AA$871,24,0),AH$654:AJ$659,2,0)+1,0)))</f>
        <v>39</v>
      </c>
      <c r="AK697" s="758" t="str">
        <f t="shared" ca="1" si="164"/>
        <v>Naginata</v>
      </c>
      <c r="AL697" s="758" t="str">
        <f t="shared" ca="1" si="165"/>
        <v/>
      </c>
      <c r="AM697" s="2568"/>
      <c r="AN697" s="758">
        <f>IFERROR(IF(IF(AM697&lt;&gt;"",VLOOKUP(AM697,Tabla_ArmasyEscudos,9,0),"")="Conocida",MAX(AN$660:AN696)+1,0),0)</f>
        <v>0</v>
      </c>
      <c r="AO697" s="758">
        <f>IF(AM697="",0,IF(AN697=0,MAX(AO$654:AO696,AQ$652)+1,AN697+IFERROR(VLOOKUP(VLOOKUP(AM697,$D$653:$AA$871,24,0),AM$654:AO$659,3,0)-VLOOKUP(VLOOKUP(AM697,$D$653:$AA$871,24,0),AM$654:AO$659,2,0)+1,0)))</f>
        <v>0</v>
      </c>
      <c r="AP697" s="758" t="str">
        <f t="shared" ca="1" si="166"/>
        <v/>
      </c>
      <c r="AQ697" s="758" t="str">
        <f t="shared" ca="1" si="167"/>
        <v/>
      </c>
      <c r="AR697" s="2568"/>
      <c r="AS697" s="758">
        <f>IFERROR(IF(IF(AR697&lt;&gt;"",VLOOKUP(AR697,Tabla_ArmasyEscudos,9,0),"")="Conocida",MAX(AS$660:AS696)+1,0),0)</f>
        <v>0</v>
      </c>
      <c r="AT697" s="758">
        <f>IF(AR697="",0,IF(AS697=0,MAX(AT$654:AT696,AV$652)+1,AS697+IFERROR(VLOOKUP(VLOOKUP(AR697,$D$653:$AA$871,24,0),AR$654:AT$659,3,0)-VLOOKUP(VLOOKUP(AR697,$D$653:$AA$871,24,0),AR$654:AT$659,2,0)+1,0)))</f>
        <v>0</v>
      </c>
      <c r="AU697" s="758" t="str">
        <f t="shared" ca="1" si="168"/>
        <v/>
      </c>
      <c r="AV697" s="758" t="str">
        <f t="shared" ca="1" si="169"/>
        <v/>
      </c>
      <c r="AX697" s="1141" t="str">
        <f t="shared" si="170"/>
        <v>Guandao</v>
      </c>
      <c r="AY697" s="2549"/>
      <c r="AZ697" s="774" t="str">
        <f t="shared" si="171"/>
        <v/>
      </c>
      <c r="BA697" s="76" t="str">
        <f t="shared" si="172"/>
        <v/>
      </c>
      <c r="BB697" s="76" t="str">
        <f t="shared" si="173"/>
        <v>Hacha a dos manos</v>
      </c>
      <c r="BC697" s="1142">
        <f>IF(OR($L695=BC$652,$L695="",$D695=$BE$651),MAX(BC$654:BC696)+1,0)</f>
        <v>0</v>
      </c>
      <c r="BD697" s="1143">
        <f>IF(OR($L695=BD$652,$L695="",$D695=$BE$651),MAX(BD$654:BD696)+1,0)</f>
        <v>0</v>
      </c>
      <c r="BE697" s="1144">
        <f>IF(OR($L695=BE$652,$L695="",$D695=$BE$651),MAX(BE$654:BE696)+1,0)</f>
        <v>42</v>
      </c>
      <c r="BF697" s="2549"/>
      <c r="BG697" s="774" t="str">
        <f t="shared" si="174"/>
        <v/>
      </c>
      <c r="BH697" s="76" t="str">
        <f t="shared" si="175"/>
        <v/>
      </c>
      <c r="BI697" s="76" t="str">
        <f t="shared" si="176"/>
        <v>Hacha a dos manos</v>
      </c>
      <c r="BJ697" s="1142">
        <f>IF(OR($L695=BJ$652,$L695="",$D695=$BL$651),MAX(BJ$654:BJ696)+1,0)</f>
        <v>0</v>
      </c>
      <c r="BK697" s="1143">
        <f>IF(OR($L695=BK$652,$L695="",$D695=$BL$651),MAX(BK$654:BK696)+1,0)</f>
        <v>0</v>
      </c>
      <c r="BL697" s="1144">
        <f>IF(OR($L695=BL$652,$L695="",$D695=$BL$651),MAX(BL$654:BL696)+1,0)</f>
        <v>42</v>
      </c>
      <c r="BM697" s="2549"/>
      <c r="BN697" s="774" t="str">
        <f t="shared" si="177"/>
        <v/>
      </c>
      <c r="BO697" s="76" t="str">
        <f t="shared" si="178"/>
        <v/>
      </c>
      <c r="BP697" s="76" t="str">
        <f t="shared" si="179"/>
        <v>Hacha a dos manos</v>
      </c>
      <c r="BQ697" s="1142">
        <f>IF(OR($L695=BQ$652,$L695="",$D695=$BS$651),MAX(BQ$654:BQ696)+1,0)</f>
        <v>0</v>
      </c>
      <c r="BR697" s="1143">
        <f>IF(OR($L695=BR$652,$L695="",$D695=$BS$651),MAX(BR$654:BR696)+1,0)</f>
        <v>0</v>
      </c>
      <c r="BS697" s="1144">
        <f>IF(OR($L695=BS$652,$L695="",$D695=$BS$651),MAX(BS$654:BS696)+1,0)</f>
        <v>42</v>
      </c>
      <c r="BT697" s="2549"/>
      <c r="BU697" s="774" t="str">
        <f t="shared" si="180"/>
        <v/>
      </c>
      <c r="BV697" s="76" t="str">
        <f t="shared" si="181"/>
        <v/>
      </c>
      <c r="BW697" s="76" t="str">
        <f t="shared" si="182"/>
        <v>Hacha a dos manos</v>
      </c>
      <c r="BX697" s="1142">
        <f>IF(OR($L695=BX$652,$L695="",$D695=$BZ$651),MAX(BX$654:BX696)+1,0)</f>
        <v>0</v>
      </c>
      <c r="BY697" s="1143">
        <f>IF(OR($L695=BY$652,$L695="",$D695=$BZ$651),MAX(BY$654:BY696)+1,0)</f>
        <v>0</v>
      </c>
      <c r="BZ697" s="1144">
        <f>IF(OR($L695=BZ$652,$L695="",$D695=$BZ$651),MAX(BZ$654:BZ696)+1,0)</f>
        <v>42</v>
      </c>
      <c r="CA697" s="2549"/>
      <c r="CB697" s="774" t="str">
        <f t="shared" si="183"/>
        <v/>
      </c>
      <c r="CC697" s="76" t="str">
        <f t="shared" si="184"/>
        <v/>
      </c>
      <c r="CD697" s="76" t="str">
        <f t="shared" si="185"/>
        <v>Hacha a dos manos</v>
      </c>
      <c r="CE697" s="1142">
        <f>IF(OR($L695=CE$652,$L695="",$D695=$CG$651),MAX(CE$654:CE696)+1,0)</f>
        <v>0</v>
      </c>
      <c r="CF697" s="1143">
        <f>IF(OR($L695=CF$652,$L695="",$D695=$CG$651),MAX(CF$654:CF696)+1,0)</f>
        <v>0</v>
      </c>
      <c r="CG697" s="1144">
        <f>IF(OR($L695=CG$652,$L695="",$D695=$CG$651),MAX(CG$654:CG696)+1,0)</f>
        <v>42</v>
      </c>
      <c r="CI697" s="774" t="str">
        <f t="shared" si="186"/>
        <v/>
      </c>
      <c r="CJ697" s="76" t="str">
        <f t="shared" si="187"/>
        <v/>
      </c>
      <c r="CK697" s="76" t="str">
        <f t="shared" si="188"/>
        <v>Hacha a dos manos</v>
      </c>
      <c r="CL697" s="1142">
        <f>IF(OR($L695=CL$652,$L695="",$D695=$CN$651),MAX(CL$654:CL696)+1,0)</f>
        <v>0</v>
      </c>
      <c r="CM697" s="1143">
        <f>IF(OR($L695=CM$652,$L695="",$D695=$CN$651),MAX(CM$654:CM696)+1,0)</f>
        <v>0</v>
      </c>
      <c r="CN697" s="1144">
        <f>IF(OR($L695=CN$652,$L695="",$D695=$CN$651),MAX(CN$654:CN696)+1,0)</f>
        <v>42</v>
      </c>
    </row>
    <row r="698" spans="1:92" ht="12.75" customHeight="1">
      <c r="A698" s="219">
        <v>689</v>
      </c>
      <c r="B698" s="7145"/>
      <c r="C698" s="1034"/>
      <c r="D698" s="2237" t="s">
        <v>1996</v>
      </c>
      <c r="E698" s="2239">
        <v>45</v>
      </c>
      <c r="F698" s="2236">
        <v>0</v>
      </c>
      <c r="G698" s="2236">
        <v>5</v>
      </c>
      <c r="H698" s="2236">
        <v>5</v>
      </c>
      <c r="I698" s="2236" t="s">
        <v>1410</v>
      </c>
      <c r="J698" s="2236" t="s">
        <v>1315</v>
      </c>
      <c r="K698" s="2433" t="s">
        <v>6842</v>
      </c>
      <c r="L698" s="2236" t="str">
        <f t="shared" si="192"/>
        <v>Distinta</v>
      </c>
      <c r="M698" s="2240">
        <v>13</v>
      </c>
      <c r="N698" s="2240">
        <v>4</v>
      </c>
      <c r="O698" s="2240">
        <v>15</v>
      </c>
      <c r="P698" s="2236"/>
      <c r="Q698" s="2236"/>
      <c r="R698" s="2240">
        <v>80</v>
      </c>
      <c r="S698" s="2236" t="s">
        <v>1315</v>
      </c>
      <c r="T698" s="2240">
        <v>10</v>
      </c>
      <c r="U698" s="2236"/>
      <c r="V698" s="2433" t="s">
        <v>8127</v>
      </c>
      <c r="W698" s="2433"/>
      <c r="X698" s="2434" t="str">
        <f t="shared" si="158"/>
        <v>Mediana</v>
      </c>
      <c r="Y698" s="2229">
        <f t="shared" si="191"/>
        <v>0</v>
      </c>
      <c r="Z698" s="1150" t="str">
        <f t="shared" si="161"/>
        <v/>
      </c>
      <c r="AA698" s="1751" t="s">
        <v>1960</v>
      </c>
      <c r="AC698" s="929" t="s">
        <v>1991</v>
      </c>
      <c r="AD698" s="758">
        <f>IFERROR(IF(IF(AC698&lt;&gt;"",VLOOKUP(AC698,Tabla_ArmasyEscudos,9,0),"")="Conocida",MAX(AD$662:AD697)+1,0),0)</f>
        <v>0</v>
      </c>
      <c r="AE698" s="758">
        <f ca="1">IF(AC698="",0,IF(AD698=0,MAX(AE$654:AE697,AG$652)+1,AD698+IFERROR(VLOOKUP(VLOOKUP(AC698,$D$653:$AA$871,24,0),AC$654:AE$661,3,0)-VLOOKUP(VLOOKUP(AC698,$D$653:$AA$871,24,0),AC$654:AE$661,2,0)+1,0)))</f>
        <v>38</v>
      </c>
      <c r="AF698" s="758" t="str">
        <f t="shared" ca="1" si="162"/>
        <v>Jabalina</v>
      </c>
      <c r="AG698" s="758" t="str">
        <f t="shared" ca="1" si="163"/>
        <v/>
      </c>
      <c r="AH698" s="2568" t="s">
        <v>2030</v>
      </c>
      <c r="AI698" s="758">
        <f>IFERROR(IF(IF(AH698&lt;&gt;"",VLOOKUP(AH698,Tabla_ArmasyEscudos,9,0),"")="Conocida",MAX(AI$660:AI697)+1,0),0)</f>
        <v>0</v>
      </c>
      <c r="AJ698" s="758">
        <f ca="1">IF(AH698="",0,IF(AI698=0,MAX(AJ$654:AJ697,AL$652)+1,AI698+IFERROR(VLOOKUP(VLOOKUP(AH698,$D$653:$AA$871,24,0),AH$654:AJ$659,3,0)-VLOOKUP(VLOOKUP(AH698,$D$653:$AA$871,24,0),AH$654:AJ$659,2,0)+1,0)))</f>
        <v>40</v>
      </c>
      <c r="AK698" s="758" t="str">
        <f t="shared" ca="1" si="164"/>
        <v>Nodachi</v>
      </c>
      <c r="AL698" s="758" t="str">
        <f t="shared" ca="1" si="165"/>
        <v/>
      </c>
      <c r="AM698" s="2568"/>
      <c r="AN698" s="758">
        <f>IFERROR(IF(IF(AM698&lt;&gt;"",VLOOKUP(AM698,Tabla_ArmasyEscudos,9,0),"")="Conocida",MAX(AN$660:AN697)+1,0),0)</f>
        <v>0</v>
      </c>
      <c r="AO698" s="758">
        <f>IF(AM698="",0,IF(AN698=0,MAX(AO$654:AO697,AQ$652)+1,AN698+IFERROR(VLOOKUP(VLOOKUP(AM698,$D$653:$AA$871,24,0),AM$654:AO$659,3,0)-VLOOKUP(VLOOKUP(AM698,$D$653:$AA$871,24,0),AM$654:AO$659,2,0)+1,0)))</f>
        <v>0</v>
      </c>
      <c r="AP698" s="758" t="str">
        <f t="shared" ca="1" si="166"/>
        <v/>
      </c>
      <c r="AQ698" s="758" t="str">
        <f t="shared" ca="1" si="167"/>
        <v/>
      </c>
      <c r="AR698" s="2568"/>
      <c r="AS698" s="758">
        <f>IFERROR(IF(IF(AR698&lt;&gt;"",VLOOKUP(AR698,Tabla_ArmasyEscudos,9,0),"")="Conocida",MAX(AS$660:AS697)+1,0),0)</f>
        <v>0</v>
      </c>
      <c r="AT698" s="758">
        <f>IF(AR698="",0,IF(AS698=0,MAX(AT$654:AT697,AV$652)+1,AS698+IFERROR(VLOOKUP(VLOOKUP(AR698,$D$653:$AA$871,24,0),AR$654:AT$659,3,0)-VLOOKUP(VLOOKUP(AR698,$D$653:$AA$871,24,0),AR$654:AT$659,2,0)+1,0)))</f>
        <v>0</v>
      </c>
      <c r="AU698" s="758" t="str">
        <f t="shared" ca="1" si="168"/>
        <v/>
      </c>
      <c r="AV698" s="758" t="str">
        <f t="shared" ca="1" si="169"/>
        <v/>
      </c>
      <c r="AX698" s="1141" t="str">
        <f t="shared" si="170"/>
        <v>Hacha a dos manos</v>
      </c>
      <c r="AY698" s="2549"/>
      <c r="AZ698" s="774" t="str">
        <f t="shared" si="171"/>
        <v/>
      </c>
      <c r="BA698" s="76" t="str">
        <f t="shared" si="172"/>
        <v/>
      </c>
      <c r="BB698" s="76" t="str">
        <f t="shared" si="173"/>
        <v>Hacha de guerra</v>
      </c>
      <c r="BC698" s="1142">
        <f>IF(OR($L696=BC$652,$L696="",$D696=$BE$651),MAX(BC$654:BC697)+1,0)</f>
        <v>0</v>
      </c>
      <c r="BD698" s="1143">
        <f>IF(OR($L696=BD$652,$L696="",$D696=$BE$651),MAX(BD$654:BD697)+1,0)</f>
        <v>0</v>
      </c>
      <c r="BE698" s="1144">
        <f>IF(OR($L696=BE$652,$L696="",$D696=$BE$651),MAX(BE$654:BE697)+1,0)</f>
        <v>43</v>
      </c>
      <c r="BF698" s="2549"/>
      <c r="BG698" s="774" t="str">
        <f t="shared" si="174"/>
        <v/>
      </c>
      <c r="BH698" s="76" t="str">
        <f t="shared" si="175"/>
        <v/>
      </c>
      <c r="BI698" s="76" t="str">
        <f t="shared" si="176"/>
        <v>Hacha de guerra</v>
      </c>
      <c r="BJ698" s="1142">
        <f>IF(OR($L696=BJ$652,$L696="",$D696=$BL$651),MAX(BJ$654:BJ697)+1,0)</f>
        <v>0</v>
      </c>
      <c r="BK698" s="1143">
        <f>IF(OR($L696=BK$652,$L696="",$D696=$BL$651),MAX(BK$654:BK697)+1,0)</f>
        <v>0</v>
      </c>
      <c r="BL698" s="1144">
        <f>IF(OR($L696=BL$652,$L696="",$D696=$BL$651),MAX(BL$654:BL697)+1,0)</f>
        <v>43</v>
      </c>
      <c r="BM698" s="2549"/>
      <c r="BN698" s="774" t="str">
        <f t="shared" si="177"/>
        <v/>
      </c>
      <c r="BO698" s="76" t="str">
        <f t="shared" si="178"/>
        <v/>
      </c>
      <c r="BP698" s="76" t="str">
        <f t="shared" si="179"/>
        <v>Hacha de guerra</v>
      </c>
      <c r="BQ698" s="1142">
        <f>IF(OR($L696=BQ$652,$L696="",$D696=$BS$651),MAX(BQ$654:BQ697)+1,0)</f>
        <v>0</v>
      </c>
      <c r="BR698" s="1143">
        <f>IF(OR($L696=BR$652,$L696="",$D696=$BS$651),MAX(BR$654:BR697)+1,0)</f>
        <v>0</v>
      </c>
      <c r="BS698" s="1144">
        <f>IF(OR($L696=BS$652,$L696="",$D696=$BS$651),MAX(BS$654:BS697)+1,0)</f>
        <v>43</v>
      </c>
      <c r="BT698" s="2549"/>
      <c r="BU698" s="774" t="str">
        <f t="shared" si="180"/>
        <v/>
      </c>
      <c r="BV698" s="76" t="str">
        <f t="shared" si="181"/>
        <v/>
      </c>
      <c r="BW698" s="76" t="str">
        <f t="shared" si="182"/>
        <v>Hacha de guerra</v>
      </c>
      <c r="BX698" s="1142">
        <f>IF(OR($L696=BX$652,$L696="",$D696=$BZ$651),MAX(BX$654:BX697)+1,0)</f>
        <v>0</v>
      </c>
      <c r="BY698" s="1143">
        <f>IF(OR($L696=BY$652,$L696="",$D696=$BZ$651),MAX(BY$654:BY697)+1,0)</f>
        <v>0</v>
      </c>
      <c r="BZ698" s="1144">
        <f>IF(OR($L696=BZ$652,$L696="",$D696=$BZ$651),MAX(BZ$654:BZ697)+1,0)</f>
        <v>43</v>
      </c>
      <c r="CA698" s="2549"/>
      <c r="CB698" s="774" t="str">
        <f t="shared" si="183"/>
        <v/>
      </c>
      <c r="CC698" s="76" t="str">
        <f t="shared" si="184"/>
        <v/>
      </c>
      <c r="CD698" s="76" t="str">
        <f t="shared" si="185"/>
        <v>Hacha de guerra</v>
      </c>
      <c r="CE698" s="1142">
        <f>IF(OR($L696=CE$652,$L696="",$D696=$CG$651),MAX(CE$654:CE697)+1,0)</f>
        <v>0</v>
      </c>
      <c r="CF698" s="1143">
        <f>IF(OR($L696=CF$652,$L696="",$D696=$CG$651),MAX(CF$654:CF697)+1,0)</f>
        <v>0</v>
      </c>
      <c r="CG698" s="1144">
        <f>IF(OR($L696=CG$652,$L696="",$D696=$CG$651),MAX(CG$654:CG697)+1,0)</f>
        <v>43</v>
      </c>
      <c r="CI698" s="774" t="str">
        <f t="shared" si="186"/>
        <v/>
      </c>
      <c r="CJ698" s="76" t="str">
        <f t="shared" si="187"/>
        <v/>
      </c>
      <c r="CK698" s="76" t="str">
        <f t="shared" si="188"/>
        <v>Hacha de guerra</v>
      </c>
      <c r="CL698" s="1142">
        <f>IF(OR($L696=CL$652,$L696="",$D696=$CN$651),MAX(CL$654:CL697)+1,0)</f>
        <v>0</v>
      </c>
      <c r="CM698" s="1143">
        <f>IF(OR($L696=CM$652,$L696="",$D696=$CN$651),MAX(CM$654:CM697)+1,0)</f>
        <v>0</v>
      </c>
      <c r="CN698" s="1144">
        <f>IF(OR($L696=CN$652,$L696="",$D696=$CN$651),MAX(CN$654:CN697)+1,0)</f>
        <v>43</v>
      </c>
    </row>
    <row r="699" spans="1:92" ht="12.75" customHeight="1">
      <c r="A699" s="219">
        <v>690</v>
      </c>
      <c r="B699" s="7145"/>
      <c r="C699" s="1034"/>
      <c r="D699" s="2237" t="s">
        <v>6584</v>
      </c>
      <c r="E699" s="2239">
        <v>30</v>
      </c>
      <c r="F699" s="2236">
        <v>15</v>
      </c>
      <c r="G699" s="2236">
        <v>5</v>
      </c>
      <c r="H699" s="2236">
        <v>5</v>
      </c>
      <c r="I699" s="2236" t="s">
        <v>1410</v>
      </c>
      <c r="J699" s="2236" t="s">
        <v>1357</v>
      </c>
      <c r="K699" s="2433" t="s">
        <v>6835</v>
      </c>
      <c r="L699" s="2236" t="str">
        <f t="shared" si="192"/>
        <v>Distinta</v>
      </c>
      <c r="M699" s="2240">
        <v>10</v>
      </c>
      <c r="N699" s="2240">
        <v>-2</v>
      </c>
      <c r="O699" s="2240">
        <v>20</v>
      </c>
      <c r="P699" s="2236"/>
      <c r="Q699" s="2236"/>
      <c r="R699" s="2236" t="s">
        <v>1315</v>
      </c>
      <c r="S699" s="2236" t="s">
        <v>1315</v>
      </c>
      <c r="T699" s="2236" t="s">
        <v>1315</v>
      </c>
      <c r="U699" s="2236"/>
      <c r="V699" s="2433" t="s">
        <v>6610</v>
      </c>
      <c r="W699" s="2433"/>
      <c r="X699" s="2434" t="str">
        <f t="shared" si="158"/>
        <v>Pequeña</v>
      </c>
      <c r="Y699" s="2229">
        <f t="shared" si="191"/>
        <v>0</v>
      </c>
      <c r="Z699" s="1150" t="str">
        <f t="shared" si="161"/>
        <v/>
      </c>
      <c r="AA699" s="1751" t="s">
        <v>1960</v>
      </c>
      <c r="AC699" s="929" t="s">
        <v>1992</v>
      </c>
      <c r="AD699" s="758">
        <f>IFERROR(IF(IF(AC699&lt;&gt;"",VLOOKUP(AC699,Tabla_ArmasyEscudos,9,0),"")="Conocida",MAX(AD$662:AD698)+1,0),0)</f>
        <v>0</v>
      </c>
      <c r="AE699" s="758">
        <f ca="1">IF(AC699="",0,IF(AD699=0,MAX(AE$654:AE698,AG$652)+1,AD699+IFERROR(VLOOKUP(VLOOKUP(AC699,$D$653:$AA$871,24,0),AC$654:AE$661,3,0)-VLOOKUP(VLOOKUP(AC699,$D$653:$AA$871,24,0),AC$654:AE$661,2,0)+1,0)))</f>
        <v>39</v>
      </c>
      <c r="AF699" s="758" t="str">
        <f t="shared" ca="1" si="162"/>
        <v>Katzbalger</v>
      </c>
      <c r="AG699" s="758" t="str">
        <f t="shared" ca="1" si="163"/>
        <v/>
      </c>
      <c r="AH699" s="2568" t="s">
        <v>6581</v>
      </c>
      <c r="AI699" s="758">
        <f>IFERROR(IF(IF(AH699&lt;&gt;"",VLOOKUP(AH699,Tabla_ArmasyEscudos,9,0),"")="Conocida",MAX(AI$660:AI698)+1,0),0)</f>
        <v>0</v>
      </c>
      <c r="AJ699" s="758">
        <f ca="1">IF(AH699="",0,IF(AI699=0,MAX(AJ$654:AJ698,AL$652)+1,AI699+IFERROR(VLOOKUP(VLOOKUP(AH699,$D$653:$AA$871,24,0),AH$654:AJ$659,3,0)-VLOOKUP(VLOOKUP(AH699,$D$653:$AA$871,24,0),AH$654:AJ$659,2,0)+1,0)))</f>
        <v>41</v>
      </c>
      <c r="AK699" s="758" t="str">
        <f t="shared" ca="1" si="164"/>
        <v>Quebradora</v>
      </c>
      <c r="AL699" s="758" t="str">
        <f t="shared" ca="1" si="165"/>
        <v/>
      </c>
      <c r="AM699" s="2568"/>
      <c r="AN699" s="758">
        <f>IFERROR(IF(IF(AM699&lt;&gt;"",VLOOKUP(AM699,Tabla_ArmasyEscudos,9,0),"")="Conocida",MAX(AN$660:AN698)+1,0),0)</f>
        <v>0</v>
      </c>
      <c r="AO699" s="758">
        <f>IF(AM699="",0,IF(AN699=0,MAX(AO$654:AO698,AQ$652)+1,AN699+IFERROR(VLOOKUP(VLOOKUP(AM699,$D$653:$AA$871,24,0),AM$654:AO$659,3,0)-VLOOKUP(VLOOKUP(AM699,$D$653:$AA$871,24,0),AM$654:AO$659,2,0)+1,0)))</f>
        <v>0</v>
      </c>
      <c r="AP699" s="758" t="str">
        <f t="shared" ca="1" si="166"/>
        <v/>
      </c>
      <c r="AQ699" s="758" t="str">
        <f t="shared" ca="1" si="167"/>
        <v/>
      </c>
      <c r="AR699" s="2568"/>
      <c r="AS699" s="758">
        <f>IFERROR(IF(IF(AR699&lt;&gt;"",VLOOKUP(AR699,Tabla_ArmasyEscudos,9,0),"")="Conocida",MAX(AS$660:AS698)+1,0),0)</f>
        <v>0</v>
      </c>
      <c r="AT699" s="758">
        <f>IF(AR699="",0,IF(AS699=0,MAX(AT$654:AT698,AV$652)+1,AS699+IFERROR(VLOOKUP(VLOOKUP(AR699,$D$653:$AA$871,24,0),AR$654:AT$659,3,0)-VLOOKUP(VLOOKUP(AR699,$D$653:$AA$871,24,0),AR$654:AT$659,2,0)+1,0)))</f>
        <v>0</v>
      </c>
      <c r="AU699" s="758" t="str">
        <f t="shared" ca="1" si="168"/>
        <v/>
      </c>
      <c r="AV699" s="758" t="str">
        <f t="shared" ca="1" si="169"/>
        <v/>
      </c>
      <c r="AX699" s="1141" t="str">
        <f t="shared" si="170"/>
        <v>Hacha de guerra</v>
      </c>
      <c r="AY699" s="2549"/>
      <c r="AZ699" s="774" t="str">
        <f t="shared" si="171"/>
        <v/>
      </c>
      <c r="BA699" s="76" t="str">
        <f t="shared" si="172"/>
        <v/>
      </c>
      <c r="BB699" s="76" t="str">
        <f t="shared" si="173"/>
        <v>Hacha de mano</v>
      </c>
      <c r="BC699" s="1142">
        <f>IF(OR($L697=BC$652,$L697="",$D697=$BE$651),MAX(BC$654:BC698)+1,0)</f>
        <v>0</v>
      </c>
      <c r="BD699" s="1143">
        <f>IF(OR($L697=BD$652,$L697="",$D697=$BE$651),MAX(BD$654:BD698)+1,0)</f>
        <v>0</v>
      </c>
      <c r="BE699" s="1144">
        <f>IF(OR($L697=BE$652,$L697="",$D697=$BE$651),MAX(BE$654:BE698)+1,0)</f>
        <v>44</v>
      </c>
      <c r="BF699" s="2549"/>
      <c r="BG699" s="774" t="str">
        <f t="shared" si="174"/>
        <v/>
      </c>
      <c r="BH699" s="76" t="str">
        <f t="shared" si="175"/>
        <v/>
      </c>
      <c r="BI699" s="76" t="str">
        <f t="shared" si="176"/>
        <v>Hacha de mano</v>
      </c>
      <c r="BJ699" s="1142">
        <f>IF(OR($L697=BJ$652,$L697="",$D697=$BL$651),MAX(BJ$654:BJ698)+1,0)</f>
        <v>0</v>
      </c>
      <c r="BK699" s="1143">
        <f>IF(OR($L697=BK$652,$L697="",$D697=$BL$651),MAX(BK$654:BK698)+1,0)</f>
        <v>0</v>
      </c>
      <c r="BL699" s="1144">
        <f>IF(OR($L697=BL$652,$L697="",$D697=$BL$651),MAX(BL$654:BL698)+1,0)</f>
        <v>44</v>
      </c>
      <c r="BM699" s="2549"/>
      <c r="BN699" s="774" t="str">
        <f t="shared" si="177"/>
        <v/>
      </c>
      <c r="BO699" s="76" t="str">
        <f t="shared" si="178"/>
        <v/>
      </c>
      <c r="BP699" s="76" t="str">
        <f t="shared" si="179"/>
        <v>Hacha de mano</v>
      </c>
      <c r="BQ699" s="1142">
        <f>IF(OR($L697=BQ$652,$L697="",$D697=$BS$651),MAX(BQ$654:BQ698)+1,0)</f>
        <v>0</v>
      </c>
      <c r="BR699" s="1143">
        <f>IF(OR($L697=BR$652,$L697="",$D697=$BS$651),MAX(BR$654:BR698)+1,0)</f>
        <v>0</v>
      </c>
      <c r="BS699" s="1144">
        <f>IF(OR($L697=BS$652,$L697="",$D697=$BS$651),MAX(BS$654:BS698)+1,0)</f>
        <v>44</v>
      </c>
      <c r="BT699" s="2549"/>
      <c r="BU699" s="774" t="str">
        <f t="shared" si="180"/>
        <v/>
      </c>
      <c r="BV699" s="76" t="str">
        <f t="shared" si="181"/>
        <v/>
      </c>
      <c r="BW699" s="76" t="str">
        <f t="shared" si="182"/>
        <v>Hacha de mano</v>
      </c>
      <c r="BX699" s="1142">
        <f>IF(OR($L697=BX$652,$L697="",$D697=$BZ$651),MAX(BX$654:BX698)+1,0)</f>
        <v>0</v>
      </c>
      <c r="BY699" s="1143">
        <f>IF(OR($L697=BY$652,$L697="",$D697=$BZ$651),MAX(BY$654:BY698)+1,0)</f>
        <v>0</v>
      </c>
      <c r="BZ699" s="1144">
        <f>IF(OR($L697=BZ$652,$L697="",$D697=$BZ$651),MAX(BZ$654:BZ698)+1,0)</f>
        <v>44</v>
      </c>
      <c r="CA699" s="2549"/>
      <c r="CB699" s="774" t="str">
        <f t="shared" si="183"/>
        <v/>
      </c>
      <c r="CC699" s="76" t="str">
        <f t="shared" si="184"/>
        <v/>
      </c>
      <c r="CD699" s="76" t="str">
        <f t="shared" si="185"/>
        <v>Hacha de mano</v>
      </c>
      <c r="CE699" s="1142">
        <f>IF(OR($L697=CE$652,$L697="",$D697=$CG$651),MAX(CE$654:CE698)+1,0)</f>
        <v>0</v>
      </c>
      <c r="CF699" s="1143">
        <f>IF(OR($L697=CF$652,$L697="",$D697=$CG$651),MAX(CF$654:CF698)+1,0)</f>
        <v>0</v>
      </c>
      <c r="CG699" s="1144">
        <f>IF(OR($L697=CG$652,$L697="",$D697=$CG$651),MAX(CG$654:CG698)+1,0)</f>
        <v>44</v>
      </c>
      <c r="CI699" s="774" t="str">
        <f t="shared" si="186"/>
        <v/>
      </c>
      <c r="CJ699" s="76" t="str">
        <f t="shared" si="187"/>
        <v/>
      </c>
      <c r="CK699" s="76" t="str">
        <f t="shared" si="188"/>
        <v>Hacha de mano</v>
      </c>
      <c r="CL699" s="1142">
        <f>IF(OR($L697=CL$652,$L697="",$D697=$CN$651),MAX(CL$654:CL698)+1,0)</f>
        <v>0</v>
      </c>
      <c r="CM699" s="1143">
        <f>IF(OR($L697=CM$652,$L697="",$D697=$CN$651),MAX(CM$654:CM698)+1,0)</f>
        <v>0</v>
      </c>
      <c r="CN699" s="1144">
        <f>IF(OR($L697=CN$652,$L697="",$D697=$CN$651),MAX(CN$654:CN698)+1,0)</f>
        <v>44</v>
      </c>
    </row>
    <row r="700" spans="1:92" ht="12.75" customHeight="1">
      <c r="A700" s="219">
        <v>691</v>
      </c>
      <c r="B700" s="7145"/>
      <c r="C700" s="1034"/>
      <c r="D700" s="3876" t="s">
        <v>1997</v>
      </c>
      <c r="E700" s="3877">
        <v>35</v>
      </c>
      <c r="F700" s="3878">
        <v>5</v>
      </c>
      <c r="G700" s="3878">
        <v>4</v>
      </c>
      <c r="H700" s="3878">
        <v>4</v>
      </c>
      <c r="I700" s="3878" t="s">
        <v>1411</v>
      </c>
      <c r="J700" s="3878" t="s">
        <v>1315</v>
      </c>
      <c r="K700" s="3879" t="s">
        <v>6830</v>
      </c>
      <c r="L700" s="3878" t="str">
        <f t="shared" si="192"/>
        <v>Distinta</v>
      </c>
      <c r="M700" s="3880">
        <v>10</v>
      </c>
      <c r="N700" s="3880">
        <v>-2</v>
      </c>
      <c r="O700" s="3880">
        <v>20</v>
      </c>
      <c r="P700" s="3878"/>
      <c r="Q700" s="3878"/>
      <c r="R700" s="3880">
        <v>80</v>
      </c>
      <c r="S700" s="3878" t="s">
        <v>1315</v>
      </c>
      <c r="T700" s="3880">
        <v>30</v>
      </c>
      <c r="U700" s="3878"/>
      <c r="V700" s="3879" t="s">
        <v>12451</v>
      </c>
      <c r="W700" s="2433"/>
      <c r="X700" s="2434" t="str">
        <f t="shared" si="158"/>
        <v>Grande</v>
      </c>
      <c r="Y700" s="2229">
        <f t="shared" si="191"/>
        <v>0</v>
      </c>
      <c r="Z700" s="1150" t="str">
        <f t="shared" si="161"/>
        <v/>
      </c>
      <c r="AA700" s="1751" t="s">
        <v>1960</v>
      </c>
      <c r="AC700" s="929" t="s">
        <v>1993</v>
      </c>
      <c r="AD700" s="758">
        <f>IFERROR(IF(IF(AC700&lt;&gt;"",VLOOKUP(AC700,Tabla_ArmasyEscudos,9,0),"")="Conocida",MAX(AD$662:AD699)+1,0),0)</f>
        <v>0</v>
      </c>
      <c r="AE700" s="758">
        <f ca="1">IF(AC700="",0,IF(AD700=0,MAX(AE$654:AE699,AG$652)+1,AD700+IFERROR(VLOOKUP(VLOOKUP(AC700,$D$653:$AA$871,24,0),AC$654:AE$661,3,0)-VLOOKUP(VLOOKUP(AC700,$D$653:$AA$871,24,0),AC$654:AE$661,2,0)+1,0)))</f>
        <v>40</v>
      </c>
      <c r="AF700" s="758" t="str">
        <f t="shared" ca="1" si="162"/>
        <v>Kerambit</v>
      </c>
      <c r="AG700" s="758" t="str">
        <f t="shared" ca="1" si="163"/>
        <v/>
      </c>
      <c r="AH700" s="2568" t="s">
        <v>6582</v>
      </c>
      <c r="AI700" s="758">
        <f>IFERROR(IF(IF(AH700&lt;&gt;"",VLOOKUP(AH700,Tabla_ArmasyEscudos,9,0),"")="Conocida",MAX(AI$660:AI699)+1,0),0)</f>
        <v>0</v>
      </c>
      <c r="AJ700" s="758">
        <f ca="1">IF(AH700="",0,IF(AI700=0,MAX(AJ$654:AJ699,AL$652)+1,AI700+IFERROR(VLOOKUP(VLOOKUP(AH700,$D$653:$AA$871,24,0),AH$654:AJ$659,3,0)-VLOOKUP(VLOOKUP(AH700,$D$653:$AA$871,24,0),AH$654:AJ$659,2,0)+1,0)))</f>
        <v>42</v>
      </c>
      <c r="AK700" s="758" t="str">
        <f t="shared" ca="1" si="164"/>
        <v>Ram Dao</v>
      </c>
      <c r="AL700" s="758" t="str">
        <f t="shared" ca="1" si="165"/>
        <v/>
      </c>
      <c r="AM700" s="2568"/>
      <c r="AN700" s="758">
        <f>IFERROR(IF(IF(AM700&lt;&gt;"",VLOOKUP(AM700,Tabla_ArmasyEscudos,9,0),"")="Conocida",MAX(AN$660:AN699)+1,0),0)</f>
        <v>0</v>
      </c>
      <c r="AO700" s="758">
        <f>IF(AM700="",0,IF(AN700=0,MAX(AO$654:AO699,AQ$652)+1,AN700+IFERROR(VLOOKUP(VLOOKUP(AM700,$D$653:$AA$871,24,0),AM$654:AO$659,3,0)-VLOOKUP(VLOOKUP(AM700,$D$653:$AA$871,24,0),AM$654:AO$659,2,0)+1,0)))</f>
        <v>0</v>
      </c>
      <c r="AP700" s="758" t="str">
        <f t="shared" ca="1" si="166"/>
        <v/>
      </c>
      <c r="AQ700" s="758" t="str">
        <f t="shared" ca="1" si="167"/>
        <v/>
      </c>
      <c r="AR700" s="2568"/>
      <c r="AS700" s="758">
        <f>IFERROR(IF(IF(AR700&lt;&gt;"",VLOOKUP(AR700,Tabla_ArmasyEscudos,9,0),"")="Conocida",MAX(AS$660:AS699)+1,0),0)</f>
        <v>0</v>
      </c>
      <c r="AT700" s="758">
        <f>IF(AR700="",0,IF(AS700=0,MAX(AT$654:AT699,AV$652)+1,AS700+IFERROR(VLOOKUP(VLOOKUP(AR700,$D$653:$AA$871,24,0),AR$654:AT$659,3,0)-VLOOKUP(VLOOKUP(AR700,$D$653:$AA$871,24,0),AR$654:AT$659,2,0)+1,0)))</f>
        <v>0</v>
      </c>
      <c r="AU700" s="758" t="str">
        <f t="shared" ca="1" si="168"/>
        <v/>
      </c>
      <c r="AV700" s="758" t="str">
        <f t="shared" ca="1" si="169"/>
        <v/>
      </c>
      <c r="AX700" s="1141" t="str">
        <f t="shared" si="170"/>
        <v>Hacha de mano</v>
      </c>
      <c r="AY700" s="2549"/>
      <c r="AZ700" s="774" t="str">
        <f t="shared" si="171"/>
        <v/>
      </c>
      <c r="BA700" s="76" t="str">
        <f t="shared" si="172"/>
        <v/>
      </c>
      <c r="BB700" s="76" t="str">
        <f t="shared" si="173"/>
        <v>Hu Die Dao</v>
      </c>
      <c r="BC700" s="1142">
        <f>IF(OR($L698=BC$652,$L698="",$D698=$BE$651),MAX(BC$654:BC699)+1,0)</f>
        <v>0</v>
      </c>
      <c r="BD700" s="1143">
        <f>IF(OR($L698=BD$652,$L698="",$D698=$BE$651),MAX(BD$654:BD699)+1,0)</f>
        <v>0</v>
      </c>
      <c r="BE700" s="1144">
        <f>IF(OR($L698=BE$652,$L698="",$D698=$BE$651),MAX(BE$654:BE699)+1,0)</f>
        <v>45</v>
      </c>
      <c r="BF700" s="2549"/>
      <c r="BG700" s="774" t="str">
        <f t="shared" si="174"/>
        <v/>
      </c>
      <c r="BH700" s="76" t="str">
        <f t="shared" si="175"/>
        <v/>
      </c>
      <c r="BI700" s="76" t="str">
        <f t="shared" si="176"/>
        <v>Hu Die Dao</v>
      </c>
      <c r="BJ700" s="1142">
        <f>IF(OR($L698=BJ$652,$L698="",$D698=$BL$651),MAX(BJ$654:BJ699)+1,0)</f>
        <v>0</v>
      </c>
      <c r="BK700" s="1143">
        <f>IF(OR($L698=BK$652,$L698="",$D698=$BL$651),MAX(BK$654:BK699)+1,0)</f>
        <v>0</v>
      </c>
      <c r="BL700" s="1144">
        <f>IF(OR($L698=BL$652,$L698="",$D698=$BL$651),MAX(BL$654:BL699)+1,0)</f>
        <v>45</v>
      </c>
      <c r="BM700" s="2549"/>
      <c r="BN700" s="774" t="str">
        <f t="shared" si="177"/>
        <v/>
      </c>
      <c r="BO700" s="76" t="str">
        <f t="shared" si="178"/>
        <v/>
      </c>
      <c r="BP700" s="76" t="str">
        <f t="shared" si="179"/>
        <v>Hu Die Dao</v>
      </c>
      <c r="BQ700" s="1142">
        <f>IF(OR($L698=BQ$652,$L698="",$D698=$BS$651),MAX(BQ$654:BQ699)+1,0)</f>
        <v>0</v>
      </c>
      <c r="BR700" s="1143">
        <f>IF(OR($L698=BR$652,$L698="",$D698=$BS$651),MAX(BR$654:BR699)+1,0)</f>
        <v>0</v>
      </c>
      <c r="BS700" s="1144">
        <f>IF(OR($L698=BS$652,$L698="",$D698=$BS$651),MAX(BS$654:BS699)+1,0)</f>
        <v>45</v>
      </c>
      <c r="BT700" s="2549"/>
      <c r="BU700" s="774" t="str">
        <f t="shared" si="180"/>
        <v/>
      </c>
      <c r="BV700" s="76" t="str">
        <f t="shared" si="181"/>
        <v/>
      </c>
      <c r="BW700" s="76" t="str">
        <f t="shared" si="182"/>
        <v>Hu Die Dao</v>
      </c>
      <c r="BX700" s="1142">
        <f>IF(OR($L698=BX$652,$L698="",$D698=$BZ$651),MAX(BX$654:BX699)+1,0)</f>
        <v>0</v>
      </c>
      <c r="BY700" s="1143">
        <f>IF(OR($L698=BY$652,$L698="",$D698=$BZ$651),MAX(BY$654:BY699)+1,0)</f>
        <v>0</v>
      </c>
      <c r="BZ700" s="1144">
        <f>IF(OR($L698=BZ$652,$L698="",$D698=$BZ$651),MAX(BZ$654:BZ699)+1,0)</f>
        <v>45</v>
      </c>
      <c r="CA700" s="2549"/>
      <c r="CB700" s="774" t="str">
        <f t="shared" si="183"/>
        <v/>
      </c>
      <c r="CC700" s="76" t="str">
        <f t="shared" si="184"/>
        <v/>
      </c>
      <c r="CD700" s="76" t="str">
        <f t="shared" si="185"/>
        <v>Hu Die Dao</v>
      </c>
      <c r="CE700" s="1142">
        <f>IF(OR($L698=CE$652,$L698="",$D698=$CG$651),MAX(CE$654:CE699)+1,0)</f>
        <v>0</v>
      </c>
      <c r="CF700" s="1143">
        <f>IF(OR($L698=CF$652,$L698="",$D698=$CG$651),MAX(CF$654:CF699)+1,0)</f>
        <v>0</v>
      </c>
      <c r="CG700" s="1144">
        <f>IF(OR($L698=CG$652,$L698="",$D698=$CG$651),MAX(CG$654:CG699)+1,0)</f>
        <v>45</v>
      </c>
      <c r="CI700" s="774" t="str">
        <f t="shared" si="186"/>
        <v/>
      </c>
      <c r="CJ700" s="76" t="str">
        <f t="shared" si="187"/>
        <v/>
      </c>
      <c r="CK700" s="76" t="str">
        <f t="shared" si="188"/>
        <v>Hu Die Dao</v>
      </c>
      <c r="CL700" s="1142">
        <f>IF(OR($L698=CL$652,$L698="",$D698=$CN$651),MAX(CL$654:CL699)+1,0)</f>
        <v>0</v>
      </c>
      <c r="CM700" s="1143">
        <f>IF(OR($L698=CM$652,$L698="",$D698=$CN$651),MAX(CM$654:CM699)+1,0)</f>
        <v>0</v>
      </c>
      <c r="CN700" s="1144">
        <f>IF(OR($L698=CN$652,$L698="",$D698=$CN$651),MAX(CN$654:CN699)+1,0)</f>
        <v>45</v>
      </c>
    </row>
    <row r="701" spans="1:92" ht="12.75" customHeight="1">
      <c r="A701" s="219">
        <v>692</v>
      </c>
      <c r="B701" s="7145"/>
      <c r="C701" s="1034"/>
      <c r="D701" s="2237" t="s">
        <v>6587</v>
      </c>
      <c r="E701" s="2239">
        <v>45</v>
      </c>
      <c r="F701" s="2236">
        <v>10</v>
      </c>
      <c r="G701" s="2236">
        <v>5</v>
      </c>
      <c r="H701" s="2236">
        <v>5</v>
      </c>
      <c r="I701" s="2236" t="s">
        <v>1410</v>
      </c>
      <c r="J701" s="2236" t="s">
        <v>1315</v>
      </c>
      <c r="K701" s="2433" t="s">
        <v>6835</v>
      </c>
      <c r="L701" s="2236" t="str">
        <f t="shared" si="192"/>
        <v>Distinta</v>
      </c>
      <c r="M701" s="2240">
        <v>13</v>
      </c>
      <c r="N701" s="2240">
        <v>2</v>
      </c>
      <c r="O701" s="2240">
        <v>20</v>
      </c>
      <c r="P701" s="2236"/>
      <c r="Q701" s="2236"/>
      <c r="R701" s="2236" t="s">
        <v>1315</v>
      </c>
      <c r="S701" s="2236" t="s">
        <v>1315</v>
      </c>
      <c r="T701" s="2236" t="s">
        <v>1315</v>
      </c>
      <c r="U701" s="2236"/>
      <c r="V701" s="2433" t="s">
        <v>2000</v>
      </c>
      <c r="W701" s="2433"/>
      <c r="X701" s="2434" t="str">
        <f t="shared" si="158"/>
        <v>Pequeña</v>
      </c>
      <c r="Y701" s="2229">
        <f t="shared" si="191"/>
        <v>0</v>
      </c>
      <c r="Z701" s="1150" t="str">
        <f t="shared" si="161"/>
        <v/>
      </c>
      <c r="AA701" s="1751" t="s">
        <v>1960</v>
      </c>
      <c r="AC701" s="929" t="s">
        <v>1995</v>
      </c>
      <c r="AD701" s="758">
        <f>IFERROR(IF(IF(AC701&lt;&gt;"",VLOOKUP(AC701,Tabla_ArmasyEscudos,9,0),"")="Conocida",MAX(AD$662:AD700)+1,0),0)</f>
        <v>0</v>
      </c>
      <c r="AE701" s="758">
        <f ca="1">IF(AC701="",0,IF(AD701=0,MAX(AE$654:AE700,AG$652)+1,AD701+IFERROR(VLOOKUP(VLOOKUP(AC701,$D$653:$AA$871,24,0),AC$654:AE$661,3,0)-VLOOKUP(VLOOKUP(AC701,$D$653:$AA$871,24,0),AC$654:AE$661,2,0)+1,0)))</f>
        <v>41</v>
      </c>
      <c r="AF701" s="758" t="str">
        <f t="shared" ca="1" si="162"/>
        <v>Koncerz</v>
      </c>
      <c r="AG701" s="758" t="str">
        <f t="shared" ca="1" si="163"/>
        <v/>
      </c>
      <c r="AH701" s="2568" t="s">
        <v>6583</v>
      </c>
      <c r="AI701" s="758">
        <f>IFERROR(IF(IF(AH701&lt;&gt;"",VLOOKUP(AH701,Tabla_ArmasyEscudos,9,0),"")="Conocida",MAX(AI$660:AI700)+1,0),0)</f>
        <v>0</v>
      </c>
      <c r="AJ701" s="758">
        <f ca="1">IF(AH701="",0,IF(AI701=0,MAX(AJ$654:AJ700,AL$652)+1,AI701+IFERROR(VLOOKUP(VLOOKUP(AH701,$D$653:$AA$871,24,0),AH$654:AJ$659,3,0)-VLOOKUP(VLOOKUP(AH701,$D$653:$AA$871,24,0),AH$654:AJ$659,2,0)+1,0)))</f>
        <v>43</v>
      </c>
      <c r="AK701" s="758" t="str">
        <f t="shared" ca="1" si="164"/>
        <v>Sode Garami</v>
      </c>
      <c r="AL701" s="758" t="str">
        <f t="shared" ca="1" si="165"/>
        <v/>
      </c>
      <c r="AM701" s="2568"/>
      <c r="AN701" s="758">
        <f>IFERROR(IF(IF(AM701&lt;&gt;"",VLOOKUP(AM701,Tabla_ArmasyEscudos,9,0),"")="Conocida",MAX(AN$660:AN700)+1,0),0)</f>
        <v>0</v>
      </c>
      <c r="AO701" s="758">
        <f>IF(AM701="",0,IF(AN701=0,MAX(AO$654:AO700,AQ$652)+1,AN701+IFERROR(VLOOKUP(VLOOKUP(AM701,$D$653:$AA$871,24,0),AM$654:AO$659,3,0)-VLOOKUP(VLOOKUP(AM701,$D$653:$AA$871,24,0),AM$654:AO$659,2,0)+1,0)))</f>
        <v>0</v>
      </c>
      <c r="AP701" s="758" t="str">
        <f t="shared" ca="1" si="166"/>
        <v/>
      </c>
      <c r="AQ701" s="758" t="str">
        <f t="shared" ca="1" si="167"/>
        <v/>
      </c>
      <c r="AR701" s="2568"/>
      <c r="AS701" s="758">
        <f>IFERROR(IF(IF(AR701&lt;&gt;"",VLOOKUP(AR701,Tabla_ArmasyEscudos,9,0),"")="Conocida",MAX(AS$660:AS700)+1,0),0)</f>
        <v>0</v>
      </c>
      <c r="AT701" s="758">
        <f>IF(AR701="",0,IF(AS701=0,MAX(AT$654:AT700,AV$652)+1,AS701+IFERROR(VLOOKUP(VLOOKUP(AR701,$D$653:$AA$871,24,0),AR$654:AT$659,3,0)-VLOOKUP(VLOOKUP(AR701,$D$653:$AA$871,24,0),AR$654:AT$659,2,0)+1,0)))</f>
        <v>0</v>
      </c>
      <c r="AU701" s="758" t="str">
        <f t="shared" ca="1" si="168"/>
        <v/>
      </c>
      <c r="AV701" s="758" t="str">
        <f t="shared" ca="1" si="169"/>
        <v/>
      </c>
      <c r="AX701" s="1141" t="str">
        <f t="shared" si="170"/>
        <v>Hu Die Dao</v>
      </c>
      <c r="AY701" s="2549"/>
      <c r="AZ701" s="774" t="str">
        <f t="shared" si="171"/>
        <v/>
      </c>
      <c r="BA701" s="76" t="str">
        <f t="shared" si="172"/>
        <v/>
      </c>
      <c r="BB701" s="76" t="str">
        <f t="shared" si="173"/>
        <v>Jabalina</v>
      </c>
      <c r="BC701" s="1142">
        <f>IF(OR($L699=BC$652,$L699="",$D699=$BE$651),MAX(BC$654:BC700)+1,0)</f>
        <v>0</v>
      </c>
      <c r="BD701" s="1143">
        <f>IF(OR($L699=BD$652,$L699="",$D699=$BE$651),MAX(BD$654:BD700)+1,0)</f>
        <v>0</v>
      </c>
      <c r="BE701" s="1144">
        <f>IF(OR($L699=BE$652,$L699="",$D699=$BE$651),MAX(BE$654:BE700)+1,0)</f>
        <v>46</v>
      </c>
      <c r="BF701" s="2549"/>
      <c r="BG701" s="774" t="str">
        <f t="shared" si="174"/>
        <v/>
      </c>
      <c r="BH701" s="76" t="str">
        <f t="shared" si="175"/>
        <v/>
      </c>
      <c r="BI701" s="76" t="str">
        <f t="shared" si="176"/>
        <v>Jabalina</v>
      </c>
      <c r="BJ701" s="1142">
        <f>IF(OR($L699=BJ$652,$L699="",$D699=$BL$651),MAX(BJ$654:BJ700)+1,0)</f>
        <v>0</v>
      </c>
      <c r="BK701" s="1143">
        <f>IF(OR($L699=BK$652,$L699="",$D699=$BL$651),MAX(BK$654:BK700)+1,0)</f>
        <v>0</v>
      </c>
      <c r="BL701" s="1144">
        <f>IF(OR($L699=BL$652,$L699="",$D699=$BL$651),MAX(BL$654:BL700)+1,0)</f>
        <v>46</v>
      </c>
      <c r="BM701" s="2549"/>
      <c r="BN701" s="774" t="str">
        <f t="shared" si="177"/>
        <v/>
      </c>
      <c r="BO701" s="76" t="str">
        <f t="shared" si="178"/>
        <v/>
      </c>
      <c r="BP701" s="76" t="str">
        <f t="shared" si="179"/>
        <v>Jabalina</v>
      </c>
      <c r="BQ701" s="1142">
        <f>IF(OR($L699=BQ$652,$L699="",$D699=$BS$651),MAX(BQ$654:BQ700)+1,0)</f>
        <v>0</v>
      </c>
      <c r="BR701" s="1143">
        <f>IF(OR($L699=BR$652,$L699="",$D699=$BS$651),MAX(BR$654:BR700)+1,0)</f>
        <v>0</v>
      </c>
      <c r="BS701" s="1144">
        <f>IF(OR($L699=BS$652,$L699="",$D699=$BS$651),MAX(BS$654:BS700)+1,0)</f>
        <v>46</v>
      </c>
      <c r="BT701" s="2549"/>
      <c r="BU701" s="774" t="str">
        <f t="shared" si="180"/>
        <v/>
      </c>
      <c r="BV701" s="76" t="str">
        <f t="shared" si="181"/>
        <v/>
      </c>
      <c r="BW701" s="76" t="str">
        <f t="shared" si="182"/>
        <v>Jabalina</v>
      </c>
      <c r="BX701" s="1142">
        <f>IF(OR($L699=BX$652,$L699="",$D699=$BZ$651),MAX(BX$654:BX700)+1,0)</f>
        <v>0</v>
      </c>
      <c r="BY701" s="1143">
        <f>IF(OR($L699=BY$652,$L699="",$D699=$BZ$651),MAX(BY$654:BY700)+1,0)</f>
        <v>0</v>
      </c>
      <c r="BZ701" s="1144">
        <f>IF(OR($L699=BZ$652,$L699="",$D699=$BZ$651),MAX(BZ$654:BZ700)+1,0)</f>
        <v>46</v>
      </c>
      <c r="CA701" s="2549"/>
      <c r="CB701" s="774" t="str">
        <f t="shared" si="183"/>
        <v/>
      </c>
      <c r="CC701" s="76" t="str">
        <f t="shared" si="184"/>
        <v/>
      </c>
      <c r="CD701" s="76" t="str">
        <f t="shared" si="185"/>
        <v>Jabalina</v>
      </c>
      <c r="CE701" s="1142">
        <f>IF(OR($L699=CE$652,$L699="",$D699=$CG$651),MAX(CE$654:CE700)+1,0)</f>
        <v>0</v>
      </c>
      <c r="CF701" s="1143">
        <f>IF(OR($L699=CF$652,$L699="",$D699=$CG$651),MAX(CF$654:CF700)+1,0)</f>
        <v>0</v>
      </c>
      <c r="CG701" s="1144">
        <f>IF(OR($L699=CG$652,$L699="",$D699=$CG$651),MAX(CG$654:CG700)+1,0)</f>
        <v>46</v>
      </c>
      <c r="CI701" s="774" t="str">
        <f t="shared" si="186"/>
        <v/>
      </c>
      <c r="CJ701" s="76" t="str">
        <f t="shared" si="187"/>
        <v/>
      </c>
      <c r="CK701" s="76" t="str">
        <f t="shared" si="188"/>
        <v>Jabalina</v>
      </c>
      <c r="CL701" s="1142">
        <f>IF(OR($L699=CL$652,$L699="",$D699=$CN$651),MAX(CL$654:CL700)+1,0)</f>
        <v>0</v>
      </c>
      <c r="CM701" s="1143">
        <f>IF(OR($L699=CM$652,$L699="",$D699=$CN$651),MAX(CM$654:CM700)+1,0)</f>
        <v>0</v>
      </c>
      <c r="CN701" s="1144">
        <f>IF(OR($L699=CN$652,$L699="",$D699=$CN$651),MAX(CN$654:CN700)+1,0)</f>
        <v>46</v>
      </c>
    </row>
    <row r="702" spans="1:92" ht="12.75" customHeight="1">
      <c r="A702" s="219">
        <v>693</v>
      </c>
      <c r="B702" s="7145"/>
      <c r="C702" s="1034"/>
      <c r="D702" s="3876" t="s">
        <v>6589</v>
      </c>
      <c r="E702" s="3877">
        <v>25</v>
      </c>
      <c r="F702" s="3878">
        <v>20</v>
      </c>
      <c r="G702" s="3878">
        <v>4</v>
      </c>
      <c r="H702" s="3878">
        <v>4</v>
      </c>
      <c r="I702" s="3878" t="s">
        <v>1410</v>
      </c>
      <c r="J702" s="3878" t="s">
        <v>1357</v>
      </c>
      <c r="K702" s="3879" t="s">
        <v>6835</v>
      </c>
      <c r="L702" s="3878" t="str">
        <f t="shared" si="192"/>
        <v>Distinta</v>
      </c>
      <c r="M702" s="3880">
        <v>10</v>
      </c>
      <c r="N702" s="3880">
        <v>-2</v>
      </c>
      <c r="O702" s="3880">
        <v>15</v>
      </c>
      <c r="P702" s="3878"/>
      <c r="Q702" s="3878"/>
      <c r="R702" s="3878" t="s">
        <v>1315</v>
      </c>
      <c r="S702" s="3878" t="s">
        <v>1315</v>
      </c>
      <c r="T702" s="3878" t="s">
        <v>1315</v>
      </c>
      <c r="U702" s="3878"/>
      <c r="V702" s="3879" t="s">
        <v>12427</v>
      </c>
      <c r="W702" s="2433"/>
      <c r="X702" s="2434" t="str">
        <f t="shared" si="158"/>
        <v>Pequeña</v>
      </c>
      <c r="Y702" s="2229">
        <f t="shared" si="191"/>
        <v>0</v>
      </c>
      <c r="Z702" s="1150" t="str">
        <f t="shared" si="161"/>
        <v/>
      </c>
      <c r="AA702" s="1751" t="s">
        <v>1960</v>
      </c>
      <c r="AC702" s="929" t="s">
        <v>1996</v>
      </c>
      <c r="AD702" s="758">
        <f>IFERROR(IF(IF(AC702&lt;&gt;"",VLOOKUP(AC702,Tabla_ArmasyEscudos,9,0),"")="Conocida",MAX(AD$662:AD701)+1,0),0)</f>
        <v>0</v>
      </c>
      <c r="AE702" s="758">
        <f ca="1">IF(AC702="",0,IF(AD702=0,MAX(AE$654:AE701,AG$652)+1,AD702+IFERROR(VLOOKUP(VLOOKUP(AC702,$D$653:$AA$871,24,0),AC$654:AE$661,3,0)-VLOOKUP(VLOOKUP(AC702,$D$653:$AA$871,24,0),AC$654:AE$661,2,0)+1,0)))</f>
        <v>42</v>
      </c>
      <c r="AF702" s="758" t="str">
        <f t="shared" ca="1" si="162"/>
        <v>Kukri</v>
      </c>
      <c r="AG702" s="758" t="str">
        <f t="shared" ca="1" si="163"/>
        <v/>
      </c>
      <c r="AH702" s="2568" t="s">
        <v>2031</v>
      </c>
      <c r="AI702" s="758">
        <f>IFERROR(IF(IF(AH702&lt;&gt;"",VLOOKUP(AH702,Tabla_ArmasyEscudos,9,0),"")="Conocida",MAX(AI$660:AI701)+1,0),0)</f>
        <v>0</v>
      </c>
      <c r="AJ702" s="758">
        <f ca="1">IF(AH702="",0,IF(AI702=0,MAX(AJ$654:AJ701,AL$652)+1,AI702+IFERROR(VLOOKUP(VLOOKUP(AH702,$D$653:$AA$871,24,0),AH$654:AJ$659,3,0)-VLOOKUP(VLOOKUP(AH702,$D$653:$AA$871,24,0),AH$654:AJ$659,2,0)+1,0)))</f>
        <v>44</v>
      </c>
      <c r="AK702" s="758" t="str">
        <f t="shared" ca="1" si="164"/>
        <v>Tetsubo</v>
      </c>
      <c r="AL702" s="758" t="str">
        <f t="shared" ca="1" si="165"/>
        <v/>
      </c>
      <c r="AM702" s="2568"/>
      <c r="AN702" s="758">
        <f>IFERROR(IF(IF(AM702&lt;&gt;"",VLOOKUP(AM702,Tabla_ArmasyEscudos,9,0),"")="Conocida",MAX(AN$660:AN701)+1,0),0)</f>
        <v>0</v>
      </c>
      <c r="AO702" s="758">
        <f>IF(AM702="",0,IF(AN702=0,MAX(AO$654:AO701,AQ$652)+1,AN702+IFERROR(VLOOKUP(VLOOKUP(AM702,$D$653:$AA$871,24,0),AM$654:AO$659,3,0)-VLOOKUP(VLOOKUP(AM702,$D$653:$AA$871,24,0),AM$654:AO$659,2,0)+1,0)))</f>
        <v>0</v>
      </c>
      <c r="AP702" s="758" t="str">
        <f t="shared" ca="1" si="166"/>
        <v/>
      </c>
      <c r="AQ702" s="758" t="str">
        <f t="shared" ca="1" si="167"/>
        <v/>
      </c>
      <c r="AR702" s="2568"/>
      <c r="AS702" s="758">
        <f>IFERROR(IF(IF(AR702&lt;&gt;"",VLOOKUP(AR702,Tabla_ArmasyEscudos,9,0),"")="Conocida",MAX(AS$660:AS701)+1,0),0)</f>
        <v>0</v>
      </c>
      <c r="AT702" s="758">
        <f>IF(AR702="",0,IF(AS702=0,MAX(AT$654:AT701,AV$652)+1,AS702+IFERROR(VLOOKUP(VLOOKUP(AR702,$D$653:$AA$871,24,0),AR$654:AT$659,3,0)-VLOOKUP(VLOOKUP(AR702,$D$653:$AA$871,24,0),AR$654:AT$659,2,0)+1,0)))</f>
        <v>0</v>
      </c>
      <c r="AU702" s="758" t="str">
        <f t="shared" ca="1" si="168"/>
        <v/>
      </c>
      <c r="AV702" s="758" t="str">
        <f t="shared" ca="1" si="169"/>
        <v/>
      </c>
      <c r="AX702" s="1141" t="str">
        <f t="shared" si="170"/>
        <v>Jabalina</v>
      </c>
      <c r="AY702" s="2549"/>
      <c r="AZ702" s="774" t="str">
        <f t="shared" si="171"/>
        <v/>
      </c>
      <c r="BA702" s="76" t="str">
        <f t="shared" si="172"/>
        <v/>
      </c>
      <c r="BB702" s="76" t="str">
        <f t="shared" si="173"/>
        <v>Katzbalger</v>
      </c>
      <c r="BC702" s="1142">
        <f>IF(OR($L700=BC$652,$L700="",$D700=$BE$651),MAX(BC$654:BC701)+1,0)</f>
        <v>0</v>
      </c>
      <c r="BD702" s="1143">
        <f>IF(OR($L700=BD$652,$L700="",$D700=$BE$651),MAX(BD$654:BD701)+1,0)</f>
        <v>0</v>
      </c>
      <c r="BE702" s="1144">
        <f>IF(OR($L700=BE$652,$L700="",$D700=$BE$651),MAX(BE$654:BE701)+1,0)</f>
        <v>47</v>
      </c>
      <c r="BF702" s="2549"/>
      <c r="BG702" s="774" t="str">
        <f t="shared" si="174"/>
        <v/>
      </c>
      <c r="BH702" s="76" t="str">
        <f t="shared" si="175"/>
        <v/>
      </c>
      <c r="BI702" s="76" t="str">
        <f t="shared" si="176"/>
        <v>Katzbalger</v>
      </c>
      <c r="BJ702" s="1142">
        <f>IF(OR($L700=BJ$652,$L700="",$D700=$BL$651),MAX(BJ$654:BJ701)+1,0)</f>
        <v>0</v>
      </c>
      <c r="BK702" s="1143">
        <f>IF(OR($L700=BK$652,$L700="",$D700=$BL$651),MAX(BK$654:BK701)+1,0)</f>
        <v>0</v>
      </c>
      <c r="BL702" s="1144">
        <f>IF(OR($L700=BL$652,$L700="",$D700=$BL$651),MAX(BL$654:BL701)+1,0)</f>
        <v>47</v>
      </c>
      <c r="BM702" s="2549"/>
      <c r="BN702" s="774" t="str">
        <f t="shared" si="177"/>
        <v/>
      </c>
      <c r="BO702" s="76" t="str">
        <f t="shared" si="178"/>
        <v/>
      </c>
      <c r="BP702" s="76" t="str">
        <f t="shared" si="179"/>
        <v>Katzbalger</v>
      </c>
      <c r="BQ702" s="1142">
        <f>IF(OR($L700=BQ$652,$L700="",$D700=$BS$651),MAX(BQ$654:BQ701)+1,0)</f>
        <v>0</v>
      </c>
      <c r="BR702" s="1143">
        <f>IF(OR($L700=BR$652,$L700="",$D700=$BS$651),MAX(BR$654:BR701)+1,0)</f>
        <v>0</v>
      </c>
      <c r="BS702" s="1144">
        <f>IF(OR($L700=BS$652,$L700="",$D700=$BS$651),MAX(BS$654:BS701)+1,0)</f>
        <v>47</v>
      </c>
      <c r="BT702" s="2549"/>
      <c r="BU702" s="774" t="str">
        <f t="shared" si="180"/>
        <v/>
      </c>
      <c r="BV702" s="76" t="str">
        <f t="shared" si="181"/>
        <v/>
      </c>
      <c r="BW702" s="76" t="str">
        <f t="shared" si="182"/>
        <v>Katzbalger</v>
      </c>
      <c r="BX702" s="1142">
        <f>IF(OR($L700=BX$652,$L700="",$D700=$BZ$651),MAX(BX$654:BX701)+1,0)</f>
        <v>0</v>
      </c>
      <c r="BY702" s="1143">
        <f>IF(OR($L700=BY$652,$L700="",$D700=$BZ$651),MAX(BY$654:BY701)+1,0)</f>
        <v>0</v>
      </c>
      <c r="BZ702" s="1144">
        <f>IF(OR($L700=BZ$652,$L700="",$D700=$BZ$651),MAX(BZ$654:BZ701)+1,0)</f>
        <v>47</v>
      </c>
      <c r="CA702" s="2549"/>
      <c r="CB702" s="774" t="str">
        <f t="shared" si="183"/>
        <v/>
      </c>
      <c r="CC702" s="76" t="str">
        <f t="shared" si="184"/>
        <v/>
      </c>
      <c r="CD702" s="76" t="str">
        <f t="shared" si="185"/>
        <v>Katzbalger</v>
      </c>
      <c r="CE702" s="1142">
        <f>IF(OR($L700=CE$652,$L700="",$D700=$CG$651),MAX(CE$654:CE701)+1,0)</f>
        <v>0</v>
      </c>
      <c r="CF702" s="1143">
        <f>IF(OR($L700=CF$652,$L700="",$D700=$CG$651),MAX(CF$654:CF701)+1,0)</f>
        <v>0</v>
      </c>
      <c r="CG702" s="1144">
        <f>IF(OR($L700=CG$652,$L700="",$D700=$CG$651),MAX(CG$654:CG701)+1,0)</f>
        <v>47</v>
      </c>
      <c r="CI702" s="774" t="str">
        <f t="shared" si="186"/>
        <v/>
      </c>
      <c r="CJ702" s="76" t="str">
        <f t="shared" si="187"/>
        <v/>
      </c>
      <c r="CK702" s="76" t="str">
        <f t="shared" si="188"/>
        <v>Katzbalger</v>
      </c>
      <c r="CL702" s="1142">
        <f>IF(OR($L700=CL$652,$L700="",$D700=$CN$651),MAX(CL$654:CL701)+1,0)</f>
        <v>0</v>
      </c>
      <c r="CM702" s="1143">
        <f>IF(OR($L700=CM$652,$L700="",$D700=$CN$651),MAX(CM$654:CM701)+1,0)</f>
        <v>0</v>
      </c>
      <c r="CN702" s="1144">
        <f>IF(OR($L700=CN$652,$L700="",$D700=$CN$651),MAX(CN$654:CN701)+1,0)</f>
        <v>47</v>
      </c>
    </row>
    <row r="703" spans="1:92" ht="12.75" customHeight="1">
      <c r="A703" s="219">
        <v>694</v>
      </c>
      <c r="B703" s="7145"/>
      <c r="C703" s="1034"/>
      <c r="D703" s="2237" t="s">
        <v>6590</v>
      </c>
      <c r="E703" s="2239">
        <v>60</v>
      </c>
      <c r="F703" s="2236">
        <v>-30</v>
      </c>
      <c r="G703" s="2236">
        <v>8</v>
      </c>
      <c r="H703" s="2236">
        <v>8</v>
      </c>
      <c r="I703" s="2236" t="s">
        <v>1411</v>
      </c>
      <c r="J703" s="2236" t="s">
        <v>1315</v>
      </c>
      <c r="K703" s="2433" t="s">
        <v>6833</v>
      </c>
      <c r="L703" s="2236" t="str">
        <f t="shared" si="192"/>
        <v>Distinta</v>
      </c>
      <c r="M703" s="2240">
        <v>9</v>
      </c>
      <c r="N703" s="2240">
        <v>2</v>
      </c>
      <c r="O703" s="2240">
        <v>20</v>
      </c>
      <c r="P703" s="2236"/>
      <c r="Q703" s="2236"/>
      <c r="R703" s="2236" t="s">
        <v>1315</v>
      </c>
      <c r="S703" s="2236" t="s">
        <v>1315</v>
      </c>
      <c r="T703" s="2236" t="s">
        <v>1315</v>
      </c>
      <c r="U703" s="2236"/>
      <c r="V703" s="2433" t="s">
        <v>2000</v>
      </c>
      <c r="W703" s="2433"/>
      <c r="X703" s="2434" t="str">
        <f t="shared" si="158"/>
        <v>Mediana</v>
      </c>
      <c r="Y703" s="2229">
        <f t="shared" si="191"/>
        <v>0</v>
      </c>
      <c r="Z703" s="1150" t="str">
        <f t="shared" si="161"/>
        <v/>
      </c>
      <c r="AA703" s="1751" t="s">
        <v>1960</v>
      </c>
      <c r="AC703" s="929" t="s">
        <v>6584</v>
      </c>
      <c r="AD703" s="758">
        <f>IFERROR(IF(IF(AC703&lt;&gt;"",VLOOKUP(AC703,Tabla_ArmasyEscudos,9,0),"")="Conocida",MAX(AD$662:AD702)+1,0),0)</f>
        <v>0</v>
      </c>
      <c r="AE703" s="758">
        <f ca="1">IF(AC703="",0,IF(AD703=0,MAX(AE$654:AE702,AG$652)+1,AD703+IFERROR(VLOOKUP(VLOOKUP(AC703,$D$653:$AA$871,24,0),AC$654:AE$661,3,0)-VLOOKUP(VLOOKUP(AC703,$D$653:$AA$871,24,0),AC$654:AE$661,2,0)+1,0)))</f>
        <v>43</v>
      </c>
      <c r="AF703" s="758" t="str">
        <f t="shared" ca="1" si="162"/>
        <v>Lanza</v>
      </c>
      <c r="AG703" s="758" t="str">
        <f t="shared" ca="1" si="163"/>
        <v/>
      </c>
      <c r="AH703" s="2568" t="s">
        <v>2033</v>
      </c>
      <c r="AI703" s="758">
        <f>IFERROR(IF(IF(AH703&lt;&gt;"",VLOOKUP(AH703,Tabla_ArmasyEscudos,9,0),"")="Conocida",MAX(AI$660:AI702)+1,0),0)</f>
        <v>0</v>
      </c>
      <c r="AJ703" s="758">
        <f ca="1">IF(AH703="",0,IF(AI703=0,MAX(AJ$654:AJ702,AL$652)+1,AI703+IFERROR(VLOOKUP(VLOOKUP(AH703,$D$653:$AA$871,24,0),AH$654:AJ$659,3,0)-VLOOKUP(VLOOKUP(AH703,$D$653:$AA$871,24,0),AH$654:AJ$659,2,0)+1,0)))</f>
        <v>45</v>
      </c>
      <c r="AK703" s="758" t="str">
        <f t="shared" ca="1" si="164"/>
        <v>&gt; ARS MAGNUS</v>
      </c>
      <c r="AL703" s="758" t="str">
        <f t="shared" ca="1" si="165"/>
        <v/>
      </c>
      <c r="AM703" s="2568"/>
      <c r="AN703" s="758">
        <f>IFERROR(IF(IF(AM703&lt;&gt;"",VLOOKUP(AM703,Tabla_ArmasyEscudos,9,0),"")="Conocida",MAX(AN$660:AN702)+1,0),0)</f>
        <v>0</v>
      </c>
      <c r="AO703" s="758">
        <f>IF(AM703="",0,IF(AN703=0,MAX(AO$654:AO702,AQ$652)+1,AN703+IFERROR(VLOOKUP(VLOOKUP(AM703,$D$653:$AA$871,24,0),AM$654:AO$659,3,0)-VLOOKUP(VLOOKUP(AM703,$D$653:$AA$871,24,0),AM$654:AO$659,2,0)+1,0)))</f>
        <v>0</v>
      </c>
      <c r="AP703" s="758" t="str">
        <f t="shared" ca="1" si="166"/>
        <v/>
      </c>
      <c r="AQ703" s="758" t="str">
        <f t="shared" ca="1" si="167"/>
        <v/>
      </c>
      <c r="AR703" s="2568"/>
      <c r="AS703" s="758">
        <f>IFERROR(IF(IF(AR703&lt;&gt;"",VLOOKUP(AR703,Tabla_ArmasyEscudos,9,0),"")="Conocida",MAX(AS$660:AS702)+1,0),0)</f>
        <v>0</v>
      </c>
      <c r="AT703" s="758">
        <f>IF(AR703="",0,IF(AS703=0,MAX(AT$654:AT702,AV$652)+1,AS703+IFERROR(VLOOKUP(VLOOKUP(AR703,$D$653:$AA$871,24,0),AR$654:AT$659,3,0)-VLOOKUP(VLOOKUP(AR703,$D$653:$AA$871,24,0),AR$654:AT$659,2,0)+1,0)))</f>
        <v>0</v>
      </c>
      <c r="AU703" s="758" t="str">
        <f t="shared" ca="1" si="168"/>
        <v/>
      </c>
      <c r="AV703" s="758" t="str">
        <f t="shared" ca="1" si="169"/>
        <v/>
      </c>
      <c r="AX703" s="1141" t="str">
        <f t="shared" si="170"/>
        <v>Katzbalger</v>
      </c>
      <c r="AY703" s="2549"/>
      <c r="AZ703" s="774" t="str">
        <f t="shared" si="171"/>
        <v/>
      </c>
      <c r="BA703" s="76" t="str">
        <f t="shared" si="172"/>
        <v/>
      </c>
      <c r="BB703" s="76" t="str">
        <f t="shared" si="173"/>
        <v>Kerambit</v>
      </c>
      <c r="BC703" s="1142">
        <f>IF(OR($L701=BC$652,$L701="",$D701=$BE$651),MAX(BC$654:BC702)+1,0)</f>
        <v>0</v>
      </c>
      <c r="BD703" s="1143">
        <f>IF(OR($L701=BD$652,$L701="",$D701=$BE$651),MAX(BD$654:BD702)+1,0)</f>
        <v>0</v>
      </c>
      <c r="BE703" s="1144">
        <f>IF(OR($L701=BE$652,$L701="",$D701=$BE$651),MAX(BE$654:BE702)+1,0)</f>
        <v>48</v>
      </c>
      <c r="BF703" s="2549"/>
      <c r="BG703" s="774" t="str">
        <f t="shared" si="174"/>
        <v/>
      </c>
      <c r="BH703" s="76" t="str">
        <f t="shared" si="175"/>
        <v/>
      </c>
      <c r="BI703" s="76" t="str">
        <f t="shared" si="176"/>
        <v>Kerambit</v>
      </c>
      <c r="BJ703" s="1142">
        <f>IF(OR($L701=BJ$652,$L701="",$D701=$BL$651),MAX(BJ$654:BJ702)+1,0)</f>
        <v>0</v>
      </c>
      <c r="BK703" s="1143">
        <f>IF(OR($L701=BK$652,$L701="",$D701=$BL$651),MAX(BK$654:BK702)+1,0)</f>
        <v>0</v>
      </c>
      <c r="BL703" s="1144">
        <f>IF(OR($L701=BL$652,$L701="",$D701=$BL$651),MAX(BL$654:BL702)+1,0)</f>
        <v>48</v>
      </c>
      <c r="BM703" s="2549"/>
      <c r="BN703" s="774" t="str">
        <f t="shared" si="177"/>
        <v/>
      </c>
      <c r="BO703" s="76" t="str">
        <f t="shared" si="178"/>
        <v/>
      </c>
      <c r="BP703" s="76" t="str">
        <f t="shared" si="179"/>
        <v>Kerambit</v>
      </c>
      <c r="BQ703" s="1142">
        <f>IF(OR($L701=BQ$652,$L701="",$D701=$BS$651),MAX(BQ$654:BQ702)+1,0)</f>
        <v>0</v>
      </c>
      <c r="BR703" s="1143">
        <f>IF(OR($L701=BR$652,$L701="",$D701=$BS$651),MAX(BR$654:BR702)+1,0)</f>
        <v>0</v>
      </c>
      <c r="BS703" s="1144">
        <f>IF(OR($L701=BS$652,$L701="",$D701=$BS$651),MAX(BS$654:BS702)+1,0)</f>
        <v>48</v>
      </c>
      <c r="BT703" s="2549"/>
      <c r="BU703" s="774" t="str">
        <f t="shared" si="180"/>
        <v/>
      </c>
      <c r="BV703" s="76" t="str">
        <f t="shared" si="181"/>
        <v/>
      </c>
      <c r="BW703" s="76" t="str">
        <f t="shared" si="182"/>
        <v>Kerambit</v>
      </c>
      <c r="BX703" s="1142">
        <f>IF(OR($L701=BX$652,$L701="",$D701=$BZ$651),MAX(BX$654:BX702)+1,0)</f>
        <v>0</v>
      </c>
      <c r="BY703" s="1143">
        <f>IF(OR($L701=BY$652,$L701="",$D701=$BZ$651),MAX(BY$654:BY702)+1,0)</f>
        <v>0</v>
      </c>
      <c r="BZ703" s="1144">
        <f>IF(OR($L701=BZ$652,$L701="",$D701=$BZ$651),MAX(BZ$654:BZ702)+1,0)</f>
        <v>48</v>
      </c>
      <c r="CA703" s="2549"/>
      <c r="CB703" s="774" t="str">
        <f t="shared" si="183"/>
        <v/>
      </c>
      <c r="CC703" s="76" t="str">
        <f t="shared" si="184"/>
        <v/>
      </c>
      <c r="CD703" s="76" t="str">
        <f t="shared" si="185"/>
        <v>Kerambit</v>
      </c>
      <c r="CE703" s="1142">
        <f>IF(OR($L701=CE$652,$L701="",$D701=$CG$651),MAX(CE$654:CE702)+1,0)</f>
        <v>0</v>
      </c>
      <c r="CF703" s="1143">
        <f>IF(OR($L701=CF$652,$L701="",$D701=$CG$651),MAX(CF$654:CF702)+1,0)</f>
        <v>0</v>
      </c>
      <c r="CG703" s="1144">
        <f>IF(OR($L701=CG$652,$L701="",$D701=$CG$651),MAX(CG$654:CG702)+1,0)</f>
        <v>48</v>
      </c>
      <c r="CI703" s="774" t="str">
        <f t="shared" si="186"/>
        <v/>
      </c>
      <c r="CJ703" s="76" t="str">
        <f t="shared" si="187"/>
        <v/>
      </c>
      <c r="CK703" s="76" t="str">
        <f t="shared" si="188"/>
        <v>Kerambit</v>
      </c>
      <c r="CL703" s="1142">
        <f>IF(OR($L701=CL$652,$L701="",$D701=$CN$651),MAX(CL$654:CL702)+1,0)</f>
        <v>0</v>
      </c>
      <c r="CM703" s="1143">
        <f>IF(OR($L701=CM$652,$L701="",$D701=$CN$651),MAX(CM$654:CM702)+1,0)</f>
        <v>0</v>
      </c>
      <c r="CN703" s="1144">
        <f>IF(OR($L701=CN$652,$L701="",$D701=$CN$651),MAX(CN$654:CN702)+1,0)</f>
        <v>48</v>
      </c>
    </row>
    <row r="704" spans="1:92" ht="12.75" customHeight="1">
      <c r="A704" s="219">
        <v>695</v>
      </c>
      <c r="B704" s="7145"/>
      <c r="C704" s="1034"/>
      <c r="D704" s="2237" t="s">
        <v>6591</v>
      </c>
      <c r="E704" s="2239">
        <v>35</v>
      </c>
      <c r="F704" s="2236">
        <v>10</v>
      </c>
      <c r="G704" s="2236">
        <v>6</v>
      </c>
      <c r="H704" s="2236">
        <v>6</v>
      </c>
      <c r="I704" s="2236" t="s">
        <v>1410</v>
      </c>
      <c r="J704" s="2236" t="s">
        <v>1315</v>
      </c>
      <c r="K704" s="2433" t="s">
        <v>6835</v>
      </c>
      <c r="L704" s="2236" t="str">
        <f t="shared" si="192"/>
        <v>Distinta</v>
      </c>
      <c r="M704" s="2240">
        <v>12</v>
      </c>
      <c r="N704" s="2240">
        <v>3</v>
      </c>
      <c r="O704" s="2240">
        <v>20</v>
      </c>
      <c r="P704" s="2236"/>
      <c r="Q704" s="2236"/>
      <c r="R704" s="2236" t="s">
        <v>1315</v>
      </c>
      <c r="S704" s="2236" t="s">
        <v>1315</v>
      </c>
      <c r="T704" s="2236" t="s">
        <v>1315</v>
      </c>
      <c r="U704" s="2236"/>
      <c r="V704" s="2433" t="s">
        <v>1315</v>
      </c>
      <c r="W704" s="2433"/>
      <c r="X704" s="2434" t="str">
        <f t="shared" si="158"/>
        <v>Pequeña</v>
      </c>
      <c r="Y704" s="2229">
        <f t="shared" si="191"/>
        <v>0</v>
      </c>
      <c r="Z704" s="1150" t="str">
        <f t="shared" si="161"/>
        <v/>
      </c>
      <c r="AA704" s="1751" t="s">
        <v>1960</v>
      </c>
      <c r="AC704" s="929" t="s">
        <v>1997</v>
      </c>
      <c r="AD704" s="758">
        <f>IFERROR(IF(IF(AC704&lt;&gt;"",VLOOKUP(AC704,Tabla_ArmasyEscudos,9,0),"")="Conocida",MAX(AD$662:AD703)+1,0),0)</f>
        <v>0</v>
      </c>
      <c r="AE704" s="758">
        <f ca="1">IF(AC704="",0,IF(AD704=0,MAX(AE$654:AE703,AG$652)+1,AD704+IFERROR(VLOOKUP(VLOOKUP(AC704,$D$653:$AA$871,24,0),AC$654:AE$661,3,0)-VLOOKUP(VLOOKUP(AC704,$D$653:$AA$871,24,0),AC$654:AE$661,2,0)+1,0)))</f>
        <v>44</v>
      </c>
      <c r="AF704" s="758" t="str">
        <f t="shared" ca="1" si="162"/>
        <v>Lanza de caballería</v>
      </c>
      <c r="AG704" s="758" t="str">
        <f t="shared" ca="1" si="163"/>
        <v/>
      </c>
      <c r="AH704" s="2568" t="s">
        <v>6585</v>
      </c>
      <c r="AI704" s="758">
        <f>IFERROR(IF(IF(AH704&lt;&gt;"",VLOOKUP(AH704,Tabla_ArmasyEscudos,9,0),"")="Conocida",MAX(AI$660:AI703)+1,0),0)</f>
        <v>0</v>
      </c>
      <c r="AJ704" s="758">
        <f ca="1">IF(AH704="",0,IF(AI704=0,MAX(AJ$654:AJ703,AL$652)+1,AI704+IFERROR(VLOOKUP(VLOOKUP(AH704,$D$653:$AA$871,24,0),AH$654:AJ$659,3,0)-VLOOKUP(VLOOKUP(AH704,$D$653:$AA$871,24,0),AH$654:AJ$659,2,0)+1,0)))</f>
        <v>46</v>
      </c>
      <c r="AK704" s="758" t="str">
        <f t="shared" ca="1" si="164"/>
        <v>Mundus</v>
      </c>
      <c r="AL704" s="758" t="str">
        <f t="shared" ca="1" si="165"/>
        <v/>
      </c>
      <c r="AM704" s="2568"/>
      <c r="AN704" s="758">
        <f>IFERROR(IF(IF(AM704&lt;&gt;"",VLOOKUP(AM704,Tabla_ArmasyEscudos,9,0),"")="Conocida",MAX(AN$660:AN703)+1,0),0)</f>
        <v>0</v>
      </c>
      <c r="AO704" s="758">
        <f>IF(AM704="",0,IF(AN704=0,MAX(AO$654:AO703,AQ$652)+1,AN704+IFERROR(VLOOKUP(VLOOKUP(AM704,$D$653:$AA$871,24,0),AM$654:AO$659,3,0)-VLOOKUP(VLOOKUP(AM704,$D$653:$AA$871,24,0),AM$654:AO$659,2,0)+1,0)))</f>
        <v>0</v>
      </c>
      <c r="AP704" s="758" t="str">
        <f t="shared" ca="1" si="166"/>
        <v/>
      </c>
      <c r="AQ704" s="758" t="str">
        <f t="shared" ca="1" si="167"/>
        <v/>
      </c>
      <c r="AR704" s="2568"/>
      <c r="AS704" s="758">
        <f>IFERROR(IF(IF(AR704&lt;&gt;"",VLOOKUP(AR704,Tabla_ArmasyEscudos,9,0),"")="Conocida",MAX(AS$660:AS703)+1,0),0)</f>
        <v>0</v>
      </c>
      <c r="AT704" s="758">
        <f>IF(AR704="",0,IF(AS704=0,MAX(AT$654:AT703,AV$652)+1,AS704+IFERROR(VLOOKUP(VLOOKUP(AR704,$D$653:$AA$871,24,0),AR$654:AT$659,3,0)-VLOOKUP(VLOOKUP(AR704,$D$653:$AA$871,24,0),AR$654:AT$659,2,0)+1,0)))</f>
        <v>0</v>
      </c>
      <c r="AU704" s="758" t="str">
        <f t="shared" ca="1" si="168"/>
        <v/>
      </c>
      <c r="AV704" s="758" t="str">
        <f t="shared" ca="1" si="169"/>
        <v/>
      </c>
      <c r="AX704" s="1141" t="str">
        <f t="shared" si="170"/>
        <v>Kerambit</v>
      </c>
      <c r="AY704" s="2549"/>
      <c r="AZ704" s="774" t="str">
        <f t="shared" si="171"/>
        <v/>
      </c>
      <c r="BA704" s="76" t="str">
        <f t="shared" si="172"/>
        <v/>
      </c>
      <c r="BB704" s="76" t="str">
        <f t="shared" si="173"/>
        <v>Koncerz</v>
      </c>
      <c r="BC704" s="1142">
        <f>IF(OR($L702=BC$652,$L702="",$D702=$BE$651),MAX(BC$654:BC703)+1,0)</f>
        <v>0</v>
      </c>
      <c r="BD704" s="1143">
        <f>IF(OR($L702=BD$652,$L702="",$D702=$BE$651),MAX(BD$654:BD703)+1,0)</f>
        <v>0</v>
      </c>
      <c r="BE704" s="1144">
        <f>IF(OR($L702=BE$652,$L702="",$D702=$BE$651),MAX(BE$654:BE703)+1,0)</f>
        <v>49</v>
      </c>
      <c r="BF704" s="2549"/>
      <c r="BG704" s="774" t="str">
        <f t="shared" si="174"/>
        <v/>
      </c>
      <c r="BH704" s="76" t="str">
        <f t="shared" si="175"/>
        <v/>
      </c>
      <c r="BI704" s="76" t="str">
        <f t="shared" si="176"/>
        <v>Koncerz</v>
      </c>
      <c r="BJ704" s="1142">
        <f>IF(OR($L702=BJ$652,$L702="",$D702=$BL$651),MAX(BJ$654:BJ703)+1,0)</f>
        <v>0</v>
      </c>
      <c r="BK704" s="1143">
        <f>IF(OR($L702=BK$652,$L702="",$D702=$BL$651),MAX(BK$654:BK703)+1,0)</f>
        <v>0</v>
      </c>
      <c r="BL704" s="1144">
        <f>IF(OR($L702=BL$652,$L702="",$D702=$BL$651),MAX(BL$654:BL703)+1,0)</f>
        <v>49</v>
      </c>
      <c r="BM704" s="2549"/>
      <c r="BN704" s="774" t="str">
        <f t="shared" si="177"/>
        <v/>
      </c>
      <c r="BO704" s="76" t="str">
        <f t="shared" si="178"/>
        <v/>
      </c>
      <c r="BP704" s="76" t="str">
        <f t="shared" si="179"/>
        <v>Koncerz</v>
      </c>
      <c r="BQ704" s="1142">
        <f>IF(OR($L702=BQ$652,$L702="",$D702=$BS$651),MAX(BQ$654:BQ703)+1,0)</f>
        <v>0</v>
      </c>
      <c r="BR704" s="1143">
        <f>IF(OR($L702=BR$652,$L702="",$D702=$BS$651),MAX(BR$654:BR703)+1,0)</f>
        <v>0</v>
      </c>
      <c r="BS704" s="1144">
        <f>IF(OR($L702=BS$652,$L702="",$D702=$BS$651),MAX(BS$654:BS703)+1,0)</f>
        <v>49</v>
      </c>
      <c r="BT704" s="2549"/>
      <c r="BU704" s="774" t="str">
        <f t="shared" si="180"/>
        <v/>
      </c>
      <c r="BV704" s="76" t="str">
        <f t="shared" si="181"/>
        <v/>
      </c>
      <c r="BW704" s="76" t="str">
        <f t="shared" si="182"/>
        <v>Koncerz</v>
      </c>
      <c r="BX704" s="1142">
        <f>IF(OR($L702=BX$652,$L702="",$D702=$BZ$651),MAX(BX$654:BX703)+1,0)</f>
        <v>0</v>
      </c>
      <c r="BY704" s="1143">
        <f>IF(OR($L702=BY$652,$L702="",$D702=$BZ$651),MAX(BY$654:BY703)+1,0)</f>
        <v>0</v>
      </c>
      <c r="BZ704" s="1144">
        <f>IF(OR($L702=BZ$652,$L702="",$D702=$BZ$651),MAX(BZ$654:BZ703)+1,0)</f>
        <v>49</v>
      </c>
      <c r="CA704" s="2549"/>
      <c r="CB704" s="774" t="str">
        <f t="shared" si="183"/>
        <v/>
      </c>
      <c r="CC704" s="76" t="str">
        <f t="shared" si="184"/>
        <v/>
      </c>
      <c r="CD704" s="76" t="str">
        <f t="shared" si="185"/>
        <v>Koncerz</v>
      </c>
      <c r="CE704" s="1142">
        <f>IF(OR($L702=CE$652,$L702="",$D702=$CG$651),MAX(CE$654:CE703)+1,0)</f>
        <v>0</v>
      </c>
      <c r="CF704" s="1143">
        <f>IF(OR($L702=CF$652,$L702="",$D702=$CG$651),MAX(CF$654:CF703)+1,0)</f>
        <v>0</v>
      </c>
      <c r="CG704" s="1144">
        <f>IF(OR($L702=CG$652,$L702="",$D702=$CG$651),MAX(CG$654:CG703)+1,0)</f>
        <v>49</v>
      </c>
      <c r="CI704" s="774" t="str">
        <f t="shared" si="186"/>
        <v/>
      </c>
      <c r="CJ704" s="76" t="str">
        <f t="shared" si="187"/>
        <v/>
      </c>
      <c r="CK704" s="76" t="str">
        <f t="shared" si="188"/>
        <v>Koncerz</v>
      </c>
      <c r="CL704" s="1142">
        <f>IF(OR($L702=CL$652,$L702="",$D702=$CN$651),MAX(CL$654:CL703)+1,0)</f>
        <v>0</v>
      </c>
      <c r="CM704" s="1143">
        <f>IF(OR($L702=CM$652,$L702="",$D702=$CN$651),MAX(CM$654:CM703)+1,0)</f>
        <v>0</v>
      </c>
      <c r="CN704" s="1144">
        <f>IF(OR($L702=CN$652,$L702="",$D702=$CN$651),MAX(CN$654:CN703)+1,0)</f>
        <v>49</v>
      </c>
    </row>
    <row r="705" spans="1:92" ht="12.75" customHeight="1">
      <c r="A705" s="219">
        <v>696</v>
      </c>
      <c r="B705" s="7145"/>
      <c r="C705" s="1034"/>
      <c r="D705" s="3876" t="s">
        <v>1998</v>
      </c>
      <c r="E705" s="3877">
        <v>40</v>
      </c>
      <c r="F705" s="3878">
        <v>5</v>
      </c>
      <c r="G705" s="3878">
        <v>6</v>
      </c>
      <c r="H705" s="3878">
        <v>4</v>
      </c>
      <c r="I705" s="3878" t="s">
        <v>1411</v>
      </c>
      <c r="J705" s="3878" t="s">
        <v>1315</v>
      </c>
      <c r="K705" s="3879" t="s">
        <v>6830</v>
      </c>
      <c r="L705" s="3878" t="str">
        <f t="shared" si="192"/>
        <v>Distinta</v>
      </c>
      <c r="M705" s="3880">
        <v>13</v>
      </c>
      <c r="N705" s="3880">
        <v>2</v>
      </c>
      <c r="O705" s="3880">
        <v>25</v>
      </c>
      <c r="P705" s="3878"/>
      <c r="Q705" s="3878"/>
      <c r="R705" s="3880">
        <v>80</v>
      </c>
      <c r="S705" s="3878" t="s">
        <v>1315</v>
      </c>
      <c r="T705" s="3880">
        <v>30</v>
      </c>
      <c r="U705" s="3878"/>
      <c r="V705" s="3879" t="s">
        <v>8128</v>
      </c>
      <c r="W705" s="2433"/>
      <c r="X705" s="2434" t="str">
        <f t="shared" si="158"/>
        <v>Grande</v>
      </c>
      <c r="Y705" s="2229">
        <f t="shared" si="191"/>
        <v>0</v>
      </c>
      <c r="Z705" s="1150" t="str">
        <f t="shared" si="161"/>
        <v/>
      </c>
      <c r="AA705" s="1751" t="s">
        <v>1960</v>
      </c>
      <c r="AC705" s="929" t="s">
        <v>6587</v>
      </c>
      <c r="AD705" s="758">
        <f>IFERROR(IF(IF(AC705&lt;&gt;"",VLOOKUP(AC705,Tabla_ArmasyEscudos,9,0),"")="Conocida",MAX(AD$662:AD704)+1,0),0)</f>
        <v>0</v>
      </c>
      <c r="AE705" s="758">
        <f ca="1">IF(AC705="",0,IF(AD705=0,MAX(AE$654:AE704,AG$652)+1,AD705+IFERROR(VLOOKUP(VLOOKUP(AC705,$D$653:$AA$871,24,0),AC$654:AE$661,3,0)-VLOOKUP(VLOOKUP(AC705,$D$653:$AA$871,24,0),AC$654:AE$661,2,0)+1,0)))</f>
        <v>45</v>
      </c>
      <c r="AF705" s="758" t="str">
        <f t="shared" ca="1" si="162"/>
        <v>Látigo</v>
      </c>
      <c r="AG705" s="758" t="str">
        <f t="shared" ca="1" si="163"/>
        <v/>
      </c>
      <c r="AH705" s="2568" t="s">
        <v>6586</v>
      </c>
      <c r="AI705" s="758">
        <f>IFERROR(IF(IF(AH705&lt;&gt;"",VLOOKUP(AH705,Tabla_ArmasyEscudos,9,0),"")="Conocida",MAX(AI$660:AI704)+1,0),0)</f>
        <v>0</v>
      </c>
      <c r="AJ705" s="758">
        <f ca="1">IF(AH705="",0,IF(AI705=0,MAX(AJ$654:AJ704,AL$652)+1,AI705+IFERROR(VLOOKUP(VLOOKUP(AH705,$D$653:$AA$871,24,0),AH$654:AJ$659,3,0)-VLOOKUP(VLOOKUP(AH705,$D$653:$AA$871,24,0),AH$654:AJ$659,2,0)+1,0)))</f>
        <v>47</v>
      </c>
      <c r="AK705" s="758" t="str">
        <f t="shared" ca="1" si="164"/>
        <v>Aries</v>
      </c>
      <c r="AL705" s="758" t="str">
        <f t="shared" ca="1" si="165"/>
        <v/>
      </c>
      <c r="AM705" s="2568"/>
      <c r="AN705" s="758">
        <f>IFERROR(IF(IF(AM705&lt;&gt;"",VLOOKUP(AM705,Tabla_ArmasyEscudos,9,0),"")="Conocida",MAX(AN$660:AN704)+1,0),0)</f>
        <v>0</v>
      </c>
      <c r="AO705" s="758">
        <f>IF(AM705="",0,IF(AN705=0,MAX(AO$654:AO704,AQ$652)+1,AN705+IFERROR(VLOOKUP(VLOOKUP(AM705,$D$653:$AA$871,24,0),AM$654:AO$659,3,0)-VLOOKUP(VLOOKUP(AM705,$D$653:$AA$871,24,0),AM$654:AO$659,2,0)+1,0)))</f>
        <v>0</v>
      </c>
      <c r="AP705" s="758" t="str">
        <f t="shared" ca="1" si="166"/>
        <v/>
      </c>
      <c r="AQ705" s="758" t="str">
        <f t="shared" ca="1" si="167"/>
        <v/>
      </c>
      <c r="AR705" s="2568"/>
      <c r="AS705" s="758">
        <f>IFERROR(IF(IF(AR705&lt;&gt;"",VLOOKUP(AR705,Tabla_ArmasyEscudos,9,0),"")="Conocida",MAX(AS$660:AS704)+1,0),0)</f>
        <v>0</v>
      </c>
      <c r="AT705" s="758">
        <f>IF(AR705="",0,IF(AS705=0,MAX(AT$654:AT704,AV$652)+1,AS705+IFERROR(VLOOKUP(VLOOKUP(AR705,$D$653:$AA$871,24,0),AR$654:AT$659,3,0)-VLOOKUP(VLOOKUP(AR705,$D$653:$AA$871,24,0),AR$654:AT$659,2,0)+1,0)))</f>
        <v>0</v>
      </c>
      <c r="AU705" s="758" t="str">
        <f t="shared" ca="1" si="168"/>
        <v/>
      </c>
      <c r="AV705" s="758" t="str">
        <f t="shared" ca="1" si="169"/>
        <v/>
      </c>
      <c r="AX705" s="1141" t="str">
        <f t="shared" si="170"/>
        <v>Koncerz</v>
      </c>
      <c r="AY705" s="2549"/>
      <c r="AZ705" s="774" t="str">
        <f t="shared" si="171"/>
        <v/>
      </c>
      <c r="BA705" s="76" t="str">
        <f t="shared" si="172"/>
        <v/>
      </c>
      <c r="BB705" s="76" t="str">
        <f t="shared" si="173"/>
        <v>Kukri</v>
      </c>
      <c r="BC705" s="1142">
        <f>IF(OR($L703=BC$652,$L703="",$D703=$BE$651),MAX(BC$654:BC704)+1,0)</f>
        <v>0</v>
      </c>
      <c r="BD705" s="1143">
        <f>IF(OR($L703=BD$652,$L703="",$D703=$BE$651),MAX(BD$654:BD704)+1,0)</f>
        <v>0</v>
      </c>
      <c r="BE705" s="1144">
        <f>IF(OR($L703=BE$652,$L703="",$D703=$BE$651),MAX(BE$654:BE704)+1,0)</f>
        <v>50</v>
      </c>
      <c r="BF705" s="2549"/>
      <c r="BG705" s="774" t="str">
        <f t="shared" si="174"/>
        <v/>
      </c>
      <c r="BH705" s="76" t="str">
        <f t="shared" si="175"/>
        <v/>
      </c>
      <c r="BI705" s="76" t="str">
        <f t="shared" si="176"/>
        <v>Kukri</v>
      </c>
      <c r="BJ705" s="1142">
        <f>IF(OR($L703=BJ$652,$L703="",$D703=$BL$651),MAX(BJ$654:BJ704)+1,0)</f>
        <v>0</v>
      </c>
      <c r="BK705" s="1143">
        <f>IF(OR($L703=BK$652,$L703="",$D703=$BL$651),MAX(BK$654:BK704)+1,0)</f>
        <v>0</v>
      </c>
      <c r="BL705" s="1144">
        <f>IF(OR($L703=BL$652,$L703="",$D703=$BL$651),MAX(BL$654:BL704)+1,0)</f>
        <v>50</v>
      </c>
      <c r="BM705" s="2549"/>
      <c r="BN705" s="774" t="str">
        <f t="shared" si="177"/>
        <v/>
      </c>
      <c r="BO705" s="76" t="str">
        <f t="shared" si="178"/>
        <v/>
      </c>
      <c r="BP705" s="76" t="str">
        <f t="shared" si="179"/>
        <v>Kukri</v>
      </c>
      <c r="BQ705" s="1142">
        <f>IF(OR($L703=BQ$652,$L703="",$D703=$BS$651),MAX(BQ$654:BQ704)+1,0)</f>
        <v>0</v>
      </c>
      <c r="BR705" s="1143">
        <f>IF(OR($L703=BR$652,$L703="",$D703=$BS$651),MAX(BR$654:BR704)+1,0)</f>
        <v>0</v>
      </c>
      <c r="BS705" s="1144">
        <f>IF(OR($L703=BS$652,$L703="",$D703=$BS$651),MAX(BS$654:BS704)+1,0)</f>
        <v>50</v>
      </c>
      <c r="BT705" s="2549"/>
      <c r="BU705" s="774" t="str">
        <f t="shared" si="180"/>
        <v/>
      </c>
      <c r="BV705" s="76" t="str">
        <f t="shared" si="181"/>
        <v/>
      </c>
      <c r="BW705" s="76" t="str">
        <f t="shared" si="182"/>
        <v>Kukri</v>
      </c>
      <c r="BX705" s="1142">
        <f>IF(OR($L703=BX$652,$L703="",$D703=$BZ$651),MAX(BX$654:BX704)+1,0)</f>
        <v>0</v>
      </c>
      <c r="BY705" s="1143">
        <f>IF(OR($L703=BY$652,$L703="",$D703=$BZ$651),MAX(BY$654:BY704)+1,0)</f>
        <v>0</v>
      </c>
      <c r="BZ705" s="1144">
        <f>IF(OR($L703=BZ$652,$L703="",$D703=$BZ$651),MAX(BZ$654:BZ704)+1,0)</f>
        <v>50</v>
      </c>
      <c r="CA705" s="2549"/>
      <c r="CB705" s="774" t="str">
        <f t="shared" si="183"/>
        <v/>
      </c>
      <c r="CC705" s="76" t="str">
        <f t="shared" si="184"/>
        <v/>
      </c>
      <c r="CD705" s="76" t="str">
        <f t="shared" si="185"/>
        <v>Kukri</v>
      </c>
      <c r="CE705" s="1142">
        <f>IF(OR($L703=CE$652,$L703="",$D703=$CG$651),MAX(CE$654:CE704)+1,0)</f>
        <v>0</v>
      </c>
      <c r="CF705" s="1143">
        <f>IF(OR($L703=CF$652,$L703="",$D703=$CG$651),MAX(CF$654:CF704)+1,0)</f>
        <v>0</v>
      </c>
      <c r="CG705" s="1144">
        <f>IF(OR($L703=CG$652,$L703="",$D703=$CG$651),MAX(CG$654:CG704)+1,0)</f>
        <v>50</v>
      </c>
      <c r="CI705" s="774" t="str">
        <f t="shared" si="186"/>
        <v/>
      </c>
      <c r="CJ705" s="76" t="str">
        <f t="shared" si="187"/>
        <v/>
      </c>
      <c r="CK705" s="76" t="str">
        <f t="shared" si="188"/>
        <v>Kukri</v>
      </c>
      <c r="CL705" s="1142">
        <f>IF(OR($L703=CL$652,$L703="",$D703=$CN$651),MAX(CL$654:CL704)+1,0)</f>
        <v>0</v>
      </c>
      <c r="CM705" s="1143">
        <f>IF(OR($L703=CM$652,$L703="",$D703=$CN$651),MAX(CM$654:CM704)+1,0)</f>
        <v>0</v>
      </c>
      <c r="CN705" s="1144">
        <f>IF(OR($L703=CN$652,$L703="",$D703=$CN$651),MAX(CN$654:CN704)+1,0)</f>
        <v>50</v>
      </c>
    </row>
    <row r="706" spans="1:92" ht="12.75" customHeight="1">
      <c r="A706" s="219">
        <v>697</v>
      </c>
      <c r="B706" s="7145"/>
      <c r="C706" s="1034"/>
      <c r="D706" s="2237" t="s">
        <v>1999</v>
      </c>
      <c r="E706" s="2239">
        <v>80</v>
      </c>
      <c r="F706" s="2236">
        <v>-30</v>
      </c>
      <c r="G706" s="2236">
        <v>8</v>
      </c>
      <c r="H706" s="2236">
        <v>8</v>
      </c>
      <c r="I706" s="2236" t="s">
        <v>1411</v>
      </c>
      <c r="J706" s="2236" t="s">
        <v>1315</v>
      </c>
      <c r="K706" s="2433" t="s">
        <v>6830</v>
      </c>
      <c r="L706" s="2236" t="str">
        <f t="shared" si="192"/>
        <v>Distinta</v>
      </c>
      <c r="M706" s="2240">
        <v>12</v>
      </c>
      <c r="N706" s="2240">
        <v>7</v>
      </c>
      <c r="O706" s="2240">
        <v>25</v>
      </c>
      <c r="P706" s="2236"/>
      <c r="Q706" s="2236"/>
      <c r="R706" s="2236" t="s">
        <v>1315</v>
      </c>
      <c r="S706" s="2236" t="s">
        <v>1315</v>
      </c>
      <c r="T706" s="2236" t="s">
        <v>1315</v>
      </c>
      <c r="U706" s="2236"/>
      <c r="V706" s="2433" t="s">
        <v>2000</v>
      </c>
      <c r="W706" s="2433"/>
      <c r="X706" s="2434" t="str">
        <f t="shared" si="158"/>
        <v>Grande</v>
      </c>
      <c r="Y706" s="2229">
        <f t="shared" si="191"/>
        <v>0</v>
      </c>
      <c r="Z706" s="1150" t="str">
        <f t="shared" si="161"/>
        <v/>
      </c>
      <c r="AA706" s="1751" t="s">
        <v>1960</v>
      </c>
      <c r="AC706" s="929" t="s">
        <v>6589</v>
      </c>
      <c r="AD706" s="758">
        <f>IFERROR(IF(IF(AC706&lt;&gt;"",VLOOKUP(AC706,Tabla_ArmasyEscudos,9,0),"")="Conocida",MAX(AD$662:AD705)+1,0),0)</f>
        <v>0</v>
      </c>
      <c r="AE706" s="758">
        <f ca="1">IF(AC706="",0,IF(AD706=0,MAX(AE$654:AE705,AG$652)+1,AD706+IFERROR(VLOOKUP(VLOOKUP(AC706,$D$653:$AA$871,24,0),AC$654:AE$661,3,0)-VLOOKUP(VLOOKUP(AC706,$D$653:$AA$871,24,0),AC$654:AE$661,2,0)+1,0)))</f>
        <v>46</v>
      </c>
      <c r="AF706" s="758" t="str">
        <f t="shared" ca="1" si="162"/>
        <v>Lujiaodao</v>
      </c>
      <c r="AG706" s="758" t="str">
        <f t="shared" ca="1" si="163"/>
        <v/>
      </c>
      <c r="AH706" s="2568" t="s">
        <v>6588</v>
      </c>
      <c r="AI706" s="758">
        <f>IFERROR(IF(IF(AH706&lt;&gt;"",VLOOKUP(AH706,Tabla_ArmasyEscudos,9,0),"")="Conocida",MAX(AI$660:AI705)+1,0),0)</f>
        <v>0</v>
      </c>
      <c r="AJ706" s="758">
        <f ca="1">IF(AH706="",0,IF(AI706=0,MAX(AJ$654:AJ705,AL$652)+1,AI706+IFERROR(VLOOKUP(VLOOKUP(AH706,$D$653:$AA$871,24,0),AH$654:AJ$659,3,0)-VLOOKUP(VLOOKUP(AH706,$D$653:$AA$871,24,0),AH$654:AJ$659,2,0)+1,0)))</f>
        <v>48</v>
      </c>
      <c r="AK706" s="758" t="str">
        <f t="shared" ca="1" si="164"/>
        <v>Cáncer</v>
      </c>
      <c r="AL706" s="758" t="str">
        <f t="shared" ca="1" si="165"/>
        <v/>
      </c>
      <c r="AM706" s="2568"/>
      <c r="AN706" s="758">
        <f>IFERROR(IF(IF(AM706&lt;&gt;"",VLOOKUP(AM706,Tabla_ArmasyEscudos,9,0),"")="Conocida",MAX(AN$660:AN705)+1,0),0)</f>
        <v>0</v>
      </c>
      <c r="AO706" s="758">
        <f>IF(AM706="",0,IF(AN706=0,MAX(AO$654:AO705,AQ$652)+1,AN706+IFERROR(VLOOKUP(VLOOKUP(AM706,$D$653:$AA$871,24,0),AM$654:AO$659,3,0)-VLOOKUP(VLOOKUP(AM706,$D$653:$AA$871,24,0),AM$654:AO$659,2,0)+1,0)))</f>
        <v>0</v>
      </c>
      <c r="AP706" s="758" t="str">
        <f t="shared" ca="1" si="166"/>
        <v/>
      </c>
      <c r="AQ706" s="758" t="str">
        <f t="shared" ca="1" si="167"/>
        <v/>
      </c>
      <c r="AR706" s="2568"/>
      <c r="AS706" s="758">
        <f>IFERROR(IF(IF(AR706&lt;&gt;"",VLOOKUP(AR706,Tabla_ArmasyEscudos,9,0),"")="Conocida",MAX(AS$660:AS705)+1,0),0)</f>
        <v>0</v>
      </c>
      <c r="AT706" s="758">
        <f>IF(AR706="",0,IF(AS706=0,MAX(AT$654:AT705,AV$652)+1,AS706+IFERROR(VLOOKUP(VLOOKUP(AR706,$D$653:$AA$871,24,0),AR$654:AT$659,3,0)-VLOOKUP(VLOOKUP(AR706,$D$653:$AA$871,24,0),AR$654:AT$659,2,0)+1,0)))</f>
        <v>0</v>
      </c>
      <c r="AU706" s="758" t="str">
        <f t="shared" ca="1" si="168"/>
        <v/>
      </c>
      <c r="AV706" s="758" t="str">
        <f t="shared" ca="1" si="169"/>
        <v/>
      </c>
      <c r="AX706" s="1141" t="str">
        <f t="shared" si="170"/>
        <v>Kukri</v>
      </c>
      <c r="AY706" s="2549"/>
      <c r="AZ706" s="774" t="str">
        <f t="shared" si="171"/>
        <v/>
      </c>
      <c r="BA706" s="76" t="str">
        <f t="shared" si="172"/>
        <v/>
      </c>
      <c r="BB706" s="76" t="str">
        <f t="shared" si="173"/>
        <v>Lanza</v>
      </c>
      <c r="BC706" s="1142">
        <f>IF(OR($L704=BC$652,$L704="",$D704=$BE$651),MAX(BC$654:BC705)+1,0)</f>
        <v>0</v>
      </c>
      <c r="BD706" s="1143">
        <f>IF(OR($L704=BD$652,$L704="",$D704=$BE$651),MAX(BD$654:BD705)+1,0)</f>
        <v>0</v>
      </c>
      <c r="BE706" s="1144">
        <f>IF(OR($L704=BE$652,$L704="",$D704=$BE$651),MAX(BE$654:BE705)+1,0)</f>
        <v>51</v>
      </c>
      <c r="BF706" s="2549"/>
      <c r="BG706" s="774" t="str">
        <f t="shared" si="174"/>
        <v/>
      </c>
      <c r="BH706" s="76" t="str">
        <f t="shared" si="175"/>
        <v/>
      </c>
      <c r="BI706" s="76" t="str">
        <f t="shared" si="176"/>
        <v>Lanza</v>
      </c>
      <c r="BJ706" s="1142">
        <f>IF(OR($L704=BJ$652,$L704="",$D704=$BL$651),MAX(BJ$654:BJ705)+1,0)</f>
        <v>0</v>
      </c>
      <c r="BK706" s="1143">
        <f>IF(OR($L704=BK$652,$L704="",$D704=$BL$651),MAX(BK$654:BK705)+1,0)</f>
        <v>0</v>
      </c>
      <c r="BL706" s="1144">
        <f>IF(OR($L704=BL$652,$L704="",$D704=$BL$651),MAX(BL$654:BL705)+1,0)</f>
        <v>51</v>
      </c>
      <c r="BM706" s="2549"/>
      <c r="BN706" s="774" t="str">
        <f t="shared" si="177"/>
        <v/>
      </c>
      <c r="BO706" s="76" t="str">
        <f t="shared" si="178"/>
        <v/>
      </c>
      <c r="BP706" s="76" t="str">
        <f t="shared" si="179"/>
        <v>Lanza</v>
      </c>
      <c r="BQ706" s="1142">
        <f>IF(OR($L704=BQ$652,$L704="",$D704=$BS$651),MAX(BQ$654:BQ705)+1,0)</f>
        <v>0</v>
      </c>
      <c r="BR706" s="1143">
        <f>IF(OR($L704=BR$652,$L704="",$D704=$BS$651),MAX(BR$654:BR705)+1,0)</f>
        <v>0</v>
      </c>
      <c r="BS706" s="1144">
        <f>IF(OR($L704=BS$652,$L704="",$D704=$BS$651),MAX(BS$654:BS705)+1,0)</f>
        <v>51</v>
      </c>
      <c r="BT706" s="2549"/>
      <c r="BU706" s="774" t="str">
        <f t="shared" si="180"/>
        <v/>
      </c>
      <c r="BV706" s="76" t="str">
        <f t="shared" si="181"/>
        <v/>
      </c>
      <c r="BW706" s="76" t="str">
        <f t="shared" si="182"/>
        <v>Lanza</v>
      </c>
      <c r="BX706" s="1142">
        <f>IF(OR($L704=BX$652,$L704="",$D704=$BZ$651),MAX(BX$654:BX705)+1,0)</f>
        <v>0</v>
      </c>
      <c r="BY706" s="1143">
        <f>IF(OR($L704=BY$652,$L704="",$D704=$BZ$651),MAX(BY$654:BY705)+1,0)</f>
        <v>0</v>
      </c>
      <c r="BZ706" s="1144">
        <f>IF(OR($L704=BZ$652,$L704="",$D704=$BZ$651),MAX(BZ$654:BZ705)+1,0)</f>
        <v>51</v>
      </c>
      <c r="CA706" s="2549"/>
      <c r="CB706" s="774" t="str">
        <f t="shared" si="183"/>
        <v/>
      </c>
      <c r="CC706" s="76" t="str">
        <f t="shared" si="184"/>
        <v/>
      </c>
      <c r="CD706" s="76" t="str">
        <f t="shared" si="185"/>
        <v>Lanza</v>
      </c>
      <c r="CE706" s="1142">
        <f>IF(OR($L704=CE$652,$L704="",$D704=$CG$651),MAX(CE$654:CE705)+1,0)</f>
        <v>0</v>
      </c>
      <c r="CF706" s="1143">
        <f>IF(OR($L704=CF$652,$L704="",$D704=$CG$651),MAX(CF$654:CF705)+1,0)</f>
        <v>0</v>
      </c>
      <c r="CG706" s="1144">
        <f>IF(OR($L704=CG$652,$L704="",$D704=$CG$651),MAX(CG$654:CG705)+1,0)</f>
        <v>51</v>
      </c>
      <c r="CI706" s="774" t="str">
        <f t="shared" si="186"/>
        <v/>
      </c>
      <c r="CJ706" s="76" t="str">
        <f t="shared" si="187"/>
        <v/>
      </c>
      <c r="CK706" s="76" t="str">
        <f t="shared" si="188"/>
        <v>Lanza</v>
      </c>
      <c r="CL706" s="1142">
        <f>IF(OR($L704=CL$652,$L704="",$D704=$CN$651),MAX(CL$654:CL705)+1,0)</f>
        <v>0</v>
      </c>
      <c r="CM706" s="1143">
        <f>IF(OR($L704=CM$652,$L704="",$D704=$CN$651),MAX(CM$654:CM705)+1,0)</f>
        <v>0</v>
      </c>
      <c r="CN706" s="1144">
        <f>IF(OR($L704=CN$652,$L704="",$D704=$CN$651),MAX(CN$654:CN705)+1,0)</f>
        <v>51</v>
      </c>
    </row>
    <row r="707" spans="1:92" ht="12.75" customHeight="1">
      <c r="A707" s="219">
        <v>698</v>
      </c>
      <c r="B707" s="7145"/>
      <c r="C707" s="1034"/>
      <c r="D707" s="3876" t="s">
        <v>2001</v>
      </c>
      <c r="E707" s="3877">
        <f>35+Bono_Des</f>
        <v>35</v>
      </c>
      <c r="F707" s="3878">
        <v>-20</v>
      </c>
      <c r="G707" s="3878">
        <v>4</v>
      </c>
      <c r="H707" s="3878">
        <v>4</v>
      </c>
      <c r="I707" s="3878" t="s">
        <v>1410</v>
      </c>
      <c r="J707" s="3878" t="s">
        <v>1357</v>
      </c>
      <c r="K707" s="3879" t="s">
        <v>6834</v>
      </c>
      <c r="L707" s="3878" t="str">
        <f t="shared" si="192"/>
        <v>Distinta</v>
      </c>
      <c r="M707" s="3880">
        <v>9</v>
      </c>
      <c r="N707" s="3880">
        <v>-3</v>
      </c>
      <c r="O707" s="3880">
        <v>20</v>
      </c>
      <c r="P707" s="3878"/>
      <c r="Q707" s="3878"/>
      <c r="R707" s="3878" t="s">
        <v>1315</v>
      </c>
      <c r="S707" s="3878" t="s">
        <v>1315</v>
      </c>
      <c r="T707" s="3878" t="s">
        <v>1315</v>
      </c>
      <c r="U707" s="3878"/>
      <c r="V707" s="3879" t="s">
        <v>12429</v>
      </c>
      <c r="W707" s="2433"/>
      <c r="X707" s="2434" t="str">
        <f t="shared" si="158"/>
        <v>Mediana</v>
      </c>
      <c r="Y707" s="2229">
        <f t="shared" si="191"/>
        <v>0</v>
      </c>
      <c r="Z707" s="1150" t="str">
        <f t="shared" si="161"/>
        <v/>
      </c>
      <c r="AA707" s="1751" t="s">
        <v>1960</v>
      </c>
      <c r="AC707" s="929" t="s">
        <v>6590</v>
      </c>
      <c r="AD707" s="758">
        <f>IFERROR(IF(IF(AC707&lt;&gt;"",VLOOKUP(AC707,Tabla_ArmasyEscudos,9,0),"")="Conocida",MAX(AD$662:AD706)+1,0),0)</f>
        <v>0</v>
      </c>
      <c r="AE707" s="758">
        <f ca="1">IF(AC707="",0,IF(AD707=0,MAX(AE$654:AE706,AG$652)+1,AD707+IFERROR(VLOOKUP(VLOOKUP(AC707,$D$653:$AA$871,24,0),AC$654:AE$661,3,0)-VLOOKUP(VLOOKUP(AC707,$D$653:$AA$871,24,0),AC$654:AE$661,2,0)+1,0)))</f>
        <v>47</v>
      </c>
      <c r="AF707" s="758" t="str">
        <f t="shared" ca="1" si="162"/>
        <v>Mangual</v>
      </c>
      <c r="AG707" s="758" t="str">
        <f t="shared" ca="1" si="163"/>
        <v/>
      </c>
      <c r="AH707" s="2575" t="s">
        <v>2071</v>
      </c>
      <c r="AI707" s="758">
        <f>IFERROR(IF(IF(AH707&lt;&gt;"",VLOOKUP(AH707,Tabla_ArmasyEscudos,9,0),"")="Conocida",MAX(AI$660:AI706)+1,0),0)</f>
        <v>0</v>
      </c>
      <c r="AJ707" s="758">
        <f ca="1">IF(AH707="",0,IF(AI707=0,MAX(AJ$654:AJ706,AL$652)+1,AI707+IFERROR(VLOOKUP(VLOOKUP(AH707,$D$653:$AA$871,24,0),AH$654:AJ$659,3,0)-VLOOKUP(VLOOKUP(AH707,$D$653:$AA$871,24,0),AH$654:AJ$659,2,0)+1,0)))</f>
        <v>49</v>
      </c>
      <c r="AK707" s="758" t="str">
        <f t="shared" ca="1" si="164"/>
        <v>Leo (Espada-Pistola)</v>
      </c>
      <c r="AL707" s="758" t="str">
        <f t="shared" ca="1" si="165"/>
        <v/>
      </c>
      <c r="AM707" s="2568"/>
      <c r="AN707" s="758">
        <f>IFERROR(IF(IF(AM707&lt;&gt;"",VLOOKUP(AM707,Tabla_ArmasyEscudos,9,0),"")="Conocida",MAX(AN$660:AN706)+1,0),0)</f>
        <v>0</v>
      </c>
      <c r="AO707" s="758">
        <f>IF(AM707="",0,IF(AN707=0,MAX(AO$654:AO706,AQ$652)+1,AN707+IFERROR(VLOOKUP(VLOOKUP(AM707,$D$653:$AA$871,24,0),AM$654:AO$659,3,0)-VLOOKUP(VLOOKUP(AM707,$D$653:$AA$871,24,0),AM$654:AO$659,2,0)+1,0)))</f>
        <v>0</v>
      </c>
      <c r="AP707" s="758" t="str">
        <f t="shared" ca="1" si="166"/>
        <v/>
      </c>
      <c r="AQ707" s="758" t="str">
        <f t="shared" ca="1" si="167"/>
        <v/>
      </c>
      <c r="AR707" s="2568"/>
      <c r="AS707" s="758">
        <f>IFERROR(IF(IF(AR707&lt;&gt;"",VLOOKUP(AR707,Tabla_ArmasyEscudos,9,0),"")="Conocida",MAX(AS$660:AS706)+1,0),0)</f>
        <v>0</v>
      </c>
      <c r="AT707" s="758">
        <f>IF(AR707="",0,IF(AS707=0,MAX(AT$654:AT706,AV$652)+1,AS707+IFERROR(VLOOKUP(VLOOKUP(AR707,$D$653:$AA$871,24,0),AR$654:AT$659,3,0)-VLOOKUP(VLOOKUP(AR707,$D$653:$AA$871,24,0),AR$654:AT$659,2,0)+1,0)))</f>
        <v>0</v>
      </c>
      <c r="AU707" s="758" t="str">
        <f t="shared" ca="1" si="168"/>
        <v/>
      </c>
      <c r="AV707" s="758" t="str">
        <f t="shared" ca="1" si="169"/>
        <v/>
      </c>
      <c r="AX707" s="1141" t="str">
        <f t="shared" si="170"/>
        <v>Lanza</v>
      </c>
      <c r="AY707" s="2549"/>
      <c r="AZ707" s="774" t="str">
        <f t="shared" si="171"/>
        <v/>
      </c>
      <c r="BA707" s="76" t="str">
        <f t="shared" si="172"/>
        <v/>
      </c>
      <c r="BB707" s="76" t="str">
        <f t="shared" si="173"/>
        <v>Lanza de caballería</v>
      </c>
      <c r="BC707" s="1142">
        <f>IF(OR($L705=BC$652,$L705="",$D705=$BE$651),MAX(BC$654:BC706)+1,0)</f>
        <v>0</v>
      </c>
      <c r="BD707" s="1143">
        <f>IF(OR($L705=BD$652,$L705="",$D705=$BE$651),MAX(BD$654:BD706)+1,0)</f>
        <v>0</v>
      </c>
      <c r="BE707" s="1144">
        <f>IF(OR($L705=BE$652,$L705="",$D705=$BE$651),MAX(BE$654:BE706)+1,0)</f>
        <v>52</v>
      </c>
      <c r="BF707" s="2549"/>
      <c r="BG707" s="774" t="str">
        <f t="shared" si="174"/>
        <v/>
      </c>
      <c r="BH707" s="76" t="str">
        <f t="shared" si="175"/>
        <v/>
      </c>
      <c r="BI707" s="76" t="str">
        <f t="shared" si="176"/>
        <v>Lanza de caballería</v>
      </c>
      <c r="BJ707" s="1142">
        <f>IF(OR($L705=BJ$652,$L705="",$D705=$BL$651),MAX(BJ$654:BJ706)+1,0)</f>
        <v>0</v>
      </c>
      <c r="BK707" s="1143">
        <f>IF(OR($L705=BK$652,$L705="",$D705=$BL$651),MAX(BK$654:BK706)+1,0)</f>
        <v>0</v>
      </c>
      <c r="BL707" s="1144">
        <f>IF(OR($L705=BL$652,$L705="",$D705=$BL$651),MAX(BL$654:BL706)+1,0)</f>
        <v>52</v>
      </c>
      <c r="BM707" s="2549"/>
      <c r="BN707" s="774" t="str">
        <f t="shared" si="177"/>
        <v/>
      </c>
      <c r="BO707" s="76" t="str">
        <f t="shared" si="178"/>
        <v/>
      </c>
      <c r="BP707" s="76" t="str">
        <f t="shared" si="179"/>
        <v>Lanza de caballería</v>
      </c>
      <c r="BQ707" s="1142">
        <f>IF(OR($L705=BQ$652,$L705="",$D705=$BS$651),MAX(BQ$654:BQ706)+1,0)</f>
        <v>0</v>
      </c>
      <c r="BR707" s="1143">
        <f>IF(OR($L705=BR$652,$L705="",$D705=$BS$651),MAX(BR$654:BR706)+1,0)</f>
        <v>0</v>
      </c>
      <c r="BS707" s="1144">
        <f>IF(OR($L705=BS$652,$L705="",$D705=$BS$651),MAX(BS$654:BS706)+1,0)</f>
        <v>52</v>
      </c>
      <c r="BT707" s="2549"/>
      <c r="BU707" s="774" t="str">
        <f t="shared" si="180"/>
        <v/>
      </c>
      <c r="BV707" s="76" t="str">
        <f t="shared" si="181"/>
        <v/>
      </c>
      <c r="BW707" s="76" t="str">
        <f t="shared" si="182"/>
        <v>Lanza de caballería</v>
      </c>
      <c r="BX707" s="1142">
        <f>IF(OR($L705=BX$652,$L705="",$D705=$BZ$651),MAX(BX$654:BX706)+1,0)</f>
        <v>0</v>
      </c>
      <c r="BY707" s="1143">
        <f>IF(OR($L705=BY$652,$L705="",$D705=$BZ$651),MAX(BY$654:BY706)+1,0)</f>
        <v>0</v>
      </c>
      <c r="BZ707" s="1144">
        <f>IF(OR($L705=BZ$652,$L705="",$D705=$BZ$651),MAX(BZ$654:BZ706)+1,0)</f>
        <v>52</v>
      </c>
      <c r="CA707" s="2549"/>
      <c r="CB707" s="774" t="str">
        <f t="shared" si="183"/>
        <v/>
      </c>
      <c r="CC707" s="76" t="str">
        <f t="shared" si="184"/>
        <v/>
      </c>
      <c r="CD707" s="76" t="str">
        <f t="shared" si="185"/>
        <v>Lanza de caballería</v>
      </c>
      <c r="CE707" s="1142">
        <f>IF(OR($L705=CE$652,$L705="",$D705=$CG$651),MAX(CE$654:CE706)+1,0)</f>
        <v>0</v>
      </c>
      <c r="CF707" s="1143">
        <f>IF(OR($L705=CF$652,$L705="",$D705=$CG$651),MAX(CF$654:CF706)+1,0)</f>
        <v>0</v>
      </c>
      <c r="CG707" s="1144">
        <f>IF(OR($L705=CG$652,$L705="",$D705=$CG$651),MAX(CG$654:CG706)+1,0)</f>
        <v>52</v>
      </c>
      <c r="CI707" s="774" t="str">
        <f t="shared" si="186"/>
        <v/>
      </c>
      <c r="CJ707" s="76" t="str">
        <f t="shared" si="187"/>
        <v/>
      </c>
      <c r="CK707" s="76" t="str">
        <f t="shared" si="188"/>
        <v>Lanza de caballería</v>
      </c>
      <c r="CL707" s="1142">
        <f>IF(OR($L705=CL$652,$L705="",$D705=$CN$651),MAX(CL$654:CL706)+1,0)</f>
        <v>0</v>
      </c>
      <c r="CM707" s="1143">
        <f>IF(OR($L705=CM$652,$L705="",$D705=$CN$651),MAX(CM$654:CM706)+1,0)</f>
        <v>0</v>
      </c>
      <c r="CN707" s="1144">
        <f>IF(OR($L705=CN$652,$L705="",$D705=$CN$651),MAX(CN$654:CN706)+1,0)</f>
        <v>52</v>
      </c>
    </row>
    <row r="708" spans="1:92" ht="12.75" customHeight="1">
      <c r="A708" s="219">
        <v>699</v>
      </c>
      <c r="B708" s="7145"/>
      <c r="C708" s="1034"/>
      <c r="D708" s="2237" t="s">
        <v>2002</v>
      </c>
      <c r="E708" s="2239">
        <f>5-Bono_Fue*2</f>
        <v>5</v>
      </c>
      <c r="F708" s="2236">
        <v>10</v>
      </c>
      <c r="G708" s="2236" t="s">
        <v>1315</v>
      </c>
      <c r="H708" s="2236">
        <v>4</v>
      </c>
      <c r="I708" s="2236" t="s">
        <v>1357</v>
      </c>
      <c r="J708" s="2236" t="s">
        <v>1315</v>
      </c>
      <c r="K708" s="2433" t="s">
        <v>6834</v>
      </c>
      <c r="L708" s="2236" t="str">
        <f t="shared" si="192"/>
        <v>Distinta</v>
      </c>
      <c r="M708" s="2240">
        <v>9</v>
      </c>
      <c r="N708" s="2240">
        <v>-4</v>
      </c>
      <c r="O708" s="2240">
        <v>20</v>
      </c>
      <c r="P708" s="2236"/>
      <c r="Q708" s="2236"/>
      <c r="R708" s="2236" t="s">
        <v>1315</v>
      </c>
      <c r="S708" s="2236" t="s">
        <v>1315</v>
      </c>
      <c r="T708" s="2236" t="s">
        <v>1315</v>
      </c>
      <c r="U708" s="2236"/>
      <c r="V708" s="2433" t="s">
        <v>12430</v>
      </c>
      <c r="W708" s="2433"/>
      <c r="X708" s="2434" t="str">
        <f t="shared" si="158"/>
        <v>Mediana</v>
      </c>
      <c r="Y708" s="2229">
        <f t="shared" si="191"/>
        <v>0</v>
      </c>
      <c r="Z708" s="1150" t="str">
        <f t="shared" si="161"/>
        <v/>
      </c>
      <c r="AA708" s="1751" t="s">
        <v>1960</v>
      </c>
      <c r="AC708" s="929" t="s">
        <v>6591</v>
      </c>
      <c r="AD708" s="758">
        <f>IFERROR(IF(IF(AC708&lt;&gt;"",VLOOKUP(AC708,Tabla_ArmasyEscudos,9,0),"")="Conocida",MAX(AD$662:AD707)+1,0),0)</f>
        <v>0</v>
      </c>
      <c r="AE708" s="758">
        <f ca="1">IF(AC708="",0,IF(AD708=0,MAX(AE$654:AE707,AG$652)+1,AD708+IFERROR(VLOOKUP(VLOOKUP(AC708,$D$653:$AA$871,24,0),AC$654:AE$661,3,0)-VLOOKUP(VLOOKUP(AC708,$D$653:$AA$871,24,0),AC$654:AE$661,2,0)+1,0)))</f>
        <v>48</v>
      </c>
      <c r="AF708" s="758" t="str">
        <f t="shared" ca="1" si="162"/>
        <v>Martillo de guerra</v>
      </c>
      <c r="AG708" s="758" t="str">
        <f t="shared" ca="1" si="163"/>
        <v/>
      </c>
      <c r="AH708" s="2568" t="s">
        <v>9615</v>
      </c>
      <c r="AI708" s="758">
        <f>IFERROR(IF(IF(AH708&lt;&gt;"",VLOOKUP(AH708,Tabla_ArmasyEscudos,9,0),"")="Conocida",MAX(AI$660:AI707)+1,0),0)</f>
        <v>0</v>
      </c>
      <c r="AJ708" s="758">
        <f ca="1">IF(AH708="",0,IF(AI708=0,MAX(AJ$654:AJ707,AL$652)+1,AI708+IFERROR(VLOOKUP(VLOOKUP(AH708,$D$653:$AA$871,24,0),AH$654:AJ$659,3,0)-VLOOKUP(VLOOKUP(AH708,$D$653:$AA$871,24,0),AH$654:AJ$659,2,0)+1,0)))</f>
        <v>50</v>
      </c>
      <c r="AK708" s="758" t="str">
        <f t="shared" ca="1" si="164"/>
        <v>Leo (Lanza-Rifle)</v>
      </c>
      <c r="AL708" s="758" t="str">
        <f t="shared" ca="1" si="165"/>
        <v/>
      </c>
      <c r="AM708" s="2568"/>
      <c r="AN708" s="758">
        <f>IFERROR(IF(IF(AM708&lt;&gt;"",VLOOKUP(AM708,Tabla_ArmasyEscudos,9,0),"")="Conocida",MAX(AN$660:AN707)+1,0),0)</f>
        <v>0</v>
      </c>
      <c r="AO708" s="758">
        <f>IF(AM708="",0,IF(AN708=0,MAX(AO$654:AO707,AQ$652)+1,AN708+IFERROR(VLOOKUP(VLOOKUP(AM708,$D$653:$AA$871,24,0),AM$654:AO$659,3,0)-VLOOKUP(VLOOKUP(AM708,$D$653:$AA$871,24,0),AM$654:AO$659,2,0)+1,0)))</f>
        <v>0</v>
      </c>
      <c r="AP708" s="758" t="str">
        <f t="shared" ca="1" si="166"/>
        <v/>
      </c>
      <c r="AQ708" s="758" t="str">
        <f t="shared" ca="1" si="167"/>
        <v/>
      </c>
      <c r="AR708" s="2568"/>
      <c r="AS708" s="758">
        <f>IFERROR(IF(IF(AR708&lt;&gt;"",VLOOKUP(AR708,Tabla_ArmasyEscudos,9,0),"")="Conocida",MAX(AS$660:AS707)+1,0),0)</f>
        <v>0</v>
      </c>
      <c r="AT708" s="758">
        <f>IF(AR708="",0,IF(AS708=0,MAX(AT$654:AT707,AV$652)+1,AS708+IFERROR(VLOOKUP(VLOOKUP(AR708,$D$653:$AA$871,24,0),AR$654:AT$659,3,0)-VLOOKUP(VLOOKUP(AR708,$D$653:$AA$871,24,0),AR$654:AT$659,2,0)+1,0)))</f>
        <v>0</v>
      </c>
      <c r="AU708" s="758" t="str">
        <f t="shared" ca="1" si="168"/>
        <v/>
      </c>
      <c r="AV708" s="758" t="str">
        <f t="shared" ca="1" si="169"/>
        <v/>
      </c>
      <c r="AX708" s="1141" t="str">
        <f t="shared" si="170"/>
        <v>Lanza de caballería</v>
      </c>
      <c r="AY708" s="2549"/>
      <c r="AZ708" s="774" t="str">
        <f t="shared" si="171"/>
        <v/>
      </c>
      <c r="BA708" s="76" t="str">
        <f t="shared" si="172"/>
        <v/>
      </c>
      <c r="BB708" s="76" t="str">
        <f t="shared" si="173"/>
        <v>Látigo</v>
      </c>
      <c r="BC708" s="1142">
        <f>IF(OR($L706=BC$652,$L706="",$D706=$BE$651),MAX(BC$654:BC707)+1,0)</f>
        <v>0</v>
      </c>
      <c r="BD708" s="1143">
        <f>IF(OR($L706=BD$652,$L706="",$D706=$BE$651),MAX(BD$654:BD707)+1,0)</f>
        <v>0</v>
      </c>
      <c r="BE708" s="1144">
        <f>IF(OR($L706=BE$652,$L706="",$D706=$BE$651),MAX(BE$654:BE707)+1,0)</f>
        <v>53</v>
      </c>
      <c r="BF708" s="2549"/>
      <c r="BG708" s="774" t="str">
        <f t="shared" si="174"/>
        <v/>
      </c>
      <c r="BH708" s="76" t="str">
        <f t="shared" si="175"/>
        <v/>
      </c>
      <c r="BI708" s="76" t="str">
        <f t="shared" si="176"/>
        <v>Látigo</v>
      </c>
      <c r="BJ708" s="1142">
        <f>IF(OR($L706=BJ$652,$L706="",$D706=$BL$651),MAX(BJ$654:BJ707)+1,0)</f>
        <v>0</v>
      </c>
      <c r="BK708" s="1143">
        <f>IF(OR($L706=BK$652,$L706="",$D706=$BL$651),MAX(BK$654:BK707)+1,0)</f>
        <v>0</v>
      </c>
      <c r="BL708" s="1144">
        <f>IF(OR($L706=BL$652,$L706="",$D706=$BL$651),MAX(BL$654:BL707)+1,0)</f>
        <v>53</v>
      </c>
      <c r="BM708" s="2549"/>
      <c r="BN708" s="774" t="str">
        <f t="shared" si="177"/>
        <v/>
      </c>
      <c r="BO708" s="76" t="str">
        <f t="shared" si="178"/>
        <v/>
      </c>
      <c r="BP708" s="76" t="str">
        <f t="shared" si="179"/>
        <v>Látigo</v>
      </c>
      <c r="BQ708" s="1142">
        <f>IF(OR($L706=BQ$652,$L706="",$D706=$BS$651),MAX(BQ$654:BQ707)+1,0)</f>
        <v>0</v>
      </c>
      <c r="BR708" s="1143">
        <f>IF(OR($L706=BR$652,$L706="",$D706=$BS$651),MAX(BR$654:BR707)+1,0)</f>
        <v>0</v>
      </c>
      <c r="BS708" s="1144">
        <f>IF(OR($L706=BS$652,$L706="",$D706=$BS$651),MAX(BS$654:BS707)+1,0)</f>
        <v>53</v>
      </c>
      <c r="BT708" s="2549"/>
      <c r="BU708" s="774" t="str">
        <f t="shared" si="180"/>
        <v/>
      </c>
      <c r="BV708" s="76" t="str">
        <f t="shared" si="181"/>
        <v/>
      </c>
      <c r="BW708" s="76" t="str">
        <f t="shared" si="182"/>
        <v>Látigo</v>
      </c>
      <c r="BX708" s="1142">
        <f>IF(OR($L706=BX$652,$L706="",$D706=$BZ$651),MAX(BX$654:BX707)+1,0)</f>
        <v>0</v>
      </c>
      <c r="BY708" s="1143">
        <f>IF(OR($L706=BY$652,$L706="",$D706=$BZ$651),MAX(BY$654:BY707)+1,0)</f>
        <v>0</v>
      </c>
      <c r="BZ708" s="1144">
        <f>IF(OR($L706=BZ$652,$L706="",$D706=$BZ$651),MAX(BZ$654:BZ707)+1,0)</f>
        <v>53</v>
      </c>
      <c r="CA708" s="2549"/>
      <c r="CB708" s="774" t="str">
        <f t="shared" si="183"/>
        <v/>
      </c>
      <c r="CC708" s="76" t="str">
        <f t="shared" si="184"/>
        <v/>
      </c>
      <c r="CD708" s="76" t="str">
        <f t="shared" si="185"/>
        <v>Látigo</v>
      </c>
      <c r="CE708" s="1142">
        <f>IF(OR($L706=CE$652,$L706="",$D706=$CG$651),MAX(CE$654:CE707)+1,0)</f>
        <v>0</v>
      </c>
      <c r="CF708" s="1143">
        <f>IF(OR($L706=CF$652,$L706="",$D706=$CG$651),MAX(CF$654:CF707)+1,0)</f>
        <v>0</v>
      </c>
      <c r="CG708" s="1144">
        <f>IF(OR($L706=CG$652,$L706="",$D706=$CG$651),MAX(CG$654:CG707)+1,0)</f>
        <v>53</v>
      </c>
      <c r="CI708" s="774" t="str">
        <f t="shared" si="186"/>
        <v/>
      </c>
      <c r="CJ708" s="76" t="str">
        <f t="shared" si="187"/>
        <v/>
      </c>
      <c r="CK708" s="76" t="str">
        <f t="shared" si="188"/>
        <v>Látigo</v>
      </c>
      <c r="CL708" s="1142">
        <f>IF(OR($L706=CL$652,$L706="",$D706=$CN$651),MAX(CL$654:CL707)+1,0)</f>
        <v>0</v>
      </c>
      <c r="CM708" s="1143">
        <f>IF(OR($L706=CM$652,$L706="",$D706=$CN$651),MAX(CM$654:CM707)+1,0)</f>
        <v>0</v>
      </c>
      <c r="CN708" s="1144">
        <f>IF(OR($L706=CN$652,$L706="",$D706=$CN$651),MAX(CN$654:CN707)+1,0)</f>
        <v>53</v>
      </c>
    </row>
    <row r="709" spans="1:92" ht="12.75" customHeight="1">
      <c r="A709" s="219">
        <v>700</v>
      </c>
      <c r="B709" s="7145"/>
      <c r="C709" s="1034"/>
      <c r="D709" s="3876" t="s">
        <v>6573</v>
      </c>
      <c r="E709" s="3877">
        <v>30</v>
      </c>
      <c r="F709" s="3878">
        <v>15</v>
      </c>
      <c r="G709" s="3878">
        <v>5</v>
      </c>
      <c r="H709" s="3878">
        <v>5</v>
      </c>
      <c r="I709" s="3878" t="s">
        <v>1357</v>
      </c>
      <c r="J709" s="3878" t="s">
        <v>1315</v>
      </c>
      <c r="K709" s="3879" t="s">
        <v>6834</v>
      </c>
      <c r="L709" s="3878" t="str">
        <f t="shared" si="192"/>
        <v>Distinta</v>
      </c>
      <c r="M709" s="3880">
        <v>8</v>
      </c>
      <c r="N709" s="3880">
        <v>1</v>
      </c>
      <c r="O709" s="3880">
        <v>15</v>
      </c>
      <c r="P709" s="3878"/>
      <c r="Q709" s="3878"/>
      <c r="R709" s="3878" t="s">
        <v>1315</v>
      </c>
      <c r="S709" s="3878" t="s">
        <v>1315</v>
      </c>
      <c r="T709" s="3878" t="s">
        <v>1315</v>
      </c>
      <c r="U709" s="3878"/>
      <c r="V709" s="3879" t="s">
        <v>12431</v>
      </c>
      <c r="W709" s="2433"/>
      <c r="X709" s="2434" t="str">
        <f t="shared" si="158"/>
        <v>Mediana</v>
      </c>
      <c r="Y709" s="2229">
        <f t="shared" si="191"/>
        <v>0</v>
      </c>
      <c r="Z709" s="1150" t="str">
        <f t="shared" si="161"/>
        <v/>
      </c>
      <c r="AA709" s="1751" t="s">
        <v>1960</v>
      </c>
      <c r="AC709" s="929" t="s">
        <v>1998</v>
      </c>
      <c r="AD709" s="758">
        <f>IFERROR(IF(IF(AC709&lt;&gt;"",VLOOKUP(AC709,Tabla_ArmasyEscudos,9,0),"")="Conocida",MAX(AD$662:AD708)+1,0),0)</f>
        <v>0</v>
      </c>
      <c r="AE709" s="758">
        <f ca="1">IF(AC709="",0,IF(AD709=0,MAX(AE$654:AE708,AG$652)+1,AD709+IFERROR(VLOOKUP(VLOOKUP(AC709,$D$653:$AA$871,24,0),AC$654:AE$661,3,0)-VLOOKUP(VLOOKUP(AC709,$D$653:$AA$871,24,0),AC$654:AE$661,2,0)+1,0)))</f>
        <v>49</v>
      </c>
      <c r="AF709" s="758" t="str">
        <f t="shared" ca="1" si="162"/>
        <v>Mayal</v>
      </c>
      <c r="AG709" s="758" t="str">
        <f t="shared" ca="1" si="163"/>
        <v/>
      </c>
      <c r="AH709" s="2568" t="s">
        <v>2076</v>
      </c>
      <c r="AI709" s="758">
        <f>IFERROR(IF(IF(AH709&lt;&gt;"",VLOOKUP(AH709,Tabla_ArmasyEscudos,9,0),"")="Conocida",MAX(AI$660:AI708)+1,0),0)</f>
        <v>0</v>
      </c>
      <c r="AJ709" s="758">
        <f ca="1">IF(AH709="",0,IF(AI709=0,MAX(AJ$654:AJ708,AL$652)+1,AI709+IFERROR(VLOOKUP(VLOOKUP(AH709,$D$653:$AA$871,24,0),AH$654:AJ$659,3,0)-VLOOKUP(VLOOKUP(AH709,$D$653:$AA$871,24,0),AH$654:AJ$659,2,0)+1,0)))</f>
        <v>51</v>
      </c>
      <c r="AK709" s="758" t="str">
        <f t="shared" ca="1" si="164"/>
        <v>Leo (Maza-Cañón)</v>
      </c>
      <c r="AL709" s="758" t="str">
        <f t="shared" ca="1" si="165"/>
        <v/>
      </c>
      <c r="AM709" s="2568"/>
      <c r="AN709" s="758">
        <f>IFERROR(IF(IF(AM709&lt;&gt;"",VLOOKUP(AM709,Tabla_ArmasyEscudos,9,0),"")="Conocida",MAX(AN$660:AN708)+1,0),0)</f>
        <v>0</v>
      </c>
      <c r="AO709" s="758">
        <f>IF(AM709="",0,IF(AN709=0,MAX(AO$654:AO708,AQ$652)+1,AN709+IFERROR(VLOOKUP(VLOOKUP(AM709,$D$653:$AA$871,24,0),AM$654:AO$659,3,0)-VLOOKUP(VLOOKUP(AM709,$D$653:$AA$871,24,0),AM$654:AO$659,2,0)+1,0)))</f>
        <v>0</v>
      </c>
      <c r="AP709" s="758" t="str">
        <f t="shared" ca="1" si="166"/>
        <v/>
      </c>
      <c r="AQ709" s="758" t="str">
        <f t="shared" ca="1" si="167"/>
        <v/>
      </c>
      <c r="AR709" s="2568"/>
      <c r="AS709" s="758">
        <f>IFERROR(IF(IF(AR709&lt;&gt;"",VLOOKUP(AR709,Tabla_ArmasyEscudos,9,0),"")="Conocida",MAX(AS$660:AS708)+1,0),0)</f>
        <v>0</v>
      </c>
      <c r="AT709" s="758">
        <f>IF(AR709="",0,IF(AS709=0,MAX(AT$654:AT708,AV$652)+1,AS709+IFERROR(VLOOKUP(VLOOKUP(AR709,$D$653:$AA$871,24,0),AR$654:AT$659,3,0)-VLOOKUP(VLOOKUP(AR709,$D$653:$AA$871,24,0),AR$654:AT$659,2,0)+1,0)))</f>
        <v>0</v>
      </c>
      <c r="AU709" s="758" t="str">
        <f t="shared" ca="1" si="168"/>
        <v/>
      </c>
      <c r="AV709" s="758" t="str">
        <f t="shared" ca="1" si="169"/>
        <v/>
      </c>
      <c r="AX709" s="1141" t="str">
        <f t="shared" si="170"/>
        <v>Látigo</v>
      </c>
      <c r="AY709" s="2549"/>
      <c r="AZ709" s="774" t="str">
        <f t="shared" si="171"/>
        <v/>
      </c>
      <c r="BA709" s="76" t="str">
        <f t="shared" si="172"/>
        <v/>
      </c>
      <c r="BB709" s="76" t="str">
        <f t="shared" si="173"/>
        <v>Lazo</v>
      </c>
      <c r="BC709" s="1142">
        <f>IF(OR($L707=BC$652,$L707="",$D707=$BE$651),MAX(BC$654:BC708)+1,0)</f>
        <v>0</v>
      </c>
      <c r="BD709" s="1143">
        <f>IF(OR($L707=BD$652,$L707="",$D707=$BE$651),MAX(BD$654:BD708)+1,0)</f>
        <v>0</v>
      </c>
      <c r="BE709" s="1144">
        <f>IF(OR($L707=BE$652,$L707="",$D707=$BE$651),MAX(BE$654:BE708)+1,0)</f>
        <v>54</v>
      </c>
      <c r="BF709" s="2549"/>
      <c r="BG709" s="774" t="str">
        <f t="shared" si="174"/>
        <v/>
      </c>
      <c r="BH709" s="76" t="str">
        <f t="shared" si="175"/>
        <v/>
      </c>
      <c r="BI709" s="76" t="str">
        <f t="shared" si="176"/>
        <v>Lazo</v>
      </c>
      <c r="BJ709" s="1142">
        <f>IF(OR($L707=BJ$652,$L707="",$D707=$BL$651),MAX(BJ$654:BJ708)+1,0)</f>
        <v>0</v>
      </c>
      <c r="BK709" s="1143">
        <f>IF(OR($L707=BK$652,$L707="",$D707=$BL$651),MAX(BK$654:BK708)+1,0)</f>
        <v>0</v>
      </c>
      <c r="BL709" s="1144">
        <f>IF(OR($L707=BL$652,$L707="",$D707=$BL$651),MAX(BL$654:BL708)+1,0)</f>
        <v>54</v>
      </c>
      <c r="BM709" s="2549"/>
      <c r="BN709" s="774" t="str">
        <f t="shared" si="177"/>
        <v/>
      </c>
      <c r="BO709" s="76" t="str">
        <f t="shared" si="178"/>
        <v/>
      </c>
      <c r="BP709" s="76" t="str">
        <f t="shared" si="179"/>
        <v>Lazo</v>
      </c>
      <c r="BQ709" s="1142">
        <f>IF(OR($L707=BQ$652,$L707="",$D707=$BS$651),MAX(BQ$654:BQ708)+1,0)</f>
        <v>0</v>
      </c>
      <c r="BR709" s="1143">
        <f>IF(OR($L707=BR$652,$L707="",$D707=$BS$651),MAX(BR$654:BR708)+1,0)</f>
        <v>0</v>
      </c>
      <c r="BS709" s="1144">
        <f>IF(OR($L707=BS$652,$L707="",$D707=$BS$651),MAX(BS$654:BS708)+1,0)</f>
        <v>54</v>
      </c>
      <c r="BT709" s="2549"/>
      <c r="BU709" s="774" t="str">
        <f t="shared" si="180"/>
        <v/>
      </c>
      <c r="BV709" s="76" t="str">
        <f t="shared" si="181"/>
        <v/>
      </c>
      <c r="BW709" s="76" t="str">
        <f t="shared" si="182"/>
        <v>Lazo</v>
      </c>
      <c r="BX709" s="1142">
        <f>IF(OR($L707=BX$652,$L707="",$D707=$BZ$651),MAX(BX$654:BX708)+1,0)</f>
        <v>0</v>
      </c>
      <c r="BY709" s="1143">
        <f>IF(OR($L707=BY$652,$L707="",$D707=$BZ$651),MAX(BY$654:BY708)+1,0)</f>
        <v>0</v>
      </c>
      <c r="BZ709" s="1144">
        <f>IF(OR($L707=BZ$652,$L707="",$D707=$BZ$651),MAX(BZ$654:BZ708)+1,0)</f>
        <v>54</v>
      </c>
      <c r="CA709" s="2549"/>
      <c r="CB709" s="774" t="str">
        <f t="shared" si="183"/>
        <v/>
      </c>
      <c r="CC709" s="76" t="str">
        <f t="shared" si="184"/>
        <v/>
      </c>
      <c r="CD709" s="76" t="str">
        <f t="shared" si="185"/>
        <v>Lazo</v>
      </c>
      <c r="CE709" s="1142">
        <f>IF(OR($L707=CE$652,$L707="",$D707=$CG$651),MAX(CE$654:CE708)+1,0)</f>
        <v>0</v>
      </c>
      <c r="CF709" s="1143">
        <f>IF(OR($L707=CF$652,$L707="",$D707=$CG$651),MAX(CF$654:CF708)+1,0)</f>
        <v>0</v>
      </c>
      <c r="CG709" s="1144">
        <f>IF(OR($L707=CG$652,$L707="",$D707=$CG$651),MAX(CG$654:CG708)+1,0)</f>
        <v>54</v>
      </c>
      <c r="CI709" s="774" t="str">
        <f t="shared" si="186"/>
        <v/>
      </c>
      <c r="CJ709" s="76" t="str">
        <f t="shared" si="187"/>
        <v/>
      </c>
      <c r="CK709" s="76" t="str">
        <f t="shared" si="188"/>
        <v>Lazo</v>
      </c>
      <c r="CL709" s="1142">
        <f>IF(OR($L707=CL$652,$L707="",$D707=$CN$651),MAX(CL$654:CL708)+1,0)</f>
        <v>0</v>
      </c>
      <c r="CM709" s="1143">
        <f>IF(OR($L707=CM$652,$L707="",$D707=$CN$651),MAX(CM$654:CM708)+1,0)</f>
        <v>0</v>
      </c>
      <c r="CN709" s="1144">
        <f>IF(OR($L707=CN$652,$L707="",$D707=$CN$651),MAX(CN$654:CN708)+1,0)</f>
        <v>54</v>
      </c>
    </row>
    <row r="710" spans="1:92" ht="12.75" customHeight="1">
      <c r="A710" s="219">
        <v>701</v>
      </c>
      <c r="B710" s="7145"/>
      <c r="C710" s="1034"/>
      <c r="D710" s="2237" t="s">
        <v>6592</v>
      </c>
      <c r="E710" s="2239">
        <v>25</v>
      </c>
      <c r="F710" s="2236">
        <v>20</v>
      </c>
      <c r="G710" s="2236">
        <v>5</v>
      </c>
      <c r="H710" s="2236">
        <v>5</v>
      </c>
      <c r="I710" s="2236" t="s">
        <v>1410</v>
      </c>
      <c r="J710" s="2236" t="s">
        <v>1315</v>
      </c>
      <c r="K710" s="2433" t="s">
        <v>6835</v>
      </c>
      <c r="L710" s="2236" t="str">
        <f t="shared" si="192"/>
        <v>Distinta</v>
      </c>
      <c r="M710" s="2240">
        <v>12</v>
      </c>
      <c r="N710" s="2240">
        <v>5</v>
      </c>
      <c r="O710" s="2240">
        <v>15</v>
      </c>
      <c r="P710" s="2236"/>
      <c r="Q710" s="2236"/>
      <c r="R710" s="2236" t="s">
        <v>1315</v>
      </c>
      <c r="S710" s="2236" t="s">
        <v>1315</v>
      </c>
      <c r="T710" s="2236" t="s">
        <v>1315</v>
      </c>
      <c r="U710" s="2236"/>
      <c r="V710" s="2433" t="s">
        <v>6611</v>
      </c>
      <c r="W710" s="2433"/>
      <c r="X710" s="2434" t="str">
        <f t="shared" si="158"/>
        <v>Pequeña</v>
      </c>
      <c r="Y710" s="2229">
        <f t="shared" si="191"/>
        <v>0</v>
      </c>
      <c r="Z710" s="1150" t="str">
        <f t="shared" si="161"/>
        <v/>
      </c>
      <c r="AA710" s="1751" t="s">
        <v>1960</v>
      </c>
      <c r="AC710" s="929" t="s">
        <v>1999</v>
      </c>
      <c r="AD710" s="758">
        <f>IFERROR(IF(IF(AC710&lt;&gt;"",VLOOKUP(AC710,Tabla_ArmasyEscudos,9,0),"")="Conocida",MAX(AD$662:AD709)+1,0),0)</f>
        <v>0</v>
      </c>
      <c r="AE710" s="758">
        <f ca="1">IF(AC710="",0,IF(AD710=0,MAX(AE$654:AE709,AG$652)+1,AD710+IFERROR(VLOOKUP(VLOOKUP(AC710,$D$653:$AA$871,24,0),AC$654:AE$661,3,0)-VLOOKUP(VLOOKUP(AC710,$D$653:$AA$871,24,0),AC$654:AE$661,2,0)+1,0)))</f>
        <v>50</v>
      </c>
      <c r="AF710" s="758" t="str">
        <f t="shared" ca="1" si="162"/>
        <v>Maza Barra</v>
      </c>
      <c r="AG710" s="758" t="str">
        <f t="shared" ca="1" si="163"/>
        <v/>
      </c>
      <c r="AH710" s="2568" t="s">
        <v>2080</v>
      </c>
      <c r="AI710" s="758">
        <f>IFERROR(IF(IF(AH710&lt;&gt;"",VLOOKUP(AH710,Tabla_ArmasyEscudos,9,0),"")="Conocida",MAX(AI$660:AI709)+1,0),0)</f>
        <v>0</v>
      </c>
      <c r="AJ710" s="758">
        <f ca="1">IF(AH710="",0,IF(AI710=0,MAX(AJ$654:AJ709,AL$652)+1,AI710+IFERROR(VLOOKUP(VLOOKUP(AH710,$D$653:$AA$871,24,0),AH$654:AJ$659,3,0)-VLOOKUP(VLOOKUP(AH710,$D$653:$AA$871,24,0),AH$654:AJ$659,2,0)+1,0)))</f>
        <v>52</v>
      </c>
      <c r="AK710" s="758" t="str">
        <f t="shared" ca="1" si="164"/>
        <v>Ophiucos</v>
      </c>
      <c r="AL710" s="758" t="str">
        <f t="shared" ca="1" si="165"/>
        <v/>
      </c>
      <c r="AM710" s="2568"/>
      <c r="AN710" s="758">
        <f>IFERROR(IF(IF(AM710&lt;&gt;"",VLOOKUP(AM710,Tabla_ArmasyEscudos,9,0),"")="Conocida",MAX(AN$660:AN709)+1,0),0)</f>
        <v>0</v>
      </c>
      <c r="AO710" s="758">
        <f>IF(AM710="",0,IF(AN710=0,MAX(AO$654:AO709,AQ$652)+1,AN710+IFERROR(VLOOKUP(VLOOKUP(AM710,$D$653:$AA$871,24,0),AM$654:AO$659,3,0)-VLOOKUP(VLOOKUP(AM710,$D$653:$AA$871,24,0),AM$654:AO$659,2,0)+1,0)))</f>
        <v>0</v>
      </c>
      <c r="AP710" s="758" t="str">
        <f t="shared" ca="1" si="166"/>
        <v/>
      </c>
      <c r="AQ710" s="758" t="str">
        <f t="shared" ca="1" si="167"/>
        <v/>
      </c>
      <c r="AR710" s="2568"/>
      <c r="AS710" s="758">
        <f>IFERROR(IF(IF(AR710&lt;&gt;"",VLOOKUP(AR710,Tabla_ArmasyEscudos,9,0),"")="Conocida",MAX(AS$660:AS709)+1,0),0)</f>
        <v>0</v>
      </c>
      <c r="AT710" s="758">
        <f>IF(AR710="",0,IF(AS710=0,MAX(AT$654:AT709,AV$652)+1,AS710+IFERROR(VLOOKUP(VLOOKUP(AR710,$D$653:$AA$871,24,0),AR$654:AT$659,3,0)-VLOOKUP(VLOOKUP(AR710,$D$653:$AA$871,24,0),AR$654:AT$659,2,0)+1,0)))</f>
        <v>0</v>
      </c>
      <c r="AU710" s="758" t="str">
        <f t="shared" ca="1" si="168"/>
        <v/>
      </c>
      <c r="AV710" s="758" t="str">
        <f t="shared" ca="1" si="169"/>
        <v/>
      </c>
      <c r="AX710" s="1141" t="str">
        <f t="shared" si="170"/>
        <v>Lazo</v>
      </c>
      <c r="AY710" s="2549"/>
      <c r="AZ710" s="774" t="str">
        <f t="shared" si="171"/>
        <v/>
      </c>
      <c r="BA710" s="76" t="str">
        <f t="shared" si="172"/>
        <v/>
      </c>
      <c r="BB710" s="76" t="str">
        <f t="shared" si="173"/>
        <v>Liu Xing Chui</v>
      </c>
      <c r="BC710" s="1142">
        <f>IF(OR($L708=BC$652,$L708="",$D708=$BE$651),MAX(BC$654:BC709)+1,0)</f>
        <v>0</v>
      </c>
      <c r="BD710" s="1143">
        <f>IF(OR($L708=BD$652,$L708="",$D708=$BE$651),MAX(BD$654:BD709)+1,0)</f>
        <v>0</v>
      </c>
      <c r="BE710" s="1144">
        <f>IF(OR($L708=BE$652,$L708="",$D708=$BE$651),MAX(BE$654:BE709)+1,0)</f>
        <v>55</v>
      </c>
      <c r="BF710" s="2549"/>
      <c r="BG710" s="774" t="str">
        <f t="shared" si="174"/>
        <v/>
      </c>
      <c r="BH710" s="76" t="str">
        <f t="shared" si="175"/>
        <v/>
      </c>
      <c r="BI710" s="76" t="str">
        <f t="shared" si="176"/>
        <v>Liu Xing Chui</v>
      </c>
      <c r="BJ710" s="1142">
        <f>IF(OR($L708=BJ$652,$L708="",$D708=$BL$651),MAX(BJ$654:BJ709)+1,0)</f>
        <v>0</v>
      </c>
      <c r="BK710" s="1143">
        <f>IF(OR($L708=BK$652,$L708="",$D708=$BL$651),MAX(BK$654:BK709)+1,0)</f>
        <v>0</v>
      </c>
      <c r="BL710" s="1144">
        <f>IF(OR($L708=BL$652,$L708="",$D708=$BL$651),MAX(BL$654:BL709)+1,0)</f>
        <v>55</v>
      </c>
      <c r="BM710" s="2549"/>
      <c r="BN710" s="774" t="str">
        <f t="shared" si="177"/>
        <v/>
      </c>
      <c r="BO710" s="76" t="str">
        <f t="shared" si="178"/>
        <v/>
      </c>
      <c r="BP710" s="76" t="str">
        <f t="shared" si="179"/>
        <v>Liu Xing Chui</v>
      </c>
      <c r="BQ710" s="1142">
        <f>IF(OR($L708=BQ$652,$L708="",$D708=$BS$651),MAX(BQ$654:BQ709)+1,0)</f>
        <v>0</v>
      </c>
      <c r="BR710" s="1143">
        <f>IF(OR($L708=BR$652,$L708="",$D708=$BS$651),MAX(BR$654:BR709)+1,0)</f>
        <v>0</v>
      </c>
      <c r="BS710" s="1144">
        <f>IF(OR($L708=BS$652,$L708="",$D708=$BS$651),MAX(BS$654:BS709)+1,0)</f>
        <v>55</v>
      </c>
      <c r="BT710" s="2549"/>
      <c r="BU710" s="774" t="str">
        <f t="shared" si="180"/>
        <v/>
      </c>
      <c r="BV710" s="76" t="str">
        <f t="shared" si="181"/>
        <v/>
      </c>
      <c r="BW710" s="76" t="str">
        <f t="shared" si="182"/>
        <v>Liu Xing Chui</v>
      </c>
      <c r="BX710" s="1142">
        <f>IF(OR($L708=BX$652,$L708="",$D708=$BZ$651),MAX(BX$654:BX709)+1,0)</f>
        <v>0</v>
      </c>
      <c r="BY710" s="1143">
        <f>IF(OR($L708=BY$652,$L708="",$D708=$BZ$651),MAX(BY$654:BY709)+1,0)</f>
        <v>0</v>
      </c>
      <c r="BZ710" s="1144">
        <f>IF(OR($L708=BZ$652,$L708="",$D708=$BZ$651),MAX(BZ$654:BZ709)+1,0)</f>
        <v>55</v>
      </c>
      <c r="CA710" s="2549"/>
      <c r="CB710" s="774" t="str">
        <f t="shared" si="183"/>
        <v/>
      </c>
      <c r="CC710" s="76" t="str">
        <f t="shared" si="184"/>
        <v/>
      </c>
      <c r="CD710" s="76" t="str">
        <f t="shared" si="185"/>
        <v>Liu Xing Chui</v>
      </c>
      <c r="CE710" s="1142">
        <f>IF(OR($L708=CE$652,$L708="",$D708=$CG$651),MAX(CE$654:CE709)+1,0)</f>
        <v>0</v>
      </c>
      <c r="CF710" s="1143">
        <f>IF(OR($L708=CF$652,$L708="",$D708=$CG$651),MAX(CF$654:CF709)+1,0)</f>
        <v>0</v>
      </c>
      <c r="CG710" s="1144">
        <f>IF(OR($L708=CG$652,$L708="",$D708=$CG$651),MAX(CG$654:CG709)+1,0)</f>
        <v>55</v>
      </c>
      <c r="CI710" s="774" t="str">
        <f t="shared" si="186"/>
        <v/>
      </c>
      <c r="CJ710" s="76" t="str">
        <f t="shared" si="187"/>
        <v/>
      </c>
      <c r="CK710" s="76" t="str">
        <f t="shared" si="188"/>
        <v>Liu Xing Chui</v>
      </c>
      <c r="CL710" s="1142">
        <f>IF(OR($L708=CL$652,$L708="",$D708=$CN$651),MAX(CL$654:CL709)+1,0)</f>
        <v>0</v>
      </c>
      <c r="CM710" s="1143">
        <f>IF(OR($L708=CM$652,$L708="",$D708=$CN$651),MAX(CM$654:CM709)+1,0)</f>
        <v>0</v>
      </c>
      <c r="CN710" s="1144">
        <f>IF(OR($L708=CN$652,$L708="",$D708=$CN$651),MAX(CN$654:CN709)+1,0)</f>
        <v>55</v>
      </c>
    </row>
    <row r="711" spans="1:92" ht="12.75" customHeight="1">
      <c r="A711" s="219">
        <v>702</v>
      </c>
      <c r="B711" s="7145"/>
      <c r="C711" s="1034"/>
      <c r="D711" s="3876" t="s">
        <v>2003</v>
      </c>
      <c r="E711" s="3877">
        <v>80</v>
      </c>
      <c r="F711" s="3878">
        <v>-50</v>
      </c>
      <c r="G711" s="3878">
        <v>10</v>
      </c>
      <c r="H711" s="3878">
        <v>8</v>
      </c>
      <c r="I711" s="3878" t="s">
        <v>1357</v>
      </c>
      <c r="J711" s="3878" t="s">
        <v>1315</v>
      </c>
      <c r="K711" s="3879" t="s">
        <v>6843</v>
      </c>
      <c r="L711" s="3878" t="str">
        <f t="shared" si="192"/>
        <v>Distinta</v>
      </c>
      <c r="M711" s="3880">
        <v>14</v>
      </c>
      <c r="N711" s="3880">
        <v>6</v>
      </c>
      <c r="O711" s="3880">
        <v>20</v>
      </c>
      <c r="P711" s="3878"/>
      <c r="Q711" s="3878"/>
      <c r="R711" s="3878" t="s">
        <v>1315</v>
      </c>
      <c r="S711" s="3878" t="s">
        <v>1315</v>
      </c>
      <c r="T711" s="3878" t="s">
        <v>1315</v>
      </c>
      <c r="U711" s="3878"/>
      <c r="V711" s="3879" t="s">
        <v>12432</v>
      </c>
      <c r="W711" s="2433"/>
      <c r="X711" s="2434" t="str">
        <f t="shared" si="158"/>
        <v>Grande</v>
      </c>
      <c r="Y711" s="2229">
        <f t="shared" si="191"/>
        <v>0</v>
      </c>
      <c r="Z711" s="1150" t="str">
        <f t="shared" si="161"/>
        <v/>
      </c>
      <c r="AA711" s="1751" t="s">
        <v>1960</v>
      </c>
      <c r="AC711" s="929" t="s">
        <v>2001</v>
      </c>
      <c r="AD711" s="758">
        <f>IFERROR(IF(IF(AC711&lt;&gt;"",VLOOKUP(AC711,Tabla_ArmasyEscudos,9,0),"")="Conocida",MAX(AD$662:AD710)+1,0),0)</f>
        <v>0</v>
      </c>
      <c r="AE711" s="758">
        <f ca="1">IF(AC711="",0,IF(AD711=0,MAX(AE$654:AE710,AG$652)+1,AD711+IFERROR(VLOOKUP(VLOOKUP(AC711,$D$653:$AA$871,24,0),AC$654:AE$661,3,0)-VLOOKUP(VLOOKUP(AC711,$D$653:$AA$871,24,0),AC$654:AE$661,2,0)+1,0)))</f>
        <v>51</v>
      </c>
      <c r="AF711" s="758" t="str">
        <f t="shared" ca="1" si="162"/>
        <v>Maza ligera</v>
      </c>
      <c r="AG711" s="758" t="str">
        <f t="shared" ca="1" si="163"/>
        <v/>
      </c>
      <c r="AH711" s="2568" t="s">
        <v>2081</v>
      </c>
      <c r="AI711" s="758">
        <f>IFERROR(IF(IF(AH711&lt;&gt;"",VLOOKUP(AH711,Tabla_ArmasyEscudos,9,0),"")="Conocida",MAX(AI$660:AI710)+1,0),0)</f>
        <v>0</v>
      </c>
      <c r="AJ711" s="758">
        <f ca="1">IF(AH711="",0,IF(AI711=0,MAX(AJ$654:AJ710,AL$652)+1,AI711+IFERROR(VLOOKUP(VLOOKUP(AH711,$D$653:$AA$871,24,0),AH$654:AJ$659,3,0)-VLOOKUP(VLOOKUP(AH711,$D$653:$AA$871,24,0),AH$654:AJ$659,2,0)+1,0)))</f>
        <v>53</v>
      </c>
      <c r="AK711" s="758" t="str">
        <f t="shared" ca="1" si="164"/>
        <v>Taurus</v>
      </c>
      <c r="AL711" s="758" t="str">
        <f t="shared" ca="1" si="165"/>
        <v/>
      </c>
      <c r="AM711" s="2568"/>
      <c r="AN711" s="758">
        <f>IFERROR(IF(IF(AM711&lt;&gt;"",VLOOKUP(AM711,Tabla_ArmasyEscudos,9,0),"")="Conocida",MAX(AN$660:AN710)+1,0),0)</f>
        <v>0</v>
      </c>
      <c r="AO711" s="758">
        <f>IF(AM711="",0,IF(AN711=0,MAX(AO$654:AO710,AQ$652)+1,AN711+IFERROR(VLOOKUP(VLOOKUP(AM711,$D$653:$AA$871,24,0),AM$654:AO$659,3,0)-VLOOKUP(VLOOKUP(AM711,$D$653:$AA$871,24,0),AM$654:AO$659,2,0)+1,0)))</f>
        <v>0</v>
      </c>
      <c r="AP711" s="758" t="str">
        <f t="shared" ca="1" si="166"/>
        <v/>
      </c>
      <c r="AQ711" s="758" t="str">
        <f t="shared" ca="1" si="167"/>
        <v/>
      </c>
      <c r="AR711" s="2568"/>
      <c r="AS711" s="758">
        <f>IFERROR(IF(IF(AR711&lt;&gt;"",VLOOKUP(AR711,Tabla_ArmasyEscudos,9,0),"")="Conocida",MAX(AS$660:AS710)+1,0),0)</f>
        <v>0</v>
      </c>
      <c r="AT711" s="758">
        <f>IF(AR711="",0,IF(AS711=0,MAX(AT$654:AT710,AV$652)+1,AS711+IFERROR(VLOOKUP(VLOOKUP(AR711,$D$653:$AA$871,24,0),AR$654:AT$659,3,0)-VLOOKUP(VLOOKUP(AR711,$D$653:$AA$871,24,0),AR$654:AT$659,2,0)+1,0)))</f>
        <v>0</v>
      </c>
      <c r="AU711" s="758" t="str">
        <f t="shared" ca="1" si="168"/>
        <v/>
      </c>
      <c r="AV711" s="758" t="str">
        <f t="shared" ca="1" si="169"/>
        <v/>
      </c>
      <c r="AX711" s="1141" t="str">
        <f t="shared" si="170"/>
        <v>Liu Xing Chui</v>
      </c>
      <c r="AY711" s="2549"/>
      <c r="AZ711" s="774" t="str">
        <f t="shared" si="171"/>
        <v/>
      </c>
      <c r="BA711" s="76" t="str">
        <f t="shared" si="172"/>
        <v/>
      </c>
      <c r="BB711" s="76" t="str">
        <f t="shared" si="173"/>
        <v>Lujiaodao</v>
      </c>
      <c r="BC711" s="1142">
        <f>IF(OR($L709=BC$652,$L709="",$D709=$BE$651),MAX(BC$654:BC710)+1,0)</f>
        <v>0</v>
      </c>
      <c r="BD711" s="1143">
        <f>IF(OR($L709=BD$652,$L709="",$D709=$BE$651),MAX(BD$654:BD710)+1,0)</f>
        <v>0</v>
      </c>
      <c r="BE711" s="1144">
        <f>IF(OR($L709=BE$652,$L709="",$D709=$BE$651),MAX(BE$654:BE710)+1,0)</f>
        <v>56</v>
      </c>
      <c r="BF711" s="2549"/>
      <c r="BG711" s="774" t="str">
        <f t="shared" si="174"/>
        <v/>
      </c>
      <c r="BH711" s="76" t="str">
        <f t="shared" si="175"/>
        <v/>
      </c>
      <c r="BI711" s="76" t="str">
        <f t="shared" si="176"/>
        <v>Lujiaodao</v>
      </c>
      <c r="BJ711" s="1142">
        <f>IF(OR($L709=BJ$652,$L709="",$D709=$BL$651),MAX(BJ$654:BJ710)+1,0)</f>
        <v>0</v>
      </c>
      <c r="BK711" s="1143">
        <f>IF(OR($L709=BK$652,$L709="",$D709=$BL$651),MAX(BK$654:BK710)+1,0)</f>
        <v>0</v>
      </c>
      <c r="BL711" s="1144">
        <f>IF(OR($L709=BL$652,$L709="",$D709=$BL$651),MAX(BL$654:BL710)+1,0)</f>
        <v>56</v>
      </c>
      <c r="BM711" s="2549"/>
      <c r="BN711" s="774" t="str">
        <f t="shared" si="177"/>
        <v/>
      </c>
      <c r="BO711" s="76" t="str">
        <f t="shared" si="178"/>
        <v/>
      </c>
      <c r="BP711" s="76" t="str">
        <f t="shared" si="179"/>
        <v>Lujiaodao</v>
      </c>
      <c r="BQ711" s="1142">
        <f>IF(OR($L709=BQ$652,$L709="",$D709=$BS$651),MAX(BQ$654:BQ710)+1,0)</f>
        <v>0</v>
      </c>
      <c r="BR711" s="1143">
        <f>IF(OR($L709=BR$652,$L709="",$D709=$BS$651),MAX(BR$654:BR710)+1,0)</f>
        <v>0</v>
      </c>
      <c r="BS711" s="1144">
        <f>IF(OR($L709=BS$652,$L709="",$D709=$BS$651),MAX(BS$654:BS710)+1,0)</f>
        <v>56</v>
      </c>
      <c r="BT711" s="2549"/>
      <c r="BU711" s="774" t="str">
        <f t="shared" si="180"/>
        <v/>
      </c>
      <c r="BV711" s="76" t="str">
        <f t="shared" si="181"/>
        <v/>
      </c>
      <c r="BW711" s="76" t="str">
        <f t="shared" si="182"/>
        <v>Lujiaodao</v>
      </c>
      <c r="BX711" s="1142">
        <f>IF(OR($L709=BX$652,$L709="",$D709=$BZ$651),MAX(BX$654:BX710)+1,0)</f>
        <v>0</v>
      </c>
      <c r="BY711" s="1143">
        <f>IF(OR($L709=BY$652,$L709="",$D709=$BZ$651),MAX(BY$654:BY710)+1,0)</f>
        <v>0</v>
      </c>
      <c r="BZ711" s="1144">
        <f>IF(OR($L709=BZ$652,$L709="",$D709=$BZ$651),MAX(BZ$654:BZ710)+1,0)</f>
        <v>56</v>
      </c>
      <c r="CA711" s="2549"/>
      <c r="CB711" s="774" t="str">
        <f t="shared" si="183"/>
        <v/>
      </c>
      <c r="CC711" s="76" t="str">
        <f t="shared" si="184"/>
        <v/>
      </c>
      <c r="CD711" s="76" t="str">
        <f t="shared" si="185"/>
        <v>Lujiaodao</v>
      </c>
      <c r="CE711" s="1142">
        <f>IF(OR($L709=CE$652,$L709="",$D709=$CG$651),MAX(CE$654:CE710)+1,0)</f>
        <v>0</v>
      </c>
      <c r="CF711" s="1143">
        <f>IF(OR($L709=CF$652,$L709="",$D709=$CG$651),MAX(CF$654:CF710)+1,0)</f>
        <v>0</v>
      </c>
      <c r="CG711" s="1144">
        <f>IF(OR($L709=CG$652,$L709="",$D709=$CG$651),MAX(CG$654:CG710)+1,0)</f>
        <v>56</v>
      </c>
      <c r="CI711" s="774" t="str">
        <f t="shared" si="186"/>
        <v/>
      </c>
      <c r="CJ711" s="76" t="str">
        <f t="shared" si="187"/>
        <v/>
      </c>
      <c r="CK711" s="76" t="str">
        <f t="shared" si="188"/>
        <v>Lujiaodao</v>
      </c>
      <c r="CL711" s="1142">
        <f>IF(OR($L709=CL$652,$L709="",$D709=$CN$651),MAX(CL$654:CL710)+1,0)</f>
        <v>0</v>
      </c>
      <c r="CM711" s="1143">
        <f>IF(OR($L709=CM$652,$L709="",$D709=$CN$651),MAX(CM$654:CM710)+1,0)</f>
        <v>0</v>
      </c>
      <c r="CN711" s="1144">
        <f>IF(OR($L709=CN$652,$L709="",$D709=$CN$651),MAX(CN$654:CN710)+1,0)</f>
        <v>56</v>
      </c>
    </row>
    <row r="712" spans="1:92" ht="12.75" customHeight="1">
      <c r="A712" s="219">
        <v>703</v>
      </c>
      <c r="B712" s="7145"/>
      <c r="C712" s="1034"/>
      <c r="D712" s="2237" t="s">
        <v>2005</v>
      </c>
      <c r="E712" s="2239">
        <v>50</v>
      </c>
      <c r="F712" s="2236">
        <v>-5</v>
      </c>
      <c r="G712" s="2236">
        <v>6</v>
      </c>
      <c r="H712" s="2236">
        <v>6</v>
      </c>
      <c r="I712" s="2236" t="s">
        <v>1357</v>
      </c>
      <c r="J712" s="2236" t="s">
        <v>1315</v>
      </c>
      <c r="K712" s="2433" t="s">
        <v>6836</v>
      </c>
      <c r="L712" s="2236" t="str">
        <f t="shared" si="192"/>
        <v>Distinta</v>
      </c>
      <c r="M712" s="2240">
        <v>15</v>
      </c>
      <c r="N712" s="2240">
        <v>4</v>
      </c>
      <c r="O712" s="2240">
        <v>15</v>
      </c>
      <c r="P712" s="2236"/>
      <c r="Q712" s="2236"/>
      <c r="R712" s="2236" t="s">
        <v>1315</v>
      </c>
      <c r="S712" s="2236" t="s">
        <v>1315</v>
      </c>
      <c r="T712" s="2236" t="s">
        <v>1315</v>
      </c>
      <c r="U712" s="2236"/>
      <c r="V712" s="2433" t="s">
        <v>1315</v>
      </c>
      <c r="W712" s="2433"/>
      <c r="X712" s="2434" t="str">
        <f t="shared" si="158"/>
        <v>Mediana</v>
      </c>
      <c r="Y712" s="2229">
        <f t="shared" si="191"/>
        <v>0</v>
      </c>
      <c r="Z712" s="1150" t="str">
        <f t="shared" si="161"/>
        <v/>
      </c>
      <c r="AA712" s="1751" t="s">
        <v>1960</v>
      </c>
      <c r="AC712" s="929" t="s">
        <v>6592</v>
      </c>
      <c r="AD712" s="758">
        <f>IFERROR(IF(IF(AC712&lt;&gt;"",VLOOKUP(AC712,Tabla_ArmasyEscudos,9,0),"")="Conocida",MAX(AD$662:AD711)+1,0),0)</f>
        <v>0</v>
      </c>
      <c r="AE712" s="758">
        <f ca="1">IF(AC712="",0,IF(AD712=0,MAX(AE$654:AE711,AG$652)+1,AD712+IFERROR(VLOOKUP(VLOOKUP(AC712,$D$653:$AA$871,24,0),AC$654:AE$661,3,0)-VLOOKUP(VLOOKUP(AC712,$D$653:$AA$871,24,0),AC$654:AE$661,2,0)+1,0)))</f>
        <v>52</v>
      </c>
      <c r="AF712" s="758" t="str">
        <f t="shared" ca="1" si="162"/>
        <v>Maza pesada</v>
      </c>
      <c r="AG712" s="758" t="str">
        <f t="shared" ca="1" si="163"/>
        <v/>
      </c>
      <c r="AH712" s="2568" t="s">
        <v>2083</v>
      </c>
      <c r="AI712" s="758">
        <f>IFERROR(IF(IF(AH712&lt;&gt;"",VLOOKUP(AH712,Tabla_ArmasyEscudos,9,0),"")="Conocida",MAX(AI$660:AI711)+1,0),0)</f>
        <v>0</v>
      </c>
      <c r="AJ712" s="758">
        <f ca="1">IF(AH712="",0,IF(AI712=0,MAX(AJ$654:AJ711,AL$652)+1,AI712+IFERROR(VLOOKUP(VLOOKUP(AH712,$D$653:$AA$871,24,0),AH$654:AJ$659,3,0)-VLOOKUP(VLOOKUP(AH712,$D$653:$AA$871,24,0),AH$654:AJ$659,2,0)+1,0)))</f>
        <v>54</v>
      </c>
      <c r="AK712" s="758" t="str">
        <f t="shared" ca="1" si="164"/>
        <v>Sol (Cañón)</v>
      </c>
      <c r="AL712" s="758" t="str">
        <f t="shared" ca="1" si="165"/>
        <v/>
      </c>
      <c r="AM712" s="2568"/>
      <c r="AN712" s="758">
        <f>IFERROR(IF(IF(AM712&lt;&gt;"",VLOOKUP(AM712,Tabla_ArmasyEscudos,9,0),"")="Conocida",MAX(AN$660:AN711)+1,0),0)</f>
        <v>0</v>
      </c>
      <c r="AO712" s="758">
        <f>IF(AM712="",0,IF(AN712=0,MAX(AO$654:AO711,AQ$652)+1,AN712+IFERROR(VLOOKUP(VLOOKUP(AM712,$D$653:$AA$871,24,0),AM$654:AO$659,3,0)-VLOOKUP(VLOOKUP(AM712,$D$653:$AA$871,24,0),AM$654:AO$659,2,0)+1,0)))</f>
        <v>0</v>
      </c>
      <c r="AP712" s="758" t="str">
        <f t="shared" ca="1" si="166"/>
        <v/>
      </c>
      <c r="AQ712" s="758" t="str">
        <f t="shared" ca="1" si="167"/>
        <v/>
      </c>
      <c r="AR712" s="2568"/>
      <c r="AS712" s="758">
        <f>IFERROR(IF(IF(AR712&lt;&gt;"",VLOOKUP(AR712,Tabla_ArmasyEscudos,9,0),"")="Conocida",MAX(AS$660:AS711)+1,0),0)</f>
        <v>0</v>
      </c>
      <c r="AT712" s="758">
        <f>IF(AR712="",0,IF(AS712=0,MAX(AT$654:AT711,AV$652)+1,AS712+IFERROR(VLOOKUP(VLOOKUP(AR712,$D$653:$AA$871,24,0),AR$654:AT$659,3,0)-VLOOKUP(VLOOKUP(AR712,$D$653:$AA$871,24,0),AR$654:AT$659,2,0)+1,0)))</f>
        <v>0</v>
      </c>
      <c r="AU712" s="758" t="str">
        <f t="shared" ca="1" si="168"/>
        <v/>
      </c>
      <c r="AV712" s="758" t="str">
        <f t="shared" ca="1" si="169"/>
        <v/>
      </c>
      <c r="AX712" s="1141" t="str">
        <f t="shared" si="170"/>
        <v>Lujiaodao</v>
      </c>
      <c r="AY712" s="2549"/>
      <c r="AZ712" s="774" t="str">
        <f t="shared" si="171"/>
        <v/>
      </c>
      <c r="BA712" s="76" t="str">
        <f t="shared" si="172"/>
        <v/>
      </c>
      <c r="BB712" s="76" t="str">
        <f t="shared" si="173"/>
        <v>Mangual</v>
      </c>
      <c r="BC712" s="1142">
        <f>IF(OR($L710=BC$652,$L710="",$D710=$BE$651),MAX(BC$654:BC711)+1,0)</f>
        <v>0</v>
      </c>
      <c r="BD712" s="1143">
        <f>IF(OR($L710=BD$652,$L710="",$D710=$BE$651),MAX(BD$654:BD711)+1,0)</f>
        <v>0</v>
      </c>
      <c r="BE712" s="1144">
        <f>IF(OR($L710=BE$652,$L710="",$D710=$BE$651),MAX(BE$654:BE711)+1,0)</f>
        <v>57</v>
      </c>
      <c r="BF712" s="2549"/>
      <c r="BG712" s="774" t="str">
        <f t="shared" si="174"/>
        <v/>
      </c>
      <c r="BH712" s="76" t="str">
        <f t="shared" si="175"/>
        <v/>
      </c>
      <c r="BI712" s="76" t="str">
        <f t="shared" si="176"/>
        <v>Mangual</v>
      </c>
      <c r="BJ712" s="1142">
        <f>IF(OR($L710=BJ$652,$L710="",$D710=$BL$651),MAX(BJ$654:BJ711)+1,0)</f>
        <v>0</v>
      </c>
      <c r="BK712" s="1143">
        <f>IF(OR($L710=BK$652,$L710="",$D710=$BL$651),MAX(BK$654:BK711)+1,0)</f>
        <v>0</v>
      </c>
      <c r="BL712" s="1144">
        <f>IF(OR($L710=BL$652,$L710="",$D710=$BL$651),MAX(BL$654:BL711)+1,0)</f>
        <v>57</v>
      </c>
      <c r="BM712" s="2549"/>
      <c r="BN712" s="774" t="str">
        <f t="shared" si="177"/>
        <v/>
      </c>
      <c r="BO712" s="76" t="str">
        <f t="shared" si="178"/>
        <v/>
      </c>
      <c r="BP712" s="76" t="str">
        <f t="shared" si="179"/>
        <v>Mangual</v>
      </c>
      <c r="BQ712" s="1142">
        <f>IF(OR($L710=BQ$652,$L710="",$D710=$BS$651),MAX(BQ$654:BQ711)+1,0)</f>
        <v>0</v>
      </c>
      <c r="BR712" s="1143">
        <f>IF(OR($L710=BR$652,$L710="",$D710=$BS$651),MAX(BR$654:BR711)+1,0)</f>
        <v>0</v>
      </c>
      <c r="BS712" s="1144">
        <f>IF(OR($L710=BS$652,$L710="",$D710=$BS$651),MAX(BS$654:BS711)+1,0)</f>
        <v>57</v>
      </c>
      <c r="BT712" s="2549"/>
      <c r="BU712" s="774" t="str">
        <f t="shared" si="180"/>
        <v/>
      </c>
      <c r="BV712" s="76" t="str">
        <f t="shared" si="181"/>
        <v/>
      </c>
      <c r="BW712" s="76" t="str">
        <f t="shared" si="182"/>
        <v>Mangual</v>
      </c>
      <c r="BX712" s="1142">
        <f>IF(OR($L710=BX$652,$L710="",$D710=$BZ$651),MAX(BX$654:BX711)+1,0)</f>
        <v>0</v>
      </c>
      <c r="BY712" s="1143">
        <f>IF(OR($L710=BY$652,$L710="",$D710=$BZ$651),MAX(BY$654:BY711)+1,0)</f>
        <v>0</v>
      </c>
      <c r="BZ712" s="1144">
        <f>IF(OR($L710=BZ$652,$L710="",$D710=$BZ$651),MAX(BZ$654:BZ711)+1,0)</f>
        <v>57</v>
      </c>
      <c r="CA712" s="2549"/>
      <c r="CB712" s="774" t="str">
        <f t="shared" si="183"/>
        <v/>
      </c>
      <c r="CC712" s="76" t="str">
        <f t="shared" si="184"/>
        <v/>
      </c>
      <c r="CD712" s="76" t="str">
        <f t="shared" si="185"/>
        <v>Mangual</v>
      </c>
      <c r="CE712" s="1142">
        <f>IF(OR($L710=CE$652,$L710="",$D710=$CG$651),MAX(CE$654:CE711)+1,0)</f>
        <v>0</v>
      </c>
      <c r="CF712" s="1143">
        <f>IF(OR($L710=CF$652,$L710="",$D710=$CG$651),MAX(CF$654:CF711)+1,0)</f>
        <v>0</v>
      </c>
      <c r="CG712" s="1144">
        <f>IF(OR($L710=CG$652,$L710="",$D710=$CG$651),MAX(CG$654:CG711)+1,0)</f>
        <v>57</v>
      </c>
      <c r="CI712" s="774" t="str">
        <f t="shared" si="186"/>
        <v/>
      </c>
      <c r="CJ712" s="76" t="str">
        <f t="shared" si="187"/>
        <v/>
      </c>
      <c r="CK712" s="76" t="str">
        <f t="shared" si="188"/>
        <v>Mangual</v>
      </c>
      <c r="CL712" s="1142">
        <f>IF(OR($L710=CL$652,$L710="",$D710=$CN$651),MAX(CL$654:CL711)+1,0)</f>
        <v>0</v>
      </c>
      <c r="CM712" s="1143">
        <f>IF(OR($L710=CM$652,$L710="",$D710=$CN$651),MAX(CM$654:CM711)+1,0)</f>
        <v>0</v>
      </c>
      <c r="CN712" s="1144">
        <f>IF(OR($L710=CN$652,$L710="",$D710=$CN$651),MAX(CN$654:CN711)+1,0)</f>
        <v>57</v>
      </c>
    </row>
    <row r="713" spans="1:92" ht="12.75" customHeight="1">
      <c r="A713" s="219">
        <v>704</v>
      </c>
      <c r="B713" s="7145"/>
      <c r="C713" s="1034"/>
      <c r="D713" s="2237" t="s">
        <v>2006</v>
      </c>
      <c r="E713" s="2239">
        <v>40</v>
      </c>
      <c r="F713" s="2236">
        <v>0</v>
      </c>
      <c r="G713" s="2236">
        <v>6</v>
      </c>
      <c r="H713" s="2236">
        <v>6</v>
      </c>
      <c r="I713" s="2236" t="s">
        <v>1357</v>
      </c>
      <c r="J713" s="2236" t="s">
        <v>1315</v>
      </c>
      <c r="K713" s="2433" t="s">
        <v>6844</v>
      </c>
      <c r="L713" s="2236" t="str">
        <f t="shared" si="192"/>
        <v>Distinta</v>
      </c>
      <c r="M713" s="2240">
        <v>13</v>
      </c>
      <c r="N713" s="2240">
        <v>4</v>
      </c>
      <c r="O713" s="2240">
        <v>15</v>
      </c>
      <c r="P713" s="2236"/>
      <c r="Q713" s="2236"/>
      <c r="R713" s="2236" t="s">
        <v>1315</v>
      </c>
      <c r="S713" s="2236" t="s">
        <v>1315</v>
      </c>
      <c r="T713" s="2236" t="s">
        <v>1315</v>
      </c>
      <c r="U713" s="2236"/>
      <c r="V713" s="2433" t="s">
        <v>2004</v>
      </c>
      <c r="W713" s="2433"/>
      <c r="X713" s="2434" t="str">
        <f t="shared" si="158"/>
        <v>Mediana</v>
      </c>
      <c r="Y713" s="2229">
        <f t="shared" si="191"/>
        <v>0</v>
      </c>
      <c r="Z713" s="1150" t="str">
        <f t="shared" si="161"/>
        <v/>
      </c>
      <c r="AA713" s="1751" t="s">
        <v>1960</v>
      </c>
      <c r="AC713" s="929" t="s">
        <v>2003</v>
      </c>
      <c r="AD713" s="758">
        <f>IFERROR(IF(IF(AC713&lt;&gt;"",VLOOKUP(AC713,Tabla_ArmasyEscudos,9,0),"")="Conocida",MAX(AD$662:AD712)+1,0),0)</f>
        <v>0</v>
      </c>
      <c r="AE713" s="758">
        <f ca="1">IF(AC713="",0,IF(AD713=0,MAX(AE$654:AE712,AG$652)+1,AD713+IFERROR(VLOOKUP(VLOOKUP(AC713,$D$653:$AA$871,24,0),AC$654:AE$661,3,0)-VLOOKUP(VLOOKUP(AC713,$D$653:$AA$871,24,0),AC$654:AE$661,2,0)+1,0)))</f>
        <v>53</v>
      </c>
      <c r="AF713" s="758" t="str">
        <f t="shared" ca="1" si="162"/>
        <v>Pata</v>
      </c>
      <c r="AG713" s="758" t="str">
        <f t="shared" ca="1" si="163"/>
        <v/>
      </c>
      <c r="AH713" s="2568" t="s">
        <v>2084</v>
      </c>
      <c r="AI713" s="758">
        <f>IFERROR(IF(IF(AH713&lt;&gt;"",VLOOKUP(AH713,Tabla_ArmasyEscudos,9,0),"")="Conocida",MAX(AI$660:AI712)+1,0),0)</f>
        <v>0</v>
      </c>
      <c r="AJ713" s="758">
        <f ca="1">IF(AH713="",0,IF(AI713=0,MAX(AJ$654:AJ712,AL$652)+1,AI713+IFERROR(VLOOKUP(VLOOKUP(AH713,$D$653:$AA$871,24,0),AH$654:AJ$659,3,0)-VLOOKUP(VLOOKUP(AH713,$D$653:$AA$871,24,0),AH$654:AJ$659,2,0)+1,0)))</f>
        <v>55</v>
      </c>
      <c r="AK713" s="758" t="str">
        <f t="shared" ca="1" si="164"/>
        <v>Sol (Parasol)</v>
      </c>
      <c r="AL713" s="758" t="str">
        <f t="shared" ca="1" si="165"/>
        <v/>
      </c>
      <c r="AM713" s="2568"/>
      <c r="AN713" s="758">
        <f>IFERROR(IF(IF(AM713&lt;&gt;"",VLOOKUP(AM713,Tabla_ArmasyEscudos,9,0),"")="Conocida",MAX(AN$660:AN712)+1,0),0)</f>
        <v>0</v>
      </c>
      <c r="AO713" s="758">
        <f>IF(AM713="",0,IF(AN713=0,MAX(AO$654:AO712,AQ$652)+1,AN713+IFERROR(VLOOKUP(VLOOKUP(AM713,$D$653:$AA$871,24,0),AM$654:AO$659,3,0)-VLOOKUP(VLOOKUP(AM713,$D$653:$AA$871,24,0),AM$654:AO$659,2,0)+1,0)))</f>
        <v>0</v>
      </c>
      <c r="AP713" s="758" t="str">
        <f t="shared" ca="1" si="166"/>
        <v/>
      </c>
      <c r="AQ713" s="758" t="str">
        <f t="shared" ca="1" si="167"/>
        <v/>
      </c>
      <c r="AR713" s="2568"/>
      <c r="AS713" s="758">
        <f>IFERROR(IF(IF(AR713&lt;&gt;"",VLOOKUP(AR713,Tabla_ArmasyEscudos,9,0),"")="Conocida",MAX(AS$660:AS712)+1,0),0)</f>
        <v>0</v>
      </c>
      <c r="AT713" s="758">
        <f>IF(AR713="",0,IF(AS713=0,MAX(AT$654:AT712,AV$652)+1,AS713+IFERROR(VLOOKUP(VLOOKUP(AR713,$D$653:$AA$871,24,0),AR$654:AT$659,3,0)-VLOOKUP(VLOOKUP(AR713,$D$653:$AA$871,24,0),AR$654:AT$659,2,0)+1,0)))</f>
        <v>0</v>
      </c>
      <c r="AU713" s="758" t="str">
        <f t="shared" ca="1" si="168"/>
        <v/>
      </c>
      <c r="AV713" s="758" t="str">
        <f t="shared" ca="1" si="169"/>
        <v/>
      </c>
      <c r="AX713" s="1141" t="str">
        <f t="shared" si="170"/>
        <v>Mangual</v>
      </c>
      <c r="AY713" s="2549"/>
      <c r="AZ713" s="774" t="str">
        <f t="shared" si="171"/>
        <v/>
      </c>
      <c r="BA713" s="76" t="str">
        <f t="shared" si="172"/>
        <v/>
      </c>
      <c r="BB713" s="76" t="str">
        <f t="shared" si="173"/>
        <v>Martillo de guerra</v>
      </c>
      <c r="BC713" s="1142">
        <f>IF(OR($L711=BC$652,$L711="",$D711=$BE$651),MAX(BC$654:BC712)+1,0)</f>
        <v>0</v>
      </c>
      <c r="BD713" s="1143">
        <f>IF(OR($L711=BD$652,$L711="",$D711=$BE$651),MAX(BD$654:BD712)+1,0)</f>
        <v>0</v>
      </c>
      <c r="BE713" s="1144">
        <f>IF(OR($L711=BE$652,$L711="",$D711=$BE$651),MAX(BE$654:BE712)+1,0)</f>
        <v>58</v>
      </c>
      <c r="BF713" s="2549"/>
      <c r="BG713" s="774" t="str">
        <f t="shared" si="174"/>
        <v/>
      </c>
      <c r="BH713" s="76" t="str">
        <f t="shared" si="175"/>
        <v/>
      </c>
      <c r="BI713" s="76" t="str">
        <f t="shared" si="176"/>
        <v>Martillo de guerra</v>
      </c>
      <c r="BJ713" s="1142">
        <f>IF(OR($L711=BJ$652,$L711="",$D711=$BL$651),MAX(BJ$654:BJ712)+1,0)</f>
        <v>0</v>
      </c>
      <c r="BK713" s="1143">
        <f>IF(OR($L711=BK$652,$L711="",$D711=$BL$651),MAX(BK$654:BK712)+1,0)</f>
        <v>0</v>
      </c>
      <c r="BL713" s="1144">
        <f>IF(OR($L711=BL$652,$L711="",$D711=$BL$651),MAX(BL$654:BL712)+1,0)</f>
        <v>58</v>
      </c>
      <c r="BM713" s="2549"/>
      <c r="BN713" s="774" t="str">
        <f t="shared" si="177"/>
        <v/>
      </c>
      <c r="BO713" s="76" t="str">
        <f t="shared" si="178"/>
        <v/>
      </c>
      <c r="BP713" s="76" t="str">
        <f t="shared" si="179"/>
        <v>Martillo de guerra</v>
      </c>
      <c r="BQ713" s="1142">
        <f>IF(OR($L711=BQ$652,$L711="",$D711=$BS$651),MAX(BQ$654:BQ712)+1,0)</f>
        <v>0</v>
      </c>
      <c r="BR713" s="1143">
        <f>IF(OR($L711=BR$652,$L711="",$D711=$BS$651),MAX(BR$654:BR712)+1,0)</f>
        <v>0</v>
      </c>
      <c r="BS713" s="1144">
        <f>IF(OR($L711=BS$652,$L711="",$D711=$BS$651),MAX(BS$654:BS712)+1,0)</f>
        <v>58</v>
      </c>
      <c r="BT713" s="2549"/>
      <c r="BU713" s="774" t="str">
        <f t="shared" si="180"/>
        <v/>
      </c>
      <c r="BV713" s="76" t="str">
        <f t="shared" si="181"/>
        <v/>
      </c>
      <c r="BW713" s="76" t="str">
        <f t="shared" si="182"/>
        <v>Martillo de guerra</v>
      </c>
      <c r="BX713" s="1142">
        <f>IF(OR($L711=BX$652,$L711="",$D711=$BZ$651),MAX(BX$654:BX712)+1,0)</f>
        <v>0</v>
      </c>
      <c r="BY713" s="1143">
        <f>IF(OR($L711=BY$652,$L711="",$D711=$BZ$651),MAX(BY$654:BY712)+1,0)</f>
        <v>0</v>
      </c>
      <c r="BZ713" s="1144">
        <f>IF(OR($L711=BZ$652,$L711="",$D711=$BZ$651),MAX(BZ$654:BZ712)+1,0)</f>
        <v>58</v>
      </c>
      <c r="CA713" s="2549"/>
      <c r="CB713" s="774" t="str">
        <f t="shared" si="183"/>
        <v/>
      </c>
      <c r="CC713" s="76" t="str">
        <f t="shared" si="184"/>
        <v/>
      </c>
      <c r="CD713" s="76" t="str">
        <f t="shared" si="185"/>
        <v>Martillo de guerra</v>
      </c>
      <c r="CE713" s="1142">
        <f>IF(OR($L711=CE$652,$L711="",$D711=$CG$651),MAX(CE$654:CE712)+1,0)</f>
        <v>0</v>
      </c>
      <c r="CF713" s="1143">
        <f>IF(OR($L711=CF$652,$L711="",$D711=$CG$651),MAX(CF$654:CF712)+1,0)</f>
        <v>0</v>
      </c>
      <c r="CG713" s="1144">
        <f>IF(OR($L711=CG$652,$L711="",$D711=$CG$651),MAX(CG$654:CG712)+1,0)</f>
        <v>58</v>
      </c>
      <c r="CI713" s="774" t="str">
        <f t="shared" si="186"/>
        <v/>
      </c>
      <c r="CJ713" s="76" t="str">
        <f t="shared" si="187"/>
        <v/>
      </c>
      <c r="CK713" s="76" t="str">
        <f t="shared" si="188"/>
        <v>Martillo de guerra</v>
      </c>
      <c r="CL713" s="1142">
        <f>IF(OR($L711=CL$652,$L711="",$D711=$CN$651),MAX(CL$654:CL712)+1,0)</f>
        <v>0</v>
      </c>
      <c r="CM713" s="1143">
        <f>IF(OR($L711=CM$652,$L711="",$D711=$CN$651),MAX(CM$654:CM712)+1,0)</f>
        <v>0</v>
      </c>
      <c r="CN713" s="1144">
        <f>IF(OR($L711=CN$652,$L711="",$D711=$CN$651),MAX(CN$654:CN712)+1,0)</f>
        <v>58</v>
      </c>
    </row>
    <row r="714" spans="1:92" ht="12.75" customHeight="1">
      <c r="A714" s="219">
        <v>705</v>
      </c>
      <c r="B714" s="7145"/>
      <c r="C714" s="1034"/>
      <c r="D714" s="2237" t="s">
        <v>6574</v>
      </c>
      <c r="E714" s="2239">
        <v>50</v>
      </c>
      <c r="F714" s="2236">
        <v>0</v>
      </c>
      <c r="G714" s="2236">
        <v>7</v>
      </c>
      <c r="H714" s="2236">
        <v>6</v>
      </c>
      <c r="I714" s="2236" t="s">
        <v>1357</v>
      </c>
      <c r="J714" s="2236" t="s">
        <v>1315</v>
      </c>
      <c r="K714" s="2433" t="s">
        <v>6836</v>
      </c>
      <c r="L714" s="2236" t="str">
        <f t="shared" si="192"/>
        <v>Distinta</v>
      </c>
      <c r="M714" s="2240">
        <v>14</v>
      </c>
      <c r="N714" s="2240">
        <v>4</v>
      </c>
      <c r="O714" s="2240">
        <v>20</v>
      </c>
      <c r="P714" s="2236"/>
      <c r="Q714" s="2236"/>
      <c r="R714" s="2236" t="s">
        <v>1315</v>
      </c>
      <c r="S714" s="2236" t="s">
        <v>1315</v>
      </c>
      <c r="T714" s="2236" t="s">
        <v>1315</v>
      </c>
      <c r="U714" s="2236"/>
      <c r="V714" s="2433" t="s">
        <v>1979</v>
      </c>
      <c r="W714" s="2433"/>
      <c r="X714" s="2434" t="str">
        <f t="shared" si="158"/>
        <v>Mediana</v>
      </c>
      <c r="Y714" s="2229">
        <f t="shared" si="191"/>
        <v>0</v>
      </c>
      <c r="Z714" s="1150" t="str">
        <f t="shared" si="161"/>
        <v/>
      </c>
      <c r="AA714" s="1751" t="s">
        <v>1960</v>
      </c>
      <c r="AC714" s="929" t="s">
        <v>2005</v>
      </c>
      <c r="AD714" s="758">
        <f>IFERROR(IF(IF(AC714&lt;&gt;"",VLOOKUP(AC714,Tabla_ArmasyEscudos,9,0),"")="Conocida",MAX(AD$662:AD713)+1,0),0)</f>
        <v>0</v>
      </c>
      <c r="AE714" s="758">
        <f ca="1">IF(AC714="",0,IF(AD714=0,MAX(AE$654:AE713,AG$652)+1,AD714+IFERROR(VLOOKUP(VLOOKUP(AC714,$D$653:$AA$871,24,0),AC$654:AE$661,3,0)-VLOOKUP(VLOOKUP(AC714,$D$653:$AA$871,24,0),AC$654:AE$661,2,0)+1,0)))</f>
        <v>54</v>
      </c>
      <c r="AF714" s="758" t="str">
        <f t="shared" ca="1" si="162"/>
        <v>Pudao</v>
      </c>
      <c r="AG714" s="758" t="str">
        <f t="shared" ca="1" si="163"/>
        <v/>
      </c>
      <c r="AH714" s="2568" t="s">
        <v>2094</v>
      </c>
      <c r="AI714" s="758">
        <f>IFERROR(IF(IF(AH714&lt;&gt;"",VLOOKUP(AH714,Tabla_ArmasyEscudos,9,0),"")="Conocida",MAX(AI$660:AI713)+1,0),0)</f>
        <v>0</v>
      </c>
      <c r="AJ714" s="758">
        <f ca="1">IF(AH714="",0,IF(AI714=0,MAX(AJ$654:AJ713,AL$652)+1,AI714+IFERROR(VLOOKUP(VLOOKUP(AH714,$D$653:$AA$871,24,0),AH$654:AJ$659,3,0)-VLOOKUP(VLOOKUP(AH714,$D$653:$AA$871,24,0),AH$654:AJ$659,2,0)+1,0)))</f>
        <v>56</v>
      </c>
      <c r="AK714" s="758" t="str">
        <f t="shared" ca="1" si="164"/>
        <v>Venus</v>
      </c>
      <c r="AL714" s="758" t="str">
        <f t="shared" ca="1" si="165"/>
        <v/>
      </c>
      <c r="AM714" s="2568"/>
      <c r="AN714" s="758">
        <f>IFERROR(IF(IF(AM714&lt;&gt;"",VLOOKUP(AM714,Tabla_ArmasyEscudos,9,0),"")="Conocida",MAX(AN$660:AN713)+1,0),0)</f>
        <v>0</v>
      </c>
      <c r="AO714" s="758">
        <f>IF(AM714="",0,IF(AN714=0,MAX(AO$654:AO713,AQ$652)+1,AN714+IFERROR(VLOOKUP(VLOOKUP(AM714,$D$653:$AA$871,24,0),AM$654:AO$659,3,0)-VLOOKUP(VLOOKUP(AM714,$D$653:$AA$871,24,0),AM$654:AO$659,2,0)+1,0)))</f>
        <v>0</v>
      </c>
      <c r="AP714" s="758" t="str">
        <f t="shared" ca="1" si="166"/>
        <v/>
      </c>
      <c r="AQ714" s="758" t="str">
        <f t="shared" ca="1" si="167"/>
        <v/>
      </c>
      <c r="AR714" s="2568"/>
      <c r="AS714" s="758">
        <f>IFERROR(IF(IF(AR714&lt;&gt;"",VLOOKUP(AR714,Tabla_ArmasyEscudos,9,0),"")="Conocida",MAX(AS$660:AS713)+1,0),0)</f>
        <v>0</v>
      </c>
      <c r="AT714" s="758">
        <f>IF(AR714="",0,IF(AS714=0,MAX(AT$654:AT713,AV$652)+1,AS714+IFERROR(VLOOKUP(VLOOKUP(AR714,$D$653:$AA$871,24,0),AR$654:AT$659,3,0)-VLOOKUP(VLOOKUP(AR714,$D$653:$AA$871,24,0),AR$654:AT$659,2,0)+1,0)))</f>
        <v>0</v>
      </c>
      <c r="AU714" s="758" t="str">
        <f t="shared" ca="1" si="168"/>
        <v/>
      </c>
      <c r="AV714" s="758" t="str">
        <f t="shared" ca="1" si="169"/>
        <v/>
      </c>
      <c r="AX714" s="1141" t="str">
        <f t="shared" si="170"/>
        <v>Martillo de guerra</v>
      </c>
      <c r="AY714" s="2549"/>
      <c r="AZ714" s="774" t="str">
        <f t="shared" si="171"/>
        <v/>
      </c>
      <c r="BA714" s="76" t="str">
        <f t="shared" si="172"/>
        <v/>
      </c>
      <c r="BB714" s="76" t="str">
        <f t="shared" si="173"/>
        <v>Mayal</v>
      </c>
      <c r="BC714" s="1142">
        <f>IF(OR($L712=BC$652,$L712="",$D712=$BE$651),MAX(BC$654:BC713)+1,0)</f>
        <v>0</v>
      </c>
      <c r="BD714" s="1143">
        <f>IF(OR($L712=BD$652,$L712="",$D712=$BE$651),MAX(BD$654:BD713)+1,0)</f>
        <v>0</v>
      </c>
      <c r="BE714" s="1144">
        <f>IF(OR($L712=BE$652,$L712="",$D712=$BE$651),MAX(BE$654:BE713)+1,0)</f>
        <v>59</v>
      </c>
      <c r="BF714" s="2549"/>
      <c r="BG714" s="774" t="str">
        <f t="shared" si="174"/>
        <v/>
      </c>
      <c r="BH714" s="76" t="str">
        <f t="shared" si="175"/>
        <v/>
      </c>
      <c r="BI714" s="76" t="str">
        <f t="shared" si="176"/>
        <v>Mayal</v>
      </c>
      <c r="BJ714" s="1142">
        <f>IF(OR($L712=BJ$652,$L712="",$D712=$BL$651),MAX(BJ$654:BJ713)+1,0)</f>
        <v>0</v>
      </c>
      <c r="BK714" s="1143">
        <f>IF(OR($L712=BK$652,$L712="",$D712=$BL$651),MAX(BK$654:BK713)+1,0)</f>
        <v>0</v>
      </c>
      <c r="BL714" s="1144">
        <f>IF(OR($L712=BL$652,$L712="",$D712=$BL$651),MAX(BL$654:BL713)+1,0)</f>
        <v>59</v>
      </c>
      <c r="BM714" s="2549"/>
      <c r="BN714" s="774" t="str">
        <f t="shared" si="177"/>
        <v/>
      </c>
      <c r="BO714" s="76" t="str">
        <f t="shared" si="178"/>
        <v/>
      </c>
      <c r="BP714" s="76" t="str">
        <f t="shared" si="179"/>
        <v>Mayal</v>
      </c>
      <c r="BQ714" s="1142">
        <f>IF(OR($L712=BQ$652,$L712="",$D712=$BS$651),MAX(BQ$654:BQ713)+1,0)</f>
        <v>0</v>
      </c>
      <c r="BR714" s="1143">
        <f>IF(OR($L712=BR$652,$L712="",$D712=$BS$651),MAX(BR$654:BR713)+1,0)</f>
        <v>0</v>
      </c>
      <c r="BS714" s="1144">
        <f>IF(OR($L712=BS$652,$L712="",$D712=$BS$651),MAX(BS$654:BS713)+1,0)</f>
        <v>59</v>
      </c>
      <c r="BT714" s="2549"/>
      <c r="BU714" s="774" t="str">
        <f t="shared" si="180"/>
        <v/>
      </c>
      <c r="BV714" s="76" t="str">
        <f t="shared" si="181"/>
        <v/>
      </c>
      <c r="BW714" s="76" t="str">
        <f t="shared" si="182"/>
        <v>Mayal</v>
      </c>
      <c r="BX714" s="1142">
        <f>IF(OR($L712=BX$652,$L712="",$D712=$BZ$651),MAX(BX$654:BX713)+1,0)</f>
        <v>0</v>
      </c>
      <c r="BY714" s="1143">
        <f>IF(OR($L712=BY$652,$L712="",$D712=$BZ$651),MAX(BY$654:BY713)+1,0)</f>
        <v>0</v>
      </c>
      <c r="BZ714" s="1144">
        <f>IF(OR($L712=BZ$652,$L712="",$D712=$BZ$651),MAX(BZ$654:BZ713)+1,0)</f>
        <v>59</v>
      </c>
      <c r="CA714" s="2549"/>
      <c r="CB714" s="774" t="str">
        <f t="shared" si="183"/>
        <v/>
      </c>
      <c r="CC714" s="76" t="str">
        <f t="shared" si="184"/>
        <v/>
      </c>
      <c r="CD714" s="76" t="str">
        <f t="shared" si="185"/>
        <v>Mayal</v>
      </c>
      <c r="CE714" s="1142">
        <f>IF(OR($L712=CE$652,$L712="",$D712=$CG$651),MAX(CE$654:CE713)+1,0)</f>
        <v>0</v>
      </c>
      <c r="CF714" s="1143">
        <f>IF(OR($L712=CF$652,$L712="",$D712=$CG$651),MAX(CF$654:CF713)+1,0)</f>
        <v>0</v>
      </c>
      <c r="CG714" s="1144">
        <f>IF(OR($L712=CG$652,$L712="",$D712=$CG$651),MAX(CG$654:CG713)+1,0)</f>
        <v>59</v>
      </c>
      <c r="CI714" s="774" t="str">
        <f t="shared" si="186"/>
        <v/>
      </c>
      <c r="CJ714" s="76" t="str">
        <f t="shared" si="187"/>
        <v/>
      </c>
      <c r="CK714" s="76" t="str">
        <f t="shared" si="188"/>
        <v>Mayal</v>
      </c>
      <c r="CL714" s="1142">
        <f>IF(OR($L712=CL$652,$L712="",$D712=$CN$651),MAX(CL$654:CL713)+1,0)</f>
        <v>0</v>
      </c>
      <c r="CM714" s="1143">
        <f>IF(OR($L712=CM$652,$L712="",$D712=$CN$651),MAX(CM$654:CM713)+1,0)</f>
        <v>0</v>
      </c>
      <c r="CN714" s="1144">
        <f>IF(OR($L712=CN$652,$L712="",$D712=$CN$651),MAX(CN$654:CN713)+1,0)</f>
        <v>59</v>
      </c>
    </row>
    <row r="715" spans="1:92" ht="12.75" customHeight="1">
      <c r="A715" s="219">
        <v>706</v>
      </c>
      <c r="B715" s="7145"/>
      <c r="C715" s="1034"/>
      <c r="D715" s="2237" t="s">
        <v>2007</v>
      </c>
      <c r="E715" s="2239">
        <v>40</v>
      </c>
      <c r="F715" s="2236">
        <v>0</v>
      </c>
      <c r="G715" s="2236">
        <v>6</v>
      </c>
      <c r="H715" s="2236">
        <v>6</v>
      </c>
      <c r="I715" s="2236" t="s">
        <v>1357</v>
      </c>
      <c r="J715" s="2236" t="s">
        <v>1315</v>
      </c>
      <c r="K715" s="2433" t="s">
        <v>6836</v>
      </c>
      <c r="L715" s="2236" t="str">
        <f t="shared" si="192"/>
        <v>Distinta</v>
      </c>
      <c r="M715" s="2240">
        <v>14</v>
      </c>
      <c r="N715" s="2240">
        <v>4</v>
      </c>
      <c r="O715" s="2240">
        <v>15</v>
      </c>
      <c r="P715" s="2236"/>
      <c r="Q715" s="2236"/>
      <c r="R715" s="2236" t="s">
        <v>1315</v>
      </c>
      <c r="S715" s="2236" t="s">
        <v>1315</v>
      </c>
      <c r="T715" s="2236" t="s">
        <v>1315</v>
      </c>
      <c r="U715" s="2236"/>
      <c r="V715" s="2433" t="s">
        <v>1315</v>
      </c>
      <c r="W715" s="2433"/>
      <c r="X715" s="2434" t="str">
        <f t="shared" si="158"/>
        <v>Mediana</v>
      </c>
      <c r="Y715" s="2229">
        <f t="shared" si="191"/>
        <v>0</v>
      </c>
      <c r="Z715" s="1150" t="str">
        <f t="shared" si="161"/>
        <v/>
      </c>
      <c r="AA715" s="1751" t="s">
        <v>1960</v>
      </c>
      <c r="AC715" s="929" t="s">
        <v>2006</v>
      </c>
      <c r="AD715" s="758">
        <f>IFERROR(IF(IF(AC715&lt;&gt;"",VLOOKUP(AC715,Tabla_ArmasyEscudos,9,0),"")="Conocida",MAX(AD$662:AD714)+1,0),0)</f>
        <v>0</v>
      </c>
      <c r="AE715" s="758">
        <f ca="1">IF(AC715="",0,IF(AD715=0,MAX(AE$654:AE714,AG$652)+1,AD715+IFERROR(VLOOKUP(VLOOKUP(AC715,$D$653:$AA$871,24,0),AC$654:AE$661,3,0)-VLOOKUP(VLOOKUP(AC715,$D$653:$AA$871,24,0),AC$654:AE$661,2,0)+1,0)))</f>
        <v>55</v>
      </c>
      <c r="AF715" s="758" t="str">
        <f t="shared" ca="1" si="162"/>
        <v>Red</v>
      </c>
      <c r="AG715" s="758" t="str">
        <f t="shared" ca="1" si="163"/>
        <v/>
      </c>
      <c r="AH715" s="2568" t="s">
        <v>2078</v>
      </c>
      <c r="AI715" s="758">
        <f>IFERROR(IF(IF(AH715&lt;&gt;"",VLOOKUP(AH715,Tabla_ArmasyEscudos,9,0),"")="Conocida",MAX(AI$660:AI714)+1,0),0)</f>
        <v>0</v>
      </c>
      <c r="AJ715" s="758">
        <f ca="1">IF(AH715="",0,IF(AI715=0,MAX(AJ$654:AJ714,AL$652)+1,AI715+IFERROR(VLOOKUP(VLOOKUP(AH715,$D$653:$AA$871,24,0),AH$654:AJ$659,3,0)-VLOOKUP(VLOOKUP(AH715,$D$653:$AA$871,24,0),AH$654:AJ$659,2,0)+1,0)))</f>
        <v>57</v>
      </c>
      <c r="AK715" s="758" t="str">
        <f t="shared" ca="1" si="164"/>
        <v>Terra</v>
      </c>
      <c r="AL715" s="758" t="str">
        <f t="shared" ca="1" si="165"/>
        <v/>
      </c>
      <c r="AM715" s="2568"/>
      <c r="AN715" s="758">
        <f>IFERROR(IF(IF(AM715&lt;&gt;"",VLOOKUP(AM715,Tabla_ArmasyEscudos,9,0),"")="Conocida",MAX(AN$660:AN714)+1,0),0)</f>
        <v>0</v>
      </c>
      <c r="AO715" s="758">
        <f>IF(AM715="",0,IF(AN715=0,MAX(AO$654:AO714,AQ$652)+1,AN715+IFERROR(VLOOKUP(VLOOKUP(AM715,$D$653:$AA$871,24,0),AM$654:AO$659,3,0)-VLOOKUP(VLOOKUP(AM715,$D$653:$AA$871,24,0),AM$654:AO$659,2,0)+1,0)))</f>
        <v>0</v>
      </c>
      <c r="AP715" s="758" t="str">
        <f t="shared" ca="1" si="166"/>
        <v/>
      </c>
      <c r="AQ715" s="758" t="str">
        <f t="shared" ca="1" si="167"/>
        <v/>
      </c>
      <c r="AR715" s="2568"/>
      <c r="AS715" s="758">
        <f>IFERROR(IF(IF(AR715&lt;&gt;"",VLOOKUP(AR715,Tabla_ArmasyEscudos,9,0),"")="Conocida",MAX(AS$660:AS714)+1,0),0)</f>
        <v>0</v>
      </c>
      <c r="AT715" s="758">
        <f>IF(AR715="",0,IF(AS715=0,MAX(AT$654:AT714,AV$652)+1,AS715+IFERROR(VLOOKUP(VLOOKUP(AR715,$D$653:$AA$871,24,0),AR$654:AT$659,3,0)-VLOOKUP(VLOOKUP(AR715,$D$653:$AA$871,24,0),AR$654:AT$659,2,0)+1,0)))</f>
        <v>0</v>
      </c>
      <c r="AU715" s="758" t="str">
        <f t="shared" ca="1" si="168"/>
        <v/>
      </c>
      <c r="AV715" s="758" t="str">
        <f t="shared" ca="1" si="169"/>
        <v/>
      </c>
      <c r="AX715" s="1141" t="str">
        <f t="shared" si="170"/>
        <v>Mayal</v>
      </c>
      <c r="AY715" s="2549"/>
      <c r="AZ715" s="774" t="str">
        <f t="shared" si="171"/>
        <v/>
      </c>
      <c r="BA715" s="76" t="str">
        <f t="shared" si="172"/>
        <v/>
      </c>
      <c r="BB715" s="76" t="str">
        <f t="shared" si="173"/>
        <v>Maza Barra</v>
      </c>
      <c r="BC715" s="1142">
        <f>IF(OR($L713=BC$652,$L713="",$D713=$BE$651),MAX(BC$654:BC714)+1,0)</f>
        <v>0</v>
      </c>
      <c r="BD715" s="1143">
        <f>IF(OR($L713=BD$652,$L713="",$D713=$BE$651),MAX(BD$654:BD714)+1,0)</f>
        <v>0</v>
      </c>
      <c r="BE715" s="1144">
        <f>IF(OR($L713=BE$652,$L713="",$D713=$BE$651),MAX(BE$654:BE714)+1,0)</f>
        <v>60</v>
      </c>
      <c r="BF715" s="2549"/>
      <c r="BG715" s="774" t="str">
        <f t="shared" si="174"/>
        <v/>
      </c>
      <c r="BH715" s="76" t="str">
        <f t="shared" si="175"/>
        <v/>
      </c>
      <c r="BI715" s="76" t="str">
        <f t="shared" si="176"/>
        <v>Maza Barra</v>
      </c>
      <c r="BJ715" s="1142">
        <f>IF(OR($L713=BJ$652,$L713="",$D713=$BL$651),MAX(BJ$654:BJ714)+1,0)</f>
        <v>0</v>
      </c>
      <c r="BK715" s="1143">
        <f>IF(OR($L713=BK$652,$L713="",$D713=$BL$651),MAX(BK$654:BK714)+1,0)</f>
        <v>0</v>
      </c>
      <c r="BL715" s="1144">
        <f>IF(OR($L713=BL$652,$L713="",$D713=$BL$651),MAX(BL$654:BL714)+1,0)</f>
        <v>60</v>
      </c>
      <c r="BM715" s="2549"/>
      <c r="BN715" s="774" t="str">
        <f t="shared" si="177"/>
        <v/>
      </c>
      <c r="BO715" s="76" t="str">
        <f t="shared" si="178"/>
        <v/>
      </c>
      <c r="BP715" s="76" t="str">
        <f t="shared" si="179"/>
        <v>Maza Barra</v>
      </c>
      <c r="BQ715" s="1142">
        <f>IF(OR($L713=BQ$652,$L713="",$D713=$BS$651),MAX(BQ$654:BQ714)+1,0)</f>
        <v>0</v>
      </c>
      <c r="BR715" s="1143">
        <f>IF(OR($L713=BR$652,$L713="",$D713=$BS$651),MAX(BR$654:BR714)+1,0)</f>
        <v>0</v>
      </c>
      <c r="BS715" s="1144">
        <f>IF(OR($L713=BS$652,$L713="",$D713=$BS$651),MAX(BS$654:BS714)+1,0)</f>
        <v>60</v>
      </c>
      <c r="BT715" s="2549"/>
      <c r="BU715" s="774" t="str">
        <f t="shared" si="180"/>
        <v/>
      </c>
      <c r="BV715" s="76" t="str">
        <f t="shared" si="181"/>
        <v/>
      </c>
      <c r="BW715" s="76" t="str">
        <f t="shared" si="182"/>
        <v>Maza Barra</v>
      </c>
      <c r="BX715" s="1142">
        <f>IF(OR($L713=BX$652,$L713="",$D713=$BZ$651),MAX(BX$654:BX714)+1,0)</f>
        <v>0</v>
      </c>
      <c r="BY715" s="1143">
        <f>IF(OR($L713=BY$652,$L713="",$D713=$BZ$651),MAX(BY$654:BY714)+1,0)</f>
        <v>0</v>
      </c>
      <c r="BZ715" s="1144">
        <f>IF(OR($L713=BZ$652,$L713="",$D713=$BZ$651),MAX(BZ$654:BZ714)+1,0)</f>
        <v>60</v>
      </c>
      <c r="CA715" s="2549"/>
      <c r="CB715" s="774" t="str">
        <f t="shared" si="183"/>
        <v/>
      </c>
      <c r="CC715" s="76" t="str">
        <f t="shared" si="184"/>
        <v/>
      </c>
      <c r="CD715" s="76" t="str">
        <f t="shared" si="185"/>
        <v>Maza Barra</v>
      </c>
      <c r="CE715" s="1142">
        <f>IF(OR($L713=CE$652,$L713="",$D713=$CG$651),MAX(CE$654:CE714)+1,0)</f>
        <v>0</v>
      </c>
      <c r="CF715" s="1143">
        <f>IF(OR($L713=CF$652,$L713="",$D713=$CG$651),MAX(CF$654:CF714)+1,0)</f>
        <v>0</v>
      </c>
      <c r="CG715" s="1144">
        <f>IF(OR($L713=CG$652,$L713="",$D713=$CG$651),MAX(CG$654:CG714)+1,0)</f>
        <v>60</v>
      </c>
      <c r="CI715" s="774" t="str">
        <f t="shared" si="186"/>
        <v/>
      </c>
      <c r="CJ715" s="76" t="str">
        <f t="shared" si="187"/>
        <v/>
      </c>
      <c r="CK715" s="76" t="str">
        <f t="shared" si="188"/>
        <v>Maza Barra</v>
      </c>
      <c r="CL715" s="1142">
        <f>IF(OR($L713=CL$652,$L713="",$D713=$CN$651),MAX(CL$654:CL714)+1,0)</f>
        <v>0</v>
      </c>
      <c r="CM715" s="1143">
        <f>IF(OR($L713=CM$652,$L713="",$D713=$CN$651),MAX(CM$654:CM714)+1,0)</f>
        <v>0</v>
      </c>
      <c r="CN715" s="1144">
        <f>IF(OR($L713=CN$652,$L713="",$D713=$CN$651),MAX(CN$654:CN714)+1,0)</f>
        <v>60</v>
      </c>
    </row>
    <row r="716" spans="1:92" ht="12.75" customHeight="1">
      <c r="A716" s="219">
        <v>707</v>
      </c>
      <c r="B716" s="7145"/>
      <c r="C716" s="1034"/>
      <c r="D716" s="3876" t="s">
        <v>2008</v>
      </c>
      <c r="E716" s="3877">
        <v>60</v>
      </c>
      <c r="F716" s="3878">
        <v>-15</v>
      </c>
      <c r="G716" s="3878">
        <v>10</v>
      </c>
      <c r="H716" s="3878">
        <v>6</v>
      </c>
      <c r="I716" s="3878" t="s">
        <v>1357</v>
      </c>
      <c r="J716" s="3878" t="s">
        <v>1315</v>
      </c>
      <c r="K716" s="3879" t="s">
        <v>6843</v>
      </c>
      <c r="L716" s="3878" t="str">
        <f t="shared" si="192"/>
        <v>Distinta</v>
      </c>
      <c r="M716" s="3880">
        <v>16</v>
      </c>
      <c r="N716" s="3880">
        <v>5</v>
      </c>
      <c r="O716" s="3880">
        <v>15</v>
      </c>
      <c r="P716" s="3878"/>
      <c r="Q716" s="3878"/>
      <c r="R716" s="3878" t="s">
        <v>1315</v>
      </c>
      <c r="S716" s="3878" t="s">
        <v>1315</v>
      </c>
      <c r="T716" s="3878" t="s">
        <v>1315</v>
      </c>
      <c r="U716" s="3878"/>
      <c r="V716" s="3879" t="s">
        <v>12433</v>
      </c>
      <c r="W716" s="2433"/>
      <c r="X716" s="2434" t="str">
        <f t="shared" si="158"/>
        <v>Grande</v>
      </c>
      <c r="Y716" s="2229">
        <f t="shared" si="191"/>
        <v>0</v>
      </c>
      <c r="Z716" s="1150" t="str">
        <f t="shared" si="161"/>
        <v/>
      </c>
      <c r="AA716" s="1751" t="s">
        <v>1960</v>
      </c>
      <c r="AC716" s="929" t="s">
        <v>6574</v>
      </c>
      <c r="AD716" s="758">
        <f>IFERROR(IF(IF(AC716&lt;&gt;"",VLOOKUP(AC716,Tabla_ArmasyEscudos,9,0),"")="Conocida",MAX(AD$662:AD715)+1,0),0)</f>
        <v>0</v>
      </c>
      <c r="AE716" s="758">
        <f ca="1">IF(AC716="",0,IF(AD716=0,MAX(AE$654:AE715,AG$652)+1,AD716+IFERROR(VLOOKUP(VLOOKUP(AC716,$D$653:$AA$871,24,0),AC$654:AE$661,3,0)-VLOOKUP(VLOOKUP(AC716,$D$653:$AA$871,24,0),AC$654:AE$661,2,0)+1,0)))</f>
        <v>56</v>
      </c>
      <c r="AF716" s="758" t="str">
        <f t="shared" ca="1" si="162"/>
        <v>Sable</v>
      </c>
      <c r="AG716" s="758" t="str">
        <f t="shared" ca="1" si="163"/>
        <v/>
      </c>
      <c r="AH716" s="699" t="s">
        <v>12559</v>
      </c>
      <c r="AI716" s="758">
        <f>IFERROR(IF(IF(AH716&lt;&gt;"",VLOOKUP(AH716,Tabla_ArmasyEscudos,9,0),"")="Conocida",MAX(AI$660:AI715)+1,0),0)</f>
        <v>0</v>
      </c>
      <c r="AJ716" s="758">
        <f ca="1">IF(AH716="",0,IF(AI716=0,MAX(AJ$654:AJ715,AL$652)+1,AI716+IFERROR(VLOOKUP(VLOOKUP(AH716,$D$653:$AA$871,24,0),AH$654:AJ$659,3,0)-VLOOKUP(VLOOKUP(AH716,$D$653:$AA$871,24,0),AH$654:AJ$659,2,0)+1,0)))</f>
        <v>58</v>
      </c>
      <c r="AK716" s="758" t="str">
        <f t="shared" ca="1" si="164"/>
        <v>Kuiper</v>
      </c>
      <c r="AL716" s="758" t="str">
        <f t="shared" ca="1" si="165"/>
        <v/>
      </c>
      <c r="AM716" s="2568"/>
      <c r="AN716" s="758">
        <f>IFERROR(IF(IF(AM716&lt;&gt;"",VLOOKUP(AM716,Tabla_ArmasyEscudos,9,0),"")="Conocida",MAX(AN$660:AN715)+1,0),0)</f>
        <v>0</v>
      </c>
      <c r="AO716" s="758">
        <f>IF(AM716="",0,IF(AN716=0,MAX(AO$654:AO715,AQ$652)+1,AN716+IFERROR(VLOOKUP(VLOOKUP(AM716,$D$653:$AA$871,24,0),AM$654:AO$659,3,0)-VLOOKUP(VLOOKUP(AM716,$D$653:$AA$871,24,0),AM$654:AO$659,2,0)+1,0)))</f>
        <v>0</v>
      </c>
      <c r="AP716" s="758" t="str">
        <f t="shared" ca="1" si="166"/>
        <v/>
      </c>
      <c r="AQ716" s="758" t="str">
        <f t="shared" ca="1" si="167"/>
        <v/>
      </c>
      <c r="AR716" s="2568"/>
      <c r="AS716" s="758">
        <f>IFERROR(IF(IF(AR716&lt;&gt;"",VLOOKUP(AR716,Tabla_ArmasyEscudos,9,0),"")="Conocida",MAX(AS$660:AS715)+1,0),0)</f>
        <v>0</v>
      </c>
      <c r="AT716" s="758">
        <f>IF(AR716="",0,IF(AS716=0,MAX(AT$654:AT715,AV$652)+1,AS716+IFERROR(VLOOKUP(VLOOKUP(AR716,$D$653:$AA$871,24,0),AR$654:AT$659,3,0)-VLOOKUP(VLOOKUP(AR716,$D$653:$AA$871,24,0),AR$654:AT$659,2,0)+1,0)))</f>
        <v>0</v>
      </c>
      <c r="AU716" s="758" t="str">
        <f t="shared" ca="1" si="168"/>
        <v/>
      </c>
      <c r="AV716" s="758" t="str">
        <f t="shared" ca="1" si="169"/>
        <v/>
      </c>
      <c r="AX716" s="1141" t="str">
        <f t="shared" si="170"/>
        <v>Maza Barra</v>
      </c>
      <c r="AY716" s="2549"/>
      <c r="AZ716" s="774" t="str">
        <f t="shared" si="171"/>
        <v/>
      </c>
      <c r="BA716" s="76" t="str">
        <f t="shared" si="172"/>
        <v/>
      </c>
      <c r="BB716" s="76" t="str">
        <f t="shared" si="173"/>
        <v>Maza ligera</v>
      </c>
      <c r="BC716" s="1142">
        <f>IF(OR($L714=BC$652,$L714="",$D714=$BE$651),MAX(BC$654:BC715)+1,0)</f>
        <v>0</v>
      </c>
      <c r="BD716" s="1143">
        <f>IF(OR($L714=BD$652,$L714="",$D714=$BE$651),MAX(BD$654:BD715)+1,0)</f>
        <v>0</v>
      </c>
      <c r="BE716" s="1144">
        <f>IF(OR($L714=BE$652,$L714="",$D714=$BE$651),MAX(BE$654:BE715)+1,0)</f>
        <v>61</v>
      </c>
      <c r="BF716" s="2549"/>
      <c r="BG716" s="774" t="str">
        <f t="shared" si="174"/>
        <v/>
      </c>
      <c r="BH716" s="76" t="str">
        <f t="shared" si="175"/>
        <v/>
      </c>
      <c r="BI716" s="76" t="str">
        <f t="shared" si="176"/>
        <v>Maza ligera</v>
      </c>
      <c r="BJ716" s="1142">
        <f>IF(OR($L714=BJ$652,$L714="",$D714=$BL$651),MAX(BJ$654:BJ715)+1,0)</f>
        <v>0</v>
      </c>
      <c r="BK716" s="1143">
        <f>IF(OR($L714=BK$652,$L714="",$D714=$BL$651),MAX(BK$654:BK715)+1,0)</f>
        <v>0</v>
      </c>
      <c r="BL716" s="1144">
        <f>IF(OR($L714=BL$652,$L714="",$D714=$BL$651),MAX(BL$654:BL715)+1,0)</f>
        <v>61</v>
      </c>
      <c r="BM716" s="2549"/>
      <c r="BN716" s="774" t="str">
        <f t="shared" si="177"/>
        <v/>
      </c>
      <c r="BO716" s="76" t="str">
        <f t="shared" si="178"/>
        <v/>
      </c>
      <c r="BP716" s="76" t="str">
        <f t="shared" si="179"/>
        <v>Maza ligera</v>
      </c>
      <c r="BQ716" s="1142">
        <f>IF(OR($L714=BQ$652,$L714="",$D714=$BS$651),MAX(BQ$654:BQ715)+1,0)</f>
        <v>0</v>
      </c>
      <c r="BR716" s="1143">
        <f>IF(OR($L714=BR$652,$L714="",$D714=$BS$651),MAX(BR$654:BR715)+1,0)</f>
        <v>0</v>
      </c>
      <c r="BS716" s="1144">
        <f>IF(OR($L714=BS$652,$L714="",$D714=$BS$651),MAX(BS$654:BS715)+1,0)</f>
        <v>61</v>
      </c>
      <c r="BT716" s="2549"/>
      <c r="BU716" s="774" t="str">
        <f t="shared" si="180"/>
        <v/>
      </c>
      <c r="BV716" s="76" t="str">
        <f t="shared" si="181"/>
        <v/>
      </c>
      <c r="BW716" s="76" t="str">
        <f t="shared" si="182"/>
        <v>Maza ligera</v>
      </c>
      <c r="BX716" s="1142">
        <f>IF(OR($L714=BX$652,$L714="",$D714=$BZ$651),MAX(BX$654:BX715)+1,0)</f>
        <v>0</v>
      </c>
      <c r="BY716" s="1143">
        <f>IF(OR($L714=BY$652,$L714="",$D714=$BZ$651),MAX(BY$654:BY715)+1,0)</f>
        <v>0</v>
      </c>
      <c r="BZ716" s="1144">
        <f>IF(OR($L714=BZ$652,$L714="",$D714=$BZ$651),MAX(BZ$654:BZ715)+1,0)</f>
        <v>61</v>
      </c>
      <c r="CA716" s="2549"/>
      <c r="CB716" s="774" t="str">
        <f t="shared" si="183"/>
        <v/>
      </c>
      <c r="CC716" s="76" t="str">
        <f t="shared" si="184"/>
        <v/>
      </c>
      <c r="CD716" s="76" t="str">
        <f t="shared" si="185"/>
        <v>Maza ligera</v>
      </c>
      <c r="CE716" s="1142">
        <f>IF(OR($L714=CE$652,$L714="",$D714=$CG$651),MAX(CE$654:CE715)+1,0)</f>
        <v>0</v>
      </c>
      <c r="CF716" s="1143">
        <f>IF(OR($L714=CF$652,$L714="",$D714=$CG$651),MAX(CF$654:CF715)+1,0)</f>
        <v>0</v>
      </c>
      <c r="CG716" s="1144">
        <f>IF(OR($L714=CG$652,$L714="",$D714=$CG$651),MAX(CG$654:CG715)+1,0)</f>
        <v>61</v>
      </c>
      <c r="CI716" s="774" t="str">
        <f t="shared" si="186"/>
        <v/>
      </c>
      <c r="CJ716" s="76" t="str">
        <f t="shared" si="187"/>
        <v/>
      </c>
      <c r="CK716" s="76" t="str">
        <f t="shared" si="188"/>
        <v>Maza ligera</v>
      </c>
      <c r="CL716" s="1142">
        <f>IF(OR($L714=CL$652,$L714="",$D714=$CN$651),MAX(CL$654:CL715)+1,0)</f>
        <v>0</v>
      </c>
      <c r="CM716" s="1143">
        <f>IF(OR($L714=CM$652,$L714="",$D714=$CN$651),MAX(CM$654:CM715)+1,0)</f>
        <v>0</v>
      </c>
      <c r="CN716" s="1144">
        <f>IF(OR($L714=CN$652,$L714="",$D714=$CN$651),MAX(CN$654:CN715)+1,0)</f>
        <v>61</v>
      </c>
    </row>
    <row r="717" spans="1:92" ht="12.75" customHeight="1">
      <c r="A717" s="219">
        <v>708</v>
      </c>
      <c r="B717" s="7145"/>
      <c r="C717" s="1034"/>
      <c r="D717" s="3876" t="s">
        <v>6575</v>
      </c>
      <c r="E717" s="3877">
        <v>80</v>
      </c>
      <c r="F717" s="3878">
        <v>-50</v>
      </c>
      <c r="G717" s="3878">
        <v>11</v>
      </c>
      <c r="H717" s="3878">
        <v>8</v>
      </c>
      <c r="I717" s="3878" t="s">
        <v>1411</v>
      </c>
      <c r="J717" s="3878" t="s">
        <v>1410</v>
      </c>
      <c r="K717" s="3879" t="s">
        <v>6837</v>
      </c>
      <c r="L717" s="3878" t="str">
        <f t="shared" si="192"/>
        <v>Distinta</v>
      </c>
      <c r="M717" s="3880">
        <v>18</v>
      </c>
      <c r="N717" s="3880">
        <v>5</v>
      </c>
      <c r="O717" s="3880">
        <v>25</v>
      </c>
      <c r="P717" s="3878"/>
      <c r="Q717" s="3878"/>
      <c r="R717" s="3878" t="s">
        <v>1315</v>
      </c>
      <c r="S717" s="3878" t="s">
        <v>1315</v>
      </c>
      <c r="T717" s="3878" t="s">
        <v>1315</v>
      </c>
      <c r="U717" s="3878"/>
      <c r="V717" s="3879" t="s">
        <v>12434</v>
      </c>
      <c r="W717" s="2433"/>
      <c r="X717" s="2434" t="str">
        <f t="shared" si="158"/>
        <v>Grande</v>
      </c>
      <c r="Y717" s="2229">
        <f t="shared" si="191"/>
        <v>0</v>
      </c>
      <c r="Z717" s="1150" t="str">
        <f t="shared" ref="Z717:Z748" si="193">IF(AND(K717&lt;&gt;"Natural/-",ISNUMBER(SEARCH(D717&amp;",",Armas_Conocidas))),", "&amp;K717,"")</f>
        <v/>
      </c>
      <c r="AA717" s="1751" t="s">
        <v>1960</v>
      </c>
      <c r="AC717" s="929" t="s">
        <v>2007</v>
      </c>
      <c r="AD717" s="758">
        <f>IFERROR(IF(IF(AC717&lt;&gt;"",VLOOKUP(AC717,Tabla_ArmasyEscudos,9,0),"")="Conocida",MAX(AD$662:AD716)+1,0),0)</f>
        <v>0</v>
      </c>
      <c r="AE717" s="758">
        <f ca="1">IF(AC717="",0,IF(AD717=0,MAX(AE$654:AE716,AG$652)+1,AD717+IFERROR(VLOOKUP(VLOOKUP(AC717,$D$653:$AA$871,24,0),AC$654:AE$661,3,0)-VLOOKUP(VLOOKUP(AC717,$D$653:$AA$871,24,0),AC$654:AE$661,2,0)+1,0)))</f>
        <v>57</v>
      </c>
      <c r="AF717" s="758" t="str">
        <f t="shared" ca="1" si="162"/>
        <v>Shang Gou</v>
      </c>
      <c r="AG717" s="758" t="str">
        <f t="shared" ca="1" si="163"/>
        <v/>
      </c>
      <c r="AH717" s="699" t="s">
        <v>12560</v>
      </c>
      <c r="AI717" s="758">
        <f>IFERROR(IF(IF(AH717&lt;&gt;"",VLOOKUP(AH717,Tabla_ArmasyEscudos,9,0),"")="Conocida",MAX(AI$660:AI716)+1,0),0)</f>
        <v>0</v>
      </c>
      <c r="AJ717" s="758">
        <f ca="1">IF(AH717="",0,IF(AI717=0,MAX(AJ$654:AJ716,AL$652)+1,AI717+IFERROR(VLOOKUP(VLOOKUP(AH717,$D$653:$AA$871,24,0),AH$654:AJ$659,3,0)-VLOOKUP(VLOOKUP(AH717,$D$653:$AA$871,24,0),AH$654:AJ$659,2,0)+1,0)))</f>
        <v>59</v>
      </c>
      <c r="AK717" s="758" t="str">
        <f t="shared" ca="1" si="164"/>
        <v>Jupiter</v>
      </c>
      <c r="AL717" s="758" t="str">
        <f t="shared" ca="1" si="165"/>
        <v/>
      </c>
      <c r="AM717" s="2568"/>
      <c r="AN717" s="758">
        <f>IFERROR(IF(IF(AM717&lt;&gt;"",VLOOKUP(AM717,Tabla_ArmasyEscudos,9,0),"")="Conocida",MAX(AN$660:AN716)+1,0),0)</f>
        <v>0</v>
      </c>
      <c r="AO717" s="758">
        <f>IF(AM717="",0,IF(AN717=0,MAX(AO$654:AO716,AQ$652)+1,AN717+IFERROR(VLOOKUP(VLOOKUP(AM717,$D$653:$AA$871,24,0),AM$654:AO$659,3,0)-VLOOKUP(VLOOKUP(AM717,$D$653:$AA$871,24,0),AM$654:AO$659,2,0)+1,0)))</f>
        <v>0</v>
      </c>
      <c r="AP717" s="758" t="str">
        <f t="shared" ca="1" si="166"/>
        <v/>
      </c>
      <c r="AQ717" s="758" t="str">
        <f t="shared" ca="1" si="167"/>
        <v/>
      </c>
      <c r="AR717" s="2568"/>
      <c r="AS717" s="758">
        <f>IFERROR(IF(IF(AR717&lt;&gt;"",VLOOKUP(AR717,Tabla_ArmasyEscudos,9,0),"")="Conocida",MAX(AS$660:AS716)+1,0),0)</f>
        <v>0</v>
      </c>
      <c r="AT717" s="758">
        <f>IF(AR717="",0,IF(AS717=0,MAX(AT$654:AT716,AV$652)+1,AS717+IFERROR(VLOOKUP(VLOOKUP(AR717,$D$653:$AA$871,24,0),AR$654:AT$659,3,0)-VLOOKUP(VLOOKUP(AR717,$D$653:$AA$871,24,0),AR$654:AT$659,2,0)+1,0)))</f>
        <v>0</v>
      </c>
      <c r="AU717" s="758" t="str">
        <f t="shared" ca="1" si="168"/>
        <v/>
      </c>
      <c r="AV717" s="758" t="str">
        <f t="shared" ca="1" si="169"/>
        <v/>
      </c>
      <c r="AX717" s="1141" t="str">
        <f t="shared" si="170"/>
        <v>Maza ligera</v>
      </c>
      <c r="AY717" s="2549"/>
      <c r="AZ717" s="774" t="str">
        <f t="shared" si="171"/>
        <v/>
      </c>
      <c r="BA717" s="76" t="str">
        <f t="shared" si="172"/>
        <v/>
      </c>
      <c r="BB717" s="76" t="str">
        <f t="shared" si="173"/>
        <v>Maza pesada</v>
      </c>
      <c r="BC717" s="1142">
        <f>IF(OR($L715=BC$652,$L715="",$D715=$BE$651),MAX(BC$654:BC716)+1,0)</f>
        <v>0</v>
      </c>
      <c r="BD717" s="1143">
        <f>IF(OR($L715=BD$652,$L715="",$D715=$BE$651),MAX(BD$654:BD716)+1,0)</f>
        <v>0</v>
      </c>
      <c r="BE717" s="1144">
        <f>IF(OR($L715=BE$652,$L715="",$D715=$BE$651),MAX(BE$654:BE716)+1,0)</f>
        <v>62</v>
      </c>
      <c r="BF717" s="2549"/>
      <c r="BG717" s="774" t="str">
        <f t="shared" si="174"/>
        <v/>
      </c>
      <c r="BH717" s="76" t="str">
        <f t="shared" si="175"/>
        <v/>
      </c>
      <c r="BI717" s="76" t="str">
        <f t="shared" si="176"/>
        <v>Maza pesada</v>
      </c>
      <c r="BJ717" s="1142">
        <f>IF(OR($L715=BJ$652,$L715="",$D715=$BL$651),MAX(BJ$654:BJ716)+1,0)</f>
        <v>0</v>
      </c>
      <c r="BK717" s="1143">
        <f>IF(OR($L715=BK$652,$L715="",$D715=$BL$651),MAX(BK$654:BK716)+1,0)</f>
        <v>0</v>
      </c>
      <c r="BL717" s="1144">
        <f>IF(OR($L715=BL$652,$L715="",$D715=$BL$651),MAX(BL$654:BL716)+1,0)</f>
        <v>62</v>
      </c>
      <c r="BM717" s="2549"/>
      <c r="BN717" s="774" t="str">
        <f t="shared" si="177"/>
        <v/>
      </c>
      <c r="BO717" s="76" t="str">
        <f t="shared" si="178"/>
        <v/>
      </c>
      <c r="BP717" s="76" t="str">
        <f t="shared" si="179"/>
        <v>Maza pesada</v>
      </c>
      <c r="BQ717" s="1142">
        <f>IF(OR($L715=BQ$652,$L715="",$D715=$BS$651),MAX(BQ$654:BQ716)+1,0)</f>
        <v>0</v>
      </c>
      <c r="BR717" s="1143">
        <f>IF(OR($L715=BR$652,$L715="",$D715=$BS$651),MAX(BR$654:BR716)+1,0)</f>
        <v>0</v>
      </c>
      <c r="BS717" s="1144">
        <f>IF(OR($L715=BS$652,$L715="",$D715=$BS$651),MAX(BS$654:BS716)+1,0)</f>
        <v>62</v>
      </c>
      <c r="BT717" s="2549"/>
      <c r="BU717" s="774" t="str">
        <f t="shared" si="180"/>
        <v/>
      </c>
      <c r="BV717" s="76" t="str">
        <f t="shared" si="181"/>
        <v/>
      </c>
      <c r="BW717" s="76" t="str">
        <f t="shared" si="182"/>
        <v>Maza pesada</v>
      </c>
      <c r="BX717" s="1142">
        <f>IF(OR($L715=BX$652,$L715="",$D715=$BZ$651),MAX(BX$654:BX716)+1,0)</f>
        <v>0</v>
      </c>
      <c r="BY717" s="1143">
        <f>IF(OR($L715=BY$652,$L715="",$D715=$BZ$651),MAX(BY$654:BY716)+1,0)</f>
        <v>0</v>
      </c>
      <c r="BZ717" s="1144">
        <f>IF(OR($L715=BZ$652,$L715="",$D715=$BZ$651),MAX(BZ$654:BZ716)+1,0)</f>
        <v>62</v>
      </c>
      <c r="CA717" s="2549"/>
      <c r="CB717" s="774" t="str">
        <f t="shared" si="183"/>
        <v/>
      </c>
      <c r="CC717" s="76" t="str">
        <f t="shared" si="184"/>
        <v/>
      </c>
      <c r="CD717" s="76" t="str">
        <f t="shared" si="185"/>
        <v>Maza pesada</v>
      </c>
      <c r="CE717" s="1142">
        <f>IF(OR($L715=CE$652,$L715="",$D715=$CG$651),MAX(CE$654:CE716)+1,0)</f>
        <v>0</v>
      </c>
      <c r="CF717" s="1143">
        <f>IF(OR($L715=CF$652,$L715="",$D715=$CG$651),MAX(CF$654:CF716)+1,0)</f>
        <v>0</v>
      </c>
      <c r="CG717" s="1144">
        <f>IF(OR($L715=CG$652,$L715="",$D715=$CG$651),MAX(CG$654:CG716)+1,0)</f>
        <v>62</v>
      </c>
      <c r="CI717" s="774" t="str">
        <f t="shared" si="186"/>
        <v/>
      </c>
      <c r="CJ717" s="76" t="str">
        <f t="shared" si="187"/>
        <v/>
      </c>
      <c r="CK717" s="76" t="str">
        <f t="shared" si="188"/>
        <v>Maza pesada</v>
      </c>
      <c r="CL717" s="1142">
        <f>IF(OR($L715=CL$652,$L715="",$D715=$CN$651),MAX(CL$654:CL716)+1,0)</f>
        <v>0</v>
      </c>
      <c r="CM717" s="1143">
        <f>IF(OR($L715=CM$652,$L715="",$D715=$CN$651),MAX(CM$654:CM716)+1,0)</f>
        <v>0</v>
      </c>
      <c r="CN717" s="1144">
        <f>IF(OR($L715=CN$652,$L715="",$D715=$CN$651),MAX(CN$654:CN716)+1,0)</f>
        <v>62</v>
      </c>
    </row>
    <row r="718" spans="1:92" ht="12.75" customHeight="1">
      <c r="A718" s="219">
        <v>709</v>
      </c>
      <c r="B718" s="7145"/>
      <c r="C718" s="1034"/>
      <c r="D718" s="2237" t="s">
        <v>6593</v>
      </c>
      <c r="E718" s="2239">
        <v>40</v>
      </c>
      <c r="F718" s="2236">
        <v>15</v>
      </c>
      <c r="G718" s="2236">
        <v>6</v>
      </c>
      <c r="H718" s="2236" t="s">
        <v>1315</v>
      </c>
      <c r="I718" s="2236" t="s">
        <v>1410</v>
      </c>
      <c r="J718" s="2236" t="s">
        <v>1411</v>
      </c>
      <c r="K718" s="2433" t="s">
        <v>6835</v>
      </c>
      <c r="L718" s="2236" t="str">
        <f t="shared" si="192"/>
        <v>Distinta</v>
      </c>
      <c r="M718" s="2240">
        <v>13</v>
      </c>
      <c r="N718" s="2240">
        <v>2</v>
      </c>
      <c r="O718" s="2240">
        <v>20</v>
      </c>
      <c r="P718" s="2236"/>
      <c r="Q718" s="2236"/>
      <c r="R718" s="2236" t="s">
        <v>1315</v>
      </c>
      <c r="S718" s="2236" t="s">
        <v>1315</v>
      </c>
      <c r="T718" s="2236" t="s">
        <v>1315</v>
      </c>
      <c r="U718" s="2236"/>
      <c r="V718" s="2433" t="s">
        <v>1983</v>
      </c>
      <c r="W718" s="2433"/>
      <c r="X718" s="2434" t="str">
        <f t="shared" si="158"/>
        <v>Pequeña</v>
      </c>
      <c r="Y718" s="2229">
        <f t="shared" si="191"/>
        <v>0</v>
      </c>
      <c r="Z718" s="1150" t="str">
        <f t="shared" si="193"/>
        <v/>
      </c>
      <c r="AA718" s="1751" t="s">
        <v>1960</v>
      </c>
      <c r="AC718" s="929" t="s">
        <v>2008</v>
      </c>
      <c r="AD718" s="758">
        <f>IFERROR(IF(IF(AC718&lt;&gt;"",VLOOKUP(AC718,Tabla_ArmasyEscudos,9,0),"")="Conocida",MAX(AD$662:AD717)+1,0),0)</f>
        <v>0</v>
      </c>
      <c r="AE718" s="758">
        <f ca="1">IF(AC718="",0,IF(AD718=0,MAX(AE$654:AE717,AG$652)+1,AD718+IFERROR(VLOOKUP(VLOOKUP(AC718,$D$653:$AA$871,24,0),AC$654:AE$661,3,0)-VLOOKUP(VLOOKUP(AC718,$D$653:$AA$871,24,0),AC$654:AE$661,2,0)+1,0)))</f>
        <v>58</v>
      </c>
      <c r="AF718" s="758" t="str">
        <f t="shared" ca="1" si="162"/>
        <v>Spatha</v>
      </c>
      <c r="AG718" s="758" t="str">
        <f t="shared" ca="1" si="163"/>
        <v/>
      </c>
      <c r="AH718" s="699" t="s">
        <v>12550</v>
      </c>
      <c r="AI718" s="758">
        <f>IFERROR(IF(IF(AH718&lt;&gt;"",VLOOKUP(AH718,Tabla_ArmasyEscudos,9,0),"")="Conocida",MAX(AI$660:AI717)+1,0),0)</f>
        <v>0</v>
      </c>
      <c r="AJ718" s="758">
        <f ca="1">IF(AH718="",0,IF(AI718=0,MAX(AJ$654:AJ717,AL$652)+1,AI718+IFERROR(VLOOKUP(VLOOKUP(AH718,$D$653:$AA$871,24,0),AH$654:AJ$659,3,0)-VLOOKUP(VLOOKUP(AH718,$D$653:$AA$871,24,0),AH$654:AJ$659,2,0)+1,0)))</f>
        <v>60</v>
      </c>
      <c r="AK718" s="758" t="str">
        <f t="shared" ca="1" si="164"/>
        <v>Saturnus (Grande)</v>
      </c>
      <c r="AL718" s="758" t="str">
        <f t="shared" ca="1" si="165"/>
        <v/>
      </c>
      <c r="AM718" s="2568"/>
      <c r="AN718" s="758">
        <f>IFERROR(IF(IF(AM718&lt;&gt;"",VLOOKUP(AM718,Tabla_ArmasyEscudos,9,0),"")="Conocida",MAX(AN$660:AN717)+1,0),0)</f>
        <v>0</v>
      </c>
      <c r="AO718" s="758">
        <f>IF(AM718="",0,IF(AN718=0,MAX(AO$654:AO717,AQ$652)+1,AN718+IFERROR(VLOOKUP(VLOOKUP(AM718,$D$653:$AA$871,24,0),AM$654:AO$659,3,0)-VLOOKUP(VLOOKUP(AM718,$D$653:$AA$871,24,0),AM$654:AO$659,2,0)+1,0)))</f>
        <v>0</v>
      </c>
      <c r="AP718" s="758" t="str">
        <f t="shared" ca="1" si="166"/>
        <v/>
      </c>
      <c r="AQ718" s="758" t="str">
        <f t="shared" ca="1" si="167"/>
        <v/>
      </c>
      <c r="AR718" s="2568"/>
      <c r="AS718" s="758">
        <f>IFERROR(IF(IF(AR718&lt;&gt;"",VLOOKUP(AR718,Tabla_ArmasyEscudos,9,0),"")="Conocida",MAX(AS$660:AS717)+1,0),0)</f>
        <v>0</v>
      </c>
      <c r="AT718" s="758">
        <f>IF(AR718="",0,IF(AS718=0,MAX(AT$654:AT717,AV$652)+1,AS718+IFERROR(VLOOKUP(VLOOKUP(AR718,$D$653:$AA$871,24,0),AR$654:AT$659,3,0)-VLOOKUP(VLOOKUP(AR718,$D$653:$AA$871,24,0),AR$654:AT$659,2,0)+1,0)))</f>
        <v>0</v>
      </c>
      <c r="AU718" s="758" t="str">
        <f t="shared" ca="1" si="168"/>
        <v/>
      </c>
      <c r="AV718" s="758" t="str">
        <f t="shared" ca="1" si="169"/>
        <v/>
      </c>
      <c r="AX718" s="1141" t="str">
        <f t="shared" si="170"/>
        <v>Maza pesada</v>
      </c>
      <c r="AY718" s="2549"/>
      <c r="AZ718" s="774" t="str">
        <f t="shared" si="171"/>
        <v/>
      </c>
      <c r="BA718" s="76" t="str">
        <f t="shared" si="172"/>
        <v/>
      </c>
      <c r="BB718" s="76" t="str">
        <f t="shared" si="173"/>
        <v>Montante</v>
      </c>
      <c r="BC718" s="1142">
        <f>IF(OR($L716=BC$652,$L716="",$D716=$BE$651),MAX(BC$654:BC717)+1,0)</f>
        <v>0</v>
      </c>
      <c r="BD718" s="1143">
        <f>IF(OR($L716=BD$652,$L716="",$D716=$BE$651),MAX(BD$654:BD717)+1,0)</f>
        <v>0</v>
      </c>
      <c r="BE718" s="1144">
        <f>IF(OR($L716=BE$652,$L716="",$D716=$BE$651),MAX(BE$654:BE717)+1,0)</f>
        <v>63</v>
      </c>
      <c r="BF718" s="2549"/>
      <c r="BG718" s="774" t="str">
        <f t="shared" si="174"/>
        <v/>
      </c>
      <c r="BH718" s="76" t="str">
        <f t="shared" si="175"/>
        <v/>
      </c>
      <c r="BI718" s="76" t="str">
        <f t="shared" si="176"/>
        <v>Montante</v>
      </c>
      <c r="BJ718" s="1142">
        <f>IF(OR($L716=BJ$652,$L716="",$D716=$BL$651),MAX(BJ$654:BJ717)+1,0)</f>
        <v>0</v>
      </c>
      <c r="BK718" s="1143">
        <f>IF(OR($L716=BK$652,$L716="",$D716=$BL$651),MAX(BK$654:BK717)+1,0)</f>
        <v>0</v>
      </c>
      <c r="BL718" s="1144">
        <f>IF(OR($L716=BL$652,$L716="",$D716=$BL$651),MAX(BL$654:BL717)+1,0)</f>
        <v>63</v>
      </c>
      <c r="BM718" s="2549"/>
      <c r="BN718" s="774" t="str">
        <f t="shared" si="177"/>
        <v/>
      </c>
      <c r="BO718" s="76" t="str">
        <f t="shared" si="178"/>
        <v/>
      </c>
      <c r="BP718" s="76" t="str">
        <f t="shared" si="179"/>
        <v>Montante</v>
      </c>
      <c r="BQ718" s="1142">
        <f>IF(OR($L716=BQ$652,$L716="",$D716=$BS$651),MAX(BQ$654:BQ717)+1,0)</f>
        <v>0</v>
      </c>
      <c r="BR718" s="1143">
        <f>IF(OR($L716=BR$652,$L716="",$D716=$BS$651),MAX(BR$654:BR717)+1,0)</f>
        <v>0</v>
      </c>
      <c r="BS718" s="1144">
        <f>IF(OR($L716=BS$652,$L716="",$D716=$BS$651),MAX(BS$654:BS717)+1,0)</f>
        <v>63</v>
      </c>
      <c r="BT718" s="2549"/>
      <c r="BU718" s="774" t="str">
        <f t="shared" si="180"/>
        <v/>
      </c>
      <c r="BV718" s="76" t="str">
        <f t="shared" si="181"/>
        <v/>
      </c>
      <c r="BW718" s="76" t="str">
        <f t="shared" si="182"/>
        <v>Montante</v>
      </c>
      <c r="BX718" s="1142">
        <f>IF(OR($L716=BX$652,$L716="",$D716=$BZ$651),MAX(BX$654:BX717)+1,0)</f>
        <v>0</v>
      </c>
      <c r="BY718" s="1143">
        <f>IF(OR($L716=BY$652,$L716="",$D716=$BZ$651),MAX(BY$654:BY717)+1,0)</f>
        <v>0</v>
      </c>
      <c r="BZ718" s="1144">
        <f>IF(OR($L716=BZ$652,$L716="",$D716=$BZ$651),MAX(BZ$654:BZ717)+1,0)</f>
        <v>63</v>
      </c>
      <c r="CA718" s="2549"/>
      <c r="CB718" s="774" t="str">
        <f t="shared" si="183"/>
        <v/>
      </c>
      <c r="CC718" s="76" t="str">
        <f t="shared" si="184"/>
        <v/>
      </c>
      <c r="CD718" s="76" t="str">
        <f t="shared" si="185"/>
        <v>Montante</v>
      </c>
      <c r="CE718" s="1142">
        <f>IF(OR($L716=CE$652,$L716="",$D716=$CG$651),MAX(CE$654:CE717)+1,0)</f>
        <v>0</v>
      </c>
      <c r="CF718" s="1143">
        <f>IF(OR($L716=CF$652,$L716="",$D716=$CG$651),MAX(CF$654:CF717)+1,0)</f>
        <v>0</v>
      </c>
      <c r="CG718" s="1144">
        <f>IF(OR($L716=CG$652,$L716="",$D716=$CG$651),MAX(CG$654:CG717)+1,0)</f>
        <v>63</v>
      </c>
      <c r="CI718" s="774" t="str">
        <f t="shared" si="186"/>
        <v/>
      </c>
      <c r="CJ718" s="76" t="str">
        <f t="shared" si="187"/>
        <v/>
      </c>
      <c r="CK718" s="76" t="str">
        <f t="shared" si="188"/>
        <v>Montante</v>
      </c>
      <c r="CL718" s="1142">
        <f>IF(OR($L716=CL$652,$L716="",$D716=$CN$651),MAX(CL$654:CL717)+1,0)</f>
        <v>0</v>
      </c>
      <c r="CM718" s="1143">
        <f>IF(OR($L716=CM$652,$L716="",$D716=$CN$651),MAX(CM$654:CM717)+1,0)</f>
        <v>0</v>
      </c>
      <c r="CN718" s="1144">
        <f>IF(OR($L716=CN$652,$L716="",$D716=$CN$651),MAX(CN$654:CN717)+1,0)</f>
        <v>63</v>
      </c>
    </row>
    <row r="719" spans="1:92" ht="12.75" customHeight="1">
      <c r="A719" s="219">
        <v>710</v>
      </c>
      <c r="B719" s="7145"/>
      <c r="C719" s="1034"/>
      <c r="D719" s="3876" t="s">
        <v>6576</v>
      </c>
      <c r="E719" s="3877">
        <v>60</v>
      </c>
      <c r="F719" s="3878">
        <v>-30</v>
      </c>
      <c r="G719" s="3878" t="s">
        <v>1315</v>
      </c>
      <c r="H719" s="3878">
        <v>6</v>
      </c>
      <c r="I719" s="3878" t="s">
        <v>1411</v>
      </c>
      <c r="J719" s="3878" t="s">
        <v>1315</v>
      </c>
      <c r="K719" s="3879" t="s">
        <v>6830</v>
      </c>
      <c r="L719" s="3878" t="str">
        <f t="shared" si="192"/>
        <v>Distinta</v>
      </c>
      <c r="M719" s="3880">
        <v>12</v>
      </c>
      <c r="N719" s="3880">
        <v>4</v>
      </c>
      <c r="O719" s="3880">
        <v>15</v>
      </c>
      <c r="P719" s="3878"/>
      <c r="Q719" s="3878"/>
      <c r="R719" s="3878" t="s">
        <v>1315</v>
      </c>
      <c r="S719" s="3878" t="s">
        <v>1315</v>
      </c>
      <c r="T719" s="3878" t="s">
        <v>1315</v>
      </c>
      <c r="U719" s="3878"/>
      <c r="V719" s="3879" t="s">
        <v>12435</v>
      </c>
      <c r="W719" s="2433"/>
      <c r="X719" s="2434" t="str">
        <f t="shared" si="158"/>
        <v>Grande</v>
      </c>
      <c r="Y719" s="2229">
        <f t="shared" si="191"/>
        <v>0</v>
      </c>
      <c r="Z719" s="1150" t="str">
        <f t="shared" si="193"/>
        <v/>
      </c>
      <c r="AA719" s="1751" t="s">
        <v>1960</v>
      </c>
      <c r="AC719" s="929" t="s">
        <v>6593</v>
      </c>
      <c r="AD719" s="758">
        <f>IFERROR(IF(IF(AC719&lt;&gt;"",VLOOKUP(AC719,Tabla_ArmasyEscudos,9,0),"")="Conocida",MAX(AD$662:AD718)+1,0),0)</f>
        <v>0</v>
      </c>
      <c r="AE719" s="758">
        <f ca="1">IF(AC719="",0,IF(AD719=0,MAX(AE$654:AE718,AG$652)+1,AD719+IFERROR(VLOOKUP(VLOOKUP(AC719,$D$653:$AA$871,24,0),AC$654:AE$661,3,0)-VLOOKUP(VLOOKUP(AC719,$D$653:$AA$871,24,0),AC$654:AE$661,2,0)+1,0)))</f>
        <v>59</v>
      </c>
      <c r="AF719" s="758" t="str">
        <f t="shared" ref="AF719:AF750" ca="1" si="194">IFERROR(INDEX(AC$654:AC$808,MATCH($A65,AE$654:AE$808,0)),"")</f>
        <v>Tridente</v>
      </c>
      <c r="AG719" s="758" t="str">
        <f t="shared" ref="AG719:AG750" ca="1" si="195">IF($A65&lt;MIN($AE$662,IF($AE$660&gt;0,$AE$660,9999),IF($AE$661&gt;0,$AE$661,9999)),IFERROR(INDEX(AC$654:AC$808,MATCH($A65,AE$654:AE$808,0)),""),"")</f>
        <v/>
      </c>
      <c r="AH719" s="699" t="s">
        <v>12551</v>
      </c>
      <c r="AI719" s="758">
        <f>IFERROR(IF(IF(AH719&lt;&gt;"",VLOOKUP(AH719,Tabla_ArmasyEscudos,9,0),"")="Conocida",MAX(AI$660:AI718)+1,0),0)</f>
        <v>0</v>
      </c>
      <c r="AJ719" s="758">
        <f ca="1">IF(AH719="",0,IF(AI719=0,MAX(AJ$654:AJ718,AL$652)+1,AI719+IFERROR(VLOOKUP(VLOOKUP(AH719,$D$653:$AA$871,24,0),AH$654:AJ$659,3,0)-VLOOKUP(VLOOKUP(AH719,$D$653:$AA$871,24,0),AH$654:AJ$659,2,0)+1,0)))</f>
        <v>61</v>
      </c>
      <c r="AK719" s="758" t="str">
        <f t="shared" ref="AK719:AK750" ca="1" si="196">IFERROR(INDEX(AH$654:AH$806,MATCH($A65,AJ$654:AJ$806,0)),"")</f>
        <v/>
      </c>
      <c r="AL719" s="758" t="str">
        <f t="shared" ref="AL719:AL750" ca="1" si="197">IF($A65&lt;MIN(AJ$660,IF($AJ$657&gt;0,$AJ$657,9999)),IFERROR(INDEX(AH$654:AH$806,MATCH($A65,AJ$654:AJ$806,0)),""),"")</f>
        <v/>
      </c>
      <c r="AM719" s="2568"/>
      <c r="AN719" s="758">
        <f>IFERROR(IF(IF(AM719&lt;&gt;"",VLOOKUP(AM719,Tabla_ArmasyEscudos,9,0),"")="Conocida",MAX(AN$660:AN718)+1,0),0)</f>
        <v>0</v>
      </c>
      <c r="AO719" s="758">
        <f>IF(AM719="",0,IF(AN719=0,MAX(AO$654:AO718,AQ$652)+1,AN719+IFERROR(VLOOKUP(VLOOKUP(AM719,$D$653:$AA$871,24,0),AM$654:AO$659,3,0)-VLOOKUP(VLOOKUP(AM719,$D$653:$AA$871,24,0),AM$654:AO$659,2,0)+1,0)))</f>
        <v>0</v>
      </c>
      <c r="AP719" s="758" t="str">
        <f t="shared" ref="AP719:AP750" ca="1" si="198">IFERROR(INDEX(AM$654:AM$806,MATCH($A65,AO$654:AO$806,0)),"")</f>
        <v/>
      </c>
      <c r="AQ719" s="758" t="str">
        <f t="shared" ref="AQ719:AQ750" ca="1" si="199">IF($A65&lt;MIN(AO$660,IF($AO$656&gt;0,$AO$656,9999)),IFERROR(INDEX(AM$654:AM$806,MATCH($A65,AO$654:AO$806,0)),""),"")</f>
        <v/>
      </c>
      <c r="AR719" s="2568"/>
      <c r="AS719" s="758">
        <f>IFERROR(IF(IF(AR719&lt;&gt;"",VLOOKUP(AR719,Tabla_ArmasyEscudos,9,0),"")="Conocida",MAX(AS$660:AS718)+1,0),0)</f>
        <v>0</v>
      </c>
      <c r="AT719" s="758">
        <f>IF(AR719="",0,IF(AS719=0,MAX(AT$654:AT718,AV$652)+1,AS719+IFERROR(VLOOKUP(VLOOKUP(AR719,$D$653:$AA$871,24,0),AR$654:AT$659,3,0)-VLOOKUP(VLOOKUP(AR719,$D$653:$AA$871,24,0),AR$654:AT$659,2,0)+1,0)))</f>
        <v>0</v>
      </c>
      <c r="AU719" s="758" t="str">
        <f t="shared" ref="AU719:AU750" ca="1" si="200">IFERROR(INDEX(AR$654:AR$806,MATCH($A65,AT$654:AT$806,0)),"")</f>
        <v/>
      </c>
      <c r="AV719" s="758" t="str">
        <f t="shared" ref="AV719:AV750" ca="1" si="201">IF($A65&lt;MIN(AT$660,IF($AT$657&gt;0,$AT$657,9999)),IFERROR(INDEX(AR$654:AR$806,MATCH($A65,AT$654:AT$806,0)),""),"")</f>
        <v/>
      </c>
      <c r="AX719" s="1141" t="str">
        <f t="shared" ref="AX719:AX750" si="202">D717</f>
        <v>Montante</v>
      </c>
      <c r="AY719" s="2549"/>
      <c r="AZ719" s="774" t="str">
        <f t="shared" ref="AZ719:AZ750" si="203">IF(ISNA(INDEX(Lista_ArmasYVirgo,MATCH($A65,BC$655:BC$796,0))),"",INDEX(Lista_ArmasYVirgo,MATCH($A65,BC$655:BC$796,0)))</f>
        <v/>
      </c>
      <c r="BA719" s="76" t="str">
        <f t="shared" ref="BA719:BA750" si="204">IF(ISNA(INDEX(Lista_ArmasYVirgo,MATCH($A65,BD$655:BD$796,0))),"",INDEX(Lista_ArmasYVirgo,MATCH($A65,BD$655:BD$796,0)))</f>
        <v/>
      </c>
      <c r="BB719" s="76" t="str">
        <f t="shared" ref="BB719:BB750" si="205">IF(ISNA(INDEX(Lista_ArmasYVirgo,MATCH($A65,BE$655:BE$796,0))),"",INDEX(Lista_ArmasYVirgo,MATCH($A65,BE$655:BE$796,0)))</f>
        <v>Pata</v>
      </c>
      <c r="BC719" s="1142">
        <f>IF(OR($L717=BC$652,$L717="",$D717=$BE$651),MAX(BC$654:BC718)+1,0)</f>
        <v>0</v>
      </c>
      <c r="BD719" s="1143">
        <f>IF(OR($L717=BD$652,$L717="",$D717=$BE$651),MAX(BD$654:BD718)+1,0)</f>
        <v>0</v>
      </c>
      <c r="BE719" s="1144">
        <f>IF(OR($L717=BE$652,$L717="",$D717=$BE$651),MAX(BE$654:BE718)+1,0)</f>
        <v>64</v>
      </c>
      <c r="BF719" s="2549"/>
      <c r="BG719" s="774" t="str">
        <f t="shared" ref="BG719:BG750" si="206">IF(ISNA(INDEX(Lista_ArmasYVirgo,MATCH($A65,BJ$655:BJ$796,0))),"",INDEX(Lista_ArmasYVirgo,MATCH($A65,BJ$655:BJ$796,0)))</f>
        <v/>
      </c>
      <c r="BH719" s="76" t="str">
        <f t="shared" ref="BH719:BH750" si="207">IF(ISNA(INDEX(Lista_ArmasYVirgo,MATCH($A65,BK$655:BK$796,0))),"",INDEX(Lista_ArmasYVirgo,MATCH($A65,BK$655:BK$796,0)))</f>
        <v/>
      </c>
      <c r="BI719" s="76" t="str">
        <f t="shared" ref="BI719:BI750" si="208">IF(ISNA(INDEX(Lista_ArmasYVirgo,MATCH($A65,BL$655:BL$796,0))),"",INDEX(Lista_ArmasYVirgo,MATCH($A65,BL$655:BL$796,0)))</f>
        <v>Pata</v>
      </c>
      <c r="BJ719" s="1142">
        <f>IF(OR($L717=BJ$652,$L717="",$D717=$BL$651),MAX(BJ$654:BJ718)+1,0)</f>
        <v>0</v>
      </c>
      <c r="BK719" s="1143">
        <f>IF(OR($L717=BK$652,$L717="",$D717=$BL$651),MAX(BK$654:BK718)+1,0)</f>
        <v>0</v>
      </c>
      <c r="BL719" s="1144">
        <f>IF(OR($L717=BL$652,$L717="",$D717=$BL$651),MAX(BL$654:BL718)+1,0)</f>
        <v>64</v>
      </c>
      <c r="BM719" s="2549"/>
      <c r="BN719" s="774" t="str">
        <f t="shared" ref="BN719:BN750" si="209">IF(ISNA(INDEX(Lista_ArmasYVirgo,MATCH($A65,BQ$655:BQ$796,0))),"",INDEX(Lista_ArmasYVirgo,MATCH($A65,BQ$655:BQ$796,0)))</f>
        <v/>
      </c>
      <c r="BO719" s="76" t="str">
        <f t="shared" ref="BO719:BO750" si="210">IF(ISNA(INDEX(Lista_ArmasYVirgo,MATCH($A65,BR$655:BR$796,0))),"",INDEX(Lista_ArmasYVirgo,MATCH($A65,BR$655:BR$796,0)))</f>
        <v/>
      </c>
      <c r="BP719" s="76" t="str">
        <f t="shared" ref="BP719:BP750" si="211">IF(ISNA(INDEX(Lista_ArmasYVirgo,MATCH($A65,BS$655:BS$796,0))),"",INDEX(Lista_ArmasYVirgo,MATCH($A65,BS$655:BS$796,0)))</f>
        <v>Pata</v>
      </c>
      <c r="BQ719" s="1142">
        <f>IF(OR($L717=BQ$652,$L717="",$D717=$BS$651),MAX(BQ$654:BQ718)+1,0)</f>
        <v>0</v>
      </c>
      <c r="BR719" s="1143">
        <f>IF(OR($L717=BR$652,$L717="",$D717=$BS$651),MAX(BR$654:BR718)+1,0)</f>
        <v>0</v>
      </c>
      <c r="BS719" s="1144">
        <f>IF(OR($L717=BS$652,$L717="",$D717=$BS$651),MAX(BS$654:BS718)+1,0)</f>
        <v>64</v>
      </c>
      <c r="BT719" s="2549"/>
      <c r="BU719" s="774" t="str">
        <f t="shared" ref="BU719:BU750" si="212">IF(ISNA(INDEX(Lista_ArmasYVirgo,MATCH($A65,BX$655:BX$796,0))),"",INDEX(Lista_ArmasYVirgo,MATCH($A65,BX$655:BX$796,0)))</f>
        <v/>
      </c>
      <c r="BV719" s="76" t="str">
        <f t="shared" ref="BV719:BV750" si="213">IF(ISNA(INDEX(Lista_ArmasYVirgo,MATCH($A65,BY$655:BY$796,0))),"",INDEX(Lista_ArmasYVirgo,MATCH($A65,BY$655:BY$796,0)))</f>
        <v/>
      </c>
      <c r="BW719" s="76" t="str">
        <f t="shared" ref="BW719:BW750" si="214">IF(ISNA(INDEX(Lista_ArmasYVirgo,MATCH($A65,BZ$655:BZ$796,0))),"",INDEX(Lista_ArmasYVirgo,MATCH($A65,BZ$655:BZ$796,0)))</f>
        <v>Pata</v>
      </c>
      <c r="BX719" s="1142">
        <f>IF(OR($L717=BX$652,$L717="",$D717=$BZ$651),MAX(BX$654:BX718)+1,0)</f>
        <v>0</v>
      </c>
      <c r="BY719" s="1143">
        <f>IF(OR($L717=BY$652,$L717="",$D717=$BZ$651),MAX(BY$654:BY718)+1,0)</f>
        <v>0</v>
      </c>
      <c r="BZ719" s="1144">
        <f>IF(OR($L717=BZ$652,$L717="",$D717=$BZ$651),MAX(BZ$654:BZ718)+1,0)</f>
        <v>64</v>
      </c>
      <c r="CA719" s="2549"/>
      <c r="CB719" s="774" t="str">
        <f t="shared" ref="CB719:CB750" si="215">IF(ISNA(INDEX(Lista_ArmasYVirgo,MATCH($A65,CE$655:CE$796,0))),"",INDEX(Lista_ArmasYVirgo,MATCH($A65,CE$655:CE$796,0)))</f>
        <v/>
      </c>
      <c r="CC719" s="76" t="str">
        <f t="shared" ref="CC719:CC750" si="216">IF(ISNA(INDEX(Lista_ArmasYVirgo,MATCH($A65,CF$655:CF$796,0))),"",INDEX(Lista_ArmasYVirgo,MATCH($A65,CF$655:CF$796,0)))</f>
        <v/>
      </c>
      <c r="CD719" s="76" t="str">
        <f t="shared" ref="CD719:CD750" si="217">IF(ISNA(INDEX(Lista_ArmasYVirgo,MATCH($A65,CG$655:CG$796,0))),"",INDEX(Lista_ArmasYVirgo,MATCH($A65,CG$655:CG$796,0)))</f>
        <v>Pata</v>
      </c>
      <c r="CE719" s="1142">
        <f>IF(OR($L717=CE$652,$L717="",$D717=$CG$651),MAX(CE$654:CE718)+1,0)</f>
        <v>0</v>
      </c>
      <c r="CF719" s="1143">
        <f>IF(OR($L717=CF$652,$L717="",$D717=$CG$651),MAX(CF$654:CF718)+1,0)</f>
        <v>0</v>
      </c>
      <c r="CG719" s="1144">
        <f>IF(OR($L717=CG$652,$L717="",$D717=$CG$651),MAX(CG$654:CG718)+1,0)</f>
        <v>64</v>
      </c>
      <c r="CI719" s="774" t="str">
        <f t="shared" ref="CI719:CI750" si="218">IF(ISNA(INDEX(Lista_ArmasYVirgo,MATCH($A65,CL$655:CL$796,0))),"",INDEX(Lista_ArmasYVirgo,MATCH($A65,CL$655:CL$796,0)))</f>
        <v/>
      </c>
      <c r="CJ719" s="76" t="str">
        <f t="shared" ref="CJ719:CJ750" si="219">IF(ISNA(INDEX(Lista_ArmasYVirgo,MATCH($A65,CM$655:CM$796,0))),"",INDEX(Lista_ArmasYVirgo,MATCH($A65,CM$655:CM$796,0)))</f>
        <v/>
      </c>
      <c r="CK719" s="76" t="str">
        <f t="shared" ref="CK719:CK750" si="220">IF(ISNA(INDEX(Lista_ArmasYVirgo,MATCH($A65,CN$655:CN$796,0))),"",INDEX(Lista_ArmasYVirgo,MATCH($A65,CN$655:CN$796,0)))</f>
        <v>Pata</v>
      </c>
      <c r="CL719" s="1142">
        <f>IF(OR($L717=CL$652,$L717="",$D717=$CN$651),MAX(CL$654:CL718)+1,0)</f>
        <v>0</v>
      </c>
      <c r="CM719" s="1143">
        <f>IF(OR($L717=CM$652,$L717="",$D717=$CN$651),MAX(CM$654:CM718)+1,0)</f>
        <v>0</v>
      </c>
      <c r="CN719" s="1144">
        <f>IF(OR($L717=CN$652,$L717="",$D717=$CN$651),MAX(CN$654:CN718)+1,0)</f>
        <v>64</v>
      </c>
    </row>
    <row r="720" spans="1:92" ht="12.75" customHeight="1">
      <c r="A720" s="219">
        <v>711</v>
      </c>
      <c r="B720" s="7145"/>
      <c r="C720" s="1034"/>
      <c r="D720" s="3876" t="s">
        <v>6577</v>
      </c>
      <c r="E720" s="3877">
        <v>40</v>
      </c>
      <c r="F720" s="3878">
        <v>-5</v>
      </c>
      <c r="G720" s="3878">
        <v>7</v>
      </c>
      <c r="H720" s="3878">
        <v>6</v>
      </c>
      <c r="I720" s="3878" t="s">
        <v>1410</v>
      </c>
      <c r="J720" s="3878" t="s">
        <v>1357</v>
      </c>
      <c r="K720" s="3879" t="s">
        <v>6830</v>
      </c>
      <c r="L720" s="3878" t="str">
        <f t="shared" si="192"/>
        <v>Distinta</v>
      </c>
      <c r="M720" s="3880">
        <v>12</v>
      </c>
      <c r="N720" s="3880">
        <v>2</v>
      </c>
      <c r="O720" s="3880">
        <v>20</v>
      </c>
      <c r="P720" s="3878"/>
      <c r="Q720" s="3878"/>
      <c r="R720" s="3878" t="s">
        <v>1315</v>
      </c>
      <c r="S720" s="3878" t="s">
        <v>1315</v>
      </c>
      <c r="T720" s="3878" t="s">
        <v>1315</v>
      </c>
      <c r="U720" s="3878"/>
      <c r="V720" s="3879" t="s">
        <v>12424</v>
      </c>
      <c r="W720" s="2433"/>
      <c r="X720" s="2434" t="str">
        <f t="shared" si="158"/>
        <v>Grande</v>
      </c>
      <c r="Y720" s="2229">
        <f t="shared" si="191"/>
        <v>0</v>
      </c>
      <c r="Z720" s="1150" t="str">
        <f t="shared" si="193"/>
        <v/>
      </c>
      <c r="AA720" s="1751" t="s">
        <v>1960</v>
      </c>
      <c r="AC720" s="929" t="s">
        <v>6577</v>
      </c>
      <c r="AD720" s="758">
        <f>IFERROR(IF(IF(AC720&lt;&gt;"",VLOOKUP(AC720,Tabla_ArmasyEscudos,9,0),"")="Conocida",MAX(AD$662:AD719)+1,0),0)</f>
        <v>0</v>
      </c>
      <c r="AE720" s="758">
        <f ca="1">IF(AC720="",0,IF(AD720=0,MAX(AE$654:AE719,AG$652)+1,AD720+IFERROR(VLOOKUP(VLOOKUP(AC720,$D$653:$AA$871,24,0),AC$654:AE$661,3,0)-VLOOKUP(VLOOKUP(AC720,$D$653:$AA$871,24,0),AC$654:AE$661,2,0)+1,0)))</f>
        <v>60</v>
      </c>
      <c r="AF720" s="758" t="str">
        <f t="shared" ca="1" si="194"/>
        <v>Turcus</v>
      </c>
      <c r="AG720" s="758" t="str">
        <f t="shared" ca="1" si="195"/>
        <v/>
      </c>
      <c r="AH720" s="699" t="s">
        <v>12554</v>
      </c>
      <c r="AI720" s="758">
        <f>IFERROR(IF(IF(AH720&lt;&gt;"",VLOOKUP(AH720,Tabla_ArmasyEscudos,9,0),"")="Conocida",MAX(AI$660:AI719)+1,0),0)</f>
        <v>0</v>
      </c>
      <c r="AJ720" s="758">
        <f ca="1">IF(AH720="",0,IF(AI720=0,MAX(AJ$654:AJ719,AL$652)+1,AI720+IFERROR(VLOOKUP(VLOOKUP(AH720,$D$653:$AA$871,24,0),AH$654:AJ$659,3,0)-VLOOKUP(VLOOKUP(AH720,$D$653:$AA$871,24,0),AH$654:AJ$659,2,0)+1,0)))</f>
        <v>62</v>
      </c>
      <c r="AK720" s="758" t="str">
        <f t="shared" ca="1" si="196"/>
        <v/>
      </c>
      <c r="AL720" s="758" t="str">
        <f t="shared" ca="1" si="197"/>
        <v/>
      </c>
      <c r="AM720" s="2568"/>
      <c r="AN720" s="758">
        <f>IFERROR(IF(IF(AM720&lt;&gt;"",VLOOKUP(AM720,Tabla_ArmasyEscudos,9,0),"")="Conocida",MAX(AN$660:AN719)+1,0),0)</f>
        <v>0</v>
      </c>
      <c r="AO720" s="758">
        <f>IF(AM720="",0,IF(AN720=0,MAX(AO$654:AO719,AQ$652)+1,AN720+IFERROR(VLOOKUP(VLOOKUP(AM720,$D$653:$AA$871,24,0),AM$654:AO$659,3,0)-VLOOKUP(VLOOKUP(AM720,$D$653:$AA$871,24,0),AM$654:AO$659,2,0)+1,0)))</f>
        <v>0</v>
      </c>
      <c r="AP720" s="758" t="str">
        <f t="shared" ca="1" si="198"/>
        <v/>
      </c>
      <c r="AQ720" s="758" t="str">
        <f t="shared" ca="1" si="199"/>
        <v/>
      </c>
      <c r="AR720" s="2568"/>
      <c r="AS720" s="758">
        <f>IFERROR(IF(IF(AR720&lt;&gt;"",VLOOKUP(AR720,Tabla_ArmasyEscudos,9,0),"")="Conocida",MAX(AS$660:AS719)+1,0),0)</f>
        <v>0</v>
      </c>
      <c r="AT720" s="758">
        <f>IF(AR720="",0,IF(AS720=0,MAX(AT$654:AT719,AV$652)+1,AS720+IFERROR(VLOOKUP(VLOOKUP(AR720,$D$653:$AA$871,24,0),AR$654:AT$659,3,0)-VLOOKUP(VLOOKUP(AR720,$D$653:$AA$871,24,0),AR$654:AT$659,2,0)+1,0)))</f>
        <v>0</v>
      </c>
      <c r="AU720" s="758" t="str">
        <f t="shared" ca="1" si="200"/>
        <v/>
      </c>
      <c r="AV720" s="758" t="str">
        <f t="shared" ca="1" si="201"/>
        <v/>
      </c>
      <c r="AX720" s="1141" t="str">
        <f t="shared" si="202"/>
        <v>Pata</v>
      </c>
      <c r="AY720" s="2549"/>
      <c r="AZ720" s="774" t="str">
        <f t="shared" si="203"/>
        <v/>
      </c>
      <c r="BA720" s="76" t="str">
        <f t="shared" si="204"/>
        <v/>
      </c>
      <c r="BB720" s="76" t="str">
        <f t="shared" si="205"/>
        <v>Pica</v>
      </c>
      <c r="BC720" s="1142">
        <f>IF(OR($L718=BC$652,$L718="",$D718=$BE$651),MAX(BC$654:BC719)+1,0)</f>
        <v>0</v>
      </c>
      <c r="BD720" s="1143">
        <f>IF(OR($L718=BD$652,$L718="",$D718=$BE$651),MAX(BD$654:BD719)+1,0)</f>
        <v>0</v>
      </c>
      <c r="BE720" s="1144">
        <f>IF(OR($L718=BE$652,$L718="",$D718=$BE$651),MAX(BE$654:BE719)+1,0)</f>
        <v>65</v>
      </c>
      <c r="BF720" s="2549"/>
      <c r="BG720" s="774" t="str">
        <f t="shared" si="206"/>
        <v/>
      </c>
      <c r="BH720" s="76" t="str">
        <f t="shared" si="207"/>
        <v/>
      </c>
      <c r="BI720" s="76" t="str">
        <f t="shared" si="208"/>
        <v>Pica</v>
      </c>
      <c r="BJ720" s="1142">
        <f>IF(OR($L718=BJ$652,$L718="",$D718=$BL$651),MAX(BJ$654:BJ719)+1,0)</f>
        <v>0</v>
      </c>
      <c r="BK720" s="1143">
        <f>IF(OR($L718=BK$652,$L718="",$D718=$BL$651),MAX(BK$654:BK719)+1,0)</f>
        <v>0</v>
      </c>
      <c r="BL720" s="1144">
        <f>IF(OR($L718=BL$652,$L718="",$D718=$BL$651),MAX(BL$654:BL719)+1,0)</f>
        <v>65</v>
      </c>
      <c r="BM720" s="2549"/>
      <c r="BN720" s="774" t="str">
        <f t="shared" si="209"/>
        <v/>
      </c>
      <c r="BO720" s="76" t="str">
        <f t="shared" si="210"/>
        <v/>
      </c>
      <c r="BP720" s="76" t="str">
        <f t="shared" si="211"/>
        <v>Pica</v>
      </c>
      <c r="BQ720" s="1142">
        <f>IF(OR($L718=BQ$652,$L718="",$D718=$BS$651),MAX(BQ$654:BQ719)+1,0)</f>
        <v>0</v>
      </c>
      <c r="BR720" s="1143">
        <f>IF(OR($L718=BR$652,$L718="",$D718=$BS$651),MAX(BR$654:BR719)+1,0)</f>
        <v>0</v>
      </c>
      <c r="BS720" s="1144">
        <f>IF(OR($L718=BS$652,$L718="",$D718=$BS$651),MAX(BS$654:BS719)+1,0)</f>
        <v>65</v>
      </c>
      <c r="BT720" s="2549"/>
      <c r="BU720" s="774" t="str">
        <f t="shared" si="212"/>
        <v/>
      </c>
      <c r="BV720" s="76" t="str">
        <f t="shared" si="213"/>
        <v/>
      </c>
      <c r="BW720" s="76" t="str">
        <f t="shared" si="214"/>
        <v>Pica</v>
      </c>
      <c r="BX720" s="1142">
        <f>IF(OR($L718=BX$652,$L718="",$D718=$BZ$651),MAX(BX$654:BX719)+1,0)</f>
        <v>0</v>
      </c>
      <c r="BY720" s="1143">
        <f>IF(OR($L718=BY$652,$L718="",$D718=$BZ$651),MAX(BY$654:BY719)+1,0)</f>
        <v>0</v>
      </c>
      <c r="BZ720" s="1144">
        <f>IF(OR($L718=BZ$652,$L718="",$D718=$BZ$651),MAX(BZ$654:BZ719)+1,0)</f>
        <v>65</v>
      </c>
      <c r="CA720" s="2549"/>
      <c r="CB720" s="774" t="str">
        <f t="shared" si="215"/>
        <v/>
      </c>
      <c r="CC720" s="76" t="str">
        <f t="shared" si="216"/>
        <v/>
      </c>
      <c r="CD720" s="76" t="str">
        <f t="shared" si="217"/>
        <v>Pica</v>
      </c>
      <c r="CE720" s="1142">
        <f>IF(OR($L718=CE$652,$L718="",$D718=$CG$651),MAX(CE$654:CE719)+1,0)</f>
        <v>0</v>
      </c>
      <c r="CF720" s="1143">
        <f>IF(OR($L718=CF$652,$L718="",$D718=$CG$651),MAX(CF$654:CF719)+1,0)</f>
        <v>0</v>
      </c>
      <c r="CG720" s="1144">
        <f>IF(OR($L718=CG$652,$L718="",$D718=$CG$651),MAX(CG$654:CG719)+1,0)</f>
        <v>65</v>
      </c>
      <c r="CI720" s="774" t="str">
        <f t="shared" si="218"/>
        <v/>
      </c>
      <c r="CJ720" s="76" t="str">
        <f t="shared" si="219"/>
        <v/>
      </c>
      <c r="CK720" s="76" t="str">
        <f t="shared" si="220"/>
        <v>Pica</v>
      </c>
      <c r="CL720" s="1142">
        <f>IF(OR($L718=CL$652,$L718="",$D718=$CN$651),MAX(CL$654:CL719)+1,0)</f>
        <v>0</v>
      </c>
      <c r="CM720" s="1143">
        <f>IF(OR($L718=CM$652,$L718="",$D718=$CN$651),MAX(CM$654:CM719)+1,0)</f>
        <v>0</v>
      </c>
      <c r="CN720" s="1144">
        <f>IF(OR($L718=CN$652,$L718="",$D718=$CN$651),MAX(CN$654:CN719)+1,0)</f>
        <v>65</v>
      </c>
    </row>
    <row r="721" spans="1:92" ht="12.75" customHeight="1">
      <c r="A721" s="219">
        <v>712</v>
      </c>
      <c r="B721" s="7145"/>
      <c r="C721" s="1034"/>
      <c r="D721" s="2237" t="s">
        <v>2009</v>
      </c>
      <c r="E721" s="2239">
        <v>5</v>
      </c>
      <c r="F721" s="2236">
        <v>0</v>
      </c>
      <c r="G721" s="2236">
        <v>4</v>
      </c>
      <c r="H721" s="2236">
        <v>4</v>
      </c>
      <c r="I721" s="2236" t="s">
        <v>1357</v>
      </c>
      <c r="J721" s="2236" t="s">
        <v>1410</v>
      </c>
      <c r="K721" s="2433" t="s">
        <v>6834</v>
      </c>
      <c r="L721" s="2236" t="str">
        <f t="shared" si="192"/>
        <v>Distinta</v>
      </c>
      <c r="M721" s="2240">
        <v>13</v>
      </c>
      <c r="N721" s="2240">
        <v>-4</v>
      </c>
      <c r="O721" s="2240">
        <v>15</v>
      </c>
      <c r="P721" s="2236"/>
      <c r="Q721" s="2236"/>
      <c r="R721" s="2240">
        <v>100</v>
      </c>
      <c r="S721" s="2236" t="s">
        <v>1315</v>
      </c>
      <c r="T721" s="2236">
        <v>5</v>
      </c>
      <c r="U721" s="2236"/>
      <c r="V721" s="2433" t="s">
        <v>8129</v>
      </c>
      <c r="W721" s="2433"/>
      <c r="X721" s="2434" t="str">
        <f t="shared" si="158"/>
        <v>Mediana</v>
      </c>
      <c r="Y721" s="2229">
        <f t="shared" si="191"/>
        <v>0</v>
      </c>
      <c r="Z721" s="1150" t="str">
        <f t="shared" si="193"/>
        <v/>
      </c>
      <c r="AA721" s="1751" t="s">
        <v>1960</v>
      </c>
      <c r="AC721" s="929" t="s">
        <v>2009</v>
      </c>
      <c r="AD721" s="758">
        <f>IFERROR(IF(IF(AC721&lt;&gt;"",VLOOKUP(AC721,Tabla_ArmasyEscudos,9,0),"")="Conocida",MAX(AD$662:AD720)+1,0),0)</f>
        <v>0</v>
      </c>
      <c r="AE721" s="758">
        <f ca="1">IF(AC721="",0,IF(AD721=0,MAX(AE$654:AE720,AG$652)+1,AD721+IFERROR(VLOOKUP(VLOOKUP(AC721,$D$653:$AA$871,24,0),AC$654:AE$661,3,0)-VLOOKUP(VLOOKUP(AC721,$D$653:$AA$871,24,0),AC$654:AE$661,2,0)+1,0)))</f>
        <v>61</v>
      </c>
      <c r="AF721" s="758" t="str">
        <f t="shared" ca="1" si="194"/>
        <v>Urumi</v>
      </c>
      <c r="AG721" s="758" t="str">
        <f t="shared" ca="1" si="195"/>
        <v/>
      </c>
      <c r="AH721" s="699" t="s">
        <v>12555</v>
      </c>
      <c r="AI721" s="758">
        <f>IFERROR(IF(IF(AH721&lt;&gt;"",VLOOKUP(AH721,Tabla_ArmasyEscudos,9,0),"")="Conocida",MAX(AI$660:AI720)+1,0),0)</f>
        <v>0</v>
      </c>
      <c r="AJ721" s="758">
        <f ca="1">IF(AH721="",0,IF(AI721=0,MAX(AJ$654:AJ720,AL$652)+1,AI721+IFERROR(VLOOKUP(VLOOKUP(AH721,$D$653:$AA$871,24,0),AH$654:AJ$659,3,0)-VLOOKUP(VLOOKUP(AH721,$D$653:$AA$871,24,0),AH$654:AJ$659,2,0)+1,0)))</f>
        <v>63</v>
      </c>
      <c r="AK721" s="758" t="str">
        <f t="shared" ca="1" si="196"/>
        <v/>
      </c>
      <c r="AL721" s="758" t="str">
        <f t="shared" ca="1" si="197"/>
        <v/>
      </c>
      <c r="AM721" s="2568"/>
      <c r="AN721" s="758">
        <f>IFERROR(IF(IF(AM721&lt;&gt;"",VLOOKUP(AM721,Tabla_ArmasyEscudos,9,0),"")="Conocida",MAX(AN$660:AN720)+1,0),0)</f>
        <v>0</v>
      </c>
      <c r="AO721" s="758">
        <f>IF(AM721="",0,IF(AN721=0,MAX(AO$654:AO720,AQ$652)+1,AN721+IFERROR(VLOOKUP(VLOOKUP(AM721,$D$653:$AA$871,24,0),AM$654:AO$659,3,0)-VLOOKUP(VLOOKUP(AM721,$D$653:$AA$871,24,0),AM$654:AO$659,2,0)+1,0)))</f>
        <v>0</v>
      </c>
      <c r="AP721" s="758" t="str">
        <f t="shared" ca="1" si="198"/>
        <v/>
      </c>
      <c r="AQ721" s="758" t="str">
        <f t="shared" ca="1" si="199"/>
        <v/>
      </c>
      <c r="AR721" s="2568"/>
      <c r="AS721" s="758">
        <f>IFERROR(IF(IF(AR721&lt;&gt;"",VLOOKUP(AR721,Tabla_ArmasyEscudos,9,0),"")="Conocida",MAX(AS$660:AS720)+1,0),0)</f>
        <v>0</v>
      </c>
      <c r="AT721" s="758">
        <f>IF(AR721="",0,IF(AS721=0,MAX(AT$654:AT720,AV$652)+1,AS721+IFERROR(VLOOKUP(VLOOKUP(AR721,$D$653:$AA$871,24,0),AR$654:AT$659,3,0)-VLOOKUP(VLOOKUP(AR721,$D$653:$AA$871,24,0),AR$654:AT$659,2,0)+1,0)))</f>
        <v>0</v>
      </c>
      <c r="AU721" s="758" t="str">
        <f t="shared" ca="1" si="200"/>
        <v/>
      </c>
      <c r="AV721" s="758" t="str">
        <f t="shared" ca="1" si="201"/>
        <v/>
      </c>
      <c r="AX721" s="1141" t="str">
        <f t="shared" si="202"/>
        <v>Pica</v>
      </c>
      <c r="AY721" s="2549"/>
      <c r="AZ721" s="774" t="str">
        <f t="shared" si="203"/>
        <v/>
      </c>
      <c r="BA721" s="76" t="str">
        <f t="shared" si="204"/>
        <v/>
      </c>
      <c r="BB721" s="76" t="str">
        <f t="shared" si="205"/>
        <v>Pudao</v>
      </c>
      <c r="BC721" s="1142">
        <f>IF(OR($L719=BC$652,$L719="",$D719=$BE$651),MAX(BC$654:BC720)+1,0)</f>
        <v>0</v>
      </c>
      <c r="BD721" s="1143">
        <f>IF(OR($L719=BD$652,$L719="",$D719=$BE$651),MAX(BD$654:BD720)+1,0)</f>
        <v>0</v>
      </c>
      <c r="BE721" s="1144">
        <f>IF(OR($L719=BE$652,$L719="",$D719=$BE$651),MAX(BE$654:BE720)+1,0)</f>
        <v>66</v>
      </c>
      <c r="BF721" s="2549"/>
      <c r="BG721" s="774" t="str">
        <f t="shared" si="206"/>
        <v/>
      </c>
      <c r="BH721" s="76" t="str">
        <f t="shared" si="207"/>
        <v/>
      </c>
      <c r="BI721" s="76" t="str">
        <f t="shared" si="208"/>
        <v>Pudao</v>
      </c>
      <c r="BJ721" s="1142">
        <f>IF(OR($L719=BJ$652,$L719="",$D719=$BL$651),MAX(BJ$654:BJ720)+1,0)</f>
        <v>0</v>
      </c>
      <c r="BK721" s="1143">
        <f>IF(OR($L719=BK$652,$L719="",$D719=$BL$651),MAX(BK$654:BK720)+1,0)</f>
        <v>0</v>
      </c>
      <c r="BL721" s="1144">
        <f>IF(OR($L719=BL$652,$L719="",$D719=$BL$651),MAX(BL$654:BL720)+1,0)</f>
        <v>66</v>
      </c>
      <c r="BM721" s="2549"/>
      <c r="BN721" s="774" t="str">
        <f t="shared" si="209"/>
        <v/>
      </c>
      <c r="BO721" s="76" t="str">
        <f t="shared" si="210"/>
        <v/>
      </c>
      <c r="BP721" s="76" t="str">
        <f t="shared" si="211"/>
        <v>Pudao</v>
      </c>
      <c r="BQ721" s="1142">
        <f>IF(OR($L719=BQ$652,$L719="",$D719=$BS$651),MAX(BQ$654:BQ720)+1,0)</f>
        <v>0</v>
      </c>
      <c r="BR721" s="1143">
        <f>IF(OR($L719=BR$652,$L719="",$D719=$BS$651),MAX(BR$654:BR720)+1,0)</f>
        <v>0</v>
      </c>
      <c r="BS721" s="1144">
        <f>IF(OR($L719=BS$652,$L719="",$D719=$BS$651),MAX(BS$654:BS720)+1,0)</f>
        <v>66</v>
      </c>
      <c r="BT721" s="2549"/>
      <c r="BU721" s="774" t="str">
        <f t="shared" si="212"/>
        <v/>
      </c>
      <c r="BV721" s="76" t="str">
        <f t="shared" si="213"/>
        <v/>
      </c>
      <c r="BW721" s="76" t="str">
        <f t="shared" si="214"/>
        <v>Pudao</v>
      </c>
      <c r="BX721" s="1142">
        <f>IF(OR($L719=BX$652,$L719="",$D719=$BZ$651),MAX(BX$654:BX720)+1,0)</f>
        <v>0</v>
      </c>
      <c r="BY721" s="1143">
        <f>IF(OR($L719=BY$652,$L719="",$D719=$BZ$651),MAX(BY$654:BY720)+1,0)</f>
        <v>0</v>
      </c>
      <c r="BZ721" s="1144">
        <f>IF(OR($L719=BZ$652,$L719="",$D719=$BZ$651),MAX(BZ$654:BZ720)+1,0)</f>
        <v>66</v>
      </c>
      <c r="CA721" s="2549"/>
      <c r="CB721" s="774" t="str">
        <f t="shared" si="215"/>
        <v/>
      </c>
      <c r="CC721" s="76" t="str">
        <f t="shared" si="216"/>
        <v/>
      </c>
      <c r="CD721" s="76" t="str">
        <f t="shared" si="217"/>
        <v>Pudao</v>
      </c>
      <c r="CE721" s="1142">
        <f>IF(OR($L719=CE$652,$L719="",$D719=$CG$651),MAX(CE$654:CE720)+1,0)</f>
        <v>0</v>
      </c>
      <c r="CF721" s="1143">
        <f>IF(OR($L719=CF$652,$L719="",$D719=$CG$651),MAX(CF$654:CF720)+1,0)</f>
        <v>0</v>
      </c>
      <c r="CG721" s="1144">
        <f>IF(OR($L719=CG$652,$L719="",$D719=$CG$651),MAX(CG$654:CG720)+1,0)</f>
        <v>66</v>
      </c>
      <c r="CI721" s="774" t="str">
        <f t="shared" si="218"/>
        <v/>
      </c>
      <c r="CJ721" s="76" t="str">
        <f t="shared" si="219"/>
        <v/>
      </c>
      <c r="CK721" s="76" t="str">
        <f t="shared" si="220"/>
        <v>Pudao</v>
      </c>
      <c r="CL721" s="1142">
        <f>IF(OR($L719=CL$652,$L719="",$D719=$CN$651),MAX(CL$654:CL720)+1,0)</f>
        <v>0</v>
      </c>
      <c r="CM721" s="1143">
        <f>IF(OR($L719=CM$652,$L719="",$D719=$CN$651),MAX(CM$654:CM720)+1,0)</f>
        <v>0</v>
      </c>
      <c r="CN721" s="1144">
        <f>IF(OR($L719=CN$652,$L719="",$D719=$CN$651),MAX(CN$654:CN720)+1,0)</f>
        <v>66</v>
      </c>
    </row>
    <row r="722" spans="1:92" ht="12.75" customHeight="1">
      <c r="A722" s="219">
        <v>713</v>
      </c>
      <c r="B722" s="7145"/>
      <c r="C722" s="1034"/>
      <c r="D722" s="2237" t="s">
        <v>2010</v>
      </c>
      <c r="E722" s="2239">
        <v>45</v>
      </c>
      <c r="F722" s="2236">
        <v>10</v>
      </c>
      <c r="G722" s="2236">
        <v>6</v>
      </c>
      <c r="H722" s="2236">
        <v>6</v>
      </c>
      <c r="I722" s="2236" t="s">
        <v>1410</v>
      </c>
      <c r="J722" s="2236" t="s">
        <v>1411</v>
      </c>
      <c r="K722" s="2433" t="s">
        <v>6833</v>
      </c>
      <c r="L722" s="2236" t="str">
        <f t="shared" si="192"/>
        <v>Distinta</v>
      </c>
      <c r="M722" s="2240">
        <v>12</v>
      </c>
      <c r="N722" s="2240">
        <v>3</v>
      </c>
      <c r="O722" s="2240">
        <v>20</v>
      </c>
      <c r="P722" s="2236"/>
      <c r="Q722" s="2236"/>
      <c r="R722" s="2236" t="s">
        <v>1315</v>
      </c>
      <c r="S722" s="2236" t="s">
        <v>1315</v>
      </c>
      <c r="T722" s="2236" t="s">
        <v>1315</v>
      </c>
      <c r="U722" s="2236"/>
      <c r="V722" s="2433" t="s">
        <v>1315</v>
      </c>
      <c r="W722" s="2433"/>
      <c r="X722" s="2434" t="str">
        <f t="shared" si="158"/>
        <v>Mediana</v>
      </c>
      <c r="Y722" s="2229">
        <f t="shared" si="191"/>
        <v>0</v>
      </c>
      <c r="Z722" s="1150" t="str">
        <f t="shared" si="193"/>
        <v/>
      </c>
      <c r="AA722" s="1751" t="s">
        <v>1960</v>
      </c>
      <c r="AC722" s="929" t="s">
        <v>2010</v>
      </c>
      <c r="AD722" s="758">
        <f>IFERROR(IF(IF(AC722&lt;&gt;"",VLOOKUP(AC722,Tabla_ArmasyEscudos,9,0),"")="Conocida",MAX(AD$662:AD721)+1,0),0)</f>
        <v>0</v>
      </c>
      <c r="AE722" s="758">
        <f ca="1">IF(AC722="",0,IF(AD722=0,MAX(AE$654:AE721,AG$652)+1,AD722+IFERROR(VLOOKUP(VLOOKUP(AC722,$D$653:$AA$871,24,0),AC$654:AE$661,3,0)-VLOOKUP(VLOOKUP(AC722,$D$653:$AA$871,24,0),AC$654:AE$661,2,0)+1,0)))</f>
        <v>62</v>
      </c>
      <c r="AF722" s="758" t="str">
        <f t="shared" ca="1" si="194"/>
        <v>Valaska</v>
      </c>
      <c r="AG722" s="758" t="str">
        <f t="shared" ca="1" si="195"/>
        <v/>
      </c>
      <c r="AH722" s="699" t="s">
        <v>12578</v>
      </c>
      <c r="AI722" s="758">
        <f>IFERROR(IF(IF(AH722&lt;&gt;"",VLOOKUP(AH722,Tabla_ArmasyEscudos,9,0),"")="Conocida",MAX(AI$660:AI721)+1,0),0)</f>
        <v>0</v>
      </c>
      <c r="AJ722" s="758">
        <f ca="1">IF(AH722="",0,IF(AI722=0,MAX(AJ$654:AJ721,AL$652)+1,AI722+IFERROR(VLOOKUP(VLOOKUP(AH722,$D$653:$AA$871,24,0),AH$654:AJ$659,3,0)-VLOOKUP(VLOOKUP(AH722,$D$653:$AA$871,24,0),AH$654:AJ$659,2,0)+1,0)))</f>
        <v>64</v>
      </c>
      <c r="AK722" s="758" t="str">
        <f t="shared" ca="1" si="196"/>
        <v/>
      </c>
      <c r="AL722" s="758" t="str">
        <f t="shared" ca="1" si="197"/>
        <v/>
      </c>
      <c r="AM722" s="2568"/>
      <c r="AN722" s="758">
        <f>IFERROR(IF(IF(AM722&lt;&gt;"",VLOOKUP(AM722,Tabla_ArmasyEscudos,9,0),"")="Conocida",MAX(AN$660:AN721)+1,0),0)</f>
        <v>0</v>
      </c>
      <c r="AO722" s="758">
        <f>IF(AM722="",0,IF(AN722=0,MAX(AO$654:AO721,AQ$652)+1,AN722+IFERROR(VLOOKUP(VLOOKUP(AM722,$D$653:$AA$871,24,0),AM$654:AO$659,3,0)-VLOOKUP(VLOOKUP(AM722,$D$653:$AA$871,24,0),AM$654:AO$659,2,0)+1,0)))</f>
        <v>0</v>
      </c>
      <c r="AP722" s="758" t="str">
        <f t="shared" ca="1" si="198"/>
        <v/>
      </c>
      <c r="AQ722" s="758" t="str">
        <f t="shared" ca="1" si="199"/>
        <v/>
      </c>
      <c r="AR722" s="2568"/>
      <c r="AS722" s="758">
        <f>IFERROR(IF(IF(AR722&lt;&gt;"",VLOOKUP(AR722,Tabla_ArmasyEscudos,9,0),"")="Conocida",MAX(AS$660:AS721)+1,0),0)</f>
        <v>0</v>
      </c>
      <c r="AT722" s="758">
        <f>IF(AR722="",0,IF(AS722=0,MAX(AT$654:AT721,AV$652)+1,AS722+IFERROR(VLOOKUP(VLOOKUP(AR722,$D$653:$AA$871,24,0),AR$654:AT$659,3,0)-VLOOKUP(VLOOKUP(AR722,$D$653:$AA$871,24,0),AR$654:AT$659,2,0)+1,0)))</f>
        <v>0</v>
      </c>
      <c r="AU722" s="758" t="str">
        <f t="shared" ca="1" si="200"/>
        <v/>
      </c>
      <c r="AV722" s="758" t="str">
        <f t="shared" ca="1" si="201"/>
        <v/>
      </c>
      <c r="AX722" s="1141" t="str">
        <f t="shared" si="202"/>
        <v>Pudao</v>
      </c>
      <c r="AY722" s="2549"/>
      <c r="AZ722" s="774" t="str">
        <f t="shared" si="203"/>
        <v/>
      </c>
      <c r="BA722" s="76" t="str">
        <f t="shared" si="204"/>
        <v/>
      </c>
      <c r="BB722" s="76" t="str">
        <f t="shared" si="205"/>
        <v>Red</v>
      </c>
      <c r="BC722" s="1142">
        <f>IF(OR($L720=BC$652,$L720="",$D720=$BE$651),MAX(BC$654:BC721)+1,0)</f>
        <v>0</v>
      </c>
      <c r="BD722" s="1143">
        <f>IF(OR($L720=BD$652,$L720="",$D720=$BE$651),MAX(BD$654:BD721)+1,0)</f>
        <v>0</v>
      </c>
      <c r="BE722" s="1144">
        <f>IF(OR($L720=BE$652,$L720="",$D720=$BE$651),MAX(BE$654:BE721)+1,0)</f>
        <v>67</v>
      </c>
      <c r="BF722" s="2549"/>
      <c r="BG722" s="774" t="str">
        <f t="shared" si="206"/>
        <v/>
      </c>
      <c r="BH722" s="76" t="str">
        <f t="shared" si="207"/>
        <v/>
      </c>
      <c r="BI722" s="76" t="str">
        <f t="shared" si="208"/>
        <v>Red</v>
      </c>
      <c r="BJ722" s="1142">
        <f>IF(OR($L720=BJ$652,$L720="",$D720=$BL$651),MAX(BJ$654:BJ721)+1,0)</f>
        <v>0</v>
      </c>
      <c r="BK722" s="1143">
        <f>IF(OR($L720=BK$652,$L720="",$D720=$BL$651),MAX(BK$654:BK721)+1,0)</f>
        <v>0</v>
      </c>
      <c r="BL722" s="1144">
        <f>IF(OR($L720=BL$652,$L720="",$D720=$BL$651),MAX(BL$654:BL721)+1,0)</f>
        <v>67</v>
      </c>
      <c r="BM722" s="2549"/>
      <c r="BN722" s="774" t="str">
        <f t="shared" si="209"/>
        <v/>
      </c>
      <c r="BO722" s="76" t="str">
        <f t="shared" si="210"/>
        <v/>
      </c>
      <c r="BP722" s="76" t="str">
        <f t="shared" si="211"/>
        <v>Red</v>
      </c>
      <c r="BQ722" s="1142">
        <f>IF(OR($L720=BQ$652,$L720="",$D720=$BS$651),MAX(BQ$654:BQ721)+1,0)</f>
        <v>0</v>
      </c>
      <c r="BR722" s="1143">
        <f>IF(OR($L720=BR$652,$L720="",$D720=$BS$651),MAX(BR$654:BR721)+1,0)</f>
        <v>0</v>
      </c>
      <c r="BS722" s="1144">
        <f>IF(OR($L720=BS$652,$L720="",$D720=$BS$651),MAX(BS$654:BS721)+1,0)</f>
        <v>67</v>
      </c>
      <c r="BT722" s="2549"/>
      <c r="BU722" s="774" t="str">
        <f t="shared" si="212"/>
        <v/>
      </c>
      <c r="BV722" s="76" t="str">
        <f t="shared" si="213"/>
        <v/>
      </c>
      <c r="BW722" s="76" t="str">
        <f t="shared" si="214"/>
        <v>Red</v>
      </c>
      <c r="BX722" s="1142">
        <f>IF(OR($L720=BX$652,$L720="",$D720=$BZ$651),MAX(BX$654:BX721)+1,0)</f>
        <v>0</v>
      </c>
      <c r="BY722" s="1143">
        <f>IF(OR($L720=BY$652,$L720="",$D720=$BZ$651),MAX(BY$654:BY721)+1,0)</f>
        <v>0</v>
      </c>
      <c r="BZ722" s="1144">
        <f>IF(OR($L720=BZ$652,$L720="",$D720=$BZ$651),MAX(BZ$654:BZ721)+1,0)</f>
        <v>67</v>
      </c>
      <c r="CA722" s="2549"/>
      <c r="CB722" s="774" t="str">
        <f t="shared" si="215"/>
        <v/>
      </c>
      <c r="CC722" s="76" t="str">
        <f t="shared" si="216"/>
        <v/>
      </c>
      <c r="CD722" s="76" t="str">
        <f t="shared" si="217"/>
        <v>Red</v>
      </c>
      <c r="CE722" s="1142">
        <f>IF(OR($L720=CE$652,$L720="",$D720=$CG$651),MAX(CE$654:CE721)+1,0)</f>
        <v>0</v>
      </c>
      <c r="CF722" s="1143">
        <f>IF(OR($L720=CF$652,$L720="",$D720=$CG$651),MAX(CF$654:CF721)+1,0)</f>
        <v>0</v>
      </c>
      <c r="CG722" s="1144">
        <f>IF(OR($L720=CG$652,$L720="",$D720=$CG$651),MAX(CG$654:CG721)+1,0)</f>
        <v>67</v>
      </c>
      <c r="CI722" s="774" t="str">
        <f t="shared" si="218"/>
        <v/>
      </c>
      <c r="CJ722" s="76" t="str">
        <f t="shared" si="219"/>
        <v/>
      </c>
      <c r="CK722" s="76" t="str">
        <f t="shared" si="220"/>
        <v>Red</v>
      </c>
      <c r="CL722" s="1142">
        <f>IF(OR($L720=CL$652,$L720="",$D720=$CN$651),MAX(CL$654:CL721)+1,0)</f>
        <v>0</v>
      </c>
      <c r="CM722" s="1143">
        <f>IF(OR($L720=CM$652,$L720="",$D720=$CN$651),MAX(CM$654:CM721)+1,0)</f>
        <v>0</v>
      </c>
      <c r="CN722" s="1144">
        <f>IF(OR($L720=CN$652,$L720="",$D720=$CN$651),MAX(CN$654:CN721)+1,0)</f>
        <v>67</v>
      </c>
    </row>
    <row r="723" spans="1:92" ht="12.75" customHeight="1">
      <c r="A723" s="219">
        <v>714</v>
      </c>
      <c r="B723" s="7145"/>
      <c r="C723" s="1034"/>
      <c r="D723" s="2237" t="s">
        <v>6594</v>
      </c>
      <c r="E723" s="2239">
        <v>40</v>
      </c>
      <c r="F723" s="2236">
        <v>5</v>
      </c>
      <c r="G723" s="2236">
        <v>5</v>
      </c>
      <c r="H723" s="2236">
        <v>5</v>
      </c>
      <c r="I723" s="2236" t="s">
        <v>1410</v>
      </c>
      <c r="J723" s="2236" t="s">
        <v>1315</v>
      </c>
      <c r="K723" s="2433" t="s">
        <v>6833</v>
      </c>
      <c r="L723" s="2236" t="str">
        <f t="shared" ref="L723:L729" si="221">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240">
        <v>12</v>
      </c>
      <c r="N723" s="2240">
        <v>1</v>
      </c>
      <c r="O723" s="2240">
        <v>20</v>
      </c>
      <c r="P723" s="2236"/>
      <c r="Q723" s="2236"/>
      <c r="R723" s="2236" t="s">
        <v>1315</v>
      </c>
      <c r="S723" s="2236" t="s">
        <v>1315</v>
      </c>
      <c r="T723" s="2236" t="s">
        <v>1315</v>
      </c>
      <c r="U723" s="2236"/>
      <c r="V723" s="2433" t="s">
        <v>6612</v>
      </c>
      <c r="W723" s="2433"/>
      <c r="X723" s="2434" t="str">
        <f t="shared" si="158"/>
        <v>Mediana</v>
      </c>
      <c r="Y723" s="2229">
        <f t="shared" ref="Y723:Y729" si="222">Bono_Fue</f>
        <v>0</v>
      </c>
      <c r="Z723" s="1150" t="str">
        <f t="shared" si="193"/>
        <v/>
      </c>
      <c r="AA723" s="1751" t="s">
        <v>1960</v>
      </c>
      <c r="AC723" s="929" t="s">
        <v>6594</v>
      </c>
      <c r="AD723" s="758">
        <f>IFERROR(IF(IF(AC723&lt;&gt;"",VLOOKUP(AC723,Tabla_ArmasyEscudos,9,0),"")="Conocida",MAX(AD$662:AD722)+1,0),0)</f>
        <v>0</v>
      </c>
      <c r="AE723" s="758">
        <f ca="1">IF(AC723="",0,IF(AD723=0,MAX(AE$654:AE722,AG$652)+1,AD723+IFERROR(VLOOKUP(VLOOKUP(AC723,$D$653:$AA$871,24,0),AC$654:AE$661,3,0)-VLOOKUP(VLOOKUP(AC723,$D$653:$AA$871,24,0),AC$654:AE$661,2,0)+1,0)))</f>
        <v>63</v>
      </c>
      <c r="AF723" s="758" t="str">
        <f t="shared" ca="1" si="194"/>
        <v>&gt; ESCUDOS</v>
      </c>
      <c r="AG723" s="758" t="str">
        <f t="shared" ca="1" si="195"/>
        <v/>
      </c>
      <c r="AH723" s="699"/>
      <c r="AI723" s="758">
        <f>IFERROR(IF(IF(AH723&lt;&gt;"",VLOOKUP(AH723,Tabla_ArmasyEscudos,9,0),"")="Conocida",MAX(AI$660:AI722)+1,0),0)</f>
        <v>0</v>
      </c>
      <c r="AJ723" s="758">
        <f>IF(AH723="",0,IF(AI723=0,MAX(AJ$654:AJ722,AL$652)+1,AI723+IFERROR(VLOOKUP(VLOOKUP(AH723,$D$653:$AA$871,24,0),AH$654:AJ$659,3,0)-VLOOKUP(VLOOKUP(AH723,$D$653:$AA$871,24,0),AH$654:AJ$659,2,0)+1,0)))</f>
        <v>0</v>
      </c>
      <c r="AK723" s="758" t="str">
        <f t="shared" ca="1" si="196"/>
        <v/>
      </c>
      <c r="AL723" s="758" t="str">
        <f t="shared" ca="1" si="197"/>
        <v/>
      </c>
      <c r="AM723" s="2568"/>
      <c r="AN723" s="758">
        <f>IFERROR(IF(IF(AM723&lt;&gt;"",VLOOKUP(AM723,Tabla_ArmasyEscudos,9,0),"")="Conocida",MAX(AN$660:AN722)+1,0),0)</f>
        <v>0</v>
      </c>
      <c r="AO723" s="758">
        <f>IF(AM723="",0,IF(AN723=0,MAX(AO$654:AO722,AQ$652)+1,AN723+IFERROR(VLOOKUP(VLOOKUP(AM723,$D$653:$AA$871,24,0),AM$654:AO$659,3,0)-VLOOKUP(VLOOKUP(AM723,$D$653:$AA$871,24,0),AM$654:AO$659,2,0)+1,0)))</f>
        <v>0</v>
      </c>
      <c r="AP723" s="758" t="str">
        <f t="shared" ca="1" si="198"/>
        <v/>
      </c>
      <c r="AQ723" s="758" t="str">
        <f t="shared" ca="1" si="199"/>
        <v/>
      </c>
      <c r="AR723" s="2568"/>
      <c r="AS723" s="758">
        <f>IFERROR(IF(IF(AR723&lt;&gt;"",VLOOKUP(AR723,Tabla_ArmasyEscudos,9,0),"")="Conocida",MAX(AS$660:AS722)+1,0),0)</f>
        <v>0</v>
      </c>
      <c r="AT723" s="758">
        <f>IF(AR723="",0,IF(AS723=0,MAX(AT$654:AT722,AV$652)+1,AS723+IFERROR(VLOOKUP(VLOOKUP(AR723,$D$653:$AA$871,24,0),AR$654:AT$659,3,0)-VLOOKUP(VLOOKUP(AR723,$D$653:$AA$871,24,0),AR$654:AT$659,2,0)+1,0)))</f>
        <v>0</v>
      </c>
      <c r="AU723" s="758" t="str">
        <f t="shared" ca="1" si="200"/>
        <v/>
      </c>
      <c r="AV723" s="758" t="str">
        <f t="shared" ca="1" si="201"/>
        <v/>
      </c>
      <c r="AX723" s="1141" t="str">
        <f t="shared" si="202"/>
        <v>Red</v>
      </c>
      <c r="AY723" s="2549"/>
      <c r="AZ723" s="774" t="str">
        <f t="shared" si="203"/>
        <v/>
      </c>
      <c r="BA723" s="76" t="str">
        <f t="shared" si="204"/>
        <v/>
      </c>
      <c r="BB723" s="76" t="str">
        <f t="shared" si="205"/>
        <v>Sable</v>
      </c>
      <c r="BC723" s="1142">
        <f>IF(OR($L721=BC$652,$L721="",$D721=$BE$651),MAX(BC$654:BC722)+1,0)</f>
        <v>0</v>
      </c>
      <c r="BD723" s="1143">
        <f>IF(OR($L721=BD$652,$L721="",$D721=$BE$651),MAX(BD$654:BD722)+1,0)</f>
        <v>0</v>
      </c>
      <c r="BE723" s="1144">
        <f>IF(OR($L721=BE$652,$L721="",$D721=$BE$651),MAX(BE$654:BE722)+1,0)</f>
        <v>68</v>
      </c>
      <c r="BF723" s="2549"/>
      <c r="BG723" s="774" t="str">
        <f t="shared" si="206"/>
        <v/>
      </c>
      <c r="BH723" s="76" t="str">
        <f t="shared" si="207"/>
        <v/>
      </c>
      <c r="BI723" s="76" t="str">
        <f t="shared" si="208"/>
        <v>Sable</v>
      </c>
      <c r="BJ723" s="1142">
        <f>IF(OR($L721=BJ$652,$L721="",$D721=$BL$651),MAX(BJ$654:BJ722)+1,0)</f>
        <v>0</v>
      </c>
      <c r="BK723" s="1143">
        <f>IF(OR($L721=BK$652,$L721="",$D721=$BL$651),MAX(BK$654:BK722)+1,0)</f>
        <v>0</v>
      </c>
      <c r="BL723" s="1144">
        <f>IF(OR($L721=BL$652,$L721="",$D721=$BL$651),MAX(BL$654:BL722)+1,0)</f>
        <v>68</v>
      </c>
      <c r="BM723" s="2549"/>
      <c r="BN723" s="774" t="str">
        <f t="shared" si="209"/>
        <v/>
      </c>
      <c r="BO723" s="76" t="str">
        <f t="shared" si="210"/>
        <v/>
      </c>
      <c r="BP723" s="76" t="str">
        <f t="shared" si="211"/>
        <v>Sable</v>
      </c>
      <c r="BQ723" s="1142">
        <f>IF(OR($L721=BQ$652,$L721="",$D721=$BS$651),MAX(BQ$654:BQ722)+1,0)</f>
        <v>0</v>
      </c>
      <c r="BR723" s="1143">
        <f>IF(OR($L721=BR$652,$L721="",$D721=$BS$651),MAX(BR$654:BR722)+1,0)</f>
        <v>0</v>
      </c>
      <c r="BS723" s="1144">
        <f>IF(OR($L721=BS$652,$L721="",$D721=$BS$651),MAX(BS$654:BS722)+1,0)</f>
        <v>68</v>
      </c>
      <c r="BT723" s="2549"/>
      <c r="BU723" s="774" t="str">
        <f t="shared" si="212"/>
        <v/>
      </c>
      <c r="BV723" s="76" t="str">
        <f t="shared" si="213"/>
        <v/>
      </c>
      <c r="BW723" s="76" t="str">
        <f t="shared" si="214"/>
        <v>Sable</v>
      </c>
      <c r="BX723" s="1142">
        <f>IF(OR($L721=BX$652,$L721="",$D721=$BZ$651),MAX(BX$654:BX722)+1,0)</f>
        <v>0</v>
      </c>
      <c r="BY723" s="1143">
        <f>IF(OR($L721=BY$652,$L721="",$D721=$BZ$651),MAX(BY$654:BY722)+1,0)</f>
        <v>0</v>
      </c>
      <c r="BZ723" s="1144">
        <f>IF(OR($L721=BZ$652,$L721="",$D721=$BZ$651),MAX(BZ$654:BZ722)+1,0)</f>
        <v>68</v>
      </c>
      <c r="CA723" s="2549"/>
      <c r="CB723" s="774" t="str">
        <f t="shared" si="215"/>
        <v/>
      </c>
      <c r="CC723" s="76" t="str">
        <f t="shared" si="216"/>
        <v/>
      </c>
      <c r="CD723" s="76" t="str">
        <f t="shared" si="217"/>
        <v>Sable</v>
      </c>
      <c r="CE723" s="1142">
        <f>IF(OR($L721=CE$652,$L721="",$D721=$CG$651),MAX(CE$654:CE722)+1,0)</f>
        <v>0</v>
      </c>
      <c r="CF723" s="1143">
        <f>IF(OR($L721=CF$652,$L721="",$D721=$CG$651),MAX(CF$654:CF722)+1,0)</f>
        <v>0</v>
      </c>
      <c r="CG723" s="1144">
        <f>IF(OR($L721=CG$652,$L721="",$D721=$CG$651),MAX(CG$654:CG722)+1,0)</f>
        <v>68</v>
      </c>
      <c r="CI723" s="774" t="str">
        <f t="shared" si="218"/>
        <v/>
      </c>
      <c r="CJ723" s="76" t="str">
        <f t="shared" si="219"/>
        <v/>
      </c>
      <c r="CK723" s="76" t="str">
        <f t="shared" si="220"/>
        <v>Sable</v>
      </c>
      <c r="CL723" s="1142">
        <f>IF(OR($L721=CL$652,$L721="",$D721=$CN$651),MAX(CL$654:CL722)+1,0)</f>
        <v>0</v>
      </c>
      <c r="CM723" s="1143">
        <f>IF(OR($L721=CM$652,$L721="",$D721=$CN$651),MAX(CM$654:CM722)+1,0)</f>
        <v>0</v>
      </c>
      <c r="CN723" s="1144">
        <f>IF(OR($L721=CN$652,$L721="",$D721=$CN$651),MAX(CN$654:CN722)+1,0)</f>
        <v>68</v>
      </c>
    </row>
    <row r="724" spans="1:92" ht="12.75" customHeight="1">
      <c r="A724" s="219">
        <v>715</v>
      </c>
      <c r="B724" s="7145"/>
      <c r="C724" s="1034"/>
      <c r="D724" s="2237" t="s">
        <v>6595</v>
      </c>
      <c r="E724" s="2239">
        <v>45</v>
      </c>
      <c r="F724" s="2236">
        <v>5</v>
      </c>
      <c r="G724" s="2236">
        <v>6</v>
      </c>
      <c r="H724" s="2236">
        <v>6</v>
      </c>
      <c r="I724" s="2236" t="s">
        <v>1411</v>
      </c>
      <c r="J724" s="2236" t="s">
        <v>1410</v>
      </c>
      <c r="K724" s="2433" t="s">
        <v>6833</v>
      </c>
      <c r="L724" s="2236" t="str">
        <f t="shared" si="221"/>
        <v>Distinta</v>
      </c>
      <c r="M724" s="2240">
        <v>14</v>
      </c>
      <c r="N724" s="2240">
        <v>3</v>
      </c>
      <c r="O724" s="2240">
        <v>20</v>
      </c>
      <c r="P724" s="2236"/>
      <c r="Q724" s="2236"/>
      <c r="R724" s="2236" t="s">
        <v>1315</v>
      </c>
      <c r="S724" s="2236" t="s">
        <v>1315</v>
      </c>
      <c r="T724" s="2236" t="s">
        <v>1315</v>
      </c>
      <c r="U724" s="2236"/>
      <c r="V724" s="2433" t="s">
        <v>1315</v>
      </c>
      <c r="W724" s="2433"/>
      <c r="X724" s="2434" t="str">
        <f t="shared" ref="X724:X729" si="223">IF(K724="/","",IF(OR(ISNUMBER(FIND("Mandoble",K724)),ISNUMBER(FIND("Asta",K724))),"Grande",IF(ISNUMBER(FIND("Corta",K724)),"Pequeña","Mediana")))</f>
        <v>Mediana</v>
      </c>
      <c r="Y724" s="2229">
        <f t="shared" si="222"/>
        <v>0</v>
      </c>
      <c r="Z724" s="1150" t="str">
        <f t="shared" si="193"/>
        <v/>
      </c>
      <c r="AA724" s="1751" t="s">
        <v>1960</v>
      </c>
      <c r="AC724" s="929" t="s">
        <v>6595</v>
      </c>
      <c r="AD724" s="758">
        <f>IFERROR(IF(IF(AC724&lt;&gt;"",VLOOKUP(AC724,Tabla_ArmasyEscudos,9,0),"")="Conocida",MAX(AD$662:AD723)+1,0),0)</f>
        <v>0</v>
      </c>
      <c r="AE724" s="758">
        <f ca="1">IF(AC724="",0,IF(AD724=0,MAX(AE$654:AE723,AG$652)+1,AD724+IFERROR(VLOOKUP(VLOOKUP(AC724,$D$653:$AA$871,24,0),AC$654:AE$661,3,0)-VLOOKUP(VLOOKUP(AC724,$D$653:$AA$871,24,0),AC$654:AE$661,2,0)+1,0)))</f>
        <v>64</v>
      </c>
      <c r="AF724" s="758" t="str">
        <f t="shared" ca="1" si="194"/>
        <v>Escudo corporal</v>
      </c>
      <c r="AG724" s="758" t="str">
        <f t="shared" ca="1" si="195"/>
        <v/>
      </c>
      <c r="AH724" s="699"/>
      <c r="AI724" s="758">
        <f>IFERROR(IF(IF(AH724&lt;&gt;"",VLOOKUP(AH724,Tabla_ArmasyEscudos,9,0),"")="Conocida",MAX(AI$660:AI723)+1,0),0)</f>
        <v>0</v>
      </c>
      <c r="AJ724" s="758">
        <f>IF(AH724="",0,IF(AI724=0,MAX(AJ$654:AJ723,AL$652)+1,AI724+IFERROR(VLOOKUP(VLOOKUP(AH724,$D$653:$AA$871,24,0),AH$654:AJ$659,3,0)-VLOOKUP(VLOOKUP(AH724,$D$653:$AA$871,24,0),AH$654:AJ$659,2,0)+1,0)))</f>
        <v>0</v>
      </c>
      <c r="AK724" s="758" t="str">
        <f t="shared" ca="1" si="196"/>
        <v/>
      </c>
      <c r="AL724" s="758" t="str">
        <f t="shared" ca="1" si="197"/>
        <v/>
      </c>
      <c r="AM724" s="2568"/>
      <c r="AN724" s="758">
        <f>IFERROR(IF(IF(AM724&lt;&gt;"",VLOOKUP(AM724,Tabla_ArmasyEscudos,9,0),"")="Conocida",MAX(AN$660:AN723)+1,0),0)</f>
        <v>0</v>
      </c>
      <c r="AO724" s="758">
        <f>IF(AM724="",0,IF(AN724=0,MAX(AO$654:AO723,AQ$652)+1,AN724+IFERROR(VLOOKUP(VLOOKUP(AM724,$D$653:$AA$871,24,0),AM$654:AO$659,3,0)-VLOOKUP(VLOOKUP(AM724,$D$653:$AA$871,24,0),AM$654:AO$659,2,0)+1,0)))</f>
        <v>0</v>
      </c>
      <c r="AP724" s="758" t="str">
        <f t="shared" ca="1" si="198"/>
        <v/>
      </c>
      <c r="AQ724" s="758" t="str">
        <f t="shared" ca="1" si="199"/>
        <v/>
      </c>
      <c r="AR724" s="2568"/>
      <c r="AS724" s="758">
        <f>IFERROR(IF(IF(AR724&lt;&gt;"",VLOOKUP(AR724,Tabla_ArmasyEscudos,9,0),"")="Conocida",MAX(AS$660:AS723)+1,0),0)</f>
        <v>0</v>
      </c>
      <c r="AT724" s="758">
        <f>IF(AR724="",0,IF(AS724=0,MAX(AT$654:AT723,AV$652)+1,AS724+IFERROR(VLOOKUP(VLOOKUP(AR724,$D$653:$AA$871,24,0),AR$654:AT$659,3,0)-VLOOKUP(VLOOKUP(AR724,$D$653:$AA$871,24,0),AR$654:AT$659,2,0)+1,0)))</f>
        <v>0</v>
      </c>
      <c r="AU724" s="758" t="str">
        <f t="shared" ca="1" si="200"/>
        <v/>
      </c>
      <c r="AV724" s="758" t="str">
        <f t="shared" ca="1" si="201"/>
        <v/>
      </c>
      <c r="AX724" s="1141" t="str">
        <f t="shared" si="202"/>
        <v>Sable</v>
      </c>
      <c r="AY724" s="2549"/>
      <c r="AZ724" s="774" t="str">
        <f t="shared" si="203"/>
        <v/>
      </c>
      <c r="BA724" s="76" t="str">
        <f t="shared" si="204"/>
        <v/>
      </c>
      <c r="BB724" s="76" t="str">
        <f t="shared" si="205"/>
        <v>Shang Gou</v>
      </c>
      <c r="BC724" s="1142">
        <f>IF(OR($L722=BC$652,$L722="",$D722=$BE$651),MAX(BC$654:BC723)+1,0)</f>
        <v>0</v>
      </c>
      <c r="BD724" s="1143">
        <f>IF(OR($L722=BD$652,$L722="",$D722=$BE$651),MAX(BD$654:BD723)+1,0)</f>
        <v>0</v>
      </c>
      <c r="BE724" s="1144">
        <f>IF(OR($L722=BE$652,$L722="",$D722=$BE$651),MAX(BE$654:BE723)+1,0)</f>
        <v>69</v>
      </c>
      <c r="BF724" s="2549"/>
      <c r="BG724" s="774" t="str">
        <f t="shared" si="206"/>
        <v/>
      </c>
      <c r="BH724" s="76" t="str">
        <f t="shared" si="207"/>
        <v/>
      </c>
      <c r="BI724" s="76" t="str">
        <f t="shared" si="208"/>
        <v>Shang Gou</v>
      </c>
      <c r="BJ724" s="1142">
        <f>IF(OR($L722=BJ$652,$L722="",$D722=$BL$651),MAX(BJ$654:BJ723)+1,0)</f>
        <v>0</v>
      </c>
      <c r="BK724" s="1143">
        <f>IF(OR($L722=BK$652,$L722="",$D722=$BL$651),MAX(BK$654:BK723)+1,0)</f>
        <v>0</v>
      </c>
      <c r="BL724" s="1144">
        <f>IF(OR($L722=BL$652,$L722="",$D722=$BL$651),MAX(BL$654:BL723)+1,0)</f>
        <v>69</v>
      </c>
      <c r="BM724" s="2549"/>
      <c r="BN724" s="774" t="str">
        <f t="shared" si="209"/>
        <v/>
      </c>
      <c r="BO724" s="76" t="str">
        <f t="shared" si="210"/>
        <v/>
      </c>
      <c r="BP724" s="76" t="str">
        <f t="shared" si="211"/>
        <v>Shang Gou</v>
      </c>
      <c r="BQ724" s="1142">
        <f>IF(OR($L722=BQ$652,$L722="",$D722=$BS$651),MAX(BQ$654:BQ723)+1,0)</f>
        <v>0</v>
      </c>
      <c r="BR724" s="1143">
        <f>IF(OR($L722=BR$652,$L722="",$D722=$BS$651),MAX(BR$654:BR723)+1,0)</f>
        <v>0</v>
      </c>
      <c r="BS724" s="1144">
        <f>IF(OR($L722=BS$652,$L722="",$D722=$BS$651),MAX(BS$654:BS723)+1,0)</f>
        <v>69</v>
      </c>
      <c r="BT724" s="2549"/>
      <c r="BU724" s="774" t="str">
        <f t="shared" si="212"/>
        <v/>
      </c>
      <c r="BV724" s="76" t="str">
        <f t="shared" si="213"/>
        <v/>
      </c>
      <c r="BW724" s="76" t="str">
        <f t="shared" si="214"/>
        <v>Shang Gou</v>
      </c>
      <c r="BX724" s="1142">
        <f>IF(OR($L722=BX$652,$L722="",$D722=$BZ$651),MAX(BX$654:BX723)+1,0)</f>
        <v>0</v>
      </c>
      <c r="BY724" s="1143">
        <f>IF(OR($L722=BY$652,$L722="",$D722=$BZ$651),MAX(BY$654:BY723)+1,0)</f>
        <v>0</v>
      </c>
      <c r="BZ724" s="1144">
        <f>IF(OR($L722=BZ$652,$L722="",$D722=$BZ$651),MAX(BZ$654:BZ723)+1,0)</f>
        <v>69</v>
      </c>
      <c r="CA724" s="2549"/>
      <c r="CB724" s="774" t="str">
        <f t="shared" si="215"/>
        <v/>
      </c>
      <c r="CC724" s="76" t="str">
        <f t="shared" si="216"/>
        <v/>
      </c>
      <c r="CD724" s="76" t="str">
        <f t="shared" si="217"/>
        <v>Shang Gou</v>
      </c>
      <c r="CE724" s="1142">
        <f>IF(OR($L722=CE$652,$L722="",$D722=$CG$651),MAX(CE$654:CE723)+1,0)</f>
        <v>0</v>
      </c>
      <c r="CF724" s="1143">
        <f>IF(OR($L722=CF$652,$L722="",$D722=$CG$651),MAX(CF$654:CF723)+1,0)</f>
        <v>0</v>
      </c>
      <c r="CG724" s="1144">
        <f>IF(OR($L722=CG$652,$L722="",$D722=$CG$651),MAX(CG$654:CG723)+1,0)</f>
        <v>69</v>
      </c>
      <c r="CI724" s="774" t="str">
        <f t="shared" si="218"/>
        <v/>
      </c>
      <c r="CJ724" s="76" t="str">
        <f t="shared" si="219"/>
        <v/>
      </c>
      <c r="CK724" s="76" t="str">
        <f t="shared" si="220"/>
        <v>Shang Gou</v>
      </c>
      <c r="CL724" s="1142">
        <f>IF(OR($L722=CL$652,$L722="",$D722=$CN$651),MAX(CL$654:CL723)+1,0)</f>
        <v>0</v>
      </c>
      <c r="CM724" s="1143">
        <f>IF(OR($L722=CM$652,$L722="",$D722=$CN$651),MAX(CM$654:CM723)+1,0)</f>
        <v>0</v>
      </c>
      <c r="CN724" s="1144">
        <f>IF(OR($L722=CN$652,$L722="",$D722=$CN$651),MAX(CN$654:CN723)+1,0)</f>
        <v>69</v>
      </c>
    </row>
    <row r="725" spans="1:92" ht="12.75" customHeight="1">
      <c r="A725" s="219">
        <v>716</v>
      </c>
      <c r="B725" s="7145"/>
      <c r="C725" s="1034"/>
      <c r="D725" s="2237" t="s">
        <v>2011</v>
      </c>
      <c r="E725" s="2239">
        <v>40</v>
      </c>
      <c r="F725" s="2236">
        <v>-10</v>
      </c>
      <c r="G725" s="2236">
        <v>7</v>
      </c>
      <c r="H725" s="2236">
        <v>6</v>
      </c>
      <c r="I725" s="2236" t="s">
        <v>1411</v>
      </c>
      <c r="J725" s="2236" t="s">
        <v>1315</v>
      </c>
      <c r="K725" s="2433" t="s">
        <v>6830</v>
      </c>
      <c r="L725" s="2236" t="str">
        <f t="shared" si="221"/>
        <v>Distinta</v>
      </c>
      <c r="M725" s="2240">
        <v>12</v>
      </c>
      <c r="N725" s="2240">
        <v>3</v>
      </c>
      <c r="O725" s="2240">
        <v>15</v>
      </c>
      <c r="P725" s="2236"/>
      <c r="Q725" s="2236"/>
      <c r="R725" s="2240">
        <v>100</v>
      </c>
      <c r="S725" s="2236" t="s">
        <v>1315</v>
      </c>
      <c r="T725" s="2236">
        <v>15</v>
      </c>
      <c r="U725" s="2236"/>
      <c r="V725" s="2433" t="s">
        <v>8130</v>
      </c>
      <c r="W725" s="2433"/>
      <c r="X725" s="2434" t="str">
        <f t="shared" si="223"/>
        <v>Grande</v>
      </c>
      <c r="Y725" s="2229">
        <f t="shared" si="222"/>
        <v>0</v>
      </c>
      <c r="Z725" s="1150" t="str">
        <f t="shared" si="193"/>
        <v/>
      </c>
      <c r="AA725" s="1751" t="s">
        <v>1960</v>
      </c>
      <c r="AC725" s="929" t="s">
        <v>2011</v>
      </c>
      <c r="AD725" s="758">
        <f>IFERROR(IF(IF(AC725&lt;&gt;"",VLOOKUP(AC725,Tabla_ArmasyEscudos,9,0),"")="Conocida",MAX(AD$662:AD724)+1,0),0)</f>
        <v>0</v>
      </c>
      <c r="AE725" s="758">
        <f ca="1">IF(AC725="",0,IF(AD725=0,MAX(AE$654:AE724,AG$652)+1,AD725+IFERROR(VLOOKUP(VLOOKUP(AC725,$D$653:$AA$871,24,0),AC$654:AE$661,3,0)-VLOOKUP(VLOOKUP(AC725,$D$653:$AA$871,24,0),AC$654:AE$661,2,0)+1,0)))</f>
        <v>65</v>
      </c>
      <c r="AF725" s="758" t="str">
        <f t="shared" ca="1" si="194"/>
        <v>Escudo medio</v>
      </c>
      <c r="AG725" s="758" t="str">
        <f t="shared" ca="1" si="195"/>
        <v/>
      </c>
      <c r="AH725" s="699"/>
      <c r="AI725" s="758">
        <f>IFERROR(IF(IF(AH725&lt;&gt;"",VLOOKUP(AH725,Tabla_ArmasyEscudos,9,0),"")="Conocida",MAX(AI$660:AI724)+1,0),0)</f>
        <v>0</v>
      </c>
      <c r="AJ725" s="758">
        <f>IF(AH725="",0,IF(AI725=0,MAX(AJ$654:AJ724,AL$652)+1,AI725+IFERROR(VLOOKUP(VLOOKUP(AH725,$D$653:$AA$871,24,0),AH$654:AJ$659,3,0)-VLOOKUP(VLOOKUP(AH725,$D$653:$AA$871,24,0),AH$654:AJ$659,2,0)+1,0)))</f>
        <v>0</v>
      </c>
      <c r="AK725" s="758" t="str">
        <f t="shared" ca="1" si="196"/>
        <v/>
      </c>
      <c r="AL725" s="758" t="str">
        <f t="shared" ca="1" si="197"/>
        <v/>
      </c>
      <c r="AM725" s="2568"/>
      <c r="AN725" s="758">
        <f>IFERROR(IF(IF(AM725&lt;&gt;"",VLOOKUP(AM725,Tabla_ArmasyEscudos,9,0),"")="Conocida",MAX(AN$660:AN724)+1,0),0)</f>
        <v>0</v>
      </c>
      <c r="AO725" s="758">
        <f>IF(AM725="",0,IF(AN725=0,MAX(AO$654:AO724,AQ$652)+1,AN725+IFERROR(VLOOKUP(VLOOKUP(AM725,$D$653:$AA$871,24,0),AM$654:AO$659,3,0)-VLOOKUP(VLOOKUP(AM725,$D$653:$AA$871,24,0),AM$654:AO$659,2,0)+1,0)))</f>
        <v>0</v>
      </c>
      <c r="AP725" s="758" t="str">
        <f t="shared" ca="1" si="198"/>
        <v/>
      </c>
      <c r="AQ725" s="758" t="str">
        <f t="shared" ca="1" si="199"/>
        <v/>
      </c>
      <c r="AR725" s="2568"/>
      <c r="AS725" s="758">
        <f>IFERROR(IF(IF(AR725&lt;&gt;"",VLOOKUP(AR725,Tabla_ArmasyEscudos,9,0),"")="Conocida",MAX(AS$660:AS724)+1,0),0)</f>
        <v>0</v>
      </c>
      <c r="AT725" s="758">
        <f>IF(AR725="",0,IF(AS725=0,MAX(AT$654:AT724,AV$652)+1,AS725+IFERROR(VLOOKUP(VLOOKUP(AR725,$D$653:$AA$871,24,0),AR$654:AT$659,3,0)-VLOOKUP(VLOOKUP(AR725,$D$653:$AA$871,24,0),AR$654:AT$659,2,0)+1,0)))</f>
        <v>0</v>
      </c>
      <c r="AU725" s="758" t="str">
        <f t="shared" ca="1" si="200"/>
        <v/>
      </c>
      <c r="AV725" s="758" t="str">
        <f t="shared" ca="1" si="201"/>
        <v/>
      </c>
      <c r="AX725" s="1141" t="str">
        <f t="shared" si="202"/>
        <v>Shang Gou</v>
      </c>
      <c r="AY725" s="2549"/>
      <c r="AZ725" s="774" t="str">
        <f t="shared" si="203"/>
        <v/>
      </c>
      <c r="BA725" s="76" t="str">
        <f t="shared" si="204"/>
        <v/>
      </c>
      <c r="BB725" s="76" t="str">
        <f t="shared" si="205"/>
        <v>Spatha</v>
      </c>
      <c r="BC725" s="1142">
        <f>IF(OR($L723=BC$652,$L723="",$D723=$BE$651),MAX(BC$654:BC724)+1,0)</f>
        <v>0</v>
      </c>
      <c r="BD725" s="1143">
        <f>IF(OR($L723=BD$652,$L723="",$D723=$BE$651),MAX(BD$654:BD724)+1,0)</f>
        <v>0</v>
      </c>
      <c r="BE725" s="1144">
        <f>IF(OR($L723=BE$652,$L723="",$D723=$BE$651),MAX(BE$654:BE724)+1,0)</f>
        <v>70</v>
      </c>
      <c r="BF725" s="2549"/>
      <c r="BG725" s="774" t="str">
        <f t="shared" si="206"/>
        <v/>
      </c>
      <c r="BH725" s="76" t="str">
        <f t="shared" si="207"/>
        <v/>
      </c>
      <c r="BI725" s="76" t="str">
        <f t="shared" si="208"/>
        <v>Spatha</v>
      </c>
      <c r="BJ725" s="1142">
        <f>IF(OR($L723=BJ$652,$L723="",$D723=$BL$651),MAX(BJ$654:BJ724)+1,0)</f>
        <v>0</v>
      </c>
      <c r="BK725" s="1143">
        <f>IF(OR($L723=BK$652,$L723="",$D723=$BL$651),MAX(BK$654:BK724)+1,0)</f>
        <v>0</v>
      </c>
      <c r="BL725" s="1144">
        <f>IF(OR($L723=BL$652,$L723="",$D723=$BL$651),MAX(BL$654:BL724)+1,0)</f>
        <v>70</v>
      </c>
      <c r="BM725" s="2549"/>
      <c r="BN725" s="774" t="str">
        <f t="shared" si="209"/>
        <v/>
      </c>
      <c r="BO725" s="76" t="str">
        <f t="shared" si="210"/>
        <v/>
      </c>
      <c r="BP725" s="76" t="str">
        <f t="shared" si="211"/>
        <v>Spatha</v>
      </c>
      <c r="BQ725" s="1142">
        <f>IF(OR($L723=BQ$652,$L723="",$D723=$BS$651),MAX(BQ$654:BQ724)+1,0)</f>
        <v>0</v>
      </c>
      <c r="BR725" s="1143">
        <f>IF(OR($L723=BR$652,$L723="",$D723=$BS$651),MAX(BR$654:BR724)+1,0)</f>
        <v>0</v>
      </c>
      <c r="BS725" s="1144">
        <f>IF(OR($L723=BS$652,$L723="",$D723=$BS$651),MAX(BS$654:BS724)+1,0)</f>
        <v>70</v>
      </c>
      <c r="BT725" s="2549"/>
      <c r="BU725" s="774" t="str">
        <f t="shared" si="212"/>
        <v/>
      </c>
      <c r="BV725" s="76" t="str">
        <f t="shared" si="213"/>
        <v/>
      </c>
      <c r="BW725" s="76" t="str">
        <f t="shared" si="214"/>
        <v>Spatha</v>
      </c>
      <c r="BX725" s="1142">
        <f>IF(OR($L723=BX$652,$L723="",$D723=$BZ$651),MAX(BX$654:BX724)+1,0)</f>
        <v>0</v>
      </c>
      <c r="BY725" s="1143">
        <f>IF(OR($L723=BY$652,$L723="",$D723=$BZ$651),MAX(BY$654:BY724)+1,0)</f>
        <v>0</v>
      </c>
      <c r="BZ725" s="1144">
        <f>IF(OR($L723=BZ$652,$L723="",$D723=$BZ$651),MAX(BZ$654:BZ724)+1,0)</f>
        <v>70</v>
      </c>
      <c r="CA725" s="2549"/>
      <c r="CB725" s="774" t="str">
        <f t="shared" si="215"/>
        <v/>
      </c>
      <c r="CC725" s="76" t="str">
        <f t="shared" si="216"/>
        <v/>
      </c>
      <c r="CD725" s="76" t="str">
        <f t="shared" si="217"/>
        <v>Spatha</v>
      </c>
      <c r="CE725" s="1142">
        <f>IF(OR($L723=CE$652,$L723="",$D723=$CG$651),MAX(CE$654:CE724)+1,0)</f>
        <v>0</v>
      </c>
      <c r="CF725" s="1143">
        <f>IF(OR($L723=CF$652,$L723="",$D723=$CG$651),MAX(CF$654:CF724)+1,0)</f>
        <v>0</v>
      </c>
      <c r="CG725" s="1144">
        <f>IF(OR($L723=CG$652,$L723="",$D723=$CG$651),MAX(CG$654:CG724)+1,0)</f>
        <v>70</v>
      </c>
      <c r="CI725" s="774" t="str">
        <f t="shared" si="218"/>
        <v/>
      </c>
      <c r="CJ725" s="76" t="str">
        <f t="shared" si="219"/>
        <v/>
      </c>
      <c r="CK725" s="76" t="str">
        <f t="shared" si="220"/>
        <v>Spatha</v>
      </c>
      <c r="CL725" s="1142">
        <f>IF(OR($L723=CL$652,$L723="",$D723=$CN$651),MAX(CL$654:CL724)+1,0)</f>
        <v>0</v>
      </c>
      <c r="CM725" s="1143">
        <f>IF(OR($L723=CM$652,$L723="",$D723=$CN$651),MAX(CM$654:CM724)+1,0)</f>
        <v>0</v>
      </c>
      <c r="CN725" s="1144">
        <f>IF(OR($L723=CN$652,$L723="",$D723=$CN$651),MAX(CN$654:CN724)+1,0)</f>
        <v>70</v>
      </c>
    </row>
    <row r="726" spans="1:92" ht="12.75" customHeight="1">
      <c r="A726" s="219">
        <v>717</v>
      </c>
      <c r="B726" s="7145"/>
      <c r="C726" s="1034"/>
      <c r="D726" s="2237" t="s">
        <v>2012</v>
      </c>
      <c r="E726" s="2236">
        <v>40</v>
      </c>
      <c r="F726" s="2236">
        <v>0</v>
      </c>
      <c r="G726" s="2236">
        <v>6</v>
      </c>
      <c r="H726" s="2236">
        <v>6</v>
      </c>
      <c r="I726" s="2236" t="s">
        <v>1410</v>
      </c>
      <c r="J726" s="2236" t="s">
        <v>1315</v>
      </c>
      <c r="K726" s="2433" t="s">
        <v>6832</v>
      </c>
      <c r="L726" s="2236" t="str">
        <f t="shared" si="221"/>
        <v>Distinta</v>
      </c>
      <c r="M726" s="2240">
        <v>9</v>
      </c>
      <c r="N726" s="2240">
        <v>2</v>
      </c>
      <c r="O726" s="2240">
        <v>20</v>
      </c>
      <c r="P726" s="2236"/>
      <c r="Q726" s="2236"/>
      <c r="R726" s="2240">
        <v>80</v>
      </c>
      <c r="S726" s="2236" t="s">
        <v>1315</v>
      </c>
      <c r="T726" s="2236">
        <v>30</v>
      </c>
      <c r="U726" s="2236"/>
      <c r="V726" s="2433" t="s">
        <v>8131</v>
      </c>
      <c r="W726" s="2433"/>
      <c r="X726" s="2434" t="str">
        <f t="shared" si="223"/>
        <v>Mediana</v>
      </c>
      <c r="Y726" s="2229">
        <f t="shared" si="222"/>
        <v>0</v>
      </c>
      <c r="Z726" s="1150" t="str">
        <f t="shared" si="193"/>
        <v/>
      </c>
      <c r="AA726" s="1751" t="s">
        <v>1960</v>
      </c>
      <c r="AC726" s="929" t="s">
        <v>2012</v>
      </c>
      <c r="AD726" s="758">
        <f>IFERROR(IF(IF(AC726&lt;&gt;"",VLOOKUP(AC726,Tabla_ArmasyEscudos,9,0),"")="Conocida",MAX(AD$662:AD725)+1,0),0)</f>
        <v>0</v>
      </c>
      <c r="AE726" s="758">
        <f ca="1">IF(AC726="",0,IF(AD726=0,MAX(AE$654:AE725,AG$652)+1,AD726+IFERROR(VLOOKUP(VLOOKUP(AC726,$D$653:$AA$871,24,0),AC$654:AE$661,3,0)-VLOOKUP(VLOOKUP(AC726,$D$653:$AA$871,24,0),AC$654:AE$661,2,0)+1,0)))</f>
        <v>66</v>
      </c>
      <c r="AF726" s="758" t="str">
        <f t="shared" ca="1" si="194"/>
        <v>Rodela</v>
      </c>
      <c r="AG726" s="758" t="str">
        <f t="shared" ca="1" si="195"/>
        <v/>
      </c>
      <c r="AH726" s="699"/>
      <c r="AI726" s="758">
        <f>IFERROR(IF(IF(AH726&lt;&gt;"",VLOOKUP(AH726,Tabla_ArmasyEscudos,9,0),"")="Conocida",MAX(AI$660:AI725)+1,0),0)</f>
        <v>0</v>
      </c>
      <c r="AJ726" s="758">
        <f>IF(AH726="",0,IF(AI726=0,MAX(AJ$654:AJ725,AL$652)+1,AI726+IFERROR(VLOOKUP(VLOOKUP(AH726,$D$653:$AA$871,24,0),AH$654:AJ$659,3,0)-VLOOKUP(VLOOKUP(AH726,$D$653:$AA$871,24,0),AH$654:AJ$659,2,0)+1,0)))</f>
        <v>0</v>
      </c>
      <c r="AK726" s="758" t="str">
        <f t="shared" ca="1" si="196"/>
        <v/>
      </c>
      <c r="AL726" s="758" t="str">
        <f t="shared" ca="1" si="197"/>
        <v/>
      </c>
      <c r="AM726" s="2568"/>
      <c r="AN726" s="758">
        <f>IFERROR(IF(IF(AM726&lt;&gt;"",VLOOKUP(AM726,Tabla_ArmasyEscudos,9,0),"")="Conocida",MAX(AN$660:AN725)+1,0),0)</f>
        <v>0</v>
      </c>
      <c r="AO726" s="758">
        <f>IF(AM726="",0,IF(AN726=0,MAX(AO$654:AO725,AQ$652)+1,AN726+IFERROR(VLOOKUP(VLOOKUP(AM726,$D$653:$AA$871,24,0),AM$654:AO$659,3,0)-VLOOKUP(VLOOKUP(AM726,$D$653:$AA$871,24,0),AM$654:AO$659,2,0)+1,0)))</f>
        <v>0</v>
      </c>
      <c r="AP726" s="758" t="str">
        <f t="shared" ca="1" si="198"/>
        <v/>
      </c>
      <c r="AQ726" s="758" t="str">
        <f t="shared" ca="1" si="199"/>
        <v/>
      </c>
      <c r="AR726" s="2568"/>
      <c r="AS726" s="758">
        <f>IFERROR(IF(IF(AR726&lt;&gt;"",VLOOKUP(AR726,Tabla_ArmasyEscudos,9,0),"")="Conocida",MAX(AS$660:AS725)+1,0),0)</f>
        <v>0</v>
      </c>
      <c r="AT726" s="758">
        <f>IF(AR726="",0,IF(AS726=0,MAX(AT$654:AT725,AV$652)+1,AS726+IFERROR(VLOOKUP(VLOOKUP(AR726,$D$653:$AA$871,24,0),AR$654:AT$659,3,0)-VLOOKUP(VLOOKUP(AR726,$D$653:$AA$871,24,0),AR$654:AT$659,2,0)+1,0)))</f>
        <v>0</v>
      </c>
      <c r="AU726" s="758" t="str">
        <f t="shared" ca="1" si="200"/>
        <v/>
      </c>
      <c r="AV726" s="758" t="str">
        <f t="shared" ca="1" si="201"/>
        <v/>
      </c>
      <c r="AX726" s="1141" t="str">
        <f t="shared" si="202"/>
        <v>Spatha</v>
      </c>
      <c r="AY726" s="2549"/>
      <c r="AZ726" s="774" t="str">
        <f t="shared" si="203"/>
        <v/>
      </c>
      <c r="BA726" s="76" t="str">
        <f t="shared" si="204"/>
        <v/>
      </c>
      <c r="BB726" s="76" t="str">
        <f t="shared" si="205"/>
        <v>Tridente</v>
      </c>
      <c r="BC726" s="1142">
        <f>IF(OR($L724=BC$652,$L724="",$D724=$BE$651),MAX(BC$654:BC725)+1,0)</f>
        <v>0</v>
      </c>
      <c r="BD726" s="1143">
        <f>IF(OR($L724=BD$652,$L724="",$D724=$BE$651),MAX(BD$654:BD725)+1,0)</f>
        <v>0</v>
      </c>
      <c r="BE726" s="1144">
        <f>IF(OR($L724=BE$652,$L724="",$D724=$BE$651),MAX(BE$654:BE725)+1,0)</f>
        <v>71</v>
      </c>
      <c r="BF726" s="2549"/>
      <c r="BG726" s="774" t="str">
        <f t="shared" si="206"/>
        <v/>
      </c>
      <c r="BH726" s="76" t="str">
        <f t="shared" si="207"/>
        <v/>
      </c>
      <c r="BI726" s="76" t="str">
        <f t="shared" si="208"/>
        <v>Tridente</v>
      </c>
      <c r="BJ726" s="1142">
        <f>IF(OR($L724=BJ$652,$L724="",$D724=$BL$651),MAX(BJ$654:BJ725)+1,0)</f>
        <v>0</v>
      </c>
      <c r="BK726" s="1143">
        <f>IF(OR($L724=BK$652,$L724="",$D724=$BL$651),MAX(BK$654:BK725)+1,0)</f>
        <v>0</v>
      </c>
      <c r="BL726" s="1144">
        <f>IF(OR($L724=BL$652,$L724="",$D724=$BL$651),MAX(BL$654:BL725)+1,0)</f>
        <v>71</v>
      </c>
      <c r="BM726" s="2549"/>
      <c r="BN726" s="774" t="str">
        <f t="shared" si="209"/>
        <v/>
      </c>
      <c r="BO726" s="76" t="str">
        <f t="shared" si="210"/>
        <v/>
      </c>
      <c r="BP726" s="76" t="str">
        <f t="shared" si="211"/>
        <v>Tridente</v>
      </c>
      <c r="BQ726" s="1142">
        <f>IF(OR($L724=BQ$652,$L724="",$D724=$BS$651),MAX(BQ$654:BQ725)+1,0)</f>
        <v>0</v>
      </c>
      <c r="BR726" s="1143">
        <f>IF(OR($L724=BR$652,$L724="",$D724=$BS$651),MAX(BR$654:BR725)+1,0)</f>
        <v>0</v>
      </c>
      <c r="BS726" s="1144">
        <f>IF(OR($L724=BS$652,$L724="",$D724=$BS$651),MAX(BS$654:BS725)+1,0)</f>
        <v>71</v>
      </c>
      <c r="BT726" s="2549"/>
      <c r="BU726" s="774" t="str">
        <f t="shared" si="212"/>
        <v/>
      </c>
      <c r="BV726" s="76" t="str">
        <f t="shared" si="213"/>
        <v/>
      </c>
      <c r="BW726" s="76" t="str">
        <f t="shared" si="214"/>
        <v>Tridente</v>
      </c>
      <c r="BX726" s="1142">
        <f>IF(OR($L724=BX$652,$L724="",$D724=$BZ$651),MAX(BX$654:BX725)+1,0)</f>
        <v>0</v>
      </c>
      <c r="BY726" s="1143">
        <f>IF(OR($L724=BY$652,$L724="",$D724=$BZ$651),MAX(BY$654:BY725)+1,0)</f>
        <v>0</v>
      </c>
      <c r="BZ726" s="1144">
        <f>IF(OR($L724=BZ$652,$L724="",$D724=$BZ$651),MAX(BZ$654:BZ725)+1,0)</f>
        <v>71</v>
      </c>
      <c r="CA726" s="2549"/>
      <c r="CB726" s="774" t="str">
        <f t="shared" si="215"/>
        <v/>
      </c>
      <c r="CC726" s="76" t="str">
        <f t="shared" si="216"/>
        <v/>
      </c>
      <c r="CD726" s="76" t="str">
        <f t="shared" si="217"/>
        <v>Tridente</v>
      </c>
      <c r="CE726" s="1142">
        <f>IF(OR($L724=CE$652,$L724="",$D724=$CG$651),MAX(CE$654:CE725)+1,0)</f>
        <v>0</v>
      </c>
      <c r="CF726" s="1143">
        <f>IF(OR($L724=CF$652,$L724="",$D724=$CG$651),MAX(CF$654:CF725)+1,0)</f>
        <v>0</v>
      </c>
      <c r="CG726" s="1144">
        <f>IF(OR($L724=CG$652,$L724="",$D724=$CG$651),MAX(CG$654:CG725)+1,0)</f>
        <v>71</v>
      </c>
      <c r="CI726" s="774" t="str">
        <f t="shared" si="218"/>
        <v/>
      </c>
      <c r="CJ726" s="76" t="str">
        <f t="shared" si="219"/>
        <v/>
      </c>
      <c r="CK726" s="76" t="str">
        <f t="shared" si="220"/>
        <v>Tridente</v>
      </c>
      <c r="CL726" s="1142">
        <f>IF(OR($L724=CL$652,$L724="",$D724=$CN$651),MAX(CL$654:CL725)+1,0)</f>
        <v>0</v>
      </c>
      <c r="CM726" s="1143">
        <f>IF(OR($L724=CM$652,$L724="",$D724=$CN$651),MAX(CM$654:CM725)+1,0)</f>
        <v>0</v>
      </c>
      <c r="CN726" s="1144">
        <f>IF(OR($L724=CN$652,$L724="",$D724=$CN$651),MAX(CN$654:CN725)+1,0)</f>
        <v>71</v>
      </c>
    </row>
    <row r="727" spans="1:92" ht="12.75" customHeight="1">
      <c r="A727" s="219">
        <v>718</v>
      </c>
      <c r="B727" s="7145"/>
      <c r="C727" s="1034"/>
      <c r="D727" s="3876" t="s">
        <v>6596</v>
      </c>
      <c r="E727" s="3877">
        <v>25</v>
      </c>
      <c r="F727" s="3878">
        <v>15</v>
      </c>
      <c r="G727" s="3878">
        <v>4</v>
      </c>
      <c r="H727" s="3878">
        <v>4</v>
      </c>
      <c r="I727" s="3878" t="s">
        <v>1410</v>
      </c>
      <c r="J727" s="3878" t="s">
        <v>1315</v>
      </c>
      <c r="K727" s="3879" t="s">
        <v>6834</v>
      </c>
      <c r="L727" s="3878" t="str">
        <f t="shared" si="221"/>
        <v>Distinta</v>
      </c>
      <c r="M727" s="3880">
        <v>7</v>
      </c>
      <c r="N727" s="3880">
        <v>-3</v>
      </c>
      <c r="O727" s="3880">
        <v>15</v>
      </c>
      <c r="P727" s="3878"/>
      <c r="Q727" s="3878"/>
      <c r="R727" s="3878" t="s">
        <v>1315</v>
      </c>
      <c r="S727" s="3878" t="s">
        <v>1315</v>
      </c>
      <c r="T727" s="3878" t="s">
        <v>1315</v>
      </c>
      <c r="U727" s="3878"/>
      <c r="V727" s="3879" t="s">
        <v>12452</v>
      </c>
      <c r="W727" s="2433"/>
      <c r="X727" s="2434" t="str">
        <f t="shared" si="223"/>
        <v>Mediana</v>
      </c>
      <c r="Y727" s="2229">
        <f t="shared" si="222"/>
        <v>0</v>
      </c>
      <c r="Z727" s="1150" t="str">
        <f t="shared" si="193"/>
        <v/>
      </c>
      <c r="AA727" s="1751" t="s">
        <v>1960</v>
      </c>
      <c r="AC727" s="2568" t="s">
        <v>6596</v>
      </c>
      <c r="AD727" s="758">
        <f>IFERROR(IF(IF(AC727&lt;&gt;"",VLOOKUP(AC727,Tabla_ArmasyEscudos,9,0),"")="Conocida",MAX(AD$662:AD726)+1,0),0)</f>
        <v>0</v>
      </c>
      <c r="AE727" s="758">
        <f ca="1">IF(AC727="",0,IF(AD727=0,MAX(AE$654:AE726,AG$652)+1,AD727+IFERROR(VLOOKUP(VLOOKUP(AC727,$D$653:$AA$871,24,0),AC$654:AE$661,3,0)-VLOOKUP(VLOOKUP(AC727,$D$653:$AA$871,24,0),AC$654:AE$661,2,0)+1,0)))</f>
        <v>67</v>
      </c>
      <c r="AF727" s="758" t="str">
        <f t="shared" ca="1" si="194"/>
        <v>&gt; ARMAS EXÓTICAS</v>
      </c>
      <c r="AG727" s="758" t="str">
        <f t="shared" ca="1" si="195"/>
        <v/>
      </c>
      <c r="AH727" s="699"/>
      <c r="AI727" s="758">
        <f>IFERROR(IF(IF(AH727&lt;&gt;"",VLOOKUP(AH727,Tabla_ArmasyEscudos,9,0),"")="Conocida",MAX(AI$660:AI726)+1,0),0)</f>
        <v>0</v>
      </c>
      <c r="AJ727" s="758">
        <f>IF(AH727="",0,IF(AI727=0,MAX(AJ$654:AJ726,AL$652)+1,AI727+IFERROR(VLOOKUP(VLOOKUP(AH727,$D$653:$AA$871,24,0),AH$654:AJ$659,3,0)-VLOOKUP(VLOOKUP(AH727,$D$653:$AA$871,24,0),AH$654:AJ$659,2,0)+1,0)))</f>
        <v>0</v>
      </c>
      <c r="AK727" s="758" t="str">
        <f t="shared" ca="1" si="196"/>
        <v/>
      </c>
      <c r="AL727" s="758" t="str">
        <f t="shared" ca="1" si="197"/>
        <v/>
      </c>
      <c r="AM727" s="2568"/>
      <c r="AN727" s="758">
        <f>IFERROR(IF(IF(AM727&lt;&gt;"",VLOOKUP(AM727,Tabla_ArmasyEscudos,9,0),"")="Conocida",MAX(AN$660:AN726)+1,0),0)</f>
        <v>0</v>
      </c>
      <c r="AO727" s="758">
        <f>IF(AM727="",0,IF(AN727=0,MAX(AO$654:AO726,AQ$652)+1,AN727+IFERROR(VLOOKUP(VLOOKUP(AM727,$D$653:$AA$871,24,0),AM$654:AO$659,3,0)-VLOOKUP(VLOOKUP(AM727,$D$653:$AA$871,24,0),AM$654:AO$659,2,0)+1,0)))</f>
        <v>0</v>
      </c>
      <c r="AP727" s="758" t="str">
        <f t="shared" ca="1" si="198"/>
        <v/>
      </c>
      <c r="AQ727" s="758" t="str">
        <f t="shared" ca="1" si="199"/>
        <v/>
      </c>
      <c r="AR727" s="2568"/>
      <c r="AS727" s="758">
        <f>IFERROR(IF(IF(AR727&lt;&gt;"",VLOOKUP(AR727,Tabla_ArmasyEscudos,9,0),"")="Conocida",MAX(AS$660:AS726)+1,0),0)</f>
        <v>0</v>
      </c>
      <c r="AT727" s="758">
        <f>IF(AR727="",0,IF(AS727=0,MAX(AT$654:AT726,AV$652)+1,AS727+IFERROR(VLOOKUP(VLOOKUP(AR727,$D$653:$AA$871,24,0),AR$654:AT$659,3,0)-VLOOKUP(VLOOKUP(AR727,$D$653:$AA$871,24,0),AR$654:AT$659,2,0)+1,0)))</f>
        <v>0</v>
      </c>
      <c r="AU727" s="758" t="str">
        <f t="shared" ca="1" si="200"/>
        <v/>
      </c>
      <c r="AV727" s="758" t="str">
        <f t="shared" ca="1" si="201"/>
        <v/>
      </c>
      <c r="AX727" s="1141" t="str">
        <f t="shared" si="202"/>
        <v>Tridente</v>
      </c>
      <c r="AY727" s="2549"/>
      <c r="AZ727" s="774" t="str">
        <f t="shared" si="203"/>
        <v/>
      </c>
      <c r="BA727" s="76" t="str">
        <f t="shared" si="204"/>
        <v/>
      </c>
      <c r="BB727" s="76" t="str">
        <f t="shared" si="205"/>
        <v>Turcus</v>
      </c>
      <c r="BC727" s="1142">
        <f>IF(OR($L725=BC$652,$L725="",$D725=$BE$651),MAX(BC$654:BC726)+1,0)</f>
        <v>0</v>
      </c>
      <c r="BD727" s="1143">
        <f>IF(OR($L725=BD$652,$L725="",$D725=$BE$651),MAX(BD$654:BD726)+1,0)</f>
        <v>0</v>
      </c>
      <c r="BE727" s="1144">
        <f>IF(OR($L725=BE$652,$L725="",$D725=$BE$651),MAX(BE$654:BE726)+1,0)</f>
        <v>72</v>
      </c>
      <c r="BF727" s="2549"/>
      <c r="BG727" s="774" t="str">
        <f t="shared" si="206"/>
        <v/>
      </c>
      <c r="BH727" s="76" t="str">
        <f t="shared" si="207"/>
        <v/>
      </c>
      <c r="BI727" s="76" t="str">
        <f t="shared" si="208"/>
        <v>Turcus</v>
      </c>
      <c r="BJ727" s="1142">
        <f>IF(OR($L725=BJ$652,$L725="",$D725=$BL$651),MAX(BJ$654:BJ726)+1,0)</f>
        <v>0</v>
      </c>
      <c r="BK727" s="1143">
        <f>IF(OR($L725=BK$652,$L725="",$D725=$BL$651),MAX(BK$654:BK726)+1,0)</f>
        <v>0</v>
      </c>
      <c r="BL727" s="1144">
        <f>IF(OR($L725=BL$652,$L725="",$D725=$BL$651),MAX(BL$654:BL726)+1,0)</f>
        <v>72</v>
      </c>
      <c r="BM727" s="2549"/>
      <c r="BN727" s="774" t="str">
        <f t="shared" si="209"/>
        <v/>
      </c>
      <c r="BO727" s="76" t="str">
        <f t="shared" si="210"/>
        <v/>
      </c>
      <c r="BP727" s="76" t="str">
        <f t="shared" si="211"/>
        <v>Turcus</v>
      </c>
      <c r="BQ727" s="1142">
        <f>IF(OR($L725=BQ$652,$L725="",$D725=$BS$651),MAX(BQ$654:BQ726)+1,0)</f>
        <v>0</v>
      </c>
      <c r="BR727" s="1143">
        <f>IF(OR($L725=BR$652,$L725="",$D725=$BS$651),MAX(BR$654:BR726)+1,0)</f>
        <v>0</v>
      </c>
      <c r="BS727" s="1144">
        <f>IF(OR($L725=BS$652,$L725="",$D725=$BS$651),MAX(BS$654:BS726)+1,0)</f>
        <v>72</v>
      </c>
      <c r="BT727" s="2549"/>
      <c r="BU727" s="774" t="str">
        <f t="shared" si="212"/>
        <v/>
      </c>
      <c r="BV727" s="76" t="str">
        <f t="shared" si="213"/>
        <v/>
      </c>
      <c r="BW727" s="76" t="str">
        <f t="shared" si="214"/>
        <v>Turcus</v>
      </c>
      <c r="BX727" s="1142">
        <f>IF(OR($L725=BX$652,$L725="",$D725=$BZ$651),MAX(BX$654:BX726)+1,0)</f>
        <v>0</v>
      </c>
      <c r="BY727" s="1143">
        <f>IF(OR($L725=BY$652,$L725="",$D725=$BZ$651),MAX(BY$654:BY726)+1,0)</f>
        <v>0</v>
      </c>
      <c r="BZ727" s="1144">
        <f>IF(OR($L725=BZ$652,$L725="",$D725=$BZ$651),MAX(BZ$654:BZ726)+1,0)</f>
        <v>72</v>
      </c>
      <c r="CA727" s="2549"/>
      <c r="CB727" s="774" t="str">
        <f t="shared" si="215"/>
        <v/>
      </c>
      <c r="CC727" s="76" t="str">
        <f t="shared" si="216"/>
        <v/>
      </c>
      <c r="CD727" s="76" t="str">
        <f t="shared" si="217"/>
        <v>Turcus</v>
      </c>
      <c r="CE727" s="1142">
        <f>IF(OR($L725=CE$652,$L725="",$D725=$CG$651),MAX(CE$654:CE726)+1,0)</f>
        <v>0</v>
      </c>
      <c r="CF727" s="1143">
        <f>IF(OR($L725=CF$652,$L725="",$D725=$CG$651),MAX(CF$654:CF726)+1,0)</f>
        <v>0</v>
      </c>
      <c r="CG727" s="1144">
        <f>IF(OR($L725=CG$652,$L725="",$D725=$CG$651),MAX(CG$654:CG726)+1,0)</f>
        <v>72</v>
      </c>
      <c r="CI727" s="774" t="str">
        <f t="shared" si="218"/>
        <v/>
      </c>
      <c r="CJ727" s="76" t="str">
        <f t="shared" si="219"/>
        <v/>
      </c>
      <c r="CK727" s="76" t="str">
        <f t="shared" si="220"/>
        <v>Turcus</v>
      </c>
      <c r="CL727" s="1142">
        <f>IF(OR($L725=CL$652,$L725="",$D725=$CN$651),MAX(CL$654:CL726)+1,0)</f>
        <v>0</v>
      </c>
      <c r="CM727" s="1143">
        <f>IF(OR($L725=CM$652,$L725="",$D725=$CN$651),MAX(CM$654:CM726)+1,0)</f>
        <v>0</v>
      </c>
      <c r="CN727" s="1144">
        <f>IF(OR($L725=CN$652,$L725="",$D725=$CN$651),MAX(CN$654:CN726)+1,0)</f>
        <v>72</v>
      </c>
    </row>
    <row r="728" spans="1:92" ht="12.75" customHeight="1">
      <c r="A728" s="219">
        <v>719</v>
      </c>
      <c r="B728" s="7145"/>
      <c r="C728" s="1034"/>
      <c r="D728" s="2237" t="s">
        <v>6578</v>
      </c>
      <c r="E728" s="2239">
        <v>40</v>
      </c>
      <c r="F728" s="2236">
        <v>0</v>
      </c>
      <c r="G728" s="2236">
        <v>8</v>
      </c>
      <c r="H728" s="2236">
        <v>5</v>
      </c>
      <c r="I728" s="2236" t="s">
        <v>1410</v>
      </c>
      <c r="J728" s="2236" t="s">
        <v>1357</v>
      </c>
      <c r="K728" s="2433" t="s">
        <v>6845</v>
      </c>
      <c r="L728" s="2236" t="str">
        <f t="shared" si="221"/>
        <v>Distinta</v>
      </c>
      <c r="M728" s="2240">
        <v>11</v>
      </c>
      <c r="N728" s="2240">
        <v>2</v>
      </c>
      <c r="O728" s="2240">
        <v>20</v>
      </c>
      <c r="P728" s="2236"/>
      <c r="Q728" s="2236"/>
      <c r="R728" s="2236" t="s">
        <v>1315</v>
      </c>
      <c r="S728" s="2236" t="s">
        <v>1315</v>
      </c>
      <c r="T728" s="2236" t="s">
        <v>1315</v>
      </c>
      <c r="U728" s="2236"/>
      <c r="V728" s="2433" t="s">
        <v>1979</v>
      </c>
      <c r="W728" s="2433"/>
      <c r="X728" s="2434" t="str">
        <f t="shared" si="223"/>
        <v>Grande</v>
      </c>
      <c r="Y728" s="2229">
        <f t="shared" si="222"/>
        <v>0</v>
      </c>
      <c r="Z728" s="1150" t="str">
        <f t="shared" si="193"/>
        <v/>
      </c>
      <c r="AA728" s="1751" t="s">
        <v>1960</v>
      </c>
      <c r="AC728" s="2568" t="s">
        <v>6578</v>
      </c>
      <c r="AD728" s="758">
        <f>IFERROR(IF(IF(AC728&lt;&gt;"",VLOOKUP(AC728,Tabla_ArmasyEscudos,9,0),"")="Conocida",MAX(AD$662:AD727)+1,0),0)</f>
        <v>0</v>
      </c>
      <c r="AE728" s="758">
        <f ca="1">IF(AC728="",0,IF(AD728=0,MAX(AE$654:AE727,AG$652)+1,AD728+IFERROR(VLOOKUP(VLOOKUP(AC728,$D$653:$AA$871,24,0),AC$654:AE$661,3,0)-VLOOKUP(VLOOKUP(AC728,$D$653:$AA$871,24,0),AC$654:AE$661,2,0)+1,0)))</f>
        <v>68</v>
      </c>
      <c r="AF728" s="758" t="str">
        <f t="shared" ca="1" si="194"/>
        <v>Abanico de combate</v>
      </c>
      <c r="AG728" s="758" t="str">
        <f t="shared" ca="1" si="195"/>
        <v/>
      </c>
      <c r="AH728" s="699"/>
      <c r="AI728" s="758">
        <f>IFERROR(IF(IF(AH728&lt;&gt;"",VLOOKUP(AH728,Tabla_ArmasyEscudos,9,0),"")="Conocida",MAX(AI$660:AI727)+1,0),0)</f>
        <v>0</v>
      </c>
      <c r="AJ728" s="758">
        <f>IF(AH728="",0,IF(AI728=0,MAX(AJ$654:AJ727,AL$652)+1,AI728+IFERROR(VLOOKUP(VLOOKUP(AH728,$D$653:$AA$871,24,0),AH$654:AJ$659,3,0)-VLOOKUP(VLOOKUP(AH728,$D$653:$AA$871,24,0),AH$654:AJ$659,2,0)+1,0)))</f>
        <v>0</v>
      </c>
      <c r="AK728" s="758" t="str">
        <f t="shared" ca="1" si="196"/>
        <v/>
      </c>
      <c r="AL728" s="758" t="str">
        <f t="shared" ca="1" si="197"/>
        <v/>
      </c>
      <c r="AM728" s="2568"/>
      <c r="AN728" s="758">
        <f>IFERROR(IF(IF(AM728&lt;&gt;"",VLOOKUP(AM728,Tabla_ArmasyEscudos,9,0),"")="Conocida",MAX(AN$660:AN727)+1,0),0)</f>
        <v>0</v>
      </c>
      <c r="AO728" s="758">
        <f>IF(AM728="",0,IF(AN728=0,MAX(AO$654:AO727,AQ$652)+1,AN728+IFERROR(VLOOKUP(VLOOKUP(AM728,$D$653:$AA$871,24,0),AM$654:AO$659,3,0)-VLOOKUP(VLOOKUP(AM728,$D$653:$AA$871,24,0),AM$654:AO$659,2,0)+1,0)))</f>
        <v>0</v>
      </c>
      <c r="AP728" s="758" t="str">
        <f t="shared" ca="1" si="198"/>
        <v/>
      </c>
      <c r="AQ728" s="758" t="str">
        <f t="shared" ca="1" si="199"/>
        <v/>
      </c>
      <c r="AR728" s="2568"/>
      <c r="AS728" s="758">
        <f>IFERROR(IF(IF(AR728&lt;&gt;"",VLOOKUP(AR728,Tabla_ArmasyEscudos,9,0),"")="Conocida",MAX(AS$660:AS727)+1,0),0)</f>
        <v>0</v>
      </c>
      <c r="AT728" s="758">
        <f>IF(AR728="",0,IF(AS728=0,MAX(AT$654:AT727,AV$652)+1,AS728+IFERROR(VLOOKUP(VLOOKUP(AR728,$D$653:$AA$871,24,0),AR$654:AT$659,3,0)-VLOOKUP(VLOOKUP(AR728,$D$653:$AA$871,24,0),AR$654:AT$659,2,0)+1,0)))</f>
        <v>0</v>
      </c>
      <c r="AU728" s="758" t="str">
        <f t="shared" ca="1" si="200"/>
        <v/>
      </c>
      <c r="AV728" s="758" t="str">
        <f t="shared" ca="1" si="201"/>
        <v/>
      </c>
      <c r="AX728" s="1141" t="str">
        <f t="shared" si="202"/>
        <v>Turcus</v>
      </c>
      <c r="AY728" s="2549"/>
      <c r="AZ728" s="774" t="str">
        <f t="shared" si="203"/>
        <v/>
      </c>
      <c r="BA728" s="76" t="str">
        <f t="shared" si="204"/>
        <v/>
      </c>
      <c r="BB728" s="76" t="str">
        <f t="shared" si="205"/>
        <v>Urumi</v>
      </c>
      <c r="BC728" s="1142">
        <f>IF(OR($L726=BC$652,$L726="",$D726=$BE$651),MAX(BC$654:BC727)+1,0)</f>
        <v>0</v>
      </c>
      <c r="BD728" s="1143">
        <f>IF(OR($L726=BD$652,$L726="",$D726=$BE$651),MAX(BD$654:BD727)+1,0)</f>
        <v>0</v>
      </c>
      <c r="BE728" s="1144">
        <f>IF(OR($L726=BE$652,$L726="",$D726=$BE$651),MAX(BE$654:BE727)+1,0)</f>
        <v>73</v>
      </c>
      <c r="BF728" s="2549"/>
      <c r="BG728" s="774" t="str">
        <f t="shared" si="206"/>
        <v/>
      </c>
      <c r="BH728" s="76" t="str">
        <f t="shared" si="207"/>
        <v/>
      </c>
      <c r="BI728" s="76" t="str">
        <f t="shared" si="208"/>
        <v>Urumi</v>
      </c>
      <c r="BJ728" s="1142">
        <f>IF(OR($L726=BJ$652,$L726="",$D726=$BL$651),MAX(BJ$654:BJ727)+1,0)</f>
        <v>0</v>
      </c>
      <c r="BK728" s="1143">
        <f>IF(OR($L726=BK$652,$L726="",$D726=$BL$651),MAX(BK$654:BK727)+1,0)</f>
        <v>0</v>
      </c>
      <c r="BL728" s="1144">
        <f>IF(OR($L726=BL$652,$L726="",$D726=$BL$651),MAX(BL$654:BL727)+1,0)</f>
        <v>73</v>
      </c>
      <c r="BM728" s="2549"/>
      <c r="BN728" s="774" t="str">
        <f t="shared" si="209"/>
        <v/>
      </c>
      <c r="BO728" s="76" t="str">
        <f t="shared" si="210"/>
        <v/>
      </c>
      <c r="BP728" s="76" t="str">
        <f t="shared" si="211"/>
        <v>Urumi</v>
      </c>
      <c r="BQ728" s="1142">
        <f>IF(OR($L726=BQ$652,$L726="",$D726=$BS$651),MAX(BQ$654:BQ727)+1,0)</f>
        <v>0</v>
      </c>
      <c r="BR728" s="1143">
        <f>IF(OR($L726=BR$652,$L726="",$D726=$BS$651),MAX(BR$654:BR727)+1,0)</f>
        <v>0</v>
      </c>
      <c r="BS728" s="1144">
        <f>IF(OR($L726=BS$652,$L726="",$D726=$BS$651),MAX(BS$654:BS727)+1,0)</f>
        <v>73</v>
      </c>
      <c r="BT728" s="2549"/>
      <c r="BU728" s="774" t="str">
        <f t="shared" si="212"/>
        <v/>
      </c>
      <c r="BV728" s="76" t="str">
        <f t="shared" si="213"/>
        <v/>
      </c>
      <c r="BW728" s="76" t="str">
        <f t="shared" si="214"/>
        <v>Urumi</v>
      </c>
      <c r="BX728" s="1142">
        <f>IF(OR($L726=BX$652,$L726="",$D726=$BZ$651),MAX(BX$654:BX727)+1,0)</f>
        <v>0</v>
      </c>
      <c r="BY728" s="1143">
        <f>IF(OR($L726=BY$652,$L726="",$D726=$BZ$651),MAX(BY$654:BY727)+1,0)</f>
        <v>0</v>
      </c>
      <c r="BZ728" s="1144">
        <f>IF(OR($L726=BZ$652,$L726="",$D726=$BZ$651),MAX(BZ$654:BZ727)+1,0)</f>
        <v>73</v>
      </c>
      <c r="CA728" s="2549"/>
      <c r="CB728" s="774" t="str">
        <f t="shared" si="215"/>
        <v/>
      </c>
      <c r="CC728" s="76" t="str">
        <f t="shared" si="216"/>
        <v/>
      </c>
      <c r="CD728" s="76" t="str">
        <f t="shared" si="217"/>
        <v>Urumi</v>
      </c>
      <c r="CE728" s="1142">
        <f>IF(OR($L726=CE$652,$L726="",$D726=$CG$651),MAX(CE$654:CE727)+1,0)</f>
        <v>0</v>
      </c>
      <c r="CF728" s="1143">
        <f>IF(OR($L726=CF$652,$L726="",$D726=$CG$651),MAX(CF$654:CF727)+1,0)</f>
        <v>0</v>
      </c>
      <c r="CG728" s="1144">
        <f>IF(OR($L726=CG$652,$L726="",$D726=$CG$651),MAX(CG$654:CG727)+1,0)</f>
        <v>73</v>
      </c>
      <c r="CI728" s="774" t="str">
        <f t="shared" si="218"/>
        <v/>
      </c>
      <c r="CJ728" s="76" t="str">
        <f t="shared" si="219"/>
        <v/>
      </c>
      <c r="CK728" s="76" t="str">
        <f t="shared" si="220"/>
        <v>Urumi</v>
      </c>
      <c r="CL728" s="1142">
        <f>IF(OR($L726=CL$652,$L726="",$D726=$CN$651),MAX(CL$654:CL727)+1,0)</f>
        <v>0</v>
      </c>
      <c r="CM728" s="1143">
        <f>IF(OR($L726=CM$652,$L726="",$D726=$CN$651),MAX(CM$654:CM727)+1,0)</f>
        <v>0</v>
      </c>
      <c r="CN728" s="1144">
        <f>IF(OR($L726=CN$652,$L726="",$D726=$CN$651),MAX(CN$654:CN727)+1,0)</f>
        <v>73</v>
      </c>
    </row>
    <row r="729" spans="1:92" ht="12.75" customHeight="1">
      <c r="A729" s="219">
        <v>720</v>
      </c>
      <c r="B729" s="7145"/>
      <c r="C729" s="1034"/>
      <c r="D729" s="2237" t="s">
        <v>2013</v>
      </c>
      <c r="E729" s="2239">
        <v>30</v>
      </c>
      <c r="F729" s="2236">
        <v>10</v>
      </c>
      <c r="G729" s="2236">
        <v>4</v>
      </c>
      <c r="H729" s="2236">
        <v>4</v>
      </c>
      <c r="I729" s="2236" t="s">
        <v>1357</v>
      </c>
      <c r="J729" s="2236" t="s">
        <v>1315</v>
      </c>
      <c r="K729" s="2433" t="s">
        <v>6830</v>
      </c>
      <c r="L729" s="2236" t="str">
        <f t="shared" si="221"/>
        <v>Distinta</v>
      </c>
      <c r="M729" s="2240">
        <v>11</v>
      </c>
      <c r="N729" s="2240">
        <v>0</v>
      </c>
      <c r="O729" s="2240">
        <v>30</v>
      </c>
      <c r="P729" s="2236"/>
      <c r="Q729" s="2236"/>
      <c r="R729" s="2236" t="s">
        <v>1315</v>
      </c>
      <c r="S729" s="2236" t="s">
        <v>1315</v>
      </c>
      <c r="T729" s="2236" t="s">
        <v>1315</v>
      </c>
      <c r="U729" s="2236"/>
      <c r="V729" s="2433" t="s">
        <v>1438</v>
      </c>
      <c r="W729" s="2433"/>
      <c r="X729" s="2434" t="str">
        <f t="shared" si="223"/>
        <v>Grande</v>
      </c>
      <c r="Y729" s="2229">
        <f t="shared" si="222"/>
        <v>0</v>
      </c>
      <c r="Z729" s="1150" t="str">
        <f t="shared" si="193"/>
        <v/>
      </c>
      <c r="AA729" s="1751" t="s">
        <v>1960</v>
      </c>
      <c r="AC729" s="2575" t="s">
        <v>2014</v>
      </c>
      <c r="AD729" s="758">
        <f>IFERROR(IF(IF(AC729&lt;&gt;"",VLOOKUP(AC729,Tabla_ArmasyEscudos,9,0),"")="Conocida",MAX(AD$662:AD728)+1,0),0)</f>
        <v>0</v>
      </c>
      <c r="AE729" s="758">
        <f ca="1">IF(AC729="",0,IF(AD729=0,MAX(AE$654:AE728,AG$652)+1,AD729+IFERROR(VLOOKUP(VLOOKUP(AC729,$D$653:$AA$871,24,0),AC$654:AE$661,3,0)-VLOOKUP(VLOOKUP(AC729,$D$653:$AA$871,24,0),AC$654:AE$661,2,0)+1,0)))</f>
        <v>69</v>
      </c>
      <c r="AF729" s="758" t="str">
        <f t="shared" ca="1" si="194"/>
        <v>Boku-to</v>
      </c>
      <c r="AG729" s="758" t="str">
        <f t="shared" ca="1" si="195"/>
        <v/>
      </c>
      <c r="AH729" s="2568"/>
      <c r="AI729" s="758">
        <f>IFERROR(IF(IF(AH729&lt;&gt;"",VLOOKUP(AH729,Tabla_ArmasyEscudos,9,0),"")="Conocida",MAX(AI$660:AI728)+1,0),0)</f>
        <v>0</v>
      </c>
      <c r="AJ729" s="758">
        <f>IF(AH729="",0,IF(AI729=0,MAX(AJ$654:AJ728,AL$652)+1,AI729+IFERROR(VLOOKUP(VLOOKUP(AH729,$D$653:$AA$871,24,0),AH$654:AJ$659,3,0)-VLOOKUP(VLOOKUP(AH729,$D$653:$AA$871,24,0),AH$654:AJ$659,2,0)+1,0)))</f>
        <v>0</v>
      </c>
      <c r="AK729" s="758" t="str">
        <f t="shared" ca="1" si="196"/>
        <v/>
      </c>
      <c r="AL729" s="758" t="str">
        <f t="shared" ca="1" si="197"/>
        <v/>
      </c>
      <c r="AM729" s="2568"/>
      <c r="AN729" s="758">
        <f>IFERROR(IF(IF(AM729&lt;&gt;"",VLOOKUP(AM729,Tabla_ArmasyEscudos,9,0),"")="Conocida",MAX(AN$660:AN728)+1,0),0)</f>
        <v>0</v>
      </c>
      <c r="AO729" s="758">
        <f>IF(AM729="",0,IF(AN729=0,MAX(AO$654:AO728,AQ$652)+1,AN729+IFERROR(VLOOKUP(VLOOKUP(AM729,$D$653:$AA$871,24,0),AM$654:AO$659,3,0)-VLOOKUP(VLOOKUP(AM729,$D$653:$AA$871,24,0),AM$654:AO$659,2,0)+1,0)))</f>
        <v>0</v>
      </c>
      <c r="AP729" s="758" t="str">
        <f t="shared" ca="1" si="198"/>
        <v/>
      </c>
      <c r="AQ729" s="758" t="str">
        <f t="shared" ca="1" si="199"/>
        <v/>
      </c>
      <c r="AR729" s="2568"/>
      <c r="AS729" s="758">
        <f>IFERROR(IF(IF(AR729&lt;&gt;"",VLOOKUP(AR729,Tabla_ArmasyEscudos,9,0),"")="Conocida",MAX(AS$660:AS728)+1,0),0)</f>
        <v>0</v>
      </c>
      <c r="AT729" s="758">
        <f>IF(AR729="",0,IF(AS729=0,MAX(AT$654:AT728,AV$652)+1,AS729+IFERROR(VLOOKUP(VLOOKUP(AR729,$D$653:$AA$871,24,0),AR$654:AT$659,3,0)-VLOOKUP(VLOOKUP(AR729,$D$653:$AA$871,24,0),AR$654:AT$659,2,0)+1,0)))</f>
        <v>0</v>
      </c>
      <c r="AU729" s="758" t="str">
        <f t="shared" ca="1" si="200"/>
        <v/>
      </c>
      <c r="AV729" s="758" t="str">
        <f t="shared" ca="1" si="201"/>
        <v/>
      </c>
      <c r="AX729" s="1141" t="str">
        <f t="shared" si="202"/>
        <v>Urumi</v>
      </c>
      <c r="AY729" s="2549"/>
      <c r="AZ729" s="774" t="str">
        <f t="shared" si="203"/>
        <v/>
      </c>
      <c r="BA729" s="76" t="str">
        <f t="shared" si="204"/>
        <v/>
      </c>
      <c r="BB729" s="76" t="str">
        <f t="shared" si="205"/>
        <v>Valaska</v>
      </c>
      <c r="BC729" s="1142">
        <f>IF(OR($L727=BC$652,$L727="",$D727=$BE$651),MAX(BC$654:BC728)+1,0)</f>
        <v>0</v>
      </c>
      <c r="BD729" s="1143">
        <f>IF(OR($L727=BD$652,$L727="",$D727=$BE$651),MAX(BD$654:BD728)+1,0)</f>
        <v>0</v>
      </c>
      <c r="BE729" s="1144">
        <f>IF(OR($L727=BE$652,$L727="",$D727=$BE$651),MAX(BE$654:BE728)+1,0)</f>
        <v>74</v>
      </c>
      <c r="BF729" s="2549"/>
      <c r="BG729" s="774" t="str">
        <f t="shared" si="206"/>
        <v/>
      </c>
      <c r="BH729" s="76" t="str">
        <f t="shared" si="207"/>
        <v/>
      </c>
      <c r="BI729" s="76" t="str">
        <f t="shared" si="208"/>
        <v>Valaska</v>
      </c>
      <c r="BJ729" s="1142">
        <f>IF(OR($L727=BJ$652,$L727="",$D727=$BL$651),MAX(BJ$654:BJ728)+1,0)</f>
        <v>0</v>
      </c>
      <c r="BK729" s="1143">
        <f>IF(OR($L727=BK$652,$L727="",$D727=$BL$651),MAX(BK$654:BK728)+1,0)</f>
        <v>0</v>
      </c>
      <c r="BL729" s="1144">
        <f>IF(OR($L727=BL$652,$L727="",$D727=$BL$651),MAX(BL$654:BL728)+1,0)</f>
        <v>74</v>
      </c>
      <c r="BM729" s="2549"/>
      <c r="BN729" s="774" t="str">
        <f t="shared" si="209"/>
        <v/>
      </c>
      <c r="BO729" s="76" t="str">
        <f t="shared" si="210"/>
        <v/>
      </c>
      <c r="BP729" s="76" t="str">
        <f t="shared" si="211"/>
        <v>Valaska</v>
      </c>
      <c r="BQ729" s="1142">
        <f>IF(OR($L727=BQ$652,$L727="",$D727=$BS$651),MAX(BQ$654:BQ728)+1,0)</f>
        <v>0</v>
      </c>
      <c r="BR729" s="1143">
        <f>IF(OR($L727=BR$652,$L727="",$D727=$BS$651),MAX(BR$654:BR728)+1,0)</f>
        <v>0</v>
      </c>
      <c r="BS729" s="1144">
        <f>IF(OR($L727=BS$652,$L727="",$D727=$BS$651),MAX(BS$654:BS728)+1,0)</f>
        <v>74</v>
      </c>
      <c r="BT729" s="2549"/>
      <c r="BU729" s="774" t="str">
        <f t="shared" si="212"/>
        <v/>
      </c>
      <c r="BV729" s="76" t="str">
        <f t="shared" si="213"/>
        <v/>
      </c>
      <c r="BW729" s="76" t="str">
        <f t="shared" si="214"/>
        <v>Valaska</v>
      </c>
      <c r="BX729" s="1142">
        <f>IF(OR($L727=BX$652,$L727="",$D727=$BZ$651),MAX(BX$654:BX728)+1,0)</f>
        <v>0</v>
      </c>
      <c r="BY729" s="1143">
        <f>IF(OR($L727=BY$652,$L727="",$D727=$BZ$651),MAX(BY$654:BY728)+1,0)</f>
        <v>0</v>
      </c>
      <c r="BZ729" s="1144">
        <f>IF(OR($L727=BZ$652,$L727="",$D727=$BZ$651),MAX(BZ$654:BZ728)+1,0)</f>
        <v>74</v>
      </c>
      <c r="CA729" s="2549"/>
      <c r="CB729" s="774" t="str">
        <f t="shared" si="215"/>
        <v/>
      </c>
      <c r="CC729" s="76" t="str">
        <f t="shared" si="216"/>
        <v/>
      </c>
      <c r="CD729" s="76" t="str">
        <f t="shared" si="217"/>
        <v>Valaska</v>
      </c>
      <c r="CE729" s="1142">
        <f>IF(OR($L727=CE$652,$L727="",$D727=$CG$651),MAX(CE$654:CE728)+1,0)</f>
        <v>0</v>
      </c>
      <c r="CF729" s="1143">
        <f>IF(OR($L727=CF$652,$L727="",$D727=$CG$651),MAX(CF$654:CF728)+1,0)</f>
        <v>0</v>
      </c>
      <c r="CG729" s="1144">
        <f>IF(OR($L727=CG$652,$L727="",$D727=$CG$651),MAX(CG$654:CG728)+1,0)</f>
        <v>74</v>
      </c>
      <c r="CI729" s="774" t="str">
        <f t="shared" si="218"/>
        <v/>
      </c>
      <c r="CJ729" s="76" t="str">
        <f t="shared" si="219"/>
        <v/>
      </c>
      <c r="CK729" s="76" t="str">
        <f t="shared" si="220"/>
        <v>Valaska</v>
      </c>
      <c r="CL729" s="1142">
        <f>IF(OR($L727=CL$652,$L727="",$D727=$CN$651),MAX(CL$654:CL728)+1,0)</f>
        <v>0</v>
      </c>
      <c r="CM729" s="1143">
        <f>IF(OR($L727=CM$652,$L727="",$D727=$CN$651),MAX(CM$654:CM728)+1,0)</f>
        <v>0</v>
      </c>
      <c r="CN729" s="1144">
        <f>IF(OR($L727=CN$652,$L727="",$D727=$CN$651),MAX(CN$654:CN728)+1,0)</f>
        <v>74</v>
      </c>
    </row>
    <row r="730" spans="1:92" ht="12.75" customHeight="1">
      <c r="A730" s="219">
        <v>721</v>
      </c>
      <c r="B730" s="7145"/>
      <c r="C730" s="1034"/>
      <c r="D730" s="2237" t="s">
        <v>2014</v>
      </c>
      <c r="E730" s="2234"/>
      <c r="F730" s="2234"/>
      <c r="G730" s="2234"/>
      <c r="H730" s="2234"/>
      <c r="I730" s="2234"/>
      <c r="J730" s="2234"/>
      <c r="K730" s="2230" t="s">
        <v>6828</v>
      </c>
      <c r="L730" s="2236"/>
      <c r="M730" s="2234"/>
      <c r="N730" s="2234"/>
      <c r="O730" s="2234"/>
      <c r="P730" s="2234"/>
      <c r="Q730" s="2234"/>
      <c r="R730" s="2234"/>
      <c r="S730" s="2234"/>
      <c r="T730" s="2234"/>
      <c r="U730" s="2234"/>
      <c r="V730" s="2230"/>
      <c r="W730" s="2230"/>
      <c r="X730" s="2231"/>
      <c r="Y730" s="1037"/>
      <c r="Z730" s="1150" t="str">
        <f t="shared" si="193"/>
        <v/>
      </c>
      <c r="AA730" s="1751"/>
      <c r="AC730" s="2568" t="s">
        <v>2015</v>
      </c>
      <c r="AD730" s="758">
        <f>IFERROR(IF(IF(AC730&lt;&gt;"",VLOOKUP(AC730,Tabla_ArmasyEscudos,9,0),"")="Conocida",MAX(AD$662:AD729)+1,0),0)</f>
        <v>0</v>
      </c>
      <c r="AE730" s="758">
        <f ca="1">IF(AC730="",0,IF(AD730=0,MAX(AE$654:AE729,AG$652)+1,AD730+IFERROR(VLOOKUP(VLOOKUP(AC730,$D$653:$AA$871,24,0),AC$654:AE$661,3,0)-VLOOKUP(VLOOKUP(AC730,$D$653:$AA$871,24,0),AC$654:AE$661,2,0)+1,0)))</f>
        <v>70</v>
      </c>
      <c r="AF730" s="758" t="str">
        <f t="shared" ca="1" si="194"/>
        <v>Bumerán</v>
      </c>
      <c r="AG730" s="758" t="str">
        <f t="shared" ca="1" si="195"/>
        <v/>
      </c>
      <c r="AH730" s="2568"/>
      <c r="AI730" s="758">
        <f>IFERROR(IF(IF(AH730&lt;&gt;"",VLOOKUP(AH730,Tabla_ArmasyEscudos,9,0),"")="Conocida",MAX(AI$660:AI729)+1,0),0)</f>
        <v>0</v>
      </c>
      <c r="AJ730" s="758">
        <f>IF(AH730="",0,IF(AI730=0,MAX(AJ$654:AJ729,AL$652)+1,AI730+IFERROR(VLOOKUP(VLOOKUP(AH730,$D$653:$AA$871,24,0),AH$654:AJ$659,3,0)-VLOOKUP(VLOOKUP(AH730,$D$653:$AA$871,24,0),AH$654:AJ$659,2,0)+1,0)))</f>
        <v>0</v>
      </c>
      <c r="AK730" s="758" t="str">
        <f t="shared" ca="1" si="196"/>
        <v/>
      </c>
      <c r="AL730" s="758" t="str">
        <f t="shared" ca="1" si="197"/>
        <v/>
      </c>
      <c r="AM730" s="2568"/>
      <c r="AN730" s="758">
        <f>IFERROR(IF(IF(AM730&lt;&gt;"",VLOOKUP(AM730,Tabla_ArmasyEscudos,9,0),"")="Conocida",MAX(AN$660:AN729)+1,0),0)</f>
        <v>0</v>
      </c>
      <c r="AO730" s="758">
        <f>IF(AM730="",0,IF(AN730=0,MAX(AO$654:AO729,AQ$652)+1,AN730+IFERROR(VLOOKUP(VLOOKUP(AM730,$D$653:$AA$871,24,0),AM$654:AO$659,3,0)-VLOOKUP(VLOOKUP(AM730,$D$653:$AA$871,24,0),AM$654:AO$659,2,0)+1,0)))</f>
        <v>0</v>
      </c>
      <c r="AP730" s="758" t="str">
        <f t="shared" ca="1" si="198"/>
        <v/>
      </c>
      <c r="AQ730" s="758" t="str">
        <f t="shared" ca="1" si="199"/>
        <v/>
      </c>
      <c r="AR730" s="2568"/>
      <c r="AS730" s="758">
        <f>IFERROR(IF(IF(AR730&lt;&gt;"",VLOOKUP(AR730,Tabla_ArmasyEscudos,9,0),"")="Conocida",MAX(AS$660:AS729)+1,0),0)</f>
        <v>0</v>
      </c>
      <c r="AT730" s="758">
        <f>IF(AR730="",0,IF(AS730=0,MAX(AT$654:AT729,AV$652)+1,AS730+IFERROR(VLOOKUP(VLOOKUP(AR730,$D$653:$AA$871,24,0),AR$654:AT$659,3,0)-VLOOKUP(VLOOKUP(AR730,$D$653:$AA$871,24,0),AR$654:AT$659,2,0)+1,0)))</f>
        <v>0</v>
      </c>
      <c r="AU730" s="758" t="str">
        <f t="shared" ca="1" si="200"/>
        <v/>
      </c>
      <c r="AV730" s="758" t="str">
        <f t="shared" ca="1" si="201"/>
        <v/>
      </c>
      <c r="AX730" s="1141" t="str">
        <f t="shared" si="202"/>
        <v>Valaska</v>
      </c>
      <c r="AY730" s="2549"/>
      <c r="AZ730" s="774" t="str">
        <f t="shared" si="203"/>
        <v/>
      </c>
      <c r="BA730" s="76" t="str">
        <f t="shared" si="204"/>
        <v/>
      </c>
      <c r="BB730" s="76" t="str">
        <f t="shared" si="205"/>
        <v>Vara</v>
      </c>
      <c r="BC730" s="1142">
        <f>IF(OR($L728=BC$652,$L728="",$D728=$BE$651),MAX(BC$654:BC729)+1,0)</f>
        <v>0</v>
      </c>
      <c r="BD730" s="1143">
        <f>IF(OR($L728=BD$652,$L728="",$D728=$BE$651),MAX(BD$654:BD729)+1,0)</f>
        <v>0</v>
      </c>
      <c r="BE730" s="1144">
        <f>IF(OR($L728=BE$652,$L728="",$D728=$BE$651),MAX(BE$654:BE729)+1,0)</f>
        <v>75</v>
      </c>
      <c r="BF730" s="2549"/>
      <c r="BG730" s="774" t="str">
        <f t="shared" si="206"/>
        <v/>
      </c>
      <c r="BH730" s="76" t="str">
        <f t="shared" si="207"/>
        <v/>
      </c>
      <c r="BI730" s="76" t="str">
        <f t="shared" si="208"/>
        <v>Vara</v>
      </c>
      <c r="BJ730" s="1142">
        <f>IF(OR($L728=BJ$652,$L728="",$D728=$BL$651),MAX(BJ$654:BJ729)+1,0)</f>
        <v>0</v>
      </c>
      <c r="BK730" s="1143">
        <f>IF(OR($L728=BK$652,$L728="",$D728=$BL$651),MAX(BK$654:BK729)+1,0)</f>
        <v>0</v>
      </c>
      <c r="BL730" s="1144">
        <f>IF(OR($L728=BL$652,$L728="",$D728=$BL$651),MAX(BL$654:BL729)+1,0)</f>
        <v>75</v>
      </c>
      <c r="BM730" s="2549"/>
      <c r="BN730" s="774" t="str">
        <f t="shared" si="209"/>
        <v/>
      </c>
      <c r="BO730" s="76" t="str">
        <f t="shared" si="210"/>
        <v/>
      </c>
      <c r="BP730" s="76" t="str">
        <f t="shared" si="211"/>
        <v>Vara</v>
      </c>
      <c r="BQ730" s="1142">
        <f>IF(OR($L728=BQ$652,$L728="",$D728=$BS$651),MAX(BQ$654:BQ729)+1,0)</f>
        <v>0</v>
      </c>
      <c r="BR730" s="1143">
        <f>IF(OR($L728=BR$652,$L728="",$D728=$BS$651),MAX(BR$654:BR729)+1,0)</f>
        <v>0</v>
      </c>
      <c r="BS730" s="1144">
        <f>IF(OR($L728=BS$652,$L728="",$D728=$BS$651),MAX(BS$654:BS729)+1,0)</f>
        <v>75</v>
      </c>
      <c r="BT730" s="2549"/>
      <c r="BU730" s="774" t="str">
        <f t="shared" si="212"/>
        <v/>
      </c>
      <c r="BV730" s="76" t="str">
        <f t="shared" si="213"/>
        <v/>
      </c>
      <c r="BW730" s="76" t="str">
        <f t="shared" si="214"/>
        <v>Vara</v>
      </c>
      <c r="BX730" s="1142">
        <f>IF(OR($L728=BX$652,$L728="",$D728=$BZ$651),MAX(BX$654:BX729)+1,0)</f>
        <v>0</v>
      </c>
      <c r="BY730" s="1143">
        <f>IF(OR($L728=BY$652,$L728="",$D728=$BZ$651),MAX(BY$654:BY729)+1,0)</f>
        <v>0</v>
      </c>
      <c r="BZ730" s="1144">
        <f>IF(OR($L728=BZ$652,$L728="",$D728=$BZ$651),MAX(BZ$654:BZ729)+1,0)</f>
        <v>75</v>
      </c>
      <c r="CA730" s="2549"/>
      <c r="CB730" s="774" t="str">
        <f t="shared" si="215"/>
        <v/>
      </c>
      <c r="CC730" s="76" t="str">
        <f t="shared" si="216"/>
        <v/>
      </c>
      <c r="CD730" s="76" t="str">
        <f t="shared" si="217"/>
        <v>Vara</v>
      </c>
      <c r="CE730" s="1142">
        <f>IF(OR($L728=CE$652,$L728="",$D728=$CG$651),MAX(CE$654:CE729)+1,0)</f>
        <v>0</v>
      </c>
      <c r="CF730" s="1143">
        <f>IF(OR($L728=CF$652,$L728="",$D728=$CG$651),MAX(CF$654:CF729)+1,0)</f>
        <v>0</v>
      </c>
      <c r="CG730" s="1144">
        <f>IF(OR($L728=CG$652,$L728="",$D728=$CG$651),MAX(CG$654:CG729)+1,0)</f>
        <v>75</v>
      </c>
      <c r="CI730" s="774" t="str">
        <f t="shared" si="218"/>
        <v/>
      </c>
      <c r="CJ730" s="76" t="str">
        <f t="shared" si="219"/>
        <v/>
      </c>
      <c r="CK730" s="76" t="str">
        <f t="shared" si="220"/>
        <v>Vara</v>
      </c>
      <c r="CL730" s="1142">
        <f>IF(OR($L728=CL$652,$L728="",$D728=$CN$651),MAX(CL$654:CL729)+1,0)</f>
        <v>0</v>
      </c>
      <c r="CM730" s="1143">
        <f>IF(OR($L728=CM$652,$L728="",$D728=$CN$651),MAX(CM$654:CM729)+1,0)</f>
        <v>0</v>
      </c>
      <c r="CN730" s="1144">
        <f>IF(OR($L728=CN$652,$L728="",$D728=$CN$651),MAX(CN$654:CN729)+1,0)</f>
        <v>75</v>
      </c>
    </row>
    <row r="731" spans="1:92" ht="12.75" customHeight="1">
      <c r="A731" s="219">
        <v>722</v>
      </c>
      <c r="B731" s="7145"/>
      <c r="C731" s="1034"/>
      <c r="D731" s="2237" t="s">
        <v>2015</v>
      </c>
      <c r="E731" s="2239">
        <v>25</v>
      </c>
      <c r="F731" s="2236">
        <v>-40</v>
      </c>
      <c r="G731" s="2236">
        <v>10</v>
      </c>
      <c r="H731" s="2236">
        <v>10</v>
      </c>
      <c r="I731" s="2236" t="s">
        <v>1357</v>
      </c>
      <c r="J731" s="2236" t="s">
        <v>1315</v>
      </c>
      <c r="K731" s="2433" t="s">
        <v>6846</v>
      </c>
      <c r="L731" s="2236"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2240">
        <v>18</v>
      </c>
      <c r="N731" s="2240">
        <v>1</v>
      </c>
      <c r="O731" s="2240">
        <v>25</v>
      </c>
      <c r="P731" s="2240">
        <v>30</v>
      </c>
      <c r="Q731" s="2240">
        <f>IF(COUNTIF(Compra_TablasEstilo,"Tabla de Esquiva con Escudo")&gt;0,P731,15)</f>
        <v>15</v>
      </c>
      <c r="R731" s="2236" t="s">
        <v>1315</v>
      </c>
      <c r="S731" s="2236" t="s">
        <v>1315</v>
      </c>
      <c r="T731" s="2236" t="s">
        <v>1315</v>
      </c>
      <c r="U731" s="2236"/>
      <c r="V731" s="2232" t="str">
        <f>"Escudo. -"&amp;P731&amp;" HP/-"&amp;Q731&amp;" HE si se usa para atacar."</f>
        <v>Escudo. -30 HP/-15 HE si se usa para atacar.</v>
      </c>
      <c r="W731" s="2232"/>
      <c r="X731" s="2233"/>
      <c r="Y731" s="2229">
        <f>Bono_Fue</f>
        <v>0</v>
      </c>
      <c r="Z731" s="1150" t="str">
        <f t="shared" si="193"/>
        <v/>
      </c>
      <c r="AA731" s="1751" t="s">
        <v>2014</v>
      </c>
      <c r="AC731" s="2568" t="s">
        <v>2017</v>
      </c>
      <c r="AD731" s="758">
        <f>IFERROR(IF(IF(AC731&lt;&gt;"",VLOOKUP(AC731,Tabla_ArmasyEscudos,9,0),"")="Conocida",MAX(AD$662:AD730)+1,0),0)</f>
        <v>0</v>
      </c>
      <c r="AE731" s="758">
        <f ca="1">IF(AC731="",0,IF(AD731=0,MAX(AE$654:AE730,AG$652)+1,AD731+IFERROR(VLOOKUP(VLOOKUP(AC731,$D$653:$AA$871,24,0),AC$654:AE$661,3,0)-VLOOKUP(VLOOKUP(AC731,$D$653:$AA$871,24,0),AC$654:AE$661,2,0)+1,0)))</f>
        <v>71</v>
      </c>
      <c r="AF731" s="758" t="str">
        <f t="shared" ca="1" si="194"/>
        <v>Cuervo</v>
      </c>
      <c r="AG731" s="758" t="str">
        <f t="shared" ca="1" si="195"/>
        <v/>
      </c>
      <c r="AH731" s="2568"/>
      <c r="AI731" s="758">
        <f>IFERROR(IF(IF(AH731&lt;&gt;"",VLOOKUP(AH731,Tabla_ArmasyEscudos,9,0),"")="Conocida",MAX(AI$660:AI730)+1,0),0)</f>
        <v>0</v>
      </c>
      <c r="AJ731" s="758">
        <f>IF(AH731="",0,IF(AI731=0,MAX(AJ$654:AJ730,AL$652)+1,AI731+IFERROR(VLOOKUP(VLOOKUP(AH731,$D$653:$AA$871,24,0),AH$654:AJ$659,3,0)-VLOOKUP(VLOOKUP(AH731,$D$653:$AA$871,24,0),AH$654:AJ$659,2,0)+1,0)))</f>
        <v>0</v>
      </c>
      <c r="AK731" s="758" t="str">
        <f t="shared" ca="1" si="196"/>
        <v/>
      </c>
      <c r="AL731" s="758" t="str">
        <f t="shared" ca="1" si="197"/>
        <v/>
      </c>
      <c r="AM731" s="2568"/>
      <c r="AN731" s="758">
        <f>IFERROR(IF(IF(AM731&lt;&gt;"",VLOOKUP(AM731,Tabla_ArmasyEscudos,9,0),"")="Conocida",MAX(AN$660:AN730)+1,0),0)</f>
        <v>0</v>
      </c>
      <c r="AO731" s="758">
        <f>IF(AM731="",0,IF(AN731=0,MAX(AO$654:AO730,AQ$652)+1,AN731+IFERROR(VLOOKUP(VLOOKUP(AM731,$D$653:$AA$871,24,0),AM$654:AO$659,3,0)-VLOOKUP(VLOOKUP(AM731,$D$653:$AA$871,24,0),AM$654:AO$659,2,0)+1,0)))</f>
        <v>0</v>
      </c>
      <c r="AP731" s="758" t="str">
        <f t="shared" ca="1" si="198"/>
        <v/>
      </c>
      <c r="AQ731" s="758" t="str">
        <f t="shared" ca="1" si="199"/>
        <v/>
      </c>
      <c r="AR731" s="2568"/>
      <c r="AS731" s="758">
        <f>IFERROR(IF(IF(AR731&lt;&gt;"",VLOOKUP(AR731,Tabla_ArmasyEscudos,9,0),"")="Conocida",MAX(AS$660:AS730)+1,0),0)</f>
        <v>0</v>
      </c>
      <c r="AT731" s="758">
        <f>IF(AR731="",0,IF(AS731=0,MAX(AT$654:AT730,AV$652)+1,AS731+IFERROR(VLOOKUP(VLOOKUP(AR731,$D$653:$AA$871,24,0),AR$654:AT$659,3,0)-VLOOKUP(VLOOKUP(AR731,$D$653:$AA$871,24,0),AR$654:AT$659,2,0)+1,0)))</f>
        <v>0</v>
      </c>
      <c r="AU731" s="758" t="str">
        <f t="shared" ca="1" si="200"/>
        <v/>
      </c>
      <c r="AV731" s="758" t="str">
        <f t="shared" ca="1" si="201"/>
        <v/>
      </c>
      <c r="AX731" s="1141" t="str">
        <f t="shared" si="202"/>
        <v>Vara</v>
      </c>
      <c r="AY731" s="2549"/>
      <c r="AZ731" s="774" t="str">
        <f t="shared" si="203"/>
        <v/>
      </c>
      <c r="BA731" s="76" t="str">
        <f t="shared" si="204"/>
        <v/>
      </c>
      <c r="BB731" s="76" t="str">
        <f t="shared" si="205"/>
        <v>&gt; ESCUDOS</v>
      </c>
      <c r="BC731" s="1142">
        <f>IF(OR($L729=BC$652,$L729="",$D729=$BE$651),MAX(BC$654:BC730)+1,0)</f>
        <v>0</v>
      </c>
      <c r="BD731" s="1143">
        <f>IF(OR($L729=BD$652,$L729="",$D729=$BE$651),MAX(BD$654:BD730)+1,0)</f>
        <v>0</v>
      </c>
      <c r="BE731" s="1144">
        <f>IF(OR($L729=BE$652,$L729="",$D729=$BE$651),MAX(BE$654:BE730)+1,0)</f>
        <v>76</v>
      </c>
      <c r="BF731" s="2549"/>
      <c r="BG731" s="774" t="str">
        <f t="shared" si="206"/>
        <v/>
      </c>
      <c r="BH731" s="76" t="str">
        <f t="shared" si="207"/>
        <v/>
      </c>
      <c r="BI731" s="76" t="str">
        <f t="shared" si="208"/>
        <v>&gt; ESCUDOS</v>
      </c>
      <c r="BJ731" s="1142">
        <f>IF(OR($L729=BJ$652,$L729="",$D729=$BL$651),MAX(BJ$654:BJ730)+1,0)</f>
        <v>0</v>
      </c>
      <c r="BK731" s="1143">
        <f>IF(OR($L729=BK$652,$L729="",$D729=$BL$651),MAX(BK$654:BK730)+1,0)</f>
        <v>0</v>
      </c>
      <c r="BL731" s="1144">
        <f>IF(OR($L729=BL$652,$L729="",$D729=$BL$651),MAX(BL$654:BL730)+1,0)</f>
        <v>76</v>
      </c>
      <c r="BM731" s="2549"/>
      <c r="BN731" s="774" t="str">
        <f t="shared" si="209"/>
        <v/>
      </c>
      <c r="BO731" s="76" t="str">
        <f t="shared" si="210"/>
        <v/>
      </c>
      <c r="BP731" s="76" t="str">
        <f t="shared" si="211"/>
        <v>&gt; ESCUDOS</v>
      </c>
      <c r="BQ731" s="1142">
        <f>IF(OR($L729=BQ$652,$L729="",$D729=$BS$651),MAX(BQ$654:BQ730)+1,0)</f>
        <v>0</v>
      </c>
      <c r="BR731" s="1143">
        <f>IF(OR($L729=BR$652,$L729="",$D729=$BS$651),MAX(BR$654:BR730)+1,0)</f>
        <v>0</v>
      </c>
      <c r="BS731" s="1144">
        <f>IF(OR($L729=BS$652,$L729="",$D729=$BS$651),MAX(BS$654:BS730)+1,0)</f>
        <v>76</v>
      </c>
      <c r="BT731" s="2549"/>
      <c r="BU731" s="774" t="str">
        <f t="shared" si="212"/>
        <v/>
      </c>
      <c r="BV731" s="76" t="str">
        <f t="shared" si="213"/>
        <v/>
      </c>
      <c r="BW731" s="76" t="str">
        <f t="shared" si="214"/>
        <v>&gt; ESCUDOS</v>
      </c>
      <c r="BX731" s="1142">
        <f>IF(OR($L729=BX$652,$L729="",$D729=$BZ$651),MAX(BX$654:BX730)+1,0)</f>
        <v>0</v>
      </c>
      <c r="BY731" s="1143">
        <f>IF(OR($L729=BY$652,$L729="",$D729=$BZ$651),MAX(BY$654:BY730)+1,0)</f>
        <v>0</v>
      </c>
      <c r="BZ731" s="1144">
        <f>IF(OR($L729=BZ$652,$L729="",$D729=$BZ$651),MAX(BZ$654:BZ730)+1,0)</f>
        <v>76</v>
      </c>
      <c r="CA731" s="2549"/>
      <c r="CB731" s="774" t="str">
        <f t="shared" si="215"/>
        <v/>
      </c>
      <c r="CC731" s="76" t="str">
        <f t="shared" si="216"/>
        <v/>
      </c>
      <c r="CD731" s="76" t="str">
        <f t="shared" si="217"/>
        <v>&gt; ESCUDOS</v>
      </c>
      <c r="CE731" s="1142">
        <f>IF(OR($L729=CE$652,$L729="",$D729=$CG$651),MAX(CE$654:CE730)+1,0)</f>
        <v>0</v>
      </c>
      <c r="CF731" s="1143">
        <f>IF(OR($L729=CF$652,$L729="",$D729=$CG$651),MAX(CF$654:CF730)+1,0)</f>
        <v>0</v>
      </c>
      <c r="CG731" s="1144">
        <f>IF(OR($L729=CG$652,$L729="",$D729=$CG$651),MAX(CG$654:CG730)+1,0)</f>
        <v>76</v>
      </c>
      <c r="CI731" s="774" t="str">
        <f t="shared" si="218"/>
        <v/>
      </c>
      <c r="CJ731" s="76" t="str">
        <f t="shared" si="219"/>
        <v/>
      </c>
      <c r="CK731" s="76" t="str">
        <f t="shared" si="220"/>
        <v>&gt; ESCUDOS</v>
      </c>
      <c r="CL731" s="1142">
        <f>IF(OR($L729=CL$652,$L729="",$D729=$CN$651),MAX(CL$654:CL730)+1,0)</f>
        <v>0</v>
      </c>
      <c r="CM731" s="1143">
        <f>IF(OR($L729=CM$652,$L729="",$D729=$CN$651),MAX(CM$654:CM730)+1,0)</f>
        <v>0</v>
      </c>
      <c r="CN731" s="1144">
        <f>IF(OR($L729=CN$652,$L729="",$D729=$CN$651),MAX(CN$654:CN730)+1,0)</f>
        <v>76</v>
      </c>
    </row>
    <row r="732" spans="1:92" ht="12.75" customHeight="1">
      <c r="A732" s="219">
        <v>723</v>
      </c>
      <c r="B732" s="7145"/>
      <c r="C732" s="1034"/>
      <c r="D732" s="2237" t="s">
        <v>2017</v>
      </c>
      <c r="E732" s="2239">
        <v>20</v>
      </c>
      <c r="F732" s="2236">
        <v>-25</v>
      </c>
      <c r="G732" s="2236">
        <v>7</v>
      </c>
      <c r="H732" s="2236">
        <v>7</v>
      </c>
      <c r="I732" s="2236" t="s">
        <v>1357</v>
      </c>
      <c r="J732" s="2236" t="s">
        <v>1315</v>
      </c>
      <c r="K732" s="2433" t="s">
        <v>6846</v>
      </c>
      <c r="L732" s="2236"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2240">
        <v>16</v>
      </c>
      <c r="N732" s="2240">
        <v>0</v>
      </c>
      <c r="O732" s="2240">
        <v>25</v>
      </c>
      <c r="P732" s="2240">
        <v>20</v>
      </c>
      <c r="Q732" s="2240">
        <f>IF(COUNTIF(Compra_TablasEstilo,"Tabla de Esquiva con Escudo")&gt;0,P732,10)</f>
        <v>10</v>
      </c>
      <c r="R732" s="2236" t="s">
        <v>1315</v>
      </c>
      <c r="S732" s="2236" t="s">
        <v>1315</v>
      </c>
      <c r="T732" s="2236" t="s">
        <v>1315</v>
      </c>
      <c r="U732" s="2236"/>
      <c r="V732" s="2232" t="str">
        <f>"Escudo. -"&amp;P732&amp;" HP/-"&amp;Q732&amp;" HE si se usa para atacar."</f>
        <v>Escudo. -20 HP/-10 HE si se usa para atacar.</v>
      </c>
      <c r="W732" s="2232"/>
      <c r="X732" s="2233"/>
      <c r="Y732" s="2229">
        <f>Bono_Fue</f>
        <v>0</v>
      </c>
      <c r="Z732" s="1150" t="str">
        <f t="shared" si="193"/>
        <v/>
      </c>
      <c r="AA732" s="1751" t="s">
        <v>2014</v>
      </c>
      <c r="AC732" s="2568" t="s">
        <v>2018</v>
      </c>
      <c r="AD732" s="758">
        <f>IFERROR(IF(IF(AC732&lt;&gt;"",VLOOKUP(AC732,Tabla_ArmasyEscudos,9,0),"")="Conocida",MAX(AD$662:AD731)+1,0),0)</f>
        <v>0</v>
      </c>
      <c r="AE732" s="758">
        <f ca="1">IF(AC732="",0,IF(AD732=0,MAX(AE$654:AE731,AG$652)+1,AD732+IFERROR(VLOOKUP(VLOOKUP(AC732,$D$653:$AA$871,24,0),AC$654:AE$661,3,0)-VLOOKUP(VLOOKUP(AC732,$D$653:$AA$871,24,0),AC$654:AE$661,2,0)+1,0)))</f>
        <v>72</v>
      </c>
      <c r="AF732" s="758" t="str">
        <f t="shared" ca="1" si="194"/>
        <v>Garras</v>
      </c>
      <c r="AG732" s="758" t="str">
        <f t="shared" ca="1" si="195"/>
        <v/>
      </c>
      <c r="AH732" s="2568"/>
      <c r="AI732" s="758">
        <f>IFERROR(IF(IF(AH732&lt;&gt;"",VLOOKUP(AH732,Tabla_ArmasyEscudos,9,0),"")="Conocida",MAX(AI$660:AI731)+1,0),0)</f>
        <v>0</v>
      </c>
      <c r="AJ732" s="758">
        <f>IF(AH732="",0,IF(AI732=0,MAX(AJ$654:AJ731,AL$652)+1,AI732+IFERROR(VLOOKUP(VLOOKUP(AH732,$D$653:$AA$871,24,0),AH$654:AJ$659,3,0)-VLOOKUP(VLOOKUP(AH732,$D$653:$AA$871,24,0),AH$654:AJ$659,2,0)+1,0)))</f>
        <v>0</v>
      </c>
      <c r="AK732" s="758" t="str">
        <f t="shared" ca="1" si="196"/>
        <v/>
      </c>
      <c r="AL732" s="758" t="str">
        <f t="shared" ca="1" si="197"/>
        <v/>
      </c>
      <c r="AM732" s="2568"/>
      <c r="AN732" s="758">
        <f>IFERROR(IF(IF(AM732&lt;&gt;"",VLOOKUP(AM732,Tabla_ArmasyEscudos,9,0),"")="Conocida",MAX(AN$660:AN731)+1,0),0)</f>
        <v>0</v>
      </c>
      <c r="AO732" s="758">
        <f>IF(AM732="",0,IF(AN732=0,MAX(AO$654:AO731,AQ$652)+1,AN732+IFERROR(VLOOKUP(VLOOKUP(AM732,$D$653:$AA$871,24,0),AM$654:AO$659,3,0)-VLOOKUP(VLOOKUP(AM732,$D$653:$AA$871,24,0),AM$654:AO$659,2,0)+1,0)))</f>
        <v>0</v>
      </c>
      <c r="AP732" s="758" t="str">
        <f t="shared" ca="1" si="198"/>
        <v/>
      </c>
      <c r="AQ732" s="758" t="str">
        <f t="shared" ca="1" si="199"/>
        <v/>
      </c>
      <c r="AR732" s="2568"/>
      <c r="AS732" s="758">
        <f>IFERROR(IF(IF(AR732&lt;&gt;"",VLOOKUP(AR732,Tabla_ArmasyEscudos,9,0),"")="Conocida",MAX(AS$660:AS731)+1,0),0)</f>
        <v>0</v>
      </c>
      <c r="AT732" s="758">
        <f>IF(AR732="",0,IF(AS732=0,MAX(AT$654:AT731,AV$652)+1,AS732+IFERROR(VLOOKUP(VLOOKUP(AR732,$D$653:$AA$871,24,0),AR$654:AT$659,3,0)-VLOOKUP(VLOOKUP(AR732,$D$653:$AA$871,24,0),AR$654:AT$659,2,0)+1,0)))</f>
        <v>0</v>
      </c>
      <c r="AU732" s="758" t="str">
        <f t="shared" ca="1" si="200"/>
        <v/>
      </c>
      <c r="AV732" s="758" t="str">
        <f t="shared" ca="1" si="201"/>
        <v/>
      </c>
      <c r="AX732" s="1141" t="str">
        <f t="shared" si="202"/>
        <v>&gt; ESCUDOS</v>
      </c>
      <c r="AY732" s="2549"/>
      <c r="AZ732" s="774" t="str">
        <f t="shared" si="203"/>
        <v/>
      </c>
      <c r="BA732" s="76" t="str">
        <f t="shared" si="204"/>
        <v/>
      </c>
      <c r="BB732" s="76" t="str">
        <f t="shared" si="205"/>
        <v>Escudo corporal</v>
      </c>
      <c r="BC732" s="1142">
        <f>IF(OR($L730=BC$652,$L730="",$D730=$BE$651),MAX(BC$654:BC731)+1,0)</f>
        <v>2</v>
      </c>
      <c r="BD732" s="1143">
        <f>IF(OR($L730=BD$652,$L730="",$D730=$BE$651),MAX(BD$654:BD731)+1,0)</f>
        <v>2</v>
      </c>
      <c r="BE732" s="1144">
        <f>IF(OR($L730=BE$652,$L730="",$D730=$BE$651),MAX(BE$654:BE731)+1,0)</f>
        <v>77</v>
      </c>
      <c r="BF732" s="2549"/>
      <c r="BG732" s="774" t="str">
        <f t="shared" si="206"/>
        <v/>
      </c>
      <c r="BH732" s="76" t="str">
        <f t="shared" si="207"/>
        <v/>
      </c>
      <c r="BI732" s="76" t="str">
        <f t="shared" si="208"/>
        <v>Escudo corporal</v>
      </c>
      <c r="BJ732" s="1142">
        <f>IF(OR($L730=BJ$652,$L730="",$D730=$BL$651),MAX(BJ$654:BJ731)+1,0)</f>
        <v>2</v>
      </c>
      <c r="BK732" s="1143">
        <f>IF(OR($L730=BK$652,$L730="",$D730=$BL$651),MAX(BK$654:BK731)+1,0)</f>
        <v>2</v>
      </c>
      <c r="BL732" s="1144">
        <f>IF(OR($L730=BL$652,$L730="",$D730=$BL$651),MAX(BL$654:BL731)+1,0)</f>
        <v>77</v>
      </c>
      <c r="BM732" s="2549"/>
      <c r="BN732" s="774" t="str">
        <f t="shared" si="209"/>
        <v/>
      </c>
      <c r="BO732" s="76" t="str">
        <f t="shared" si="210"/>
        <v/>
      </c>
      <c r="BP732" s="76" t="str">
        <f t="shared" si="211"/>
        <v>Escudo corporal</v>
      </c>
      <c r="BQ732" s="1142">
        <f>IF(OR($L730=BQ$652,$L730="",$D730=$BS$651),MAX(BQ$654:BQ731)+1,0)</f>
        <v>2</v>
      </c>
      <c r="BR732" s="1143">
        <f>IF(OR($L730=BR$652,$L730="",$D730=$BS$651),MAX(BR$654:BR731)+1,0)</f>
        <v>2</v>
      </c>
      <c r="BS732" s="1144">
        <f>IF(OR($L730=BS$652,$L730="",$D730=$BS$651),MAX(BS$654:BS731)+1,0)</f>
        <v>77</v>
      </c>
      <c r="BT732" s="2549"/>
      <c r="BU732" s="774" t="str">
        <f t="shared" si="212"/>
        <v/>
      </c>
      <c r="BV732" s="76" t="str">
        <f t="shared" si="213"/>
        <v/>
      </c>
      <c r="BW732" s="76" t="str">
        <f t="shared" si="214"/>
        <v>Escudo corporal</v>
      </c>
      <c r="BX732" s="1142">
        <f>IF(OR($L730=BX$652,$L730="",$D730=$BZ$651),MAX(BX$654:BX731)+1,0)</f>
        <v>2</v>
      </c>
      <c r="BY732" s="1143">
        <f>IF(OR($L730=BY$652,$L730="",$D730=$BZ$651),MAX(BY$654:BY731)+1,0)</f>
        <v>2</v>
      </c>
      <c r="BZ732" s="1144">
        <f>IF(OR($L730=BZ$652,$L730="",$D730=$BZ$651),MAX(BZ$654:BZ731)+1,0)</f>
        <v>77</v>
      </c>
      <c r="CA732" s="2549"/>
      <c r="CB732" s="774" t="str">
        <f t="shared" si="215"/>
        <v/>
      </c>
      <c r="CC732" s="76" t="str">
        <f t="shared" si="216"/>
        <v/>
      </c>
      <c r="CD732" s="76" t="str">
        <f t="shared" si="217"/>
        <v>Escudo corporal</v>
      </c>
      <c r="CE732" s="1142">
        <f>IF(OR($L730=CE$652,$L730="",$D730=$CG$651),MAX(CE$654:CE731)+1,0)</f>
        <v>2</v>
      </c>
      <c r="CF732" s="1143">
        <f>IF(OR($L730=CF$652,$L730="",$D730=$CG$651),MAX(CF$654:CF731)+1,0)</f>
        <v>2</v>
      </c>
      <c r="CG732" s="1144">
        <f>IF(OR($L730=CG$652,$L730="",$D730=$CG$651),MAX(CG$654:CG731)+1,0)</f>
        <v>77</v>
      </c>
      <c r="CI732" s="774" t="str">
        <f t="shared" si="218"/>
        <v/>
      </c>
      <c r="CJ732" s="76" t="str">
        <f t="shared" si="219"/>
        <v/>
      </c>
      <c r="CK732" s="76" t="str">
        <f t="shared" si="220"/>
        <v>Escudo corporal</v>
      </c>
      <c r="CL732" s="1142">
        <f>IF(OR($L730=CL$652,$L730="",$D730=$CN$651),MAX(CL$654:CL731)+1,0)</f>
        <v>2</v>
      </c>
      <c r="CM732" s="1143">
        <f>IF(OR($L730=CM$652,$L730="",$D730=$CN$651),MAX(CM$654:CM731)+1,0)</f>
        <v>2</v>
      </c>
      <c r="CN732" s="1144">
        <f>IF(OR($L730=CN$652,$L730="",$D730=$CN$651),MAX(CN$654:CN731)+1,0)</f>
        <v>77</v>
      </c>
    </row>
    <row r="733" spans="1:92" ht="12.75" customHeight="1">
      <c r="A733" s="219">
        <v>724</v>
      </c>
      <c r="B733" s="7145"/>
      <c r="C733" s="1034"/>
      <c r="D733" s="2237" t="s">
        <v>2018</v>
      </c>
      <c r="E733" s="2239">
        <v>15</v>
      </c>
      <c r="F733" s="2236">
        <v>-15</v>
      </c>
      <c r="G733" s="2236">
        <v>5</v>
      </c>
      <c r="H733" s="2236">
        <v>5</v>
      </c>
      <c r="I733" s="2236" t="s">
        <v>1357</v>
      </c>
      <c r="J733" s="2236" t="s">
        <v>1315</v>
      </c>
      <c r="K733" s="2433" t="s">
        <v>6846</v>
      </c>
      <c r="L733" s="2236"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2240">
        <v>14</v>
      </c>
      <c r="N733" s="2240">
        <v>0</v>
      </c>
      <c r="O733" s="2240">
        <v>20</v>
      </c>
      <c r="P733" s="2240">
        <v>10</v>
      </c>
      <c r="Q733" s="2240">
        <f>IF(COUNTIF(Compra_TablasEstilo,"Tabla de Esquiva con Escudo")&gt;0,P733,5)</f>
        <v>5</v>
      </c>
      <c r="R733" s="2236" t="s">
        <v>1315</v>
      </c>
      <c r="S733" s="2236" t="s">
        <v>1315</v>
      </c>
      <c r="T733" s="2236" t="s">
        <v>1315</v>
      </c>
      <c r="U733" s="2236"/>
      <c r="V733" s="2232" t="str">
        <f>"Escudo. -"&amp;P733&amp;" HP/-"&amp;Q733&amp;" HE si se usa para atacar."</f>
        <v>Escudo. -10 HP/-5 HE si se usa para atacar.</v>
      </c>
      <c r="W733" s="2232"/>
      <c r="X733" s="2233"/>
      <c r="Y733" s="2229">
        <f>Bono_Fue</f>
        <v>0</v>
      </c>
      <c r="Z733" s="1150" t="str">
        <f t="shared" si="193"/>
        <v/>
      </c>
      <c r="AA733" s="1751" t="s">
        <v>2014</v>
      </c>
      <c r="AC733" s="2573" t="s">
        <v>2019</v>
      </c>
      <c r="AD733" s="758">
        <f>IFERROR(IF(IF(AC733&lt;&gt;"",VLOOKUP(AC733,Tabla_ArmasyEscudos,9,0),"")="Conocida",MAX(AD$662:AD732)+1,0),0)</f>
        <v>0</v>
      </c>
      <c r="AE733" s="758">
        <f ca="1">IF(AC733="",0,IF(AD733=0,MAX(AE$654:AE732,AG$652)+1,AD733+IFERROR(VLOOKUP(VLOOKUP(AC733,$D$653:$AA$871,24,0),AC$654:AE$661,3,0)-VLOOKUP(VLOOKUP(AC733,$D$653:$AA$871,24,0),AC$654:AE$661,2,0)+1,0)))</f>
        <v>73</v>
      </c>
      <c r="AF733" s="758" t="str">
        <f t="shared" ca="1" si="194"/>
        <v>Jutte</v>
      </c>
      <c r="AG733" s="758" t="str">
        <f t="shared" ca="1" si="195"/>
        <v/>
      </c>
      <c r="AH733" s="2568"/>
      <c r="AI733" s="758">
        <f>IFERROR(IF(IF(AH733&lt;&gt;"",VLOOKUP(AH733,Tabla_ArmasyEscudos,9,0),"")="Conocida",MAX(AI$660:AI732)+1,0),0)</f>
        <v>0</v>
      </c>
      <c r="AJ733" s="758">
        <f>IF(AH733="",0,IF(AI733=0,MAX(AJ$654:AJ732,AL$652)+1,AI733+IFERROR(VLOOKUP(VLOOKUP(AH733,$D$653:$AA$871,24,0),AH$654:AJ$659,3,0)-VLOOKUP(VLOOKUP(AH733,$D$653:$AA$871,24,0),AH$654:AJ$659,2,0)+1,0)))</f>
        <v>0</v>
      </c>
      <c r="AK733" s="758" t="str">
        <f t="shared" ca="1" si="196"/>
        <v/>
      </c>
      <c r="AL733" s="758" t="str">
        <f t="shared" ca="1" si="197"/>
        <v/>
      </c>
      <c r="AM733" s="2568"/>
      <c r="AN733" s="758">
        <f>IFERROR(IF(IF(AM733&lt;&gt;"",VLOOKUP(AM733,Tabla_ArmasyEscudos,9,0),"")="Conocida",MAX(AN$660:AN732)+1,0),0)</f>
        <v>0</v>
      </c>
      <c r="AO733" s="758">
        <f>IF(AM733="",0,IF(AN733=0,MAX(AO$654:AO732,AQ$652)+1,AN733+IFERROR(VLOOKUP(VLOOKUP(AM733,$D$653:$AA$871,24,0),AM$654:AO$659,3,0)-VLOOKUP(VLOOKUP(AM733,$D$653:$AA$871,24,0),AM$654:AO$659,2,0)+1,0)))</f>
        <v>0</v>
      </c>
      <c r="AP733" s="758" t="str">
        <f t="shared" ca="1" si="198"/>
        <v/>
      </c>
      <c r="AQ733" s="758" t="str">
        <f t="shared" ca="1" si="199"/>
        <v/>
      </c>
      <c r="AR733" s="2568"/>
      <c r="AS733" s="758">
        <f>IFERROR(IF(IF(AR733&lt;&gt;"",VLOOKUP(AR733,Tabla_ArmasyEscudos,9,0),"")="Conocida",MAX(AS$660:AS732)+1,0),0)</f>
        <v>0</v>
      </c>
      <c r="AT733" s="758">
        <f>IF(AR733="",0,IF(AS733=0,MAX(AT$654:AT732,AV$652)+1,AS733+IFERROR(VLOOKUP(VLOOKUP(AR733,$D$653:$AA$871,24,0),AR$654:AT$659,3,0)-VLOOKUP(VLOOKUP(AR733,$D$653:$AA$871,24,0),AR$654:AT$659,2,0)+1,0)))</f>
        <v>0</v>
      </c>
      <c r="AU733" s="758" t="str">
        <f t="shared" ca="1" si="200"/>
        <v/>
      </c>
      <c r="AV733" s="758" t="str">
        <f t="shared" ca="1" si="201"/>
        <v/>
      </c>
      <c r="AX733" s="1141" t="str">
        <f t="shared" si="202"/>
        <v>Escudo corporal</v>
      </c>
      <c r="AY733" s="2549"/>
      <c r="AZ733" s="774" t="str">
        <f t="shared" si="203"/>
        <v/>
      </c>
      <c r="BA733" s="76" t="str">
        <f t="shared" si="204"/>
        <v/>
      </c>
      <c r="BB733" s="76" t="str">
        <f t="shared" si="205"/>
        <v>Escudo medio</v>
      </c>
      <c r="BC733" s="1142">
        <f>IF(OR($L731=BC$652,$L731="",$D731=$BE$651),MAX(BC$654:BC732)+1,0)</f>
        <v>0</v>
      </c>
      <c r="BD733" s="1143">
        <f>IF(OR($L731=BD$652,$L731="",$D731=$BE$651),MAX(BD$654:BD732)+1,0)</f>
        <v>0</v>
      </c>
      <c r="BE733" s="1144">
        <f>IF(OR($L731=BE$652,$L731="",$D731=$BE$651),MAX(BE$654:BE732)+1,0)</f>
        <v>78</v>
      </c>
      <c r="BF733" s="2549"/>
      <c r="BG733" s="774" t="str">
        <f t="shared" si="206"/>
        <v/>
      </c>
      <c r="BH733" s="76" t="str">
        <f t="shared" si="207"/>
        <v/>
      </c>
      <c r="BI733" s="76" t="str">
        <f t="shared" si="208"/>
        <v>Escudo medio</v>
      </c>
      <c r="BJ733" s="1142">
        <f>IF(OR($L731=BJ$652,$L731="",$D731=$BL$651),MAX(BJ$654:BJ732)+1,0)</f>
        <v>0</v>
      </c>
      <c r="BK733" s="1143">
        <f>IF(OR($L731=BK$652,$L731="",$D731=$BL$651),MAX(BK$654:BK732)+1,0)</f>
        <v>0</v>
      </c>
      <c r="BL733" s="1144">
        <f>IF(OR($L731=BL$652,$L731="",$D731=$BL$651),MAX(BL$654:BL732)+1,0)</f>
        <v>78</v>
      </c>
      <c r="BM733" s="2549"/>
      <c r="BN733" s="774" t="str">
        <f t="shared" si="209"/>
        <v/>
      </c>
      <c r="BO733" s="76" t="str">
        <f t="shared" si="210"/>
        <v/>
      </c>
      <c r="BP733" s="76" t="str">
        <f t="shared" si="211"/>
        <v>Escudo medio</v>
      </c>
      <c r="BQ733" s="1142">
        <f>IF(OR($L731=BQ$652,$L731="",$D731=$BS$651),MAX(BQ$654:BQ732)+1,0)</f>
        <v>0</v>
      </c>
      <c r="BR733" s="1143">
        <f>IF(OR($L731=BR$652,$L731="",$D731=$BS$651),MAX(BR$654:BR732)+1,0)</f>
        <v>0</v>
      </c>
      <c r="BS733" s="1144">
        <f>IF(OR($L731=BS$652,$L731="",$D731=$BS$651),MAX(BS$654:BS732)+1,0)</f>
        <v>78</v>
      </c>
      <c r="BT733" s="2549"/>
      <c r="BU733" s="774" t="str">
        <f t="shared" si="212"/>
        <v/>
      </c>
      <c r="BV733" s="76" t="str">
        <f t="shared" si="213"/>
        <v/>
      </c>
      <c r="BW733" s="76" t="str">
        <f t="shared" si="214"/>
        <v>Escudo medio</v>
      </c>
      <c r="BX733" s="1142">
        <f>IF(OR($L731=BX$652,$L731="",$D731=$BZ$651),MAX(BX$654:BX732)+1,0)</f>
        <v>0</v>
      </c>
      <c r="BY733" s="1143">
        <f>IF(OR($L731=BY$652,$L731="",$D731=$BZ$651),MAX(BY$654:BY732)+1,0)</f>
        <v>0</v>
      </c>
      <c r="BZ733" s="1144">
        <f>IF(OR($L731=BZ$652,$L731="",$D731=$BZ$651),MAX(BZ$654:BZ732)+1,0)</f>
        <v>78</v>
      </c>
      <c r="CA733" s="2549"/>
      <c r="CB733" s="774" t="str">
        <f t="shared" si="215"/>
        <v/>
      </c>
      <c r="CC733" s="76" t="str">
        <f t="shared" si="216"/>
        <v/>
      </c>
      <c r="CD733" s="76" t="str">
        <f t="shared" si="217"/>
        <v>Escudo medio</v>
      </c>
      <c r="CE733" s="1142">
        <f>IF(OR($L731=CE$652,$L731="",$D731=$CG$651),MAX(CE$654:CE732)+1,0)</f>
        <v>0</v>
      </c>
      <c r="CF733" s="1143">
        <f>IF(OR($L731=CF$652,$L731="",$D731=$CG$651),MAX(CF$654:CF732)+1,0)</f>
        <v>0</v>
      </c>
      <c r="CG733" s="1144">
        <f>IF(OR($L731=CG$652,$L731="",$D731=$CG$651),MAX(CG$654:CG732)+1,0)</f>
        <v>78</v>
      </c>
      <c r="CI733" s="774" t="str">
        <f t="shared" si="218"/>
        <v/>
      </c>
      <c r="CJ733" s="76" t="str">
        <f t="shared" si="219"/>
        <v/>
      </c>
      <c r="CK733" s="76" t="str">
        <f t="shared" si="220"/>
        <v>Escudo medio</v>
      </c>
      <c r="CL733" s="1142">
        <f>IF(OR($L731=CL$652,$L731="",$D731=$CN$651),MAX(CL$654:CL732)+1,0)</f>
        <v>0</v>
      </c>
      <c r="CM733" s="1143">
        <f>IF(OR($L731=CM$652,$L731="",$D731=$CN$651),MAX(CM$654:CM732)+1,0)</f>
        <v>0</v>
      </c>
      <c r="CN733" s="1144">
        <f>IF(OR($L731=CN$652,$L731="",$D731=$CN$651),MAX(CN$654:CN732)+1,0)</f>
        <v>78</v>
      </c>
    </row>
    <row r="734" spans="1:92" ht="12.75" customHeight="1">
      <c r="A734" s="219">
        <v>725</v>
      </c>
      <c r="B734" s="7145"/>
      <c r="C734" s="1034"/>
      <c r="D734" s="2237" t="s">
        <v>2019</v>
      </c>
      <c r="E734" s="2234"/>
      <c r="F734" s="2234"/>
      <c r="G734" s="2234"/>
      <c r="H734" s="2234"/>
      <c r="I734" s="2234"/>
      <c r="J734" s="2234"/>
      <c r="K734" s="2230" t="s">
        <v>6828</v>
      </c>
      <c r="L734" s="2236"/>
      <c r="M734" s="2234"/>
      <c r="N734" s="2234"/>
      <c r="O734" s="2234"/>
      <c r="P734" s="2234"/>
      <c r="Q734" s="2234"/>
      <c r="R734" s="2234"/>
      <c r="S734" s="2234"/>
      <c r="T734" s="2234"/>
      <c r="U734" s="2234"/>
      <c r="V734" s="2230"/>
      <c r="W734" s="2230"/>
      <c r="X734" s="2231"/>
      <c r="Y734" s="1037"/>
      <c r="Z734" s="1150" t="str">
        <f t="shared" si="193"/>
        <v/>
      </c>
      <c r="AA734" s="1751"/>
      <c r="AC734" s="929" t="s">
        <v>2020</v>
      </c>
      <c r="AD734" s="758">
        <f>IFERROR(IF(IF(AC734&lt;&gt;"",VLOOKUP(AC734,Tabla_ArmasyEscudos,9,0),"")="Conocida",MAX(AD$662:AD733)+1,0),0)</f>
        <v>0</v>
      </c>
      <c r="AE734" s="758">
        <f ca="1">IF(AC734="",0,IF(AD734=0,MAX(AE$654:AE733,AG$652)+1,AD734+IFERROR(VLOOKUP(VLOOKUP(AC734,$D$653:$AA$871,24,0),AC$654:AE$661,3,0)-VLOOKUP(VLOOKUP(AC734,$D$653:$AA$871,24,0),AC$654:AE$661,2,0)+1,0)))</f>
        <v>74</v>
      </c>
      <c r="AF734" s="758" t="str">
        <f t="shared" ca="1" si="194"/>
        <v>Kama</v>
      </c>
      <c r="AG734" s="758" t="str">
        <f t="shared" ca="1" si="195"/>
        <v/>
      </c>
      <c r="AH734" s="2568"/>
      <c r="AI734" s="758">
        <f>IFERROR(IF(IF(AH734&lt;&gt;"",VLOOKUP(AH734,Tabla_ArmasyEscudos,9,0),"")="Conocida",MAX(AI$660:AI733)+1,0),0)</f>
        <v>0</v>
      </c>
      <c r="AJ734" s="758">
        <f>IF(AH734="",0,IF(AI734=0,MAX(AJ$654:AJ733,AL$652)+1,AI734+IFERROR(VLOOKUP(VLOOKUP(AH734,$D$653:$AA$871,24,0),AH$654:AJ$659,3,0)-VLOOKUP(VLOOKUP(AH734,$D$653:$AA$871,24,0),AH$654:AJ$659,2,0)+1,0)))</f>
        <v>0</v>
      </c>
      <c r="AK734" s="758" t="str">
        <f t="shared" ca="1" si="196"/>
        <v/>
      </c>
      <c r="AL734" s="758" t="str">
        <f t="shared" ca="1" si="197"/>
        <v/>
      </c>
      <c r="AM734" s="2568"/>
      <c r="AN734" s="758">
        <f>IFERROR(IF(IF(AM734&lt;&gt;"",VLOOKUP(AM734,Tabla_ArmasyEscudos,9,0),"")="Conocida",MAX(AN$660:AN733)+1,0),0)</f>
        <v>0</v>
      </c>
      <c r="AO734" s="758">
        <f>IF(AM734="",0,IF(AN734=0,MAX(AO$654:AO733,AQ$652)+1,AN734+IFERROR(VLOOKUP(VLOOKUP(AM734,$D$653:$AA$871,24,0),AM$654:AO$659,3,0)-VLOOKUP(VLOOKUP(AM734,$D$653:$AA$871,24,0),AM$654:AO$659,2,0)+1,0)))</f>
        <v>0</v>
      </c>
      <c r="AP734" s="758" t="str">
        <f t="shared" ca="1" si="198"/>
        <v/>
      </c>
      <c r="AQ734" s="758" t="str">
        <f t="shared" ca="1" si="199"/>
        <v/>
      </c>
      <c r="AR734" s="2568"/>
      <c r="AS734" s="758">
        <f>IFERROR(IF(IF(AR734&lt;&gt;"",VLOOKUP(AR734,Tabla_ArmasyEscudos,9,0),"")="Conocida",MAX(AS$660:AS733)+1,0),0)</f>
        <v>0</v>
      </c>
      <c r="AT734" s="758">
        <f>IF(AR734="",0,IF(AS734=0,MAX(AT$654:AT733,AV$652)+1,AS734+IFERROR(VLOOKUP(VLOOKUP(AR734,$D$653:$AA$871,24,0),AR$654:AT$659,3,0)-VLOOKUP(VLOOKUP(AR734,$D$653:$AA$871,24,0),AR$654:AT$659,2,0)+1,0)))</f>
        <v>0</v>
      </c>
      <c r="AU734" s="758" t="str">
        <f t="shared" ca="1" si="200"/>
        <v/>
      </c>
      <c r="AV734" s="758" t="str">
        <f t="shared" ca="1" si="201"/>
        <v/>
      </c>
      <c r="AX734" s="1141" t="str">
        <f t="shared" si="202"/>
        <v>Escudo medio</v>
      </c>
      <c r="AY734" s="2549"/>
      <c r="AZ734" s="774" t="str">
        <f t="shared" si="203"/>
        <v/>
      </c>
      <c r="BA734" s="76" t="str">
        <f t="shared" si="204"/>
        <v/>
      </c>
      <c r="BB734" s="76" t="str">
        <f t="shared" si="205"/>
        <v>Rodela</v>
      </c>
      <c r="BC734" s="1142">
        <f>IF(OR($L732=BC$652,$L732="",$D732=$BE$651),MAX(BC$654:BC733)+1,0)</f>
        <v>0</v>
      </c>
      <c r="BD734" s="1143">
        <f>IF(OR($L732=BD$652,$L732="",$D732=$BE$651),MAX(BD$654:BD733)+1,0)</f>
        <v>0</v>
      </c>
      <c r="BE734" s="1144">
        <f>IF(OR($L732=BE$652,$L732="",$D732=$BE$651),MAX(BE$654:BE733)+1,0)</f>
        <v>79</v>
      </c>
      <c r="BF734" s="2549"/>
      <c r="BG734" s="774" t="str">
        <f t="shared" si="206"/>
        <v/>
      </c>
      <c r="BH734" s="76" t="str">
        <f t="shared" si="207"/>
        <v/>
      </c>
      <c r="BI734" s="76" t="str">
        <f t="shared" si="208"/>
        <v>Rodela</v>
      </c>
      <c r="BJ734" s="1142">
        <f>IF(OR($L732=BJ$652,$L732="",$D732=$BL$651),MAX(BJ$654:BJ733)+1,0)</f>
        <v>0</v>
      </c>
      <c r="BK734" s="1143">
        <f>IF(OR($L732=BK$652,$L732="",$D732=$BL$651),MAX(BK$654:BK733)+1,0)</f>
        <v>0</v>
      </c>
      <c r="BL734" s="1144">
        <f>IF(OR($L732=BL$652,$L732="",$D732=$BL$651),MAX(BL$654:BL733)+1,0)</f>
        <v>79</v>
      </c>
      <c r="BM734" s="2549"/>
      <c r="BN734" s="774" t="str">
        <f t="shared" si="209"/>
        <v/>
      </c>
      <c r="BO734" s="76" t="str">
        <f t="shared" si="210"/>
        <v/>
      </c>
      <c r="BP734" s="76" t="str">
        <f t="shared" si="211"/>
        <v>Rodela</v>
      </c>
      <c r="BQ734" s="1142">
        <f>IF(OR($L732=BQ$652,$L732="",$D732=$BS$651),MAX(BQ$654:BQ733)+1,0)</f>
        <v>0</v>
      </c>
      <c r="BR734" s="1143">
        <f>IF(OR($L732=BR$652,$L732="",$D732=$BS$651),MAX(BR$654:BR733)+1,0)</f>
        <v>0</v>
      </c>
      <c r="BS734" s="1144">
        <f>IF(OR($L732=BS$652,$L732="",$D732=$BS$651),MAX(BS$654:BS733)+1,0)</f>
        <v>79</v>
      </c>
      <c r="BT734" s="2549"/>
      <c r="BU734" s="774" t="str">
        <f t="shared" si="212"/>
        <v/>
      </c>
      <c r="BV734" s="76" t="str">
        <f t="shared" si="213"/>
        <v/>
      </c>
      <c r="BW734" s="76" t="str">
        <f t="shared" si="214"/>
        <v>Rodela</v>
      </c>
      <c r="BX734" s="1142">
        <f>IF(OR($L732=BX$652,$L732="",$D732=$BZ$651),MAX(BX$654:BX733)+1,0)</f>
        <v>0</v>
      </c>
      <c r="BY734" s="1143">
        <f>IF(OR($L732=BY$652,$L732="",$D732=$BZ$651),MAX(BY$654:BY733)+1,0)</f>
        <v>0</v>
      </c>
      <c r="BZ734" s="1144">
        <f>IF(OR($L732=BZ$652,$L732="",$D732=$BZ$651),MAX(BZ$654:BZ733)+1,0)</f>
        <v>79</v>
      </c>
      <c r="CA734" s="2549"/>
      <c r="CB734" s="774" t="str">
        <f t="shared" si="215"/>
        <v/>
      </c>
      <c r="CC734" s="76" t="str">
        <f t="shared" si="216"/>
        <v/>
      </c>
      <c r="CD734" s="76" t="str">
        <f t="shared" si="217"/>
        <v>Rodela</v>
      </c>
      <c r="CE734" s="1142">
        <f>IF(OR($L732=CE$652,$L732="",$D732=$CG$651),MAX(CE$654:CE733)+1,0)</f>
        <v>0</v>
      </c>
      <c r="CF734" s="1143">
        <f>IF(OR($L732=CF$652,$L732="",$D732=$CG$651),MAX(CF$654:CF733)+1,0)</f>
        <v>0</v>
      </c>
      <c r="CG734" s="1144">
        <f>IF(OR($L732=CG$652,$L732="",$D732=$CG$651),MAX(CG$654:CG733)+1,0)</f>
        <v>79</v>
      </c>
      <c r="CI734" s="774" t="str">
        <f t="shared" si="218"/>
        <v/>
      </c>
      <c r="CJ734" s="76" t="str">
        <f t="shared" si="219"/>
        <v/>
      </c>
      <c r="CK734" s="76" t="str">
        <f t="shared" si="220"/>
        <v>Rodela</v>
      </c>
      <c r="CL734" s="1142">
        <f>IF(OR($L732=CL$652,$L732="",$D732=$CN$651),MAX(CL$654:CL733)+1,0)</f>
        <v>0</v>
      </c>
      <c r="CM734" s="1143">
        <f>IF(OR($L732=CM$652,$L732="",$D732=$CN$651),MAX(CM$654:CM733)+1,0)</f>
        <v>0</v>
      </c>
      <c r="CN734" s="1144">
        <f>IF(OR($L732=CN$652,$L732="",$D732=$CN$651),MAX(CN$654:CN733)+1,0)</f>
        <v>79</v>
      </c>
    </row>
    <row r="735" spans="1:92" ht="12.75" customHeight="1">
      <c r="A735" s="219">
        <v>726</v>
      </c>
      <c r="B735" s="7145"/>
      <c r="C735" s="1034"/>
      <c r="D735" s="3876" t="s">
        <v>2020</v>
      </c>
      <c r="E735" s="3877">
        <v>30</v>
      </c>
      <c r="F735" s="3878">
        <v>20</v>
      </c>
      <c r="G735" s="3878">
        <v>4</v>
      </c>
      <c r="H735" s="3878">
        <v>4</v>
      </c>
      <c r="I735" s="3878" t="s">
        <v>1410</v>
      </c>
      <c r="J735" s="3878" t="s">
        <v>1357</v>
      </c>
      <c r="K735" s="3879" t="s">
        <v>6835</v>
      </c>
      <c r="L735" s="3878" t="str">
        <f t="shared" ref="L735:L770" si="224">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3880">
        <v>8</v>
      </c>
      <c r="N735" s="3880">
        <v>0</v>
      </c>
      <c r="O735" s="3880">
        <v>25</v>
      </c>
      <c r="P735" s="3878"/>
      <c r="Q735" s="3878"/>
      <c r="R735" s="3880">
        <v>40</v>
      </c>
      <c r="S735" s="3878" t="s">
        <v>1315</v>
      </c>
      <c r="T735" s="3878">
        <v>20</v>
      </c>
      <c r="U735" s="3878"/>
      <c r="V735" s="3881" t="s">
        <v>12446</v>
      </c>
      <c r="W735" s="2232"/>
      <c r="X735" s="2233" t="str">
        <f t="shared" ref="X735:X790" si="225">IF(K735="/","",IF(OR(ISNUMBER(FIND("Mandoble",K735)),ISNUMBER(FIND("Asta",K735))),"Grande",IF(ISNUMBER(FIND("Corta",K735)),"Pequeña","Mediana")))</f>
        <v>Pequeña</v>
      </c>
      <c r="Y735" s="2229">
        <f t="shared" ref="Y735:Y770" si="226">Bono_Fue</f>
        <v>0</v>
      </c>
      <c r="Z735" s="1150" t="str">
        <f t="shared" si="193"/>
        <v/>
      </c>
      <c r="AA735" s="1751" t="s">
        <v>2019</v>
      </c>
      <c r="AC735" s="2568" t="s">
        <v>6580</v>
      </c>
      <c r="AD735" s="758">
        <f>IFERROR(IF(IF(AC735&lt;&gt;"",VLOOKUP(AC735,Tabla_ArmasyEscudos,9,0),"")="Conocida",MAX(AD$662:AD734)+1,0),0)</f>
        <v>0</v>
      </c>
      <c r="AE735" s="758">
        <f ca="1">IF(AC735="",0,IF(AD735=0,MAX(AE$654:AE734,AG$652)+1,AD735+IFERROR(VLOOKUP(VLOOKUP(AC735,$D$653:$AA$871,24,0),AC$654:AE$661,3,0)-VLOOKUP(VLOOKUP(AC735,$D$653:$AA$871,24,0),AC$654:AE$661,2,0)+1,0)))</f>
        <v>75</v>
      </c>
      <c r="AF735" s="758" t="str">
        <f t="shared" ca="1" si="194"/>
        <v>Katana</v>
      </c>
      <c r="AG735" s="758" t="str">
        <f t="shared" ca="1" si="195"/>
        <v/>
      </c>
      <c r="AH735" s="2568"/>
      <c r="AI735" s="758">
        <f>IFERROR(IF(IF(AH735&lt;&gt;"",VLOOKUP(AH735,Tabla_ArmasyEscudos,9,0),"")="Conocida",MAX(AI$660:AI734)+1,0),0)</f>
        <v>0</v>
      </c>
      <c r="AJ735" s="758">
        <f>IF(AH735="",0,IF(AI735=0,MAX(AJ$654:AJ734,AL$652)+1,AI735+IFERROR(VLOOKUP(VLOOKUP(AH735,$D$653:$AA$871,24,0),AH$654:AJ$659,3,0)-VLOOKUP(VLOOKUP(AH735,$D$653:$AA$871,24,0),AH$654:AJ$659,2,0)+1,0)))</f>
        <v>0</v>
      </c>
      <c r="AK735" s="758" t="str">
        <f t="shared" ca="1" si="196"/>
        <v/>
      </c>
      <c r="AL735" s="758" t="str">
        <f t="shared" ca="1" si="197"/>
        <v/>
      </c>
      <c r="AM735" s="2568"/>
      <c r="AN735" s="758">
        <f>IFERROR(IF(IF(AM735&lt;&gt;"",VLOOKUP(AM735,Tabla_ArmasyEscudos,9,0),"")="Conocida",MAX(AN$660:AN734)+1,0),0)</f>
        <v>0</v>
      </c>
      <c r="AO735" s="758">
        <f>IF(AM735="",0,IF(AN735=0,MAX(AO$654:AO734,AQ$652)+1,AN735+IFERROR(VLOOKUP(VLOOKUP(AM735,$D$653:$AA$871,24,0),AM$654:AO$659,3,0)-VLOOKUP(VLOOKUP(AM735,$D$653:$AA$871,24,0),AM$654:AO$659,2,0)+1,0)))</f>
        <v>0</v>
      </c>
      <c r="AP735" s="758" t="str">
        <f t="shared" ca="1" si="198"/>
        <v/>
      </c>
      <c r="AQ735" s="758" t="str">
        <f t="shared" ca="1" si="199"/>
        <v/>
      </c>
      <c r="AR735" s="2568"/>
      <c r="AS735" s="758">
        <f>IFERROR(IF(IF(AR735&lt;&gt;"",VLOOKUP(AR735,Tabla_ArmasyEscudos,9,0),"")="Conocida",MAX(AS$660:AS734)+1,0),0)</f>
        <v>0</v>
      </c>
      <c r="AT735" s="758">
        <f>IF(AR735="",0,IF(AS735=0,MAX(AT$654:AT734,AV$652)+1,AS735+IFERROR(VLOOKUP(VLOOKUP(AR735,$D$653:$AA$871,24,0),AR$654:AT$659,3,0)-VLOOKUP(VLOOKUP(AR735,$D$653:$AA$871,24,0),AR$654:AT$659,2,0)+1,0)))</f>
        <v>0</v>
      </c>
      <c r="AU735" s="758" t="str">
        <f t="shared" ca="1" si="200"/>
        <v/>
      </c>
      <c r="AV735" s="758" t="str">
        <f t="shared" ca="1" si="201"/>
        <v/>
      </c>
      <c r="AX735" s="1141" t="str">
        <f t="shared" si="202"/>
        <v>Rodela</v>
      </c>
      <c r="AY735" s="2549"/>
      <c r="AZ735" s="774" t="str">
        <f t="shared" si="203"/>
        <v/>
      </c>
      <c r="BA735" s="76" t="str">
        <f t="shared" si="204"/>
        <v/>
      </c>
      <c r="BB735" s="76" t="str">
        <f t="shared" si="205"/>
        <v>&gt; ARMAS EXÓTICAS</v>
      </c>
      <c r="BC735" s="1142">
        <f>IF(OR($L733=BC$652,$L733="",$D733=$BE$651),MAX(BC$654:BC734)+1,0)</f>
        <v>0</v>
      </c>
      <c r="BD735" s="1143">
        <f>IF(OR($L733=BD$652,$L733="",$D733=$BE$651),MAX(BD$654:BD734)+1,0)</f>
        <v>0</v>
      </c>
      <c r="BE735" s="1144">
        <f>IF(OR($L733=BE$652,$L733="",$D733=$BE$651),MAX(BE$654:BE734)+1,0)</f>
        <v>80</v>
      </c>
      <c r="BF735" s="2549"/>
      <c r="BG735" s="774" t="str">
        <f t="shared" si="206"/>
        <v/>
      </c>
      <c r="BH735" s="76" t="str">
        <f t="shared" si="207"/>
        <v/>
      </c>
      <c r="BI735" s="76" t="str">
        <f t="shared" si="208"/>
        <v>&gt; ARMAS EXÓTICAS</v>
      </c>
      <c r="BJ735" s="1142">
        <f>IF(OR($L733=BJ$652,$L733="",$D733=$BL$651),MAX(BJ$654:BJ734)+1,0)</f>
        <v>0</v>
      </c>
      <c r="BK735" s="1143">
        <f>IF(OR($L733=BK$652,$L733="",$D733=$BL$651),MAX(BK$654:BK734)+1,0)</f>
        <v>0</v>
      </c>
      <c r="BL735" s="1144">
        <f>IF(OR($L733=BL$652,$L733="",$D733=$BL$651),MAX(BL$654:BL734)+1,0)</f>
        <v>80</v>
      </c>
      <c r="BM735" s="2549"/>
      <c r="BN735" s="774" t="str">
        <f t="shared" si="209"/>
        <v/>
      </c>
      <c r="BO735" s="76" t="str">
        <f t="shared" si="210"/>
        <v/>
      </c>
      <c r="BP735" s="76" t="str">
        <f t="shared" si="211"/>
        <v>&gt; ARMAS EXÓTICAS</v>
      </c>
      <c r="BQ735" s="1142">
        <f>IF(OR($L733=BQ$652,$L733="",$D733=$BS$651),MAX(BQ$654:BQ734)+1,0)</f>
        <v>0</v>
      </c>
      <c r="BR735" s="1143">
        <f>IF(OR($L733=BR$652,$L733="",$D733=$BS$651),MAX(BR$654:BR734)+1,0)</f>
        <v>0</v>
      </c>
      <c r="BS735" s="1144">
        <f>IF(OR($L733=BS$652,$L733="",$D733=$BS$651),MAX(BS$654:BS734)+1,0)</f>
        <v>80</v>
      </c>
      <c r="BT735" s="2549"/>
      <c r="BU735" s="774" t="str">
        <f t="shared" si="212"/>
        <v/>
      </c>
      <c r="BV735" s="76" t="str">
        <f t="shared" si="213"/>
        <v/>
      </c>
      <c r="BW735" s="76" t="str">
        <f t="shared" si="214"/>
        <v>&gt; ARMAS EXÓTICAS</v>
      </c>
      <c r="BX735" s="1142">
        <f>IF(OR($L733=BX$652,$L733="",$D733=$BZ$651),MAX(BX$654:BX734)+1,0)</f>
        <v>0</v>
      </c>
      <c r="BY735" s="1143">
        <f>IF(OR($L733=BY$652,$L733="",$D733=$BZ$651),MAX(BY$654:BY734)+1,0)</f>
        <v>0</v>
      </c>
      <c r="BZ735" s="1144">
        <f>IF(OR($L733=BZ$652,$L733="",$D733=$BZ$651),MAX(BZ$654:BZ734)+1,0)</f>
        <v>80</v>
      </c>
      <c r="CA735" s="2549"/>
      <c r="CB735" s="774" t="str">
        <f t="shared" si="215"/>
        <v/>
      </c>
      <c r="CC735" s="76" t="str">
        <f t="shared" si="216"/>
        <v/>
      </c>
      <c r="CD735" s="76" t="str">
        <f t="shared" si="217"/>
        <v>&gt; ARMAS EXÓTICAS</v>
      </c>
      <c r="CE735" s="1142">
        <f>IF(OR($L733=CE$652,$L733="",$D733=$CG$651),MAX(CE$654:CE734)+1,0)</f>
        <v>0</v>
      </c>
      <c r="CF735" s="1143">
        <f>IF(OR($L733=CF$652,$L733="",$D733=$CG$651),MAX(CF$654:CF734)+1,0)</f>
        <v>0</v>
      </c>
      <c r="CG735" s="1144">
        <f>IF(OR($L733=CG$652,$L733="",$D733=$CG$651),MAX(CG$654:CG734)+1,0)</f>
        <v>80</v>
      </c>
      <c r="CI735" s="774" t="str">
        <f t="shared" si="218"/>
        <v/>
      </c>
      <c r="CJ735" s="76" t="str">
        <f t="shared" si="219"/>
        <v/>
      </c>
      <c r="CK735" s="76" t="str">
        <f t="shared" si="220"/>
        <v>&gt; ARMAS EXÓTICAS</v>
      </c>
      <c r="CL735" s="1142">
        <f>IF(OR($L733=CL$652,$L733="",$D733=$CN$651),MAX(CL$654:CL734)+1,0)</f>
        <v>0</v>
      </c>
      <c r="CM735" s="1143">
        <f>IF(OR($L733=CM$652,$L733="",$D733=$CN$651),MAX(CM$654:CM734)+1,0)</f>
        <v>0</v>
      </c>
      <c r="CN735" s="1144">
        <f>IF(OR($L733=CN$652,$L733="",$D733=$CN$651),MAX(CN$654:CN734)+1,0)</f>
        <v>80</v>
      </c>
    </row>
    <row r="736" spans="1:92" ht="12.75" customHeight="1">
      <c r="A736" s="219">
        <v>727</v>
      </c>
      <c r="B736" s="7145"/>
      <c r="C736" s="1034"/>
      <c r="D736" s="2237" t="s">
        <v>2021</v>
      </c>
      <c r="E736" s="2239">
        <v>35</v>
      </c>
      <c r="F736" s="2236">
        <v>15</v>
      </c>
      <c r="G736" s="2236">
        <v>4</v>
      </c>
      <c r="H736" s="2236">
        <v>4</v>
      </c>
      <c r="I736" s="2236" t="s">
        <v>1410</v>
      </c>
      <c r="J736" s="2236" t="s">
        <v>1411</v>
      </c>
      <c r="K736" s="2433" t="s">
        <v>6830</v>
      </c>
      <c r="L736" s="2236" t="str">
        <f t="shared" si="224"/>
        <v>Distinta</v>
      </c>
      <c r="M736" s="2240">
        <v>12</v>
      </c>
      <c r="N736" s="2240">
        <v>2</v>
      </c>
      <c r="O736" s="2240">
        <v>25</v>
      </c>
      <c r="P736" s="2236"/>
      <c r="Q736" s="2236"/>
      <c r="R736" s="2236" t="s">
        <v>1315</v>
      </c>
      <c r="S736" s="2236" t="s">
        <v>1315</v>
      </c>
      <c r="T736" s="2236" t="s">
        <v>1315</v>
      </c>
      <c r="U736" s="2236"/>
      <c r="V736" s="2232" t="s">
        <v>2022</v>
      </c>
      <c r="W736" s="2232"/>
      <c r="X736" s="2233" t="str">
        <f t="shared" si="225"/>
        <v>Grande</v>
      </c>
      <c r="Y736" s="2229">
        <f t="shared" si="226"/>
        <v>0</v>
      </c>
      <c r="Z736" s="1150" t="str">
        <f t="shared" si="193"/>
        <v/>
      </c>
      <c r="AA736" s="1751" t="s">
        <v>2019</v>
      </c>
      <c r="AC736" s="2568" t="s">
        <v>9683</v>
      </c>
      <c r="AD736" s="758">
        <f>IFERROR(IF(IF(AC736&lt;&gt;"",VLOOKUP(AC736,Tabla_ArmasyEscudos,9,0),"")="Conocida",MAX(AD$662:AD735)+1,0),0)</f>
        <v>0</v>
      </c>
      <c r="AE736" s="758">
        <f ca="1">IF(AC736="",0,IF(AD736=0,MAX(AE$654:AE735,AG$652)+1,AD736+IFERROR(VLOOKUP(VLOOKUP(AC736,$D$653:$AA$871,24,0),AC$654:AE$661,3,0)-VLOOKUP(VLOOKUP(AC736,$D$653:$AA$871,24,0),AC$654:AE$661,2,0)+1,0)))</f>
        <v>76</v>
      </c>
      <c r="AF736" s="758" t="str">
        <f t="shared" ca="1" si="194"/>
        <v>Katar</v>
      </c>
      <c r="AG736" s="758" t="str">
        <f t="shared" ca="1" si="195"/>
        <v/>
      </c>
      <c r="AH736" s="2568"/>
      <c r="AI736" s="758">
        <f>IFERROR(IF(IF(AH736&lt;&gt;"",VLOOKUP(AH736,Tabla_ArmasyEscudos,9,0),"")="Conocida",MAX(AI$660:AI735)+1,0),0)</f>
        <v>0</v>
      </c>
      <c r="AJ736" s="758">
        <f>IF(AH736="",0,IF(AI736=0,MAX(AJ$654:AJ735,AL$652)+1,AI736+IFERROR(VLOOKUP(VLOOKUP(AH736,$D$653:$AA$871,24,0),AH$654:AJ$659,3,0)-VLOOKUP(VLOOKUP(AH736,$D$653:$AA$871,24,0),AH$654:AJ$659,2,0)+1,0)))</f>
        <v>0</v>
      </c>
      <c r="AK736" s="758" t="str">
        <f t="shared" ca="1" si="196"/>
        <v/>
      </c>
      <c r="AL736" s="758" t="str">
        <f t="shared" ca="1" si="197"/>
        <v/>
      </c>
      <c r="AM736" s="2568"/>
      <c r="AN736" s="758">
        <f>IFERROR(IF(IF(AM736&lt;&gt;"",VLOOKUP(AM736,Tabla_ArmasyEscudos,9,0),"")="Conocida",MAX(AN$660:AN735)+1,0),0)</f>
        <v>0</v>
      </c>
      <c r="AO736" s="758">
        <f>IF(AM736="",0,IF(AN736=0,MAX(AO$654:AO735,AQ$652)+1,AN736+IFERROR(VLOOKUP(VLOOKUP(AM736,$D$653:$AA$871,24,0),AM$654:AO$659,3,0)-VLOOKUP(VLOOKUP(AM736,$D$653:$AA$871,24,0),AM$654:AO$659,2,0)+1,0)))</f>
        <v>0</v>
      </c>
      <c r="AP736" s="758" t="str">
        <f t="shared" ca="1" si="198"/>
        <v/>
      </c>
      <c r="AQ736" s="758" t="str">
        <f t="shared" ca="1" si="199"/>
        <v/>
      </c>
      <c r="AR736" s="2568"/>
      <c r="AS736" s="758">
        <f>IFERROR(IF(IF(AR736&lt;&gt;"",VLOOKUP(AR736,Tabla_ArmasyEscudos,9,0),"")="Conocida",MAX(AS$660:AS735)+1,0),0)</f>
        <v>0</v>
      </c>
      <c r="AT736" s="758">
        <f>IF(AR736="",0,IF(AS736=0,MAX(AT$654:AT735,AV$652)+1,AS736+IFERROR(VLOOKUP(VLOOKUP(AR736,$D$653:$AA$871,24,0),AR$654:AT$659,3,0)-VLOOKUP(VLOOKUP(AR736,$D$653:$AA$871,24,0),AR$654:AT$659,2,0)+1,0)))</f>
        <v>0</v>
      </c>
      <c r="AU736" s="758" t="str">
        <f t="shared" ca="1" si="200"/>
        <v/>
      </c>
      <c r="AV736" s="758" t="str">
        <f t="shared" ca="1" si="201"/>
        <v/>
      </c>
      <c r="AX736" s="1141" t="str">
        <f t="shared" si="202"/>
        <v>&gt; ARMAS EXÓTICAS</v>
      </c>
      <c r="AY736" s="2549"/>
      <c r="AZ736" s="774" t="str">
        <f t="shared" si="203"/>
        <v/>
      </c>
      <c r="BA736" s="76" t="str">
        <f t="shared" si="204"/>
        <v/>
      </c>
      <c r="BB736" s="76" t="str">
        <f t="shared" si="205"/>
        <v>Abanico de combate</v>
      </c>
      <c r="BC736" s="1142">
        <f>IF(OR($L734=BC$652,$L734="",$D734=$BE$651),MAX(BC$654:BC735)+1,0)</f>
        <v>3</v>
      </c>
      <c r="BD736" s="1143">
        <f>IF(OR($L734=BD$652,$L734="",$D734=$BE$651),MAX(BD$654:BD735)+1,0)</f>
        <v>3</v>
      </c>
      <c r="BE736" s="1144">
        <f>IF(OR($L734=BE$652,$L734="",$D734=$BE$651),MAX(BE$654:BE735)+1,0)</f>
        <v>81</v>
      </c>
      <c r="BF736" s="2549"/>
      <c r="BG736" s="774" t="str">
        <f t="shared" si="206"/>
        <v/>
      </c>
      <c r="BH736" s="76" t="str">
        <f t="shared" si="207"/>
        <v/>
      </c>
      <c r="BI736" s="76" t="str">
        <f t="shared" si="208"/>
        <v>Abanico de combate</v>
      </c>
      <c r="BJ736" s="1142">
        <f>IF(OR($L734=BJ$652,$L734="",$D734=$BL$651),MAX(BJ$654:BJ735)+1,0)</f>
        <v>3</v>
      </c>
      <c r="BK736" s="1143">
        <f>IF(OR($L734=BK$652,$L734="",$D734=$BL$651),MAX(BK$654:BK735)+1,0)</f>
        <v>3</v>
      </c>
      <c r="BL736" s="1144">
        <f>IF(OR($L734=BL$652,$L734="",$D734=$BL$651),MAX(BL$654:BL735)+1,0)</f>
        <v>81</v>
      </c>
      <c r="BM736" s="2549"/>
      <c r="BN736" s="774" t="str">
        <f t="shared" si="209"/>
        <v/>
      </c>
      <c r="BO736" s="76" t="str">
        <f t="shared" si="210"/>
        <v/>
      </c>
      <c r="BP736" s="76" t="str">
        <f t="shared" si="211"/>
        <v>Abanico de combate</v>
      </c>
      <c r="BQ736" s="1142">
        <f>IF(OR($L734=BQ$652,$L734="",$D734=$BS$651),MAX(BQ$654:BQ735)+1,0)</f>
        <v>3</v>
      </c>
      <c r="BR736" s="1143">
        <f>IF(OR($L734=BR$652,$L734="",$D734=$BS$651),MAX(BR$654:BR735)+1,0)</f>
        <v>3</v>
      </c>
      <c r="BS736" s="1144">
        <f>IF(OR($L734=BS$652,$L734="",$D734=$BS$651),MAX(BS$654:BS735)+1,0)</f>
        <v>81</v>
      </c>
      <c r="BT736" s="2549"/>
      <c r="BU736" s="774" t="str">
        <f t="shared" si="212"/>
        <v/>
      </c>
      <c r="BV736" s="76" t="str">
        <f t="shared" si="213"/>
        <v/>
      </c>
      <c r="BW736" s="76" t="str">
        <f t="shared" si="214"/>
        <v>Abanico de combate</v>
      </c>
      <c r="BX736" s="1142">
        <f>IF(OR($L734=BX$652,$L734="",$D734=$BZ$651),MAX(BX$654:BX735)+1,0)</f>
        <v>3</v>
      </c>
      <c r="BY736" s="1143">
        <f>IF(OR($L734=BY$652,$L734="",$D734=$BZ$651),MAX(BY$654:BY735)+1,0)</f>
        <v>3</v>
      </c>
      <c r="BZ736" s="1144">
        <f>IF(OR($L734=BZ$652,$L734="",$D734=$BZ$651),MAX(BZ$654:BZ735)+1,0)</f>
        <v>81</v>
      </c>
      <c r="CA736" s="2549"/>
      <c r="CB736" s="774" t="str">
        <f t="shared" si="215"/>
        <v/>
      </c>
      <c r="CC736" s="76" t="str">
        <f t="shared" si="216"/>
        <v/>
      </c>
      <c r="CD736" s="76" t="str">
        <f t="shared" si="217"/>
        <v>Abanico de combate</v>
      </c>
      <c r="CE736" s="1142">
        <f>IF(OR($L734=CE$652,$L734="",$D734=$CG$651),MAX(CE$654:CE735)+1,0)</f>
        <v>3</v>
      </c>
      <c r="CF736" s="1143">
        <f>IF(OR($L734=CF$652,$L734="",$D734=$CG$651),MAX(CF$654:CF735)+1,0)</f>
        <v>3</v>
      </c>
      <c r="CG736" s="1144">
        <f>IF(OR($L734=CG$652,$L734="",$D734=$CG$651),MAX(CG$654:CG735)+1,0)</f>
        <v>81</v>
      </c>
      <c r="CI736" s="774" t="str">
        <f t="shared" si="218"/>
        <v/>
      </c>
      <c r="CJ736" s="76" t="str">
        <f t="shared" si="219"/>
        <v/>
      </c>
      <c r="CK736" s="76" t="str">
        <f t="shared" si="220"/>
        <v>Abanico de combate</v>
      </c>
      <c r="CL736" s="1142">
        <f>IF(OR($L734=CL$652,$L734="",$D734=$CN$651),MAX(CL$654:CL735)+1,0)</f>
        <v>3</v>
      </c>
      <c r="CM736" s="1143">
        <f>IF(OR($L734=CM$652,$L734="",$D734=$CN$651),MAX(CM$654:CM735)+1,0)</f>
        <v>3</v>
      </c>
      <c r="CN736" s="1144">
        <f>IF(OR($L734=CN$652,$L734="",$D734=$CN$651),MAX(CN$654:CN735)+1,0)</f>
        <v>81</v>
      </c>
    </row>
    <row r="737" spans="1:92" ht="12.75" customHeight="1">
      <c r="A737" s="219">
        <v>728</v>
      </c>
      <c r="B737" s="7145"/>
      <c r="C737" s="1034"/>
      <c r="D737" s="2237" t="s">
        <v>9683</v>
      </c>
      <c r="E737" s="2239">
        <v>30</v>
      </c>
      <c r="F737" s="2236">
        <v>10</v>
      </c>
      <c r="G737" s="2236">
        <v>4</v>
      </c>
      <c r="H737" s="2236">
        <v>4</v>
      </c>
      <c r="I737" s="2236" t="s">
        <v>1357</v>
      </c>
      <c r="J737" s="2236" t="s">
        <v>1410</v>
      </c>
      <c r="K737" s="2433" t="s">
        <v>6835</v>
      </c>
      <c r="L737" s="2236" t="str">
        <f t="shared" si="224"/>
        <v>Distinta</v>
      </c>
      <c r="M737" s="2240">
        <v>10</v>
      </c>
      <c r="N737" s="2240">
        <v>0</v>
      </c>
      <c r="O737" s="2240">
        <v>15</v>
      </c>
      <c r="P737" s="2236"/>
      <c r="Q737" s="2236"/>
      <c r="R737" s="2240">
        <v>60</v>
      </c>
      <c r="S737" s="2236" t="s">
        <v>1315</v>
      </c>
      <c r="T737" s="2236">
        <v>20</v>
      </c>
      <c r="U737" s="2236"/>
      <c r="V737" s="2232" t="s">
        <v>8132</v>
      </c>
      <c r="W737" s="2232"/>
      <c r="X737" s="2233" t="str">
        <f t="shared" si="225"/>
        <v>Pequeña</v>
      </c>
      <c r="Y737" s="2229">
        <f t="shared" si="226"/>
        <v>0</v>
      </c>
      <c r="Z737" s="1150" t="str">
        <f t="shared" si="193"/>
        <v/>
      </c>
      <c r="AA737" s="1751" t="s">
        <v>2019</v>
      </c>
      <c r="AC737" s="2568" t="s">
        <v>2023</v>
      </c>
      <c r="AD737" s="758">
        <f>IFERROR(IF(IF(AC737&lt;&gt;"",VLOOKUP(AC737,Tabla_ArmasyEscudos,9,0),"")="Conocida",MAX(AD$662:AD736)+1,0),0)</f>
        <v>0</v>
      </c>
      <c r="AE737" s="758">
        <f ca="1">IF(AC737="",0,IF(AD737=0,MAX(AE$654:AE736,AG$652)+1,AD737+IFERROR(VLOOKUP(VLOOKUP(AC737,$D$653:$AA$871,24,0),AC$654:AE$661,3,0)-VLOOKUP(VLOOKUP(AC737,$D$653:$AA$871,24,0),AC$654:AE$661,2,0)+1,0)))</f>
        <v>77</v>
      </c>
      <c r="AF737" s="758" t="str">
        <f t="shared" ca="1" si="194"/>
        <v>Kau Sin Ke</v>
      </c>
      <c r="AG737" s="758" t="str">
        <f t="shared" ca="1" si="195"/>
        <v/>
      </c>
      <c r="AH737" s="2568"/>
      <c r="AI737" s="758">
        <f>IFERROR(IF(IF(AH737&lt;&gt;"",VLOOKUP(AH737,Tabla_ArmasyEscudos,9,0),"")="Conocida",MAX(AI$660:AI736)+1,0),0)</f>
        <v>0</v>
      </c>
      <c r="AJ737" s="758">
        <f>IF(AH737="",0,IF(AI737=0,MAX(AJ$654:AJ736,AL$652)+1,AI737+IFERROR(VLOOKUP(VLOOKUP(AH737,$D$653:$AA$871,24,0),AH$654:AJ$659,3,0)-VLOOKUP(VLOOKUP(AH737,$D$653:$AA$871,24,0),AH$654:AJ$659,2,0)+1,0)))</f>
        <v>0</v>
      </c>
      <c r="AK737" s="758" t="str">
        <f t="shared" ca="1" si="196"/>
        <v/>
      </c>
      <c r="AL737" s="758" t="str">
        <f t="shared" ca="1" si="197"/>
        <v/>
      </c>
      <c r="AM737" s="2568"/>
      <c r="AN737" s="758">
        <f>IFERROR(IF(IF(AM737&lt;&gt;"",VLOOKUP(AM737,Tabla_ArmasyEscudos,9,0),"")="Conocida",MAX(AN$660:AN736)+1,0),0)</f>
        <v>0</v>
      </c>
      <c r="AO737" s="758">
        <f>IF(AM737="",0,IF(AN737=0,MAX(AO$654:AO736,AQ$652)+1,AN737+IFERROR(VLOOKUP(VLOOKUP(AM737,$D$653:$AA$871,24,0),AM$654:AO$659,3,0)-VLOOKUP(VLOOKUP(AM737,$D$653:$AA$871,24,0),AM$654:AO$659,2,0)+1,0)))</f>
        <v>0</v>
      </c>
      <c r="AP737" s="758" t="str">
        <f t="shared" ca="1" si="198"/>
        <v/>
      </c>
      <c r="AQ737" s="758" t="str">
        <f t="shared" ca="1" si="199"/>
        <v/>
      </c>
      <c r="AR737" s="2568"/>
      <c r="AS737" s="758">
        <f>IFERROR(IF(IF(AR737&lt;&gt;"",VLOOKUP(AR737,Tabla_ArmasyEscudos,9,0),"")="Conocida",MAX(AS$660:AS736)+1,0),0)</f>
        <v>0</v>
      </c>
      <c r="AT737" s="758">
        <f>IF(AR737="",0,IF(AS737=0,MAX(AT$654:AT736,AV$652)+1,AS737+IFERROR(VLOOKUP(VLOOKUP(AR737,$D$653:$AA$871,24,0),AR$654:AT$659,3,0)-VLOOKUP(VLOOKUP(AR737,$D$653:$AA$871,24,0),AR$654:AT$659,2,0)+1,0)))</f>
        <v>0</v>
      </c>
      <c r="AU737" s="758" t="str">
        <f t="shared" ca="1" si="200"/>
        <v/>
      </c>
      <c r="AV737" s="758" t="str">
        <f t="shared" ca="1" si="201"/>
        <v/>
      </c>
      <c r="AX737" s="1141" t="str">
        <f t="shared" si="202"/>
        <v>Abanico de combate</v>
      </c>
      <c r="AY737" s="2549"/>
      <c r="AZ737" s="774" t="str">
        <f t="shared" si="203"/>
        <v/>
      </c>
      <c r="BA737" s="76" t="str">
        <f t="shared" si="204"/>
        <v/>
      </c>
      <c r="BB737" s="76" t="str">
        <f t="shared" si="205"/>
        <v>Anciano de primavera</v>
      </c>
      <c r="BC737" s="1142">
        <f>IF(OR($L735=BC$652,$L735="",$D735=$BE$651),MAX(BC$654:BC736)+1,0)</f>
        <v>0</v>
      </c>
      <c r="BD737" s="1143">
        <f>IF(OR($L735=BD$652,$L735="",$D735=$BE$651),MAX(BD$654:BD736)+1,0)</f>
        <v>0</v>
      </c>
      <c r="BE737" s="1144">
        <f>IF(OR($L735=BE$652,$L735="",$D735=$BE$651),MAX(BE$654:BE736)+1,0)</f>
        <v>82</v>
      </c>
      <c r="BF737" s="2549"/>
      <c r="BG737" s="774" t="str">
        <f t="shared" si="206"/>
        <v/>
      </c>
      <c r="BH737" s="76" t="str">
        <f t="shared" si="207"/>
        <v/>
      </c>
      <c r="BI737" s="76" t="str">
        <f t="shared" si="208"/>
        <v>Anciano de primavera</v>
      </c>
      <c r="BJ737" s="1142">
        <f>IF(OR($L735=BJ$652,$L735="",$D735=$BL$651),MAX(BJ$654:BJ736)+1,0)</f>
        <v>0</v>
      </c>
      <c r="BK737" s="1143">
        <f>IF(OR($L735=BK$652,$L735="",$D735=$BL$651),MAX(BK$654:BK736)+1,0)</f>
        <v>0</v>
      </c>
      <c r="BL737" s="1144">
        <f>IF(OR($L735=BL$652,$L735="",$D735=$BL$651),MAX(BL$654:BL736)+1,0)</f>
        <v>82</v>
      </c>
      <c r="BM737" s="2549"/>
      <c r="BN737" s="774" t="str">
        <f t="shared" si="209"/>
        <v/>
      </c>
      <c r="BO737" s="76" t="str">
        <f t="shared" si="210"/>
        <v/>
      </c>
      <c r="BP737" s="76" t="str">
        <f t="shared" si="211"/>
        <v>Anciano de primavera</v>
      </c>
      <c r="BQ737" s="1142">
        <f>IF(OR($L735=BQ$652,$L735="",$D735=$BS$651),MAX(BQ$654:BQ736)+1,0)</f>
        <v>0</v>
      </c>
      <c r="BR737" s="1143">
        <f>IF(OR($L735=BR$652,$L735="",$D735=$BS$651),MAX(BR$654:BR736)+1,0)</f>
        <v>0</v>
      </c>
      <c r="BS737" s="1144">
        <f>IF(OR($L735=BS$652,$L735="",$D735=$BS$651),MAX(BS$654:BS736)+1,0)</f>
        <v>82</v>
      </c>
      <c r="BT737" s="2549"/>
      <c r="BU737" s="774" t="str">
        <f t="shared" si="212"/>
        <v/>
      </c>
      <c r="BV737" s="76" t="str">
        <f t="shared" si="213"/>
        <v/>
      </c>
      <c r="BW737" s="76" t="str">
        <f t="shared" si="214"/>
        <v>Anciano de primavera</v>
      </c>
      <c r="BX737" s="1142">
        <f>IF(OR($L735=BX$652,$L735="",$D735=$BZ$651),MAX(BX$654:BX736)+1,0)</f>
        <v>0</v>
      </c>
      <c r="BY737" s="1143">
        <f>IF(OR($L735=BY$652,$L735="",$D735=$BZ$651),MAX(BY$654:BY736)+1,0)</f>
        <v>0</v>
      </c>
      <c r="BZ737" s="1144">
        <f>IF(OR($L735=BZ$652,$L735="",$D735=$BZ$651),MAX(BZ$654:BZ736)+1,0)</f>
        <v>82</v>
      </c>
      <c r="CA737" s="2549"/>
      <c r="CB737" s="774" t="str">
        <f t="shared" si="215"/>
        <v/>
      </c>
      <c r="CC737" s="76" t="str">
        <f t="shared" si="216"/>
        <v/>
      </c>
      <c r="CD737" s="76" t="str">
        <f t="shared" si="217"/>
        <v>Anciano de primavera</v>
      </c>
      <c r="CE737" s="1142">
        <f>IF(OR($L735=CE$652,$L735="",$D735=$CG$651),MAX(CE$654:CE736)+1,0)</f>
        <v>0</v>
      </c>
      <c r="CF737" s="1143">
        <f>IF(OR($L735=CF$652,$L735="",$D735=$CG$651),MAX(CF$654:CF736)+1,0)</f>
        <v>0</v>
      </c>
      <c r="CG737" s="1144">
        <f>IF(OR($L735=CG$652,$L735="",$D735=$CG$651),MAX(CG$654:CG736)+1,0)</f>
        <v>82</v>
      </c>
      <c r="CI737" s="774" t="str">
        <f t="shared" si="218"/>
        <v/>
      </c>
      <c r="CJ737" s="76" t="str">
        <f t="shared" si="219"/>
        <v/>
      </c>
      <c r="CK737" s="76" t="str">
        <f t="shared" si="220"/>
        <v>Anciano de primavera</v>
      </c>
      <c r="CL737" s="1142">
        <f>IF(OR($L735=CL$652,$L735="",$D735=$CN$651),MAX(CL$654:CL736)+1,0)</f>
        <v>0</v>
      </c>
      <c r="CM737" s="1143">
        <f>IF(OR($L735=CM$652,$L735="",$D735=$CN$651),MAX(CM$654:CM736)+1,0)</f>
        <v>0</v>
      </c>
      <c r="CN737" s="1144">
        <f>IF(OR($L735=CN$652,$L735="",$D735=$CN$651),MAX(CN$654:CN736)+1,0)</f>
        <v>82</v>
      </c>
    </row>
    <row r="738" spans="1:92" ht="12.75" customHeight="1">
      <c r="A738" s="219">
        <v>729</v>
      </c>
      <c r="B738" s="7145"/>
      <c r="C738" s="1034"/>
      <c r="D738" s="2237" t="s">
        <v>2023</v>
      </c>
      <c r="E738" s="2239">
        <v>35</v>
      </c>
      <c r="F738" s="2236">
        <v>10</v>
      </c>
      <c r="G738" s="2236">
        <v>4</v>
      </c>
      <c r="H738" s="2236">
        <v>4</v>
      </c>
      <c r="I738" s="2236" t="s">
        <v>1357</v>
      </c>
      <c r="J738" s="2236" t="s">
        <v>1410</v>
      </c>
      <c r="K738" s="2433" t="s">
        <v>6835</v>
      </c>
      <c r="L738" s="2236" t="str">
        <f t="shared" si="224"/>
        <v>Distinta</v>
      </c>
      <c r="M738" s="2240">
        <v>11</v>
      </c>
      <c r="N738" s="2240">
        <v>2</v>
      </c>
      <c r="O738" s="2240">
        <v>25</v>
      </c>
      <c r="P738" s="2236"/>
      <c r="Q738" s="2236"/>
      <c r="R738" s="2236" t="s">
        <v>1315</v>
      </c>
      <c r="S738" s="2236" t="s">
        <v>1315</v>
      </c>
      <c r="T738" s="2236" t="s">
        <v>1315</v>
      </c>
      <c r="U738" s="2236"/>
      <c r="V738" s="2232" t="s">
        <v>2024</v>
      </c>
      <c r="W738" s="2232"/>
      <c r="X738" s="2233" t="str">
        <f t="shared" si="225"/>
        <v>Pequeña</v>
      </c>
      <c r="Y738" s="2229">
        <f t="shared" si="226"/>
        <v>0</v>
      </c>
      <c r="Z738" s="1150" t="str">
        <f t="shared" si="193"/>
        <v/>
      </c>
      <c r="AA738" s="1751" t="s">
        <v>2019</v>
      </c>
      <c r="AC738" s="2568" t="s">
        <v>2025</v>
      </c>
      <c r="AD738" s="758">
        <f>IFERROR(IF(IF(AC738&lt;&gt;"",VLOOKUP(AC738,Tabla_ArmasyEscudos,9,0),"")="Conocida",MAX(AD$662:AD737)+1,0),0)</f>
        <v>0</v>
      </c>
      <c r="AE738" s="758">
        <f ca="1">IF(AC738="",0,IF(AD738=0,MAX(AE$654:AE737,AG$652)+1,AD738+IFERROR(VLOOKUP(VLOOKUP(AC738,$D$653:$AA$871,24,0),AC$654:AE$661,3,0)-VLOOKUP(VLOOKUP(AC738,$D$653:$AA$871,24,0),AC$654:AE$661,2,0)+1,0)))</f>
        <v>78</v>
      </c>
      <c r="AF738" s="758" t="str">
        <f t="shared" ca="1" si="194"/>
        <v>Kiseru</v>
      </c>
      <c r="AG738" s="758" t="str">
        <f t="shared" ca="1" si="195"/>
        <v/>
      </c>
      <c r="AH738" s="2568"/>
      <c r="AI738" s="758">
        <f>IFERROR(IF(IF(AH738&lt;&gt;"",VLOOKUP(AH738,Tabla_ArmasyEscudos,9,0),"")="Conocida",MAX(AI$660:AI737)+1,0),0)</f>
        <v>0</v>
      </c>
      <c r="AJ738" s="758">
        <f>IF(AH738="",0,IF(AI738=0,MAX(AJ$654:AJ737,AL$652)+1,AI738+IFERROR(VLOOKUP(VLOOKUP(AH738,$D$653:$AA$871,24,0),AH$654:AJ$659,3,0)-VLOOKUP(VLOOKUP(AH738,$D$653:$AA$871,24,0),AH$654:AJ$659,2,0)+1,0)))</f>
        <v>0</v>
      </c>
      <c r="AK738" s="758" t="str">
        <f t="shared" ca="1" si="196"/>
        <v/>
      </c>
      <c r="AL738" s="758" t="str">
        <f t="shared" ca="1" si="197"/>
        <v/>
      </c>
      <c r="AM738" s="2568"/>
      <c r="AN738" s="758">
        <f>IFERROR(IF(IF(AM738&lt;&gt;"",VLOOKUP(AM738,Tabla_ArmasyEscudos,9,0),"")="Conocida",MAX(AN$660:AN737)+1,0),0)</f>
        <v>0</v>
      </c>
      <c r="AO738" s="758">
        <f>IF(AM738="",0,IF(AN738=0,MAX(AO$654:AO737,AQ$652)+1,AN738+IFERROR(VLOOKUP(VLOOKUP(AM738,$D$653:$AA$871,24,0),AM$654:AO$659,3,0)-VLOOKUP(VLOOKUP(AM738,$D$653:$AA$871,24,0),AM$654:AO$659,2,0)+1,0)))</f>
        <v>0</v>
      </c>
      <c r="AP738" s="758" t="str">
        <f t="shared" ca="1" si="198"/>
        <v/>
      </c>
      <c r="AQ738" s="758" t="str">
        <f t="shared" ca="1" si="199"/>
        <v/>
      </c>
      <c r="AR738" s="2568"/>
      <c r="AS738" s="758">
        <f>IFERROR(IF(IF(AR738&lt;&gt;"",VLOOKUP(AR738,Tabla_ArmasyEscudos,9,0),"")="Conocida",MAX(AS$660:AS737)+1,0),0)</f>
        <v>0</v>
      </c>
      <c r="AT738" s="758">
        <f>IF(AR738="",0,IF(AS738=0,MAX(AT$654:AT737,AV$652)+1,AS738+IFERROR(VLOOKUP(VLOOKUP(AR738,$D$653:$AA$871,24,0),AR$654:AT$659,3,0)-VLOOKUP(VLOOKUP(AR738,$D$653:$AA$871,24,0),AR$654:AT$659,2,0)+1,0)))</f>
        <v>0</v>
      </c>
      <c r="AU738" s="758" t="str">
        <f t="shared" ca="1" si="200"/>
        <v/>
      </c>
      <c r="AV738" s="758" t="str">
        <f t="shared" ca="1" si="201"/>
        <v/>
      </c>
      <c r="AX738" s="1141" t="str">
        <f t="shared" si="202"/>
        <v>Anciano de primavera</v>
      </c>
      <c r="AY738" s="2549"/>
      <c r="AZ738" s="774" t="str">
        <f t="shared" si="203"/>
        <v/>
      </c>
      <c r="BA738" s="76" t="str">
        <f t="shared" si="204"/>
        <v/>
      </c>
      <c r="BB738" s="76" t="str">
        <f t="shared" si="205"/>
        <v>Bumerán</v>
      </c>
      <c r="BC738" s="1142">
        <f>IF(OR($L736=BC$652,$L736="",$D736=$BE$651),MAX(BC$654:BC737)+1,0)</f>
        <v>0</v>
      </c>
      <c r="BD738" s="1143">
        <f>IF(OR($L736=BD$652,$L736="",$D736=$BE$651),MAX(BD$654:BD737)+1,0)</f>
        <v>0</v>
      </c>
      <c r="BE738" s="1144">
        <f>IF(OR($L736=BE$652,$L736="",$D736=$BE$651),MAX(BE$654:BE737)+1,0)</f>
        <v>83</v>
      </c>
      <c r="BF738" s="2549"/>
      <c r="BG738" s="774" t="str">
        <f t="shared" si="206"/>
        <v/>
      </c>
      <c r="BH738" s="76" t="str">
        <f t="shared" si="207"/>
        <v/>
      </c>
      <c r="BI738" s="76" t="str">
        <f t="shared" si="208"/>
        <v>Bumerán</v>
      </c>
      <c r="BJ738" s="1142">
        <f>IF(OR($L736=BJ$652,$L736="",$D736=$BL$651),MAX(BJ$654:BJ737)+1,0)</f>
        <v>0</v>
      </c>
      <c r="BK738" s="1143">
        <f>IF(OR($L736=BK$652,$L736="",$D736=$BL$651),MAX(BK$654:BK737)+1,0)</f>
        <v>0</v>
      </c>
      <c r="BL738" s="1144">
        <f>IF(OR($L736=BL$652,$L736="",$D736=$BL$651),MAX(BL$654:BL737)+1,0)</f>
        <v>83</v>
      </c>
      <c r="BM738" s="2549"/>
      <c r="BN738" s="774" t="str">
        <f t="shared" si="209"/>
        <v/>
      </c>
      <c r="BO738" s="76" t="str">
        <f t="shared" si="210"/>
        <v/>
      </c>
      <c r="BP738" s="76" t="str">
        <f t="shared" si="211"/>
        <v>Bumerán</v>
      </c>
      <c r="BQ738" s="1142">
        <f>IF(OR($L736=BQ$652,$L736="",$D736=$BS$651),MAX(BQ$654:BQ737)+1,0)</f>
        <v>0</v>
      </c>
      <c r="BR738" s="1143">
        <f>IF(OR($L736=BR$652,$L736="",$D736=$BS$651),MAX(BR$654:BR737)+1,0)</f>
        <v>0</v>
      </c>
      <c r="BS738" s="1144">
        <f>IF(OR($L736=BS$652,$L736="",$D736=$BS$651),MAX(BS$654:BS737)+1,0)</f>
        <v>83</v>
      </c>
      <c r="BT738" s="2549"/>
      <c r="BU738" s="774" t="str">
        <f t="shared" si="212"/>
        <v/>
      </c>
      <c r="BV738" s="76" t="str">
        <f t="shared" si="213"/>
        <v/>
      </c>
      <c r="BW738" s="76" t="str">
        <f t="shared" si="214"/>
        <v>Bumerán</v>
      </c>
      <c r="BX738" s="1142">
        <f>IF(OR($L736=BX$652,$L736="",$D736=$BZ$651),MAX(BX$654:BX737)+1,0)</f>
        <v>0</v>
      </c>
      <c r="BY738" s="1143">
        <f>IF(OR($L736=BY$652,$L736="",$D736=$BZ$651),MAX(BY$654:BY737)+1,0)</f>
        <v>0</v>
      </c>
      <c r="BZ738" s="1144">
        <f>IF(OR($L736=BZ$652,$L736="",$D736=$BZ$651),MAX(BZ$654:BZ737)+1,0)</f>
        <v>83</v>
      </c>
      <c r="CA738" s="2549"/>
      <c r="CB738" s="774" t="str">
        <f t="shared" si="215"/>
        <v/>
      </c>
      <c r="CC738" s="76" t="str">
        <f t="shared" si="216"/>
        <v/>
      </c>
      <c r="CD738" s="76" t="str">
        <f t="shared" si="217"/>
        <v>Bumerán</v>
      </c>
      <c r="CE738" s="1142">
        <f>IF(OR($L736=CE$652,$L736="",$D736=$CG$651),MAX(CE$654:CE737)+1,0)</f>
        <v>0</v>
      </c>
      <c r="CF738" s="1143">
        <f>IF(OR($L736=CF$652,$L736="",$D736=$CG$651),MAX(CF$654:CF737)+1,0)</f>
        <v>0</v>
      </c>
      <c r="CG738" s="1144">
        <f>IF(OR($L736=CG$652,$L736="",$D736=$CG$651),MAX(CG$654:CG737)+1,0)</f>
        <v>83</v>
      </c>
      <c r="CI738" s="774" t="str">
        <f t="shared" si="218"/>
        <v/>
      </c>
      <c r="CJ738" s="76" t="str">
        <f t="shared" si="219"/>
        <v/>
      </c>
      <c r="CK738" s="76" t="str">
        <f t="shared" si="220"/>
        <v>Bumerán</v>
      </c>
      <c r="CL738" s="1142">
        <f>IF(OR($L736=CL$652,$L736="",$D736=$CN$651),MAX(CL$654:CL737)+1,0)</f>
        <v>0</v>
      </c>
      <c r="CM738" s="1143">
        <f>IF(OR($L736=CM$652,$L736="",$D736=$CN$651),MAX(CM$654:CM737)+1,0)</f>
        <v>0</v>
      </c>
      <c r="CN738" s="1144">
        <f>IF(OR($L736=CN$652,$L736="",$D736=$CN$651),MAX(CN$654:CN737)+1,0)</f>
        <v>83</v>
      </c>
    </row>
    <row r="739" spans="1:92" ht="12.75" customHeight="1">
      <c r="A739" s="219">
        <v>730</v>
      </c>
      <c r="B739" s="7145"/>
      <c r="C739" s="1034"/>
      <c r="D739" s="3876" t="s">
        <v>2025</v>
      </c>
      <c r="E739" s="3877">
        <v>30</v>
      </c>
      <c r="F739" s="3878">
        <v>15</v>
      </c>
      <c r="G739" s="3878">
        <v>4</v>
      </c>
      <c r="H739" s="3878">
        <v>4</v>
      </c>
      <c r="I739" s="3878" t="s">
        <v>1410</v>
      </c>
      <c r="J739" s="3878" t="s">
        <v>1411</v>
      </c>
      <c r="K739" s="3879" t="s">
        <v>6835</v>
      </c>
      <c r="L739" s="3878" t="str">
        <f t="shared" ref="L739" si="227">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3880">
        <v>12</v>
      </c>
      <c r="N739" s="3880">
        <v>2</v>
      </c>
      <c r="O739" s="3880">
        <v>15</v>
      </c>
      <c r="P739" s="3878"/>
      <c r="Q739" s="3878"/>
      <c r="R739" s="3878" t="s">
        <v>1315</v>
      </c>
      <c r="S739" s="3878" t="s">
        <v>1315</v>
      </c>
      <c r="T739" s="3878" t="s">
        <v>1315</v>
      </c>
      <c r="U739" s="3878"/>
      <c r="V739" s="3881" t="s">
        <v>6670</v>
      </c>
      <c r="W739" s="2232"/>
      <c r="X739" s="2233" t="str">
        <f t="shared" si="225"/>
        <v>Pequeña</v>
      </c>
      <c r="Y739" s="2229">
        <f t="shared" si="226"/>
        <v>0</v>
      </c>
      <c r="Z739" s="1150" t="str">
        <f t="shared" si="193"/>
        <v/>
      </c>
      <c r="AA739" s="1751" t="s">
        <v>2019</v>
      </c>
      <c r="AC739" s="2568" t="s">
        <v>6597</v>
      </c>
      <c r="AD739" s="758">
        <f>IFERROR(IF(IF(AC739&lt;&gt;"",VLOOKUP(AC739,Tabla_ArmasyEscudos,9,0),"")="Conocida",MAX(AD$662:AD738)+1,0),0)</f>
        <v>0</v>
      </c>
      <c r="AE739" s="758">
        <f ca="1">IF(AC739="",0,IF(AD739=0,MAX(AE$654:AE738,AG$652)+1,AD739+IFERROR(VLOOKUP(VLOOKUP(AC739,$D$653:$AA$871,24,0),AC$654:AE$661,3,0)-VLOOKUP(VLOOKUP(AC739,$D$653:$AA$871,24,0),AC$654:AE$661,2,0)+1,0)))</f>
        <v>79</v>
      </c>
      <c r="AF739" s="758" t="str">
        <f t="shared" ca="1" si="194"/>
        <v>Kris</v>
      </c>
      <c r="AG739" s="758" t="str">
        <f t="shared" ca="1" si="195"/>
        <v/>
      </c>
      <c r="AH739" s="2568"/>
      <c r="AI739" s="758">
        <f>IFERROR(IF(IF(AH739&lt;&gt;"",VLOOKUP(AH739,Tabla_ArmasyEscudos,9,0),"")="Conocida",MAX(AI$660:AI738)+1,0),0)</f>
        <v>0</v>
      </c>
      <c r="AJ739" s="758">
        <f>IF(AH739="",0,IF(AI739=0,MAX(AJ$654:AJ738,AL$652)+1,AI739+IFERROR(VLOOKUP(VLOOKUP(AH739,$D$653:$AA$871,24,0),AH$654:AJ$659,3,0)-VLOOKUP(VLOOKUP(AH739,$D$653:$AA$871,24,0),AH$654:AJ$659,2,0)+1,0)))</f>
        <v>0</v>
      </c>
      <c r="AK739" s="758" t="str">
        <f t="shared" ca="1" si="196"/>
        <v/>
      </c>
      <c r="AL739" s="758" t="str">
        <f t="shared" ca="1" si="197"/>
        <v/>
      </c>
      <c r="AM739" s="2568"/>
      <c r="AN739" s="758">
        <f>IFERROR(IF(IF(AM739&lt;&gt;"",VLOOKUP(AM739,Tabla_ArmasyEscudos,9,0),"")="Conocida",MAX(AN$660:AN738)+1,0),0)</f>
        <v>0</v>
      </c>
      <c r="AO739" s="758">
        <f>IF(AM739="",0,IF(AN739=0,MAX(AO$654:AO738,AQ$652)+1,AN739+IFERROR(VLOOKUP(VLOOKUP(AM739,$D$653:$AA$871,24,0),AM$654:AO$659,3,0)-VLOOKUP(VLOOKUP(AM739,$D$653:$AA$871,24,0),AM$654:AO$659,2,0)+1,0)))</f>
        <v>0</v>
      </c>
      <c r="AP739" s="758" t="str">
        <f t="shared" ca="1" si="198"/>
        <v/>
      </c>
      <c r="AQ739" s="758" t="str">
        <f t="shared" ca="1" si="199"/>
        <v/>
      </c>
      <c r="AR739" s="2568"/>
      <c r="AS739" s="758">
        <f>IFERROR(IF(IF(AR739&lt;&gt;"",VLOOKUP(AR739,Tabla_ArmasyEscudos,9,0),"")="Conocida",MAX(AS$660:AS738)+1,0),0)</f>
        <v>0</v>
      </c>
      <c r="AT739" s="758">
        <f>IF(AR739="",0,IF(AS739=0,MAX(AT$654:AT738,AV$652)+1,AS739+IFERROR(VLOOKUP(VLOOKUP(AR739,$D$653:$AA$871,24,0),AR$654:AT$659,3,0)-VLOOKUP(VLOOKUP(AR739,$D$653:$AA$871,24,0),AR$654:AT$659,2,0)+1,0)))</f>
        <v>0</v>
      </c>
      <c r="AU739" s="758" t="str">
        <f t="shared" ca="1" si="200"/>
        <v/>
      </c>
      <c r="AV739" s="758" t="str">
        <f t="shared" ca="1" si="201"/>
        <v/>
      </c>
      <c r="AX739" s="1141" t="str">
        <f t="shared" si="202"/>
        <v>Bumerán</v>
      </c>
      <c r="AY739" s="2549"/>
      <c r="AZ739" s="774" t="str">
        <f t="shared" si="203"/>
        <v/>
      </c>
      <c r="BA739" s="76" t="str">
        <f t="shared" si="204"/>
        <v/>
      </c>
      <c r="BB739" s="76" t="str">
        <f t="shared" si="205"/>
        <v>Cuervo</v>
      </c>
      <c r="BC739" s="1142">
        <f>IF(OR($L737=BC$652,$L737="",$D737=$BE$651),MAX(BC$654:BC738)+1,0)</f>
        <v>0</v>
      </c>
      <c r="BD739" s="1143">
        <f>IF(OR($L737=BD$652,$L737="",$D737=$BE$651),MAX(BD$654:BD738)+1,0)</f>
        <v>0</v>
      </c>
      <c r="BE739" s="1144">
        <f>IF(OR($L737=BE$652,$L737="",$D737=$BE$651),MAX(BE$654:BE738)+1,0)</f>
        <v>84</v>
      </c>
      <c r="BF739" s="2549"/>
      <c r="BG739" s="774" t="str">
        <f t="shared" si="206"/>
        <v/>
      </c>
      <c r="BH739" s="76" t="str">
        <f t="shared" si="207"/>
        <v/>
      </c>
      <c r="BI739" s="76" t="str">
        <f t="shared" si="208"/>
        <v>Cuervo</v>
      </c>
      <c r="BJ739" s="1142">
        <f>IF(OR($L737=BJ$652,$L737="",$D737=$BL$651),MAX(BJ$654:BJ738)+1,0)</f>
        <v>0</v>
      </c>
      <c r="BK739" s="1143">
        <f>IF(OR($L737=BK$652,$L737="",$D737=$BL$651),MAX(BK$654:BK738)+1,0)</f>
        <v>0</v>
      </c>
      <c r="BL739" s="1144">
        <f>IF(OR($L737=BL$652,$L737="",$D737=$BL$651),MAX(BL$654:BL738)+1,0)</f>
        <v>84</v>
      </c>
      <c r="BM739" s="2549"/>
      <c r="BN739" s="774" t="str">
        <f t="shared" si="209"/>
        <v/>
      </c>
      <c r="BO739" s="76" t="str">
        <f t="shared" si="210"/>
        <v/>
      </c>
      <c r="BP739" s="76" t="str">
        <f t="shared" si="211"/>
        <v>Cuervo</v>
      </c>
      <c r="BQ739" s="1142">
        <f>IF(OR($L737=BQ$652,$L737="",$D737=$BS$651),MAX(BQ$654:BQ738)+1,0)</f>
        <v>0</v>
      </c>
      <c r="BR739" s="1143">
        <f>IF(OR($L737=BR$652,$L737="",$D737=$BS$651),MAX(BR$654:BR738)+1,0)</f>
        <v>0</v>
      </c>
      <c r="BS739" s="1144">
        <f>IF(OR($L737=BS$652,$L737="",$D737=$BS$651),MAX(BS$654:BS738)+1,0)</f>
        <v>84</v>
      </c>
      <c r="BT739" s="2549"/>
      <c r="BU739" s="774" t="str">
        <f t="shared" si="212"/>
        <v/>
      </c>
      <c r="BV739" s="76" t="str">
        <f t="shared" si="213"/>
        <v/>
      </c>
      <c r="BW739" s="76" t="str">
        <f t="shared" si="214"/>
        <v>Cuervo</v>
      </c>
      <c r="BX739" s="1142">
        <f>IF(OR($L737=BX$652,$L737="",$D737=$BZ$651),MAX(BX$654:BX738)+1,0)</f>
        <v>0</v>
      </c>
      <c r="BY739" s="1143">
        <f>IF(OR($L737=BY$652,$L737="",$D737=$BZ$651),MAX(BY$654:BY738)+1,0)</f>
        <v>0</v>
      </c>
      <c r="BZ739" s="1144">
        <f>IF(OR($L737=BZ$652,$L737="",$D737=$BZ$651),MAX(BZ$654:BZ738)+1,0)</f>
        <v>84</v>
      </c>
      <c r="CA739" s="2549"/>
      <c r="CB739" s="774" t="str">
        <f t="shared" si="215"/>
        <v/>
      </c>
      <c r="CC739" s="76" t="str">
        <f t="shared" si="216"/>
        <v/>
      </c>
      <c r="CD739" s="76" t="str">
        <f t="shared" si="217"/>
        <v>Cuervo</v>
      </c>
      <c r="CE739" s="1142">
        <f>IF(OR($L737=CE$652,$L737="",$D737=$CG$651),MAX(CE$654:CE738)+1,0)</f>
        <v>0</v>
      </c>
      <c r="CF739" s="1143">
        <f>IF(OR($L737=CF$652,$L737="",$D737=$CG$651),MAX(CF$654:CF738)+1,0)</f>
        <v>0</v>
      </c>
      <c r="CG739" s="1144">
        <f>IF(OR($L737=CG$652,$L737="",$D737=$CG$651),MAX(CG$654:CG738)+1,0)</f>
        <v>84</v>
      </c>
      <c r="CI739" s="774" t="str">
        <f t="shared" si="218"/>
        <v/>
      </c>
      <c r="CJ739" s="76" t="str">
        <f t="shared" si="219"/>
        <v/>
      </c>
      <c r="CK739" s="76" t="str">
        <f t="shared" si="220"/>
        <v>Cuervo</v>
      </c>
      <c r="CL739" s="1142">
        <f>IF(OR($L737=CL$652,$L737="",$D737=$CN$651),MAX(CL$654:CL738)+1,0)</f>
        <v>0</v>
      </c>
      <c r="CM739" s="1143">
        <f>IF(OR($L737=CM$652,$L737="",$D737=$CN$651),MAX(CM$654:CM738)+1,0)</f>
        <v>0</v>
      </c>
      <c r="CN739" s="1144">
        <f>IF(OR($L737=CN$652,$L737="",$D737=$CN$651),MAX(CN$654:CN738)+1,0)</f>
        <v>84</v>
      </c>
    </row>
    <row r="740" spans="1:92" ht="12.75" customHeight="1">
      <c r="A740" s="219">
        <v>731</v>
      </c>
      <c r="B740" s="7145"/>
      <c r="C740" s="1034"/>
      <c r="D740" s="3876" t="s">
        <v>2026</v>
      </c>
      <c r="E740" s="3877">
        <v>50</v>
      </c>
      <c r="F740" s="3878">
        <v>0</v>
      </c>
      <c r="G740" s="3878">
        <v>6</v>
      </c>
      <c r="H740" s="3878">
        <v>5</v>
      </c>
      <c r="I740" s="3878" t="s">
        <v>1410</v>
      </c>
      <c r="J740" s="3878" t="s">
        <v>1315</v>
      </c>
      <c r="K740" s="3879" t="s">
        <v>6833</v>
      </c>
      <c r="L740" s="3878" t="str">
        <f t="shared" si="224"/>
        <v>Distinta</v>
      </c>
      <c r="M740" s="3880">
        <v>9</v>
      </c>
      <c r="N740" s="3880">
        <v>5</v>
      </c>
      <c r="O740" s="3880">
        <v>40</v>
      </c>
      <c r="P740" s="3878"/>
      <c r="Q740" s="3878"/>
      <c r="R740" s="3878" t="s">
        <v>1315</v>
      </c>
      <c r="S740" s="3878" t="s">
        <v>1315</v>
      </c>
      <c r="T740" s="3878" t="s">
        <v>1315</v>
      </c>
      <c r="U740" s="3878"/>
      <c r="V740" s="3881" t="s">
        <v>12424</v>
      </c>
      <c r="W740" s="2232"/>
      <c r="X740" s="2233" t="str">
        <f t="shared" si="225"/>
        <v>Mediana</v>
      </c>
      <c r="Y740" s="2229">
        <f t="shared" si="226"/>
        <v>0</v>
      </c>
      <c r="Z740" s="1150" t="str">
        <f t="shared" si="193"/>
        <v/>
      </c>
      <c r="AA740" s="1751" t="s">
        <v>2019</v>
      </c>
      <c r="AC740" s="929" t="s">
        <v>6598</v>
      </c>
      <c r="AD740" s="758">
        <f>IFERROR(IF(IF(AC740&lt;&gt;"",VLOOKUP(AC740,Tabla_ArmasyEscudos,9,0),"")="Conocida",MAX(AD$662:AD739)+1,0),0)</f>
        <v>0</v>
      </c>
      <c r="AE740" s="758">
        <f ca="1">IF(AC740="",0,IF(AD740=0,MAX(AE$654:AE739,AG$652)+1,AD740+IFERROR(VLOOKUP(VLOOKUP(AC740,$D$653:$AA$871,24,0),AC$654:AE$661,3,0)-VLOOKUP(VLOOKUP(AC740,$D$653:$AA$871,24,0),AC$654:AE$661,2,0)+1,0)))</f>
        <v>80</v>
      </c>
      <c r="AF740" s="758" t="str">
        <f t="shared" ca="1" si="194"/>
        <v>Kumade</v>
      </c>
      <c r="AG740" s="758" t="str">
        <f t="shared" ca="1" si="195"/>
        <v/>
      </c>
      <c r="AH740" s="2568"/>
      <c r="AI740" s="758">
        <f>IFERROR(IF(IF(AH740&lt;&gt;"",VLOOKUP(AH740,Tabla_ArmasyEscudos,9,0),"")="Conocida",MAX(AI$660:AI739)+1,0),0)</f>
        <v>0</v>
      </c>
      <c r="AJ740" s="758">
        <f>IF(AH740="",0,IF(AI740=0,MAX(AJ$654:AJ739,AL$652)+1,AI740+IFERROR(VLOOKUP(VLOOKUP(AH740,$D$653:$AA$871,24,0),AH$654:AJ$659,3,0)-VLOOKUP(VLOOKUP(AH740,$D$653:$AA$871,24,0),AH$654:AJ$659,2,0)+1,0)))</f>
        <v>0</v>
      </c>
      <c r="AK740" s="758" t="str">
        <f t="shared" ca="1" si="196"/>
        <v/>
      </c>
      <c r="AL740" s="758" t="str">
        <f t="shared" ca="1" si="197"/>
        <v/>
      </c>
      <c r="AM740" s="2568"/>
      <c r="AN740" s="758">
        <f>IFERROR(IF(IF(AM740&lt;&gt;"",VLOOKUP(AM740,Tabla_ArmasyEscudos,9,0),"")="Conocida",MAX(AN$660:AN739)+1,0),0)</f>
        <v>0</v>
      </c>
      <c r="AO740" s="758">
        <f>IF(AM740="",0,IF(AN740=0,MAX(AO$654:AO739,AQ$652)+1,AN740+IFERROR(VLOOKUP(VLOOKUP(AM740,$D$653:$AA$871,24,0),AM$654:AO$659,3,0)-VLOOKUP(VLOOKUP(AM740,$D$653:$AA$871,24,0),AM$654:AO$659,2,0)+1,0)))</f>
        <v>0</v>
      </c>
      <c r="AP740" s="758" t="str">
        <f t="shared" ca="1" si="198"/>
        <v/>
      </c>
      <c r="AQ740" s="758" t="str">
        <f t="shared" ca="1" si="199"/>
        <v/>
      </c>
      <c r="AR740" s="2568"/>
      <c r="AS740" s="758">
        <f>IFERROR(IF(IF(AR740&lt;&gt;"",VLOOKUP(AR740,Tabla_ArmasyEscudos,9,0),"")="Conocida",MAX(AS$660:AS739)+1,0),0)</f>
        <v>0</v>
      </c>
      <c r="AT740" s="758">
        <f>IF(AR740="",0,IF(AS740=0,MAX(AT$654:AT739,AV$652)+1,AS740+IFERROR(VLOOKUP(VLOOKUP(AR740,$D$653:$AA$871,24,0),AR$654:AT$659,3,0)-VLOOKUP(VLOOKUP(AR740,$D$653:$AA$871,24,0),AR$654:AT$659,2,0)+1,0)))</f>
        <v>0</v>
      </c>
      <c r="AU740" s="758" t="str">
        <f t="shared" ca="1" si="200"/>
        <v/>
      </c>
      <c r="AV740" s="758" t="str">
        <f t="shared" ca="1" si="201"/>
        <v/>
      </c>
      <c r="AX740" s="1141" t="str">
        <f t="shared" si="202"/>
        <v>Cuervo</v>
      </c>
      <c r="AY740" s="2549"/>
      <c r="AZ740" s="774" t="str">
        <f t="shared" si="203"/>
        <v/>
      </c>
      <c r="BA740" s="76" t="str">
        <f t="shared" si="204"/>
        <v/>
      </c>
      <c r="BB740" s="76" t="str">
        <f t="shared" si="205"/>
        <v>Garras</v>
      </c>
      <c r="BC740" s="1142">
        <f>IF(OR($L738=BC$652,$L738="",$D738=$BE$651),MAX(BC$654:BC739)+1,0)</f>
        <v>0</v>
      </c>
      <c r="BD740" s="1143">
        <f>IF(OR($L738=BD$652,$L738="",$D738=$BE$651),MAX(BD$654:BD739)+1,0)</f>
        <v>0</v>
      </c>
      <c r="BE740" s="1144">
        <f>IF(OR($L738=BE$652,$L738="",$D738=$BE$651),MAX(BE$654:BE739)+1,0)</f>
        <v>85</v>
      </c>
      <c r="BF740" s="2549"/>
      <c r="BG740" s="774" t="str">
        <f t="shared" si="206"/>
        <v/>
      </c>
      <c r="BH740" s="76" t="str">
        <f t="shared" si="207"/>
        <v/>
      </c>
      <c r="BI740" s="76" t="str">
        <f t="shared" si="208"/>
        <v>Garras</v>
      </c>
      <c r="BJ740" s="1142">
        <f>IF(OR($L738=BJ$652,$L738="",$D738=$BL$651),MAX(BJ$654:BJ739)+1,0)</f>
        <v>0</v>
      </c>
      <c r="BK740" s="1143">
        <f>IF(OR($L738=BK$652,$L738="",$D738=$BL$651),MAX(BK$654:BK739)+1,0)</f>
        <v>0</v>
      </c>
      <c r="BL740" s="1144">
        <f>IF(OR($L738=BL$652,$L738="",$D738=$BL$651),MAX(BL$654:BL739)+1,0)</f>
        <v>85</v>
      </c>
      <c r="BM740" s="2549"/>
      <c r="BN740" s="774" t="str">
        <f t="shared" si="209"/>
        <v/>
      </c>
      <c r="BO740" s="76" t="str">
        <f t="shared" si="210"/>
        <v/>
      </c>
      <c r="BP740" s="76" t="str">
        <f t="shared" si="211"/>
        <v>Garras</v>
      </c>
      <c r="BQ740" s="1142">
        <f>IF(OR($L738=BQ$652,$L738="",$D738=$BS$651),MAX(BQ$654:BQ739)+1,0)</f>
        <v>0</v>
      </c>
      <c r="BR740" s="1143">
        <f>IF(OR($L738=BR$652,$L738="",$D738=$BS$651),MAX(BR$654:BR739)+1,0)</f>
        <v>0</v>
      </c>
      <c r="BS740" s="1144">
        <f>IF(OR($L738=BS$652,$L738="",$D738=$BS$651),MAX(BS$654:BS739)+1,0)</f>
        <v>85</v>
      </c>
      <c r="BT740" s="2549"/>
      <c r="BU740" s="774" t="str">
        <f t="shared" si="212"/>
        <v/>
      </c>
      <c r="BV740" s="76" t="str">
        <f t="shared" si="213"/>
        <v/>
      </c>
      <c r="BW740" s="76" t="str">
        <f t="shared" si="214"/>
        <v>Garras</v>
      </c>
      <c r="BX740" s="1142">
        <f>IF(OR($L738=BX$652,$L738="",$D738=$BZ$651),MAX(BX$654:BX739)+1,0)</f>
        <v>0</v>
      </c>
      <c r="BY740" s="1143">
        <f>IF(OR($L738=BY$652,$L738="",$D738=$BZ$651),MAX(BY$654:BY739)+1,0)</f>
        <v>0</v>
      </c>
      <c r="BZ740" s="1144">
        <f>IF(OR($L738=BZ$652,$L738="",$D738=$BZ$651),MAX(BZ$654:BZ739)+1,0)</f>
        <v>85</v>
      </c>
      <c r="CA740" s="2549"/>
      <c r="CB740" s="774" t="str">
        <f t="shared" si="215"/>
        <v/>
      </c>
      <c r="CC740" s="76" t="str">
        <f t="shared" si="216"/>
        <v/>
      </c>
      <c r="CD740" s="76" t="str">
        <f t="shared" si="217"/>
        <v>Garras</v>
      </c>
      <c r="CE740" s="1142">
        <f>IF(OR($L738=CE$652,$L738="",$D738=$CG$651),MAX(CE$654:CE739)+1,0)</f>
        <v>0</v>
      </c>
      <c r="CF740" s="1143">
        <f>IF(OR($L738=CF$652,$L738="",$D738=$CG$651),MAX(CF$654:CF739)+1,0)</f>
        <v>0</v>
      </c>
      <c r="CG740" s="1144">
        <f>IF(OR($L738=CG$652,$L738="",$D738=$CG$651),MAX(CG$654:CG739)+1,0)</f>
        <v>85</v>
      </c>
      <c r="CI740" s="774" t="str">
        <f t="shared" si="218"/>
        <v/>
      </c>
      <c r="CJ740" s="76" t="str">
        <f t="shared" si="219"/>
        <v/>
      </c>
      <c r="CK740" s="76" t="str">
        <f t="shared" si="220"/>
        <v>Garras</v>
      </c>
      <c r="CL740" s="1142">
        <f>IF(OR($L738=CL$652,$L738="",$D738=$CN$651),MAX(CL$654:CL739)+1,0)</f>
        <v>0</v>
      </c>
      <c r="CM740" s="1143">
        <f>IF(OR($L738=CM$652,$L738="",$D738=$CN$651),MAX(CM$654:CM739)+1,0)</f>
        <v>0</v>
      </c>
      <c r="CN740" s="1144">
        <f>IF(OR($L738=CN$652,$L738="",$D738=$CN$651),MAX(CN$654:CN739)+1,0)</f>
        <v>85</v>
      </c>
    </row>
    <row r="741" spans="1:92" ht="12.75" customHeight="1">
      <c r="A741" s="219">
        <v>732</v>
      </c>
      <c r="B741" s="7145"/>
      <c r="C741" s="1034"/>
      <c r="D741" s="3876" t="s">
        <v>2027</v>
      </c>
      <c r="E741" s="3877">
        <f>55-Bono_Fue</f>
        <v>55</v>
      </c>
      <c r="F741" s="3878">
        <v>-5</v>
      </c>
      <c r="G741" s="3878">
        <v>8</v>
      </c>
      <c r="H741" s="3878">
        <v>8</v>
      </c>
      <c r="I741" s="3878" t="s">
        <v>1410</v>
      </c>
      <c r="J741" s="3878" t="s">
        <v>1315</v>
      </c>
      <c r="K741" s="3879" t="s">
        <v>6833</v>
      </c>
      <c r="L741" s="3878" t="str">
        <f t="shared" si="224"/>
        <v>Distinta</v>
      </c>
      <c r="M741" s="3880">
        <v>9</v>
      </c>
      <c r="N741" s="3880">
        <v>5</v>
      </c>
      <c r="O741" s="3880">
        <v>40</v>
      </c>
      <c r="P741" s="3878"/>
      <c r="Q741" s="3878"/>
      <c r="R741" s="3878" t="s">
        <v>1315</v>
      </c>
      <c r="S741" s="3878" t="s">
        <v>1315</v>
      </c>
      <c r="T741" s="3878" t="s">
        <v>1315</v>
      </c>
      <c r="U741" s="3878"/>
      <c r="V741" s="3881" t="s">
        <v>12422</v>
      </c>
      <c r="W741" s="2232"/>
      <c r="X741" s="2233" t="str">
        <f t="shared" si="225"/>
        <v>Mediana</v>
      </c>
      <c r="Y741" s="2229">
        <f t="shared" si="226"/>
        <v>0</v>
      </c>
      <c r="Z741" s="1150" t="str">
        <f t="shared" si="193"/>
        <v/>
      </c>
      <c r="AA741" s="1751" t="s">
        <v>2019</v>
      </c>
      <c r="AC741" s="2568" t="s">
        <v>2026</v>
      </c>
      <c r="AD741" s="758">
        <f>IFERROR(IF(IF(AC741&lt;&gt;"",VLOOKUP(AC741,Tabla_ArmasyEscudos,9,0),"")="Conocida",MAX(AD$662:AD740)+1,0),0)</f>
        <v>0</v>
      </c>
      <c r="AE741" s="758">
        <f ca="1">IF(AC741="",0,IF(AD741=0,MAX(AE$654:AE740,AG$652)+1,AD741+IFERROR(VLOOKUP(VLOOKUP(AC741,$D$653:$AA$871,24,0),AC$654:AE$661,3,0)-VLOOKUP(VLOOKUP(AC741,$D$653:$AA$871,24,0),AC$654:AE$661,2,0)+1,0)))</f>
        <v>81</v>
      </c>
      <c r="AF741" s="758" t="str">
        <f t="shared" ca="1" si="194"/>
        <v>Kunai</v>
      </c>
      <c r="AG741" s="758" t="str">
        <f t="shared" ca="1" si="195"/>
        <v/>
      </c>
      <c r="AH741" s="2568"/>
      <c r="AI741" s="758">
        <f>IFERROR(IF(IF(AH741&lt;&gt;"",VLOOKUP(AH741,Tabla_ArmasyEscudos,9,0),"")="Conocida",MAX(AI$660:AI740)+1,0),0)</f>
        <v>0</v>
      </c>
      <c r="AJ741" s="758">
        <f>IF(AH741="",0,IF(AI741=0,MAX(AJ$654:AJ740,AL$652)+1,AI741+IFERROR(VLOOKUP(VLOOKUP(AH741,$D$653:$AA$871,24,0),AH$654:AJ$659,3,0)-VLOOKUP(VLOOKUP(AH741,$D$653:$AA$871,24,0),AH$654:AJ$659,2,0)+1,0)))</f>
        <v>0</v>
      </c>
      <c r="AK741" s="758" t="str">
        <f t="shared" ca="1" si="196"/>
        <v/>
      </c>
      <c r="AL741" s="758" t="str">
        <f t="shared" ca="1" si="197"/>
        <v/>
      </c>
      <c r="AM741" s="2568"/>
      <c r="AN741" s="758">
        <f>IFERROR(IF(IF(AM741&lt;&gt;"",VLOOKUP(AM741,Tabla_ArmasyEscudos,9,0),"")="Conocida",MAX(AN$660:AN740)+1,0),0)</f>
        <v>0</v>
      </c>
      <c r="AO741" s="758">
        <f>IF(AM741="",0,IF(AN741=0,MAX(AO$654:AO740,AQ$652)+1,AN741+IFERROR(VLOOKUP(VLOOKUP(AM741,$D$653:$AA$871,24,0),AM$654:AO$659,3,0)-VLOOKUP(VLOOKUP(AM741,$D$653:$AA$871,24,0),AM$654:AO$659,2,0)+1,0)))</f>
        <v>0</v>
      </c>
      <c r="AP741" s="758" t="str">
        <f t="shared" ca="1" si="198"/>
        <v/>
      </c>
      <c r="AQ741" s="758" t="str">
        <f t="shared" ca="1" si="199"/>
        <v/>
      </c>
      <c r="AR741" s="2568"/>
      <c r="AS741" s="758">
        <f>IFERROR(IF(IF(AR741&lt;&gt;"",VLOOKUP(AR741,Tabla_ArmasyEscudos,9,0),"")="Conocida",MAX(AS$660:AS740)+1,0),0)</f>
        <v>0</v>
      </c>
      <c r="AT741" s="758">
        <f>IF(AR741="",0,IF(AS741=0,MAX(AT$654:AT740,AV$652)+1,AS741+IFERROR(VLOOKUP(VLOOKUP(AR741,$D$653:$AA$871,24,0),AR$654:AT$659,3,0)-VLOOKUP(VLOOKUP(AR741,$D$653:$AA$871,24,0),AR$654:AT$659,2,0)+1,0)))</f>
        <v>0</v>
      </c>
      <c r="AU741" s="758" t="str">
        <f t="shared" ca="1" si="200"/>
        <v/>
      </c>
      <c r="AV741" s="758" t="str">
        <f t="shared" ca="1" si="201"/>
        <v/>
      </c>
      <c r="AX741" s="1141" t="str">
        <f t="shared" si="202"/>
        <v>Garras</v>
      </c>
      <c r="AY741" s="2549"/>
      <c r="AZ741" s="774" t="str">
        <f t="shared" si="203"/>
        <v/>
      </c>
      <c r="BA741" s="76" t="str">
        <f t="shared" si="204"/>
        <v/>
      </c>
      <c r="BB741" s="76" t="str">
        <f t="shared" si="205"/>
        <v>Katana</v>
      </c>
      <c r="BC741" s="1142">
        <f>IF(OR($L739=BC$652,$L739="",$D739=$BE$651),MAX(BC$654:BC740)+1,0)</f>
        <v>0</v>
      </c>
      <c r="BD741" s="1143">
        <f>IF(OR($L739=BD$652,$L739="",$D739=$BE$651),MAX(BD$654:BD740)+1,0)</f>
        <v>0</v>
      </c>
      <c r="BE741" s="1144">
        <f>IF(OR($L739=BE$652,$L739="",$D739=$BE$651),MAX(BE$654:BE740)+1,0)</f>
        <v>86</v>
      </c>
      <c r="BF741" s="2549"/>
      <c r="BG741" s="774" t="str">
        <f t="shared" si="206"/>
        <v/>
      </c>
      <c r="BH741" s="76" t="str">
        <f t="shared" si="207"/>
        <v/>
      </c>
      <c r="BI741" s="76" t="str">
        <f t="shared" si="208"/>
        <v>Katana</v>
      </c>
      <c r="BJ741" s="1142">
        <f>IF(OR($L739=BJ$652,$L739="",$D739=$BL$651),MAX(BJ$654:BJ740)+1,0)</f>
        <v>0</v>
      </c>
      <c r="BK741" s="1143">
        <f>IF(OR($L739=BK$652,$L739="",$D739=$BL$651),MAX(BK$654:BK740)+1,0)</f>
        <v>0</v>
      </c>
      <c r="BL741" s="1144">
        <f>IF(OR($L739=BL$652,$L739="",$D739=$BL$651),MAX(BL$654:BL740)+1,0)</f>
        <v>86</v>
      </c>
      <c r="BM741" s="2549"/>
      <c r="BN741" s="774" t="str">
        <f t="shared" si="209"/>
        <v/>
      </c>
      <c r="BO741" s="76" t="str">
        <f t="shared" si="210"/>
        <v/>
      </c>
      <c r="BP741" s="76" t="str">
        <f t="shared" si="211"/>
        <v>Katana</v>
      </c>
      <c r="BQ741" s="1142">
        <f>IF(OR($L739=BQ$652,$L739="",$D739=$BS$651),MAX(BQ$654:BQ740)+1,0)</f>
        <v>0</v>
      </c>
      <c r="BR741" s="1143">
        <f>IF(OR($L739=BR$652,$L739="",$D739=$BS$651),MAX(BR$654:BR740)+1,0)</f>
        <v>0</v>
      </c>
      <c r="BS741" s="1144">
        <f>IF(OR($L739=BS$652,$L739="",$D739=$BS$651),MAX(BS$654:BS740)+1,0)</f>
        <v>86</v>
      </c>
      <c r="BT741" s="2549"/>
      <c r="BU741" s="774" t="str">
        <f t="shared" si="212"/>
        <v/>
      </c>
      <c r="BV741" s="76" t="str">
        <f t="shared" si="213"/>
        <v/>
      </c>
      <c r="BW741" s="76" t="str">
        <f t="shared" si="214"/>
        <v>Katana</v>
      </c>
      <c r="BX741" s="1142">
        <f>IF(OR($L739=BX$652,$L739="",$D739=$BZ$651),MAX(BX$654:BX740)+1,0)</f>
        <v>0</v>
      </c>
      <c r="BY741" s="1143">
        <f>IF(OR($L739=BY$652,$L739="",$D739=$BZ$651),MAX(BY$654:BY740)+1,0)</f>
        <v>0</v>
      </c>
      <c r="BZ741" s="1144">
        <f>IF(OR($L739=BZ$652,$L739="",$D739=$BZ$651),MAX(BZ$654:BZ740)+1,0)</f>
        <v>86</v>
      </c>
      <c r="CA741" s="2549"/>
      <c r="CB741" s="774" t="str">
        <f t="shared" si="215"/>
        <v/>
      </c>
      <c r="CC741" s="76" t="str">
        <f t="shared" si="216"/>
        <v/>
      </c>
      <c r="CD741" s="76" t="str">
        <f t="shared" si="217"/>
        <v>Katana</v>
      </c>
      <c r="CE741" s="1142">
        <f>IF(OR($L739=CE$652,$L739="",$D739=$CG$651),MAX(CE$654:CE740)+1,0)</f>
        <v>0</v>
      </c>
      <c r="CF741" s="1143">
        <f>IF(OR($L739=CF$652,$L739="",$D739=$CG$651),MAX(CF$654:CF740)+1,0)</f>
        <v>0</v>
      </c>
      <c r="CG741" s="1144">
        <f>IF(OR($L739=CG$652,$L739="",$D739=$CG$651),MAX(CG$654:CG740)+1,0)</f>
        <v>86</v>
      </c>
      <c r="CI741" s="774" t="str">
        <f t="shared" si="218"/>
        <v/>
      </c>
      <c r="CJ741" s="76" t="str">
        <f t="shared" si="219"/>
        <v/>
      </c>
      <c r="CK741" s="76" t="str">
        <f t="shared" si="220"/>
        <v>Katana</v>
      </c>
      <c r="CL741" s="1142">
        <f>IF(OR($L739=CL$652,$L739="",$D739=$CN$651),MAX(CL$654:CL740)+1,0)</f>
        <v>0</v>
      </c>
      <c r="CM741" s="1143">
        <f>IF(OR($L739=CM$652,$L739="",$D739=$CN$651),MAX(CM$654:CM740)+1,0)</f>
        <v>0</v>
      </c>
      <c r="CN741" s="1144">
        <f>IF(OR($L739=CN$652,$L739="",$D739=$CN$651),MAX(CN$654:CN740)+1,0)</f>
        <v>86</v>
      </c>
    </row>
    <row r="742" spans="1:92" ht="12.75" customHeight="1">
      <c r="A742" s="219">
        <v>733</v>
      </c>
      <c r="B742" s="7145"/>
      <c r="C742" s="1034"/>
      <c r="D742" s="3876" t="s">
        <v>2028</v>
      </c>
      <c r="E742" s="3877">
        <v>40</v>
      </c>
      <c r="F742" s="3878">
        <v>10</v>
      </c>
      <c r="G742" s="3878">
        <v>8</v>
      </c>
      <c r="H742" s="3878">
        <v>8</v>
      </c>
      <c r="I742" s="3878" t="s">
        <v>1411</v>
      </c>
      <c r="J742" s="3878" t="s">
        <v>1410</v>
      </c>
      <c r="K742" s="3879" t="s">
        <v>6835</v>
      </c>
      <c r="L742" s="3878" t="str">
        <f t="shared" si="224"/>
        <v>Distinta</v>
      </c>
      <c r="M742" s="3880">
        <v>13</v>
      </c>
      <c r="N742" s="3880">
        <v>3</v>
      </c>
      <c r="O742" s="3880">
        <v>25</v>
      </c>
      <c r="P742" s="3878"/>
      <c r="Q742" s="3878"/>
      <c r="R742" s="3878" t="s">
        <v>1315</v>
      </c>
      <c r="S742" s="3878" t="s">
        <v>1315</v>
      </c>
      <c r="T742" s="3878" t="s">
        <v>1315</v>
      </c>
      <c r="U742" s="3878"/>
      <c r="V742" s="3881" t="s">
        <v>12425</v>
      </c>
      <c r="W742" s="2232"/>
      <c r="X742" s="2233" t="str">
        <f t="shared" si="225"/>
        <v>Pequeña</v>
      </c>
      <c r="Y742" s="2229">
        <f t="shared" si="226"/>
        <v>0</v>
      </c>
      <c r="Z742" s="1150" t="str">
        <f t="shared" si="193"/>
        <v/>
      </c>
      <c r="AA742" s="1751" t="s">
        <v>2019</v>
      </c>
      <c r="AC742" s="2568" t="s">
        <v>2028</v>
      </c>
      <c r="AD742" s="758">
        <f>IFERROR(IF(IF(AC742&lt;&gt;"",VLOOKUP(AC742,Tabla_ArmasyEscudos,9,0),"")="Conocida",MAX(AD$662:AD741)+1,0),0)</f>
        <v>0</v>
      </c>
      <c r="AE742" s="758">
        <f ca="1">IF(AC742="",0,IF(AD742=0,MAX(AE$654:AE741,AG$652)+1,AD742+IFERROR(VLOOKUP(VLOOKUP(AC742,$D$653:$AA$871,24,0),AC$654:AE$661,3,0)-VLOOKUP(VLOOKUP(AC742,$D$653:$AA$871,24,0),AC$654:AE$661,2,0)+1,0)))</f>
        <v>82</v>
      </c>
      <c r="AF742" s="758" t="str">
        <f t="shared" ca="1" si="194"/>
        <v>Kyoketsu-shogui</v>
      </c>
      <c r="AG742" s="758" t="str">
        <f t="shared" ca="1" si="195"/>
        <v/>
      </c>
      <c r="AH742" s="2568"/>
      <c r="AI742" s="758">
        <f>IFERROR(IF(IF(AH742&lt;&gt;"",VLOOKUP(AH742,Tabla_ArmasyEscudos,9,0),"")="Conocida",MAX(AI$660:AI741)+1,0),0)</f>
        <v>0</v>
      </c>
      <c r="AJ742" s="758">
        <f>IF(AH742="",0,IF(AI742=0,MAX(AJ$654:AJ741,AL$652)+1,AI742+IFERROR(VLOOKUP(VLOOKUP(AH742,$D$653:$AA$871,24,0),AH$654:AJ$659,3,0)-VLOOKUP(VLOOKUP(AH742,$D$653:$AA$871,24,0),AH$654:AJ$659,2,0)+1,0)))</f>
        <v>0</v>
      </c>
      <c r="AK742" s="758" t="str">
        <f t="shared" ca="1" si="196"/>
        <v/>
      </c>
      <c r="AL742" s="758" t="str">
        <f t="shared" ca="1" si="197"/>
        <v/>
      </c>
      <c r="AM742" s="2568"/>
      <c r="AN742" s="758">
        <f>IFERROR(IF(IF(AM742&lt;&gt;"",VLOOKUP(AM742,Tabla_ArmasyEscudos,9,0),"")="Conocida",MAX(AN$660:AN741)+1,0),0)</f>
        <v>0</v>
      </c>
      <c r="AO742" s="758">
        <f>IF(AM742="",0,IF(AN742=0,MAX(AO$654:AO741,AQ$652)+1,AN742+IFERROR(VLOOKUP(VLOOKUP(AM742,$D$653:$AA$871,24,0),AM$654:AO$659,3,0)-VLOOKUP(VLOOKUP(AM742,$D$653:$AA$871,24,0),AM$654:AO$659,2,0)+1,0)))</f>
        <v>0</v>
      </c>
      <c r="AP742" s="758" t="str">
        <f t="shared" ca="1" si="198"/>
        <v/>
      </c>
      <c r="AQ742" s="758" t="str">
        <f t="shared" ca="1" si="199"/>
        <v/>
      </c>
      <c r="AR742" s="2568"/>
      <c r="AS742" s="758">
        <f>IFERROR(IF(IF(AR742&lt;&gt;"",VLOOKUP(AR742,Tabla_ArmasyEscudos,9,0),"")="Conocida",MAX(AS$660:AS741)+1,0),0)</f>
        <v>0</v>
      </c>
      <c r="AT742" s="758">
        <f>IF(AR742="",0,IF(AS742=0,MAX(AT$654:AT741,AV$652)+1,AS742+IFERROR(VLOOKUP(VLOOKUP(AR742,$D$653:$AA$871,24,0),AR$654:AT$659,3,0)-VLOOKUP(VLOOKUP(AR742,$D$653:$AA$871,24,0),AR$654:AT$659,2,0)+1,0)))</f>
        <v>0</v>
      </c>
      <c r="AU742" s="758" t="str">
        <f t="shared" ca="1" si="200"/>
        <v/>
      </c>
      <c r="AV742" s="758" t="str">
        <f t="shared" ca="1" si="201"/>
        <v/>
      </c>
      <c r="AX742" s="1141" t="str">
        <f t="shared" si="202"/>
        <v>Katana</v>
      </c>
      <c r="AY742" s="2549"/>
      <c r="AZ742" s="774" t="str">
        <f t="shared" si="203"/>
        <v/>
      </c>
      <c r="BA742" s="76" t="str">
        <f t="shared" si="204"/>
        <v/>
      </c>
      <c r="BB742" s="76" t="str">
        <f t="shared" si="205"/>
        <v>Katana de doble hoja</v>
      </c>
      <c r="BC742" s="1142">
        <f>IF(OR($L740=BC$652,$L740="",$D740=$BE$651),MAX(BC$654:BC741)+1,0)</f>
        <v>0</v>
      </c>
      <c r="BD742" s="1143">
        <f>IF(OR($L740=BD$652,$L740="",$D740=$BE$651),MAX(BD$654:BD741)+1,0)</f>
        <v>0</v>
      </c>
      <c r="BE742" s="1144">
        <f>IF(OR($L740=BE$652,$L740="",$D740=$BE$651),MAX(BE$654:BE741)+1,0)</f>
        <v>87</v>
      </c>
      <c r="BF742" s="2549"/>
      <c r="BG742" s="774" t="str">
        <f t="shared" si="206"/>
        <v/>
      </c>
      <c r="BH742" s="76" t="str">
        <f t="shared" si="207"/>
        <v/>
      </c>
      <c r="BI742" s="76" t="str">
        <f t="shared" si="208"/>
        <v>Katana de doble hoja</v>
      </c>
      <c r="BJ742" s="1142">
        <f>IF(OR($L740=BJ$652,$L740="",$D740=$BL$651),MAX(BJ$654:BJ741)+1,0)</f>
        <v>0</v>
      </c>
      <c r="BK742" s="1143">
        <f>IF(OR($L740=BK$652,$L740="",$D740=$BL$651),MAX(BK$654:BK741)+1,0)</f>
        <v>0</v>
      </c>
      <c r="BL742" s="1144">
        <f>IF(OR($L740=BL$652,$L740="",$D740=$BL$651),MAX(BL$654:BL741)+1,0)</f>
        <v>87</v>
      </c>
      <c r="BM742" s="2549"/>
      <c r="BN742" s="774" t="str">
        <f t="shared" si="209"/>
        <v/>
      </c>
      <c r="BO742" s="76" t="str">
        <f t="shared" si="210"/>
        <v/>
      </c>
      <c r="BP742" s="76" t="str">
        <f t="shared" si="211"/>
        <v>Katana de doble hoja</v>
      </c>
      <c r="BQ742" s="1142">
        <f>IF(OR($L740=BQ$652,$L740="",$D740=$BS$651),MAX(BQ$654:BQ741)+1,0)</f>
        <v>0</v>
      </c>
      <c r="BR742" s="1143">
        <f>IF(OR($L740=BR$652,$L740="",$D740=$BS$651),MAX(BR$654:BR741)+1,0)</f>
        <v>0</v>
      </c>
      <c r="BS742" s="1144">
        <f>IF(OR($L740=BS$652,$L740="",$D740=$BS$651),MAX(BS$654:BS741)+1,0)</f>
        <v>87</v>
      </c>
      <c r="BT742" s="2549"/>
      <c r="BU742" s="774" t="str">
        <f t="shared" si="212"/>
        <v/>
      </c>
      <c r="BV742" s="76" t="str">
        <f t="shared" si="213"/>
        <v/>
      </c>
      <c r="BW742" s="76" t="str">
        <f t="shared" si="214"/>
        <v>Katana de doble hoja</v>
      </c>
      <c r="BX742" s="1142">
        <f>IF(OR($L740=BX$652,$L740="",$D740=$BZ$651),MAX(BX$654:BX741)+1,0)</f>
        <v>0</v>
      </c>
      <c r="BY742" s="1143">
        <f>IF(OR($L740=BY$652,$L740="",$D740=$BZ$651),MAX(BY$654:BY741)+1,0)</f>
        <v>0</v>
      </c>
      <c r="BZ742" s="1144">
        <f>IF(OR($L740=BZ$652,$L740="",$D740=$BZ$651),MAX(BZ$654:BZ741)+1,0)</f>
        <v>87</v>
      </c>
      <c r="CA742" s="2549"/>
      <c r="CB742" s="774" t="str">
        <f t="shared" si="215"/>
        <v/>
      </c>
      <c r="CC742" s="76" t="str">
        <f t="shared" si="216"/>
        <v/>
      </c>
      <c r="CD742" s="76" t="str">
        <f t="shared" si="217"/>
        <v>Katana de doble hoja</v>
      </c>
      <c r="CE742" s="1142">
        <f>IF(OR($L740=CE$652,$L740="",$D740=$CG$651),MAX(CE$654:CE741)+1,0)</f>
        <v>0</v>
      </c>
      <c r="CF742" s="1143">
        <f>IF(OR($L740=CF$652,$L740="",$D740=$CG$651),MAX(CF$654:CF741)+1,0)</f>
        <v>0</v>
      </c>
      <c r="CG742" s="1144">
        <f>IF(OR($L740=CG$652,$L740="",$D740=$CG$651),MAX(CG$654:CG741)+1,0)</f>
        <v>87</v>
      </c>
      <c r="CI742" s="774" t="str">
        <f t="shared" si="218"/>
        <v/>
      </c>
      <c r="CJ742" s="76" t="str">
        <f t="shared" si="219"/>
        <v/>
      </c>
      <c r="CK742" s="76" t="str">
        <f t="shared" si="220"/>
        <v>Katana de doble hoja</v>
      </c>
      <c r="CL742" s="1142">
        <f>IF(OR($L740=CL$652,$L740="",$D740=$CN$651),MAX(CL$654:CL741)+1,0)</f>
        <v>0</v>
      </c>
      <c r="CM742" s="1143">
        <f>IF(OR($L740=CM$652,$L740="",$D740=$CN$651),MAX(CM$654:CM741)+1,0)</f>
        <v>0</v>
      </c>
      <c r="CN742" s="1144">
        <f>IF(OR($L740=CN$652,$L740="",$D740=$CN$651),MAX(CN$654:CN741)+1,0)</f>
        <v>87</v>
      </c>
    </row>
    <row r="743" spans="1:92" ht="12.75" customHeight="1">
      <c r="A743" s="219">
        <v>734</v>
      </c>
      <c r="B743" s="7145"/>
      <c r="C743" s="1034"/>
      <c r="D743" s="3876" t="s">
        <v>2030</v>
      </c>
      <c r="E743" s="3877">
        <f>40-Bono_Fue</f>
        <v>40</v>
      </c>
      <c r="F743" s="3878">
        <v>5</v>
      </c>
      <c r="G743" s="3878">
        <v>5</v>
      </c>
      <c r="H743" s="3878">
        <v>5</v>
      </c>
      <c r="I743" s="3878" t="s">
        <v>1410</v>
      </c>
      <c r="J743" s="3878" t="s">
        <v>1357</v>
      </c>
      <c r="K743" s="3879" t="s">
        <v>6847</v>
      </c>
      <c r="L743" s="3878" t="str">
        <f t="shared" si="224"/>
        <v>Distinta</v>
      </c>
      <c r="M743" s="3880">
        <v>12</v>
      </c>
      <c r="N743" s="3880">
        <v>4</v>
      </c>
      <c r="O743" s="3880">
        <v>25</v>
      </c>
      <c r="P743" s="3878"/>
      <c r="Q743" s="3878"/>
      <c r="R743" s="3878" t="s">
        <v>1315</v>
      </c>
      <c r="S743" s="3878" t="s">
        <v>1315</v>
      </c>
      <c r="T743" s="3878" t="s">
        <v>1315</v>
      </c>
      <c r="U743" s="3878"/>
      <c r="V743" s="3881" t="s">
        <v>12428</v>
      </c>
      <c r="W743" s="2232"/>
      <c r="X743" s="2233" t="str">
        <f t="shared" si="225"/>
        <v>Pequeña</v>
      </c>
      <c r="Y743" s="2229">
        <f t="shared" si="226"/>
        <v>0</v>
      </c>
      <c r="Z743" s="1150" t="str">
        <f t="shared" si="193"/>
        <v/>
      </c>
      <c r="AA743" s="1751" t="s">
        <v>2019</v>
      </c>
      <c r="AC743" s="929" t="s">
        <v>6599</v>
      </c>
      <c r="AD743" s="758">
        <f>IFERROR(IF(IF(AC743&lt;&gt;"",VLOOKUP(AC743,Tabla_ArmasyEscudos,9,0),"")="Conocida",MAX(AD$662:AD742)+1,0),0)</f>
        <v>0</v>
      </c>
      <c r="AE743" s="758">
        <f ca="1">IF(AC743="",0,IF(AD743=0,MAX(AE$654:AE742,AG$652)+1,AD743+IFERROR(VLOOKUP(VLOOKUP(AC743,$D$653:$AA$871,24,0),AC$654:AE$661,3,0)-VLOOKUP(VLOOKUP(AC743,$D$653:$AA$871,24,0),AC$654:AE$661,2,0)+1,0)))</f>
        <v>83</v>
      </c>
      <c r="AF743" s="758" t="str">
        <f t="shared" ca="1" si="194"/>
        <v>Naginata</v>
      </c>
      <c r="AG743" s="758" t="str">
        <f t="shared" ca="1" si="195"/>
        <v/>
      </c>
      <c r="AH743" s="2568"/>
      <c r="AI743" s="758">
        <f>IFERROR(IF(IF(AH743&lt;&gt;"",VLOOKUP(AH743,Tabla_ArmasyEscudos,9,0),"")="Conocida",MAX(AI$660:AI742)+1,0),0)</f>
        <v>0</v>
      </c>
      <c r="AJ743" s="758">
        <f>IF(AH743="",0,IF(AI743=0,MAX(AJ$654:AJ742,AL$652)+1,AI743+IFERROR(VLOOKUP(VLOOKUP(AH743,$D$653:$AA$871,24,0),AH$654:AJ$659,3,0)-VLOOKUP(VLOOKUP(AH743,$D$653:$AA$871,24,0),AH$654:AJ$659,2,0)+1,0)))</f>
        <v>0</v>
      </c>
      <c r="AK743" s="758" t="str">
        <f t="shared" ca="1" si="196"/>
        <v/>
      </c>
      <c r="AL743" s="758" t="str">
        <f t="shared" ca="1" si="197"/>
        <v/>
      </c>
      <c r="AM743" s="2568"/>
      <c r="AN743" s="758">
        <f>IFERROR(IF(IF(AM743&lt;&gt;"",VLOOKUP(AM743,Tabla_ArmasyEscudos,9,0),"")="Conocida",MAX(AN$660:AN742)+1,0),0)</f>
        <v>0</v>
      </c>
      <c r="AO743" s="758">
        <f>IF(AM743="",0,IF(AN743=0,MAX(AO$654:AO742,AQ$652)+1,AN743+IFERROR(VLOOKUP(VLOOKUP(AM743,$D$653:$AA$871,24,0),AM$654:AO$659,3,0)-VLOOKUP(VLOOKUP(AM743,$D$653:$AA$871,24,0),AM$654:AO$659,2,0)+1,0)))</f>
        <v>0</v>
      </c>
      <c r="AP743" s="758" t="str">
        <f t="shared" ca="1" si="198"/>
        <v/>
      </c>
      <c r="AQ743" s="758" t="str">
        <f t="shared" ca="1" si="199"/>
        <v/>
      </c>
      <c r="AR743" s="2568"/>
      <c r="AS743" s="758">
        <f>IFERROR(IF(IF(AR743&lt;&gt;"",VLOOKUP(AR743,Tabla_ArmasyEscudos,9,0),"")="Conocida",MAX(AS$660:AS742)+1,0),0)</f>
        <v>0</v>
      </c>
      <c r="AT743" s="758">
        <f>IF(AR743="",0,IF(AS743=0,MAX(AT$654:AT742,AV$652)+1,AS743+IFERROR(VLOOKUP(VLOOKUP(AR743,$D$653:$AA$871,24,0),AR$654:AT$659,3,0)-VLOOKUP(VLOOKUP(AR743,$D$653:$AA$871,24,0),AR$654:AT$659,2,0)+1,0)))</f>
        <v>0</v>
      </c>
      <c r="AU743" s="758" t="str">
        <f t="shared" ca="1" si="200"/>
        <v/>
      </c>
      <c r="AV743" s="758" t="str">
        <f t="shared" ca="1" si="201"/>
        <v/>
      </c>
      <c r="AX743" s="1141" t="str">
        <f t="shared" si="202"/>
        <v>Katana de doble hoja</v>
      </c>
      <c r="AY743" s="2549"/>
      <c r="AZ743" s="774" t="str">
        <f t="shared" si="203"/>
        <v/>
      </c>
      <c r="BA743" s="76" t="str">
        <f t="shared" si="204"/>
        <v/>
      </c>
      <c r="BB743" s="76" t="str">
        <f t="shared" si="205"/>
        <v>Katar</v>
      </c>
      <c r="BC743" s="1142">
        <f>IF(OR($L741=BC$652,$L741="",$D741=$BE$651),MAX(BC$654:BC742)+1,0)</f>
        <v>0</v>
      </c>
      <c r="BD743" s="1143">
        <f>IF(OR($L741=BD$652,$L741="",$D741=$BE$651),MAX(BD$654:BD742)+1,0)</f>
        <v>0</v>
      </c>
      <c r="BE743" s="1144">
        <f>IF(OR($L741=BE$652,$L741="",$D741=$BE$651),MAX(BE$654:BE742)+1,0)</f>
        <v>88</v>
      </c>
      <c r="BF743" s="2549"/>
      <c r="BG743" s="774" t="str">
        <f t="shared" si="206"/>
        <v/>
      </c>
      <c r="BH743" s="76" t="str">
        <f t="shared" si="207"/>
        <v/>
      </c>
      <c r="BI743" s="76" t="str">
        <f t="shared" si="208"/>
        <v>Katar</v>
      </c>
      <c r="BJ743" s="1142">
        <f>IF(OR($L741=BJ$652,$L741="",$D741=$BL$651),MAX(BJ$654:BJ742)+1,0)</f>
        <v>0</v>
      </c>
      <c r="BK743" s="1143">
        <f>IF(OR($L741=BK$652,$L741="",$D741=$BL$651),MAX(BK$654:BK742)+1,0)</f>
        <v>0</v>
      </c>
      <c r="BL743" s="1144">
        <f>IF(OR($L741=BL$652,$L741="",$D741=$BL$651),MAX(BL$654:BL742)+1,0)</f>
        <v>88</v>
      </c>
      <c r="BM743" s="2549"/>
      <c r="BN743" s="774" t="str">
        <f t="shared" si="209"/>
        <v/>
      </c>
      <c r="BO743" s="76" t="str">
        <f t="shared" si="210"/>
        <v/>
      </c>
      <c r="BP743" s="76" t="str">
        <f t="shared" si="211"/>
        <v>Katar</v>
      </c>
      <c r="BQ743" s="1142">
        <f>IF(OR($L741=BQ$652,$L741="",$D741=$BS$651),MAX(BQ$654:BQ742)+1,0)</f>
        <v>0</v>
      </c>
      <c r="BR743" s="1143">
        <f>IF(OR($L741=BR$652,$L741="",$D741=$BS$651),MAX(BR$654:BR742)+1,0)</f>
        <v>0</v>
      </c>
      <c r="BS743" s="1144">
        <f>IF(OR($L741=BS$652,$L741="",$D741=$BS$651),MAX(BS$654:BS742)+1,0)</f>
        <v>88</v>
      </c>
      <c r="BT743" s="2549"/>
      <c r="BU743" s="774" t="str">
        <f t="shared" si="212"/>
        <v/>
      </c>
      <c r="BV743" s="76" t="str">
        <f t="shared" si="213"/>
        <v/>
      </c>
      <c r="BW743" s="76" t="str">
        <f t="shared" si="214"/>
        <v>Katar</v>
      </c>
      <c r="BX743" s="1142">
        <f>IF(OR($L741=BX$652,$L741="",$D741=$BZ$651),MAX(BX$654:BX742)+1,0)</f>
        <v>0</v>
      </c>
      <c r="BY743" s="1143">
        <f>IF(OR($L741=BY$652,$L741="",$D741=$BZ$651),MAX(BY$654:BY742)+1,0)</f>
        <v>0</v>
      </c>
      <c r="BZ743" s="1144">
        <f>IF(OR($L741=BZ$652,$L741="",$D741=$BZ$651),MAX(BZ$654:BZ742)+1,0)</f>
        <v>88</v>
      </c>
      <c r="CA743" s="2549"/>
      <c r="CB743" s="774" t="str">
        <f t="shared" si="215"/>
        <v/>
      </c>
      <c r="CC743" s="76" t="str">
        <f t="shared" si="216"/>
        <v/>
      </c>
      <c r="CD743" s="76" t="str">
        <f t="shared" si="217"/>
        <v>Katar</v>
      </c>
      <c r="CE743" s="1142">
        <f>IF(OR($L741=CE$652,$L741="",$D741=$CG$651),MAX(CE$654:CE742)+1,0)</f>
        <v>0</v>
      </c>
      <c r="CF743" s="1143">
        <f>IF(OR($L741=CF$652,$L741="",$D741=$CG$651),MAX(CF$654:CF742)+1,0)</f>
        <v>0</v>
      </c>
      <c r="CG743" s="1144">
        <f>IF(OR($L741=CG$652,$L741="",$D741=$CG$651),MAX(CG$654:CG742)+1,0)</f>
        <v>88</v>
      </c>
      <c r="CI743" s="774" t="str">
        <f t="shared" si="218"/>
        <v/>
      </c>
      <c r="CJ743" s="76" t="str">
        <f t="shared" si="219"/>
        <v/>
      </c>
      <c r="CK743" s="76" t="str">
        <f t="shared" si="220"/>
        <v>Katar</v>
      </c>
      <c r="CL743" s="1142">
        <f>IF(OR($L741=CL$652,$L741="",$D741=$CN$651),MAX(CL$654:CL742)+1,0)</f>
        <v>0</v>
      </c>
      <c r="CM743" s="1143">
        <f>IF(OR($L741=CM$652,$L741="",$D741=$CN$651),MAX(CM$654:CM742)+1,0)</f>
        <v>0</v>
      </c>
      <c r="CN743" s="1144">
        <f>IF(OR($L741=CN$652,$L741="",$D741=$CN$651),MAX(CN$654:CN742)+1,0)</f>
        <v>88</v>
      </c>
    </row>
    <row r="744" spans="1:92" ht="12.75" customHeight="1">
      <c r="A744" s="219">
        <v>735</v>
      </c>
      <c r="B744" s="7145"/>
      <c r="C744" s="1034"/>
      <c r="D744" s="2237" t="s">
        <v>2031</v>
      </c>
      <c r="E744" s="2239">
        <v>80</v>
      </c>
      <c r="F744" s="2236">
        <v>-35</v>
      </c>
      <c r="G744" s="2236">
        <v>10</v>
      </c>
      <c r="H744" s="2236">
        <v>8</v>
      </c>
      <c r="I744" s="2236" t="s">
        <v>1410</v>
      </c>
      <c r="J744" s="2236" t="s">
        <v>1315</v>
      </c>
      <c r="K744" s="2433" t="s">
        <v>6837</v>
      </c>
      <c r="L744" s="2236" t="str">
        <f t="shared" si="224"/>
        <v>Distinta</v>
      </c>
      <c r="M744" s="2240">
        <v>14</v>
      </c>
      <c r="N744" s="2240">
        <v>4</v>
      </c>
      <c r="O744" s="2240">
        <v>40</v>
      </c>
      <c r="P744" s="2236"/>
      <c r="Q744" s="2236"/>
      <c r="R744" s="2236" t="s">
        <v>1315</v>
      </c>
      <c r="S744" s="2236" t="s">
        <v>1315</v>
      </c>
      <c r="T744" s="2236" t="s">
        <v>1315</v>
      </c>
      <c r="U744" s="2236"/>
      <c r="V744" s="2232" t="s">
        <v>1979</v>
      </c>
      <c r="W744" s="2232"/>
      <c r="X744" s="2233" t="str">
        <f t="shared" si="225"/>
        <v>Grande</v>
      </c>
      <c r="Y744" s="2229">
        <f t="shared" si="226"/>
        <v>0</v>
      </c>
      <c r="Z744" s="1150" t="str">
        <f t="shared" si="193"/>
        <v/>
      </c>
      <c r="AA744" s="1751" t="s">
        <v>2019</v>
      </c>
      <c r="AC744" s="2568" t="s">
        <v>6600</v>
      </c>
      <c r="AD744" s="758">
        <f>IFERROR(IF(IF(AC744&lt;&gt;"",VLOOKUP(AC744,Tabla_ArmasyEscudos,9,0),"")="Conocida",MAX(AD$662:AD743)+1,0),0)</f>
        <v>0</v>
      </c>
      <c r="AE744" s="758">
        <f ca="1">IF(AC744="",0,IF(AD744=0,MAX(AE$654:AE743,AG$652)+1,AD744+IFERROR(VLOOKUP(VLOOKUP(AC744,$D$653:$AA$871,24,0),AC$654:AE$661,3,0)-VLOOKUP(VLOOKUP(AC744,$D$653:$AA$871,24,0),AC$654:AE$661,2,0)+1,0)))</f>
        <v>84</v>
      </c>
      <c r="AF744" s="758" t="str">
        <f t="shared" ca="1" si="194"/>
        <v>Ninja-to</v>
      </c>
      <c r="AG744" s="758" t="str">
        <f t="shared" ca="1" si="195"/>
        <v/>
      </c>
      <c r="AH744" s="2568"/>
      <c r="AI744" s="758">
        <f>IFERROR(IF(IF(AH744&lt;&gt;"",VLOOKUP(AH744,Tabla_ArmasyEscudos,9,0),"")="Conocida",MAX(AI$660:AI743)+1,0),0)</f>
        <v>0</v>
      </c>
      <c r="AJ744" s="758">
        <f>IF(AH744="",0,IF(AI744=0,MAX(AJ$654:AJ743,AL$652)+1,AI744+IFERROR(VLOOKUP(VLOOKUP(AH744,$D$653:$AA$871,24,0),AH$654:AJ$659,3,0)-VLOOKUP(VLOOKUP(AH744,$D$653:$AA$871,24,0),AH$654:AJ$659,2,0)+1,0)))</f>
        <v>0</v>
      </c>
      <c r="AK744" s="758" t="str">
        <f t="shared" ca="1" si="196"/>
        <v/>
      </c>
      <c r="AL744" s="758" t="str">
        <f t="shared" ca="1" si="197"/>
        <v/>
      </c>
      <c r="AM744" s="2568"/>
      <c r="AN744" s="758">
        <f>IFERROR(IF(IF(AM744&lt;&gt;"",VLOOKUP(AM744,Tabla_ArmasyEscudos,9,0),"")="Conocida",MAX(AN$660:AN743)+1,0),0)</f>
        <v>0</v>
      </c>
      <c r="AO744" s="758">
        <f>IF(AM744="",0,IF(AN744=0,MAX(AO$654:AO743,AQ$652)+1,AN744+IFERROR(VLOOKUP(VLOOKUP(AM744,$D$653:$AA$871,24,0),AM$654:AO$659,3,0)-VLOOKUP(VLOOKUP(AM744,$D$653:$AA$871,24,0),AM$654:AO$659,2,0)+1,0)))</f>
        <v>0</v>
      </c>
      <c r="AP744" s="758" t="str">
        <f t="shared" ca="1" si="198"/>
        <v/>
      </c>
      <c r="AQ744" s="758" t="str">
        <f t="shared" ca="1" si="199"/>
        <v/>
      </c>
      <c r="AR744" s="2568"/>
      <c r="AS744" s="758">
        <f>IFERROR(IF(IF(AR744&lt;&gt;"",VLOOKUP(AR744,Tabla_ArmasyEscudos,9,0),"")="Conocida",MAX(AS$660:AS743)+1,0),0)</f>
        <v>0</v>
      </c>
      <c r="AT744" s="758">
        <f>IF(AR744="",0,IF(AS744=0,MAX(AT$654:AT743,AV$652)+1,AS744+IFERROR(VLOOKUP(VLOOKUP(AR744,$D$653:$AA$871,24,0),AR$654:AT$659,3,0)-VLOOKUP(VLOOKUP(AR744,$D$653:$AA$871,24,0),AR$654:AT$659,2,0)+1,0)))</f>
        <v>0</v>
      </c>
      <c r="AU744" s="758" t="str">
        <f t="shared" ca="1" si="200"/>
        <v/>
      </c>
      <c r="AV744" s="758" t="str">
        <f t="shared" ca="1" si="201"/>
        <v/>
      </c>
      <c r="AX744" s="1141" t="str">
        <f t="shared" si="202"/>
        <v>Katar</v>
      </c>
      <c r="AY744" s="2549"/>
      <c r="AZ744" s="774" t="str">
        <f t="shared" si="203"/>
        <v/>
      </c>
      <c r="BA744" s="76" t="str">
        <f t="shared" si="204"/>
        <v/>
      </c>
      <c r="BB744" s="76" t="str">
        <f t="shared" si="205"/>
        <v>Kusari-Gama</v>
      </c>
      <c r="BC744" s="1142">
        <f>IF(OR($L742=BC$652,$L742="",$D742=$BE$651),MAX(BC$654:BC743)+1,0)</f>
        <v>0</v>
      </c>
      <c r="BD744" s="1143">
        <f>IF(OR($L742=BD$652,$L742="",$D742=$BE$651),MAX(BD$654:BD743)+1,0)</f>
        <v>0</v>
      </c>
      <c r="BE744" s="1144">
        <f>IF(OR($L742=BE$652,$L742="",$D742=$BE$651),MAX(BE$654:BE743)+1,0)</f>
        <v>89</v>
      </c>
      <c r="BF744" s="2549"/>
      <c r="BG744" s="774" t="str">
        <f t="shared" si="206"/>
        <v/>
      </c>
      <c r="BH744" s="76" t="str">
        <f t="shared" si="207"/>
        <v/>
      </c>
      <c r="BI744" s="76" t="str">
        <f t="shared" si="208"/>
        <v>Kusari-Gama</v>
      </c>
      <c r="BJ744" s="1142">
        <f>IF(OR($L742=BJ$652,$L742="",$D742=$BL$651),MAX(BJ$654:BJ743)+1,0)</f>
        <v>0</v>
      </c>
      <c r="BK744" s="1143">
        <f>IF(OR($L742=BK$652,$L742="",$D742=$BL$651),MAX(BK$654:BK743)+1,0)</f>
        <v>0</v>
      </c>
      <c r="BL744" s="1144">
        <f>IF(OR($L742=BL$652,$L742="",$D742=$BL$651),MAX(BL$654:BL743)+1,0)</f>
        <v>89</v>
      </c>
      <c r="BM744" s="2549"/>
      <c r="BN744" s="774" t="str">
        <f t="shared" si="209"/>
        <v/>
      </c>
      <c r="BO744" s="76" t="str">
        <f t="shared" si="210"/>
        <v/>
      </c>
      <c r="BP744" s="76" t="str">
        <f t="shared" si="211"/>
        <v>Kusari-Gama</v>
      </c>
      <c r="BQ744" s="1142">
        <f>IF(OR($L742=BQ$652,$L742="",$D742=$BS$651),MAX(BQ$654:BQ743)+1,0)</f>
        <v>0</v>
      </c>
      <c r="BR744" s="1143">
        <f>IF(OR($L742=BR$652,$L742="",$D742=$BS$651),MAX(BR$654:BR743)+1,0)</f>
        <v>0</v>
      </c>
      <c r="BS744" s="1144">
        <f>IF(OR($L742=BS$652,$L742="",$D742=$BS$651),MAX(BS$654:BS743)+1,0)</f>
        <v>89</v>
      </c>
      <c r="BT744" s="2549"/>
      <c r="BU744" s="774" t="str">
        <f t="shared" si="212"/>
        <v/>
      </c>
      <c r="BV744" s="76" t="str">
        <f t="shared" si="213"/>
        <v/>
      </c>
      <c r="BW744" s="76" t="str">
        <f t="shared" si="214"/>
        <v>Kusari-Gama</v>
      </c>
      <c r="BX744" s="1142">
        <f>IF(OR($L742=BX$652,$L742="",$D742=$BZ$651),MAX(BX$654:BX743)+1,0)</f>
        <v>0</v>
      </c>
      <c r="BY744" s="1143">
        <f>IF(OR($L742=BY$652,$L742="",$D742=$BZ$651),MAX(BY$654:BY743)+1,0)</f>
        <v>0</v>
      </c>
      <c r="BZ744" s="1144">
        <f>IF(OR($L742=BZ$652,$L742="",$D742=$BZ$651),MAX(BZ$654:BZ743)+1,0)</f>
        <v>89</v>
      </c>
      <c r="CA744" s="2549"/>
      <c r="CB744" s="774" t="str">
        <f t="shared" si="215"/>
        <v/>
      </c>
      <c r="CC744" s="76" t="str">
        <f t="shared" si="216"/>
        <v/>
      </c>
      <c r="CD744" s="76" t="str">
        <f t="shared" si="217"/>
        <v>Kusari-Gama</v>
      </c>
      <c r="CE744" s="1142">
        <f>IF(OR($L742=CE$652,$L742="",$D742=$CG$651),MAX(CE$654:CE743)+1,0)</f>
        <v>0</v>
      </c>
      <c r="CF744" s="1143">
        <f>IF(OR($L742=CF$652,$L742="",$D742=$CG$651),MAX(CF$654:CF743)+1,0)</f>
        <v>0</v>
      </c>
      <c r="CG744" s="1144">
        <f>IF(OR($L742=CG$652,$L742="",$D742=$CG$651),MAX(CG$654:CG743)+1,0)</f>
        <v>89</v>
      </c>
      <c r="CI744" s="774" t="str">
        <f t="shared" si="218"/>
        <v/>
      </c>
      <c r="CJ744" s="76" t="str">
        <f t="shared" si="219"/>
        <v/>
      </c>
      <c r="CK744" s="76" t="str">
        <f t="shared" si="220"/>
        <v>Kusari-Gama</v>
      </c>
      <c r="CL744" s="1142">
        <f>IF(OR($L742=CL$652,$L742="",$D742=$CN$651),MAX(CL$654:CL743)+1,0)</f>
        <v>0</v>
      </c>
      <c r="CM744" s="1143">
        <f>IF(OR($L742=CM$652,$L742="",$D742=$CN$651),MAX(CM$654:CM743)+1,0)</f>
        <v>0</v>
      </c>
      <c r="CN744" s="1144">
        <f>IF(OR($L742=CN$652,$L742="",$D742=$CN$651),MAX(CN$654:CN743)+1,0)</f>
        <v>89</v>
      </c>
    </row>
    <row r="745" spans="1:92" ht="12.75" customHeight="1">
      <c r="A745" s="219">
        <v>736</v>
      </c>
      <c r="B745" s="7145"/>
      <c r="C745" s="1034"/>
      <c r="D745" s="2237" t="s">
        <v>2032</v>
      </c>
      <c r="E745" s="2239">
        <v>30</v>
      </c>
      <c r="F745" s="2236">
        <v>15</v>
      </c>
      <c r="G745" s="2236">
        <v>5</v>
      </c>
      <c r="H745" s="2236">
        <v>5</v>
      </c>
      <c r="I745" s="2236" t="s">
        <v>1357</v>
      </c>
      <c r="J745" s="2236" t="s">
        <v>1315</v>
      </c>
      <c r="K745" s="2433" t="s">
        <v>6834</v>
      </c>
      <c r="L745" s="2236" t="str">
        <f t="shared" si="224"/>
        <v>Distinta</v>
      </c>
      <c r="M745" s="2240">
        <v>11</v>
      </c>
      <c r="N745" s="2240">
        <v>0</v>
      </c>
      <c r="O745" s="2240">
        <v>15</v>
      </c>
      <c r="P745" s="2236"/>
      <c r="Q745" s="2236"/>
      <c r="R745" s="2236" t="s">
        <v>1315</v>
      </c>
      <c r="S745" s="2236" t="s">
        <v>1315</v>
      </c>
      <c r="T745" s="2236" t="s">
        <v>1315</v>
      </c>
      <c r="U745" s="2236"/>
      <c r="V745" s="2232" t="s">
        <v>12106</v>
      </c>
      <c r="W745" s="2232"/>
      <c r="X745" s="2233" t="str">
        <f t="shared" si="225"/>
        <v>Mediana</v>
      </c>
      <c r="Y745" s="2229">
        <f t="shared" si="226"/>
        <v>0</v>
      </c>
      <c r="Z745" s="1150" t="str">
        <f t="shared" si="193"/>
        <v/>
      </c>
      <c r="AA745" s="1751" t="s">
        <v>2019</v>
      </c>
      <c r="AC745" s="2568" t="s">
        <v>6601</v>
      </c>
      <c r="AD745" s="758">
        <f>IFERROR(IF(IF(AC745&lt;&gt;"",VLOOKUP(AC745,Tabla_ArmasyEscudos,9,0),"")="Conocida",MAX(AD$662:AD744)+1,0),0)</f>
        <v>0</v>
      </c>
      <c r="AE745" s="758">
        <f ca="1">IF(AC745="",0,IF(AD745=0,MAX(AE$654:AE744,AG$652)+1,AD745+IFERROR(VLOOKUP(VLOOKUP(AC745,$D$653:$AA$871,24,0),AC$654:AE$661,3,0)-VLOOKUP(VLOOKUP(AC745,$D$653:$AA$871,24,0),AC$654:AE$661,2,0)+1,0)))</f>
        <v>85</v>
      </c>
      <c r="AF745" s="758" t="str">
        <f t="shared" ca="1" si="194"/>
        <v>Nodachi</v>
      </c>
      <c r="AG745" s="758" t="str">
        <f t="shared" ca="1" si="195"/>
        <v/>
      </c>
      <c r="AH745" s="2568"/>
      <c r="AI745" s="758">
        <f>IFERROR(IF(IF(AH745&lt;&gt;"",VLOOKUP(AH745,Tabla_ArmasyEscudos,9,0),"")="Conocida",MAX(AI$660:AI744)+1,0),0)</f>
        <v>0</v>
      </c>
      <c r="AJ745" s="758">
        <f>IF(AH745="",0,IF(AI745=0,MAX(AJ$654:AJ744,AL$652)+1,AI745+IFERROR(VLOOKUP(VLOOKUP(AH745,$D$653:$AA$871,24,0),AH$654:AJ$659,3,0)-VLOOKUP(VLOOKUP(AH745,$D$653:$AA$871,24,0),AH$654:AJ$659,2,0)+1,0)))</f>
        <v>0</v>
      </c>
      <c r="AK745" s="758" t="str">
        <f t="shared" ca="1" si="196"/>
        <v/>
      </c>
      <c r="AL745" s="758" t="str">
        <f t="shared" ca="1" si="197"/>
        <v/>
      </c>
      <c r="AM745" s="2568"/>
      <c r="AN745" s="758">
        <f>IFERROR(IF(IF(AM745&lt;&gt;"",VLOOKUP(AM745,Tabla_ArmasyEscudos,9,0),"")="Conocida",MAX(AN$660:AN744)+1,0),0)</f>
        <v>0</v>
      </c>
      <c r="AO745" s="758">
        <f>IF(AM745="",0,IF(AN745=0,MAX(AO$654:AO744,AQ$652)+1,AN745+IFERROR(VLOOKUP(VLOOKUP(AM745,$D$653:$AA$871,24,0),AM$654:AO$659,3,0)-VLOOKUP(VLOOKUP(AM745,$D$653:$AA$871,24,0),AM$654:AO$659,2,0)+1,0)))</f>
        <v>0</v>
      </c>
      <c r="AP745" s="758" t="str">
        <f t="shared" ca="1" si="198"/>
        <v/>
      </c>
      <c r="AQ745" s="758" t="str">
        <f t="shared" ca="1" si="199"/>
        <v/>
      </c>
      <c r="AR745" s="2568"/>
      <c r="AS745" s="758">
        <f>IFERROR(IF(IF(AR745&lt;&gt;"",VLOOKUP(AR745,Tabla_ArmasyEscudos,9,0),"")="Conocida",MAX(AS$660:AS744)+1,0),0)</f>
        <v>0</v>
      </c>
      <c r="AT745" s="758">
        <f>IF(AR745="",0,IF(AS745=0,MAX(AT$654:AT744,AV$652)+1,AS745+IFERROR(VLOOKUP(VLOOKUP(AR745,$D$653:$AA$871,24,0),AR$654:AT$659,3,0)-VLOOKUP(VLOOKUP(AR745,$D$653:$AA$871,24,0),AR$654:AT$659,2,0)+1,0)))</f>
        <v>0</v>
      </c>
      <c r="AU745" s="758" t="str">
        <f t="shared" ca="1" si="200"/>
        <v/>
      </c>
      <c r="AV745" s="758" t="str">
        <f t="shared" ca="1" si="201"/>
        <v/>
      </c>
      <c r="AX745" s="1141" t="str">
        <f t="shared" si="202"/>
        <v>Kusari-Gama</v>
      </c>
      <c r="AY745" s="2549"/>
      <c r="AZ745" s="774" t="str">
        <f t="shared" si="203"/>
        <v/>
      </c>
      <c r="BA745" s="76" t="str">
        <f t="shared" si="204"/>
        <v/>
      </c>
      <c r="BB745" s="76" t="str">
        <f t="shared" si="205"/>
        <v>Nodachi</v>
      </c>
      <c r="BC745" s="1142">
        <f>IF(OR($L743=BC$652,$L743="",$D743=$BE$651),MAX(BC$654:BC744)+1,0)</f>
        <v>0</v>
      </c>
      <c r="BD745" s="1143">
        <f>IF(OR($L743=BD$652,$L743="",$D743=$BE$651),MAX(BD$654:BD744)+1,0)</f>
        <v>0</v>
      </c>
      <c r="BE745" s="1144">
        <f>IF(OR($L743=BE$652,$L743="",$D743=$BE$651),MAX(BE$654:BE744)+1,0)</f>
        <v>90</v>
      </c>
      <c r="BF745" s="2549"/>
      <c r="BG745" s="774" t="str">
        <f t="shared" si="206"/>
        <v/>
      </c>
      <c r="BH745" s="76" t="str">
        <f t="shared" si="207"/>
        <v/>
      </c>
      <c r="BI745" s="76" t="str">
        <f t="shared" si="208"/>
        <v>Nodachi</v>
      </c>
      <c r="BJ745" s="1142">
        <f>IF(OR($L743=BJ$652,$L743="",$D743=$BL$651),MAX(BJ$654:BJ744)+1,0)</f>
        <v>0</v>
      </c>
      <c r="BK745" s="1143">
        <f>IF(OR($L743=BK$652,$L743="",$D743=$BL$651),MAX(BK$654:BK744)+1,0)</f>
        <v>0</v>
      </c>
      <c r="BL745" s="1144">
        <f>IF(OR($L743=BL$652,$L743="",$D743=$BL$651),MAX(BL$654:BL744)+1,0)</f>
        <v>90</v>
      </c>
      <c r="BM745" s="2549"/>
      <c r="BN745" s="774" t="str">
        <f t="shared" si="209"/>
        <v/>
      </c>
      <c r="BO745" s="76" t="str">
        <f t="shared" si="210"/>
        <v/>
      </c>
      <c r="BP745" s="76" t="str">
        <f t="shared" si="211"/>
        <v>Nodachi</v>
      </c>
      <c r="BQ745" s="1142">
        <f>IF(OR($L743=BQ$652,$L743="",$D743=$BS$651),MAX(BQ$654:BQ744)+1,0)</f>
        <v>0</v>
      </c>
      <c r="BR745" s="1143">
        <f>IF(OR($L743=BR$652,$L743="",$D743=$BS$651),MAX(BR$654:BR744)+1,0)</f>
        <v>0</v>
      </c>
      <c r="BS745" s="1144">
        <f>IF(OR($L743=BS$652,$L743="",$D743=$BS$651),MAX(BS$654:BS744)+1,0)</f>
        <v>90</v>
      </c>
      <c r="BT745" s="2549"/>
      <c r="BU745" s="774" t="str">
        <f t="shared" si="212"/>
        <v/>
      </c>
      <c r="BV745" s="76" t="str">
        <f t="shared" si="213"/>
        <v/>
      </c>
      <c r="BW745" s="76" t="str">
        <f t="shared" si="214"/>
        <v>Nodachi</v>
      </c>
      <c r="BX745" s="1142">
        <f>IF(OR($L743=BX$652,$L743="",$D743=$BZ$651),MAX(BX$654:BX744)+1,0)</f>
        <v>0</v>
      </c>
      <c r="BY745" s="1143">
        <f>IF(OR($L743=BY$652,$L743="",$D743=$BZ$651),MAX(BY$654:BY744)+1,0)</f>
        <v>0</v>
      </c>
      <c r="BZ745" s="1144">
        <f>IF(OR($L743=BZ$652,$L743="",$D743=$BZ$651),MAX(BZ$654:BZ744)+1,0)</f>
        <v>90</v>
      </c>
      <c r="CA745" s="2549"/>
      <c r="CB745" s="774" t="str">
        <f t="shared" si="215"/>
        <v/>
      </c>
      <c r="CC745" s="76" t="str">
        <f t="shared" si="216"/>
        <v/>
      </c>
      <c r="CD745" s="76" t="str">
        <f t="shared" si="217"/>
        <v>Nodachi</v>
      </c>
      <c r="CE745" s="1142">
        <f>IF(OR($L743=CE$652,$L743="",$D743=$CG$651),MAX(CE$654:CE744)+1,0)</f>
        <v>0</v>
      </c>
      <c r="CF745" s="1143">
        <f>IF(OR($L743=CF$652,$L743="",$D743=$CG$651),MAX(CF$654:CF744)+1,0)</f>
        <v>0</v>
      </c>
      <c r="CG745" s="1144">
        <f>IF(OR($L743=CG$652,$L743="",$D743=$CG$651),MAX(CG$654:CG744)+1,0)</f>
        <v>90</v>
      </c>
      <c r="CI745" s="774" t="str">
        <f t="shared" si="218"/>
        <v/>
      </c>
      <c r="CJ745" s="76" t="str">
        <f t="shared" si="219"/>
        <v/>
      </c>
      <c r="CK745" s="76" t="str">
        <f t="shared" si="220"/>
        <v>Nodachi</v>
      </c>
      <c r="CL745" s="1142">
        <f>IF(OR($L743=CL$652,$L743="",$D743=$CN$651),MAX(CL$654:CL744)+1,0)</f>
        <v>0</v>
      </c>
      <c r="CM745" s="1143">
        <f>IF(OR($L743=CM$652,$L743="",$D743=$CN$651),MAX(CM$654:CM744)+1,0)</f>
        <v>0</v>
      </c>
      <c r="CN745" s="1144">
        <f>IF(OR($L743=CN$652,$L743="",$D743=$CN$651),MAX(CN$654:CN744)+1,0)</f>
        <v>90</v>
      </c>
    </row>
    <row r="746" spans="1:92" ht="12.75" customHeight="1">
      <c r="A746" s="219">
        <v>737</v>
      </c>
      <c r="B746" s="7145"/>
      <c r="C746" s="1034"/>
      <c r="D746" s="2237" t="s">
        <v>2033</v>
      </c>
      <c r="E746" s="2239">
        <v>50</v>
      </c>
      <c r="F746" s="2236">
        <v>-20</v>
      </c>
      <c r="G746" s="2236">
        <v>10</v>
      </c>
      <c r="H746" s="2236">
        <v>8</v>
      </c>
      <c r="I746" s="2236" t="s">
        <v>1357</v>
      </c>
      <c r="J746" s="2236" t="s">
        <v>1410</v>
      </c>
      <c r="K746" s="2433" t="s">
        <v>6837</v>
      </c>
      <c r="L746" s="2236" t="str">
        <f t="shared" si="224"/>
        <v>Distinta</v>
      </c>
      <c r="M746" s="2240">
        <v>16</v>
      </c>
      <c r="N746" s="2240">
        <v>8</v>
      </c>
      <c r="O746" s="2240">
        <v>25</v>
      </c>
      <c r="P746" s="2236"/>
      <c r="Q746" s="2236"/>
      <c r="R746" s="2236" t="s">
        <v>1315</v>
      </c>
      <c r="S746" s="2236" t="s">
        <v>1315</v>
      </c>
      <c r="T746" s="2236" t="s">
        <v>1315</v>
      </c>
      <c r="U746" s="2236"/>
      <c r="V746" s="2232" t="s">
        <v>1979</v>
      </c>
      <c r="W746" s="2232"/>
      <c r="X746" s="2233" t="str">
        <f t="shared" si="225"/>
        <v>Grande</v>
      </c>
      <c r="Y746" s="2229">
        <f t="shared" si="226"/>
        <v>0</v>
      </c>
      <c r="Z746" s="1150" t="str">
        <f t="shared" si="193"/>
        <v/>
      </c>
      <c r="AA746" s="1751" t="s">
        <v>2019</v>
      </c>
      <c r="AC746" s="2568" t="s">
        <v>6602</v>
      </c>
      <c r="AD746" s="758">
        <f>IFERROR(IF(IF(AC746&lt;&gt;"",VLOOKUP(AC746,Tabla_ArmasyEscudos,9,0),"")="Conocida",MAX(AD$662:AD745)+1,0),0)</f>
        <v>0</v>
      </c>
      <c r="AE746" s="758">
        <f ca="1">IF(AC746="",0,IF(AD746=0,MAX(AE$654:AE745,AG$652)+1,AD746+IFERROR(VLOOKUP(VLOOKUP(AC746,$D$653:$AA$871,24,0),AC$654:AE$661,3,0)-VLOOKUP(VLOOKUP(AC746,$D$653:$AA$871,24,0),AC$654:AE$661,2,0)+1,0)))</f>
        <v>86</v>
      </c>
      <c r="AF746" s="758" t="str">
        <f t="shared" ca="1" si="194"/>
        <v>Nunchaku</v>
      </c>
      <c r="AG746" s="758" t="str">
        <f t="shared" ca="1" si="195"/>
        <v/>
      </c>
      <c r="AH746" s="2568"/>
      <c r="AI746" s="758">
        <f>IFERROR(IF(IF(AH746&lt;&gt;"",VLOOKUP(AH746,Tabla_ArmasyEscudos,9,0),"")="Conocida",MAX(AI$660:AI745)+1,0),0)</f>
        <v>0</v>
      </c>
      <c r="AJ746" s="758">
        <f>IF(AH746="",0,IF(AI746=0,MAX(AJ$654:AJ745,AL$652)+1,AI746+IFERROR(VLOOKUP(VLOOKUP(AH746,$D$653:$AA$871,24,0),AH$654:AJ$659,3,0)-VLOOKUP(VLOOKUP(AH746,$D$653:$AA$871,24,0),AH$654:AJ$659,2,0)+1,0)))</f>
        <v>0</v>
      </c>
      <c r="AK746" s="758" t="str">
        <f t="shared" ca="1" si="196"/>
        <v/>
      </c>
      <c r="AL746" s="758" t="str">
        <f t="shared" ca="1" si="197"/>
        <v/>
      </c>
      <c r="AM746" s="2568"/>
      <c r="AN746" s="758">
        <f>IFERROR(IF(IF(AM746&lt;&gt;"",VLOOKUP(AM746,Tabla_ArmasyEscudos,9,0),"")="Conocida",MAX(AN$660:AN745)+1,0),0)</f>
        <v>0</v>
      </c>
      <c r="AO746" s="758">
        <f>IF(AM746="",0,IF(AN746=0,MAX(AO$654:AO745,AQ$652)+1,AN746+IFERROR(VLOOKUP(VLOOKUP(AM746,$D$653:$AA$871,24,0),AM$654:AO$659,3,0)-VLOOKUP(VLOOKUP(AM746,$D$653:$AA$871,24,0),AM$654:AO$659,2,0)+1,0)))</f>
        <v>0</v>
      </c>
      <c r="AP746" s="758" t="str">
        <f t="shared" ca="1" si="198"/>
        <v/>
      </c>
      <c r="AQ746" s="758" t="str">
        <f t="shared" ca="1" si="199"/>
        <v/>
      </c>
      <c r="AR746" s="2568"/>
      <c r="AS746" s="758">
        <f>IFERROR(IF(IF(AR746&lt;&gt;"",VLOOKUP(AR746,Tabla_ArmasyEscudos,9,0),"")="Conocida",MAX(AS$660:AS745)+1,0),0)</f>
        <v>0</v>
      </c>
      <c r="AT746" s="758">
        <f>IF(AR746="",0,IF(AS746=0,MAX(AT$654:AT745,AV$652)+1,AS746+IFERROR(VLOOKUP(VLOOKUP(AR746,$D$653:$AA$871,24,0),AR$654:AT$659,3,0)-VLOOKUP(VLOOKUP(AR746,$D$653:$AA$871,24,0),AR$654:AT$659,2,0)+1,0)))</f>
        <v>0</v>
      </c>
      <c r="AU746" s="758" t="str">
        <f t="shared" ca="1" si="200"/>
        <v/>
      </c>
      <c r="AV746" s="758" t="str">
        <f t="shared" ca="1" si="201"/>
        <v/>
      </c>
      <c r="AX746" s="1141" t="str">
        <f t="shared" si="202"/>
        <v>Nodachi</v>
      </c>
      <c r="AY746" s="2549"/>
      <c r="AZ746" s="774" t="str">
        <f t="shared" si="203"/>
        <v/>
      </c>
      <c r="BA746" s="76" t="str">
        <f t="shared" si="204"/>
        <v/>
      </c>
      <c r="BB746" s="76" t="str">
        <f t="shared" si="205"/>
        <v>Nunchaku</v>
      </c>
      <c r="BC746" s="1142">
        <f>IF(OR($L744=BC$652,$L744="",$D744=$BE$651),MAX(BC$654:BC745)+1,0)</f>
        <v>0</v>
      </c>
      <c r="BD746" s="1143">
        <f>IF(OR($L744=BD$652,$L744="",$D744=$BE$651),MAX(BD$654:BD745)+1,0)</f>
        <v>0</v>
      </c>
      <c r="BE746" s="1144">
        <f>IF(OR($L744=BE$652,$L744="",$D744=$BE$651),MAX(BE$654:BE745)+1,0)</f>
        <v>91</v>
      </c>
      <c r="BF746" s="2549"/>
      <c r="BG746" s="774" t="str">
        <f t="shared" si="206"/>
        <v/>
      </c>
      <c r="BH746" s="76" t="str">
        <f t="shared" si="207"/>
        <v/>
      </c>
      <c r="BI746" s="76" t="str">
        <f t="shared" si="208"/>
        <v>Nunchaku</v>
      </c>
      <c r="BJ746" s="1142">
        <f>IF(OR($L744=BJ$652,$L744="",$D744=$BL$651),MAX(BJ$654:BJ745)+1,0)</f>
        <v>0</v>
      </c>
      <c r="BK746" s="1143">
        <f>IF(OR($L744=BK$652,$L744="",$D744=$BL$651),MAX(BK$654:BK745)+1,0)</f>
        <v>0</v>
      </c>
      <c r="BL746" s="1144">
        <f>IF(OR($L744=BL$652,$L744="",$D744=$BL$651),MAX(BL$654:BL745)+1,0)</f>
        <v>91</v>
      </c>
      <c r="BM746" s="2549"/>
      <c r="BN746" s="774" t="str">
        <f t="shared" si="209"/>
        <v/>
      </c>
      <c r="BO746" s="76" t="str">
        <f t="shared" si="210"/>
        <v/>
      </c>
      <c r="BP746" s="76" t="str">
        <f t="shared" si="211"/>
        <v>Nunchaku</v>
      </c>
      <c r="BQ746" s="1142">
        <f>IF(OR($L744=BQ$652,$L744="",$D744=$BS$651),MAX(BQ$654:BQ745)+1,0)</f>
        <v>0</v>
      </c>
      <c r="BR746" s="1143">
        <f>IF(OR($L744=BR$652,$L744="",$D744=$BS$651),MAX(BR$654:BR745)+1,0)</f>
        <v>0</v>
      </c>
      <c r="BS746" s="1144">
        <f>IF(OR($L744=BS$652,$L744="",$D744=$BS$651),MAX(BS$654:BS745)+1,0)</f>
        <v>91</v>
      </c>
      <c r="BT746" s="2549"/>
      <c r="BU746" s="774" t="str">
        <f t="shared" si="212"/>
        <v/>
      </c>
      <c r="BV746" s="76" t="str">
        <f t="shared" si="213"/>
        <v/>
      </c>
      <c r="BW746" s="76" t="str">
        <f t="shared" si="214"/>
        <v>Nunchaku</v>
      </c>
      <c r="BX746" s="1142">
        <f>IF(OR($L744=BX$652,$L744="",$D744=$BZ$651),MAX(BX$654:BX745)+1,0)</f>
        <v>0</v>
      </c>
      <c r="BY746" s="1143">
        <f>IF(OR($L744=BY$652,$L744="",$D744=$BZ$651),MAX(BY$654:BY745)+1,0)</f>
        <v>0</v>
      </c>
      <c r="BZ746" s="1144">
        <f>IF(OR($L744=BZ$652,$L744="",$D744=$BZ$651),MAX(BZ$654:BZ745)+1,0)</f>
        <v>91</v>
      </c>
      <c r="CA746" s="2549"/>
      <c r="CB746" s="774" t="str">
        <f t="shared" si="215"/>
        <v/>
      </c>
      <c r="CC746" s="76" t="str">
        <f t="shared" si="216"/>
        <v/>
      </c>
      <c r="CD746" s="76" t="str">
        <f t="shared" si="217"/>
        <v>Nunchaku</v>
      </c>
      <c r="CE746" s="1142">
        <f>IF(OR($L744=CE$652,$L744="",$D744=$CG$651),MAX(CE$654:CE745)+1,0)</f>
        <v>0</v>
      </c>
      <c r="CF746" s="1143">
        <f>IF(OR($L744=CF$652,$L744="",$D744=$CG$651),MAX(CF$654:CF745)+1,0)</f>
        <v>0</v>
      </c>
      <c r="CG746" s="1144">
        <f>IF(OR($L744=CG$652,$L744="",$D744=$CG$651),MAX(CG$654:CG745)+1,0)</f>
        <v>91</v>
      </c>
      <c r="CI746" s="774" t="str">
        <f t="shared" si="218"/>
        <v/>
      </c>
      <c r="CJ746" s="76" t="str">
        <f t="shared" si="219"/>
        <v/>
      </c>
      <c r="CK746" s="76" t="str">
        <f t="shared" si="220"/>
        <v>Nunchaku</v>
      </c>
      <c r="CL746" s="1142">
        <f>IF(OR($L744=CL$652,$L744="",$D744=$CN$651),MAX(CL$654:CL745)+1,0)</f>
        <v>0</v>
      </c>
      <c r="CM746" s="1143">
        <f>IF(OR($L744=CM$652,$L744="",$D744=$CN$651),MAX(CM$654:CM745)+1,0)</f>
        <v>0</v>
      </c>
      <c r="CN746" s="1144">
        <f>IF(OR($L744=CN$652,$L744="",$D744=$CN$651),MAX(CN$654:CN745)+1,0)</f>
        <v>91</v>
      </c>
    </row>
    <row r="747" spans="1:92" ht="12.75" customHeight="1">
      <c r="A747" s="219">
        <v>738</v>
      </c>
      <c r="B747" s="7145"/>
      <c r="C747" s="1034"/>
      <c r="D747" s="2237" t="s">
        <v>2034</v>
      </c>
      <c r="E747" s="2239">
        <v>35</v>
      </c>
      <c r="F747" s="2236">
        <v>15</v>
      </c>
      <c r="G747" s="2236">
        <v>4</v>
      </c>
      <c r="H747" s="2236">
        <v>4</v>
      </c>
      <c r="I747" s="2236" t="s">
        <v>1411</v>
      </c>
      <c r="J747" s="2236" t="s">
        <v>1410</v>
      </c>
      <c r="K747" s="2433" t="s">
        <v>6835</v>
      </c>
      <c r="L747" s="2236" t="str">
        <f t="shared" si="224"/>
        <v>Distinta</v>
      </c>
      <c r="M747" s="2240">
        <v>12</v>
      </c>
      <c r="N747" s="2240">
        <v>0</v>
      </c>
      <c r="O747" s="2240">
        <v>25</v>
      </c>
      <c r="P747" s="2236"/>
      <c r="Q747" s="2236"/>
      <c r="R747" s="2236" t="s">
        <v>1315</v>
      </c>
      <c r="S747" s="2236" t="s">
        <v>1315</v>
      </c>
      <c r="T747" s="2236" t="s">
        <v>1315</v>
      </c>
      <c r="U747" s="2236"/>
      <c r="V747" s="2232" t="s">
        <v>2035</v>
      </c>
      <c r="W747" s="2232"/>
      <c r="X747" s="2233" t="str">
        <f t="shared" si="225"/>
        <v>Pequeña</v>
      </c>
      <c r="Y747" s="2229">
        <f t="shared" si="226"/>
        <v>0</v>
      </c>
      <c r="Z747" s="1150" t="str">
        <f t="shared" si="193"/>
        <v/>
      </c>
      <c r="AA747" s="1751" t="s">
        <v>2019</v>
      </c>
      <c r="AC747" s="2568" t="s">
        <v>6603</v>
      </c>
      <c r="AD747" s="758">
        <f>IFERROR(IF(IF(AC747&lt;&gt;"",VLOOKUP(AC747,Tabla_ArmasyEscudos,9,0),"")="Conocida",MAX(AD$662:AD746)+1,0),0)</f>
        <v>0</v>
      </c>
      <c r="AE747" s="758">
        <f ca="1">IF(AC747="",0,IF(AD747=0,MAX(AE$654:AE746,AG$652)+1,AD747+IFERROR(VLOOKUP(VLOOKUP(AC747,$D$653:$AA$871,24,0),AC$654:AE$661,3,0)-VLOOKUP(VLOOKUP(AC747,$D$653:$AA$871,24,0),AC$654:AE$661,2,0)+1,0)))</f>
        <v>87</v>
      </c>
      <c r="AF747" s="758" t="str">
        <f t="shared" ca="1" si="194"/>
        <v>Quebradora</v>
      </c>
      <c r="AG747" s="758" t="str">
        <f t="shared" ca="1" si="195"/>
        <v/>
      </c>
      <c r="AH747" s="2568"/>
      <c r="AI747" s="758">
        <f>IFERROR(IF(IF(AH747&lt;&gt;"",VLOOKUP(AH747,Tabla_ArmasyEscudos,9,0),"")="Conocida",MAX(AI$660:AI746)+1,0),0)</f>
        <v>0</v>
      </c>
      <c r="AJ747" s="758">
        <f>IF(AH747="",0,IF(AI747=0,MAX(AJ$654:AJ746,AL$652)+1,AI747+IFERROR(VLOOKUP(VLOOKUP(AH747,$D$653:$AA$871,24,0),AH$654:AJ$659,3,0)-VLOOKUP(VLOOKUP(AH747,$D$653:$AA$871,24,0),AH$654:AJ$659,2,0)+1,0)))</f>
        <v>0</v>
      </c>
      <c r="AK747" s="758" t="str">
        <f t="shared" ca="1" si="196"/>
        <v/>
      </c>
      <c r="AL747" s="758" t="str">
        <f t="shared" ca="1" si="197"/>
        <v/>
      </c>
      <c r="AM747" s="2568"/>
      <c r="AN747" s="758">
        <f>IFERROR(IF(IF(AM747&lt;&gt;"",VLOOKUP(AM747,Tabla_ArmasyEscudos,9,0),"")="Conocida",MAX(AN$660:AN746)+1,0),0)</f>
        <v>0</v>
      </c>
      <c r="AO747" s="758">
        <f>IF(AM747="",0,IF(AN747=0,MAX(AO$654:AO746,AQ$652)+1,AN747+IFERROR(VLOOKUP(VLOOKUP(AM747,$D$653:$AA$871,24,0),AM$654:AO$659,3,0)-VLOOKUP(VLOOKUP(AM747,$D$653:$AA$871,24,0),AM$654:AO$659,2,0)+1,0)))</f>
        <v>0</v>
      </c>
      <c r="AP747" s="758" t="str">
        <f t="shared" ca="1" si="198"/>
        <v/>
      </c>
      <c r="AQ747" s="758" t="str">
        <f t="shared" ca="1" si="199"/>
        <v/>
      </c>
      <c r="AR747" s="2568"/>
      <c r="AS747" s="758">
        <f>IFERROR(IF(IF(AR747&lt;&gt;"",VLOOKUP(AR747,Tabla_ArmasyEscudos,9,0),"")="Conocida",MAX(AS$660:AS746)+1,0),0)</f>
        <v>0</v>
      </c>
      <c r="AT747" s="758">
        <f>IF(AR747="",0,IF(AS747=0,MAX(AT$654:AT746,AV$652)+1,AS747+IFERROR(VLOOKUP(VLOOKUP(AR747,$D$653:$AA$871,24,0),AR$654:AT$659,3,0)-VLOOKUP(VLOOKUP(AR747,$D$653:$AA$871,24,0),AR$654:AT$659,2,0)+1,0)))</f>
        <v>0</v>
      </c>
      <c r="AU747" s="758" t="str">
        <f t="shared" ca="1" si="200"/>
        <v/>
      </c>
      <c r="AV747" s="758" t="str">
        <f t="shared" ca="1" si="201"/>
        <v/>
      </c>
      <c r="AX747" s="1141" t="str">
        <f t="shared" si="202"/>
        <v>Nunchaku</v>
      </c>
      <c r="AY747" s="2549"/>
      <c r="AZ747" s="774" t="str">
        <f t="shared" si="203"/>
        <v/>
      </c>
      <c r="BA747" s="76" t="str">
        <f t="shared" si="204"/>
        <v/>
      </c>
      <c r="BB747" s="76" t="str">
        <f t="shared" si="205"/>
        <v>Quebradora</v>
      </c>
      <c r="BC747" s="1142">
        <f>IF(OR($L745=BC$652,$L745="",$D745=$BE$651),MAX(BC$654:BC746)+1,0)</f>
        <v>0</v>
      </c>
      <c r="BD747" s="1143">
        <f>IF(OR($L745=BD$652,$L745="",$D745=$BE$651),MAX(BD$654:BD746)+1,0)</f>
        <v>0</v>
      </c>
      <c r="BE747" s="1144">
        <f>IF(OR($L745=BE$652,$L745="",$D745=$BE$651),MAX(BE$654:BE746)+1,0)</f>
        <v>92</v>
      </c>
      <c r="BF747" s="2549"/>
      <c r="BG747" s="774" t="str">
        <f t="shared" si="206"/>
        <v/>
      </c>
      <c r="BH747" s="76" t="str">
        <f t="shared" si="207"/>
        <v/>
      </c>
      <c r="BI747" s="76" t="str">
        <f t="shared" si="208"/>
        <v>Quebradora</v>
      </c>
      <c r="BJ747" s="1142">
        <f>IF(OR($L745=BJ$652,$L745="",$D745=$BL$651),MAX(BJ$654:BJ746)+1,0)</f>
        <v>0</v>
      </c>
      <c r="BK747" s="1143">
        <f>IF(OR($L745=BK$652,$L745="",$D745=$BL$651),MAX(BK$654:BK746)+1,0)</f>
        <v>0</v>
      </c>
      <c r="BL747" s="1144">
        <f>IF(OR($L745=BL$652,$L745="",$D745=$BL$651),MAX(BL$654:BL746)+1,0)</f>
        <v>92</v>
      </c>
      <c r="BM747" s="2549"/>
      <c r="BN747" s="774" t="str">
        <f t="shared" si="209"/>
        <v/>
      </c>
      <c r="BO747" s="76" t="str">
        <f t="shared" si="210"/>
        <v/>
      </c>
      <c r="BP747" s="76" t="str">
        <f t="shared" si="211"/>
        <v>Quebradora</v>
      </c>
      <c r="BQ747" s="1142">
        <f>IF(OR($L745=BQ$652,$L745="",$D745=$BS$651),MAX(BQ$654:BQ746)+1,0)</f>
        <v>0</v>
      </c>
      <c r="BR747" s="1143">
        <f>IF(OR($L745=BR$652,$L745="",$D745=$BS$651),MAX(BR$654:BR746)+1,0)</f>
        <v>0</v>
      </c>
      <c r="BS747" s="1144">
        <f>IF(OR($L745=BS$652,$L745="",$D745=$BS$651),MAX(BS$654:BS746)+1,0)</f>
        <v>92</v>
      </c>
      <c r="BT747" s="2549"/>
      <c r="BU747" s="774" t="str">
        <f t="shared" si="212"/>
        <v/>
      </c>
      <c r="BV747" s="76" t="str">
        <f t="shared" si="213"/>
        <v/>
      </c>
      <c r="BW747" s="76" t="str">
        <f t="shared" si="214"/>
        <v>Quebradora</v>
      </c>
      <c r="BX747" s="1142">
        <f>IF(OR($L745=BX$652,$L745="",$D745=$BZ$651),MAX(BX$654:BX746)+1,0)</f>
        <v>0</v>
      </c>
      <c r="BY747" s="1143">
        <f>IF(OR($L745=BY$652,$L745="",$D745=$BZ$651),MAX(BY$654:BY746)+1,0)</f>
        <v>0</v>
      </c>
      <c r="BZ747" s="1144">
        <f>IF(OR($L745=BZ$652,$L745="",$D745=$BZ$651),MAX(BZ$654:BZ746)+1,0)</f>
        <v>92</v>
      </c>
      <c r="CA747" s="2549"/>
      <c r="CB747" s="774" t="str">
        <f t="shared" si="215"/>
        <v/>
      </c>
      <c r="CC747" s="76" t="str">
        <f t="shared" si="216"/>
        <v/>
      </c>
      <c r="CD747" s="76" t="str">
        <f t="shared" si="217"/>
        <v>Quebradora</v>
      </c>
      <c r="CE747" s="1142">
        <f>IF(OR($L745=CE$652,$L745="",$D745=$CG$651),MAX(CE$654:CE746)+1,0)</f>
        <v>0</v>
      </c>
      <c r="CF747" s="1143">
        <f>IF(OR($L745=CF$652,$L745="",$D745=$CG$651),MAX(CF$654:CF746)+1,0)</f>
        <v>0</v>
      </c>
      <c r="CG747" s="1144">
        <f>IF(OR($L745=CG$652,$L745="",$D745=$CG$651),MAX(CG$654:CG746)+1,0)</f>
        <v>92</v>
      </c>
      <c r="CI747" s="774" t="str">
        <f t="shared" si="218"/>
        <v/>
      </c>
      <c r="CJ747" s="76" t="str">
        <f t="shared" si="219"/>
        <v/>
      </c>
      <c r="CK747" s="76" t="str">
        <f t="shared" si="220"/>
        <v>Quebradora</v>
      </c>
      <c r="CL747" s="1142">
        <f>IF(OR($L745=CL$652,$L745="",$D745=$CN$651),MAX(CL$654:CL746)+1,0)</f>
        <v>0</v>
      </c>
      <c r="CM747" s="1143">
        <f>IF(OR($L745=CM$652,$L745="",$D745=$CN$651),MAX(CM$654:CM746)+1,0)</f>
        <v>0</v>
      </c>
      <c r="CN747" s="1144">
        <f>IF(OR($L745=CN$652,$L745="",$D745=$CN$651),MAX(CN$654:CN746)+1,0)</f>
        <v>92</v>
      </c>
    </row>
    <row r="748" spans="1:92" ht="12.75" customHeight="1">
      <c r="A748" s="219">
        <v>739</v>
      </c>
      <c r="B748" s="7145"/>
      <c r="C748" s="1034"/>
      <c r="D748" s="3876" t="s">
        <v>2036</v>
      </c>
      <c r="E748" s="3877">
        <v>20</v>
      </c>
      <c r="F748" s="3878">
        <v>10</v>
      </c>
      <c r="G748" s="3878">
        <v>4</v>
      </c>
      <c r="H748" s="3878">
        <v>4</v>
      </c>
      <c r="I748" s="3878" t="s">
        <v>1411</v>
      </c>
      <c r="J748" s="3878" t="s">
        <v>1315</v>
      </c>
      <c r="K748" s="3879" t="s">
        <v>6835</v>
      </c>
      <c r="L748" s="3878" t="str">
        <f t="shared" si="224"/>
        <v>Distinta</v>
      </c>
      <c r="M748" s="3880">
        <v>9</v>
      </c>
      <c r="N748" s="3880">
        <v>-2</v>
      </c>
      <c r="O748" s="3880">
        <v>25</v>
      </c>
      <c r="P748" s="3878"/>
      <c r="Q748" s="3878"/>
      <c r="R748" s="3878" t="s">
        <v>1315</v>
      </c>
      <c r="S748" s="3878" t="s">
        <v>1315</v>
      </c>
      <c r="T748" s="3878" t="s">
        <v>1315</v>
      </c>
      <c r="U748" s="3878"/>
      <c r="V748" s="3881" t="s">
        <v>12436</v>
      </c>
      <c r="W748" s="2232"/>
      <c r="X748" s="2233" t="str">
        <f t="shared" si="225"/>
        <v>Pequeña</v>
      </c>
      <c r="Y748" s="2229">
        <f t="shared" si="226"/>
        <v>0</v>
      </c>
      <c r="Z748" s="1150" t="str">
        <f t="shared" si="193"/>
        <v/>
      </c>
      <c r="AA748" s="1751" t="s">
        <v>2019</v>
      </c>
      <c r="AC748" s="2568" t="s">
        <v>6604</v>
      </c>
      <c r="AD748" s="758">
        <f>IFERROR(IF(IF(AC748&lt;&gt;"",VLOOKUP(AC748,Tabla_ArmasyEscudos,9,0),"")="Conocida",MAX(AD$662:AD747)+1,0),0)</f>
        <v>0</v>
      </c>
      <c r="AE748" s="758">
        <f ca="1">IF(AC748="",0,IF(AD748=0,MAX(AE$654:AE747,AG$652)+1,AD748+IFERROR(VLOOKUP(VLOOKUP(AC748,$D$653:$AA$871,24,0),AC$654:AE$661,3,0)-VLOOKUP(VLOOKUP(AC748,$D$653:$AA$871,24,0),AC$654:AE$661,2,0)+1,0)))</f>
        <v>88</v>
      </c>
      <c r="AF748" s="758" t="str">
        <f t="shared" ca="1" si="194"/>
        <v>Ram Dao</v>
      </c>
      <c r="AG748" s="758" t="str">
        <f t="shared" ca="1" si="195"/>
        <v/>
      </c>
      <c r="AH748" s="2568"/>
      <c r="AI748" s="758">
        <f>IFERROR(IF(IF(AH748&lt;&gt;"",VLOOKUP(AH748,Tabla_ArmasyEscudos,9,0),"")="Conocida",MAX(AI$660:AI747)+1,0),0)</f>
        <v>0</v>
      </c>
      <c r="AJ748" s="758">
        <f>IF(AH748="",0,IF(AI748=0,MAX(AJ$654:AJ747,AL$652)+1,AI748+IFERROR(VLOOKUP(VLOOKUP(AH748,$D$653:$AA$871,24,0),AH$654:AJ$659,3,0)-VLOOKUP(VLOOKUP(AH748,$D$653:$AA$871,24,0),AH$654:AJ$659,2,0)+1,0)))</f>
        <v>0</v>
      </c>
      <c r="AK748" s="758" t="str">
        <f t="shared" ca="1" si="196"/>
        <v/>
      </c>
      <c r="AL748" s="758" t="str">
        <f t="shared" ca="1" si="197"/>
        <v/>
      </c>
      <c r="AM748" s="2568"/>
      <c r="AN748" s="758">
        <f>IFERROR(IF(IF(AM748&lt;&gt;"",VLOOKUP(AM748,Tabla_ArmasyEscudos,9,0),"")="Conocida",MAX(AN$660:AN747)+1,0),0)</f>
        <v>0</v>
      </c>
      <c r="AO748" s="758">
        <f>IF(AM748="",0,IF(AN748=0,MAX(AO$654:AO747,AQ$652)+1,AN748+IFERROR(VLOOKUP(VLOOKUP(AM748,$D$653:$AA$871,24,0),AM$654:AO$659,3,0)-VLOOKUP(VLOOKUP(AM748,$D$653:$AA$871,24,0),AM$654:AO$659,2,0)+1,0)))</f>
        <v>0</v>
      </c>
      <c r="AP748" s="758" t="str">
        <f t="shared" ca="1" si="198"/>
        <v/>
      </c>
      <c r="AQ748" s="758" t="str">
        <f t="shared" ca="1" si="199"/>
        <v/>
      </c>
      <c r="AR748" s="2568"/>
      <c r="AS748" s="758">
        <f>IFERROR(IF(IF(AR748&lt;&gt;"",VLOOKUP(AR748,Tabla_ArmasyEscudos,9,0),"")="Conocida",MAX(AS$660:AS747)+1,0),0)</f>
        <v>0</v>
      </c>
      <c r="AT748" s="758">
        <f>IF(AR748="",0,IF(AS748=0,MAX(AT$654:AT747,AV$652)+1,AS748+IFERROR(VLOOKUP(VLOOKUP(AR748,$D$653:$AA$871,24,0),AR$654:AT$659,3,0)-VLOOKUP(VLOOKUP(AR748,$D$653:$AA$871,24,0),AR$654:AT$659,2,0)+1,0)))</f>
        <v>0</v>
      </c>
      <c r="AU748" s="758" t="str">
        <f t="shared" ca="1" si="200"/>
        <v/>
      </c>
      <c r="AV748" s="758" t="str">
        <f t="shared" ca="1" si="201"/>
        <v/>
      </c>
      <c r="AX748" s="1141" t="str">
        <f t="shared" si="202"/>
        <v>Quebradora</v>
      </c>
      <c r="AY748" s="2549"/>
      <c r="AZ748" s="774" t="str">
        <f t="shared" si="203"/>
        <v/>
      </c>
      <c r="BA748" s="76" t="str">
        <f t="shared" si="204"/>
        <v/>
      </c>
      <c r="BB748" s="76" t="str">
        <f t="shared" si="205"/>
        <v>Sai</v>
      </c>
      <c r="BC748" s="1142">
        <f>IF(OR($L746=BC$652,$L746="",$D746=$BE$651),MAX(BC$654:BC747)+1,0)</f>
        <v>0</v>
      </c>
      <c r="BD748" s="1143">
        <f>IF(OR($L746=BD$652,$L746="",$D746=$BE$651),MAX(BD$654:BD747)+1,0)</f>
        <v>0</v>
      </c>
      <c r="BE748" s="1144">
        <f>IF(OR($L746=BE$652,$L746="",$D746=$BE$651),MAX(BE$654:BE747)+1,0)</f>
        <v>93</v>
      </c>
      <c r="BF748" s="2549"/>
      <c r="BG748" s="774" t="str">
        <f t="shared" si="206"/>
        <v/>
      </c>
      <c r="BH748" s="76" t="str">
        <f t="shared" si="207"/>
        <v/>
      </c>
      <c r="BI748" s="76" t="str">
        <f t="shared" si="208"/>
        <v>Sai</v>
      </c>
      <c r="BJ748" s="1142">
        <f>IF(OR($L746=BJ$652,$L746="",$D746=$BL$651),MAX(BJ$654:BJ747)+1,0)</f>
        <v>0</v>
      </c>
      <c r="BK748" s="1143">
        <f>IF(OR($L746=BK$652,$L746="",$D746=$BL$651),MAX(BK$654:BK747)+1,0)</f>
        <v>0</v>
      </c>
      <c r="BL748" s="1144">
        <f>IF(OR($L746=BL$652,$L746="",$D746=$BL$651),MAX(BL$654:BL747)+1,0)</f>
        <v>93</v>
      </c>
      <c r="BM748" s="2549"/>
      <c r="BN748" s="774" t="str">
        <f t="shared" si="209"/>
        <v/>
      </c>
      <c r="BO748" s="76" t="str">
        <f t="shared" si="210"/>
        <v/>
      </c>
      <c r="BP748" s="76" t="str">
        <f t="shared" si="211"/>
        <v>Sai</v>
      </c>
      <c r="BQ748" s="1142">
        <f>IF(OR($L746=BQ$652,$L746="",$D746=$BS$651),MAX(BQ$654:BQ747)+1,0)</f>
        <v>0</v>
      </c>
      <c r="BR748" s="1143">
        <f>IF(OR($L746=BR$652,$L746="",$D746=$BS$651),MAX(BR$654:BR747)+1,0)</f>
        <v>0</v>
      </c>
      <c r="BS748" s="1144">
        <f>IF(OR($L746=BS$652,$L746="",$D746=$BS$651),MAX(BS$654:BS747)+1,0)</f>
        <v>93</v>
      </c>
      <c r="BT748" s="2549"/>
      <c r="BU748" s="774" t="str">
        <f t="shared" si="212"/>
        <v/>
      </c>
      <c r="BV748" s="76" t="str">
        <f t="shared" si="213"/>
        <v/>
      </c>
      <c r="BW748" s="76" t="str">
        <f t="shared" si="214"/>
        <v>Sai</v>
      </c>
      <c r="BX748" s="1142">
        <f>IF(OR($L746=BX$652,$L746="",$D746=$BZ$651),MAX(BX$654:BX747)+1,0)</f>
        <v>0</v>
      </c>
      <c r="BY748" s="1143">
        <f>IF(OR($L746=BY$652,$L746="",$D746=$BZ$651),MAX(BY$654:BY747)+1,0)</f>
        <v>0</v>
      </c>
      <c r="BZ748" s="1144">
        <f>IF(OR($L746=BZ$652,$L746="",$D746=$BZ$651),MAX(BZ$654:BZ747)+1,0)</f>
        <v>93</v>
      </c>
      <c r="CA748" s="2549"/>
      <c r="CB748" s="774" t="str">
        <f t="shared" si="215"/>
        <v/>
      </c>
      <c r="CC748" s="76" t="str">
        <f t="shared" si="216"/>
        <v/>
      </c>
      <c r="CD748" s="76" t="str">
        <f t="shared" si="217"/>
        <v>Sai</v>
      </c>
      <c r="CE748" s="1142">
        <f>IF(OR($L746=CE$652,$L746="",$D746=$CG$651),MAX(CE$654:CE747)+1,0)</f>
        <v>0</v>
      </c>
      <c r="CF748" s="1143">
        <f>IF(OR($L746=CF$652,$L746="",$D746=$CG$651),MAX(CF$654:CF747)+1,0)</f>
        <v>0</v>
      </c>
      <c r="CG748" s="1144">
        <f>IF(OR($L746=CG$652,$L746="",$D746=$CG$651),MAX(CG$654:CG747)+1,0)</f>
        <v>93</v>
      </c>
      <c r="CI748" s="774" t="str">
        <f t="shared" si="218"/>
        <v/>
      </c>
      <c r="CJ748" s="76" t="str">
        <f t="shared" si="219"/>
        <v/>
      </c>
      <c r="CK748" s="76" t="str">
        <f t="shared" si="220"/>
        <v>Sai</v>
      </c>
      <c r="CL748" s="1142">
        <f>IF(OR($L746=CL$652,$L746="",$D746=$CN$651),MAX(CL$654:CL747)+1,0)</f>
        <v>0</v>
      </c>
      <c r="CM748" s="1143">
        <f>IF(OR($L746=CM$652,$L746="",$D746=$CN$651),MAX(CM$654:CM747)+1,0)</f>
        <v>0</v>
      </c>
      <c r="CN748" s="1144">
        <f>IF(OR($L746=CN$652,$L746="",$D746=$CN$651),MAX(CN$654:CN747)+1,0)</f>
        <v>93</v>
      </c>
    </row>
    <row r="749" spans="1:92" ht="12.75" customHeight="1">
      <c r="A749" s="219">
        <v>740</v>
      </c>
      <c r="B749" s="7145"/>
      <c r="C749" s="1034"/>
      <c r="D749" s="3876" t="s">
        <v>2037</v>
      </c>
      <c r="E749" s="3877">
        <v>25</v>
      </c>
      <c r="F749" s="3878">
        <v>20</v>
      </c>
      <c r="G749" s="3878">
        <v>4</v>
      </c>
      <c r="H749" s="3878">
        <v>4</v>
      </c>
      <c r="I749" s="3878" t="s">
        <v>1410</v>
      </c>
      <c r="J749" s="3878" t="s">
        <v>1411</v>
      </c>
      <c r="K749" s="3879" t="s">
        <v>6835</v>
      </c>
      <c r="L749" s="3878" t="str">
        <f t="shared" si="224"/>
        <v>Distinta</v>
      </c>
      <c r="M749" s="3880">
        <v>10</v>
      </c>
      <c r="N749" s="3880">
        <v>1</v>
      </c>
      <c r="O749" s="3880">
        <v>20</v>
      </c>
      <c r="P749" s="3878"/>
      <c r="Q749" s="3878"/>
      <c r="R749" s="3880">
        <v>30</v>
      </c>
      <c r="S749" s="3878" t="s">
        <v>1315</v>
      </c>
      <c r="T749" s="3878">
        <v>20</v>
      </c>
      <c r="U749" s="3878"/>
      <c r="V749" s="3881" t="s">
        <v>12440</v>
      </c>
      <c r="W749" s="2232"/>
      <c r="X749" s="2233" t="str">
        <f t="shared" si="225"/>
        <v>Pequeña</v>
      </c>
      <c r="Y749" s="2229">
        <f t="shared" si="226"/>
        <v>0</v>
      </c>
      <c r="Z749" s="1150" t="str">
        <f t="shared" ref="Z749:Z778" si="228">IF(AND(K749&lt;&gt;"Natural/-",ISNUMBER(SEARCH(D749&amp;",",Armas_Conocidas))),", "&amp;K749,"")</f>
        <v/>
      </c>
      <c r="AA749" s="1751" t="s">
        <v>2019</v>
      </c>
      <c r="AC749" s="929" t="s">
        <v>6583</v>
      </c>
      <c r="AD749" s="758">
        <f>IFERROR(IF(IF(AC749&lt;&gt;"",VLOOKUP(AC749,Tabla_ArmasyEscudos,9,0),"")="Conocida",MAX(AD$662:AD748)+1,0),0)</f>
        <v>0</v>
      </c>
      <c r="AE749" s="758">
        <f ca="1">IF(AC749="",0,IF(AD749=0,MAX(AE$654:AE748,AG$652)+1,AD749+IFERROR(VLOOKUP(VLOOKUP(AC749,$D$653:$AA$871,24,0),AC$654:AE$661,3,0)-VLOOKUP(VLOOKUP(AC749,$D$653:$AA$871,24,0),AC$654:AE$661,2,0)+1,0)))</f>
        <v>89</v>
      </c>
      <c r="AF749" s="758" t="str">
        <f t="shared" ca="1" si="194"/>
        <v>Sai</v>
      </c>
      <c r="AG749" s="758" t="str">
        <f t="shared" ca="1" si="195"/>
        <v/>
      </c>
      <c r="AH749" s="2568"/>
      <c r="AI749" s="758">
        <f>IFERROR(IF(IF(AH749&lt;&gt;"",VLOOKUP(AH749,Tabla_ArmasyEscudos,9,0),"")="Conocida",MAX(AI$660:AI748)+1,0),0)</f>
        <v>0</v>
      </c>
      <c r="AJ749" s="758">
        <f>IF(AH749="",0,IF(AI749=0,MAX(AJ$654:AJ748,AL$652)+1,AI749+IFERROR(VLOOKUP(VLOOKUP(AH749,$D$653:$AA$871,24,0),AH$654:AJ$659,3,0)-VLOOKUP(VLOOKUP(AH749,$D$653:$AA$871,24,0),AH$654:AJ$659,2,0)+1,0)))</f>
        <v>0</v>
      </c>
      <c r="AK749" s="758" t="str">
        <f t="shared" ca="1" si="196"/>
        <v/>
      </c>
      <c r="AL749" s="758" t="str">
        <f t="shared" ca="1" si="197"/>
        <v/>
      </c>
      <c r="AM749" s="2568"/>
      <c r="AN749" s="758">
        <f>IFERROR(IF(IF(AM749&lt;&gt;"",VLOOKUP(AM749,Tabla_ArmasyEscudos,9,0),"")="Conocida",MAX(AN$660:AN748)+1,0),0)</f>
        <v>0</v>
      </c>
      <c r="AO749" s="758">
        <f>IF(AM749="",0,IF(AN749=0,MAX(AO$654:AO748,AQ$652)+1,AN749+IFERROR(VLOOKUP(VLOOKUP(AM749,$D$653:$AA$871,24,0),AM$654:AO$659,3,0)-VLOOKUP(VLOOKUP(AM749,$D$653:$AA$871,24,0),AM$654:AO$659,2,0)+1,0)))</f>
        <v>0</v>
      </c>
      <c r="AP749" s="758" t="str">
        <f t="shared" ca="1" si="198"/>
        <v/>
      </c>
      <c r="AQ749" s="758" t="str">
        <f t="shared" ca="1" si="199"/>
        <v/>
      </c>
      <c r="AR749" s="2568"/>
      <c r="AS749" s="758">
        <f>IFERROR(IF(IF(AR749&lt;&gt;"",VLOOKUP(AR749,Tabla_ArmasyEscudos,9,0),"")="Conocida",MAX(AS$660:AS748)+1,0),0)</f>
        <v>0</v>
      </c>
      <c r="AT749" s="758">
        <f>IF(AR749="",0,IF(AS749=0,MAX(AT$654:AT748,AV$652)+1,AS749+IFERROR(VLOOKUP(VLOOKUP(AR749,$D$653:$AA$871,24,0),AR$654:AT$659,3,0)-VLOOKUP(VLOOKUP(AR749,$D$653:$AA$871,24,0),AR$654:AT$659,2,0)+1,0)))</f>
        <v>0</v>
      </c>
      <c r="AU749" s="758" t="str">
        <f t="shared" ca="1" si="200"/>
        <v/>
      </c>
      <c r="AV749" s="758" t="str">
        <f t="shared" ca="1" si="201"/>
        <v/>
      </c>
      <c r="AX749" s="1141" t="str">
        <f t="shared" si="202"/>
        <v>Sai</v>
      </c>
      <c r="AY749" s="2549"/>
      <c r="AZ749" s="774" t="str">
        <f t="shared" si="203"/>
        <v/>
      </c>
      <c r="BA749" s="76" t="str">
        <f t="shared" si="204"/>
        <v/>
      </c>
      <c r="BB749" s="76" t="str">
        <f t="shared" si="205"/>
        <v>Shuko</v>
      </c>
      <c r="BC749" s="1142">
        <f>IF(OR($L747=BC$652,$L747="",$D747=$BE$651),MAX(BC$654:BC748)+1,0)</f>
        <v>0</v>
      </c>
      <c r="BD749" s="1143">
        <f>IF(OR($L747=BD$652,$L747="",$D747=$BE$651),MAX(BD$654:BD748)+1,0)</f>
        <v>0</v>
      </c>
      <c r="BE749" s="1144">
        <f>IF(OR($L747=BE$652,$L747="",$D747=$BE$651),MAX(BE$654:BE748)+1,0)</f>
        <v>94</v>
      </c>
      <c r="BF749" s="2549"/>
      <c r="BG749" s="774" t="str">
        <f t="shared" si="206"/>
        <v/>
      </c>
      <c r="BH749" s="76" t="str">
        <f t="shared" si="207"/>
        <v/>
      </c>
      <c r="BI749" s="76" t="str">
        <f t="shared" si="208"/>
        <v>Shuko</v>
      </c>
      <c r="BJ749" s="1142">
        <f>IF(OR($L747=BJ$652,$L747="",$D747=$BL$651),MAX(BJ$654:BJ748)+1,0)</f>
        <v>0</v>
      </c>
      <c r="BK749" s="1143">
        <f>IF(OR($L747=BK$652,$L747="",$D747=$BL$651),MAX(BK$654:BK748)+1,0)</f>
        <v>0</v>
      </c>
      <c r="BL749" s="1144">
        <f>IF(OR($L747=BL$652,$L747="",$D747=$BL$651),MAX(BL$654:BL748)+1,0)</f>
        <v>94</v>
      </c>
      <c r="BM749" s="2549"/>
      <c r="BN749" s="774" t="str">
        <f t="shared" si="209"/>
        <v/>
      </c>
      <c r="BO749" s="76" t="str">
        <f t="shared" si="210"/>
        <v/>
      </c>
      <c r="BP749" s="76" t="str">
        <f t="shared" si="211"/>
        <v>Shuko</v>
      </c>
      <c r="BQ749" s="1142">
        <f>IF(OR($L747=BQ$652,$L747="",$D747=$BS$651),MAX(BQ$654:BQ748)+1,0)</f>
        <v>0</v>
      </c>
      <c r="BR749" s="1143">
        <f>IF(OR($L747=BR$652,$L747="",$D747=$BS$651),MAX(BR$654:BR748)+1,0)</f>
        <v>0</v>
      </c>
      <c r="BS749" s="1144">
        <f>IF(OR($L747=BS$652,$L747="",$D747=$BS$651),MAX(BS$654:BS748)+1,0)</f>
        <v>94</v>
      </c>
      <c r="BT749" s="2549"/>
      <c r="BU749" s="774" t="str">
        <f t="shared" si="212"/>
        <v/>
      </c>
      <c r="BV749" s="76" t="str">
        <f t="shared" si="213"/>
        <v/>
      </c>
      <c r="BW749" s="76" t="str">
        <f t="shared" si="214"/>
        <v>Shuko</v>
      </c>
      <c r="BX749" s="1142">
        <f>IF(OR($L747=BX$652,$L747="",$D747=$BZ$651),MAX(BX$654:BX748)+1,0)</f>
        <v>0</v>
      </c>
      <c r="BY749" s="1143">
        <f>IF(OR($L747=BY$652,$L747="",$D747=$BZ$651),MAX(BY$654:BY748)+1,0)</f>
        <v>0</v>
      </c>
      <c r="BZ749" s="1144">
        <f>IF(OR($L747=BZ$652,$L747="",$D747=$BZ$651),MAX(BZ$654:BZ748)+1,0)</f>
        <v>94</v>
      </c>
      <c r="CA749" s="2549"/>
      <c r="CB749" s="774" t="str">
        <f t="shared" si="215"/>
        <v/>
      </c>
      <c r="CC749" s="76" t="str">
        <f t="shared" si="216"/>
        <v/>
      </c>
      <c r="CD749" s="76" t="str">
        <f t="shared" si="217"/>
        <v>Shuko</v>
      </c>
      <c r="CE749" s="1142">
        <f>IF(OR($L747=CE$652,$L747="",$D747=$CG$651),MAX(CE$654:CE748)+1,0)</f>
        <v>0</v>
      </c>
      <c r="CF749" s="1143">
        <f>IF(OR($L747=CF$652,$L747="",$D747=$CG$651),MAX(CF$654:CF748)+1,0)</f>
        <v>0</v>
      </c>
      <c r="CG749" s="1144">
        <f>IF(OR($L747=CG$652,$L747="",$D747=$CG$651),MAX(CG$654:CG748)+1,0)</f>
        <v>94</v>
      </c>
      <c r="CI749" s="774" t="str">
        <f t="shared" si="218"/>
        <v/>
      </c>
      <c r="CJ749" s="76" t="str">
        <f t="shared" si="219"/>
        <v/>
      </c>
      <c r="CK749" s="76" t="str">
        <f t="shared" si="220"/>
        <v>Shuko</v>
      </c>
      <c r="CL749" s="1142">
        <f>IF(OR($L747=CL$652,$L747="",$D747=$CN$651),MAX(CL$654:CL748)+1,0)</f>
        <v>0</v>
      </c>
      <c r="CM749" s="1143">
        <f>IF(OR($L747=CM$652,$L747="",$D747=$CN$651),MAX(CM$654:CM748)+1,0)</f>
        <v>0</v>
      </c>
      <c r="CN749" s="1144">
        <f>IF(OR($L747=CN$652,$L747="",$D747=$CN$651),MAX(CN$654:CN748)+1,0)</f>
        <v>94</v>
      </c>
    </row>
    <row r="750" spans="1:92" ht="12.75" customHeight="1">
      <c r="A750" s="219">
        <v>741</v>
      </c>
      <c r="B750" s="7145"/>
      <c r="C750" s="1034"/>
      <c r="D750" s="3876" t="s">
        <v>2038</v>
      </c>
      <c r="E750" s="3877">
        <v>40</v>
      </c>
      <c r="F750" s="3878">
        <v>20</v>
      </c>
      <c r="G750" s="3878">
        <v>3</v>
      </c>
      <c r="H750" s="3878">
        <v>3</v>
      </c>
      <c r="I750" s="3878" t="s">
        <v>1410</v>
      </c>
      <c r="J750" s="3878" t="s">
        <v>1315</v>
      </c>
      <c r="K750" s="3879" t="s">
        <v>6835</v>
      </c>
      <c r="L750" s="3878" t="str">
        <f t="shared" si="224"/>
        <v>Distinta</v>
      </c>
      <c r="M750" s="3880">
        <v>9</v>
      </c>
      <c r="N750" s="3880">
        <v>1</v>
      </c>
      <c r="O750" s="3880">
        <v>40</v>
      </c>
      <c r="P750" s="3878"/>
      <c r="Q750" s="3878"/>
      <c r="R750" s="3878" t="s">
        <v>1315</v>
      </c>
      <c r="S750" s="3878" t="s">
        <v>1315</v>
      </c>
      <c r="T750" s="3878" t="s">
        <v>1315</v>
      </c>
      <c r="U750" s="3878"/>
      <c r="V750" s="3881" t="s">
        <v>12439</v>
      </c>
      <c r="W750" s="2232"/>
      <c r="X750" s="2233" t="str">
        <f t="shared" si="225"/>
        <v>Pequeña</v>
      </c>
      <c r="Y750" s="2229">
        <f t="shared" si="226"/>
        <v>0</v>
      </c>
      <c r="Z750" s="1150" t="str">
        <f t="shared" si="228"/>
        <v/>
      </c>
      <c r="AA750" s="1751" t="s">
        <v>2019</v>
      </c>
      <c r="AC750" s="2568" t="s">
        <v>6605</v>
      </c>
      <c r="AD750" s="758">
        <f>IFERROR(IF(IF(AC750&lt;&gt;"",VLOOKUP(AC750,Tabla_ArmasyEscudos,9,0),"")="Conocida",MAX(AD$662:AD749)+1,0),0)</f>
        <v>0</v>
      </c>
      <c r="AE750" s="758">
        <f ca="1">IF(AC750="",0,IF(AD750=0,MAX(AE$654:AE749,AG$652)+1,AD750+IFERROR(VLOOKUP(VLOOKUP(AC750,$D$653:$AA$871,24,0),AC$654:AE$661,3,0)-VLOOKUP(VLOOKUP(AC750,$D$653:$AA$871,24,0),AC$654:AE$661,2,0)+1,0)))</f>
        <v>90</v>
      </c>
      <c r="AF750" s="758" t="str">
        <f t="shared" ca="1" si="194"/>
        <v>Sang Kauw</v>
      </c>
      <c r="AG750" s="758" t="str">
        <f t="shared" ca="1" si="195"/>
        <v/>
      </c>
      <c r="AH750" s="2568"/>
      <c r="AI750" s="758">
        <f>IFERROR(IF(IF(AH750&lt;&gt;"",VLOOKUP(AH750,Tabla_ArmasyEscudos,9,0),"")="Conocida",MAX(AI$660:AI749)+1,0),0)</f>
        <v>0</v>
      </c>
      <c r="AJ750" s="758">
        <f>IF(AH750="",0,IF(AI750=0,MAX(AJ$654:AJ749,AL$652)+1,AI750+IFERROR(VLOOKUP(VLOOKUP(AH750,$D$653:$AA$871,24,0),AH$654:AJ$659,3,0)-VLOOKUP(VLOOKUP(AH750,$D$653:$AA$871,24,0),AH$654:AJ$659,2,0)+1,0)))</f>
        <v>0</v>
      </c>
      <c r="AK750" s="758" t="str">
        <f t="shared" ca="1" si="196"/>
        <v/>
      </c>
      <c r="AL750" s="758" t="str">
        <f t="shared" ca="1" si="197"/>
        <v/>
      </c>
      <c r="AM750" s="2568"/>
      <c r="AN750" s="758">
        <f>IFERROR(IF(IF(AM750&lt;&gt;"",VLOOKUP(AM750,Tabla_ArmasyEscudos,9,0),"")="Conocida",MAX(AN$660:AN749)+1,0),0)</f>
        <v>0</v>
      </c>
      <c r="AO750" s="758">
        <f>IF(AM750="",0,IF(AN750=0,MAX(AO$654:AO749,AQ$652)+1,AN750+IFERROR(VLOOKUP(VLOOKUP(AM750,$D$653:$AA$871,24,0),AM$654:AO$659,3,0)-VLOOKUP(VLOOKUP(AM750,$D$653:$AA$871,24,0),AM$654:AO$659,2,0)+1,0)))</f>
        <v>0</v>
      </c>
      <c r="AP750" s="758" t="str">
        <f t="shared" ca="1" si="198"/>
        <v/>
      </c>
      <c r="AQ750" s="758" t="str">
        <f t="shared" ca="1" si="199"/>
        <v/>
      </c>
      <c r="AR750" s="2568"/>
      <c r="AS750" s="758">
        <f>IFERROR(IF(IF(AR750&lt;&gt;"",VLOOKUP(AR750,Tabla_ArmasyEscudos,9,0),"")="Conocida",MAX(AS$660:AS749)+1,0),0)</f>
        <v>0</v>
      </c>
      <c r="AT750" s="758">
        <f>IF(AR750="",0,IF(AS750=0,MAX(AT$654:AT749,AV$652)+1,AS750+IFERROR(VLOOKUP(VLOOKUP(AR750,$D$653:$AA$871,24,0),AR$654:AT$659,3,0)-VLOOKUP(VLOOKUP(AR750,$D$653:$AA$871,24,0),AR$654:AT$659,2,0)+1,0)))</f>
        <v>0</v>
      </c>
      <c r="AU750" s="758" t="str">
        <f t="shared" ca="1" si="200"/>
        <v/>
      </c>
      <c r="AV750" s="758" t="str">
        <f t="shared" ca="1" si="201"/>
        <v/>
      </c>
      <c r="AX750" s="1141" t="str">
        <f t="shared" si="202"/>
        <v>Shuko</v>
      </c>
      <c r="AY750" s="2549"/>
      <c r="AZ750" s="774" t="str">
        <f t="shared" si="203"/>
        <v/>
      </c>
      <c r="BA750" s="76" t="str">
        <f t="shared" si="204"/>
        <v/>
      </c>
      <c r="BB750" s="76" t="str">
        <f t="shared" si="205"/>
        <v>Shuriken</v>
      </c>
      <c r="BC750" s="1142">
        <f>IF(OR($L748=BC$652,$L748="",$D748=$BE$651),MAX(BC$654:BC749)+1,0)</f>
        <v>0</v>
      </c>
      <c r="BD750" s="1143">
        <f>IF(OR($L748=BD$652,$L748="",$D748=$BE$651),MAX(BD$654:BD749)+1,0)</f>
        <v>0</v>
      </c>
      <c r="BE750" s="1144">
        <f>IF(OR($L748=BE$652,$L748="",$D748=$BE$651),MAX(BE$654:BE749)+1,0)</f>
        <v>95</v>
      </c>
      <c r="BF750" s="2549"/>
      <c r="BG750" s="774" t="str">
        <f t="shared" si="206"/>
        <v/>
      </c>
      <c r="BH750" s="76" t="str">
        <f t="shared" si="207"/>
        <v/>
      </c>
      <c r="BI750" s="76" t="str">
        <f t="shared" si="208"/>
        <v>Shuriken</v>
      </c>
      <c r="BJ750" s="1142">
        <f>IF(OR($L748=BJ$652,$L748="",$D748=$BL$651),MAX(BJ$654:BJ749)+1,0)</f>
        <v>0</v>
      </c>
      <c r="BK750" s="1143">
        <f>IF(OR($L748=BK$652,$L748="",$D748=$BL$651),MAX(BK$654:BK749)+1,0)</f>
        <v>0</v>
      </c>
      <c r="BL750" s="1144">
        <f>IF(OR($L748=BL$652,$L748="",$D748=$BL$651),MAX(BL$654:BL749)+1,0)</f>
        <v>95</v>
      </c>
      <c r="BM750" s="2549"/>
      <c r="BN750" s="774" t="str">
        <f t="shared" si="209"/>
        <v/>
      </c>
      <c r="BO750" s="76" t="str">
        <f t="shared" si="210"/>
        <v/>
      </c>
      <c r="BP750" s="76" t="str">
        <f t="shared" si="211"/>
        <v>Shuriken</v>
      </c>
      <c r="BQ750" s="1142">
        <f>IF(OR($L748=BQ$652,$L748="",$D748=$BS$651),MAX(BQ$654:BQ749)+1,0)</f>
        <v>0</v>
      </c>
      <c r="BR750" s="1143">
        <f>IF(OR($L748=BR$652,$L748="",$D748=$BS$651),MAX(BR$654:BR749)+1,0)</f>
        <v>0</v>
      </c>
      <c r="BS750" s="1144">
        <f>IF(OR($L748=BS$652,$L748="",$D748=$BS$651),MAX(BS$654:BS749)+1,0)</f>
        <v>95</v>
      </c>
      <c r="BT750" s="2549"/>
      <c r="BU750" s="774" t="str">
        <f t="shared" si="212"/>
        <v/>
      </c>
      <c r="BV750" s="76" t="str">
        <f t="shared" si="213"/>
        <v/>
      </c>
      <c r="BW750" s="76" t="str">
        <f t="shared" si="214"/>
        <v>Shuriken</v>
      </c>
      <c r="BX750" s="1142">
        <f>IF(OR($L748=BX$652,$L748="",$D748=$BZ$651),MAX(BX$654:BX749)+1,0)</f>
        <v>0</v>
      </c>
      <c r="BY750" s="1143">
        <f>IF(OR($L748=BY$652,$L748="",$D748=$BZ$651),MAX(BY$654:BY749)+1,0)</f>
        <v>0</v>
      </c>
      <c r="BZ750" s="1144">
        <f>IF(OR($L748=BZ$652,$L748="",$D748=$BZ$651),MAX(BZ$654:BZ749)+1,0)</f>
        <v>95</v>
      </c>
      <c r="CA750" s="2549"/>
      <c r="CB750" s="774" t="str">
        <f t="shared" si="215"/>
        <v/>
      </c>
      <c r="CC750" s="76" t="str">
        <f t="shared" si="216"/>
        <v/>
      </c>
      <c r="CD750" s="76" t="str">
        <f t="shared" si="217"/>
        <v>Shuriken</v>
      </c>
      <c r="CE750" s="1142">
        <f>IF(OR($L748=CE$652,$L748="",$D748=$CG$651),MAX(CE$654:CE749)+1,0)</f>
        <v>0</v>
      </c>
      <c r="CF750" s="1143">
        <f>IF(OR($L748=CF$652,$L748="",$D748=$CG$651),MAX(CF$654:CF749)+1,0)</f>
        <v>0</v>
      </c>
      <c r="CG750" s="1144">
        <f>IF(OR($L748=CG$652,$L748="",$D748=$CG$651),MAX(CG$654:CG749)+1,0)</f>
        <v>95</v>
      </c>
      <c r="CI750" s="774" t="str">
        <f t="shared" si="218"/>
        <v/>
      </c>
      <c r="CJ750" s="76" t="str">
        <f t="shared" si="219"/>
        <v/>
      </c>
      <c r="CK750" s="76" t="str">
        <f t="shared" si="220"/>
        <v>Shuriken</v>
      </c>
      <c r="CL750" s="1142">
        <f>IF(OR($L748=CL$652,$L748="",$D748=$CN$651),MAX(CL$654:CL749)+1,0)</f>
        <v>0</v>
      </c>
      <c r="CM750" s="1143">
        <f>IF(OR($L748=CM$652,$L748="",$D748=$CN$651),MAX(CM$654:CM749)+1,0)</f>
        <v>0</v>
      </c>
      <c r="CN750" s="1144">
        <f>IF(OR($L748=CN$652,$L748="",$D748=$CN$651),MAX(CN$654:CN749)+1,0)</f>
        <v>95</v>
      </c>
    </row>
    <row r="751" spans="1:92" ht="12.75" customHeight="1">
      <c r="A751" s="219">
        <v>742</v>
      </c>
      <c r="B751" s="7145"/>
      <c r="C751" s="1034"/>
      <c r="D751" s="2237" t="s">
        <v>2039</v>
      </c>
      <c r="E751" s="2239">
        <v>30</v>
      </c>
      <c r="F751" s="2236">
        <v>20</v>
      </c>
      <c r="G751" s="2236">
        <v>4</v>
      </c>
      <c r="H751" s="2236">
        <v>4</v>
      </c>
      <c r="I751" s="2236" t="s">
        <v>1357</v>
      </c>
      <c r="J751" s="2236" t="s">
        <v>1315</v>
      </c>
      <c r="K751" s="2433" t="s">
        <v>6835</v>
      </c>
      <c r="L751" s="2236" t="str">
        <f t="shared" si="224"/>
        <v>Distinta</v>
      </c>
      <c r="M751" s="2240">
        <v>13</v>
      </c>
      <c r="N751" s="2240">
        <v>0</v>
      </c>
      <c r="O751" s="2240">
        <v>25</v>
      </c>
      <c r="P751" s="2236"/>
      <c r="Q751" s="2236"/>
      <c r="R751" s="2236" t="s">
        <v>1315</v>
      </c>
      <c r="S751" s="2236" t="s">
        <v>1315</v>
      </c>
      <c r="T751" s="2236" t="s">
        <v>1315</v>
      </c>
      <c r="U751" s="2236"/>
      <c r="V751" s="2232" t="s">
        <v>1983</v>
      </c>
      <c r="W751" s="2232"/>
      <c r="X751" s="2233" t="str">
        <f t="shared" si="225"/>
        <v>Pequeña</v>
      </c>
      <c r="Y751" s="2229">
        <f t="shared" si="226"/>
        <v>0</v>
      </c>
      <c r="Z751" s="1150" t="str">
        <f t="shared" si="228"/>
        <v/>
      </c>
      <c r="AA751" s="1751" t="s">
        <v>2019</v>
      </c>
      <c r="AC751" s="2568" t="s">
        <v>2031</v>
      </c>
      <c r="AD751" s="758">
        <f>IFERROR(IF(IF(AC751&lt;&gt;"",VLOOKUP(AC751,Tabla_ArmasyEscudos,9,0),"")="Conocida",MAX(AD$662:AD750)+1,0),0)</f>
        <v>0</v>
      </c>
      <c r="AE751" s="758">
        <f ca="1">IF(AC751="",0,IF(AD751=0,MAX(AE$654:AE750,AG$652)+1,AD751+IFERROR(VLOOKUP(VLOOKUP(AC751,$D$653:$AA$871,24,0),AC$654:AE$661,3,0)-VLOOKUP(VLOOKUP(AC751,$D$653:$AA$871,24,0),AC$654:AE$661,2,0)+1,0)))</f>
        <v>91</v>
      </c>
      <c r="AF751" s="758" t="str">
        <f t="shared" ref="AF751:AF782" ca="1" si="229">IFERROR(INDEX(AC$654:AC$808,MATCH($A97,AE$654:AE$808,0)),"")</f>
        <v>Shuko</v>
      </c>
      <c r="AG751" s="758" t="str">
        <f t="shared" ref="AG751:AG780" ca="1" si="230">IF($A97&lt;MIN($AE$662,IF($AE$660&gt;0,$AE$660,9999),IF($AE$661&gt;0,$AE$661,9999)),IFERROR(INDEX(AC$654:AC$808,MATCH($A97,AE$654:AE$808,0)),""),"")</f>
        <v/>
      </c>
      <c r="AH751" s="2568"/>
      <c r="AI751" s="758">
        <f>IFERROR(IF(IF(AH751&lt;&gt;"",VLOOKUP(AH751,Tabla_ArmasyEscudos,9,0),"")="Conocida",MAX(AI$660:AI750)+1,0),0)</f>
        <v>0</v>
      </c>
      <c r="AJ751" s="758">
        <f>IF(AH751="",0,IF(AI751=0,MAX(AJ$654:AJ750,AL$652)+1,AI751+IFERROR(VLOOKUP(VLOOKUP(AH751,$D$653:$AA$871,24,0),AH$654:AJ$659,3,0)-VLOOKUP(VLOOKUP(AH751,$D$653:$AA$871,24,0),AH$654:AJ$659,2,0)+1,0)))</f>
        <v>0</v>
      </c>
      <c r="AK751" s="758" t="str">
        <f t="shared" ref="AK751:AK780" ca="1" si="231">IFERROR(INDEX(AH$654:AH$806,MATCH($A97,AJ$654:AJ$806,0)),"")</f>
        <v/>
      </c>
      <c r="AL751" s="758" t="str">
        <f t="shared" ref="AL751:AL780" ca="1" si="232">IF($A97&lt;MIN(AJ$660,IF($AJ$657&gt;0,$AJ$657,9999)),IFERROR(INDEX(AH$654:AH$806,MATCH($A97,AJ$654:AJ$806,0)),""),"")</f>
        <v/>
      </c>
      <c r="AM751" s="2568"/>
      <c r="AN751" s="758">
        <f>IFERROR(IF(IF(AM751&lt;&gt;"",VLOOKUP(AM751,Tabla_ArmasyEscudos,9,0),"")="Conocida",MAX(AN$660:AN750)+1,0),0)</f>
        <v>0</v>
      </c>
      <c r="AO751" s="758">
        <f>IF(AM751="",0,IF(AN751=0,MAX(AO$654:AO750,AQ$652)+1,AN751+IFERROR(VLOOKUP(VLOOKUP(AM751,$D$653:$AA$871,24,0),AM$654:AO$659,3,0)-VLOOKUP(VLOOKUP(AM751,$D$653:$AA$871,24,0),AM$654:AO$659,2,0)+1,0)))</f>
        <v>0</v>
      </c>
      <c r="AP751" s="758" t="str">
        <f t="shared" ref="AP751:AP780" ca="1" si="233">IFERROR(INDEX(AM$654:AM$806,MATCH($A97,AO$654:AO$806,0)),"")</f>
        <v/>
      </c>
      <c r="AQ751" s="758" t="str">
        <f t="shared" ref="AQ751:AQ780" ca="1" si="234">IF($A97&lt;MIN(AO$660,IF($AO$656&gt;0,$AO$656,9999)),IFERROR(INDEX(AM$654:AM$806,MATCH($A97,AO$654:AO$806,0)),""),"")</f>
        <v/>
      </c>
      <c r="AR751" s="2568"/>
      <c r="AS751" s="758">
        <f>IFERROR(IF(IF(AR751&lt;&gt;"",VLOOKUP(AR751,Tabla_ArmasyEscudos,9,0),"")="Conocida",MAX(AS$660:AS750)+1,0),0)</f>
        <v>0</v>
      </c>
      <c r="AT751" s="758">
        <f>IF(AR751="",0,IF(AS751=0,MAX(AT$654:AT750,AV$652)+1,AS751+IFERROR(VLOOKUP(VLOOKUP(AR751,$D$653:$AA$871,24,0),AR$654:AT$659,3,0)-VLOOKUP(VLOOKUP(AR751,$D$653:$AA$871,24,0),AR$654:AT$659,2,0)+1,0)))</f>
        <v>0</v>
      </c>
      <c r="AU751" s="758" t="str">
        <f t="shared" ref="AU751:AU780" ca="1" si="235">IFERROR(INDEX(AR$654:AR$806,MATCH($A97,AT$654:AT$806,0)),"")</f>
        <v/>
      </c>
      <c r="AV751" s="758" t="str">
        <f t="shared" ref="AV751:AV780" ca="1" si="236">IF($A97&lt;MIN(AT$660,IF($AT$657&gt;0,$AT$657,9999)),IFERROR(INDEX(AR$654:AR$806,MATCH($A97,AT$654:AT$806,0)),""),"")</f>
        <v/>
      </c>
      <c r="AX751" s="1141" t="str">
        <f t="shared" ref="AX751:AX782" si="237">D749</f>
        <v>Shuriken</v>
      </c>
      <c r="AY751" s="2549"/>
      <c r="AZ751" s="774" t="str">
        <f t="shared" ref="AZ751:AZ782" si="238">IF(ISNA(INDEX(Lista_ArmasYVirgo,MATCH($A97,BC$655:BC$796,0))),"",INDEX(Lista_ArmasYVirgo,MATCH($A97,BC$655:BC$796,0)))</f>
        <v/>
      </c>
      <c r="BA751" s="76" t="str">
        <f t="shared" ref="BA751:BA782" si="239">IF(ISNA(INDEX(Lista_ArmasYVirgo,MATCH($A97,BD$655:BD$796,0))),"",INDEX(Lista_ArmasYVirgo,MATCH($A97,BD$655:BD$796,0)))</f>
        <v/>
      </c>
      <c r="BB751" s="76" t="str">
        <f t="shared" ref="BB751:BB782" si="240">IF(ISNA(INDEX(Lista_ArmasYVirgo,MATCH($A97,BE$655:BE$796,0))),"",INDEX(Lista_ArmasYVirgo,MATCH($A97,BE$655:BE$796,0)))</f>
        <v>Tanto</v>
      </c>
      <c r="BC751" s="1142">
        <f>IF(OR($L749=BC$652,$L749="",$D749=$BE$651),MAX(BC$654:BC750)+1,0)</f>
        <v>0</v>
      </c>
      <c r="BD751" s="1143">
        <f>IF(OR($L749=BD$652,$L749="",$D749=$BE$651),MAX(BD$654:BD750)+1,0)</f>
        <v>0</v>
      </c>
      <c r="BE751" s="1144">
        <f>IF(OR($L749=BE$652,$L749="",$D749=$BE$651),MAX(BE$654:BE750)+1,0)</f>
        <v>96</v>
      </c>
      <c r="BF751" s="2549"/>
      <c r="BG751" s="774" t="str">
        <f t="shared" ref="BG751:BG782" si="241">IF(ISNA(INDEX(Lista_ArmasYVirgo,MATCH($A97,BJ$655:BJ$796,0))),"",INDEX(Lista_ArmasYVirgo,MATCH($A97,BJ$655:BJ$796,0)))</f>
        <v/>
      </c>
      <c r="BH751" s="76" t="str">
        <f t="shared" ref="BH751:BH782" si="242">IF(ISNA(INDEX(Lista_ArmasYVirgo,MATCH($A97,BK$655:BK$796,0))),"",INDEX(Lista_ArmasYVirgo,MATCH($A97,BK$655:BK$796,0)))</f>
        <v/>
      </c>
      <c r="BI751" s="76" t="str">
        <f t="shared" ref="BI751:BI782" si="243">IF(ISNA(INDEX(Lista_ArmasYVirgo,MATCH($A97,BL$655:BL$796,0))),"",INDEX(Lista_ArmasYVirgo,MATCH($A97,BL$655:BL$796,0)))</f>
        <v>Tanto</v>
      </c>
      <c r="BJ751" s="1142">
        <f>IF(OR($L749=BJ$652,$L749="",$D749=$BL$651),MAX(BJ$654:BJ750)+1,0)</f>
        <v>0</v>
      </c>
      <c r="BK751" s="1143">
        <f>IF(OR($L749=BK$652,$L749="",$D749=$BL$651),MAX(BK$654:BK750)+1,0)</f>
        <v>0</v>
      </c>
      <c r="BL751" s="1144">
        <f>IF(OR($L749=BL$652,$L749="",$D749=$BL$651),MAX(BL$654:BL750)+1,0)</f>
        <v>96</v>
      </c>
      <c r="BM751" s="2549"/>
      <c r="BN751" s="774" t="str">
        <f t="shared" ref="BN751:BN782" si="244">IF(ISNA(INDEX(Lista_ArmasYVirgo,MATCH($A97,BQ$655:BQ$796,0))),"",INDEX(Lista_ArmasYVirgo,MATCH($A97,BQ$655:BQ$796,0)))</f>
        <v/>
      </c>
      <c r="BO751" s="76" t="str">
        <f t="shared" ref="BO751:BO782" si="245">IF(ISNA(INDEX(Lista_ArmasYVirgo,MATCH($A97,BR$655:BR$796,0))),"",INDEX(Lista_ArmasYVirgo,MATCH($A97,BR$655:BR$796,0)))</f>
        <v/>
      </c>
      <c r="BP751" s="76" t="str">
        <f t="shared" ref="BP751:BP782" si="246">IF(ISNA(INDEX(Lista_ArmasYVirgo,MATCH($A97,BS$655:BS$796,0))),"",INDEX(Lista_ArmasYVirgo,MATCH($A97,BS$655:BS$796,0)))</f>
        <v>Tanto</v>
      </c>
      <c r="BQ751" s="1142">
        <f>IF(OR($L749=BQ$652,$L749="",$D749=$BS$651),MAX(BQ$654:BQ750)+1,0)</f>
        <v>0</v>
      </c>
      <c r="BR751" s="1143">
        <f>IF(OR($L749=BR$652,$L749="",$D749=$BS$651),MAX(BR$654:BR750)+1,0)</f>
        <v>0</v>
      </c>
      <c r="BS751" s="1144">
        <f>IF(OR($L749=BS$652,$L749="",$D749=$BS$651),MAX(BS$654:BS750)+1,0)</f>
        <v>96</v>
      </c>
      <c r="BT751" s="2549"/>
      <c r="BU751" s="774" t="str">
        <f t="shared" ref="BU751:BU782" si="247">IF(ISNA(INDEX(Lista_ArmasYVirgo,MATCH($A97,BX$655:BX$796,0))),"",INDEX(Lista_ArmasYVirgo,MATCH($A97,BX$655:BX$796,0)))</f>
        <v/>
      </c>
      <c r="BV751" s="76" t="str">
        <f t="shared" ref="BV751:BV782" si="248">IF(ISNA(INDEX(Lista_ArmasYVirgo,MATCH($A97,BY$655:BY$796,0))),"",INDEX(Lista_ArmasYVirgo,MATCH($A97,BY$655:BY$796,0)))</f>
        <v/>
      </c>
      <c r="BW751" s="76" t="str">
        <f t="shared" ref="BW751:BW782" si="249">IF(ISNA(INDEX(Lista_ArmasYVirgo,MATCH($A97,BZ$655:BZ$796,0))),"",INDEX(Lista_ArmasYVirgo,MATCH($A97,BZ$655:BZ$796,0)))</f>
        <v>Tanto</v>
      </c>
      <c r="BX751" s="1142">
        <f>IF(OR($L749=BX$652,$L749="",$D749=$BZ$651),MAX(BX$654:BX750)+1,0)</f>
        <v>0</v>
      </c>
      <c r="BY751" s="1143">
        <f>IF(OR($L749=BY$652,$L749="",$D749=$BZ$651),MAX(BY$654:BY750)+1,0)</f>
        <v>0</v>
      </c>
      <c r="BZ751" s="1144">
        <f>IF(OR($L749=BZ$652,$L749="",$D749=$BZ$651),MAX(BZ$654:BZ750)+1,0)</f>
        <v>96</v>
      </c>
      <c r="CA751" s="2549"/>
      <c r="CB751" s="774" t="str">
        <f t="shared" ref="CB751:CB782" si="250">IF(ISNA(INDEX(Lista_ArmasYVirgo,MATCH($A97,CE$655:CE$796,0))),"",INDEX(Lista_ArmasYVirgo,MATCH($A97,CE$655:CE$796,0)))</f>
        <v/>
      </c>
      <c r="CC751" s="76" t="str">
        <f t="shared" ref="CC751:CC782" si="251">IF(ISNA(INDEX(Lista_ArmasYVirgo,MATCH($A97,CF$655:CF$796,0))),"",INDEX(Lista_ArmasYVirgo,MATCH($A97,CF$655:CF$796,0)))</f>
        <v/>
      </c>
      <c r="CD751" s="76" t="str">
        <f t="shared" ref="CD751:CD782" si="252">IF(ISNA(INDEX(Lista_ArmasYVirgo,MATCH($A97,CG$655:CG$796,0))),"",INDEX(Lista_ArmasYVirgo,MATCH($A97,CG$655:CG$796,0)))</f>
        <v>Tanto</v>
      </c>
      <c r="CE751" s="1142">
        <f>IF(OR($L749=CE$652,$L749="",$D749=$CG$651),MAX(CE$654:CE750)+1,0)</f>
        <v>0</v>
      </c>
      <c r="CF751" s="1143">
        <f>IF(OR($L749=CF$652,$L749="",$D749=$CG$651),MAX(CF$654:CF750)+1,0)</f>
        <v>0</v>
      </c>
      <c r="CG751" s="1144">
        <f>IF(OR($L749=CG$652,$L749="",$D749=$CG$651),MAX(CG$654:CG750)+1,0)</f>
        <v>96</v>
      </c>
      <c r="CI751" s="774" t="str">
        <f t="shared" ref="CI751:CI782" si="253">IF(ISNA(INDEX(Lista_ArmasYVirgo,MATCH($A97,CL$655:CL$796,0))),"",INDEX(Lista_ArmasYVirgo,MATCH($A97,CL$655:CL$796,0)))</f>
        <v/>
      </c>
      <c r="CJ751" s="76" t="str">
        <f t="shared" ref="CJ751:CJ782" si="254">IF(ISNA(INDEX(Lista_ArmasYVirgo,MATCH($A97,CM$655:CM$796,0))),"",INDEX(Lista_ArmasYVirgo,MATCH($A97,CM$655:CM$796,0)))</f>
        <v/>
      </c>
      <c r="CK751" s="76" t="str">
        <f t="shared" ref="CK751:CK782" si="255">IF(ISNA(INDEX(Lista_ArmasYVirgo,MATCH($A97,CN$655:CN$796,0))),"",INDEX(Lista_ArmasYVirgo,MATCH($A97,CN$655:CN$796,0)))</f>
        <v>Tanto</v>
      </c>
      <c r="CL751" s="1142">
        <f>IF(OR($L749=CL$652,$L749="",$D749=$CN$651),MAX(CL$654:CL750)+1,0)</f>
        <v>0</v>
      </c>
      <c r="CM751" s="1143">
        <f>IF(OR($L749=CM$652,$L749="",$D749=$CN$651),MAX(CM$654:CM750)+1,0)</f>
        <v>0</v>
      </c>
      <c r="CN751" s="1144">
        <f>IF(OR($L749=CN$652,$L749="",$D749=$CN$651),MAX(CN$654:CN750)+1,0)</f>
        <v>96</v>
      </c>
    </row>
    <row r="752" spans="1:92" ht="12.75" customHeight="1">
      <c r="A752" s="219">
        <v>743</v>
      </c>
      <c r="B752" s="7145"/>
      <c r="C752" s="1034"/>
      <c r="D752" s="2237" t="s">
        <v>6580</v>
      </c>
      <c r="E752" s="2239">
        <v>25</v>
      </c>
      <c r="F752" s="2236">
        <v>0</v>
      </c>
      <c r="G752" s="2236">
        <v>6</v>
      </c>
      <c r="H752" s="2236">
        <v>5</v>
      </c>
      <c r="I752" s="2236" t="s">
        <v>1357</v>
      </c>
      <c r="J752" s="2236" t="s">
        <v>1315</v>
      </c>
      <c r="K752" s="2433" t="s">
        <v>6833</v>
      </c>
      <c r="L752" s="2241" t="str">
        <f>IF(OR($L$740="Conocida",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2240">
        <v>8</v>
      </c>
      <c r="N752" s="2240">
        <v>-1</v>
      </c>
      <c r="O752" s="2240">
        <v>15</v>
      </c>
      <c r="P752" s="2236"/>
      <c r="Q752" s="2236"/>
      <c r="R752" s="2236" t="s">
        <v>1315</v>
      </c>
      <c r="S752" s="2236" t="s">
        <v>1315</v>
      </c>
      <c r="T752" s="2236" t="s">
        <v>1315</v>
      </c>
      <c r="U752" s="2236"/>
      <c r="V752" s="2433" t="s">
        <v>2046</v>
      </c>
      <c r="W752" s="2433"/>
      <c r="X752" s="2434" t="str">
        <f t="shared" si="225"/>
        <v>Mediana</v>
      </c>
      <c r="Y752" s="2229">
        <f t="shared" si="226"/>
        <v>0</v>
      </c>
      <c r="Z752" s="1150" t="str">
        <f t="shared" si="228"/>
        <v/>
      </c>
      <c r="AA752" s="1751" t="s">
        <v>2019</v>
      </c>
      <c r="AC752" s="929" t="s">
        <v>2032</v>
      </c>
      <c r="AD752" s="758">
        <f>IFERROR(IF(IF(AC752&lt;&gt;"",VLOOKUP(AC752,Tabla_ArmasyEscudos,9,0),"")="Conocida",MAX(AD$662:AD751)+1,0),0)</f>
        <v>0</v>
      </c>
      <c r="AE752" s="758">
        <f ca="1">IF(AC752="",0,IF(AD752=0,MAX(AE$654:AE751,AG$652)+1,AD752+IFERROR(VLOOKUP(VLOOKUP(AC752,$D$653:$AA$871,24,0),AC$654:AE$661,3,0)-VLOOKUP(VLOOKUP(AC752,$D$653:$AA$871,24,0),AC$654:AE$661,2,0)+1,0)))</f>
        <v>92</v>
      </c>
      <c r="AF752" s="758" t="str">
        <f t="shared" ca="1" si="229"/>
        <v>Shuriken</v>
      </c>
      <c r="AG752" s="758" t="str">
        <f t="shared" ca="1" si="230"/>
        <v/>
      </c>
      <c r="AH752" s="2568"/>
      <c r="AI752" s="758">
        <f>IFERROR(IF(IF(AH752&lt;&gt;"",VLOOKUP(AH752,Tabla_ArmasyEscudos,9,0),"")="Conocida",MAX(AI$660:AI751)+1,0),0)</f>
        <v>0</v>
      </c>
      <c r="AJ752" s="758">
        <f>IF(AH752="",0,IF(AI752=0,MAX(AJ$654:AJ751,AL$652)+1,AI752+IFERROR(VLOOKUP(VLOOKUP(AH752,$D$653:$AA$871,24,0),AH$654:AJ$659,3,0)-VLOOKUP(VLOOKUP(AH752,$D$653:$AA$871,24,0),AH$654:AJ$659,2,0)+1,0)))</f>
        <v>0</v>
      </c>
      <c r="AK752" s="758" t="str">
        <f t="shared" ca="1" si="231"/>
        <v/>
      </c>
      <c r="AL752" s="758" t="str">
        <f t="shared" ca="1" si="232"/>
        <v/>
      </c>
      <c r="AM752" s="2568"/>
      <c r="AN752" s="758">
        <f>IFERROR(IF(IF(AM752&lt;&gt;"",VLOOKUP(AM752,Tabla_ArmasyEscudos,9,0),"")="Conocida",MAX(AN$660:AN751)+1,0),0)</f>
        <v>0</v>
      </c>
      <c r="AO752" s="758">
        <f>IF(AM752="",0,IF(AN752=0,MAX(AO$654:AO751,AQ$652)+1,AN752+IFERROR(VLOOKUP(VLOOKUP(AM752,$D$653:$AA$871,24,0),AM$654:AO$659,3,0)-VLOOKUP(VLOOKUP(AM752,$D$653:$AA$871,24,0),AM$654:AO$659,2,0)+1,0)))</f>
        <v>0</v>
      </c>
      <c r="AP752" s="758" t="str">
        <f t="shared" ca="1" si="233"/>
        <v/>
      </c>
      <c r="AQ752" s="758" t="str">
        <f t="shared" ca="1" si="234"/>
        <v/>
      </c>
      <c r="AR752" s="2568"/>
      <c r="AS752" s="758">
        <f>IFERROR(IF(IF(AR752&lt;&gt;"",VLOOKUP(AR752,Tabla_ArmasyEscudos,9,0),"")="Conocida",MAX(AS$660:AS751)+1,0),0)</f>
        <v>0</v>
      </c>
      <c r="AT752" s="758">
        <f>IF(AR752="",0,IF(AS752=0,MAX(AT$654:AT751,AV$652)+1,AS752+IFERROR(VLOOKUP(VLOOKUP(AR752,$D$653:$AA$871,24,0),AR$654:AT$659,3,0)-VLOOKUP(VLOOKUP(AR752,$D$653:$AA$871,24,0),AR$654:AT$659,2,0)+1,0)))</f>
        <v>0</v>
      </c>
      <c r="AU752" s="758" t="str">
        <f t="shared" ca="1" si="235"/>
        <v/>
      </c>
      <c r="AV752" s="758" t="str">
        <f t="shared" ca="1" si="236"/>
        <v/>
      </c>
      <c r="AX752" s="1141" t="str">
        <f t="shared" si="237"/>
        <v>Tanto</v>
      </c>
      <c r="AY752" s="2549"/>
      <c r="AZ752" s="774" t="str">
        <f t="shared" si="238"/>
        <v/>
      </c>
      <c r="BA752" s="76" t="str">
        <f t="shared" si="239"/>
        <v/>
      </c>
      <c r="BB752" s="76" t="str">
        <f t="shared" si="240"/>
        <v>Tonfa</v>
      </c>
      <c r="BC752" s="1142">
        <f>IF(OR($L750=BC$652,$L750="",$D750=$BE$651),MAX(BC$654:BC751)+1,0)</f>
        <v>0</v>
      </c>
      <c r="BD752" s="1143">
        <f>IF(OR($L750=BD$652,$L750="",$D750=$BE$651),MAX(BD$654:BD751)+1,0)</f>
        <v>0</v>
      </c>
      <c r="BE752" s="1144">
        <f>IF(OR($L750=BE$652,$L750="",$D750=$BE$651),MAX(BE$654:BE751)+1,0)</f>
        <v>97</v>
      </c>
      <c r="BF752" s="2549"/>
      <c r="BG752" s="774" t="str">
        <f t="shared" si="241"/>
        <v/>
      </c>
      <c r="BH752" s="76" t="str">
        <f t="shared" si="242"/>
        <v/>
      </c>
      <c r="BI752" s="76" t="str">
        <f t="shared" si="243"/>
        <v>Tonfa</v>
      </c>
      <c r="BJ752" s="1142">
        <f>IF(OR($L750=BJ$652,$L750="",$D750=$BL$651),MAX(BJ$654:BJ751)+1,0)</f>
        <v>0</v>
      </c>
      <c r="BK752" s="1143">
        <f>IF(OR($L750=BK$652,$L750="",$D750=$BL$651),MAX(BK$654:BK751)+1,0)</f>
        <v>0</v>
      </c>
      <c r="BL752" s="1144">
        <f>IF(OR($L750=BL$652,$L750="",$D750=$BL$651),MAX(BL$654:BL751)+1,0)</f>
        <v>97</v>
      </c>
      <c r="BM752" s="2549"/>
      <c r="BN752" s="774" t="str">
        <f t="shared" si="244"/>
        <v/>
      </c>
      <c r="BO752" s="76" t="str">
        <f t="shared" si="245"/>
        <v/>
      </c>
      <c r="BP752" s="76" t="str">
        <f t="shared" si="246"/>
        <v>Tonfa</v>
      </c>
      <c r="BQ752" s="1142">
        <f>IF(OR($L750=BQ$652,$L750="",$D750=$BS$651),MAX(BQ$654:BQ751)+1,0)</f>
        <v>0</v>
      </c>
      <c r="BR752" s="1143">
        <f>IF(OR($L750=BR$652,$L750="",$D750=$BS$651),MAX(BR$654:BR751)+1,0)</f>
        <v>0</v>
      </c>
      <c r="BS752" s="1144">
        <f>IF(OR($L750=BS$652,$L750="",$D750=$BS$651),MAX(BS$654:BS751)+1,0)</f>
        <v>97</v>
      </c>
      <c r="BT752" s="2549"/>
      <c r="BU752" s="774" t="str">
        <f t="shared" si="247"/>
        <v/>
      </c>
      <c r="BV752" s="76" t="str">
        <f t="shared" si="248"/>
        <v/>
      </c>
      <c r="BW752" s="76" t="str">
        <f t="shared" si="249"/>
        <v>Tonfa</v>
      </c>
      <c r="BX752" s="1142">
        <f>IF(OR($L750=BX$652,$L750="",$D750=$BZ$651),MAX(BX$654:BX751)+1,0)</f>
        <v>0</v>
      </c>
      <c r="BY752" s="1143">
        <f>IF(OR($L750=BY$652,$L750="",$D750=$BZ$651),MAX(BY$654:BY751)+1,0)</f>
        <v>0</v>
      </c>
      <c r="BZ752" s="1144">
        <f>IF(OR($L750=BZ$652,$L750="",$D750=$BZ$651),MAX(BZ$654:BZ751)+1,0)</f>
        <v>97</v>
      </c>
      <c r="CA752" s="2549"/>
      <c r="CB752" s="774" t="str">
        <f t="shared" si="250"/>
        <v/>
      </c>
      <c r="CC752" s="76" t="str">
        <f t="shared" si="251"/>
        <v/>
      </c>
      <c r="CD752" s="76" t="str">
        <f t="shared" si="252"/>
        <v>Tonfa</v>
      </c>
      <c r="CE752" s="1142">
        <f>IF(OR($L750=CE$652,$L750="",$D750=$CG$651),MAX(CE$654:CE751)+1,0)</f>
        <v>0</v>
      </c>
      <c r="CF752" s="1143">
        <f>IF(OR($L750=CF$652,$L750="",$D750=$CG$651),MAX(CF$654:CF751)+1,0)</f>
        <v>0</v>
      </c>
      <c r="CG752" s="1144">
        <f>IF(OR($L750=CG$652,$L750="",$D750=$CG$651),MAX(CG$654:CG751)+1,0)</f>
        <v>97</v>
      </c>
      <c r="CI752" s="774" t="str">
        <f t="shared" si="253"/>
        <v/>
      </c>
      <c r="CJ752" s="76" t="str">
        <f t="shared" si="254"/>
        <v/>
      </c>
      <c r="CK752" s="76" t="str">
        <f t="shared" si="255"/>
        <v>Tonfa</v>
      </c>
      <c r="CL752" s="1142">
        <f>IF(OR($L750=CL$652,$L750="",$D750=$CN$651),MAX(CL$654:CL751)+1,0)</f>
        <v>0</v>
      </c>
      <c r="CM752" s="1143">
        <f>IF(OR($L750=CM$652,$L750="",$D750=$CN$651),MAX(CM$654:CM751)+1,0)</f>
        <v>0</v>
      </c>
      <c r="CN752" s="1144">
        <f>IF(OR($L750=CN$652,$L750="",$D750=$CN$651),MAX(CN$654:CN751)+1,0)</f>
        <v>97</v>
      </c>
    </row>
    <row r="753" spans="1:92" ht="12.75" customHeight="1">
      <c r="A753" s="219">
        <v>744</v>
      </c>
      <c r="B753" s="7145"/>
      <c r="C753" s="1034"/>
      <c r="D753" s="2237" t="s">
        <v>6597</v>
      </c>
      <c r="E753" s="2239">
        <v>20</v>
      </c>
      <c r="F753" s="2236">
        <v>15</v>
      </c>
      <c r="G753" s="2236">
        <v>4</v>
      </c>
      <c r="H753" s="2236">
        <v>4</v>
      </c>
      <c r="I753" s="2236" t="s">
        <v>1357</v>
      </c>
      <c r="J753" s="2236" t="s">
        <v>1315</v>
      </c>
      <c r="K753" s="2433" t="s">
        <v>6835</v>
      </c>
      <c r="L753" s="2236" t="str">
        <f t="shared" si="224"/>
        <v>Distinta</v>
      </c>
      <c r="M753" s="2240">
        <v>13</v>
      </c>
      <c r="N753" s="2240">
        <v>2</v>
      </c>
      <c r="O753" s="2240">
        <v>20</v>
      </c>
      <c r="P753" s="2236"/>
      <c r="Q753" s="2236"/>
      <c r="R753" s="2236" t="s">
        <v>1315</v>
      </c>
      <c r="S753" s="2236" t="s">
        <v>1315</v>
      </c>
      <c r="T753" s="2236" t="s">
        <v>1315</v>
      </c>
      <c r="U753" s="2236"/>
      <c r="V753" s="2433" t="s">
        <v>6613</v>
      </c>
      <c r="W753" s="2433"/>
      <c r="X753" s="2434" t="str">
        <f t="shared" si="225"/>
        <v>Pequeña</v>
      </c>
      <c r="Y753" s="2229">
        <f t="shared" si="226"/>
        <v>0</v>
      </c>
      <c r="Z753" s="1150" t="str">
        <f t="shared" si="228"/>
        <v/>
      </c>
      <c r="AA753" s="1751" t="s">
        <v>2019</v>
      </c>
      <c r="AC753" s="2568" t="s">
        <v>2033</v>
      </c>
      <c r="AD753" s="758">
        <f>IFERROR(IF(IF(AC753&lt;&gt;"",VLOOKUP(AC753,Tabla_ArmasyEscudos,9,0),"")="Conocida",MAX(AD$662:AD752)+1,0),0)</f>
        <v>0</v>
      </c>
      <c r="AE753" s="758">
        <f ca="1">IF(AC753="",0,IF(AD753=0,MAX(AE$654:AE752,AG$652)+1,AD753+IFERROR(VLOOKUP(VLOOKUP(AC753,$D$653:$AA$871,24,0),AC$654:AE$661,3,0)-VLOOKUP(VLOOKUP(AC753,$D$653:$AA$871,24,0),AC$654:AE$661,2,0)+1,0)))</f>
        <v>93</v>
      </c>
      <c r="AF753" s="758" t="str">
        <f t="shared" ca="1" si="229"/>
        <v>Tanto</v>
      </c>
      <c r="AG753" s="758" t="str">
        <f t="shared" ca="1" si="230"/>
        <v/>
      </c>
      <c r="AH753" s="2568"/>
      <c r="AI753" s="758">
        <f>IFERROR(IF(IF(AH753&lt;&gt;"",VLOOKUP(AH753,Tabla_ArmasyEscudos,9,0),"")="Conocida",MAX(AI$660:AI752)+1,0),0)</f>
        <v>0</v>
      </c>
      <c r="AJ753" s="758">
        <f>IF(AH753="",0,IF(AI753=0,MAX(AJ$654:AJ752,AL$652)+1,AI753+IFERROR(VLOOKUP(VLOOKUP(AH753,$D$653:$AA$871,24,0),AH$654:AJ$659,3,0)-VLOOKUP(VLOOKUP(AH753,$D$653:$AA$871,24,0),AH$654:AJ$659,2,0)+1,0)))</f>
        <v>0</v>
      </c>
      <c r="AK753" s="758" t="str">
        <f t="shared" ca="1" si="231"/>
        <v/>
      </c>
      <c r="AL753" s="758" t="str">
        <f t="shared" ca="1" si="232"/>
        <v/>
      </c>
      <c r="AM753" s="2568"/>
      <c r="AN753" s="758">
        <f>IFERROR(IF(IF(AM753&lt;&gt;"",VLOOKUP(AM753,Tabla_ArmasyEscudos,9,0),"")="Conocida",MAX(AN$660:AN752)+1,0),0)</f>
        <v>0</v>
      </c>
      <c r="AO753" s="758">
        <f>IF(AM753="",0,IF(AN753=0,MAX(AO$654:AO752,AQ$652)+1,AN753+IFERROR(VLOOKUP(VLOOKUP(AM753,$D$653:$AA$871,24,0),AM$654:AO$659,3,0)-VLOOKUP(VLOOKUP(AM753,$D$653:$AA$871,24,0),AM$654:AO$659,2,0)+1,0)))</f>
        <v>0</v>
      </c>
      <c r="AP753" s="758" t="str">
        <f t="shared" ca="1" si="233"/>
        <v/>
      </c>
      <c r="AQ753" s="758" t="str">
        <f t="shared" ca="1" si="234"/>
        <v/>
      </c>
      <c r="AR753" s="2568"/>
      <c r="AS753" s="758">
        <f>IFERROR(IF(IF(AR753&lt;&gt;"",VLOOKUP(AR753,Tabla_ArmasyEscudos,9,0),"")="Conocida",MAX(AS$660:AS752)+1,0),0)</f>
        <v>0</v>
      </c>
      <c r="AT753" s="758">
        <f>IF(AR753="",0,IF(AS753=0,MAX(AT$654:AT752,AV$652)+1,AS753+IFERROR(VLOOKUP(VLOOKUP(AR753,$D$653:$AA$871,24,0),AR$654:AT$659,3,0)-VLOOKUP(VLOOKUP(AR753,$D$653:$AA$871,24,0),AR$654:AT$659,2,0)+1,0)))</f>
        <v>0</v>
      </c>
      <c r="AU753" s="758" t="str">
        <f t="shared" ca="1" si="235"/>
        <v/>
      </c>
      <c r="AV753" s="758" t="str">
        <f t="shared" ca="1" si="236"/>
        <v/>
      </c>
      <c r="AX753" s="1141" t="str">
        <f t="shared" si="237"/>
        <v>Tonfa</v>
      </c>
      <c r="AY753" s="2549"/>
      <c r="AZ753" s="774" t="str">
        <f t="shared" si="238"/>
        <v/>
      </c>
      <c r="BA753" s="76" t="str">
        <f t="shared" si="239"/>
        <v/>
      </c>
      <c r="BB753" s="76" t="str">
        <f t="shared" si="240"/>
        <v>Boku-to</v>
      </c>
      <c r="BC753" s="1142">
        <f>IF(OR($L751=BC$652,$L751="",$D751=$BE$651),MAX(BC$654:BC752)+1,0)</f>
        <v>0</v>
      </c>
      <c r="BD753" s="1143">
        <f>IF(OR($L751=BD$652,$L751="",$D751=$BE$651),MAX(BD$654:BD752)+1,0)</f>
        <v>0</v>
      </c>
      <c r="BE753" s="1144">
        <f>IF(OR($L751=BE$652,$L751="",$D751=$BE$651),MAX(BE$654:BE752)+1,0)</f>
        <v>98</v>
      </c>
      <c r="BF753" s="2549"/>
      <c r="BG753" s="774" t="str">
        <f t="shared" si="241"/>
        <v/>
      </c>
      <c r="BH753" s="76" t="str">
        <f t="shared" si="242"/>
        <v/>
      </c>
      <c r="BI753" s="76" t="str">
        <f t="shared" si="243"/>
        <v>Boku-to</v>
      </c>
      <c r="BJ753" s="1142">
        <f>IF(OR($L751=BJ$652,$L751="",$D751=$BL$651),MAX(BJ$654:BJ752)+1,0)</f>
        <v>0</v>
      </c>
      <c r="BK753" s="1143">
        <f>IF(OR($L751=BK$652,$L751="",$D751=$BL$651),MAX(BK$654:BK752)+1,0)</f>
        <v>0</v>
      </c>
      <c r="BL753" s="1144">
        <f>IF(OR($L751=BL$652,$L751="",$D751=$BL$651),MAX(BL$654:BL752)+1,0)</f>
        <v>98</v>
      </c>
      <c r="BM753" s="2549"/>
      <c r="BN753" s="774" t="str">
        <f t="shared" si="244"/>
        <v/>
      </c>
      <c r="BO753" s="76" t="str">
        <f t="shared" si="245"/>
        <v/>
      </c>
      <c r="BP753" s="76" t="str">
        <f t="shared" si="246"/>
        <v>Boku-to</v>
      </c>
      <c r="BQ753" s="1142">
        <f>IF(OR($L751=BQ$652,$L751="",$D751=$BS$651),MAX(BQ$654:BQ752)+1,0)</f>
        <v>0</v>
      </c>
      <c r="BR753" s="1143">
        <f>IF(OR($L751=BR$652,$L751="",$D751=$BS$651),MAX(BR$654:BR752)+1,0)</f>
        <v>0</v>
      </c>
      <c r="BS753" s="1144">
        <f>IF(OR($L751=BS$652,$L751="",$D751=$BS$651),MAX(BS$654:BS752)+1,0)</f>
        <v>98</v>
      </c>
      <c r="BT753" s="2549"/>
      <c r="BU753" s="774" t="str">
        <f t="shared" si="247"/>
        <v/>
      </c>
      <c r="BV753" s="76" t="str">
        <f t="shared" si="248"/>
        <v/>
      </c>
      <c r="BW753" s="76" t="str">
        <f t="shared" si="249"/>
        <v>Boku-to</v>
      </c>
      <c r="BX753" s="1142">
        <f>IF(OR($L751=BX$652,$L751="",$D751=$BZ$651),MAX(BX$654:BX752)+1,0)</f>
        <v>0</v>
      </c>
      <c r="BY753" s="1143">
        <f>IF(OR($L751=BY$652,$L751="",$D751=$BZ$651),MAX(BY$654:BY752)+1,0)</f>
        <v>0</v>
      </c>
      <c r="BZ753" s="1144">
        <f>IF(OR($L751=BZ$652,$L751="",$D751=$BZ$651),MAX(BZ$654:BZ752)+1,0)</f>
        <v>98</v>
      </c>
      <c r="CA753" s="2549"/>
      <c r="CB753" s="774" t="str">
        <f t="shared" si="250"/>
        <v/>
      </c>
      <c r="CC753" s="76" t="str">
        <f t="shared" si="251"/>
        <v/>
      </c>
      <c r="CD753" s="76" t="str">
        <f t="shared" si="252"/>
        <v>Boku-to</v>
      </c>
      <c r="CE753" s="1142">
        <f>IF(OR($L751=CE$652,$L751="",$D751=$CG$651),MAX(CE$654:CE752)+1,0)</f>
        <v>0</v>
      </c>
      <c r="CF753" s="1143">
        <f>IF(OR($L751=CF$652,$L751="",$D751=$CG$651),MAX(CF$654:CF752)+1,0)</f>
        <v>0</v>
      </c>
      <c r="CG753" s="1144">
        <f>IF(OR($L751=CG$652,$L751="",$D751=$CG$651),MAX(CG$654:CG752)+1,0)</f>
        <v>98</v>
      </c>
      <c r="CI753" s="774" t="str">
        <f t="shared" si="253"/>
        <v/>
      </c>
      <c r="CJ753" s="76" t="str">
        <f t="shared" si="254"/>
        <v/>
      </c>
      <c r="CK753" s="76" t="str">
        <f t="shared" si="255"/>
        <v>Boku-to</v>
      </c>
      <c r="CL753" s="1142">
        <f>IF(OR($L751=CL$652,$L751="",$D751=$CN$651),MAX(CL$654:CL752)+1,0)</f>
        <v>0</v>
      </c>
      <c r="CM753" s="1143">
        <f>IF(OR($L751=CM$652,$L751="",$D751=$CN$651),MAX(CM$654:CM752)+1,0)</f>
        <v>0</v>
      </c>
      <c r="CN753" s="1144">
        <f>IF(OR($L751=CN$652,$L751="",$D751=$CN$651),MAX(CN$654:CN752)+1,0)</f>
        <v>98</v>
      </c>
    </row>
    <row r="754" spans="1:92" ht="12.75" customHeight="1">
      <c r="A754" s="219">
        <v>745</v>
      </c>
      <c r="B754" s="7145"/>
      <c r="C754" s="1034"/>
      <c r="D754" s="3876" t="s">
        <v>6598</v>
      </c>
      <c r="E754" s="3877">
        <v>40</v>
      </c>
      <c r="F754" s="3878">
        <v>5</v>
      </c>
      <c r="G754" s="3878">
        <v>4</v>
      </c>
      <c r="H754" s="3878">
        <v>4</v>
      </c>
      <c r="I754" s="3878" t="s">
        <v>1410</v>
      </c>
      <c r="J754" s="3878" t="s">
        <v>1411</v>
      </c>
      <c r="K754" s="3879" t="s">
        <v>6835</v>
      </c>
      <c r="L754" s="3878" t="str">
        <f t="shared" si="224"/>
        <v>Distinta</v>
      </c>
      <c r="M754" s="3880">
        <v>12</v>
      </c>
      <c r="N754" s="3880">
        <v>1</v>
      </c>
      <c r="O754" s="3880">
        <v>20</v>
      </c>
      <c r="P754" s="3878"/>
      <c r="Q754" s="3878"/>
      <c r="R754" s="3878" t="s">
        <v>1315</v>
      </c>
      <c r="S754" s="3878" t="s">
        <v>1315</v>
      </c>
      <c r="T754" s="3878" t="s">
        <v>1315</v>
      </c>
      <c r="U754" s="3878"/>
      <c r="V754" s="3879" t="s">
        <v>12423</v>
      </c>
      <c r="W754" s="2433"/>
      <c r="X754" s="2434" t="str">
        <f t="shared" si="225"/>
        <v>Pequeña</v>
      </c>
      <c r="Y754" s="2229">
        <f t="shared" si="226"/>
        <v>0</v>
      </c>
      <c r="Z754" s="1150" t="str">
        <f t="shared" si="228"/>
        <v/>
      </c>
      <c r="AA754" s="1751" t="s">
        <v>2019</v>
      </c>
      <c r="AC754" s="2568" t="s">
        <v>6585</v>
      </c>
      <c r="AD754" s="758">
        <f>IFERROR(IF(IF(AC754&lt;&gt;"",VLOOKUP(AC754,Tabla_ArmasyEscudos,9,0),"")="Conocida",MAX(AD$662:AD753)+1,0),0)</f>
        <v>0</v>
      </c>
      <c r="AE754" s="758">
        <f ca="1">IF(AC754="",0,IF(AD754=0,MAX(AE$654:AE753,AG$652)+1,AD754+IFERROR(VLOOKUP(VLOOKUP(AC754,$D$653:$AA$871,24,0),AC$654:AE$661,3,0)-VLOOKUP(VLOOKUP(AC754,$D$653:$AA$871,24,0),AC$654:AE$661,2,0)+1,0)))</f>
        <v>94</v>
      </c>
      <c r="AF754" s="758" t="str">
        <f t="shared" ca="1" si="229"/>
        <v>Tetsubo</v>
      </c>
      <c r="AG754" s="758" t="str">
        <f t="shared" ca="1" si="230"/>
        <v/>
      </c>
      <c r="AH754" s="2568"/>
      <c r="AI754" s="758">
        <f>IFERROR(IF(IF(AH754&lt;&gt;"",VLOOKUP(AH754,Tabla_ArmasyEscudos,9,0),"")="Conocida",MAX(AI$660:AI753)+1,0),0)</f>
        <v>0</v>
      </c>
      <c r="AJ754" s="758">
        <f>IF(AH754="",0,IF(AI754=0,MAX(AJ$654:AJ753,AL$652)+1,AI754+IFERROR(VLOOKUP(VLOOKUP(AH754,$D$653:$AA$871,24,0),AH$654:AJ$659,3,0)-VLOOKUP(VLOOKUP(AH754,$D$653:$AA$871,24,0),AH$654:AJ$659,2,0)+1,0)))</f>
        <v>0</v>
      </c>
      <c r="AK754" s="758" t="str">
        <f t="shared" ca="1" si="231"/>
        <v/>
      </c>
      <c r="AL754" s="758" t="str">
        <f t="shared" ca="1" si="232"/>
        <v/>
      </c>
      <c r="AM754" s="2568"/>
      <c r="AN754" s="758">
        <f>IFERROR(IF(IF(AM754&lt;&gt;"",VLOOKUP(AM754,Tabla_ArmasyEscudos,9,0),"")="Conocida",MAX(AN$660:AN753)+1,0),0)</f>
        <v>0</v>
      </c>
      <c r="AO754" s="758">
        <f>IF(AM754="",0,IF(AN754=0,MAX(AO$654:AO753,AQ$652)+1,AN754+IFERROR(VLOOKUP(VLOOKUP(AM754,$D$653:$AA$871,24,0),AM$654:AO$659,3,0)-VLOOKUP(VLOOKUP(AM754,$D$653:$AA$871,24,0),AM$654:AO$659,2,0)+1,0)))</f>
        <v>0</v>
      </c>
      <c r="AP754" s="758" t="str">
        <f t="shared" ca="1" si="233"/>
        <v/>
      </c>
      <c r="AQ754" s="758" t="str">
        <f t="shared" ca="1" si="234"/>
        <v/>
      </c>
      <c r="AR754" s="2568"/>
      <c r="AS754" s="758">
        <f>IFERROR(IF(IF(AR754&lt;&gt;"",VLOOKUP(AR754,Tabla_ArmasyEscudos,9,0),"")="Conocida",MAX(AS$660:AS753)+1,0),0)</f>
        <v>0</v>
      </c>
      <c r="AT754" s="758">
        <f>IF(AR754="",0,IF(AS754=0,MAX(AT$654:AT753,AV$652)+1,AS754+IFERROR(VLOOKUP(VLOOKUP(AR754,$D$653:$AA$871,24,0),AR$654:AT$659,3,0)-VLOOKUP(VLOOKUP(AR754,$D$653:$AA$871,24,0),AR$654:AT$659,2,0)+1,0)))</f>
        <v>0</v>
      </c>
      <c r="AU754" s="758" t="str">
        <f t="shared" ca="1" si="235"/>
        <v/>
      </c>
      <c r="AV754" s="758" t="str">
        <f t="shared" ca="1" si="236"/>
        <v/>
      </c>
      <c r="AX754" s="1141" t="str">
        <f t="shared" si="237"/>
        <v>Boku-to</v>
      </c>
      <c r="AY754" s="2549"/>
      <c r="AZ754" s="774" t="str">
        <f t="shared" si="238"/>
        <v/>
      </c>
      <c r="BA754" s="76" t="str">
        <f t="shared" si="239"/>
        <v/>
      </c>
      <c r="BB754" s="76" t="str">
        <f t="shared" si="240"/>
        <v>Jutte</v>
      </c>
      <c r="BC754" s="1142">
        <f>IF(OR($L752=BC$652,$L752="",$D752=$BE$651),MAX(BC$654:BC753)+1,0)</f>
        <v>0</v>
      </c>
      <c r="BD754" s="1143">
        <f>IF(OR($L752=BD$652,$L752="",$D752=$BE$651),MAX(BD$654:BD753)+1,0)</f>
        <v>0</v>
      </c>
      <c r="BE754" s="1144">
        <f>IF(OR($L752=BE$652,$L752="",$D752=$BE$651),MAX(BE$654:BE753)+1,0)</f>
        <v>99</v>
      </c>
      <c r="BF754" s="2549"/>
      <c r="BG754" s="774" t="str">
        <f t="shared" si="241"/>
        <v/>
      </c>
      <c r="BH754" s="76" t="str">
        <f t="shared" si="242"/>
        <v/>
      </c>
      <c r="BI754" s="76" t="str">
        <f t="shared" si="243"/>
        <v>Jutte</v>
      </c>
      <c r="BJ754" s="1142">
        <f>IF(OR($L752=BJ$652,$L752="",$D752=$BL$651),MAX(BJ$654:BJ753)+1,0)</f>
        <v>0</v>
      </c>
      <c r="BK754" s="1143">
        <f>IF(OR($L752=BK$652,$L752="",$D752=$BL$651),MAX(BK$654:BK753)+1,0)</f>
        <v>0</v>
      </c>
      <c r="BL754" s="1144">
        <f>IF(OR($L752=BL$652,$L752="",$D752=$BL$651),MAX(BL$654:BL753)+1,0)</f>
        <v>99</v>
      </c>
      <c r="BM754" s="2549"/>
      <c r="BN754" s="774" t="str">
        <f t="shared" si="244"/>
        <v/>
      </c>
      <c r="BO754" s="76" t="str">
        <f t="shared" si="245"/>
        <v/>
      </c>
      <c r="BP754" s="76" t="str">
        <f t="shared" si="246"/>
        <v>Jutte</v>
      </c>
      <c r="BQ754" s="1142">
        <f>IF(OR($L752=BQ$652,$L752="",$D752=$BS$651),MAX(BQ$654:BQ753)+1,0)</f>
        <v>0</v>
      </c>
      <c r="BR754" s="1143">
        <f>IF(OR($L752=BR$652,$L752="",$D752=$BS$651),MAX(BR$654:BR753)+1,0)</f>
        <v>0</v>
      </c>
      <c r="BS754" s="1144">
        <f>IF(OR($L752=BS$652,$L752="",$D752=$BS$651),MAX(BS$654:BS753)+1,0)</f>
        <v>99</v>
      </c>
      <c r="BT754" s="2549"/>
      <c r="BU754" s="774" t="str">
        <f t="shared" si="247"/>
        <v/>
      </c>
      <c r="BV754" s="76" t="str">
        <f t="shared" si="248"/>
        <v/>
      </c>
      <c r="BW754" s="76" t="str">
        <f t="shared" si="249"/>
        <v>Jutte</v>
      </c>
      <c r="BX754" s="1142">
        <f>IF(OR($L752=BX$652,$L752="",$D752=$BZ$651),MAX(BX$654:BX753)+1,0)</f>
        <v>0</v>
      </c>
      <c r="BY754" s="1143">
        <f>IF(OR($L752=BY$652,$L752="",$D752=$BZ$651),MAX(BY$654:BY753)+1,0)</f>
        <v>0</v>
      </c>
      <c r="BZ754" s="1144">
        <f>IF(OR($L752=BZ$652,$L752="",$D752=$BZ$651),MAX(BZ$654:BZ753)+1,0)</f>
        <v>99</v>
      </c>
      <c r="CA754" s="2549"/>
      <c r="CB754" s="774" t="str">
        <f t="shared" si="250"/>
        <v/>
      </c>
      <c r="CC754" s="76" t="str">
        <f t="shared" si="251"/>
        <v/>
      </c>
      <c r="CD754" s="76" t="str">
        <f t="shared" si="252"/>
        <v>Jutte</v>
      </c>
      <c r="CE754" s="1142">
        <f>IF(OR($L752=CE$652,$L752="",$D752=$CG$651),MAX(CE$654:CE753)+1,0)</f>
        <v>0</v>
      </c>
      <c r="CF754" s="1143">
        <f>IF(OR($L752=CF$652,$L752="",$D752=$CG$651),MAX(CF$654:CF753)+1,0)</f>
        <v>0</v>
      </c>
      <c r="CG754" s="1144">
        <f>IF(OR($L752=CG$652,$L752="",$D752=$CG$651),MAX(CG$654:CG753)+1,0)</f>
        <v>99</v>
      </c>
      <c r="CI754" s="774" t="str">
        <f t="shared" si="253"/>
        <v/>
      </c>
      <c r="CJ754" s="76" t="str">
        <f t="shared" si="254"/>
        <v/>
      </c>
      <c r="CK754" s="76" t="str">
        <f t="shared" si="255"/>
        <v>Jutte</v>
      </c>
      <c r="CL754" s="1142">
        <f>IF(OR($L752=CL$652,$L752="",$D752=$CN$651),MAX(CL$654:CL753)+1,0)</f>
        <v>0</v>
      </c>
      <c r="CM754" s="1143">
        <f>IF(OR($L752=CM$652,$L752="",$D752=$CN$651),MAX(CM$654:CM753)+1,0)</f>
        <v>0</v>
      </c>
      <c r="CN754" s="1144">
        <f>IF(OR($L752=CN$652,$L752="",$D752=$CN$651),MAX(CN$654:CN753)+1,0)</f>
        <v>99</v>
      </c>
    </row>
    <row r="755" spans="1:92" ht="12.75" customHeight="1">
      <c r="A755" s="219">
        <v>746</v>
      </c>
      <c r="B755" s="7145"/>
      <c r="C755" s="1034"/>
      <c r="D755" s="3876" t="s">
        <v>6599</v>
      </c>
      <c r="E755" s="3877">
        <v>30</v>
      </c>
      <c r="F755" s="3878">
        <v>0</v>
      </c>
      <c r="G755" s="3878">
        <v>6</v>
      </c>
      <c r="H755" s="3878">
        <v>6</v>
      </c>
      <c r="I755" s="3878" t="s">
        <v>1357</v>
      </c>
      <c r="J755" s="3878" t="s">
        <v>1315</v>
      </c>
      <c r="K755" s="3879" t="s">
        <v>6834</v>
      </c>
      <c r="L755" s="3878" t="str">
        <f t="shared" si="224"/>
        <v>Distinta</v>
      </c>
      <c r="M755" s="3880">
        <v>13</v>
      </c>
      <c r="N755" s="3880">
        <v>3</v>
      </c>
      <c r="O755" s="3880">
        <v>20</v>
      </c>
      <c r="P755" s="3878"/>
      <c r="Q755" s="3878"/>
      <c r="R755" s="3878" t="s">
        <v>1315</v>
      </c>
      <c r="S755" s="3878" t="s">
        <v>1315</v>
      </c>
      <c r="T755" s="3878" t="s">
        <v>1315</v>
      </c>
      <c r="U755" s="3878"/>
      <c r="V755" s="3879" t="s">
        <v>12426</v>
      </c>
      <c r="W755" s="2433"/>
      <c r="X755" s="2434" t="str">
        <f t="shared" si="225"/>
        <v>Mediana</v>
      </c>
      <c r="Y755" s="2229">
        <f t="shared" si="226"/>
        <v>0</v>
      </c>
      <c r="Z755" s="1150" t="str">
        <f t="shared" si="228"/>
        <v/>
      </c>
      <c r="AA755" s="1751" t="s">
        <v>2019</v>
      </c>
      <c r="AC755" s="929" t="s">
        <v>2034</v>
      </c>
      <c r="AD755" s="758">
        <f>IFERROR(IF(IF(AC755&lt;&gt;"",VLOOKUP(AC755,Tabla_ArmasyEscudos,9,0),"")="Conocida",MAX(AD$662:AD754)+1,0),0)</f>
        <v>0</v>
      </c>
      <c r="AE755" s="758">
        <f ca="1">IF(AC755="",0,IF(AD755=0,MAX(AE$654:AE754,AG$652)+1,AD755+IFERROR(VLOOKUP(VLOOKUP(AC755,$D$653:$AA$871,24,0),AC$654:AE$661,3,0)-VLOOKUP(VLOOKUP(AC755,$D$653:$AA$871,24,0),AC$654:AE$661,2,0)+1,0)))</f>
        <v>95</v>
      </c>
      <c r="AF755" s="758" t="str">
        <f t="shared" ca="1" si="229"/>
        <v>Tonfa</v>
      </c>
      <c r="AG755" s="758" t="str">
        <f t="shared" ca="1" si="230"/>
        <v/>
      </c>
      <c r="AH755" s="2568"/>
      <c r="AI755" s="758">
        <f>IFERROR(IF(IF(AH755&lt;&gt;"",VLOOKUP(AH755,Tabla_ArmasyEscudos,9,0),"")="Conocida",MAX(AI$660:AI754)+1,0),0)</f>
        <v>0</v>
      </c>
      <c r="AJ755" s="758">
        <f>IF(AH755="",0,IF(AI755=0,MAX(AJ$654:AJ754,AL$652)+1,AI755+IFERROR(VLOOKUP(VLOOKUP(AH755,$D$653:$AA$871,24,0),AH$654:AJ$659,3,0)-VLOOKUP(VLOOKUP(AH755,$D$653:$AA$871,24,0),AH$654:AJ$659,2,0)+1,0)))</f>
        <v>0</v>
      </c>
      <c r="AK755" s="758" t="str">
        <f t="shared" ca="1" si="231"/>
        <v/>
      </c>
      <c r="AL755" s="758" t="str">
        <f t="shared" ca="1" si="232"/>
        <v/>
      </c>
      <c r="AM755" s="2568"/>
      <c r="AN755" s="758">
        <f>IFERROR(IF(IF(AM755&lt;&gt;"",VLOOKUP(AM755,Tabla_ArmasyEscudos,9,0),"")="Conocida",MAX(AN$660:AN754)+1,0),0)</f>
        <v>0</v>
      </c>
      <c r="AO755" s="758">
        <f>IF(AM755="",0,IF(AN755=0,MAX(AO$654:AO754,AQ$652)+1,AN755+IFERROR(VLOOKUP(VLOOKUP(AM755,$D$653:$AA$871,24,0),AM$654:AO$659,3,0)-VLOOKUP(VLOOKUP(AM755,$D$653:$AA$871,24,0),AM$654:AO$659,2,0)+1,0)))</f>
        <v>0</v>
      </c>
      <c r="AP755" s="758" t="str">
        <f t="shared" ca="1" si="233"/>
        <v/>
      </c>
      <c r="AQ755" s="758" t="str">
        <f t="shared" ca="1" si="234"/>
        <v/>
      </c>
      <c r="AR755" s="2568"/>
      <c r="AS755" s="758">
        <f>IFERROR(IF(IF(AR755&lt;&gt;"",VLOOKUP(AR755,Tabla_ArmasyEscudos,9,0),"")="Conocida",MAX(AS$660:AS754)+1,0),0)</f>
        <v>0</v>
      </c>
      <c r="AT755" s="758">
        <f>IF(AR755="",0,IF(AS755=0,MAX(AT$654:AT754,AV$652)+1,AS755+IFERROR(VLOOKUP(VLOOKUP(AR755,$D$653:$AA$871,24,0),AR$654:AT$659,3,0)-VLOOKUP(VLOOKUP(AR755,$D$653:$AA$871,24,0),AR$654:AT$659,2,0)+1,0)))</f>
        <v>0</v>
      </c>
      <c r="AU755" s="758" t="str">
        <f t="shared" ca="1" si="235"/>
        <v/>
      </c>
      <c r="AV755" s="758" t="str">
        <f t="shared" ca="1" si="236"/>
        <v/>
      </c>
      <c r="AX755" s="1141" t="str">
        <f t="shared" si="237"/>
        <v>Jutte</v>
      </c>
      <c r="AY755" s="2549"/>
      <c r="AZ755" s="774" t="str">
        <f t="shared" si="238"/>
        <v/>
      </c>
      <c r="BA755" s="76" t="str">
        <f t="shared" si="239"/>
        <v/>
      </c>
      <c r="BB755" s="76" t="str">
        <f t="shared" si="240"/>
        <v>Kama</v>
      </c>
      <c r="BC755" s="1142">
        <f>IF(OR($L753=BC$652,$L753="",$D753=$BE$651),MAX(BC$654:BC754)+1,0)</f>
        <v>0</v>
      </c>
      <c r="BD755" s="1143">
        <f>IF(OR($L753=BD$652,$L753="",$D753=$BE$651),MAX(BD$654:BD754)+1,0)</f>
        <v>0</v>
      </c>
      <c r="BE755" s="1144">
        <f>IF(OR($L753=BE$652,$L753="",$D753=$BE$651),MAX(BE$654:BE754)+1,0)</f>
        <v>100</v>
      </c>
      <c r="BF755" s="2549"/>
      <c r="BG755" s="774" t="str">
        <f t="shared" si="241"/>
        <v/>
      </c>
      <c r="BH755" s="76" t="str">
        <f t="shared" si="242"/>
        <v/>
      </c>
      <c r="BI755" s="76" t="str">
        <f t="shared" si="243"/>
        <v>Kama</v>
      </c>
      <c r="BJ755" s="1142">
        <f>IF(OR($L753=BJ$652,$L753="",$D753=$BL$651),MAX(BJ$654:BJ754)+1,0)</f>
        <v>0</v>
      </c>
      <c r="BK755" s="1143">
        <f>IF(OR($L753=BK$652,$L753="",$D753=$BL$651),MAX(BK$654:BK754)+1,0)</f>
        <v>0</v>
      </c>
      <c r="BL755" s="1144">
        <f>IF(OR($L753=BL$652,$L753="",$D753=$BL$651),MAX(BL$654:BL754)+1,0)</f>
        <v>100</v>
      </c>
      <c r="BM755" s="2549"/>
      <c r="BN755" s="774" t="str">
        <f t="shared" si="244"/>
        <v/>
      </c>
      <c r="BO755" s="76" t="str">
        <f t="shared" si="245"/>
        <v/>
      </c>
      <c r="BP755" s="76" t="str">
        <f t="shared" si="246"/>
        <v>Kama</v>
      </c>
      <c r="BQ755" s="1142">
        <f>IF(OR($L753=BQ$652,$L753="",$D753=$BS$651),MAX(BQ$654:BQ754)+1,0)</f>
        <v>0</v>
      </c>
      <c r="BR755" s="1143">
        <f>IF(OR($L753=BR$652,$L753="",$D753=$BS$651),MAX(BR$654:BR754)+1,0)</f>
        <v>0</v>
      </c>
      <c r="BS755" s="1144">
        <f>IF(OR($L753=BS$652,$L753="",$D753=$BS$651),MAX(BS$654:BS754)+1,0)</f>
        <v>100</v>
      </c>
      <c r="BT755" s="2549"/>
      <c r="BU755" s="774" t="str">
        <f t="shared" si="247"/>
        <v/>
      </c>
      <c r="BV755" s="76" t="str">
        <f t="shared" si="248"/>
        <v/>
      </c>
      <c r="BW755" s="76" t="str">
        <f t="shared" si="249"/>
        <v>Kama</v>
      </c>
      <c r="BX755" s="1142">
        <f>IF(OR($L753=BX$652,$L753="",$D753=$BZ$651),MAX(BX$654:BX754)+1,0)</f>
        <v>0</v>
      </c>
      <c r="BY755" s="1143">
        <f>IF(OR($L753=BY$652,$L753="",$D753=$BZ$651),MAX(BY$654:BY754)+1,0)</f>
        <v>0</v>
      </c>
      <c r="BZ755" s="1144">
        <f>IF(OR($L753=BZ$652,$L753="",$D753=$BZ$651),MAX(BZ$654:BZ754)+1,0)</f>
        <v>100</v>
      </c>
      <c r="CA755" s="2549"/>
      <c r="CB755" s="774" t="str">
        <f t="shared" si="250"/>
        <v/>
      </c>
      <c r="CC755" s="76" t="str">
        <f t="shared" si="251"/>
        <v/>
      </c>
      <c r="CD755" s="76" t="str">
        <f t="shared" si="252"/>
        <v>Kama</v>
      </c>
      <c r="CE755" s="1142">
        <f>IF(OR($L753=CE$652,$L753="",$D753=$CG$651),MAX(CE$654:CE754)+1,0)</f>
        <v>0</v>
      </c>
      <c r="CF755" s="1143">
        <f>IF(OR($L753=CF$652,$L753="",$D753=$CG$651),MAX(CF$654:CF754)+1,0)</f>
        <v>0</v>
      </c>
      <c r="CG755" s="1144">
        <f>IF(OR($L753=CG$652,$L753="",$D753=$CG$651),MAX(CG$654:CG754)+1,0)</f>
        <v>100</v>
      </c>
      <c r="CI755" s="774" t="str">
        <f t="shared" si="253"/>
        <v/>
      </c>
      <c r="CJ755" s="76" t="str">
        <f t="shared" si="254"/>
        <v/>
      </c>
      <c r="CK755" s="76" t="str">
        <f t="shared" si="255"/>
        <v>Kama</v>
      </c>
      <c r="CL755" s="1142">
        <f>IF(OR($L753=CL$652,$L753="",$D753=$CN$651),MAX(CL$654:CL754)+1,0)</f>
        <v>0</v>
      </c>
      <c r="CM755" s="1143">
        <f>IF(OR($L753=CM$652,$L753="",$D753=$CN$651),MAX(CM$654:CM754)+1,0)</f>
        <v>0</v>
      </c>
      <c r="CN755" s="1144">
        <f>IF(OR($L753=CN$652,$L753="",$D753=$CN$651),MAX(CN$654:CN754)+1,0)</f>
        <v>100</v>
      </c>
    </row>
    <row r="756" spans="1:92" ht="12.75" customHeight="1">
      <c r="A756" s="219">
        <v>747</v>
      </c>
      <c r="B756" s="7145"/>
      <c r="C756" s="1034"/>
      <c r="D756" s="3876" t="s">
        <v>6600</v>
      </c>
      <c r="E756" s="3877">
        <v>20</v>
      </c>
      <c r="F756" s="3878">
        <v>15</v>
      </c>
      <c r="G756" s="3878">
        <v>4</v>
      </c>
      <c r="H756" s="3878">
        <v>4</v>
      </c>
      <c r="I756" s="3878" t="s">
        <v>1357</v>
      </c>
      <c r="J756" s="3878" t="s">
        <v>1315</v>
      </c>
      <c r="K756" s="3879" t="s">
        <v>6836</v>
      </c>
      <c r="L756" s="3878" t="str">
        <f t="shared" si="224"/>
        <v>Distinta</v>
      </c>
      <c r="M756" s="3880">
        <v>13</v>
      </c>
      <c r="N756" s="3880">
        <v>3</v>
      </c>
      <c r="O756" s="3880">
        <v>20</v>
      </c>
      <c r="P756" s="3878"/>
      <c r="Q756" s="3878"/>
      <c r="R756" s="3878" t="s">
        <v>1315</v>
      </c>
      <c r="S756" s="3878" t="s">
        <v>1315</v>
      </c>
      <c r="T756" s="3878" t="s">
        <v>1315</v>
      </c>
      <c r="U756" s="3878"/>
      <c r="V756" s="3879" t="s">
        <v>1983</v>
      </c>
      <c r="W756" s="2433"/>
      <c r="X756" s="2434" t="str">
        <f t="shared" si="225"/>
        <v>Mediana</v>
      </c>
      <c r="Y756" s="2229">
        <f t="shared" si="226"/>
        <v>0</v>
      </c>
      <c r="Z756" s="1150" t="str">
        <f t="shared" si="228"/>
        <v/>
      </c>
      <c r="AA756" s="1751" t="s">
        <v>2019</v>
      </c>
      <c r="AC756" s="2568" t="s">
        <v>6606</v>
      </c>
      <c r="AD756" s="758">
        <f>IFERROR(IF(IF(AC756&lt;&gt;"",VLOOKUP(AC756,Tabla_ArmasyEscudos,9,0),"")="Conocida",MAX(AD$662:AD755)+1,0),0)</f>
        <v>0</v>
      </c>
      <c r="AE756" s="758">
        <f ca="1">IF(AC756="",0,IF(AD756=0,MAX(AE$654:AE755,AG$652)+1,AD756+IFERROR(VLOOKUP(VLOOKUP(AC756,$D$653:$AA$871,24,0),AC$654:AE$661,3,0)-VLOOKUP(VLOOKUP(AC756,$D$653:$AA$871,24,0),AC$654:AE$661,2,0)+1,0)))</f>
        <v>96</v>
      </c>
      <c r="AF756" s="758" t="str">
        <f t="shared" ca="1" si="229"/>
        <v>Uchi-ne</v>
      </c>
      <c r="AG756" s="758" t="str">
        <f t="shared" ca="1" si="230"/>
        <v/>
      </c>
      <c r="AH756" s="2568"/>
      <c r="AI756" s="758">
        <f>IFERROR(IF(IF(AH756&lt;&gt;"",VLOOKUP(AH756,Tabla_ArmasyEscudos,9,0),"")="Conocida",MAX(AI$660:AI755)+1,0),0)</f>
        <v>0</v>
      </c>
      <c r="AJ756" s="758">
        <f>IF(AH756="",0,IF(AI756=0,MAX(AJ$654:AJ755,AL$652)+1,AI756+IFERROR(VLOOKUP(VLOOKUP(AH756,$D$653:$AA$871,24,0),AH$654:AJ$659,3,0)-VLOOKUP(VLOOKUP(AH756,$D$653:$AA$871,24,0),AH$654:AJ$659,2,0)+1,0)))</f>
        <v>0</v>
      </c>
      <c r="AK756" s="758" t="str">
        <f t="shared" ca="1" si="231"/>
        <v/>
      </c>
      <c r="AL756" s="758" t="str">
        <f t="shared" ca="1" si="232"/>
        <v/>
      </c>
      <c r="AM756" s="2568"/>
      <c r="AN756" s="758">
        <f>IFERROR(IF(IF(AM756&lt;&gt;"",VLOOKUP(AM756,Tabla_ArmasyEscudos,9,0),"")="Conocida",MAX(AN$660:AN755)+1,0),0)</f>
        <v>0</v>
      </c>
      <c r="AO756" s="758">
        <f>IF(AM756="",0,IF(AN756=0,MAX(AO$654:AO755,AQ$652)+1,AN756+IFERROR(VLOOKUP(VLOOKUP(AM756,$D$653:$AA$871,24,0),AM$654:AO$659,3,0)-VLOOKUP(VLOOKUP(AM756,$D$653:$AA$871,24,0),AM$654:AO$659,2,0)+1,0)))</f>
        <v>0</v>
      </c>
      <c r="AP756" s="758" t="str">
        <f t="shared" ca="1" si="233"/>
        <v/>
      </c>
      <c r="AQ756" s="758" t="str">
        <f t="shared" ca="1" si="234"/>
        <v/>
      </c>
      <c r="AR756" s="2568"/>
      <c r="AS756" s="758">
        <f>IFERROR(IF(IF(AR756&lt;&gt;"",VLOOKUP(AR756,Tabla_ArmasyEscudos,9,0),"")="Conocida",MAX(AS$660:AS755)+1,0),0)</f>
        <v>0</v>
      </c>
      <c r="AT756" s="758">
        <f>IF(AR756="",0,IF(AS756=0,MAX(AT$654:AT755,AV$652)+1,AS756+IFERROR(VLOOKUP(VLOOKUP(AR756,$D$653:$AA$871,24,0),AR$654:AT$659,3,0)-VLOOKUP(VLOOKUP(AR756,$D$653:$AA$871,24,0),AR$654:AT$659,2,0)+1,0)))</f>
        <v>0</v>
      </c>
      <c r="AU756" s="758" t="str">
        <f t="shared" ca="1" si="235"/>
        <v/>
      </c>
      <c r="AV756" s="758" t="str">
        <f t="shared" ca="1" si="236"/>
        <v/>
      </c>
      <c r="AX756" s="1141" t="str">
        <f t="shared" si="237"/>
        <v>Kama</v>
      </c>
      <c r="AY756" s="2549"/>
      <c r="AZ756" s="774" t="str">
        <f t="shared" si="238"/>
        <v/>
      </c>
      <c r="BA756" s="76" t="str">
        <f t="shared" si="239"/>
        <v/>
      </c>
      <c r="BB756" s="76" t="str">
        <f t="shared" si="240"/>
        <v>Kau Sin Ke</v>
      </c>
      <c r="BC756" s="1142">
        <f>IF(OR($L754=BC$652,$L754="",$D754=$BE$651),MAX(BC$654:BC755)+1,0)</f>
        <v>0</v>
      </c>
      <c r="BD756" s="1143">
        <f>IF(OR($L754=BD$652,$L754="",$D754=$BE$651),MAX(BD$654:BD755)+1,0)</f>
        <v>0</v>
      </c>
      <c r="BE756" s="1144">
        <f>IF(OR($L754=BE$652,$L754="",$D754=$BE$651),MAX(BE$654:BE755)+1,0)</f>
        <v>101</v>
      </c>
      <c r="BF756" s="2549"/>
      <c r="BG756" s="774" t="str">
        <f t="shared" si="241"/>
        <v/>
      </c>
      <c r="BH756" s="76" t="str">
        <f t="shared" si="242"/>
        <v/>
      </c>
      <c r="BI756" s="76" t="str">
        <f t="shared" si="243"/>
        <v>Kau Sin Ke</v>
      </c>
      <c r="BJ756" s="1142">
        <f>IF(OR($L754=BJ$652,$L754="",$D754=$BL$651),MAX(BJ$654:BJ755)+1,0)</f>
        <v>0</v>
      </c>
      <c r="BK756" s="1143">
        <f>IF(OR($L754=BK$652,$L754="",$D754=$BL$651),MAX(BK$654:BK755)+1,0)</f>
        <v>0</v>
      </c>
      <c r="BL756" s="1144">
        <f>IF(OR($L754=BL$652,$L754="",$D754=$BL$651),MAX(BL$654:BL755)+1,0)</f>
        <v>101</v>
      </c>
      <c r="BM756" s="2549"/>
      <c r="BN756" s="774" t="str">
        <f t="shared" si="244"/>
        <v/>
      </c>
      <c r="BO756" s="76" t="str">
        <f t="shared" si="245"/>
        <v/>
      </c>
      <c r="BP756" s="76" t="str">
        <f t="shared" si="246"/>
        <v>Kau Sin Ke</v>
      </c>
      <c r="BQ756" s="1142">
        <f>IF(OR($L754=BQ$652,$L754="",$D754=$BS$651),MAX(BQ$654:BQ755)+1,0)</f>
        <v>0</v>
      </c>
      <c r="BR756" s="1143">
        <f>IF(OR($L754=BR$652,$L754="",$D754=$BS$651),MAX(BR$654:BR755)+1,0)</f>
        <v>0</v>
      </c>
      <c r="BS756" s="1144">
        <f>IF(OR($L754=BS$652,$L754="",$D754=$BS$651),MAX(BS$654:BS755)+1,0)</f>
        <v>101</v>
      </c>
      <c r="BT756" s="2549"/>
      <c r="BU756" s="774" t="str">
        <f t="shared" si="247"/>
        <v/>
      </c>
      <c r="BV756" s="76" t="str">
        <f t="shared" si="248"/>
        <v/>
      </c>
      <c r="BW756" s="76" t="str">
        <f t="shared" si="249"/>
        <v>Kau Sin Ke</v>
      </c>
      <c r="BX756" s="1142">
        <f>IF(OR($L754=BX$652,$L754="",$D754=$BZ$651),MAX(BX$654:BX755)+1,0)</f>
        <v>0</v>
      </c>
      <c r="BY756" s="1143">
        <f>IF(OR($L754=BY$652,$L754="",$D754=$BZ$651),MAX(BY$654:BY755)+1,0)</f>
        <v>0</v>
      </c>
      <c r="BZ756" s="1144">
        <f>IF(OR($L754=BZ$652,$L754="",$D754=$BZ$651),MAX(BZ$654:BZ755)+1,0)</f>
        <v>101</v>
      </c>
      <c r="CA756" s="2549"/>
      <c r="CB756" s="774" t="str">
        <f t="shared" si="250"/>
        <v/>
      </c>
      <c r="CC756" s="76" t="str">
        <f t="shared" si="251"/>
        <v/>
      </c>
      <c r="CD756" s="76" t="str">
        <f t="shared" si="252"/>
        <v>Kau Sin Ke</v>
      </c>
      <c r="CE756" s="1142">
        <f>IF(OR($L754=CE$652,$L754="",$D754=$CG$651),MAX(CE$654:CE755)+1,0)</f>
        <v>0</v>
      </c>
      <c r="CF756" s="1143">
        <f>IF(OR($L754=CF$652,$L754="",$D754=$CG$651),MAX(CF$654:CF755)+1,0)</f>
        <v>0</v>
      </c>
      <c r="CG756" s="1144">
        <f>IF(OR($L754=CG$652,$L754="",$D754=$CG$651),MAX(CG$654:CG755)+1,0)</f>
        <v>101</v>
      </c>
      <c r="CI756" s="774" t="str">
        <f t="shared" si="253"/>
        <v/>
      </c>
      <c r="CJ756" s="76" t="str">
        <f t="shared" si="254"/>
        <v/>
      </c>
      <c r="CK756" s="76" t="str">
        <f t="shared" si="255"/>
        <v>Kau Sin Ke</v>
      </c>
      <c r="CL756" s="1142">
        <f>IF(OR($L754=CL$652,$L754="",$D754=$CN$651),MAX(CL$654:CL755)+1,0)</f>
        <v>0</v>
      </c>
      <c r="CM756" s="1143">
        <f>IF(OR($L754=CM$652,$L754="",$D754=$CN$651),MAX(CM$654:CM755)+1,0)</f>
        <v>0</v>
      </c>
      <c r="CN756" s="1144">
        <f>IF(OR($L754=CN$652,$L754="",$D754=$CN$651),MAX(CN$654:CN755)+1,0)</f>
        <v>101</v>
      </c>
    </row>
    <row r="757" spans="1:92" ht="12.75" customHeight="1">
      <c r="A757" s="219">
        <v>748</v>
      </c>
      <c r="B757" s="7145"/>
      <c r="C757" s="1034"/>
      <c r="D757" s="2237" t="s">
        <v>6601</v>
      </c>
      <c r="E757" s="2239">
        <v>30</v>
      </c>
      <c r="F757" s="2236">
        <v>15</v>
      </c>
      <c r="G757" s="2236">
        <v>4</v>
      </c>
      <c r="H757" s="2236">
        <v>4</v>
      </c>
      <c r="I757" s="2236" t="s">
        <v>1411</v>
      </c>
      <c r="J757" s="2236" t="s">
        <v>1410</v>
      </c>
      <c r="K757" s="2433" t="s">
        <v>6835</v>
      </c>
      <c r="L757" s="2236" t="str">
        <f t="shared" si="224"/>
        <v>Distinta</v>
      </c>
      <c r="M757" s="2240">
        <v>11</v>
      </c>
      <c r="N757" s="2240">
        <v>1</v>
      </c>
      <c r="O757" s="2240">
        <v>20</v>
      </c>
      <c r="P757" s="2236"/>
      <c r="Q757" s="2236"/>
      <c r="R757" s="2236" t="s">
        <v>1315</v>
      </c>
      <c r="S757" s="2236" t="s">
        <v>1315</v>
      </c>
      <c r="T757" s="2236" t="s">
        <v>1315</v>
      </c>
      <c r="U757" s="2236"/>
      <c r="V757" s="2433" t="s">
        <v>1983</v>
      </c>
      <c r="W757" s="2433"/>
      <c r="X757" s="2434" t="str">
        <f t="shared" si="225"/>
        <v>Pequeña</v>
      </c>
      <c r="Y757" s="2229">
        <f t="shared" si="226"/>
        <v>0</v>
      </c>
      <c r="Z757" s="1150" t="str">
        <f t="shared" si="228"/>
        <v/>
      </c>
      <c r="AA757" s="1751" t="s">
        <v>2019</v>
      </c>
      <c r="AC757" s="2568" t="s">
        <v>2036</v>
      </c>
      <c r="AD757" s="758">
        <f>IFERROR(IF(IF(AC757&lt;&gt;"",VLOOKUP(AC757,Tabla_ArmasyEscudos,9,0),"")="Conocida",MAX(AD$662:AD756)+1,0),0)</f>
        <v>0</v>
      </c>
      <c r="AE757" s="758">
        <f ca="1">IF(AC757="",0,IF(AD757=0,MAX(AE$654:AE756,AG$652)+1,AD757+IFERROR(VLOOKUP(VLOOKUP(AC757,$D$653:$AA$871,24,0),AC$654:AE$661,3,0)-VLOOKUP(VLOOKUP(AC757,$D$653:$AA$871,24,0),AC$654:AE$661,2,0)+1,0)))</f>
        <v>97</v>
      </c>
      <c r="AF757" s="758" t="str">
        <f t="shared" ca="1" si="229"/>
        <v>Vara</v>
      </c>
      <c r="AG757" s="758" t="str">
        <f t="shared" ca="1" si="230"/>
        <v/>
      </c>
      <c r="AH757" s="2568"/>
      <c r="AI757" s="758">
        <f>IFERROR(IF(IF(AH757&lt;&gt;"",VLOOKUP(AH757,Tabla_ArmasyEscudos,9,0),"")="Conocida",MAX(AI$660:AI756)+1,0),0)</f>
        <v>0</v>
      </c>
      <c r="AJ757" s="758">
        <f>IF(AH757="",0,IF(AI757=0,MAX(AJ$654:AJ756,AL$652)+1,AI757+IFERROR(VLOOKUP(VLOOKUP(AH757,$D$653:$AA$871,24,0),AH$654:AJ$659,3,0)-VLOOKUP(VLOOKUP(AH757,$D$653:$AA$871,24,0),AH$654:AJ$659,2,0)+1,0)))</f>
        <v>0</v>
      </c>
      <c r="AK757" s="758" t="str">
        <f t="shared" ca="1" si="231"/>
        <v/>
      </c>
      <c r="AL757" s="758" t="str">
        <f t="shared" ca="1" si="232"/>
        <v/>
      </c>
      <c r="AM757" s="2568"/>
      <c r="AN757" s="758">
        <f>IFERROR(IF(IF(AM757&lt;&gt;"",VLOOKUP(AM757,Tabla_ArmasyEscudos,9,0),"")="Conocida",MAX(AN$660:AN756)+1,0),0)</f>
        <v>0</v>
      </c>
      <c r="AO757" s="758">
        <f>IF(AM757="",0,IF(AN757=0,MAX(AO$654:AO756,AQ$652)+1,AN757+IFERROR(VLOOKUP(VLOOKUP(AM757,$D$653:$AA$871,24,0),AM$654:AO$659,3,0)-VLOOKUP(VLOOKUP(AM757,$D$653:$AA$871,24,0),AM$654:AO$659,2,0)+1,0)))</f>
        <v>0</v>
      </c>
      <c r="AP757" s="758" t="str">
        <f t="shared" ca="1" si="233"/>
        <v/>
      </c>
      <c r="AQ757" s="758" t="str">
        <f t="shared" ca="1" si="234"/>
        <v/>
      </c>
      <c r="AR757" s="2568"/>
      <c r="AS757" s="758">
        <f>IFERROR(IF(IF(AR757&lt;&gt;"",VLOOKUP(AR757,Tabla_ArmasyEscudos,9,0),"")="Conocida",MAX(AS$660:AS756)+1,0),0)</f>
        <v>0</v>
      </c>
      <c r="AT757" s="758">
        <f>IF(AR757="",0,IF(AS757=0,MAX(AT$654:AT756,AV$652)+1,AS757+IFERROR(VLOOKUP(VLOOKUP(AR757,$D$653:$AA$871,24,0),AR$654:AT$659,3,0)-VLOOKUP(VLOOKUP(AR757,$D$653:$AA$871,24,0),AR$654:AT$659,2,0)+1,0)))</f>
        <v>0</v>
      </c>
      <c r="AU757" s="758" t="str">
        <f t="shared" ca="1" si="235"/>
        <v/>
      </c>
      <c r="AV757" s="758" t="str">
        <f t="shared" ca="1" si="236"/>
        <v/>
      </c>
      <c r="AX757" s="1141" t="str">
        <f t="shared" si="237"/>
        <v>Kau Sin Ke</v>
      </c>
      <c r="AY757" s="2549"/>
      <c r="AZ757" s="774" t="str">
        <f t="shared" si="238"/>
        <v/>
      </c>
      <c r="BA757" s="76" t="str">
        <f t="shared" si="239"/>
        <v/>
      </c>
      <c r="BB757" s="76" t="str">
        <f t="shared" si="240"/>
        <v>Kiseru</v>
      </c>
      <c r="BC757" s="1142">
        <f>IF(OR($L755=BC$652,$L755="",$D755=$BE$651),MAX(BC$654:BC756)+1,0)</f>
        <v>0</v>
      </c>
      <c r="BD757" s="1143">
        <f>IF(OR($L755=BD$652,$L755="",$D755=$BE$651),MAX(BD$654:BD756)+1,0)</f>
        <v>0</v>
      </c>
      <c r="BE757" s="1144">
        <f>IF(OR($L755=BE$652,$L755="",$D755=$BE$651),MAX(BE$654:BE756)+1,0)</f>
        <v>102</v>
      </c>
      <c r="BF757" s="2549"/>
      <c r="BG757" s="774" t="str">
        <f t="shared" si="241"/>
        <v/>
      </c>
      <c r="BH757" s="76" t="str">
        <f t="shared" si="242"/>
        <v/>
      </c>
      <c r="BI757" s="76" t="str">
        <f t="shared" si="243"/>
        <v>Kiseru</v>
      </c>
      <c r="BJ757" s="1142">
        <f>IF(OR($L755=BJ$652,$L755="",$D755=$BL$651),MAX(BJ$654:BJ756)+1,0)</f>
        <v>0</v>
      </c>
      <c r="BK757" s="1143">
        <f>IF(OR($L755=BK$652,$L755="",$D755=$BL$651),MAX(BK$654:BK756)+1,0)</f>
        <v>0</v>
      </c>
      <c r="BL757" s="1144">
        <f>IF(OR($L755=BL$652,$L755="",$D755=$BL$651),MAX(BL$654:BL756)+1,0)</f>
        <v>102</v>
      </c>
      <c r="BM757" s="2549"/>
      <c r="BN757" s="774" t="str">
        <f t="shared" si="244"/>
        <v/>
      </c>
      <c r="BO757" s="76" t="str">
        <f t="shared" si="245"/>
        <v/>
      </c>
      <c r="BP757" s="76" t="str">
        <f t="shared" si="246"/>
        <v>Kiseru</v>
      </c>
      <c r="BQ757" s="1142">
        <f>IF(OR($L755=BQ$652,$L755="",$D755=$BS$651),MAX(BQ$654:BQ756)+1,0)</f>
        <v>0</v>
      </c>
      <c r="BR757" s="1143">
        <f>IF(OR($L755=BR$652,$L755="",$D755=$BS$651),MAX(BR$654:BR756)+1,0)</f>
        <v>0</v>
      </c>
      <c r="BS757" s="1144">
        <f>IF(OR($L755=BS$652,$L755="",$D755=$BS$651),MAX(BS$654:BS756)+1,0)</f>
        <v>102</v>
      </c>
      <c r="BT757" s="2549"/>
      <c r="BU757" s="774" t="str">
        <f t="shared" si="247"/>
        <v/>
      </c>
      <c r="BV757" s="76" t="str">
        <f t="shared" si="248"/>
        <v/>
      </c>
      <c r="BW757" s="76" t="str">
        <f t="shared" si="249"/>
        <v>Kiseru</v>
      </c>
      <c r="BX757" s="1142">
        <f>IF(OR($L755=BX$652,$L755="",$D755=$BZ$651),MAX(BX$654:BX756)+1,0)</f>
        <v>0</v>
      </c>
      <c r="BY757" s="1143">
        <f>IF(OR($L755=BY$652,$L755="",$D755=$BZ$651),MAX(BY$654:BY756)+1,0)</f>
        <v>0</v>
      </c>
      <c r="BZ757" s="1144">
        <f>IF(OR($L755=BZ$652,$L755="",$D755=$BZ$651),MAX(BZ$654:BZ756)+1,0)</f>
        <v>102</v>
      </c>
      <c r="CA757" s="2549"/>
      <c r="CB757" s="774" t="str">
        <f t="shared" si="250"/>
        <v/>
      </c>
      <c r="CC757" s="76" t="str">
        <f t="shared" si="251"/>
        <v/>
      </c>
      <c r="CD757" s="76" t="str">
        <f t="shared" si="252"/>
        <v>Kiseru</v>
      </c>
      <c r="CE757" s="1142">
        <f>IF(OR($L755=CE$652,$L755="",$D755=$CG$651),MAX(CE$654:CE756)+1,0)</f>
        <v>0</v>
      </c>
      <c r="CF757" s="1143">
        <f>IF(OR($L755=CF$652,$L755="",$D755=$CG$651),MAX(CF$654:CF756)+1,0)</f>
        <v>0</v>
      </c>
      <c r="CG757" s="1144">
        <f>IF(OR($L755=CG$652,$L755="",$D755=$CG$651),MAX(CG$654:CG756)+1,0)</f>
        <v>102</v>
      </c>
      <c r="CI757" s="774" t="str">
        <f t="shared" si="253"/>
        <v/>
      </c>
      <c r="CJ757" s="76" t="str">
        <f t="shared" si="254"/>
        <v/>
      </c>
      <c r="CK757" s="76" t="str">
        <f t="shared" si="255"/>
        <v>Kiseru</v>
      </c>
      <c r="CL757" s="1142">
        <f>IF(OR($L755=CL$652,$L755="",$D755=$CN$651),MAX(CL$654:CL756)+1,0)</f>
        <v>0</v>
      </c>
      <c r="CM757" s="1143">
        <f>IF(OR($L755=CM$652,$L755="",$D755=$CN$651),MAX(CM$654:CM756)+1,0)</f>
        <v>0</v>
      </c>
      <c r="CN757" s="1144">
        <f>IF(OR($L755=CN$652,$L755="",$D755=$CN$651),MAX(CN$654:CN756)+1,0)</f>
        <v>102</v>
      </c>
    </row>
    <row r="758" spans="1:92" ht="12.75" customHeight="1">
      <c r="A758" s="219">
        <v>749</v>
      </c>
      <c r="B758" s="7145"/>
      <c r="C758" s="1034"/>
      <c r="D758" s="2237" t="s">
        <v>6602</v>
      </c>
      <c r="E758" s="2239">
        <v>35</v>
      </c>
      <c r="F758" s="2236">
        <v>-10</v>
      </c>
      <c r="G758" s="2236">
        <v>4</v>
      </c>
      <c r="H758" s="2236">
        <v>4</v>
      </c>
      <c r="I758" s="2236" t="s">
        <v>1411</v>
      </c>
      <c r="J758" s="2236" t="s">
        <v>1315</v>
      </c>
      <c r="K758" s="2433" t="s">
        <v>6830</v>
      </c>
      <c r="L758" s="2236" t="str">
        <f t="shared" si="224"/>
        <v>Distinta</v>
      </c>
      <c r="M758" s="2240">
        <v>13</v>
      </c>
      <c r="N758" s="2240">
        <v>2</v>
      </c>
      <c r="O758" s="2240">
        <v>25</v>
      </c>
      <c r="P758" s="2236"/>
      <c r="Q758" s="2236"/>
      <c r="R758" s="2236" t="s">
        <v>1315</v>
      </c>
      <c r="S758" s="2236" t="s">
        <v>1315</v>
      </c>
      <c r="T758" s="2236" t="s">
        <v>1315</v>
      </c>
      <c r="U758" s="2236"/>
      <c r="V758" s="2433" t="s">
        <v>2000</v>
      </c>
      <c r="W758" s="2433"/>
      <c r="X758" s="2434" t="str">
        <f t="shared" si="225"/>
        <v>Grande</v>
      </c>
      <c r="Y758" s="2229">
        <f t="shared" si="226"/>
        <v>0</v>
      </c>
      <c r="Z758" s="1150" t="str">
        <f t="shared" si="228"/>
        <v/>
      </c>
      <c r="AA758" s="1751" t="s">
        <v>2019</v>
      </c>
      <c r="AC758" s="2568" t="s">
        <v>2037</v>
      </c>
      <c r="AD758" s="758">
        <f>IFERROR(IF(IF(AC758&lt;&gt;"",VLOOKUP(AC758,Tabla_ArmasyEscudos,9,0),"")="Conocida",MAX(AD$662:AD757)+1,0),0)</f>
        <v>0</v>
      </c>
      <c r="AE758" s="758">
        <f ca="1">IF(AC758="",0,IF(AD758=0,MAX(AE$654:AE757,AG$652)+1,AD758+IFERROR(VLOOKUP(VLOOKUP(AC758,$D$653:$AA$871,24,0),AC$654:AE$661,3,0)-VLOOKUP(VLOOKUP(AC758,$D$653:$AA$871,24,0),AC$654:AE$661,2,0)+1,0)))</f>
        <v>98</v>
      </c>
      <c r="AF758" s="758" t="str">
        <f t="shared" ca="1" si="229"/>
        <v>Wakizashi</v>
      </c>
      <c r="AG758" s="758" t="str">
        <f t="shared" ca="1" si="230"/>
        <v/>
      </c>
      <c r="AH758" s="2568"/>
      <c r="AI758" s="758">
        <f>IFERROR(IF(IF(AH758&lt;&gt;"",VLOOKUP(AH758,Tabla_ArmasyEscudos,9,0),"")="Conocida",MAX(AI$660:AI757)+1,0),0)</f>
        <v>0</v>
      </c>
      <c r="AJ758" s="758">
        <f>IF(AH758="",0,IF(AI758=0,MAX(AJ$654:AJ757,AL$652)+1,AI758+IFERROR(VLOOKUP(VLOOKUP(AH758,$D$653:$AA$871,24,0),AH$654:AJ$659,3,0)-VLOOKUP(VLOOKUP(AH758,$D$653:$AA$871,24,0),AH$654:AJ$659,2,0)+1,0)))</f>
        <v>0</v>
      </c>
      <c r="AK758" s="758" t="str">
        <f t="shared" ca="1" si="231"/>
        <v/>
      </c>
      <c r="AL758" s="758" t="str">
        <f t="shared" ca="1" si="232"/>
        <v/>
      </c>
      <c r="AM758" s="2568"/>
      <c r="AN758" s="758">
        <f>IFERROR(IF(IF(AM758&lt;&gt;"",VLOOKUP(AM758,Tabla_ArmasyEscudos,9,0),"")="Conocida",MAX(AN$660:AN757)+1,0),0)</f>
        <v>0</v>
      </c>
      <c r="AO758" s="758">
        <f>IF(AM758="",0,IF(AN758=0,MAX(AO$654:AO757,AQ$652)+1,AN758+IFERROR(VLOOKUP(VLOOKUP(AM758,$D$653:$AA$871,24,0),AM$654:AO$659,3,0)-VLOOKUP(VLOOKUP(AM758,$D$653:$AA$871,24,0),AM$654:AO$659,2,0)+1,0)))</f>
        <v>0</v>
      </c>
      <c r="AP758" s="758" t="str">
        <f t="shared" ca="1" si="233"/>
        <v/>
      </c>
      <c r="AQ758" s="758" t="str">
        <f t="shared" ca="1" si="234"/>
        <v/>
      </c>
      <c r="AR758" s="2568"/>
      <c r="AS758" s="758">
        <f>IFERROR(IF(IF(AR758&lt;&gt;"",VLOOKUP(AR758,Tabla_ArmasyEscudos,9,0),"")="Conocida",MAX(AS$660:AS757)+1,0),0)</f>
        <v>0</v>
      </c>
      <c r="AT758" s="758">
        <f>IF(AR758="",0,IF(AS758=0,MAX(AT$654:AT757,AV$652)+1,AS758+IFERROR(VLOOKUP(VLOOKUP(AR758,$D$653:$AA$871,24,0),AR$654:AT$659,3,0)-VLOOKUP(VLOOKUP(AR758,$D$653:$AA$871,24,0),AR$654:AT$659,2,0)+1,0)))</f>
        <v>0</v>
      </c>
      <c r="AU758" s="758" t="str">
        <f t="shared" ca="1" si="235"/>
        <v/>
      </c>
      <c r="AV758" s="758" t="str">
        <f t="shared" ca="1" si="236"/>
        <v/>
      </c>
      <c r="AX758" s="1141" t="str">
        <f t="shared" si="237"/>
        <v>Kiseru</v>
      </c>
      <c r="AY758" s="2549"/>
      <c r="AZ758" s="774" t="str">
        <f t="shared" si="238"/>
        <v/>
      </c>
      <c r="BA758" s="76" t="str">
        <f t="shared" si="239"/>
        <v/>
      </c>
      <c r="BB758" s="76" t="str">
        <f t="shared" si="240"/>
        <v>Kris</v>
      </c>
      <c r="BC758" s="1142">
        <f>IF(OR($L756=BC$652,$L756="",$D756=$BE$651),MAX(BC$654:BC757)+1,0)</f>
        <v>0</v>
      </c>
      <c r="BD758" s="1143">
        <f>IF(OR($L756=BD$652,$L756="",$D756=$BE$651),MAX(BD$654:BD757)+1,0)</f>
        <v>0</v>
      </c>
      <c r="BE758" s="1144">
        <f>IF(OR($L756=BE$652,$L756="",$D756=$BE$651),MAX(BE$654:BE757)+1,0)</f>
        <v>103</v>
      </c>
      <c r="BF758" s="2549"/>
      <c r="BG758" s="774" t="str">
        <f t="shared" si="241"/>
        <v/>
      </c>
      <c r="BH758" s="76" t="str">
        <f t="shared" si="242"/>
        <v/>
      </c>
      <c r="BI758" s="76" t="str">
        <f t="shared" si="243"/>
        <v>Kris</v>
      </c>
      <c r="BJ758" s="1142">
        <f>IF(OR($L756=BJ$652,$L756="",$D756=$BL$651),MAX(BJ$654:BJ757)+1,0)</f>
        <v>0</v>
      </c>
      <c r="BK758" s="1143">
        <f>IF(OR($L756=BK$652,$L756="",$D756=$BL$651),MAX(BK$654:BK757)+1,0)</f>
        <v>0</v>
      </c>
      <c r="BL758" s="1144">
        <f>IF(OR($L756=BL$652,$L756="",$D756=$BL$651),MAX(BL$654:BL757)+1,0)</f>
        <v>103</v>
      </c>
      <c r="BM758" s="2549"/>
      <c r="BN758" s="774" t="str">
        <f t="shared" si="244"/>
        <v/>
      </c>
      <c r="BO758" s="76" t="str">
        <f t="shared" si="245"/>
        <v/>
      </c>
      <c r="BP758" s="76" t="str">
        <f t="shared" si="246"/>
        <v>Kris</v>
      </c>
      <c r="BQ758" s="1142">
        <f>IF(OR($L756=BQ$652,$L756="",$D756=$BS$651),MAX(BQ$654:BQ757)+1,0)</f>
        <v>0</v>
      </c>
      <c r="BR758" s="1143">
        <f>IF(OR($L756=BR$652,$L756="",$D756=$BS$651),MAX(BR$654:BR757)+1,0)</f>
        <v>0</v>
      </c>
      <c r="BS758" s="1144">
        <f>IF(OR($L756=BS$652,$L756="",$D756=$BS$651),MAX(BS$654:BS757)+1,0)</f>
        <v>103</v>
      </c>
      <c r="BT758" s="2549"/>
      <c r="BU758" s="774" t="str">
        <f t="shared" si="247"/>
        <v/>
      </c>
      <c r="BV758" s="76" t="str">
        <f t="shared" si="248"/>
        <v/>
      </c>
      <c r="BW758" s="76" t="str">
        <f t="shared" si="249"/>
        <v>Kris</v>
      </c>
      <c r="BX758" s="1142">
        <f>IF(OR($L756=BX$652,$L756="",$D756=$BZ$651),MAX(BX$654:BX757)+1,0)</f>
        <v>0</v>
      </c>
      <c r="BY758" s="1143">
        <f>IF(OR($L756=BY$652,$L756="",$D756=$BZ$651),MAX(BY$654:BY757)+1,0)</f>
        <v>0</v>
      </c>
      <c r="BZ758" s="1144">
        <f>IF(OR($L756=BZ$652,$L756="",$D756=$BZ$651),MAX(BZ$654:BZ757)+1,0)</f>
        <v>103</v>
      </c>
      <c r="CA758" s="2549"/>
      <c r="CB758" s="774" t="str">
        <f t="shared" si="250"/>
        <v/>
      </c>
      <c r="CC758" s="76" t="str">
        <f t="shared" si="251"/>
        <v/>
      </c>
      <c r="CD758" s="76" t="str">
        <f t="shared" si="252"/>
        <v>Kris</v>
      </c>
      <c r="CE758" s="1142">
        <f>IF(OR($L756=CE$652,$L756="",$D756=$CG$651),MAX(CE$654:CE757)+1,0)</f>
        <v>0</v>
      </c>
      <c r="CF758" s="1143">
        <f>IF(OR($L756=CF$652,$L756="",$D756=$CG$651),MAX(CF$654:CF757)+1,0)</f>
        <v>0</v>
      </c>
      <c r="CG758" s="1144">
        <f>IF(OR($L756=CG$652,$L756="",$D756=$CG$651),MAX(CG$654:CG757)+1,0)</f>
        <v>103</v>
      </c>
      <c r="CI758" s="774" t="str">
        <f t="shared" si="253"/>
        <v/>
      </c>
      <c r="CJ758" s="76" t="str">
        <f t="shared" si="254"/>
        <v/>
      </c>
      <c r="CK758" s="76" t="str">
        <f t="shared" si="255"/>
        <v>Kris</v>
      </c>
      <c r="CL758" s="1142">
        <f>IF(OR($L756=CL$652,$L756="",$D756=$CN$651),MAX(CL$654:CL757)+1,0)</f>
        <v>0</v>
      </c>
      <c r="CM758" s="1143">
        <f>IF(OR($L756=CM$652,$L756="",$D756=$CN$651),MAX(CM$654:CM757)+1,0)</f>
        <v>0</v>
      </c>
      <c r="CN758" s="1144">
        <f>IF(OR($L756=CN$652,$L756="",$D756=$CN$651),MAX(CN$654:CN757)+1,0)</f>
        <v>103</v>
      </c>
    </row>
    <row r="759" spans="1:92" ht="12.75" customHeight="1">
      <c r="A759" s="219">
        <v>750</v>
      </c>
      <c r="B759" s="7145"/>
      <c r="C759" s="1034"/>
      <c r="D759" s="2237" t="s">
        <v>6603</v>
      </c>
      <c r="E759" s="2239">
        <v>25</v>
      </c>
      <c r="F759" s="2236">
        <v>20</v>
      </c>
      <c r="G759" s="2236">
        <v>4</v>
      </c>
      <c r="H759" s="2236">
        <v>4</v>
      </c>
      <c r="I759" s="2236" t="s">
        <v>1411</v>
      </c>
      <c r="J759" s="2236" t="s">
        <v>1315</v>
      </c>
      <c r="K759" s="2433" t="s">
        <v>6835</v>
      </c>
      <c r="L759" s="2236" t="str">
        <f t="shared" si="224"/>
        <v>Distinta</v>
      </c>
      <c r="M759" s="2240">
        <v>10</v>
      </c>
      <c r="N759" s="2240">
        <v>2</v>
      </c>
      <c r="O759" s="2240">
        <v>15</v>
      </c>
      <c r="P759" s="2236"/>
      <c r="Q759" s="2236"/>
      <c r="R759" s="2236">
        <v>40</v>
      </c>
      <c r="S759" s="2236" t="s">
        <v>1315</v>
      </c>
      <c r="T759" s="2236">
        <v>20</v>
      </c>
      <c r="U759" s="2236"/>
      <c r="V759" s="2433" t="s">
        <v>8124</v>
      </c>
      <c r="W759" s="2433"/>
      <c r="X759" s="2434" t="str">
        <f t="shared" si="225"/>
        <v>Pequeña</v>
      </c>
      <c r="Y759" s="2229">
        <f t="shared" si="226"/>
        <v>0</v>
      </c>
      <c r="Z759" s="1150" t="str">
        <f t="shared" si="228"/>
        <v/>
      </c>
      <c r="AA759" s="1751" t="s">
        <v>2019</v>
      </c>
      <c r="AC759" s="2568" t="s">
        <v>2038</v>
      </c>
      <c r="AD759" s="758">
        <f>IFERROR(IF(IF(AC759&lt;&gt;"",VLOOKUP(AC759,Tabla_ArmasyEscudos,9,0),"")="Conocida",MAX(AD$662:AD758)+1,0),0)</f>
        <v>0</v>
      </c>
      <c r="AE759" s="758">
        <f ca="1">IF(AC759="",0,IF(AD759=0,MAX(AE$654:AE758,AG$652)+1,AD759+IFERROR(VLOOKUP(VLOOKUP(AC759,$D$653:$AA$871,24,0),AC$654:AE$661,3,0)-VLOOKUP(VLOOKUP(AC759,$D$653:$AA$871,24,0),AC$654:AE$661,2,0)+1,0)))</f>
        <v>99</v>
      </c>
      <c r="AF759" s="758" t="str">
        <f t="shared" ca="1" si="229"/>
        <v>&gt; ARS MAGNUS</v>
      </c>
      <c r="AG759" s="758" t="str">
        <f t="shared" ca="1" si="230"/>
        <v/>
      </c>
      <c r="AH759" s="2568"/>
      <c r="AI759" s="758">
        <f>IFERROR(IF(IF(AH759&lt;&gt;"",VLOOKUP(AH759,Tabla_ArmasyEscudos,9,0),"")="Conocida",MAX(AI$660:AI758)+1,0),0)</f>
        <v>0</v>
      </c>
      <c r="AJ759" s="758">
        <f>IF(AH759="",0,IF(AI759=0,MAX(AJ$654:AJ758,AL$652)+1,AI759+IFERROR(VLOOKUP(VLOOKUP(AH759,$D$653:$AA$871,24,0),AH$654:AJ$659,3,0)-VLOOKUP(VLOOKUP(AH759,$D$653:$AA$871,24,0),AH$654:AJ$659,2,0)+1,0)))</f>
        <v>0</v>
      </c>
      <c r="AK759" s="758" t="str">
        <f t="shared" ca="1" si="231"/>
        <v/>
      </c>
      <c r="AL759" s="758" t="str">
        <f t="shared" ca="1" si="232"/>
        <v/>
      </c>
      <c r="AM759" s="2568"/>
      <c r="AN759" s="758">
        <f>IFERROR(IF(IF(AM759&lt;&gt;"",VLOOKUP(AM759,Tabla_ArmasyEscudos,9,0),"")="Conocida",MAX(AN$660:AN758)+1,0),0)</f>
        <v>0</v>
      </c>
      <c r="AO759" s="758">
        <f>IF(AM759="",0,IF(AN759=0,MAX(AO$654:AO758,AQ$652)+1,AN759+IFERROR(VLOOKUP(VLOOKUP(AM759,$D$653:$AA$871,24,0),AM$654:AO$659,3,0)-VLOOKUP(VLOOKUP(AM759,$D$653:$AA$871,24,0),AM$654:AO$659,2,0)+1,0)))</f>
        <v>0</v>
      </c>
      <c r="AP759" s="758" t="str">
        <f t="shared" ca="1" si="233"/>
        <v/>
      </c>
      <c r="AQ759" s="758" t="str">
        <f t="shared" ca="1" si="234"/>
        <v/>
      </c>
      <c r="AR759" s="2568"/>
      <c r="AS759" s="758">
        <f>IFERROR(IF(IF(AR759&lt;&gt;"",VLOOKUP(AR759,Tabla_ArmasyEscudos,9,0),"")="Conocida",MAX(AS$660:AS758)+1,0),0)</f>
        <v>0</v>
      </c>
      <c r="AT759" s="758">
        <f>IF(AR759="",0,IF(AS759=0,MAX(AT$654:AT758,AV$652)+1,AS759+IFERROR(VLOOKUP(VLOOKUP(AR759,$D$653:$AA$871,24,0),AR$654:AT$659,3,0)-VLOOKUP(VLOOKUP(AR759,$D$653:$AA$871,24,0),AR$654:AT$659,2,0)+1,0)))</f>
        <v>0</v>
      </c>
      <c r="AU759" s="758" t="str">
        <f t="shared" ca="1" si="235"/>
        <v/>
      </c>
      <c r="AV759" s="758" t="str">
        <f t="shared" ca="1" si="236"/>
        <v/>
      </c>
      <c r="AX759" s="1141" t="str">
        <f t="shared" si="237"/>
        <v>Kris</v>
      </c>
      <c r="AY759" s="2549"/>
      <c r="AZ759" s="774" t="str">
        <f t="shared" si="238"/>
        <v/>
      </c>
      <c r="BA759" s="76" t="str">
        <f t="shared" si="239"/>
        <v/>
      </c>
      <c r="BB759" s="76" t="str">
        <f t="shared" si="240"/>
        <v>Kumade</v>
      </c>
      <c r="BC759" s="1142">
        <f>IF(OR($L757=BC$652,$L757="",$D757=$BE$651),MAX(BC$654:BC758)+1,0)</f>
        <v>0</v>
      </c>
      <c r="BD759" s="1143">
        <f>IF(OR($L757=BD$652,$L757="",$D757=$BE$651),MAX(BD$654:BD758)+1,0)</f>
        <v>0</v>
      </c>
      <c r="BE759" s="1144">
        <f>IF(OR($L757=BE$652,$L757="",$D757=$BE$651),MAX(BE$654:BE758)+1,0)</f>
        <v>104</v>
      </c>
      <c r="BF759" s="2549"/>
      <c r="BG759" s="774" t="str">
        <f t="shared" si="241"/>
        <v/>
      </c>
      <c r="BH759" s="76" t="str">
        <f t="shared" si="242"/>
        <v/>
      </c>
      <c r="BI759" s="76" t="str">
        <f t="shared" si="243"/>
        <v>Kumade</v>
      </c>
      <c r="BJ759" s="1142">
        <f>IF(OR($L757=BJ$652,$L757="",$D757=$BL$651),MAX(BJ$654:BJ758)+1,0)</f>
        <v>0</v>
      </c>
      <c r="BK759" s="1143">
        <f>IF(OR($L757=BK$652,$L757="",$D757=$BL$651),MAX(BK$654:BK758)+1,0)</f>
        <v>0</v>
      </c>
      <c r="BL759" s="1144">
        <f>IF(OR($L757=BL$652,$L757="",$D757=$BL$651),MAX(BL$654:BL758)+1,0)</f>
        <v>104</v>
      </c>
      <c r="BM759" s="2549"/>
      <c r="BN759" s="774" t="str">
        <f t="shared" si="244"/>
        <v/>
      </c>
      <c r="BO759" s="76" t="str">
        <f t="shared" si="245"/>
        <v/>
      </c>
      <c r="BP759" s="76" t="str">
        <f t="shared" si="246"/>
        <v>Kumade</v>
      </c>
      <c r="BQ759" s="1142">
        <f>IF(OR($L757=BQ$652,$L757="",$D757=$BS$651),MAX(BQ$654:BQ758)+1,0)</f>
        <v>0</v>
      </c>
      <c r="BR759" s="1143">
        <f>IF(OR($L757=BR$652,$L757="",$D757=$BS$651),MAX(BR$654:BR758)+1,0)</f>
        <v>0</v>
      </c>
      <c r="BS759" s="1144">
        <f>IF(OR($L757=BS$652,$L757="",$D757=$BS$651),MAX(BS$654:BS758)+1,0)</f>
        <v>104</v>
      </c>
      <c r="BT759" s="2549"/>
      <c r="BU759" s="774" t="str">
        <f t="shared" si="247"/>
        <v/>
      </c>
      <c r="BV759" s="76" t="str">
        <f t="shared" si="248"/>
        <v/>
      </c>
      <c r="BW759" s="76" t="str">
        <f t="shared" si="249"/>
        <v>Kumade</v>
      </c>
      <c r="BX759" s="1142">
        <f>IF(OR($L757=BX$652,$L757="",$D757=$BZ$651),MAX(BX$654:BX758)+1,0)</f>
        <v>0</v>
      </c>
      <c r="BY759" s="1143">
        <f>IF(OR($L757=BY$652,$L757="",$D757=$BZ$651),MAX(BY$654:BY758)+1,0)</f>
        <v>0</v>
      </c>
      <c r="BZ759" s="1144">
        <f>IF(OR($L757=BZ$652,$L757="",$D757=$BZ$651),MAX(BZ$654:BZ758)+1,0)</f>
        <v>104</v>
      </c>
      <c r="CA759" s="2549"/>
      <c r="CB759" s="774" t="str">
        <f t="shared" si="250"/>
        <v/>
      </c>
      <c r="CC759" s="76" t="str">
        <f t="shared" si="251"/>
        <v/>
      </c>
      <c r="CD759" s="76" t="str">
        <f t="shared" si="252"/>
        <v>Kumade</v>
      </c>
      <c r="CE759" s="1142">
        <f>IF(OR($L757=CE$652,$L757="",$D757=$CG$651),MAX(CE$654:CE758)+1,0)</f>
        <v>0</v>
      </c>
      <c r="CF759" s="1143">
        <f>IF(OR($L757=CF$652,$L757="",$D757=$CG$651),MAX(CF$654:CF758)+1,0)</f>
        <v>0</v>
      </c>
      <c r="CG759" s="1144">
        <f>IF(OR($L757=CG$652,$L757="",$D757=$CG$651),MAX(CG$654:CG758)+1,0)</f>
        <v>104</v>
      </c>
      <c r="CI759" s="774" t="str">
        <f t="shared" si="253"/>
        <v/>
      </c>
      <c r="CJ759" s="76" t="str">
        <f t="shared" si="254"/>
        <v/>
      </c>
      <c r="CK759" s="76" t="str">
        <f t="shared" si="255"/>
        <v>Kumade</v>
      </c>
      <c r="CL759" s="1142">
        <f>IF(OR($L757=CL$652,$L757="",$D757=$CN$651),MAX(CL$654:CL758)+1,0)</f>
        <v>0</v>
      </c>
      <c r="CM759" s="1143">
        <f>IF(OR($L757=CM$652,$L757="",$D757=$CN$651),MAX(CM$654:CM758)+1,0)</f>
        <v>0</v>
      </c>
      <c r="CN759" s="1144">
        <f>IF(OR($L757=CN$652,$L757="",$D757=$CN$651),MAX(CN$654:CN758)+1,0)</f>
        <v>104</v>
      </c>
    </row>
    <row r="760" spans="1:92" ht="12.75" customHeight="1">
      <c r="A760" s="219">
        <v>751</v>
      </c>
      <c r="B760" s="7145"/>
      <c r="C760" s="1034"/>
      <c r="D760" s="2237" t="s">
        <v>6604</v>
      </c>
      <c r="E760" s="2239">
        <v>25</v>
      </c>
      <c r="F760" s="2236">
        <v>10</v>
      </c>
      <c r="G760" s="2236">
        <v>4</v>
      </c>
      <c r="H760" s="2236">
        <v>4</v>
      </c>
      <c r="I760" s="2236" t="s">
        <v>1411</v>
      </c>
      <c r="J760" s="2236" t="s">
        <v>1315</v>
      </c>
      <c r="K760" s="2433" t="s">
        <v>6847</v>
      </c>
      <c r="L760" s="2236" t="str">
        <f t="shared" si="224"/>
        <v>Distinta</v>
      </c>
      <c r="M760" s="2240">
        <v>9</v>
      </c>
      <c r="N760" s="2240">
        <v>-3</v>
      </c>
      <c r="O760" s="2240">
        <v>20</v>
      </c>
      <c r="P760" s="2236"/>
      <c r="Q760" s="2236"/>
      <c r="R760" s="2236" t="s">
        <v>1315</v>
      </c>
      <c r="S760" s="2236" t="s">
        <v>1315</v>
      </c>
      <c r="T760" s="2236" t="s">
        <v>1315</v>
      </c>
      <c r="U760" s="2236"/>
      <c r="V760" s="2433" t="s">
        <v>6614</v>
      </c>
      <c r="W760" s="2433"/>
      <c r="X760" s="2434" t="str">
        <f t="shared" si="225"/>
        <v>Pequeña</v>
      </c>
      <c r="Y760" s="2229">
        <f t="shared" si="226"/>
        <v>0</v>
      </c>
      <c r="Z760" s="1150" t="str">
        <f t="shared" si="228"/>
        <v/>
      </c>
      <c r="AA760" s="1751" t="s">
        <v>2019</v>
      </c>
      <c r="AC760" s="2568" t="s">
        <v>6588</v>
      </c>
      <c r="AD760" s="758">
        <f>IFERROR(IF(IF(AC760&lt;&gt;"",VLOOKUP(AC760,Tabla_ArmasyEscudos,9,0),"")="Conocida",MAX(AD$662:AD759)+1,0),0)</f>
        <v>0</v>
      </c>
      <c r="AE760" s="758">
        <f ca="1">IF(AC760="",0,IF(AD760=0,MAX(AE$654:AE759,AG$652)+1,AD760+IFERROR(VLOOKUP(VLOOKUP(AC760,$D$653:$AA$871,24,0),AC$654:AE$661,3,0)-VLOOKUP(VLOOKUP(AC760,$D$653:$AA$871,24,0),AC$654:AE$661,2,0)+1,0)))</f>
        <v>100</v>
      </c>
      <c r="AF760" s="758" t="str">
        <f t="shared" ca="1" si="229"/>
        <v>Aquarius</v>
      </c>
      <c r="AG760" s="758" t="str">
        <f t="shared" ca="1" si="230"/>
        <v/>
      </c>
      <c r="AH760" s="2568"/>
      <c r="AI760" s="758">
        <f>IFERROR(IF(IF(AH760&lt;&gt;"",VLOOKUP(AH760,Tabla_ArmasyEscudos,9,0),"")="Conocida",MAX(AI$660:AI759)+1,0),0)</f>
        <v>0</v>
      </c>
      <c r="AJ760" s="758">
        <f>IF(AH760="",0,IF(AI760=0,MAX(AJ$654:AJ759,AL$652)+1,AI760+IFERROR(VLOOKUP(VLOOKUP(AH760,$D$653:$AA$871,24,0),AH$654:AJ$659,3,0)-VLOOKUP(VLOOKUP(AH760,$D$653:$AA$871,24,0),AH$654:AJ$659,2,0)+1,0)))</f>
        <v>0</v>
      </c>
      <c r="AK760" s="758" t="str">
        <f t="shared" ca="1" si="231"/>
        <v/>
      </c>
      <c r="AL760" s="758" t="str">
        <f t="shared" ca="1" si="232"/>
        <v/>
      </c>
      <c r="AM760" s="2568"/>
      <c r="AN760" s="758">
        <f>IFERROR(IF(IF(AM760&lt;&gt;"",VLOOKUP(AM760,Tabla_ArmasyEscudos,9,0),"")="Conocida",MAX(AN$660:AN759)+1,0),0)</f>
        <v>0</v>
      </c>
      <c r="AO760" s="758">
        <f>IF(AM760="",0,IF(AN760=0,MAX(AO$654:AO759,AQ$652)+1,AN760+IFERROR(VLOOKUP(VLOOKUP(AM760,$D$653:$AA$871,24,0),AM$654:AO$659,3,0)-VLOOKUP(VLOOKUP(AM760,$D$653:$AA$871,24,0),AM$654:AO$659,2,0)+1,0)))</f>
        <v>0</v>
      </c>
      <c r="AP760" s="758" t="str">
        <f t="shared" ca="1" si="233"/>
        <v/>
      </c>
      <c r="AQ760" s="758" t="str">
        <f t="shared" ca="1" si="234"/>
        <v/>
      </c>
      <c r="AR760" s="2568"/>
      <c r="AS760" s="758">
        <f>IFERROR(IF(IF(AR760&lt;&gt;"",VLOOKUP(AR760,Tabla_ArmasyEscudos,9,0),"")="Conocida",MAX(AS$660:AS759)+1,0),0)</f>
        <v>0</v>
      </c>
      <c r="AT760" s="758">
        <f>IF(AR760="",0,IF(AS760=0,MAX(AT$654:AT759,AV$652)+1,AS760+IFERROR(VLOOKUP(VLOOKUP(AR760,$D$653:$AA$871,24,0),AR$654:AT$659,3,0)-VLOOKUP(VLOOKUP(AR760,$D$653:$AA$871,24,0),AR$654:AT$659,2,0)+1,0)))</f>
        <v>0</v>
      </c>
      <c r="AU760" s="758" t="str">
        <f t="shared" ca="1" si="235"/>
        <v/>
      </c>
      <c r="AV760" s="758" t="str">
        <f t="shared" ca="1" si="236"/>
        <v/>
      </c>
      <c r="AX760" s="1141" t="str">
        <f t="shared" si="237"/>
        <v>Kumade</v>
      </c>
      <c r="AY760" s="2549"/>
      <c r="AZ760" s="774" t="str">
        <f t="shared" si="238"/>
        <v/>
      </c>
      <c r="BA760" s="76" t="str">
        <f t="shared" si="239"/>
        <v/>
      </c>
      <c r="BB760" s="76" t="str">
        <f t="shared" si="240"/>
        <v>Kunai</v>
      </c>
      <c r="BC760" s="1142">
        <f>IF(OR($L758=BC$652,$L758="",$D758=$BE$651),MAX(BC$654:BC759)+1,0)</f>
        <v>0</v>
      </c>
      <c r="BD760" s="1143">
        <f>IF(OR($L758=BD$652,$L758="",$D758=$BE$651),MAX(BD$654:BD759)+1,0)</f>
        <v>0</v>
      </c>
      <c r="BE760" s="1144">
        <f>IF(OR($L758=BE$652,$L758="",$D758=$BE$651),MAX(BE$654:BE759)+1,0)</f>
        <v>105</v>
      </c>
      <c r="BF760" s="2549"/>
      <c r="BG760" s="774" t="str">
        <f t="shared" si="241"/>
        <v/>
      </c>
      <c r="BH760" s="76" t="str">
        <f t="shared" si="242"/>
        <v/>
      </c>
      <c r="BI760" s="76" t="str">
        <f t="shared" si="243"/>
        <v>Kunai</v>
      </c>
      <c r="BJ760" s="1142">
        <f>IF(OR($L758=BJ$652,$L758="",$D758=$BL$651),MAX(BJ$654:BJ759)+1,0)</f>
        <v>0</v>
      </c>
      <c r="BK760" s="1143">
        <f>IF(OR($L758=BK$652,$L758="",$D758=$BL$651),MAX(BK$654:BK759)+1,0)</f>
        <v>0</v>
      </c>
      <c r="BL760" s="1144">
        <f>IF(OR($L758=BL$652,$L758="",$D758=$BL$651),MAX(BL$654:BL759)+1,0)</f>
        <v>105</v>
      </c>
      <c r="BM760" s="2549"/>
      <c r="BN760" s="774" t="str">
        <f t="shared" si="244"/>
        <v/>
      </c>
      <c r="BO760" s="76" t="str">
        <f t="shared" si="245"/>
        <v/>
      </c>
      <c r="BP760" s="76" t="str">
        <f t="shared" si="246"/>
        <v>Kunai</v>
      </c>
      <c r="BQ760" s="1142">
        <f>IF(OR($L758=BQ$652,$L758="",$D758=$BS$651),MAX(BQ$654:BQ759)+1,0)</f>
        <v>0</v>
      </c>
      <c r="BR760" s="1143">
        <f>IF(OR($L758=BR$652,$L758="",$D758=$BS$651),MAX(BR$654:BR759)+1,0)</f>
        <v>0</v>
      </c>
      <c r="BS760" s="1144">
        <f>IF(OR($L758=BS$652,$L758="",$D758=$BS$651),MAX(BS$654:BS759)+1,0)</f>
        <v>105</v>
      </c>
      <c r="BT760" s="2549"/>
      <c r="BU760" s="774" t="str">
        <f t="shared" si="247"/>
        <v/>
      </c>
      <c r="BV760" s="76" t="str">
        <f t="shared" si="248"/>
        <v/>
      </c>
      <c r="BW760" s="76" t="str">
        <f t="shared" si="249"/>
        <v>Kunai</v>
      </c>
      <c r="BX760" s="1142">
        <f>IF(OR($L758=BX$652,$L758="",$D758=$BZ$651),MAX(BX$654:BX759)+1,0)</f>
        <v>0</v>
      </c>
      <c r="BY760" s="1143">
        <f>IF(OR($L758=BY$652,$L758="",$D758=$BZ$651),MAX(BY$654:BY759)+1,0)</f>
        <v>0</v>
      </c>
      <c r="BZ760" s="1144">
        <f>IF(OR($L758=BZ$652,$L758="",$D758=$BZ$651),MAX(BZ$654:BZ759)+1,0)</f>
        <v>105</v>
      </c>
      <c r="CA760" s="2549"/>
      <c r="CB760" s="774" t="str">
        <f t="shared" si="250"/>
        <v/>
      </c>
      <c r="CC760" s="76" t="str">
        <f t="shared" si="251"/>
        <v/>
      </c>
      <c r="CD760" s="76" t="str">
        <f t="shared" si="252"/>
        <v>Kunai</v>
      </c>
      <c r="CE760" s="1142">
        <f>IF(OR($L758=CE$652,$L758="",$D758=$CG$651),MAX(CE$654:CE759)+1,0)</f>
        <v>0</v>
      </c>
      <c r="CF760" s="1143">
        <f>IF(OR($L758=CF$652,$L758="",$D758=$CG$651),MAX(CF$654:CF759)+1,0)</f>
        <v>0</v>
      </c>
      <c r="CG760" s="1144">
        <f>IF(OR($L758=CG$652,$L758="",$D758=$CG$651),MAX(CG$654:CG759)+1,0)</f>
        <v>105</v>
      </c>
      <c r="CI760" s="774" t="str">
        <f t="shared" si="253"/>
        <v/>
      </c>
      <c r="CJ760" s="76" t="str">
        <f t="shared" si="254"/>
        <v/>
      </c>
      <c r="CK760" s="76" t="str">
        <f t="shared" si="255"/>
        <v>Kunai</v>
      </c>
      <c r="CL760" s="1142">
        <f>IF(OR($L758=CL$652,$L758="",$D758=$CN$651),MAX(CL$654:CL759)+1,0)</f>
        <v>0</v>
      </c>
      <c r="CM760" s="1143">
        <f>IF(OR($L758=CM$652,$L758="",$D758=$CN$651),MAX(CM$654:CM759)+1,0)</f>
        <v>0</v>
      </c>
      <c r="CN760" s="1144">
        <f>IF(OR($L758=CN$652,$L758="",$D758=$CN$651),MAX(CN$654:CN759)+1,0)</f>
        <v>105</v>
      </c>
    </row>
    <row r="761" spans="1:92" ht="12.75" customHeight="1">
      <c r="A761" s="219">
        <v>752</v>
      </c>
      <c r="B761" s="7145"/>
      <c r="C761" s="1034"/>
      <c r="D761" s="2237" t="s">
        <v>6581</v>
      </c>
      <c r="E761" s="2239">
        <v>40</v>
      </c>
      <c r="F761" s="2236">
        <v>-5</v>
      </c>
      <c r="G761" s="2236">
        <v>6</v>
      </c>
      <c r="H761" s="2236">
        <v>6</v>
      </c>
      <c r="I761" s="2236" t="s">
        <v>1410</v>
      </c>
      <c r="J761" s="2236" t="s">
        <v>1315</v>
      </c>
      <c r="K761" s="2433" t="s">
        <v>6830</v>
      </c>
      <c r="L761" s="2236" t="str">
        <f t="shared" si="224"/>
        <v>Distinta</v>
      </c>
      <c r="M761" s="2240">
        <v>13</v>
      </c>
      <c r="N761" s="2240">
        <v>3</v>
      </c>
      <c r="O761" s="2240">
        <v>25</v>
      </c>
      <c r="P761" s="2236"/>
      <c r="Q761" s="2236"/>
      <c r="R761" s="2236" t="s">
        <v>1315</v>
      </c>
      <c r="S761" s="2236" t="s">
        <v>1315</v>
      </c>
      <c r="T761" s="2236" t="s">
        <v>1315</v>
      </c>
      <c r="U761" s="2236"/>
      <c r="V761" s="2433" t="s">
        <v>6615</v>
      </c>
      <c r="W761" s="2433"/>
      <c r="X761" s="2434" t="str">
        <f t="shared" si="225"/>
        <v>Grande</v>
      </c>
      <c r="Y761" s="2229">
        <f t="shared" si="226"/>
        <v>0</v>
      </c>
      <c r="Z761" s="1150" t="str">
        <f t="shared" si="228"/>
        <v/>
      </c>
      <c r="AA761" s="1751" t="s">
        <v>2019</v>
      </c>
      <c r="AC761" s="2568" t="s">
        <v>2039</v>
      </c>
      <c r="AD761" s="758">
        <f>IFERROR(IF(IF(AC761&lt;&gt;"",VLOOKUP(AC761,Tabla_ArmasyEscudos,9,0),"")="Conocida",MAX(AD$662:AD760)+1,0),0)</f>
        <v>0</v>
      </c>
      <c r="AE761" s="758">
        <f ca="1">IF(AC761="",0,IF(AD761=0,MAX(AE$654:AE760,AG$652)+1,AD761+IFERROR(VLOOKUP(VLOOKUP(AC761,$D$653:$AA$871,24,0),AC$654:AE$661,3,0)-VLOOKUP(VLOOKUP(AC761,$D$653:$AA$871,24,0),AC$654:AE$661,2,0)+1,0)))</f>
        <v>101</v>
      </c>
      <c r="AF761" s="758" t="str">
        <f t="shared" ca="1" si="229"/>
        <v>Capricornius</v>
      </c>
      <c r="AG761" s="758" t="str">
        <f t="shared" ca="1" si="230"/>
        <v/>
      </c>
      <c r="AH761" s="2568"/>
      <c r="AI761" s="758">
        <f>IFERROR(IF(IF(AH761&lt;&gt;"",VLOOKUP(AH761,Tabla_ArmasyEscudos,9,0),"")="Conocida",MAX(AI$660:AI760)+1,0),0)</f>
        <v>0</v>
      </c>
      <c r="AJ761" s="758">
        <f>IF(AH761="",0,IF(AI761=0,MAX(AJ$654:AJ760,AL$652)+1,AI761+IFERROR(VLOOKUP(VLOOKUP(AH761,$D$653:$AA$871,24,0),AH$654:AJ$659,3,0)-VLOOKUP(VLOOKUP(AH761,$D$653:$AA$871,24,0),AH$654:AJ$659,2,0)+1,0)))</f>
        <v>0</v>
      </c>
      <c r="AK761" s="758" t="str">
        <f t="shared" ca="1" si="231"/>
        <v/>
      </c>
      <c r="AL761" s="758" t="str">
        <f t="shared" ca="1" si="232"/>
        <v/>
      </c>
      <c r="AM761" s="2568"/>
      <c r="AN761" s="758">
        <f>IFERROR(IF(IF(AM761&lt;&gt;"",VLOOKUP(AM761,Tabla_ArmasyEscudos,9,0),"")="Conocida",MAX(AN$660:AN760)+1,0),0)</f>
        <v>0</v>
      </c>
      <c r="AO761" s="758">
        <f>IF(AM761="",0,IF(AN761=0,MAX(AO$654:AO760,AQ$652)+1,AN761+IFERROR(VLOOKUP(VLOOKUP(AM761,$D$653:$AA$871,24,0),AM$654:AO$659,3,0)-VLOOKUP(VLOOKUP(AM761,$D$653:$AA$871,24,0),AM$654:AO$659,2,0)+1,0)))</f>
        <v>0</v>
      </c>
      <c r="AP761" s="758" t="str">
        <f t="shared" ca="1" si="233"/>
        <v/>
      </c>
      <c r="AQ761" s="758" t="str">
        <f t="shared" ca="1" si="234"/>
        <v/>
      </c>
      <c r="AR761" s="2568"/>
      <c r="AS761" s="758">
        <f>IFERROR(IF(IF(AR761&lt;&gt;"",VLOOKUP(AR761,Tabla_ArmasyEscudos,9,0),"")="Conocida",MAX(AS$660:AS760)+1,0),0)</f>
        <v>0</v>
      </c>
      <c r="AT761" s="758">
        <f>IF(AR761="",0,IF(AS761=0,MAX(AT$654:AT760,AV$652)+1,AS761+IFERROR(VLOOKUP(VLOOKUP(AR761,$D$653:$AA$871,24,0),AR$654:AT$659,3,0)-VLOOKUP(VLOOKUP(AR761,$D$653:$AA$871,24,0),AR$654:AT$659,2,0)+1,0)))</f>
        <v>0</v>
      </c>
      <c r="AU761" s="758" t="str">
        <f t="shared" ca="1" si="235"/>
        <v/>
      </c>
      <c r="AV761" s="758" t="str">
        <f t="shared" ca="1" si="236"/>
        <v/>
      </c>
      <c r="AX761" s="1141" t="str">
        <f t="shared" si="237"/>
        <v>Kunai</v>
      </c>
      <c r="AY761" s="2549"/>
      <c r="AZ761" s="774" t="str">
        <f t="shared" si="238"/>
        <v/>
      </c>
      <c r="BA761" s="76" t="str">
        <f t="shared" si="239"/>
        <v/>
      </c>
      <c r="BB761" s="76" t="str">
        <f t="shared" si="240"/>
        <v>Kyoketsu-shogui</v>
      </c>
      <c r="BC761" s="1142">
        <f>IF(OR($L759=BC$652,$L759="",$D759=$BE$651),MAX(BC$654:BC760)+1,0)</f>
        <v>0</v>
      </c>
      <c r="BD761" s="1143">
        <f>IF(OR($L759=BD$652,$L759="",$D759=$BE$651),MAX(BD$654:BD760)+1,0)</f>
        <v>0</v>
      </c>
      <c r="BE761" s="1144">
        <f>IF(OR($L759=BE$652,$L759="",$D759=$BE$651),MAX(BE$654:BE760)+1,0)</f>
        <v>106</v>
      </c>
      <c r="BF761" s="2549"/>
      <c r="BG761" s="774" t="str">
        <f t="shared" si="241"/>
        <v/>
      </c>
      <c r="BH761" s="76" t="str">
        <f t="shared" si="242"/>
        <v/>
      </c>
      <c r="BI761" s="76" t="str">
        <f t="shared" si="243"/>
        <v>Kyoketsu-shogui</v>
      </c>
      <c r="BJ761" s="1142">
        <f>IF(OR($L759=BJ$652,$L759="",$D759=$BL$651),MAX(BJ$654:BJ760)+1,0)</f>
        <v>0</v>
      </c>
      <c r="BK761" s="1143">
        <f>IF(OR($L759=BK$652,$L759="",$D759=$BL$651),MAX(BK$654:BK760)+1,0)</f>
        <v>0</v>
      </c>
      <c r="BL761" s="1144">
        <f>IF(OR($L759=BL$652,$L759="",$D759=$BL$651),MAX(BL$654:BL760)+1,0)</f>
        <v>106</v>
      </c>
      <c r="BM761" s="2549"/>
      <c r="BN761" s="774" t="str">
        <f t="shared" si="244"/>
        <v/>
      </c>
      <c r="BO761" s="76" t="str">
        <f t="shared" si="245"/>
        <v/>
      </c>
      <c r="BP761" s="76" t="str">
        <f t="shared" si="246"/>
        <v>Kyoketsu-shogui</v>
      </c>
      <c r="BQ761" s="1142">
        <f>IF(OR($L759=BQ$652,$L759="",$D759=$BS$651),MAX(BQ$654:BQ760)+1,0)</f>
        <v>0</v>
      </c>
      <c r="BR761" s="1143">
        <f>IF(OR($L759=BR$652,$L759="",$D759=$BS$651),MAX(BR$654:BR760)+1,0)</f>
        <v>0</v>
      </c>
      <c r="BS761" s="1144">
        <f>IF(OR($L759=BS$652,$L759="",$D759=$BS$651),MAX(BS$654:BS760)+1,0)</f>
        <v>106</v>
      </c>
      <c r="BT761" s="2549"/>
      <c r="BU761" s="774" t="str">
        <f t="shared" si="247"/>
        <v/>
      </c>
      <c r="BV761" s="76" t="str">
        <f t="shared" si="248"/>
        <v/>
      </c>
      <c r="BW761" s="76" t="str">
        <f t="shared" si="249"/>
        <v>Kyoketsu-shogui</v>
      </c>
      <c r="BX761" s="1142">
        <f>IF(OR($L759=BX$652,$L759="",$D759=$BZ$651),MAX(BX$654:BX760)+1,0)</f>
        <v>0</v>
      </c>
      <c r="BY761" s="1143">
        <f>IF(OR($L759=BY$652,$L759="",$D759=$BZ$651),MAX(BY$654:BY760)+1,0)</f>
        <v>0</v>
      </c>
      <c r="BZ761" s="1144">
        <f>IF(OR($L759=BZ$652,$L759="",$D759=$BZ$651),MAX(BZ$654:BZ760)+1,0)</f>
        <v>106</v>
      </c>
      <c r="CA761" s="2549"/>
      <c r="CB761" s="774" t="str">
        <f t="shared" si="250"/>
        <v/>
      </c>
      <c r="CC761" s="76" t="str">
        <f t="shared" si="251"/>
        <v/>
      </c>
      <c r="CD761" s="76" t="str">
        <f t="shared" si="252"/>
        <v>Kyoketsu-shogui</v>
      </c>
      <c r="CE761" s="1142">
        <f>IF(OR($L759=CE$652,$L759="",$D759=$CG$651),MAX(CE$654:CE760)+1,0)</f>
        <v>0</v>
      </c>
      <c r="CF761" s="1143">
        <f>IF(OR($L759=CF$652,$L759="",$D759=$CG$651),MAX(CF$654:CF760)+1,0)</f>
        <v>0</v>
      </c>
      <c r="CG761" s="1144">
        <f>IF(OR($L759=CG$652,$L759="",$D759=$CG$651),MAX(CG$654:CG760)+1,0)</f>
        <v>106</v>
      </c>
      <c r="CI761" s="774" t="str">
        <f t="shared" si="253"/>
        <v/>
      </c>
      <c r="CJ761" s="76" t="str">
        <f t="shared" si="254"/>
        <v/>
      </c>
      <c r="CK761" s="76" t="str">
        <f t="shared" si="255"/>
        <v>Kyoketsu-shogui</v>
      </c>
      <c r="CL761" s="1142">
        <f>IF(OR($L759=CL$652,$L759="",$D759=$CN$651),MAX(CL$654:CL760)+1,0)</f>
        <v>0</v>
      </c>
      <c r="CM761" s="1143">
        <f>IF(OR($L759=CM$652,$L759="",$D759=$CN$651),MAX(CM$654:CM760)+1,0)</f>
        <v>0</v>
      </c>
      <c r="CN761" s="1144">
        <f>IF(OR($L759=CN$652,$L759="",$D759=$CN$651),MAX(CN$654:CN760)+1,0)</f>
        <v>106</v>
      </c>
    </row>
    <row r="762" spans="1:92" ht="12.75" customHeight="1">
      <c r="A762" s="219">
        <v>753</v>
      </c>
      <c r="B762" s="7145"/>
      <c r="C762" s="1034"/>
      <c r="D762" s="2237" t="s">
        <v>6582</v>
      </c>
      <c r="E762" s="2239">
        <v>40</v>
      </c>
      <c r="F762" s="2236">
        <v>10</v>
      </c>
      <c r="G762" s="2236">
        <v>6</v>
      </c>
      <c r="H762" s="2236">
        <v>6</v>
      </c>
      <c r="I762" s="2236" t="s">
        <v>1410</v>
      </c>
      <c r="J762" s="2236" t="s">
        <v>1315</v>
      </c>
      <c r="K762" s="2433" t="s">
        <v>6830</v>
      </c>
      <c r="L762" s="2236" t="str">
        <f t="shared" si="224"/>
        <v>Distinta</v>
      </c>
      <c r="M762" s="2240">
        <v>12</v>
      </c>
      <c r="N762" s="2240">
        <v>2</v>
      </c>
      <c r="O762" s="2240">
        <v>20</v>
      </c>
      <c r="P762" s="2236"/>
      <c r="Q762" s="2236"/>
      <c r="R762" s="2236" t="s">
        <v>1315</v>
      </c>
      <c r="S762" s="2236" t="s">
        <v>1315</v>
      </c>
      <c r="T762" s="2236" t="s">
        <v>1315</v>
      </c>
      <c r="U762" s="2236"/>
      <c r="V762" s="2433" t="s">
        <v>6616</v>
      </c>
      <c r="W762" s="2433"/>
      <c r="X762" s="2434" t="str">
        <f t="shared" si="225"/>
        <v>Grande</v>
      </c>
      <c r="Y762" s="2229">
        <f t="shared" si="226"/>
        <v>0</v>
      </c>
      <c r="Z762" s="1150" t="str">
        <f t="shared" si="228"/>
        <v/>
      </c>
      <c r="AA762" s="1751" t="s">
        <v>2019</v>
      </c>
      <c r="AC762" s="2568" t="s">
        <v>6607</v>
      </c>
      <c r="AD762" s="758">
        <f>IFERROR(IF(IF(AC762&lt;&gt;"",VLOOKUP(AC762,Tabla_ArmasyEscudos,9,0),"")="Conocida",MAX(AD$662:AD761)+1,0),0)</f>
        <v>0</v>
      </c>
      <c r="AE762" s="758">
        <f ca="1">IF(AC762="",0,IF(AD762=0,MAX(AE$654:AE761,AG$652)+1,AD762+IFERROR(VLOOKUP(VLOOKUP(AC762,$D$653:$AA$871,24,0),AC$654:AE$661,3,0)-VLOOKUP(VLOOKUP(AC762,$D$653:$AA$871,24,0),AC$654:AE$661,2,0)+1,0)))</f>
        <v>102</v>
      </c>
      <c r="AF762" s="758" t="str">
        <f t="shared" ca="1" si="229"/>
        <v>Leo (Espada-Pistola)</v>
      </c>
      <c r="AG762" s="758" t="str">
        <f t="shared" ca="1" si="230"/>
        <v/>
      </c>
      <c r="AH762" s="2568"/>
      <c r="AI762" s="758">
        <f>IFERROR(IF(IF(AH762&lt;&gt;"",VLOOKUP(AH762,Tabla_ArmasyEscudos,9,0),"")="Conocida",MAX(AI$660:AI761)+1,0),0)</f>
        <v>0</v>
      </c>
      <c r="AJ762" s="758">
        <f>IF(AH762="",0,IF(AI762=0,MAX(AJ$654:AJ761,AL$652)+1,AI762+IFERROR(VLOOKUP(VLOOKUP(AH762,$D$653:$AA$871,24,0),AH$654:AJ$659,3,0)-VLOOKUP(VLOOKUP(AH762,$D$653:$AA$871,24,0),AH$654:AJ$659,2,0)+1,0)))</f>
        <v>0</v>
      </c>
      <c r="AK762" s="758" t="str">
        <f t="shared" ca="1" si="231"/>
        <v/>
      </c>
      <c r="AL762" s="758" t="str">
        <f t="shared" ca="1" si="232"/>
        <v/>
      </c>
      <c r="AM762" s="2568"/>
      <c r="AN762" s="758">
        <f>IFERROR(IF(IF(AM762&lt;&gt;"",VLOOKUP(AM762,Tabla_ArmasyEscudos,9,0),"")="Conocida",MAX(AN$660:AN761)+1,0),0)</f>
        <v>0</v>
      </c>
      <c r="AO762" s="758">
        <f>IF(AM762="",0,IF(AN762=0,MAX(AO$654:AO761,AQ$652)+1,AN762+IFERROR(VLOOKUP(VLOOKUP(AM762,$D$653:$AA$871,24,0),AM$654:AO$659,3,0)-VLOOKUP(VLOOKUP(AM762,$D$653:$AA$871,24,0),AM$654:AO$659,2,0)+1,0)))</f>
        <v>0</v>
      </c>
      <c r="AP762" s="758" t="str">
        <f t="shared" ca="1" si="233"/>
        <v/>
      </c>
      <c r="AQ762" s="758" t="str">
        <f t="shared" ca="1" si="234"/>
        <v/>
      </c>
      <c r="AR762" s="2568"/>
      <c r="AS762" s="758">
        <f>IFERROR(IF(IF(AR762&lt;&gt;"",VLOOKUP(AR762,Tabla_ArmasyEscudos,9,0),"")="Conocida",MAX(AS$660:AS761)+1,0),0)</f>
        <v>0</v>
      </c>
      <c r="AT762" s="758">
        <f>IF(AR762="",0,IF(AS762=0,MAX(AT$654:AT761,AV$652)+1,AS762+IFERROR(VLOOKUP(VLOOKUP(AR762,$D$653:$AA$871,24,0),AR$654:AT$659,3,0)-VLOOKUP(VLOOKUP(AR762,$D$653:$AA$871,24,0),AR$654:AT$659,2,0)+1,0)))</f>
        <v>0</v>
      </c>
      <c r="AU762" s="758" t="str">
        <f t="shared" ca="1" si="235"/>
        <v/>
      </c>
      <c r="AV762" s="758" t="str">
        <f t="shared" ca="1" si="236"/>
        <v/>
      </c>
      <c r="AX762" s="1141" t="str">
        <f t="shared" si="237"/>
        <v>Kyoketsu-shogui</v>
      </c>
      <c r="AY762" s="2549"/>
      <c r="AZ762" s="774" t="str">
        <f t="shared" si="238"/>
        <v/>
      </c>
      <c r="BA762" s="76" t="str">
        <f t="shared" si="239"/>
        <v/>
      </c>
      <c r="BB762" s="76" t="str">
        <f t="shared" si="240"/>
        <v>Lajatang</v>
      </c>
      <c r="BC762" s="1142">
        <f>IF(OR($L760=BC$652,$L760="",$D760=$BE$651),MAX(BC$654:BC761)+1,0)</f>
        <v>0</v>
      </c>
      <c r="BD762" s="1143">
        <f>IF(OR($L760=BD$652,$L760="",$D760=$BE$651),MAX(BD$654:BD761)+1,0)</f>
        <v>0</v>
      </c>
      <c r="BE762" s="1144">
        <f>IF(OR($L760=BE$652,$L760="",$D760=$BE$651),MAX(BE$654:BE761)+1,0)</f>
        <v>107</v>
      </c>
      <c r="BF762" s="2549"/>
      <c r="BG762" s="774" t="str">
        <f t="shared" si="241"/>
        <v/>
      </c>
      <c r="BH762" s="76" t="str">
        <f t="shared" si="242"/>
        <v/>
      </c>
      <c r="BI762" s="76" t="str">
        <f t="shared" si="243"/>
        <v>Lajatang</v>
      </c>
      <c r="BJ762" s="1142">
        <f>IF(OR($L760=BJ$652,$L760="",$D760=$BL$651),MAX(BJ$654:BJ761)+1,0)</f>
        <v>0</v>
      </c>
      <c r="BK762" s="1143">
        <f>IF(OR($L760=BK$652,$L760="",$D760=$BL$651),MAX(BK$654:BK761)+1,0)</f>
        <v>0</v>
      </c>
      <c r="BL762" s="1144">
        <f>IF(OR($L760=BL$652,$L760="",$D760=$BL$651),MAX(BL$654:BL761)+1,0)</f>
        <v>107</v>
      </c>
      <c r="BM762" s="2549"/>
      <c r="BN762" s="774" t="str">
        <f t="shared" si="244"/>
        <v/>
      </c>
      <c r="BO762" s="76" t="str">
        <f t="shared" si="245"/>
        <v/>
      </c>
      <c r="BP762" s="76" t="str">
        <f t="shared" si="246"/>
        <v>Lajatang</v>
      </c>
      <c r="BQ762" s="1142">
        <f>IF(OR($L760=BQ$652,$L760="",$D760=$BS$651),MAX(BQ$654:BQ761)+1,0)</f>
        <v>0</v>
      </c>
      <c r="BR762" s="1143">
        <f>IF(OR($L760=BR$652,$L760="",$D760=$BS$651),MAX(BR$654:BR761)+1,0)</f>
        <v>0</v>
      </c>
      <c r="BS762" s="1144">
        <f>IF(OR($L760=BS$652,$L760="",$D760=$BS$651),MAX(BS$654:BS761)+1,0)</f>
        <v>107</v>
      </c>
      <c r="BT762" s="2549"/>
      <c r="BU762" s="774" t="str">
        <f t="shared" si="247"/>
        <v/>
      </c>
      <c r="BV762" s="76" t="str">
        <f t="shared" si="248"/>
        <v/>
      </c>
      <c r="BW762" s="76" t="str">
        <f t="shared" si="249"/>
        <v>Lajatang</v>
      </c>
      <c r="BX762" s="1142">
        <f>IF(OR($L760=BX$652,$L760="",$D760=$BZ$651),MAX(BX$654:BX761)+1,0)</f>
        <v>0</v>
      </c>
      <c r="BY762" s="1143">
        <f>IF(OR($L760=BY$652,$L760="",$D760=$BZ$651),MAX(BY$654:BY761)+1,0)</f>
        <v>0</v>
      </c>
      <c r="BZ762" s="1144">
        <f>IF(OR($L760=BZ$652,$L760="",$D760=$BZ$651),MAX(BZ$654:BZ761)+1,0)</f>
        <v>107</v>
      </c>
      <c r="CA762" s="2549"/>
      <c r="CB762" s="774" t="str">
        <f t="shared" si="250"/>
        <v/>
      </c>
      <c r="CC762" s="76" t="str">
        <f t="shared" si="251"/>
        <v/>
      </c>
      <c r="CD762" s="76" t="str">
        <f t="shared" si="252"/>
        <v>Lajatang</v>
      </c>
      <c r="CE762" s="1142">
        <f>IF(OR($L760=CE$652,$L760="",$D760=$CG$651),MAX(CE$654:CE761)+1,0)</f>
        <v>0</v>
      </c>
      <c r="CF762" s="1143">
        <f>IF(OR($L760=CF$652,$L760="",$D760=$CG$651),MAX(CF$654:CF761)+1,0)</f>
        <v>0</v>
      </c>
      <c r="CG762" s="1144">
        <f>IF(OR($L760=CG$652,$L760="",$D760=$CG$651),MAX(CG$654:CG761)+1,0)</f>
        <v>107</v>
      </c>
      <c r="CI762" s="774" t="str">
        <f t="shared" si="253"/>
        <v/>
      </c>
      <c r="CJ762" s="76" t="str">
        <f t="shared" si="254"/>
        <v/>
      </c>
      <c r="CK762" s="76" t="str">
        <f t="shared" si="255"/>
        <v>Lajatang</v>
      </c>
      <c r="CL762" s="1142">
        <f>IF(OR($L760=CL$652,$L760="",$D760=$CN$651),MAX(CL$654:CL761)+1,0)</f>
        <v>0</v>
      </c>
      <c r="CM762" s="1143">
        <f>IF(OR($L760=CM$652,$L760="",$D760=$CN$651),MAX(CM$654:CM761)+1,0)</f>
        <v>0</v>
      </c>
      <c r="CN762" s="1144">
        <f>IF(OR($L760=CN$652,$L760="",$D760=$CN$651),MAX(CN$654:CN761)+1,0)</f>
        <v>107</v>
      </c>
    </row>
    <row r="763" spans="1:92" ht="12.75" customHeight="1">
      <c r="A763" s="219">
        <v>754</v>
      </c>
      <c r="B763" s="7145"/>
      <c r="C763" s="1034"/>
      <c r="D763" s="2237" t="s">
        <v>6583</v>
      </c>
      <c r="E763" s="2239">
        <v>55</v>
      </c>
      <c r="F763" s="2236">
        <v>-10</v>
      </c>
      <c r="G763" s="2236">
        <v>8</v>
      </c>
      <c r="H763" s="2236">
        <v>6</v>
      </c>
      <c r="I763" s="2236" t="s">
        <v>1410</v>
      </c>
      <c r="J763" s="2236" t="s">
        <v>1411</v>
      </c>
      <c r="K763" s="2433" t="s">
        <v>6830</v>
      </c>
      <c r="L763" s="2236" t="str">
        <f t="shared" si="224"/>
        <v>Distinta</v>
      </c>
      <c r="M763" s="2240">
        <v>13</v>
      </c>
      <c r="N763" s="2240">
        <v>3</v>
      </c>
      <c r="O763" s="2240">
        <v>25</v>
      </c>
      <c r="P763" s="2236"/>
      <c r="Q763" s="2236"/>
      <c r="R763" s="2236" t="s">
        <v>1315</v>
      </c>
      <c r="S763" s="2236" t="s">
        <v>1315</v>
      </c>
      <c r="T763" s="2236" t="s">
        <v>1315</v>
      </c>
      <c r="U763" s="2236"/>
      <c r="V763" s="2433" t="s">
        <v>1979</v>
      </c>
      <c r="W763" s="2433"/>
      <c r="X763" s="2434" t="str">
        <f t="shared" si="225"/>
        <v>Grande</v>
      </c>
      <c r="Y763" s="2229">
        <f t="shared" si="226"/>
        <v>0</v>
      </c>
      <c r="Z763" s="1150" t="str">
        <f t="shared" si="228"/>
        <v/>
      </c>
      <c r="AA763" s="1751" t="s">
        <v>2019</v>
      </c>
      <c r="AC763" s="2568" t="s">
        <v>2013</v>
      </c>
      <c r="AD763" s="758">
        <f>IFERROR(IF(IF(AC763&lt;&gt;"",VLOOKUP(AC763,Tabla_ArmasyEscudos,9,0),"")="Conocida",MAX(AD$662:AD762)+1,0),0)</f>
        <v>0</v>
      </c>
      <c r="AE763" s="758">
        <f ca="1">IF(AC763="",0,IF(AD763=0,MAX(AE$654:AE762,AG$652)+1,AD763+IFERROR(VLOOKUP(VLOOKUP(AC763,$D$653:$AA$871,24,0),AC$654:AE$661,3,0)-VLOOKUP(VLOOKUP(AC763,$D$653:$AA$871,24,0),AC$654:AE$661,2,0)+1,0)))</f>
        <v>103</v>
      </c>
      <c r="AF763" s="758" t="str">
        <f t="shared" ca="1" si="229"/>
        <v>Leo (Lanza-Rifle)</v>
      </c>
      <c r="AG763" s="758" t="str">
        <f t="shared" ca="1" si="230"/>
        <v/>
      </c>
      <c r="AH763" s="2568"/>
      <c r="AI763" s="758">
        <f>IFERROR(IF(IF(AH763&lt;&gt;"",VLOOKUP(AH763,Tabla_ArmasyEscudos,9,0),"")="Conocida",MAX(AI$660:AI762)+1,0),0)</f>
        <v>0</v>
      </c>
      <c r="AJ763" s="758">
        <f>IF(AH763="",0,IF(AI763=0,MAX(AJ$654:AJ762,AL$652)+1,AI763+IFERROR(VLOOKUP(VLOOKUP(AH763,$D$653:$AA$871,24,0),AH$654:AJ$659,3,0)-VLOOKUP(VLOOKUP(AH763,$D$653:$AA$871,24,0),AH$654:AJ$659,2,0)+1,0)))</f>
        <v>0</v>
      </c>
      <c r="AK763" s="758" t="str">
        <f t="shared" ca="1" si="231"/>
        <v/>
      </c>
      <c r="AL763" s="758" t="str">
        <f t="shared" ca="1" si="232"/>
        <v/>
      </c>
      <c r="AM763" s="2568"/>
      <c r="AN763" s="758">
        <f>IFERROR(IF(IF(AM763&lt;&gt;"",VLOOKUP(AM763,Tabla_ArmasyEscudos,9,0),"")="Conocida",MAX(AN$660:AN762)+1,0),0)</f>
        <v>0</v>
      </c>
      <c r="AO763" s="758">
        <f>IF(AM763="",0,IF(AN763=0,MAX(AO$654:AO762,AQ$652)+1,AN763+IFERROR(VLOOKUP(VLOOKUP(AM763,$D$653:$AA$871,24,0),AM$654:AO$659,3,0)-VLOOKUP(VLOOKUP(AM763,$D$653:$AA$871,24,0),AM$654:AO$659,2,0)+1,0)))</f>
        <v>0</v>
      </c>
      <c r="AP763" s="758" t="str">
        <f t="shared" ca="1" si="233"/>
        <v/>
      </c>
      <c r="AQ763" s="758" t="str">
        <f t="shared" ca="1" si="234"/>
        <v/>
      </c>
      <c r="AR763" s="2568"/>
      <c r="AS763" s="758">
        <f>IFERROR(IF(IF(AR763&lt;&gt;"",VLOOKUP(AR763,Tabla_ArmasyEscudos,9,0),"")="Conocida",MAX(AS$660:AS762)+1,0),0)</f>
        <v>0</v>
      </c>
      <c r="AT763" s="758">
        <f>IF(AR763="",0,IF(AS763=0,MAX(AT$654:AT762,AV$652)+1,AS763+IFERROR(VLOOKUP(VLOOKUP(AR763,$D$653:$AA$871,24,0),AR$654:AT$659,3,0)-VLOOKUP(VLOOKUP(AR763,$D$653:$AA$871,24,0),AR$654:AT$659,2,0)+1,0)))</f>
        <v>0</v>
      </c>
      <c r="AU763" s="758" t="str">
        <f t="shared" ca="1" si="235"/>
        <v/>
      </c>
      <c r="AV763" s="758" t="str">
        <f t="shared" ca="1" si="236"/>
        <v/>
      </c>
      <c r="AX763" s="1141" t="str">
        <f t="shared" si="237"/>
        <v>Lajatang</v>
      </c>
      <c r="AY763" s="2549"/>
      <c r="AZ763" s="774" t="str">
        <f t="shared" si="238"/>
        <v/>
      </c>
      <c r="BA763" s="76" t="str">
        <f t="shared" si="239"/>
        <v/>
      </c>
      <c r="BB763" s="76" t="str">
        <f t="shared" si="240"/>
        <v>Nagimaki</v>
      </c>
      <c r="BC763" s="1142">
        <f>IF(OR($L761=BC$652,$L761="",$D761=$BE$651),MAX(BC$654:BC762)+1,0)</f>
        <v>0</v>
      </c>
      <c r="BD763" s="1143">
        <f>IF(OR($L761=BD$652,$L761="",$D761=$BE$651),MAX(BD$654:BD762)+1,0)</f>
        <v>0</v>
      </c>
      <c r="BE763" s="1144">
        <f>IF(OR($L761=BE$652,$L761="",$D761=$BE$651),MAX(BE$654:BE762)+1,0)</f>
        <v>108</v>
      </c>
      <c r="BF763" s="2549"/>
      <c r="BG763" s="774" t="str">
        <f t="shared" si="241"/>
        <v/>
      </c>
      <c r="BH763" s="76" t="str">
        <f t="shared" si="242"/>
        <v/>
      </c>
      <c r="BI763" s="76" t="str">
        <f t="shared" si="243"/>
        <v>Nagimaki</v>
      </c>
      <c r="BJ763" s="1142">
        <f>IF(OR($L761=BJ$652,$L761="",$D761=$BL$651),MAX(BJ$654:BJ762)+1,0)</f>
        <v>0</v>
      </c>
      <c r="BK763" s="1143">
        <f>IF(OR($L761=BK$652,$L761="",$D761=$BL$651),MAX(BK$654:BK762)+1,0)</f>
        <v>0</v>
      </c>
      <c r="BL763" s="1144">
        <f>IF(OR($L761=BL$652,$L761="",$D761=$BL$651),MAX(BL$654:BL762)+1,0)</f>
        <v>108</v>
      </c>
      <c r="BM763" s="2549"/>
      <c r="BN763" s="774" t="str">
        <f t="shared" si="244"/>
        <v/>
      </c>
      <c r="BO763" s="76" t="str">
        <f t="shared" si="245"/>
        <v/>
      </c>
      <c r="BP763" s="76" t="str">
        <f t="shared" si="246"/>
        <v>Nagimaki</v>
      </c>
      <c r="BQ763" s="1142">
        <f>IF(OR($L761=BQ$652,$L761="",$D761=$BS$651),MAX(BQ$654:BQ762)+1,0)</f>
        <v>0</v>
      </c>
      <c r="BR763" s="1143">
        <f>IF(OR($L761=BR$652,$L761="",$D761=$BS$651),MAX(BR$654:BR762)+1,0)</f>
        <v>0</v>
      </c>
      <c r="BS763" s="1144">
        <f>IF(OR($L761=BS$652,$L761="",$D761=$BS$651),MAX(BS$654:BS762)+1,0)</f>
        <v>108</v>
      </c>
      <c r="BT763" s="2549"/>
      <c r="BU763" s="774" t="str">
        <f t="shared" si="247"/>
        <v/>
      </c>
      <c r="BV763" s="76" t="str">
        <f t="shared" si="248"/>
        <v/>
      </c>
      <c r="BW763" s="76" t="str">
        <f t="shared" si="249"/>
        <v>Nagimaki</v>
      </c>
      <c r="BX763" s="1142">
        <f>IF(OR($L761=BX$652,$L761="",$D761=$BZ$651),MAX(BX$654:BX762)+1,0)</f>
        <v>0</v>
      </c>
      <c r="BY763" s="1143">
        <f>IF(OR($L761=BY$652,$L761="",$D761=$BZ$651),MAX(BY$654:BY762)+1,0)</f>
        <v>0</v>
      </c>
      <c r="BZ763" s="1144">
        <f>IF(OR($L761=BZ$652,$L761="",$D761=$BZ$651),MAX(BZ$654:BZ762)+1,0)</f>
        <v>108</v>
      </c>
      <c r="CA763" s="2549"/>
      <c r="CB763" s="774" t="str">
        <f t="shared" si="250"/>
        <v/>
      </c>
      <c r="CC763" s="76" t="str">
        <f t="shared" si="251"/>
        <v/>
      </c>
      <c r="CD763" s="76" t="str">
        <f t="shared" si="252"/>
        <v>Nagimaki</v>
      </c>
      <c r="CE763" s="1142">
        <f>IF(OR($L761=CE$652,$L761="",$D761=$CG$651),MAX(CE$654:CE762)+1,0)</f>
        <v>0</v>
      </c>
      <c r="CF763" s="1143">
        <f>IF(OR($L761=CF$652,$L761="",$D761=$CG$651),MAX(CF$654:CF762)+1,0)</f>
        <v>0</v>
      </c>
      <c r="CG763" s="1144">
        <f>IF(OR($L761=CG$652,$L761="",$D761=$CG$651),MAX(CG$654:CG762)+1,0)</f>
        <v>108</v>
      </c>
      <c r="CI763" s="774" t="str">
        <f t="shared" si="253"/>
        <v/>
      </c>
      <c r="CJ763" s="76" t="str">
        <f t="shared" si="254"/>
        <v/>
      </c>
      <c r="CK763" s="76" t="str">
        <f t="shared" si="255"/>
        <v>Nagimaki</v>
      </c>
      <c r="CL763" s="1142">
        <f>IF(OR($L761=CL$652,$L761="",$D761=$CN$651),MAX(CL$654:CL762)+1,0)</f>
        <v>0</v>
      </c>
      <c r="CM763" s="1143">
        <f>IF(OR($L761=CM$652,$L761="",$D761=$CN$651),MAX(CM$654:CM762)+1,0)</f>
        <v>0</v>
      </c>
      <c r="CN763" s="1144">
        <f>IF(OR($L761=CN$652,$L761="",$D761=$CN$651),MAX(CN$654:CN762)+1,0)</f>
        <v>108</v>
      </c>
    </row>
    <row r="764" spans="1:92" ht="12.75" customHeight="1">
      <c r="A764" s="219">
        <v>755</v>
      </c>
      <c r="B764" s="7145"/>
      <c r="C764" s="1034"/>
      <c r="D764" s="2237" t="s">
        <v>6605</v>
      </c>
      <c r="E764" s="2239">
        <v>45</v>
      </c>
      <c r="F764" s="2236">
        <v>10</v>
      </c>
      <c r="G764" s="2236">
        <v>4</v>
      </c>
      <c r="H764" s="2236">
        <v>4</v>
      </c>
      <c r="I764" s="2236" t="s">
        <v>1410</v>
      </c>
      <c r="J764" s="2236" t="s">
        <v>1411</v>
      </c>
      <c r="K764" s="2433" t="s">
        <v>6833</v>
      </c>
      <c r="L764" s="2236" t="str">
        <f t="shared" si="224"/>
        <v>Distinta</v>
      </c>
      <c r="M764" s="2240">
        <v>12</v>
      </c>
      <c r="N764" s="2240">
        <v>1</v>
      </c>
      <c r="O764" s="2240">
        <v>25</v>
      </c>
      <c r="P764" s="2236"/>
      <c r="Q764" s="2236"/>
      <c r="R764" s="2236" t="s">
        <v>1315</v>
      </c>
      <c r="S764" s="2236" t="s">
        <v>1315</v>
      </c>
      <c r="T764" s="2236" t="s">
        <v>1315</v>
      </c>
      <c r="U764" s="2236"/>
      <c r="V764" s="2433" t="s">
        <v>1315</v>
      </c>
      <c r="W764" s="2433"/>
      <c r="X764" s="2434" t="str">
        <f t="shared" si="225"/>
        <v>Mediana</v>
      </c>
      <c r="Y764" s="2229">
        <f t="shared" si="226"/>
        <v>0</v>
      </c>
      <c r="Z764" s="1150" t="str">
        <f t="shared" si="228"/>
        <v/>
      </c>
      <c r="AA764" s="1751" t="s">
        <v>2019</v>
      </c>
      <c r="AC764" s="2568" t="s">
        <v>9622</v>
      </c>
      <c r="AD764" s="758">
        <f>IFERROR(IF(IF(AC764&lt;&gt;"",VLOOKUP(AC764,Tabla_ArmasyEscudos,9,0),"")="Conocida",MAX(AD$662:AD763)+1,0),0)</f>
        <v>0</v>
      </c>
      <c r="AE764" s="758">
        <f ca="1">IF(AC764="",0,IF(AD764=0,MAX(AE$654:AE763,AG$652)+1,AD764+IFERROR(VLOOKUP(VLOOKUP(AC764,$D$653:$AA$871,24,0),AC$654:AE$661,3,0)-VLOOKUP(VLOOKUP(AC764,$D$653:$AA$871,24,0),AC$654:AE$661,2,0)+1,0)))</f>
        <v>104</v>
      </c>
      <c r="AF764" s="758" t="str">
        <f t="shared" ca="1" si="229"/>
        <v>Libra</v>
      </c>
      <c r="AG764" s="758" t="str">
        <f t="shared" ca="1" si="230"/>
        <v/>
      </c>
      <c r="AH764" s="2568"/>
      <c r="AI764" s="758">
        <f>IFERROR(IF(IF(AH764&lt;&gt;"",VLOOKUP(AH764,Tabla_ArmasyEscudos,9,0),"")="Conocida",MAX(AI$660:AI763)+1,0),0)</f>
        <v>0</v>
      </c>
      <c r="AJ764" s="758">
        <f>IF(AH764="",0,IF(AI764=0,MAX(AJ$654:AJ763,AL$652)+1,AI764+IFERROR(VLOOKUP(VLOOKUP(AH764,$D$653:$AA$871,24,0),AH$654:AJ$659,3,0)-VLOOKUP(VLOOKUP(AH764,$D$653:$AA$871,24,0),AH$654:AJ$659,2,0)+1,0)))</f>
        <v>0</v>
      </c>
      <c r="AK764" s="758" t="str">
        <f t="shared" ca="1" si="231"/>
        <v/>
      </c>
      <c r="AL764" s="758" t="str">
        <f t="shared" ca="1" si="232"/>
        <v/>
      </c>
      <c r="AM764" s="2568"/>
      <c r="AN764" s="758">
        <f>IFERROR(IF(IF(AM764&lt;&gt;"",VLOOKUP(AM764,Tabla_ArmasyEscudos,9,0),"")="Conocida",MAX(AN$660:AN763)+1,0),0)</f>
        <v>0</v>
      </c>
      <c r="AO764" s="758">
        <f>IF(AM764="",0,IF(AN764=0,MAX(AO$654:AO763,AQ$652)+1,AN764+IFERROR(VLOOKUP(VLOOKUP(AM764,$D$653:$AA$871,24,0),AM$654:AO$659,3,0)-VLOOKUP(VLOOKUP(AM764,$D$653:$AA$871,24,0),AM$654:AO$659,2,0)+1,0)))</f>
        <v>0</v>
      </c>
      <c r="AP764" s="758" t="str">
        <f t="shared" ca="1" si="233"/>
        <v/>
      </c>
      <c r="AQ764" s="758" t="str">
        <f t="shared" ca="1" si="234"/>
        <v/>
      </c>
      <c r="AR764" s="2568"/>
      <c r="AS764" s="758">
        <f>IFERROR(IF(IF(AR764&lt;&gt;"",VLOOKUP(AR764,Tabla_ArmasyEscudos,9,0),"")="Conocida",MAX(AS$660:AS763)+1,0),0)</f>
        <v>0</v>
      </c>
      <c r="AT764" s="758">
        <f>IF(AR764="",0,IF(AS764=0,MAX(AT$654:AT763,AV$652)+1,AS764+IFERROR(VLOOKUP(VLOOKUP(AR764,$D$653:$AA$871,24,0),AR$654:AT$659,3,0)-VLOOKUP(VLOOKUP(AR764,$D$653:$AA$871,24,0),AR$654:AT$659,2,0)+1,0)))</f>
        <v>0</v>
      </c>
      <c r="AU764" s="758" t="str">
        <f t="shared" ca="1" si="235"/>
        <v/>
      </c>
      <c r="AV764" s="758" t="str">
        <f t="shared" ca="1" si="236"/>
        <v/>
      </c>
      <c r="AX764" s="1141" t="str">
        <f t="shared" si="237"/>
        <v>Nagimaki</v>
      </c>
      <c r="AY764" s="2549"/>
      <c r="AZ764" s="774" t="str">
        <f t="shared" si="238"/>
        <v/>
      </c>
      <c r="BA764" s="76" t="str">
        <f t="shared" si="239"/>
        <v/>
      </c>
      <c r="BB764" s="76" t="str">
        <f t="shared" si="240"/>
        <v>Naginata</v>
      </c>
      <c r="BC764" s="1142">
        <f>IF(OR($L762=BC$652,$L762="",$D762=$BE$651),MAX(BC$654:BC763)+1,0)</f>
        <v>0</v>
      </c>
      <c r="BD764" s="1143">
        <f>IF(OR($L762=BD$652,$L762="",$D762=$BE$651),MAX(BD$654:BD763)+1,0)</f>
        <v>0</v>
      </c>
      <c r="BE764" s="1144">
        <f>IF(OR($L762=BE$652,$L762="",$D762=$BE$651),MAX(BE$654:BE763)+1,0)</f>
        <v>109</v>
      </c>
      <c r="BF764" s="2549"/>
      <c r="BG764" s="774" t="str">
        <f t="shared" si="241"/>
        <v/>
      </c>
      <c r="BH764" s="76" t="str">
        <f t="shared" si="242"/>
        <v/>
      </c>
      <c r="BI764" s="76" t="str">
        <f t="shared" si="243"/>
        <v>Naginata</v>
      </c>
      <c r="BJ764" s="1142">
        <f>IF(OR($L762=BJ$652,$L762="",$D762=$BL$651),MAX(BJ$654:BJ763)+1,0)</f>
        <v>0</v>
      </c>
      <c r="BK764" s="1143">
        <f>IF(OR($L762=BK$652,$L762="",$D762=$BL$651),MAX(BK$654:BK763)+1,0)</f>
        <v>0</v>
      </c>
      <c r="BL764" s="1144">
        <f>IF(OR($L762=BL$652,$L762="",$D762=$BL$651),MAX(BL$654:BL763)+1,0)</f>
        <v>109</v>
      </c>
      <c r="BM764" s="2549"/>
      <c r="BN764" s="774" t="str">
        <f t="shared" si="244"/>
        <v/>
      </c>
      <c r="BO764" s="76" t="str">
        <f t="shared" si="245"/>
        <v/>
      </c>
      <c r="BP764" s="76" t="str">
        <f t="shared" si="246"/>
        <v>Naginata</v>
      </c>
      <c r="BQ764" s="1142">
        <f>IF(OR($L762=BQ$652,$L762="",$D762=$BS$651),MAX(BQ$654:BQ763)+1,0)</f>
        <v>0</v>
      </c>
      <c r="BR764" s="1143">
        <f>IF(OR($L762=BR$652,$L762="",$D762=$BS$651),MAX(BR$654:BR763)+1,0)</f>
        <v>0</v>
      </c>
      <c r="BS764" s="1144">
        <f>IF(OR($L762=BS$652,$L762="",$D762=$BS$651),MAX(BS$654:BS763)+1,0)</f>
        <v>109</v>
      </c>
      <c r="BT764" s="2549"/>
      <c r="BU764" s="774" t="str">
        <f t="shared" si="247"/>
        <v/>
      </c>
      <c r="BV764" s="76" t="str">
        <f t="shared" si="248"/>
        <v/>
      </c>
      <c r="BW764" s="76" t="str">
        <f t="shared" si="249"/>
        <v>Naginata</v>
      </c>
      <c r="BX764" s="1142">
        <f>IF(OR($L762=BX$652,$L762="",$D762=$BZ$651),MAX(BX$654:BX763)+1,0)</f>
        <v>0</v>
      </c>
      <c r="BY764" s="1143">
        <f>IF(OR($L762=BY$652,$L762="",$D762=$BZ$651),MAX(BY$654:BY763)+1,0)</f>
        <v>0</v>
      </c>
      <c r="BZ764" s="1144">
        <f>IF(OR($L762=BZ$652,$L762="",$D762=$BZ$651),MAX(BZ$654:BZ763)+1,0)</f>
        <v>109</v>
      </c>
      <c r="CA764" s="2549"/>
      <c r="CB764" s="774" t="str">
        <f t="shared" si="250"/>
        <v/>
      </c>
      <c r="CC764" s="76" t="str">
        <f t="shared" si="251"/>
        <v/>
      </c>
      <c r="CD764" s="76" t="str">
        <f t="shared" si="252"/>
        <v>Naginata</v>
      </c>
      <c r="CE764" s="1142">
        <f>IF(OR($L762=CE$652,$L762="",$D762=$CG$651),MAX(CE$654:CE763)+1,0)</f>
        <v>0</v>
      </c>
      <c r="CF764" s="1143">
        <f>IF(OR($L762=CF$652,$L762="",$D762=$CG$651),MAX(CF$654:CF763)+1,0)</f>
        <v>0</v>
      </c>
      <c r="CG764" s="1144">
        <f>IF(OR($L762=CG$652,$L762="",$D762=$CG$651),MAX(CG$654:CG763)+1,0)</f>
        <v>109</v>
      </c>
      <c r="CI764" s="774" t="str">
        <f t="shared" si="253"/>
        <v/>
      </c>
      <c r="CJ764" s="76" t="str">
        <f t="shared" si="254"/>
        <v/>
      </c>
      <c r="CK764" s="76" t="str">
        <f t="shared" si="255"/>
        <v>Naginata</v>
      </c>
      <c r="CL764" s="1142">
        <f>IF(OR($L762=CL$652,$L762="",$D762=$CN$651),MAX(CL$654:CL763)+1,0)</f>
        <v>0</v>
      </c>
      <c r="CM764" s="1143">
        <f>IF(OR($L762=CM$652,$L762="",$D762=$CN$651),MAX(CM$654:CM763)+1,0)</f>
        <v>0</v>
      </c>
      <c r="CN764" s="1144">
        <f>IF(OR($L762=CN$652,$L762="",$D762=$CN$651),MAX(CN$654:CN763)+1,0)</f>
        <v>109</v>
      </c>
    </row>
    <row r="765" spans="1:92" ht="12.75" customHeight="1">
      <c r="A765" s="219">
        <v>756</v>
      </c>
      <c r="B765" s="7145"/>
      <c r="C765" s="1034"/>
      <c r="D765" s="2237" t="s">
        <v>6585</v>
      </c>
      <c r="E765" s="2239">
        <v>60</v>
      </c>
      <c r="F765" s="2236">
        <v>-20</v>
      </c>
      <c r="G765" s="2236">
        <v>9</v>
      </c>
      <c r="H765" s="2236">
        <v>7</v>
      </c>
      <c r="I765" s="2236" t="s">
        <v>1410</v>
      </c>
      <c r="J765" s="2236" t="s">
        <v>1315</v>
      </c>
      <c r="K765" s="2433" t="s">
        <v>6838</v>
      </c>
      <c r="L765" s="2236" t="str">
        <f t="shared" si="224"/>
        <v>Distinta</v>
      </c>
      <c r="M765" s="2240">
        <v>16</v>
      </c>
      <c r="N765" s="2240">
        <v>7</v>
      </c>
      <c r="O765" s="2240">
        <v>30</v>
      </c>
      <c r="P765" s="2236"/>
      <c r="Q765" s="2236"/>
      <c r="R765" s="2236" t="s">
        <v>1315</v>
      </c>
      <c r="S765" s="2236" t="s">
        <v>1315</v>
      </c>
      <c r="T765" s="2236" t="s">
        <v>1315</v>
      </c>
      <c r="U765" s="2236"/>
      <c r="V765" s="2433" t="s">
        <v>1979</v>
      </c>
      <c r="W765" s="2433"/>
      <c r="X765" s="2434" t="str">
        <f t="shared" si="225"/>
        <v>Grande</v>
      </c>
      <c r="Y765" s="2229">
        <f t="shared" si="226"/>
        <v>0</v>
      </c>
      <c r="Z765" s="1150" t="str">
        <f t="shared" si="228"/>
        <v/>
      </c>
      <c r="AA765" s="1751" t="s">
        <v>2019</v>
      </c>
      <c r="AC765" s="2573" t="s">
        <v>2071</v>
      </c>
      <c r="AD765" s="758">
        <f>IFERROR(IF(IF(AC765&lt;&gt;"",VLOOKUP(AC765,Tabla_ArmasyEscudos,9,0),"")="Conocida",MAX(AD$662:AD764)+1,0),0)</f>
        <v>0</v>
      </c>
      <c r="AE765" s="758">
        <f ca="1">IF(AC765="",0,IF(AD765=0,MAX(AE$654:AE764,AG$652)+1,AD765+IFERROR(VLOOKUP(VLOOKUP(AC765,$D$653:$AA$871,24,0),AC$654:AE$661,3,0)-VLOOKUP(VLOOKUP(AC765,$D$653:$AA$871,24,0),AC$654:AE$661,2,0)+1,0)))</f>
        <v>105</v>
      </c>
      <c r="AF765" s="758" t="str">
        <f t="shared" ca="1" si="229"/>
        <v>Piscis</v>
      </c>
      <c r="AG765" s="758" t="str">
        <f t="shared" ca="1" si="230"/>
        <v/>
      </c>
      <c r="AH765" s="2568"/>
      <c r="AI765" s="758">
        <f>IFERROR(IF(IF(AH765&lt;&gt;"",VLOOKUP(AH765,Tabla_ArmasyEscudos,9,0),"")="Conocida",MAX(AI$660:AI764)+1,0),0)</f>
        <v>0</v>
      </c>
      <c r="AJ765" s="758">
        <f>IF(AH765="",0,IF(AI765=0,MAX(AJ$654:AJ764,AL$652)+1,AI765+IFERROR(VLOOKUP(VLOOKUP(AH765,$D$653:$AA$871,24,0),AH$654:AJ$659,3,0)-VLOOKUP(VLOOKUP(AH765,$D$653:$AA$871,24,0),AH$654:AJ$659,2,0)+1,0)))</f>
        <v>0</v>
      </c>
      <c r="AK765" s="758" t="str">
        <f t="shared" ca="1" si="231"/>
        <v/>
      </c>
      <c r="AL765" s="758" t="str">
        <f t="shared" ca="1" si="232"/>
        <v/>
      </c>
      <c r="AM765" s="2568"/>
      <c r="AN765" s="758">
        <f>IFERROR(IF(IF(AM765&lt;&gt;"",VLOOKUP(AM765,Tabla_ArmasyEscudos,9,0),"")="Conocida",MAX(AN$660:AN764)+1,0),0)</f>
        <v>0</v>
      </c>
      <c r="AO765" s="758">
        <f>IF(AM765="",0,IF(AN765=0,MAX(AO$654:AO764,AQ$652)+1,AN765+IFERROR(VLOOKUP(VLOOKUP(AM765,$D$653:$AA$871,24,0),AM$654:AO$659,3,0)-VLOOKUP(VLOOKUP(AM765,$D$653:$AA$871,24,0),AM$654:AO$659,2,0)+1,0)))</f>
        <v>0</v>
      </c>
      <c r="AP765" s="758" t="str">
        <f t="shared" ca="1" si="233"/>
        <v/>
      </c>
      <c r="AQ765" s="758" t="str">
        <f t="shared" ca="1" si="234"/>
        <v/>
      </c>
      <c r="AR765" s="2568"/>
      <c r="AS765" s="758">
        <f>IFERROR(IF(IF(AR765&lt;&gt;"",VLOOKUP(AR765,Tabla_ArmasyEscudos,9,0),"")="Conocida",MAX(AS$660:AS764)+1,0),0)</f>
        <v>0</v>
      </c>
      <c r="AT765" s="758">
        <f>IF(AR765="",0,IF(AS765=0,MAX(AT$654:AT764,AV$652)+1,AS765+IFERROR(VLOOKUP(VLOOKUP(AR765,$D$653:$AA$871,24,0),AR$654:AT$659,3,0)-VLOOKUP(VLOOKUP(AR765,$D$653:$AA$871,24,0),AR$654:AT$659,2,0)+1,0)))</f>
        <v>0</v>
      </c>
      <c r="AU765" s="758" t="str">
        <f t="shared" ca="1" si="235"/>
        <v/>
      </c>
      <c r="AV765" s="758" t="str">
        <f t="shared" ca="1" si="236"/>
        <v/>
      </c>
      <c r="AX765" s="1141" t="str">
        <f t="shared" si="237"/>
        <v>Naginata</v>
      </c>
      <c r="AY765" s="2549"/>
      <c r="AZ765" s="774" t="str">
        <f t="shared" si="238"/>
        <v/>
      </c>
      <c r="BA765" s="76" t="str">
        <f t="shared" si="239"/>
        <v/>
      </c>
      <c r="BB765" s="76" t="str">
        <f t="shared" si="240"/>
        <v>Ninja-to</v>
      </c>
      <c r="BC765" s="1142">
        <f>IF(OR($L763=BC$652,$L763="",$D763=$BE$651),MAX(BC$654:BC764)+1,0)</f>
        <v>0</v>
      </c>
      <c r="BD765" s="1143">
        <f>IF(OR($L763=BD$652,$L763="",$D763=$BE$651),MAX(BD$654:BD764)+1,0)</f>
        <v>0</v>
      </c>
      <c r="BE765" s="1144">
        <f>IF(OR($L763=BE$652,$L763="",$D763=$BE$651),MAX(BE$654:BE764)+1,0)</f>
        <v>110</v>
      </c>
      <c r="BF765" s="2549"/>
      <c r="BG765" s="774" t="str">
        <f t="shared" si="241"/>
        <v/>
      </c>
      <c r="BH765" s="76" t="str">
        <f t="shared" si="242"/>
        <v/>
      </c>
      <c r="BI765" s="76" t="str">
        <f t="shared" si="243"/>
        <v>Ninja-to</v>
      </c>
      <c r="BJ765" s="1142">
        <f>IF(OR($L763=BJ$652,$L763="",$D763=$BL$651),MAX(BJ$654:BJ764)+1,0)</f>
        <v>0</v>
      </c>
      <c r="BK765" s="1143">
        <f>IF(OR($L763=BK$652,$L763="",$D763=$BL$651),MAX(BK$654:BK764)+1,0)</f>
        <v>0</v>
      </c>
      <c r="BL765" s="1144">
        <f>IF(OR($L763=BL$652,$L763="",$D763=$BL$651),MAX(BL$654:BL764)+1,0)</f>
        <v>110</v>
      </c>
      <c r="BM765" s="2549"/>
      <c r="BN765" s="774" t="str">
        <f t="shared" si="244"/>
        <v/>
      </c>
      <c r="BO765" s="76" t="str">
        <f t="shared" si="245"/>
        <v/>
      </c>
      <c r="BP765" s="76" t="str">
        <f t="shared" si="246"/>
        <v>Ninja-to</v>
      </c>
      <c r="BQ765" s="1142">
        <f>IF(OR($L763=BQ$652,$L763="",$D763=$BS$651),MAX(BQ$654:BQ764)+1,0)</f>
        <v>0</v>
      </c>
      <c r="BR765" s="1143">
        <f>IF(OR($L763=BR$652,$L763="",$D763=$BS$651),MAX(BR$654:BR764)+1,0)</f>
        <v>0</v>
      </c>
      <c r="BS765" s="1144">
        <f>IF(OR($L763=BS$652,$L763="",$D763=$BS$651),MAX(BS$654:BS764)+1,0)</f>
        <v>110</v>
      </c>
      <c r="BT765" s="2549"/>
      <c r="BU765" s="774" t="str">
        <f t="shared" si="247"/>
        <v/>
      </c>
      <c r="BV765" s="76" t="str">
        <f t="shared" si="248"/>
        <v/>
      </c>
      <c r="BW765" s="76" t="str">
        <f t="shared" si="249"/>
        <v>Ninja-to</v>
      </c>
      <c r="BX765" s="1142">
        <f>IF(OR($L763=BX$652,$L763="",$D763=$BZ$651),MAX(BX$654:BX764)+1,0)</f>
        <v>0</v>
      </c>
      <c r="BY765" s="1143">
        <f>IF(OR($L763=BY$652,$L763="",$D763=$BZ$651),MAX(BY$654:BY764)+1,0)</f>
        <v>0</v>
      </c>
      <c r="BZ765" s="1144">
        <f>IF(OR($L763=BZ$652,$L763="",$D763=$BZ$651),MAX(BZ$654:BZ764)+1,0)</f>
        <v>110</v>
      </c>
      <c r="CA765" s="2549"/>
      <c r="CB765" s="774" t="str">
        <f t="shared" si="250"/>
        <v/>
      </c>
      <c r="CC765" s="76" t="str">
        <f t="shared" si="251"/>
        <v/>
      </c>
      <c r="CD765" s="76" t="str">
        <f t="shared" si="252"/>
        <v>Ninja-to</v>
      </c>
      <c r="CE765" s="1142">
        <f>IF(OR($L763=CE$652,$L763="",$D763=$CG$651),MAX(CE$654:CE764)+1,0)</f>
        <v>0</v>
      </c>
      <c r="CF765" s="1143">
        <f>IF(OR($L763=CF$652,$L763="",$D763=$CG$651),MAX(CF$654:CF764)+1,0)</f>
        <v>0</v>
      </c>
      <c r="CG765" s="1144">
        <f>IF(OR($L763=CG$652,$L763="",$D763=$CG$651),MAX(CG$654:CG764)+1,0)</f>
        <v>110</v>
      </c>
      <c r="CI765" s="774" t="str">
        <f t="shared" si="253"/>
        <v/>
      </c>
      <c r="CJ765" s="76" t="str">
        <f t="shared" si="254"/>
        <v/>
      </c>
      <c r="CK765" s="76" t="str">
        <f t="shared" si="255"/>
        <v>Ninja-to</v>
      </c>
      <c r="CL765" s="1142">
        <f>IF(OR($L763=CL$652,$L763="",$D763=$CN$651),MAX(CL$654:CL764)+1,0)</f>
        <v>0</v>
      </c>
      <c r="CM765" s="1143">
        <f>IF(OR($L763=CM$652,$L763="",$D763=$CN$651),MAX(CM$654:CM764)+1,0)</f>
        <v>0</v>
      </c>
      <c r="CN765" s="1144">
        <f>IF(OR($L763=CN$652,$L763="",$D763=$CN$651),MAX(CN$654:CN764)+1,0)</f>
        <v>110</v>
      </c>
    </row>
    <row r="766" spans="1:92" ht="12.75" customHeight="1">
      <c r="A766" s="219">
        <v>757</v>
      </c>
      <c r="B766" s="7145"/>
      <c r="C766" s="1034"/>
      <c r="D766" s="2237" t="s">
        <v>6606</v>
      </c>
      <c r="E766" s="2239">
        <v>50</v>
      </c>
      <c r="F766" s="2236">
        <v>-10</v>
      </c>
      <c r="G766" s="2236">
        <v>6</v>
      </c>
      <c r="H766" s="2236">
        <v>6</v>
      </c>
      <c r="I766" s="2236" t="s">
        <v>1410</v>
      </c>
      <c r="J766" s="2236" t="s">
        <v>1411</v>
      </c>
      <c r="K766" s="2433" t="s">
        <v>6830</v>
      </c>
      <c r="L766" s="2236" t="str">
        <f t="shared" si="224"/>
        <v>Distinta</v>
      </c>
      <c r="M766" s="2242">
        <v>10</v>
      </c>
      <c r="N766" s="2240">
        <v>2</v>
      </c>
      <c r="O766" s="2240">
        <v>25</v>
      </c>
      <c r="P766" s="2240"/>
      <c r="Q766" s="2236"/>
      <c r="R766" s="2236" t="s">
        <v>1315</v>
      </c>
      <c r="S766" s="2236" t="s">
        <v>1315</v>
      </c>
      <c r="T766" s="2236" t="s">
        <v>1315</v>
      </c>
      <c r="U766" s="2236"/>
      <c r="V766" s="2433" t="s">
        <v>2000</v>
      </c>
      <c r="W766" s="2433"/>
      <c r="X766" s="2434" t="str">
        <f t="shared" si="225"/>
        <v>Grande</v>
      </c>
      <c r="Y766" s="2229">
        <f t="shared" si="226"/>
        <v>0</v>
      </c>
      <c r="Z766" s="1150" t="str">
        <f t="shared" si="228"/>
        <v/>
      </c>
      <c r="AA766" s="1751" t="s">
        <v>2019</v>
      </c>
      <c r="AC766" s="929" t="s">
        <v>2091</v>
      </c>
      <c r="AD766" s="758">
        <f>IFERROR(IF(IF(AC766&lt;&gt;"",VLOOKUP(AC766,Tabla_ArmasyEscudos,9,0),"")="Conocida",MAX(AD$662:AD765)+1,0),0)</f>
        <v>0</v>
      </c>
      <c r="AE766" s="758">
        <f ca="1">IF(AC766="",0,IF(AD766=0,MAX(AE$654:AE765,AG$652)+1,AD766+IFERROR(VLOOKUP(VLOOKUP(AC766,$D$653:$AA$871,24,0),AC$654:AE$661,3,0)-VLOOKUP(VLOOKUP(AC766,$D$653:$AA$871,24,0),AC$654:AE$661,2,0)+1,0)))</f>
        <v>106</v>
      </c>
      <c r="AF766" s="758" t="str">
        <f t="shared" ca="1" si="229"/>
        <v>Sagittarius</v>
      </c>
      <c r="AG766" s="758" t="str">
        <f t="shared" ca="1" si="230"/>
        <v/>
      </c>
      <c r="AH766" s="2568"/>
      <c r="AI766" s="758">
        <f>IFERROR(IF(IF(AH766&lt;&gt;"",VLOOKUP(AH766,Tabla_ArmasyEscudos,9,0),"")="Conocida",MAX(AI$660:AI765)+1,0),0)</f>
        <v>0</v>
      </c>
      <c r="AJ766" s="758">
        <f>IF(AH766="",0,IF(AI766=0,MAX(AJ$654:AJ765,AL$652)+1,AI766+IFERROR(VLOOKUP(VLOOKUP(AH766,$D$653:$AA$871,24,0),AH$654:AJ$659,3,0)-VLOOKUP(VLOOKUP(AH766,$D$653:$AA$871,24,0),AH$654:AJ$659,2,0)+1,0)))</f>
        <v>0</v>
      </c>
      <c r="AK766" s="758" t="str">
        <f t="shared" ca="1" si="231"/>
        <v/>
      </c>
      <c r="AL766" s="758" t="str">
        <f t="shared" ca="1" si="232"/>
        <v/>
      </c>
      <c r="AM766" s="2568"/>
      <c r="AN766" s="758">
        <f>IFERROR(IF(IF(AM766&lt;&gt;"",VLOOKUP(AM766,Tabla_ArmasyEscudos,9,0),"")="Conocida",MAX(AN$660:AN765)+1,0),0)</f>
        <v>0</v>
      </c>
      <c r="AO766" s="758">
        <f>IF(AM766="",0,IF(AN766=0,MAX(AO$654:AO765,AQ$652)+1,AN766+IFERROR(VLOOKUP(VLOOKUP(AM766,$D$653:$AA$871,24,0),AM$654:AO$659,3,0)-VLOOKUP(VLOOKUP(AM766,$D$653:$AA$871,24,0),AM$654:AO$659,2,0)+1,0)))</f>
        <v>0</v>
      </c>
      <c r="AP766" s="758" t="str">
        <f t="shared" ca="1" si="233"/>
        <v/>
      </c>
      <c r="AQ766" s="758" t="str">
        <f t="shared" ca="1" si="234"/>
        <v/>
      </c>
      <c r="AR766" s="2568"/>
      <c r="AS766" s="758">
        <f>IFERROR(IF(IF(AR766&lt;&gt;"",VLOOKUP(AR766,Tabla_ArmasyEscudos,9,0),"")="Conocida",MAX(AS$660:AS765)+1,0),0)</f>
        <v>0</v>
      </c>
      <c r="AT766" s="758">
        <f>IF(AR766="",0,IF(AS766=0,MAX(AT$654:AT765,AV$652)+1,AS766+IFERROR(VLOOKUP(VLOOKUP(AR766,$D$653:$AA$871,24,0),AR$654:AT$659,3,0)-VLOOKUP(VLOOKUP(AR766,$D$653:$AA$871,24,0),AR$654:AT$659,2,0)+1,0)))</f>
        <v>0</v>
      </c>
      <c r="AU766" s="758" t="str">
        <f t="shared" ca="1" si="235"/>
        <v/>
      </c>
      <c r="AV766" s="758" t="str">
        <f t="shared" ca="1" si="236"/>
        <v/>
      </c>
      <c r="AX766" s="1141" t="str">
        <f t="shared" si="237"/>
        <v>Ninja-to</v>
      </c>
      <c r="AY766" s="2549"/>
      <c r="AZ766" s="774" t="str">
        <f t="shared" si="238"/>
        <v/>
      </c>
      <c r="BA766" s="76" t="str">
        <f t="shared" si="239"/>
        <v/>
      </c>
      <c r="BB766" s="76" t="str">
        <f t="shared" si="240"/>
        <v>Ram Dao</v>
      </c>
      <c r="BC766" s="1142">
        <f>IF(OR($L764=BC$652,$L764="",$D764=$BE$651),MAX(BC$654:BC765)+1,0)</f>
        <v>0</v>
      </c>
      <c r="BD766" s="1143">
        <f>IF(OR($L764=BD$652,$L764="",$D764=$BE$651),MAX(BD$654:BD765)+1,0)</f>
        <v>0</v>
      </c>
      <c r="BE766" s="1144">
        <f>IF(OR($L764=BE$652,$L764="",$D764=$BE$651),MAX(BE$654:BE765)+1,0)</f>
        <v>111</v>
      </c>
      <c r="BF766" s="2549"/>
      <c r="BG766" s="774" t="str">
        <f t="shared" si="241"/>
        <v/>
      </c>
      <c r="BH766" s="76" t="str">
        <f t="shared" si="242"/>
        <v/>
      </c>
      <c r="BI766" s="76" t="str">
        <f t="shared" si="243"/>
        <v>Ram Dao</v>
      </c>
      <c r="BJ766" s="1142">
        <f>IF(OR($L764=BJ$652,$L764="",$D764=$BL$651),MAX(BJ$654:BJ765)+1,0)</f>
        <v>0</v>
      </c>
      <c r="BK766" s="1143">
        <f>IF(OR($L764=BK$652,$L764="",$D764=$BL$651),MAX(BK$654:BK765)+1,0)</f>
        <v>0</v>
      </c>
      <c r="BL766" s="1144">
        <f>IF(OR($L764=BL$652,$L764="",$D764=$BL$651),MAX(BL$654:BL765)+1,0)</f>
        <v>111</v>
      </c>
      <c r="BM766" s="2549"/>
      <c r="BN766" s="774" t="str">
        <f t="shared" si="244"/>
        <v/>
      </c>
      <c r="BO766" s="76" t="str">
        <f t="shared" si="245"/>
        <v/>
      </c>
      <c r="BP766" s="76" t="str">
        <f t="shared" si="246"/>
        <v>Ram Dao</v>
      </c>
      <c r="BQ766" s="1142">
        <f>IF(OR($L764=BQ$652,$L764="",$D764=$BS$651),MAX(BQ$654:BQ765)+1,0)</f>
        <v>0</v>
      </c>
      <c r="BR766" s="1143">
        <f>IF(OR($L764=BR$652,$L764="",$D764=$BS$651),MAX(BR$654:BR765)+1,0)</f>
        <v>0</v>
      </c>
      <c r="BS766" s="1144">
        <f>IF(OR($L764=BS$652,$L764="",$D764=$BS$651),MAX(BS$654:BS765)+1,0)</f>
        <v>111</v>
      </c>
      <c r="BT766" s="2549"/>
      <c r="BU766" s="774" t="str">
        <f t="shared" si="247"/>
        <v/>
      </c>
      <c r="BV766" s="76" t="str">
        <f t="shared" si="248"/>
        <v/>
      </c>
      <c r="BW766" s="76" t="str">
        <f t="shared" si="249"/>
        <v>Ram Dao</v>
      </c>
      <c r="BX766" s="1142">
        <f>IF(OR($L764=BX$652,$L764="",$D764=$BZ$651),MAX(BX$654:BX765)+1,0)</f>
        <v>0</v>
      </c>
      <c r="BY766" s="1143">
        <f>IF(OR($L764=BY$652,$L764="",$D764=$BZ$651),MAX(BY$654:BY765)+1,0)</f>
        <v>0</v>
      </c>
      <c r="BZ766" s="1144">
        <f>IF(OR($L764=BZ$652,$L764="",$D764=$BZ$651),MAX(BZ$654:BZ765)+1,0)</f>
        <v>111</v>
      </c>
      <c r="CA766" s="2549"/>
      <c r="CB766" s="774" t="str">
        <f t="shared" si="250"/>
        <v/>
      </c>
      <c r="CC766" s="76" t="str">
        <f t="shared" si="251"/>
        <v/>
      </c>
      <c r="CD766" s="76" t="str">
        <f t="shared" si="252"/>
        <v>Ram Dao</v>
      </c>
      <c r="CE766" s="1142">
        <f>IF(OR($L764=CE$652,$L764="",$D764=$CG$651),MAX(CE$654:CE765)+1,0)</f>
        <v>0</v>
      </c>
      <c r="CF766" s="1143">
        <f>IF(OR($L764=CF$652,$L764="",$D764=$CG$651),MAX(CF$654:CF765)+1,0)</f>
        <v>0</v>
      </c>
      <c r="CG766" s="1144">
        <f>IF(OR($L764=CG$652,$L764="",$D764=$CG$651),MAX(CG$654:CG765)+1,0)</f>
        <v>111</v>
      </c>
      <c r="CI766" s="774" t="str">
        <f t="shared" si="253"/>
        <v/>
      </c>
      <c r="CJ766" s="76" t="str">
        <f t="shared" si="254"/>
        <v/>
      </c>
      <c r="CK766" s="76" t="str">
        <f t="shared" si="255"/>
        <v>Ram Dao</v>
      </c>
      <c r="CL766" s="1142">
        <f>IF(OR($L764=CL$652,$L764="",$D764=$CN$651),MAX(CL$654:CL765)+1,0)</f>
        <v>0</v>
      </c>
      <c r="CM766" s="1143">
        <f>IF(OR($L764=CM$652,$L764="",$D764=$CN$651),MAX(CM$654:CM765)+1,0)</f>
        <v>0</v>
      </c>
      <c r="CN766" s="1144">
        <f>IF(OR($L764=CN$652,$L764="",$D764=$CN$651),MAX(CN$654:CN765)+1,0)</f>
        <v>111</v>
      </c>
    </row>
    <row r="767" spans="1:92" ht="12.75" customHeight="1">
      <c r="A767" s="219">
        <v>758</v>
      </c>
      <c r="B767" s="7145"/>
      <c r="C767" s="1034"/>
      <c r="D767" s="3876" t="s">
        <v>6586</v>
      </c>
      <c r="E767" s="3877">
        <v>20</v>
      </c>
      <c r="F767" s="3878">
        <v>0</v>
      </c>
      <c r="G767" s="3878">
        <v>5</v>
      </c>
      <c r="H767" s="3878">
        <v>5</v>
      </c>
      <c r="I767" s="3878" t="s">
        <v>1357</v>
      </c>
      <c r="J767" s="3878" t="s">
        <v>1315</v>
      </c>
      <c r="K767" s="3879" t="s">
        <v>6830</v>
      </c>
      <c r="L767" s="3878" t="str">
        <f t="shared" si="224"/>
        <v>Distinta</v>
      </c>
      <c r="M767" s="3880">
        <v>13</v>
      </c>
      <c r="N767" s="3880">
        <v>2</v>
      </c>
      <c r="O767" s="3880">
        <v>20</v>
      </c>
      <c r="P767" s="3878"/>
      <c r="Q767" s="3878"/>
      <c r="R767" s="3878" t="s">
        <v>1315</v>
      </c>
      <c r="S767" s="3878" t="s">
        <v>1315</v>
      </c>
      <c r="T767" s="3878" t="s">
        <v>1315</v>
      </c>
      <c r="U767" s="3878"/>
      <c r="V767" s="3879" t="s">
        <v>12437</v>
      </c>
      <c r="W767" s="2433"/>
      <c r="X767" s="2434" t="str">
        <f t="shared" si="225"/>
        <v>Grande</v>
      </c>
      <c r="Y767" s="2229">
        <f t="shared" si="226"/>
        <v>0</v>
      </c>
      <c r="Z767" s="1150" t="str">
        <f t="shared" si="228"/>
        <v/>
      </c>
      <c r="AA767" s="1751" t="s">
        <v>2019</v>
      </c>
      <c r="AC767" s="2568" t="s">
        <v>2090</v>
      </c>
      <c r="AD767" s="758">
        <f>IFERROR(IF(IF(AC767&lt;&gt;"",VLOOKUP(AC767,Tabla_ArmasyEscudos,9,0),"")="Conocida",MAX(AD$662:AD766)+1,0),0)</f>
        <v>0</v>
      </c>
      <c r="AE767" s="758">
        <f ca="1">IF(AC767="",0,IF(AD767=0,MAX(AE$654:AE766,AG$652)+1,AD767+IFERROR(VLOOKUP(VLOOKUP(AC767,$D$653:$AA$871,24,0),AC$654:AE$661,3,0)-VLOOKUP(VLOOKUP(AC767,$D$653:$AA$871,24,0),AC$654:AE$661,2,0)+1,0)))</f>
        <v>107</v>
      </c>
      <c r="AF767" s="758" t="str">
        <f t="shared" ca="1" si="229"/>
        <v>Scorpio (Espada)</v>
      </c>
      <c r="AG767" s="758" t="str">
        <f t="shared" ca="1" si="230"/>
        <v/>
      </c>
      <c r="AH767" s="2568"/>
      <c r="AI767" s="758">
        <f>IFERROR(IF(IF(AH767&lt;&gt;"",VLOOKUP(AH767,Tabla_ArmasyEscudos,9,0),"")="Conocida",MAX(AI$660:AI766)+1,0),0)</f>
        <v>0</v>
      </c>
      <c r="AJ767" s="758">
        <f>IF(AH767="",0,IF(AI767=0,MAX(AJ$654:AJ766,AL$652)+1,AI767+IFERROR(VLOOKUP(VLOOKUP(AH767,$D$653:$AA$871,24,0),AH$654:AJ$659,3,0)-VLOOKUP(VLOOKUP(AH767,$D$653:$AA$871,24,0),AH$654:AJ$659,2,0)+1,0)))</f>
        <v>0</v>
      </c>
      <c r="AK767" s="758" t="str">
        <f t="shared" ca="1" si="231"/>
        <v/>
      </c>
      <c r="AL767" s="758" t="str">
        <f t="shared" ca="1" si="232"/>
        <v/>
      </c>
      <c r="AM767" s="2568"/>
      <c r="AN767" s="758">
        <f>IFERROR(IF(IF(AM767&lt;&gt;"",VLOOKUP(AM767,Tabla_ArmasyEscudos,9,0),"")="Conocida",MAX(AN$660:AN766)+1,0),0)</f>
        <v>0</v>
      </c>
      <c r="AO767" s="758">
        <f>IF(AM767="",0,IF(AN767=0,MAX(AO$654:AO766,AQ$652)+1,AN767+IFERROR(VLOOKUP(VLOOKUP(AM767,$D$653:$AA$871,24,0),AM$654:AO$659,3,0)-VLOOKUP(VLOOKUP(AM767,$D$653:$AA$871,24,0),AM$654:AO$659,2,0)+1,0)))</f>
        <v>0</v>
      </c>
      <c r="AP767" s="758" t="str">
        <f t="shared" ca="1" si="233"/>
        <v/>
      </c>
      <c r="AQ767" s="758" t="str">
        <f t="shared" ca="1" si="234"/>
        <v/>
      </c>
      <c r="AR767" s="2568"/>
      <c r="AS767" s="758">
        <f>IFERROR(IF(IF(AR767&lt;&gt;"",VLOOKUP(AR767,Tabla_ArmasyEscudos,9,0),"")="Conocida",MAX(AS$660:AS766)+1,0),0)</f>
        <v>0</v>
      </c>
      <c r="AT767" s="758">
        <f>IF(AR767="",0,IF(AS767=0,MAX(AT$654:AT766,AV$652)+1,AS767+IFERROR(VLOOKUP(VLOOKUP(AR767,$D$653:$AA$871,24,0),AR$654:AT$659,3,0)-VLOOKUP(VLOOKUP(AR767,$D$653:$AA$871,24,0),AR$654:AT$659,2,0)+1,0)))</f>
        <v>0</v>
      </c>
      <c r="AU767" s="758" t="str">
        <f t="shared" ca="1" si="235"/>
        <v/>
      </c>
      <c r="AV767" s="758" t="str">
        <f t="shared" ca="1" si="236"/>
        <v/>
      </c>
      <c r="AX767" s="1141" t="str">
        <f t="shared" si="237"/>
        <v>Ram Dao</v>
      </c>
      <c r="AY767" s="2549"/>
      <c r="AZ767" s="774" t="str">
        <f t="shared" si="238"/>
        <v/>
      </c>
      <c r="BA767" s="76" t="str">
        <f t="shared" si="239"/>
        <v/>
      </c>
      <c r="BB767" s="76" t="str">
        <f t="shared" si="240"/>
        <v>Sang Kauw</v>
      </c>
      <c r="BC767" s="1142">
        <f>IF(OR($L765=BC$652,$L765="",$D765=$BE$651),MAX(BC$654:BC766)+1,0)</f>
        <v>0</v>
      </c>
      <c r="BD767" s="1143">
        <f>IF(OR($L765=BD$652,$L765="",$D765=$BE$651),MAX(BD$654:BD766)+1,0)</f>
        <v>0</v>
      </c>
      <c r="BE767" s="1144">
        <f>IF(OR($L765=BE$652,$L765="",$D765=$BE$651),MAX(BE$654:BE766)+1,0)</f>
        <v>112</v>
      </c>
      <c r="BF767" s="2549"/>
      <c r="BG767" s="774" t="str">
        <f t="shared" si="241"/>
        <v/>
      </c>
      <c r="BH767" s="76" t="str">
        <f t="shared" si="242"/>
        <v/>
      </c>
      <c r="BI767" s="76" t="str">
        <f t="shared" si="243"/>
        <v>Sang Kauw</v>
      </c>
      <c r="BJ767" s="1142">
        <f>IF(OR($L765=BJ$652,$L765="",$D765=$BL$651),MAX(BJ$654:BJ766)+1,0)</f>
        <v>0</v>
      </c>
      <c r="BK767" s="1143">
        <f>IF(OR($L765=BK$652,$L765="",$D765=$BL$651),MAX(BK$654:BK766)+1,0)</f>
        <v>0</v>
      </c>
      <c r="BL767" s="1144">
        <f>IF(OR($L765=BL$652,$L765="",$D765=$BL$651),MAX(BL$654:BL766)+1,0)</f>
        <v>112</v>
      </c>
      <c r="BM767" s="2549"/>
      <c r="BN767" s="774" t="str">
        <f t="shared" si="244"/>
        <v/>
      </c>
      <c r="BO767" s="76" t="str">
        <f t="shared" si="245"/>
        <v/>
      </c>
      <c r="BP767" s="76" t="str">
        <f t="shared" si="246"/>
        <v>Sang Kauw</v>
      </c>
      <c r="BQ767" s="1142">
        <f>IF(OR($L765=BQ$652,$L765="",$D765=$BS$651),MAX(BQ$654:BQ766)+1,0)</f>
        <v>0</v>
      </c>
      <c r="BR767" s="1143">
        <f>IF(OR($L765=BR$652,$L765="",$D765=$BS$651),MAX(BR$654:BR766)+1,0)</f>
        <v>0</v>
      </c>
      <c r="BS767" s="1144">
        <f>IF(OR($L765=BS$652,$L765="",$D765=$BS$651),MAX(BS$654:BS766)+1,0)</f>
        <v>112</v>
      </c>
      <c r="BT767" s="2549"/>
      <c r="BU767" s="774" t="str">
        <f t="shared" si="247"/>
        <v/>
      </c>
      <c r="BV767" s="76" t="str">
        <f t="shared" si="248"/>
        <v/>
      </c>
      <c r="BW767" s="76" t="str">
        <f t="shared" si="249"/>
        <v>Sang Kauw</v>
      </c>
      <c r="BX767" s="1142">
        <f>IF(OR($L765=BX$652,$L765="",$D765=$BZ$651),MAX(BX$654:BX766)+1,0)</f>
        <v>0</v>
      </c>
      <c r="BY767" s="1143">
        <f>IF(OR($L765=BY$652,$L765="",$D765=$BZ$651),MAX(BY$654:BY766)+1,0)</f>
        <v>0</v>
      </c>
      <c r="BZ767" s="1144">
        <f>IF(OR($L765=BZ$652,$L765="",$D765=$BZ$651),MAX(BZ$654:BZ766)+1,0)</f>
        <v>112</v>
      </c>
      <c r="CA767" s="2549"/>
      <c r="CB767" s="774" t="str">
        <f t="shared" si="250"/>
        <v/>
      </c>
      <c r="CC767" s="76" t="str">
        <f t="shared" si="251"/>
        <v/>
      </c>
      <c r="CD767" s="76" t="str">
        <f t="shared" si="252"/>
        <v>Sang Kauw</v>
      </c>
      <c r="CE767" s="1142">
        <f>IF(OR($L765=CE$652,$L765="",$D765=$CG$651),MAX(CE$654:CE766)+1,0)</f>
        <v>0</v>
      </c>
      <c r="CF767" s="1143">
        <f>IF(OR($L765=CF$652,$L765="",$D765=$CG$651),MAX(CF$654:CF766)+1,0)</f>
        <v>0</v>
      </c>
      <c r="CG767" s="1144">
        <f>IF(OR($L765=CG$652,$L765="",$D765=$CG$651),MAX(CG$654:CG766)+1,0)</f>
        <v>112</v>
      </c>
      <c r="CI767" s="774" t="str">
        <f t="shared" si="253"/>
        <v/>
      </c>
      <c r="CJ767" s="76" t="str">
        <f t="shared" si="254"/>
        <v/>
      </c>
      <c r="CK767" s="76" t="str">
        <f t="shared" si="255"/>
        <v>Sang Kauw</v>
      </c>
      <c r="CL767" s="1142">
        <f>IF(OR($L765=CL$652,$L765="",$D765=$CN$651),MAX(CL$654:CL766)+1,0)</f>
        <v>0</v>
      </c>
      <c r="CM767" s="1143">
        <f>IF(OR($L765=CM$652,$L765="",$D765=$CN$651),MAX(CM$654:CM766)+1,0)</f>
        <v>0</v>
      </c>
      <c r="CN767" s="1144">
        <f>IF(OR($L765=CN$652,$L765="",$D765=$CN$651),MAX(CN$654:CN766)+1,0)</f>
        <v>112</v>
      </c>
    </row>
    <row r="768" spans="1:92" ht="12.75" customHeight="1">
      <c r="A768" s="219">
        <v>759</v>
      </c>
      <c r="B768" s="7145"/>
      <c r="C768" s="1034"/>
      <c r="D768" s="3876" t="s">
        <v>6588</v>
      </c>
      <c r="E768" s="3877">
        <v>80</v>
      </c>
      <c r="F768" s="3878">
        <v>-50</v>
      </c>
      <c r="G768" s="3878">
        <v>10</v>
      </c>
      <c r="H768" s="3878">
        <v>8</v>
      </c>
      <c r="I768" s="3878" t="s">
        <v>1357</v>
      </c>
      <c r="J768" s="3878" t="s">
        <v>1315</v>
      </c>
      <c r="K768" s="3879" t="s">
        <v>6836</v>
      </c>
      <c r="L768" s="3878" t="str">
        <f t="shared" si="224"/>
        <v>Distinta</v>
      </c>
      <c r="M768" s="3880">
        <v>13</v>
      </c>
      <c r="N768" s="3880">
        <v>4</v>
      </c>
      <c r="O768" s="3880">
        <v>30</v>
      </c>
      <c r="P768" s="3878"/>
      <c r="Q768" s="3878"/>
      <c r="R768" s="3878" t="s">
        <v>1315</v>
      </c>
      <c r="S768" s="3878" t="s">
        <v>1315</v>
      </c>
      <c r="T768" s="3878" t="s">
        <v>1315</v>
      </c>
      <c r="U768" s="3878"/>
      <c r="V768" s="3879" t="s">
        <v>12438</v>
      </c>
      <c r="W768" s="2433"/>
      <c r="X768" s="2434" t="str">
        <f t="shared" si="225"/>
        <v>Mediana</v>
      </c>
      <c r="Y768" s="2229">
        <f t="shared" si="226"/>
        <v>0</v>
      </c>
      <c r="Z768" s="1150" t="str">
        <f t="shared" si="228"/>
        <v/>
      </c>
      <c r="AA768" s="1751" t="s">
        <v>2019</v>
      </c>
      <c r="AC768" s="2568" t="s">
        <v>2081</v>
      </c>
      <c r="AD768" s="758">
        <f>IFERROR(IF(IF(AC768&lt;&gt;"",VLOOKUP(AC768,Tabla_ArmasyEscudos,9,0),"")="Conocida",MAX(AD$662:AD767)+1,0),0)</f>
        <v>0</v>
      </c>
      <c r="AE768" s="758">
        <f ca="1">IF(AC768="",0,IF(AD768=0,MAX(AE$654:AE767,AG$652)+1,AD768+IFERROR(VLOOKUP(VLOOKUP(AC768,$D$653:$AA$871,24,0),AC$654:AE$661,3,0)-VLOOKUP(VLOOKUP(AC768,$D$653:$AA$871,24,0),AC$654:AE$661,2,0)+1,0)))</f>
        <v>108</v>
      </c>
      <c r="AF768" s="758" t="str">
        <f t="shared" ca="1" si="229"/>
        <v>Scorpio (Látigo)</v>
      </c>
      <c r="AG768" s="758" t="str">
        <f t="shared" ca="1" si="230"/>
        <v/>
      </c>
      <c r="AH768" s="2568"/>
      <c r="AI768" s="758">
        <f>IFERROR(IF(IF(AH768&lt;&gt;"",VLOOKUP(AH768,Tabla_ArmasyEscudos,9,0),"")="Conocida",MAX(AI$660:AI767)+1,0),0)</f>
        <v>0</v>
      </c>
      <c r="AJ768" s="758">
        <f>IF(AH768="",0,IF(AI768=0,MAX(AJ$654:AJ767,AL$652)+1,AI768+IFERROR(VLOOKUP(VLOOKUP(AH768,$D$653:$AA$871,24,0),AH$654:AJ$659,3,0)-VLOOKUP(VLOOKUP(AH768,$D$653:$AA$871,24,0),AH$654:AJ$659,2,0)+1,0)))</f>
        <v>0</v>
      </c>
      <c r="AK768" s="758" t="str">
        <f t="shared" ca="1" si="231"/>
        <v/>
      </c>
      <c r="AL768" s="758" t="str">
        <f t="shared" ca="1" si="232"/>
        <v/>
      </c>
      <c r="AM768" s="2568"/>
      <c r="AN768" s="758">
        <f>IFERROR(IF(IF(AM768&lt;&gt;"",VLOOKUP(AM768,Tabla_ArmasyEscudos,9,0),"")="Conocida",MAX(AN$660:AN767)+1,0),0)</f>
        <v>0</v>
      </c>
      <c r="AO768" s="758">
        <f>IF(AM768="",0,IF(AN768=0,MAX(AO$654:AO767,AQ$652)+1,AN768+IFERROR(VLOOKUP(VLOOKUP(AM768,$D$653:$AA$871,24,0),AM$654:AO$659,3,0)-VLOOKUP(VLOOKUP(AM768,$D$653:$AA$871,24,0),AM$654:AO$659,2,0)+1,0)))</f>
        <v>0</v>
      </c>
      <c r="AP768" s="758" t="str">
        <f t="shared" ca="1" si="233"/>
        <v/>
      </c>
      <c r="AQ768" s="758" t="str">
        <f t="shared" ca="1" si="234"/>
        <v/>
      </c>
      <c r="AR768" s="2568"/>
      <c r="AS768" s="758">
        <f>IFERROR(IF(IF(AR768&lt;&gt;"",VLOOKUP(AR768,Tabla_ArmasyEscudos,9,0),"")="Conocida",MAX(AS$660:AS767)+1,0),0)</f>
        <v>0</v>
      </c>
      <c r="AT768" s="758">
        <f>IF(AR768="",0,IF(AS768=0,MAX(AT$654:AT767,AV$652)+1,AS768+IFERROR(VLOOKUP(VLOOKUP(AR768,$D$653:$AA$871,24,0),AR$654:AT$659,3,0)-VLOOKUP(VLOOKUP(AR768,$D$653:$AA$871,24,0),AR$654:AT$659,2,0)+1,0)))</f>
        <v>0</v>
      </c>
      <c r="AU768" s="758" t="str">
        <f t="shared" ca="1" si="235"/>
        <v/>
      </c>
      <c r="AV768" s="758" t="str">
        <f t="shared" ca="1" si="236"/>
        <v/>
      </c>
      <c r="AX768" s="1141" t="str">
        <f t="shared" si="237"/>
        <v>Sang Kauw</v>
      </c>
      <c r="AY768" s="2549"/>
      <c r="AZ768" s="774" t="str">
        <f t="shared" si="238"/>
        <v/>
      </c>
      <c r="BA768" s="76" t="str">
        <f t="shared" si="239"/>
        <v/>
      </c>
      <c r="BB768" s="76" t="str">
        <f t="shared" si="240"/>
        <v>Sode Garami</v>
      </c>
      <c r="BC768" s="1142">
        <f>IF(OR($L766=BC$652,$L766="",$D766=$BE$651),MAX(BC$654:BC767)+1,0)</f>
        <v>0</v>
      </c>
      <c r="BD768" s="1143">
        <f>IF(OR($L766=BD$652,$L766="",$D766=$BE$651),MAX(BD$654:BD767)+1,0)</f>
        <v>0</v>
      </c>
      <c r="BE768" s="1144">
        <f>IF(OR($L766=BE$652,$L766="",$D766=$BE$651),MAX(BE$654:BE767)+1,0)</f>
        <v>113</v>
      </c>
      <c r="BF768" s="2549"/>
      <c r="BG768" s="774" t="str">
        <f t="shared" si="241"/>
        <v/>
      </c>
      <c r="BH768" s="76" t="str">
        <f t="shared" si="242"/>
        <v/>
      </c>
      <c r="BI768" s="76" t="str">
        <f t="shared" si="243"/>
        <v>Sode Garami</v>
      </c>
      <c r="BJ768" s="1142">
        <f>IF(OR($L766=BJ$652,$L766="",$D766=$BL$651),MAX(BJ$654:BJ767)+1,0)</f>
        <v>0</v>
      </c>
      <c r="BK768" s="1143">
        <f>IF(OR($L766=BK$652,$L766="",$D766=$BL$651),MAX(BK$654:BK767)+1,0)</f>
        <v>0</v>
      </c>
      <c r="BL768" s="1144">
        <f>IF(OR($L766=BL$652,$L766="",$D766=$BL$651),MAX(BL$654:BL767)+1,0)</f>
        <v>113</v>
      </c>
      <c r="BM768" s="2549"/>
      <c r="BN768" s="774" t="str">
        <f t="shared" si="244"/>
        <v/>
      </c>
      <c r="BO768" s="76" t="str">
        <f t="shared" si="245"/>
        <v/>
      </c>
      <c r="BP768" s="76" t="str">
        <f t="shared" si="246"/>
        <v>Sode Garami</v>
      </c>
      <c r="BQ768" s="1142">
        <f>IF(OR($L766=BQ$652,$L766="",$D766=$BS$651),MAX(BQ$654:BQ767)+1,0)</f>
        <v>0</v>
      </c>
      <c r="BR768" s="1143">
        <f>IF(OR($L766=BR$652,$L766="",$D766=$BS$651),MAX(BR$654:BR767)+1,0)</f>
        <v>0</v>
      </c>
      <c r="BS768" s="1144">
        <f>IF(OR($L766=BS$652,$L766="",$D766=$BS$651),MAX(BS$654:BS767)+1,0)</f>
        <v>113</v>
      </c>
      <c r="BT768" s="2549"/>
      <c r="BU768" s="774" t="str">
        <f t="shared" si="247"/>
        <v/>
      </c>
      <c r="BV768" s="76" t="str">
        <f t="shared" si="248"/>
        <v/>
      </c>
      <c r="BW768" s="76" t="str">
        <f t="shared" si="249"/>
        <v>Sode Garami</v>
      </c>
      <c r="BX768" s="1142">
        <f>IF(OR($L766=BX$652,$L766="",$D766=$BZ$651),MAX(BX$654:BX767)+1,0)</f>
        <v>0</v>
      </c>
      <c r="BY768" s="1143">
        <f>IF(OR($L766=BY$652,$L766="",$D766=$BZ$651),MAX(BY$654:BY767)+1,0)</f>
        <v>0</v>
      </c>
      <c r="BZ768" s="1144">
        <f>IF(OR($L766=BZ$652,$L766="",$D766=$BZ$651),MAX(BZ$654:BZ767)+1,0)</f>
        <v>113</v>
      </c>
      <c r="CA768" s="2549"/>
      <c r="CB768" s="774" t="str">
        <f t="shared" si="250"/>
        <v/>
      </c>
      <c r="CC768" s="76" t="str">
        <f t="shared" si="251"/>
        <v/>
      </c>
      <c r="CD768" s="76" t="str">
        <f t="shared" si="252"/>
        <v>Sode Garami</v>
      </c>
      <c r="CE768" s="1142">
        <f>IF(OR($L766=CE$652,$L766="",$D766=$CG$651),MAX(CE$654:CE767)+1,0)</f>
        <v>0</v>
      </c>
      <c r="CF768" s="1143">
        <f>IF(OR($L766=CF$652,$L766="",$D766=$CG$651),MAX(CF$654:CF767)+1,0)</f>
        <v>0</v>
      </c>
      <c r="CG768" s="1144">
        <f>IF(OR($L766=CG$652,$L766="",$D766=$CG$651),MAX(CG$654:CG767)+1,0)</f>
        <v>113</v>
      </c>
      <c r="CI768" s="774" t="str">
        <f t="shared" si="253"/>
        <v/>
      </c>
      <c r="CJ768" s="76" t="str">
        <f t="shared" si="254"/>
        <v/>
      </c>
      <c r="CK768" s="76" t="str">
        <f t="shared" si="255"/>
        <v>Sode Garami</v>
      </c>
      <c r="CL768" s="1142">
        <f>IF(OR($L766=CL$652,$L766="",$D766=$CN$651),MAX(CL$654:CL767)+1,0)</f>
        <v>0</v>
      </c>
      <c r="CM768" s="1143">
        <f>IF(OR($L766=CM$652,$L766="",$D766=$CN$651),MAX(CM$654:CM767)+1,0)</f>
        <v>0</v>
      </c>
      <c r="CN768" s="1144">
        <f>IF(OR($L766=CN$652,$L766="",$D766=$CN$651),MAX(CN$654:CN767)+1,0)</f>
        <v>113</v>
      </c>
    </row>
    <row r="769" spans="1:92" ht="12.75" customHeight="1">
      <c r="A769" s="219">
        <v>760</v>
      </c>
      <c r="B769" s="7145"/>
      <c r="C769" s="1034"/>
      <c r="D769" s="2237" t="s">
        <v>6607</v>
      </c>
      <c r="E769" s="2239">
        <v>25</v>
      </c>
      <c r="F769" s="2236">
        <v>10</v>
      </c>
      <c r="G769" s="2236">
        <v>4</v>
      </c>
      <c r="H769" s="2236">
        <v>4</v>
      </c>
      <c r="I769" s="2236" t="s">
        <v>1411</v>
      </c>
      <c r="J769" s="2236" t="s">
        <v>1315</v>
      </c>
      <c r="K769" s="2433" t="s">
        <v>6830</v>
      </c>
      <c r="L769" s="2236" t="str">
        <f t="shared" si="224"/>
        <v>Distinta</v>
      </c>
      <c r="M769" s="2240">
        <v>10</v>
      </c>
      <c r="N769" s="2240">
        <v>-2</v>
      </c>
      <c r="O769" s="2240">
        <v>20</v>
      </c>
      <c r="P769" s="2236"/>
      <c r="Q769" s="2236"/>
      <c r="R769" s="2236">
        <v>100</v>
      </c>
      <c r="S769" s="2236" t="s">
        <v>1315</v>
      </c>
      <c r="T769" s="2236">
        <v>30</v>
      </c>
      <c r="U769" s="2236"/>
      <c r="V769" s="2433" t="s">
        <v>8126</v>
      </c>
      <c r="W769" s="2433"/>
      <c r="X769" s="2434" t="str">
        <f t="shared" si="225"/>
        <v>Grande</v>
      </c>
      <c r="Y769" s="2229">
        <f t="shared" si="226"/>
        <v>0</v>
      </c>
      <c r="Z769" s="1150" t="str">
        <f t="shared" si="228"/>
        <v/>
      </c>
      <c r="AA769" s="1751" t="s">
        <v>2019</v>
      </c>
      <c r="AC769" s="2568" t="s">
        <v>2083</v>
      </c>
      <c r="AD769" s="758">
        <f>IFERROR(IF(IF(AC769&lt;&gt;"",VLOOKUP(AC769,Tabla_ArmasyEscudos,9,0),"")="Conocida",MAX(AD$662:AD768)+1,0),0)</f>
        <v>0</v>
      </c>
      <c r="AE769" s="758">
        <f ca="1">IF(AC769="",0,IF(AD769=0,MAX(AE$654:AE768,AG$652)+1,AD769+IFERROR(VLOOKUP(VLOOKUP(AC769,$D$653:$AA$871,24,0),AC$654:AE$661,3,0)-VLOOKUP(VLOOKUP(AC769,$D$653:$AA$871,24,0),AC$654:AE$661,2,0)+1,0)))</f>
        <v>109</v>
      </c>
      <c r="AF769" s="758" t="str">
        <f t="shared" ca="1" si="229"/>
        <v>Taurus</v>
      </c>
      <c r="AG769" s="758" t="str">
        <f t="shared" ca="1" si="230"/>
        <v/>
      </c>
      <c r="AH769" s="2568"/>
      <c r="AI769" s="758">
        <f>IFERROR(IF(IF(AH769&lt;&gt;"",VLOOKUP(AH769,Tabla_ArmasyEscudos,9,0),"")="Conocida",MAX(AI$660:AI768)+1,0),0)</f>
        <v>0</v>
      </c>
      <c r="AJ769" s="758">
        <f>IF(AH769="",0,IF(AI769=0,MAX(AJ$654:AJ768,AL$652)+1,AI769+IFERROR(VLOOKUP(VLOOKUP(AH769,$D$653:$AA$871,24,0),AH$654:AJ$659,3,0)-VLOOKUP(VLOOKUP(AH769,$D$653:$AA$871,24,0),AH$654:AJ$659,2,0)+1,0)))</f>
        <v>0</v>
      </c>
      <c r="AK769" s="758" t="str">
        <f t="shared" ca="1" si="231"/>
        <v/>
      </c>
      <c r="AL769" s="758" t="str">
        <f t="shared" ca="1" si="232"/>
        <v/>
      </c>
      <c r="AM769" s="2568"/>
      <c r="AN769" s="758">
        <f>IFERROR(IF(IF(AM769&lt;&gt;"",VLOOKUP(AM769,Tabla_ArmasyEscudos,9,0),"")="Conocida",MAX(AN$660:AN768)+1,0),0)</f>
        <v>0</v>
      </c>
      <c r="AO769" s="758">
        <f>IF(AM769="",0,IF(AN769=0,MAX(AO$654:AO768,AQ$652)+1,AN769+IFERROR(VLOOKUP(VLOOKUP(AM769,$D$653:$AA$871,24,0),AM$654:AO$659,3,0)-VLOOKUP(VLOOKUP(AM769,$D$653:$AA$871,24,0),AM$654:AO$659,2,0)+1,0)))</f>
        <v>0</v>
      </c>
      <c r="AP769" s="758" t="str">
        <f t="shared" ca="1" si="233"/>
        <v/>
      </c>
      <c r="AQ769" s="758" t="str">
        <f t="shared" ca="1" si="234"/>
        <v/>
      </c>
      <c r="AR769" s="2568"/>
      <c r="AS769" s="758">
        <f>IFERROR(IF(IF(AR769&lt;&gt;"",VLOOKUP(AR769,Tabla_ArmasyEscudos,9,0),"")="Conocida",MAX(AS$660:AS768)+1,0),0)</f>
        <v>0</v>
      </c>
      <c r="AT769" s="758">
        <f>IF(AR769="",0,IF(AS769=0,MAX(AT$654:AT768,AV$652)+1,AS769+IFERROR(VLOOKUP(VLOOKUP(AR769,$D$653:$AA$871,24,0),AR$654:AT$659,3,0)-VLOOKUP(VLOOKUP(AR769,$D$653:$AA$871,24,0),AR$654:AT$659,2,0)+1,0)))</f>
        <v>0</v>
      </c>
      <c r="AU769" s="758" t="str">
        <f t="shared" ca="1" si="235"/>
        <v/>
      </c>
      <c r="AV769" s="758" t="str">
        <f t="shared" ca="1" si="236"/>
        <v/>
      </c>
      <c r="AX769" s="1141" t="str">
        <f t="shared" si="237"/>
        <v>Sode Garami</v>
      </c>
      <c r="AY769" s="2549"/>
      <c r="AZ769" s="774" t="str">
        <f t="shared" si="238"/>
        <v/>
      </c>
      <c r="BA769" s="76" t="str">
        <f t="shared" si="239"/>
        <v/>
      </c>
      <c r="BB769" s="76" t="str">
        <f t="shared" si="240"/>
        <v>Tetsubo</v>
      </c>
      <c r="BC769" s="1142">
        <f>IF(OR($L767=BC$652,$L767="",$D767=$BE$651),MAX(BC$654:BC768)+1,0)</f>
        <v>0</v>
      </c>
      <c r="BD769" s="1143">
        <f>IF(OR($L767=BD$652,$L767="",$D767=$BE$651),MAX(BD$654:BD768)+1,0)</f>
        <v>0</v>
      </c>
      <c r="BE769" s="1144">
        <f>IF(OR($L767=BE$652,$L767="",$D767=$BE$651),MAX(BE$654:BE768)+1,0)</f>
        <v>114</v>
      </c>
      <c r="BF769" s="2549"/>
      <c r="BG769" s="774" t="str">
        <f t="shared" si="241"/>
        <v/>
      </c>
      <c r="BH769" s="76" t="str">
        <f t="shared" si="242"/>
        <v/>
      </c>
      <c r="BI769" s="76" t="str">
        <f t="shared" si="243"/>
        <v>Tetsubo</v>
      </c>
      <c r="BJ769" s="1142">
        <f>IF(OR($L767=BJ$652,$L767="",$D767=$BL$651),MAX(BJ$654:BJ768)+1,0)</f>
        <v>0</v>
      </c>
      <c r="BK769" s="1143">
        <f>IF(OR($L767=BK$652,$L767="",$D767=$BL$651),MAX(BK$654:BK768)+1,0)</f>
        <v>0</v>
      </c>
      <c r="BL769" s="1144">
        <f>IF(OR($L767=BL$652,$L767="",$D767=$BL$651),MAX(BL$654:BL768)+1,0)</f>
        <v>114</v>
      </c>
      <c r="BM769" s="2549"/>
      <c r="BN769" s="774" t="str">
        <f t="shared" si="244"/>
        <v/>
      </c>
      <c r="BO769" s="76" t="str">
        <f t="shared" si="245"/>
        <v/>
      </c>
      <c r="BP769" s="76" t="str">
        <f t="shared" si="246"/>
        <v>Tetsubo</v>
      </c>
      <c r="BQ769" s="1142">
        <f>IF(OR($L767=BQ$652,$L767="",$D767=$BS$651),MAX(BQ$654:BQ768)+1,0)</f>
        <v>0</v>
      </c>
      <c r="BR769" s="1143">
        <f>IF(OR($L767=BR$652,$L767="",$D767=$BS$651),MAX(BR$654:BR768)+1,0)</f>
        <v>0</v>
      </c>
      <c r="BS769" s="1144">
        <f>IF(OR($L767=BS$652,$L767="",$D767=$BS$651),MAX(BS$654:BS768)+1,0)</f>
        <v>114</v>
      </c>
      <c r="BT769" s="2549"/>
      <c r="BU769" s="774" t="str">
        <f t="shared" si="247"/>
        <v/>
      </c>
      <c r="BV769" s="76" t="str">
        <f t="shared" si="248"/>
        <v/>
      </c>
      <c r="BW769" s="76" t="str">
        <f t="shared" si="249"/>
        <v>Tetsubo</v>
      </c>
      <c r="BX769" s="1142">
        <f>IF(OR($L767=BX$652,$L767="",$D767=$BZ$651),MAX(BX$654:BX768)+1,0)</f>
        <v>0</v>
      </c>
      <c r="BY769" s="1143">
        <f>IF(OR($L767=BY$652,$L767="",$D767=$BZ$651),MAX(BY$654:BY768)+1,0)</f>
        <v>0</v>
      </c>
      <c r="BZ769" s="1144">
        <f>IF(OR($L767=BZ$652,$L767="",$D767=$BZ$651),MAX(BZ$654:BZ768)+1,0)</f>
        <v>114</v>
      </c>
      <c r="CA769" s="2549"/>
      <c r="CB769" s="774" t="str">
        <f t="shared" si="250"/>
        <v/>
      </c>
      <c r="CC769" s="76" t="str">
        <f t="shared" si="251"/>
        <v/>
      </c>
      <c r="CD769" s="76" t="str">
        <f t="shared" si="252"/>
        <v>Tetsubo</v>
      </c>
      <c r="CE769" s="1142">
        <f>IF(OR($L767=CE$652,$L767="",$D767=$CG$651),MAX(CE$654:CE768)+1,0)</f>
        <v>0</v>
      </c>
      <c r="CF769" s="1143">
        <f>IF(OR($L767=CF$652,$L767="",$D767=$CG$651),MAX(CF$654:CF768)+1,0)</f>
        <v>0</v>
      </c>
      <c r="CG769" s="1144">
        <f>IF(OR($L767=CG$652,$L767="",$D767=$CG$651),MAX(CG$654:CG768)+1,0)</f>
        <v>114</v>
      </c>
      <c r="CI769" s="774" t="str">
        <f t="shared" si="253"/>
        <v/>
      </c>
      <c r="CJ769" s="76" t="str">
        <f t="shared" si="254"/>
        <v/>
      </c>
      <c r="CK769" s="76" t="str">
        <f t="shared" si="255"/>
        <v>Tetsubo</v>
      </c>
      <c r="CL769" s="1142">
        <f>IF(OR($L767=CL$652,$L767="",$D767=$CN$651),MAX(CL$654:CL768)+1,0)</f>
        <v>0</v>
      </c>
      <c r="CM769" s="1143">
        <f>IF(OR($L767=CM$652,$L767="",$D767=$CN$651),MAX(CM$654:CM768)+1,0)</f>
        <v>0</v>
      </c>
      <c r="CN769" s="1144">
        <f>IF(OR($L767=CN$652,$L767="",$D767=$CN$651),MAX(CN$654:CN768)+1,0)</f>
        <v>114</v>
      </c>
    </row>
    <row r="770" spans="1:92" ht="12.75" customHeight="1">
      <c r="A770" s="219">
        <v>761</v>
      </c>
      <c r="B770" s="7145"/>
      <c r="C770" s="1034"/>
      <c r="D770" s="3876" t="s">
        <v>9622</v>
      </c>
      <c r="E770" s="3877">
        <v>45</v>
      </c>
      <c r="F770" s="3878">
        <v>0</v>
      </c>
      <c r="G770" s="3878">
        <v>4</v>
      </c>
      <c r="H770" s="3878">
        <v>4</v>
      </c>
      <c r="I770" s="3878" t="s">
        <v>1410</v>
      </c>
      <c r="J770" s="3878" t="s">
        <v>1315</v>
      </c>
      <c r="K770" s="3879" t="s">
        <v>6833</v>
      </c>
      <c r="L770" s="3878" t="str">
        <f t="shared" si="224"/>
        <v>Distinta</v>
      </c>
      <c r="M770" s="3880">
        <v>11</v>
      </c>
      <c r="N770" s="3880">
        <v>3</v>
      </c>
      <c r="O770" s="3880">
        <v>40</v>
      </c>
      <c r="P770" s="3878"/>
      <c r="Q770" s="3878"/>
      <c r="R770" s="3878" t="s">
        <v>1315</v>
      </c>
      <c r="S770" s="3878" t="s">
        <v>1315</v>
      </c>
      <c r="T770" s="3878" t="s">
        <v>1315</v>
      </c>
      <c r="U770" s="3878"/>
      <c r="V770" s="3879" t="s">
        <v>12106</v>
      </c>
      <c r="W770" s="3879"/>
      <c r="X770" s="2434" t="str">
        <f t="shared" si="225"/>
        <v>Mediana</v>
      </c>
      <c r="Y770" s="2229">
        <f t="shared" si="226"/>
        <v>0</v>
      </c>
      <c r="Z770" s="1150" t="str">
        <f t="shared" si="228"/>
        <v/>
      </c>
      <c r="AA770" s="1751" t="s">
        <v>2019</v>
      </c>
      <c r="AC770" s="2568" t="s">
        <v>2086</v>
      </c>
      <c r="AD770" s="758">
        <f>IFERROR(IF(IF(AC770&lt;&gt;"",VLOOKUP(AC770,Tabla_ArmasyEscudos,9,0),"")="Conocida",MAX(AD$662:AD769)+1,0),0)</f>
        <v>0</v>
      </c>
      <c r="AE770" s="758">
        <f ca="1">IF(AC770="",0,IF(AD770=0,MAX(AE$654:AE769,AG$652)+1,AD770+IFERROR(VLOOKUP(VLOOKUP(AC770,$D$653:$AA$871,24,0),AC$654:AE$661,3,0)-VLOOKUP(VLOOKUP(AC770,$D$653:$AA$871,24,0),AC$654:AE$661,2,0)+1,0)))</f>
        <v>110</v>
      </c>
      <c r="AF770" s="758" t="str">
        <f t="shared" ca="1" si="229"/>
        <v>Umbra</v>
      </c>
      <c r="AG770" s="758" t="str">
        <f t="shared" ca="1" si="230"/>
        <v/>
      </c>
      <c r="AH770" s="2568"/>
      <c r="AI770" s="758">
        <f>IFERROR(IF(IF(AH770&lt;&gt;"",VLOOKUP(AH770,Tabla_ArmasyEscudos,9,0),"")="Conocida",MAX(AI$660:AI769)+1,0),0)</f>
        <v>0</v>
      </c>
      <c r="AJ770" s="758">
        <f>IF(AH770="",0,IF(AI770=0,MAX(AJ$654:AJ769,AL$652)+1,AI770+IFERROR(VLOOKUP(VLOOKUP(AH770,$D$653:$AA$871,24,0),AH$654:AJ$659,3,0)-VLOOKUP(VLOOKUP(AH770,$D$653:$AA$871,24,0),AH$654:AJ$659,2,0)+1,0)))</f>
        <v>0</v>
      </c>
      <c r="AK770" s="758" t="str">
        <f t="shared" ca="1" si="231"/>
        <v/>
      </c>
      <c r="AL770" s="758" t="str">
        <f t="shared" ca="1" si="232"/>
        <v/>
      </c>
      <c r="AM770" s="2568"/>
      <c r="AN770" s="758">
        <f>IFERROR(IF(IF(AM770&lt;&gt;"",VLOOKUP(AM770,Tabla_ArmasyEscudos,9,0),"")="Conocida",MAX(AN$660:AN769)+1,0),0)</f>
        <v>0</v>
      </c>
      <c r="AO770" s="758">
        <f>IF(AM770="",0,IF(AN770=0,MAX(AO$654:AO769,AQ$652)+1,AN770+IFERROR(VLOOKUP(VLOOKUP(AM770,$D$653:$AA$871,24,0),AM$654:AO$659,3,0)-VLOOKUP(VLOOKUP(AM770,$D$653:$AA$871,24,0),AM$654:AO$659,2,0)+1,0)))</f>
        <v>0</v>
      </c>
      <c r="AP770" s="758" t="str">
        <f t="shared" ca="1" si="233"/>
        <v/>
      </c>
      <c r="AQ770" s="758" t="str">
        <f t="shared" ca="1" si="234"/>
        <v/>
      </c>
      <c r="AR770" s="2568"/>
      <c r="AS770" s="758">
        <f>IFERROR(IF(IF(AR770&lt;&gt;"",VLOOKUP(AR770,Tabla_ArmasyEscudos,9,0),"")="Conocida",MAX(AS$660:AS769)+1,0),0)</f>
        <v>0</v>
      </c>
      <c r="AT770" s="758">
        <f>IF(AR770="",0,IF(AS770=0,MAX(AT$654:AT769,AV$652)+1,AS770+IFERROR(VLOOKUP(VLOOKUP(AR770,$D$653:$AA$871,24,0),AR$654:AT$659,3,0)-VLOOKUP(VLOOKUP(AR770,$D$653:$AA$871,24,0),AR$654:AT$659,2,0)+1,0)))</f>
        <v>0</v>
      </c>
      <c r="AU770" s="758" t="str">
        <f t="shared" ca="1" si="235"/>
        <v/>
      </c>
      <c r="AV770" s="758" t="str">
        <f t="shared" ca="1" si="236"/>
        <v/>
      </c>
      <c r="AX770" s="1141" t="str">
        <f t="shared" si="237"/>
        <v>Tetsubo</v>
      </c>
      <c r="AY770" s="2549"/>
      <c r="AZ770" s="774" t="str">
        <f t="shared" si="238"/>
        <v/>
      </c>
      <c r="BA770" s="76" t="str">
        <f t="shared" si="239"/>
        <v/>
      </c>
      <c r="BB770" s="76" t="str">
        <f t="shared" si="240"/>
        <v>Uchi-ne</v>
      </c>
      <c r="BC770" s="1142">
        <f>IF(OR($L768=BC$652,$L768="",$D768=$BE$651),MAX(BC$654:BC769)+1,0)</f>
        <v>0</v>
      </c>
      <c r="BD770" s="1143">
        <f>IF(OR($L768=BD$652,$L768="",$D768=$BE$651),MAX(BD$654:BD769)+1,0)</f>
        <v>0</v>
      </c>
      <c r="BE770" s="1144">
        <f>IF(OR($L768=BE$652,$L768="",$D768=$BE$651),MAX(BE$654:BE769)+1,0)</f>
        <v>115</v>
      </c>
      <c r="BF770" s="2549"/>
      <c r="BG770" s="774" t="str">
        <f t="shared" si="241"/>
        <v/>
      </c>
      <c r="BH770" s="76" t="str">
        <f t="shared" si="242"/>
        <v/>
      </c>
      <c r="BI770" s="76" t="str">
        <f t="shared" si="243"/>
        <v>Uchi-ne</v>
      </c>
      <c r="BJ770" s="1142">
        <f>IF(OR($L768=BJ$652,$L768="",$D768=$BL$651),MAX(BJ$654:BJ769)+1,0)</f>
        <v>0</v>
      </c>
      <c r="BK770" s="1143">
        <f>IF(OR($L768=BK$652,$L768="",$D768=$BL$651),MAX(BK$654:BK769)+1,0)</f>
        <v>0</v>
      </c>
      <c r="BL770" s="1144">
        <f>IF(OR($L768=BL$652,$L768="",$D768=$BL$651),MAX(BL$654:BL769)+1,0)</f>
        <v>115</v>
      </c>
      <c r="BM770" s="2549"/>
      <c r="BN770" s="774" t="str">
        <f t="shared" si="244"/>
        <v/>
      </c>
      <c r="BO770" s="76" t="str">
        <f t="shared" si="245"/>
        <v/>
      </c>
      <c r="BP770" s="76" t="str">
        <f t="shared" si="246"/>
        <v>Uchi-ne</v>
      </c>
      <c r="BQ770" s="1142">
        <f>IF(OR($L768=BQ$652,$L768="",$D768=$BS$651),MAX(BQ$654:BQ769)+1,0)</f>
        <v>0</v>
      </c>
      <c r="BR770" s="1143">
        <f>IF(OR($L768=BR$652,$L768="",$D768=$BS$651),MAX(BR$654:BR769)+1,0)</f>
        <v>0</v>
      </c>
      <c r="BS770" s="1144">
        <f>IF(OR($L768=BS$652,$L768="",$D768=$BS$651),MAX(BS$654:BS769)+1,0)</f>
        <v>115</v>
      </c>
      <c r="BT770" s="2549"/>
      <c r="BU770" s="774" t="str">
        <f t="shared" si="247"/>
        <v/>
      </c>
      <c r="BV770" s="76" t="str">
        <f t="shared" si="248"/>
        <v/>
      </c>
      <c r="BW770" s="76" t="str">
        <f t="shared" si="249"/>
        <v>Uchi-ne</v>
      </c>
      <c r="BX770" s="1142">
        <f>IF(OR($L768=BX$652,$L768="",$D768=$BZ$651),MAX(BX$654:BX769)+1,0)</f>
        <v>0</v>
      </c>
      <c r="BY770" s="1143">
        <f>IF(OR($L768=BY$652,$L768="",$D768=$BZ$651),MAX(BY$654:BY769)+1,0)</f>
        <v>0</v>
      </c>
      <c r="BZ770" s="1144">
        <f>IF(OR($L768=BZ$652,$L768="",$D768=$BZ$651),MAX(BZ$654:BZ769)+1,0)</f>
        <v>115</v>
      </c>
      <c r="CA770" s="2549"/>
      <c r="CB770" s="774" t="str">
        <f t="shared" si="250"/>
        <v/>
      </c>
      <c r="CC770" s="76" t="str">
        <f t="shared" si="251"/>
        <v/>
      </c>
      <c r="CD770" s="76" t="str">
        <f t="shared" si="252"/>
        <v>Uchi-ne</v>
      </c>
      <c r="CE770" s="1142">
        <f>IF(OR($L768=CE$652,$L768="",$D768=$CG$651),MAX(CE$654:CE769)+1,0)</f>
        <v>0</v>
      </c>
      <c r="CF770" s="1143">
        <f>IF(OR($L768=CF$652,$L768="",$D768=$CG$651),MAX(CF$654:CF769)+1,0)</f>
        <v>0</v>
      </c>
      <c r="CG770" s="1144">
        <f>IF(OR($L768=CG$652,$L768="",$D768=$CG$651),MAX(CG$654:CG769)+1,0)</f>
        <v>115</v>
      </c>
      <c r="CI770" s="774" t="str">
        <f t="shared" si="253"/>
        <v/>
      </c>
      <c r="CJ770" s="76" t="str">
        <f t="shared" si="254"/>
        <v/>
      </c>
      <c r="CK770" s="76" t="str">
        <f t="shared" si="255"/>
        <v>Uchi-ne</v>
      </c>
      <c r="CL770" s="1142">
        <f>IF(OR($L768=CL$652,$L768="",$D768=$CN$651),MAX(CL$654:CL769)+1,0)</f>
        <v>0</v>
      </c>
      <c r="CM770" s="1143">
        <f>IF(OR($L768=CM$652,$L768="",$D768=$CN$651),MAX(CM$654:CM769)+1,0)</f>
        <v>0</v>
      </c>
      <c r="CN770" s="1144">
        <f>IF(OR($L768=CN$652,$L768="",$D768=$CN$651),MAX(CN$654:CN769)+1,0)</f>
        <v>115</v>
      </c>
    </row>
    <row r="771" spans="1:92" ht="12.75" customHeight="1">
      <c r="A771" s="219">
        <v>762</v>
      </c>
      <c r="B771" s="7145"/>
      <c r="C771" s="1034"/>
      <c r="D771" s="2237" t="s">
        <v>2040</v>
      </c>
      <c r="E771" s="2234"/>
      <c r="F771" s="2234"/>
      <c r="G771" s="2234"/>
      <c r="H771" s="2234"/>
      <c r="I771" s="2234"/>
      <c r="J771" s="2234"/>
      <c r="K771" s="2230" t="s">
        <v>6828</v>
      </c>
      <c r="L771" s="2236"/>
      <c r="M771" s="2234"/>
      <c r="N771" s="2234"/>
      <c r="O771" s="2234"/>
      <c r="P771" s="2234"/>
      <c r="Q771" s="2234"/>
      <c r="R771" s="2234"/>
      <c r="S771" s="2234"/>
      <c r="T771" s="2234"/>
      <c r="U771" s="2234"/>
      <c r="V771" s="2230"/>
      <c r="W771" s="2230"/>
      <c r="X771" s="2231"/>
      <c r="Y771" s="1037"/>
      <c r="Z771" s="1150" t="str">
        <f t="shared" si="228"/>
        <v/>
      </c>
      <c r="AA771" s="1751"/>
      <c r="AC771" s="929" t="s">
        <v>2092</v>
      </c>
      <c r="AD771" s="758">
        <f>IFERROR(IF(IF(AC771&lt;&gt;"",VLOOKUP(AC771,Tabla_ArmasyEscudos,9,0),"")="Conocida",MAX(AD$662:AD770)+1,0),0)</f>
        <v>0</v>
      </c>
      <c r="AE771" s="758">
        <f ca="1">IF(AC771="",0,IF(AD771=0,MAX(AE$654:AE770,AG$652)+1,AD771+IFERROR(VLOOKUP(VLOOKUP(AC771,$D$653:$AA$871,24,0),AC$654:AE$661,3,0)-VLOOKUP(VLOOKUP(AC771,$D$653:$AA$871,24,0),AC$654:AE$661,2,0)+1,0)))</f>
        <v>111</v>
      </c>
      <c r="AF771" s="758" t="str">
        <f t="shared" ca="1" si="229"/>
        <v>Virgo (Viento pequeño)</v>
      </c>
      <c r="AG771" s="758" t="str">
        <f t="shared" ca="1" si="230"/>
        <v/>
      </c>
      <c r="AH771" s="2568"/>
      <c r="AI771" s="758">
        <f>IFERROR(IF(IF(AH771&lt;&gt;"",VLOOKUP(AH771,Tabla_ArmasyEscudos,9,0),"")="Conocida",MAX(AI$660:AI770)+1,0),0)</f>
        <v>0</v>
      </c>
      <c r="AJ771" s="758">
        <f>IF(AH771="",0,IF(AI771=0,MAX(AJ$654:AJ770,AL$652)+1,AI771+IFERROR(VLOOKUP(VLOOKUP(AH771,$D$653:$AA$871,24,0),AH$654:AJ$659,3,0)-VLOOKUP(VLOOKUP(AH771,$D$653:$AA$871,24,0),AH$654:AJ$659,2,0)+1,0)))</f>
        <v>0</v>
      </c>
      <c r="AK771" s="758" t="str">
        <f t="shared" ca="1" si="231"/>
        <v/>
      </c>
      <c r="AL771" s="758" t="str">
        <f t="shared" ca="1" si="232"/>
        <v/>
      </c>
      <c r="AM771" s="2568"/>
      <c r="AN771" s="758">
        <f>IFERROR(IF(IF(AM771&lt;&gt;"",VLOOKUP(AM771,Tabla_ArmasyEscudos,9,0),"")="Conocida",MAX(AN$660:AN770)+1,0),0)</f>
        <v>0</v>
      </c>
      <c r="AO771" s="758">
        <f>IF(AM771="",0,IF(AN771=0,MAX(AO$654:AO770,AQ$652)+1,AN771+IFERROR(VLOOKUP(VLOOKUP(AM771,$D$653:$AA$871,24,0),AM$654:AO$659,3,0)-VLOOKUP(VLOOKUP(AM771,$D$653:$AA$871,24,0),AM$654:AO$659,2,0)+1,0)))</f>
        <v>0</v>
      </c>
      <c r="AP771" s="758" t="str">
        <f t="shared" ca="1" si="233"/>
        <v/>
      </c>
      <c r="AQ771" s="758" t="str">
        <f t="shared" ca="1" si="234"/>
        <v/>
      </c>
      <c r="AR771" s="2568"/>
      <c r="AS771" s="758">
        <f>IFERROR(IF(IF(AR771&lt;&gt;"",VLOOKUP(AR771,Tabla_ArmasyEscudos,9,0),"")="Conocida",MAX(AS$660:AS770)+1,0),0)</f>
        <v>0</v>
      </c>
      <c r="AT771" s="758">
        <f>IF(AR771="",0,IF(AS771=0,MAX(AT$654:AT770,AV$652)+1,AS771+IFERROR(VLOOKUP(VLOOKUP(AR771,$D$653:$AA$871,24,0),AR$654:AT$659,3,0)-VLOOKUP(VLOOKUP(AR771,$D$653:$AA$871,24,0),AR$654:AT$659,2,0)+1,0)))</f>
        <v>0</v>
      </c>
      <c r="AU771" s="758" t="str">
        <f t="shared" ca="1" si="235"/>
        <v/>
      </c>
      <c r="AV771" s="758" t="str">
        <f t="shared" ca="1" si="236"/>
        <v/>
      </c>
      <c r="AX771" s="1141" t="str">
        <f t="shared" si="237"/>
        <v>Uchi-ne</v>
      </c>
      <c r="AY771" s="2549"/>
      <c r="AZ771" s="774" t="str">
        <f t="shared" si="238"/>
        <v/>
      </c>
      <c r="BA771" s="76" t="str">
        <f t="shared" si="239"/>
        <v/>
      </c>
      <c r="BB771" s="76" t="str">
        <f t="shared" si="240"/>
        <v>Wakizashi</v>
      </c>
      <c r="BC771" s="1142">
        <f>IF(OR($L769=BC$652,$L769="",$D769=$BE$651),MAX(BC$654:BC770)+1,0)</f>
        <v>0</v>
      </c>
      <c r="BD771" s="1143">
        <f>IF(OR($L769=BD$652,$L769="",$D769=$BE$651),MAX(BD$654:BD770)+1,0)</f>
        <v>0</v>
      </c>
      <c r="BE771" s="1144">
        <f>IF(OR($L769=BE$652,$L769="",$D769=$BE$651),MAX(BE$654:BE770)+1,0)</f>
        <v>116</v>
      </c>
      <c r="BF771" s="2549"/>
      <c r="BG771" s="774" t="str">
        <f t="shared" si="241"/>
        <v/>
      </c>
      <c r="BH771" s="76" t="str">
        <f t="shared" si="242"/>
        <v/>
      </c>
      <c r="BI771" s="76" t="str">
        <f t="shared" si="243"/>
        <v>Wakizashi</v>
      </c>
      <c r="BJ771" s="1142">
        <f>IF(OR($L769=BJ$652,$L769="",$D769=$BL$651),MAX(BJ$654:BJ770)+1,0)</f>
        <v>0</v>
      </c>
      <c r="BK771" s="1143">
        <f>IF(OR($L769=BK$652,$L769="",$D769=$BL$651),MAX(BK$654:BK770)+1,0)</f>
        <v>0</v>
      </c>
      <c r="BL771" s="1144">
        <f>IF(OR($L769=BL$652,$L769="",$D769=$BL$651),MAX(BL$654:BL770)+1,0)</f>
        <v>116</v>
      </c>
      <c r="BM771" s="2549"/>
      <c r="BN771" s="774" t="str">
        <f t="shared" si="244"/>
        <v/>
      </c>
      <c r="BO771" s="76" t="str">
        <f t="shared" si="245"/>
        <v/>
      </c>
      <c r="BP771" s="76" t="str">
        <f t="shared" si="246"/>
        <v>Wakizashi</v>
      </c>
      <c r="BQ771" s="1142">
        <f>IF(OR($L769=BQ$652,$L769="",$D769=$BS$651),MAX(BQ$654:BQ770)+1,0)</f>
        <v>0</v>
      </c>
      <c r="BR771" s="1143">
        <f>IF(OR($L769=BR$652,$L769="",$D769=$BS$651),MAX(BR$654:BR770)+1,0)</f>
        <v>0</v>
      </c>
      <c r="BS771" s="1144">
        <f>IF(OR($L769=BS$652,$L769="",$D769=$BS$651),MAX(BS$654:BS770)+1,0)</f>
        <v>116</v>
      </c>
      <c r="BT771" s="2549"/>
      <c r="BU771" s="774" t="str">
        <f t="shared" si="247"/>
        <v/>
      </c>
      <c r="BV771" s="76" t="str">
        <f t="shared" si="248"/>
        <v/>
      </c>
      <c r="BW771" s="76" t="str">
        <f t="shared" si="249"/>
        <v>Wakizashi</v>
      </c>
      <c r="BX771" s="1142">
        <f>IF(OR($L769=BX$652,$L769="",$D769=$BZ$651),MAX(BX$654:BX770)+1,0)</f>
        <v>0</v>
      </c>
      <c r="BY771" s="1143">
        <f>IF(OR($L769=BY$652,$L769="",$D769=$BZ$651),MAX(BY$654:BY770)+1,0)</f>
        <v>0</v>
      </c>
      <c r="BZ771" s="1144">
        <f>IF(OR($L769=BZ$652,$L769="",$D769=$BZ$651),MAX(BZ$654:BZ770)+1,0)</f>
        <v>116</v>
      </c>
      <c r="CA771" s="2549"/>
      <c r="CB771" s="774" t="str">
        <f t="shared" si="250"/>
        <v/>
      </c>
      <c r="CC771" s="76" t="str">
        <f t="shared" si="251"/>
        <v/>
      </c>
      <c r="CD771" s="76" t="str">
        <f t="shared" si="252"/>
        <v>Wakizashi</v>
      </c>
      <c r="CE771" s="1142">
        <f>IF(OR($L769=CE$652,$L769="",$D769=$CG$651),MAX(CE$654:CE770)+1,0)</f>
        <v>0</v>
      </c>
      <c r="CF771" s="1143">
        <f>IF(OR($L769=CF$652,$L769="",$D769=$CG$651),MAX(CF$654:CF770)+1,0)</f>
        <v>0</v>
      </c>
      <c r="CG771" s="1144">
        <f>IF(OR($L769=CG$652,$L769="",$D769=$CG$651),MAX(CG$654:CG770)+1,0)</f>
        <v>116</v>
      </c>
      <c r="CI771" s="774" t="str">
        <f t="shared" si="253"/>
        <v/>
      </c>
      <c r="CJ771" s="76" t="str">
        <f t="shared" si="254"/>
        <v/>
      </c>
      <c r="CK771" s="76" t="str">
        <f t="shared" si="255"/>
        <v>Wakizashi</v>
      </c>
      <c r="CL771" s="1142">
        <f>IF(OR($L769=CL$652,$L769="",$D769=$CN$651),MAX(CL$654:CL770)+1,0)</f>
        <v>0</v>
      </c>
      <c r="CM771" s="1143">
        <f>IF(OR($L769=CM$652,$L769="",$D769=$CN$651),MAX(CM$654:CM770)+1,0)</f>
        <v>0</v>
      </c>
      <c r="CN771" s="1144">
        <f>IF(OR($L769=CN$652,$L769="",$D769=$CN$651),MAX(CN$654:CN770)+1,0)</f>
        <v>116</v>
      </c>
    </row>
    <row r="772" spans="1:92" ht="12.75" customHeight="1">
      <c r="A772" s="219">
        <v>763</v>
      </c>
      <c r="B772" s="7145"/>
      <c r="C772" s="1034"/>
      <c r="D772" s="2237" t="s">
        <v>8107</v>
      </c>
      <c r="E772" s="2236">
        <v>0</v>
      </c>
      <c r="F772" s="2236">
        <v>-20</v>
      </c>
      <c r="G772" s="2236">
        <v>6</v>
      </c>
      <c r="H772" s="2236">
        <v>6</v>
      </c>
      <c r="I772" s="2236" t="s">
        <v>1315</v>
      </c>
      <c r="J772" s="2236" t="s">
        <v>1315</v>
      </c>
      <c r="K772" s="2433" t="s">
        <v>6848</v>
      </c>
      <c r="L772" s="2236" t="str">
        <f t="shared" ref="L772:L777" si="256">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240">
        <v>9</v>
      </c>
      <c r="N772" s="2240">
        <v>-3</v>
      </c>
      <c r="O772" s="2240">
        <v>20</v>
      </c>
      <c r="P772" s="2236"/>
      <c r="Q772" s="2236"/>
      <c r="R772" s="2236" t="s">
        <v>1315</v>
      </c>
      <c r="S772" s="2236">
        <v>4</v>
      </c>
      <c r="T772" s="2236">
        <v>80</v>
      </c>
      <c r="U772" s="2241">
        <v>11</v>
      </c>
      <c r="V772" s="2433" t="s">
        <v>2029</v>
      </c>
      <c r="W772" s="2433"/>
      <c r="X772" s="2274" t="s">
        <v>9679</v>
      </c>
      <c r="Y772" s="2229">
        <f>VLOOKUP(U772,Tabla_BonoStats,2)</f>
        <v>20</v>
      </c>
      <c r="Z772" s="1150" t="str">
        <f t="shared" si="228"/>
        <v/>
      </c>
      <c r="AA772" s="1751" t="s">
        <v>2040</v>
      </c>
      <c r="AC772" s="2568" t="s">
        <v>2089</v>
      </c>
      <c r="AD772" s="758">
        <f>IFERROR(IF(IF(AC772&lt;&gt;"",VLOOKUP(AC772,Tabla_ArmasyEscudos,9,0),"")="Conocida",MAX(AD$662:AD771)+1,0),0)</f>
        <v>0</v>
      </c>
      <c r="AE772" s="758">
        <f ca="1">IF(AC772="",0,IF(AD772=0,MAX(AE$654:AE771,AG$652)+1,AD772+IFERROR(VLOOKUP(VLOOKUP(AC772,$D$653:$AA$871,24,0),AC$654:AE$661,3,0)-VLOOKUP(VLOOKUP(AC772,$D$653:$AA$871,24,0),AC$654:AE$661,2,0)+1,0)))</f>
        <v>112</v>
      </c>
      <c r="AF772" s="758" t="str">
        <f t="shared" ca="1" si="229"/>
        <v>Virgo (Viento grande)</v>
      </c>
      <c r="AG772" s="758" t="str">
        <f t="shared" ca="1" si="230"/>
        <v/>
      </c>
      <c r="AH772" s="2568"/>
      <c r="AI772" s="758">
        <f>IFERROR(IF(IF(AH772&lt;&gt;"",VLOOKUP(AH772,Tabla_ArmasyEscudos,9,0),"")="Conocida",MAX(AI$660:AI771)+1,0),0)</f>
        <v>0</v>
      </c>
      <c r="AJ772" s="758">
        <f>IF(AH772="",0,IF(AI772=0,MAX(AJ$654:AJ771,AL$652)+1,AI772+IFERROR(VLOOKUP(VLOOKUP(AH772,$D$653:$AA$871,24,0),AH$654:AJ$659,3,0)-VLOOKUP(VLOOKUP(AH772,$D$653:$AA$871,24,0),AH$654:AJ$659,2,0)+1,0)))</f>
        <v>0</v>
      </c>
      <c r="AK772" s="758" t="str">
        <f t="shared" ca="1" si="231"/>
        <v/>
      </c>
      <c r="AL772" s="758" t="str">
        <f t="shared" ca="1" si="232"/>
        <v/>
      </c>
      <c r="AM772" s="2568"/>
      <c r="AN772" s="758">
        <f>IFERROR(IF(IF(AM772&lt;&gt;"",VLOOKUP(AM772,Tabla_ArmasyEscudos,9,0),"")="Conocida",MAX(AN$660:AN771)+1,0),0)</f>
        <v>0</v>
      </c>
      <c r="AO772" s="758">
        <f>IF(AM772="",0,IF(AN772=0,MAX(AO$654:AO771,AQ$652)+1,AN772+IFERROR(VLOOKUP(VLOOKUP(AM772,$D$653:$AA$871,24,0),AM$654:AO$659,3,0)-VLOOKUP(VLOOKUP(AM772,$D$653:$AA$871,24,0),AM$654:AO$659,2,0)+1,0)))</f>
        <v>0</v>
      </c>
      <c r="AP772" s="758" t="str">
        <f t="shared" ca="1" si="233"/>
        <v/>
      </c>
      <c r="AQ772" s="758" t="str">
        <f t="shared" ca="1" si="234"/>
        <v/>
      </c>
      <c r="AR772" s="2568"/>
      <c r="AS772" s="758">
        <f>IFERROR(IF(IF(AR772&lt;&gt;"",VLOOKUP(AR772,Tabla_ArmasyEscudos,9,0),"")="Conocida",MAX(AS$660:AS771)+1,0),0)</f>
        <v>0</v>
      </c>
      <c r="AT772" s="758">
        <f>IF(AR772="",0,IF(AS772=0,MAX(AT$654:AT771,AV$652)+1,AS772+IFERROR(VLOOKUP(VLOOKUP(AR772,$D$653:$AA$871,24,0),AR$654:AT$659,3,0)-VLOOKUP(VLOOKUP(AR772,$D$653:$AA$871,24,0),AR$654:AT$659,2,0)+1,0)))</f>
        <v>0</v>
      </c>
      <c r="AU772" s="758" t="str">
        <f t="shared" ca="1" si="235"/>
        <v/>
      </c>
      <c r="AV772" s="758" t="str">
        <f t="shared" ca="1" si="236"/>
        <v/>
      </c>
      <c r="AX772" s="1141" t="str">
        <f t="shared" si="237"/>
        <v>Wakizashi</v>
      </c>
      <c r="AY772" s="2549"/>
      <c r="AZ772" s="774" t="str">
        <f t="shared" si="238"/>
        <v/>
      </c>
      <c r="BA772" s="76" t="str">
        <f t="shared" si="239"/>
        <v/>
      </c>
      <c r="BB772" s="76" t="str">
        <f t="shared" si="240"/>
        <v>&gt; A. DE PROYECTILES</v>
      </c>
      <c r="BC772" s="1142">
        <f>IF(OR($L770=BC$652,$L770="",$D770=$BE$651),MAX(BC$654:BC771)+1,0)</f>
        <v>0</v>
      </c>
      <c r="BD772" s="1143">
        <f>IF(OR($L770=BD$652,$L770="",$D770=$BE$651),MAX(BD$654:BD771)+1,0)</f>
        <v>0</v>
      </c>
      <c r="BE772" s="1144">
        <f>IF(OR($L770=BE$652,$L770="",$D770=$BE$651),MAX(BE$654:BE771)+1,0)</f>
        <v>117</v>
      </c>
      <c r="BF772" s="2549"/>
      <c r="BG772" s="774" t="str">
        <f t="shared" si="241"/>
        <v/>
      </c>
      <c r="BH772" s="76" t="str">
        <f t="shared" si="242"/>
        <v/>
      </c>
      <c r="BI772" s="76" t="str">
        <f t="shared" si="243"/>
        <v>&gt; A. DE PROYECTILES</v>
      </c>
      <c r="BJ772" s="1142">
        <f>IF(OR($L770=BJ$652,$L770="",$D770=$BL$651),MAX(BJ$654:BJ771)+1,0)</f>
        <v>0</v>
      </c>
      <c r="BK772" s="1143">
        <f>IF(OR($L770=BK$652,$L770="",$D770=$BL$651),MAX(BK$654:BK771)+1,0)</f>
        <v>0</v>
      </c>
      <c r="BL772" s="1144">
        <f>IF(OR($L770=BL$652,$L770="",$D770=$BL$651),MAX(BL$654:BL771)+1,0)</f>
        <v>117</v>
      </c>
      <c r="BM772" s="2549"/>
      <c r="BN772" s="774" t="str">
        <f t="shared" si="244"/>
        <v/>
      </c>
      <c r="BO772" s="76" t="str">
        <f t="shared" si="245"/>
        <v/>
      </c>
      <c r="BP772" s="76" t="str">
        <f t="shared" si="246"/>
        <v>&gt; A. DE PROYECTILES</v>
      </c>
      <c r="BQ772" s="1142">
        <f>IF(OR($L770=BQ$652,$L770="",$D770=$BS$651),MAX(BQ$654:BQ771)+1,0)</f>
        <v>0</v>
      </c>
      <c r="BR772" s="1143">
        <f>IF(OR($L770=BR$652,$L770="",$D770=$BS$651),MAX(BR$654:BR771)+1,0)</f>
        <v>0</v>
      </c>
      <c r="BS772" s="1144">
        <f>IF(OR($L770=BS$652,$L770="",$D770=$BS$651),MAX(BS$654:BS771)+1,0)</f>
        <v>117</v>
      </c>
      <c r="BT772" s="2549"/>
      <c r="BU772" s="774" t="str">
        <f t="shared" si="247"/>
        <v/>
      </c>
      <c r="BV772" s="76" t="str">
        <f t="shared" si="248"/>
        <v/>
      </c>
      <c r="BW772" s="76" t="str">
        <f t="shared" si="249"/>
        <v>&gt; A. DE PROYECTILES</v>
      </c>
      <c r="BX772" s="1142">
        <f>IF(OR($L770=BX$652,$L770="",$D770=$BZ$651),MAX(BX$654:BX771)+1,0)</f>
        <v>0</v>
      </c>
      <c r="BY772" s="1143">
        <f>IF(OR($L770=BY$652,$L770="",$D770=$BZ$651),MAX(BY$654:BY771)+1,0)</f>
        <v>0</v>
      </c>
      <c r="BZ772" s="1144">
        <f>IF(OR($L770=BZ$652,$L770="",$D770=$BZ$651),MAX(BZ$654:BZ771)+1,0)</f>
        <v>117</v>
      </c>
      <c r="CA772" s="2549"/>
      <c r="CB772" s="774" t="str">
        <f t="shared" si="250"/>
        <v/>
      </c>
      <c r="CC772" s="76" t="str">
        <f t="shared" si="251"/>
        <v/>
      </c>
      <c r="CD772" s="76" t="str">
        <f t="shared" si="252"/>
        <v>&gt; A. DE PROYECTILES</v>
      </c>
      <c r="CE772" s="1142">
        <f>IF(OR($L770=CE$652,$L770="",$D770=$CG$651),MAX(CE$654:CE771)+1,0)</f>
        <v>0</v>
      </c>
      <c r="CF772" s="1143">
        <f>IF(OR($L770=CF$652,$L770="",$D770=$CG$651),MAX(CF$654:CF771)+1,0)</f>
        <v>0</v>
      </c>
      <c r="CG772" s="1144">
        <f>IF(OR($L770=CG$652,$L770="",$D770=$CG$651),MAX(CG$654:CG771)+1,0)</f>
        <v>117</v>
      </c>
      <c r="CI772" s="774" t="str">
        <f t="shared" si="253"/>
        <v/>
      </c>
      <c r="CJ772" s="76" t="str">
        <f t="shared" si="254"/>
        <v/>
      </c>
      <c r="CK772" s="76" t="str">
        <f t="shared" si="255"/>
        <v>&gt; A. DE PROYECTILES</v>
      </c>
      <c r="CL772" s="1142">
        <f>IF(OR($L770=CL$652,$L770="",$D770=$CN$651),MAX(CL$654:CL771)+1,0)</f>
        <v>0</v>
      </c>
      <c r="CM772" s="1143">
        <f>IF(OR($L770=CM$652,$L770="",$D770=$CN$651),MAX(CM$654:CM771)+1,0)</f>
        <v>0</v>
      </c>
      <c r="CN772" s="1144">
        <f>IF(OR($L770=CN$652,$L770="",$D770=$CN$651),MAX(CN$654:CN771)+1,0)</f>
        <v>117</v>
      </c>
    </row>
    <row r="773" spans="1:92" ht="12.75" customHeight="1">
      <c r="A773" s="219">
        <v>764</v>
      </c>
      <c r="B773" s="7145"/>
      <c r="C773" s="1034"/>
      <c r="D773" s="2237" t="s">
        <v>2041</v>
      </c>
      <c r="E773" s="2236">
        <v>0</v>
      </c>
      <c r="F773" s="2236">
        <v>-30</v>
      </c>
      <c r="G773" s="2236" t="s">
        <v>1315</v>
      </c>
      <c r="H773" s="2236">
        <v>7</v>
      </c>
      <c r="I773" s="2236" t="s">
        <v>1315</v>
      </c>
      <c r="J773" s="2236" t="s">
        <v>1315</v>
      </c>
      <c r="K773" s="2433" t="s">
        <v>6848</v>
      </c>
      <c r="L773" s="2236" t="str">
        <f t="shared" si="256"/>
        <v>Distinta</v>
      </c>
      <c r="M773" s="2240">
        <v>8</v>
      </c>
      <c r="N773" s="2240">
        <v>-2</v>
      </c>
      <c r="O773" s="2240">
        <v>25</v>
      </c>
      <c r="P773" s="2236"/>
      <c r="Q773" s="2236"/>
      <c r="R773" s="2236" t="s">
        <v>1315</v>
      </c>
      <c r="S773" s="2236">
        <v>1</v>
      </c>
      <c r="T773" s="2236">
        <v>90</v>
      </c>
      <c r="U773" s="2236"/>
      <c r="V773" s="2433" t="s">
        <v>1438</v>
      </c>
      <c r="W773" s="2433"/>
      <c r="X773" s="2274" t="s">
        <v>1821</v>
      </c>
      <c r="Y773" s="2229">
        <f>Bono_Fue</f>
        <v>0</v>
      </c>
      <c r="Z773" s="1150" t="str">
        <f t="shared" si="228"/>
        <v/>
      </c>
      <c r="AA773" s="1751" t="s">
        <v>2040</v>
      </c>
      <c r="AC773" s="2568" t="s">
        <v>6652</v>
      </c>
      <c r="AD773" s="758">
        <f>IFERROR(IF(IF(AC773&lt;&gt;"",VLOOKUP(AC773,Tabla_ArmasyEscudos,9,0),"")="Conocida",MAX(AD$662:AD772)+1,0),0)</f>
        <v>0</v>
      </c>
      <c r="AE773" s="758">
        <f ca="1">IF(AC773="",0,IF(AD773=0,MAX(AE$654:AE772,AG$652)+1,AD773+IFERROR(VLOOKUP(VLOOKUP(AC773,$D$653:$AA$871,24,0),AC$654:AE$661,3,0)-VLOOKUP(VLOOKUP(AC773,$D$653:$AA$871,24,0),AC$654:AE$661,2,0)+1,0)))</f>
        <v>113</v>
      </c>
      <c r="AF773" s="758" t="str">
        <f t="shared" ca="1" si="229"/>
        <v>Virgo (Cuerda)</v>
      </c>
      <c r="AG773" s="758" t="str">
        <f t="shared" ca="1" si="230"/>
        <v/>
      </c>
      <c r="AH773" s="2568"/>
      <c r="AI773" s="758">
        <f>IFERROR(IF(IF(AH773&lt;&gt;"",VLOOKUP(AH773,Tabla_ArmasyEscudos,9,0),"")="Conocida",MAX(AI$660:AI772)+1,0),0)</f>
        <v>0</v>
      </c>
      <c r="AJ773" s="758">
        <f>IF(AH773="",0,IF(AI773=0,MAX(AJ$654:AJ772,AL$652)+1,AI773+IFERROR(VLOOKUP(VLOOKUP(AH773,$D$653:$AA$871,24,0),AH$654:AJ$659,3,0)-VLOOKUP(VLOOKUP(AH773,$D$653:$AA$871,24,0),AH$654:AJ$659,2,0)+1,0)))</f>
        <v>0</v>
      </c>
      <c r="AK773" s="758" t="str">
        <f t="shared" ca="1" si="231"/>
        <v/>
      </c>
      <c r="AL773" s="758" t="str">
        <f t="shared" ca="1" si="232"/>
        <v/>
      </c>
      <c r="AM773" s="2568"/>
      <c r="AN773" s="758">
        <f>IFERROR(IF(IF(AM773&lt;&gt;"",VLOOKUP(AM773,Tabla_ArmasyEscudos,9,0),"")="Conocida",MAX(AN$660:AN772)+1,0),0)</f>
        <v>0</v>
      </c>
      <c r="AO773" s="758">
        <f>IF(AM773="",0,IF(AN773=0,MAX(AO$654:AO772,AQ$652)+1,AN773+IFERROR(VLOOKUP(VLOOKUP(AM773,$D$653:$AA$871,24,0),AM$654:AO$659,3,0)-VLOOKUP(VLOOKUP(AM773,$D$653:$AA$871,24,0),AM$654:AO$659,2,0)+1,0)))</f>
        <v>0</v>
      </c>
      <c r="AP773" s="758" t="str">
        <f t="shared" ca="1" si="233"/>
        <v/>
      </c>
      <c r="AQ773" s="758" t="str">
        <f t="shared" ca="1" si="234"/>
        <v/>
      </c>
      <c r="AR773" s="2568"/>
      <c r="AS773" s="758">
        <f>IFERROR(IF(IF(AR773&lt;&gt;"",VLOOKUP(AR773,Tabla_ArmasyEscudos,9,0),"")="Conocida",MAX(AS$660:AS772)+1,0),0)</f>
        <v>0</v>
      </c>
      <c r="AT773" s="758">
        <f>IF(AR773="",0,IF(AS773=0,MAX(AT$654:AT772,AV$652)+1,AS773+IFERROR(VLOOKUP(VLOOKUP(AR773,$D$653:$AA$871,24,0),AR$654:AT$659,3,0)-VLOOKUP(VLOOKUP(AR773,$D$653:$AA$871,24,0),AR$654:AT$659,2,0)+1,0)))</f>
        <v>0</v>
      </c>
      <c r="AU773" s="758" t="str">
        <f t="shared" ca="1" si="235"/>
        <v/>
      </c>
      <c r="AV773" s="758" t="str">
        <f t="shared" ca="1" si="236"/>
        <v/>
      </c>
      <c r="AX773" s="1141" t="str">
        <f t="shared" si="237"/>
        <v>&gt; A. DE PROYECTILES</v>
      </c>
      <c r="AY773" s="2549"/>
      <c r="AZ773" s="774" t="str">
        <f t="shared" si="238"/>
        <v/>
      </c>
      <c r="BA773" s="76" t="str">
        <f t="shared" si="239"/>
        <v/>
      </c>
      <c r="BB773" s="76" t="str">
        <f t="shared" si="240"/>
        <v>Arcabuz</v>
      </c>
      <c r="BC773" s="1142">
        <f>IF(OR($L771=BC$652,$L771="",$D771=$BE$651),MAX(BC$654:BC772)+1,0)</f>
        <v>4</v>
      </c>
      <c r="BD773" s="1143">
        <f>IF(OR($L771=BD$652,$L771="",$D771=$BE$651),MAX(BD$654:BD772)+1,0)</f>
        <v>4</v>
      </c>
      <c r="BE773" s="1144">
        <f>IF(OR($L771=BE$652,$L771="",$D771=$BE$651),MAX(BE$654:BE772)+1,0)</f>
        <v>118</v>
      </c>
      <c r="BF773" s="2549"/>
      <c r="BG773" s="774" t="str">
        <f t="shared" si="241"/>
        <v/>
      </c>
      <c r="BH773" s="76" t="str">
        <f t="shared" si="242"/>
        <v/>
      </c>
      <c r="BI773" s="76" t="str">
        <f t="shared" si="243"/>
        <v>Arcabuz</v>
      </c>
      <c r="BJ773" s="1142">
        <f>IF(OR($L771=BJ$652,$L771="",$D771=$BL$651),MAX(BJ$654:BJ772)+1,0)</f>
        <v>4</v>
      </c>
      <c r="BK773" s="1143">
        <f>IF(OR($L771=BK$652,$L771="",$D771=$BL$651),MAX(BK$654:BK772)+1,0)</f>
        <v>4</v>
      </c>
      <c r="BL773" s="1144">
        <f>IF(OR($L771=BL$652,$L771="",$D771=$BL$651),MAX(BL$654:BL772)+1,0)</f>
        <v>118</v>
      </c>
      <c r="BM773" s="2549"/>
      <c r="BN773" s="774" t="str">
        <f t="shared" si="244"/>
        <v/>
      </c>
      <c r="BO773" s="76" t="str">
        <f t="shared" si="245"/>
        <v/>
      </c>
      <c r="BP773" s="76" t="str">
        <f t="shared" si="246"/>
        <v>Arcabuz</v>
      </c>
      <c r="BQ773" s="1142">
        <f>IF(OR($L771=BQ$652,$L771="",$D771=$BS$651),MAX(BQ$654:BQ772)+1,0)</f>
        <v>4</v>
      </c>
      <c r="BR773" s="1143">
        <f>IF(OR($L771=BR$652,$L771="",$D771=$BS$651),MAX(BR$654:BR772)+1,0)</f>
        <v>4</v>
      </c>
      <c r="BS773" s="1144">
        <f>IF(OR($L771=BS$652,$L771="",$D771=$BS$651),MAX(BS$654:BS772)+1,0)</f>
        <v>118</v>
      </c>
      <c r="BT773" s="2549"/>
      <c r="BU773" s="774" t="str">
        <f t="shared" si="247"/>
        <v/>
      </c>
      <c r="BV773" s="76" t="str">
        <f t="shared" si="248"/>
        <v/>
      </c>
      <c r="BW773" s="76" t="str">
        <f t="shared" si="249"/>
        <v>Arcabuz</v>
      </c>
      <c r="BX773" s="1142">
        <f>IF(OR($L771=BX$652,$L771="",$D771=$BZ$651),MAX(BX$654:BX772)+1,0)</f>
        <v>4</v>
      </c>
      <c r="BY773" s="1143">
        <f>IF(OR($L771=BY$652,$L771="",$D771=$BZ$651),MAX(BY$654:BY772)+1,0)</f>
        <v>4</v>
      </c>
      <c r="BZ773" s="1144">
        <f>IF(OR($L771=BZ$652,$L771="",$D771=$BZ$651),MAX(BZ$654:BZ772)+1,0)</f>
        <v>118</v>
      </c>
      <c r="CA773" s="2549"/>
      <c r="CB773" s="774" t="str">
        <f t="shared" si="250"/>
        <v/>
      </c>
      <c r="CC773" s="76" t="str">
        <f t="shared" si="251"/>
        <v/>
      </c>
      <c r="CD773" s="76" t="str">
        <f t="shared" si="252"/>
        <v>Arcabuz</v>
      </c>
      <c r="CE773" s="1142">
        <f>IF(OR($L771=CE$652,$L771="",$D771=$CG$651),MAX(CE$654:CE772)+1,0)</f>
        <v>4</v>
      </c>
      <c r="CF773" s="1143">
        <f>IF(OR($L771=CF$652,$L771="",$D771=$CG$651),MAX(CF$654:CF772)+1,0)</f>
        <v>4</v>
      </c>
      <c r="CG773" s="1144">
        <f>IF(OR($L771=CG$652,$L771="",$D771=$CG$651),MAX(CG$654:CG772)+1,0)</f>
        <v>118</v>
      </c>
      <c r="CI773" s="774" t="str">
        <f t="shared" si="253"/>
        <v/>
      </c>
      <c r="CJ773" s="76" t="str">
        <f t="shared" si="254"/>
        <v/>
      </c>
      <c r="CK773" s="76" t="str">
        <f t="shared" si="255"/>
        <v>Arcabuz</v>
      </c>
      <c r="CL773" s="1142">
        <f>IF(OR($L771=CL$652,$L771="",$D771=$CN$651),MAX(CL$654:CL772)+1,0)</f>
        <v>4</v>
      </c>
      <c r="CM773" s="1143">
        <f>IF(OR($L771=CM$652,$L771="",$D771=$CN$651),MAX(CM$654:CM772)+1,0)</f>
        <v>4</v>
      </c>
      <c r="CN773" s="1144">
        <f>IF(OR($L771=CN$652,$L771="",$D771=$CN$651),MAX(CN$654:CN772)+1,0)</f>
        <v>118</v>
      </c>
    </row>
    <row r="774" spans="1:92" ht="12.75" customHeight="1">
      <c r="A774" s="219">
        <v>765</v>
      </c>
      <c r="B774" s="7145"/>
      <c r="C774" s="1034"/>
      <c r="D774" s="2237" t="s">
        <v>2043</v>
      </c>
      <c r="E774" s="2236">
        <v>0</v>
      </c>
      <c r="F774" s="2236">
        <v>-10</v>
      </c>
      <c r="G774" s="2236" t="s">
        <v>1315</v>
      </c>
      <c r="H774" s="2236">
        <v>4</v>
      </c>
      <c r="I774" s="2236" t="s">
        <v>1315</v>
      </c>
      <c r="J774" s="2236" t="s">
        <v>1315</v>
      </c>
      <c r="K774" s="2433" t="s">
        <v>6848</v>
      </c>
      <c r="L774" s="2236" t="str">
        <f t="shared" si="256"/>
        <v>Distinta</v>
      </c>
      <c r="M774" s="2240">
        <v>7</v>
      </c>
      <c r="N774" s="2240">
        <v>-3</v>
      </c>
      <c r="O774" s="2240">
        <v>15</v>
      </c>
      <c r="P774" s="2236"/>
      <c r="Q774" s="2236"/>
      <c r="R774" s="2236" t="s">
        <v>1315</v>
      </c>
      <c r="S774" s="2236">
        <v>1</v>
      </c>
      <c r="T774" s="2236">
        <v>40</v>
      </c>
      <c r="U774" s="2236"/>
      <c r="V774" s="2433" t="s">
        <v>1438</v>
      </c>
      <c r="W774" s="2433"/>
      <c r="X774" s="2274" t="s">
        <v>1821</v>
      </c>
      <c r="Y774" s="2229">
        <f>Bono_Fue</f>
        <v>0</v>
      </c>
      <c r="Z774" s="1150" t="str">
        <f t="shared" si="228"/>
        <v/>
      </c>
      <c r="AA774" s="1751" t="s">
        <v>2040</v>
      </c>
      <c r="AC774" s="2568" t="s">
        <v>6653</v>
      </c>
      <c r="AD774" s="758">
        <f>IFERROR(IF(IF(AC774&lt;&gt;"",VLOOKUP(AC774,Tabla_ArmasyEscudos,9,0),"")="Conocida",MAX(AD$662:AD773)+1,0),0)</f>
        <v>0</v>
      </c>
      <c r="AE774" s="758">
        <f ca="1">IF(AC774="",0,IF(AD774=0,MAX(AE$654:AE773,AG$652)+1,AD774+IFERROR(VLOOKUP(VLOOKUP(AC774,$D$653:$AA$871,24,0),AC$654:AE$661,3,0)-VLOOKUP(VLOOKUP(AC774,$D$653:$AA$871,24,0),AC$654:AE$661,2,0)+1,0)))</f>
        <v>114</v>
      </c>
      <c r="AF774" s="758" t="str">
        <f t="shared" ca="1" si="229"/>
        <v>Virgo (Percusión)</v>
      </c>
      <c r="AG774" s="758" t="str">
        <f t="shared" ca="1" si="230"/>
        <v/>
      </c>
      <c r="AH774" s="2568"/>
      <c r="AI774" s="758">
        <f>IFERROR(IF(IF(AH774&lt;&gt;"",VLOOKUP(AH774,Tabla_ArmasyEscudos,9,0),"")="Conocida",MAX(AI$660:AI773)+1,0),0)</f>
        <v>0</v>
      </c>
      <c r="AJ774" s="758">
        <f>IF(AH774="",0,IF(AI774=0,MAX(AJ$654:AJ773,AL$652)+1,AI774+IFERROR(VLOOKUP(VLOOKUP(AH774,$D$653:$AA$871,24,0),AH$654:AJ$659,3,0)-VLOOKUP(VLOOKUP(AH774,$D$653:$AA$871,24,0),AH$654:AJ$659,2,0)+1,0)))</f>
        <v>0</v>
      </c>
      <c r="AK774" s="758" t="str">
        <f t="shared" ca="1" si="231"/>
        <v/>
      </c>
      <c r="AL774" s="758" t="str">
        <f t="shared" ca="1" si="232"/>
        <v/>
      </c>
      <c r="AM774" s="2568"/>
      <c r="AN774" s="758">
        <f>IFERROR(IF(IF(AM774&lt;&gt;"",VLOOKUP(AM774,Tabla_ArmasyEscudos,9,0),"")="Conocida",MAX(AN$660:AN773)+1,0),0)</f>
        <v>0</v>
      </c>
      <c r="AO774" s="758">
        <f>IF(AM774="",0,IF(AN774=0,MAX(AO$654:AO773,AQ$652)+1,AN774+IFERROR(VLOOKUP(VLOOKUP(AM774,$D$653:$AA$871,24,0),AM$654:AO$659,3,0)-VLOOKUP(VLOOKUP(AM774,$D$653:$AA$871,24,0),AM$654:AO$659,2,0)+1,0)))</f>
        <v>0</v>
      </c>
      <c r="AP774" s="758" t="str">
        <f t="shared" ca="1" si="233"/>
        <v/>
      </c>
      <c r="AQ774" s="758" t="str">
        <f t="shared" ca="1" si="234"/>
        <v/>
      </c>
      <c r="AR774" s="2568"/>
      <c r="AS774" s="758">
        <f>IFERROR(IF(IF(AR774&lt;&gt;"",VLOOKUP(AR774,Tabla_ArmasyEscudos,9,0),"")="Conocida",MAX(AS$660:AS773)+1,0),0)</f>
        <v>0</v>
      </c>
      <c r="AT774" s="758">
        <f>IF(AR774="",0,IF(AS774=0,MAX(AT$654:AT773,AV$652)+1,AS774+IFERROR(VLOOKUP(VLOOKUP(AR774,$D$653:$AA$871,24,0),AR$654:AT$659,3,0)-VLOOKUP(VLOOKUP(AR774,$D$653:$AA$871,24,0),AR$654:AT$659,2,0)+1,0)))</f>
        <v>0</v>
      </c>
      <c r="AU774" s="758" t="str">
        <f t="shared" ca="1" si="235"/>
        <v/>
      </c>
      <c r="AV774" s="758" t="str">
        <f t="shared" ca="1" si="236"/>
        <v/>
      </c>
      <c r="AX774" s="1141" t="str">
        <f t="shared" si="237"/>
        <v>Arcabuz</v>
      </c>
      <c r="AY774" s="2549"/>
      <c r="AZ774" s="774" t="str">
        <f t="shared" si="238"/>
        <v/>
      </c>
      <c r="BA774" s="76" t="str">
        <f t="shared" si="239"/>
        <v/>
      </c>
      <c r="BB774" s="76" t="str">
        <f t="shared" si="240"/>
        <v>Arco compuesto</v>
      </c>
      <c r="BC774" s="1142">
        <f>IF(OR($L772=BC$652,$L772="",$D772=$BE$651),MAX(BC$654:BC773)+1,0)</f>
        <v>0</v>
      </c>
      <c r="BD774" s="1143">
        <f>IF(OR($L772=BD$652,$L772="",$D772=$BE$651),MAX(BD$654:BD773)+1,0)</f>
        <v>0</v>
      </c>
      <c r="BE774" s="1144">
        <f>IF(OR($L772=BE$652,$L772="",$D772=$BE$651),MAX(BE$654:BE773)+1,0)</f>
        <v>119</v>
      </c>
      <c r="BF774" s="2549"/>
      <c r="BG774" s="774" t="str">
        <f t="shared" si="241"/>
        <v/>
      </c>
      <c r="BH774" s="76" t="str">
        <f t="shared" si="242"/>
        <v/>
      </c>
      <c r="BI774" s="76" t="str">
        <f t="shared" si="243"/>
        <v>Arco compuesto</v>
      </c>
      <c r="BJ774" s="1142">
        <f>IF(OR($L772=BJ$652,$L772="",$D772=$BL$651),MAX(BJ$654:BJ773)+1,0)</f>
        <v>0</v>
      </c>
      <c r="BK774" s="1143">
        <f>IF(OR($L772=BK$652,$L772="",$D772=$BL$651),MAX(BK$654:BK773)+1,0)</f>
        <v>0</v>
      </c>
      <c r="BL774" s="1144">
        <f>IF(OR($L772=BL$652,$L772="",$D772=$BL$651),MAX(BL$654:BL773)+1,0)</f>
        <v>119</v>
      </c>
      <c r="BM774" s="2549"/>
      <c r="BN774" s="774" t="str">
        <f t="shared" si="244"/>
        <v/>
      </c>
      <c r="BO774" s="76" t="str">
        <f t="shared" si="245"/>
        <v/>
      </c>
      <c r="BP774" s="76" t="str">
        <f t="shared" si="246"/>
        <v>Arco compuesto</v>
      </c>
      <c r="BQ774" s="1142">
        <f>IF(OR($L772=BQ$652,$L772="",$D772=$BS$651),MAX(BQ$654:BQ773)+1,0)</f>
        <v>0</v>
      </c>
      <c r="BR774" s="1143">
        <f>IF(OR($L772=BR$652,$L772="",$D772=$BS$651),MAX(BR$654:BR773)+1,0)</f>
        <v>0</v>
      </c>
      <c r="BS774" s="1144">
        <f>IF(OR($L772=BS$652,$L772="",$D772=$BS$651),MAX(BS$654:BS773)+1,0)</f>
        <v>119</v>
      </c>
      <c r="BT774" s="2549"/>
      <c r="BU774" s="774" t="str">
        <f t="shared" si="247"/>
        <v/>
      </c>
      <c r="BV774" s="76" t="str">
        <f t="shared" si="248"/>
        <v/>
      </c>
      <c r="BW774" s="76" t="str">
        <f t="shared" si="249"/>
        <v>Arco compuesto</v>
      </c>
      <c r="BX774" s="1142">
        <f>IF(OR($L772=BX$652,$L772="",$D772=$BZ$651),MAX(BX$654:BX773)+1,0)</f>
        <v>0</v>
      </c>
      <c r="BY774" s="1143">
        <f>IF(OR($L772=BY$652,$L772="",$D772=$BZ$651),MAX(BY$654:BY773)+1,0)</f>
        <v>0</v>
      </c>
      <c r="BZ774" s="1144">
        <f>IF(OR($L772=BZ$652,$L772="",$D772=$BZ$651),MAX(BZ$654:BZ773)+1,0)</f>
        <v>119</v>
      </c>
      <c r="CA774" s="2549"/>
      <c r="CB774" s="774" t="str">
        <f t="shared" si="250"/>
        <v/>
      </c>
      <c r="CC774" s="76" t="str">
        <f t="shared" si="251"/>
        <v/>
      </c>
      <c r="CD774" s="76" t="str">
        <f t="shared" si="252"/>
        <v>Arco compuesto</v>
      </c>
      <c r="CE774" s="1142">
        <f>IF(OR($L772=CE$652,$L772="",$D772=$CG$651),MAX(CE$654:CE773)+1,0)</f>
        <v>0</v>
      </c>
      <c r="CF774" s="1143">
        <f>IF(OR($L772=CF$652,$L772="",$D772=$CG$651),MAX(CF$654:CF773)+1,0)</f>
        <v>0</v>
      </c>
      <c r="CG774" s="1144">
        <f>IF(OR($L772=CG$652,$L772="",$D772=$CG$651),MAX(CG$654:CG773)+1,0)</f>
        <v>119</v>
      </c>
      <c r="CI774" s="774" t="str">
        <f t="shared" si="253"/>
        <v/>
      </c>
      <c r="CJ774" s="76" t="str">
        <f t="shared" si="254"/>
        <v/>
      </c>
      <c r="CK774" s="76" t="str">
        <f t="shared" si="255"/>
        <v>Arco compuesto</v>
      </c>
      <c r="CL774" s="1142">
        <f>IF(OR($L772=CL$652,$L772="",$D772=$CN$651),MAX(CL$654:CL773)+1,0)</f>
        <v>0</v>
      </c>
      <c r="CM774" s="1143">
        <f>IF(OR($L772=CM$652,$L772="",$D772=$CN$651),MAX(CM$654:CM773)+1,0)</f>
        <v>0</v>
      </c>
      <c r="CN774" s="1144">
        <f>IF(OR($L772=CN$652,$L772="",$D772=$CN$651),MAX(CN$654:CN773)+1,0)</f>
        <v>119</v>
      </c>
    </row>
    <row r="775" spans="1:92" ht="12.75" customHeight="1">
      <c r="A775" s="219">
        <v>766</v>
      </c>
      <c r="B775" s="7145"/>
      <c r="C775" s="1034"/>
      <c r="D775" s="2237" t="s">
        <v>6560</v>
      </c>
      <c r="E775" s="2236">
        <f>IF(FUE+2&lt;1,0,VLOOKUP(FUE+2,Tabla_BonoStats,2))-Bono_Fue</f>
        <v>-20</v>
      </c>
      <c r="F775" s="2236">
        <v>-10</v>
      </c>
      <c r="G775" s="2236">
        <v>4</v>
      </c>
      <c r="H775" s="2236">
        <v>4</v>
      </c>
      <c r="I775" s="2236" t="s">
        <v>1315</v>
      </c>
      <c r="J775" s="2236" t="s">
        <v>1315</v>
      </c>
      <c r="K775" s="2433" t="s">
        <v>6848</v>
      </c>
      <c r="L775" s="2236" t="str">
        <f t="shared" si="256"/>
        <v>Distinta</v>
      </c>
      <c r="M775" s="2240">
        <v>6</v>
      </c>
      <c r="N775" s="2240">
        <v>-3</v>
      </c>
      <c r="O775" s="2240">
        <v>15</v>
      </c>
      <c r="P775" s="2236"/>
      <c r="Q775" s="2236"/>
      <c r="R775" s="2236" t="s">
        <v>1315</v>
      </c>
      <c r="S775" s="2236">
        <v>1</v>
      </c>
      <c r="T775" s="2236">
        <v>40</v>
      </c>
      <c r="U775" s="2236"/>
      <c r="V775" s="2433" t="s">
        <v>6609</v>
      </c>
      <c r="W775" s="2433"/>
      <c r="X775" s="2274" t="s">
        <v>1821</v>
      </c>
      <c r="Y775" s="2229">
        <f>Bono_Fue</f>
        <v>0</v>
      </c>
      <c r="Z775" s="1150" t="str">
        <f t="shared" si="228"/>
        <v/>
      </c>
      <c r="AA775" s="1751" t="s">
        <v>2040</v>
      </c>
      <c r="AC775" s="2568" t="s">
        <v>2078</v>
      </c>
      <c r="AD775" s="758">
        <f>IFERROR(IF(IF(AC775&lt;&gt;"",VLOOKUP(AC775,Tabla_ArmasyEscudos,9,0),"")="Conocida",MAX(AD$662:AD774)+1,0),0)</f>
        <v>0</v>
      </c>
      <c r="AE775" s="758">
        <f ca="1">IF(AC775="",0,IF(AD775=0,MAX(AE$654:AE774,AG$652)+1,AD775+IFERROR(VLOOKUP(VLOOKUP(AC775,$D$653:$AA$871,24,0),AC$654:AE$661,3,0)-VLOOKUP(VLOOKUP(AC775,$D$653:$AA$871,24,0),AC$654:AE$661,2,0)+1,0)))</f>
        <v>115</v>
      </c>
      <c r="AF775" s="758" t="str">
        <f t="shared" ca="1" si="229"/>
        <v>Sol (Cañón)</v>
      </c>
      <c r="AG775" s="758" t="str">
        <f t="shared" ca="1" si="230"/>
        <v/>
      </c>
      <c r="AH775" s="2568"/>
      <c r="AI775" s="758">
        <f>IFERROR(IF(IF(AH775&lt;&gt;"",VLOOKUP(AH775,Tabla_ArmasyEscudos,9,0),"")="Conocida",MAX(AI$660:AI774)+1,0),0)</f>
        <v>0</v>
      </c>
      <c r="AJ775" s="758">
        <f>IF(AH775="",0,IF(AI775=0,MAX(AJ$654:AJ774,AL$652)+1,AI775+IFERROR(VLOOKUP(VLOOKUP(AH775,$D$653:$AA$871,24,0),AH$654:AJ$659,3,0)-VLOOKUP(VLOOKUP(AH775,$D$653:$AA$871,24,0),AH$654:AJ$659,2,0)+1,0)))</f>
        <v>0</v>
      </c>
      <c r="AK775" s="758" t="str">
        <f t="shared" ca="1" si="231"/>
        <v/>
      </c>
      <c r="AL775" s="758" t="str">
        <f t="shared" ca="1" si="232"/>
        <v/>
      </c>
      <c r="AM775" s="2568"/>
      <c r="AN775" s="758">
        <f>IFERROR(IF(IF(AM775&lt;&gt;"",VLOOKUP(AM775,Tabla_ArmasyEscudos,9,0),"")="Conocida",MAX(AN$660:AN774)+1,0),0)</f>
        <v>0</v>
      </c>
      <c r="AO775" s="758">
        <f>IF(AM775="",0,IF(AN775=0,MAX(AO$654:AO774,AQ$652)+1,AN775+IFERROR(VLOOKUP(VLOOKUP(AM775,$D$653:$AA$871,24,0),AM$654:AO$659,3,0)-VLOOKUP(VLOOKUP(AM775,$D$653:$AA$871,24,0),AM$654:AO$659,2,0)+1,0)))</f>
        <v>0</v>
      </c>
      <c r="AP775" s="758" t="str">
        <f t="shared" ca="1" si="233"/>
        <v/>
      </c>
      <c r="AQ775" s="758" t="str">
        <f t="shared" ca="1" si="234"/>
        <v/>
      </c>
      <c r="AR775" s="2568"/>
      <c r="AS775" s="758">
        <f>IFERROR(IF(IF(AR775&lt;&gt;"",VLOOKUP(AR775,Tabla_ArmasyEscudos,9,0),"")="Conocida",MAX(AS$660:AS774)+1,0),0)</f>
        <v>0</v>
      </c>
      <c r="AT775" s="758">
        <f>IF(AR775="",0,IF(AS775=0,MAX(AT$654:AT774,AV$652)+1,AS775+IFERROR(VLOOKUP(VLOOKUP(AR775,$D$653:$AA$871,24,0),AR$654:AT$659,3,0)-VLOOKUP(VLOOKUP(AR775,$D$653:$AA$871,24,0),AR$654:AT$659,2,0)+1,0)))</f>
        <v>0</v>
      </c>
      <c r="AU775" s="758" t="str">
        <f t="shared" ca="1" si="235"/>
        <v/>
      </c>
      <c r="AV775" s="758" t="str">
        <f t="shared" ca="1" si="236"/>
        <v/>
      </c>
      <c r="AX775" s="1141" t="str">
        <f t="shared" si="237"/>
        <v>Arco compuesto</v>
      </c>
      <c r="AY775" s="2549"/>
      <c r="AZ775" s="774" t="str">
        <f t="shared" si="238"/>
        <v/>
      </c>
      <c r="BA775" s="76" t="str">
        <f t="shared" si="239"/>
        <v/>
      </c>
      <c r="BB775" s="76" t="str">
        <f t="shared" si="240"/>
        <v>Arco corto</v>
      </c>
      <c r="BC775" s="1142">
        <f>IF(OR($L773=BC$652,$L773="",$D773=$BE$651),MAX(BC$654:BC774)+1,0)</f>
        <v>0</v>
      </c>
      <c r="BD775" s="1143">
        <f>IF(OR($L773=BD$652,$L773="",$D773=$BE$651),MAX(BD$654:BD774)+1,0)</f>
        <v>0</v>
      </c>
      <c r="BE775" s="1144">
        <f>IF(OR($L773=BE$652,$L773="",$D773=$BE$651),MAX(BE$654:BE774)+1,0)</f>
        <v>120</v>
      </c>
      <c r="BF775" s="2549"/>
      <c r="BG775" s="774" t="str">
        <f t="shared" si="241"/>
        <v/>
      </c>
      <c r="BH775" s="76" t="str">
        <f t="shared" si="242"/>
        <v/>
      </c>
      <c r="BI775" s="76" t="str">
        <f t="shared" si="243"/>
        <v>Arco corto</v>
      </c>
      <c r="BJ775" s="1142">
        <f>IF(OR($L773=BJ$652,$L773="",$D773=$BL$651),MAX(BJ$654:BJ774)+1,0)</f>
        <v>0</v>
      </c>
      <c r="BK775" s="1143">
        <f>IF(OR($L773=BK$652,$L773="",$D773=$BL$651),MAX(BK$654:BK774)+1,0)</f>
        <v>0</v>
      </c>
      <c r="BL775" s="1144">
        <f>IF(OR($L773=BL$652,$L773="",$D773=$BL$651),MAX(BL$654:BL774)+1,0)</f>
        <v>120</v>
      </c>
      <c r="BM775" s="2549"/>
      <c r="BN775" s="774" t="str">
        <f t="shared" si="244"/>
        <v/>
      </c>
      <c r="BO775" s="76" t="str">
        <f t="shared" si="245"/>
        <v/>
      </c>
      <c r="BP775" s="76" t="str">
        <f t="shared" si="246"/>
        <v>Arco corto</v>
      </c>
      <c r="BQ775" s="1142">
        <f>IF(OR($L773=BQ$652,$L773="",$D773=$BS$651),MAX(BQ$654:BQ774)+1,0)</f>
        <v>0</v>
      </c>
      <c r="BR775" s="1143">
        <f>IF(OR($L773=BR$652,$L773="",$D773=$BS$651),MAX(BR$654:BR774)+1,0)</f>
        <v>0</v>
      </c>
      <c r="BS775" s="1144">
        <f>IF(OR($L773=BS$652,$L773="",$D773=$BS$651),MAX(BS$654:BS774)+1,0)</f>
        <v>120</v>
      </c>
      <c r="BT775" s="2549"/>
      <c r="BU775" s="774" t="str">
        <f t="shared" si="247"/>
        <v/>
      </c>
      <c r="BV775" s="76" t="str">
        <f t="shared" si="248"/>
        <v/>
      </c>
      <c r="BW775" s="76" t="str">
        <f t="shared" si="249"/>
        <v>Arco corto</v>
      </c>
      <c r="BX775" s="1142">
        <f>IF(OR($L773=BX$652,$L773="",$D773=$BZ$651),MAX(BX$654:BX774)+1,0)</f>
        <v>0</v>
      </c>
      <c r="BY775" s="1143">
        <f>IF(OR($L773=BY$652,$L773="",$D773=$BZ$651),MAX(BY$654:BY774)+1,0)</f>
        <v>0</v>
      </c>
      <c r="BZ775" s="1144">
        <f>IF(OR($L773=BZ$652,$L773="",$D773=$BZ$651),MAX(BZ$654:BZ774)+1,0)</f>
        <v>120</v>
      </c>
      <c r="CA775" s="2549"/>
      <c r="CB775" s="774" t="str">
        <f t="shared" si="250"/>
        <v/>
      </c>
      <c r="CC775" s="76" t="str">
        <f t="shared" si="251"/>
        <v/>
      </c>
      <c r="CD775" s="76" t="str">
        <f t="shared" si="252"/>
        <v>Arco corto</v>
      </c>
      <c r="CE775" s="1142">
        <f>IF(OR($L773=CE$652,$L773="",$D773=$CG$651),MAX(CE$654:CE774)+1,0)</f>
        <v>0</v>
      </c>
      <c r="CF775" s="1143">
        <f>IF(OR($L773=CF$652,$L773="",$D773=$CG$651),MAX(CF$654:CF774)+1,0)</f>
        <v>0</v>
      </c>
      <c r="CG775" s="1144">
        <f>IF(OR($L773=CG$652,$L773="",$D773=$CG$651),MAX(CG$654:CG774)+1,0)</f>
        <v>120</v>
      </c>
      <c r="CI775" s="774" t="str">
        <f t="shared" si="253"/>
        <v/>
      </c>
      <c r="CJ775" s="76" t="str">
        <f t="shared" si="254"/>
        <v/>
      </c>
      <c r="CK775" s="76" t="str">
        <f t="shared" si="255"/>
        <v>Arco corto</v>
      </c>
      <c r="CL775" s="1142">
        <f>IF(OR($L773=CL$652,$L773="",$D773=$CN$651),MAX(CL$654:CL774)+1,0)</f>
        <v>0</v>
      </c>
      <c r="CM775" s="1143">
        <f>IF(OR($L773=CM$652,$L773="",$D773=$CN$651),MAX(CM$654:CM774)+1,0)</f>
        <v>0</v>
      </c>
      <c r="CN775" s="1144">
        <f>IF(OR($L773=CN$652,$L773="",$D773=$CN$651),MAX(CN$654:CN774)+1,0)</f>
        <v>120</v>
      </c>
    </row>
    <row r="776" spans="1:92" ht="12.75" customHeight="1">
      <c r="A776" s="219">
        <v>767</v>
      </c>
      <c r="B776" s="7145"/>
      <c r="C776" s="1034"/>
      <c r="D776" s="2237" t="s">
        <v>2044</v>
      </c>
      <c r="E776" s="2236">
        <v>0</v>
      </c>
      <c r="F776" s="2236">
        <v>-30</v>
      </c>
      <c r="G776" s="2236" t="s">
        <v>1315</v>
      </c>
      <c r="H776" s="2236">
        <v>7</v>
      </c>
      <c r="I776" s="2236" t="s">
        <v>1315</v>
      </c>
      <c r="J776" s="2236" t="s">
        <v>1315</v>
      </c>
      <c r="K776" s="2433" t="s">
        <v>6848</v>
      </c>
      <c r="L776" s="2236" t="str">
        <f t="shared" si="256"/>
        <v>Distinta</v>
      </c>
      <c r="M776" s="2240">
        <v>8</v>
      </c>
      <c r="N776" s="2240">
        <v>-2</v>
      </c>
      <c r="O776" s="2240">
        <v>20</v>
      </c>
      <c r="P776" s="2236"/>
      <c r="Q776" s="2236"/>
      <c r="R776" s="2236" t="s">
        <v>1315</v>
      </c>
      <c r="S776" s="2236">
        <v>1</v>
      </c>
      <c r="T776" s="2236">
        <v>60</v>
      </c>
      <c r="U776" s="2236"/>
      <c r="V776" s="2433" t="s">
        <v>1438</v>
      </c>
      <c r="W776" s="2433"/>
      <c r="X776" s="2274" t="s">
        <v>1821</v>
      </c>
      <c r="Y776" s="2229">
        <f>Bono_Fue</f>
        <v>0</v>
      </c>
      <c r="Z776" s="1150" t="str">
        <f t="shared" si="228"/>
        <v/>
      </c>
      <c r="AA776" s="1751" t="s">
        <v>2040</v>
      </c>
      <c r="AC776" s="2568" t="s">
        <v>2072</v>
      </c>
      <c r="AD776" s="758">
        <f>IFERROR(IF(IF(AC776&lt;&gt;"",VLOOKUP(AC776,Tabla_ArmasyEscudos,9,0),"")="Conocida",MAX(AD$662:AD775)+1,0),0)</f>
        <v>0</v>
      </c>
      <c r="AE776" s="758">
        <f ca="1">IF(AC776="",0,IF(AD776=0,MAX(AE$654:AE775,AG$652)+1,AD776+IFERROR(VLOOKUP(VLOOKUP(AC776,$D$653:$AA$871,24,0),AC$654:AE$661,3,0)-VLOOKUP(VLOOKUP(AC776,$D$653:$AA$871,24,0),AC$654:AE$661,2,0)+1,0)))</f>
        <v>116</v>
      </c>
      <c r="AF776" s="758" t="str">
        <f t="shared" ca="1" si="229"/>
        <v>Sol (Parasol)</v>
      </c>
      <c r="AG776" s="758" t="str">
        <f t="shared" ca="1" si="230"/>
        <v/>
      </c>
      <c r="AH776" s="2568"/>
      <c r="AI776" s="758">
        <f>IFERROR(IF(IF(AH776&lt;&gt;"",VLOOKUP(AH776,Tabla_ArmasyEscudos,9,0),"")="Conocida",MAX(AI$660:AI775)+1,0),0)</f>
        <v>0</v>
      </c>
      <c r="AJ776" s="758">
        <f>IF(AH776="",0,IF(AI776=0,MAX(AJ$654:AJ775,AL$652)+1,AI776+IFERROR(VLOOKUP(VLOOKUP(AH776,$D$653:$AA$871,24,0),AH$654:AJ$659,3,0)-VLOOKUP(VLOOKUP(AH776,$D$653:$AA$871,24,0),AH$654:AJ$659,2,0)+1,0)))</f>
        <v>0</v>
      </c>
      <c r="AK776" s="758" t="str">
        <f t="shared" ca="1" si="231"/>
        <v/>
      </c>
      <c r="AL776" s="758" t="str">
        <f t="shared" ca="1" si="232"/>
        <v/>
      </c>
      <c r="AM776" s="2568"/>
      <c r="AN776" s="758">
        <f>IFERROR(IF(IF(AM776&lt;&gt;"",VLOOKUP(AM776,Tabla_ArmasyEscudos,9,0),"")="Conocida",MAX(AN$660:AN775)+1,0),0)</f>
        <v>0</v>
      </c>
      <c r="AO776" s="758">
        <f>IF(AM776="",0,IF(AN776=0,MAX(AO$654:AO775,AQ$652)+1,AN776+IFERROR(VLOOKUP(VLOOKUP(AM776,$D$653:$AA$871,24,0),AM$654:AO$659,3,0)-VLOOKUP(VLOOKUP(AM776,$D$653:$AA$871,24,0),AM$654:AO$659,2,0)+1,0)))</f>
        <v>0</v>
      </c>
      <c r="AP776" s="758" t="str">
        <f t="shared" ca="1" si="233"/>
        <v/>
      </c>
      <c r="AQ776" s="758" t="str">
        <f t="shared" ca="1" si="234"/>
        <v/>
      </c>
      <c r="AR776" s="2568"/>
      <c r="AS776" s="758">
        <f>IFERROR(IF(IF(AR776&lt;&gt;"",VLOOKUP(AR776,Tabla_ArmasyEscudos,9,0),"")="Conocida",MAX(AS$660:AS775)+1,0),0)</f>
        <v>0</v>
      </c>
      <c r="AT776" s="758">
        <f>IF(AR776="",0,IF(AS776=0,MAX(AT$654:AT775,AV$652)+1,AS776+IFERROR(VLOOKUP(VLOOKUP(AR776,$D$653:$AA$871,24,0),AR$654:AT$659,3,0)-VLOOKUP(VLOOKUP(AR776,$D$653:$AA$871,24,0),AR$654:AT$659,2,0)+1,0)))</f>
        <v>0</v>
      </c>
      <c r="AU776" s="758" t="str">
        <f t="shared" ca="1" si="235"/>
        <v/>
      </c>
      <c r="AV776" s="758" t="str">
        <f t="shared" ca="1" si="236"/>
        <v/>
      </c>
      <c r="AX776" s="1141" t="str">
        <f t="shared" si="237"/>
        <v>Arco corto</v>
      </c>
      <c r="AY776" s="2549"/>
      <c r="AZ776" s="774" t="str">
        <f t="shared" si="238"/>
        <v/>
      </c>
      <c r="BA776" s="76" t="str">
        <f t="shared" si="239"/>
        <v/>
      </c>
      <c r="BB776" s="76" t="str">
        <f t="shared" si="240"/>
        <v>Arco de balas</v>
      </c>
      <c r="BC776" s="1142">
        <f>IF(OR($L774=BC$652,$L774="",$D774=$BE$651),MAX(BC$654:BC775)+1,0)</f>
        <v>0</v>
      </c>
      <c r="BD776" s="1143">
        <f>IF(OR($L774=BD$652,$L774="",$D774=$BE$651),MAX(BD$654:BD775)+1,0)</f>
        <v>0</v>
      </c>
      <c r="BE776" s="1144">
        <f>IF(OR($L774=BE$652,$L774="",$D774=$BE$651),MAX(BE$654:BE775)+1,0)</f>
        <v>121</v>
      </c>
      <c r="BF776" s="2549"/>
      <c r="BG776" s="774" t="str">
        <f t="shared" si="241"/>
        <v/>
      </c>
      <c r="BH776" s="76" t="str">
        <f t="shared" si="242"/>
        <v/>
      </c>
      <c r="BI776" s="76" t="str">
        <f t="shared" si="243"/>
        <v>Arco de balas</v>
      </c>
      <c r="BJ776" s="1142">
        <f>IF(OR($L774=BJ$652,$L774="",$D774=$BL$651),MAX(BJ$654:BJ775)+1,0)</f>
        <v>0</v>
      </c>
      <c r="BK776" s="1143">
        <f>IF(OR($L774=BK$652,$L774="",$D774=$BL$651),MAX(BK$654:BK775)+1,0)</f>
        <v>0</v>
      </c>
      <c r="BL776" s="1144">
        <f>IF(OR($L774=BL$652,$L774="",$D774=$BL$651),MAX(BL$654:BL775)+1,0)</f>
        <v>121</v>
      </c>
      <c r="BM776" s="2549"/>
      <c r="BN776" s="774" t="str">
        <f t="shared" si="244"/>
        <v/>
      </c>
      <c r="BO776" s="76" t="str">
        <f t="shared" si="245"/>
        <v/>
      </c>
      <c r="BP776" s="76" t="str">
        <f t="shared" si="246"/>
        <v>Arco de balas</v>
      </c>
      <c r="BQ776" s="1142">
        <f>IF(OR($L774=BQ$652,$L774="",$D774=$BS$651),MAX(BQ$654:BQ775)+1,0)</f>
        <v>0</v>
      </c>
      <c r="BR776" s="1143">
        <f>IF(OR($L774=BR$652,$L774="",$D774=$BS$651),MAX(BR$654:BR775)+1,0)</f>
        <v>0</v>
      </c>
      <c r="BS776" s="1144">
        <f>IF(OR($L774=BS$652,$L774="",$D774=$BS$651),MAX(BS$654:BS775)+1,0)</f>
        <v>121</v>
      </c>
      <c r="BT776" s="2549"/>
      <c r="BU776" s="774" t="str">
        <f t="shared" si="247"/>
        <v/>
      </c>
      <c r="BV776" s="76" t="str">
        <f t="shared" si="248"/>
        <v/>
      </c>
      <c r="BW776" s="76" t="str">
        <f t="shared" si="249"/>
        <v>Arco de balas</v>
      </c>
      <c r="BX776" s="1142">
        <f>IF(OR($L774=BX$652,$L774="",$D774=$BZ$651),MAX(BX$654:BX775)+1,0)</f>
        <v>0</v>
      </c>
      <c r="BY776" s="1143">
        <f>IF(OR($L774=BY$652,$L774="",$D774=$BZ$651),MAX(BY$654:BY775)+1,0)</f>
        <v>0</v>
      </c>
      <c r="BZ776" s="1144">
        <f>IF(OR($L774=BZ$652,$L774="",$D774=$BZ$651),MAX(BZ$654:BZ775)+1,0)</f>
        <v>121</v>
      </c>
      <c r="CA776" s="2549"/>
      <c r="CB776" s="774" t="str">
        <f t="shared" si="250"/>
        <v/>
      </c>
      <c r="CC776" s="76" t="str">
        <f t="shared" si="251"/>
        <v/>
      </c>
      <c r="CD776" s="76" t="str">
        <f t="shared" si="252"/>
        <v>Arco de balas</v>
      </c>
      <c r="CE776" s="1142">
        <f>IF(OR($L774=CE$652,$L774="",$D774=$CG$651),MAX(CE$654:CE775)+1,0)</f>
        <v>0</v>
      </c>
      <c r="CF776" s="1143">
        <f>IF(OR($L774=CF$652,$L774="",$D774=$CG$651),MAX(CF$654:CF775)+1,0)</f>
        <v>0</v>
      </c>
      <c r="CG776" s="1144">
        <f>IF(OR($L774=CG$652,$L774="",$D774=$CG$651),MAX(CG$654:CG775)+1,0)</f>
        <v>121</v>
      </c>
      <c r="CI776" s="774" t="str">
        <f t="shared" si="253"/>
        <v/>
      </c>
      <c r="CJ776" s="76" t="str">
        <f t="shared" si="254"/>
        <v/>
      </c>
      <c r="CK776" s="76" t="str">
        <f t="shared" si="255"/>
        <v>Arco de balas</v>
      </c>
      <c r="CL776" s="1142">
        <f>IF(OR($L774=CL$652,$L774="",$D774=$CN$651),MAX(CL$654:CL775)+1,0)</f>
        <v>0</v>
      </c>
      <c r="CM776" s="1143">
        <f>IF(OR($L774=CM$652,$L774="",$D774=$CN$651),MAX(CM$654:CM775)+1,0)</f>
        <v>0</v>
      </c>
      <c r="CN776" s="1144">
        <f>IF(OR($L774=CN$652,$L774="",$D774=$CN$651),MAX(CN$654:CN775)+1,0)</f>
        <v>121</v>
      </c>
    </row>
    <row r="777" spans="1:92" ht="12.75" customHeight="1">
      <c r="A777" s="219">
        <v>768</v>
      </c>
      <c r="B777" s="7145"/>
      <c r="C777" s="1034"/>
      <c r="D777" s="2237" t="s">
        <v>6564</v>
      </c>
      <c r="E777" s="2236">
        <v>0</v>
      </c>
      <c r="F777" s="2236">
        <v>0</v>
      </c>
      <c r="G777" s="2236">
        <v>5</v>
      </c>
      <c r="H777" s="2236">
        <v>5</v>
      </c>
      <c r="I777" s="2236" t="s">
        <v>1315</v>
      </c>
      <c r="J777" s="2236" t="s">
        <v>1315</v>
      </c>
      <c r="K777" s="2433" t="s">
        <v>6848</v>
      </c>
      <c r="L777" s="2236" t="str">
        <f t="shared" si="256"/>
        <v>Distinta</v>
      </c>
      <c r="M777" s="2240">
        <v>8</v>
      </c>
      <c r="N777" s="2240">
        <v>-4</v>
      </c>
      <c r="O777" s="2240">
        <v>10</v>
      </c>
      <c r="P777" s="2236"/>
      <c r="Q777" s="2236"/>
      <c r="R777" s="2236" t="s">
        <v>1315</v>
      </c>
      <c r="S777" s="2236">
        <v>1</v>
      </c>
      <c r="T777" s="2236">
        <v>30</v>
      </c>
      <c r="U777" s="2241">
        <f>FUE+2</f>
        <v>2</v>
      </c>
      <c r="V777" s="2433" t="s">
        <v>2000</v>
      </c>
      <c r="W777" s="2433"/>
      <c r="X777" s="2274" t="s">
        <v>9679</v>
      </c>
      <c r="Y777" s="2229">
        <f>VLOOKUP(U777,Tabla_BonoStats,2)</f>
        <v>-20</v>
      </c>
      <c r="Z777" s="1150" t="str">
        <f t="shared" si="228"/>
        <v/>
      </c>
      <c r="AA777" s="1751" t="s">
        <v>2040</v>
      </c>
      <c r="AC777" s="2568" t="s">
        <v>9597</v>
      </c>
      <c r="AD777" s="758">
        <f>IFERROR(IF(IF(AC777&lt;&gt;"",VLOOKUP(AC777,Tabla_ArmasyEscudos,9,0),"")="Conocida",MAX(AD$662:AD776)+1,0),0)</f>
        <v>0</v>
      </c>
      <c r="AE777" s="758">
        <f ca="1">IF(AC777="",0,IF(AD777=0,MAX(AE$654:AE776,AG$652)+1,AD777+IFERROR(VLOOKUP(VLOOKUP(AC777,$D$653:$AA$871,24,0),AC$654:AE$661,3,0)-VLOOKUP(VLOOKUP(AC777,$D$653:$AA$871,24,0),AC$654:AE$661,2,0)+1,0)))</f>
        <v>117</v>
      </c>
      <c r="AF777" s="758" t="str">
        <f t="shared" ca="1" si="229"/>
        <v>Mercurius</v>
      </c>
      <c r="AG777" s="758" t="str">
        <f t="shared" ca="1" si="230"/>
        <v/>
      </c>
      <c r="AH777" s="2568"/>
      <c r="AI777" s="758">
        <f>IFERROR(IF(IF(AH777&lt;&gt;"",VLOOKUP(AH777,Tabla_ArmasyEscudos,9,0),"")="Conocida",MAX(AI$660:AI776)+1,0),0)</f>
        <v>0</v>
      </c>
      <c r="AJ777" s="758">
        <f>IF(AH777="",0,IF(AI777=0,MAX(AJ$654:AJ776,AL$652)+1,AI777+IFERROR(VLOOKUP(VLOOKUP(AH777,$D$653:$AA$871,24,0),AH$654:AJ$659,3,0)-VLOOKUP(VLOOKUP(AH777,$D$653:$AA$871,24,0),AH$654:AJ$659,2,0)+1,0)))</f>
        <v>0</v>
      </c>
      <c r="AK777" s="758" t="str">
        <f t="shared" ca="1" si="231"/>
        <v/>
      </c>
      <c r="AL777" s="758" t="str">
        <f t="shared" ca="1" si="232"/>
        <v/>
      </c>
      <c r="AM777" s="2568"/>
      <c r="AN777" s="758">
        <f>IFERROR(IF(IF(AM777&lt;&gt;"",VLOOKUP(AM777,Tabla_ArmasyEscudos,9,0),"")="Conocida",MAX(AN$660:AN776)+1,0),0)</f>
        <v>0</v>
      </c>
      <c r="AO777" s="758">
        <f>IF(AM777="",0,IF(AN777=0,MAX(AO$654:AO776,AQ$652)+1,AN777+IFERROR(VLOOKUP(VLOOKUP(AM777,$D$653:$AA$871,24,0),AM$654:AO$659,3,0)-VLOOKUP(VLOOKUP(AM777,$D$653:$AA$871,24,0),AM$654:AO$659,2,0)+1,0)))</f>
        <v>0</v>
      </c>
      <c r="AP777" s="758" t="str">
        <f t="shared" ca="1" si="233"/>
        <v/>
      </c>
      <c r="AQ777" s="758" t="str">
        <f t="shared" ca="1" si="234"/>
        <v/>
      </c>
      <c r="AR777" s="2568"/>
      <c r="AS777" s="758">
        <f>IFERROR(IF(IF(AR777&lt;&gt;"",VLOOKUP(AR777,Tabla_ArmasyEscudos,9,0),"")="Conocida",MAX(AS$660:AS776)+1,0),0)</f>
        <v>0</v>
      </c>
      <c r="AT777" s="758">
        <f>IF(AR777="",0,IF(AS777=0,MAX(AT$654:AT776,AV$652)+1,AS777+IFERROR(VLOOKUP(VLOOKUP(AR777,$D$653:$AA$871,24,0),AR$654:AT$659,3,0)-VLOOKUP(VLOOKUP(AR777,$D$653:$AA$871,24,0),AR$654:AT$659,2,0)+1,0)))</f>
        <v>0</v>
      </c>
      <c r="AU777" s="758" t="str">
        <f t="shared" ca="1" si="235"/>
        <v/>
      </c>
      <c r="AV777" s="758" t="str">
        <f t="shared" ca="1" si="236"/>
        <v/>
      </c>
      <c r="AX777" s="1141" t="str">
        <f t="shared" si="237"/>
        <v>Arco de balas</v>
      </c>
      <c r="AY777" s="2549"/>
      <c r="AZ777" s="774" t="str">
        <f t="shared" si="238"/>
        <v/>
      </c>
      <c r="BA777" s="76" t="str">
        <f t="shared" si="239"/>
        <v/>
      </c>
      <c r="BB777" s="76" t="str">
        <f t="shared" si="240"/>
        <v>Arco largo</v>
      </c>
      <c r="BC777" s="1142">
        <f>IF(OR($L775=BC$652,$L775="",$D775=$BE$651),MAX(BC$654:BC776)+1,0)</f>
        <v>0</v>
      </c>
      <c r="BD777" s="1143">
        <f>IF(OR($L775=BD$652,$L775="",$D775=$BE$651),MAX(BD$654:BD776)+1,0)</f>
        <v>0</v>
      </c>
      <c r="BE777" s="1144">
        <f>IF(OR($L775=BE$652,$L775="",$D775=$BE$651),MAX(BE$654:BE776)+1,0)</f>
        <v>122</v>
      </c>
      <c r="BF777" s="2549"/>
      <c r="BG777" s="774" t="str">
        <f t="shared" si="241"/>
        <v/>
      </c>
      <c r="BH777" s="76" t="str">
        <f t="shared" si="242"/>
        <v/>
      </c>
      <c r="BI777" s="76" t="str">
        <f t="shared" si="243"/>
        <v>Arco largo</v>
      </c>
      <c r="BJ777" s="1142">
        <f>IF(OR($L775=BJ$652,$L775="",$D775=$BL$651),MAX(BJ$654:BJ776)+1,0)</f>
        <v>0</v>
      </c>
      <c r="BK777" s="1143">
        <f>IF(OR($L775=BK$652,$L775="",$D775=$BL$651),MAX(BK$654:BK776)+1,0)</f>
        <v>0</v>
      </c>
      <c r="BL777" s="1144">
        <f>IF(OR($L775=BL$652,$L775="",$D775=$BL$651),MAX(BL$654:BL776)+1,0)</f>
        <v>122</v>
      </c>
      <c r="BM777" s="2549"/>
      <c r="BN777" s="774" t="str">
        <f t="shared" si="244"/>
        <v/>
      </c>
      <c r="BO777" s="76" t="str">
        <f t="shared" si="245"/>
        <v/>
      </c>
      <c r="BP777" s="76" t="str">
        <f t="shared" si="246"/>
        <v>Arco largo</v>
      </c>
      <c r="BQ777" s="1142">
        <f>IF(OR($L775=BQ$652,$L775="",$D775=$BS$651),MAX(BQ$654:BQ776)+1,0)</f>
        <v>0</v>
      </c>
      <c r="BR777" s="1143">
        <f>IF(OR($L775=BR$652,$L775="",$D775=$BS$651),MAX(BR$654:BR776)+1,0)</f>
        <v>0</v>
      </c>
      <c r="BS777" s="1144">
        <f>IF(OR($L775=BS$652,$L775="",$D775=$BS$651),MAX(BS$654:BS776)+1,0)</f>
        <v>122</v>
      </c>
      <c r="BT777" s="2549"/>
      <c r="BU777" s="774" t="str">
        <f t="shared" si="247"/>
        <v/>
      </c>
      <c r="BV777" s="76" t="str">
        <f t="shared" si="248"/>
        <v/>
      </c>
      <c r="BW777" s="76" t="str">
        <f t="shared" si="249"/>
        <v>Arco largo</v>
      </c>
      <c r="BX777" s="1142">
        <f>IF(OR($L775=BX$652,$L775="",$D775=$BZ$651),MAX(BX$654:BX776)+1,0)</f>
        <v>0</v>
      </c>
      <c r="BY777" s="1143">
        <f>IF(OR($L775=BY$652,$L775="",$D775=$BZ$651),MAX(BY$654:BY776)+1,0)</f>
        <v>0</v>
      </c>
      <c r="BZ777" s="1144">
        <f>IF(OR($L775=BZ$652,$L775="",$D775=$BZ$651),MAX(BZ$654:BZ776)+1,0)</f>
        <v>122</v>
      </c>
      <c r="CA777" s="2549"/>
      <c r="CB777" s="774" t="str">
        <f t="shared" si="250"/>
        <v/>
      </c>
      <c r="CC777" s="76" t="str">
        <f t="shared" si="251"/>
        <v/>
      </c>
      <c r="CD777" s="76" t="str">
        <f t="shared" si="252"/>
        <v>Arco largo</v>
      </c>
      <c r="CE777" s="1142">
        <f>IF(OR($L775=CE$652,$L775="",$D775=$CG$651),MAX(CE$654:CE776)+1,0)</f>
        <v>0</v>
      </c>
      <c r="CF777" s="1143">
        <f>IF(OR($L775=CF$652,$L775="",$D775=$CG$651),MAX(CF$654:CF776)+1,0)</f>
        <v>0</v>
      </c>
      <c r="CG777" s="1144">
        <f>IF(OR($L775=CG$652,$L775="",$D775=$CG$651),MAX(CG$654:CG776)+1,0)</f>
        <v>122</v>
      </c>
      <c r="CI777" s="774" t="str">
        <f t="shared" si="253"/>
        <v/>
      </c>
      <c r="CJ777" s="76" t="str">
        <f t="shared" si="254"/>
        <v/>
      </c>
      <c r="CK777" s="76" t="str">
        <f t="shared" si="255"/>
        <v>Arco largo</v>
      </c>
      <c r="CL777" s="1142">
        <f>IF(OR($L775=CL$652,$L775="",$D775=$CN$651),MAX(CL$654:CL776)+1,0)</f>
        <v>0</v>
      </c>
      <c r="CM777" s="1143">
        <f>IF(OR($L775=CM$652,$L775="",$D775=$CN$651),MAX(CM$654:CM776)+1,0)</f>
        <v>0</v>
      </c>
      <c r="CN777" s="1144">
        <f>IF(OR($L775=CN$652,$L775="",$D775=$CN$651),MAX(CN$654:CN776)+1,0)</f>
        <v>122</v>
      </c>
    </row>
    <row r="778" spans="1:92" ht="12.75" customHeight="1">
      <c r="A778" s="219">
        <v>769</v>
      </c>
      <c r="B778" s="7145"/>
      <c r="C778" s="1034"/>
      <c r="D778" s="2237" t="s">
        <v>2045</v>
      </c>
      <c r="E778" s="2236">
        <v>0</v>
      </c>
      <c r="F778" s="2236">
        <v>0</v>
      </c>
      <c r="G778" s="2236">
        <v>8</v>
      </c>
      <c r="H778" s="2236">
        <v>4</v>
      </c>
      <c r="I778" s="2236" t="s">
        <v>1315</v>
      </c>
      <c r="J778" s="2236" t="s">
        <v>1315</v>
      </c>
      <c r="K778" s="2433" t="s">
        <v>6848</v>
      </c>
      <c r="L778" s="2241" t="str">
        <f>IF(OR(ISNUMBER(SEARCH($D$778&amp;",",Armas_Conocidas)),ISNUMBER(SEARCH($D$779&amp;",",Armas_Conocidas)),ISNUMBER(SEARCH($D$780&amp;",",Armas_Conocidas))),"Conocida",IF(OR(ISNUMBER(SEARCH(LEFT($K778,SEARCH("/",$K778)),Tipologías_Conocidas)),AND(NOT(ISNUMBER(SEARCH("/-",$K778))),ISNUMBER(SEARCH(MID($K778,SEARCH("/",$K778)+1,LEN($K778)),Tipologías_Conocidas)))),IF(ISNUMBER(SEARCH($K778,Tipologías_Conocidas)),"Similar","Mixta"),"Distinta"))</f>
        <v>Distinta</v>
      </c>
      <c r="M778" s="2240">
        <v>8</v>
      </c>
      <c r="N778" s="2240">
        <v>-2</v>
      </c>
      <c r="O778" s="2240">
        <v>20</v>
      </c>
      <c r="P778" s="2236"/>
      <c r="Q778" s="2236"/>
      <c r="R778" s="2236" t="s">
        <v>1315</v>
      </c>
      <c r="S778" s="2236">
        <v>2</v>
      </c>
      <c r="T778" s="2236">
        <v>60</v>
      </c>
      <c r="U778" s="2241">
        <v>8</v>
      </c>
      <c r="V778" s="2433" t="s">
        <v>2046</v>
      </c>
      <c r="W778" s="2433"/>
      <c r="X778" s="2274" t="s">
        <v>9679</v>
      </c>
      <c r="Y778" s="2229">
        <f>VLOOKUP(U778,Tabla_BonoStats,2)</f>
        <v>10</v>
      </c>
      <c r="Z778" s="1150" t="str">
        <f t="shared" si="228"/>
        <v/>
      </c>
      <c r="AA778" s="1751" t="s">
        <v>2040</v>
      </c>
      <c r="AC778" s="2568" t="s">
        <v>9598</v>
      </c>
      <c r="AD778" s="758">
        <f>IFERROR(IF(IF(AC778&lt;&gt;"",VLOOKUP(AC778,Tabla_ArmasyEscudos,9,0),"")="Conocida",MAX(AD$662:AD777)+1,0),0)</f>
        <v>0</v>
      </c>
      <c r="AE778" s="758">
        <f ca="1">IF(AC778="",0,IF(AD778=0,MAX(AE$654:AE777,AG$652)+1,AD778+IFERROR(VLOOKUP(VLOOKUP(AC778,$D$653:$AA$871,24,0),AC$654:AE$661,3,0)-VLOOKUP(VLOOKUP(AC778,$D$653:$AA$871,24,0),AC$654:AE$661,2,0)+1,0)))</f>
        <v>118</v>
      </c>
      <c r="AF778" s="758" t="str">
        <f t="shared" ca="1" si="229"/>
        <v>Venus</v>
      </c>
      <c r="AG778" s="758" t="str">
        <f t="shared" ca="1" si="230"/>
        <v/>
      </c>
      <c r="AH778" s="2568"/>
      <c r="AI778" s="758">
        <f>IFERROR(IF(IF(AH778&lt;&gt;"",VLOOKUP(AH778,Tabla_ArmasyEscudos,9,0),"")="Conocida",MAX(AI$660:AI777)+1,0),0)</f>
        <v>0</v>
      </c>
      <c r="AJ778" s="758">
        <f>IF(AH778="",0,IF(AI778=0,MAX(AJ$654:AJ777,AL$652)+1,AI778+IFERROR(VLOOKUP(VLOOKUP(AH778,$D$653:$AA$871,24,0),AH$654:AJ$659,3,0)-VLOOKUP(VLOOKUP(AH778,$D$653:$AA$871,24,0),AH$654:AJ$659,2,0)+1,0)))</f>
        <v>0</v>
      </c>
      <c r="AK778" s="758" t="str">
        <f t="shared" ca="1" si="231"/>
        <v/>
      </c>
      <c r="AL778" s="758" t="str">
        <f t="shared" ca="1" si="232"/>
        <v/>
      </c>
      <c r="AM778" s="2568"/>
      <c r="AN778" s="758">
        <f>IFERROR(IF(IF(AM778&lt;&gt;"",VLOOKUP(AM778,Tabla_ArmasyEscudos,9,0),"")="Conocida",MAX(AN$660:AN777)+1,0),0)</f>
        <v>0</v>
      </c>
      <c r="AO778" s="758">
        <f>IF(AM778="",0,IF(AN778=0,MAX(AO$654:AO777,AQ$652)+1,AN778+IFERROR(VLOOKUP(VLOOKUP(AM778,$D$653:$AA$871,24,0),AM$654:AO$659,3,0)-VLOOKUP(VLOOKUP(AM778,$D$653:$AA$871,24,0),AM$654:AO$659,2,0)+1,0)))</f>
        <v>0</v>
      </c>
      <c r="AP778" s="758" t="str">
        <f t="shared" ca="1" si="233"/>
        <v/>
      </c>
      <c r="AQ778" s="758" t="str">
        <f t="shared" ca="1" si="234"/>
        <v/>
      </c>
      <c r="AR778" s="2568"/>
      <c r="AS778" s="758">
        <f>IFERROR(IF(IF(AR778&lt;&gt;"",VLOOKUP(AR778,Tabla_ArmasyEscudos,9,0),"")="Conocida",MAX(AS$660:AS777)+1,0),0)</f>
        <v>0</v>
      </c>
      <c r="AT778" s="758">
        <f>IF(AR778="",0,IF(AS778=0,MAX(AT$654:AT777,AV$652)+1,AS778+IFERROR(VLOOKUP(VLOOKUP(AR778,$D$653:$AA$871,24,0),AR$654:AT$659,3,0)-VLOOKUP(VLOOKUP(AR778,$D$653:$AA$871,24,0),AR$654:AT$659,2,0)+1,0)))</f>
        <v>0</v>
      </c>
      <c r="AU778" s="758" t="str">
        <f t="shared" ca="1" si="235"/>
        <v/>
      </c>
      <c r="AV778" s="758" t="str">
        <f t="shared" ca="1" si="236"/>
        <v/>
      </c>
      <c r="AX778" s="1141" t="str">
        <f t="shared" si="237"/>
        <v>Arco largo</v>
      </c>
      <c r="AY778" s="2549"/>
      <c r="AZ778" s="774" t="str">
        <f t="shared" si="238"/>
        <v/>
      </c>
      <c r="BA778" s="76" t="str">
        <f t="shared" si="239"/>
        <v/>
      </c>
      <c r="BB778" s="76" t="str">
        <f t="shared" si="240"/>
        <v>Atlatl</v>
      </c>
      <c r="BC778" s="1142">
        <f>IF(OR($L776=BC$652,$L776="",$D776=$BE$651),MAX(BC$654:BC777)+1,0)</f>
        <v>0</v>
      </c>
      <c r="BD778" s="1143">
        <f>IF(OR($L776=BD$652,$L776="",$D776=$BE$651),MAX(BD$654:BD777)+1,0)</f>
        <v>0</v>
      </c>
      <c r="BE778" s="1144">
        <f>IF(OR($L776=BE$652,$L776="",$D776=$BE$651),MAX(BE$654:BE777)+1,0)</f>
        <v>123</v>
      </c>
      <c r="BF778" s="2549"/>
      <c r="BG778" s="774" t="str">
        <f t="shared" si="241"/>
        <v/>
      </c>
      <c r="BH778" s="76" t="str">
        <f t="shared" si="242"/>
        <v/>
      </c>
      <c r="BI778" s="76" t="str">
        <f t="shared" si="243"/>
        <v>Atlatl</v>
      </c>
      <c r="BJ778" s="1142">
        <f>IF(OR($L776=BJ$652,$L776="",$D776=$BL$651),MAX(BJ$654:BJ777)+1,0)</f>
        <v>0</v>
      </c>
      <c r="BK778" s="1143">
        <f>IF(OR($L776=BK$652,$L776="",$D776=$BL$651),MAX(BK$654:BK777)+1,0)</f>
        <v>0</v>
      </c>
      <c r="BL778" s="1144">
        <f>IF(OR($L776=BL$652,$L776="",$D776=$BL$651),MAX(BL$654:BL777)+1,0)</f>
        <v>123</v>
      </c>
      <c r="BM778" s="2549"/>
      <c r="BN778" s="774" t="str">
        <f t="shared" si="244"/>
        <v/>
      </c>
      <c r="BO778" s="76" t="str">
        <f t="shared" si="245"/>
        <v/>
      </c>
      <c r="BP778" s="76" t="str">
        <f t="shared" si="246"/>
        <v>Atlatl</v>
      </c>
      <c r="BQ778" s="1142">
        <f>IF(OR($L776=BQ$652,$L776="",$D776=$BS$651),MAX(BQ$654:BQ777)+1,0)</f>
        <v>0</v>
      </c>
      <c r="BR778" s="1143">
        <f>IF(OR($L776=BR$652,$L776="",$D776=$BS$651),MAX(BR$654:BR777)+1,0)</f>
        <v>0</v>
      </c>
      <c r="BS778" s="1144">
        <f>IF(OR($L776=BS$652,$L776="",$D776=$BS$651),MAX(BS$654:BS777)+1,0)</f>
        <v>123</v>
      </c>
      <c r="BT778" s="2549"/>
      <c r="BU778" s="774" t="str">
        <f t="shared" si="247"/>
        <v/>
      </c>
      <c r="BV778" s="76" t="str">
        <f t="shared" si="248"/>
        <v/>
      </c>
      <c r="BW778" s="76" t="str">
        <f t="shared" si="249"/>
        <v>Atlatl</v>
      </c>
      <c r="BX778" s="1142">
        <f>IF(OR($L776=BX$652,$L776="",$D776=$BZ$651),MAX(BX$654:BX777)+1,0)</f>
        <v>0</v>
      </c>
      <c r="BY778" s="1143">
        <f>IF(OR($L776=BY$652,$L776="",$D776=$BZ$651),MAX(BY$654:BY777)+1,0)</f>
        <v>0</v>
      </c>
      <c r="BZ778" s="1144">
        <f>IF(OR($L776=BZ$652,$L776="",$D776=$BZ$651),MAX(BZ$654:BZ777)+1,0)</f>
        <v>123</v>
      </c>
      <c r="CA778" s="2549"/>
      <c r="CB778" s="774" t="str">
        <f t="shared" si="250"/>
        <v/>
      </c>
      <c r="CC778" s="76" t="str">
        <f t="shared" si="251"/>
        <v/>
      </c>
      <c r="CD778" s="76" t="str">
        <f t="shared" si="252"/>
        <v>Atlatl</v>
      </c>
      <c r="CE778" s="1142">
        <f>IF(OR($L776=CE$652,$L776="",$D776=$CG$651),MAX(CE$654:CE777)+1,0)</f>
        <v>0</v>
      </c>
      <c r="CF778" s="1143">
        <f>IF(OR($L776=CF$652,$L776="",$D776=$CG$651),MAX(CF$654:CF777)+1,0)</f>
        <v>0</v>
      </c>
      <c r="CG778" s="1144">
        <f>IF(OR($L776=CG$652,$L776="",$D776=$CG$651),MAX(CG$654:CG777)+1,0)</f>
        <v>123</v>
      </c>
      <c r="CI778" s="774" t="str">
        <f t="shared" si="253"/>
        <v/>
      </c>
      <c r="CJ778" s="76" t="str">
        <f t="shared" si="254"/>
        <v/>
      </c>
      <c r="CK778" s="76" t="str">
        <f t="shared" si="255"/>
        <v>Atlatl</v>
      </c>
      <c r="CL778" s="1142">
        <f>IF(OR($L776=CL$652,$L776="",$D776=$CN$651),MAX(CL$654:CL777)+1,0)</f>
        <v>0</v>
      </c>
      <c r="CM778" s="1143">
        <f>IF(OR($L776=CM$652,$L776="",$D776=$CN$651),MAX(CM$654:CM777)+1,0)</f>
        <v>0</v>
      </c>
      <c r="CN778" s="1144">
        <f>IF(OR($L776=CN$652,$L776="",$D776=$CN$651),MAX(CN$654:CN777)+1,0)</f>
        <v>123</v>
      </c>
    </row>
    <row r="779" spans="1:92" ht="12.75" customHeight="1">
      <c r="A779" s="219">
        <v>770</v>
      </c>
      <c r="B779" s="7145"/>
      <c r="C779" s="1034"/>
      <c r="D779" s="3876" t="s">
        <v>2047</v>
      </c>
      <c r="E779" s="3878">
        <v>0</v>
      </c>
      <c r="F779" s="3878">
        <v>10</v>
      </c>
      <c r="G779" s="3878">
        <v>3</v>
      </c>
      <c r="H779" s="3878">
        <v>3</v>
      </c>
      <c r="I779" s="3878" t="s">
        <v>1315</v>
      </c>
      <c r="J779" s="3878" t="s">
        <v>1315</v>
      </c>
      <c r="K779" s="3879" t="s">
        <v>6848</v>
      </c>
      <c r="L779" s="3878" t="str">
        <f>$L$778</f>
        <v>Distinta</v>
      </c>
      <c r="M779" s="3880">
        <v>5</v>
      </c>
      <c r="N779" s="3880">
        <v>-4</v>
      </c>
      <c r="O779" s="3880">
        <v>15</v>
      </c>
      <c r="P779" s="3878"/>
      <c r="Q779" s="3878"/>
      <c r="R779" s="3878" t="s">
        <v>1315</v>
      </c>
      <c r="S779" s="3878">
        <v>2</v>
      </c>
      <c r="T779" s="3878">
        <v>30</v>
      </c>
      <c r="U779" s="3878">
        <v>5</v>
      </c>
      <c r="V779" s="3879" t="s">
        <v>12447</v>
      </c>
      <c r="W779" s="2433"/>
      <c r="X779" s="2274" t="s">
        <v>9679</v>
      </c>
      <c r="Y779" s="2229">
        <f>VLOOKUP(U779,Tabla_BonoStats,2)</f>
        <v>0</v>
      </c>
      <c r="Z779" s="2436"/>
      <c r="AA779" s="1751" t="s">
        <v>2040</v>
      </c>
      <c r="AC779" s="2568" t="s">
        <v>9599</v>
      </c>
      <c r="AD779" s="758">
        <f>IFERROR(IF(IF(AC779&lt;&gt;"",VLOOKUP(AC779,Tabla_ArmasyEscudos,9,0),"")="Conocida",MAX(AD$662:AD778)+1,0),0)</f>
        <v>0</v>
      </c>
      <c r="AE779" s="758">
        <f ca="1">IF(AC779="",0,IF(AD779=0,MAX(AE$654:AE778,AG$652)+1,AD779+IFERROR(VLOOKUP(VLOOKUP(AC779,$D$653:$AA$871,24,0),AC$654:AE$661,3,0)-VLOOKUP(VLOOKUP(AC779,$D$653:$AA$871,24,0),AC$654:AE$661,2,0)+1,0)))</f>
        <v>119</v>
      </c>
      <c r="AF779" s="758" t="str">
        <f t="shared" ca="1" si="229"/>
        <v>Terra</v>
      </c>
      <c r="AG779" s="758" t="str">
        <f t="shared" ca="1" si="230"/>
        <v/>
      </c>
      <c r="AH779" s="2568"/>
      <c r="AI779" s="758">
        <f>IFERROR(IF(IF(AH779&lt;&gt;"",VLOOKUP(AH779,Tabla_ArmasyEscudos,9,0),"")="Conocida",MAX(AI$660:AI778)+1,0),0)</f>
        <v>0</v>
      </c>
      <c r="AJ779" s="758">
        <f>IF(AH779="",0,IF(AI779=0,MAX(AJ$654:AJ778,AL$652)+1,AI779+IFERROR(VLOOKUP(VLOOKUP(AH779,$D$653:$AA$871,24,0),AH$654:AJ$659,3,0)-VLOOKUP(VLOOKUP(AH779,$D$653:$AA$871,24,0),AH$654:AJ$659,2,0)+1,0)))</f>
        <v>0</v>
      </c>
      <c r="AK779" s="758" t="str">
        <f t="shared" ca="1" si="231"/>
        <v/>
      </c>
      <c r="AL779" s="758" t="str">
        <f t="shared" ca="1" si="232"/>
        <v/>
      </c>
      <c r="AM779" s="2568"/>
      <c r="AN779" s="758">
        <f>IFERROR(IF(IF(AM779&lt;&gt;"",VLOOKUP(AM779,Tabla_ArmasyEscudos,9,0),"")="Conocida",MAX(AN$660:AN778)+1,0),0)</f>
        <v>0</v>
      </c>
      <c r="AO779" s="758">
        <f>IF(AM779="",0,IF(AN779=0,MAX(AO$654:AO778,AQ$652)+1,AN779+IFERROR(VLOOKUP(VLOOKUP(AM779,$D$653:$AA$871,24,0),AM$654:AO$659,3,0)-VLOOKUP(VLOOKUP(AM779,$D$653:$AA$871,24,0),AM$654:AO$659,2,0)+1,0)))</f>
        <v>0</v>
      </c>
      <c r="AP779" s="758" t="str">
        <f t="shared" ca="1" si="233"/>
        <v/>
      </c>
      <c r="AQ779" s="758" t="str">
        <f t="shared" ca="1" si="234"/>
        <v/>
      </c>
      <c r="AR779" s="2568"/>
      <c r="AS779" s="758">
        <f>IFERROR(IF(IF(AR779&lt;&gt;"",VLOOKUP(AR779,Tabla_ArmasyEscudos,9,0),"")="Conocida",MAX(AS$660:AS778)+1,0),0)</f>
        <v>0</v>
      </c>
      <c r="AT779" s="758">
        <f>IF(AR779="",0,IF(AS779=0,MAX(AT$654:AT778,AV$652)+1,AS779+IFERROR(VLOOKUP(VLOOKUP(AR779,$D$653:$AA$871,24,0),AR$654:AT$659,3,0)-VLOOKUP(VLOOKUP(AR779,$D$653:$AA$871,24,0),AR$654:AT$659,2,0)+1,0)))</f>
        <v>0</v>
      </c>
      <c r="AU779" s="758" t="str">
        <f t="shared" ca="1" si="235"/>
        <v/>
      </c>
      <c r="AV779" s="758" t="str">
        <f t="shared" ca="1" si="236"/>
        <v/>
      </c>
      <c r="AX779" s="1141" t="str">
        <f t="shared" si="237"/>
        <v>Atlatl</v>
      </c>
      <c r="AY779" s="2549"/>
      <c r="AZ779" s="774" t="str">
        <f t="shared" si="238"/>
        <v/>
      </c>
      <c r="BA779" s="76" t="str">
        <f t="shared" si="239"/>
        <v/>
      </c>
      <c r="BB779" s="76" t="str">
        <f t="shared" si="240"/>
        <v>Ballesta</v>
      </c>
      <c r="BC779" s="1142">
        <f>IF(OR($L777=BC$652,$L777="",$D777=$BE$651),MAX(BC$654:BC778)+1,0)</f>
        <v>0</v>
      </c>
      <c r="BD779" s="1143">
        <f>IF(OR($L777=BD$652,$L777="",$D777=$BE$651),MAX(BD$654:BD778)+1,0)</f>
        <v>0</v>
      </c>
      <c r="BE779" s="1144">
        <f>IF(OR($L777=BE$652,$L777="",$D777=$BE$651),MAX(BE$654:BE778)+1,0)</f>
        <v>124</v>
      </c>
      <c r="BF779" s="2549"/>
      <c r="BG779" s="774" t="str">
        <f t="shared" si="241"/>
        <v/>
      </c>
      <c r="BH779" s="76" t="str">
        <f t="shared" si="242"/>
        <v/>
      </c>
      <c r="BI779" s="76" t="str">
        <f t="shared" si="243"/>
        <v>Ballesta</v>
      </c>
      <c r="BJ779" s="1142">
        <f>IF(OR($L777=BJ$652,$L777="",$D777=$BL$651),MAX(BJ$654:BJ778)+1,0)</f>
        <v>0</v>
      </c>
      <c r="BK779" s="1143">
        <f>IF(OR($L777=BK$652,$L777="",$D777=$BL$651),MAX(BK$654:BK778)+1,0)</f>
        <v>0</v>
      </c>
      <c r="BL779" s="1144">
        <f>IF(OR($L777=BL$652,$L777="",$D777=$BL$651),MAX(BL$654:BL778)+1,0)</f>
        <v>124</v>
      </c>
      <c r="BM779" s="2549"/>
      <c r="BN779" s="774" t="str">
        <f t="shared" si="244"/>
        <v/>
      </c>
      <c r="BO779" s="76" t="str">
        <f t="shared" si="245"/>
        <v/>
      </c>
      <c r="BP779" s="76" t="str">
        <f t="shared" si="246"/>
        <v>Ballesta</v>
      </c>
      <c r="BQ779" s="1142">
        <f>IF(OR($L777=BQ$652,$L777="",$D777=$BS$651),MAX(BQ$654:BQ778)+1,0)</f>
        <v>0</v>
      </c>
      <c r="BR779" s="1143">
        <f>IF(OR($L777=BR$652,$L777="",$D777=$BS$651),MAX(BR$654:BR778)+1,0)</f>
        <v>0</v>
      </c>
      <c r="BS779" s="1144">
        <f>IF(OR($L777=BS$652,$L777="",$D777=$BS$651),MAX(BS$654:BS778)+1,0)</f>
        <v>124</v>
      </c>
      <c r="BT779" s="2549"/>
      <c r="BU779" s="774" t="str">
        <f t="shared" si="247"/>
        <v/>
      </c>
      <c r="BV779" s="76" t="str">
        <f t="shared" si="248"/>
        <v/>
      </c>
      <c r="BW779" s="76" t="str">
        <f t="shared" si="249"/>
        <v>Ballesta</v>
      </c>
      <c r="BX779" s="1142">
        <f>IF(OR($L777=BX$652,$L777="",$D777=$BZ$651),MAX(BX$654:BX778)+1,0)</f>
        <v>0</v>
      </c>
      <c r="BY779" s="1143">
        <f>IF(OR($L777=BY$652,$L777="",$D777=$BZ$651),MAX(BY$654:BY778)+1,0)</f>
        <v>0</v>
      </c>
      <c r="BZ779" s="1144">
        <f>IF(OR($L777=BZ$652,$L777="",$D777=$BZ$651),MAX(BZ$654:BZ778)+1,0)</f>
        <v>124</v>
      </c>
      <c r="CA779" s="2549"/>
      <c r="CB779" s="774" t="str">
        <f t="shared" si="250"/>
        <v/>
      </c>
      <c r="CC779" s="76" t="str">
        <f t="shared" si="251"/>
        <v/>
      </c>
      <c r="CD779" s="76" t="str">
        <f t="shared" si="252"/>
        <v>Ballesta</v>
      </c>
      <c r="CE779" s="1142">
        <f>IF(OR($L777=CE$652,$L777="",$D777=$CG$651),MAX(CE$654:CE778)+1,0)</f>
        <v>0</v>
      </c>
      <c r="CF779" s="1143">
        <f>IF(OR($L777=CF$652,$L777="",$D777=$CG$651),MAX(CF$654:CF778)+1,0)</f>
        <v>0</v>
      </c>
      <c r="CG779" s="1144">
        <f>IF(OR($L777=CG$652,$L777="",$D777=$CG$651),MAX(CG$654:CG778)+1,0)</f>
        <v>124</v>
      </c>
      <c r="CI779" s="774" t="str">
        <f t="shared" si="253"/>
        <v/>
      </c>
      <c r="CJ779" s="76" t="str">
        <f t="shared" si="254"/>
        <v/>
      </c>
      <c r="CK779" s="76" t="str">
        <f t="shared" si="255"/>
        <v>Ballesta</v>
      </c>
      <c r="CL779" s="1142">
        <f>IF(OR($L777=CL$652,$L777="",$D777=$CN$651),MAX(CL$654:CL778)+1,0)</f>
        <v>0</v>
      </c>
      <c r="CM779" s="1143">
        <f>IF(OR($L777=CM$652,$L777="",$D777=$CN$651),MAX(CM$654:CM778)+1,0)</f>
        <v>0</v>
      </c>
      <c r="CN779" s="1144">
        <f>IF(OR($L777=CN$652,$L777="",$D777=$CN$651),MAX(CN$654:CN778)+1,0)</f>
        <v>124</v>
      </c>
    </row>
    <row r="780" spans="1:92" ht="12.75" customHeight="1">
      <c r="A780" s="219">
        <v>771</v>
      </c>
      <c r="B780" s="7145"/>
      <c r="C780" s="1034"/>
      <c r="D780" s="2237" t="s">
        <v>2048</v>
      </c>
      <c r="E780" s="2236">
        <v>0</v>
      </c>
      <c r="F780" s="2236">
        <v>0</v>
      </c>
      <c r="G780" s="2236">
        <v>8</v>
      </c>
      <c r="H780" s="2236">
        <v>4</v>
      </c>
      <c r="I780" s="2236" t="s">
        <v>1315</v>
      </c>
      <c r="J780" s="2236" t="s">
        <v>1315</v>
      </c>
      <c r="K780" s="2433" t="s">
        <v>6848</v>
      </c>
      <c r="L780" s="2241" t="str">
        <f>$L$778</f>
        <v>Distinta</v>
      </c>
      <c r="M780" s="2240">
        <v>6</v>
      </c>
      <c r="N780" s="2240">
        <v>-2</v>
      </c>
      <c r="O780" s="2240">
        <v>20</v>
      </c>
      <c r="P780" s="2236"/>
      <c r="Q780" s="2236"/>
      <c r="R780" s="2236" t="s">
        <v>1315</v>
      </c>
      <c r="S780" s="2236">
        <v>3</v>
      </c>
      <c r="T780" s="2236">
        <v>60</v>
      </c>
      <c r="U780" s="2241">
        <v>8</v>
      </c>
      <c r="V780" s="2433" t="s">
        <v>2046</v>
      </c>
      <c r="W780" s="2433"/>
      <c r="X780" s="2274" t="s">
        <v>9679</v>
      </c>
      <c r="Y780" s="2229">
        <f>VLOOKUP(U780,Tabla_BonoStats,2)</f>
        <v>10</v>
      </c>
      <c r="Z780" s="2436"/>
      <c r="AA780" s="1751" t="s">
        <v>2040</v>
      </c>
      <c r="AC780" s="2568" t="s">
        <v>9600</v>
      </c>
      <c r="AD780" s="758">
        <f>IFERROR(IF(IF(AC780&lt;&gt;"",VLOOKUP(AC780,Tabla_ArmasyEscudos,9,0),"")="Conocida",MAX(AD$662:AD779)+1,0),0)</f>
        <v>0</v>
      </c>
      <c r="AE780" s="758">
        <f ca="1">IF(AC780="",0,IF(AD780=0,MAX(AE$654:AE779,AG$652)+1,AD780+IFERROR(VLOOKUP(VLOOKUP(AC780,$D$653:$AA$871,24,0),AC$654:AE$661,3,0)-VLOOKUP(VLOOKUP(AC780,$D$653:$AA$871,24,0),AC$654:AE$661,2,0)+1,0)))</f>
        <v>120</v>
      </c>
      <c r="AF780" s="758" t="str">
        <f t="shared" ca="1" si="229"/>
        <v>Jupiter</v>
      </c>
      <c r="AG780" s="758" t="str">
        <f t="shared" ca="1" si="230"/>
        <v/>
      </c>
      <c r="AH780" s="2568"/>
      <c r="AI780" s="758">
        <f>IFERROR(IF(IF(AH780&lt;&gt;"",VLOOKUP(AH780,Tabla_ArmasyEscudos,9,0),"")="Conocida",MAX(AI$660:AI779)+1,0),0)</f>
        <v>0</v>
      </c>
      <c r="AJ780" s="758">
        <f>IF(AH780="",0,IF(AI780=0,MAX(AJ$654:AJ779,AL$652)+1,AI780+IFERROR(VLOOKUP(VLOOKUP(AH780,$D$653:$AA$871,24,0),AH$654:AJ$659,3,0)-VLOOKUP(VLOOKUP(AH780,$D$653:$AA$871,24,0),AH$654:AJ$659,2,0)+1,0)))</f>
        <v>0</v>
      </c>
      <c r="AK780" s="758" t="str">
        <f t="shared" ca="1" si="231"/>
        <v/>
      </c>
      <c r="AL780" s="758" t="str">
        <f t="shared" ca="1" si="232"/>
        <v/>
      </c>
      <c r="AM780" s="2568"/>
      <c r="AN780" s="758">
        <f>IFERROR(IF(IF(AM780&lt;&gt;"",VLOOKUP(AM780,Tabla_ArmasyEscudos,9,0),"")="Conocida",MAX(AN$660:AN779)+1,0),0)</f>
        <v>0</v>
      </c>
      <c r="AO780" s="758">
        <f>IF(AM780="",0,IF(AN780=0,MAX(AO$654:AO779,AQ$652)+1,AN780+IFERROR(VLOOKUP(VLOOKUP(AM780,$D$653:$AA$871,24,0),AM$654:AO$659,3,0)-VLOOKUP(VLOOKUP(AM780,$D$653:$AA$871,24,0),AM$654:AO$659,2,0)+1,0)))</f>
        <v>0</v>
      </c>
      <c r="AP780" s="758" t="str">
        <f t="shared" ca="1" si="233"/>
        <v/>
      </c>
      <c r="AQ780" s="758" t="str">
        <f t="shared" ca="1" si="234"/>
        <v/>
      </c>
      <c r="AR780" s="2568"/>
      <c r="AS780" s="758">
        <f>IFERROR(IF(IF(AR780&lt;&gt;"",VLOOKUP(AR780,Tabla_ArmasyEscudos,9,0),"")="Conocida",MAX(AS$660:AS779)+1,0),0)</f>
        <v>0</v>
      </c>
      <c r="AT780" s="758">
        <f>IF(AR780="",0,IF(AS780=0,MAX(AT$654:AT779,AV$652)+1,AS780+IFERROR(VLOOKUP(VLOOKUP(AR780,$D$653:$AA$871,24,0),AR$654:AT$659,3,0)-VLOOKUP(VLOOKUP(AR780,$D$653:$AA$871,24,0),AR$654:AT$659,2,0)+1,0)))</f>
        <v>0</v>
      </c>
      <c r="AU780" s="758" t="str">
        <f t="shared" ca="1" si="235"/>
        <v/>
      </c>
      <c r="AV780" s="758" t="str">
        <f t="shared" ca="1" si="236"/>
        <v/>
      </c>
      <c r="AX780" s="1141" t="str">
        <f t="shared" si="237"/>
        <v>Ballesta</v>
      </c>
      <c r="AY780" s="2549"/>
      <c r="AZ780" s="774" t="str">
        <f t="shared" si="238"/>
        <v/>
      </c>
      <c r="BA780" s="76" t="str">
        <f t="shared" si="239"/>
        <v/>
      </c>
      <c r="BB780" s="76" t="str">
        <f t="shared" si="240"/>
        <v>Ballesta de mano</v>
      </c>
      <c r="BC780" s="1142">
        <f>IF(OR($L778=BC$652,$L778="",$D778=$BE$651),MAX(BC$654:BC779)+1,0)</f>
        <v>0</v>
      </c>
      <c r="BD780" s="1143">
        <f>IF(OR($L778=BD$652,$L778="",$D778=$BE$651),MAX(BD$654:BD779)+1,0)</f>
        <v>0</v>
      </c>
      <c r="BE780" s="1144">
        <f>IF(OR($L778=BE$652,$L778="",$D778=$BE$651),MAX(BE$654:BE779)+1,0)</f>
        <v>125</v>
      </c>
      <c r="BF780" s="2549"/>
      <c r="BG780" s="774" t="str">
        <f t="shared" si="241"/>
        <v/>
      </c>
      <c r="BH780" s="76" t="str">
        <f t="shared" si="242"/>
        <v/>
      </c>
      <c r="BI780" s="76" t="str">
        <f t="shared" si="243"/>
        <v>Ballesta de mano</v>
      </c>
      <c r="BJ780" s="1142">
        <f>IF(OR($L778=BJ$652,$L778="",$D778=$BL$651),MAX(BJ$654:BJ779)+1,0)</f>
        <v>0</v>
      </c>
      <c r="BK780" s="1143">
        <f>IF(OR($L778=BK$652,$L778="",$D778=$BL$651),MAX(BK$654:BK779)+1,0)</f>
        <v>0</v>
      </c>
      <c r="BL780" s="1144">
        <f>IF(OR($L778=BL$652,$L778="",$D778=$BL$651),MAX(BL$654:BL779)+1,0)</f>
        <v>125</v>
      </c>
      <c r="BM780" s="2549"/>
      <c r="BN780" s="774" t="str">
        <f t="shared" si="244"/>
        <v/>
      </c>
      <c r="BO780" s="76" t="str">
        <f t="shared" si="245"/>
        <v/>
      </c>
      <c r="BP780" s="76" t="str">
        <f t="shared" si="246"/>
        <v>Ballesta de mano</v>
      </c>
      <c r="BQ780" s="1142">
        <f>IF(OR($L778=BQ$652,$L778="",$D778=$BS$651),MAX(BQ$654:BQ779)+1,0)</f>
        <v>0</v>
      </c>
      <c r="BR780" s="1143">
        <f>IF(OR($L778=BR$652,$L778="",$D778=$BS$651),MAX(BR$654:BR779)+1,0)</f>
        <v>0</v>
      </c>
      <c r="BS780" s="1144">
        <f>IF(OR($L778=BS$652,$L778="",$D778=$BS$651),MAX(BS$654:BS779)+1,0)</f>
        <v>125</v>
      </c>
      <c r="BT780" s="2549"/>
      <c r="BU780" s="774" t="str">
        <f t="shared" si="247"/>
        <v/>
      </c>
      <c r="BV780" s="76" t="str">
        <f t="shared" si="248"/>
        <v/>
      </c>
      <c r="BW780" s="76" t="str">
        <f t="shared" si="249"/>
        <v>Ballesta de mano</v>
      </c>
      <c r="BX780" s="1142">
        <f>IF(OR($L778=BX$652,$L778="",$D778=$BZ$651),MAX(BX$654:BX779)+1,0)</f>
        <v>0</v>
      </c>
      <c r="BY780" s="1143">
        <f>IF(OR($L778=BY$652,$L778="",$D778=$BZ$651),MAX(BY$654:BY779)+1,0)</f>
        <v>0</v>
      </c>
      <c r="BZ780" s="1144">
        <f>IF(OR($L778=BZ$652,$L778="",$D778=$BZ$651),MAX(BZ$654:BZ779)+1,0)</f>
        <v>125</v>
      </c>
      <c r="CA780" s="2549"/>
      <c r="CB780" s="774" t="str">
        <f t="shared" si="250"/>
        <v/>
      </c>
      <c r="CC780" s="76" t="str">
        <f t="shared" si="251"/>
        <v/>
      </c>
      <c r="CD780" s="76" t="str">
        <f t="shared" si="252"/>
        <v>Ballesta de mano</v>
      </c>
      <c r="CE780" s="1142">
        <f>IF(OR($L778=CE$652,$L778="",$D778=$CG$651),MAX(CE$654:CE779)+1,0)</f>
        <v>0</v>
      </c>
      <c r="CF780" s="1143">
        <f>IF(OR($L778=CF$652,$L778="",$D778=$CG$651),MAX(CF$654:CF779)+1,0)</f>
        <v>0</v>
      </c>
      <c r="CG780" s="1144">
        <f>IF(OR($L778=CG$652,$L778="",$D778=$CG$651),MAX(CG$654:CG779)+1,0)</f>
        <v>125</v>
      </c>
      <c r="CI780" s="774" t="str">
        <f t="shared" si="253"/>
        <v/>
      </c>
      <c r="CJ780" s="76" t="str">
        <f t="shared" si="254"/>
        <v/>
      </c>
      <c r="CK780" s="76" t="str">
        <f t="shared" si="255"/>
        <v>Ballesta de mano</v>
      </c>
      <c r="CL780" s="1142">
        <f>IF(OR($L778=CL$652,$L778="",$D778=$CN$651),MAX(CL$654:CL779)+1,0)</f>
        <v>0</v>
      </c>
      <c r="CM780" s="1143">
        <f>IF(OR($L778=CM$652,$L778="",$D778=$CN$651),MAX(CM$654:CM779)+1,0)</f>
        <v>0</v>
      </c>
      <c r="CN780" s="1144">
        <f>IF(OR($L778=CN$652,$L778="",$D778=$CN$651),MAX(CN$654:CN779)+1,0)</f>
        <v>125</v>
      </c>
    </row>
    <row r="781" spans="1:92" ht="12.75" customHeight="1">
      <c r="A781" s="219">
        <v>772</v>
      </c>
      <c r="B781" s="7145"/>
      <c r="C781" s="1034"/>
      <c r="D781" s="2237" t="s">
        <v>2049</v>
      </c>
      <c r="E781" s="2236">
        <v>0</v>
      </c>
      <c r="F781" s="2236">
        <v>-20</v>
      </c>
      <c r="G781" s="2236">
        <v>10</v>
      </c>
      <c r="H781" s="2236">
        <v>7</v>
      </c>
      <c r="I781" s="2236" t="s">
        <v>1315</v>
      </c>
      <c r="J781" s="2236" t="s">
        <v>1315</v>
      </c>
      <c r="K781" s="2433" t="s">
        <v>6848</v>
      </c>
      <c r="L781" s="2236" t="str">
        <f>IF(ISNUMBER(SEARCH($D781&amp;",",Armas_Conocidas)),"Conocida",IF(AND(NOT(ISNUMBER(SEARCH(LEFT($K781,SEARCH("/",$K781)-1),Tipologías_Conocidas))),OR(RIGHT($K781,2)="/-",NOT(ISNUMBER(SEARCH(MID($K781,SEARCH("/",$K781)+1,LEN($K781)),Tipologías_Conocidas))))),"Distinta",IF(OR(ISNUMBER(SEARCH($K781,Tipologías_Conocidas)),AND(ISNUMBER(SEARCH(LEFT($K781,SEARCH("/",$K781)-1)&amp;"/-",Tipologías_Conocidas)),ISNUMBER(SEARCH(MID($K781,SEARCH("/",$K781)+1,LEN($K781))&amp;"/-",Tipologías_Conocidas)))),"Similar","Mixta")))</f>
        <v>Distinta</v>
      </c>
      <c r="M781" s="2240">
        <v>8</v>
      </c>
      <c r="N781" s="2240">
        <v>-1</v>
      </c>
      <c r="O781" s="2240">
        <v>20</v>
      </c>
      <c r="P781" s="2236"/>
      <c r="Q781" s="2236"/>
      <c r="R781" s="2236" t="s">
        <v>1315</v>
      </c>
      <c r="S781" s="2236">
        <v>2</v>
      </c>
      <c r="T781" s="2236">
        <v>80</v>
      </c>
      <c r="U781" s="2241">
        <v>10</v>
      </c>
      <c r="V781" s="2433" t="s">
        <v>2046</v>
      </c>
      <c r="W781" s="2433"/>
      <c r="X781" s="2274" t="s">
        <v>9679</v>
      </c>
      <c r="Y781" s="2229">
        <f>VLOOKUP(U781,Tabla_BonoStats,2)</f>
        <v>15</v>
      </c>
      <c r="Z781" s="1150" t="str">
        <f t="shared" ref="Z781:Z808" si="257">IF(AND(K781&lt;&gt;"Natural/-",ISNUMBER(SEARCH(D781&amp;",",Armas_Conocidas))),", "&amp;K781,"")</f>
        <v/>
      </c>
      <c r="AA781" s="1751" t="s">
        <v>2040</v>
      </c>
      <c r="AC781" s="758" t="s">
        <v>12559</v>
      </c>
      <c r="AD781" s="758">
        <f>IFERROR(IF(IF(AC781&lt;&gt;"",VLOOKUP(AC781,Tabla_ArmasyEscudos,9,0),"")="Conocida",MAX(AD$662:AD780)+1,0),0)</f>
        <v>0</v>
      </c>
      <c r="AE781" s="758">
        <f ca="1">IF(AC781="",0,IF(AD781=0,MAX(AE$654:AE780,AG$652)+1,AD781+IFERROR(VLOOKUP(VLOOKUP(AC781,$D$653:$AA$871,24,0),AC$654:AE$661,3,0)-VLOOKUP(VLOOKUP(AC781,$D$653:$AA$871,24,0),AC$654:AE$661,2,0)+1,0)))</f>
        <v>121</v>
      </c>
      <c r="AF781" s="758" t="str">
        <f t="shared" ca="1" si="229"/>
        <v>Saturnus (Pequeño)</v>
      </c>
      <c r="AG781" s="699"/>
      <c r="AH781" s="699"/>
      <c r="AI781" s="699"/>
      <c r="AJ781" s="699"/>
      <c r="AK781" s="699"/>
      <c r="AL781" s="699"/>
      <c r="AM781" s="699"/>
      <c r="AN781" s="699"/>
      <c r="AO781" s="699"/>
      <c r="AP781" s="304"/>
      <c r="AQ781" s="304"/>
      <c r="AR781" s="304"/>
      <c r="AS781" s="304"/>
      <c r="AT781" s="304"/>
      <c r="AU781" s="304"/>
      <c r="AV781" s="304"/>
      <c r="AX781" s="1141" t="str">
        <f t="shared" si="237"/>
        <v>Ballesta de mano</v>
      </c>
      <c r="AY781" s="2549"/>
      <c r="AZ781" s="774" t="str">
        <f t="shared" si="238"/>
        <v/>
      </c>
      <c r="BA781" s="76" t="str">
        <f t="shared" si="239"/>
        <v/>
      </c>
      <c r="BB781" s="76" t="str">
        <f t="shared" si="240"/>
        <v>Ballesta de repetición</v>
      </c>
      <c r="BC781" s="1142">
        <f>IF(OR($L779=BC$652,$L779="",$D779=$BE$651),MAX(BC$654:BC780)+1,0)</f>
        <v>0</v>
      </c>
      <c r="BD781" s="1143">
        <f>IF(OR($L779=BD$652,$L779="",$D779=$BE$651),MAX(BD$654:BD780)+1,0)</f>
        <v>0</v>
      </c>
      <c r="BE781" s="1144">
        <f>IF(OR($L779=BE$652,$L779="",$D779=$BE$651),MAX(BE$654:BE780)+1,0)</f>
        <v>126</v>
      </c>
      <c r="BF781" s="2549"/>
      <c r="BG781" s="774" t="str">
        <f t="shared" si="241"/>
        <v/>
      </c>
      <c r="BH781" s="76" t="str">
        <f t="shared" si="242"/>
        <v/>
      </c>
      <c r="BI781" s="76" t="str">
        <f t="shared" si="243"/>
        <v>Ballesta de repetición</v>
      </c>
      <c r="BJ781" s="1142">
        <f>IF(OR($L779=BJ$652,$L779="",$D779=$BL$651),MAX(BJ$654:BJ780)+1,0)</f>
        <v>0</v>
      </c>
      <c r="BK781" s="1143">
        <f>IF(OR($L779=BK$652,$L779="",$D779=$BL$651),MAX(BK$654:BK780)+1,0)</f>
        <v>0</v>
      </c>
      <c r="BL781" s="1144">
        <f>IF(OR($L779=BL$652,$L779="",$D779=$BL$651),MAX(BL$654:BL780)+1,0)</f>
        <v>126</v>
      </c>
      <c r="BM781" s="2549"/>
      <c r="BN781" s="774" t="str">
        <f t="shared" si="244"/>
        <v/>
      </c>
      <c r="BO781" s="76" t="str">
        <f t="shared" si="245"/>
        <v/>
      </c>
      <c r="BP781" s="76" t="str">
        <f t="shared" si="246"/>
        <v>Ballesta de repetición</v>
      </c>
      <c r="BQ781" s="1142">
        <f>IF(OR($L779=BQ$652,$L779="",$D779=$BS$651),MAX(BQ$654:BQ780)+1,0)</f>
        <v>0</v>
      </c>
      <c r="BR781" s="1143">
        <f>IF(OR($L779=BR$652,$L779="",$D779=$BS$651),MAX(BR$654:BR780)+1,0)</f>
        <v>0</v>
      </c>
      <c r="BS781" s="1144">
        <f>IF(OR($L779=BS$652,$L779="",$D779=$BS$651),MAX(BS$654:BS780)+1,0)</f>
        <v>126</v>
      </c>
      <c r="BT781" s="2549"/>
      <c r="BU781" s="774" t="str">
        <f t="shared" si="247"/>
        <v/>
      </c>
      <c r="BV781" s="76" t="str">
        <f t="shared" si="248"/>
        <v/>
      </c>
      <c r="BW781" s="76" t="str">
        <f t="shared" si="249"/>
        <v>Ballesta de repetición</v>
      </c>
      <c r="BX781" s="1142">
        <f>IF(OR($L779=BX$652,$L779="",$D779=$BZ$651),MAX(BX$654:BX780)+1,0)</f>
        <v>0</v>
      </c>
      <c r="BY781" s="1143">
        <f>IF(OR($L779=BY$652,$L779="",$D779=$BZ$651),MAX(BY$654:BY780)+1,0)</f>
        <v>0</v>
      </c>
      <c r="BZ781" s="1144">
        <f>IF(OR($L779=BZ$652,$L779="",$D779=$BZ$651),MAX(BZ$654:BZ780)+1,0)</f>
        <v>126</v>
      </c>
      <c r="CA781" s="2549"/>
      <c r="CB781" s="774" t="str">
        <f t="shared" si="250"/>
        <v/>
      </c>
      <c r="CC781" s="76" t="str">
        <f t="shared" si="251"/>
        <v/>
      </c>
      <c r="CD781" s="76" t="str">
        <f t="shared" si="252"/>
        <v>Ballesta de repetición</v>
      </c>
      <c r="CE781" s="1142">
        <f>IF(OR($L779=CE$652,$L779="",$D779=$CG$651),MAX(CE$654:CE780)+1,0)</f>
        <v>0</v>
      </c>
      <c r="CF781" s="1143">
        <f>IF(OR($L779=CF$652,$L779="",$D779=$CG$651),MAX(CF$654:CF780)+1,0)</f>
        <v>0</v>
      </c>
      <c r="CG781" s="1144">
        <f>IF(OR($L779=CG$652,$L779="",$D779=$CG$651),MAX(CG$654:CG780)+1,0)</f>
        <v>126</v>
      </c>
      <c r="CI781" s="774" t="str">
        <f t="shared" si="253"/>
        <v/>
      </c>
      <c r="CJ781" s="76" t="str">
        <f t="shared" si="254"/>
        <v/>
      </c>
      <c r="CK781" s="76" t="str">
        <f t="shared" si="255"/>
        <v>Ballesta de repetición</v>
      </c>
      <c r="CL781" s="1142">
        <f>IF(OR($L779=CL$652,$L779="",$D779=$CN$651),MAX(CL$654:CL780)+1,0)</f>
        <v>0</v>
      </c>
      <c r="CM781" s="1143">
        <f>IF(OR($L779=CM$652,$L779="",$D779=$CN$651),MAX(CM$654:CM780)+1,0)</f>
        <v>0</v>
      </c>
      <c r="CN781" s="1144">
        <f>IF(OR($L779=CN$652,$L779="",$D779=$CN$651),MAX(CN$654:CN780)+1,0)</f>
        <v>126</v>
      </c>
    </row>
    <row r="782" spans="1:92" ht="12.75" customHeight="1">
      <c r="A782" s="219">
        <v>773</v>
      </c>
      <c r="B782" s="7145"/>
      <c r="C782" s="1034"/>
      <c r="D782" s="3876" t="s">
        <v>2050</v>
      </c>
      <c r="E782" s="3878">
        <v>0</v>
      </c>
      <c r="F782" s="3878">
        <v>-10</v>
      </c>
      <c r="G782" s="3878">
        <v>4</v>
      </c>
      <c r="H782" s="3878">
        <v>4</v>
      </c>
      <c r="I782" s="3878" t="s">
        <v>1315</v>
      </c>
      <c r="J782" s="3878" t="s">
        <v>1315</v>
      </c>
      <c r="K782" s="3879" t="s">
        <v>6848</v>
      </c>
      <c r="L782" s="3878" t="str">
        <f>IF(ISNUMBER(SEARCH($D782&amp;",",Armas_Conocidas)),"Conocida",IF(AND(NOT(ISNUMBER(SEARCH(LEFT($K782,SEARCH("/",$K782)-1),Tipologías_Conocidas))),OR(RIGHT($K782,2)="/-",NOT(ISNUMBER(SEARCH(MID($K782,SEARCH("/",$K782)+1,LEN($K782)),Tipologías_Conocidas))))),"Distinta",IF(OR(ISNUMBER(SEARCH($K782,Tipologías_Conocidas)),AND(ISNUMBER(SEARCH(LEFT($K782,SEARCH("/",$K782)-1)&amp;"/-",Tipologías_Conocidas)),ISNUMBER(SEARCH(MID($K782,SEARCH("/",$K782)+1,LEN($K782))&amp;"/-",Tipologías_Conocidas)))),"Similar","Mixta")))</f>
        <v>Distinta</v>
      </c>
      <c r="M782" s="3880">
        <v>3</v>
      </c>
      <c r="N782" s="3880">
        <v>-3</v>
      </c>
      <c r="O782" s="3880">
        <v>15</v>
      </c>
      <c r="P782" s="3878"/>
      <c r="Q782" s="3878"/>
      <c r="R782" s="3878" t="s">
        <v>1315</v>
      </c>
      <c r="S782" s="3878">
        <v>1</v>
      </c>
      <c r="T782" s="3878">
        <v>50</v>
      </c>
      <c r="U782" s="3878"/>
      <c r="V782" s="3879" t="s">
        <v>12448</v>
      </c>
      <c r="W782" s="2433"/>
      <c r="X782" s="2274" t="s">
        <v>8236</v>
      </c>
      <c r="Y782" s="2229">
        <v>0</v>
      </c>
      <c r="Z782" s="1150" t="str">
        <f t="shared" si="257"/>
        <v/>
      </c>
      <c r="AA782" s="1751" t="s">
        <v>2040</v>
      </c>
      <c r="AC782" s="758" t="s">
        <v>12560</v>
      </c>
      <c r="AD782" s="758">
        <f>IFERROR(IF(IF(AC782&lt;&gt;"",VLOOKUP(AC782,Tabla_ArmasyEscudos,9,0),"")="Conocida",MAX(AD$662:AD781)+1,0),0)</f>
        <v>0</v>
      </c>
      <c r="AE782" s="758">
        <f ca="1">IF(AC782="",0,IF(AD782=0,MAX(AE$654:AE781,AG$652)+1,AD782+IFERROR(VLOOKUP(VLOOKUP(AC782,$D$653:$AA$871,24,0),AC$654:AE$661,3,0)-VLOOKUP(VLOOKUP(AC782,$D$653:$AA$871,24,0),AC$654:AE$661,2,0)+1,0)))</f>
        <v>122</v>
      </c>
      <c r="AF782" s="758" t="str">
        <f t="shared" ca="1" si="229"/>
        <v>Saturnus (Mediano)</v>
      </c>
      <c r="AG782" s="699"/>
      <c r="AH782" s="699"/>
      <c r="AI782" s="699"/>
      <c r="AJ782" s="699"/>
      <c r="AK782" s="699"/>
      <c r="AL782" s="699"/>
      <c r="AM782" s="699"/>
      <c r="AN782" s="699"/>
      <c r="AO782" s="699"/>
      <c r="AP782" s="304"/>
      <c r="AQ782" s="304"/>
      <c r="AR782" s="304"/>
      <c r="AS782" s="304"/>
      <c r="AT782" s="304"/>
      <c r="AU782" s="304"/>
      <c r="AV782" s="304"/>
      <c r="AX782" s="1141" t="str">
        <f t="shared" si="237"/>
        <v>Ballesta de repetición</v>
      </c>
      <c r="AY782" s="2549"/>
      <c r="AZ782" s="774" t="str">
        <f t="shared" si="238"/>
        <v/>
      </c>
      <c r="BA782" s="76" t="str">
        <f t="shared" si="239"/>
        <v/>
      </c>
      <c r="BB782" s="76" t="str">
        <f t="shared" si="240"/>
        <v>Ballesta pesada</v>
      </c>
      <c r="BC782" s="1142">
        <f>IF(OR($L780=BC$652,$L780="",$D780=$BE$651),MAX(BC$654:BC781)+1,0)</f>
        <v>0</v>
      </c>
      <c r="BD782" s="1143">
        <f>IF(OR($L780=BD$652,$L780="",$D780=$BE$651),MAX(BD$654:BD781)+1,0)</f>
        <v>0</v>
      </c>
      <c r="BE782" s="1144">
        <f>IF(OR($L780=BE$652,$L780="",$D780=$BE$651),MAX(BE$654:BE781)+1,0)</f>
        <v>127</v>
      </c>
      <c r="BF782" s="2549"/>
      <c r="BG782" s="774" t="str">
        <f t="shared" si="241"/>
        <v/>
      </c>
      <c r="BH782" s="76" t="str">
        <f t="shared" si="242"/>
        <v/>
      </c>
      <c r="BI782" s="76" t="str">
        <f t="shared" si="243"/>
        <v>Ballesta pesada</v>
      </c>
      <c r="BJ782" s="1142">
        <f>IF(OR($L780=BJ$652,$L780="",$D780=$BL$651),MAX(BJ$654:BJ781)+1,0)</f>
        <v>0</v>
      </c>
      <c r="BK782" s="1143">
        <f>IF(OR($L780=BK$652,$L780="",$D780=$BL$651),MAX(BK$654:BK781)+1,0)</f>
        <v>0</v>
      </c>
      <c r="BL782" s="1144">
        <f>IF(OR($L780=BL$652,$L780="",$D780=$BL$651),MAX(BL$654:BL781)+1,0)</f>
        <v>127</v>
      </c>
      <c r="BM782" s="2549"/>
      <c r="BN782" s="774" t="str">
        <f t="shared" si="244"/>
        <v/>
      </c>
      <c r="BO782" s="76" t="str">
        <f t="shared" si="245"/>
        <v/>
      </c>
      <c r="BP782" s="76" t="str">
        <f t="shared" si="246"/>
        <v>Ballesta pesada</v>
      </c>
      <c r="BQ782" s="1142">
        <f>IF(OR($L780=BQ$652,$L780="",$D780=$BS$651),MAX(BQ$654:BQ781)+1,0)</f>
        <v>0</v>
      </c>
      <c r="BR782" s="1143">
        <f>IF(OR($L780=BR$652,$L780="",$D780=$BS$651),MAX(BR$654:BR781)+1,0)</f>
        <v>0</v>
      </c>
      <c r="BS782" s="1144">
        <f>IF(OR($L780=BS$652,$L780="",$D780=$BS$651),MAX(BS$654:BS781)+1,0)</f>
        <v>127</v>
      </c>
      <c r="BT782" s="2549"/>
      <c r="BU782" s="774" t="str">
        <f t="shared" si="247"/>
        <v/>
      </c>
      <c r="BV782" s="76" t="str">
        <f t="shared" si="248"/>
        <v/>
      </c>
      <c r="BW782" s="76" t="str">
        <f t="shared" si="249"/>
        <v>Ballesta pesada</v>
      </c>
      <c r="BX782" s="1142">
        <f>IF(OR($L780=BX$652,$L780="",$D780=$BZ$651),MAX(BX$654:BX781)+1,0)</f>
        <v>0</v>
      </c>
      <c r="BY782" s="1143">
        <f>IF(OR($L780=BY$652,$L780="",$D780=$BZ$651),MAX(BY$654:BY781)+1,0)</f>
        <v>0</v>
      </c>
      <c r="BZ782" s="1144">
        <f>IF(OR($L780=BZ$652,$L780="",$D780=$BZ$651),MAX(BZ$654:BZ781)+1,0)</f>
        <v>127</v>
      </c>
      <c r="CA782" s="2549"/>
      <c r="CB782" s="774" t="str">
        <f t="shared" si="250"/>
        <v/>
      </c>
      <c r="CC782" s="76" t="str">
        <f t="shared" si="251"/>
        <v/>
      </c>
      <c r="CD782" s="76" t="str">
        <f t="shared" si="252"/>
        <v>Ballesta pesada</v>
      </c>
      <c r="CE782" s="1142">
        <f>IF(OR($L780=CE$652,$L780="",$D780=$CG$651),MAX(CE$654:CE781)+1,0)</f>
        <v>0</v>
      </c>
      <c r="CF782" s="1143">
        <f>IF(OR($L780=CF$652,$L780="",$D780=$CG$651),MAX(CF$654:CF781)+1,0)</f>
        <v>0</v>
      </c>
      <c r="CG782" s="1144">
        <f>IF(OR($L780=CG$652,$L780="",$D780=$CG$651),MAX(CG$654:CG781)+1,0)</f>
        <v>127</v>
      </c>
      <c r="CI782" s="774" t="str">
        <f t="shared" si="253"/>
        <v/>
      </c>
      <c r="CJ782" s="76" t="str">
        <f t="shared" si="254"/>
        <v/>
      </c>
      <c r="CK782" s="76" t="str">
        <f t="shared" si="255"/>
        <v>Ballesta pesada</v>
      </c>
      <c r="CL782" s="1142">
        <f>IF(OR($L780=CL$652,$L780="",$D780=$CN$651),MAX(CL$654:CL781)+1,0)</f>
        <v>0</v>
      </c>
      <c r="CM782" s="1143">
        <f>IF(OR($L780=CM$652,$L780="",$D780=$CN$651),MAX(CM$654:CM781)+1,0)</f>
        <v>0</v>
      </c>
      <c r="CN782" s="1144">
        <f>IF(OR($L780=CN$652,$L780="",$D780=$CN$651),MAX(CN$654:CN781)+1,0)</f>
        <v>127</v>
      </c>
    </row>
    <row r="783" spans="1:92" ht="12.75" customHeight="1">
      <c r="A783" s="219">
        <v>774</v>
      </c>
      <c r="B783" s="7145"/>
      <c r="C783" s="1034"/>
      <c r="D783" s="2237" t="s">
        <v>6569</v>
      </c>
      <c r="E783" s="2236">
        <v>0</v>
      </c>
      <c r="F783" s="2236">
        <v>-30</v>
      </c>
      <c r="G783" s="2236">
        <v>7</v>
      </c>
      <c r="H783" s="2236">
        <v>7</v>
      </c>
      <c r="I783" s="2236" t="s">
        <v>1315</v>
      </c>
      <c r="J783" s="2236" t="s">
        <v>1315</v>
      </c>
      <c r="K783" s="2433" t="s">
        <v>6848</v>
      </c>
      <c r="L783" s="2236" t="str">
        <f>IF(ISNUMBER(SEARCH($D783&amp;",",Armas_Conocidas)),"Conocida",IF(AND(NOT(ISNUMBER(SEARCH(LEFT($K783,SEARCH("/",$K783)-1),Tipologías_Conocidas))),OR(RIGHT($K783,2)="/-",NOT(ISNUMBER(SEARCH(MID($K783,SEARCH("/",$K783)+1,LEN($K783)),Tipologías_Conocidas))))),"Distinta",IF(OR(ISNUMBER(SEARCH($K783,Tipologías_Conocidas)),AND(ISNUMBER(SEARCH(LEFT($K783,SEARCH("/",$K783)-1)&amp;"/-",Tipologías_Conocidas)),ISNUMBER(SEARCH(MID($K783,SEARCH("/",$K783)+1,LEN($K783))&amp;"/-",Tipologías_Conocidas)))),"Similar","Mixta")))</f>
        <v>Distinta</v>
      </c>
      <c r="M783" s="2240">
        <v>8</v>
      </c>
      <c r="N783" s="2240">
        <v>-2</v>
      </c>
      <c r="O783" s="2240">
        <v>20</v>
      </c>
      <c r="P783" s="2236"/>
      <c r="Q783" s="2236"/>
      <c r="R783" s="2236" t="s">
        <v>1315</v>
      </c>
      <c r="S783" s="2236">
        <v>1</v>
      </c>
      <c r="T783" s="2236">
        <v>90</v>
      </c>
      <c r="U783" s="2236"/>
      <c r="V783" s="2433" t="s">
        <v>1438</v>
      </c>
      <c r="W783" s="2433"/>
      <c r="X783" s="2274" t="s">
        <v>1821</v>
      </c>
      <c r="Y783" s="2229">
        <f>Bono_Fue</f>
        <v>0</v>
      </c>
      <c r="Z783" s="1150" t="str">
        <f t="shared" si="257"/>
        <v/>
      </c>
      <c r="AA783" s="1751" t="s">
        <v>2040</v>
      </c>
      <c r="AC783" s="758" t="s">
        <v>12549</v>
      </c>
      <c r="AD783" s="758">
        <f>IFERROR(IF(IF(AC783&lt;&gt;"",VLOOKUP(AC783,Tabla_ArmasyEscudos,9,0),"")="Conocida",MAX(AD$662:AD782)+1,0),0)</f>
        <v>0</v>
      </c>
      <c r="AE783" s="758">
        <f ca="1">IF(AC783="",0,IF(AD783=0,MAX(AE$654:AE782,AG$652)+1,AD783+IFERROR(VLOOKUP(VLOOKUP(AC783,$D$653:$AA$871,24,0),AC$654:AE$661,3,0)-VLOOKUP(VLOOKUP(AC783,$D$653:$AA$871,24,0),AC$654:AE$661,2,0)+1,0)))</f>
        <v>123</v>
      </c>
      <c r="AF783" s="758" t="str">
        <f t="shared" ref="AF783:AF808" ca="1" si="258">IFERROR(INDEX(AC$654:AC$808,MATCH($A129,AE$654:AE$808,0)),"")</f>
        <v>Saturnus (Grande)</v>
      </c>
      <c r="AG783" s="699"/>
      <c r="AH783" s="699"/>
      <c r="AI783" s="699"/>
      <c r="AJ783" s="699"/>
      <c r="AK783" s="699"/>
      <c r="AL783" s="699"/>
      <c r="AM783" s="699"/>
      <c r="AN783" s="699"/>
      <c r="AO783" s="699"/>
      <c r="AP783" s="304"/>
      <c r="AQ783" s="304"/>
      <c r="AR783" s="304"/>
      <c r="AS783" s="304"/>
      <c r="AT783" s="304"/>
      <c r="AU783" s="304"/>
      <c r="AV783" s="304"/>
      <c r="AX783" s="1141" t="str">
        <f t="shared" ref="AX783:AX791" si="259">D781</f>
        <v>Ballesta pesada</v>
      </c>
      <c r="AY783" s="2549"/>
      <c r="AZ783" s="774" t="str">
        <f t="shared" ref="AZ783:AZ796" si="260">IF(ISNA(INDEX(Lista_ArmasYVirgo,MATCH($A129,BC$655:BC$796,0))),"",INDEX(Lista_ArmasYVirgo,MATCH($A129,BC$655:BC$796,0)))</f>
        <v/>
      </c>
      <c r="BA783" s="76" t="str">
        <f t="shared" ref="BA783:BA796" si="261">IF(ISNA(INDEX(Lista_ArmasYVirgo,MATCH($A129,BD$655:BD$796,0))),"",INDEX(Lista_ArmasYVirgo,MATCH($A129,BD$655:BD$796,0)))</f>
        <v/>
      </c>
      <c r="BB783" s="76" t="str">
        <f t="shared" ref="BB783:BB796" si="262">IF(ISNA(INDEX(Lista_ArmasYVirgo,MATCH($A129,BE$655:BE$796,0))),"",INDEX(Lista_ArmasYVirgo,MATCH($A129,BE$655:BE$796,0)))</f>
        <v>Cerbatana</v>
      </c>
      <c r="BC783" s="1142">
        <f>IF(OR($L781=BC$652,$L781="",$D781=$BE$651),MAX(BC$654:BC782)+1,0)</f>
        <v>0</v>
      </c>
      <c r="BD783" s="1143">
        <f>IF(OR($L781=BD$652,$L781="",$D781=$BE$651),MAX(BD$654:BD782)+1,0)</f>
        <v>0</v>
      </c>
      <c r="BE783" s="1144">
        <f>IF(OR($L781=BE$652,$L781="",$D781=$BE$651),MAX(BE$654:BE782)+1,0)</f>
        <v>128</v>
      </c>
      <c r="BF783" s="2549"/>
      <c r="BG783" s="774" t="str">
        <f t="shared" ref="BG783:BG796" si="263">IF(ISNA(INDEX(Lista_ArmasYVirgo,MATCH($A129,BJ$655:BJ$796,0))),"",INDEX(Lista_ArmasYVirgo,MATCH($A129,BJ$655:BJ$796,0)))</f>
        <v/>
      </c>
      <c r="BH783" s="76" t="str">
        <f t="shared" ref="BH783:BH796" si="264">IF(ISNA(INDEX(Lista_ArmasYVirgo,MATCH($A129,BK$655:BK$796,0))),"",INDEX(Lista_ArmasYVirgo,MATCH($A129,BK$655:BK$796,0)))</f>
        <v/>
      </c>
      <c r="BI783" s="76" t="str">
        <f t="shared" ref="BI783:BI796" si="265">IF(ISNA(INDEX(Lista_ArmasYVirgo,MATCH($A129,BL$655:BL$796,0))),"",INDEX(Lista_ArmasYVirgo,MATCH($A129,BL$655:BL$796,0)))</f>
        <v>Cerbatana</v>
      </c>
      <c r="BJ783" s="1142">
        <f>IF(OR($L781=BJ$652,$L781="",$D781=$BL$651),MAX(BJ$654:BJ782)+1,0)</f>
        <v>0</v>
      </c>
      <c r="BK783" s="1143">
        <f>IF(OR($L781=BK$652,$L781="",$D781=$BL$651),MAX(BK$654:BK782)+1,0)</f>
        <v>0</v>
      </c>
      <c r="BL783" s="1144">
        <f>IF(OR($L781=BL$652,$L781="",$D781=$BL$651),MAX(BL$654:BL782)+1,0)</f>
        <v>128</v>
      </c>
      <c r="BM783" s="2549"/>
      <c r="BN783" s="774" t="str">
        <f t="shared" ref="BN783:BN796" si="266">IF(ISNA(INDEX(Lista_ArmasYVirgo,MATCH($A129,BQ$655:BQ$796,0))),"",INDEX(Lista_ArmasYVirgo,MATCH($A129,BQ$655:BQ$796,0)))</f>
        <v/>
      </c>
      <c r="BO783" s="76" t="str">
        <f t="shared" ref="BO783:BO796" si="267">IF(ISNA(INDEX(Lista_ArmasYVirgo,MATCH($A129,BR$655:BR$796,0))),"",INDEX(Lista_ArmasYVirgo,MATCH($A129,BR$655:BR$796,0)))</f>
        <v/>
      </c>
      <c r="BP783" s="76" t="str">
        <f t="shared" ref="BP783:BP796" si="268">IF(ISNA(INDEX(Lista_ArmasYVirgo,MATCH($A129,BS$655:BS$796,0))),"",INDEX(Lista_ArmasYVirgo,MATCH($A129,BS$655:BS$796,0)))</f>
        <v>Cerbatana</v>
      </c>
      <c r="BQ783" s="1142">
        <f>IF(OR($L781=BQ$652,$L781="",$D781=$BS$651),MAX(BQ$654:BQ782)+1,0)</f>
        <v>0</v>
      </c>
      <c r="BR783" s="1143">
        <f>IF(OR($L781=BR$652,$L781="",$D781=$BS$651),MAX(BR$654:BR782)+1,0)</f>
        <v>0</v>
      </c>
      <c r="BS783" s="1144">
        <f>IF(OR($L781=BS$652,$L781="",$D781=$BS$651),MAX(BS$654:BS782)+1,0)</f>
        <v>128</v>
      </c>
      <c r="BT783" s="2549"/>
      <c r="BU783" s="774" t="str">
        <f t="shared" ref="BU783:BU796" si="269">IF(ISNA(INDEX(Lista_ArmasYVirgo,MATCH($A129,BX$655:BX$796,0))),"",INDEX(Lista_ArmasYVirgo,MATCH($A129,BX$655:BX$796,0)))</f>
        <v/>
      </c>
      <c r="BV783" s="76" t="str">
        <f t="shared" ref="BV783:BV796" si="270">IF(ISNA(INDEX(Lista_ArmasYVirgo,MATCH($A129,BY$655:BY$796,0))),"",INDEX(Lista_ArmasYVirgo,MATCH($A129,BY$655:BY$796,0)))</f>
        <v/>
      </c>
      <c r="BW783" s="76" t="str">
        <f t="shared" ref="BW783:BW796" si="271">IF(ISNA(INDEX(Lista_ArmasYVirgo,MATCH($A129,BZ$655:BZ$796,0))),"",INDEX(Lista_ArmasYVirgo,MATCH($A129,BZ$655:BZ$796,0)))</f>
        <v>Cerbatana</v>
      </c>
      <c r="BX783" s="1142">
        <f>IF(OR($L781=BX$652,$L781="",$D781=$BZ$651),MAX(BX$654:BX782)+1,0)</f>
        <v>0</v>
      </c>
      <c r="BY783" s="1143">
        <f>IF(OR($L781=BY$652,$L781="",$D781=$BZ$651),MAX(BY$654:BY782)+1,0)</f>
        <v>0</v>
      </c>
      <c r="BZ783" s="1144">
        <f>IF(OR($L781=BZ$652,$L781="",$D781=$BZ$651),MAX(BZ$654:BZ782)+1,0)</f>
        <v>128</v>
      </c>
      <c r="CA783" s="2549"/>
      <c r="CB783" s="774" t="str">
        <f t="shared" ref="CB783:CB796" si="272">IF(ISNA(INDEX(Lista_ArmasYVirgo,MATCH($A129,CE$655:CE$796,0))),"",INDEX(Lista_ArmasYVirgo,MATCH($A129,CE$655:CE$796,0)))</f>
        <v/>
      </c>
      <c r="CC783" s="76" t="str">
        <f t="shared" ref="CC783:CC796" si="273">IF(ISNA(INDEX(Lista_ArmasYVirgo,MATCH($A129,CF$655:CF$796,0))),"",INDEX(Lista_ArmasYVirgo,MATCH($A129,CF$655:CF$796,0)))</f>
        <v/>
      </c>
      <c r="CD783" s="76" t="str">
        <f t="shared" ref="CD783:CD796" si="274">IF(ISNA(INDEX(Lista_ArmasYVirgo,MATCH($A129,CG$655:CG$796,0))),"",INDEX(Lista_ArmasYVirgo,MATCH($A129,CG$655:CG$796,0)))</f>
        <v>Cerbatana</v>
      </c>
      <c r="CE783" s="1142">
        <f>IF(OR($L781=CE$652,$L781="",$D781=$CG$651),MAX(CE$654:CE782)+1,0)</f>
        <v>0</v>
      </c>
      <c r="CF783" s="1143">
        <f>IF(OR($L781=CF$652,$L781="",$D781=$CG$651),MAX(CF$654:CF782)+1,0)</f>
        <v>0</v>
      </c>
      <c r="CG783" s="1144">
        <f>IF(OR($L781=CG$652,$L781="",$D781=$CG$651),MAX(CG$654:CG782)+1,0)</f>
        <v>128</v>
      </c>
      <c r="CI783" s="774" t="str">
        <f t="shared" ref="CI783:CI796" si="275">IF(ISNA(INDEX(Lista_ArmasYVirgo,MATCH($A129,CL$655:CL$796,0))),"",INDEX(Lista_ArmasYVirgo,MATCH($A129,CL$655:CL$796,0)))</f>
        <v/>
      </c>
      <c r="CJ783" s="76" t="str">
        <f t="shared" ref="CJ783:CJ796" si="276">IF(ISNA(INDEX(Lista_ArmasYVirgo,MATCH($A129,CM$655:CM$796,0))),"",INDEX(Lista_ArmasYVirgo,MATCH($A129,CM$655:CM$796,0)))</f>
        <v/>
      </c>
      <c r="CK783" s="76" t="str">
        <f t="shared" ref="CK783:CK796" si="277">IF(ISNA(INDEX(Lista_ArmasYVirgo,MATCH($A129,CN$655:CN$796,0))),"",INDEX(Lista_ArmasYVirgo,MATCH($A129,CN$655:CN$796,0)))</f>
        <v>Cerbatana</v>
      </c>
      <c r="CL783" s="1142">
        <f>IF(OR($L781=CL$652,$L781="",$D781=$CN$651),MAX(CL$654:CL782)+1,0)</f>
        <v>0</v>
      </c>
      <c r="CM783" s="1143">
        <f>IF(OR($L781=CM$652,$L781="",$D781=$CN$651),MAX(CM$654:CM782)+1,0)</f>
        <v>0</v>
      </c>
      <c r="CN783" s="1144">
        <f>IF(OR($L781=CN$652,$L781="",$D781=$CN$651),MAX(CN$654:CN782)+1,0)</f>
        <v>128</v>
      </c>
    </row>
    <row r="784" spans="1:92" ht="12.75" customHeight="1">
      <c r="A784" s="219">
        <v>775</v>
      </c>
      <c r="B784" s="7145"/>
      <c r="C784" s="1034"/>
      <c r="D784" s="2237" t="s">
        <v>2051</v>
      </c>
      <c r="E784" s="2236">
        <v>0</v>
      </c>
      <c r="F784" s="2236">
        <v>-40</v>
      </c>
      <c r="G784" s="2236">
        <v>4</v>
      </c>
      <c r="H784" s="2236">
        <v>4</v>
      </c>
      <c r="I784" s="2236" t="s">
        <v>1315</v>
      </c>
      <c r="J784" s="2236" t="s">
        <v>1315</v>
      </c>
      <c r="K784" s="2433" t="s">
        <v>6848</v>
      </c>
      <c r="L784" s="2236" t="str">
        <f>IF(ISNUMBER(SEARCH($D784&amp;",",Armas_Conocidas)),"Conocida",IF(AND(NOT(ISNUMBER(SEARCH(LEFT($K784,SEARCH("/",$K784)-1),Tipologías_Conocidas))),OR(RIGHT($K784,2)="/-",NOT(ISNUMBER(SEARCH(MID($K784,SEARCH("/",$K784)+1,LEN($K784)),Tipologías_Conocidas))))),"Distinta",IF(OR(ISNUMBER(SEARCH($K784,Tipologías_Conocidas)),AND(ISNUMBER(SEARCH(LEFT($K784,SEARCH("/",$K784)-1)&amp;"/-",Tipologías_Conocidas)),ISNUMBER(SEARCH(MID($K784,SEARCH("/",$K784)+1,LEN($K784))&amp;"/-",Tipologías_Conocidas)))),"Similar","Mixta")))</f>
        <v>Distinta</v>
      </c>
      <c r="M784" s="2240">
        <v>3</v>
      </c>
      <c r="N784" s="2240">
        <v>-6</v>
      </c>
      <c r="O784" s="2240">
        <v>10</v>
      </c>
      <c r="P784" s="2236"/>
      <c r="Q784" s="2236"/>
      <c r="R784" s="2236" t="s">
        <v>1315</v>
      </c>
      <c r="S784" s="2236">
        <v>1</v>
      </c>
      <c r="T784" s="2236">
        <v>50</v>
      </c>
      <c r="U784" s="2236"/>
      <c r="V784" s="2433" t="s">
        <v>1315</v>
      </c>
      <c r="W784" s="2433"/>
      <c r="X784" s="2274" t="s">
        <v>8236</v>
      </c>
      <c r="Y784" s="2229">
        <f>Bono_Fue</f>
        <v>0</v>
      </c>
      <c r="Z784" s="1150" t="str">
        <f t="shared" si="257"/>
        <v/>
      </c>
      <c r="AA784" s="1751" t="s">
        <v>2040</v>
      </c>
      <c r="AC784" s="758" t="s">
        <v>12550</v>
      </c>
      <c r="AD784" s="758">
        <f>IFERROR(IF(IF(AC784&lt;&gt;"",VLOOKUP(AC784,Tabla_ArmasyEscudos,9,0),"")="Conocida",MAX(AD$662:AD783)+1,0),0)</f>
        <v>0</v>
      </c>
      <c r="AE784" s="758">
        <f ca="1">IF(AC784="",0,IF(AD784=0,MAX(AE$654:AE783,AG$652)+1,AD784+IFERROR(VLOOKUP(VLOOKUP(AC784,$D$653:$AA$871,24,0),AC$654:AE$661,3,0)-VLOOKUP(VLOOKUP(AC784,$D$653:$AA$871,24,0),AC$654:AE$661,2,0)+1,0)))</f>
        <v>124</v>
      </c>
      <c r="AF784" s="758" t="str">
        <f t="shared" ca="1" si="258"/>
        <v>Uranus</v>
      </c>
      <c r="AG784" s="699"/>
      <c r="AH784" s="699"/>
      <c r="AI784" s="699"/>
      <c r="AJ784" s="699"/>
      <c r="AK784" s="699"/>
      <c r="AL784" s="699"/>
      <c r="AM784" s="699"/>
      <c r="AN784" s="699"/>
      <c r="AO784" s="699"/>
      <c r="AP784" s="304"/>
      <c r="AQ784" s="304"/>
      <c r="AR784" s="304"/>
      <c r="AS784" s="304"/>
      <c r="AT784" s="304"/>
      <c r="AU784" s="304"/>
      <c r="AV784" s="304"/>
      <c r="AX784" s="1141" t="str">
        <f t="shared" si="259"/>
        <v>Cerbatana</v>
      </c>
      <c r="AY784" s="2549"/>
      <c r="AZ784" s="774" t="str">
        <f t="shared" si="260"/>
        <v/>
      </c>
      <c r="BA784" s="76" t="str">
        <f t="shared" si="261"/>
        <v/>
      </c>
      <c r="BB784" s="76" t="str">
        <f t="shared" si="262"/>
        <v>Daikyu</v>
      </c>
      <c r="BC784" s="1142">
        <f>IF(OR($L782=BC$652,$L782="",$D782=$BE$651),MAX(BC$654:BC783)+1,0)</f>
        <v>0</v>
      </c>
      <c r="BD784" s="1143">
        <f>IF(OR($L782=BD$652,$L782="",$D782=$BE$651),MAX(BD$654:BD783)+1,0)</f>
        <v>0</v>
      </c>
      <c r="BE784" s="1144">
        <f>IF(OR($L782=BE$652,$L782="",$D782=$BE$651),MAX(BE$654:BE783)+1,0)</f>
        <v>129</v>
      </c>
      <c r="BF784" s="2549"/>
      <c r="BG784" s="774" t="str">
        <f t="shared" si="263"/>
        <v/>
      </c>
      <c r="BH784" s="76" t="str">
        <f t="shared" si="264"/>
        <v/>
      </c>
      <c r="BI784" s="76" t="str">
        <f t="shared" si="265"/>
        <v>Daikyu</v>
      </c>
      <c r="BJ784" s="1142">
        <f>IF(OR($L782=BJ$652,$L782="",$D782=$BL$651),MAX(BJ$654:BJ783)+1,0)</f>
        <v>0</v>
      </c>
      <c r="BK784" s="1143">
        <f>IF(OR($L782=BK$652,$L782="",$D782=$BL$651),MAX(BK$654:BK783)+1,0)</f>
        <v>0</v>
      </c>
      <c r="BL784" s="1144">
        <f>IF(OR($L782=BL$652,$L782="",$D782=$BL$651),MAX(BL$654:BL783)+1,0)</f>
        <v>129</v>
      </c>
      <c r="BM784" s="2549"/>
      <c r="BN784" s="774" t="str">
        <f t="shared" si="266"/>
        <v/>
      </c>
      <c r="BO784" s="76" t="str">
        <f t="shared" si="267"/>
        <v/>
      </c>
      <c r="BP784" s="76" t="str">
        <f t="shared" si="268"/>
        <v>Daikyu</v>
      </c>
      <c r="BQ784" s="1142">
        <f>IF(OR($L782=BQ$652,$L782="",$D782=$BS$651),MAX(BQ$654:BQ783)+1,0)</f>
        <v>0</v>
      </c>
      <c r="BR784" s="1143">
        <f>IF(OR($L782=BR$652,$L782="",$D782=$BS$651),MAX(BR$654:BR783)+1,0)</f>
        <v>0</v>
      </c>
      <c r="BS784" s="1144">
        <f>IF(OR($L782=BS$652,$L782="",$D782=$BS$651),MAX(BS$654:BS783)+1,0)</f>
        <v>129</v>
      </c>
      <c r="BT784" s="2549"/>
      <c r="BU784" s="774" t="str">
        <f t="shared" si="269"/>
        <v/>
      </c>
      <c r="BV784" s="76" t="str">
        <f t="shared" si="270"/>
        <v/>
      </c>
      <c r="BW784" s="76" t="str">
        <f t="shared" si="271"/>
        <v>Daikyu</v>
      </c>
      <c r="BX784" s="1142">
        <f>IF(OR($L782=BX$652,$L782="",$D782=$BZ$651),MAX(BX$654:BX783)+1,0)</f>
        <v>0</v>
      </c>
      <c r="BY784" s="1143">
        <f>IF(OR($L782=BY$652,$L782="",$D782=$BZ$651),MAX(BY$654:BY783)+1,0)</f>
        <v>0</v>
      </c>
      <c r="BZ784" s="1144">
        <f>IF(OR($L782=BZ$652,$L782="",$D782=$BZ$651),MAX(BZ$654:BZ783)+1,0)</f>
        <v>129</v>
      </c>
      <c r="CA784" s="2549"/>
      <c r="CB784" s="774" t="str">
        <f t="shared" si="272"/>
        <v/>
      </c>
      <c r="CC784" s="76" t="str">
        <f t="shared" si="273"/>
        <v/>
      </c>
      <c r="CD784" s="76" t="str">
        <f t="shared" si="274"/>
        <v>Daikyu</v>
      </c>
      <c r="CE784" s="1142">
        <f>IF(OR($L782=CE$652,$L782="",$D782=$CG$651),MAX(CE$654:CE783)+1,0)</f>
        <v>0</v>
      </c>
      <c r="CF784" s="1143">
        <f>IF(OR($L782=CF$652,$L782="",$D782=$CG$651),MAX(CF$654:CF783)+1,0)</f>
        <v>0</v>
      </c>
      <c r="CG784" s="1144">
        <f>IF(OR($L782=CG$652,$L782="",$D782=$CG$651),MAX(CG$654:CG783)+1,0)</f>
        <v>129</v>
      </c>
      <c r="CI784" s="774" t="str">
        <f t="shared" si="275"/>
        <v/>
      </c>
      <c r="CJ784" s="76" t="str">
        <f t="shared" si="276"/>
        <v/>
      </c>
      <c r="CK784" s="76" t="str">
        <f t="shared" si="277"/>
        <v>Daikyu</v>
      </c>
      <c r="CL784" s="1142">
        <f>IF(OR($L782=CL$652,$L782="",$D782=$CN$651),MAX(CL$654:CL783)+1,0)</f>
        <v>0</v>
      </c>
      <c r="CM784" s="1143">
        <f>IF(OR($L782=CM$652,$L782="",$D782=$CN$651),MAX(CM$654:CM783)+1,0)</f>
        <v>0</v>
      </c>
      <c r="CN784" s="1144">
        <f>IF(OR($L782=CN$652,$L782="",$D782=$CN$651),MAX(CN$654:CN783)+1,0)</f>
        <v>129</v>
      </c>
    </row>
    <row r="785" spans="1:92" ht="12.75" customHeight="1">
      <c r="A785" s="219">
        <v>776</v>
      </c>
      <c r="B785" s="7145"/>
      <c r="C785" s="1034"/>
      <c r="D785" s="2237" t="s">
        <v>2052</v>
      </c>
      <c r="E785" s="2236">
        <v>0</v>
      </c>
      <c r="F785" s="2236">
        <v>0</v>
      </c>
      <c r="G785" s="2236">
        <v>4</v>
      </c>
      <c r="H785" s="2236">
        <v>4</v>
      </c>
      <c r="I785" s="2236" t="s">
        <v>1315</v>
      </c>
      <c r="J785" s="2236" t="s">
        <v>1315</v>
      </c>
      <c r="K785" s="2433" t="s">
        <v>6848</v>
      </c>
      <c r="L785" s="2236" t="str">
        <f>IF(ISNUMBER(SEARCH($D785&amp;",",Armas_Conocidas)),"Conocida",IF(AND(NOT(ISNUMBER(SEARCH(LEFT($K785,SEARCH("/",$K785)-1),Tipologías_Conocidas))),OR(RIGHT($K785,2)="/-",NOT(ISNUMBER(SEARCH(MID($K785,SEARCH("/",$K785)+1,LEN($K785)),Tipologías_Conocidas))))),"Distinta",IF(OR(ISNUMBER(SEARCH($K785,Tipologías_Conocidas)),AND(ISNUMBER(SEARCH(LEFT($K785,SEARCH("/",$K785)-1)&amp;"/-",Tipologías_Conocidas)),ISNUMBER(SEARCH(MID($K785,SEARCH("/",$K785)+1,LEN($K785))&amp;"/-",Tipologías_Conocidas)))),"Similar","Mixta")))</f>
        <v>Distinta</v>
      </c>
      <c r="M785" s="2240">
        <v>8</v>
      </c>
      <c r="N785" s="2240">
        <v>-3</v>
      </c>
      <c r="O785" s="2240">
        <v>20</v>
      </c>
      <c r="P785" s="2236"/>
      <c r="Q785" s="2236"/>
      <c r="R785" s="2236" t="s">
        <v>1315</v>
      </c>
      <c r="S785" s="2236">
        <v>4</v>
      </c>
      <c r="T785" s="2236">
        <v>50</v>
      </c>
      <c r="U785" s="2241">
        <v>9</v>
      </c>
      <c r="V785" s="2433" t="s">
        <v>2029</v>
      </c>
      <c r="W785" s="2433"/>
      <c r="X785" s="2274" t="s">
        <v>9679</v>
      </c>
      <c r="Y785" s="2229">
        <f>VLOOKUP(U785,Tabla_BonoStats,2)</f>
        <v>10</v>
      </c>
      <c r="Z785" s="1150" t="str">
        <f t="shared" si="257"/>
        <v/>
      </c>
      <c r="AA785" s="1751" t="s">
        <v>2040</v>
      </c>
      <c r="AC785" s="758" t="s">
        <v>12551</v>
      </c>
      <c r="AD785" s="758">
        <f>IFERROR(IF(IF(AC785&lt;&gt;"",VLOOKUP(AC785,Tabla_ArmasyEscudos,9,0),"")="Conocida",MAX(AD$662:AD784)+1,0),0)</f>
        <v>0</v>
      </c>
      <c r="AE785" s="758">
        <f ca="1">IF(AC785="",0,IF(AD785=0,MAX(AE$654:AE784,AG$652)+1,AD785+IFERROR(VLOOKUP(VLOOKUP(AC785,$D$653:$AA$871,24,0),AC$654:AE$661,3,0)-VLOOKUP(VLOOKUP(AC785,$D$653:$AA$871,24,0),AC$654:AE$661,2,0)+1,0)))</f>
        <v>125</v>
      </c>
      <c r="AF785" s="758" t="str">
        <f t="shared" ca="1" si="258"/>
        <v>Neptunus</v>
      </c>
      <c r="AG785" s="699"/>
      <c r="AH785" s="699"/>
      <c r="AI785" s="699"/>
      <c r="AJ785" s="699"/>
      <c r="AK785" s="699"/>
      <c r="AL785" s="699"/>
      <c r="AM785" s="699"/>
      <c r="AN785" s="699"/>
      <c r="AO785" s="699"/>
      <c r="AP785" s="304"/>
      <c r="AQ785" s="304"/>
      <c r="AR785" s="304"/>
      <c r="AS785" s="304"/>
      <c r="AT785" s="304"/>
      <c r="AU785" s="304"/>
      <c r="AV785" s="304"/>
      <c r="AX785" s="1141" t="str">
        <f t="shared" si="259"/>
        <v>Daikyu</v>
      </c>
      <c r="AY785" s="2549"/>
      <c r="AZ785" s="774" t="str">
        <f t="shared" si="260"/>
        <v/>
      </c>
      <c r="BA785" s="76" t="str">
        <f t="shared" si="261"/>
        <v/>
      </c>
      <c r="BB785" s="76" t="str">
        <f t="shared" si="262"/>
        <v>Honda</v>
      </c>
      <c r="BC785" s="1142">
        <f>IF(OR($L783=BC$652,$L783="",$D783=$BE$651),MAX(BC$654:BC784)+1,0)</f>
        <v>0</v>
      </c>
      <c r="BD785" s="1143">
        <f>IF(OR($L783=BD$652,$L783="",$D783=$BE$651),MAX(BD$654:BD784)+1,0)</f>
        <v>0</v>
      </c>
      <c r="BE785" s="1144">
        <f>IF(OR($L783=BE$652,$L783="",$D783=$BE$651),MAX(BE$654:BE784)+1,0)</f>
        <v>130</v>
      </c>
      <c r="BF785" s="2549"/>
      <c r="BG785" s="774" t="str">
        <f t="shared" si="263"/>
        <v/>
      </c>
      <c r="BH785" s="76" t="str">
        <f t="shared" si="264"/>
        <v/>
      </c>
      <c r="BI785" s="76" t="str">
        <f t="shared" si="265"/>
        <v>Honda</v>
      </c>
      <c r="BJ785" s="1142">
        <f>IF(OR($L783=BJ$652,$L783="",$D783=$BL$651),MAX(BJ$654:BJ784)+1,0)</f>
        <v>0</v>
      </c>
      <c r="BK785" s="1143">
        <f>IF(OR($L783=BK$652,$L783="",$D783=$BL$651),MAX(BK$654:BK784)+1,0)</f>
        <v>0</v>
      </c>
      <c r="BL785" s="1144">
        <f>IF(OR($L783=BL$652,$L783="",$D783=$BL$651),MAX(BL$654:BL784)+1,0)</f>
        <v>130</v>
      </c>
      <c r="BM785" s="2549"/>
      <c r="BN785" s="774" t="str">
        <f t="shared" si="266"/>
        <v/>
      </c>
      <c r="BO785" s="76" t="str">
        <f t="shared" si="267"/>
        <v/>
      </c>
      <c r="BP785" s="76" t="str">
        <f t="shared" si="268"/>
        <v>Honda</v>
      </c>
      <c r="BQ785" s="1142">
        <f>IF(OR($L783=BQ$652,$L783="",$D783=$BS$651),MAX(BQ$654:BQ784)+1,0)</f>
        <v>0</v>
      </c>
      <c r="BR785" s="1143">
        <f>IF(OR($L783=BR$652,$L783="",$D783=$BS$651),MAX(BR$654:BR784)+1,0)</f>
        <v>0</v>
      </c>
      <c r="BS785" s="1144">
        <f>IF(OR($L783=BS$652,$L783="",$D783=$BS$651),MAX(BS$654:BS784)+1,0)</f>
        <v>130</v>
      </c>
      <c r="BT785" s="2549"/>
      <c r="BU785" s="774" t="str">
        <f t="shared" si="269"/>
        <v/>
      </c>
      <c r="BV785" s="76" t="str">
        <f t="shared" si="270"/>
        <v/>
      </c>
      <c r="BW785" s="76" t="str">
        <f t="shared" si="271"/>
        <v>Honda</v>
      </c>
      <c r="BX785" s="1142">
        <f>IF(OR($L783=BX$652,$L783="",$D783=$BZ$651),MAX(BX$654:BX784)+1,0)</f>
        <v>0</v>
      </c>
      <c r="BY785" s="1143">
        <f>IF(OR($L783=BY$652,$L783="",$D783=$BZ$651),MAX(BY$654:BY784)+1,0)</f>
        <v>0</v>
      </c>
      <c r="BZ785" s="1144">
        <f>IF(OR($L783=BZ$652,$L783="",$D783=$BZ$651),MAX(BZ$654:BZ784)+1,0)</f>
        <v>130</v>
      </c>
      <c r="CA785" s="2549"/>
      <c r="CB785" s="774" t="str">
        <f t="shared" si="272"/>
        <v/>
      </c>
      <c r="CC785" s="76" t="str">
        <f t="shared" si="273"/>
        <v/>
      </c>
      <c r="CD785" s="76" t="str">
        <f t="shared" si="274"/>
        <v>Honda</v>
      </c>
      <c r="CE785" s="1142">
        <f>IF(OR($L783=CE$652,$L783="",$D783=$CG$651),MAX(CE$654:CE784)+1,0)</f>
        <v>0</v>
      </c>
      <c r="CF785" s="1143">
        <f>IF(OR($L783=CF$652,$L783="",$D783=$CG$651),MAX(CF$654:CF784)+1,0)</f>
        <v>0</v>
      </c>
      <c r="CG785" s="1144">
        <f>IF(OR($L783=CG$652,$L783="",$D783=$CG$651),MAX(CG$654:CG784)+1,0)</f>
        <v>130</v>
      </c>
      <c r="CI785" s="774" t="str">
        <f t="shared" si="275"/>
        <v/>
      </c>
      <c r="CJ785" s="76" t="str">
        <f t="shared" si="276"/>
        <v/>
      </c>
      <c r="CK785" s="76" t="str">
        <f t="shared" si="277"/>
        <v>Honda</v>
      </c>
      <c r="CL785" s="1142">
        <f>IF(OR($L783=CL$652,$L783="",$D783=$CN$651),MAX(CL$654:CL784)+1,0)</f>
        <v>0</v>
      </c>
      <c r="CM785" s="1143">
        <f>IF(OR($L783=CM$652,$L783="",$D783=$CN$651),MAX(CM$654:CM784)+1,0)</f>
        <v>0</v>
      </c>
      <c r="CN785" s="1144">
        <f>IF(OR($L783=CN$652,$L783="",$D783=$CN$651),MAX(CN$654:CN784)+1,0)</f>
        <v>130</v>
      </c>
    </row>
    <row r="786" spans="1:92" ht="12.75" customHeight="1">
      <c r="A786" s="219">
        <v>777</v>
      </c>
      <c r="B786" s="7145"/>
      <c r="C786" s="1034"/>
      <c r="D786" s="14" t="s">
        <v>7865</v>
      </c>
      <c r="E786" s="2433"/>
      <c r="F786" s="2433"/>
      <c r="G786" s="2433"/>
      <c r="H786" s="2433"/>
      <c r="I786" s="2433"/>
      <c r="J786" s="2433"/>
      <c r="K786" s="2433"/>
      <c r="L786" s="2236"/>
      <c r="M786" s="2433"/>
      <c r="N786" s="2433"/>
      <c r="O786" s="2433"/>
      <c r="P786" s="2433"/>
      <c r="Q786" s="2433"/>
      <c r="R786" s="2433"/>
      <c r="S786" s="2433"/>
      <c r="T786" s="2433"/>
      <c r="U786" s="2433"/>
      <c r="V786" s="2433"/>
      <c r="W786" s="2433"/>
      <c r="X786" s="2434"/>
      <c r="Y786" s="2229"/>
      <c r="Z786" s="1150" t="str">
        <f t="shared" si="257"/>
        <v/>
      </c>
      <c r="AA786" s="1751"/>
      <c r="AC786" s="758" t="s">
        <v>12555</v>
      </c>
      <c r="AD786" s="758">
        <f>IFERROR(IF(IF(AC786&lt;&gt;"",VLOOKUP(AC786,Tabla_ArmasyEscudos,9,0),"")="Conocida",MAX(AD$662:AD785)+1,0),0)</f>
        <v>0</v>
      </c>
      <c r="AE786" s="758">
        <f ca="1">IF(AC786="",0,IF(AD786=0,MAX(AE$654:AE785,AG$652)+1,AD786+IFERROR(VLOOKUP(VLOOKUP(AC786,$D$653:$AA$871,24,0),AC$654:AE$661,3,0)-VLOOKUP(VLOOKUP(AC786,$D$653:$AA$871,24,0),AC$654:AE$661,2,0)+1,0)))</f>
        <v>126</v>
      </c>
      <c r="AF786" s="758" t="str">
        <f t="shared" ca="1" si="258"/>
        <v>Pluto</v>
      </c>
      <c r="AG786" s="699"/>
      <c r="AH786" s="699"/>
      <c r="AI786" s="699"/>
      <c r="AJ786" s="699"/>
      <c r="AK786" s="699"/>
      <c r="AL786" s="699"/>
      <c r="AM786" s="699"/>
      <c r="AN786" s="699"/>
      <c r="AO786" s="699"/>
      <c r="AP786" s="304"/>
      <c r="AQ786" s="304"/>
      <c r="AR786" s="304"/>
      <c r="AS786" s="304"/>
      <c r="AT786" s="304"/>
      <c r="AU786" s="304"/>
      <c r="AV786" s="304"/>
      <c r="AX786" s="1141" t="str">
        <f t="shared" si="259"/>
        <v>Honda</v>
      </c>
      <c r="AY786" s="2549"/>
      <c r="AZ786" s="774" t="str">
        <f t="shared" si="260"/>
        <v/>
      </c>
      <c r="BA786" s="76" t="str">
        <f t="shared" si="261"/>
        <v/>
      </c>
      <c r="BB786" s="76" t="str">
        <f t="shared" si="262"/>
        <v>Pistola</v>
      </c>
      <c r="BC786" s="1142">
        <f>IF(OR($L784=BC$652,$L784="",$D784=$BE$651),MAX(BC$654:BC785)+1,0)</f>
        <v>0</v>
      </c>
      <c r="BD786" s="1143">
        <f>IF(OR($L784=BD$652,$L784="",$D784=$BE$651),MAX(BD$654:BD785)+1,0)</f>
        <v>0</v>
      </c>
      <c r="BE786" s="1144">
        <f>IF(OR($L784=BE$652,$L784="",$D784=$BE$651),MAX(BE$654:BE785)+1,0)</f>
        <v>131</v>
      </c>
      <c r="BF786" s="2549"/>
      <c r="BG786" s="774" t="str">
        <f t="shared" si="263"/>
        <v/>
      </c>
      <c r="BH786" s="76" t="str">
        <f t="shared" si="264"/>
        <v/>
      </c>
      <c r="BI786" s="76" t="str">
        <f t="shared" si="265"/>
        <v>Pistola</v>
      </c>
      <c r="BJ786" s="1142">
        <f>IF(OR($L784=BJ$652,$L784="",$D784=$BL$651),MAX(BJ$654:BJ785)+1,0)</f>
        <v>0</v>
      </c>
      <c r="BK786" s="1143">
        <f>IF(OR($L784=BK$652,$L784="",$D784=$BL$651),MAX(BK$654:BK785)+1,0)</f>
        <v>0</v>
      </c>
      <c r="BL786" s="1144">
        <f>IF(OR($L784=BL$652,$L784="",$D784=$BL$651),MAX(BL$654:BL785)+1,0)</f>
        <v>131</v>
      </c>
      <c r="BM786" s="2549"/>
      <c r="BN786" s="774" t="str">
        <f t="shared" si="266"/>
        <v/>
      </c>
      <c r="BO786" s="76" t="str">
        <f t="shared" si="267"/>
        <v/>
      </c>
      <c r="BP786" s="76" t="str">
        <f t="shared" si="268"/>
        <v>Pistola</v>
      </c>
      <c r="BQ786" s="1142">
        <f>IF(OR($L784=BQ$652,$L784="",$D784=$BS$651),MAX(BQ$654:BQ785)+1,0)</f>
        <v>0</v>
      </c>
      <c r="BR786" s="1143">
        <f>IF(OR($L784=BR$652,$L784="",$D784=$BS$651),MAX(BR$654:BR785)+1,0)</f>
        <v>0</v>
      </c>
      <c r="BS786" s="1144">
        <f>IF(OR($L784=BS$652,$L784="",$D784=$BS$651),MAX(BS$654:BS785)+1,0)</f>
        <v>131</v>
      </c>
      <c r="BT786" s="2549"/>
      <c r="BU786" s="774" t="str">
        <f t="shared" si="269"/>
        <v/>
      </c>
      <c r="BV786" s="76" t="str">
        <f t="shared" si="270"/>
        <v/>
      </c>
      <c r="BW786" s="76" t="str">
        <f t="shared" si="271"/>
        <v>Pistola</v>
      </c>
      <c r="BX786" s="1142">
        <f>IF(OR($L784=BX$652,$L784="",$D784=$BZ$651),MAX(BX$654:BX785)+1,0)</f>
        <v>0</v>
      </c>
      <c r="BY786" s="1143">
        <f>IF(OR($L784=BY$652,$L784="",$D784=$BZ$651),MAX(BY$654:BY785)+1,0)</f>
        <v>0</v>
      </c>
      <c r="BZ786" s="1144">
        <f>IF(OR($L784=BZ$652,$L784="",$D784=$BZ$651),MAX(BZ$654:BZ785)+1,0)</f>
        <v>131</v>
      </c>
      <c r="CA786" s="2549"/>
      <c r="CB786" s="774" t="str">
        <f t="shared" si="272"/>
        <v/>
      </c>
      <c r="CC786" s="76" t="str">
        <f t="shared" si="273"/>
        <v/>
      </c>
      <c r="CD786" s="76" t="str">
        <f t="shared" si="274"/>
        <v>Pistola</v>
      </c>
      <c r="CE786" s="1142">
        <f>IF(OR($L784=CE$652,$L784="",$D784=$CG$651),MAX(CE$654:CE785)+1,0)</f>
        <v>0</v>
      </c>
      <c r="CF786" s="1143">
        <f>IF(OR($L784=CF$652,$L784="",$D784=$CG$651),MAX(CF$654:CF785)+1,0)</f>
        <v>0</v>
      </c>
      <c r="CG786" s="1144">
        <f>IF(OR($L784=CG$652,$L784="",$D784=$CG$651),MAX(CG$654:CG785)+1,0)</f>
        <v>131</v>
      </c>
      <c r="CI786" s="774" t="str">
        <f t="shared" si="275"/>
        <v/>
      </c>
      <c r="CJ786" s="76" t="str">
        <f t="shared" si="276"/>
        <v/>
      </c>
      <c r="CK786" s="76" t="str">
        <f t="shared" si="277"/>
        <v>Pistola</v>
      </c>
      <c r="CL786" s="1142">
        <f>IF(OR($L784=CL$652,$L784="",$D784=$CN$651),MAX(CL$654:CL785)+1,0)</f>
        <v>0</v>
      </c>
      <c r="CM786" s="1143">
        <f>IF(OR($L784=CM$652,$L784="",$D784=$CN$651),MAX(CM$654:CM785)+1,0)</f>
        <v>0</v>
      </c>
      <c r="CN786" s="1144">
        <f>IF(OR($L784=CN$652,$L784="",$D784=$CN$651),MAX(CN$654:CN785)+1,0)</f>
        <v>131</v>
      </c>
    </row>
    <row r="787" spans="1:92" ht="12.75" customHeight="1">
      <c r="A787" s="219">
        <v>778</v>
      </c>
      <c r="B787" s="7145"/>
      <c r="C787" s="1034"/>
      <c r="D787" s="212" t="s">
        <v>7866</v>
      </c>
      <c r="E787" s="2236">
        <v>0</v>
      </c>
      <c r="F787" s="2236">
        <v>-80</v>
      </c>
      <c r="G787" s="2236">
        <v>0</v>
      </c>
      <c r="H787" s="2236">
        <v>0</v>
      </c>
      <c r="I787" s="2236" t="s">
        <v>1315</v>
      </c>
      <c r="J787" s="2236" t="s">
        <v>1315</v>
      </c>
      <c r="K787" s="2433" t="s">
        <v>6848</v>
      </c>
      <c r="L787" s="2236" t="str">
        <f>IF(ISNUMBER(SEARCH($D787&amp;",",Armas_Conocidas)),"Conocida",IF(AND(NOT(ISNUMBER(SEARCH(LEFT($K787,SEARCH("/",$K787)-1),Tipologías_Conocidas))),OR(RIGHT($K787,2)="/-",NOT(ISNUMBER(SEARCH(MID($K787,SEARCH("/",$K787)+1,LEN($K787)),Tipologías_Conocidas))))),"Distinta",IF(OR(ISNUMBER(SEARCH($K787,Tipologías_Conocidas)),AND(ISNUMBER(SEARCH(LEFT($K787,SEARCH("/",$K787)-1)&amp;"/-",Tipologías_Conocidas)),ISNUMBER(SEARCH(MID($K787,SEARCH("/",$K787)+1,LEN($K787))&amp;"/-",Tipologías_Conocidas)))),"Similar","Mixta")))</f>
        <v>Distinta</v>
      </c>
      <c r="M787" s="2236">
        <v>18</v>
      </c>
      <c r="N787" s="2236" t="s">
        <v>1315</v>
      </c>
      <c r="O787" s="2236">
        <v>25</v>
      </c>
      <c r="P787" s="2236"/>
      <c r="Q787" s="2236"/>
      <c r="R787" s="2236" t="s">
        <v>1315</v>
      </c>
      <c r="S787" s="2236"/>
      <c r="T787" s="2236">
        <v>150</v>
      </c>
      <c r="U787" s="2241">
        <v>10</v>
      </c>
      <c r="V787" s="2433" t="s">
        <v>2000</v>
      </c>
      <c r="W787" s="2433"/>
      <c r="X787" s="2274" t="s">
        <v>1821</v>
      </c>
      <c r="Y787" s="2229">
        <f>VLOOKUP(U787,Tabla_BonoStats,2)</f>
        <v>15</v>
      </c>
      <c r="Z787" s="1150" t="str">
        <f t="shared" si="257"/>
        <v/>
      </c>
      <c r="AA787" s="1751" t="s">
        <v>7865</v>
      </c>
      <c r="AC787" s="758" t="s">
        <v>12576</v>
      </c>
      <c r="AD787" s="758">
        <f>IFERROR(IF(IF(AC787&lt;&gt;"",VLOOKUP(AC787,Tabla_ArmasyEscudos,9,0),"")="Conocida",MAX(AD$662:AD786)+1,0),0)</f>
        <v>0</v>
      </c>
      <c r="AE787" s="758">
        <f ca="1">IF(AC787="",0,IF(AD787=0,MAX(AE$654:AE786,AG$652)+1,AD787+IFERROR(VLOOKUP(VLOOKUP(AC787,$D$653:$AA$871,24,0),AC$654:AE$661,3,0)-VLOOKUP(VLOOKUP(AC787,$D$653:$AA$871,24,0),AC$654:AE$661,2,0)+1,0)))</f>
        <v>127</v>
      </c>
      <c r="AF787" s="758" t="str">
        <f t="shared" ca="1" si="258"/>
        <v>&gt; ARS INANA</v>
      </c>
      <c r="AG787" s="699"/>
      <c r="AH787" s="699"/>
      <c r="AI787" s="699"/>
      <c r="AJ787" s="699"/>
      <c r="AK787" s="699"/>
      <c r="AL787" s="699"/>
      <c r="AM787" s="699"/>
      <c r="AN787" s="699"/>
      <c r="AO787" s="699"/>
      <c r="AP787" s="304"/>
      <c r="AQ787" s="304"/>
      <c r="AR787" s="304"/>
      <c r="AS787" s="304"/>
      <c r="AT787" s="304"/>
      <c r="AU787" s="304"/>
      <c r="AV787" s="304"/>
      <c r="AX787" s="1141" t="str">
        <f t="shared" si="259"/>
        <v>Pistola</v>
      </c>
      <c r="AY787" s="2549"/>
      <c r="AZ787" s="774" t="str">
        <f t="shared" si="260"/>
        <v/>
      </c>
      <c r="BA787" s="76" t="str">
        <f t="shared" si="261"/>
        <v/>
      </c>
      <c r="BB787" s="76" t="str">
        <f t="shared" si="262"/>
        <v>&gt; ARMAS DE ASEDIO</v>
      </c>
      <c r="BC787" s="1142">
        <f>IF(OR($L785=BC$652,$L785="",$D785=$BE$651),MAX(BC$654:BC786)+1,0)</f>
        <v>0</v>
      </c>
      <c r="BD787" s="1143">
        <f>IF(OR($L785=BD$652,$L785="",$D785=$BE$651),MAX(BD$654:BD786)+1,0)</f>
        <v>0</v>
      </c>
      <c r="BE787" s="1144">
        <f>IF(OR($L785=BE$652,$L785="",$D785=$BE$651),MAX(BE$654:BE786)+1,0)</f>
        <v>132</v>
      </c>
      <c r="BF787" s="2549"/>
      <c r="BG787" s="774" t="str">
        <f t="shared" si="263"/>
        <v/>
      </c>
      <c r="BH787" s="76" t="str">
        <f t="shared" si="264"/>
        <v/>
      </c>
      <c r="BI787" s="76" t="str">
        <f t="shared" si="265"/>
        <v>&gt; ARMAS DE ASEDIO</v>
      </c>
      <c r="BJ787" s="1142">
        <f>IF(OR($L785=BJ$652,$L785="",$D785=$BL$651),MAX(BJ$654:BJ786)+1,0)</f>
        <v>0</v>
      </c>
      <c r="BK787" s="1143">
        <f>IF(OR($L785=BK$652,$L785="",$D785=$BL$651),MAX(BK$654:BK786)+1,0)</f>
        <v>0</v>
      </c>
      <c r="BL787" s="1144">
        <f>IF(OR($L785=BL$652,$L785="",$D785=$BL$651),MAX(BL$654:BL786)+1,0)</f>
        <v>132</v>
      </c>
      <c r="BM787" s="2549"/>
      <c r="BN787" s="774" t="str">
        <f t="shared" si="266"/>
        <v/>
      </c>
      <c r="BO787" s="76" t="str">
        <f t="shared" si="267"/>
        <v/>
      </c>
      <c r="BP787" s="76" t="str">
        <f t="shared" si="268"/>
        <v>&gt; ARMAS DE ASEDIO</v>
      </c>
      <c r="BQ787" s="1142">
        <f>IF(OR($L785=BQ$652,$L785="",$D785=$BS$651),MAX(BQ$654:BQ786)+1,0)</f>
        <v>0</v>
      </c>
      <c r="BR787" s="1143">
        <f>IF(OR($L785=BR$652,$L785="",$D785=$BS$651),MAX(BR$654:BR786)+1,0)</f>
        <v>0</v>
      </c>
      <c r="BS787" s="1144">
        <f>IF(OR($L785=BS$652,$L785="",$D785=$BS$651),MAX(BS$654:BS786)+1,0)</f>
        <v>132</v>
      </c>
      <c r="BT787" s="2549"/>
      <c r="BU787" s="774" t="str">
        <f t="shared" si="269"/>
        <v/>
      </c>
      <c r="BV787" s="76" t="str">
        <f t="shared" si="270"/>
        <v/>
      </c>
      <c r="BW787" s="76" t="str">
        <f t="shared" si="271"/>
        <v>&gt; ARMAS DE ASEDIO</v>
      </c>
      <c r="BX787" s="1142">
        <f>IF(OR($L785=BX$652,$L785="",$D785=$BZ$651),MAX(BX$654:BX786)+1,0)</f>
        <v>0</v>
      </c>
      <c r="BY787" s="1143">
        <f>IF(OR($L785=BY$652,$L785="",$D785=$BZ$651),MAX(BY$654:BY786)+1,0)</f>
        <v>0</v>
      </c>
      <c r="BZ787" s="1144">
        <f>IF(OR($L785=BZ$652,$L785="",$D785=$BZ$651),MAX(BZ$654:BZ786)+1,0)</f>
        <v>132</v>
      </c>
      <c r="CA787" s="2549"/>
      <c r="CB787" s="774" t="str">
        <f t="shared" si="272"/>
        <v/>
      </c>
      <c r="CC787" s="76" t="str">
        <f t="shared" si="273"/>
        <v/>
      </c>
      <c r="CD787" s="76" t="str">
        <f t="shared" si="274"/>
        <v>&gt; ARMAS DE ASEDIO</v>
      </c>
      <c r="CE787" s="1142">
        <f>IF(OR($L785=CE$652,$L785="",$D785=$CG$651),MAX(CE$654:CE786)+1,0)</f>
        <v>0</v>
      </c>
      <c r="CF787" s="1143">
        <f>IF(OR($L785=CF$652,$L785="",$D785=$CG$651),MAX(CF$654:CF786)+1,0)</f>
        <v>0</v>
      </c>
      <c r="CG787" s="1144">
        <f>IF(OR($L785=CG$652,$L785="",$D785=$CG$651),MAX(CG$654:CG786)+1,0)</f>
        <v>132</v>
      </c>
      <c r="CI787" s="774" t="str">
        <f t="shared" si="275"/>
        <v/>
      </c>
      <c r="CJ787" s="76" t="str">
        <f t="shared" si="276"/>
        <v/>
      </c>
      <c r="CK787" s="76" t="str">
        <f t="shared" si="277"/>
        <v>&gt; ARMAS DE ASEDIO</v>
      </c>
      <c r="CL787" s="1142">
        <f>IF(OR($L785=CL$652,$L785="",$D785=$CN$651),MAX(CL$654:CL786)+1,0)</f>
        <v>0</v>
      </c>
      <c r="CM787" s="1143">
        <f>IF(OR($L785=CM$652,$L785="",$D785=$CN$651),MAX(CM$654:CM786)+1,0)</f>
        <v>0</v>
      </c>
      <c r="CN787" s="1144">
        <f>IF(OR($L785=CN$652,$L785="",$D785=$CN$651),MAX(CN$654:CN786)+1,0)</f>
        <v>132</v>
      </c>
    </row>
    <row r="788" spans="1:92" ht="12.75" customHeight="1">
      <c r="A788" s="219">
        <v>779</v>
      </c>
      <c r="B788" s="7145"/>
      <c r="C788" s="1034"/>
      <c r="D788" s="212" t="s">
        <v>7867</v>
      </c>
      <c r="E788" s="2236">
        <v>0</v>
      </c>
      <c r="F788" s="2236">
        <v>-100</v>
      </c>
      <c r="G788" s="2236">
        <v>0</v>
      </c>
      <c r="H788" s="2236">
        <v>0</v>
      </c>
      <c r="I788" s="2236" t="s">
        <v>1315</v>
      </c>
      <c r="J788" s="2236" t="s">
        <v>1315</v>
      </c>
      <c r="K788" s="2433" t="s">
        <v>6848</v>
      </c>
      <c r="L788" s="2236" t="str">
        <f>IF(ISNUMBER(SEARCH($D788&amp;",",Armas_Conocidas)),"Conocida",IF(AND(NOT(ISNUMBER(SEARCH(LEFT($K788,SEARCH("/",$K788)-1),Tipologías_Conocidas))),OR(RIGHT($K788,2)="/-",NOT(ISNUMBER(SEARCH(MID($K788,SEARCH("/",$K788)+1,LEN($K788)),Tipologías_Conocidas))))),"Distinta",IF(OR(ISNUMBER(SEARCH($K788,Tipologías_Conocidas)),AND(ISNUMBER(SEARCH(LEFT($K788,SEARCH("/",$K788)-1)&amp;"/-",Tipologías_Conocidas)),ISNUMBER(SEARCH(MID($K788,SEARCH("/",$K788)+1,LEN($K788))&amp;"/-",Tipologías_Conocidas)))),"Similar","Mixta")))</f>
        <v>Distinta</v>
      </c>
      <c r="M788" s="2236">
        <v>20</v>
      </c>
      <c r="N788" s="2236" t="s">
        <v>1315</v>
      </c>
      <c r="O788" s="2236">
        <v>30</v>
      </c>
      <c r="P788" s="2236"/>
      <c r="Q788" s="2236"/>
      <c r="R788" s="2236" t="s">
        <v>1315</v>
      </c>
      <c r="S788" s="2236"/>
      <c r="T788" s="2236">
        <v>200</v>
      </c>
      <c r="U788" s="2241">
        <v>13</v>
      </c>
      <c r="V788" s="2433" t="s">
        <v>2000</v>
      </c>
      <c r="W788" s="2433"/>
      <c r="X788" s="2274" t="s">
        <v>1821</v>
      </c>
      <c r="Y788" s="2229">
        <f>VLOOKUP(U788,Tabla_BonoStats,2)</f>
        <v>25</v>
      </c>
      <c r="Z788" s="1150" t="str">
        <f t="shared" si="257"/>
        <v/>
      </c>
      <c r="AA788" s="1751" t="s">
        <v>7865</v>
      </c>
      <c r="AC788" s="758" t="s">
        <v>12577</v>
      </c>
      <c r="AD788" s="758">
        <f ca="1">IFERROR(IF(IF(AC788&lt;&gt;"",VLOOKUP(AC788,Tabla_ArmasyEscudos,9,0),"")="Conocida",MAX(AD$662:AD787)+1,0),0)</f>
        <v>0</v>
      </c>
      <c r="AE788" s="758">
        <f ca="1">IF(AC788="",0,IF(AD788=0,MAX(AE$654:AE787,AG$652)+1,AD788+IFERROR(VLOOKUP(VLOOKUP(AC788,$D$653:$AA$871,24,0),AC$654:AE$661,3,0)-VLOOKUP(VLOOKUP(AC788,$D$653:$AA$871,24,0),AC$654:AE$661,2,0)+1,0)))</f>
        <v>128</v>
      </c>
      <c r="AF788" s="758" t="str">
        <f t="shared" ca="1" si="258"/>
        <v>Exanimis</v>
      </c>
      <c r="AG788" s="699"/>
      <c r="AH788" s="699"/>
      <c r="AI788" s="699"/>
      <c r="AJ788" s="699"/>
      <c r="AK788" s="699"/>
      <c r="AL788" s="699"/>
      <c r="AM788" s="699"/>
      <c r="AN788" s="699"/>
      <c r="AO788" s="699"/>
      <c r="AP788" s="304"/>
      <c r="AQ788" s="304"/>
      <c r="AR788" s="304"/>
      <c r="AS788" s="304"/>
      <c r="AT788" s="304"/>
      <c r="AU788" s="304"/>
      <c r="AV788" s="304"/>
      <c r="AX788" s="1141" t="str">
        <f t="shared" si="259"/>
        <v>&gt; ARMAS DE ASEDIO</v>
      </c>
      <c r="AY788" s="2549"/>
      <c r="AZ788" s="774" t="str">
        <f t="shared" si="260"/>
        <v/>
      </c>
      <c r="BA788" s="76" t="str">
        <f t="shared" si="261"/>
        <v/>
      </c>
      <c r="BB788" s="76" t="str">
        <f t="shared" si="262"/>
        <v>Balista ligera</v>
      </c>
      <c r="BC788" s="1142">
        <f>IF(OR($L786=BC$652,$L786="",$D786=$BE$651),MAX(BC$654:BC787)+1,0)</f>
        <v>5</v>
      </c>
      <c r="BD788" s="1143">
        <f>IF(OR($L786=BD$652,$L786="",$D786=$BE$651),MAX(BD$654:BD787)+1,0)</f>
        <v>5</v>
      </c>
      <c r="BE788" s="1144">
        <f>IF(OR($L786=BE$652,$L786="",$D786=$BE$651),MAX(BE$654:BE787)+1,0)</f>
        <v>133</v>
      </c>
      <c r="BF788" s="2549"/>
      <c r="BG788" s="774" t="str">
        <f t="shared" si="263"/>
        <v/>
      </c>
      <c r="BH788" s="76" t="str">
        <f t="shared" si="264"/>
        <v/>
      </c>
      <c r="BI788" s="76" t="str">
        <f t="shared" si="265"/>
        <v>Balista ligera</v>
      </c>
      <c r="BJ788" s="1142">
        <f>IF(OR($L786=BJ$652,$L786="",$D786=$BL$651),MAX(BJ$654:BJ787)+1,0)</f>
        <v>5</v>
      </c>
      <c r="BK788" s="1143">
        <f>IF(OR($L786=BK$652,$L786="",$D786=$BL$651),MAX(BK$654:BK787)+1,0)</f>
        <v>5</v>
      </c>
      <c r="BL788" s="1144">
        <f>IF(OR($L786=BL$652,$L786="",$D786=$BL$651),MAX(BL$654:BL787)+1,0)</f>
        <v>133</v>
      </c>
      <c r="BM788" s="2549"/>
      <c r="BN788" s="774" t="str">
        <f t="shared" si="266"/>
        <v/>
      </c>
      <c r="BO788" s="76" t="str">
        <f t="shared" si="267"/>
        <v/>
      </c>
      <c r="BP788" s="76" t="str">
        <f t="shared" si="268"/>
        <v>Balista ligera</v>
      </c>
      <c r="BQ788" s="1142">
        <f>IF(OR($L786=BQ$652,$L786="",$D786=$BS$651),MAX(BQ$654:BQ787)+1,0)</f>
        <v>5</v>
      </c>
      <c r="BR788" s="1143">
        <f>IF(OR($L786=BR$652,$L786="",$D786=$BS$651),MAX(BR$654:BR787)+1,0)</f>
        <v>5</v>
      </c>
      <c r="BS788" s="1144">
        <f>IF(OR($L786=BS$652,$L786="",$D786=$BS$651),MAX(BS$654:BS787)+1,0)</f>
        <v>133</v>
      </c>
      <c r="BT788" s="2549"/>
      <c r="BU788" s="774" t="str">
        <f t="shared" si="269"/>
        <v/>
      </c>
      <c r="BV788" s="76" t="str">
        <f t="shared" si="270"/>
        <v/>
      </c>
      <c r="BW788" s="76" t="str">
        <f t="shared" si="271"/>
        <v>Balista ligera</v>
      </c>
      <c r="BX788" s="1142">
        <f>IF(OR($L786=BX$652,$L786="",$D786=$BZ$651),MAX(BX$654:BX787)+1,0)</f>
        <v>5</v>
      </c>
      <c r="BY788" s="1143">
        <f>IF(OR($L786=BY$652,$L786="",$D786=$BZ$651),MAX(BY$654:BY787)+1,0)</f>
        <v>5</v>
      </c>
      <c r="BZ788" s="1144">
        <f>IF(OR($L786=BZ$652,$L786="",$D786=$BZ$651),MAX(BZ$654:BZ787)+1,0)</f>
        <v>133</v>
      </c>
      <c r="CA788" s="2549"/>
      <c r="CB788" s="774" t="str">
        <f t="shared" si="272"/>
        <v/>
      </c>
      <c r="CC788" s="76" t="str">
        <f t="shared" si="273"/>
        <v/>
      </c>
      <c r="CD788" s="76" t="str">
        <f t="shared" si="274"/>
        <v>Balista ligera</v>
      </c>
      <c r="CE788" s="1142">
        <f>IF(OR($L786=CE$652,$L786="",$D786=$CG$651),MAX(CE$654:CE787)+1,0)</f>
        <v>5</v>
      </c>
      <c r="CF788" s="1143">
        <f>IF(OR($L786=CF$652,$L786="",$D786=$CG$651),MAX(CF$654:CF787)+1,0)</f>
        <v>5</v>
      </c>
      <c r="CG788" s="1144">
        <f>IF(OR($L786=CG$652,$L786="",$D786=$CG$651),MAX(CG$654:CG787)+1,0)</f>
        <v>133</v>
      </c>
      <c r="CI788" s="774" t="str">
        <f t="shared" si="275"/>
        <v/>
      </c>
      <c r="CJ788" s="76" t="str">
        <f t="shared" si="276"/>
        <v/>
      </c>
      <c r="CK788" s="76" t="str">
        <f t="shared" si="277"/>
        <v>Balista ligera</v>
      </c>
      <c r="CL788" s="1142">
        <f>IF(OR($L786=CL$652,$L786="",$D786=$CN$651),MAX(CL$654:CL787)+1,0)</f>
        <v>5</v>
      </c>
      <c r="CM788" s="1143">
        <f>IF(OR($L786=CM$652,$L786="",$D786=$CN$651),MAX(CM$654:CM787)+1,0)</f>
        <v>5</v>
      </c>
      <c r="CN788" s="1144">
        <f>IF(OR($L786=CN$652,$L786="",$D786=$CN$651),MAX(CN$654:CN787)+1,0)</f>
        <v>133</v>
      </c>
    </row>
    <row r="789" spans="1:92" ht="12.75" customHeight="1">
      <c r="A789" s="219">
        <v>780</v>
      </c>
      <c r="B789" s="7145"/>
      <c r="C789" s="1034"/>
      <c r="D789" s="212" t="s">
        <v>7868</v>
      </c>
      <c r="E789" s="2236">
        <v>0</v>
      </c>
      <c r="F789" s="2236">
        <v>-100</v>
      </c>
      <c r="G789" s="2236">
        <v>0</v>
      </c>
      <c r="H789" s="2236">
        <v>0</v>
      </c>
      <c r="I789" s="2236" t="s">
        <v>1315</v>
      </c>
      <c r="J789" s="2236" t="s">
        <v>1315</v>
      </c>
      <c r="K789" s="2433" t="s">
        <v>6848</v>
      </c>
      <c r="L789" s="2236" t="str">
        <f>IF(ISNUMBER(SEARCH($D789&amp;",",Armas_Conocidas)),"Conocida",IF(AND(NOT(ISNUMBER(SEARCH(LEFT($K789,SEARCH("/",$K789)-1),Tipologías_Conocidas))),OR(RIGHT($K789,2)="/-",NOT(ISNUMBER(SEARCH(MID($K789,SEARCH("/",$K789)+1,LEN($K789)),Tipologías_Conocidas))))),"Distinta",IF(OR(ISNUMBER(SEARCH($K789,Tipologías_Conocidas)),AND(ISNUMBER(SEARCH(LEFT($K789,SEARCH("/",$K789)-1)&amp;"/-",Tipologías_Conocidas)),ISNUMBER(SEARCH(MID($K789,SEARCH("/",$K789)+1,LEN($K789))&amp;"/-",Tipologías_Conocidas)))),"Similar","Mixta")))</f>
        <v>Distinta</v>
      </c>
      <c r="M789" s="2236">
        <v>24</v>
      </c>
      <c r="N789" s="2236" t="s">
        <v>1315</v>
      </c>
      <c r="O789" s="2236">
        <v>30</v>
      </c>
      <c r="P789" s="2236"/>
      <c r="Q789" s="2236"/>
      <c r="R789" s="2236" t="s">
        <v>1315</v>
      </c>
      <c r="S789" s="2236">
        <v>12</v>
      </c>
      <c r="T789" s="2236">
        <v>250</v>
      </c>
      <c r="U789" s="2241">
        <v>14</v>
      </c>
      <c r="V789" s="2433" t="s">
        <v>2000</v>
      </c>
      <c r="W789" s="2433"/>
      <c r="X789" s="2274" t="s">
        <v>1821</v>
      </c>
      <c r="Y789" s="2229">
        <f>VLOOKUP(U789,Tabla_BonoStats,2)</f>
        <v>25</v>
      </c>
      <c r="Z789" s="1150" t="str">
        <f t="shared" si="257"/>
        <v/>
      </c>
      <c r="AA789" s="1751" t="s">
        <v>7865</v>
      </c>
      <c r="AC789" s="758" t="s">
        <v>12578</v>
      </c>
      <c r="AD789" s="758">
        <f>IFERROR(IF(IF(AC789&lt;&gt;"",VLOOKUP(AC789,Tabla_ArmasyEscudos,9,0),"")="Conocida",MAX(AD$662:AD788)+1,0),0)</f>
        <v>0</v>
      </c>
      <c r="AE789" s="758">
        <f ca="1">IF(AC789="",0,IF(AD789=0,MAX(AE$654:AE788,AG$652)+1,AD789+IFERROR(VLOOKUP(VLOOKUP(AC789,$D$653:$AA$871,24,0),AC$654:AE$661,3,0)-VLOOKUP(VLOOKUP(AC789,$D$653:$AA$871,24,0),AC$654:AE$661,2,0)+1,0)))</f>
        <v>129</v>
      </c>
      <c r="AF789" s="758" t="str">
        <f t="shared" ca="1" si="258"/>
        <v>Sano</v>
      </c>
      <c r="AG789" s="699"/>
      <c r="AH789" s="699"/>
      <c r="AI789" s="699"/>
      <c r="AJ789" s="699"/>
      <c r="AK789" s="699"/>
      <c r="AL789" s="699"/>
      <c r="AM789" s="699"/>
      <c r="AN789" s="699"/>
      <c r="AO789" s="699"/>
      <c r="AP789" s="304"/>
      <c r="AQ789" s="304"/>
      <c r="AR789" s="304"/>
      <c r="AS789" s="304"/>
      <c r="AT789" s="304"/>
      <c r="AU789" s="304"/>
      <c r="AV789" s="304"/>
      <c r="AX789" s="1141" t="str">
        <f t="shared" si="259"/>
        <v>Balista ligera</v>
      </c>
      <c r="AY789" s="2549"/>
      <c r="AZ789" s="774" t="str">
        <f t="shared" si="260"/>
        <v/>
      </c>
      <c r="BA789" s="76" t="str">
        <f t="shared" si="261"/>
        <v/>
      </c>
      <c r="BB789" s="76" t="str">
        <f t="shared" si="262"/>
        <v>Balista pesada</v>
      </c>
      <c r="BC789" s="1142">
        <f>IF(OR($L787=BC$652,$L787="",$D787=$BE$651),MAX(BC$654:BC788)+1,0)</f>
        <v>0</v>
      </c>
      <c r="BD789" s="1143">
        <f>IF(OR($L787=BD$652,$L787="",$D787=$BE$651),MAX(BD$654:BD788)+1,0)</f>
        <v>0</v>
      </c>
      <c r="BE789" s="1144">
        <f>IF(OR($L787=BE$652,$L787="",$D787=$BE$651),MAX(BE$654:BE788)+1,0)</f>
        <v>134</v>
      </c>
      <c r="BF789" s="2549"/>
      <c r="BG789" s="774" t="str">
        <f t="shared" si="263"/>
        <v/>
      </c>
      <c r="BH789" s="76" t="str">
        <f t="shared" si="264"/>
        <v/>
      </c>
      <c r="BI789" s="76" t="str">
        <f t="shared" si="265"/>
        <v>Balista pesada</v>
      </c>
      <c r="BJ789" s="1142">
        <f>IF(OR($L787=BJ$652,$L787="",$D787=$BL$651),MAX(BJ$654:BJ788)+1,0)</f>
        <v>0</v>
      </c>
      <c r="BK789" s="1143">
        <f>IF(OR($L787=BK$652,$L787="",$D787=$BL$651),MAX(BK$654:BK788)+1,0)</f>
        <v>0</v>
      </c>
      <c r="BL789" s="1144">
        <f>IF(OR($L787=BL$652,$L787="",$D787=$BL$651),MAX(BL$654:BL788)+1,0)</f>
        <v>134</v>
      </c>
      <c r="BM789" s="2549"/>
      <c r="BN789" s="774" t="str">
        <f t="shared" si="266"/>
        <v/>
      </c>
      <c r="BO789" s="76" t="str">
        <f t="shared" si="267"/>
        <v/>
      </c>
      <c r="BP789" s="76" t="str">
        <f t="shared" si="268"/>
        <v>Balista pesada</v>
      </c>
      <c r="BQ789" s="1142">
        <f>IF(OR($L787=BQ$652,$L787="",$D787=$BS$651),MAX(BQ$654:BQ788)+1,0)</f>
        <v>0</v>
      </c>
      <c r="BR789" s="1143">
        <f>IF(OR($L787=BR$652,$L787="",$D787=$BS$651),MAX(BR$654:BR788)+1,0)</f>
        <v>0</v>
      </c>
      <c r="BS789" s="1144">
        <f>IF(OR($L787=BS$652,$L787="",$D787=$BS$651),MAX(BS$654:BS788)+1,0)</f>
        <v>134</v>
      </c>
      <c r="BT789" s="2549"/>
      <c r="BU789" s="774" t="str">
        <f t="shared" si="269"/>
        <v/>
      </c>
      <c r="BV789" s="76" t="str">
        <f t="shared" si="270"/>
        <v/>
      </c>
      <c r="BW789" s="76" t="str">
        <f t="shared" si="271"/>
        <v>Balista pesada</v>
      </c>
      <c r="BX789" s="1142">
        <f>IF(OR($L787=BX$652,$L787="",$D787=$BZ$651),MAX(BX$654:BX788)+1,0)</f>
        <v>0</v>
      </c>
      <c r="BY789" s="1143">
        <f>IF(OR($L787=BY$652,$L787="",$D787=$BZ$651),MAX(BY$654:BY788)+1,0)</f>
        <v>0</v>
      </c>
      <c r="BZ789" s="1144">
        <f>IF(OR($L787=BZ$652,$L787="",$D787=$BZ$651),MAX(BZ$654:BZ788)+1,0)</f>
        <v>134</v>
      </c>
      <c r="CA789" s="2549"/>
      <c r="CB789" s="774" t="str">
        <f t="shared" si="272"/>
        <v/>
      </c>
      <c r="CC789" s="76" t="str">
        <f t="shared" si="273"/>
        <v/>
      </c>
      <c r="CD789" s="76" t="str">
        <f t="shared" si="274"/>
        <v>Balista pesada</v>
      </c>
      <c r="CE789" s="1142">
        <f>IF(OR($L787=CE$652,$L787="",$D787=$CG$651),MAX(CE$654:CE788)+1,0)</f>
        <v>0</v>
      </c>
      <c r="CF789" s="1143">
        <f>IF(OR($L787=CF$652,$L787="",$D787=$CG$651),MAX(CF$654:CF788)+1,0)</f>
        <v>0</v>
      </c>
      <c r="CG789" s="1144">
        <f>IF(OR($L787=CG$652,$L787="",$D787=$CG$651),MAX(CG$654:CG788)+1,0)</f>
        <v>134</v>
      </c>
      <c r="CI789" s="774" t="str">
        <f t="shared" si="275"/>
        <v/>
      </c>
      <c r="CJ789" s="76" t="str">
        <f t="shared" si="276"/>
        <v/>
      </c>
      <c r="CK789" s="76" t="str">
        <f t="shared" si="277"/>
        <v>Balista pesada</v>
      </c>
      <c r="CL789" s="1142">
        <f>IF(OR($L787=CL$652,$L787="",$D787=$CN$651),MAX(CL$654:CL788)+1,0)</f>
        <v>0</v>
      </c>
      <c r="CM789" s="1143">
        <f>IF(OR($L787=CM$652,$L787="",$D787=$CN$651),MAX(CM$654:CM788)+1,0)</f>
        <v>0</v>
      </c>
      <c r="CN789" s="1144">
        <f>IF(OR($L787=CN$652,$L787="",$D787=$CN$651),MAX(CN$654:CN788)+1,0)</f>
        <v>134</v>
      </c>
    </row>
    <row r="790" spans="1:92" ht="12.75" customHeight="1">
      <c r="A790" s="219">
        <v>781</v>
      </c>
      <c r="B790" s="7145"/>
      <c r="C790" s="1034"/>
      <c r="D790" s="2237" t="s">
        <v>2053</v>
      </c>
      <c r="E790" s="2234"/>
      <c r="F790" s="2234"/>
      <c r="G790" s="2234"/>
      <c r="H790" s="2234"/>
      <c r="I790" s="2234"/>
      <c r="J790" s="2234"/>
      <c r="K790" s="2230" t="s">
        <v>6828</v>
      </c>
      <c r="L790" s="2234"/>
      <c r="M790" s="2234"/>
      <c r="N790" s="2234"/>
      <c r="O790" s="2234"/>
      <c r="P790" s="2234"/>
      <c r="Q790" s="2234"/>
      <c r="R790" s="2234"/>
      <c r="S790" s="2234"/>
      <c r="T790" s="2234"/>
      <c r="U790" s="2234"/>
      <c r="V790" s="2230"/>
      <c r="W790" s="2230"/>
      <c r="X790" s="2231" t="str">
        <f t="shared" si="225"/>
        <v/>
      </c>
      <c r="Y790" s="1037"/>
      <c r="Z790" s="1150" t="str">
        <f t="shared" si="257"/>
        <v/>
      </c>
      <c r="AA790" s="1751"/>
      <c r="AC790" s="758" t="s">
        <v>12556</v>
      </c>
      <c r="AD790" s="758">
        <f>IFERROR(IF(IF(AC790&lt;&gt;"",VLOOKUP(AC790,Tabla_ArmasyEscudos,9,0),"")="Conocida",MAX(AD$662:AD789)+1,0),0)</f>
        <v>0</v>
      </c>
      <c r="AE790" s="758">
        <f ca="1">IF(AC790="",0,IF(AD790=0,MAX(AE$654:AE789,AG$652)+1,AD790+IFERROR(VLOOKUP(VLOOKUP(AC790,$D$653:$AA$871,24,0),AC$654:AE$661,3,0)-VLOOKUP(VLOOKUP(AC790,$D$653:$AA$871,24,0),AC$654:AE$661,2,0)+1,0)))</f>
        <v>130</v>
      </c>
      <c r="AF790" s="758" t="str">
        <f t="shared" ca="1" si="258"/>
        <v>Mutatio</v>
      </c>
      <c r="AG790" s="699"/>
      <c r="AH790" s="699"/>
      <c r="AI790" s="699"/>
      <c r="AJ790" s="699"/>
      <c r="AK790" s="699"/>
      <c r="AL790" s="699"/>
      <c r="AM790" s="699"/>
      <c r="AN790" s="699"/>
      <c r="AO790" s="699"/>
      <c r="AP790" s="304"/>
      <c r="AQ790" s="304"/>
      <c r="AR790" s="304"/>
      <c r="AS790" s="304"/>
      <c r="AT790" s="304"/>
      <c r="AU790" s="304"/>
      <c r="AV790" s="304"/>
      <c r="AX790" s="1141" t="str">
        <f t="shared" si="259"/>
        <v>Balista pesada</v>
      </c>
      <c r="AY790" s="2549"/>
      <c r="AZ790" s="774" t="str">
        <f t="shared" si="260"/>
        <v/>
      </c>
      <c r="BA790" s="76" t="str">
        <f t="shared" si="261"/>
        <v/>
      </c>
      <c r="BB790" s="76" t="str">
        <f t="shared" si="262"/>
        <v>Cañón</v>
      </c>
      <c r="BC790" s="1142">
        <f>IF(OR($L788=BC$652,$L788="",$D788=$BE$651),MAX(BC$654:BC789)+1,0)</f>
        <v>0</v>
      </c>
      <c r="BD790" s="1143">
        <f>IF(OR($L788=BD$652,$L788="",$D788=$BE$651),MAX(BD$654:BD789)+1,0)</f>
        <v>0</v>
      </c>
      <c r="BE790" s="1144">
        <f>IF(OR($L788=BE$652,$L788="",$D788=$BE$651),MAX(BE$654:BE789)+1,0)</f>
        <v>135</v>
      </c>
      <c r="BF790" s="2549"/>
      <c r="BG790" s="774" t="str">
        <f t="shared" si="263"/>
        <v/>
      </c>
      <c r="BH790" s="76" t="str">
        <f t="shared" si="264"/>
        <v/>
      </c>
      <c r="BI790" s="76" t="str">
        <f t="shared" si="265"/>
        <v>Cañón</v>
      </c>
      <c r="BJ790" s="1142">
        <f>IF(OR($L788=BJ$652,$L788="",$D788=$BL$651),MAX(BJ$654:BJ789)+1,0)</f>
        <v>0</v>
      </c>
      <c r="BK790" s="1143">
        <f>IF(OR($L788=BK$652,$L788="",$D788=$BL$651),MAX(BK$654:BK789)+1,0)</f>
        <v>0</v>
      </c>
      <c r="BL790" s="1144">
        <f>IF(OR($L788=BL$652,$L788="",$D788=$BL$651),MAX(BL$654:BL789)+1,0)</f>
        <v>135</v>
      </c>
      <c r="BM790" s="2549"/>
      <c r="BN790" s="774" t="str">
        <f t="shared" si="266"/>
        <v/>
      </c>
      <c r="BO790" s="76" t="str">
        <f t="shared" si="267"/>
        <v/>
      </c>
      <c r="BP790" s="76" t="str">
        <f t="shared" si="268"/>
        <v>Cañón</v>
      </c>
      <c r="BQ790" s="1142">
        <f>IF(OR($L788=BQ$652,$L788="",$D788=$BS$651),MAX(BQ$654:BQ789)+1,0)</f>
        <v>0</v>
      </c>
      <c r="BR790" s="1143">
        <f>IF(OR($L788=BR$652,$L788="",$D788=$BS$651),MAX(BR$654:BR789)+1,0)</f>
        <v>0</v>
      </c>
      <c r="BS790" s="1144">
        <f>IF(OR($L788=BS$652,$L788="",$D788=$BS$651),MAX(BS$654:BS789)+1,0)</f>
        <v>135</v>
      </c>
      <c r="BT790" s="2549"/>
      <c r="BU790" s="774" t="str">
        <f t="shared" si="269"/>
        <v/>
      </c>
      <c r="BV790" s="76" t="str">
        <f t="shared" si="270"/>
        <v/>
      </c>
      <c r="BW790" s="76" t="str">
        <f t="shared" si="271"/>
        <v>Cañón</v>
      </c>
      <c r="BX790" s="1142">
        <f>IF(OR($L788=BX$652,$L788="",$D788=$BZ$651),MAX(BX$654:BX789)+1,0)</f>
        <v>0</v>
      </c>
      <c r="BY790" s="1143">
        <f>IF(OR($L788=BY$652,$L788="",$D788=$BZ$651),MAX(BY$654:BY789)+1,0)</f>
        <v>0</v>
      </c>
      <c r="BZ790" s="1144">
        <f>IF(OR($L788=BZ$652,$L788="",$D788=$BZ$651),MAX(BZ$654:BZ789)+1,0)</f>
        <v>135</v>
      </c>
      <c r="CA790" s="2549"/>
      <c r="CB790" s="774" t="str">
        <f t="shared" si="272"/>
        <v/>
      </c>
      <c r="CC790" s="76" t="str">
        <f t="shared" si="273"/>
        <v/>
      </c>
      <c r="CD790" s="76" t="str">
        <f t="shared" si="274"/>
        <v>Cañón</v>
      </c>
      <c r="CE790" s="1142">
        <f>IF(OR($L788=CE$652,$L788="",$D788=$CG$651),MAX(CE$654:CE789)+1,0)</f>
        <v>0</v>
      </c>
      <c r="CF790" s="1143">
        <f>IF(OR($L788=CF$652,$L788="",$D788=$CG$651),MAX(CF$654:CF789)+1,0)</f>
        <v>0</v>
      </c>
      <c r="CG790" s="1144">
        <f>IF(OR($L788=CG$652,$L788="",$D788=$CG$651),MAX(CG$654:CG789)+1,0)</f>
        <v>135</v>
      </c>
      <c r="CI790" s="774" t="str">
        <f t="shared" si="275"/>
        <v/>
      </c>
      <c r="CJ790" s="76" t="str">
        <f t="shared" si="276"/>
        <v/>
      </c>
      <c r="CK790" s="76" t="str">
        <f t="shared" si="277"/>
        <v>Cañón</v>
      </c>
      <c r="CL790" s="1142">
        <f>IF(OR($L788=CL$652,$L788="",$D788=$CN$651),MAX(CL$654:CL789)+1,0)</f>
        <v>0</v>
      </c>
      <c r="CM790" s="1143">
        <f>IF(OR($L788=CM$652,$L788="",$D788=$CN$651),MAX(CM$654:CM789)+1,0)</f>
        <v>0</v>
      </c>
      <c r="CN790" s="1144">
        <f>IF(OR($L788=CN$652,$L788="",$D788=$CN$651),MAX(CN$654:CN789)+1,0)</f>
        <v>135</v>
      </c>
    </row>
    <row r="791" spans="1:92" ht="12.75" customHeight="1" thickBot="1">
      <c r="A791" s="219">
        <v>782</v>
      </c>
      <c r="B791" s="7145"/>
      <c r="C791" s="1034"/>
      <c r="D791" s="2237" t="s">
        <v>2054</v>
      </c>
      <c r="E791" s="2236">
        <v>60</v>
      </c>
      <c r="F791" s="2236" t="s">
        <v>1315</v>
      </c>
      <c r="G791" s="2236">
        <v>0</v>
      </c>
      <c r="H791" s="2236">
        <v>0</v>
      </c>
      <c r="I791" s="2236" t="s">
        <v>1411</v>
      </c>
      <c r="J791" s="2236" t="s">
        <v>1315</v>
      </c>
      <c r="K791" s="2433" t="s">
        <v>6849</v>
      </c>
      <c r="L791" s="2236"/>
      <c r="M791" s="2240">
        <v>11</v>
      </c>
      <c r="N791" s="2240">
        <v>5</v>
      </c>
      <c r="O791" s="2240">
        <v>15</v>
      </c>
      <c r="P791" s="2236"/>
      <c r="Q791" s="2236"/>
      <c r="R791" s="2236" t="s">
        <v>1315</v>
      </c>
      <c r="S791" s="2236" t="s">
        <v>1315</v>
      </c>
      <c r="T791" s="2236" t="s">
        <v>1315</v>
      </c>
      <c r="U791" s="2236"/>
      <c r="V791" s="7840" t="s">
        <v>2055</v>
      </c>
      <c r="W791" s="7840"/>
      <c r="X791" s="7841"/>
      <c r="Y791" s="2229">
        <v>0</v>
      </c>
      <c r="Z791" s="1150" t="str">
        <f t="shared" si="257"/>
        <v/>
      </c>
      <c r="AA791" s="1751" t="s">
        <v>2053</v>
      </c>
      <c r="AC791" s="758" t="s">
        <v>12557</v>
      </c>
      <c r="AD791" s="758">
        <f>IFERROR(IF(IF(AC791&lt;&gt;"",VLOOKUP(AC791,Tabla_ArmasyEscudos,9,0),"")="Conocida",MAX(AD$662:AD790)+1,0),0)</f>
        <v>0</v>
      </c>
      <c r="AE791" s="758">
        <f ca="1">IF(AC791="",0,IF(AD791=0,MAX(AE$654:AE790,AG$652)+1,AD791+IFERROR(VLOOKUP(VLOOKUP(AC791,$D$653:$AA$871,24,0),AC$654:AE$661,3,0)-VLOOKUP(VLOOKUP(AC791,$D$653:$AA$871,24,0),AC$654:AE$661,2,0)+1,0)))</f>
        <v>131</v>
      </c>
      <c r="AF791" s="758" t="str">
        <f t="shared" ca="1" si="258"/>
        <v>Imperito</v>
      </c>
      <c r="AG791" s="699"/>
      <c r="AH791" s="699"/>
      <c r="AI791" s="699"/>
      <c r="AJ791" s="699"/>
      <c r="AK791" s="699"/>
      <c r="AL791" s="699"/>
      <c r="AM791" s="699"/>
      <c r="AN791" s="699"/>
      <c r="AO791" s="699"/>
      <c r="AP791" s="304"/>
      <c r="AQ791" s="304"/>
      <c r="AR791" s="304"/>
      <c r="AS791" s="304"/>
      <c r="AT791" s="304"/>
      <c r="AU791" s="304"/>
      <c r="AV791" s="304"/>
      <c r="AX791" s="1141" t="str">
        <f t="shared" si="259"/>
        <v>Cañón</v>
      </c>
      <c r="AY791" s="2549"/>
      <c r="AZ791" s="1033" t="str">
        <f t="shared" si="260"/>
        <v/>
      </c>
      <c r="BA791" s="836" t="str">
        <f t="shared" si="261"/>
        <v/>
      </c>
      <c r="BB791" s="836" t="str">
        <f t="shared" si="262"/>
        <v/>
      </c>
      <c r="BC791" s="1471">
        <f>IF(OR($L789=BC$652,$L789="",$D789=$BE$651),MAX(BC$654:BC790)+1,0)</f>
        <v>0</v>
      </c>
      <c r="BD791" s="1145">
        <f>IF(OR($L789=BD$652,$L789="",$D789=$BE$651),MAX(BD$654:BD790)+1,0)</f>
        <v>0</v>
      </c>
      <c r="BE791" s="1146">
        <f>IF(OR($L789=BE$652,$L789="",$D789=$BE$651),MAX(BE$654:BE790)+1,0)</f>
        <v>136</v>
      </c>
      <c r="BF791" s="2549"/>
      <c r="BG791" s="1033" t="str">
        <f t="shared" si="263"/>
        <v/>
      </c>
      <c r="BH791" s="836" t="str">
        <f t="shared" si="264"/>
        <v/>
      </c>
      <c r="BI791" s="836" t="str">
        <f t="shared" si="265"/>
        <v/>
      </c>
      <c r="BJ791" s="1471">
        <f>IF(OR($L789=BJ$652,$L789="",$D789=$BL$651),MAX(BJ$654:BJ790)+1,0)</f>
        <v>0</v>
      </c>
      <c r="BK791" s="1145">
        <f>IF(OR($L789=BK$652,$L789="",$D789=$BL$651),MAX(BK$654:BK790)+1,0)</f>
        <v>0</v>
      </c>
      <c r="BL791" s="1146">
        <f>IF(OR($L789=BL$652,$L789="",$D789=$BL$651),MAX(BL$654:BL790)+1,0)</f>
        <v>136</v>
      </c>
      <c r="BM791" s="2549"/>
      <c r="BN791" s="1033" t="str">
        <f t="shared" si="266"/>
        <v/>
      </c>
      <c r="BO791" s="836" t="str">
        <f t="shared" si="267"/>
        <v/>
      </c>
      <c r="BP791" s="836" t="str">
        <f t="shared" si="268"/>
        <v/>
      </c>
      <c r="BQ791" s="1471">
        <f>IF(OR($L789=BQ$652,$L789="",$D789=$BS$651),MAX(BQ$654:BQ790)+1,0)</f>
        <v>0</v>
      </c>
      <c r="BR791" s="1145">
        <f>IF(OR($L789=BR$652,$L789="",$D789=$BS$651),MAX(BR$654:BR790)+1,0)</f>
        <v>0</v>
      </c>
      <c r="BS791" s="1146">
        <f>IF(OR($L789=BS$652,$L789="",$D789=$BS$651),MAX(BS$654:BS790)+1,0)</f>
        <v>136</v>
      </c>
      <c r="BT791" s="2549"/>
      <c r="BU791" s="1033" t="str">
        <f t="shared" si="269"/>
        <v/>
      </c>
      <c r="BV791" s="836" t="str">
        <f t="shared" si="270"/>
        <v/>
      </c>
      <c r="BW791" s="836" t="str">
        <f t="shared" si="271"/>
        <v/>
      </c>
      <c r="BX791" s="1471">
        <f>IF(OR($L789=BX$652,$L789="",$D789=$BZ$651),MAX(BX$654:BX790)+1,0)</f>
        <v>0</v>
      </c>
      <c r="BY791" s="1145">
        <f>IF(OR($L789=BY$652,$L789="",$D789=$BZ$651),MAX(BY$654:BY790)+1,0)</f>
        <v>0</v>
      </c>
      <c r="BZ791" s="1146">
        <f>IF(OR($L789=BZ$652,$L789="",$D789=$BZ$651),MAX(BZ$654:BZ790)+1,0)</f>
        <v>136</v>
      </c>
      <c r="CA791" s="2549"/>
      <c r="CB791" s="1033" t="str">
        <f t="shared" si="272"/>
        <v/>
      </c>
      <c r="CC791" s="836" t="str">
        <f t="shared" si="273"/>
        <v/>
      </c>
      <c r="CD791" s="836" t="str">
        <f t="shared" si="274"/>
        <v/>
      </c>
      <c r="CE791" s="1471">
        <f>IF(OR($L789=CE$652,$L789="",$D789=$CG$651),MAX(CE$654:CE790)+1,0)</f>
        <v>0</v>
      </c>
      <c r="CF791" s="1145">
        <f>IF(OR($L789=CF$652,$L789="",$D789=$CG$651),MAX(CF$654:CF790)+1,0)</f>
        <v>0</v>
      </c>
      <c r="CG791" s="1146">
        <f>IF(OR($L789=CG$652,$L789="",$D789=$CG$651),MAX(CG$654:CG790)+1,0)</f>
        <v>136</v>
      </c>
      <c r="CI791" s="1033" t="str">
        <f t="shared" si="275"/>
        <v/>
      </c>
      <c r="CJ791" s="836" t="str">
        <f t="shared" si="276"/>
        <v/>
      </c>
      <c r="CK791" s="836" t="str">
        <f t="shared" si="277"/>
        <v/>
      </c>
      <c r="CL791" s="1471">
        <f>IF(OR($L789=CL$652,$L789="",$D789=$CN$651),MAX(CL$654:CL790)+1,0)</f>
        <v>0</v>
      </c>
      <c r="CM791" s="1145">
        <f>IF(OR($L789=CM$652,$L789="",$D789=$CN$651),MAX(CM$654:CM790)+1,0)</f>
        <v>0</v>
      </c>
      <c r="CN791" s="1146">
        <f>IF(OR($L789=CN$652,$L789="",$D789=$CN$651),MAX(CN$654:CN790)+1,0)</f>
        <v>136</v>
      </c>
    </row>
    <row r="792" spans="1:92" ht="12.75" customHeight="1">
      <c r="A792" s="219">
        <v>783</v>
      </c>
      <c r="B792" s="7145"/>
      <c r="C792" s="1034"/>
      <c r="D792" s="2237" t="s">
        <v>8108</v>
      </c>
      <c r="E792" s="2236">
        <v>30</v>
      </c>
      <c r="F792" s="2236" t="s">
        <v>1315</v>
      </c>
      <c r="G792" s="2236">
        <v>0</v>
      </c>
      <c r="H792" s="2236">
        <v>0</v>
      </c>
      <c r="I792" s="2236" t="s">
        <v>1411</v>
      </c>
      <c r="J792" s="2236" t="s">
        <v>1315</v>
      </c>
      <c r="K792" s="2433" t="s">
        <v>6849</v>
      </c>
      <c r="L792" s="2236"/>
      <c r="M792" s="2240">
        <v>6</v>
      </c>
      <c r="N792" s="2240">
        <v>1</v>
      </c>
      <c r="O792" s="2240">
        <v>10</v>
      </c>
      <c r="P792" s="2236"/>
      <c r="Q792" s="2236"/>
      <c r="R792" s="2236" t="s">
        <v>1315</v>
      </c>
      <c r="S792" s="2236" t="s">
        <v>1315</v>
      </c>
      <c r="T792" s="2236" t="s">
        <v>1315</v>
      </c>
      <c r="U792" s="2236"/>
      <c r="V792" s="2433" t="s">
        <v>8116</v>
      </c>
      <c r="W792" s="2433"/>
      <c r="X792" s="2434"/>
      <c r="Y792" s="2229">
        <v>0</v>
      </c>
      <c r="Z792" s="1150" t="str">
        <f t="shared" si="257"/>
        <v/>
      </c>
      <c r="AA792" s="1751" t="s">
        <v>2053</v>
      </c>
      <c r="AC792" s="758" t="s">
        <v>12558</v>
      </c>
      <c r="AD792" s="758">
        <f>IFERROR(IF(IF(AC792&lt;&gt;"",VLOOKUP(AC792,Tabla_ArmasyEscudos,9,0),"")="Conocida",MAX(AD$662:AD791)+1,0),0)</f>
        <v>0</v>
      </c>
      <c r="AE792" s="758">
        <f ca="1">IF(AC792="",0,IF(AD792=0,MAX(AE$654:AE791,AG$652)+1,AD792+IFERROR(VLOOKUP(VLOOKUP(AC792,$D$653:$AA$871,24,0),AC$654:AE$661,3,0)-VLOOKUP(VLOOKUP(AC792,$D$653:$AA$871,24,0),AC$654:AE$661,2,0)+1,0)))</f>
        <v>132</v>
      </c>
      <c r="AF792" s="758" t="str">
        <f t="shared" ca="1" si="258"/>
        <v>Kagune</v>
      </c>
      <c r="AG792" s="699"/>
      <c r="AH792" s="699"/>
      <c r="AI792" s="699"/>
      <c r="AJ792" s="699"/>
      <c r="AK792" s="699"/>
      <c r="AL792" s="699"/>
      <c r="AM792" s="699"/>
      <c r="AN792" s="699"/>
      <c r="AO792" s="699"/>
      <c r="AP792" s="304"/>
      <c r="AQ792" s="304"/>
      <c r="AR792" s="304"/>
      <c r="AS792" s="304"/>
      <c r="AT792" s="304"/>
      <c r="AU792" s="304"/>
      <c r="AV792" s="304"/>
      <c r="AX792" s="2565" t="str">
        <f>D811</f>
        <v>&gt; ARMAS IMPOSIBLES</v>
      </c>
      <c r="AY792" s="510"/>
      <c r="AZ792" s="2550" t="str">
        <f t="shared" si="260"/>
        <v/>
      </c>
      <c r="BA792" s="2551" t="str">
        <f t="shared" si="261"/>
        <v/>
      </c>
      <c r="BB792" s="2551" t="str">
        <f t="shared" si="262"/>
        <v/>
      </c>
      <c r="BC792" s="2556">
        <v>0</v>
      </c>
      <c r="BD792" s="2557">
        <v>0</v>
      </c>
      <c r="BE792" s="2558">
        <f>IF(AND(VirgoAprendido,OR($L$811=BE$652,$L$811="",$D$811=$BE$651)),MAX(BE$654:BE791)+1,0)</f>
        <v>0</v>
      </c>
      <c r="BG792" s="2550" t="str">
        <f t="shared" si="263"/>
        <v/>
      </c>
      <c r="BH792" s="2551" t="str">
        <f t="shared" si="264"/>
        <v/>
      </c>
      <c r="BI792" s="2551" t="str">
        <f t="shared" si="265"/>
        <v/>
      </c>
      <c r="BJ792" s="2556">
        <v>0</v>
      </c>
      <c r="BK792" s="2557">
        <v>0</v>
      </c>
      <c r="BL792" s="2558">
        <f>IF(AND(VirgoAprendido,OR($L$811=BL$652,$L$811="",$D$811=$BL$651)),MAX(BL$654:BL791)+1,0)</f>
        <v>0</v>
      </c>
      <c r="BN792" s="2550" t="str">
        <f t="shared" si="266"/>
        <v/>
      </c>
      <c r="BO792" s="2551" t="str">
        <f t="shared" si="267"/>
        <v/>
      </c>
      <c r="BP792" s="2551" t="str">
        <f t="shared" si="268"/>
        <v/>
      </c>
      <c r="BQ792" s="2556">
        <v>0</v>
      </c>
      <c r="BR792" s="2557">
        <v>0</v>
      </c>
      <c r="BS792" s="2558">
        <f>IF(AND(VirgoAprendido,OR($L$811=BS$652,$L$811="",$D$811=$BS$651)),MAX(BS$654:BS791)+1,0)</f>
        <v>0</v>
      </c>
      <c r="BU792" s="2550" t="str">
        <f t="shared" si="269"/>
        <v/>
      </c>
      <c r="BV792" s="2551" t="str">
        <f t="shared" si="270"/>
        <v/>
      </c>
      <c r="BW792" s="2551" t="str">
        <f t="shared" si="271"/>
        <v/>
      </c>
      <c r="BX792" s="2556">
        <v>0</v>
      </c>
      <c r="BY792" s="2557">
        <v>0</v>
      </c>
      <c r="BZ792" s="2558">
        <f>IF(AND(VirgoAprendido,OR($L$811=BZ$652,$L$811="",$D$811=$BZ$651)),MAX(BZ$654:BZ791)+1,0)</f>
        <v>0</v>
      </c>
      <c r="CB792" s="2550" t="str">
        <f t="shared" si="272"/>
        <v/>
      </c>
      <c r="CC792" s="2551" t="str">
        <f t="shared" si="273"/>
        <v/>
      </c>
      <c r="CD792" s="2551" t="str">
        <f t="shared" si="274"/>
        <v/>
      </c>
      <c r="CE792" s="2556">
        <v>0</v>
      </c>
      <c r="CF792" s="2557">
        <v>0</v>
      </c>
      <c r="CG792" s="2558">
        <f>IF(AND(VirgoAprendido,OR($L$811=CG$652,$L$811="",$D$811=$CG$651)),MAX(CG$654:CG791)+1,0)</f>
        <v>0</v>
      </c>
      <c r="CI792" s="2550" t="str">
        <f t="shared" si="275"/>
        <v/>
      </c>
      <c r="CJ792" s="2551" t="str">
        <f t="shared" si="276"/>
        <v/>
      </c>
      <c r="CK792" s="2551" t="str">
        <f t="shared" si="277"/>
        <v/>
      </c>
      <c r="CL792" s="2556">
        <v>0</v>
      </c>
      <c r="CM792" s="2557">
        <v>0</v>
      </c>
      <c r="CN792" s="2558">
        <f>IF(AND(VirgoAprendido,OR($L$811=CN$652,$L$811="",$D$811=$CN$651)),MAX(CN$654:CN791)+1,0)</f>
        <v>0</v>
      </c>
    </row>
    <row r="793" spans="1:92" ht="12.75" customHeight="1">
      <c r="A793" s="219">
        <v>784</v>
      </c>
      <c r="B793" s="7145"/>
      <c r="C793" s="1034"/>
      <c r="D793" s="2237" t="s">
        <v>2056</v>
      </c>
      <c r="E793" s="2236">
        <v>150</v>
      </c>
      <c r="F793" s="2236" t="s">
        <v>1315</v>
      </c>
      <c r="G793" s="2236">
        <v>0</v>
      </c>
      <c r="H793" s="2236">
        <v>0</v>
      </c>
      <c r="I793" s="2236" t="s">
        <v>1357</v>
      </c>
      <c r="J793" s="2236" t="s">
        <v>1315</v>
      </c>
      <c r="K793" s="2433" t="s">
        <v>6849</v>
      </c>
      <c r="L793" s="2236"/>
      <c r="M793" s="2240">
        <v>20</v>
      </c>
      <c r="N793" s="2240">
        <v>14</v>
      </c>
      <c r="O793" s="2240">
        <v>15</v>
      </c>
      <c r="P793" s="2236"/>
      <c r="Q793" s="2236"/>
      <c r="R793" s="2236" t="s">
        <v>1315</v>
      </c>
      <c r="S793" s="2236" t="s">
        <v>1315</v>
      </c>
      <c r="T793" s="2236" t="s">
        <v>1315</v>
      </c>
      <c r="U793" s="2236"/>
      <c r="V793" s="7840" t="s">
        <v>2057</v>
      </c>
      <c r="W793" s="7840"/>
      <c r="X793" s="7841"/>
      <c r="Y793" s="2229">
        <v>0</v>
      </c>
      <c r="Z793" s="1150" t="str">
        <f t="shared" si="257"/>
        <v/>
      </c>
      <c r="AA793" s="1751" t="s">
        <v>2053</v>
      </c>
      <c r="AC793" s="2575" t="s">
        <v>11725</v>
      </c>
      <c r="AD793" s="758">
        <f>IFERROR(IF(IF(AC793&lt;&gt;"",VLOOKUP(AC793,Tabla_ArmasyEscudos,9,0),"")="Conocida",MAX(AD$662:AD792)+1,0),0)</f>
        <v>0</v>
      </c>
      <c r="AE793" s="758">
        <f ca="1">IF(AC793="",0,IF(AD793=0,MAX(AE$654:AE792,AG$652)+1,AD793+IFERROR(VLOOKUP(VLOOKUP(AC793,$D$653:$AA$871,24,0),AC$654:AE$661,3,0)-VLOOKUP(VLOOKUP(AC793,$D$653:$AA$871,24,0),AC$654:AE$661,2,0)+1,0)))</f>
        <v>133</v>
      </c>
      <c r="AF793" s="758" t="str">
        <f t="shared" ca="1" si="258"/>
        <v>&gt; ARS COGNITIAM</v>
      </c>
      <c r="AG793" s="758" t="str">
        <f t="shared" ref="AG793:AG802" ca="1" si="278">IF($A127&lt;MIN($AE$662,IF($AE$660&gt;0,$AE$660,9999),IF($AE$661&gt;0,$AE$661,9999)),IFERROR(INDEX(AC$654:AC$808,MATCH($A127,AE$654:AE$808,0)),""),"")</f>
        <v/>
      </c>
      <c r="AH793" s="2568"/>
      <c r="AI793" s="758">
        <f>IFERROR(IF(IF(AH793&lt;&gt;"",VLOOKUP(AH793,Tabla_ArmasyEscudos,9,0),"")="Conocida",MAX(AI$660:AI780)+1,0),0)</f>
        <v>0</v>
      </c>
      <c r="AJ793" s="758">
        <f>IF(AH793="",0,IF(AI793=0,MAX(AJ$654:AJ780,AL$652)+1,AI793+IFERROR(VLOOKUP(VLOOKUP(AH793,$D$653:$AA$871,24,0),AH$654:AJ$659,3,0)-VLOOKUP(VLOOKUP(AH793,$D$653:$AA$871,24,0),AH$654:AJ$659,2,0)+1,0)))</f>
        <v>0</v>
      </c>
      <c r="AK793" s="758" t="str">
        <f t="shared" ref="AK793:AK800" ca="1" si="279">IFERROR(INDEX(AH$654:AH$806,MATCH($A127,AJ$654:AJ$806,0)),"")</f>
        <v/>
      </c>
      <c r="AL793" s="758" t="str">
        <f t="shared" ref="AL793:AL800" ca="1" si="280">IF($A127&lt;MIN(AJ$660,IF($AJ$657&gt;0,$AJ$657,9999)),IFERROR(INDEX(AH$654:AH$806,MATCH($A127,AJ$654:AJ$806,0)),""),"")</f>
        <v/>
      </c>
      <c r="AM793" s="2568"/>
      <c r="AN793" s="758">
        <f>IFERROR(IF(IF(AM793&lt;&gt;"",VLOOKUP(AM793,Tabla_ArmasyEscudos,9,0),"")="Conocida",MAX(AN$660:AN780)+1,0),0)</f>
        <v>0</v>
      </c>
      <c r="AO793" s="758">
        <f>IF(AM793="",0,IF(AN793=0,MAX(AO$654:AO780,AQ$652)+1,AN793+IFERROR(VLOOKUP(VLOOKUP(AM793,$D$653:$AA$871,24,0),AM$654:AO$659,3,0)-VLOOKUP(VLOOKUP(AM793,$D$653:$AA$871,24,0),AM$654:AO$659,2,0)+1,0)))</f>
        <v>0</v>
      </c>
      <c r="AP793" s="758" t="str">
        <f t="shared" ref="AP793:AP800" ca="1" si="281">IFERROR(INDEX(AM$654:AM$806,MATCH($A127,AO$654:AO$806,0)),"")</f>
        <v/>
      </c>
      <c r="AQ793" s="758" t="str">
        <f t="shared" ref="AQ793:AQ800" ca="1" si="282">IF($A127&lt;MIN(AO$660,IF($AO$656&gt;0,$AO$656,9999)),IFERROR(INDEX(AM$654:AM$806,MATCH($A127,AO$654:AO$806,0)),""),"")</f>
        <v/>
      </c>
      <c r="AR793" s="2568"/>
      <c r="AS793" s="758">
        <f>IFERROR(IF(IF(AR793&lt;&gt;"",VLOOKUP(AR793,Tabla_ArmasyEscudos,9,0),"")="Conocida",MAX(AS$660:AS780)+1,0),0)</f>
        <v>0</v>
      </c>
      <c r="AT793" s="758">
        <f>IF(AR793="",0,IF(AS793=0,MAX(AT$654:AT780,AV$652)+1,AS793+IFERROR(VLOOKUP(VLOOKUP(AR793,$D$653:$AA$871,24,0),AR$654:AT$659,3,0)-VLOOKUP(VLOOKUP(AR793,$D$653:$AA$871,24,0),AR$654:AT$659,2,0)+1,0)))</f>
        <v>0</v>
      </c>
      <c r="AU793" s="758" t="str">
        <f t="shared" ref="AU793:AU800" ca="1" si="283">IFERROR(INDEX(AR$654:AR$806,MATCH($A127,AT$654:AT$806,0)),"")</f>
        <v/>
      </c>
      <c r="AV793" s="758" t="str">
        <f t="shared" ref="AV793:AV800" ca="1" si="284">IF($A127&lt;MIN(AT$660,IF($AT$657&gt;0,$AT$657,9999)),IFERROR(INDEX(AR$654:AR$806,MATCH($A127,AT$654:AT$806,0)),""),"")</f>
        <v/>
      </c>
      <c r="AX793" s="2565" t="str">
        <f>D822</f>
        <v>Virgo (Viento pequeño)</v>
      </c>
      <c r="AY793" s="510"/>
      <c r="AZ793" s="2552" t="str">
        <f t="shared" si="260"/>
        <v/>
      </c>
      <c r="BA793" s="2553" t="str">
        <f t="shared" si="261"/>
        <v/>
      </c>
      <c r="BB793" s="2553" t="str">
        <f t="shared" si="262"/>
        <v/>
      </c>
      <c r="BC793" s="2559">
        <v>0</v>
      </c>
      <c r="BD793" s="2560">
        <v>0</v>
      </c>
      <c r="BE793" s="2561">
        <f>IF(AND(VirgoAprendido,OR($L822=BE$652,$L822="",$D822=$BE$651)),MAX(BE$654:BE792)+1,0)</f>
        <v>0</v>
      </c>
      <c r="BG793" s="2552" t="str">
        <f t="shared" si="263"/>
        <v/>
      </c>
      <c r="BH793" s="2553" t="str">
        <f t="shared" si="264"/>
        <v/>
      </c>
      <c r="BI793" s="2553" t="str">
        <f t="shared" si="265"/>
        <v/>
      </c>
      <c r="BJ793" s="2559">
        <v>0</v>
      </c>
      <c r="BK793" s="2560">
        <v>0</v>
      </c>
      <c r="BL793" s="2561">
        <f>IF(AND(VirgoAprendido,OR($L822=BL$652,$L822="",$D822=$BL$651)),MAX(BL$654:BL792)+1,0)</f>
        <v>0</v>
      </c>
      <c r="BN793" s="2552" t="str">
        <f t="shared" si="266"/>
        <v/>
      </c>
      <c r="BO793" s="2553" t="str">
        <f t="shared" si="267"/>
        <v/>
      </c>
      <c r="BP793" s="2553" t="str">
        <f t="shared" si="268"/>
        <v/>
      </c>
      <c r="BQ793" s="2559">
        <v>0</v>
      </c>
      <c r="BR793" s="2560">
        <v>0</v>
      </c>
      <c r="BS793" s="2561">
        <f>IF(AND(VirgoAprendido,OR($L822=BS$652,$L822="",$D822=$BS$651)),MAX(BS$654:BS792)+1,0)</f>
        <v>0</v>
      </c>
      <c r="BU793" s="2552" t="str">
        <f t="shared" si="269"/>
        <v/>
      </c>
      <c r="BV793" s="2553" t="str">
        <f t="shared" si="270"/>
        <v/>
      </c>
      <c r="BW793" s="2553" t="str">
        <f t="shared" si="271"/>
        <v/>
      </c>
      <c r="BX793" s="2559">
        <v>0</v>
      </c>
      <c r="BY793" s="2560">
        <v>0</v>
      </c>
      <c r="BZ793" s="2561">
        <f>IF(AND(VirgoAprendido,OR($L822=BZ$652,$L822="",$D822=$BZ$651)),MAX(BZ$654:BZ792)+1,0)</f>
        <v>0</v>
      </c>
      <c r="CB793" s="2552" t="str">
        <f t="shared" si="272"/>
        <v/>
      </c>
      <c r="CC793" s="2553" t="str">
        <f t="shared" si="273"/>
        <v/>
      </c>
      <c r="CD793" s="2553" t="str">
        <f t="shared" si="274"/>
        <v/>
      </c>
      <c r="CE793" s="2559">
        <v>0</v>
      </c>
      <c r="CF793" s="2560">
        <v>0</v>
      </c>
      <c r="CG793" s="2561">
        <f>IF(AND(VirgoAprendido,OR($L822=CG$652,$L822="",$D822=$CG$651)),MAX(CG$654:CG792)+1,0)</f>
        <v>0</v>
      </c>
      <c r="CI793" s="2552" t="str">
        <f t="shared" si="275"/>
        <v/>
      </c>
      <c r="CJ793" s="2553" t="str">
        <f t="shared" si="276"/>
        <v/>
      </c>
      <c r="CK793" s="2553" t="str">
        <f t="shared" si="277"/>
        <v/>
      </c>
      <c r="CL793" s="2559">
        <v>0</v>
      </c>
      <c r="CM793" s="2560">
        <v>0</v>
      </c>
      <c r="CN793" s="2561">
        <f>IF(AND(VirgoAprendido,OR($L822=CN$652,$L822="",$D822=$CN$651)),MAX(CN$654:CN792)+1,0)</f>
        <v>0</v>
      </c>
    </row>
    <row r="794" spans="1:92" ht="12.75" customHeight="1">
      <c r="A794" s="219">
        <v>785</v>
      </c>
      <c r="B794" s="7145"/>
      <c r="C794" s="1034"/>
      <c r="D794" s="2237" t="s">
        <v>8140</v>
      </c>
      <c r="E794" s="2236">
        <v>120</v>
      </c>
      <c r="F794" s="2236" t="s">
        <v>1315</v>
      </c>
      <c r="G794" s="2236">
        <v>0</v>
      </c>
      <c r="H794" s="2236">
        <v>0</v>
      </c>
      <c r="I794" s="2236" t="s">
        <v>1357</v>
      </c>
      <c r="J794" s="2236" t="s">
        <v>1315</v>
      </c>
      <c r="K794" s="2433" t="s">
        <v>6849</v>
      </c>
      <c r="L794" s="2236"/>
      <c r="M794" s="2240">
        <v>20</v>
      </c>
      <c r="N794" s="2240">
        <v>14</v>
      </c>
      <c r="O794" s="2240">
        <v>15</v>
      </c>
      <c r="P794" s="2236"/>
      <c r="Q794" s="2236"/>
      <c r="R794" s="2236" t="s">
        <v>1315</v>
      </c>
      <c r="S794" s="2236" t="s">
        <v>1315</v>
      </c>
      <c r="T794" s="2236" t="s">
        <v>1315</v>
      </c>
      <c r="U794" s="2236"/>
      <c r="V794" s="7840" t="s">
        <v>8141</v>
      </c>
      <c r="W794" s="7840"/>
      <c r="X794" s="7841"/>
      <c r="Y794" s="2229">
        <v>0</v>
      </c>
      <c r="Z794" s="1150" t="str">
        <f t="shared" si="257"/>
        <v/>
      </c>
      <c r="AA794" s="1751" t="s">
        <v>2053</v>
      </c>
      <c r="AC794" s="2568" t="s">
        <v>11726</v>
      </c>
      <c r="AD794" s="758">
        <f>IFERROR(IF(IF(AC794&lt;&gt;"",VLOOKUP(AC794,Tabla_ArmasyEscudos,9,0),"")="Conocida",MAX(AD$662:AD793)+1,0),0)</f>
        <v>0</v>
      </c>
      <c r="AE794" s="758">
        <f ca="1">IF(AC794="",0,IF(AD794=0,MAX(AE$654:AE793,AG$652)+1,AD794+IFERROR(VLOOKUP(VLOOKUP(AC794,$D$653:$AA$871,24,0),AC$654:AE$661,3,0)-VLOOKUP(VLOOKUP(AC794,$D$653:$AA$871,24,0),AC$654:AE$661,2,0)+1,0)))</f>
        <v>134</v>
      </c>
      <c r="AF794" s="758" t="str">
        <f t="shared" ca="1" si="258"/>
        <v>Lux</v>
      </c>
      <c r="AG794" s="758" t="str">
        <f t="shared" ca="1" si="278"/>
        <v/>
      </c>
      <c r="AH794" s="2568"/>
      <c r="AI794" s="758">
        <f>IFERROR(IF(IF(AH794&lt;&gt;"",VLOOKUP(AH794,Tabla_ArmasyEscudos,9,0),"")="Conocida",MAX(AI$660:AI793)+1,0),0)</f>
        <v>0</v>
      </c>
      <c r="AJ794" s="758">
        <f>IF(AH794="",0,IF(AI794=0,MAX(AJ$654:AJ793,AL$652)+1,AI794+IFERROR(VLOOKUP(VLOOKUP(AH794,$D$653:$AA$871,24,0),AH$654:AJ$659,3,0)-VLOOKUP(VLOOKUP(AH794,$D$653:$AA$871,24,0),AH$654:AJ$659,2,0)+1,0)))</f>
        <v>0</v>
      </c>
      <c r="AK794" s="758" t="str">
        <f t="shared" ca="1" si="279"/>
        <v/>
      </c>
      <c r="AL794" s="758" t="str">
        <f t="shared" ca="1" si="280"/>
        <v/>
      </c>
      <c r="AM794" s="2568"/>
      <c r="AN794" s="758">
        <f>IFERROR(IF(IF(AM794&lt;&gt;"",VLOOKUP(AM794,Tabla_ArmasyEscudos,9,0),"")="Conocida",MAX(AN$660:AN793)+1,0),0)</f>
        <v>0</v>
      </c>
      <c r="AO794" s="758">
        <f>IF(AM794="",0,IF(AN794=0,MAX(AO$654:AO793,AQ$652)+1,AN794+IFERROR(VLOOKUP(VLOOKUP(AM794,$D$653:$AA$871,24,0),AM$654:AO$659,3,0)-VLOOKUP(VLOOKUP(AM794,$D$653:$AA$871,24,0),AM$654:AO$659,2,0)+1,0)))</f>
        <v>0</v>
      </c>
      <c r="AP794" s="758" t="str">
        <f t="shared" ca="1" si="281"/>
        <v/>
      </c>
      <c r="AQ794" s="758" t="str">
        <f t="shared" ca="1" si="282"/>
        <v/>
      </c>
      <c r="AR794" s="2568"/>
      <c r="AS794" s="758">
        <f>IFERROR(IF(IF(AR794&lt;&gt;"",VLOOKUP(AR794,Tabla_ArmasyEscudos,9,0),"")="Conocida",MAX(AS$660:AS793)+1,0),0)</f>
        <v>0</v>
      </c>
      <c r="AT794" s="758">
        <f>IF(AR794="",0,IF(AS794=0,MAX(AT$654:AT793,AV$652)+1,AS794+IFERROR(VLOOKUP(VLOOKUP(AR794,$D$653:$AA$871,24,0),AR$654:AT$659,3,0)-VLOOKUP(VLOOKUP(AR794,$D$653:$AA$871,24,0),AR$654:AT$659,2,0)+1,0)))</f>
        <v>0</v>
      </c>
      <c r="AU794" s="758" t="str">
        <f t="shared" ca="1" si="283"/>
        <v/>
      </c>
      <c r="AV794" s="758" t="str">
        <f t="shared" ca="1" si="284"/>
        <v/>
      </c>
      <c r="AX794" s="2565" t="str">
        <f>D823</f>
        <v>Virgo (Viento grande)</v>
      </c>
      <c r="AY794" s="510"/>
      <c r="AZ794" s="2552" t="str">
        <f t="shared" si="260"/>
        <v/>
      </c>
      <c r="BA794" s="2553" t="str">
        <f t="shared" si="261"/>
        <v/>
      </c>
      <c r="BB794" s="2553" t="str">
        <f t="shared" si="262"/>
        <v/>
      </c>
      <c r="BC794" s="2559">
        <v>0</v>
      </c>
      <c r="BD794" s="2560">
        <v>0</v>
      </c>
      <c r="BE794" s="2561">
        <f>IF(AND(VirgoAprendido,OR($L823=BE$652,$L823="",$D823=$BE$651)),MAX(BE$654:BE793)+1,0)</f>
        <v>0</v>
      </c>
      <c r="BG794" s="2552" t="str">
        <f t="shared" si="263"/>
        <v/>
      </c>
      <c r="BH794" s="2553" t="str">
        <f t="shared" si="264"/>
        <v/>
      </c>
      <c r="BI794" s="2553" t="str">
        <f t="shared" si="265"/>
        <v/>
      </c>
      <c r="BJ794" s="2559">
        <v>0</v>
      </c>
      <c r="BK794" s="2560">
        <v>0</v>
      </c>
      <c r="BL794" s="2561">
        <f>IF(AND(VirgoAprendido,OR($L823=BL$652,$L823="",$D823=$BL$651)),MAX(BL$654:BL793)+1,0)</f>
        <v>0</v>
      </c>
      <c r="BN794" s="2552" t="str">
        <f t="shared" si="266"/>
        <v/>
      </c>
      <c r="BO794" s="2553" t="str">
        <f t="shared" si="267"/>
        <v/>
      </c>
      <c r="BP794" s="2553" t="str">
        <f t="shared" si="268"/>
        <v/>
      </c>
      <c r="BQ794" s="2559">
        <v>0</v>
      </c>
      <c r="BR794" s="2560">
        <v>0</v>
      </c>
      <c r="BS794" s="2561">
        <f>IF(AND(VirgoAprendido,OR($L823=BS$652,$L823="",$D823=$BS$651)),MAX(BS$654:BS793)+1,0)</f>
        <v>0</v>
      </c>
      <c r="BU794" s="2552" t="str">
        <f t="shared" si="269"/>
        <v/>
      </c>
      <c r="BV794" s="2553" t="str">
        <f t="shared" si="270"/>
        <v/>
      </c>
      <c r="BW794" s="2553" t="str">
        <f t="shared" si="271"/>
        <v/>
      </c>
      <c r="BX794" s="2559">
        <v>0</v>
      </c>
      <c r="BY794" s="2560">
        <v>0</v>
      </c>
      <c r="BZ794" s="2561">
        <f>IF(AND(VirgoAprendido,OR($L823=BZ$652,$L823="",$D823=$BZ$651)),MAX(BZ$654:BZ793)+1,0)</f>
        <v>0</v>
      </c>
      <c r="CB794" s="2552" t="str">
        <f t="shared" si="272"/>
        <v/>
      </c>
      <c r="CC794" s="2553" t="str">
        <f t="shared" si="273"/>
        <v/>
      </c>
      <c r="CD794" s="2553" t="str">
        <f t="shared" si="274"/>
        <v/>
      </c>
      <c r="CE794" s="2559">
        <v>0</v>
      </c>
      <c r="CF794" s="2560">
        <v>0</v>
      </c>
      <c r="CG794" s="2561">
        <f>IF(AND(VirgoAprendido,OR($L823=CG$652,$L823="",$D823=$CG$651)),MAX(CG$654:CG793)+1,0)</f>
        <v>0</v>
      </c>
      <c r="CI794" s="2552" t="str">
        <f t="shared" si="275"/>
        <v/>
      </c>
      <c r="CJ794" s="2553" t="str">
        <f t="shared" si="276"/>
        <v/>
      </c>
      <c r="CK794" s="2553" t="str">
        <f t="shared" si="277"/>
        <v/>
      </c>
      <c r="CL794" s="2559">
        <v>0</v>
      </c>
      <c r="CM794" s="2560">
        <v>0</v>
      </c>
      <c r="CN794" s="2561">
        <f>IF(AND(VirgoAprendido,OR($L823=CN$652,$L823="",$D823=$CN$651)),MAX(CN$654:CN793)+1,0)</f>
        <v>0</v>
      </c>
    </row>
    <row r="795" spans="1:92" ht="12.75" customHeight="1">
      <c r="A795" s="219">
        <v>786</v>
      </c>
      <c r="B795" s="7145"/>
      <c r="C795" s="1034"/>
      <c r="D795" s="2237" t="s">
        <v>8134</v>
      </c>
      <c r="E795" s="2236">
        <v>50</v>
      </c>
      <c r="F795" s="2236" t="s">
        <v>1315</v>
      </c>
      <c r="G795" s="2236">
        <v>0</v>
      </c>
      <c r="H795" s="2236">
        <v>0</v>
      </c>
      <c r="I795" s="2236" t="s">
        <v>1411</v>
      </c>
      <c r="J795" s="2236" t="s">
        <v>1315</v>
      </c>
      <c r="K795" s="2433" t="s">
        <v>6849</v>
      </c>
      <c r="L795" s="2236"/>
      <c r="M795" s="2240">
        <v>11</v>
      </c>
      <c r="N795" s="2240">
        <v>5</v>
      </c>
      <c r="O795" s="2240">
        <v>15</v>
      </c>
      <c r="P795" s="2236"/>
      <c r="Q795" s="2236"/>
      <c r="R795" s="2236" t="s">
        <v>1315</v>
      </c>
      <c r="S795" s="2236" t="s">
        <v>1315</v>
      </c>
      <c r="T795" s="2236" t="s">
        <v>1315</v>
      </c>
      <c r="U795" s="2236"/>
      <c r="V795" s="2433" t="s">
        <v>8139</v>
      </c>
      <c r="W795" s="2433"/>
      <c r="X795" s="2434"/>
      <c r="Y795" s="2229">
        <v>0</v>
      </c>
      <c r="Z795" s="1150" t="str">
        <f t="shared" si="257"/>
        <v/>
      </c>
      <c r="AA795" s="1751" t="s">
        <v>2053</v>
      </c>
      <c r="AC795" s="2568" t="s">
        <v>11727</v>
      </c>
      <c r="AD795" s="758">
        <f>IFERROR(IF(IF(AC795&lt;&gt;"",VLOOKUP(AC795,Tabla_ArmasyEscudos,9,0),"")="Conocida",MAX(AD$662:AD794)+1,0),0)</f>
        <v>0</v>
      </c>
      <c r="AE795" s="758">
        <f ca="1">IF(AC795="",0,IF(AD795=0,MAX(AE$654:AE794,AG$652)+1,AD795+IFERROR(VLOOKUP(VLOOKUP(AC795,$D$653:$AA$871,24,0),AC$654:AE$661,3,0)-VLOOKUP(VLOOKUP(AC795,$D$653:$AA$871,24,0),AC$654:AE$661,2,0)+1,0)))</f>
        <v>135</v>
      </c>
      <c r="AF795" s="758" t="str">
        <f t="shared" ca="1" si="258"/>
        <v>Tenebrae</v>
      </c>
      <c r="AG795" s="758" t="str">
        <f t="shared" ca="1" si="278"/>
        <v/>
      </c>
      <c r="AH795" s="2568"/>
      <c r="AI795" s="758">
        <f>IFERROR(IF(IF(AH795&lt;&gt;"",VLOOKUP(AH795,Tabla_ArmasyEscudos,9,0),"")="Conocida",MAX(AI$660:AI794)+1,0),0)</f>
        <v>0</v>
      </c>
      <c r="AJ795" s="758">
        <f>IF(AH795="",0,IF(AI795=0,MAX(AJ$654:AJ794,AL$652)+1,AI795+IFERROR(VLOOKUP(VLOOKUP(AH795,$D$653:$AA$871,24,0),AH$654:AJ$659,3,0)-VLOOKUP(VLOOKUP(AH795,$D$653:$AA$871,24,0),AH$654:AJ$659,2,0)+1,0)))</f>
        <v>0</v>
      </c>
      <c r="AK795" s="758" t="str">
        <f t="shared" ca="1" si="279"/>
        <v/>
      </c>
      <c r="AL795" s="758" t="str">
        <f t="shared" ca="1" si="280"/>
        <v/>
      </c>
      <c r="AM795" s="2568"/>
      <c r="AN795" s="758">
        <f>IFERROR(IF(IF(AM795&lt;&gt;"",VLOOKUP(AM795,Tabla_ArmasyEscudos,9,0),"")="Conocida",MAX(AN$660:AN794)+1,0),0)</f>
        <v>0</v>
      </c>
      <c r="AO795" s="758">
        <f>IF(AM795="",0,IF(AN795=0,MAX(AO$654:AO794,AQ$652)+1,AN795+IFERROR(VLOOKUP(VLOOKUP(AM795,$D$653:$AA$871,24,0),AM$654:AO$659,3,0)-VLOOKUP(VLOOKUP(AM795,$D$653:$AA$871,24,0),AM$654:AO$659,2,0)+1,0)))</f>
        <v>0</v>
      </c>
      <c r="AP795" s="758" t="str">
        <f t="shared" ca="1" si="281"/>
        <v/>
      </c>
      <c r="AQ795" s="758" t="str">
        <f t="shared" ca="1" si="282"/>
        <v/>
      </c>
      <c r="AR795" s="2568"/>
      <c r="AS795" s="758">
        <f>IFERROR(IF(IF(AR795&lt;&gt;"",VLOOKUP(AR795,Tabla_ArmasyEscudos,9,0),"")="Conocida",MAX(AS$660:AS794)+1,0),0)</f>
        <v>0</v>
      </c>
      <c r="AT795" s="758">
        <f>IF(AR795="",0,IF(AS795=0,MAX(AT$654:AT794,AV$652)+1,AS795+IFERROR(VLOOKUP(VLOOKUP(AR795,$D$653:$AA$871,24,0),AR$654:AT$659,3,0)-VLOOKUP(VLOOKUP(AR795,$D$653:$AA$871,24,0),AR$654:AT$659,2,0)+1,0)))</f>
        <v>0</v>
      </c>
      <c r="AU795" s="758" t="str">
        <f t="shared" ca="1" si="283"/>
        <v/>
      </c>
      <c r="AV795" s="758" t="str">
        <f t="shared" ca="1" si="284"/>
        <v/>
      </c>
      <c r="AX795" s="2565" t="str">
        <f>D824</f>
        <v>Virgo (Cuerda)</v>
      </c>
      <c r="AY795" s="510"/>
      <c r="AZ795" s="2552" t="str">
        <f t="shared" si="260"/>
        <v/>
      </c>
      <c r="BA795" s="2553" t="str">
        <f t="shared" si="261"/>
        <v/>
      </c>
      <c r="BB795" s="2553" t="str">
        <f t="shared" si="262"/>
        <v/>
      </c>
      <c r="BC795" s="2559">
        <v>0</v>
      </c>
      <c r="BD795" s="2560">
        <v>0</v>
      </c>
      <c r="BE795" s="2561">
        <f>IF(AND(VirgoAprendido,OR($L824=BE$652,$L824="",$D824=$BE$651)),MAX(BE$654:BE794)+1,0)</f>
        <v>0</v>
      </c>
      <c r="BG795" s="2552" t="str">
        <f t="shared" si="263"/>
        <v/>
      </c>
      <c r="BH795" s="2553" t="str">
        <f t="shared" si="264"/>
        <v/>
      </c>
      <c r="BI795" s="2553" t="str">
        <f t="shared" si="265"/>
        <v/>
      </c>
      <c r="BJ795" s="2559">
        <v>0</v>
      </c>
      <c r="BK795" s="2560">
        <v>0</v>
      </c>
      <c r="BL795" s="2561">
        <f>IF(AND(VirgoAprendido,OR($L824=BL$652,$L824="",$D824=$BL$651)),MAX(BL$654:BL794)+1,0)</f>
        <v>0</v>
      </c>
      <c r="BN795" s="2552" t="str">
        <f t="shared" si="266"/>
        <v/>
      </c>
      <c r="BO795" s="2553" t="str">
        <f t="shared" si="267"/>
        <v/>
      </c>
      <c r="BP795" s="2553" t="str">
        <f t="shared" si="268"/>
        <v/>
      </c>
      <c r="BQ795" s="2559">
        <v>0</v>
      </c>
      <c r="BR795" s="2560">
        <v>0</v>
      </c>
      <c r="BS795" s="2561">
        <f>IF(AND(VirgoAprendido,OR($L824=BS$652,$L824="",$D824=$BS$651)),MAX(BS$654:BS794)+1,0)</f>
        <v>0</v>
      </c>
      <c r="BU795" s="2552" t="str">
        <f t="shared" si="269"/>
        <v/>
      </c>
      <c r="BV795" s="2553" t="str">
        <f t="shared" si="270"/>
        <v/>
      </c>
      <c r="BW795" s="2553" t="str">
        <f t="shared" si="271"/>
        <v/>
      </c>
      <c r="BX795" s="2559">
        <v>0</v>
      </c>
      <c r="BY795" s="2560">
        <v>0</v>
      </c>
      <c r="BZ795" s="2561">
        <f>IF(AND(VirgoAprendido,OR($L824=BZ$652,$L824="",$D824=$BZ$651)),MAX(BZ$654:BZ794)+1,0)</f>
        <v>0</v>
      </c>
      <c r="CB795" s="2552" t="str">
        <f t="shared" si="272"/>
        <v/>
      </c>
      <c r="CC795" s="2553" t="str">
        <f t="shared" si="273"/>
        <v/>
      </c>
      <c r="CD795" s="2553" t="str">
        <f t="shared" si="274"/>
        <v/>
      </c>
      <c r="CE795" s="2559">
        <v>0</v>
      </c>
      <c r="CF795" s="2560">
        <v>0</v>
      </c>
      <c r="CG795" s="2561">
        <f>IF(AND(VirgoAprendido,OR($L824=CG$652,$L824="",$D824=$CG$651)),MAX(CG$654:CG794)+1,0)</f>
        <v>0</v>
      </c>
      <c r="CI795" s="2552" t="str">
        <f t="shared" si="275"/>
        <v/>
      </c>
      <c r="CJ795" s="2553" t="str">
        <f t="shared" si="276"/>
        <v/>
      </c>
      <c r="CK795" s="2553" t="str">
        <f t="shared" si="277"/>
        <v/>
      </c>
      <c r="CL795" s="2559">
        <v>0</v>
      </c>
      <c r="CM795" s="2560">
        <v>0</v>
      </c>
      <c r="CN795" s="2561">
        <f>IF(AND(VirgoAprendido,OR($L824=CN$652,$L824="",$D824=$CN$651)),MAX(CN$654:CN794)+1,0)</f>
        <v>0</v>
      </c>
    </row>
    <row r="796" spans="1:92" ht="12.75" customHeight="1" thickBot="1">
      <c r="A796" s="219">
        <v>787</v>
      </c>
      <c r="B796" s="7145"/>
      <c r="C796" s="1034"/>
      <c r="D796" s="2237" t="s">
        <v>2058</v>
      </c>
      <c r="E796" s="2236">
        <v>5</v>
      </c>
      <c r="F796" s="2236" t="s">
        <v>1315</v>
      </c>
      <c r="G796" s="2236">
        <v>0</v>
      </c>
      <c r="H796" s="2236">
        <v>0</v>
      </c>
      <c r="I796" s="2236" t="s">
        <v>1411</v>
      </c>
      <c r="J796" s="2236" t="s">
        <v>1315</v>
      </c>
      <c r="K796" s="2433" t="s">
        <v>6849</v>
      </c>
      <c r="L796" s="2236"/>
      <c r="M796" s="2240">
        <v>2</v>
      </c>
      <c r="N796" s="2240">
        <v>-4</v>
      </c>
      <c r="O796" s="2240">
        <v>15</v>
      </c>
      <c r="P796" s="2236"/>
      <c r="Q796" s="2236"/>
      <c r="R796" s="2236" t="s">
        <v>1315</v>
      </c>
      <c r="S796" s="2236" t="s">
        <v>1315</v>
      </c>
      <c r="T796" s="2236" t="s">
        <v>1315</v>
      </c>
      <c r="U796" s="2236"/>
      <c r="V796" s="7840" t="s">
        <v>2059</v>
      </c>
      <c r="W796" s="7840"/>
      <c r="X796" s="7841"/>
      <c r="Y796" s="2229">
        <v>0</v>
      </c>
      <c r="Z796" s="1150" t="str">
        <f t="shared" si="257"/>
        <v/>
      </c>
      <c r="AA796" s="1751" t="s">
        <v>2053</v>
      </c>
      <c r="AC796" s="2568" t="s">
        <v>11728</v>
      </c>
      <c r="AD796" s="758">
        <f>IFERROR(IF(IF(AC796&lt;&gt;"",VLOOKUP(AC796,Tabla_ArmasyEscudos,9,0),"")="Conocida",MAX(AD$662:AD795)+1,0),0)</f>
        <v>0</v>
      </c>
      <c r="AE796" s="758">
        <f ca="1">IF(AC796="",0,IF(AD796=0,MAX(AE$654:AE795,AG$652)+1,AD796+IFERROR(VLOOKUP(VLOOKUP(AC796,$D$653:$AA$871,24,0),AC$654:AE$661,3,0)-VLOOKUP(VLOOKUP(AC796,$D$653:$AA$871,24,0),AC$654:AE$661,2,0)+1,0)))</f>
        <v>136</v>
      </c>
      <c r="AF796" s="758" t="str">
        <f t="shared" ca="1" si="258"/>
        <v>Telum</v>
      </c>
      <c r="AG796" s="758" t="str">
        <f t="shared" ca="1" si="278"/>
        <v/>
      </c>
      <c r="AH796" s="2568"/>
      <c r="AI796" s="758">
        <f>IFERROR(IF(IF(AH796&lt;&gt;"",VLOOKUP(AH796,Tabla_ArmasyEscudos,9,0),"")="Conocida",MAX(AI$660:AI795)+1,0),0)</f>
        <v>0</v>
      </c>
      <c r="AJ796" s="758">
        <f>IF(AH796="",0,IF(AI796=0,MAX(AJ$654:AJ795,AL$652)+1,AI796+IFERROR(VLOOKUP(VLOOKUP(AH796,$D$653:$AA$871,24,0),AH$654:AJ$659,3,0)-VLOOKUP(VLOOKUP(AH796,$D$653:$AA$871,24,0),AH$654:AJ$659,2,0)+1,0)))</f>
        <v>0</v>
      </c>
      <c r="AK796" s="758" t="str">
        <f t="shared" ca="1" si="279"/>
        <v/>
      </c>
      <c r="AL796" s="758" t="str">
        <f t="shared" ca="1" si="280"/>
        <v/>
      </c>
      <c r="AM796" s="2568"/>
      <c r="AN796" s="758">
        <f>IFERROR(IF(IF(AM796&lt;&gt;"",VLOOKUP(AM796,Tabla_ArmasyEscudos,9,0),"")="Conocida",MAX(AN$660:AN795)+1,0),0)</f>
        <v>0</v>
      </c>
      <c r="AO796" s="758">
        <f>IF(AM796="",0,IF(AN796=0,MAX(AO$654:AO795,AQ$652)+1,AN796+IFERROR(VLOOKUP(VLOOKUP(AM796,$D$653:$AA$871,24,0),AM$654:AO$659,3,0)-VLOOKUP(VLOOKUP(AM796,$D$653:$AA$871,24,0),AM$654:AO$659,2,0)+1,0)))</f>
        <v>0</v>
      </c>
      <c r="AP796" s="758" t="str">
        <f t="shared" ca="1" si="281"/>
        <v/>
      </c>
      <c r="AQ796" s="758" t="str">
        <f t="shared" ca="1" si="282"/>
        <v/>
      </c>
      <c r="AR796" s="2568"/>
      <c r="AS796" s="758">
        <f>IFERROR(IF(IF(AR796&lt;&gt;"",VLOOKUP(AR796,Tabla_ArmasyEscudos,9,0),"")="Conocida",MAX(AS$660:AS795)+1,0),0)</f>
        <v>0</v>
      </c>
      <c r="AT796" s="758">
        <f>IF(AR796="",0,IF(AS796=0,MAX(AT$654:AT795,AV$652)+1,AS796+IFERROR(VLOOKUP(VLOOKUP(AR796,$D$653:$AA$871,24,0),AR$654:AT$659,3,0)-VLOOKUP(VLOOKUP(AR796,$D$653:$AA$871,24,0),AR$654:AT$659,2,0)+1,0)))</f>
        <v>0</v>
      </c>
      <c r="AU796" s="758" t="str">
        <f t="shared" ca="1" si="283"/>
        <v/>
      </c>
      <c r="AV796" s="758" t="str">
        <f t="shared" ca="1" si="284"/>
        <v/>
      </c>
      <c r="AX796" s="2566" t="str">
        <f>D825</f>
        <v>Virgo (Percusión)</v>
      </c>
      <c r="AY796" s="510"/>
      <c r="AZ796" s="2554" t="str">
        <f t="shared" si="260"/>
        <v/>
      </c>
      <c r="BA796" s="2555" t="str">
        <f t="shared" si="261"/>
        <v/>
      </c>
      <c r="BB796" s="2555" t="str">
        <f t="shared" si="262"/>
        <v/>
      </c>
      <c r="BC796" s="2562">
        <v>0</v>
      </c>
      <c r="BD796" s="2563">
        <v>0</v>
      </c>
      <c r="BE796" s="2564">
        <f>IF(AND(VirgoAprendido,OR($L825=BE$652,$L825="",$D825=$BE$651)),MAX(BE$654:BE795)+1,0)</f>
        <v>0</v>
      </c>
      <c r="BG796" s="2554" t="str">
        <f t="shared" si="263"/>
        <v/>
      </c>
      <c r="BH796" s="2555" t="str">
        <f t="shared" si="264"/>
        <v/>
      </c>
      <c r="BI796" s="2555" t="str">
        <f t="shared" si="265"/>
        <v/>
      </c>
      <c r="BJ796" s="2562">
        <v>0</v>
      </c>
      <c r="BK796" s="2563">
        <v>0</v>
      </c>
      <c r="BL796" s="2564">
        <f>IF(AND(VirgoAprendido,OR($L825=BL$652,$L825="",$D825=$BL$651)),MAX(BL$654:BL795)+1,0)</f>
        <v>0</v>
      </c>
      <c r="BN796" s="2554" t="str">
        <f t="shared" si="266"/>
        <v/>
      </c>
      <c r="BO796" s="2555" t="str">
        <f t="shared" si="267"/>
        <v/>
      </c>
      <c r="BP796" s="2555" t="str">
        <f t="shared" si="268"/>
        <v/>
      </c>
      <c r="BQ796" s="2562">
        <v>0</v>
      </c>
      <c r="BR796" s="2563">
        <v>0</v>
      </c>
      <c r="BS796" s="2564">
        <f>IF(AND(VirgoAprendido,OR($L825=BS$652,$L825="",$D825=$BS$651)),MAX(BS$654:BS795)+1,0)</f>
        <v>0</v>
      </c>
      <c r="BU796" s="2554" t="str">
        <f t="shared" si="269"/>
        <v/>
      </c>
      <c r="BV796" s="2555" t="str">
        <f t="shared" si="270"/>
        <v/>
      </c>
      <c r="BW796" s="2555" t="str">
        <f t="shared" si="271"/>
        <v/>
      </c>
      <c r="BX796" s="2562">
        <v>0</v>
      </c>
      <c r="BY796" s="2563">
        <v>0</v>
      </c>
      <c r="BZ796" s="2564">
        <f>IF(AND(VirgoAprendido,OR($L825=BZ$652,$L825="",$D825=$BZ$651)),MAX(BZ$654:BZ795)+1,0)</f>
        <v>0</v>
      </c>
      <c r="CB796" s="2554" t="str">
        <f t="shared" si="272"/>
        <v/>
      </c>
      <c r="CC796" s="2555" t="str">
        <f t="shared" si="273"/>
        <v/>
      </c>
      <c r="CD796" s="2555" t="str">
        <f t="shared" si="274"/>
        <v/>
      </c>
      <c r="CE796" s="2562">
        <v>0</v>
      </c>
      <c r="CF796" s="2563">
        <v>0</v>
      </c>
      <c r="CG796" s="2564">
        <f>IF(AND(VirgoAprendido,OR($L825=CG$652,$L825="",$D825=$CG$651)),MAX(CG$654:CG795)+1,0)</f>
        <v>0</v>
      </c>
      <c r="CI796" s="2554" t="str">
        <f t="shared" si="275"/>
        <v/>
      </c>
      <c r="CJ796" s="2555" t="str">
        <f t="shared" si="276"/>
        <v/>
      </c>
      <c r="CK796" s="2555" t="str">
        <f t="shared" si="277"/>
        <v/>
      </c>
      <c r="CL796" s="2562">
        <v>0</v>
      </c>
      <c r="CM796" s="2563">
        <v>0</v>
      </c>
      <c r="CN796" s="2564">
        <f>IF(AND(VirgoAprendido,OR($L825=CN$652,$L825="",$D825=$CN$651)),MAX(CN$654:CN795)+1,0)</f>
        <v>0</v>
      </c>
    </row>
    <row r="797" spans="1:92" ht="12.75" customHeight="1" thickBot="1">
      <c r="A797" s="219">
        <v>788</v>
      </c>
      <c r="B797" s="7145"/>
      <c r="C797" s="1034"/>
      <c r="D797" s="2237" t="s">
        <v>2060</v>
      </c>
      <c r="E797" s="2236">
        <v>40</v>
      </c>
      <c r="F797" s="2236" t="s">
        <v>1315</v>
      </c>
      <c r="G797" s="2236">
        <v>0</v>
      </c>
      <c r="H797" s="2236">
        <v>0</v>
      </c>
      <c r="I797" s="2236" t="s">
        <v>1411</v>
      </c>
      <c r="J797" s="2236" t="s">
        <v>1315</v>
      </c>
      <c r="K797" s="2433" t="s">
        <v>6849</v>
      </c>
      <c r="L797" s="2236"/>
      <c r="M797" s="2240">
        <v>4</v>
      </c>
      <c r="N797" s="2240">
        <v>1</v>
      </c>
      <c r="O797" s="2240">
        <v>20</v>
      </c>
      <c r="P797" s="2236"/>
      <c r="Q797" s="2236"/>
      <c r="R797" s="2236" t="s">
        <v>1315</v>
      </c>
      <c r="S797" s="2236" t="s">
        <v>1315</v>
      </c>
      <c r="T797" s="2236" t="s">
        <v>1315</v>
      </c>
      <c r="U797" s="2236"/>
      <c r="V797" s="7840" t="s">
        <v>2061</v>
      </c>
      <c r="W797" s="7840"/>
      <c r="X797" s="7841"/>
      <c r="Y797" s="2229">
        <v>0</v>
      </c>
      <c r="Z797" s="1150" t="str">
        <f t="shared" si="257"/>
        <v/>
      </c>
      <c r="AA797" s="1751" t="s">
        <v>2053</v>
      </c>
      <c r="AC797" s="2568" t="s">
        <v>11729</v>
      </c>
      <c r="AD797" s="758">
        <f>IFERROR(IF(IF(AC797&lt;&gt;"",VLOOKUP(AC797,Tabla_ArmasyEscudos,9,0),"")="Conocida",MAX(AD$662:AD796)+1,0),0)</f>
        <v>0</v>
      </c>
      <c r="AE797" s="758">
        <f ca="1">IF(AC797="",0,IF(AD797=0,MAX(AE$654:AE796,AG$652)+1,AD797+IFERROR(VLOOKUP(VLOOKUP(AC797,$D$653:$AA$871,24,0),AC$654:AE$661,3,0)-VLOOKUP(VLOOKUP(AC797,$D$653:$AA$871,24,0),AC$654:AE$661,2,0)+1,0)))</f>
        <v>137</v>
      </c>
      <c r="AF797" s="758" t="str">
        <f t="shared" ca="1" si="258"/>
        <v/>
      </c>
      <c r="AG797" s="758" t="str">
        <f t="shared" ca="1" si="278"/>
        <v/>
      </c>
      <c r="AH797" s="2568"/>
      <c r="AI797" s="758">
        <f>IFERROR(IF(IF(AH797&lt;&gt;"",VLOOKUP(AH797,Tabla_ArmasyEscudos,9,0),"")="Conocida",MAX(AI$660:AI796)+1,0),0)</f>
        <v>0</v>
      </c>
      <c r="AJ797" s="758">
        <f>IF(AH797="",0,IF(AI797=0,MAX(AJ$654:AJ796,AL$652)+1,AI797+IFERROR(VLOOKUP(VLOOKUP(AH797,$D$653:$AA$871,24,0),AH$654:AJ$659,3,0)-VLOOKUP(VLOOKUP(AH797,$D$653:$AA$871,24,0),AH$654:AJ$659,2,0)+1,0)))</f>
        <v>0</v>
      </c>
      <c r="AK797" s="758" t="str">
        <f t="shared" ca="1" si="279"/>
        <v/>
      </c>
      <c r="AL797" s="758" t="str">
        <f t="shared" ca="1" si="280"/>
        <v/>
      </c>
      <c r="AM797" s="2568"/>
      <c r="AN797" s="758">
        <f>IFERROR(IF(IF(AM797&lt;&gt;"",VLOOKUP(AM797,Tabla_ArmasyEscudos,9,0),"")="Conocida",MAX(AN$660:AN796)+1,0),0)</f>
        <v>0</v>
      </c>
      <c r="AO797" s="758">
        <f>IF(AM797="",0,IF(AN797=0,MAX(AO$654:AO796,AQ$652)+1,AN797+IFERROR(VLOOKUP(VLOOKUP(AM797,$D$653:$AA$871,24,0),AM$654:AO$659,3,0)-VLOOKUP(VLOOKUP(AM797,$D$653:$AA$871,24,0),AM$654:AO$659,2,0)+1,0)))</f>
        <v>0</v>
      </c>
      <c r="AP797" s="758" t="str">
        <f t="shared" ca="1" si="281"/>
        <v/>
      </c>
      <c r="AQ797" s="758" t="str">
        <f t="shared" ca="1" si="282"/>
        <v/>
      </c>
      <c r="AR797" s="2568"/>
      <c r="AS797" s="758">
        <f>IFERROR(IF(IF(AR797&lt;&gt;"",VLOOKUP(AR797,Tabla_ArmasyEscudos,9,0),"")="Conocida",MAX(AS$660:AS796)+1,0),0)</f>
        <v>0</v>
      </c>
      <c r="AT797" s="758">
        <f>IF(AR797="",0,IF(AS797=0,MAX(AT$654:AT796,AV$652)+1,AS797+IFERROR(VLOOKUP(VLOOKUP(AR797,$D$653:$AA$871,24,0),AR$654:AT$659,3,0)-VLOOKUP(VLOOKUP(AR797,$D$653:$AA$871,24,0),AR$654:AT$659,2,0)+1,0)))</f>
        <v>0</v>
      </c>
      <c r="AU797" s="758" t="str">
        <f t="shared" ca="1" si="283"/>
        <v/>
      </c>
      <c r="AV797" s="758" t="str">
        <f t="shared" ca="1" si="284"/>
        <v/>
      </c>
      <c r="AX797" s="510"/>
      <c r="AY797" s="2549"/>
      <c r="AZ797" s="1033" t="str">
        <f>""</f>
        <v/>
      </c>
      <c r="BA797" s="836" t="str">
        <f>""</f>
        <v/>
      </c>
      <c r="BB797" s="836" t="str">
        <f>""</f>
        <v/>
      </c>
      <c r="BC797" s="1471"/>
      <c r="BD797" s="1145"/>
      <c r="BE797" s="1146"/>
      <c r="BF797" s="2549"/>
      <c r="BG797" s="1033" t="str">
        <f>""</f>
        <v/>
      </c>
      <c r="BH797" s="836" t="str">
        <f>""</f>
        <v/>
      </c>
      <c r="BI797" s="836" t="str">
        <f>""</f>
        <v/>
      </c>
      <c r="BJ797" s="1471"/>
      <c r="BK797" s="1145"/>
      <c r="BL797" s="1146"/>
      <c r="BM797" s="2549"/>
      <c r="BN797" s="1033" t="str">
        <f>""</f>
        <v/>
      </c>
      <c r="BO797" s="836" t="str">
        <f>""</f>
        <v/>
      </c>
      <c r="BP797" s="836" t="str">
        <f>""</f>
        <v/>
      </c>
      <c r="BQ797" s="1471"/>
      <c r="BR797" s="1145"/>
      <c r="BS797" s="1146"/>
      <c r="BT797" s="2549"/>
      <c r="BU797" s="1033" t="str">
        <f>""</f>
        <v/>
      </c>
      <c r="BV797" s="836" t="str">
        <f>""</f>
        <v/>
      </c>
      <c r="BW797" s="836" t="str">
        <f>""</f>
        <v/>
      </c>
      <c r="BX797" s="1471"/>
      <c r="BY797" s="1145"/>
      <c r="BZ797" s="1146"/>
      <c r="CA797" s="2549"/>
      <c r="CB797" s="1033" t="str">
        <f>""</f>
        <v/>
      </c>
      <c r="CC797" s="836" t="str">
        <f>""</f>
        <v/>
      </c>
      <c r="CD797" s="836" t="str">
        <f>""</f>
        <v/>
      </c>
      <c r="CE797" s="1471"/>
      <c r="CF797" s="1145"/>
      <c r="CG797" s="1146"/>
      <c r="CI797" s="1033" t="str">
        <f>""</f>
        <v/>
      </c>
      <c r="CJ797" s="836" t="str">
        <f>""</f>
        <v/>
      </c>
      <c r="CK797" s="836" t="str">
        <f>""</f>
        <v/>
      </c>
      <c r="CL797" s="1471"/>
      <c r="CM797" s="1145"/>
      <c r="CN797" s="1146"/>
    </row>
    <row r="798" spans="1:92" ht="12.75" customHeight="1">
      <c r="A798" s="219">
        <v>789</v>
      </c>
      <c r="B798" s="7145"/>
      <c r="C798" s="1034"/>
      <c r="D798" s="2237" t="s">
        <v>2062</v>
      </c>
      <c r="E798" s="2236">
        <v>30</v>
      </c>
      <c r="F798" s="2236" t="s">
        <v>1315</v>
      </c>
      <c r="G798" s="2236">
        <v>0</v>
      </c>
      <c r="H798" s="2236">
        <v>0</v>
      </c>
      <c r="I798" s="2236" t="s">
        <v>1411</v>
      </c>
      <c r="J798" s="2236" t="s">
        <v>1315</v>
      </c>
      <c r="K798" s="2433" t="s">
        <v>6849</v>
      </c>
      <c r="L798" s="2236"/>
      <c r="M798" s="2240">
        <v>3</v>
      </c>
      <c r="N798" s="2240">
        <v>0</v>
      </c>
      <c r="O798" s="2240">
        <v>20</v>
      </c>
      <c r="P798" s="2236"/>
      <c r="Q798" s="2236"/>
      <c r="R798" s="2236" t="s">
        <v>1315</v>
      </c>
      <c r="S798" s="2236" t="s">
        <v>1315</v>
      </c>
      <c r="T798" s="2236" t="s">
        <v>1315</v>
      </c>
      <c r="U798" s="2236"/>
      <c r="V798" s="7971" t="s">
        <v>8119</v>
      </c>
      <c r="W798" s="7840"/>
      <c r="X798" s="7841"/>
      <c r="Y798" s="2229">
        <v>0</v>
      </c>
      <c r="Z798" s="1150" t="str">
        <f t="shared" si="257"/>
        <v/>
      </c>
      <c r="AA798" s="1751" t="s">
        <v>2053</v>
      </c>
      <c r="AC798" s="2568" t="s">
        <v>11730</v>
      </c>
      <c r="AD798" s="758">
        <f>IFERROR(IF(IF(AC798&lt;&gt;"",VLOOKUP(AC798,Tabla_ArmasyEscudos,9,0),"")="Conocida",MAX(AD$662:AD797)+1,0),0)</f>
        <v>0</v>
      </c>
      <c r="AE798" s="758">
        <f ca="1">IF(AC798="",0,IF(AD798=0,MAX(AE$654:AE797,AG$652)+1,AD798+IFERROR(VLOOKUP(VLOOKUP(AC798,$D$653:$AA$871,24,0),AC$654:AE$661,3,0)-VLOOKUP(VLOOKUP(AC798,$D$653:$AA$871,24,0),AC$654:AE$661,2,0)+1,0)))</f>
        <v>138</v>
      </c>
      <c r="AF798" s="758" t="str">
        <f t="shared" ca="1" si="258"/>
        <v/>
      </c>
      <c r="AG798" s="758" t="str">
        <f t="shared" ca="1" si="278"/>
        <v/>
      </c>
      <c r="AH798" s="2568"/>
      <c r="AI798" s="758">
        <f>IFERROR(IF(IF(AH798&lt;&gt;"",VLOOKUP(AH798,Tabla_ArmasyEscudos,9,0),"")="Conocida",MAX(AI$660:AI797)+1,0),0)</f>
        <v>0</v>
      </c>
      <c r="AJ798" s="758">
        <f>IF(AH798="",0,IF(AI798=0,MAX(AJ$654:AJ797,AL$652)+1,AI798+IFERROR(VLOOKUP(VLOOKUP(AH798,$D$653:$AA$871,24,0),AH$654:AJ$659,3,0)-VLOOKUP(VLOOKUP(AH798,$D$653:$AA$871,24,0),AH$654:AJ$659,2,0)+1,0)))</f>
        <v>0</v>
      </c>
      <c r="AK798" s="758" t="str">
        <f t="shared" ca="1" si="279"/>
        <v/>
      </c>
      <c r="AL798" s="758" t="str">
        <f t="shared" ca="1" si="280"/>
        <v/>
      </c>
      <c r="AM798" s="2568"/>
      <c r="AN798" s="758">
        <f>IFERROR(IF(IF(AM798&lt;&gt;"",VLOOKUP(AM798,Tabla_ArmasyEscudos,9,0),"")="Conocida",MAX(AN$660:AN797)+1,0),0)</f>
        <v>0</v>
      </c>
      <c r="AO798" s="758">
        <f>IF(AM798="",0,IF(AN798=0,MAX(AO$654:AO797,AQ$652)+1,AN798+IFERROR(VLOOKUP(VLOOKUP(AM798,$D$653:$AA$871,24,0),AM$654:AO$659,3,0)-VLOOKUP(VLOOKUP(AM798,$D$653:$AA$871,24,0),AM$654:AO$659,2,0)+1,0)))</f>
        <v>0</v>
      </c>
      <c r="AP798" s="758" t="str">
        <f t="shared" ca="1" si="281"/>
        <v/>
      </c>
      <c r="AQ798" s="758" t="str">
        <f t="shared" ca="1" si="282"/>
        <v/>
      </c>
      <c r="AR798" s="2568"/>
      <c r="AS798" s="758">
        <f>IFERROR(IF(IF(AR798&lt;&gt;"",VLOOKUP(AR798,Tabla_ArmasyEscudos,9,0),"")="Conocida",MAX(AS$660:AS797)+1,0),0)</f>
        <v>0</v>
      </c>
      <c r="AT798" s="758">
        <f>IF(AR798="",0,IF(AS798=0,MAX(AT$654:AT797,AV$652)+1,AS798+IFERROR(VLOOKUP(VLOOKUP(AR798,$D$653:$AA$871,24,0),AR$654:AT$659,3,0)-VLOOKUP(VLOOKUP(AR798,$D$653:$AA$871,24,0),AR$654:AT$659,2,0)+1,0)))</f>
        <v>0</v>
      </c>
      <c r="AU798" s="758" t="str">
        <f t="shared" ca="1" si="283"/>
        <v/>
      </c>
      <c r="AV798" s="758" t="str">
        <f t="shared" ca="1" si="284"/>
        <v/>
      </c>
    </row>
    <row r="799" spans="1:92" ht="12.75" customHeight="1">
      <c r="A799" s="219">
        <v>790</v>
      </c>
      <c r="B799" s="7145"/>
      <c r="C799" s="1034"/>
      <c r="D799" s="2237" t="s">
        <v>2063</v>
      </c>
      <c r="E799" s="2236">
        <v>30</v>
      </c>
      <c r="F799" s="2236" t="s">
        <v>1315</v>
      </c>
      <c r="G799" s="2236">
        <v>0</v>
      </c>
      <c r="H799" s="2236">
        <v>0</v>
      </c>
      <c r="I799" s="2236" t="s">
        <v>1411</v>
      </c>
      <c r="J799" s="2236" t="s">
        <v>1315</v>
      </c>
      <c r="K799" s="2433" t="s">
        <v>6849</v>
      </c>
      <c r="L799" s="2236"/>
      <c r="M799" s="2240">
        <v>3</v>
      </c>
      <c r="N799" s="2240">
        <v>0</v>
      </c>
      <c r="O799" s="2240">
        <v>20</v>
      </c>
      <c r="P799" s="2236"/>
      <c r="Q799" s="2236"/>
      <c r="R799" s="2236" t="s">
        <v>1315</v>
      </c>
      <c r="S799" s="2236" t="s">
        <v>1315</v>
      </c>
      <c r="T799" s="2236" t="s">
        <v>1315</v>
      </c>
      <c r="U799" s="2236"/>
      <c r="V799" s="7971" t="s">
        <v>8120</v>
      </c>
      <c r="W799" s="7840"/>
      <c r="X799" s="7841"/>
      <c r="Y799" s="2229">
        <v>0</v>
      </c>
      <c r="Z799" s="1150" t="str">
        <f t="shared" si="257"/>
        <v/>
      </c>
      <c r="AA799" s="1751" t="s">
        <v>2053</v>
      </c>
      <c r="AC799" s="2575" t="s">
        <v>11732</v>
      </c>
      <c r="AD799" s="758">
        <f>IFERROR(IF(IF(AC799&lt;&gt;"",VLOOKUP(AC799,Tabla_ArmasyEscudos,9,0),"")="Conocida",MAX(AD$662:AD798)+1,0),0)</f>
        <v>0</v>
      </c>
      <c r="AE799" s="758">
        <f ca="1">IF(AC799="",0,IF(AD799=0,MAX(AE$654:AE798,AG$652)+1,AD799+IFERROR(VLOOKUP(VLOOKUP(AC799,$D$653:$AA$871,24,0),AC$654:AE$661,3,0)-VLOOKUP(VLOOKUP(AC799,$D$653:$AA$871,24,0),AC$654:AE$661,2,0)+1,0)))</f>
        <v>139</v>
      </c>
      <c r="AF799" s="758" t="str">
        <f t="shared" ca="1" si="258"/>
        <v/>
      </c>
      <c r="AG799" s="758" t="str">
        <f t="shared" ca="1" si="278"/>
        <v/>
      </c>
      <c r="AH799" s="2568"/>
      <c r="AI799" s="758">
        <f>IFERROR(IF(IF(AH799&lt;&gt;"",VLOOKUP(AH799,Tabla_ArmasyEscudos,9,0),"")="Conocida",MAX(AI$660:AI798)+1,0),0)</f>
        <v>0</v>
      </c>
      <c r="AJ799" s="758">
        <f>IF(AH799="",0,IF(AI799=0,MAX(AJ$654:AJ798,AL$652)+1,AI799+IFERROR(VLOOKUP(VLOOKUP(AH799,$D$653:$AA$871,24,0),AH$654:AJ$659,3,0)-VLOOKUP(VLOOKUP(AH799,$D$653:$AA$871,24,0),AH$654:AJ$659,2,0)+1,0)))</f>
        <v>0</v>
      </c>
      <c r="AK799" s="758" t="str">
        <f t="shared" ca="1" si="279"/>
        <v/>
      </c>
      <c r="AL799" s="758" t="str">
        <f t="shared" ca="1" si="280"/>
        <v/>
      </c>
      <c r="AM799" s="2568"/>
      <c r="AN799" s="758">
        <f>IFERROR(IF(IF(AM799&lt;&gt;"",VLOOKUP(AM799,Tabla_ArmasyEscudos,9,0),"")="Conocida",MAX(AN$660:AN798)+1,0),0)</f>
        <v>0</v>
      </c>
      <c r="AO799" s="758">
        <f>IF(AM799="",0,IF(AN799=0,MAX(AO$654:AO798,AQ$652)+1,AN799+IFERROR(VLOOKUP(VLOOKUP(AM799,$D$653:$AA$871,24,0),AM$654:AO$659,3,0)-VLOOKUP(VLOOKUP(AM799,$D$653:$AA$871,24,0),AM$654:AO$659,2,0)+1,0)))</f>
        <v>0</v>
      </c>
      <c r="AP799" s="758" t="str">
        <f t="shared" ca="1" si="281"/>
        <v/>
      </c>
      <c r="AQ799" s="758" t="str">
        <f t="shared" ca="1" si="282"/>
        <v/>
      </c>
      <c r="AR799" s="2568"/>
      <c r="AS799" s="758">
        <f>IFERROR(IF(IF(AR799&lt;&gt;"",VLOOKUP(AR799,Tabla_ArmasyEscudos,9,0),"")="Conocida",MAX(AS$660:AS798)+1,0),0)</f>
        <v>0</v>
      </c>
      <c r="AT799" s="758">
        <f>IF(AR799="",0,IF(AS799=0,MAX(AT$654:AT798,AV$652)+1,AS799+IFERROR(VLOOKUP(VLOOKUP(AR799,$D$653:$AA$871,24,0),AR$654:AT$659,3,0)-VLOOKUP(VLOOKUP(AR799,$D$653:$AA$871,24,0),AR$654:AT$659,2,0)+1,0)))</f>
        <v>0</v>
      </c>
      <c r="AU799" s="758" t="str">
        <f t="shared" ca="1" si="283"/>
        <v/>
      </c>
      <c r="AV799" s="758" t="str">
        <f t="shared" ca="1" si="284"/>
        <v/>
      </c>
    </row>
    <row r="800" spans="1:92" ht="12.75" customHeight="1">
      <c r="A800" s="219">
        <v>791</v>
      </c>
      <c r="B800" s="7145"/>
      <c r="C800" s="1034"/>
      <c r="D800" s="2237" t="s">
        <v>8133</v>
      </c>
      <c r="E800" s="2236">
        <v>35</v>
      </c>
      <c r="F800" s="2236" t="s">
        <v>1315</v>
      </c>
      <c r="G800" s="2236">
        <v>0</v>
      </c>
      <c r="H800" s="2236">
        <v>0</v>
      </c>
      <c r="I800" s="2236" t="s">
        <v>1411</v>
      </c>
      <c r="J800" s="2236" t="s">
        <v>1315</v>
      </c>
      <c r="K800" s="2433" t="s">
        <v>6849</v>
      </c>
      <c r="L800" s="2236"/>
      <c r="M800" s="2240">
        <v>10</v>
      </c>
      <c r="N800" s="2240">
        <v>-2</v>
      </c>
      <c r="O800" s="2240">
        <v>20</v>
      </c>
      <c r="P800" s="2236"/>
      <c r="Q800" s="2236"/>
      <c r="R800" s="2236" t="s">
        <v>1315</v>
      </c>
      <c r="S800" s="2236" t="s">
        <v>1315</v>
      </c>
      <c r="T800" s="2236" t="s">
        <v>1315</v>
      </c>
      <c r="U800" s="2236"/>
      <c r="V800" s="2433" t="s">
        <v>8115</v>
      </c>
      <c r="W800" s="2433"/>
      <c r="X800" s="2434"/>
      <c r="Y800" s="2229">
        <v>0</v>
      </c>
      <c r="Z800" s="1150" t="str">
        <f t="shared" si="257"/>
        <v/>
      </c>
      <c r="AA800" s="1751" t="s">
        <v>2053</v>
      </c>
      <c r="AC800" s="2568" t="s">
        <v>11733</v>
      </c>
      <c r="AD800" s="758">
        <f>IFERROR(IF(IF(AC800&lt;&gt;"",VLOOKUP(AC800,Tabla_ArmasyEscudos,9,0),"")="Conocida",MAX(AD$662:AD799)+1,0),0)</f>
        <v>0</v>
      </c>
      <c r="AE800" s="758">
        <f ca="1">IF(AC800="",0,IF(AD800=0,MAX(AE$654:AE799,AG$652)+1,AD800+IFERROR(VLOOKUP(VLOOKUP(AC800,$D$653:$AA$871,24,0),AC$654:AE$661,3,0)-VLOOKUP(VLOOKUP(AC800,$D$653:$AA$871,24,0),AC$654:AE$661,2,0)+1,0)))</f>
        <v>140</v>
      </c>
      <c r="AF800" s="758" t="str">
        <f t="shared" ca="1" si="258"/>
        <v/>
      </c>
      <c r="AG800" s="758" t="str">
        <f t="shared" ca="1" si="278"/>
        <v/>
      </c>
      <c r="AH800" s="2568"/>
      <c r="AI800" s="758">
        <f>IFERROR(IF(IF(AH800&lt;&gt;"",VLOOKUP(AH800,Tabla_ArmasyEscudos,9,0),"")="Conocida",MAX(AI$660:AI799)+1,0),0)</f>
        <v>0</v>
      </c>
      <c r="AJ800" s="758">
        <f>IF(AH800="",0,IF(AI800=0,MAX(AJ$654:AJ799,AL$652)+1,AI800+IFERROR(VLOOKUP(VLOOKUP(AH800,$D$653:$AA$871,24,0),AH$654:AJ$659,3,0)-VLOOKUP(VLOOKUP(AH800,$D$653:$AA$871,24,0),AH$654:AJ$659,2,0)+1,0)))</f>
        <v>0</v>
      </c>
      <c r="AK800" s="758" t="str">
        <f t="shared" ca="1" si="279"/>
        <v/>
      </c>
      <c r="AL800" s="758" t="str">
        <f t="shared" ca="1" si="280"/>
        <v/>
      </c>
      <c r="AM800" s="2568"/>
      <c r="AN800" s="758">
        <f>IFERROR(IF(IF(AM800&lt;&gt;"",VLOOKUP(AM800,Tabla_ArmasyEscudos,9,0),"")="Conocida",MAX(AN$660:AN799)+1,0),0)</f>
        <v>0</v>
      </c>
      <c r="AO800" s="758">
        <f>IF(AM800="",0,IF(AN800=0,MAX(AO$654:AO799,AQ$652)+1,AN800+IFERROR(VLOOKUP(VLOOKUP(AM800,$D$653:$AA$871,24,0),AM$654:AO$659,3,0)-VLOOKUP(VLOOKUP(AM800,$D$653:$AA$871,24,0),AM$654:AO$659,2,0)+1,0)))</f>
        <v>0</v>
      </c>
      <c r="AP800" s="758" t="str">
        <f t="shared" ca="1" si="281"/>
        <v/>
      </c>
      <c r="AQ800" s="758" t="str">
        <f t="shared" ca="1" si="282"/>
        <v/>
      </c>
      <c r="AR800" s="2568"/>
      <c r="AS800" s="758">
        <f>IFERROR(IF(IF(AR800&lt;&gt;"",VLOOKUP(AR800,Tabla_ArmasyEscudos,9,0),"")="Conocida",MAX(AS$660:AS799)+1,0),0)</f>
        <v>0</v>
      </c>
      <c r="AT800" s="758">
        <f>IF(AR800="",0,IF(AS800=0,MAX(AT$654:AT799,AV$652)+1,AS800+IFERROR(VLOOKUP(VLOOKUP(AR800,$D$653:$AA$871,24,0),AR$654:AT$659,3,0)-VLOOKUP(VLOOKUP(AR800,$D$653:$AA$871,24,0),AR$654:AT$659,2,0)+1,0)))</f>
        <v>0</v>
      </c>
      <c r="AU800" s="758" t="str">
        <f t="shared" ca="1" si="283"/>
        <v/>
      </c>
      <c r="AV800" s="758" t="str">
        <f t="shared" ca="1" si="284"/>
        <v/>
      </c>
    </row>
    <row r="801" spans="1:48" ht="12.75" customHeight="1">
      <c r="A801" s="219">
        <v>792</v>
      </c>
      <c r="B801" s="7145"/>
      <c r="C801" s="1034"/>
      <c r="D801" s="2237" t="s">
        <v>8110</v>
      </c>
      <c r="E801" s="2236">
        <v>20</v>
      </c>
      <c r="F801" s="2236" t="s">
        <v>1315</v>
      </c>
      <c r="G801" s="2236">
        <v>0</v>
      </c>
      <c r="H801" s="2236">
        <v>0</v>
      </c>
      <c r="I801" s="2236" t="s">
        <v>1357</v>
      </c>
      <c r="J801" s="2236" t="s">
        <v>1315</v>
      </c>
      <c r="K801" s="2433" t="s">
        <v>6849</v>
      </c>
      <c r="L801" s="2236"/>
      <c r="M801" s="2240">
        <v>5</v>
      </c>
      <c r="N801" s="2240">
        <v>0</v>
      </c>
      <c r="O801" s="2240">
        <v>5</v>
      </c>
      <c r="P801" s="2236"/>
      <c r="Q801" s="2236"/>
      <c r="R801" s="2236" t="s">
        <v>1315</v>
      </c>
      <c r="S801" s="2236" t="s">
        <v>1315</v>
      </c>
      <c r="T801" s="2236" t="s">
        <v>1315</v>
      </c>
      <c r="U801" s="2236"/>
      <c r="V801" s="2433" t="s">
        <v>8116</v>
      </c>
      <c r="W801" s="2433"/>
      <c r="X801" s="2434"/>
      <c r="Y801" s="2229">
        <v>0</v>
      </c>
      <c r="Z801" s="1150" t="str">
        <f t="shared" si="257"/>
        <v/>
      </c>
      <c r="AA801" s="1751" t="s">
        <v>2053</v>
      </c>
      <c r="AC801" s="2568" t="s">
        <v>11749</v>
      </c>
      <c r="AD801" s="758">
        <f>IFERROR(IF(IF(AC801&lt;&gt;"",VLOOKUP(AC801,Tabla_ArmasyEscudos,9,0),"")="Conocida",MAX(AD$662:AD800)+1,0),0)</f>
        <v>0</v>
      </c>
      <c r="AE801" s="758">
        <f ca="1">IF(AC801="",0,IF(AD801=0,MAX(AE$654:AE800,AG$652)+1,AD801+IFERROR(VLOOKUP(VLOOKUP(AC801,$D$653:$AA$871,24,0),AC$654:AE$661,3,0)-VLOOKUP(VLOOKUP(AC801,$D$653:$AA$871,24,0),AC$654:AE$661,2,0)+1,0)))</f>
        <v>141</v>
      </c>
      <c r="AF801" s="758" t="str">
        <f t="shared" ca="1" si="258"/>
        <v/>
      </c>
      <c r="AG801" s="758" t="str">
        <f t="shared" ca="1" si="278"/>
        <v/>
      </c>
      <c r="AH801" s="2568"/>
      <c r="AI801" s="758">
        <f>IFERROR(IF(IF(AH801&lt;&gt;"",VLOOKUP(AH801,Tabla_ArmasyEscudos,9,0),"")="Conocida",MAX(AI$660:AI796)+1,0),0)</f>
        <v>0</v>
      </c>
      <c r="AJ801" s="758">
        <f>IF(AH801="",0,IF(AI801=0,MAX(AJ$654:AJ796,AL$652)+1,AI801+IFERROR(VLOOKUP(VLOOKUP(AH801,$D$653:$AA$871,24,0),AH$654:AJ$659,3,0)-VLOOKUP(VLOOKUP(AH801,$D$653:$AA$871,24,0),AH$654:AJ$659,2,0)+1,0)))</f>
        <v>0</v>
      </c>
      <c r="AK801" s="758" t="str">
        <f ca="1">IFERROR(INDEX(AH$654:AH$806,MATCH($A131,AJ$654:AJ$806,0)),"")</f>
        <v/>
      </c>
      <c r="AL801" s="758" t="str">
        <f ca="1">IF($A131&lt;MIN(AJ$660,IF($AJ$657&gt;0,$AJ$657,9999)),IFERROR(INDEX(AH$654:AH$806,MATCH($A131,AJ$654:AJ$806,0)),""),"")</f>
        <v/>
      </c>
      <c r="AM801" s="2568"/>
      <c r="AN801" s="758">
        <f>IFERROR(IF(IF(AM801&lt;&gt;"",VLOOKUP(AM801,Tabla_ArmasyEscudos,9,0),"")="Conocida",MAX(AN$660:AN796)+1,0),0)</f>
        <v>0</v>
      </c>
      <c r="AO801" s="758">
        <f>IF(AM801="",0,IF(AN801=0,MAX(AO$654:AO796,AQ$652)+1,AN801+IFERROR(VLOOKUP(VLOOKUP(AM801,$D$653:$AA$871,24,0),AM$654:AO$659,3,0)-VLOOKUP(VLOOKUP(AM801,$D$653:$AA$871,24,0),AM$654:AO$659,2,0)+1,0)))</f>
        <v>0</v>
      </c>
      <c r="AP801" s="758" t="str">
        <f ca="1">IFERROR(INDEX(AM$654:AM$806,MATCH($A131,AO$654:AO$806,0)),"")</f>
        <v/>
      </c>
      <c r="AQ801" s="758" t="str">
        <f ca="1">IF($A131&lt;MIN(AO$660,IF($AO$656&gt;0,$AO$656,9999)),IFERROR(INDEX(AM$654:AM$806,MATCH($A131,AO$654:AO$806,0)),""),"")</f>
        <v/>
      </c>
      <c r="AR801" s="2568"/>
      <c r="AS801" s="758">
        <f>IFERROR(IF(IF(AR801&lt;&gt;"",VLOOKUP(AR801,Tabla_ArmasyEscudos,9,0),"")="Conocida",MAX(AS$660:AS796)+1,0),0)</f>
        <v>0</v>
      </c>
      <c r="AT801" s="758">
        <f>IF(AR801="",0,IF(AS801=0,MAX(AT$654:AT796,AV$652)+1,AS801+IFERROR(VLOOKUP(VLOOKUP(AR801,$D$653:$AA$871,24,0),AR$654:AT$659,3,0)-VLOOKUP(VLOOKUP(AR801,$D$653:$AA$871,24,0),AR$654:AT$659,2,0)+1,0)))</f>
        <v>0</v>
      </c>
      <c r="AU801" s="758" t="str">
        <f ca="1">IFERROR(INDEX(AR$654:AR$806,MATCH($A131,AT$654:AT$806,0)),"")</f>
        <v/>
      </c>
      <c r="AV801" s="758" t="str">
        <f ca="1">IF($A131&lt;MIN(AT$660,IF($AT$657&gt;0,$AT$657,9999)),IFERROR(INDEX(AR$654:AR$806,MATCH($A131,AT$654:AT$806,0)),""),"")</f>
        <v/>
      </c>
    </row>
    <row r="802" spans="1:48" ht="12.75" customHeight="1">
      <c r="A802" s="219">
        <v>793</v>
      </c>
      <c r="B802" s="7145"/>
      <c r="C802" s="1034"/>
      <c r="D802" s="2237" t="s">
        <v>8109</v>
      </c>
      <c r="E802" s="2236">
        <v>15</v>
      </c>
      <c r="F802" s="2236" t="s">
        <v>1315</v>
      </c>
      <c r="G802" s="2236">
        <v>0</v>
      </c>
      <c r="H802" s="2236">
        <v>0</v>
      </c>
      <c r="I802" s="2236" t="s">
        <v>1357</v>
      </c>
      <c r="J802" s="2236" t="s">
        <v>1315</v>
      </c>
      <c r="K802" s="2433" t="s">
        <v>6849</v>
      </c>
      <c r="L802" s="2236"/>
      <c r="M802" s="2240">
        <v>7</v>
      </c>
      <c r="N802" s="2240">
        <v>2</v>
      </c>
      <c r="O802" s="2240">
        <v>10</v>
      </c>
      <c r="P802" s="2236"/>
      <c r="Q802" s="2236"/>
      <c r="R802" s="2236" t="s">
        <v>1315</v>
      </c>
      <c r="S802" s="2236" t="s">
        <v>1315</v>
      </c>
      <c r="T802" s="2236" t="s">
        <v>1315</v>
      </c>
      <c r="U802" s="2236"/>
      <c r="V802" s="7840" t="s">
        <v>2064</v>
      </c>
      <c r="W802" s="7840"/>
      <c r="X802" s="7841"/>
      <c r="Y802" s="2229">
        <v>0</v>
      </c>
      <c r="Z802" s="1150" t="str">
        <f t="shared" si="257"/>
        <v/>
      </c>
      <c r="AA802" s="1751" t="s">
        <v>2053</v>
      </c>
      <c r="AC802" s="2568" t="s">
        <v>11735</v>
      </c>
      <c r="AD802" s="758">
        <f>IFERROR(IF(IF(AC802&lt;&gt;"",VLOOKUP(AC802,Tabla_ArmasyEscudos,9,0),"")="Conocida",MAX(AD$662:AD801)+1,0),0)</f>
        <v>0</v>
      </c>
      <c r="AE802" s="758">
        <f ca="1">IF(AC802="",0,IF(AD802=0,MAX(AE$654:AE801,AG$652)+1,AD802+IFERROR(VLOOKUP(VLOOKUP(AC802,$D$653:$AA$871,24,0),AC$654:AE$661,3,0)-VLOOKUP(VLOOKUP(AC802,$D$653:$AA$871,24,0),AC$654:AE$661,2,0)+1,0)))</f>
        <v>142</v>
      </c>
      <c r="AF802" s="758" t="str">
        <f t="shared" ca="1" si="258"/>
        <v/>
      </c>
      <c r="AG802" s="758" t="str">
        <f t="shared" ca="1" si="278"/>
        <v/>
      </c>
      <c r="AH802" s="2568"/>
      <c r="AI802" s="758">
        <f>IFERROR(IF(IF(AH802&lt;&gt;"",VLOOKUP(AH802,Tabla_ArmasyEscudos,9,0),"")="Conocida",MAX(AI$660:AI797)+1,0),0)</f>
        <v>0</v>
      </c>
      <c r="AJ802" s="758">
        <f>IF(AH802="",0,IF(AI802=0,MAX(AJ$654:AJ797,AL$652)+1,AI802+IFERROR(VLOOKUP(VLOOKUP(AH802,$D$653:$AA$871,24,0),AH$654:AJ$659,3,0)-VLOOKUP(VLOOKUP(AH802,$D$653:$AA$871,24,0),AH$654:AJ$659,2,0)+1,0)))</f>
        <v>0</v>
      </c>
      <c r="AK802" s="758" t="str">
        <f ca="1">IFERROR(INDEX(AH$654:AH$806,MATCH($A132,AJ$654:AJ$806,0)),"")</f>
        <v/>
      </c>
      <c r="AL802" s="758" t="str">
        <f ca="1">IF($A132&lt;MIN(AJ$660,IF($AJ$657&gt;0,$AJ$657,9999)),IFERROR(INDEX(AH$654:AH$806,MATCH($A132,AJ$654:AJ$806,0)),""),"")</f>
        <v/>
      </c>
      <c r="AM802" s="2568"/>
      <c r="AN802" s="758">
        <f>IFERROR(IF(IF(AM802&lt;&gt;"",VLOOKUP(AM802,Tabla_ArmasyEscudos,9,0),"")="Conocida",MAX(AN$660:AN797)+1,0),0)</f>
        <v>0</v>
      </c>
      <c r="AO802" s="758">
        <f>IF(AM802="",0,IF(AN802=0,MAX(AO$654:AO797,AQ$652)+1,AN802+IFERROR(VLOOKUP(VLOOKUP(AM802,$D$653:$AA$871,24,0),AM$654:AO$659,3,0)-VLOOKUP(VLOOKUP(AM802,$D$653:$AA$871,24,0),AM$654:AO$659,2,0)+1,0)))</f>
        <v>0</v>
      </c>
      <c r="AP802" s="758" t="str">
        <f ca="1">IFERROR(INDEX(AM$654:AM$806,MATCH($A132,AO$654:AO$806,0)),"")</f>
        <v/>
      </c>
      <c r="AQ802" s="758" t="str">
        <f ca="1">IF($A132&lt;MIN(AO$660,IF($AO$656&gt;0,$AO$656,9999)),IFERROR(INDEX(AM$654:AM$806,MATCH($A132,AO$654:AO$806,0)),""),"")</f>
        <v/>
      </c>
      <c r="AR802" s="2568"/>
      <c r="AS802" s="758">
        <f>IFERROR(IF(IF(AR802&lt;&gt;"",VLOOKUP(AR802,Tabla_ArmasyEscudos,9,0),"")="Conocida",MAX(AS$660:AS797)+1,0),0)</f>
        <v>0</v>
      </c>
      <c r="AT802" s="758">
        <f>IF(AR802="",0,IF(AS802=0,MAX(AT$654:AT797,AV$652)+1,AS802+IFERROR(VLOOKUP(VLOOKUP(AR802,$D$653:$AA$871,24,0),AR$654:AT$659,3,0)-VLOOKUP(VLOOKUP(AR802,$D$653:$AA$871,24,0),AR$654:AT$659,2,0)+1,0)))</f>
        <v>0</v>
      </c>
      <c r="AU802" s="758" t="str">
        <f ca="1">IFERROR(INDEX(AR$654:AR$806,MATCH($A132,AT$654:AT$806,0)),"")</f>
        <v/>
      </c>
      <c r="AV802" s="758" t="str">
        <f ca="1">IF($A132&lt;MIN(AT$660,IF($AT$657&gt;0,$AT$657,9999)),IFERROR(INDEX(AR$654:AR$806,MATCH($A132,AT$654:AT$806,0)),""),"")</f>
        <v/>
      </c>
    </row>
    <row r="803" spans="1:48" ht="12.75" customHeight="1">
      <c r="A803" s="219">
        <v>794</v>
      </c>
      <c r="B803" s="7145"/>
      <c r="C803" s="1034"/>
      <c r="D803" s="2237" t="s">
        <v>2065</v>
      </c>
      <c r="E803" s="2236">
        <v>40</v>
      </c>
      <c r="F803" s="2236" t="s">
        <v>1315</v>
      </c>
      <c r="G803" s="2236">
        <v>0</v>
      </c>
      <c r="H803" s="2236">
        <v>0</v>
      </c>
      <c r="I803" s="2236" t="s">
        <v>1411</v>
      </c>
      <c r="J803" s="2236" t="s">
        <v>1315</v>
      </c>
      <c r="K803" s="2433" t="s">
        <v>6849</v>
      </c>
      <c r="L803" s="2236"/>
      <c r="M803" s="2240">
        <v>3</v>
      </c>
      <c r="N803" s="2240">
        <v>0</v>
      </c>
      <c r="O803" s="2240">
        <v>15</v>
      </c>
      <c r="P803" s="2236"/>
      <c r="Q803" s="2236"/>
      <c r="R803" s="2236" t="s">
        <v>1315</v>
      </c>
      <c r="S803" s="2236" t="s">
        <v>1315</v>
      </c>
      <c r="T803" s="2236" t="s">
        <v>1315</v>
      </c>
      <c r="U803" s="2236"/>
      <c r="V803" s="7840" t="s">
        <v>2066</v>
      </c>
      <c r="W803" s="7840"/>
      <c r="X803" s="7841"/>
      <c r="Y803" s="2229">
        <v>0</v>
      </c>
      <c r="Z803" s="1150" t="str">
        <f t="shared" si="257"/>
        <v/>
      </c>
      <c r="AA803" s="1751" t="s">
        <v>2053</v>
      </c>
      <c r="AC803" s="2575"/>
      <c r="AD803" s="758">
        <f>IFERROR(IF(IF(AC803&lt;&gt;"",VLOOKUP(AC803,Tabla_ArmasyEscudos,9,0),"")="Conocida",MAX(AD$662:AD802)+1,0),0)</f>
        <v>0</v>
      </c>
      <c r="AE803" s="758">
        <f>IF(AC803="",0,IF(AD803=0,MAX(AE$654:AE802,AG$652)+1,AD803+IFERROR(VLOOKUP(VLOOKUP(AC803,$D$653:$AA$871,24,0),AC$654:AE$661,3,0)-VLOOKUP(VLOOKUP(AC803,$D$653:$AA$871,24,0),AC$654:AE$661,2,0)+1,0)))</f>
        <v>0</v>
      </c>
      <c r="AF803" s="758" t="str">
        <f t="shared" ca="1" si="258"/>
        <v/>
      </c>
      <c r="AG803" s="758" t="str">
        <f t="shared" ref="AG803:AG808" ca="1" si="285">IF($A136&lt;MIN($AE$662,IF($AE$660&gt;0,$AE$660,9999),IF($AE$661&gt;0,$AE$661,9999)),IFERROR(INDEX(AC$654:AC$808,MATCH($A136,AE$654:AE$808,0)),""),"")</f>
        <v/>
      </c>
      <c r="AH803" s="2568"/>
      <c r="AI803" s="758">
        <f>IFERROR(IF(IF(AH803&lt;&gt;"",VLOOKUP(AH803,Tabla_ArmasyEscudos,9,0),"")="Conocida",MAX(AI$660:AI801)+1,0),0)</f>
        <v>0</v>
      </c>
      <c r="AJ803" s="758">
        <f>IF(AH803="",0,IF(AI803=0,MAX(AJ$654:AJ801,AL$652)+1,AI803+IFERROR(VLOOKUP(VLOOKUP(AH803,$D$653:$AA$871,24,0),AH$654:AJ$659,3,0)-VLOOKUP(VLOOKUP(AH803,$D$653:$AA$871,24,0),AH$654:AJ$659,2,0)+1,0)))</f>
        <v>0</v>
      </c>
      <c r="AK803" s="758" t="str">
        <f t="shared" ref="AK803:AK808" ca="1" si="286">IFERROR(INDEX(AH$654:AH$806,MATCH($A132,AJ$654:AJ$806,0)),"")</f>
        <v/>
      </c>
      <c r="AL803" s="758" t="str">
        <f t="shared" ref="AL803:AL808" ca="1" si="287">IF($A132&lt;MIN(AJ$660,IF($AJ$657&gt;0,$AJ$657,9999)),IFERROR(INDEX(AH$654:AH$806,MATCH($A132,AJ$654:AJ$806,0)),""),"")</f>
        <v/>
      </c>
      <c r="AM803" s="2568"/>
      <c r="AN803" s="758">
        <f>IFERROR(IF(IF(AM803&lt;&gt;"",VLOOKUP(AM803,Tabla_ArmasyEscudos,9,0),"")="Conocida",MAX(AN$660:AN801)+1,0),0)</f>
        <v>0</v>
      </c>
      <c r="AO803" s="758">
        <f>IF(AM803="",0,IF(AN803=0,MAX(AO$654:AO801,AQ$652)+1,AN803+IFERROR(VLOOKUP(VLOOKUP(AM803,$D$653:$AA$871,24,0),AM$654:AO$659,3,0)-VLOOKUP(VLOOKUP(AM803,$D$653:$AA$871,24,0),AM$654:AO$659,2,0)+1,0)))</f>
        <v>0</v>
      </c>
      <c r="AP803" s="758" t="str">
        <f t="shared" ref="AP803:AP808" ca="1" si="288">IFERROR(INDEX(AM$654:AM$806,MATCH($A132,AO$654:AO$806,0)),"")</f>
        <v/>
      </c>
      <c r="AQ803" s="758" t="str">
        <f t="shared" ref="AQ803:AQ808" ca="1" si="289">IF($A132&lt;MIN(AO$660,IF($AO$656&gt;0,$AO$656,9999)),IFERROR(INDEX(AM$654:AM$806,MATCH($A132,AO$654:AO$806,0)),""),"")</f>
        <v/>
      </c>
      <c r="AR803" s="2568"/>
      <c r="AS803" s="758">
        <f>IFERROR(IF(IF(AR803&lt;&gt;"",VLOOKUP(AR803,Tabla_ArmasyEscudos,9,0),"")="Conocida",MAX(AS$660:AS801)+1,0),0)</f>
        <v>0</v>
      </c>
      <c r="AT803" s="758">
        <f>IF(AR803="",0,IF(AS803=0,MAX(AT$654:AT801,AV$652)+1,AS803+IFERROR(VLOOKUP(VLOOKUP(AR803,$D$653:$AA$871,24,0),AR$654:AT$659,3,0)-VLOOKUP(VLOOKUP(AR803,$D$653:$AA$871,24,0),AR$654:AT$659,2,0)+1,0)))</f>
        <v>0</v>
      </c>
      <c r="AU803" s="758" t="str">
        <f t="shared" ref="AU803:AU808" ca="1" si="290">IFERROR(INDEX(AR$654:AR$806,MATCH($A132,AT$654:AT$806,0)),"")</f>
        <v/>
      </c>
      <c r="AV803" s="758" t="str">
        <f t="shared" ref="AV803:AV808" ca="1" si="291">IF($A132&lt;MIN(AT$660,IF($AT$657&gt;0,$AT$657,9999)),IFERROR(INDEX(AR$654:AR$806,MATCH($A132,AT$654:AT$806,0)),""),"")</f>
        <v/>
      </c>
    </row>
    <row r="804" spans="1:48" ht="12.75" customHeight="1">
      <c r="A804" s="219">
        <v>795</v>
      </c>
      <c r="B804" s="7145"/>
      <c r="C804" s="1034"/>
      <c r="D804" s="2237" t="s">
        <v>2067</v>
      </c>
      <c r="E804" s="2236">
        <v>30</v>
      </c>
      <c r="F804" s="2236" t="s">
        <v>1315</v>
      </c>
      <c r="G804" s="2236">
        <v>0</v>
      </c>
      <c r="H804" s="2236">
        <v>0</v>
      </c>
      <c r="I804" s="2236" t="s">
        <v>1411</v>
      </c>
      <c r="J804" s="2236" t="s">
        <v>1315</v>
      </c>
      <c r="K804" s="2433" t="s">
        <v>6849</v>
      </c>
      <c r="L804" s="2236"/>
      <c r="M804" s="2240">
        <v>2</v>
      </c>
      <c r="N804" s="2240">
        <v>-1</v>
      </c>
      <c r="O804" s="2240">
        <v>15</v>
      </c>
      <c r="P804" s="2236"/>
      <c r="Q804" s="2236"/>
      <c r="R804" s="2236" t="s">
        <v>1315</v>
      </c>
      <c r="S804" s="2236" t="s">
        <v>1315</v>
      </c>
      <c r="T804" s="2236" t="s">
        <v>1315</v>
      </c>
      <c r="U804" s="2236"/>
      <c r="V804" s="7840" t="s">
        <v>2068</v>
      </c>
      <c r="W804" s="7840"/>
      <c r="X804" s="7841"/>
      <c r="Y804" s="2229">
        <v>0</v>
      </c>
      <c r="Z804" s="1150" t="str">
        <f t="shared" si="257"/>
        <v/>
      </c>
      <c r="AA804" s="1751" t="s">
        <v>2053</v>
      </c>
      <c r="AC804" s="2568" t="str">
        <f ca="1">$D867</f>
        <v/>
      </c>
      <c r="AD804" s="758">
        <f ca="1">IFERROR(IF(IF(AC804&lt;&gt;"",VLOOKUP(AC804,Tabla_ArmasyEscudos,9,0),"")="Conocida",MAX(AD$662:AD803)+1,0),0)</f>
        <v>0</v>
      </c>
      <c r="AE804" s="758">
        <f ca="1">IF(AC804="",0,IF(AD804=0,MAX(AE$654:AE803,AG$652)+1,AD804+IFERROR(VLOOKUP(VLOOKUP(AC804,$D$653:$AA$871,24,0),AC$654:AE$661,3,0)-VLOOKUP(VLOOKUP(AC804,$D$653:$AA$871,24,0),AC$654:AE$661,2,0)+1,0)))</f>
        <v>0</v>
      </c>
      <c r="AF804" s="758" t="str">
        <f t="shared" ca="1" si="258"/>
        <v/>
      </c>
      <c r="AG804" s="758" t="str">
        <f t="shared" ca="1" si="285"/>
        <v/>
      </c>
      <c r="AH804" s="2568"/>
      <c r="AI804" s="758">
        <f>IFERROR(IF(IF(AH804&lt;&gt;"",VLOOKUP(AH804,Tabla_ArmasyEscudos,9,0),"")="Conocida",MAX(AI$660:AI803)+1,0),0)</f>
        <v>0</v>
      </c>
      <c r="AJ804" s="758">
        <f>IF(AH804="",0,IF(AI804=0,MAX(AJ$654:AJ803,AL$652)+1,AI804+IFERROR(VLOOKUP(VLOOKUP(AH804,$D$653:$AA$871,24,0),AH$654:AJ$659,3,0)-VLOOKUP(VLOOKUP(AH804,$D$653:$AA$871,24,0),AH$654:AJ$659,2,0)+1,0)))</f>
        <v>0</v>
      </c>
      <c r="AK804" s="758" t="str">
        <f t="shared" ca="1" si="286"/>
        <v/>
      </c>
      <c r="AL804" s="758" t="str">
        <f t="shared" ca="1" si="287"/>
        <v/>
      </c>
      <c r="AM804" s="2568"/>
      <c r="AN804" s="758">
        <f>IFERROR(IF(IF(AM804&lt;&gt;"",VLOOKUP(AM804,Tabla_ArmasyEscudos,9,0),"")="Conocida",MAX(AN$660:AN803)+1,0),0)</f>
        <v>0</v>
      </c>
      <c r="AO804" s="758">
        <f>IF(AM804="",0,IF(AN804=0,MAX(AO$654:AO803,AQ$652)+1,AN804+IFERROR(VLOOKUP(VLOOKUP(AM804,$D$653:$AA$871,24,0),AM$654:AO$659,3,0)-VLOOKUP(VLOOKUP(AM804,$D$653:$AA$871,24,0),AM$654:AO$659,2,0)+1,0)))</f>
        <v>0</v>
      </c>
      <c r="AP804" s="758" t="str">
        <f t="shared" ca="1" si="288"/>
        <v/>
      </c>
      <c r="AQ804" s="758" t="str">
        <f t="shared" ca="1" si="289"/>
        <v/>
      </c>
      <c r="AR804" s="2568"/>
      <c r="AS804" s="758">
        <f>IFERROR(IF(IF(AR804&lt;&gt;"",VLOOKUP(AR804,Tabla_ArmasyEscudos,9,0),"")="Conocida",MAX(AS$660:AS803)+1,0),0)</f>
        <v>0</v>
      </c>
      <c r="AT804" s="758">
        <f>IF(AR804="",0,IF(AS804=0,MAX(AT$654:AT803,AV$652)+1,AS804+IFERROR(VLOOKUP(VLOOKUP(AR804,$D$653:$AA$871,24,0),AR$654:AT$659,3,0)-VLOOKUP(VLOOKUP(AR804,$D$653:$AA$871,24,0),AR$654:AT$659,2,0)+1,0)))</f>
        <v>0</v>
      </c>
      <c r="AU804" s="758" t="str">
        <f t="shared" ca="1" si="290"/>
        <v/>
      </c>
      <c r="AV804" s="758" t="str">
        <f t="shared" ca="1" si="291"/>
        <v/>
      </c>
    </row>
    <row r="805" spans="1:48" ht="12.75" customHeight="1">
      <c r="A805" s="219">
        <v>796</v>
      </c>
      <c r="B805" s="7145"/>
      <c r="C805" s="1034"/>
      <c r="D805" s="2237" t="s">
        <v>2069</v>
      </c>
      <c r="E805" s="2236">
        <v>60</v>
      </c>
      <c r="F805" s="2236" t="s">
        <v>1315</v>
      </c>
      <c r="G805" s="2236">
        <v>0</v>
      </c>
      <c r="H805" s="2236">
        <v>0</v>
      </c>
      <c r="I805" s="2236" t="s">
        <v>1411</v>
      </c>
      <c r="J805" s="2236" t="s">
        <v>1315</v>
      </c>
      <c r="K805" s="2433" t="s">
        <v>6849</v>
      </c>
      <c r="L805" s="2236"/>
      <c r="M805" s="2240">
        <v>4</v>
      </c>
      <c r="N805" s="2240">
        <v>1</v>
      </c>
      <c r="O805" s="2240">
        <v>15</v>
      </c>
      <c r="P805" s="2236"/>
      <c r="Q805" s="2236"/>
      <c r="R805" s="2236" t="s">
        <v>1315</v>
      </c>
      <c r="S805" s="2236" t="s">
        <v>1315</v>
      </c>
      <c r="T805" s="2236" t="s">
        <v>1315</v>
      </c>
      <c r="U805" s="2236"/>
      <c r="V805" s="7840" t="s">
        <v>2070</v>
      </c>
      <c r="W805" s="7840"/>
      <c r="X805" s="7841"/>
      <c r="Y805" s="2229">
        <v>0</v>
      </c>
      <c r="Z805" s="1150" t="str">
        <f t="shared" si="257"/>
        <v/>
      </c>
      <c r="AA805" s="1751" t="s">
        <v>2053</v>
      </c>
      <c r="AC805" s="2568" t="str">
        <f ca="1">$D868</f>
        <v/>
      </c>
      <c r="AD805" s="758">
        <f ca="1">IFERROR(IF(IF(AC805&lt;&gt;"",VLOOKUP(AC805,Tabla_ArmasyEscudos,9,0),"")="Conocida",MAX(AD$662:AD804)+1,0),0)</f>
        <v>0</v>
      </c>
      <c r="AE805" s="758">
        <f ca="1">IF(AC805="",0,IF(AD805=0,MAX(AE$654:AE804,AG$652)+1,AD805+IFERROR(VLOOKUP(VLOOKUP(AC805,$D$653:$AA$871,24,0),AC$654:AE$661,3,0)-VLOOKUP(VLOOKUP(AC805,$D$653:$AA$871,24,0),AC$654:AE$661,2,0)+1,0)))</f>
        <v>0</v>
      </c>
      <c r="AF805" s="758" t="str">
        <f t="shared" ca="1" si="258"/>
        <v/>
      </c>
      <c r="AG805" s="758" t="str">
        <f t="shared" ca="1" si="285"/>
        <v/>
      </c>
      <c r="AH805" s="2568"/>
      <c r="AI805" s="758">
        <f>IFERROR(IF(IF(AH805&lt;&gt;"",VLOOKUP(AH805,Tabla_ArmasyEscudos,9,0),"")="Conocida",MAX(AI$660:AI804)+1,0),0)</f>
        <v>0</v>
      </c>
      <c r="AJ805" s="758">
        <f>IF(AH805="",0,IF(AI805=0,MAX(AJ$654:AJ804,AL$652)+1,AI805+IFERROR(VLOOKUP(VLOOKUP(AH805,$D$653:$AA$871,24,0),AH$654:AJ$659,3,0)-VLOOKUP(VLOOKUP(AH805,$D$653:$AA$871,24,0),AH$654:AJ$659,2,0)+1,0)))</f>
        <v>0</v>
      </c>
      <c r="AK805" s="758" t="str">
        <f t="shared" ca="1" si="286"/>
        <v/>
      </c>
      <c r="AL805" s="758" t="str">
        <f t="shared" ca="1" si="287"/>
        <v/>
      </c>
      <c r="AM805" s="2568"/>
      <c r="AN805" s="758">
        <f>IFERROR(IF(IF(AM805&lt;&gt;"",VLOOKUP(AM805,Tabla_ArmasyEscudos,9,0),"")="Conocida",MAX(AN$660:AN804)+1,0),0)</f>
        <v>0</v>
      </c>
      <c r="AO805" s="758">
        <f>IF(AM805="",0,IF(AN805=0,MAX(AO$654:AO804,AQ$652)+1,AN805+IFERROR(VLOOKUP(VLOOKUP(AM805,$D$653:$AA$871,24,0),AM$654:AO$659,3,0)-VLOOKUP(VLOOKUP(AM805,$D$653:$AA$871,24,0),AM$654:AO$659,2,0)+1,0)))</f>
        <v>0</v>
      </c>
      <c r="AP805" s="758" t="str">
        <f t="shared" ca="1" si="288"/>
        <v/>
      </c>
      <c r="AQ805" s="758" t="str">
        <f t="shared" ca="1" si="289"/>
        <v/>
      </c>
      <c r="AR805" s="2568"/>
      <c r="AS805" s="758">
        <f>IFERROR(IF(IF(AR805&lt;&gt;"",VLOOKUP(AR805,Tabla_ArmasyEscudos,9,0),"")="Conocida",MAX(AS$660:AS804)+1,0),0)</f>
        <v>0</v>
      </c>
      <c r="AT805" s="758">
        <f>IF(AR805="",0,IF(AS805=0,MAX(AT$654:AT804,AV$652)+1,AS805+IFERROR(VLOOKUP(VLOOKUP(AR805,$D$653:$AA$871,24,0),AR$654:AT$659,3,0)-VLOOKUP(VLOOKUP(AR805,$D$653:$AA$871,24,0),AR$654:AT$659,2,0)+1,0)))</f>
        <v>0</v>
      </c>
      <c r="AU805" s="758" t="str">
        <f t="shared" ca="1" si="290"/>
        <v/>
      </c>
      <c r="AV805" s="758" t="str">
        <f t="shared" ca="1" si="291"/>
        <v/>
      </c>
    </row>
    <row r="806" spans="1:48" ht="12.75" customHeight="1">
      <c r="A806" s="219">
        <v>797</v>
      </c>
      <c r="B806" s="7145"/>
      <c r="C806" s="1034"/>
      <c r="D806" s="2237" t="s">
        <v>8111</v>
      </c>
      <c r="E806" s="2236">
        <v>120</v>
      </c>
      <c r="F806" s="2236" t="s">
        <v>1315</v>
      </c>
      <c r="G806" s="2236">
        <v>0</v>
      </c>
      <c r="H806" s="2236">
        <v>0</v>
      </c>
      <c r="I806" s="2236" t="s">
        <v>1411</v>
      </c>
      <c r="J806" s="2236" t="s">
        <v>1315</v>
      </c>
      <c r="K806" s="2433" t="s">
        <v>6849</v>
      </c>
      <c r="L806" s="2236"/>
      <c r="M806" s="2240">
        <v>16</v>
      </c>
      <c r="N806" s="2240">
        <v>8</v>
      </c>
      <c r="O806" s="2240">
        <v>15</v>
      </c>
      <c r="P806" s="2236"/>
      <c r="Q806" s="2236"/>
      <c r="R806" s="2236" t="s">
        <v>1315</v>
      </c>
      <c r="S806" s="2236" t="s">
        <v>1315</v>
      </c>
      <c r="T806" s="2236" t="s">
        <v>1315</v>
      </c>
      <c r="U806" s="2236"/>
      <c r="V806" s="2433" t="s">
        <v>8117</v>
      </c>
      <c r="W806" s="2433"/>
      <c r="X806" s="2434"/>
      <c r="Y806" s="2229">
        <v>0</v>
      </c>
      <c r="Z806" s="1150" t="str">
        <f t="shared" si="257"/>
        <v/>
      </c>
      <c r="AA806" s="1751" t="s">
        <v>2053</v>
      </c>
      <c r="AC806" s="2568" t="str">
        <f ca="1">$D869</f>
        <v/>
      </c>
      <c r="AD806" s="758">
        <f ca="1">IFERROR(IF(IF(AC806&lt;&gt;"",VLOOKUP(AC806,Tabla_ArmasyEscudos,9,0),"")="Conocida",MAX(AD$662:AD805)+1,0),0)</f>
        <v>0</v>
      </c>
      <c r="AE806" s="758">
        <f ca="1">IF(AC806="",0,IF(AD806=0,MAX(AE$654:AE805,AG$652)+1,AD806+IFERROR(VLOOKUP(VLOOKUP(AC806,$D$653:$AA$871,24,0),AC$654:AE$661,3,0)-VLOOKUP(VLOOKUP(AC806,$D$653:$AA$871,24,0),AC$654:AE$661,2,0)+1,0)))</f>
        <v>0</v>
      </c>
      <c r="AF806" s="758" t="str">
        <f t="shared" ca="1" si="258"/>
        <v/>
      </c>
      <c r="AG806" s="758" t="str">
        <f t="shared" ca="1" si="285"/>
        <v/>
      </c>
      <c r="AH806" s="2568"/>
      <c r="AI806" s="758">
        <f>IFERROR(IF(IF(AH806&lt;&gt;"",VLOOKUP(AH806,Tabla_ArmasyEscudos,9,0),"")="Conocida",MAX(AI$660:AI805)+1,0),0)</f>
        <v>0</v>
      </c>
      <c r="AJ806" s="758">
        <f>IF(AH806="",0,IF(AI806=0,MAX(AJ$654:AJ805,AL$652)+1,AI806+IFERROR(VLOOKUP(VLOOKUP(AH806,$D$653:$AA$871,24,0),AH$654:AJ$659,3,0)-VLOOKUP(VLOOKUP(AH806,$D$653:$AA$871,24,0),AH$654:AJ$659,2,0)+1,0)))</f>
        <v>0</v>
      </c>
      <c r="AK806" s="758" t="str">
        <f t="shared" ca="1" si="286"/>
        <v/>
      </c>
      <c r="AL806" s="758" t="str">
        <f t="shared" ca="1" si="287"/>
        <v/>
      </c>
      <c r="AM806" s="2568"/>
      <c r="AN806" s="758">
        <f>IFERROR(IF(IF(AM806&lt;&gt;"",VLOOKUP(AM806,Tabla_ArmasyEscudos,9,0),"")="Conocida",MAX(AN$660:AN805)+1,0),0)</f>
        <v>0</v>
      </c>
      <c r="AO806" s="758">
        <f>IF(AM806="",0,IF(AN806=0,MAX(AO$654:AO805,AQ$652)+1,AN806+IFERROR(VLOOKUP(VLOOKUP(AM806,$D$653:$AA$871,24,0),AM$654:AO$659,3,0)-VLOOKUP(VLOOKUP(AM806,$D$653:$AA$871,24,0),AM$654:AO$659,2,0)+1,0)))</f>
        <v>0</v>
      </c>
      <c r="AP806" s="758" t="str">
        <f t="shared" ca="1" si="288"/>
        <v/>
      </c>
      <c r="AQ806" s="758" t="str">
        <f t="shared" ca="1" si="289"/>
        <v/>
      </c>
      <c r="AR806" s="2568"/>
      <c r="AS806" s="758">
        <f>IFERROR(IF(IF(AR806&lt;&gt;"",VLOOKUP(AR806,Tabla_ArmasyEscudos,9,0),"")="Conocida",MAX(AS$660:AS805)+1,0),0)</f>
        <v>0</v>
      </c>
      <c r="AT806" s="758">
        <f>IF(AR806="",0,IF(AS806=0,MAX(AT$654:AT805,AV$652)+1,AS806+IFERROR(VLOOKUP(VLOOKUP(AR806,$D$653:$AA$871,24,0),AR$654:AT$659,3,0)-VLOOKUP(VLOOKUP(AR806,$D$653:$AA$871,24,0),AR$654:AT$659,2,0)+1,0)))</f>
        <v>0</v>
      </c>
      <c r="AU806" s="758" t="str">
        <f t="shared" ca="1" si="290"/>
        <v/>
      </c>
      <c r="AV806" s="758" t="str">
        <f t="shared" ca="1" si="291"/>
        <v/>
      </c>
    </row>
    <row r="807" spans="1:48" ht="12.75" customHeight="1">
      <c r="A807" s="219">
        <v>798</v>
      </c>
      <c r="B807" s="7145"/>
      <c r="C807" s="1034"/>
      <c r="D807" s="2237" t="s">
        <v>8112</v>
      </c>
      <c r="E807" s="2236">
        <v>150</v>
      </c>
      <c r="F807" s="2236" t="s">
        <v>1315</v>
      </c>
      <c r="G807" s="2236">
        <v>0</v>
      </c>
      <c r="H807" s="2236">
        <v>0</v>
      </c>
      <c r="I807" s="2236" t="s">
        <v>1411</v>
      </c>
      <c r="J807" s="2236" t="s">
        <v>1315</v>
      </c>
      <c r="K807" s="2433" t="s">
        <v>6849</v>
      </c>
      <c r="L807" s="2236"/>
      <c r="M807" s="2240">
        <v>18</v>
      </c>
      <c r="N807" s="2240">
        <v>12</v>
      </c>
      <c r="O807" s="2240">
        <v>15</v>
      </c>
      <c r="P807" s="2236"/>
      <c r="Q807" s="2236"/>
      <c r="R807" s="2236" t="s">
        <v>1315</v>
      </c>
      <c r="S807" s="2236" t="s">
        <v>1315</v>
      </c>
      <c r="T807" s="2236" t="s">
        <v>1315</v>
      </c>
      <c r="U807" s="2236"/>
      <c r="V807" s="2433" t="s">
        <v>8118</v>
      </c>
      <c r="W807" s="2433"/>
      <c r="X807" s="2434"/>
      <c r="Y807" s="2229">
        <v>0</v>
      </c>
      <c r="Z807" s="1150" t="str">
        <f t="shared" si="257"/>
        <v/>
      </c>
      <c r="AA807" s="1751" t="s">
        <v>2053</v>
      </c>
      <c r="AC807" s="2568" t="str">
        <f ca="1">$D870</f>
        <v/>
      </c>
      <c r="AD807" s="758">
        <f ca="1">IFERROR(IF(IF(AC807&lt;&gt;"",VLOOKUP(AC807,Tabla_ArmasyEscudos,9,0),"")="Conocida",MAX(AD$662:AD806)+1,0),0)</f>
        <v>0</v>
      </c>
      <c r="AE807" s="758">
        <f ca="1">IF(AC807="",0,IF(AD807=0,MAX(AE$654:AE806,AG$652)+1,AD807+IFERROR(VLOOKUP(VLOOKUP(AC807,$D$653:$AA$871,24,0),AC$654:AE$661,3,0)-VLOOKUP(VLOOKUP(AC807,$D$653:$AA$871,24,0),AC$654:AE$661,2,0)+1,0)))</f>
        <v>0</v>
      </c>
      <c r="AF807" s="758" t="str">
        <f t="shared" ca="1" si="258"/>
        <v/>
      </c>
      <c r="AG807" s="758" t="str">
        <f t="shared" ca="1" si="285"/>
        <v/>
      </c>
      <c r="AH807" s="2568"/>
      <c r="AI807" s="758">
        <f>IFERROR(IF(IF(AH807&lt;&gt;"",VLOOKUP(AH807,Tabla_ArmasyEscudos,9,0),"")="Conocida",MAX(AI$660:AI806)+1,0),0)</f>
        <v>0</v>
      </c>
      <c r="AJ807" s="758">
        <f>IF(AH807="",0,IF(AI807=0,MAX(AJ$654:AJ806,AL$652)+1,AI807+IFERROR(VLOOKUP(VLOOKUP(AH807,$D$653:$AA$871,24,0),AH$654:AJ$659,3,0)-VLOOKUP(VLOOKUP(AH807,$D$653:$AA$871,24,0),AH$654:AJ$659,2,0)+1,0)))</f>
        <v>0</v>
      </c>
      <c r="AK807" s="758" t="str">
        <f t="shared" ca="1" si="286"/>
        <v/>
      </c>
      <c r="AL807" s="758" t="str">
        <f t="shared" ca="1" si="287"/>
        <v/>
      </c>
      <c r="AM807" s="2568"/>
      <c r="AN807" s="758">
        <f>IFERROR(IF(IF(AM807&lt;&gt;"",VLOOKUP(AM807,Tabla_ArmasyEscudos,9,0),"")="Conocida",MAX(AN$660:AN806)+1,0),0)</f>
        <v>0</v>
      </c>
      <c r="AO807" s="758">
        <f>IF(AM807="",0,IF(AN807=0,MAX(AO$654:AO806,AQ$652)+1,AN807+IFERROR(VLOOKUP(VLOOKUP(AM807,$D$653:$AA$871,24,0),AM$654:AO$659,3,0)-VLOOKUP(VLOOKUP(AM807,$D$653:$AA$871,24,0),AM$654:AO$659,2,0)+1,0)))</f>
        <v>0</v>
      </c>
      <c r="AP807" s="758" t="str">
        <f t="shared" ca="1" si="288"/>
        <v/>
      </c>
      <c r="AQ807" s="758" t="str">
        <f t="shared" ca="1" si="289"/>
        <v/>
      </c>
      <c r="AR807" s="2568"/>
      <c r="AS807" s="758">
        <f>IFERROR(IF(IF(AR807&lt;&gt;"",VLOOKUP(AR807,Tabla_ArmasyEscudos,9,0),"")="Conocida",MAX(AS$660:AS806)+1,0),0)</f>
        <v>0</v>
      </c>
      <c r="AT807" s="758">
        <f>IF(AR807="",0,IF(AS807=0,MAX(AT$654:AT806,AV$652)+1,AS807+IFERROR(VLOOKUP(VLOOKUP(AR807,$D$653:$AA$871,24,0),AR$654:AT$659,3,0)-VLOOKUP(VLOOKUP(AR807,$D$653:$AA$871,24,0),AR$654:AT$659,2,0)+1,0)))</f>
        <v>0</v>
      </c>
      <c r="AU807" s="758" t="str">
        <f t="shared" ca="1" si="290"/>
        <v/>
      </c>
      <c r="AV807" s="758" t="str">
        <f t="shared" ca="1" si="291"/>
        <v/>
      </c>
    </row>
    <row r="808" spans="1:48" ht="12.75" customHeight="1" thickBot="1">
      <c r="A808" s="219">
        <v>799</v>
      </c>
      <c r="B808" s="7145"/>
      <c r="C808" s="1034"/>
      <c r="D808" s="2237" t="s">
        <v>8349</v>
      </c>
      <c r="E808" s="2236">
        <v>0</v>
      </c>
      <c r="F808" s="2236" t="s">
        <v>1315</v>
      </c>
      <c r="G808" s="2236">
        <v>0</v>
      </c>
      <c r="H808" s="2236">
        <v>0</v>
      </c>
      <c r="I808" s="2236" t="str">
        <f>I654</f>
        <v>-</v>
      </c>
      <c r="J808" s="2236" t="str">
        <f>J654</f>
        <v>-</v>
      </c>
      <c r="K808" s="2433" t="s">
        <v>6849</v>
      </c>
      <c r="L808" s="2236"/>
      <c r="M808" s="2240">
        <f>M654</f>
        <v>4</v>
      </c>
      <c r="N808" s="2236">
        <f>N654</f>
        <v>-4</v>
      </c>
      <c r="O808" s="2236"/>
      <c r="P808" s="2236"/>
      <c r="Q808" s="2236"/>
      <c r="R808" s="2236" t="s">
        <v>1315</v>
      </c>
      <c r="S808" s="2236" t="s">
        <v>1315</v>
      </c>
      <c r="T808" s="2236" t="s">
        <v>1315</v>
      </c>
      <c r="U808" s="2236"/>
      <c r="V808" s="2433" t="s">
        <v>8348</v>
      </c>
      <c r="W808" s="2433"/>
      <c r="X808" s="2434"/>
      <c r="Y808" s="2229">
        <v>0</v>
      </c>
      <c r="Z808" s="1150" t="str">
        <f t="shared" si="257"/>
        <v/>
      </c>
      <c r="AA808" s="1751" t="s">
        <v>2053</v>
      </c>
      <c r="AC808" s="2569" t="str">
        <f ca="1">$D871</f>
        <v/>
      </c>
      <c r="AD808" s="758">
        <f ca="1">IFERROR(IF(IF(AC808&lt;&gt;"",VLOOKUP(AC808,Tabla_ArmasyEscudos,9,0),"")="Conocida",MAX(AD$662:AD807)+1,0),0)</f>
        <v>0</v>
      </c>
      <c r="AE808" s="758">
        <f ca="1">IF(AC808="",0,IF(AD808=0,MAX(AE$654:AE807,AG$652)+1,AD808+IFERROR(VLOOKUP(VLOOKUP(AC808,$D$653:$AA$871,24,0),AC$654:AE$661,3,0)-VLOOKUP(VLOOKUP(AC808,$D$653:$AA$871,24,0),AC$654:AE$661,2,0)+1,0)))</f>
        <v>0</v>
      </c>
      <c r="AF808" s="758" t="str">
        <f t="shared" ca="1" si="258"/>
        <v/>
      </c>
      <c r="AG808" s="758" t="str">
        <f t="shared" ca="1" si="285"/>
        <v/>
      </c>
      <c r="AH808" s="2568"/>
      <c r="AI808" s="758">
        <f>IFERROR(IF(IF(AH808&lt;&gt;"",VLOOKUP(AH808,Tabla_ArmasyEscudos,9,0),"")="Conocida",MAX(AI$660:AI807)+1,0),0)</f>
        <v>0</v>
      </c>
      <c r="AJ808" s="758">
        <f>IF(AH808="",0,IF(AI808=0,MAX(AJ$654:AJ807,AL$652)+1,AI808+IFERROR(VLOOKUP(VLOOKUP(AH808,$D$653:$AA$871,24,0),AH$654:AJ$659,3,0)-VLOOKUP(VLOOKUP(AH808,$D$653:$AA$871,24,0),AH$654:AJ$659,2,0)+1,0)))</f>
        <v>0</v>
      </c>
      <c r="AK808" s="758" t="str">
        <f t="shared" ca="1" si="286"/>
        <v/>
      </c>
      <c r="AL808" s="758" t="str">
        <f t="shared" ca="1" si="287"/>
        <v/>
      </c>
      <c r="AM808" s="2568"/>
      <c r="AN808" s="758">
        <f>IFERROR(IF(IF(AM808&lt;&gt;"",VLOOKUP(AM808,Tabla_ArmasyEscudos,9,0),"")="Conocida",MAX(AN$660:AN807)+1,0),0)</f>
        <v>0</v>
      </c>
      <c r="AO808" s="758">
        <f>IF(AM808="",0,IF(AN808=0,MAX(AO$654:AO807,AQ$652)+1,AN808+IFERROR(VLOOKUP(VLOOKUP(AM808,$D$653:$AA$871,24,0),AM$654:AO$659,3,0)-VLOOKUP(VLOOKUP(AM808,$D$653:$AA$871,24,0),AM$654:AO$659,2,0)+1,0)))</f>
        <v>0</v>
      </c>
      <c r="AP808" s="758" t="str">
        <f t="shared" ca="1" si="288"/>
        <v/>
      </c>
      <c r="AQ808" s="758" t="str">
        <f t="shared" ca="1" si="289"/>
        <v/>
      </c>
      <c r="AR808" s="2568"/>
      <c r="AS808" s="758">
        <f>IFERROR(IF(IF(AR808&lt;&gt;"",VLOOKUP(AR808,Tabla_ArmasyEscudos,9,0),"")="Conocida",MAX(AS$660:AS807)+1,0),0)</f>
        <v>0</v>
      </c>
      <c r="AT808" s="758">
        <f>IF(AR808="",0,IF(AS808=0,MAX(AT$654:AT807,AV$652)+1,AS808+IFERROR(VLOOKUP(VLOOKUP(AR808,$D$653:$AA$871,24,0),AR$654:AT$659,3,0)-VLOOKUP(VLOOKUP(AR808,$D$653:$AA$871,24,0),AR$654:AT$659,2,0)+1,0)))</f>
        <v>0</v>
      </c>
      <c r="AU808" s="758" t="str">
        <f t="shared" ca="1" si="290"/>
        <v/>
      </c>
      <c r="AV808" s="758" t="str">
        <f t="shared" ca="1" si="291"/>
        <v/>
      </c>
    </row>
    <row r="809" spans="1:48" ht="12.75" customHeight="1">
      <c r="A809" s="219">
        <v>800</v>
      </c>
      <c r="B809" s="7145"/>
      <c r="C809" s="1034"/>
      <c r="D809" s="2237" t="s">
        <v>2071</v>
      </c>
      <c r="E809" s="2236"/>
      <c r="F809" s="2236"/>
      <c r="G809" s="2236"/>
      <c r="H809" s="2236"/>
      <c r="I809" s="2236"/>
      <c r="J809" s="2236"/>
      <c r="K809" s="2433" t="s">
        <v>6828</v>
      </c>
      <c r="L809" s="2236"/>
      <c r="M809" s="2240"/>
      <c r="N809" s="2240"/>
      <c r="O809" s="2240"/>
      <c r="P809" s="2236"/>
      <c r="Q809" s="2236"/>
      <c r="R809" s="2236"/>
      <c r="S809" s="2236"/>
      <c r="T809" s="2236"/>
      <c r="U809" s="2236"/>
      <c r="V809" s="2433"/>
      <c r="W809" s="2433"/>
      <c r="X809" s="2434"/>
      <c r="Y809" s="1037"/>
      <c r="Z809" s="2436"/>
      <c r="AA809" s="1751"/>
      <c r="AC809" s="3737" t="s">
        <v>9588</v>
      </c>
      <c r="AD809" s="3738"/>
      <c r="AE809" s="3738"/>
      <c r="AF809" s="3738"/>
      <c r="AG809" s="3738"/>
      <c r="AH809" s="3738"/>
      <c r="AI809" s="3738"/>
      <c r="AJ809" s="3738"/>
      <c r="AK809" s="3738"/>
      <c r="AL809" s="3738"/>
      <c r="AM809" s="3738"/>
      <c r="AN809" s="3738"/>
      <c r="AO809" s="3738"/>
      <c r="AP809" s="3738"/>
      <c r="AQ809" s="3738"/>
      <c r="AR809" s="3738"/>
      <c r="AS809" s="3738"/>
      <c r="AT809" s="3738"/>
      <c r="AU809" s="3738"/>
      <c r="AV809" s="3739"/>
    </row>
    <row r="810" spans="1:48" ht="12.75" customHeight="1">
      <c r="A810" s="219">
        <v>801</v>
      </c>
      <c r="B810" s="7145"/>
      <c r="C810" s="1034"/>
      <c r="D810" s="2237" t="s">
        <v>2072</v>
      </c>
      <c r="E810" s="2236">
        <f>Presencia_final</f>
        <v>30</v>
      </c>
      <c r="F810" s="2236">
        <v>20</v>
      </c>
      <c r="G810" s="2236">
        <v>0</v>
      </c>
      <c r="H810" s="2236">
        <v>0</v>
      </c>
      <c r="I810" s="2236" t="s">
        <v>2073</v>
      </c>
      <c r="J810" s="2236" t="s">
        <v>1315</v>
      </c>
      <c r="K810" s="2433" t="s">
        <v>6850</v>
      </c>
      <c r="L810" s="2243" t="str">
        <f>IF(SUMPRODUCT(--ISNUMBER(SEARCH($D810,INDEX(Tabla_ArsMagnus,,1))),INDEX(Tabla_ArsMagnus,,4))&gt;0,"Conocida","Distinta")</f>
        <v>Distinta</v>
      </c>
      <c r="M810" s="2240" t="s">
        <v>1315</v>
      </c>
      <c r="N810" s="2240">
        <f>POD-IF(FUE=0,0,VLOOKUP(FUE,Tabla_Fuerza,2))</f>
        <v>0</v>
      </c>
      <c r="O810" s="2240">
        <f>Presencia_final</f>
        <v>30</v>
      </c>
      <c r="P810" s="2236"/>
      <c r="Q810" s="2236"/>
      <c r="R810" s="2236"/>
      <c r="S810" s="2236"/>
      <c r="T810" s="2236"/>
      <c r="U810" s="2236"/>
      <c r="V810" s="2433" t="s">
        <v>2074</v>
      </c>
      <c r="W810" s="2433"/>
      <c r="X810" s="2434"/>
      <c r="Y810" s="2229">
        <f>Bono_Pod</f>
        <v>0</v>
      </c>
      <c r="Z810" s="1150" t="str">
        <f>IF(AND(K811&lt;&gt;"Natural/-",ISNUMBER(SEARCH(D811&amp;",",Armas_Conocidas))),", "&amp;K811,"")</f>
        <v/>
      </c>
      <c r="AA810" s="1751" t="s">
        <v>2071</v>
      </c>
      <c r="AC810" s="3740"/>
      <c r="AD810" s="169"/>
      <c r="AE810" s="169"/>
      <c r="AF810" s="169"/>
      <c r="AG810" s="169"/>
      <c r="AH810" s="169"/>
      <c r="AI810" s="169"/>
      <c r="AJ810" s="169"/>
      <c r="AK810" s="169"/>
      <c r="AL810" s="169"/>
      <c r="AM810" s="169"/>
      <c r="AN810" s="169"/>
      <c r="AO810" s="169"/>
      <c r="AP810" s="169"/>
      <c r="AQ810" s="169"/>
      <c r="AR810" s="169"/>
      <c r="AS810" s="169"/>
      <c r="AT810" s="169"/>
      <c r="AU810" s="169"/>
      <c r="AV810" s="3741"/>
    </row>
    <row r="811" spans="1:48" ht="12.75" customHeight="1" thickBot="1">
      <c r="A811" s="219">
        <v>802</v>
      </c>
      <c r="B811" s="7145"/>
      <c r="C811" s="1034"/>
      <c r="D811" s="2237" t="s">
        <v>2075</v>
      </c>
      <c r="E811" s="2234"/>
      <c r="F811" s="2234"/>
      <c r="G811" s="2234"/>
      <c r="H811" s="2234"/>
      <c r="I811" s="2234"/>
      <c r="J811" s="2234"/>
      <c r="K811" s="2230" t="s">
        <v>6828</v>
      </c>
      <c r="L811" s="2234"/>
      <c r="M811" s="2234"/>
      <c r="N811" s="2234"/>
      <c r="O811" s="2234"/>
      <c r="P811" s="2234"/>
      <c r="Q811" s="2234"/>
      <c r="R811" s="2234"/>
      <c r="S811" s="2234"/>
      <c r="T811" s="2234"/>
      <c r="U811" s="2234"/>
      <c r="V811" s="2230"/>
      <c r="W811" s="2230"/>
      <c r="X811" s="2231"/>
      <c r="Y811" s="1037"/>
      <c r="Z811" s="2436"/>
      <c r="AA811" s="1751" t="s">
        <v>2071</v>
      </c>
      <c r="AC811" s="3733" t="str">
        <f ca="1">"Tablas!"&amp;ADDRESS(ROW(IF(AG654="",AG655,AG654)),COLUMN(AG654))&amp;":"&amp;ADDRESS(IF(AG654="",ROW(AG655)+COUNTIF(AG655:AG808,"*?"),ROW(AG654)+COUNTIF(AG654:AG808,"*?"))-1,COLUMN(AG654))</f>
        <v>Tablas!$AG$654:$AG$656</v>
      </c>
      <c r="AD811" s="3734"/>
      <c r="AE811" s="3734"/>
      <c r="AF811" s="3734"/>
      <c r="AG811" s="3735"/>
      <c r="AH811" s="3733" t="str">
        <f ca="1">IF(COUNTIF(AL655:AL808,"*?")=0,NA(),"Tablas!"&amp;ADDRESS(ROW(AL655),COLUMN(AL655))&amp;":"&amp;ADDRESS(ROW(AL655)+COUNTIF(AL655:AL808,"*?")-1,COLUMN(AL655)))</f>
        <v>Tablas!$AL$655:$AL$656</v>
      </c>
      <c r="AI811" s="3734"/>
      <c r="AJ811" s="3734"/>
      <c r="AK811" s="3734"/>
      <c r="AL811" s="3735"/>
      <c r="AM811" s="3733" t="e">
        <f ca="1">IF(AQ655="Armas naturales",IF(COUNTIF(AQ656:AQ806,"*?")=0,NA(),"Tablas!"&amp;ADDRESS(ROW(AQ656),COLUMN(AQ656))&amp;":"&amp;ADDRESS(ROW(AQ656)+COUNTIF(AQ656:AQ806,"*?")-1,COLUMN(AQ656))),IF(COUNTIF(AQ655:AQ808,"*?")=0,NA(),"Tablas!"&amp;ADDRESS(ROW(AQ655),COLUMN(AQ655))&amp;":"&amp;ADDRESS(ROW(AQ655)+COUNTIF(AQ655:AQ808,"*?")-1,COLUMN(AQ655))))</f>
        <v>#N/A</v>
      </c>
      <c r="AN811" s="3734"/>
      <c r="AO811" s="3734"/>
      <c r="AP811" s="3734"/>
      <c r="AQ811" s="3735"/>
      <c r="AR811" s="3733" t="e">
        <f ca="1">IF(COUNTIF(AV655:AV808,"*?")=0,NA(),"Tablas!"&amp;ADDRESS(ROW(AV655),COLUMN(AV655))&amp;":"&amp;ADDRESS(ROW(AV655)+COUNTIF(AV655:AV808,"*?")-1,COLUMN(AV655)))</f>
        <v>#N/A</v>
      </c>
      <c r="AS811" s="3734"/>
      <c r="AT811" s="3734"/>
      <c r="AU811" s="3734"/>
      <c r="AV811" s="3736"/>
    </row>
    <row r="812" spans="1:48" ht="12.75" customHeight="1">
      <c r="A812" s="219">
        <v>803</v>
      </c>
      <c r="B812" s="7145"/>
      <c r="C812" s="1034"/>
      <c r="D812" s="2237" t="s">
        <v>2076</v>
      </c>
      <c r="E812" s="2239">
        <f>100-Bono_Fue</f>
        <v>100</v>
      </c>
      <c r="F812" s="2236">
        <v>-20</v>
      </c>
      <c r="G812" s="2236">
        <v>0</v>
      </c>
      <c r="H812" s="2236">
        <v>0</v>
      </c>
      <c r="I812" s="2236" t="s">
        <v>1411</v>
      </c>
      <c r="J812" s="2236" t="s">
        <v>1410</v>
      </c>
      <c r="K812" s="2433" t="s">
        <v>6828</v>
      </c>
      <c r="L812" s="2243" t="str">
        <f>IF(H1103&gt;0,"Conocida","Distinta")</f>
        <v>Distinta</v>
      </c>
      <c r="M812" s="2240">
        <v>16</v>
      </c>
      <c r="N812" s="2240">
        <v>6</v>
      </c>
      <c r="O812" s="2240">
        <v>30</v>
      </c>
      <c r="P812" s="2236"/>
      <c r="Q812" s="2236"/>
      <c r="R812" s="2236" t="s">
        <v>1315</v>
      </c>
      <c r="S812" s="2236" t="s">
        <v>1315</v>
      </c>
      <c r="T812" s="2236" t="s">
        <v>1315</v>
      </c>
      <c r="U812" s="2236"/>
      <c r="V812" s="2433" t="s">
        <v>2077</v>
      </c>
      <c r="W812" s="2234"/>
      <c r="X812" s="2275" t="s">
        <v>1821</v>
      </c>
      <c r="Y812" s="2229">
        <f>Bono_Fue</f>
        <v>0</v>
      </c>
      <c r="Z812" s="2436"/>
      <c r="AA812" s="1751" t="s">
        <v>2071</v>
      </c>
    </row>
    <row r="813" spans="1:48" ht="12.75" customHeight="1">
      <c r="A813" s="219">
        <v>804</v>
      </c>
      <c r="B813" s="7145"/>
      <c r="C813" s="1034"/>
      <c r="D813" s="2237" t="s">
        <v>2078</v>
      </c>
      <c r="E813" s="2239">
        <v>120</v>
      </c>
      <c r="F813" s="2236">
        <v>-80</v>
      </c>
      <c r="G813" s="2236">
        <v>12</v>
      </c>
      <c r="H813" s="2236">
        <v>10</v>
      </c>
      <c r="I813" s="2236" t="s">
        <v>1410</v>
      </c>
      <c r="J813" s="2236" t="s">
        <v>1357</v>
      </c>
      <c r="K813" s="2433" t="s">
        <v>6828</v>
      </c>
      <c r="L813" s="2243" t="str">
        <f>IF(AND(H1104&gt;0,OR(L679="Conocida",L696="Conocida",L716="Conocida")),"Conocida","Distinta")</f>
        <v>Distinta</v>
      </c>
      <c r="M813" s="2240">
        <v>16</v>
      </c>
      <c r="N813" s="2240">
        <v>8</v>
      </c>
      <c r="O813" s="2240">
        <v>25</v>
      </c>
      <c r="P813" s="2236"/>
      <c r="Q813" s="2236"/>
      <c r="R813" s="2236" t="s">
        <v>1315</v>
      </c>
      <c r="S813" s="2236" t="s">
        <v>1315</v>
      </c>
      <c r="T813" s="2236" t="s">
        <v>1315</v>
      </c>
      <c r="U813" s="2236"/>
      <c r="V813" s="2433" t="s">
        <v>2079</v>
      </c>
      <c r="W813" s="2234"/>
      <c r="X813" s="2275" t="s">
        <v>1821</v>
      </c>
      <c r="Y813" s="1037">
        <f>Bono_Fue</f>
        <v>0</v>
      </c>
      <c r="Z813" s="2436"/>
      <c r="AA813" s="1751" t="s">
        <v>2071</v>
      </c>
    </row>
    <row r="814" spans="1:48" ht="12.75" customHeight="1">
      <c r="A814" s="219">
        <v>805</v>
      </c>
      <c r="B814" s="7145"/>
      <c r="C814" s="1034"/>
      <c r="D814" s="2237" t="s">
        <v>2080</v>
      </c>
      <c r="E814" s="2239">
        <f>50+20*U626</f>
        <v>50</v>
      </c>
      <c r="F814" s="2236">
        <v>15</v>
      </c>
      <c r="G814" s="2236">
        <v>4</v>
      </c>
      <c r="H814" s="2236">
        <v>4</v>
      </c>
      <c r="I814" s="2236" t="s">
        <v>1410</v>
      </c>
      <c r="J814" s="2236" t="s">
        <v>1411</v>
      </c>
      <c r="K814" s="2433" t="s">
        <v>6828</v>
      </c>
      <c r="L814" s="2243" t="str">
        <f>IF(OR(H1107&gt;0,H1108&gt;0),"Conocida","Distinta")</f>
        <v>Distinta</v>
      </c>
      <c r="M814" s="2240">
        <v>10</v>
      </c>
      <c r="N814" s="2240">
        <v>0</v>
      </c>
      <c r="O814" s="2240">
        <v>30</v>
      </c>
      <c r="P814" s="2236"/>
      <c r="Q814" s="2236"/>
      <c r="R814" s="2236" t="s">
        <v>1315</v>
      </c>
      <c r="S814" s="2236" t="s">
        <v>1315</v>
      </c>
      <c r="T814" s="2236" t="s">
        <v>1315</v>
      </c>
      <c r="U814" s="2236"/>
      <c r="V814" s="2433" t="str">
        <f>"Alcance ("&amp;IF($U$624&gt;0,25,5)&amp;"m), Presa (FUE "&amp;IF(U623&gt;0,13,11)&amp;"), Invisible ("&amp;IF(U625&gt;0,"ABS","MDF")&amp;"), -"&amp;2+4*U627&amp;" TA"&amp;IF(U628&gt;0,", Imparable","")&amp;", Ver"</f>
        <v>Alcance (5m), Presa (FUE 11), Invisible (MDF), -2 TA, Ver</v>
      </c>
      <c r="W814" s="2234"/>
      <c r="X814" s="2275" t="s">
        <v>8236</v>
      </c>
      <c r="Y814" s="1037">
        <v>0</v>
      </c>
      <c r="Z814" s="2436"/>
      <c r="AA814" s="1751" t="s">
        <v>2071</v>
      </c>
    </row>
    <row r="815" spans="1:48" ht="12.75" customHeight="1">
      <c r="A815" s="219">
        <v>806</v>
      </c>
      <c r="B815" s="7145"/>
      <c r="C815" s="1034"/>
      <c r="D815" s="2237" t="s">
        <v>2081</v>
      </c>
      <c r="E815" s="2239">
        <v>70</v>
      </c>
      <c r="F815" s="2236">
        <v>-30</v>
      </c>
      <c r="G815" s="2236">
        <v>8</v>
      </c>
      <c r="H815" s="2236">
        <v>6</v>
      </c>
      <c r="I815" s="2236" t="s">
        <v>1410</v>
      </c>
      <c r="J815" s="2236" t="s">
        <v>1357</v>
      </c>
      <c r="K815" s="2433" t="s">
        <v>6828</v>
      </c>
      <c r="L815" s="2243" t="str">
        <f>IF(AND(H1109&gt;0,L785="Conocida",OR(L666="Conocida",L671="Conocida",L680="Conocida",L683="Conocida",L685="Conocida",L703="Conocida",L722="Conocida",L723="Conocida",L724="Conocida",L740="Conocida",L741="Conocida",L752="Conocida",L764="Conocida",L770="Conocida")),"Conocida","Distinta")</f>
        <v>Distinta</v>
      </c>
      <c r="M815" s="2240">
        <v>13</v>
      </c>
      <c r="N815" s="2240">
        <v>4</v>
      </c>
      <c r="O815" s="2240">
        <v>35</v>
      </c>
      <c r="P815" s="2236"/>
      <c r="Q815" s="2236"/>
      <c r="R815" s="2236" t="s">
        <v>1315</v>
      </c>
      <c r="S815" s="2236" t="s">
        <v>1315</v>
      </c>
      <c r="T815" s="2236" t="s">
        <v>1315</v>
      </c>
      <c r="U815" s="2236"/>
      <c r="V815" s="2433" t="s">
        <v>2082</v>
      </c>
      <c r="W815" s="2234"/>
      <c r="X815" s="2275" t="s">
        <v>9679</v>
      </c>
      <c r="Y815" s="1037">
        <f>Bono_Fue</f>
        <v>0</v>
      </c>
      <c r="Z815" s="2436"/>
      <c r="AA815" s="1751" t="s">
        <v>2071</v>
      </c>
    </row>
    <row r="816" spans="1:48" ht="12.75" customHeight="1" thickBot="1">
      <c r="A816" s="219">
        <v>807</v>
      </c>
      <c r="B816" s="7145"/>
      <c r="C816" s="1034"/>
      <c r="D816" s="2237" t="s">
        <v>8136</v>
      </c>
      <c r="E816" s="2236">
        <v>0</v>
      </c>
      <c r="F816" s="2236">
        <v>0</v>
      </c>
      <c r="G816" s="2236">
        <v>8</v>
      </c>
      <c r="H816" s="2236">
        <v>6</v>
      </c>
      <c r="I816" s="2236" t="s">
        <v>1411</v>
      </c>
      <c r="J816" s="2236" t="s">
        <v>1315</v>
      </c>
      <c r="K816" s="2433" t="s">
        <v>6828</v>
      </c>
      <c r="L816" s="2243" t="str">
        <f>L815</f>
        <v>Distinta</v>
      </c>
      <c r="M816" s="2240">
        <v>13</v>
      </c>
      <c r="N816" s="2240">
        <v>4</v>
      </c>
      <c r="O816" s="2240">
        <v>35</v>
      </c>
      <c r="P816" s="2236"/>
      <c r="Q816" s="2236"/>
      <c r="R816" s="2236" t="s">
        <v>1315</v>
      </c>
      <c r="S816" s="2236">
        <v>2</v>
      </c>
      <c r="T816" s="2236">
        <v>50</v>
      </c>
      <c r="U816" s="2236">
        <v>10</v>
      </c>
      <c r="V816" s="2433" t="s">
        <v>2082</v>
      </c>
      <c r="W816" s="2234"/>
      <c r="X816" s="2275" t="s">
        <v>9679</v>
      </c>
      <c r="Y816" s="1037">
        <v>0</v>
      </c>
      <c r="Z816" s="2436"/>
      <c r="AA816" s="1751" t="s">
        <v>2071</v>
      </c>
    </row>
    <row r="817" spans="1:48" ht="12.75" customHeight="1">
      <c r="A817" s="219">
        <v>808</v>
      </c>
      <c r="B817" s="7145"/>
      <c r="C817" s="1034"/>
      <c r="D817" s="2237" t="s">
        <v>2083</v>
      </c>
      <c r="E817" s="2236">
        <v>40</v>
      </c>
      <c r="F817" s="2236">
        <v>5</v>
      </c>
      <c r="G817" s="2236">
        <v>5</v>
      </c>
      <c r="H817" s="2236">
        <v>3</v>
      </c>
      <c r="I817" s="2236" t="s">
        <v>1411</v>
      </c>
      <c r="J817" s="2236" t="s">
        <v>1315</v>
      </c>
      <c r="K817" s="2433" t="s">
        <v>6828</v>
      </c>
      <c r="L817" s="2243" t="str">
        <f>IF(AND(H1109&gt;0,L772="Conocida",L705="Conocida"),"Conocida","Distinta")</f>
        <v>Distinta</v>
      </c>
      <c r="M817" s="2240">
        <v>12</v>
      </c>
      <c r="N817" s="2240">
        <v>2</v>
      </c>
      <c r="O817" s="2240">
        <v>35</v>
      </c>
      <c r="P817" s="2236"/>
      <c r="Q817" s="2236"/>
      <c r="R817" s="2236" t="s">
        <v>1315</v>
      </c>
      <c r="S817" s="2236" t="s">
        <v>1315</v>
      </c>
      <c r="T817" s="2236" t="s">
        <v>1315</v>
      </c>
      <c r="U817" s="2236"/>
      <c r="V817" s="2433" t="s">
        <v>2082</v>
      </c>
      <c r="W817" s="2234"/>
      <c r="X817" s="2275" t="s">
        <v>9679</v>
      </c>
      <c r="Y817" s="1037">
        <f>Bono_Fue</f>
        <v>0</v>
      </c>
      <c r="Z817" s="2436"/>
      <c r="AA817" s="1751" t="s">
        <v>2071</v>
      </c>
      <c r="AC817" s="7855" t="s">
        <v>8106</v>
      </c>
      <c r="AD817" s="7853"/>
      <c r="AE817" s="7853"/>
      <c r="AF817" s="7853"/>
      <c r="AG817" s="7853"/>
      <c r="AH817" s="7853"/>
      <c r="AI817" s="7853"/>
      <c r="AJ817" s="7853"/>
      <c r="AK817" s="7853"/>
      <c r="AL817" s="7853"/>
      <c r="AM817" s="7853"/>
      <c r="AN817" s="7853"/>
      <c r="AO817" s="7853"/>
      <c r="AP817" s="7853"/>
      <c r="AQ817" s="7853"/>
      <c r="AR817" s="7853"/>
      <c r="AS817" s="7853"/>
      <c r="AT817" s="7853"/>
      <c r="AU817" s="7853"/>
      <c r="AV817" s="7854"/>
    </row>
    <row r="818" spans="1:48" ht="12.75" customHeight="1">
      <c r="A818" s="219">
        <v>809</v>
      </c>
      <c r="B818" s="7145"/>
      <c r="C818" s="1034"/>
      <c r="D818" s="2237" t="s">
        <v>8137</v>
      </c>
      <c r="E818" s="2236">
        <v>0</v>
      </c>
      <c r="F818" s="2236">
        <v>-20</v>
      </c>
      <c r="G818" s="2236">
        <v>5</v>
      </c>
      <c r="H818" s="2236">
        <v>3</v>
      </c>
      <c r="I818" s="2236" t="s">
        <v>1411</v>
      </c>
      <c r="J818" s="2236" t="s">
        <v>1315</v>
      </c>
      <c r="K818" s="2433" t="s">
        <v>6828</v>
      </c>
      <c r="L818" s="2243" t="str">
        <f>L817</f>
        <v>Distinta</v>
      </c>
      <c r="M818" s="2240">
        <v>12</v>
      </c>
      <c r="N818" s="2240">
        <v>2</v>
      </c>
      <c r="O818" s="2240">
        <v>35</v>
      </c>
      <c r="P818" s="2236"/>
      <c r="Q818" s="2236"/>
      <c r="R818" s="2236" t="s">
        <v>1315</v>
      </c>
      <c r="S818" s="2236">
        <v>2</v>
      </c>
      <c r="T818" s="2236">
        <v>80</v>
      </c>
      <c r="U818" s="2236">
        <v>11</v>
      </c>
      <c r="V818" s="2433" t="s">
        <v>2082</v>
      </c>
      <c r="W818" s="2234"/>
      <c r="X818" s="2275" t="s">
        <v>9679</v>
      </c>
      <c r="Y818" s="1037">
        <v>0</v>
      </c>
      <c r="Z818" s="2436"/>
      <c r="AA818" s="1751" t="s">
        <v>2071</v>
      </c>
      <c r="AC818" s="960">
        <v>1</v>
      </c>
      <c r="AD818" s="2235">
        <v>2</v>
      </c>
      <c r="AE818" s="2235">
        <v>3</v>
      </c>
      <c r="AF818" s="2235">
        <v>4</v>
      </c>
      <c r="AG818" s="2235">
        <v>5</v>
      </c>
      <c r="AH818" s="2235">
        <v>6</v>
      </c>
      <c r="AI818" s="2235">
        <v>7</v>
      </c>
      <c r="AJ818" s="2235">
        <v>8</v>
      </c>
      <c r="AK818" s="2235">
        <v>9</v>
      </c>
      <c r="AL818" s="2235">
        <v>10</v>
      </c>
      <c r="AM818" s="2235">
        <v>11</v>
      </c>
      <c r="AN818" s="2235">
        <v>12</v>
      </c>
      <c r="AO818" s="2235">
        <v>13</v>
      </c>
      <c r="AP818" s="2235">
        <v>14</v>
      </c>
      <c r="AQ818" s="2235">
        <v>15</v>
      </c>
      <c r="AR818" s="2235">
        <v>16</v>
      </c>
      <c r="AS818" s="2235">
        <v>17</v>
      </c>
      <c r="AT818" s="2235">
        <v>18</v>
      </c>
      <c r="AU818" s="2235">
        <v>19</v>
      </c>
      <c r="AV818" s="961">
        <v>20</v>
      </c>
    </row>
    <row r="819" spans="1:48" ht="12.75" customHeight="1" thickBot="1">
      <c r="A819" s="219">
        <v>810</v>
      </c>
      <c r="B819" s="7145"/>
      <c r="C819" s="1034"/>
      <c r="D819" s="2237" t="s">
        <v>8138</v>
      </c>
      <c r="E819" s="2236">
        <v>0</v>
      </c>
      <c r="F819" s="2236">
        <v>-40</v>
      </c>
      <c r="G819" s="2236" t="s">
        <v>1315</v>
      </c>
      <c r="H819" s="2236">
        <v>7</v>
      </c>
      <c r="I819" s="2236" t="s">
        <v>1357</v>
      </c>
      <c r="J819" s="2236" t="s">
        <v>1315</v>
      </c>
      <c r="K819" s="2433" t="s">
        <v>6828</v>
      </c>
      <c r="L819" s="2243" t="str">
        <f>IF(AND(H1109&gt;0,L789="Conocida",OR(L714="Conocida",L715="Conocida",L716="Conocida")),"Conocida","Distinta")</f>
        <v>Distinta</v>
      </c>
      <c r="M819" s="2240">
        <v>15</v>
      </c>
      <c r="N819" s="2240">
        <v>5</v>
      </c>
      <c r="O819" s="2240">
        <v>35</v>
      </c>
      <c r="P819" s="2236"/>
      <c r="Q819" s="2236"/>
      <c r="R819" s="2236" t="s">
        <v>1315</v>
      </c>
      <c r="S819" s="2236">
        <v>10</v>
      </c>
      <c r="T819" s="2236">
        <v>250</v>
      </c>
      <c r="U819" s="2236">
        <v>12</v>
      </c>
      <c r="V819" s="2433" t="s">
        <v>2085</v>
      </c>
      <c r="W819" s="2234"/>
      <c r="X819" s="2275" t="s">
        <v>1821</v>
      </c>
      <c r="Y819" s="1037">
        <v>0</v>
      </c>
      <c r="Z819" s="2436"/>
      <c r="AA819" s="1751" t="s">
        <v>2071</v>
      </c>
      <c r="AC819" s="1238" t="s">
        <v>1300</v>
      </c>
      <c r="AD819" s="1239" t="s">
        <v>8113</v>
      </c>
      <c r="AE819" s="7966" t="s">
        <v>8114</v>
      </c>
      <c r="AF819" s="7966"/>
      <c r="AG819" s="7966"/>
      <c r="AH819" s="7966"/>
      <c r="AI819" s="7966"/>
      <c r="AJ819" s="7966"/>
      <c r="AK819" s="7966"/>
      <c r="AL819" s="7966"/>
      <c r="AM819" s="7966"/>
      <c r="AN819" s="7966"/>
      <c r="AO819" s="7966"/>
      <c r="AP819" s="7966"/>
      <c r="AQ819" s="7966"/>
      <c r="AR819" s="7966"/>
      <c r="AS819" s="7966"/>
      <c r="AT819" s="7966"/>
      <c r="AU819" s="7966"/>
      <c r="AV819" s="7967"/>
    </row>
    <row r="820" spans="1:48" ht="12.75" customHeight="1">
      <c r="A820" s="219">
        <v>811</v>
      </c>
      <c r="B820" s="7145"/>
      <c r="C820" s="1034"/>
      <c r="D820" s="2237" t="s">
        <v>2084</v>
      </c>
      <c r="E820" s="2236">
        <v>60</v>
      </c>
      <c r="F820" s="2236">
        <v>-15</v>
      </c>
      <c r="G820" s="2236" t="s">
        <v>1315</v>
      </c>
      <c r="H820" s="2236">
        <v>7</v>
      </c>
      <c r="I820" s="2236" t="s">
        <v>1357</v>
      </c>
      <c r="J820" s="2236" t="s">
        <v>1315</v>
      </c>
      <c r="K820" s="2433" t="s">
        <v>6828</v>
      </c>
      <c r="L820" s="2243" t="str">
        <f>L819</f>
        <v>Distinta</v>
      </c>
      <c r="M820" s="2240">
        <v>15</v>
      </c>
      <c r="N820" s="2240">
        <v>5</v>
      </c>
      <c r="O820" s="2240">
        <v>35</v>
      </c>
      <c r="P820" s="2236"/>
      <c r="Q820" s="2236"/>
      <c r="R820" s="2236" t="s">
        <v>1315</v>
      </c>
      <c r="S820" s="2236" t="s">
        <v>1315</v>
      </c>
      <c r="T820" s="2236" t="s">
        <v>1315</v>
      </c>
      <c r="U820" s="2236"/>
      <c r="V820" s="2433" t="s">
        <v>2085</v>
      </c>
      <c r="W820" s="2234"/>
      <c r="X820" s="2275" t="s">
        <v>1821</v>
      </c>
      <c r="Y820" s="1037">
        <f>Bono_Fue</f>
        <v>0</v>
      </c>
      <c r="Z820" s="2436"/>
      <c r="AA820" s="1751" t="s">
        <v>2071</v>
      </c>
      <c r="AC820" s="1246" t="str">
        <f>IF(ISNUMBER(FIND("Proyectil",VLOOKUP($D655,Tabla_ArmasyEscudos,8,0))),$D655,"-")</f>
        <v>-</v>
      </c>
      <c r="AD820" s="1249" t="str">
        <f t="shared" ref="AD820:AD843" si="292">"Tablas!"&amp;ADDRESS(ROW(AE820),COLUMN(AE820))&amp;":"&amp;ADDRESS(ROW(AE820),COLUMN(AE820)+AV$818-AE$818-COUNTBLANK(AE820:AV820))</f>
        <v>Tablas!$AE$820:$AS$820</v>
      </c>
      <c r="AE820" s="1243" t="s">
        <v>2054</v>
      </c>
      <c r="AF820" s="2445" t="s">
        <v>8108</v>
      </c>
      <c r="AG820" s="2445" t="s">
        <v>2056</v>
      </c>
      <c r="AH820" s="2445" t="s">
        <v>2058</v>
      </c>
      <c r="AI820" s="2445" t="s">
        <v>2060</v>
      </c>
      <c r="AJ820" s="2445" t="s">
        <v>2062</v>
      </c>
      <c r="AK820" s="2445" t="s">
        <v>2063</v>
      </c>
      <c r="AL820" s="2445" t="s">
        <v>1997</v>
      </c>
      <c r="AM820" s="2445" t="s">
        <v>8110</v>
      </c>
      <c r="AN820" s="2445" t="s">
        <v>8109</v>
      </c>
      <c r="AO820" s="2445" t="s">
        <v>2065</v>
      </c>
      <c r="AP820" s="2445" t="s">
        <v>2067</v>
      </c>
      <c r="AQ820" s="2445" t="s">
        <v>2069</v>
      </c>
      <c r="AR820" s="2445" t="s">
        <v>8111</v>
      </c>
      <c r="AS820" s="2445" t="s">
        <v>8112</v>
      </c>
      <c r="AT820" s="2445" t="str">
        <f>IF(ISNUMBER(FIND("Munición",VLOOKUP($D$655,Tabla_ArmasyEscudos,8,0))),$D$655,IF(ISNUMBER(FIND("Munición",VLOOKUP($D$656,Tabla_ArmasyEscudos,8,0))),$D$656,IF(ISNUMBER(FIND("Munición",VLOOKUP($D$657,Tabla_ArmasyEscudos,8,0))),$D$657,"")))</f>
        <v/>
      </c>
      <c r="AU820" s="2445" t="str">
        <f>IF(AT820&lt;&gt;"",IF(AND($D$656&lt;&gt;AT820,ISNUMBER(FIND("Munición",VLOOKUP($D$656,Tabla_ArmasyEscudos,8,0)))),$D$656,IF(AND($D$657&lt;&gt;AT820,ISNUMBER(FIND("Munición",VLOOKUP($D$657,Tabla_ArmasyEscudos,8,0)))),$D$657,"")),"")</f>
        <v/>
      </c>
      <c r="AV820" s="1242" t="str">
        <f>IF(AND(AU820&lt;&gt;"",$D$657&lt;&gt;AU820,$D$657&lt;&gt;AT820,ISNUMBER(FIND("Munición",VLOOKUP($D$657,Tabla_ArmasyEscudos,8,0)))),$D$657,"")</f>
        <v/>
      </c>
    </row>
    <row r="821" spans="1:48" ht="12.75" customHeight="1">
      <c r="A821" s="219">
        <v>812</v>
      </c>
      <c r="B821" s="7145"/>
      <c r="C821" s="1034"/>
      <c r="D821" s="2237" t="s">
        <v>9615</v>
      </c>
      <c r="E821" s="2236">
        <f>80-Bono_Pod</f>
        <v>80</v>
      </c>
      <c r="F821" s="2236">
        <v>20</v>
      </c>
      <c r="G821" s="2236" t="s">
        <v>1315</v>
      </c>
      <c r="H821" s="2236">
        <v>0</v>
      </c>
      <c r="I821" s="2236" t="s">
        <v>8164</v>
      </c>
      <c r="J821" s="2236" t="s">
        <v>1315</v>
      </c>
      <c r="K821" s="2433" t="s">
        <v>6828</v>
      </c>
      <c r="L821" s="2243" t="str">
        <f>IF($H$1087&gt;0,"Conocida","Distinta")</f>
        <v>Distinta</v>
      </c>
      <c r="M821" s="2240" t="s">
        <v>1315</v>
      </c>
      <c r="N821" s="2240">
        <v>8</v>
      </c>
      <c r="O821" s="2240" t="s">
        <v>8164</v>
      </c>
      <c r="P821" s="2236"/>
      <c r="Q821" s="2236"/>
      <c r="R821" s="2236" t="s">
        <v>1315</v>
      </c>
      <c r="S821" s="2236" t="s">
        <v>1315</v>
      </c>
      <c r="T821" s="2236" t="s">
        <v>1315</v>
      </c>
      <c r="U821" s="2236"/>
      <c r="V821" s="2433" t="s">
        <v>2000</v>
      </c>
      <c r="W821" s="2234"/>
      <c r="X821" s="2275"/>
      <c r="Y821" s="1037">
        <f>Bono_Pod</f>
        <v>0</v>
      </c>
      <c r="Z821" s="2436"/>
      <c r="AA821" s="1751" t="s">
        <v>2071</v>
      </c>
      <c r="AC821" s="1246" t="str">
        <f>IF(ISNUMBER(FIND("Proyectil",VLOOKUP($D656,Tabla_ArmasyEscudos,8,0))),$D656,"-")</f>
        <v>-</v>
      </c>
      <c r="AD821" s="1249" t="str">
        <f t="shared" si="292"/>
        <v>Tablas!$AE$821:$AS$821</v>
      </c>
      <c r="AE821" s="1244" t="s">
        <v>2054</v>
      </c>
      <c r="AF821" s="2445" t="s">
        <v>8108</v>
      </c>
      <c r="AG821" s="2445" t="s">
        <v>2056</v>
      </c>
      <c r="AH821" s="2445" t="s">
        <v>2058</v>
      </c>
      <c r="AI821" s="2445" t="s">
        <v>2060</v>
      </c>
      <c r="AJ821" s="2445" t="s">
        <v>2062</v>
      </c>
      <c r="AK821" s="2445" t="s">
        <v>2063</v>
      </c>
      <c r="AL821" s="2445" t="s">
        <v>1997</v>
      </c>
      <c r="AM821" s="2445" t="s">
        <v>8110</v>
      </c>
      <c r="AN821" s="2445" t="s">
        <v>8109</v>
      </c>
      <c r="AO821" s="2445" t="s">
        <v>2065</v>
      </c>
      <c r="AP821" s="2445" t="s">
        <v>2067</v>
      </c>
      <c r="AQ821" s="2445" t="s">
        <v>2069</v>
      </c>
      <c r="AR821" s="2445" t="s">
        <v>8111</v>
      </c>
      <c r="AS821" s="2445" t="s">
        <v>8112</v>
      </c>
      <c r="AT821" s="2445" t="str">
        <f>IF(ISNUMBER(FIND("Munición",VLOOKUP($D$655,Tabla_ArmasyEscudos,8,0))),$D$655,IF(ISNUMBER(FIND("Munición",VLOOKUP($D$656,Tabla_ArmasyEscudos,8,0))),$D$656,IF(ISNUMBER(FIND("Munición",VLOOKUP($D$657,Tabla_ArmasyEscudos,8,0))),$D$657,"")))</f>
        <v/>
      </c>
      <c r="AU821" s="2445" t="str">
        <f>IF(AT821&lt;&gt;"",IF(AND($D$656&lt;&gt;AT821,ISNUMBER(FIND("Munición",VLOOKUP($D$656,Tabla_ArmasyEscudos,8,0)))),$D$656,IF(AND($D$657&lt;&gt;AT821,ISNUMBER(FIND("Munición",VLOOKUP($D$657,Tabla_ArmasyEscudos,8,0)))),$D$657,"")),"")</f>
        <v/>
      </c>
      <c r="AV821" s="1242" t="str">
        <f>IF(AND(AU821&lt;&gt;"",$D$657&lt;&gt;AU821,$D$657&lt;&gt;AT821,ISNUMBER(FIND("Munición",VLOOKUP($D$657,Tabla_ArmasyEscudos,8,0)))),$D$657,"")</f>
        <v/>
      </c>
    </row>
    <row r="822" spans="1:48" ht="12.75" customHeight="1">
      <c r="A822" s="219">
        <v>813</v>
      </c>
      <c r="B822" s="7145"/>
      <c r="C822" s="1034"/>
      <c r="D822" s="2237" t="s">
        <v>9597</v>
      </c>
      <c r="E822" s="2236">
        <f>60-10</f>
        <v>50</v>
      </c>
      <c r="F822" s="2236">
        <v>-10</v>
      </c>
      <c r="G822" s="2236">
        <v>0</v>
      </c>
      <c r="H822" s="2236">
        <v>0</v>
      </c>
      <c r="I822" s="2236" t="s">
        <v>1357</v>
      </c>
      <c r="J822" s="2236" t="s">
        <v>1315</v>
      </c>
      <c r="K822" s="2433" t="s">
        <v>6828</v>
      </c>
      <c r="L822" s="2567" t="str">
        <f>IF(AND(VirgoAprendido,OR($H1110&gt;0,ISNUMBER(SEARCH($D822&amp;",",Armas_Conocidas)))),"Conocida","Distinta")</f>
        <v>Distinta</v>
      </c>
      <c r="M822" s="2240">
        <v>0</v>
      </c>
      <c r="N822" s="2240">
        <v>2</v>
      </c>
      <c r="O822" s="2240">
        <f>Presencia_final</f>
        <v>30</v>
      </c>
      <c r="P822" s="2236"/>
      <c r="Q822" s="2236"/>
      <c r="R822" s="2236" t="s">
        <v>1315</v>
      </c>
      <c r="S822" s="2236" t="s">
        <v>1315</v>
      </c>
      <c r="T822" s="2236">
        <f>2*Principal!K52</f>
        <v>0</v>
      </c>
      <c r="U822" s="2236"/>
      <c r="V822" s="2433" t="str">
        <f>"Alcance "&amp;2*Presencia_final&amp;"m, Fascinación, Ver"</f>
        <v>Alcance 60m, Fascinación, Ver</v>
      </c>
      <c r="W822" s="2234"/>
      <c r="X822" s="2275" t="s">
        <v>9679</v>
      </c>
      <c r="Y822" s="1037">
        <v>0</v>
      </c>
      <c r="Z822" s="2436"/>
      <c r="AA822" s="1751" t="s">
        <v>2071</v>
      </c>
      <c r="AC822" s="1246" t="str">
        <f>IF(ISNUMBER(FIND("Proyectil",VLOOKUP($D657,Tabla_ArmasyEscudos,8,0))),$D657,"-")</f>
        <v>-</v>
      </c>
      <c r="AD822" s="1249" t="str">
        <f t="shared" si="292"/>
        <v>Tablas!$AE$822:$AS$822</v>
      </c>
      <c r="AE822" s="1244" t="s">
        <v>2054</v>
      </c>
      <c r="AF822" s="2445" t="s">
        <v>8108</v>
      </c>
      <c r="AG822" s="2445" t="s">
        <v>2056</v>
      </c>
      <c r="AH822" s="2445" t="s">
        <v>2058</v>
      </c>
      <c r="AI822" s="2445" t="s">
        <v>2060</v>
      </c>
      <c r="AJ822" s="2445" t="s">
        <v>2062</v>
      </c>
      <c r="AK822" s="2445" t="s">
        <v>2063</v>
      </c>
      <c r="AL822" s="2445" t="s">
        <v>1997</v>
      </c>
      <c r="AM822" s="2445" t="s">
        <v>8110</v>
      </c>
      <c r="AN822" s="2445" t="s">
        <v>8109</v>
      </c>
      <c r="AO822" s="2445" t="s">
        <v>2065</v>
      </c>
      <c r="AP822" s="2445" t="s">
        <v>2067</v>
      </c>
      <c r="AQ822" s="2445" t="s">
        <v>2069</v>
      </c>
      <c r="AR822" s="2445" t="s">
        <v>8111</v>
      </c>
      <c r="AS822" s="2445" t="s">
        <v>8112</v>
      </c>
      <c r="AT822" s="2445" t="str">
        <f>IF(ISNUMBER(FIND("Munición",VLOOKUP($D$655,Tabla_ArmasyEscudos,8,0))),$D$655,IF(ISNUMBER(FIND("Munición",VLOOKUP($D$656,Tabla_ArmasyEscudos,8,0))),$D$656,IF(ISNUMBER(FIND("Munición",VLOOKUP($D$657,Tabla_ArmasyEscudos,8,0))),$D$657,"")))</f>
        <v/>
      </c>
      <c r="AU822" s="2445" t="str">
        <f>IF(AT822&lt;&gt;"",IF(AND($D$656&lt;&gt;AT822,ISNUMBER(FIND("Munición",VLOOKUP($D$656,Tabla_ArmasyEscudos,8,0)))),$D$656,IF(AND($D$657&lt;&gt;AT822,ISNUMBER(FIND("Munición",VLOOKUP($D$657,Tabla_ArmasyEscudos,8,0)))),$D$657,"")),"")</f>
        <v/>
      </c>
      <c r="AV822" s="1242" t="str">
        <f>IF(AND(AU822&lt;&gt;"",$D$657&lt;&gt;AU822,$D$657&lt;&gt;AT822,ISNUMBER(FIND("Munición",VLOOKUP($D$657,Tabla_ArmasyEscudos,8,0)))),$D$657,"")</f>
        <v/>
      </c>
    </row>
    <row r="823" spans="1:48" ht="12.75" customHeight="1">
      <c r="A823" s="219">
        <v>814</v>
      </c>
      <c r="B823" s="7145"/>
      <c r="C823" s="1034"/>
      <c r="D823" s="2237" t="s">
        <v>9598</v>
      </c>
      <c r="E823" s="2236">
        <f>80-10</f>
        <v>70</v>
      </c>
      <c r="F823" s="2236">
        <v>-10</v>
      </c>
      <c r="G823" s="2236">
        <v>0</v>
      </c>
      <c r="H823" s="2236">
        <v>0</v>
      </c>
      <c r="I823" s="2236" t="s">
        <v>1357</v>
      </c>
      <c r="J823" s="2236" t="s">
        <v>1315</v>
      </c>
      <c r="K823" s="2433" t="s">
        <v>6828</v>
      </c>
      <c r="L823" s="2567" t="str">
        <f>IF(AND(VirgoAprendido,OR($H1111&gt;0,ISNUMBER(SEARCH($D823&amp;",",Armas_Conocidas)))),"Conocida","Distinta")</f>
        <v>Distinta</v>
      </c>
      <c r="M823" s="2240">
        <v>0</v>
      </c>
      <c r="N823" s="2240">
        <v>2</v>
      </c>
      <c r="O823" s="2240">
        <f>Presencia_final</f>
        <v>30</v>
      </c>
      <c r="P823" s="2236"/>
      <c r="Q823" s="2236"/>
      <c r="R823" s="2236" t="s">
        <v>1315</v>
      </c>
      <c r="S823" s="2236" t="s">
        <v>1315</v>
      </c>
      <c r="T823" s="2236">
        <f>2*Principal!K53</f>
        <v>0</v>
      </c>
      <c r="U823" s="2236"/>
      <c r="V823" s="2433" t="str">
        <f>"Alcance "&amp;2*Presencia_final&amp;"m, Ver"</f>
        <v>Alcance 60m, Ver</v>
      </c>
      <c r="W823" s="2234"/>
      <c r="X823" s="2275" t="s">
        <v>9679</v>
      </c>
      <c r="Y823" s="1037">
        <v>0</v>
      </c>
      <c r="Z823" s="2436"/>
      <c r="AA823" s="1751" t="s">
        <v>2071</v>
      </c>
      <c r="AC823" s="1246" t="s">
        <v>1770</v>
      </c>
      <c r="AD823" s="1249" t="str">
        <f t="shared" ca="1" si="292"/>
        <v>Tablas!$AE$823:$AE$823</v>
      </c>
      <c r="AE823" s="1244" t="s">
        <v>8349</v>
      </c>
      <c r="AF823" s="2445" t="str">
        <f ca="1">AF848</f>
        <v/>
      </c>
      <c r="AG823" s="2445" t="str">
        <f ca="1">AF849</f>
        <v/>
      </c>
      <c r="AH823" s="2445" t="str">
        <f ca="1">AF850</f>
        <v/>
      </c>
      <c r="AI823" s="2445" t="str">
        <f ca="1">AF851</f>
        <v/>
      </c>
      <c r="AJ823" s="2445" t="str">
        <f ca="1">AF852</f>
        <v/>
      </c>
      <c r="AK823" s="2445" t="str">
        <f ca="1">AF853</f>
        <v/>
      </c>
      <c r="AL823" s="2445" t="str">
        <f ca="1">AF854</f>
        <v/>
      </c>
      <c r="AM823" s="2445" t="str">
        <f ca="1">AF855</f>
        <v/>
      </c>
      <c r="AN823" s="2445" t="str">
        <f ca="1">AF856</f>
        <v/>
      </c>
      <c r="AO823" s="2445" t="str">
        <f ca="1">AF857</f>
        <v/>
      </c>
      <c r="AP823" s="2445"/>
      <c r="AQ823" s="2445"/>
      <c r="AR823" s="2445"/>
      <c r="AS823" s="2445"/>
      <c r="AT823" s="2445"/>
      <c r="AU823" s="2445"/>
      <c r="AV823" s="1242"/>
    </row>
    <row r="824" spans="1:48" ht="12.75" customHeight="1">
      <c r="A824" s="219">
        <v>815</v>
      </c>
      <c r="B824" s="7145"/>
      <c r="C824" s="1034"/>
      <c r="D824" s="2237" t="s">
        <v>9599</v>
      </c>
      <c r="E824" s="2236">
        <f>60-10</f>
        <v>50</v>
      </c>
      <c r="F824" s="2236">
        <v>-10</v>
      </c>
      <c r="G824" s="2236">
        <v>0</v>
      </c>
      <c r="H824" s="2236">
        <v>0</v>
      </c>
      <c r="I824" s="2236" t="s">
        <v>1357</v>
      </c>
      <c r="J824" s="2236" t="s">
        <v>1315</v>
      </c>
      <c r="K824" s="2433" t="s">
        <v>6828</v>
      </c>
      <c r="L824" s="2567" t="str">
        <f>IF(AND(VirgoAprendido,OR($H1112&gt;0,ISNUMBER(SEARCH($D824&amp;",",Armas_Conocidas)))),"Conocida","Distinta")</f>
        <v>Distinta</v>
      </c>
      <c r="M824" s="2240">
        <v>0</v>
      </c>
      <c r="N824" s="2240">
        <v>2</v>
      </c>
      <c r="O824" s="2240">
        <f>Presencia_final</f>
        <v>30</v>
      </c>
      <c r="P824" s="2236"/>
      <c r="Q824" s="2236"/>
      <c r="R824" s="2236" t="s">
        <v>1315</v>
      </c>
      <c r="S824" s="2236" t="s">
        <v>1315</v>
      </c>
      <c r="T824" s="2236">
        <f>2*Principal!K54</f>
        <v>0</v>
      </c>
      <c r="U824" s="2236"/>
      <c r="V824" s="2433" t="str">
        <f>"Alcance "&amp;2*Presencia_final&amp;"m, Resonancia mejorada, Ver"</f>
        <v>Alcance 60m, Resonancia mejorada, Ver</v>
      </c>
      <c r="W824" s="2234"/>
      <c r="X824" s="2275" t="s">
        <v>9679</v>
      </c>
      <c r="Y824" s="1037">
        <v>0</v>
      </c>
      <c r="Z824" s="2436"/>
      <c r="AA824" s="1751" t="s">
        <v>2071</v>
      </c>
      <c r="AC824" s="1246" t="s">
        <v>8107</v>
      </c>
      <c r="AD824" s="1249" t="str">
        <f t="shared" si="292"/>
        <v>Tablas!$AE$824:$AE$824</v>
      </c>
      <c r="AE824" s="1245" t="s">
        <v>2054</v>
      </c>
      <c r="AF824" s="2445" t="str">
        <f>IF(ISNUMBER(FIND("Munición",VLOOKUP($D$655,Tabla_ArmasyEscudos,8,0))),$D$655,IF(ISNUMBER(FIND("Munición",VLOOKUP($D$656,Tabla_ArmasyEscudos,8,0))),$D$656,IF(ISNUMBER(FIND("Munición",VLOOKUP($D$657,Tabla_ArmasyEscudos,8,0))),$D$657,"")))</f>
        <v/>
      </c>
      <c r="AG824" s="2445" t="str">
        <f>IF(AF824&lt;&gt;"",IF(AND($D$656&lt;&gt;AF824,ISNUMBER(FIND("Munición",VLOOKUP($D$656,Tabla_ArmasyEscudos,8,0)))),$D$656,IF(AND($D$657&lt;&gt;AF824,ISNUMBER(FIND("Munición",VLOOKUP($D$657,Tabla_ArmasyEscudos,8,0)))),$D$657,"")),"")</f>
        <v/>
      </c>
      <c r="AH824" s="2445" t="str">
        <f>IF(AND(AG824&lt;&gt;"",$D$657&lt;&gt;AG824,$D$657&lt;&gt;AF824,ISNUMBER(FIND("Munición",VLOOKUP($D$657,Tabla_ArmasyEscudos,8,0)))),$D$657,"")</f>
        <v/>
      </c>
      <c r="AI824" s="304"/>
      <c r="AJ824" s="304"/>
      <c r="AK824" s="304"/>
      <c r="AL824" s="2446"/>
      <c r="AM824" s="2446"/>
      <c r="AN824" s="2446"/>
      <c r="AO824" s="304"/>
      <c r="AP824" s="304"/>
      <c r="AQ824" s="304"/>
      <c r="AR824" s="304"/>
      <c r="AS824" s="304"/>
      <c r="AT824" s="304"/>
      <c r="AU824" s="304"/>
      <c r="AV824" s="571"/>
    </row>
    <row r="825" spans="1:48" ht="12.75" customHeight="1">
      <c r="A825" s="219">
        <v>816</v>
      </c>
      <c r="B825" s="7145"/>
      <c r="C825" s="1034"/>
      <c r="D825" s="2237" t="s">
        <v>9600</v>
      </c>
      <c r="E825" s="2236">
        <f>60-10</f>
        <v>50</v>
      </c>
      <c r="F825" s="2236">
        <v>-10</v>
      </c>
      <c r="G825" s="2236">
        <v>0</v>
      </c>
      <c r="H825" s="2236">
        <v>0</v>
      </c>
      <c r="I825" s="2236" t="s">
        <v>1357</v>
      </c>
      <c r="J825" s="2236" t="s">
        <v>1315</v>
      </c>
      <c r="K825" s="2433" t="s">
        <v>6828</v>
      </c>
      <c r="L825" s="2567" t="str">
        <f>IF(AND(VirgoAprendido,OR($H1113&gt;0,ISNUMBER(SEARCH($D825&amp;",",Armas_Conocidas)))),"Conocida","Distinta")</f>
        <v>Distinta</v>
      </c>
      <c r="M825" s="2240">
        <v>0</v>
      </c>
      <c r="N825" s="2240">
        <v>2</v>
      </c>
      <c r="O825" s="2240">
        <f>Presencia_final</f>
        <v>30</v>
      </c>
      <c r="P825" s="2236"/>
      <c r="Q825" s="2236"/>
      <c r="R825" s="2236" t="s">
        <v>1315</v>
      </c>
      <c r="S825" s="2236" t="s">
        <v>1315</v>
      </c>
      <c r="T825" s="2236">
        <f>2*Principal!K55</f>
        <v>0</v>
      </c>
      <c r="U825" s="2236"/>
      <c r="V825" s="2433" t="str">
        <f>"Alcance "&amp;2*Presencia_final&amp;"m, Impacto FUE 12, Ver"</f>
        <v>Alcance 60m, Impacto FUE 12, Ver</v>
      </c>
      <c r="W825" s="2234"/>
      <c r="X825" s="2275" t="s">
        <v>9679</v>
      </c>
      <c r="Y825" s="1037">
        <v>0</v>
      </c>
      <c r="Z825" s="2436"/>
      <c r="AA825" s="1751" t="s">
        <v>2071</v>
      </c>
      <c r="AC825" s="1246" t="s">
        <v>2041</v>
      </c>
      <c r="AD825" s="1249" t="str">
        <f t="shared" si="292"/>
        <v>Tablas!$AE$825:$AG$825</v>
      </c>
      <c r="AE825" s="1245" t="s">
        <v>2060</v>
      </c>
      <c r="AF825" s="2446" t="s">
        <v>2062</v>
      </c>
      <c r="AG825" s="2446" t="s">
        <v>2063</v>
      </c>
      <c r="AH825" s="2445" t="str">
        <f>IF(ISNUMBER(FIND("Munición",VLOOKUP($D$655,Tabla_ArmasyEscudos,8,0))),$D$655,IF(ISNUMBER(FIND("Munición",VLOOKUP($D$656,Tabla_ArmasyEscudos,8,0))),$D$656,IF(ISNUMBER(FIND("Munición",VLOOKUP($D$657,Tabla_ArmasyEscudos,8,0))),$D$657,"")))</f>
        <v/>
      </c>
      <c r="AI825" s="2445" t="str">
        <f>IF(AH825&lt;&gt;"",IF(AND($D$656&lt;&gt;AH825,ISNUMBER(FIND("Munición",VLOOKUP($D$656,Tabla_ArmasyEscudos,8,0)))),$D$656,IF(AND($D$657&lt;&gt;AH825,ISNUMBER(FIND("Munición",VLOOKUP($D$657,Tabla_ArmasyEscudos,8,0)))),$D$657,"")),"")</f>
        <v/>
      </c>
      <c r="AJ825" s="2445" t="str">
        <f>IF(AND(AI825&lt;&gt;"",$D$657&lt;&gt;AI825,$D$657&lt;&gt;AH825,ISNUMBER(FIND("Munición",VLOOKUP($D$657,Tabla_ArmasyEscudos,8,0)))),$D$657,"")</f>
        <v/>
      </c>
      <c r="AK825" s="304"/>
      <c r="AL825" s="2446"/>
      <c r="AM825" s="2446"/>
      <c r="AN825" s="2446"/>
      <c r="AO825" s="304"/>
      <c r="AP825" s="304"/>
      <c r="AQ825" s="304"/>
      <c r="AR825" s="304"/>
      <c r="AS825" s="304"/>
      <c r="AT825" s="304"/>
      <c r="AU825" s="304"/>
      <c r="AV825" s="571"/>
    </row>
    <row r="826" spans="1:48" ht="12.75" customHeight="1">
      <c r="A826" s="219">
        <v>817</v>
      </c>
      <c r="B826" s="7145"/>
      <c r="C826" s="1034"/>
      <c r="D826" s="2237" t="s">
        <v>2086</v>
      </c>
      <c r="E826" s="2236">
        <f>60-10</f>
        <v>50</v>
      </c>
      <c r="F826" s="2236">
        <v>0</v>
      </c>
      <c r="G826" s="2236">
        <v>5</v>
      </c>
      <c r="H826" s="2236">
        <v>5</v>
      </c>
      <c r="I826" s="2236" t="s">
        <v>2087</v>
      </c>
      <c r="J826" s="2236" t="s">
        <v>1315</v>
      </c>
      <c r="K826" s="2433" t="s">
        <v>6828</v>
      </c>
      <c r="L826" s="2243" t="str">
        <f>IF(SUMPRODUCT(--ISNUMBER(SEARCH($D826,INDEX(Tabla_ArsMagnus,,1))),INDEX(Tabla_ArsMagnus,,4))&gt;0,"Conocida","Distinta")</f>
        <v>Distinta</v>
      </c>
      <c r="M826" s="2240">
        <v>15</v>
      </c>
      <c r="N826" s="2240">
        <v>2</v>
      </c>
      <c r="O826" s="2240">
        <f>Presencia_final</f>
        <v>30</v>
      </c>
      <c r="P826" s="2236"/>
      <c r="Q826" s="2236"/>
      <c r="R826" s="2236" t="s">
        <v>1315</v>
      </c>
      <c r="S826" s="2236" t="s">
        <v>1315</v>
      </c>
      <c r="T826" s="2236" t="s">
        <v>1315</v>
      </c>
      <c r="U826" s="2236"/>
      <c r="V826" s="2433" t="s">
        <v>2088</v>
      </c>
      <c r="W826" s="2234"/>
      <c r="X826" s="2275" t="s">
        <v>9679</v>
      </c>
      <c r="Y826" s="1037">
        <f>Bono_Fue</f>
        <v>0</v>
      </c>
      <c r="Z826" s="2436"/>
      <c r="AA826" s="1751" t="s">
        <v>2071</v>
      </c>
      <c r="AC826" s="1246" t="s">
        <v>2043</v>
      </c>
      <c r="AD826" s="1249" t="str">
        <f t="shared" si="292"/>
        <v>Tablas!$AE$826:$AG$826</v>
      </c>
      <c r="AE826" s="1245" t="s">
        <v>2060</v>
      </c>
      <c r="AF826" s="2446" t="s">
        <v>2062</v>
      </c>
      <c r="AG826" s="2446" t="s">
        <v>2063</v>
      </c>
      <c r="AH826" s="2445" t="str">
        <f>IF(ISNUMBER(FIND("Munición",VLOOKUP($D$655,Tabla_ArmasyEscudos,8,0))),$D$655,IF(ISNUMBER(FIND("Munición",VLOOKUP($D$656,Tabla_ArmasyEscudos,8,0))),$D$656,IF(ISNUMBER(FIND("Munición",VLOOKUP($D$657,Tabla_ArmasyEscudos,8,0))),$D$657,"")))</f>
        <v/>
      </c>
      <c r="AI826" s="2445" t="str">
        <f>IF(AH826&lt;&gt;"",IF(AND($D$656&lt;&gt;AH826,ISNUMBER(FIND("Munición",VLOOKUP($D$656,Tabla_ArmasyEscudos,8,0)))),$D$656,IF(AND($D$657&lt;&gt;AH826,ISNUMBER(FIND("Munición",VLOOKUP($D$657,Tabla_ArmasyEscudos,8,0)))),$D$657,"")),"")</f>
        <v/>
      </c>
      <c r="AJ826" s="2445" t="str">
        <f>IF(AND(AI826&lt;&gt;"",$D$657&lt;&gt;AI826,$D$657&lt;&gt;AH826,ISNUMBER(FIND("Munición",VLOOKUP($D$657,Tabla_ArmasyEscudos,8,0)))),$D$657,"")</f>
        <v/>
      </c>
      <c r="AK826" s="304"/>
      <c r="AL826" s="2446"/>
      <c r="AM826" s="2446"/>
      <c r="AN826" s="2446"/>
      <c r="AO826" s="304"/>
      <c r="AP826" s="304"/>
      <c r="AQ826" s="304"/>
      <c r="AR826" s="304"/>
      <c r="AS826" s="304"/>
      <c r="AT826" s="304"/>
      <c r="AU826" s="304"/>
      <c r="AV826" s="571"/>
    </row>
    <row r="827" spans="1:48" ht="12.75" customHeight="1">
      <c r="A827" s="219">
        <v>818</v>
      </c>
      <c r="B827" s="7145"/>
      <c r="C827" s="1034"/>
      <c r="D827" s="2237" t="s">
        <v>6652</v>
      </c>
      <c r="E827" s="2236">
        <v>50</v>
      </c>
      <c r="F827" s="2236">
        <v>0</v>
      </c>
      <c r="G827" s="2236">
        <v>5</v>
      </c>
      <c r="H827" s="2236">
        <v>5</v>
      </c>
      <c r="I827" s="2236" t="s">
        <v>1410</v>
      </c>
      <c r="J827" s="2236" t="s">
        <v>1411</v>
      </c>
      <c r="K827" s="2433" t="s">
        <v>6828</v>
      </c>
      <c r="L827" s="2243" t="str">
        <f>IF(AND(H1115&gt;0,OR(L683="Conocida",L722="Conocida"),L707="Conocida"),"Conocida","Distinta")</f>
        <v>Distinta</v>
      </c>
      <c r="M827" s="2240">
        <v>13</v>
      </c>
      <c r="N827" s="2240">
        <v>2</v>
      </c>
      <c r="O827" s="2240">
        <v>35</v>
      </c>
      <c r="P827" s="2236"/>
      <c r="Q827" s="2236"/>
      <c r="R827" s="2236" t="s">
        <v>1315</v>
      </c>
      <c r="S827" s="2236" t="s">
        <v>1315</v>
      </c>
      <c r="T827" s="2236" t="s">
        <v>1315</v>
      </c>
      <c r="U827" s="2236"/>
      <c r="V827" s="2433" t="s">
        <v>1315</v>
      </c>
      <c r="W827" s="2234"/>
      <c r="X827" s="2275" t="s">
        <v>9679</v>
      </c>
      <c r="Y827" s="1037">
        <f>Bono_Fue</f>
        <v>0</v>
      </c>
      <c r="Z827" s="2436"/>
      <c r="AA827" s="1751" t="s">
        <v>2071</v>
      </c>
      <c r="AC827" s="1246" t="s">
        <v>6560</v>
      </c>
      <c r="AD827" s="1249" t="str">
        <f t="shared" si="292"/>
        <v>Tablas!$AE$827:$AF$827</v>
      </c>
      <c r="AE827" s="1245" t="s">
        <v>8108</v>
      </c>
      <c r="AF827" s="2446" t="s">
        <v>8110</v>
      </c>
      <c r="AG827" s="2445" t="str">
        <f>IF(ISNUMBER(FIND("Munición",VLOOKUP($D$655,Tabla_ArmasyEscudos,8,0))),$D$655,IF(ISNUMBER(FIND("Munición",VLOOKUP($D$656,Tabla_ArmasyEscudos,8,0))),$D$656,IF(ISNUMBER(FIND("Munición",VLOOKUP($D$657,Tabla_ArmasyEscudos,8,0))),$D$657,"")))</f>
        <v/>
      </c>
      <c r="AH827" s="2445" t="str">
        <f>IF(AG827&lt;&gt;"",IF(AND($D$656&lt;&gt;AG827,ISNUMBER(FIND("Munición",VLOOKUP($D$656,Tabla_ArmasyEscudos,8,0)))),$D$656,IF(AND($D$657&lt;&gt;AG827,ISNUMBER(FIND("Munición",VLOOKUP($D$657,Tabla_ArmasyEscudos,8,0)))),$D$657,"")),"")</f>
        <v/>
      </c>
      <c r="AI827" s="2445" t="str">
        <f>IF(AND(AH827&lt;&gt;"",$D$657&lt;&gt;AH827,$D$657&lt;&gt;AG827,ISNUMBER(FIND("Munición",VLOOKUP($D$657,Tabla_ArmasyEscudos,8,0)))),$D$657,"")</f>
        <v/>
      </c>
      <c r="AJ827" s="304"/>
      <c r="AK827" s="304"/>
      <c r="AL827" s="2446"/>
      <c r="AM827" s="2446"/>
      <c r="AN827" s="2446"/>
      <c r="AO827" s="304"/>
      <c r="AP827" s="304"/>
      <c r="AQ827" s="304"/>
      <c r="AR827" s="304"/>
      <c r="AS827" s="304"/>
      <c r="AT827" s="304"/>
      <c r="AU827" s="304"/>
      <c r="AV827" s="571"/>
    </row>
    <row r="828" spans="1:48" ht="12.75" customHeight="1">
      <c r="A828" s="219">
        <v>819</v>
      </c>
      <c r="B828" s="7145"/>
      <c r="C828" s="1034"/>
      <c r="D828" s="2237" t="s">
        <v>6653</v>
      </c>
      <c r="E828" s="2236">
        <v>40</v>
      </c>
      <c r="F828" s="2236">
        <v>-10</v>
      </c>
      <c r="G828" s="2236">
        <v>5</v>
      </c>
      <c r="H828" s="2236">
        <v>5</v>
      </c>
      <c r="I828" s="2236" t="s">
        <v>1410</v>
      </c>
      <c r="J828" s="2236" t="s">
        <v>1411</v>
      </c>
      <c r="K828" s="2433" t="s">
        <v>6828</v>
      </c>
      <c r="L828" s="2243" t="str">
        <f>L827</f>
        <v>Distinta</v>
      </c>
      <c r="M828" s="2240">
        <v>13</v>
      </c>
      <c r="N828" s="2240">
        <v>2</v>
      </c>
      <c r="O828" s="2240">
        <v>35</v>
      </c>
      <c r="P828" s="2236"/>
      <c r="Q828" s="2236"/>
      <c r="R828" s="2236" t="s">
        <v>1315</v>
      </c>
      <c r="S828" s="2236" t="s">
        <v>1315</v>
      </c>
      <c r="T828" s="2236" t="s">
        <v>1315</v>
      </c>
      <c r="U828" s="2236"/>
      <c r="V828" s="2433" t="s">
        <v>8213</v>
      </c>
      <c r="W828" s="2234"/>
      <c r="X828" s="2275" t="s">
        <v>9679</v>
      </c>
      <c r="Y828" s="1037">
        <f>Bono_Fue</f>
        <v>0</v>
      </c>
      <c r="Z828" s="2436"/>
      <c r="AA828" s="1751" t="s">
        <v>2071</v>
      </c>
      <c r="AC828" s="1246" t="s">
        <v>2044</v>
      </c>
      <c r="AD828" s="1249" t="str">
        <f t="shared" si="292"/>
        <v>Tablas!$AE$828:$AG$828</v>
      </c>
      <c r="AE828" s="1245" t="s">
        <v>2060</v>
      </c>
      <c r="AF828" s="2446" t="s">
        <v>2062</v>
      </c>
      <c r="AG828" s="2446" t="s">
        <v>2063</v>
      </c>
      <c r="AH828" s="2445" t="str">
        <f>IF(ISNUMBER(FIND("Munición",VLOOKUP($D$655,Tabla_ArmasyEscudos,8,0))),$D$655,IF(ISNUMBER(FIND("Munición",VLOOKUP($D$656,Tabla_ArmasyEscudos,8,0))),$D$656,IF(ISNUMBER(FIND("Munición",VLOOKUP($D$657,Tabla_ArmasyEscudos,8,0))),$D$657,"")))</f>
        <v/>
      </c>
      <c r="AI828" s="2445" t="str">
        <f>IF(AH828&lt;&gt;"",IF(AND($D$656&lt;&gt;AH828,ISNUMBER(FIND("Munición",VLOOKUP($D$656,Tabla_ArmasyEscudos,8,0)))),$D$656,IF(AND($D$657&lt;&gt;AH828,ISNUMBER(FIND("Munición",VLOOKUP($D$657,Tabla_ArmasyEscudos,8,0)))),$D$657,"")),"")</f>
        <v/>
      </c>
      <c r="AJ828" s="2445" t="str">
        <f>IF(AND(AI828&lt;&gt;"",$D$657&lt;&gt;AI828,$D$657&lt;&gt;AH828,ISNUMBER(FIND("Munición",VLOOKUP($D$657,Tabla_ArmasyEscudos,8,0)))),$D$657,"")</f>
        <v/>
      </c>
      <c r="AK828" s="304"/>
      <c r="AL828" s="2446"/>
      <c r="AM828" s="2446"/>
      <c r="AN828" s="2446"/>
      <c r="AO828" s="304"/>
      <c r="AP828" s="304"/>
      <c r="AQ828" s="304"/>
      <c r="AR828" s="304"/>
      <c r="AS828" s="304"/>
      <c r="AT828" s="304"/>
      <c r="AU828" s="304"/>
      <c r="AV828" s="571"/>
    </row>
    <row r="829" spans="1:48" ht="12.75" customHeight="1">
      <c r="A829" s="219">
        <v>820</v>
      </c>
      <c r="B829" s="7145"/>
      <c r="C829" s="1034"/>
      <c r="D829" s="2237" t="s">
        <v>2089</v>
      </c>
      <c r="E829" s="2236">
        <f>50-10-IF(Ki!Q38&gt;0,10,0)+50*V615</f>
        <v>40</v>
      </c>
      <c r="F829" s="2236">
        <v>10</v>
      </c>
      <c r="G829" s="2236">
        <v>4</v>
      </c>
      <c r="H829" s="2236">
        <v>4</v>
      </c>
      <c r="I829" s="2236" t="s">
        <v>1411</v>
      </c>
      <c r="J829" s="2236" t="s">
        <v>1357</v>
      </c>
      <c r="K829" s="2433" t="s">
        <v>6828</v>
      </c>
      <c r="L829" s="2243" t="str">
        <f>IF(H1117&gt;0,"Conocida","Distinta")</f>
        <v>Distinta</v>
      </c>
      <c r="M829" s="2240">
        <v>0</v>
      </c>
      <c r="N829" s="2240">
        <v>0</v>
      </c>
      <c r="O829" s="2240" t="s">
        <v>8164</v>
      </c>
      <c r="P829" s="2236"/>
      <c r="Q829" s="2236"/>
      <c r="R829" s="2236">
        <v>100</v>
      </c>
      <c r="S829" s="2236" t="s">
        <v>1315</v>
      </c>
      <c r="T829" s="2236">
        <v>10</v>
      </c>
      <c r="U829" s="2236"/>
      <c r="V829" s="2433" t="str">
        <f>"Lanzable (100/XXXm)"&amp;IF(V616&gt;0,", Penetrante","")&amp;IF(V617&gt;0,", Área "&amp;5+MAX(0,5*TRUNC((HA_final-200)/50))&amp;"m","")&amp;IF(V618&gt;0,", Precisión absoluta","")&amp;IF(V619&gt;0,", +40 nivel de crítico","")&amp;IF(V620&gt;0,", Quebrantador de escudos","")</f>
        <v>Lanzable (100/XXXm)</v>
      </c>
      <c r="W829" s="2234"/>
      <c r="X829" s="2275" t="s">
        <v>8236</v>
      </c>
      <c r="Y829" s="1037">
        <v>0</v>
      </c>
      <c r="Z829" s="2436"/>
      <c r="AA829" s="1751" t="s">
        <v>2071</v>
      </c>
      <c r="AC829" s="1246" t="s">
        <v>6564</v>
      </c>
      <c r="AD829" s="1249" t="str">
        <f t="shared" si="292"/>
        <v>Tablas!$AE$829:$AE$829</v>
      </c>
      <c r="AE829" s="1245" t="s">
        <v>8133</v>
      </c>
      <c r="AF829" s="2445" t="str">
        <f t="shared" ref="AF829:AF834" si="293">IF(ISNUMBER(FIND("Munición",VLOOKUP($D$655,Tabla_ArmasyEscudos,8,0))),$D$655,IF(ISNUMBER(FIND("Munición",VLOOKUP($D$656,Tabla_ArmasyEscudos,8,0))),$D$656,IF(ISNUMBER(FIND("Munición",VLOOKUP($D$657,Tabla_ArmasyEscudos,8,0))),$D$657,"")))</f>
        <v/>
      </c>
      <c r="AG829" s="2445" t="str">
        <f t="shared" ref="AG829:AG834" si="294">IF(AF829&lt;&gt;"",IF(AND($D$656&lt;&gt;AF829,ISNUMBER(FIND("Munición",VLOOKUP($D$656,Tabla_ArmasyEscudos,8,0)))),$D$656,IF(AND($D$657&lt;&gt;AF829,ISNUMBER(FIND("Munición",VLOOKUP($D$657,Tabla_ArmasyEscudos,8,0)))),$D$657,"")),"")</f>
        <v/>
      </c>
      <c r="AH829" s="2445" t="str">
        <f t="shared" ref="AH829:AH834" si="295">IF(AND(AG829&lt;&gt;"",$D$657&lt;&gt;AG829,$D$657&lt;&gt;AF829,ISNUMBER(FIND("Munición",VLOOKUP($D$657,Tabla_ArmasyEscudos,8,0)))),$D$657,"")</f>
        <v/>
      </c>
      <c r="AI829" s="304"/>
      <c r="AJ829" s="304"/>
      <c r="AK829" s="304"/>
      <c r="AL829" s="2446"/>
      <c r="AM829" s="2446"/>
      <c r="AN829" s="2446"/>
      <c r="AO829" s="304"/>
      <c r="AP829" s="304"/>
      <c r="AQ829" s="304"/>
      <c r="AR829" s="304"/>
      <c r="AS829" s="304"/>
      <c r="AT829" s="304"/>
      <c r="AU829" s="304"/>
      <c r="AV829" s="571"/>
    </row>
    <row r="830" spans="1:48" ht="12.75" customHeight="1">
      <c r="A830" s="219">
        <v>821</v>
      </c>
      <c r="B830" s="7145"/>
      <c r="C830" s="1034"/>
      <c r="D830" s="2237" t="s">
        <v>2090</v>
      </c>
      <c r="E830" s="2236">
        <f>100</f>
        <v>100</v>
      </c>
      <c r="F830" s="2236">
        <v>20</v>
      </c>
      <c r="G830" s="2236">
        <v>3</v>
      </c>
      <c r="H830" s="2236">
        <v>3</v>
      </c>
      <c r="I830" s="2236" t="s">
        <v>1411</v>
      </c>
      <c r="J830" s="2236" t="s">
        <v>1315</v>
      </c>
      <c r="K830" s="2433" t="s">
        <v>6828</v>
      </c>
      <c r="L830" s="2243" t="str">
        <f>IF(H1119&gt;0,"Conocida","Distinta")</f>
        <v>Distinta</v>
      </c>
      <c r="M830" s="2240">
        <v>8</v>
      </c>
      <c r="N830" s="2240">
        <v>-5</v>
      </c>
      <c r="O830" s="2240">
        <v>20</v>
      </c>
      <c r="P830" s="2236"/>
      <c r="Q830" s="2236"/>
      <c r="R830" s="2236">
        <v>30</v>
      </c>
      <c r="S830" s="2236" t="s">
        <v>1315</v>
      </c>
      <c r="T830" s="2236">
        <v>10</v>
      </c>
      <c r="U830" s="2236"/>
      <c r="V830" s="2433" t="s">
        <v>8214</v>
      </c>
      <c r="W830" s="2234"/>
      <c r="X830" s="2275" t="s">
        <v>8236</v>
      </c>
      <c r="Y830" s="1037">
        <f>Bono_Des</f>
        <v>0</v>
      </c>
      <c r="Z830" s="2436"/>
      <c r="AA830" s="1751" t="s">
        <v>2071</v>
      </c>
      <c r="AC830" s="1246" t="s">
        <v>2045</v>
      </c>
      <c r="AD830" s="1249" t="str">
        <f t="shared" si="292"/>
        <v>Tablas!$AE$830:$AE$830</v>
      </c>
      <c r="AE830" s="1245" t="s">
        <v>2065</v>
      </c>
      <c r="AF830" s="2445" t="str">
        <f t="shared" si="293"/>
        <v/>
      </c>
      <c r="AG830" s="2445" t="str">
        <f t="shared" si="294"/>
        <v/>
      </c>
      <c r="AH830" s="2445" t="str">
        <f t="shared" si="295"/>
        <v/>
      </c>
      <c r="AI830" s="304"/>
      <c r="AJ830" s="304"/>
      <c r="AK830" s="304"/>
      <c r="AL830" s="2446"/>
      <c r="AM830" s="2446"/>
      <c r="AN830" s="2446"/>
      <c r="AO830" s="304"/>
      <c r="AP830" s="304"/>
      <c r="AQ830" s="304"/>
      <c r="AR830" s="304"/>
      <c r="AS830" s="304"/>
      <c r="AT830" s="304"/>
      <c r="AU830" s="304"/>
      <c r="AV830" s="571"/>
    </row>
    <row r="831" spans="1:48" ht="12.75" customHeight="1">
      <c r="A831" s="219">
        <v>822</v>
      </c>
      <c r="B831" s="7145"/>
      <c r="C831" s="1034"/>
      <c r="D831" s="2237" t="s">
        <v>2091</v>
      </c>
      <c r="E831" s="2236">
        <f>70-10</f>
        <v>60</v>
      </c>
      <c r="F831" s="2236">
        <v>10</v>
      </c>
      <c r="G831" s="2236">
        <v>3</v>
      </c>
      <c r="H831" s="2236">
        <v>3</v>
      </c>
      <c r="I831" s="2236" t="s">
        <v>1410</v>
      </c>
      <c r="J831" s="2236" t="s">
        <v>1357</v>
      </c>
      <c r="K831" s="2433" t="s">
        <v>6828</v>
      </c>
      <c r="L831" s="2243" t="str">
        <f>IF(H1120&gt;0,"Conocida","Distinta")</f>
        <v>Distinta</v>
      </c>
      <c r="M831" s="2240">
        <v>20</v>
      </c>
      <c r="N831" s="2240">
        <v>5</v>
      </c>
      <c r="O831" s="2240">
        <v>30</v>
      </c>
      <c r="P831" s="2236"/>
      <c r="Q831" s="2236"/>
      <c r="R831" s="2236" t="s">
        <v>1315</v>
      </c>
      <c r="S831" s="2236" t="s">
        <v>1315</v>
      </c>
      <c r="T831" s="2236" t="s">
        <v>1315</v>
      </c>
      <c r="U831" s="2236"/>
      <c r="V831" s="2433" t="s">
        <v>6617</v>
      </c>
      <c r="W831" s="2234"/>
      <c r="X831" s="2275" t="s">
        <v>9679</v>
      </c>
      <c r="Y831" s="1037">
        <v>0</v>
      </c>
      <c r="Z831" s="2436"/>
      <c r="AA831" s="1751" t="s">
        <v>2071</v>
      </c>
      <c r="AC831" s="1246" t="s">
        <v>2047</v>
      </c>
      <c r="AD831" s="1249" t="str">
        <f t="shared" si="292"/>
        <v>Tablas!$AE$831:$AE$831</v>
      </c>
      <c r="AE831" s="1245" t="s">
        <v>2067</v>
      </c>
      <c r="AF831" s="2445" t="str">
        <f t="shared" si="293"/>
        <v/>
      </c>
      <c r="AG831" s="2445" t="str">
        <f t="shared" si="294"/>
        <v/>
      </c>
      <c r="AH831" s="2445" t="str">
        <f t="shared" si="295"/>
        <v/>
      </c>
      <c r="AI831" s="304"/>
      <c r="AJ831" s="304"/>
      <c r="AK831" s="304"/>
      <c r="AL831" s="2446"/>
      <c r="AM831" s="2446"/>
      <c r="AN831" s="2446"/>
      <c r="AO831" s="304"/>
      <c r="AP831" s="304"/>
      <c r="AQ831" s="304"/>
      <c r="AR831" s="304"/>
      <c r="AS831" s="304"/>
      <c r="AT831" s="304"/>
      <c r="AU831" s="304"/>
      <c r="AV831" s="571"/>
    </row>
    <row r="832" spans="1:48" ht="12.75" customHeight="1">
      <c r="A832" s="219">
        <v>823</v>
      </c>
      <c r="B832" s="7145"/>
      <c r="C832" s="1034"/>
      <c r="D832" s="2237" t="s">
        <v>2092</v>
      </c>
      <c r="E832" s="2236">
        <f>30</f>
        <v>30</v>
      </c>
      <c r="F832" s="2236">
        <v>20</v>
      </c>
      <c r="G832" s="2236">
        <v>0</v>
      </c>
      <c r="H832" s="2236">
        <v>0</v>
      </c>
      <c r="I832" s="2236" t="s">
        <v>1357</v>
      </c>
      <c r="J832" s="2236" t="s">
        <v>1315</v>
      </c>
      <c r="K832" s="2433" t="s">
        <v>6828</v>
      </c>
      <c r="L832" s="2243" t="str">
        <f>IF(H1121&gt;0,"Conocida","Distinta")</f>
        <v>Distinta</v>
      </c>
      <c r="M832" s="2240">
        <v>8</v>
      </c>
      <c r="N832" s="2240">
        <v>-2</v>
      </c>
      <c r="O832" s="2240">
        <v>20</v>
      </c>
      <c r="P832" s="2236"/>
      <c r="Q832" s="2236"/>
      <c r="R832" s="2236" t="s">
        <v>1315</v>
      </c>
      <c r="S832" s="2236" t="s">
        <v>1315</v>
      </c>
      <c r="T832" s="2236" t="s">
        <v>1315</v>
      </c>
      <c r="U832" s="2236"/>
      <c r="V832" s="2433" t="s">
        <v>2093</v>
      </c>
      <c r="W832" s="2234"/>
      <c r="X832" s="2275" t="s">
        <v>8236</v>
      </c>
      <c r="Y832" s="1037">
        <f>Bono_Des</f>
        <v>0</v>
      </c>
      <c r="Z832" s="2436"/>
      <c r="AA832" s="1751" t="s">
        <v>2071</v>
      </c>
      <c r="AC832" s="1246" t="s">
        <v>2048</v>
      </c>
      <c r="AD832" s="1249" t="str">
        <f t="shared" si="292"/>
        <v>Tablas!$AE$832:$AE$832</v>
      </c>
      <c r="AE832" s="1245" t="s">
        <v>2065</v>
      </c>
      <c r="AF832" s="2445" t="str">
        <f t="shared" si="293"/>
        <v/>
      </c>
      <c r="AG832" s="2445" t="str">
        <f t="shared" si="294"/>
        <v/>
      </c>
      <c r="AH832" s="2445" t="str">
        <f t="shared" si="295"/>
        <v/>
      </c>
      <c r="AI832" s="304"/>
      <c r="AJ832" s="304"/>
      <c r="AK832" s="304"/>
      <c r="AL832" s="2446"/>
      <c r="AM832" s="2446"/>
      <c r="AN832" s="2446"/>
      <c r="AO832" s="304"/>
      <c r="AP832" s="304"/>
      <c r="AQ832" s="304"/>
      <c r="AR832" s="304"/>
      <c r="AS832" s="304"/>
      <c r="AT832" s="304"/>
      <c r="AU832" s="304"/>
      <c r="AV832" s="571"/>
    </row>
    <row r="833" spans="1:53" ht="12.75" customHeight="1">
      <c r="A833" s="219">
        <v>824</v>
      </c>
      <c r="B833" s="7145"/>
      <c r="C833" s="1034"/>
      <c r="D833" s="2237" t="s">
        <v>2094</v>
      </c>
      <c r="E833" s="2236">
        <f>60-10</f>
        <v>50</v>
      </c>
      <c r="F833" s="2236">
        <v>0</v>
      </c>
      <c r="G833" s="2236">
        <v>0</v>
      </c>
      <c r="H833" s="2236">
        <v>0</v>
      </c>
      <c r="I833" s="2236" t="s">
        <v>1410</v>
      </c>
      <c r="J833" s="2236" t="s">
        <v>1411</v>
      </c>
      <c r="K833" s="2433" t="s">
        <v>6828</v>
      </c>
      <c r="L833" s="2241" t="str">
        <f>IF(H1123&gt;0,"Conocida","Distinta")</f>
        <v>Distinta</v>
      </c>
      <c r="M833" s="2240">
        <v>10</v>
      </c>
      <c r="N833" s="2240">
        <v>11</v>
      </c>
      <c r="O833" s="2240">
        <f>Presencia_final*2</f>
        <v>60</v>
      </c>
      <c r="P833" s="2236"/>
      <c r="Q833" s="2236"/>
      <c r="R833" s="2236" t="s">
        <v>1315</v>
      </c>
      <c r="S833" s="2236" t="s">
        <v>1315</v>
      </c>
      <c r="T833" s="2236" t="s">
        <v>1315</v>
      </c>
      <c r="U833" s="2236"/>
      <c r="V833" s="2433" t="s">
        <v>9574</v>
      </c>
      <c r="W833" s="2234"/>
      <c r="X833" s="2275" t="s">
        <v>9679</v>
      </c>
      <c r="Y833" s="1037">
        <v>0</v>
      </c>
      <c r="Z833" s="2436"/>
      <c r="AA833" s="1751" t="s">
        <v>2071</v>
      </c>
      <c r="AC833" s="1246" t="s">
        <v>2049</v>
      </c>
      <c r="AD833" s="1249" t="str">
        <f t="shared" si="292"/>
        <v>Tablas!$AE$833:$AE$833</v>
      </c>
      <c r="AE833" s="1245" t="s">
        <v>2069</v>
      </c>
      <c r="AF833" s="2445" t="str">
        <f t="shared" si="293"/>
        <v/>
      </c>
      <c r="AG833" s="2445" t="str">
        <f t="shared" si="294"/>
        <v/>
      </c>
      <c r="AH833" s="2445" t="str">
        <f t="shared" si="295"/>
        <v/>
      </c>
      <c r="AI833" s="304"/>
      <c r="AJ833" s="304"/>
      <c r="AK833" s="304"/>
      <c r="AL833" s="2446"/>
      <c r="AM833" s="2446"/>
      <c r="AN833" s="2446"/>
      <c r="AO833" s="304"/>
      <c r="AP833" s="304"/>
      <c r="AQ833" s="304"/>
      <c r="AR833" s="304"/>
      <c r="AS833" s="304"/>
      <c r="AT833" s="304"/>
      <c r="AU833" s="304"/>
      <c r="AV833" s="571"/>
    </row>
    <row r="834" spans="1:53" ht="12.75" customHeight="1">
      <c r="A834" s="219">
        <v>825</v>
      </c>
      <c r="B834" s="7145"/>
      <c r="C834" s="3993"/>
      <c r="D834" s="3876" t="s">
        <v>12548</v>
      </c>
      <c r="E834" s="2613"/>
      <c r="F834" s="2613"/>
      <c r="G834" s="2613"/>
      <c r="H834" s="2615"/>
      <c r="I834" s="2613"/>
      <c r="J834" s="2613"/>
      <c r="K834" s="2613" t="s">
        <v>6828</v>
      </c>
      <c r="L834" s="2613"/>
      <c r="M834" s="2613"/>
      <c r="N834" s="2615"/>
      <c r="O834" s="2613"/>
      <c r="P834" s="2613"/>
      <c r="Q834" s="2613"/>
      <c r="R834" s="2613"/>
      <c r="S834" s="2613"/>
      <c r="T834" s="2613"/>
      <c r="U834" s="2613"/>
      <c r="V834" s="2613"/>
      <c r="W834" s="2613"/>
      <c r="X834" s="2613"/>
      <c r="Y834" s="2615"/>
      <c r="Z834" s="2436"/>
      <c r="AA834" s="1751" t="s">
        <v>2071</v>
      </c>
      <c r="AC834" s="1246" t="s">
        <v>2050</v>
      </c>
      <c r="AD834" s="1249" t="str">
        <f t="shared" si="292"/>
        <v>Tablas!$AE$834:$AE$834</v>
      </c>
      <c r="AE834" s="1245" t="s">
        <v>2058</v>
      </c>
      <c r="AF834" s="2445" t="str">
        <f t="shared" si="293"/>
        <v/>
      </c>
      <c r="AG834" s="2445" t="str">
        <f t="shared" si="294"/>
        <v/>
      </c>
      <c r="AH834" s="2445" t="str">
        <f t="shared" si="295"/>
        <v/>
      </c>
      <c r="AI834" s="304"/>
      <c r="AJ834" s="304"/>
      <c r="AK834" s="304"/>
      <c r="AL834" s="2446"/>
      <c r="AM834" s="2446"/>
      <c r="AN834" s="2446"/>
      <c r="AO834" s="304"/>
      <c r="AP834" s="304"/>
      <c r="AQ834" s="304"/>
      <c r="AR834" s="304"/>
      <c r="AS834" s="304"/>
      <c r="AT834" s="304"/>
      <c r="AU834" s="304"/>
      <c r="AV834" s="571"/>
    </row>
    <row r="835" spans="1:53" ht="12.75" customHeight="1">
      <c r="A835" s="219">
        <v>826</v>
      </c>
      <c r="B835" s="7145"/>
      <c r="C835" s="3993"/>
      <c r="D835" s="3876" t="s">
        <v>12560</v>
      </c>
      <c r="E835" s="2613">
        <v>40</v>
      </c>
      <c r="F835" s="2613">
        <v>-20</v>
      </c>
      <c r="G835" s="2613">
        <v>10</v>
      </c>
      <c r="H835" s="2615">
        <v>10</v>
      </c>
      <c r="I835" s="2613" t="s">
        <v>1357</v>
      </c>
      <c r="J835" s="2613" t="s">
        <v>1411</v>
      </c>
      <c r="K835" s="2613" t="s">
        <v>6828</v>
      </c>
      <c r="L835" s="2613" t="str">
        <f>IF(H1127&gt;0,"Conocida","Distinta")</f>
        <v>Distinta</v>
      </c>
      <c r="M835" s="2613">
        <v>20</v>
      </c>
      <c r="N835" s="2615">
        <v>3</v>
      </c>
      <c r="O835" s="2613">
        <v>40</v>
      </c>
      <c r="P835" s="2613"/>
      <c r="Q835" s="2613"/>
      <c r="R835" s="2613" t="s">
        <v>1315</v>
      </c>
      <c r="S835" s="2613" t="s">
        <v>1315</v>
      </c>
      <c r="T835" s="2613" t="s">
        <v>1315</v>
      </c>
      <c r="U835" s="2613"/>
      <c r="V835" s="2613" t="s">
        <v>12564</v>
      </c>
      <c r="W835" s="2613"/>
      <c r="X835" s="2613" t="s">
        <v>1821</v>
      </c>
      <c r="Y835" s="2615"/>
      <c r="Z835" s="2436"/>
      <c r="AA835" s="1751" t="s">
        <v>2071</v>
      </c>
      <c r="AC835" s="1246" t="s">
        <v>6569</v>
      </c>
      <c r="AD835" s="1249" t="str">
        <f t="shared" si="292"/>
        <v>Tablas!$AE$835:$AG$835</v>
      </c>
      <c r="AE835" s="1245" t="s">
        <v>2060</v>
      </c>
      <c r="AF835" s="2446" t="s">
        <v>2062</v>
      </c>
      <c r="AG835" s="2446" t="s">
        <v>2063</v>
      </c>
      <c r="AH835" s="2445" t="str">
        <f>IF(ISNUMBER(FIND("Munición",VLOOKUP($D$655,Tabla_ArmasyEscudos,8,0))),$D$655,IF(ISNUMBER(FIND("Munición",VLOOKUP($D$656,Tabla_ArmasyEscudos,8,0))),$D$656,IF(ISNUMBER(FIND("Munición",VLOOKUP($D$657,Tabla_ArmasyEscudos,8,0))),$D$657,"")))</f>
        <v/>
      </c>
      <c r="AI835" s="2445" t="str">
        <f>IF(AH835&lt;&gt;"",IF(AND($D$656&lt;&gt;AH835,ISNUMBER(FIND("Munición",VLOOKUP($D$656,Tabla_ArmasyEscudos,8,0)))),$D$656,IF(AND($D$657&lt;&gt;AH835,ISNUMBER(FIND("Munición",VLOOKUP($D$657,Tabla_ArmasyEscudos,8,0)))),$D$657,"")),"")</f>
        <v/>
      </c>
      <c r="AJ835" s="2445" t="str">
        <f>IF(AND(AI835&lt;&gt;"",$D$657&lt;&gt;AI835,$D$657&lt;&gt;AH835,ISNUMBER(FIND("Munición",VLOOKUP($D$657,Tabla_ArmasyEscudos,8,0)))),$D$657,"")</f>
        <v/>
      </c>
      <c r="AK835" s="304"/>
      <c r="AL835" s="2446"/>
      <c r="AM835" s="2446"/>
      <c r="AN835" s="2446"/>
      <c r="AO835" s="304"/>
      <c r="AP835" s="304"/>
      <c r="AQ835" s="304"/>
      <c r="AR835" s="304"/>
      <c r="AS835" s="304"/>
      <c r="AT835" s="304"/>
      <c r="AU835" s="304"/>
      <c r="AV835" s="571"/>
    </row>
    <row r="836" spans="1:53" ht="12.75" customHeight="1">
      <c r="A836" s="219">
        <v>827</v>
      </c>
      <c r="B836" s="7145"/>
      <c r="C836" s="3993"/>
      <c r="D836" s="3876" t="s">
        <v>12559</v>
      </c>
      <c r="E836" s="2613">
        <v>60</v>
      </c>
      <c r="F836" s="2613">
        <v>-40</v>
      </c>
      <c r="G836" s="2613">
        <v>10</v>
      </c>
      <c r="H836" s="2615">
        <v>10</v>
      </c>
      <c r="I836" s="2613" t="s">
        <v>1411</v>
      </c>
      <c r="J836" s="2613" t="s">
        <v>1357</v>
      </c>
      <c r="K836" s="2613" t="s">
        <v>6828</v>
      </c>
      <c r="L836" s="2613" t="str">
        <f t="shared" ref="L836:L844" si="296">IF(H1127&gt;0,"Conocida","Distinta")</f>
        <v>Distinta</v>
      </c>
      <c r="M836" s="2613">
        <v>20</v>
      </c>
      <c r="N836" s="2615">
        <v>3</v>
      </c>
      <c r="O836" s="2613">
        <v>40</v>
      </c>
      <c r="P836" s="2613"/>
      <c r="Q836" s="2613"/>
      <c r="R836" s="2613" t="s">
        <v>1315</v>
      </c>
      <c r="S836" s="2613">
        <v>2</v>
      </c>
      <c r="T836" s="2613">
        <v>250</v>
      </c>
      <c r="U836" s="2613"/>
      <c r="V836" s="2613" t="s">
        <v>12564</v>
      </c>
      <c r="W836" s="2613"/>
      <c r="X836" s="2613" t="s">
        <v>1821</v>
      </c>
      <c r="Y836" s="2615"/>
      <c r="AC836" s="1246" t="s">
        <v>2051</v>
      </c>
      <c r="AD836" s="1249" t="str">
        <f t="shared" si="292"/>
        <v>Tablas!$AE$836:$AE$836</v>
      </c>
      <c r="AE836" s="758" t="s">
        <v>8109</v>
      </c>
      <c r="AF836" s="2445" t="str">
        <f t="shared" ref="AF836:AF842" si="297">IF(ISNUMBER(FIND("Munición",VLOOKUP($D$655,Tabla_ArmasyEscudos,8,0))),$D$655,IF(ISNUMBER(FIND("Munición",VLOOKUP($D$656,Tabla_ArmasyEscudos,8,0))),$D$656,IF(ISNUMBER(FIND("Munición",VLOOKUP($D$657,Tabla_ArmasyEscudos,8,0))),$D$657,"")))</f>
        <v/>
      </c>
      <c r="AG836" s="2445" t="str">
        <f t="shared" ref="AG836:AG843" si="298">IF(AF836&lt;&gt;"",IF(AND($D$656&lt;&gt;AF836,ISNUMBER(FIND("Munición",VLOOKUP($D$656,Tabla_ArmasyEscudos,8,0)))),$D$656,IF(AND($D$657&lt;&gt;AF836,ISNUMBER(FIND("Munición",VLOOKUP($D$657,Tabla_ArmasyEscudos,8,0)))),$D$657,"")),"")</f>
        <v/>
      </c>
      <c r="AH836" s="2445" t="str">
        <f t="shared" ref="AH836:AH843" si="299">IF(AND(AG836&lt;&gt;"",$D$657&lt;&gt;AG836,$D$657&lt;&gt;AF836,ISNUMBER(FIND("Munición",VLOOKUP($D$657,Tabla_ArmasyEscudos,8,0)))),$D$657,"")</f>
        <v/>
      </c>
      <c r="AI836" s="304"/>
      <c r="AJ836" s="304"/>
      <c r="AK836" s="304"/>
      <c r="AL836" s="2446"/>
      <c r="AM836" s="2446"/>
      <c r="AN836" s="2446"/>
      <c r="AO836" s="304"/>
      <c r="AP836" s="304"/>
      <c r="AQ836" s="304"/>
      <c r="AR836" s="304"/>
      <c r="AS836" s="304"/>
      <c r="AT836" s="304"/>
      <c r="AU836" s="304"/>
      <c r="AV836" s="571"/>
    </row>
    <row r="837" spans="1:53" ht="12.75" customHeight="1">
      <c r="A837" s="219">
        <v>828</v>
      </c>
      <c r="B837" s="7145"/>
      <c r="C837" s="3993"/>
      <c r="D837" s="3876" t="s">
        <v>12549</v>
      </c>
      <c r="E837" s="2613">
        <v>20</v>
      </c>
      <c r="F837" s="2613">
        <v>15</v>
      </c>
      <c r="G837" s="2613">
        <v>3</v>
      </c>
      <c r="H837" s="2615">
        <v>3</v>
      </c>
      <c r="I837" s="2613" t="s">
        <v>1357</v>
      </c>
      <c r="J837" s="2613" t="s">
        <v>1412</v>
      </c>
      <c r="K837" s="2613" t="s">
        <v>6828</v>
      </c>
      <c r="L837" s="2613" t="str">
        <f t="shared" si="296"/>
        <v>Distinta</v>
      </c>
      <c r="M837" s="2613">
        <v>7</v>
      </c>
      <c r="N837" s="2615">
        <v>-1</v>
      </c>
      <c r="O837" s="2613">
        <v>30</v>
      </c>
      <c r="P837" s="2613"/>
      <c r="Q837" s="2613"/>
      <c r="R837" s="2613" t="s">
        <v>1315</v>
      </c>
      <c r="S837" s="2613" t="s">
        <v>1315</v>
      </c>
      <c r="T837" s="2613" t="s">
        <v>1315</v>
      </c>
      <c r="U837" s="2613"/>
      <c r="V837" s="2613" t="s">
        <v>12565</v>
      </c>
      <c r="W837" s="2613"/>
      <c r="X837" s="2613" t="s">
        <v>8236</v>
      </c>
      <c r="Y837" s="2615"/>
      <c r="Z837" s="2436"/>
      <c r="AA837" s="1751" t="s">
        <v>2071</v>
      </c>
      <c r="AC837" s="1246" t="s">
        <v>2052</v>
      </c>
      <c r="AD837" s="1249" t="str">
        <f t="shared" si="292"/>
        <v>Tablas!$AE$837:$AE$837</v>
      </c>
      <c r="AE837" s="1245" t="s">
        <v>2054</v>
      </c>
      <c r="AF837" s="2445" t="str">
        <f t="shared" si="297"/>
        <v/>
      </c>
      <c r="AG837" s="2445" t="str">
        <f t="shared" si="298"/>
        <v/>
      </c>
      <c r="AH837" s="2445" t="str">
        <f t="shared" si="299"/>
        <v/>
      </c>
      <c r="AI837" s="304"/>
      <c r="AJ837" s="304"/>
      <c r="AK837" s="304"/>
      <c r="AL837" s="2446"/>
      <c r="AM837" s="2446"/>
      <c r="AN837" s="2446"/>
      <c r="AO837" s="304"/>
      <c r="AP837" s="304"/>
      <c r="AQ837" s="304"/>
      <c r="AR837" s="304"/>
      <c r="AS837" s="304"/>
      <c r="AT837" s="304"/>
      <c r="AU837" s="304"/>
      <c r="AV837" s="571"/>
    </row>
    <row r="838" spans="1:53" ht="12.75" customHeight="1">
      <c r="A838" s="219">
        <v>829</v>
      </c>
      <c r="B838" s="7145"/>
      <c r="C838" s="3993"/>
      <c r="D838" s="3876" t="s">
        <v>12550</v>
      </c>
      <c r="E838" s="2613">
        <v>10</v>
      </c>
      <c r="F838" s="2613">
        <v>10</v>
      </c>
      <c r="G838" s="2613">
        <v>6</v>
      </c>
      <c r="H838" s="2615">
        <v>6</v>
      </c>
      <c r="I838" s="2613" t="s">
        <v>1410</v>
      </c>
      <c r="J838" s="2613" t="s">
        <v>1315</v>
      </c>
      <c r="K838" s="2613" t="s">
        <v>6828</v>
      </c>
      <c r="L838" s="2613" t="str">
        <f t="shared" si="296"/>
        <v>Distinta</v>
      </c>
      <c r="M838" s="2613">
        <v>20</v>
      </c>
      <c r="N838" s="2615">
        <v>4</v>
      </c>
      <c r="O838" s="2613">
        <v>35</v>
      </c>
      <c r="P838" s="2613"/>
      <c r="Q838" s="2613"/>
      <c r="R838" s="2613" t="s">
        <v>1315</v>
      </c>
      <c r="S838" s="2613" t="s">
        <v>1315</v>
      </c>
      <c r="T838" s="2613" t="s">
        <v>1315</v>
      </c>
      <c r="U838" s="2613"/>
      <c r="V838" s="2613" t="s">
        <v>12566</v>
      </c>
      <c r="W838" s="2613"/>
      <c r="X838" s="2613" t="s">
        <v>9679</v>
      </c>
      <c r="Y838" s="2615"/>
      <c r="Z838" s="2436"/>
      <c r="AA838" s="1751" t="s">
        <v>2071</v>
      </c>
      <c r="AC838" s="931" t="s">
        <v>7866</v>
      </c>
      <c r="AD838" s="1249" t="str">
        <f t="shared" si="292"/>
        <v>Tablas!$AE$838:$AE$838</v>
      </c>
      <c r="AE838" s="1245" t="s">
        <v>8111</v>
      </c>
      <c r="AF838" s="2445" t="str">
        <f t="shared" si="297"/>
        <v/>
      </c>
      <c r="AG838" s="2445" t="str">
        <f t="shared" si="298"/>
        <v/>
      </c>
      <c r="AH838" s="2445" t="str">
        <f t="shared" si="299"/>
        <v/>
      </c>
      <c r="AI838" s="304"/>
      <c r="AJ838" s="304"/>
      <c r="AK838" s="304"/>
      <c r="AL838" s="304"/>
      <c r="AM838" s="304"/>
      <c r="AN838" s="304"/>
      <c r="AO838" s="304"/>
      <c r="AP838" s="304"/>
      <c r="AQ838" s="304"/>
      <c r="AR838" s="304"/>
      <c r="AS838" s="304"/>
      <c r="AT838" s="304"/>
      <c r="AU838" s="304"/>
      <c r="AV838" s="571"/>
    </row>
    <row r="839" spans="1:53" ht="12.75" customHeight="1">
      <c r="A839" s="219">
        <v>830</v>
      </c>
      <c r="B839" s="7145"/>
      <c r="C839" s="3993"/>
      <c r="D839" s="3876" t="s">
        <v>12551</v>
      </c>
      <c r="E839" s="2613">
        <v>100</v>
      </c>
      <c r="F839" s="2613">
        <v>-40</v>
      </c>
      <c r="G839" s="2613">
        <v>7</v>
      </c>
      <c r="H839" s="2615">
        <v>7</v>
      </c>
      <c r="I839" s="2613" t="s">
        <v>1411</v>
      </c>
      <c r="J839" s="2613" t="s">
        <v>1315</v>
      </c>
      <c r="K839" s="2613" t="s">
        <v>6828</v>
      </c>
      <c r="L839" s="2613" t="str">
        <f t="shared" si="296"/>
        <v>Distinta</v>
      </c>
      <c r="M839" s="2613">
        <v>35</v>
      </c>
      <c r="N839" s="2615">
        <v>15</v>
      </c>
      <c r="O839" s="2613">
        <v>50</v>
      </c>
      <c r="P839" s="2613"/>
      <c r="Q839" s="2613"/>
      <c r="R839" s="2613" t="s">
        <v>1315</v>
      </c>
      <c r="S839" s="2613" t="s">
        <v>1315</v>
      </c>
      <c r="T839" s="2613" t="s">
        <v>1315</v>
      </c>
      <c r="U839" s="2613"/>
      <c r="V839" s="2613" t="s">
        <v>12567</v>
      </c>
      <c r="W839" s="2613"/>
      <c r="X839" s="2613" t="s">
        <v>9679</v>
      </c>
      <c r="Y839" s="2615"/>
      <c r="Z839" s="2436"/>
      <c r="AA839" s="1751" t="s">
        <v>2071</v>
      </c>
      <c r="AC839" s="931" t="s">
        <v>7867</v>
      </c>
      <c r="AD839" s="1249" t="str">
        <f t="shared" si="292"/>
        <v>Tablas!$AE$839:$AE$839</v>
      </c>
      <c r="AE839" s="1245" t="s">
        <v>8112</v>
      </c>
      <c r="AF839" s="2445" t="str">
        <f t="shared" si="297"/>
        <v/>
      </c>
      <c r="AG839" s="2445" t="str">
        <f t="shared" si="298"/>
        <v/>
      </c>
      <c r="AH839" s="2445" t="str">
        <f t="shared" si="299"/>
        <v/>
      </c>
      <c r="AI839" s="304"/>
      <c r="AJ839" s="304"/>
      <c r="AK839" s="304"/>
      <c r="AL839" s="304"/>
      <c r="AM839" s="304"/>
      <c r="AN839" s="304"/>
      <c r="AO839" s="304"/>
      <c r="AP839" s="304"/>
      <c r="AQ839" s="304"/>
      <c r="AR839" s="304"/>
      <c r="AS839" s="304"/>
      <c r="AT839" s="304"/>
      <c r="AU839" s="304"/>
      <c r="AV839" s="571"/>
    </row>
    <row r="840" spans="1:53" ht="12.75" customHeight="1" thickBot="1">
      <c r="A840" s="219">
        <v>831</v>
      </c>
      <c r="B840" s="7145"/>
      <c r="C840" s="3993"/>
      <c r="D840" s="3876" t="s">
        <v>12552</v>
      </c>
      <c r="E840" s="2613">
        <f>80+Bono_Pod</f>
        <v>80</v>
      </c>
      <c r="F840" s="2613">
        <v>-10</v>
      </c>
      <c r="G840" s="2613">
        <v>9</v>
      </c>
      <c r="H840" s="2615">
        <v>5</v>
      </c>
      <c r="I840" s="2613" t="s">
        <v>1411</v>
      </c>
      <c r="J840" s="2613" t="s">
        <v>1414</v>
      </c>
      <c r="K840" s="2613" t="s">
        <v>6828</v>
      </c>
      <c r="L840" s="2613" t="str">
        <f t="shared" si="296"/>
        <v>Distinta</v>
      </c>
      <c r="M840" s="2613">
        <v>18</v>
      </c>
      <c r="N840" s="2615">
        <v>6</v>
      </c>
      <c r="O840" s="2613">
        <v>50</v>
      </c>
      <c r="P840" s="2613"/>
      <c r="Q840" s="2613"/>
      <c r="R840" s="2613" t="s">
        <v>1315</v>
      </c>
      <c r="S840" s="2613" t="s">
        <v>1315</v>
      </c>
      <c r="T840" s="2613" t="s">
        <v>1315</v>
      </c>
      <c r="U840" s="2613"/>
      <c r="V840" s="2613" t="s">
        <v>12568</v>
      </c>
      <c r="W840" s="2613"/>
      <c r="X840" s="2613" t="s">
        <v>9679</v>
      </c>
      <c r="Y840" s="2615"/>
      <c r="Z840" s="2436"/>
      <c r="AA840" s="1751" t="s">
        <v>2071</v>
      </c>
      <c r="AC840" s="931" t="s">
        <v>7868</v>
      </c>
      <c r="AD840" s="1249" t="str">
        <f t="shared" si="292"/>
        <v>Tablas!$AE$840:$AE$840</v>
      </c>
      <c r="AE840" s="1245" t="s">
        <v>2056</v>
      </c>
      <c r="AF840" s="2445" t="str">
        <f t="shared" si="297"/>
        <v/>
      </c>
      <c r="AG840" s="2445" t="str">
        <f t="shared" si="298"/>
        <v/>
      </c>
      <c r="AH840" s="2445" t="str">
        <f t="shared" si="299"/>
        <v/>
      </c>
      <c r="AI840" s="304"/>
      <c r="AJ840" s="304"/>
      <c r="AK840" s="304"/>
      <c r="AL840" s="304"/>
      <c r="AM840" s="304"/>
      <c r="AN840" s="304"/>
      <c r="AO840" s="304"/>
      <c r="AP840" s="304"/>
      <c r="AQ840" s="304"/>
      <c r="AR840" s="304"/>
      <c r="AS840" s="304"/>
      <c r="AT840" s="304"/>
      <c r="AU840" s="304"/>
      <c r="AV840" s="571"/>
    </row>
    <row r="841" spans="1:53" ht="12.75" customHeight="1" thickBot="1">
      <c r="A841" s="219">
        <v>832</v>
      </c>
      <c r="B841" s="7145"/>
      <c r="C841" s="3993"/>
      <c r="D841" s="3876" t="s">
        <v>12553</v>
      </c>
      <c r="E841" s="2613">
        <f>20+Bono_Fue</f>
        <v>20</v>
      </c>
      <c r="F841" s="2613">
        <v>20</v>
      </c>
      <c r="G841" s="2613">
        <v>4</v>
      </c>
      <c r="H841" s="2615">
        <v>4</v>
      </c>
      <c r="I841" s="2613" t="s">
        <v>1357</v>
      </c>
      <c r="J841" s="2613" t="s">
        <v>1315</v>
      </c>
      <c r="K841" s="2613" t="s">
        <v>6828</v>
      </c>
      <c r="L841" s="2613" t="str">
        <f t="shared" si="296"/>
        <v>Distinta</v>
      </c>
      <c r="M841" s="2613">
        <v>24</v>
      </c>
      <c r="N841" s="2615">
        <v>8</v>
      </c>
      <c r="O841" s="2613">
        <v>50</v>
      </c>
      <c r="P841" s="2613"/>
      <c r="Q841" s="2613"/>
      <c r="R841" s="2613" t="s">
        <v>1315</v>
      </c>
      <c r="S841" s="2613" t="s">
        <v>1315</v>
      </c>
      <c r="T841" s="2613" t="s">
        <v>1315</v>
      </c>
      <c r="U841" s="2613"/>
      <c r="V841" s="2613" t="s">
        <v>12569</v>
      </c>
      <c r="W841" s="2613"/>
      <c r="X841" s="2613" t="s">
        <v>8236</v>
      </c>
      <c r="Y841" s="2615"/>
      <c r="Z841" s="2436"/>
      <c r="AA841" s="1751" t="s">
        <v>2071</v>
      </c>
      <c r="AC841" s="931" t="s">
        <v>8136</v>
      </c>
      <c r="AD841" s="1249" t="str">
        <f t="shared" si="292"/>
        <v>Tablas!$AE$841:$AE$841</v>
      </c>
      <c r="AE841" s="1245" t="s">
        <v>8134</v>
      </c>
      <c r="AF841" s="2445" t="str">
        <f t="shared" si="297"/>
        <v/>
      </c>
      <c r="AG841" s="2445" t="str">
        <f t="shared" si="298"/>
        <v/>
      </c>
      <c r="AH841" s="2445" t="str">
        <f t="shared" si="299"/>
        <v/>
      </c>
      <c r="AI841" s="304"/>
      <c r="AJ841" s="304"/>
      <c r="AK841" s="304"/>
      <c r="AL841" s="304"/>
      <c r="AM841" s="304"/>
      <c r="AN841" s="304"/>
      <c r="AO841" s="304"/>
      <c r="AP841" s="304"/>
      <c r="AQ841" s="304"/>
      <c r="AR841" s="304"/>
      <c r="AS841" s="304"/>
      <c r="AT841" s="304"/>
      <c r="AU841" s="304"/>
      <c r="AV841" s="571"/>
      <c r="AX841" s="7998" t="s">
        <v>9818</v>
      </c>
      <c r="AY841" s="7999"/>
      <c r="AZ841" s="7999"/>
      <c r="BA841" s="2599" t="s">
        <v>10000</v>
      </c>
    </row>
    <row r="842" spans="1:53" ht="12.75" customHeight="1">
      <c r="A842" s="219">
        <v>833</v>
      </c>
      <c r="B842" s="7145"/>
      <c r="C842" s="3993"/>
      <c r="D842" s="3876" t="s">
        <v>12554</v>
      </c>
      <c r="E842" s="2613" t="s">
        <v>1315</v>
      </c>
      <c r="F842" s="2613">
        <v>20</v>
      </c>
      <c r="G842" s="2613" t="s">
        <v>1315</v>
      </c>
      <c r="H842" s="2615" t="s">
        <v>1315</v>
      </c>
      <c r="I842" s="2613" t="s">
        <v>1315</v>
      </c>
      <c r="J842" s="2613" t="s">
        <v>1315</v>
      </c>
      <c r="K842" s="2613" t="s">
        <v>6828</v>
      </c>
      <c r="L842" s="2613" t="str">
        <f t="shared" si="296"/>
        <v>Distinta</v>
      </c>
      <c r="M842" s="2613">
        <v>25</v>
      </c>
      <c r="N842" s="2615">
        <v>10</v>
      </c>
      <c r="O842" s="2613">
        <v>50</v>
      </c>
      <c r="P842" s="2613"/>
      <c r="Q842" s="2613"/>
      <c r="R842" s="2613" t="s">
        <v>1315</v>
      </c>
      <c r="S842" s="2613" t="s">
        <v>1315</v>
      </c>
      <c r="T842" s="2613" t="s">
        <v>1315</v>
      </c>
      <c r="U842" s="2613"/>
      <c r="V842" s="2613" t="s">
        <v>12570</v>
      </c>
      <c r="W842" s="2613"/>
      <c r="X842" s="2613" t="s">
        <v>9679</v>
      </c>
      <c r="Y842" s="2615"/>
      <c r="Z842" s="2436"/>
      <c r="AA842" s="1751" t="s">
        <v>2071</v>
      </c>
      <c r="AC842" s="931" t="s">
        <v>8137</v>
      </c>
      <c r="AD842" s="1249" t="str">
        <f t="shared" si="292"/>
        <v>Tablas!$AE$842:$AE$842</v>
      </c>
      <c r="AE842" s="1245" t="s">
        <v>8134</v>
      </c>
      <c r="AF842" s="2445" t="str">
        <f t="shared" si="297"/>
        <v/>
      </c>
      <c r="AG842" s="2445" t="str">
        <f t="shared" si="298"/>
        <v/>
      </c>
      <c r="AH842" s="2445" t="str">
        <f t="shared" si="299"/>
        <v/>
      </c>
      <c r="AI842" s="304"/>
      <c r="AJ842" s="304"/>
      <c r="AK842" s="304"/>
      <c r="AL842" s="304"/>
      <c r="AM842" s="304"/>
      <c r="AN842" s="304"/>
      <c r="AO842" s="304"/>
      <c r="AP842" s="304"/>
      <c r="AQ842" s="304"/>
      <c r="AR842" s="304"/>
      <c r="AS842" s="304"/>
      <c r="AT842" s="304"/>
      <c r="AU842" s="304"/>
      <c r="AV842" s="571"/>
      <c r="AX842" s="307" t="s">
        <v>1770</v>
      </c>
      <c r="AY842" s="304"/>
      <c r="AZ842" s="304"/>
      <c r="BA842" s="604">
        <v>0</v>
      </c>
    </row>
    <row r="843" spans="1:53" ht="12.75" customHeight="1" thickBot="1">
      <c r="A843" s="219">
        <v>834</v>
      </c>
      <c r="B843" s="7145"/>
      <c r="C843" s="3993"/>
      <c r="D843" s="3876" t="s">
        <v>12555</v>
      </c>
      <c r="E843" s="2613">
        <f>40+Bono_Des</f>
        <v>40</v>
      </c>
      <c r="F843" s="2613">
        <v>5</v>
      </c>
      <c r="G843" s="2613">
        <v>4</v>
      </c>
      <c r="H843" s="2615">
        <v>4</v>
      </c>
      <c r="I843" s="2613" t="s">
        <v>1410</v>
      </c>
      <c r="J843" s="2613" t="s">
        <v>1315</v>
      </c>
      <c r="K843" s="2613" t="s">
        <v>6828</v>
      </c>
      <c r="L843" s="2613" t="str">
        <f t="shared" si="296"/>
        <v>Distinta</v>
      </c>
      <c r="M843" s="2613">
        <v>17</v>
      </c>
      <c r="N843" s="2615">
        <v>3</v>
      </c>
      <c r="O843" s="2613">
        <v>40</v>
      </c>
      <c r="P843" s="2613"/>
      <c r="Q843" s="2613"/>
      <c r="R843" s="2613" t="s">
        <v>1315</v>
      </c>
      <c r="S843" s="2613" t="s">
        <v>1315</v>
      </c>
      <c r="T843" s="2613" t="s">
        <v>1315</v>
      </c>
      <c r="U843" s="2613"/>
      <c r="V843" s="2613" t="s">
        <v>12571</v>
      </c>
      <c r="W843" s="2613"/>
      <c r="X843" s="2613" t="s">
        <v>1821</v>
      </c>
      <c r="Y843" s="2615"/>
      <c r="Z843" s="2436"/>
      <c r="AA843" s="1751" t="s">
        <v>2071</v>
      </c>
      <c r="AC843" s="1247" t="s">
        <v>8138</v>
      </c>
      <c r="AD843" s="2447" t="str">
        <f t="shared" si="292"/>
        <v>Tablas!$AE$843:$AE$843</v>
      </c>
      <c r="AE843" s="2448" t="s">
        <v>8140</v>
      </c>
      <c r="AF843" s="1248" t="str">
        <f>IF(ISNUMBER(FIND("Munición",VLOOKUP($D$655,Tabla_ArmasyEscudos,8,0))),$D$655,IF(ISNUMBER(FIND("Munición",VLOOKUP($D$656,Tabla_ArmasyEscudos,8,0))),$D$656,IF(ISNUMBER(FIND("Munición",VLOOKUP($D$657,Tabla_ArmasyEscudos,8,0))),$D$657,"")))</f>
        <v/>
      </c>
      <c r="AG843" s="1248" t="str">
        <f t="shared" si="298"/>
        <v/>
      </c>
      <c r="AH843" s="1248" t="str">
        <f t="shared" si="299"/>
        <v/>
      </c>
      <c r="AI843" s="309"/>
      <c r="AJ843" s="309"/>
      <c r="AK843" s="309"/>
      <c r="AL843" s="309"/>
      <c r="AM843" s="309"/>
      <c r="AN843" s="309"/>
      <c r="AO843" s="309"/>
      <c r="AP843" s="309"/>
      <c r="AQ843" s="309"/>
      <c r="AR843" s="309"/>
      <c r="AS843" s="309"/>
      <c r="AT843" s="309"/>
      <c r="AU843" s="309"/>
      <c r="AV843" s="572"/>
      <c r="AX843" s="307" t="s">
        <v>6900</v>
      </c>
      <c r="AY843" s="304"/>
      <c r="AZ843" s="304"/>
      <c r="BA843" s="604">
        <v>0</v>
      </c>
    </row>
    <row r="844" spans="1:53" ht="12.75" customHeight="1">
      <c r="A844" s="219">
        <v>835</v>
      </c>
      <c r="B844" s="7145"/>
      <c r="C844" s="3993"/>
      <c r="D844" s="3876" t="s">
        <v>12561</v>
      </c>
      <c r="E844" s="2613">
        <f>40+Bono_Fue</f>
        <v>40</v>
      </c>
      <c r="F844" s="2613">
        <v>-10</v>
      </c>
      <c r="G844" s="2613">
        <v>8</v>
      </c>
      <c r="H844" s="2615">
        <v>8</v>
      </c>
      <c r="I844" s="2613" t="s">
        <v>1357</v>
      </c>
      <c r="J844" s="2613" t="s">
        <v>1315</v>
      </c>
      <c r="K844" s="2613" t="s">
        <v>6828</v>
      </c>
      <c r="L844" s="2613" t="str">
        <f t="shared" si="296"/>
        <v>Distinta</v>
      </c>
      <c r="M844" s="2613">
        <v>30</v>
      </c>
      <c r="N844" s="2615">
        <v>7</v>
      </c>
      <c r="O844" s="2613">
        <v>35</v>
      </c>
      <c r="P844" s="2613"/>
      <c r="Q844" s="2613"/>
      <c r="R844" s="2613" t="s">
        <v>1315</v>
      </c>
      <c r="S844" s="2613" t="s">
        <v>1315</v>
      </c>
      <c r="T844" s="2613" t="s">
        <v>1315</v>
      </c>
      <c r="U844" s="2613"/>
      <c r="V844" s="2613" t="s">
        <v>12572</v>
      </c>
      <c r="W844" s="2613"/>
      <c r="X844" s="2613" t="s">
        <v>8236</v>
      </c>
      <c r="Y844" s="2615"/>
      <c r="Z844" s="2436"/>
      <c r="AA844" s="1751" t="s">
        <v>2071</v>
      </c>
      <c r="AX844" s="307" t="s">
        <v>1491</v>
      </c>
      <c r="AY844" s="304"/>
      <c r="AZ844" s="304"/>
      <c r="BA844" s="604">
        <v>0</v>
      </c>
    </row>
    <row r="845" spans="1:53" ht="12.75" customHeight="1">
      <c r="A845" s="219">
        <v>836</v>
      </c>
      <c r="B845" s="7145"/>
      <c r="C845" s="3993"/>
      <c r="D845" s="3876" t="s">
        <v>12562</v>
      </c>
      <c r="E845" s="2613">
        <f>40+Bono_Fue</f>
        <v>40</v>
      </c>
      <c r="F845" s="2613">
        <v>-40</v>
      </c>
      <c r="G845" s="2613">
        <v>8</v>
      </c>
      <c r="H845" s="2615">
        <v>8</v>
      </c>
      <c r="I845" s="2613" t="s">
        <v>1357</v>
      </c>
      <c r="J845" s="2613" t="s">
        <v>1315</v>
      </c>
      <c r="K845" s="2613" t="s">
        <v>6828</v>
      </c>
      <c r="L845" s="2613" t="str">
        <f>IF(H1135&gt;0,"Conocida","Distinta")</f>
        <v>Distinta</v>
      </c>
      <c r="M845" s="2613">
        <v>30</v>
      </c>
      <c r="N845" s="2615">
        <v>7</v>
      </c>
      <c r="O845" s="2613">
        <v>35</v>
      </c>
      <c r="P845" s="2613"/>
      <c r="Q845" s="2613"/>
      <c r="R845" s="2613" t="s">
        <v>1315</v>
      </c>
      <c r="S845" s="2613" t="s">
        <v>1315</v>
      </c>
      <c r="T845" s="2613" t="s">
        <v>1315</v>
      </c>
      <c r="U845" s="2613"/>
      <c r="V845" s="2613" t="s">
        <v>12572</v>
      </c>
      <c r="W845" s="2613"/>
      <c r="X845" s="2613" t="s">
        <v>9679</v>
      </c>
      <c r="Y845" s="2615"/>
      <c r="Z845" s="2436"/>
      <c r="AA845" s="1751" t="s">
        <v>2071</v>
      </c>
      <c r="AC845" s="6476" t="s">
        <v>9817</v>
      </c>
      <c r="AD845" s="6477"/>
      <c r="AE845" s="6477"/>
      <c r="AF845" s="6477"/>
      <c r="AG845" s="6477"/>
      <c r="AH845" s="6477"/>
      <c r="AI845" s="6477"/>
      <c r="AJ845" s="6477"/>
      <c r="AK845" s="6477"/>
      <c r="AL845" s="6477"/>
      <c r="AM845" s="6477"/>
      <c r="AN845" s="6477"/>
      <c r="AO845" s="6477"/>
      <c r="AP845" s="6477"/>
      <c r="AQ845" s="6477"/>
      <c r="AR845" s="6477"/>
      <c r="AS845" s="6477"/>
      <c r="AT845" s="6477"/>
      <c r="AU845" s="6477"/>
      <c r="AV845" s="6477"/>
      <c r="AX845" s="307" t="s">
        <v>6902</v>
      </c>
      <c r="AY845" s="304"/>
      <c r="AZ845" s="304"/>
      <c r="BA845" s="604">
        <v>0</v>
      </c>
    </row>
    <row r="846" spans="1:53" ht="12.75" customHeight="1">
      <c r="A846" s="219">
        <v>837</v>
      </c>
      <c r="B846" s="7145"/>
      <c r="C846" s="3993"/>
      <c r="D846" s="3876" t="s">
        <v>12563</v>
      </c>
      <c r="E846" s="2613">
        <f>40+Bono_Fue</f>
        <v>40</v>
      </c>
      <c r="F846" s="2613">
        <v>-70</v>
      </c>
      <c r="G846" s="2613">
        <v>11</v>
      </c>
      <c r="H846" s="2615">
        <v>8</v>
      </c>
      <c r="I846" s="2613" t="s">
        <v>1357</v>
      </c>
      <c r="J846" s="2613" t="s">
        <v>1315</v>
      </c>
      <c r="K846" s="2613" t="s">
        <v>6828</v>
      </c>
      <c r="L846" s="2613" t="str">
        <f>IF(H1135&gt;0,"Conocida","Distinta")</f>
        <v>Distinta</v>
      </c>
      <c r="M846" s="2613">
        <v>30</v>
      </c>
      <c r="N846" s="2615">
        <v>7</v>
      </c>
      <c r="O846" s="2613">
        <v>35</v>
      </c>
      <c r="P846" s="2613"/>
      <c r="Q846" s="2613"/>
      <c r="R846" s="2613" t="s">
        <v>1315</v>
      </c>
      <c r="S846" s="2613" t="s">
        <v>1315</v>
      </c>
      <c r="T846" s="2613" t="s">
        <v>1315</v>
      </c>
      <c r="U846" s="2613"/>
      <c r="V846" s="2613" t="s">
        <v>12572</v>
      </c>
      <c r="W846" s="2613"/>
      <c r="X846" s="2613" t="s">
        <v>1821</v>
      </c>
      <c r="Y846" s="2615"/>
      <c r="Z846" s="2436"/>
      <c r="AA846" s="1751" t="s">
        <v>2071</v>
      </c>
      <c r="AC846" s="960"/>
      <c r="AD846" s="2235"/>
      <c r="AE846" s="2235"/>
      <c r="AF846" s="2235"/>
      <c r="AG846" s="2235"/>
      <c r="AH846" s="2235"/>
      <c r="AI846" s="2235">
        <v>1</v>
      </c>
      <c r="AJ846" s="2235">
        <v>2</v>
      </c>
      <c r="AK846" s="2235">
        <v>3</v>
      </c>
      <c r="AL846" s="2235">
        <v>4</v>
      </c>
      <c r="AM846" s="2235">
        <v>5</v>
      </c>
      <c r="AN846" s="2235">
        <v>6</v>
      </c>
      <c r="AO846" s="2235">
        <v>7</v>
      </c>
      <c r="AP846" s="2235">
        <v>8</v>
      </c>
      <c r="AQ846" s="2235">
        <v>9</v>
      </c>
      <c r="AR846" s="2235">
        <v>10</v>
      </c>
      <c r="AS846" s="2235">
        <v>11</v>
      </c>
      <c r="AT846" s="2235">
        <v>12</v>
      </c>
      <c r="AU846" s="2235">
        <v>13</v>
      </c>
      <c r="AV846" s="961">
        <v>14</v>
      </c>
      <c r="AX846" s="307" t="s">
        <v>6923</v>
      </c>
      <c r="AY846" s="304"/>
      <c r="AZ846" s="304"/>
      <c r="BA846" s="604">
        <v>1</v>
      </c>
    </row>
    <row r="847" spans="1:53" ht="12.75" customHeight="1" thickBot="1">
      <c r="A847" s="219">
        <v>838</v>
      </c>
      <c r="B847" s="7145"/>
      <c r="C847" s="3993"/>
      <c r="D847" s="3876" t="s">
        <v>12556</v>
      </c>
      <c r="E847" s="2613">
        <f>10+Bono_Agi</f>
        <v>10</v>
      </c>
      <c r="F847" s="2613">
        <v>10</v>
      </c>
      <c r="G847" s="2613">
        <v>4</v>
      </c>
      <c r="H847" s="2615">
        <v>4</v>
      </c>
      <c r="I847" s="2613" t="s">
        <v>1410</v>
      </c>
      <c r="J847" s="2613" t="s">
        <v>1315</v>
      </c>
      <c r="K847" s="2613" t="s">
        <v>6828</v>
      </c>
      <c r="L847" s="2613" t="str">
        <f>IF(H1136&gt;0,"Conocida","Distinta")</f>
        <v>Distinta</v>
      </c>
      <c r="M847" s="2613">
        <v>15</v>
      </c>
      <c r="N847" s="2615">
        <v>2</v>
      </c>
      <c r="O847" s="2613">
        <v>40</v>
      </c>
      <c r="P847" s="2613"/>
      <c r="Q847" s="2613"/>
      <c r="R847" s="2613" t="s">
        <v>1315</v>
      </c>
      <c r="S847" s="2613" t="s">
        <v>1315</v>
      </c>
      <c r="T847" s="2613" t="s">
        <v>1315</v>
      </c>
      <c r="U847" s="2613"/>
      <c r="V847" s="2613" t="s">
        <v>12573</v>
      </c>
      <c r="W847" s="2613"/>
      <c r="X847" s="2613" t="s">
        <v>8236</v>
      </c>
      <c r="Y847" s="2615"/>
      <c r="Z847" s="2436"/>
      <c r="AA847" s="1751" t="s">
        <v>2071</v>
      </c>
      <c r="AC847" s="1238" t="s">
        <v>9834</v>
      </c>
      <c r="AD847" s="1239" t="s">
        <v>9833</v>
      </c>
      <c r="AE847" s="1239" t="s">
        <v>9837</v>
      </c>
      <c r="AF847" s="1239" t="s">
        <v>9835</v>
      </c>
      <c r="AG847" s="1239" t="s">
        <v>9836</v>
      </c>
      <c r="AH847" s="1239" t="s">
        <v>9838</v>
      </c>
      <c r="AI847" s="1239" t="s">
        <v>1300</v>
      </c>
      <c r="AJ847" s="1239" t="s">
        <v>9826</v>
      </c>
      <c r="AK847" s="1239" t="s">
        <v>9827</v>
      </c>
      <c r="AL847" s="1239" t="s">
        <v>9819</v>
      </c>
      <c r="AM847" s="1239" t="s">
        <v>9822</v>
      </c>
      <c r="AN847" s="1239" t="s">
        <v>717</v>
      </c>
      <c r="AO847" s="1239" t="s">
        <v>9823</v>
      </c>
      <c r="AP847" s="1239" t="s">
        <v>9824</v>
      </c>
      <c r="AQ847" s="1239" t="s">
        <v>8171</v>
      </c>
      <c r="AR847" s="1239" t="s">
        <v>8172</v>
      </c>
      <c r="AS847" s="1239" t="s">
        <v>9825</v>
      </c>
      <c r="AT847" s="1239" t="s">
        <v>9832</v>
      </c>
      <c r="AU847" s="1239" t="s">
        <v>8248</v>
      </c>
      <c r="AV847" s="1240" t="s">
        <v>10000</v>
      </c>
      <c r="AX847" s="307" t="s">
        <v>6904</v>
      </c>
      <c r="AY847" s="304"/>
      <c r="AZ847" s="304"/>
      <c r="BA847" s="604">
        <v>0</v>
      </c>
    </row>
    <row r="848" spans="1:53" ht="12.75" customHeight="1">
      <c r="A848" s="219">
        <v>839</v>
      </c>
      <c r="B848" s="7145"/>
      <c r="C848" s="3993"/>
      <c r="D848" s="3876" t="s">
        <v>12557</v>
      </c>
      <c r="E848" s="2613">
        <f>50+Bono_Pod</f>
        <v>50</v>
      </c>
      <c r="F848" s="2613" t="s">
        <v>1315</v>
      </c>
      <c r="G848" s="2613">
        <v>5</v>
      </c>
      <c r="H848" s="2615">
        <v>5</v>
      </c>
      <c r="I848" s="2613" t="s">
        <v>1414</v>
      </c>
      <c r="J848" s="2613" t="s">
        <v>1315</v>
      </c>
      <c r="K848" s="2613" t="s">
        <v>6828</v>
      </c>
      <c r="L848" s="2613" t="str">
        <f>IF(H1137&gt;0,"Conocida","Distinta")</f>
        <v>Distinta</v>
      </c>
      <c r="M848" s="2613">
        <v>12</v>
      </c>
      <c r="N848" s="2615">
        <v>4</v>
      </c>
      <c r="O848" s="2613">
        <v>25</v>
      </c>
      <c r="P848" s="2613"/>
      <c r="Q848" s="2613"/>
      <c r="R848" s="2613" t="s">
        <v>1315</v>
      </c>
      <c r="S848" s="2613" t="s">
        <v>1315</v>
      </c>
      <c r="T848" s="2613" t="s">
        <v>1315</v>
      </c>
      <c r="U848" s="2613"/>
      <c r="V848" s="2613" t="s">
        <v>12574</v>
      </c>
      <c r="W848" s="2613"/>
      <c r="X848" s="2613" t="s">
        <v>9679</v>
      </c>
      <c r="Y848" s="2615"/>
      <c r="Z848" s="2436"/>
      <c r="AA848" s="1751" t="s">
        <v>2071</v>
      </c>
      <c r="AC848" s="307" t="str">
        <f t="shared" ref="AC848:AC857" ca="1" si="300">IFERROR(VLOOKUP(A1,$AD$848:$AE$857,2,FALSE),"")</f>
        <v/>
      </c>
      <c r="AD848" s="304">
        <f t="shared" ref="AD848:AD857" ca="1" si="301">COUNTIF($AE$848:$AE$857,"&lt;="&amp;AE848)-COUNTIF($AE$848:$AE$857,"*&gt;*")</f>
        <v>0</v>
      </c>
      <c r="AE848" s="304" t="str">
        <f t="shared" ref="AE848:AE857" ca="1" si="302">IF(AND(AL848,AU848),AI848," &gt; ")</f>
        <v xml:space="preserve"> &gt; </v>
      </c>
      <c r="AF848" s="304" t="str">
        <f t="shared" ref="AF848:AF857" ca="1" si="303">IFERROR(VLOOKUP(A1,$AG$848:$AH$857,2,FALSE),"")</f>
        <v/>
      </c>
      <c r="AG848" s="304">
        <f t="shared" ref="AG848:AG857" ca="1" si="304">COUNTIF($AH$848:$AH$857,"&lt;="&amp;AH848)-COUNTIF($AH$848:$AH$857,"*&gt;*")</f>
        <v>0</v>
      </c>
      <c r="AH848" s="304" t="str">
        <f t="shared" ref="AH848:AH857" ca="1" si="305">IF(AND(AL848,NOT(AU848)),AI848," &gt; ")</f>
        <v xml:space="preserve"> &gt; </v>
      </c>
      <c r="AI848" s="1702" t="str">
        <f ca="1">IF(AL848,$L$2236," &gt; ")</f>
        <v xml:space="preserve"> &gt; </v>
      </c>
      <c r="AJ848" s="304" t="str">
        <f>ADDRESS(ROW($L$2238),COLUMN($L$2238))&amp;":"&amp;ADDRESS(ROW($L$2266),COLUMN($L$2266))</f>
        <v>$L$2238:$L$2266</v>
      </c>
      <c r="AK848" s="304" t="str">
        <f>ADDRESS(ROW($L$2238),COLUMN($L$2238)+1)&amp;":"&amp;ADDRESS(ROW($L$2266),COLUMN($L$2266)+1)</f>
        <v>$M$2238:$M$2266</v>
      </c>
      <c r="AL848" s="304" t="b">
        <f t="array" aca="1" ref="AL848" ca="1">NOT(ISNA(MATCH(FALSE,ISNA(MATCH($AX$842:$AX$859,INDIRECT(AJ848),0)),0)))</f>
        <v>0</v>
      </c>
      <c r="AM848" s="304">
        <f t="shared" ref="AM848:AM857" ca="1" si="306">IFERROR(VALUE(SUBSTITUTE(SUBSTITUTE(INDEX(INDIRECT(AK848),MATCH($AX$843,INDIRECT(AJ848),0)),$AX$843,""),"Ataque","")),0)+IFERROR(VALUE(SUBSTITUTE(SUBSTITUTE(INDEX(INDIRECT(AK848),MATCH($AX$859,INDIRECT(AJ848),0)),$AX$859,""),"Ataque","")),0)</f>
        <v>0</v>
      </c>
      <c r="AN848" s="304" t="e">
        <f t="array" aca="1" ref="AN848" ca="1">IF(ISNA(MATCH($AX$846,INDIRECT(AJ848),0)),NA(),IFERROR(VALUE(SUBSTITUTE(SUBSTITUTE(INDEX(INDIRECT(AK848),IFERROR(MATCH(FALSE,ISNA(MATCH(INDIRECT(AK848),$O$1411:$O$1419,0)),0),MATCH(FALSE,ISNA(MATCH(INDIRECT(AK848),$AH$1378:$AP$1378,0)),0))),"Ataque especial",""),"Daño Base","")),0))</f>
        <v>#N/A</v>
      </c>
      <c r="AO848" s="304">
        <f t="shared" ref="AO848:AO857" ca="1" si="307">IF(ISNUMBER(AN848),0,IFERROR(VALUE(SUBSTITUTE(SUBSTITUTE(INDEX(INDIRECT(AK848),MATCH($AX$844,INDIRECT(AJ848),0)),$AX$844,""),"al Daño","")),0))</f>
        <v>0</v>
      </c>
      <c r="AP848" s="304">
        <f t="shared" ref="AP848:AP857" ca="1" si="308">IFERROR(VALUE(SUBSTITUTE(SUBSTITUTE(INDEX(INDIRECT(AK848),MATCH($AX$845,INDIRECT(AJ848),0)),$AX$845,""),"TA Defensora","")),0)</f>
        <v>0</v>
      </c>
      <c r="AQ848" s="304" t="e">
        <f t="array" aca="1" ref="AQ848" ca="1">RIGHT(INDEX(INDIRECT(AK848),MATCH(TRUE,ISNUMBER(SEARCH("Crítico 1:",INDIRECT(AK848))),0)),3)</f>
        <v>#N/A</v>
      </c>
      <c r="AR848" s="304" t="e">
        <f t="array" aca="1" ref="AR848" ca="1">RIGHT(INDEX(INDIRECT(AK848),MATCH(TRUE,ISNUMBER(SEARCH("Crítico 2:",INDIRECT(AK848))),0)),3)</f>
        <v>#N/A</v>
      </c>
      <c r="AS848" s="304">
        <f t="shared" ref="AS848:AS857" ca="1" si="309">IFERROR(VALUE(SUBSTITUTE(INDEX(INDIRECT(AL848),MATCH($AX$856,INDIRECT(AK848),0)),$AX$856,"")),0)</f>
        <v>0</v>
      </c>
      <c r="AT848" s="304" t="b">
        <f t="shared" ref="AT848:AT857" ca="1" si="310">ISNA(MATCH($AX$842,INDIRECT(AJ848),0))</f>
        <v>1</v>
      </c>
      <c r="AU848" s="304" t="b">
        <f t="shared" ref="AU848:AU857" ca="1" si="311">ISNA(MATCH($AX$854,INDIRECT(AJ848),0))</f>
        <v>1</v>
      </c>
      <c r="AV848" s="571" t="b">
        <f t="array" aca="1" ref="AV848" ca="1">SUMPRODUCT($BA$842:$BA$859,INT(NOT(ISNA(MATCH($AX$842:$AX$859,INDIRECT(AJ848),0)))))&gt;0</f>
        <v>0</v>
      </c>
      <c r="AX848" s="307" t="s">
        <v>6903</v>
      </c>
      <c r="AY848" s="304"/>
      <c r="AZ848" s="304"/>
      <c r="BA848" s="604">
        <v>0</v>
      </c>
    </row>
    <row r="849" spans="1:53" ht="12.75" customHeight="1">
      <c r="A849" s="219">
        <v>840</v>
      </c>
      <c r="B849" s="7145"/>
      <c r="C849" s="3993"/>
      <c r="D849" s="3876" t="s">
        <v>12558</v>
      </c>
      <c r="E849" s="2613">
        <f>20+Bono_Pod</f>
        <v>20</v>
      </c>
      <c r="F849" s="2613">
        <v>20</v>
      </c>
      <c r="G849" s="2613">
        <v>3</v>
      </c>
      <c r="H849" s="2615">
        <v>3</v>
      </c>
      <c r="I849" s="2613" t="s">
        <v>1357</v>
      </c>
      <c r="J849" s="2613" t="s">
        <v>1315</v>
      </c>
      <c r="K849" s="2613" t="s">
        <v>6828</v>
      </c>
      <c r="L849" s="2613" t="str">
        <f>IF(H1138&gt;0,"Conocida","Distinta")</f>
        <v>Distinta</v>
      </c>
      <c r="M849" s="2613">
        <v>15</v>
      </c>
      <c r="N849" s="2615">
        <v>-2</v>
      </c>
      <c r="O849" s="2613">
        <v>20</v>
      </c>
      <c r="P849" s="2613"/>
      <c r="Q849" s="2613"/>
      <c r="R849" s="2613" t="s">
        <v>1315</v>
      </c>
      <c r="S849" s="2613" t="s">
        <v>1315</v>
      </c>
      <c r="T849" s="2613" t="s">
        <v>1315</v>
      </c>
      <c r="U849" s="2613"/>
      <c r="V849" s="2613" t="s">
        <v>12575</v>
      </c>
      <c r="W849" s="2613"/>
      <c r="X849" s="2613" t="s">
        <v>8236</v>
      </c>
      <c r="Y849" s="2615"/>
      <c r="Z849" s="2436"/>
      <c r="AA849" s="1751" t="s">
        <v>2071</v>
      </c>
      <c r="AC849" s="307" t="str">
        <f t="shared" ca="1" si="300"/>
        <v/>
      </c>
      <c r="AD849" s="304">
        <f t="shared" ca="1" si="301"/>
        <v>0</v>
      </c>
      <c r="AE849" s="304" t="str">
        <f t="shared" ca="1" si="302"/>
        <v xml:space="preserve"> &gt; </v>
      </c>
      <c r="AF849" s="304" t="str">
        <f t="shared" ca="1" si="303"/>
        <v/>
      </c>
      <c r="AG849" s="304">
        <f t="shared" ca="1" si="304"/>
        <v>0</v>
      </c>
      <c r="AH849" s="304" t="str">
        <f t="shared" ca="1" si="305"/>
        <v xml:space="preserve"> &gt; </v>
      </c>
      <c r="AI849" s="1702" t="str">
        <f ca="1">IF(AL849,$O$2236," &gt; ")</f>
        <v xml:space="preserve"> &gt; </v>
      </c>
      <c r="AJ849" s="304" t="str">
        <f>ADDRESS(ROW($O$2238),COLUMN($O$2238))&amp;":"&amp;ADDRESS(ROW($O$2266),COLUMN($O$2266))</f>
        <v>$O$2238:$O$2266</v>
      </c>
      <c r="AK849" s="304" t="str">
        <f>ADDRESS(ROW($O$2238),COLUMN($O$2238)+1)&amp;":"&amp;ADDRESS(ROW($O$2266),COLUMN($O$2266)+1)</f>
        <v>$P$2238:$P$2266</v>
      </c>
      <c r="AL849" s="304" t="b">
        <f t="array" aca="1" ref="AL849" ca="1">NOT(ISNA(MATCH(FALSE,ISNA(MATCH($AX$842:$AX$859,INDIRECT(AJ849),0)),0)))</f>
        <v>0</v>
      </c>
      <c r="AM849" s="304">
        <f t="shared" ca="1" si="306"/>
        <v>0</v>
      </c>
      <c r="AN849" s="304" t="e">
        <f t="array" aca="1" ref="AN849" ca="1">IF(ISNA(MATCH($AX$846,INDIRECT(AJ849),0)),NA(),IFERROR(VALUE(SUBSTITUTE(SUBSTITUTE(INDEX(INDIRECT(AK849),IFERROR(MATCH(FALSE,ISNA(MATCH(INDIRECT(AK849),$O$1411:$O$1419,0)),0),MATCH(FALSE,ISNA(MATCH(INDIRECT(AK849),$AH$1378:$AP$1378,0)),0))),"Ataque especial",""),"Daño Base","")),0))</f>
        <v>#N/A</v>
      </c>
      <c r="AO849" s="304">
        <f t="shared" ca="1" si="307"/>
        <v>0</v>
      </c>
      <c r="AP849" s="304">
        <f t="shared" ca="1" si="308"/>
        <v>0</v>
      </c>
      <c r="AQ849" s="304" t="e">
        <f t="array" aca="1" ref="AQ849" ca="1">RIGHT(INDEX(INDIRECT(AK849),MATCH(TRUE,ISNUMBER(SEARCH("Crítico 1:",INDIRECT(AK849))),0)),3)</f>
        <v>#N/A</v>
      </c>
      <c r="AR849" s="304" t="e">
        <f t="array" aca="1" ref="AR849" ca="1">RIGHT(INDEX(INDIRECT(AK849),MATCH(TRUE,ISNUMBER(SEARCH("Crítico 2:",INDIRECT(AK849))),0)),3)</f>
        <v>#N/A</v>
      </c>
      <c r="AS849" s="304">
        <f t="shared" ca="1" si="309"/>
        <v>0</v>
      </c>
      <c r="AT849" s="304" t="b">
        <f t="shared" ca="1" si="310"/>
        <v>1</v>
      </c>
      <c r="AU849" s="304" t="b">
        <f t="shared" ca="1" si="311"/>
        <v>1</v>
      </c>
      <c r="AV849" s="571" t="b">
        <f t="array" aca="1" ref="AV849" ca="1">SUMPRODUCT($BA$842:$BA$859,INT(NOT(ISNA(MATCH($AX$842:$AX$859,INDIRECT(AJ849),0)))))&gt;0</f>
        <v>0</v>
      </c>
      <c r="AX849" s="307" t="s">
        <v>6668</v>
      </c>
      <c r="AY849" s="304"/>
      <c r="AZ849" s="304"/>
      <c r="BA849" s="604">
        <v>0</v>
      </c>
    </row>
    <row r="850" spans="1:53" ht="12.75" customHeight="1">
      <c r="A850" s="219">
        <v>841</v>
      </c>
      <c r="B850" s="7145"/>
      <c r="C850" s="4275"/>
      <c r="D850" s="3857" t="s">
        <v>11725</v>
      </c>
      <c r="E850" s="2613"/>
      <c r="F850" s="2613"/>
      <c r="G850" s="2613"/>
      <c r="H850" s="2615"/>
      <c r="I850" s="2613"/>
      <c r="J850" s="2613"/>
      <c r="K850" s="2613"/>
      <c r="L850" s="2613"/>
      <c r="M850" s="2613"/>
      <c r="N850" s="2615"/>
      <c r="O850" s="2613"/>
      <c r="P850" s="2613"/>
      <c r="Q850" s="2613"/>
      <c r="R850" s="2613"/>
      <c r="S850" s="2613"/>
      <c r="T850" s="2613"/>
      <c r="U850" s="2613"/>
      <c r="V850" s="2613"/>
      <c r="W850" s="2613"/>
      <c r="X850" s="2613"/>
      <c r="Y850" s="3897"/>
      <c r="AC850" s="307" t="str">
        <f t="shared" ca="1" si="300"/>
        <v/>
      </c>
      <c r="AD850" s="304">
        <f t="shared" ca="1" si="301"/>
        <v>0</v>
      </c>
      <c r="AE850" s="304" t="str">
        <f t="shared" ca="1" si="302"/>
        <v xml:space="preserve"> &gt; </v>
      </c>
      <c r="AF850" s="304" t="str">
        <f t="shared" ca="1" si="303"/>
        <v/>
      </c>
      <c r="AG850" s="304">
        <f t="shared" ca="1" si="304"/>
        <v>0</v>
      </c>
      <c r="AH850" s="304" t="str">
        <f t="shared" ca="1" si="305"/>
        <v xml:space="preserve"> &gt; </v>
      </c>
      <c r="AI850" s="1702" t="str">
        <f ca="1">IF(AL850,$R$2236," &gt; ")</f>
        <v xml:space="preserve"> &gt; </v>
      </c>
      <c r="AJ850" s="304" t="str">
        <f>ADDRESS(ROW($R$2238),COLUMN($R$2238))&amp;":"&amp;ADDRESS(ROW($R$2266),COLUMN($R$2266))</f>
        <v>$R$2238:$R$2266</v>
      </c>
      <c r="AK850" s="304" t="str">
        <f>ADDRESS(ROW($R$2238),COLUMN($R$2238)+1)&amp;":"&amp;ADDRESS(ROW($R$2266),COLUMN($R$2266)+1)</f>
        <v>$S$2238:$S$2266</v>
      </c>
      <c r="AL850" s="304" t="b">
        <f t="array" aca="1" ref="AL850" ca="1">NOT(ISNA(MATCH(FALSE,ISNA(MATCH($AX$842:$AX$859,INDIRECT(AJ850),0)),0)))</f>
        <v>0</v>
      </c>
      <c r="AM850" s="304">
        <f t="shared" ca="1" si="306"/>
        <v>0</v>
      </c>
      <c r="AN850" s="304" t="e">
        <f t="array" aca="1" ref="AN850" ca="1">IF(ISNA(MATCH($AX$846,INDIRECT(AJ850),0)),NA(),IFERROR(VALUE(SUBSTITUTE(SUBSTITUTE(INDEX(INDIRECT(AK850),IFERROR(MATCH(FALSE,ISNA(MATCH(INDIRECT(AK850),$O$1411:$O$1419,0)),0),MATCH(FALSE,ISNA(MATCH(INDIRECT(AK850),$AH$1378:$AP$1378,0)),0))),"Ataque especial",""),"Daño Base","")),0))</f>
        <v>#N/A</v>
      </c>
      <c r="AO850" s="304">
        <f t="shared" ca="1" si="307"/>
        <v>0</v>
      </c>
      <c r="AP850" s="304">
        <f t="shared" ca="1" si="308"/>
        <v>0</v>
      </c>
      <c r="AQ850" s="304" t="e">
        <f t="array" aca="1" ref="AQ850" ca="1">RIGHT(INDEX(INDIRECT(AK850),MATCH(TRUE,ISNUMBER(SEARCH("Crítico 1:",INDIRECT(AK850))),0)),3)</f>
        <v>#N/A</v>
      </c>
      <c r="AR850" s="304" t="e">
        <f t="array" aca="1" ref="AR850" ca="1">RIGHT(INDEX(INDIRECT(AK850),MATCH(TRUE,ISNUMBER(SEARCH("Crítico 2:",INDIRECT(AK850))),0)),3)</f>
        <v>#N/A</v>
      </c>
      <c r="AS850" s="304">
        <f t="shared" ca="1" si="309"/>
        <v>0</v>
      </c>
      <c r="AT850" s="304" t="b">
        <f t="shared" ca="1" si="310"/>
        <v>1</v>
      </c>
      <c r="AU850" s="304" t="b">
        <f t="shared" ca="1" si="311"/>
        <v>1</v>
      </c>
      <c r="AV850" s="571" t="b">
        <f t="array" aca="1" ref="AV850" ca="1">SUMPRODUCT($BA$842:$BA$859,INT(NOT(ISNA(MATCH($AX$842:$AX$859,INDIRECT(AJ850),0)))))&gt;0</f>
        <v>0</v>
      </c>
      <c r="AX850" s="307" t="s">
        <v>12</v>
      </c>
      <c r="AY850" s="304"/>
      <c r="AZ850" s="304"/>
      <c r="BA850" s="604">
        <v>0</v>
      </c>
    </row>
    <row r="851" spans="1:53" ht="12.75" customHeight="1">
      <c r="A851" s="219">
        <v>842</v>
      </c>
      <c r="B851" s="7145"/>
      <c r="C851" s="4275"/>
      <c r="D851" s="4276" t="s">
        <v>11734</v>
      </c>
      <c r="E851" s="4277">
        <f>Presencia_final</f>
        <v>30</v>
      </c>
      <c r="F851" s="4277">
        <v>20</v>
      </c>
      <c r="G851" s="4277">
        <v>0</v>
      </c>
      <c r="H851" s="4277">
        <v>0</v>
      </c>
      <c r="I851" s="4277" t="s">
        <v>1415</v>
      </c>
      <c r="J851" s="4277" t="s">
        <v>1315</v>
      </c>
      <c r="K851" s="4278" t="s">
        <v>6828</v>
      </c>
      <c r="L851" s="4277" t="str">
        <f>IF(Z1071&gt;0,"Conocida","Distinta")</f>
        <v>Distinta</v>
      </c>
      <c r="M851" s="4277">
        <v>12</v>
      </c>
      <c r="N851" s="4277" t="s">
        <v>1315</v>
      </c>
      <c r="O851" s="4277">
        <f>Presencia_final</f>
        <v>30</v>
      </c>
      <c r="P851" s="4277"/>
      <c r="Q851" s="4277"/>
      <c r="R851" s="4277" t="s">
        <v>1315</v>
      </c>
      <c r="S851" s="4277" t="s">
        <v>1315</v>
      </c>
      <c r="T851" s="4277">
        <f>Bono_Pod</f>
        <v>0</v>
      </c>
      <c r="U851" s="4277"/>
      <c r="V851" s="4279" t="s">
        <v>11736</v>
      </c>
      <c r="W851" s="4277"/>
      <c r="X851" s="4279" t="s">
        <v>1821</v>
      </c>
      <c r="Y851" s="4280">
        <v>0</v>
      </c>
      <c r="Z851" s="2436"/>
      <c r="AA851" s="1751" t="s">
        <v>11725</v>
      </c>
      <c r="AC851" s="307" t="str">
        <f t="shared" ca="1" si="300"/>
        <v/>
      </c>
      <c r="AD851" s="304">
        <f t="shared" ca="1" si="301"/>
        <v>0</v>
      </c>
      <c r="AE851" s="304" t="str">
        <f t="shared" ca="1" si="302"/>
        <v xml:space="preserve"> &gt; </v>
      </c>
      <c r="AF851" s="304" t="str">
        <f t="shared" ca="1" si="303"/>
        <v/>
      </c>
      <c r="AG851" s="304">
        <f t="shared" ca="1" si="304"/>
        <v>0</v>
      </c>
      <c r="AH851" s="304" t="str">
        <f t="shared" ca="1" si="305"/>
        <v xml:space="preserve"> &gt; </v>
      </c>
      <c r="AI851" s="1702" t="str">
        <f ca="1">IF(AL851,$U$2236," &gt; ")</f>
        <v xml:space="preserve"> &gt; </v>
      </c>
      <c r="AJ851" s="304" t="str">
        <f>ADDRESS(ROW($U$2238),COLUMN($U$2238))&amp;":"&amp;ADDRESS(ROW($U$2266),COLUMN($U$2266))</f>
        <v>$U$2238:$U$2266</v>
      </c>
      <c r="AK851" s="304" t="str">
        <f>ADDRESS(ROW($U$2238),COLUMN($U$2238)+1)&amp;":"&amp;ADDRESS(ROW($U$2266),COLUMN($U$2266)+1)</f>
        <v>$V$2238:$V$2266</v>
      </c>
      <c r="AL851" s="304" t="b">
        <f t="array" aca="1" ref="AL851" ca="1">NOT(ISNA(MATCH(FALSE,ISNA(MATCH($AX$842:$AX$859,INDIRECT(AJ851),0)),0)))</f>
        <v>0</v>
      </c>
      <c r="AM851" s="304">
        <f t="shared" ca="1" si="306"/>
        <v>0</v>
      </c>
      <c r="AN851" s="304" t="e">
        <f t="array" aca="1" ref="AN851" ca="1">IF(ISNA(MATCH($AX$846,INDIRECT(AJ851),0)),NA(),IFERROR(VALUE(SUBSTITUTE(SUBSTITUTE(INDEX(INDIRECT(AK851),IFERROR(MATCH(FALSE,ISNA(MATCH(INDIRECT(AK851),$O$1411:$O$1419,0)),0),MATCH(FALSE,ISNA(MATCH(INDIRECT(AK851),$AH$1378:$AP$1378,0)),0))),"Ataque especial",""),"Daño Base","")),0))</f>
        <v>#N/A</v>
      </c>
      <c r="AO851" s="304">
        <f t="shared" ca="1" si="307"/>
        <v>0</v>
      </c>
      <c r="AP851" s="304">
        <f t="shared" ca="1" si="308"/>
        <v>0</v>
      </c>
      <c r="AQ851" s="304" t="e">
        <f t="array" aca="1" ref="AQ851" ca="1">RIGHT(INDEX(INDIRECT(AK851),MATCH(TRUE,ISNUMBER(SEARCH("Crítico 1:",INDIRECT(AK851))),0)),3)</f>
        <v>#N/A</v>
      </c>
      <c r="AR851" s="304" t="e">
        <f t="array" aca="1" ref="AR851" ca="1">RIGHT(INDEX(INDIRECT(AK851),MATCH(TRUE,ISNUMBER(SEARCH("Crítico 2:",INDIRECT(AK851))),0)),3)</f>
        <v>#N/A</v>
      </c>
      <c r="AS851" s="304">
        <f t="shared" ca="1" si="309"/>
        <v>0</v>
      </c>
      <c r="AT851" s="304" t="b">
        <f t="shared" ca="1" si="310"/>
        <v>1</v>
      </c>
      <c r="AU851" s="304" t="b">
        <f t="shared" ca="1" si="311"/>
        <v>1</v>
      </c>
      <c r="AV851" s="571" t="b">
        <f t="array" aca="1" ref="AV851" ca="1">SUMPRODUCT($BA$842:$BA$859,INT(NOT(ISNA(MATCH($AX$842:$AX$859,INDIRECT(AJ851),0)))))&gt;0</f>
        <v>0</v>
      </c>
      <c r="AX851" s="307" t="s">
        <v>6930</v>
      </c>
      <c r="AY851" s="304"/>
      <c r="AZ851" s="304"/>
      <c r="BA851" s="604">
        <v>0</v>
      </c>
    </row>
    <row r="852" spans="1:53" ht="12.75" customHeight="1">
      <c r="A852" s="219">
        <v>843</v>
      </c>
      <c r="B852" s="7145"/>
      <c r="C852" s="4275"/>
      <c r="D852" s="4276" t="s">
        <v>11726</v>
      </c>
      <c r="E852" s="4277" t="s">
        <v>2972</v>
      </c>
      <c r="F852" s="4277">
        <v>20</v>
      </c>
      <c r="G852" s="4277">
        <v>0</v>
      </c>
      <c r="H852" s="4277">
        <v>0</v>
      </c>
      <c r="I852" s="4277" t="s">
        <v>1315</v>
      </c>
      <c r="J852" s="4277" t="s">
        <v>1315</v>
      </c>
      <c r="K852" s="4278" t="s">
        <v>11737</v>
      </c>
      <c r="L852" s="4277" t="str">
        <f>IF(Z1083&gt;0,"Conocida","Distinta")</f>
        <v>Distinta</v>
      </c>
      <c r="M852" s="4277">
        <v>10</v>
      </c>
      <c r="N852" s="4277">
        <v>5</v>
      </c>
      <c r="O852" s="4277">
        <f>Presencia_final</f>
        <v>30</v>
      </c>
      <c r="P852" s="4277"/>
      <c r="Q852" s="4277"/>
      <c r="R852" s="4277" t="s">
        <v>1315</v>
      </c>
      <c r="S852" s="4277" t="s">
        <v>1315</v>
      </c>
      <c r="T852" s="4277" t="s">
        <v>1315</v>
      </c>
      <c r="U852" s="4277"/>
      <c r="V852" s="4279" t="s">
        <v>10044</v>
      </c>
      <c r="W852" s="4277"/>
      <c r="X852" s="4279" t="s">
        <v>9679</v>
      </c>
      <c r="Y852" s="4280">
        <v>0</v>
      </c>
      <c r="Z852" s="2436"/>
      <c r="AA852" s="1751" t="s">
        <v>11725</v>
      </c>
      <c r="AC852" s="307" t="str">
        <f t="shared" ca="1" si="300"/>
        <v/>
      </c>
      <c r="AD852" s="304">
        <f t="shared" ca="1" si="301"/>
        <v>0</v>
      </c>
      <c r="AE852" s="304" t="str">
        <f t="shared" ca="1" si="302"/>
        <v xml:space="preserve"> &gt; </v>
      </c>
      <c r="AF852" s="304" t="str">
        <f t="shared" ca="1" si="303"/>
        <v/>
      </c>
      <c r="AG852" s="304">
        <f t="shared" ca="1" si="304"/>
        <v>0</v>
      </c>
      <c r="AH852" s="304" t="str">
        <f t="shared" ca="1" si="305"/>
        <v xml:space="preserve"> &gt; </v>
      </c>
      <c r="AI852" s="1702" t="str">
        <f ca="1">IF(AL852,$X$2236," &gt; ")</f>
        <v xml:space="preserve"> &gt; </v>
      </c>
      <c r="AJ852" s="304" t="str">
        <f>ADDRESS(ROW($X$2238),COLUMN($X$2238))&amp;":"&amp;ADDRESS(ROW($X$2266),COLUMN($X$2266))</f>
        <v>$X$2238:$X$2266</v>
      </c>
      <c r="AK852" s="304" t="str">
        <f>ADDRESS(ROW($X$2238),COLUMN($X$2238)+1)&amp;":"&amp;ADDRESS(ROW($X$2266),COLUMN($X$2266)+1)</f>
        <v>$Y$2238:$Y$2266</v>
      </c>
      <c r="AL852" s="304" t="b">
        <f t="array" aca="1" ref="AL852" ca="1">NOT(ISNA(MATCH(FALSE,ISNA(MATCH($AX$842:$AX$859,INDIRECT(AJ852),0)),0)))</f>
        <v>0</v>
      </c>
      <c r="AM852" s="304">
        <f t="shared" ca="1" si="306"/>
        <v>0</v>
      </c>
      <c r="AN852" s="304" t="e">
        <f t="array" aca="1" ref="AN852" ca="1">IF(ISNA(MATCH($AX$846,INDIRECT(AJ852),0)),NA(),IFERROR(VALUE(SUBSTITUTE(SUBSTITUTE(INDEX(INDIRECT(AK852),IFERROR(MATCH(FALSE,ISNA(MATCH(INDIRECT(AK852),$O$1411:$O$1419,0)),0),MATCH(FALSE,ISNA(MATCH(INDIRECT(AK852),$AH$1378:$AP$1378,0)),0))),"Ataque especial",""),"Daño Base","")),0))</f>
        <v>#N/A</v>
      </c>
      <c r="AO852" s="304">
        <f t="shared" ca="1" si="307"/>
        <v>0</v>
      </c>
      <c r="AP852" s="304">
        <f t="shared" ca="1" si="308"/>
        <v>0</v>
      </c>
      <c r="AQ852" s="304" t="e">
        <f t="array" aca="1" ref="AQ852" ca="1">RIGHT(INDEX(INDIRECT(AK852),MATCH(TRUE,ISNUMBER(SEARCH("Crítico 1:",INDIRECT(AK852))),0)),3)</f>
        <v>#N/A</v>
      </c>
      <c r="AR852" s="304" t="e">
        <f t="array" aca="1" ref="AR852" ca="1">RIGHT(INDEX(INDIRECT(AK852),MATCH(TRUE,ISNUMBER(SEARCH("Crítico 2:",INDIRECT(AK852))),0)),3)</f>
        <v>#N/A</v>
      </c>
      <c r="AS852" s="304">
        <f t="shared" ca="1" si="309"/>
        <v>0</v>
      </c>
      <c r="AT852" s="304" t="b">
        <f t="shared" ca="1" si="310"/>
        <v>1</v>
      </c>
      <c r="AU852" s="304" t="b">
        <f t="shared" ca="1" si="311"/>
        <v>1</v>
      </c>
      <c r="AV852" s="571" t="b">
        <f t="array" aca="1" ref="AV852" ca="1">SUMPRODUCT($BA$842:$BA$859,INT(NOT(ISNA(MATCH($AX$842:$AX$859,INDIRECT(AJ852),0)))))&gt;0</f>
        <v>0</v>
      </c>
      <c r="AX852" s="307" t="s">
        <v>6931</v>
      </c>
      <c r="AY852" s="304"/>
      <c r="AZ852" s="304"/>
      <c r="BA852" s="604">
        <v>0</v>
      </c>
    </row>
    <row r="853" spans="1:53" ht="12.75" customHeight="1">
      <c r="A853" s="219">
        <v>844</v>
      </c>
      <c r="B853" s="7145"/>
      <c r="C853" s="4275"/>
      <c r="D853" s="4276" t="s">
        <v>11727</v>
      </c>
      <c r="E853" s="4277">
        <v>80</v>
      </c>
      <c r="F853" s="4277">
        <v>0</v>
      </c>
      <c r="G853" s="4277">
        <v>0</v>
      </c>
      <c r="H853" s="4277">
        <v>0</v>
      </c>
      <c r="I853" s="4277" t="s">
        <v>1315</v>
      </c>
      <c r="J853" s="4277" t="s">
        <v>1315</v>
      </c>
      <c r="K853" s="4278" t="s">
        <v>1315</v>
      </c>
      <c r="L853" s="4277" t="str">
        <f>IF(Z1084&gt;0,"Conocida","Distinta")</f>
        <v>Distinta</v>
      </c>
      <c r="M853" s="4277">
        <v>16</v>
      </c>
      <c r="N853" s="4277">
        <v>4</v>
      </c>
      <c r="O853" s="4277">
        <f>Presencia_final</f>
        <v>30</v>
      </c>
      <c r="P853" s="4277"/>
      <c r="Q853" s="4277"/>
      <c r="R853" s="4277" t="s">
        <v>1315</v>
      </c>
      <c r="S853" s="4277" t="s">
        <v>1315</v>
      </c>
      <c r="T853" s="4277" t="s">
        <v>1315</v>
      </c>
      <c r="U853" s="4277"/>
      <c r="V853" s="4279" t="s">
        <v>10045</v>
      </c>
      <c r="W853" s="4277"/>
      <c r="X853" s="4279" t="s">
        <v>9679</v>
      </c>
      <c r="Y853" s="4280">
        <v>0</v>
      </c>
      <c r="Z853" s="2436"/>
      <c r="AA853" s="1751" t="s">
        <v>11725</v>
      </c>
      <c r="AC853" s="307" t="str">
        <f t="shared" ca="1" si="300"/>
        <v/>
      </c>
      <c r="AD853" s="304">
        <f t="shared" ca="1" si="301"/>
        <v>0</v>
      </c>
      <c r="AE853" s="304" t="str">
        <f t="shared" ca="1" si="302"/>
        <v xml:space="preserve"> &gt; </v>
      </c>
      <c r="AF853" s="304" t="str">
        <f t="shared" ca="1" si="303"/>
        <v/>
      </c>
      <c r="AG853" s="304">
        <f t="shared" ca="1" si="304"/>
        <v>0</v>
      </c>
      <c r="AH853" s="304" t="str">
        <f t="shared" ca="1" si="305"/>
        <v xml:space="preserve"> &gt; </v>
      </c>
      <c r="AI853" s="1702" t="str">
        <f ca="1">IF(AL853,$AA$2236," &gt; ")</f>
        <v xml:space="preserve"> &gt; </v>
      </c>
      <c r="AJ853" s="304" t="str">
        <f>ADDRESS(ROW($AA$2238),COLUMN($AA$2238))&amp;":"&amp;ADDRESS(ROW($AA$2266),COLUMN($AA$2266))</f>
        <v>$AA$2238:$AA$2266</v>
      </c>
      <c r="AK853" s="304" t="str">
        <f>ADDRESS(ROW($AA$2238),COLUMN($AA$2238)+1)&amp;":"&amp;ADDRESS(ROW($AA$2266),COLUMN($AA$2266)+1)</f>
        <v>$AB$2238:$AB$2266</v>
      </c>
      <c r="AL853" s="304" t="b">
        <f t="array" aca="1" ref="AL853" ca="1">NOT(ISNA(MATCH(FALSE,ISNA(MATCH($AX$842:$AX$859,INDIRECT(AJ853),0)),0)))</f>
        <v>0</v>
      </c>
      <c r="AM853" s="304">
        <f t="shared" ca="1" si="306"/>
        <v>0</v>
      </c>
      <c r="AN853" s="304" t="e">
        <f t="array" aca="1" ref="AN853" ca="1">IF(ISNA(MATCH($AX$846,INDIRECT(AJ853),0)),NA(),IFERROR(VALUE(SUBSTITUTE(SUBSTITUTE(INDEX(INDIRECT(AK853),IFERROR(MATCH(FALSE,ISNA(MATCH(INDIRECT(AK853),$O$1411:$O$1419,0)),0),MATCH(FALSE,ISNA(MATCH(INDIRECT(AK853),$AH$1378:$AP$1378,0)),0))),"Ataque especial",""),"Daño Base","")),0))</f>
        <v>#N/A</v>
      </c>
      <c r="AO853" s="304">
        <f t="shared" ca="1" si="307"/>
        <v>0</v>
      </c>
      <c r="AP853" s="304">
        <f t="shared" ca="1" si="308"/>
        <v>0</v>
      </c>
      <c r="AQ853" s="304" t="e">
        <f t="array" aca="1" ref="AQ853" ca="1">RIGHT(INDEX(INDIRECT(AK853),MATCH(TRUE,ISNUMBER(SEARCH("Crítico 1:",INDIRECT(AK853))),0)),3)</f>
        <v>#N/A</v>
      </c>
      <c r="AR853" s="304" t="e">
        <f t="array" aca="1" ref="AR853" ca="1">RIGHT(INDEX(INDIRECT(AK853),MATCH(TRUE,ISNUMBER(SEARCH("Crítico 2:",INDIRECT(AK853))),0)),3)</f>
        <v>#N/A</v>
      </c>
      <c r="AS853" s="304">
        <f t="shared" ca="1" si="309"/>
        <v>0</v>
      </c>
      <c r="AT853" s="304" t="b">
        <f t="shared" ca="1" si="310"/>
        <v>1</v>
      </c>
      <c r="AU853" s="304" t="b">
        <f t="shared" ca="1" si="311"/>
        <v>1</v>
      </c>
      <c r="AV853" s="571" t="b">
        <f t="array" aca="1" ref="AV853" ca="1">SUMPRODUCT($BA$842:$BA$859,INT(NOT(ISNA(MATCH($AX$842:$AX$859,INDIRECT(AJ853),0)))))&gt;0</f>
        <v>0</v>
      </c>
      <c r="AX853" s="307" t="s">
        <v>6932</v>
      </c>
      <c r="AY853" s="304"/>
      <c r="AZ853" s="304"/>
      <c r="BA853" s="604">
        <v>0</v>
      </c>
    </row>
    <row r="854" spans="1:53" ht="12.75" customHeight="1">
      <c r="A854" s="219">
        <v>845</v>
      </c>
      <c r="B854" s="7145"/>
      <c r="C854" s="4275"/>
      <c r="D854" s="4276" t="s">
        <v>11728</v>
      </c>
      <c r="E854" s="4277">
        <f>VOL+60</f>
        <v>60</v>
      </c>
      <c r="F854" s="4277">
        <v>10</v>
      </c>
      <c r="G854" s="4277">
        <v>0</v>
      </c>
      <c r="H854" s="4277">
        <v>0</v>
      </c>
      <c r="I854" s="4277" t="s">
        <v>1415</v>
      </c>
      <c r="J854" s="4277" t="s">
        <v>1410</v>
      </c>
      <c r="K854" s="4278" t="s">
        <v>1315</v>
      </c>
      <c r="L854" s="4277" t="str">
        <f>IF(Z1089&gt;0,"Conocida","Distinta")</f>
        <v>Distinta</v>
      </c>
      <c r="M854" s="4277">
        <v>10</v>
      </c>
      <c r="N854" s="4277">
        <v>7</v>
      </c>
      <c r="O854" s="4277">
        <v>80</v>
      </c>
      <c r="P854" s="4277"/>
      <c r="Q854" s="4277"/>
      <c r="R854" s="4277" t="s">
        <v>1315</v>
      </c>
      <c r="S854" s="4277" t="s">
        <v>1315</v>
      </c>
      <c r="T854" s="4277" t="s">
        <v>1315</v>
      </c>
      <c r="U854" s="4277"/>
      <c r="V854" s="4279" t="s">
        <v>10046</v>
      </c>
      <c r="W854" s="4277"/>
      <c r="X854" s="4279" t="s">
        <v>9679</v>
      </c>
      <c r="Y854" s="4280">
        <v>0</v>
      </c>
      <c r="Z854" s="2436"/>
      <c r="AA854" s="1751" t="s">
        <v>11725</v>
      </c>
      <c r="AC854" s="307" t="str">
        <f t="shared" ca="1" si="300"/>
        <v/>
      </c>
      <c r="AD854" s="304">
        <f t="shared" ca="1" si="301"/>
        <v>0</v>
      </c>
      <c r="AE854" s="304" t="str">
        <f t="shared" ca="1" si="302"/>
        <v xml:space="preserve"> &gt; </v>
      </c>
      <c r="AF854" s="304" t="str">
        <f t="shared" ca="1" si="303"/>
        <v/>
      </c>
      <c r="AG854" s="304">
        <f t="shared" ca="1" si="304"/>
        <v>0</v>
      </c>
      <c r="AH854" s="304" t="str">
        <f t="shared" ca="1" si="305"/>
        <v xml:space="preserve"> &gt; </v>
      </c>
      <c r="AI854" s="1702" t="str">
        <f ca="1">IF(AL854,$AD$2236," &gt; ")</f>
        <v xml:space="preserve"> &gt; </v>
      </c>
      <c r="AJ854" s="304" t="str">
        <f>ADDRESS(ROW($AD$2238),COLUMN($AD$2238))&amp;":"&amp;ADDRESS(ROW($AD$2266),COLUMN($AD$2266))</f>
        <v>$AD$2238:$AD$2266</v>
      </c>
      <c r="AK854" s="304" t="str">
        <f>ADDRESS(ROW($AD$2238),COLUMN($AD$2238)+1)&amp;":"&amp;ADDRESS(ROW($AD$2266),COLUMN($AD$2266)+1)</f>
        <v>$AE$2238:$AE$2266</v>
      </c>
      <c r="AL854" s="304" t="b">
        <f t="array" aca="1" ref="AL854" ca="1">NOT(ISNA(MATCH(FALSE,ISNA(MATCH($AX$842:$AX$859,INDIRECT(AJ854),0)),0)))</f>
        <v>0</v>
      </c>
      <c r="AM854" s="304">
        <f t="shared" ca="1" si="306"/>
        <v>0</v>
      </c>
      <c r="AN854" s="304" t="e">
        <f t="array" aca="1" ref="AN854" ca="1">IF(ISNA(MATCH($AX$846,INDIRECT(AJ854),0)),NA(),IFERROR(VALUE(SUBSTITUTE(SUBSTITUTE(INDEX(INDIRECT(AK854),IFERROR(MATCH(FALSE,ISNA(MATCH(INDIRECT(AK854),$O$1411:$O$1419,0)),0),MATCH(FALSE,ISNA(MATCH(INDIRECT(AK854),$AH$1378:$AP$1378,0)),0))),"Ataque especial",""),"Daño Base","")),0))</f>
        <v>#N/A</v>
      </c>
      <c r="AO854" s="304">
        <f t="shared" ca="1" si="307"/>
        <v>0</v>
      </c>
      <c r="AP854" s="304">
        <f t="shared" ca="1" si="308"/>
        <v>0</v>
      </c>
      <c r="AQ854" s="304" t="e">
        <f t="array" aca="1" ref="AQ854" ca="1">RIGHT(INDEX(INDIRECT(AK854),MATCH(TRUE,ISNUMBER(SEARCH("Crítico 1:",INDIRECT(AK854))),0)),3)</f>
        <v>#N/A</v>
      </c>
      <c r="AR854" s="304" t="e">
        <f t="array" aca="1" ref="AR854" ca="1">RIGHT(INDEX(INDIRECT(AK854),MATCH(TRUE,ISNUMBER(SEARCH("Crítico 2:",INDIRECT(AK854))),0)),3)</f>
        <v>#N/A</v>
      </c>
      <c r="AS854" s="304">
        <f t="shared" ca="1" si="309"/>
        <v>0</v>
      </c>
      <c r="AT854" s="304" t="b">
        <f t="shared" ca="1" si="310"/>
        <v>1</v>
      </c>
      <c r="AU854" s="304" t="b">
        <f t="shared" ca="1" si="311"/>
        <v>1</v>
      </c>
      <c r="AV854" s="571" t="b">
        <f t="array" aca="1" ref="AV854" ca="1">SUMPRODUCT($BA$842:$BA$859,INT(NOT(ISNA(MATCH($AX$842:$AX$859,INDIRECT(AJ854),0)))))&gt;0</f>
        <v>0</v>
      </c>
      <c r="AX854" s="307" t="s">
        <v>13</v>
      </c>
      <c r="AY854" s="304"/>
      <c r="AZ854" s="304"/>
      <c r="BA854" s="604">
        <v>0</v>
      </c>
    </row>
    <row r="855" spans="1:53" ht="12.75" customHeight="1">
      <c r="A855" s="219">
        <v>846</v>
      </c>
      <c r="B855" s="7145"/>
      <c r="C855" s="4275"/>
      <c r="D855" s="4276" t="s">
        <v>11729</v>
      </c>
      <c r="E855" s="4277">
        <f>VOL+50</f>
        <v>50</v>
      </c>
      <c r="F855" s="4277">
        <v>0</v>
      </c>
      <c r="G855" s="4277">
        <v>7</v>
      </c>
      <c r="H855" s="4277">
        <v>7</v>
      </c>
      <c r="I855" s="4277" t="s">
        <v>1357</v>
      </c>
      <c r="J855" s="4277" t="s">
        <v>1415</v>
      </c>
      <c r="K855" s="4278" t="s">
        <v>1315</v>
      </c>
      <c r="L855" s="4277" t="str">
        <f>IF(Z1090&gt;0,"Conocida","Distinta")</f>
        <v>Distinta</v>
      </c>
      <c r="M855" s="4277">
        <v>16</v>
      </c>
      <c r="N855" s="4277">
        <v>6</v>
      </c>
      <c r="O855" s="4277">
        <v>70</v>
      </c>
      <c r="P855" s="4277"/>
      <c r="Q855" s="4277"/>
      <c r="R855" s="4277" t="s">
        <v>1315</v>
      </c>
      <c r="S855" s="4277" t="s">
        <v>1315</v>
      </c>
      <c r="T855" s="4277" t="s">
        <v>1315</v>
      </c>
      <c r="U855" s="4277"/>
      <c r="V855" s="4279" t="s">
        <v>11738</v>
      </c>
      <c r="W855" s="4277"/>
      <c r="X855" s="4279" t="s">
        <v>1821</v>
      </c>
      <c r="Y855" s="4280">
        <v>0</v>
      </c>
      <c r="Z855" s="2436"/>
      <c r="AA855" s="1751" t="s">
        <v>11725</v>
      </c>
      <c r="AC855" s="307" t="str">
        <f t="shared" ca="1" si="300"/>
        <v/>
      </c>
      <c r="AD855" s="304">
        <f t="shared" ca="1" si="301"/>
        <v>0</v>
      </c>
      <c r="AE855" s="304" t="str">
        <f t="shared" ca="1" si="302"/>
        <v xml:space="preserve"> &gt; </v>
      </c>
      <c r="AF855" s="304" t="str">
        <f t="shared" ca="1" si="303"/>
        <v/>
      </c>
      <c r="AG855" s="304">
        <f t="shared" ca="1" si="304"/>
        <v>0</v>
      </c>
      <c r="AH855" s="304" t="str">
        <f t="shared" ca="1" si="305"/>
        <v xml:space="preserve"> &gt; </v>
      </c>
      <c r="AI855" s="1702" t="str">
        <f ca="1">IF(AL855,$AG$2236," &gt; ")</f>
        <v xml:space="preserve"> &gt; </v>
      </c>
      <c r="AJ855" s="304" t="str">
        <f>ADDRESS(ROW($AG$2238),COLUMN($AG$2238))&amp;":"&amp;ADDRESS(ROW($AG$2266),COLUMN($AG$2266))</f>
        <v>$AG$2238:$AG$2266</v>
      </c>
      <c r="AK855" s="304" t="str">
        <f>ADDRESS(ROW($AG$2238),COLUMN($AG$2238)+1)&amp;":"&amp;ADDRESS(ROW($AG$2266),COLUMN($AG$2266)+1)</f>
        <v>$AH$2238:$AH$2266</v>
      </c>
      <c r="AL855" s="304" t="b">
        <f t="array" aca="1" ref="AL855" ca="1">NOT(ISNA(MATCH(FALSE,ISNA(MATCH($AX$842:$AX$859,INDIRECT(AJ855),0)),0)))</f>
        <v>0</v>
      </c>
      <c r="AM855" s="304">
        <f t="shared" ca="1" si="306"/>
        <v>0</v>
      </c>
      <c r="AN855" s="304" t="e">
        <f t="array" aca="1" ref="AN855" ca="1">IF(ISNA(MATCH($AX$846,INDIRECT(AJ855),0)),NA(),IFERROR(VALUE(SUBSTITUTE(SUBSTITUTE(INDEX(INDIRECT(AK855),IFERROR(MATCH(FALSE,ISNA(MATCH(INDIRECT(AK855),$O$1411:$O$1419,0)),0),MATCH(FALSE,ISNA(MATCH(INDIRECT(AK855),$AH$1378:$AP$1378,0)),0))),"Ataque especial",""),"Daño Base","")),0))</f>
        <v>#N/A</v>
      </c>
      <c r="AO855" s="304">
        <f t="shared" ca="1" si="307"/>
        <v>0</v>
      </c>
      <c r="AP855" s="304">
        <f t="shared" ca="1" si="308"/>
        <v>0</v>
      </c>
      <c r="AQ855" s="304" t="e">
        <f t="array" aca="1" ref="AQ855" ca="1">RIGHT(INDEX(INDIRECT(AK855),MATCH(TRUE,ISNUMBER(SEARCH("Crítico 1:",INDIRECT(AK855))),0)),3)</f>
        <v>#N/A</v>
      </c>
      <c r="AR855" s="304" t="e">
        <f t="array" aca="1" ref="AR855" ca="1">RIGHT(INDEX(INDIRECT(AK855),MATCH(TRUE,ISNUMBER(SEARCH("Crítico 2:",INDIRECT(AK855))),0)),3)</f>
        <v>#N/A</v>
      </c>
      <c r="AS855" s="304">
        <f t="shared" ca="1" si="309"/>
        <v>0</v>
      </c>
      <c r="AT855" s="304" t="b">
        <f t="shared" ca="1" si="310"/>
        <v>1</v>
      </c>
      <c r="AU855" s="304" t="b">
        <f t="shared" ca="1" si="311"/>
        <v>1</v>
      </c>
      <c r="AV855" s="571" t="b">
        <f t="array" aca="1" ref="AV855" ca="1">SUMPRODUCT($BA$842:$BA$859,INT(NOT(ISNA(MATCH($AX$842:$AX$859,INDIRECT(AJ855),0)))))&gt;0</f>
        <v>0</v>
      </c>
      <c r="AX855" s="307" t="s">
        <v>9485</v>
      </c>
      <c r="AY855" s="304"/>
      <c r="AZ855" s="304"/>
      <c r="BA855" s="604">
        <v>0</v>
      </c>
    </row>
    <row r="856" spans="1:53" ht="12.75" customHeight="1">
      <c r="A856" s="219">
        <v>847</v>
      </c>
      <c r="B856" s="7145"/>
      <c r="C856" s="4275"/>
      <c r="D856" s="4276" t="s">
        <v>11730</v>
      </c>
      <c r="E856" s="4277">
        <f>IF(Personalización!V108="Ukaku",30+Bono_Fue,IF(Personalización!V108="Koukaku",60+Bono_Fue*2,IF(Personalización!V108="Rinkaku",40+Bono_Fue,IF(Personalización!V108="Bikaku",50+Bono_Fue,0))))+IF(AND(Personalización!AJ107="Sí",Personalización!V108="Ukaku"),10)</f>
        <v>40</v>
      </c>
      <c r="F856" s="4277">
        <v>20</v>
      </c>
      <c r="G856" s="4277">
        <v>0</v>
      </c>
      <c r="H856" s="4277">
        <v>0</v>
      </c>
      <c r="I856" s="4277" t="str">
        <f>IF(Personalización!V108="Ukaku","PEN",IF(Personalización!V108="Rinkaku","FIL",IF(Personalización!V108="Koukaku","CON",IF(Personalización!V108="Bikaku",Personalización!Z108,""))))</f>
        <v>FIL</v>
      </c>
      <c r="J856" s="4277" t="s">
        <v>1315</v>
      </c>
      <c r="K856" s="4278" t="s">
        <v>6850</v>
      </c>
      <c r="L856" s="4277" t="str">
        <f>IF(Z1091&gt;0,"Conocida","Distinta")</f>
        <v>Distinta</v>
      </c>
      <c r="M856" s="4277">
        <v>20</v>
      </c>
      <c r="N856" s="4277">
        <v>10</v>
      </c>
      <c r="O856" s="4277">
        <f>Presencia_final</f>
        <v>30</v>
      </c>
      <c r="P856" s="4277"/>
      <c r="Q856" s="4277"/>
      <c r="R856" s="4277" t="s">
        <v>1315</v>
      </c>
      <c r="S856" s="4277" t="s">
        <v>1315</v>
      </c>
      <c r="T856" s="4277" t="str">
        <f>IF(Personalización!V108="Ukaku",Bono_Pod*2,"-")</f>
        <v>-</v>
      </c>
      <c r="U856" s="4277"/>
      <c r="V856" s="4279" t="str">
        <f>IF(Personalización!V108="Ukaku","Preciso, Especialización resplandeciente "&amp;"(Lanzada "&amp;T856&amp;" m)",IF(Personalización!V108="Koukaku","Especialización resplandeciente (-2 TA)",IF(Personalización!V108="Rinkaku","Especialización resplandeciente (Traba y Presa 13)",IF(Personalización!V108="Bikaku","Especialización resplandeciente",""))))</f>
        <v>Especialización resplandeciente (Traba y Presa 13)</v>
      </c>
      <c r="W856" s="4277"/>
      <c r="X856" s="4279" t="str">
        <f>IF(Personalización!V108="Ukaku","Pequeña",IF(Personalización!V108="Koukaku","Grande",""))</f>
        <v/>
      </c>
      <c r="Y856" s="4280">
        <v>0</v>
      </c>
      <c r="Z856" s="2436"/>
      <c r="AA856" s="1751" t="s">
        <v>11725</v>
      </c>
      <c r="AC856" s="307" t="str">
        <f t="shared" ca="1" si="300"/>
        <v/>
      </c>
      <c r="AD856" s="304">
        <f t="shared" ca="1" si="301"/>
        <v>0</v>
      </c>
      <c r="AE856" s="304" t="str">
        <f t="shared" ca="1" si="302"/>
        <v xml:space="preserve"> &gt; </v>
      </c>
      <c r="AF856" s="304" t="str">
        <f t="shared" ca="1" si="303"/>
        <v/>
      </c>
      <c r="AG856" s="304">
        <f t="shared" ca="1" si="304"/>
        <v>0</v>
      </c>
      <c r="AH856" s="304" t="str">
        <f t="shared" ca="1" si="305"/>
        <v xml:space="preserve"> &gt; </v>
      </c>
      <c r="AI856" s="1702" t="str">
        <f ca="1">IF(AL856,$AJ$2236," &gt; ")</f>
        <v xml:space="preserve"> &gt; </v>
      </c>
      <c r="AJ856" s="304" t="str">
        <f>ADDRESS(ROW($AJ$2238),COLUMN($AJ$2238))&amp;":"&amp;ADDRESS(ROW($AJ$2266),COLUMN($AJ$2266))</f>
        <v>$AJ$2238:$AJ$2266</v>
      </c>
      <c r="AK856" s="304" t="str">
        <f>ADDRESS(ROW($AJ$2238),COLUMN($AJ$2238)+1)&amp;":"&amp;ADDRESS(ROW($AJ$2266),COLUMN($AJ$2266)+1)</f>
        <v>$AK$2238:$AK$2266</v>
      </c>
      <c r="AL856" s="304" t="b">
        <f t="array" aca="1" ref="AL856" ca="1">NOT(ISNA(MATCH(FALSE,ISNA(MATCH($AX$842:$AX$859,INDIRECT(AJ856),0)),0)))</f>
        <v>0</v>
      </c>
      <c r="AM856" s="304">
        <f t="shared" ca="1" si="306"/>
        <v>0</v>
      </c>
      <c r="AN856" s="304" t="e">
        <f t="array" aca="1" ref="AN856" ca="1">IF(ISNA(MATCH($AX$846,INDIRECT(AJ856),0)),NA(),IFERROR(VALUE(SUBSTITUTE(SUBSTITUTE(INDEX(INDIRECT(AK856),IFERROR(MATCH(FALSE,ISNA(MATCH(INDIRECT(AK856),$O$1411:$O$1419,0)),0),MATCH(FALSE,ISNA(MATCH(INDIRECT(AK856),$AH$1378:$AP$1378,0)),0))),"Ataque especial",""),"Daño Base","")),0))</f>
        <v>#N/A</v>
      </c>
      <c r="AO856" s="304">
        <f t="shared" ca="1" si="307"/>
        <v>0</v>
      </c>
      <c r="AP856" s="304">
        <f t="shared" ca="1" si="308"/>
        <v>0</v>
      </c>
      <c r="AQ856" s="304" t="e">
        <f t="array" aca="1" ref="AQ856" ca="1">RIGHT(INDEX(INDIRECT(AK856),MATCH(TRUE,ISNUMBER(SEARCH("Crítico 1:",INDIRECT(AK856))),0)),3)</f>
        <v>#N/A</v>
      </c>
      <c r="AR856" s="304" t="e">
        <f t="array" aca="1" ref="AR856" ca="1">RIGHT(INDEX(INDIRECT(AK856),MATCH(TRUE,ISNUMBER(SEARCH("Crítico 2:",INDIRECT(AK856))),0)),3)</f>
        <v>#N/A</v>
      </c>
      <c r="AS856" s="304">
        <f t="shared" ca="1" si="309"/>
        <v>0</v>
      </c>
      <c r="AT856" s="304" t="b">
        <f t="shared" ca="1" si="310"/>
        <v>1</v>
      </c>
      <c r="AU856" s="304" t="b">
        <f t="shared" ca="1" si="311"/>
        <v>1</v>
      </c>
      <c r="AV856" s="571" t="b">
        <f t="array" aca="1" ref="AV856" ca="1">SUMPRODUCT($BA$842:$BA$859,INT(NOT(ISNA(MATCH($AX$842:$AX$859,INDIRECT(AJ856),0)))))&gt;0</f>
        <v>0</v>
      </c>
      <c r="AX856" s="307" t="s">
        <v>1429</v>
      </c>
      <c r="AY856" s="304"/>
      <c r="AZ856" s="304"/>
      <c r="BA856" s="604">
        <v>0</v>
      </c>
    </row>
    <row r="857" spans="1:53" ht="12.75" customHeight="1" thickBot="1">
      <c r="A857" s="219">
        <v>848</v>
      </c>
      <c r="B857" s="7145"/>
      <c r="C857" s="3278"/>
      <c r="D857" s="4281" t="s">
        <v>11732</v>
      </c>
      <c r="E857" s="3508"/>
      <c r="F857" s="3508"/>
      <c r="G857" s="3508"/>
      <c r="H857" s="3508"/>
      <c r="I857" s="3508"/>
      <c r="J857" s="3508"/>
      <c r="K857" s="3506"/>
      <c r="L857" s="3508"/>
      <c r="M857" s="3508"/>
      <c r="N857" s="3508"/>
      <c r="O857" s="3508"/>
      <c r="P857" s="3508"/>
      <c r="Q857" s="3508"/>
      <c r="R857" s="3508"/>
      <c r="S857" s="3508"/>
      <c r="T857" s="3508"/>
      <c r="U857" s="3508"/>
      <c r="V857" s="3573"/>
      <c r="W857" s="3508"/>
      <c r="X857" s="3508"/>
      <c r="Y857" s="4282"/>
      <c r="Z857" s="2436"/>
      <c r="AA857" s="1751"/>
      <c r="AC857" s="610" t="str">
        <f t="shared" ca="1" si="300"/>
        <v/>
      </c>
      <c r="AD857" s="309">
        <f t="shared" ca="1" si="301"/>
        <v>0</v>
      </c>
      <c r="AE857" s="309" t="str">
        <f t="shared" ca="1" si="302"/>
        <v xml:space="preserve"> &gt; </v>
      </c>
      <c r="AF857" s="309" t="str">
        <f t="shared" ca="1" si="303"/>
        <v/>
      </c>
      <c r="AG857" s="309">
        <f t="shared" ca="1" si="304"/>
        <v>0</v>
      </c>
      <c r="AH857" s="309" t="str">
        <f t="shared" ca="1" si="305"/>
        <v xml:space="preserve"> &gt; </v>
      </c>
      <c r="AI857" s="2432" t="str">
        <f ca="1">IF(AL857,$AM$2236," &gt; ")</f>
        <v xml:space="preserve"> &gt; </v>
      </c>
      <c r="AJ857" s="309" t="str">
        <f>ADDRESS(ROW($AM$2238),COLUMN($AM$2238))&amp;":"&amp;ADDRESS(ROW($AM$2266),COLUMN($AM$2266))</f>
        <v>$AM$2238:$AM$2266</v>
      </c>
      <c r="AK857" s="309" t="str">
        <f>ADDRESS(ROW($AM$2238),COLUMN($AM$2238)+1)&amp;":"&amp;ADDRESS(ROW($AM$2266),COLUMN($AM$2266)+1)</f>
        <v>$AN$2238:$AN$2266</v>
      </c>
      <c r="AL857" s="309" t="b">
        <f t="array" aca="1" ref="AL857" ca="1">NOT(ISNA(MATCH(FALSE,ISNA(MATCH($AX$842:$AX$859,INDIRECT(AJ857),0)),0)))</f>
        <v>0</v>
      </c>
      <c r="AM857" s="309">
        <f t="shared" ca="1" si="306"/>
        <v>0</v>
      </c>
      <c r="AN857" s="309" t="e">
        <f t="array" aca="1" ref="AN857" ca="1">IF(ISNA(MATCH($AX$846,INDIRECT(AJ857),0)),NA(),IFERROR(VALUE(SUBSTITUTE(SUBSTITUTE(INDEX(INDIRECT(AK857),IFERROR(MATCH(FALSE,ISNA(MATCH(INDIRECT(AK857),$O$1411:$O$1419,0)),0),MATCH(FALSE,ISNA(MATCH(INDIRECT(AK857),$AH$1378:$AP$1378,0)),0))),"Ataque especial",""),"Daño Base","")),0))</f>
        <v>#N/A</v>
      </c>
      <c r="AO857" s="309">
        <f t="shared" ca="1" si="307"/>
        <v>0</v>
      </c>
      <c r="AP857" s="309">
        <f t="shared" ca="1" si="308"/>
        <v>0</v>
      </c>
      <c r="AQ857" s="309" t="e">
        <f t="array" aca="1" ref="AQ857" ca="1">RIGHT(INDEX(INDIRECT(AK857),MATCH(TRUE,ISNUMBER(SEARCH("Crítico 1:",INDIRECT(AK857))),0)),3)</f>
        <v>#N/A</v>
      </c>
      <c r="AR857" s="309" t="e">
        <f t="array" aca="1" ref="AR857" ca="1">RIGHT(INDEX(INDIRECT(AK857),MATCH(TRUE,ISNUMBER(SEARCH("Crítico 2:",INDIRECT(AK857))),0)),3)</f>
        <v>#N/A</v>
      </c>
      <c r="AS857" s="309">
        <f t="shared" ca="1" si="309"/>
        <v>0</v>
      </c>
      <c r="AT857" s="309" t="b">
        <f t="shared" ca="1" si="310"/>
        <v>1</v>
      </c>
      <c r="AU857" s="309" t="b">
        <f t="shared" ca="1" si="311"/>
        <v>1</v>
      </c>
      <c r="AV857" s="572" t="b">
        <f t="array" aca="1" ref="AV857" ca="1">SUMPRODUCT($BA$842:$BA$859,INT(NOT(ISNA(MATCH($AX$842:$AX$859,INDIRECT(AJ857),0)))))&gt;0</f>
        <v>0</v>
      </c>
      <c r="AX857" s="307" t="s">
        <v>6915</v>
      </c>
      <c r="AY857" s="304"/>
      <c r="AZ857" s="304"/>
      <c r="BA857" s="604">
        <v>0</v>
      </c>
    </row>
    <row r="858" spans="1:53" ht="12.75" customHeight="1" thickBot="1">
      <c r="A858" s="219">
        <v>849</v>
      </c>
      <c r="B858" s="7145"/>
      <c r="C858" s="3278"/>
      <c r="D858" s="4281" t="s">
        <v>11735</v>
      </c>
      <c r="E858" s="3508">
        <f>Psíquicos!H11/2</f>
        <v>0</v>
      </c>
      <c r="F858" s="3508">
        <v>20</v>
      </c>
      <c r="G858" s="3508">
        <v>0</v>
      </c>
      <c r="H858" s="3508">
        <v>0</v>
      </c>
      <c r="I858" s="3508" t="s">
        <v>1410</v>
      </c>
      <c r="J858" s="3508" t="s">
        <v>1315</v>
      </c>
      <c r="K858" s="3506" t="s">
        <v>1315</v>
      </c>
      <c r="L858" s="3508" t="str">
        <f>IF(AS1092&gt;0,"Conocida","Distinta")</f>
        <v>Distinta</v>
      </c>
      <c r="M858" s="3508" t="s">
        <v>1315</v>
      </c>
      <c r="N858" s="3508">
        <f>VOL</f>
        <v>0</v>
      </c>
      <c r="O858" s="3508">
        <f>Presencia_final</f>
        <v>30</v>
      </c>
      <c r="P858" s="3508"/>
      <c r="Q858" s="3508"/>
      <c r="R858" s="3508" t="s">
        <v>1315</v>
      </c>
      <c r="S858" s="3508" t="s">
        <v>1315</v>
      </c>
      <c r="T858" s="3508" t="s">
        <v>1315</v>
      </c>
      <c r="U858" s="3508"/>
      <c r="V858" s="3573" t="s">
        <v>11748</v>
      </c>
      <c r="W858" s="3508"/>
      <c r="X858" s="3573" t="s">
        <v>9679</v>
      </c>
      <c r="Y858" s="4282">
        <v>0</v>
      </c>
      <c r="Z858" s="2436"/>
      <c r="AA858" s="1751" t="s">
        <v>11732</v>
      </c>
      <c r="AC858" s="2584"/>
      <c r="AD858" s="2581"/>
      <c r="AE858" s="2581"/>
      <c r="AF858" s="2581"/>
      <c r="AG858" s="2581"/>
      <c r="AH858" s="2581"/>
      <c r="AI858" s="2581"/>
      <c r="AJ858" s="2581"/>
      <c r="AK858" s="2581"/>
      <c r="AL858" s="2581"/>
      <c r="AM858" s="2581"/>
      <c r="AN858" s="2581"/>
      <c r="AO858" s="2581"/>
      <c r="AP858" s="2582"/>
      <c r="AQ858" s="2582"/>
      <c r="AR858" s="2582"/>
      <c r="AU858" s="2583"/>
      <c r="AX858" s="307" t="s">
        <v>6917</v>
      </c>
      <c r="AY858" s="304"/>
      <c r="AZ858" s="304"/>
      <c r="BA858" s="604">
        <v>0</v>
      </c>
    </row>
    <row r="859" spans="1:53" ht="12.75" customHeight="1" thickBot="1">
      <c r="A859" s="219">
        <v>850</v>
      </c>
      <c r="B859" s="7145"/>
      <c r="C859" s="3278"/>
      <c r="D859" s="4281" t="s">
        <v>11733</v>
      </c>
      <c r="E859" s="3508">
        <f>Presencia_final+Bono_Vol</f>
        <v>30</v>
      </c>
      <c r="F859" s="3508">
        <v>20</v>
      </c>
      <c r="G859" s="3508">
        <v>0</v>
      </c>
      <c r="H859" s="3508">
        <v>0</v>
      </c>
      <c r="I859" s="3508" t="s">
        <v>1412</v>
      </c>
      <c r="J859" s="3508" t="s">
        <v>1315</v>
      </c>
      <c r="K859" s="3506" t="s">
        <v>1315</v>
      </c>
      <c r="L859" s="3508" t="str">
        <f>IF(AS1100&gt;0,"Conocida","Distinta")</f>
        <v>Distinta</v>
      </c>
      <c r="M859" s="3508" t="s">
        <v>1315</v>
      </c>
      <c r="N859" s="3508">
        <f>VOL</f>
        <v>0</v>
      </c>
      <c r="O859" s="3508">
        <f>Presencia_final</f>
        <v>30</v>
      </c>
      <c r="P859" s="3508"/>
      <c r="Q859" s="3508"/>
      <c r="R859" s="3508" t="s">
        <v>1315</v>
      </c>
      <c r="S859" s="3508" t="s">
        <v>1315</v>
      </c>
      <c r="T859" s="3508">
        <f>VOL</f>
        <v>0</v>
      </c>
      <c r="U859" s="3508"/>
      <c r="V859" s="3573" t="s">
        <v>11783</v>
      </c>
      <c r="W859" s="3508"/>
      <c r="X859" s="3573" t="s">
        <v>9679</v>
      </c>
      <c r="Y859" s="4282">
        <v>0</v>
      </c>
      <c r="Z859" s="2436"/>
      <c r="AA859" s="1751" t="s">
        <v>11732</v>
      </c>
      <c r="AC859" s="7962" t="s">
        <v>9982</v>
      </c>
      <c r="AD859" s="7963"/>
      <c r="AE859" s="2579" t="s">
        <v>9968</v>
      </c>
      <c r="AF859" s="2579" t="s">
        <v>9969</v>
      </c>
      <c r="AG859" s="2579" t="s">
        <v>9970</v>
      </c>
      <c r="AH859" s="2579" t="s">
        <v>9971</v>
      </c>
      <c r="AI859" s="2579" t="s">
        <v>9972</v>
      </c>
      <c r="AJ859" s="2579" t="s">
        <v>9973</v>
      </c>
      <c r="AK859" s="2579" t="s">
        <v>9974</v>
      </c>
      <c r="AL859" s="2579" t="s">
        <v>9975</v>
      </c>
      <c r="AM859" s="2579" t="s">
        <v>9976</v>
      </c>
      <c r="AN859" s="2579" t="s">
        <v>9977</v>
      </c>
      <c r="AO859" s="2579" t="s">
        <v>9978</v>
      </c>
      <c r="AP859" s="2579" t="s">
        <v>9979</v>
      </c>
      <c r="AQ859" s="2579" t="s">
        <v>9980</v>
      </c>
      <c r="AR859" s="2580" t="s">
        <v>9981</v>
      </c>
      <c r="AX859" s="610" t="s">
        <v>6921</v>
      </c>
      <c r="AY859" s="309"/>
      <c r="AZ859" s="309"/>
      <c r="BA859" s="2598">
        <v>0</v>
      </c>
    </row>
    <row r="860" spans="1:53" ht="12.75" customHeight="1">
      <c r="A860" s="219">
        <v>851</v>
      </c>
      <c r="B860" s="7145"/>
      <c r="C860" s="3278"/>
      <c r="D860" s="4281" t="s">
        <v>11749</v>
      </c>
      <c r="E860" s="3508">
        <f>Presencia_final+Bono_Vol*2</f>
        <v>30</v>
      </c>
      <c r="F860" s="3508">
        <v>20</v>
      </c>
      <c r="G860" s="3508">
        <v>0</v>
      </c>
      <c r="H860" s="3508">
        <v>0</v>
      </c>
      <c r="I860" s="3508" t="s">
        <v>1411</v>
      </c>
      <c r="J860" s="3508" t="s">
        <v>1315</v>
      </c>
      <c r="K860" s="3506" t="s">
        <v>1315</v>
      </c>
      <c r="L860" s="3508" t="str">
        <f>IF(AS1103&gt;0,"Conocida","Distinta")</f>
        <v>Distinta</v>
      </c>
      <c r="M860" s="3508" t="s">
        <v>1315</v>
      </c>
      <c r="N860" s="3508">
        <f>VOL</f>
        <v>0</v>
      </c>
      <c r="O860" s="3508">
        <f>Presencia_final</f>
        <v>30</v>
      </c>
      <c r="P860" s="3508"/>
      <c r="Q860" s="3508"/>
      <c r="R860" s="3508" t="s">
        <v>1315</v>
      </c>
      <c r="S860" s="3508" t="s">
        <v>1315</v>
      </c>
      <c r="T860" s="3508">
        <f>VOL</f>
        <v>0</v>
      </c>
      <c r="U860" s="3508"/>
      <c r="V860" s="3573" t="s">
        <v>11747</v>
      </c>
      <c r="W860" s="3508"/>
      <c r="X860" s="3573" t="s">
        <v>9679</v>
      </c>
      <c r="Y860" s="4282">
        <v>0</v>
      </c>
      <c r="Z860" s="2436"/>
      <c r="AA860" s="1751" t="s">
        <v>11732</v>
      </c>
      <c r="AC860" s="3609"/>
      <c r="AD860" s="3609"/>
      <c r="AE860" s="937"/>
      <c r="AF860" s="937"/>
      <c r="AG860" s="937"/>
      <c r="AH860" s="937"/>
      <c r="AI860" s="937"/>
      <c r="AJ860" s="937"/>
      <c r="AK860" s="937"/>
      <c r="AL860" s="937"/>
      <c r="AM860" s="937"/>
      <c r="AN860" s="937"/>
      <c r="AO860" s="937"/>
      <c r="AP860" s="937"/>
      <c r="AQ860" s="937"/>
      <c r="AR860" s="937"/>
      <c r="AX860" s="304"/>
      <c r="AY860" s="304"/>
      <c r="AZ860" s="304"/>
      <c r="BA860" s="304"/>
    </row>
    <row r="861" spans="1:53" ht="12.75" customHeight="1">
      <c r="A861" s="219">
        <v>852</v>
      </c>
      <c r="B861" s="7145"/>
      <c r="C861" s="1034"/>
      <c r="D861" s="2237" t="s">
        <v>9830</v>
      </c>
      <c r="E861" s="2236"/>
      <c r="F861" s="2236"/>
      <c r="G861" s="2236"/>
      <c r="H861" s="2236"/>
      <c r="I861" s="2236"/>
      <c r="J861" s="2236"/>
      <c r="K861" s="2232"/>
      <c r="L861" s="2243"/>
      <c r="M861" s="2240"/>
      <c r="N861" s="2240"/>
      <c r="O861" s="2240"/>
      <c r="P861" s="2236"/>
      <c r="Q861" s="2236"/>
      <c r="R861" s="2236"/>
      <c r="S861" s="2236"/>
      <c r="T861" s="2236"/>
      <c r="U861" s="2236"/>
      <c r="V861" s="2433"/>
      <c r="W861" s="2234"/>
      <c r="X861" s="2275"/>
      <c r="Y861" s="1037"/>
      <c r="Z861" s="2436"/>
      <c r="AA861" s="1751"/>
      <c r="AC861" s="3609"/>
      <c r="AD861" s="3609"/>
      <c r="AE861" s="937"/>
      <c r="AF861" s="937"/>
      <c r="AG861" s="937"/>
      <c r="AH861" s="937"/>
      <c r="AI861" s="937"/>
      <c r="AJ861" s="937"/>
      <c r="AK861" s="937"/>
      <c r="AL861" s="937"/>
      <c r="AM861" s="937"/>
      <c r="AN861" s="937"/>
      <c r="AO861" s="937"/>
      <c r="AP861" s="937"/>
      <c r="AQ861" s="937"/>
      <c r="AR861" s="937"/>
      <c r="AX861" s="304"/>
      <c r="AY861" s="304"/>
      <c r="AZ861" s="304"/>
      <c r="BA861" s="304"/>
    </row>
    <row r="862" spans="1:53" ht="12.75" customHeight="1">
      <c r="A862" s="219">
        <v>853</v>
      </c>
      <c r="B862" s="7145"/>
      <c r="C862" s="1034"/>
      <c r="D862" s="2237" t="str">
        <f t="shared" ref="D862:D871" ca="1" si="312">AC848</f>
        <v/>
      </c>
      <c r="E862" s="2236" t="e">
        <f t="shared" ref="E862:E871" ca="1" si="313">IFERROR(VLOOKUP(D862,$AI$848:$AS$857,6,0),ArmasNaturales_Daño)+VLOOKUP(D862,$AI$848:$AS$857,7,0)-IFERROR(IF(VLOOKUP(D862,$AI$848:$AV$857,14,0),Bono_Fue),0)</f>
        <v>#N/A</v>
      </c>
      <c r="F862" s="2236">
        <v>20</v>
      </c>
      <c r="G862" s="2236">
        <v>0</v>
      </c>
      <c r="H862" s="2236">
        <v>0</v>
      </c>
      <c r="I862" s="2236" t="str">
        <f t="shared" ref="I862:I871" ca="1" si="314">IFERROR(VLOOKUP(D862,$AI$848:$AS$857,9,0),$I$654)</f>
        <v>-</v>
      </c>
      <c r="J862" s="2236" t="str">
        <f t="shared" ref="J862:J871" ca="1" si="315">IFERROR(VLOOKUP(D862,$AI$848:$AS$857,10,0),$J$654)</f>
        <v>-</v>
      </c>
      <c r="K862" s="2433" t="s">
        <v>6850</v>
      </c>
      <c r="L862" s="2243" t="s">
        <v>1069</v>
      </c>
      <c r="M862" s="2240">
        <f t="shared" ref="M862:M871" ca="1" si="316">IFERROR(IF(VLOOKUP(D862,$AI$848:$AV$857,14,0),"-",$M$654),$M$654)</f>
        <v>4</v>
      </c>
      <c r="N862" s="2240" t="e">
        <f t="shared" ref="N862:N871" ca="1" si="317">$N$654+VLOOKUP(D862,$AI$848:$AS$857,11,0)</f>
        <v>#N/A</v>
      </c>
      <c r="O862" s="2240"/>
      <c r="P862" s="2236"/>
      <c r="Q862" s="2236"/>
      <c r="R862" s="2236"/>
      <c r="S862" s="2236"/>
      <c r="T862" s="2236" t="s">
        <v>1315</v>
      </c>
      <c r="U862" s="2236">
        <f t="shared" ref="U862:U871" ca="1" si="318">IFERROR(IF(VLOOKUP(D862,$AI$848:$AV$857,14,0),0,FUE),FUE)</f>
        <v>0</v>
      </c>
      <c r="V862" s="2433" t="s">
        <v>2000</v>
      </c>
      <c r="W862" s="2234"/>
      <c r="X862" s="2275" t="str">
        <f>$X$654</f>
        <v>Mediana</v>
      </c>
      <c r="Y862" s="1037">
        <f t="shared" ref="Y862:Y882" si="319">Bono_Fue</f>
        <v>0</v>
      </c>
      <c r="Z862" s="2436"/>
      <c r="AA862" s="1751" t="s">
        <v>9830</v>
      </c>
      <c r="AC862" s="3609"/>
      <c r="AD862" s="3609"/>
      <c r="AE862" s="937"/>
      <c r="AF862" s="937"/>
      <c r="AG862" s="937"/>
      <c r="AH862" s="937"/>
      <c r="AI862" s="937"/>
      <c r="AJ862" s="937"/>
      <c r="AK862" s="937"/>
      <c r="AL862" s="937"/>
      <c r="AM862" s="937"/>
      <c r="AN862" s="937"/>
      <c r="AO862" s="937"/>
      <c r="AP862" s="937"/>
      <c r="AQ862" s="937"/>
      <c r="AR862" s="937"/>
      <c r="AX862" s="304"/>
      <c r="AY862" s="304"/>
      <c r="AZ862" s="304"/>
      <c r="BA862" s="304"/>
    </row>
    <row r="863" spans="1:53" ht="12.75" customHeight="1">
      <c r="A863" s="219">
        <v>854</v>
      </c>
      <c r="B863" s="7145"/>
      <c r="C863" s="1034"/>
      <c r="D863" s="2237" t="str">
        <f t="shared" ca="1" si="312"/>
        <v/>
      </c>
      <c r="E863" s="2236" t="e">
        <f t="shared" ca="1" si="313"/>
        <v>#N/A</v>
      </c>
      <c r="F863" s="2236">
        <v>20</v>
      </c>
      <c r="G863" s="2236">
        <v>0</v>
      </c>
      <c r="H863" s="2236">
        <v>0</v>
      </c>
      <c r="I863" s="2236" t="str">
        <f t="shared" ca="1" si="314"/>
        <v>-</v>
      </c>
      <c r="J863" s="2236" t="str">
        <f t="shared" ca="1" si="315"/>
        <v>-</v>
      </c>
      <c r="K863" s="2433" t="s">
        <v>6850</v>
      </c>
      <c r="L863" s="2243" t="s">
        <v>1069</v>
      </c>
      <c r="M863" s="2240">
        <f t="shared" ca="1" si="316"/>
        <v>4</v>
      </c>
      <c r="N863" s="2240" t="e">
        <f t="shared" ca="1" si="317"/>
        <v>#N/A</v>
      </c>
      <c r="O863" s="2240"/>
      <c r="P863" s="2236"/>
      <c r="Q863" s="2236"/>
      <c r="R863" s="2236"/>
      <c r="S863" s="2236"/>
      <c r="T863" s="2236" t="s">
        <v>1315</v>
      </c>
      <c r="U863" s="2236">
        <f t="shared" ca="1" si="318"/>
        <v>0</v>
      </c>
      <c r="V863" s="2433" t="s">
        <v>2000</v>
      </c>
      <c r="W863" s="2234"/>
      <c r="X863" s="2275" t="str">
        <f t="shared" ref="X863:X871" si="320">$X$654</f>
        <v>Mediana</v>
      </c>
      <c r="Y863" s="1037">
        <f t="shared" si="319"/>
        <v>0</v>
      </c>
      <c r="Z863" s="2436"/>
      <c r="AA863" s="1751" t="s">
        <v>9830</v>
      </c>
      <c r="AC863" s="3609"/>
      <c r="AD863" s="3609"/>
      <c r="AE863" s="937"/>
      <c r="AF863" s="937"/>
      <c r="AG863" s="937"/>
      <c r="AH863" s="937"/>
      <c r="AI863" s="937"/>
      <c r="AJ863" s="937"/>
      <c r="AK863" s="937"/>
      <c r="AL863" s="937"/>
      <c r="AM863" s="937"/>
      <c r="AN863" s="937"/>
      <c r="AO863" s="937"/>
      <c r="AP863" s="937"/>
      <c r="AQ863" s="937"/>
      <c r="AR863" s="937"/>
      <c r="AX863" s="304"/>
      <c r="AY863" s="304"/>
      <c r="AZ863" s="304"/>
      <c r="BA863" s="304"/>
    </row>
    <row r="864" spans="1:53" ht="12.75" customHeight="1">
      <c r="A864" s="219">
        <v>855</v>
      </c>
      <c r="B864" s="7145"/>
      <c r="C864" s="1034"/>
      <c r="D864" s="2237" t="str">
        <f t="shared" ca="1" si="312"/>
        <v/>
      </c>
      <c r="E864" s="2236" t="e">
        <f t="shared" ca="1" si="313"/>
        <v>#N/A</v>
      </c>
      <c r="F864" s="2236">
        <v>20</v>
      </c>
      <c r="G864" s="2236">
        <v>0</v>
      </c>
      <c r="H864" s="2236">
        <v>0</v>
      </c>
      <c r="I864" s="2236" t="str">
        <f t="shared" ca="1" si="314"/>
        <v>-</v>
      </c>
      <c r="J864" s="2236" t="str">
        <f t="shared" ca="1" si="315"/>
        <v>-</v>
      </c>
      <c r="K864" s="2433" t="s">
        <v>6850</v>
      </c>
      <c r="L864" s="2243" t="s">
        <v>1069</v>
      </c>
      <c r="M864" s="2240">
        <f t="shared" ca="1" si="316"/>
        <v>4</v>
      </c>
      <c r="N864" s="2240" t="e">
        <f t="shared" ca="1" si="317"/>
        <v>#N/A</v>
      </c>
      <c r="O864" s="2240"/>
      <c r="P864" s="2236"/>
      <c r="Q864" s="2236"/>
      <c r="R864" s="2236"/>
      <c r="S864" s="2236"/>
      <c r="T864" s="2236" t="s">
        <v>1315</v>
      </c>
      <c r="U864" s="2236">
        <f t="shared" ca="1" si="318"/>
        <v>0</v>
      </c>
      <c r="V864" s="2433" t="s">
        <v>2000</v>
      </c>
      <c r="W864" s="2234"/>
      <c r="X864" s="2275" t="str">
        <f t="shared" si="320"/>
        <v>Mediana</v>
      </c>
      <c r="Y864" s="1037">
        <f t="shared" si="319"/>
        <v>0</v>
      </c>
      <c r="Z864" s="2436"/>
      <c r="AA864" s="1751" t="s">
        <v>9830</v>
      </c>
      <c r="AC864" s="3609"/>
      <c r="AD864" s="3609"/>
      <c r="AE864" s="937"/>
      <c r="AF864" s="937"/>
      <c r="AG864" s="937"/>
      <c r="AH864" s="937"/>
      <c r="AI864" s="937"/>
      <c r="AJ864" s="937"/>
      <c r="AK864" s="937"/>
      <c r="AL864" s="937"/>
      <c r="AM864" s="937"/>
      <c r="AN864" s="937"/>
      <c r="AO864" s="937"/>
      <c r="AP864" s="937"/>
      <c r="AQ864" s="937"/>
      <c r="AR864" s="937"/>
      <c r="AX864" s="304"/>
      <c r="AY864" s="304"/>
      <c r="AZ864" s="304"/>
      <c r="BA864" s="304"/>
    </row>
    <row r="865" spans="1:53" ht="12.75" customHeight="1">
      <c r="A865" s="219">
        <v>856</v>
      </c>
      <c r="B865" s="7145"/>
      <c r="C865" s="1034"/>
      <c r="D865" s="2237" t="str">
        <f t="shared" ca="1" si="312"/>
        <v/>
      </c>
      <c r="E865" s="2236" t="e">
        <f t="shared" ca="1" si="313"/>
        <v>#N/A</v>
      </c>
      <c r="F865" s="2236">
        <v>20</v>
      </c>
      <c r="G865" s="2236">
        <v>0</v>
      </c>
      <c r="H865" s="2236">
        <v>0</v>
      </c>
      <c r="I865" s="2236" t="str">
        <f t="shared" ca="1" si="314"/>
        <v>-</v>
      </c>
      <c r="J865" s="2236" t="str">
        <f t="shared" ca="1" si="315"/>
        <v>-</v>
      </c>
      <c r="K865" s="2433" t="s">
        <v>6850</v>
      </c>
      <c r="L865" s="2243" t="s">
        <v>1069</v>
      </c>
      <c r="M865" s="2240">
        <f t="shared" ca="1" si="316"/>
        <v>4</v>
      </c>
      <c r="N865" s="2240" t="e">
        <f t="shared" ca="1" si="317"/>
        <v>#N/A</v>
      </c>
      <c r="O865" s="2240"/>
      <c r="P865" s="2236"/>
      <c r="Q865" s="2236"/>
      <c r="R865" s="2236"/>
      <c r="S865" s="2236"/>
      <c r="T865" s="2236" t="s">
        <v>1315</v>
      </c>
      <c r="U865" s="2236">
        <f t="shared" ca="1" si="318"/>
        <v>0</v>
      </c>
      <c r="V865" s="2433" t="s">
        <v>2000</v>
      </c>
      <c r="W865" s="2234"/>
      <c r="X865" s="2275" t="str">
        <f t="shared" si="320"/>
        <v>Mediana</v>
      </c>
      <c r="Y865" s="1037">
        <f t="shared" si="319"/>
        <v>0</v>
      </c>
      <c r="Z865" s="2436"/>
      <c r="AA865" s="1751" t="s">
        <v>9830</v>
      </c>
      <c r="AC865" s="3609"/>
      <c r="AD865" s="3609"/>
      <c r="AE865" s="937"/>
      <c r="AF865" s="937"/>
      <c r="AG865" s="937"/>
      <c r="AH865" s="937"/>
      <c r="AI865" s="937"/>
      <c r="AJ865" s="937"/>
      <c r="AK865" s="937"/>
      <c r="AL865" s="937"/>
      <c r="AM865" s="937"/>
      <c r="AN865" s="937"/>
      <c r="AO865" s="937"/>
      <c r="AP865" s="937"/>
      <c r="AQ865" s="937"/>
      <c r="AR865" s="937"/>
      <c r="AX865" s="304"/>
      <c r="AY865" s="304"/>
      <c r="AZ865" s="304"/>
      <c r="BA865" s="304"/>
    </row>
    <row r="866" spans="1:53" ht="12.75" customHeight="1">
      <c r="A866" s="219">
        <v>857</v>
      </c>
      <c r="B866" s="7145"/>
      <c r="C866" s="1034"/>
      <c r="D866" s="2237" t="str">
        <f t="shared" ca="1" si="312"/>
        <v/>
      </c>
      <c r="E866" s="2236" t="e">
        <f t="shared" ca="1" si="313"/>
        <v>#N/A</v>
      </c>
      <c r="F866" s="2236">
        <v>20</v>
      </c>
      <c r="G866" s="2236">
        <v>0</v>
      </c>
      <c r="H866" s="2236">
        <v>0</v>
      </c>
      <c r="I866" s="2236" t="str">
        <f t="shared" ca="1" si="314"/>
        <v>-</v>
      </c>
      <c r="J866" s="2236" t="str">
        <f t="shared" ca="1" si="315"/>
        <v>-</v>
      </c>
      <c r="K866" s="2433" t="s">
        <v>6850</v>
      </c>
      <c r="L866" s="2243" t="s">
        <v>1069</v>
      </c>
      <c r="M866" s="2240">
        <f t="shared" ca="1" si="316"/>
        <v>4</v>
      </c>
      <c r="N866" s="2240" t="e">
        <f t="shared" ca="1" si="317"/>
        <v>#N/A</v>
      </c>
      <c r="O866" s="2240"/>
      <c r="P866" s="2236"/>
      <c r="Q866" s="2236"/>
      <c r="R866" s="2236"/>
      <c r="S866" s="2236"/>
      <c r="T866" s="2236" t="s">
        <v>1315</v>
      </c>
      <c r="U866" s="2236">
        <f t="shared" ca="1" si="318"/>
        <v>0</v>
      </c>
      <c r="V866" s="2433" t="s">
        <v>2000</v>
      </c>
      <c r="W866" s="2234"/>
      <c r="X866" s="2275" t="str">
        <f t="shared" si="320"/>
        <v>Mediana</v>
      </c>
      <c r="Y866" s="1037">
        <f t="shared" si="319"/>
        <v>0</v>
      </c>
      <c r="Z866" s="2436"/>
      <c r="AA866" s="1751" t="s">
        <v>9830</v>
      </c>
      <c r="AC866" s="3609"/>
      <c r="AD866" s="3609"/>
      <c r="AE866" s="937"/>
      <c r="AF866" s="937"/>
      <c r="AG866" s="937"/>
      <c r="AH866" s="937"/>
      <c r="AI866" s="937"/>
      <c r="AJ866" s="937"/>
      <c r="AK866" s="937"/>
      <c r="AL866" s="937"/>
      <c r="AM866" s="937"/>
      <c r="AN866" s="937"/>
      <c r="AO866" s="937"/>
      <c r="AP866" s="937"/>
      <c r="AQ866" s="937"/>
      <c r="AR866" s="937"/>
      <c r="AX866" s="304"/>
      <c r="AY866" s="304"/>
      <c r="AZ866" s="304"/>
      <c r="BA866" s="304"/>
    </row>
    <row r="867" spans="1:53" ht="12.75" customHeight="1">
      <c r="A867" s="219">
        <v>858</v>
      </c>
      <c r="B867" s="7145"/>
      <c r="C867" s="1034"/>
      <c r="D867" s="2237" t="str">
        <f t="shared" ca="1" si="312"/>
        <v/>
      </c>
      <c r="E867" s="2236" t="e">
        <f t="shared" ca="1" si="313"/>
        <v>#N/A</v>
      </c>
      <c r="F867" s="2236">
        <v>20</v>
      </c>
      <c r="G867" s="2236">
        <v>0</v>
      </c>
      <c r="H867" s="2236">
        <v>0</v>
      </c>
      <c r="I867" s="2236" t="str">
        <f t="shared" ca="1" si="314"/>
        <v>-</v>
      </c>
      <c r="J867" s="2236" t="str">
        <f t="shared" ca="1" si="315"/>
        <v>-</v>
      </c>
      <c r="K867" s="2433" t="s">
        <v>6850</v>
      </c>
      <c r="L867" s="2243" t="s">
        <v>1069</v>
      </c>
      <c r="M867" s="2240">
        <f t="shared" ca="1" si="316"/>
        <v>4</v>
      </c>
      <c r="N867" s="2240" t="e">
        <f t="shared" ca="1" si="317"/>
        <v>#N/A</v>
      </c>
      <c r="O867" s="2240"/>
      <c r="P867" s="2236"/>
      <c r="Q867" s="2236"/>
      <c r="R867" s="2236"/>
      <c r="S867" s="2236"/>
      <c r="T867" s="2236" t="s">
        <v>1315</v>
      </c>
      <c r="U867" s="2236">
        <f t="shared" ca="1" si="318"/>
        <v>0</v>
      </c>
      <c r="V867" s="2433" t="s">
        <v>2000</v>
      </c>
      <c r="W867" s="2234"/>
      <c r="X867" s="2275" t="str">
        <f t="shared" si="320"/>
        <v>Mediana</v>
      </c>
      <c r="Y867" s="1037">
        <f t="shared" si="319"/>
        <v>0</v>
      </c>
      <c r="Z867" s="2436"/>
      <c r="AA867" s="1751" t="s">
        <v>9830</v>
      </c>
      <c r="AC867" s="3609"/>
      <c r="AD867" s="3609"/>
      <c r="AE867" s="937"/>
      <c r="AF867" s="937"/>
      <c r="AG867" s="937"/>
      <c r="AH867" s="937"/>
      <c r="AI867" s="937"/>
      <c r="AJ867" s="937"/>
      <c r="AK867" s="937"/>
      <c r="AL867" s="937"/>
      <c r="AM867" s="937"/>
      <c r="AN867" s="937"/>
      <c r="AO867" s="937"/>
      <c r="AP867" s="937"/>
      <c r="AQ867" s="937"/>
      <c r="AR867" s="937"/>
      <c r="AX867" s="304"/>
      <c r="AY867" s="304"/>
      <c r="AZ867" s="304"/>
      <c r="BA867" s="304"/>
    </row>
    <row r="868" spans="1:53" ht="12.75" customHeight="1">
      <c r="A868" s="219">
        <v>859</v>
      </c>
      <c r="B868" s="7145"/>
      <c r="C868" s="1034"/>
      <c r="D868" s="2237" t="str">
        <f t="shared" ca="1" si="312"/>
        <v/>
      </c>
      <c r="E868" s="2236" t="e">
        <f t="shared" ca="1" si="313"/>
        <v>#N/A</v>
      </c>
      <c r="F868" s="2236">
        <v>20</v>
      </c>
      <c r="G868" s="2236">
        <v>0</v>
      </c>
      <c r="H868" s="2236">
        <v>0</v>
      </c>
      <c r="I868" s="2236" t="str">
        <f t="shared" ca="1" si="314"/>
        <v>-</v>
      </c>
      <c r="J868" s="2236" t="str">
        <f t="shared" ca="1" si="315"/>
        <v>-</v>
      </c>
      <c r="K868" s="2433" t="s">
        <v>6850</v>
      </c>
      <c r="L868" s="2243" t="s">
        <v>1069</v>
      </c>
      <c r="M868" s="2240">
        <f t="shared" ca="1" si="316"/>
        <v>4</v>
      </c>
      <c r="N868" s="2240" t="e">
        <f t="shared" ca="1" si="317"/>
        <v>#N/A</v>
      </c>
      <c r="O868" s="2240"/>
      <c r="P868" s="2236"/>
      <c r="Q868" s="2236"/>
      <c r="R868" s="2236"/>
      <c r="S868" s="2236"/>
      <c r="T868" s="2236" t="s">
        <v>1315</v>
      </c>
      <c r="U868" s="2236">
        <f t="shared" ca="1" si="318"/>
        <v>0</v>
      </c>
      <c r="V868" s="2433" t="s">
        <v>2000</v>
      </c>
      <c r="W868" s="2234"/>
      <c r="X868" s="2275" t="str">
        <f t="shared" si="320"/>
        <v>Mediana</v>
      </c>
      <c r="Y868" s="1037">
        <f t="shared" si="319"/>
        <v>0</v>
      </c>
      <c r="Z868" s="2436"/>
      <c r="AA868" s="1751" t="s">
        <v>9830</v>
      </c>
      <c r="AC868" s="3609"/>
      <c r="AD868" s="3609"/>
      <c r="AE868" s="937"/>
      <c r="AF868" s="937"/>
      <c r="AG868" s="937"/>
      <c r="AH868" s="937"/>
      <c r="AI868" s="937"/>
      <c r="AJ868" s="937"/>
      <c r="AK868" s="937"/>
      <c r="AL868" s="937"/>
      <c r="AM868" s="937"/>
      <c r="AN868" s="937"/>
      <c r="AO868" s="937"/>
      <c r="AP868" s="937"/>
      <c r="AQ868" s="937"/>
      <c r="AR868" s="937"/>
      <c r="AX868" s="304"/>
      <c r="AY868" s="304"/>
      <c r="AZ868" s="304"/>
      <c r="BA868" s="304"/>
    </row>
    <row r="869" spans="1:53" ht="12.75" customHeight="1">
      <c r="B869" s="7145"/>
      <c r="C869" s="1034"/>
      <c r="D869" s="2237" t="str">
        <f t="shared" ca="1" si="312"/>
        <v/>
      </c>
      <c r="E869" s="2236" t="e">
        <f t="shared" ca="1" si="313"/>
        <v>#N/A</v>
      </c>
      <c r="F869" s="2236">
        <v>20</v>
      </c>
      <c r="G869" s="2236">
        <v>0</v>
      </c>
      <c r="H869" s="2236">
        <v>0</v>
      </c>
      <c r="I869" s="2236" t="str">
        <f t="shared" ca="1" si="314"/>
        <v>-</v>
      </c>
      <c r="J869" s="2236" t="str">
        <f t="shared" ca="1" si="315"/>
        <v>-</v>
      </c>
      <c r="K869" s="2433" t="s">
        <v>6850</v>
      </c>
      <c r="L869" s="2243" t="s">
        <v>1069</v>
      </c>
      <c r="M869" s="2240">
        <f t="shared" ca="1" si="316"/>
        <v>4</v>
      </c>
      <c r="N869" s="2240" t="e">
        <f t="shared" ca="1" si="317"/>
        <v>#N/A</v>
      </c>
      <c r="O869" s="2240"/>
      <c r="P869" s="2236"/>
      <c r="Q869" s="2236"/>
      <c r="R869" s="2236"/>
      <c r="S869" s="2236"/>
      <c r="T869" s="2236" t="s">
        <v>1315</v>
      </c>
      <c r="U869" s="2236">
        <f t="shared" ca="1" si="318"/>
        <v>0</v>
      </c>
      <c r="V869" s="2433" t="s">
        <v>2000</v>
      </c>
      <c r="W869" s="2234"/>
      <c r="X869" s="2275" t="str">
        <f t="shared" si="320"/>
        <v>Mediana</v>
      </c>
      <c r="Y869" s="1037">
        <f t="shared" si="319"/>
        <v>0</v>
      </c>
      <c r="Z869" s="2436"/>
      <c r="AA869" s="1751" t="s">
        <v>9830</v>
      </c>
      <c r="AC869" s="3609"/>
      <c r="AD869" s="3609"/>
      <c r="AE869" s="937"/>
      <c r="AF869" s="937"/>
      <c r="AG869" s="937"/>
      <c r="AH869" s="937"/>
      <c r="AI869" s="937"/>
      <c r="AJ869" s="937"/>
      <c r="AK869" s="937"/>
      <c r="AL869" s="937"/>
      <c r="AM869" s="937"/>
      <c r="AN869" s="937"/>
      <c r="AO869" s="937"/>
      <c r="AP869" s="937"/>
      <c r="AQ869" s="937"/>
      <c r="AR869" s="937"/>
      <c r="AX869" s="304"/>
      <c r="AY869" s="304"/>
      <c r="AZ869" s="304"/>
      <c r="BA869" s="304"/>
    </row>
    <row r="870" spans="1:53" ht="12.75" customHeight="1">
      <c r="B870" s="7145"/>
      <c r="C870" s="1034"/>
      <c r="D870" s="2237" t="str">
        <f t="shared" ca="1" si="312"/>
        <v/>
      </c>
      <c r="E870" s="2236" t="e">
        <f t="shared" ca="1" si="313"/>
        <v>#N/A</v>
      </c>
      <c r="F870" s="2236">
        <v>20</v>
      </c>
      <c r="G870" s="2236">
        <v>0</v>
      </c>
      <c r="H870" s="2236">
        <v>0</v>
      </c>
      <c r="I870" s="2236" t="str">
        <f t="shared" ca="1" si="314"/>
        <v>-</v>
      </c>
      <c r="J870" s="2236" t="str">
        <f t="shared" ca="1" si="315"/>
        <v>-</v>
      </c>
      <c r="K870" s="2433" t="s">
        <v>6850</v>
      </c>
      <c r="L870" s="2243" t="s">
        <v>1069</v>
      </c>
      <c r="M870" s="2240">
        <f t="shared" ca="1" si="316"/>
        <v>4</v>
      </c>
      <c r="N870" s="2240" t="e">
        <f t="shared" ca="1" si="317"/>
        <v>#N/A</v>
      </c>
      <c r="O870" s="2240"/>
      <c r="P870" s="2236"/>
      <c r="Q870" s="2236"/>
      <c r="R870" s="2236"/>
      <c r="S870" s="2236"/>
      <c r="T870" s="2236" t="s">
        <v>1315</v>
      </c>
      <c r="U870" s="2236">
        <f t="shared" ca="1" si="318"/>
        <v>0</v>
      </c>
      <c r="V870" s="2433" t="s">
        <v>2000</v>
      </c>
      <c r="W870" s="2234"/>
      <c r="X870" s="2275" t="str">
        <f t="shared" si="320"/>
        <v>Mediana</v>
      </c>
      <c r="Y870" s="1037">
        <f t="shared" si="319"/>
        <v>0</v>
      </c>
      <c r="Z870" s="2436"/>
      <c r="AA870" s="1751" t="s">
        <v>9830</v>
      </c>
      <c r="AC870" s="3609"/>
      <c r="AD870" s="3609"/>
      <c r="AE870" s="937"/>
      <c r="AF870" s="937"/>
      <c r="AG870" s="937"/>
      <c r="AH870" s="937"/>
      <c r="AI870" s="937"/>
      <c r="AJ870" s="937"/>
      <c r="AK870" s="937"/>
      <c r="AL870" s="937"/>
      <c r="AM870" s="937"/>
      <c r="AN870" s="937"/>
      <c r="AO870" s="937"/>
      <c r="AP870" s="937"/>
      <c r="AQ870" s="937"/>
      <c r="AR870" s="937"/>
      <c r="AX870" s="304"/>
      <c r="AY870" s="304"/>
      <c r="AZ870" s="304"/>
      <c r="BA870" s="304"/>
    </row>
    <row r="871" spans="1:53" ht="12.75" customHeight="1">
      <c r="B871" s="7145"/>
      <c r="C871" s="1034"/>
      <c r="D871" s="2237" t="str">
        <f t="shared" ca="1" si="312"/>
        <v/>
      </c>
      <c r="E871" s="2236" t="e">
        <f t="shared" ca="1" si="313"/>
        <v>#N/A</v>
      </c>
      <c r="F871" s="2236">
        <v>20</v>
      </c>
      <c r="G871" s="2236">
        <v>0</v>
      </c>
      <c r="H871" s="2236">
        <v>0</v>
      </c>
      <c r="I871" s="2236" t="str">
        <f t="shared" ca="1" si="314"/>
        <v>-</v>
      </c>
      <c r="J871" s="2236" t="str">
        <f t="shared" ca="1" si="315"/>
        <v>-</v>
      </c>
      <c r="K871" s="2433" t="s">
        <v>6850</v>
      </c>
      <c r="L871" s="2243" t="s">
        <v>1069</v>
      </c>
      <c r="M871" s="2240">
        <f t="shared" ca="1" si="316"/>
        <v>4</v>
      </c>
      <c r="N871" s="2240" t="e">
        <f t="shared" ca="1" si="317"/>
        <v>#N/A</v>
      </c>
      <c r="O871" s="2240"/>
      <c r="P871" s="2236"/>
      <c r="Q871" s="2236"/>
      <c r="R871" s="2236"/>
      <c r="S871" s="2236"/>
      <c r="T871" s="2236" t="s">
        <v>1315</v>
      </c>
      <c r="U871" s="2236">
        <f t="shared" ca="1" si="318"/>
        <v>0</v>
      </c>
      <c r="V871" s="2433" t="s">
        <v>2000</v>
      </c>
      <c r="W871" s="2234"/>
      <c r="X871" s="2275" t="str">
        <f t="shared" si="320"/>
        <v>Mediana</v>
      </c>
      <c r="Y871" s="1037">
        <f t="shared" si="319"/>
        <v>0</v>
      </c>
      <c r="Z871" s="2436"/>
      <c r="AA871" s="1751" t="s">
        <v>9830</v>
      </c>
      <c r="AC871" s="3609"/>
      <c r="AD871" s="3609"/>
      <c r="AE871" s="937"/>
      <c r="AF871" s="937"/>
      <c r="AG871" s="937"/>
      <c r="AH871" s="937"/>
      <c r="AI871" s="937"/>
      <c r="AJ871" s="937"/>
      <c r="AK871" s="937"/>
      <c r="AL871" s="937"/>
      <c r="AM871" s="937"/>
      <c r="AN871" s="937"/>
      <c r="AO871" s="937"/>
      <c r="AP871" s="937"/>
      <c r="AQ871" s="937"/>
      <c r="AR871" s="937"/>
      <c r="AX871" s="304"/>
      <c r="AY871" s="304"/>
      <c r="AZ871" s="304"/>
      <c r="BA871" s="304"/>
    </row>
    <row r="872" spans="1:53" ht="12.75" customHeight="1">
      <c r="B872" s="7145"/>
      <c r="C872" s="1034"/>
      <c r="D872" s="2237" t="s">
        <v>9992</v>
      </c>
      <c r="E872" s="2236"/>
      <c r="F872" s="2236"/>
      <c r="G872" s="2236"/>
      <c r="H872" s="2236"/>
      <c r="I872" s="2236"/>
      <c r="J872" s="2236"/>
      <c r="K872" s="2433"/>
      <c r="L872" s="2241"/>
      <c r="M872" s="2240"/>
      <c r="N872" s="2240"/>
      <c r="O872" s="2240"/>
      <c r="P872" s="2236"/>
      <c r="Q872" s="2236"/>
      <c r="R872" s="2236"/>
      <c r="S872" s="2236"/>
      <c r="T872" s="2236"/>
      <c r="U872" s="2236"/>
      <c r="V872" s="2433"/>
      <c r="W872" s="2234"/>
      <c r="X872" s="2546"/>
      <c r="Y872" s="1037"/>
      <c r="Z872" s="2436"/>
      <c r="AA872" s="1751"/>
      <c r="AC872" s="3609"/>
      <c r="AD872" s="3609"/>
      <c r="AE872" s="937"/>
      <c r="AF872" s="937"/>
      <c r="AG872" s="937"/>
      <c r="AH872" s="937"/>
      <c r="AI872" s="937"/>
      <c r="AJ872" s="937"/>
      <c r="AK872" s="937"/>
      <c r="AL872" s="937"/>
      <c r="AM872" s="937"/>
      <c r="AN872" s="937"/>
      <c r="AO872" s="937"/>
      <c r="AP872" s="937"/>
      <c r="AQ872" s="937"/>
      <c r="AR872" s="937"/>
      <c r="AX872" s="304"/>
      <c r="AY872" s="304"/>
      <c r="AZ872" s="304"/>
      <c r="BA872" s="304"/>
    </row>
    <row r="873" spans="1:53" ht="12.75" customHeight="1">
      <c r="B873" s="7145"/>
      <c r="C873" s="1034"/>
      <c r="D873" s="2237" t="str">
        <f t="shared" ref="D873:D882" ca="1" si="321">AF848</f>
        <v/>
      </c>
      <c r="E873" s="2236" t="e">
        <f t="shared" ref="E873:E882" ca="1" si="322">IFERROR(VLOOKUP(D873,$AI$848:$AS$857,6,0),0)+VLOOKUP(D873,$AI$848:$AS$857,7,0)-IFERROR(IF(VLOOKUP(D862,$AI$848:$AV$857,14,0),Bono_Fue),0)</f>
        <v>#N/A</v>
      </c>
      <c r="F873" s="2236" t="s">
        <v>1315</v>
      </c>
      <c r="G873" s="2236">
        <v>0</v>
      </c>
      <c r="H873" s="2236">
        <v>0</v>
      </c>
      <c r="I873" s="2236" t="str">
        <f t="shared" ref="I873:I882" ca="1" si="323">IFERROR(VLOOKUP(D873,$AI$848:$AS$857,9,0),$I$654)</f>
        <v>-</v>
      </c>
      <c r="J873" s="2236" t="str">
        <f t="shared" ref="J873:J882" ca="1" si="324">IFERROR(VLOOKUP(D873,$AI$848:$AS$857,10,0),$J$654)</f>
        <v>-</v>
      </c>
      <c r="K873" s="2433" t="s">
        <v>6849</v>
      </c>
      <c r="L873" s="2243" t="s">
        <v>1069</v>
      </c>
      <c r="M873" s="2240">
        <f t="shared" ref="M873:M882" ca="1" si="325">IFERROR(IF(VLOOKUP(D873,$AI$848:$AV$857,14,0),"-",$M$654),$M$654)</f>
        <v>4</v>
      </c>
      <c r="N873" s="2240" t="e">
        <f t="shared" ref="N873:N882" ca="1" si="326">$N$654+VLOOKUP(D873,$AI$848:$AS$857,11,0)</f>
        <v>#N/A</v>
      </c>
      <c r="O873" s="2240"/>
      <c r="P873" s="2236"/>
      <c r="Q873" s="2236"/>
      <c r="R873" s="2236" t="s">
        <v>1315</v>
      </c>
      <c r="S873" s="2236" t="s">
        <v>1315</v>
      </c>
      <c r="T873" s="2236" t="s">
        <v>1315</v>
      </c>
      <c r="U873" s="2236"/>
      <c r="V873" s="2433" t="s">
        <v>2000</v>
      </c>
      <c r="W873" s="2234"/>
      <c r="X873" s="2547"/>
      <c r="Y873" s="1037">
        <f t="shared" si="319"/>
        <v>0</v>
      </c>
      <c r="Z873" s="2436"/>
      <c r="AA873" s="1751" t="s">
        <v>9830</v>
      </c>
      <c r="AC873" s="3609"/>
      <c r="AD873" s="3609"/>
      <c r="AE873" s="937"/>
      <c r="AF873" s="937"/>
      <c r="AG873" s="937"/>
      <c r="AH873" s="937"/>
      <c r="AI873" s="937"/>
      <c r="AJ873" s="937"/>
      <c r="AK873" s="937"/>
      <c r="AL873" s="937"/>
      <c r="AM873" s="937"/>
      <c r="AN873" s="937"/>
      <c r="AO873" s="937"/>
      <c r="AP873" s="937"/>
      <c r="AQ873" s="937"/>
      <c r="AR873" s="937"/>
      <c r="AX873" s="304"/>
      <c r="AY873" s="304"/>
      <c r="AZ873" s="304"/>
      <c r="BA873" s="304"/>
    </row>
    <row r="874" spans="1:53" ht="12.75" customHeight="1">
      <c r="A874" s="219">
        <v>860</v>
      </c>
      <c r="B874" s="7145"/>
      <c r="C874" s="1034"/>
      <c r="D874" s="2237" t="str">
        <f t="shared" ca="1" si="321"/>
        <v/>
      </c>
      <c r="E874" s="2236" t="e">
        <f t="shared" ca="1" si="322"/>
        <v>#N/A</v>
      </c>
      <c r="F874" s="2236" t="s">
        <v>1315</v>
      </c>
      <c r="G874" s="2236">
        <v>0</v>
      </c>
      <c r="H874" s="2236">
        <v>0</v>
      </c>
      <c r="I874" s="2236" t="str">
        <f t="shared" ca="1" si="323"/>
        <v>-</v>
      </c>
      <c r="J874" s="2236" t="str">
        <f t="shared" ca="1" si="324"/>
        <v>-</v>
      </c>
      <c r="K874" s="2433" t="s">
        <v>6849</v>
      </c>
      <c r="L874" s="2241" t="s">
        <v>1069</v>
      </c>
      <c r="M874" s="2240">
        <f t="shared" ca="1" si="325"/>
        <v>4</v>
      </c>
      <c r="N874" s="2240" t="e">
        <f t="shared" ca="1" si="326"/>
        <v>#N/A</v>
      </c>
      <c r="O874" s="2240"/>
      <c r="P874" s="2236"/>
      <c r="Q874" s="2236"/>
      <c r="R874" s="2236" t="s">
        <v>1315</v>
      </c>
      <c r="S874" s="2236" t="s">
        <v>1315</v>
      </c>
      <c r="T874" s="2236" t="s">
        <v>1315</v>
      </c>
      <c r="U874" s="2236"/>
      <c r="V874" s="2433" t="s">
        <v>2000</v>
      </c>
      <c r="W874" s="2234"/>
      <c r="X874" s="2546"/>
      <c r="Y874" s="1037">
        <f t="shared" si="319"/>
        <v>0</v>
      </c>
      <c r="Z874" s="2436"/>
      <c r="AA874" s="1751" t="s">
        <v>9830</v>
      </c>
      <c r="AC874" s="3609"/>
      <c r="AD874" s="3609"/>
      <c r="AE874" s="937"/>
      <c r="AF874" s="937"/>
      <c r="AG874" s="937"/>
      <c r="AH874" s="937"/>
      <c r="AI874" s="937"/>
      <c r="AJ874" s="937"/>
      <c r="AK874" s="937"/>
      <c r="AL874" s="937"/>
      <c r="AM874" s="937"/>
      <c r="AN874" s="937"/>
      <c r="AO874" s="937"/>
      <c r="AP874" s="937"/>
      <c r="AQ874" s="937"/>
      <c r="AR874" s="937"/>
      <c r="AX874" s="304"/>
      <c r="AY874" s="304"/>
      <c r="AZ874" s="304"/>
      <c r="BA874" s="304"/>
    </row>
    <row r="875" spans="1:53" ht="12.75" customHeight="1">
      <c r="A875" s="219">
        <v>861</v>
      </c>
      <c r="B875" s="7145"/>
      <c r="C875" s="1034"/>
      <c r="D875" s="2237" t="str">
        <f t="shared" ca="1" si="321"/>
        <v/>
      </c>
      <c r="E875" s="2236" t="e">
        <f t="shared" ca="1" si="322"/>
        <v>#N/A</v>
      </c>
      <c r="F875" s="2236" t="s">
        <v>1315</v>
      </c>
      <c r="G875" s="2236">
        <v>0</v>
      </c>
      <c r="H875" s="2236">
        <v>0</v>
      </c>
      <c r="I875" s="2236" t="str">
        <f t="shared" ca="1" si="323"/>
        <v>-</v>
      </c>
      <c r="J875" s="2236" t="str">
        <f t="shared" ca="1" si="324"/>
        <v>-</v>
      </c>
      <c r="K875" s="2433" t="s">
        <v>6849</v>
      </c>
      <c r="L875" s="2241" t="s">
        <v>1069</v>
      </c>
      <c r="M875" s="2240">
        <f t="shared" ca="1" si="325"/>
        <v>4</v>
      </c>
      <c r="N875" s="2240" t="e">
        <f t="shared" ca="1" si="326"/>
        <v>#N/A</v>
      </c>
      <c r="O875" s="2240"/>
      <c r="P875" s="2236"/>
      <c r="Q875" s="2236"/>
      <c r="R875" s="2236" t="s">
        <v>1315</v>
      </c>
      <c r="S875" s="2236" t="s">
        <v>1315</v>
      </c>
      <c r="T875" s="2236" t="s">
        <v>1315</v>
      </c>
      <c r="U875" s="2236"/>
      <c r="V875" s="2433" t="s">
        <v>2000</v>
      </c>
      <c r="W875" s="2234"/>
      <c r="X875" s="2546"/>
      <c r="Y875" s="1037">
        <f t="shared" si="319"/>
        <v>0</v>
      </c>
      <c r="Z875" s="2436"/>
      <c r="AA875" s="1751" t="s">
        <v>9830</v>
      </c>
      <c r="AC875" s="3609"/>
      <c r="AD875" s="3609"/>
      <c r="AE875" s="937"/>
      <c r="AF875" s="937"/>
      <c r="AG875" s="937"/>
      <c r="AH875" s="937"/>
      <c r="AI875" s="937"/>
      <c r="AJ875" s="937"/>
      <c r="AK875" s="937"/>
      <c r="AL875" s="937"/>
      <c r="AM875" s="937"/>
      <c r="AN875" s="937"/>
      <c r="AO875" s="937"/>
      <c r="AP875" s="937"/>
      <c r="AQ875" s="937"/>
      <c r="AR875" s="937"/>
      <c r="AX875" s="304"/>
      <c r="AY875" s="304"/>
      <c r="AZ875" s="304"/>
      <c r="BA875" s="304"/>
    </row>
    <row r="876" spans="1:53" ht="12.75" customHeight="1">
      <c r="A876" s="219">
        <v>862</v>
      </c>
      <c r="B876" s="7145"/>
      <c r="C876" s="1034"/>
      <c r="D876" s="2237" t="str">
        <f t="shared" ca="1" si="321"/>
        <v/>
      </c>
      <c r="E876" s="2236" t="e">
        <f t="shared" ca="1" si="322"/>
        <v>#N/A</v>
      </c>
      <c r="F876" s="2236" t="s">
        <v>1315</v>
      </c>
      <c r="G876" s="2236">
        <v>0</v>
      </c>
      <c r="H876" s="2236">
        <v>0</v>
      </c>
      <c r="I876" s="2236" t="str">
        <f t="shared" ca="1" si="323"/>
        <v>-</v>
      </c>
      <c r="J876" s="2236" t="str">
        <f t="shared" ca="1" si="324"/>
        <v>-</v>
      </c>
      <c r="K876" s="2433" t="s">
        <v>6849</v>
      </c>
      <c r="L876" s="2241" t="s">
        <v>1069</v>
      </c>
      <c r="M876" s="2240">
        <f t="shared" ca="1" si="325"/>
        <v>4</v>
      </c>
      <c r="N876" s="2240" t="e">
        <f t="shared" ca="1" si="326"/>
        <v>#N/A</v>
      </c>
      <c r="O876" s="2240"/>
      <c r="P876" s="2236"/>
      <c r="Q876" s="2236"/>
      <c r="R876" s="2236" t="s">
        <v>1315</v>
      </c>
      <c r="S876" s="2236" t="s">
        <v>1315</v>
      </c>
      <c r="T876" s="2236" t="s">
        <v>1315</v>
      </c>
      <c r="U876" s="2236"/>
      <c r="V876" s="2433" t="s">
        <v>2000</v>
      </c>
      <c r="W876" s="2234"/>
      <c r="X876" s="2546"/>
      <c r="Y876" s="1037">
        <f t="shared" si="319"/>
        <v>0</v>
      </c>
      <c r="Z876" s="2436"/>
      <c r="AA876" s="1751" t="s">
        <v>9830</v>
      </c>
      <c r="AC876" s="3609"/>
      <c r="AD876" s="3609"/>
      <c r="AE876" s="937"/>
      <c r="AF876" s="937"/>
      <c r="AG876" s="937"/>
      <c r="AH876" s="937"/>
      <c r="AI876" s="937"/>
      <c r="AJ876" s="937"/>
      <c r="AK876" s="937"/>
      <c r="AL876" s="937"/>
      <c r="AM876" s="937"/>
      <c r="AN876" s="937"/>
      <c r="AO876" s="937"/>
      <c r="AP876" s="937"/>
      <c r="AQ876" s="937"/>
      <c r="AR876" s="937"/>
      <c r="AX876" s="304"/>
      <c r="AY876" s="304"/>
      <c r="AZ876" s="304"/>
      <c r="BA876" s="304"/>
    </row>
    <row r="877" spans="1:53" ht="12.75" customHeight="1">
      <c r="A877" s="219">
        <v>863</v>
      </c>
      <c r="B877" s="7145"/>
      <c r="C877" s="1034"/>
      <c r="D877" s="2237" t="str">
        <f t="shared" ca="1" si="321"/>
        <v/>
      </c>
      <c r="E877" s="2236" t="e">
        <f t="shared" ca="1" si="322"/>
        <v>#N/A</v>
      </c>
      <c r="F877" s="2236" t="s">
        <v>1315</v>
      </c>
      <c r="G877" s="2236">
        <v>0</v>
      </c>
      <c r="H877" s="2236">
        <v>0</v>
      </c>
      <c r="I877" s="2236" t="str">
        <f t="shared" ca="1" si="323"/>
        <v>-</v>
      </c>
      <c r="J877" s="2236" t="str">
        <f t="shared" ca="1" si="324"/>
        <v>-</v>
      </c>
      <c r="K877" s="2433" t="s">
        <v>6849</v>
      </c>
      <c r="L877" s="2241" t="s">
        <v>1069</v>
      </c>
      <c r="M877" s="2240">
        <f t="shared" ca="1" si="325"/>
        <v>4</v>
      </c>
      <c r="N877" s="2240" t="e">
        <f t="shared" ca="1" si="326"/>
        <v>#N/A</v>
      </c>
      <c r="O877" s="2240"/>
      <c r="P877" s="2236"/>
      <c r="Q877" s="2236"/>
      <c r="R877" s="2236" t="s">
        <v>1315</v>
      </c>
      <c r="S877" s="2236" t="s">
        <v>1315</v>
      </c>
      <c r="T877" s="2236" t="s">
        <v>1315</v>
      </c>
      <c r="U877" s="2236"/>
      <c r="V877" s="2433" t="s">
        <v>2000</v>
      </c>
      <c r="W877" s="2234"/>
      <c r="X877" s="2546"/>
      <c r="Y877" s="1037">
        <f t="shared" si="319"/>
        <v>0</v>
      </c>
      <c r="Z877" s="2436"/>
      <c r="AA877" s="1751" t="s">
        <v>9830</v>
      </c>
      <c r="AC877" s="3609"/>
      <c r="AD877" s="3609"/>
      <c r="AE877" s="937"/>
      <c r="AF877" s="937"/>
      <c r="AG877" s="937"/>
      <c r="AH877" s="937"/>
      <c r="AI877" s="937"/>
      <c r="AJ877" s="937"/>
      <c r="AK877" s="937"/>
      <c r="AL877" s="937"/>
      <c r="AM877" s="937"/>
      <c r="AN877" s="937"/>
      <c r="AO877" s="937"/>
      <c r="AP877" s="937"/>
      <c r="AQ877" s="937"/>
      <c r="AR877" s="937"/>
      <c r="AX877" s="304"/>
      <c r="AY877" s="304"/>
      <c r="AZ877" s="304"/>
      <c r="BA877" s="304"/>
    </row>
    <row r="878" spans="1:53" ht="12.75" customHeight="1">
      <c r="A878" s="219">
        <v>864</v>
      </c>
      <c r="B878" s="7145"/>
      <c r="C878" s="1034"/>
      <c r="D878" s="2237" t="str">
        <f t="shared" ca="1" si="321"/>
        <v/>
      </c>
      <c r="E878" s="2236" t="e">
        <f t="shared" ca="1" si="322"/>
        <v>#N/A</v>
      </c>
      <c r="F878" s="2236" t="s">
        <v>1315</v>
      </c>
      <c r="G878" s="2236">
        <v>0</v>
      </c>
      <c r="H878" s="2236">
        <v>0</v>
      </c>
      <c r="I878" s="2236" t="str">
        <f t="shared" ca="1" si="323"/>
        <v>-</v>
      </c>
      <c r="J878" s="2236" t="str">
        <f t="shared" ca="1" si="324"/>
        <v>-</v>
      </c>
      <c r="K878" s="2433" t="s">
        <v>6849</v>
      </c>
      <c r="L878" s="2241" t="s">
        <v>1069</v>
      </c>
      <c r="M878" s="2240">
        <f t="shared" ca="1" si="325"/>
        <v>4</v>
      </c>
      <c r="N878" s="2240" t="e">
        <f t="shared" ca="1" si="326"/>
        <v>#N/A</v>
      </c>
      <c r="O878" s="2240"/>
      <c r="P878" s="2236"/>
      <c r="Q878" s="2236"/>
      <c r="R878" s="2236" t="s">
        <v>1315</v>
      </c>
      <c r="S878" s="2236" t="s">
        <v>1315</v>
      </c>
      <c r="T878" s="2236" t="s">
        <v>1315</v>
      </c>
      <c r="U878" s="2236"/>
      <c r="V878" s="2433" t="s">
        <v>2000</v>
      </c>
      <c r="W878" s="2234"/>
      <c r="X878" s="2546"/>
      <c r="Y878" s="1037">
        <f t="shared" si="319"/>
        <v>0</v>
      </c>
      <c r="Z878" s="2436"/>
      <c r="AA878" s="1751" t="s">
        <v>9830</v>
      </c>
      <c r="AC878" s="3609"/>
      <c r="AD878" s="3609"/>
      <c r="AE878" s="937"/>
      <c r="AF878" s="937"/>
      <c r="AG878" s="937"/>
      <c r="AH878" s="937"/>
      <c r="AI878" s="937"/>
      <c r="AJ878" s="937"/>
      <c r="AK878" s="937"/>
      <c r="AL878" s="937"/>
      <c r="AM878" s="937"/>
      <c r="AN878" s="937"/>
      <c r="AO878" s="937"/>
      <c r="AP878" s="937"/>
      <c r="AQ878" s="937"/>
      <c r="AR878" s="937"/>
      <c r="AX878" s="304"/>
      <c r="AY878" s="304"/>
      <c r="AZ878" s="304"/>
      <c r="BA878" s="304"/>
    </row>
    <row r="879" spans="1:53" ht="12.75" customHeight="1">
      <c r="A879" s="219">
        <v>865</v>
      </c>
      <c r="B879" s="7145"/>
      <c r="C879" s="1034"/>
      <c r="D879" s="2237" t="str">
        <f t="shared" ca="1" si="321"/>
        <v/>
      </c>
      <c r="E879" s="2236" t="e">
        <f t="shared" ca="1" si="322"/>
        <v>#N/A</v>
      </c>
      <c r="F879" s="2236" t="s">
        <v>1315</v>
      </c>
      <c r="G879" s="2236">
        <v>0</v>
      </c>
      <c r="H879" s="2236">
        <v>0</v>
      </c>
      <c r="I879" s="2236" t="str">
        <f t="shared" ca="1" si="323"/>
        <v>-</v>
      </c>
      <c r="J879" s="2236" t="str">
        <f t="shared" ca="1" si="324"/>
        <v>-</v>
      </c>
      <c r="K879" s="2433" t="s">
        <v>6849</v>
      </c>
      <c r="L879" s="2241" t="s">
        <v>1069</v>
      </c>
      <c r="M879" s="2240">
        <f t="shared" ca="1" si="325"/>
        <v>4</v>
      </c>
      <c r="N879" s="2240" t="e">
        <f t="shared" ca="1" si="326"/>
        <v>#N/A</v>
      </c>
      <c r="O879" s="2240"/>
      <c r="P879" s="2236"/>
      <c r="Q879" s="2236"/>
      <c r="R879" s="2236" t="s">
        <v>1315</v>
      </c>
      <c r="S879" s="2236" t="s">
        <v>1315</v>
      </c>
      <c r="T879" s="2236" t="s">
        <v>1315</v>
      </c>
      <c r="U879" s="2236"/>
      <c r="V879" s="2433" t="s">
        <v>2000</v>
      </c>
      <c r="W879" s="2234"/>
      <c r="X879" s="2546"/>
      <c r="Y879" s="1037">
        <f t="shared" si="319"/>
        <v>0</v>
      </c>
      <c r="Z879" s="2436"/>
      <c r="AA879" s="1751" t="s">
        <v>9830</v>
      </c>
      <c r="AC879" s="3609"/>
      <c r="AD879" s="3609"/>
      <c r="AE879" s="937"/>
      <c r="AF879" s="937"/>
      <c r="AG879" s="937"/>
      <c r="AH879" s="937"/>
      <c r="AI879" s="937"/>
      <c r="AJ879" s="937"/>
      <c r="AK879" s="937"/>
      <c r="AL879" s="937"/>
      <c r="AM879" s="937"/>
      <c r="AN879" s="937"/>
      <c r="AO879" s="937"/>
      <c r="AP879" s="937"/>
      <c r="AQ879" s="937"/>
      <c r="AR879" s="937"/>
      <c r="AX879" s="304"/>
      <c r="AY879" s="304"/>
      <c r="AZ879" s="304"/>
      <c r="BA879" s="304"/>
    </row>
    <row r="880" spans="1:53" ht="12.75" customHeight="1">
      <c r="B880" s="215"/>
      <c r="C880" s="1034"/>
      <c r="D880" s="2237" t="str">
        <f t="shared" ca="1" si="321"/>
        <v/>
      </c>
      <c r="E880" s="2236" t="e">
        <f t="shared" ca="1" si="322"/>
        <v>#N/A</v>
      </c>
      <c r="F880" s="2236" t="s">
        <v>1315</v>
      </c>
      <c r="G880" s="2236">
        <v>0</v>
      </c>
      <c r="H880" s="2236">
        <v>0</v>
      </c>
      <c r="I880" s="2236" t="str">
        <f t="shared" ca="1" si="323"/>
        <v>-</v>
      </c>
      <c r="J880" s="2236" t="str">
        <f t="shared" ca="1" si="324"/>
        <v>-</v>
      </c>
      <c r="K880" s="2433" t="s">
        <v>6849</v>
      </c>
      <c r="L880" s="2241" t="s">
        <v>1069</v>
      </c>
      <c r="M880" s="2240">
        <f t="shared" ca="1" si="325"/>
        <v>4</v>
      </c>
      <c r="N880" s="2240" t="e">
        <f t="shared" ca="1" si="326"/>
        <v>#N/A</v>
      </c>
      <c r="O880" s="2240"/>
      <c r="P880" s="2236"/>
      <c r="Q880" s="2236"/>
      <c r="R880" s="2236" t="s">
        <v>1315</v>
      </c>
      <c r="S880" s="2236" t="s">
        <v>1315</v>
      </c>
      <c r="T880" s="2236" t="s">
        <v>1315</v>
      </c>
      <c r="U880" s="2236"/>
      <c r="V880" s="2433" t="s">
        <v>2000</v>
      </c>
      <c r="W880" s="2234"/>
      <c r="X880" s="2546"/>
      <c r="Y880" s="1037">
        <f t="shared" si="319"/>
        <v>0</v>
      </c>
      <c r="Z880" s="2436"/>
      <c r="AA880" s="1751" t="s">
        <v>9830</v>
      </c>
      <c r="AC880" s="3609"/>
      <c r="AD880" s="3609"/>
      <c r="AE880" s="937"/>
      <c r="AF880" s="937"/>
      <c r="AG880" s="937"/>
      <c r="AH880" s="937"/>
      <c r="AI880" s="937"/>
      <c r="AJ880" s="937"/>
      <c r="AK880" s="937"/>
      <c r="AL880" s="937"/>
      <c r="AM880" s="937"/>
      <c r="AN880" s="937"/>
      <c r="AO880" s="937"/>
      <c r="AP880" s="937"/>
      <c r="AQ880" s="937"/>
      <c r="AR880" s="937"/>
      <c r="AX880" s="304"/>
      <c r="AY880" s="304"/>
      <c r="AZ880" s="304"/>
      <c r="BA880" s="304"/>
    </row>
    <row r="881" spans="1:64" ht="12.75" customHeight="1">
      <c r="B881" s="215"/>
      <c r="C881" s="1034"/>
      <c r="D881" s="2237" t="str">
        <f t="shared" ca="1" si="321"/>
        <v/>
      </c>
      <c r="E881" s="2236" t="e">
        <f t="shared" ca="1" si="322"/>
        <v>#N/A</v>
      </c>
      <c r="F881" s="2236" t="s">
        <v>1315</v>
      </c>
      <c r="G881" s="2236">
        <v>0</v>
      </c>
      <c r="H881" s="2236">
        <v>0</v>
      </c>
      <c r="I881" s="2236" t="str">
        <f t="shared" ca="1" si="323"/>
        <v>-</v>
      </c>
      <c r="J881" s="2236" t="str">
        <f t="shared" ca="1" si="324"/>
        <v>-</v>
      </c>
      <c r="K881" s="2433" t="s">
        <v>6849</v>
      </c>
      <c r="L881" s="2241" t="s">
        <v>1069</v>
      </c>
      <c r="M881" s="2240">
        <f t="shared" ca="1" si="325"/>
        <v>4</v>
      </c>
      <c r="N881" s="2240" t="e">
        <f t="shared" ca="1" si="326"/>
        <v>#N/A</v>
      </c>
      <c r="O881" s="2240"/>
      <c r="P881" s="2236"/>
      <c r="Q881" s="2236"/>
      <c r="R881" s="2236" t="s">
        <v>1315</v>
      </c>
      <c r="S881" s="2236" t="s">
        <v>1315</v>
      </c>
      <c r="T881" s="2236" t="s">
        <v>1315</v>
      </c>
      <c r="U881" s="2236"/>
      <c r="V881" s="2433" t="s">
        <v>2000</v>
      </c>
      <c r="W881" s="2234"/>
      <c r="X881" s="2546"/>
      <c r="Y881" s="1037">
        <f t="shared" si="319"/>
        <v>0</v>
      </c>
      <c r="Z881" s="2436"/>
      <c r="AA881" s="1751" t="s">
        <v>9830</v>
      </c>
      <c r="AC881" s="3609"/>
      <c r="AD881" s="3609"/>
      <c r="AE881" s="937"/>
      <c r="AF881" s="937"/>
      <c r="AG881" s="937"/>
      <c r="AH881" s="937"/>
      <c r="AI881" s="937"/>
      <c r="AJ881" s="937"/>
      <c r="AK881" s="937"/>
      <c r="AL881" s="937"/>
      <c r="AM881" s="937"/>
      <c r="AN881" s="937"/>
      <c r="AO881" s="937"/>
      <c r="AP881" s="937"/>
      <c r="AQ881" s="937"/>
      <c r="AR881" s="937"/>
      <c r="AX881" s="304"/>
      <c r="AY881" s="304"/>
      <c r="AZ881" s="304"/>
      <c r="BA881" s="304"/>
    </row>
    <row r="882" spans="1:64" ht="12.75" customHeight="1" thickBot="1">
      <c r="B882" s="215"/>
      <c r="C882" s="1038"/>
      <c r="D882" s="1039" t="str">
        <f t="shared" ca="1" si="321"/>
        <v/>
      </c>
      <c r="E882" s="1040" t="e">
        <f t="shared" ca="1" si="322"/>
        <v>#N/A</v>
      </c>
      <c r="F882" s="1040" t="s">
        <v>1315</v>
      </c>
      <c r="G882" s="1040">
        <v>0</v>
      </c>
      <c r="H882" s="1040">
        <v>0</v>
      </c>
      <c r="I882" s="1040" t="str">
        <f t="shared" ca="1" si="323"/>
        <v>-</v>
      </c>
      <c r="J882" s="1040" t="str">
        <f t="shared" ca="1" si="324"/>
        <v>-</v>
      </c>
      <c r="K882" s="962" t="s">
        <v>6849</v>
      </c>
      <c r="L882" s="1041" t="s">
        <v>1069</v>
      </c>
      <c r="M882" s="1042">
        <f t="shared" ca="1" si="325"/>
        <v>4</v>
      </c>
      <c r="N882" s="1042" t="e">
        <f t="shared" ca="1" si="326"/>
        <v>#N/A</v>
      </c>
      <c r="O882" s="1042"/>
      <c r="P882" s="1040"/>
      <c r="Q882" s="1040"/>
      <c r="R882" s="1040" t="s">
        <v>1315</v>
      </c>
      <c r="S882" s="1040" t="s">
        <v>1315</v>
      </c>
      <c r="T882" s="1040" t="s">
        <v>1315</v>
      </c>
      <c r="U882" s="1040"/>
      <c r="V882" s="962" t="s">
        <v>2000</v>
      </c>
      <c r="W882" s="1043"/>
      <c r="X882" s="2548"/>
      <c r="Y882" s="2248">
        <f t="shared" si="319"/>
        <v>0</v>
      </c>
      <c r="Z882" s="2437"/>
      <c r="AA882" s="1752" t="s">
        <v>9830</v>
      </c>
      <c r="AC882" s="3609"/>
      <c r="AD882" s="3609"/>
      <c r="AE882" s="937"/>
      <c r="AF882" s="937"/>
      <c r="AG882" s="937"/>
      <c r="AH882" s="937"/>
      <c r="AI882" s="937"/>
      <c r="AJ882" s="937"/>
      <c r="AK882" s="937"/>
      <c r="AL882" s="937"/>
      <c r="AM882" s="937"/>
      <c r="AN882" s="937"/>
      <c r="AO882" s="937"/>
      <c r="AP882" s="937"/>
      <c r="AQ882" s="937"/>
      <c r="AR882" s="937"/>
      <c r="AX882" s="304"/>
      <c r="AY882" s="304"/>
      <c r="AZ882" s="304"/>
      <c r="BA882" s="304"/>
    </row>
    <row r="883" spans="1:64" ht="12.75" customHeight="1">
      <c r="B883" s="215"/>
      <c r="H883"/>
      <c r="I883" s="510"/>
      <c r="N883"/>
      <c r="O883" s="510"/>
    </row>
    <row r="884" spans="1:64" ht="12.75" customHeight="1">
      <c r="B884" s="215"/>
      <c r="H884"/>
      <c r="I884" s="510"/>
      <c r="N884"/>
      <c r="O884" s="510"/>
    </row>
    <row r="885" spans="1:64" ht="12.75" customHeight="1">
      <c r="A885" s="219">
        <v>866</v>
      </c>
      <c r="B885" s="7145"/>
      <c r="C885" s="7146" t="s">
        <v>6881</v>
      </c>
      <c r="D885" s="7146"/>
      <c r="E885" s="7146"/>
      <c r="F885" s="7146"/>
      <c r="G885" s="7146"/>
      <c r="H885" s="7146"/>
      <c r="I885" s="7146"/>
      <c r="J885" s="7146"/>
      <c r="K885" s="7146"/>
      <c r="L885" s="7146"/>
      <c r="M885" s="7146"/>
      <c r="N885" s="7146"/>
      <c r="O885" s="7146"/>
      <c r="P885" s="7146"/>
      <c r="Q885" s="7146"/>
      <c r="R885" s="7146"/>
      <c r="S885" s="7146"/>
      <c r="T885" s="7146"/>
      <c r="U885" s="7146"/>
      <c r="V885" s="7146"/>
      <c r="W885" s="7146"/>
      <c r="X885" s="7146"/>
      <c r="Y885" s="7146"/>
      <c r="Z885" s="7146"/>
      <c r="AA885" s="7146"/>
      <c r="AB885" s="7146"/>
      <c r="AC885" s="7146"/>
      <c r="AD885" s="7146"/>
      <c r="AE885" s="7146"/>
      <c r="AF885" s="7146"/>
      <c r="AG885" s="7146"/>
      <c r="AH885" s="7146"/>
      <c r="AI885" s="7146"/>
      <c r="AJ885" s="7146"/>
      <c r="AK885" s="7146"/>
      <c r="AL885" s="7146"/>
      <c r="AM885" s="7146"/>
      <c r="AN885" s="7146"/>
      <c r="AO885" s="7146"/>
      <c r="AP885" s="7146"/>
      <c r="AQ885" s="7146"/>
      <c r="AR885" s="7146"/>
      <c r="AS885" s="7146"/>
      <c r="AT885" s="7146"/>
      <c r="AU885" s="7146"/>
      <c r="AV885" s="7146"/>
      <c r="AW885" s="7146"/>
      <c r="AX885" s="7146"/>
      <c r="AY885" s="7146"/>
      <c r="AZ885" s="7146"/>
      <c r="BA885" s="7146"/>
      <c r="BB885" s="7146"/>
      <c r="BC885" s="7146"/>
      <c r="BD885" s="7146"/>
      <c r="BE885" s="7146"/>
      <c r="BF885" s="7146"/>
      <c r="BG885" s="7146"/>
      <c r="BH885" s="7146"/>
      <c r="BI885" s="7146"/>
      <c r="BJ885" s="7146"/>
      <c r="BK885" s="7146"/>
      <c r="BL885" s="7146"/>
    </row>
    <row r="886" spans="1:64" ht="12.75" customHeight="1">
      <c r="A886" s="219">
        <v>867</v>
      </c>
      <c r="B886" s="7145"/>
      <c r="C886" s="7146"/>
      <c r="D886" s="7146"/>
      <c r="E886" s="7146"/>
      <c r="F886" s="7146"/>
      <c r="G886" s="7146"/>
      <c r="H886" s="7146"/>
      <c r="I886" s="7146"/>
      <c r="J886" s="7146"/>
      <c r="K886" s="7146"/>
      <c r="L886" s="7146"/>
      <c r="M886" s="7146"/>
      <c r="N886" s="7146"/>
      <c r="O886" s="7146"/>
      <c r="P886" s="7146"/>
      <c r="Q886" s="7146"/>
      <c r="R886" s="7146"/>
      <c r="S886" s="7146"/>
      <c r="T886" s="7146"/>
      <c r="U886" s="7146"/>
      <c r="V886" s="7146"/>
      <c r="W886" s="7146"/>
      <c r="X886" s="7146"/>
      <c r="Y886" s="7146"/>
      <c r="Z886" s="7146"/>
      <c r="AA886" s="7146"/>
      <c r="AB886" s="7146"/>
      <c r="AC886" s="7146"/>
      <c r="AD886" s="7146"/>
      <c r="AE886" s="7146"/>
      <c r="AF886" s="7146"/>
      <c r="AG886" s="7146"/>
      <c r="AH886" s="7146"/>
      <c r="AI886" s="7146"/>
      <c r="AJ886" s="7146"/>
      <c r="AK886" s="7146"/>
      <c r="AL886" s="7146"/>
      <c r="AM886" s="7146"/>
      <c r="AN886" s="7146"/>
      <c r="AO886" s="7146"/>
      <c r="AP886" s="7146"/>
      <c r="AQ886" s="7146"/>
      <c r="AR886" s="7146"/>
      <c r="AS886" s="7146"/>
      <c r="AT886" s="7146"/>
      <c r="AU886" s="7146"/>
      <c r="AV886" s="7146"/>
      <c r="AW886" s="7146"/>
      <c r="AX886" s="7146"/>
      <c r="AY886" s="7146"/>
      <c r="AZ886" s="7146"/>
      <c r="BA886" s="7146"/>
      <c r="BB886" s="7146"/>
      <c r="BC886" s="7146"/>
      <c r="BD886" s="7146"/>
      <c r="BE886" s="7146"/>
      <c r="BF886" s="7146"/>
      <c r="BG886" s="7146"/>
      <c r="BH886" s="7146"/>
      <c r="BI886" s="7146"/>
      <c r="BJ886" s="7146"/>
      <c r="BK886" s="7146"/>
      <c r="BL886" s="7146"/>
    </row>
    <row r="887" spans="1:64" ht="12.75" customHeight="1">
      <c r="A887" s="219">
        <v>868</v>
      </c>
      <c r="B887" s="7145"/>
      <c r="C887" s="7146"/>
      <c r="D887" s="7146"/>
      <c r="E887" s="7146"/>
      <c r="F887" s="7146"/>
      <c r="G887" s="7146"/>
      <c r="H887" s="7146"/>
      <c r="I887" s="7146"/>
      <c r="J887" s="7146"/>
      <c r="K887" s="7146"/>
      <c r="L887" s="7146"/>
      <c r="M887" s="7146"/>
      <c r="N887" s="7146"/>
      <c r="O887" s="7146"/>
      <c r="P887" s="7146"/>
      <c r="Q887" s="7146"/>
      <c r="R887" s="7146"/>
      <c r="S887" s="7146"/>
      <c r="T887" s="7146"/>
      <c r="U887" s="7146"/>
      <c r="V887" s="7146"/>
      <c r="W887" s="7146"/>
      <c r="X887" s="7146"/>
      <c r="Y887" s="7146"/>
      <c r="Z887" s="7146"/>
      <c r="AA887" s="7146"/>
      <c r="AB887" s="7146"/>
      <c r="AC887" s="7146"/>
      <c r="AD887" s="7146"/>
      <c r="AE887" s="7146"/>
      <c r="AF887" s="7146"/>
      <c r="AG887" s="7146"/>
      <c r="AH887" s="7146"/>
      <c r="AI887" s="7146"/>
      <c r="AJ887" s="7146"/>
      <c r="AK887" s="7146"/>
      <c r="AL887" s="7146"/>
      <c r="AM887" s="7146"/>
      <c r="AN887" s="7146"/>
      <c r="AO887" s="7146"/>
      <c r="AP887" s="7146"/>
      <c r="AQ887" s="7146"/>
      <c r="AR887" s="7146"/>
      <c r="AS887" s="7146"/>
      <c r="AT887" s="7146"/>
      <c r="AU887" s="7146"/>
      <c r="AV887" s="7146"/>
      <c r="AW887" s="7146"/>
      <c r="AX887" s="7146"/>
      <c r="AY887" s="7146"/>
      <c r="AZ887" s="7146"/>
      <c r="BA887" s="7146"/>
      <c r="BB887" s="7146"/>
      <c r="BC887" s="7146"/>
      <c r="BD887" s="7146"/>
      <c r="BE887" s="7146"/>
      <c r="BF887" s="7146"/>
      <c r="BG887" s="7146"/>
      <c r="BH887" s="7146"/>
      <c r="BI887" s="7146"/>
      <c r="BJ887" s="7146"/>
      <c r="BK887" s="7146"/>
      <c r="BL887" s="7146"/>
    </row>
    <row r="888" spans="1:64" ht="12.75" customHeight="1" thickBot="1">
      <c r="A888" s="219">
        <v>869</v>
      </c>
      <c r="B888" s="7145"/>
      <c r="C888" s="645"/>
      <c r="H888"/>
      <c r="N888"/>
    </row>
    <row r="889" spans="1:64" ht="12.75" customHeight="1" thickBot="1">
      <c r="A889" s="219">
        <v>870</v>
      </c>
      <c r="B889" s="7145"/>
      <c r="C889" s="7842" t="s">
        <v>715</v>
      </c>
      <c r="D889" s="7843"/>
      <c r="E889" s="7843"/>
      <c r="F889" s="7843"/>
      <c r="G889" s="7843"/>
      <c r="H889" s="7843"/>
      <c r="I889" s="7843"/>
      <c r="J889" s="7843"/>
      <c r="K889" s="7843"/>
      <c r="L889" s="7843"/>
      <c r="M889" s="7843"/>
      <c r="N889" s="7843"/>
      <c r="O889" s="7843"/>
      <c r="P889" s="7843"/>
      <c r="Q889" s="7843"/>
      <c r="R889" s="7843"/>
      <c r="S889" s="7843"/>
      <c r="T889" s="7843"/>
      <c r="U889" s="7843"/>
      <c r="V889" s="7843"/>
      <c r="W889" s="7843"/>
      <c r="X889" s="7843"/>
      <c r="Y889" s="7843"/>
      <c r="Z889" s="7843"/>
      <c r="AA889" s="7843"/>
      <c r="AB889" s="7843"/>
      <c r="AC889" s="7844"/>
      <c r="AE889" s="7968" t="s">
        <v>8296</v>
      </c>
      <c r="AF889" s="7969"/>
      <c r="AG889" s="7970"/>
      <c r="AI889" s="7968" t="s">
        <v>8308</v>
      </c>
      <c r="AJ889" s="7969"/>
      <c r="AK889" s="7969"/>
      <c r="AL889" s="7969"/>
      <c r="AM889" s="7969"/>
      <c r="AN889" s="7969"/>
      <c r="AO889" s="7969"/>
      <c r="AP889" s="7969"/>
      <c r="AQ889" s="7969"/>
      <c r="AR889" s="7969"/>
      <c r="AS889" s="7969"/>
      <c r="AT889" s="7969"/>
      <c r="AU889" s="7969"/>
      <c r="AV889" s="7969"/>
      <c r="AW889" s="7969"/>
      <c r="AX889" s="7969"/>
      <c r="AY889" s="7969"/>
      <c r="AZ889" s="7969"/>
      <c r="BA889" s="7969"/>
      <c r="BB889" s="7969"/>
      <c r="BC889" s="7969"/>
      <c r="BD889" s="7969"/>
      <c r="BE889" s="7969"/>
      <c r="BF889" s="7969"/>
      <c r="BG889" s="7969"/>
      <c r="BH889" s="7969"/>
      <c r="BI889" s="7969"/>
      <c r="BJ889" s="7969"/>
      <c r="BK889" s="7969"/>
      <c r="BL889" s="7970"/>
    </row>
    <row r="890" spans="1:64" ht="12.75" customHeight="1" thickBot="1">
      <c r="A890" s="219">
        <v>871</v>
      </c>
      <c r="B890" s="7145"/>
      <c r="C890" s="7845"/>
      <c r="D890" s="7846"/>
      <c r="E890" s="7846"/>
      <c r="F890" s="7846"/>
      <c r="G890" s="7846"/>
      <c r="H890" s="7846"/>
      <c r="I890" s="7846"/>
      <c r="J890" s="7846"/>
      <c r="K890" s="7846"/>
      <c r="L890" s="7846"/>
      <c r="M890" s="7846"/>
      <c r="N890" s="7846"/>
      <c r="O890" s="7846"/>
      <c r="P890" s="7846"/>
      <c r="Q890" s="7846"/>
      <c r="R890" s="7846"/>
      <c r="S890" s="7846"/>
      <c r="T890" s="7846"/>
      <c r="U890" s="7846"/>
      <c r="V890" s="7846"/>
      <c r="W890" s="7846"/>
      <c r="X890" s="7846"/>
      <c r="Y890" s="7846"/>
      <c r="Z890" s="7846"/>
      <c r="AA890" s="7846"/>
      <c r="AB890" s="7846"/>
      <c r="AC890" s="7847"/>
      <c r="AE890" s="1639" t="s">
        <v>5817</v>
      </c>
      <c r="AF890" s="1637" t="s">
        <v>1911</v>
      </c>
      <c r="AG890" s="1638" t="s">
        <v>8297</v>
      </c>
      <c r="AI890" s="7848" t="s">
        <v>8309</v>
      </c>
      <c r="AJ890" s="7850"/>
      <c r="AK890" s="8001" t="b">
        <f>Arma_Desarrollada="Desarmado"</f>
        <v>0</v>
      </c>
      <c r="AL890" s="8002"/>
      <c r="AM890" s="7867" t="str">
        <f>IF(Categoría_1="","",Categoría_1)</f>
        <v/>
      </c>
      <c r="AN890" s="7868"/>
      <c r="AO890" s="7868"/>
      <c r="AP890" s="7868"/>
      <c r="AQ890" s="7869"/>
      <c r="AR890" s="7848" t="str">
        <f>IF(Categoría_2="","",Categoría_2)</f>
        <v/>
      </c>
      <c r="AS890" s="7849"/>
      <c r="AT890" s="7849"/>
      <c r="AU890" s="7849"/>
      <c r="AV890" s="7850"/>
      <c r="AW890" s="7848" t="str">
        <f>IF(Categoría_3="","",Categoría_3)</f>
        <v/>
      </c>
      <c r="AX890" s="7849"/>
      <c r="AY890" s="7849"/>
      <c r="AZ890" s="7849"/>
      <c r="BA890" s="7850"/>
      <c r="BB890" s="7848" t="str">
        <f>IF(Categoría_4="","",Categoría_4)</f>
        <v/>
      </c>
      <c r="BC890" s="7849"/>
      <c r="BD890" s="7849"/>
      <c r="BE890" s="7849"/>
      <c r="BF890" s="7850"/>
      <c r="BG890" s="7848" t="str">
        <f>IF(Categoría_5="","",Categoría_5)</f>
        <v/>
      </c>
      <c r="BH890" s="7849"/>
      <c r="BI890" s="7849"/>
      <c r="BJ890" s="7849"/>
      <c r="BK890" s="7850"/>
      <c r="BL890" s="7870" t="s">
        <v>8310</v>
      </c>
    </row>
    <row r="891" spans="1:64" ht="12.75" customHeight="1" thickBot="1">
      <c r="A891" s="219">
        <v>872</v>
      </c>
      <c r="B891" s="7145"/>
      <c r="C891" s="7954">
        <v>1</v>
      </c>
      <c r="D891" s="7955"/>
      <c r="E891" s="827">
        <v>2</v>
      </c>
      <c r="F891" s="827">
        <v>3</v>
      </c>
      <c r="G891" s="827">
        <v>4</v>
      </c>
      <c r="H891" s="827">
        <v>5</v>
      </c>
      <c r="I891" s="827">
        <v>6</v>
      </c>
      <c r="J891" s="827">
        <v>7</v>
      </c>
      <c r="K891" s="827">
        <v>8</v>
      </c>
      <c r="L891" s="827">
        <v>9</v>
      </c>
      <c r="M891" s="827">
        <v>10</v>
      </c>
      <c r="N891" s="827">
        <v>11</v>
      </c>
      <c r="O891" s="827">
        <v>12</v>
      </c>
      <c r="P891" s="827">
        <v>13</v>
      </c>
      <c r="Q891" s="827">
        <v>14</v>
      </c>
      <c r="R891" s="827">
        <v>15</v>
      </c>
      <c r="S891" s="827">
        <v>16</v>
      </c>
      <c r="T891" s="827">
        <v>17</v>
      </c>
      <c r="U891" s="827">
        <v>18</v>
      </c>
      <c r="V891" s="827">
        <v>19</v>
      </c>
      <c r="W891" s="827">
        <v>20</v>
      </c>
      <c r="X891" s="827">
        <v>21</v>
      </c>
      <c r="Y891" s="827">
        <v>22</v>
      </c>
      <c r="Z891" s="827">
        <v>23</v>
      </c>
      <c r="AA891" s="6465" t="s">
        <v>8314</v>
      </c>
      <c r="AB891" s="6465"/>
      <c r="AC891" s="8000"/>
      <c r="AE891" s="1640" t="s">
        <v>8298</v>
      </c>
      <c r="AF891" s="286">
        <v>10</v>
      </c>
      <c r="AG891" s="838">
        <v>20</v>
      </c>
      <c r="AI891" s="7964" t="s">
        <v>8315</v>
      </c>
      <c r="AJ891" s="7965"/>
      <c r="AK891" s="7873" t="b">
        <f>OR(Categoría_2&lt;&gt;"",Categoría_3&lt;&gt;"",Categoría_4&lt;&gt;"",Categoría_5&lt;&gt;"")</f>
        <v>0</v>
      </c>
      <c r="AL891" s="7874"/>
      <c r="AM891" s="1627"/>
      <c r="AN891" s="1628">
        <v>1</v>
      </c>
      <c r="AO891" s="1628">
        <v>2</v>
      </c>
      <c r="AP891" s="1628">
        <v>3</v>
      </c>
      <c r="AQ891" s="1629"/>
      <c r="AR891" s="1630"/>
      <c r="AS891" s="1628">
        <v>1</v>
      </c>
      <c r="AT891" s="1628">
        <v>2</v>
      </c>
      <c r="AU891" s="1628">
        <v>3</v>
      </c>
      <c r="AV891" s="1629"/>
      <c r="AW891" s="1630"/>
      <c r="AX891" s="1628">
        <v>1</v>
      </c>
      <c r="AY891" s="1628">
        <v>2</v>
      </c>
      <c r="AZ891" s="1628">
        <v>3</v>
      </c>
      <c r="BA891" s="1629"/>
      <c r="BB891" s="1630"/>
      <c r="BC891" s="1628">
        <v>1</v>
      </c>
      <c r="BD891" s="1628">
        <v>2</v>
      </c>
      <c r="BE891" s="1628">
        <v>3</v>
      </c>
      <c r="BF891" s="1629"/>
      <c r="BG891" s="1631"/>
      <c r="BH891" s="1628">
        <v>1</v>
      </c>
      <c r="BI891" s="1628">
        <v>2</v>
      </c>
      <c r="BJ891" s="1628">
        <v>3</v>
      </c>
      <c r="BK891" s="1632"/>
      <c r="BL891" s="7871"/>
    </row>
    <row r="892" spans="1:64" ht="12.75" customHeight="1" thickBot="1">
      <c r="A892" s="219">
        <v>873</v>
      </c>
      <c r="B892" s="7145"/>
      <c r="C892" s="8059" t="s">
        <v>716</v>
      </c>
      <c r="D892" s="8060"/>
      <c r="E892" s="169" t="s">
        <v>717</v>
      </c>
      <c r="F892" s="169" t="s">
        <v>718</v>
      </c>
      <c r="G892" s="169" t="s">
        <v>8322</v>
      </c>
      <c r="H892" s="169" t="s">
        <v>719</v>
      </c>
      <c r="I892" s="169" t="s">
        <v>6762</v>
      </c>
      <c r="J892" s="169" t="s">
        <v>6763</v>
      </c>
      <c r="K892" s="169" t="s">
        <v>720</v>
      </c>
      <c r="L892" s="2111" t="s">
        <v>9523</v>
      </c>
      <c r="M892" s="2111" t="s">
        <v>9524</v>
      </c>
      <c r="N892" s="7953" t="s">
        <v>1336</v>
      </c>
      <c r="O892" s="7953"/>
      <c r="P892" s="7953"/>
      <c r="Q892" s="7953"/>
      <c r="R892" s="7953"/>
      <c r="S892" s="169" t="s">
        <v>8317</v>
      </c>
      <c r="T892" s="169" t="s">
        <v>722</v>
      </c>
      <c r="U892" s="169" t="s">
        <v>722</v>
      </c>
      <c r="V892" s="169" t="s">
        <v>723</v>
      </c>
      <c r="W892" s="169" t="s">
        <v>724</v>
      </c>
      <c r="X892" s="169" t="s">
        <v>725</v>
      </c>
      <c r="Y892" s="169" t="s">
        <v>2097</v>
      </c>
      <c r="Z892" s="169" t="s">
        <v>721</v>
      </c>
      <c r="AA892" s="548" t="s">
        <v>6797</v>
      </c>
      <c r="AB892" s="548" t="s">
        <v>6798</v>
      </c>
      <c r="AC892" s="1140" t="s">
        <v>6799</v>
      </c>
      <c r="AE892" s="1640" t="s">
        <v>8299</v>
      </c>
      <c r="AF892" s="286">
        <v>10</v>
      </c>
      <c r="AG892" s="838">
        <v>30</v>
      </c>
      <c r="AI892" s="1633" t="s">
        <v>8311</v>
      </c>
      <c r="AJ892" s="1634" t="s">
        <v>5817</v>
      </c>
      <c r="AK892" s="1634" t="s">
        <v>1258</v>
      </c>
      <c r="AL892" s="1635" t="s">
        <v>8312</v>
      </c>
      <c r="AM892" s="1633" t="s">
        <v>8113</v>
      </c>
      <c r="AN892" s="1634" t="s">
        <v>1349</v>
      </c>
      <c r="AO892" s="1634" t="s">
        <v>1349</v>
      </c>
      <c r="AP892" s="1634" t="s">
        <v>1349</v>
      </c>
      <c r="AQ892" s="1635" t="s">
        <v>8313</v>
      </c>
      <c r="AR892" s="1633" t="s">
        <v>8113</v>
      </c>
      <c r="AS892" s="1634" t="s">
        <v>1349</v>
      </c>
      <c r="AT892" s="1634" t="s">
        <v>1349</v>
      </c>
      <c r="AU892" s="1634" t="s">
        <v>1349</v>
      </c>
      <c r="AV892" s="1635" t="s">
        <v>8313</v>
      </c>
      <c r="AW892" s="1633" t="s">
        <v>8113</v>
      </c>
      <c r="AX892" s="1634" t="s">
        <v>1349</v>
      </c>
      <c r="AY892" s="1634" t="s">
        <v>1349</v>
      </c>
      <c r="AZ892" s="1634" t="s">
        <v>1349</v>
      </c>
      <c r="BA892" s="1635" t="s">
        <v>8313</v>
      </c>
      <c r="BB892" s="1633" t="s">
        <v>8113</v>
      </c>
      <c r="BC892" s="1634" t="s">
        <v>1349</v>
      </c>
      <c r="BD892" s="1634" t="s">
        <v>1349</v>
      </c>
      <c r="BE892" s="1634" t="s">
        <v>1349</v>
      </c>
      <c r="BF892" s="1635" t="s">
        <v>8313</v>
      </c>
      <c r="BG892" s="1633" t="s">
        <v>8113</v>
      </c>
      <c r="BH892" s="1634" t="s">
        <v>1349</v>
      </c>
      <c r="BI892" s="1634" t="s">
        <v>1349</v>
      </c>
      <c r="BJ892" s="1634" t="s">
        <v>1349</v>
      </c>
      <c r="BK892" s="1635" t="s">
        <v>8313</v>
      </c>
      <c r="BL892" s="7872"/>
    </row>
    <row r="893" spans="1:64" ht="12.75" customHeight="1">
      <c r="A893" s="219">
        <v>874</v>
      </c>
      <c r="B893" s="7145"/>
      <c r="C893" s="443"/>
      <c r="D893" s="78" t="s">
        <v>726</v>
      </c>
      <c r="E893" s="75"/>
      <c r="F893" s="75"/>
      <c r="G893" s="75"/>
      <c r="H893" s="75"/>
      <c r="I893" s="75"/>
      <c r="J893" s="75"/>
      <c r="K893" s="75"/>
      <c r="L893" s="75"/>
      <c r="M893" s="2110"/>
      <c r="N893" s="2110" t="s">
        <v>1315</v>
      </c>
      <c r="O893" s="2110"/>
      <c r="P893" s="2110"/>
      <c r="Q893" s="2110"/>
      <c r="R893" s="2110"/>
      <c r="S893" s="70">
        <f t="shared" ref="S893:S924" si="327">LEN(N893)</f>
        <v>1</v>
      </c>
      <c r="T893" s="75"/>
      <c r="U893" s="75"/>
      <c r="V893" s="75"/>
      <c r="W893" s="75"/>
      <c r="X893" s="75">
        <f t="shared" ref="X893:X924" si="328">Y893*E893</f>
        <v>0</v>
      </c>
      <c r="Y893" s="75"/>
      <c r="Z893" s="75" t="s">
        <v>1315</v>
      </c>
      <c r="AA893" s="926"/>
      <c r="AB893" s="699"/>
      <c r="AC893" s="1150"/>
      <c r="AE893" s="1640" t="s">
        <v>8300</v>
      </c>
      <c r="AF893" s="286">
        <v>20</v>
      </c>
      <c r="AG893" s="838">
        <v>50</v>
      </c>
      <c r="AI893" s="2253" t="str">
        <f>IF(PDs!E59="","",PDs!E59)</f>
        <v/>
      </c>
      <c r="AJ893" s="2254" t="str">
        <f>IF(PDs!J59="","",PDs!J59)</f>
        <v/>
      </c>
      <c r="AK893" s="3994" t="str">
        <f>IF(ISNUMBER(MATCH(AI893,$AE$898:$AE$920,0)),"Básica",IF(ISNUMBER(MATCH(AI893,$AE$921:$AE$947,0)),"Avanzada",""))</f>
        <v/>
      </c>
      <c r="AL893" s="2254" t="str">
        <f t="shared" ref="AL893:AL911" si="329">IF(AK893="Básica",MATCH(AJ893,Grado_AM_Básicas,0),IF(AK893="Avanzada",MATCH(AJ893,Grado_AM_Avanzadas,0),""))</f>
        <v/>
      </c>
      <c r="AM893" s="2255" t="str">
        <f>IFERROR("Tablas!"&amp;IF($AK$891,ADDRESS(ROW(),COLUMN(AN893)),ADDRESS(ROW(),COLUMN(INDEX(AN893:AP893,1,$AL893))))&amp;":"&amp;ADDRESS(ROW(),COLUMN(INDEX(AN893:AP893,1,$AL893))),"")</f>
        <v/>
      </c>
      <c r="AN893" s="2256">
        <f>IF(AM$890&lt;&gt;"",IF(AM$890="Tao",VLOOKUP($AK893&amp;AN$891,$AE$891:$AG$895,2,0)*IF($AK$890,0.5,1),VLOOKUP($AK893&amp;AN$891,$AE$891:$AG$895,3,0)*IF($AK$890,0.5,1)),0)</f>
        <v>0</v>
      </c>
      <c r="AO893" s="2256">
        <f>IF(AM$890&lt;&gt;"",AN893+IF(AM$890="Tao",VLOOKUP($AK893&amp;AO$891,$AE$891:$AG$895,2,0)*IF($AK$890,0.5,1),VLOOKUP($AK893&amp;AO$891,$AE$891:$AG$895,3,0)*IF($AK$890,0.5,1)),0)</f>
        <v>0</v>
      </c>
      <c r="AP893" s="2256">
        <f>IF(AM$890&lt;&gt;"",AO893+IF(AM$890="Tao",VLOOKUP($AK893&amp;AP$891,$AE$891:$AG$895,2,0)*IF($AK$890,0.5,1),VLOOKUP($AK893&amp;AP$891,$AE$891:$AG$895,3,0)*IF($AK$890,0.5,1)),0)</f>
        <v>0</v>
      </c>
      <c r="AQ893" s="2257">
        <f>IFERROR(MATCH(PDs!M59,AN893:AP893,0),0)</f>
        <v>1</v>
      </c>
      <c r="AR893" s="2255" t="str">
        <f>IFERROR(IF(AND(AQ893&lt;$AL893,AR$890&lt;&gt;""),"Tablas!"&amp;ADDRESS(ROW(),COLUMN(INDEX(AS893:AU893,1,AQ893+1)))&amp;":"&amp;ADDRESS(ROW(),COLUMN(INDEX(AS893:AU893,1,$AL893))),""),"")</f>
        <v/>
      </c>
      <c r="AS893" s="2256">
        <f>IF(AND(AR$890&lt;&gt;"",AS$891&gt;AQ893),IF(AR$890="Tao",VLOOKUP($AK893&amp;AS$891,$AE$891:$AG$895,2,0)*IF($AK$890,0.5,1),VLOOKUP($AK893&amp;AS$891,$AE$891:$AG$895,3,0)*IF($AK$890,0.5,1)),0)</f>
        <v>0</v>
      </c>
      <c r="AT893" s="2256">
        <f>IF(AND(AR$890&lt;&gt;"",AT$891&gt;AQ893),AS893+IF(AR$890="Tao",VLOOKUP($AK893&amp;AT$891,$AE$891:$AG$895,2,0)*IF($AK$890,0.5,1),VLOOKUP($AK893&amp;AT$891,$AE$891:$AG$895,3,0)*IF($AK$890,0.5,1)),0)</f>
        <v>0</v>
      </c>
      <c r="AU893" s="2256">
        <f>IF(AND(AR$890&lt;&gt;"",AU$891&gt;AQ893),AT893+IF(AR$890="Tao",VLOOKUP($AK893&amp;AU$891,$AE$891:$AG$895,2,0)*IF($AK$890,0.5,1),VLOOKUP($AK893&amp;AU$891,$AE$891:$AG$895,3,0)*IF($AK$890,0.5,1)),0)</f>
        <v>0</v>
      </c>
      <c r="AV893" s="2257">
        <f>IF(AR893="",AQ893,MAX(IFERROR(MATCH(PDs!O59,AS893:AU893,0),0),AQ893))</f>
        <v>1</v>
      </c>
      <c r="AW893" s="2255" t="str">
        <f>IFERROR(IF(AND(AV893&lt;$AL893,AW$890&lt;&gt;""),"Tablas!"&amp;ADDRESS(ROW(),COLUMN(INDEX(AX893:AZ893,1,AV893+1)))&amp;":"&amp;ADDRESS(ROW(),COLUMN(INDEX(AX893:AZ893,1,$AL893))),""),"")</f>
        <v/>
      </c>
      <c r="AX893" s="2256">
        <f>IF(AND(AW$890&lt;&gt;"",AX$891&gt;AV893),IF(AW$890="Tao",VLOOKUP($AK893&amp;AX$891,$AE$891:$AG$895,2,0)*IF($AK$890,0.5,1),VLOOKUP($AK893&amp;AX$891,$AE$891:$AG$895,3,0)*IF($AK$890,0.5,1)),0)</f>
        <v>0</v>
      </c>
      <c r="AY893" s="2256">
        <f>IF(AND(AW$890&lt;&gt;"",AY$891&gt;AV893),AX893+IF(AW$890="Tao",VLOOKUP($AK893&amp;AY$891,$AE$891:$AG$895,2,0)*IF($AK$890,0.5,1),VLOOKUP($AK893&amp;AY$891,$AE$891:$AG$895,3,0)*IF($AK$890,0.5,1)),0)</f>
        <v>0</v>
      </c>
      <c r="AZ893" s="2256">
        <f>IF(AND(AW$890&lt;&gt;"",AZ$891&gt;AV893),AY893+IF(AW$890="Tao",VLOOKUP($AK893&amp;AZ$891,$AE$891:$AG$895,2,0)*IF($AK$890,0.5,1),VLOOKUP($AK893&amp;AZ$891,$AE$891:$AG$895,3,0)*IF($AK$890,0.5,1)),0)</f>
        <v>0</v>
      </c>
      <c r="BA893" s="2257">
        <f>IF(AW893="",AV893,MAX(IFERROR(MATCH(PDs!Q59,AX893:AZ893,0),0),AV893))</f>
        <v>1</v>
      </c>
      <c r="BB893" s="2255" t="str">
        <f>IFERROR(IF(AND(BA893&lt;$AL893,BB$890&lt;&gt;""),"Tablas!"&amp;ADDRESS(ROW(),COLUMN(INDEX(BC893:BE893,1,BA893+1)))&amp;":"&amp;ADDRESS(ROW(),COLUMN(INDEX(BC893:BE893,1,$AL893))),""),"")</f>
        <v/>
      </c>
      <c r="BC893" s="2256">
        <f>IF(AND(BB$890&lt;&gt;"",BC$891&gt;BA893),IF(BB$890="Tao",VLOOKUP($AK893&amp;BC$891,$AE$891:$AG$895,2,0)*IF($AK$890,0.5,1),VLOOKUP($AK893&amp;BC$891,$AE$891:$AG$895,3,0)*IF($AK$890,0.5,1)),0)</f>
        <v>0</v>
      </c>
      <c r="BD893" s="2256">
        <f>IF(AND(BB$890&lt;&gt;"",BD$891&gt;BA893),BC893+IF(BB$890="Tao",VLOOKUP($AK893&amp;BD$891,$AE$891:$AG$895,2,0)*IF($AK$890,0.5,1),VLOOKUP($AK893&amp;BD$891,$AE$891:$AG$895,3,0)*IF($AK$890,0.5,1)),0)</f>
        <v>0</v>
      </c>
      <c r="BE893" s="2256">
        <f>IF(AND(BB$890&lt;&gt;"",BE$891&gt;BA893),BD893+IF(BB$890="Tao",VLOOKUP($AK893&amp;BE$891,$AE$891:$AG$895,2,0)*IF($AK$890,0.5,1),VLOOKUP($AK893&amp;BE$891,$AE$891:$AG$895,3,0)*IF($AK$890,0.5,1)),0)</f>
        <v>0</v>
      </c>
      <c r="BF893" s="2257">
        <f>IF(BB893="",BA893,MAX(IFERROR(MATCH(PDs!S59,BC893:BE893,0),0),BA893))</f>
        <v>1</v>
      </c>
      <c r="BG893" s="2255" t="str">
        <f>IFERROR(IF(AND(BF893&lt;$AL893,BG$890&lt;&gt;""),"Tablas!"&amp;ADDRESS(ROW(),COLUMN(INDEX(BH893:BJ893,1,BF893+1)))&amp;":"&amp;ADDRESS(ROW(),COLUMN(INDEX(BH893:BJ893,1,$AL893))),""),"")</f>
        <v/>
      </c>
      <c r="BH893" s="2256">
        <f>IF(AND(BG$890&lt;&gt;"",BH$891&gt;BF893),IF(BG$890="Tao",VLOOKUP($AK893&amp;BH$891,$AE$891:$AG$895,2,0)*IF($AK$890,0.5,1),VLOOKUP($AK893&amp;BH$891,$AE$891:$AG$895,3,0)*IF($AK$890,0.5,1)),0)</f>
        <v>0</v>
      </c>
      <c r="BI893" s="2256">
        <f>IF(AND(BG$890&lt;&gt;"",BI$891&gt;BF893),BH893+IF(BG$890="Tao",VLOOKUP($AK893&amp;BI$891,$AE$891:$AG$895,2,0)*IF($AK$890,0.5,1),VLOOKUP($AK893&amp;BI$891,$AE$891:$AG$895,3,0)*IF($AK$890,0.5,1)),0)</f>
        <v>0</v>
      </c>
      <c r="BJ893" s="2256">
        <f>IF(AND(BG$890&lt;&gt;"",BJ$891&gt;BF893),BI893+IF(BG$890="Tao",VLOOKUP($AK893&amp;BJ$891,$AE$891:$AG$895,2,0)*IF($AK$890,0.5,1),VLOOKUP($AK893&amp;BJ$891,$AE$891:$AG$895,3,0)*IF($AK$890,0.5,1)),0)</f>
        <v>0</v>
      </c>
      <c r="BK893" s="2257">
        <f>IF(BG893="",BF893,MAX(IFERROR(MATCH(PDs!U59,BH893:BJ893,0),0),BF893))</f>
        <v>1</v>
      </c>
      <c r="BL893" s="2258">
        <f>IF(BK893=AL893,1,0)</f>
        <v>0</v>
      </c>
    </row>
    <row r="894" spans="1:64" ht="12.75" customHeight="1">
      <c r="A894" s="219">
        <v>875</v>
      </c>
      <c r="B894" s="7145"/>
      <c r="C894" s="443"/>
      <c r="D894" s="210" t="s">
        <v>727</v>
      </c>
      <c r="E894" s="75">
        <f>10+Bono_Fue</f>
        <v>10</v>
      </c>
      <c r="F894" s="75"/>
      <c r="G894" s="75">
        <v>0</v>
      </c>
      <c r="H894" s="75"/>
      <c r="I894" s="75"/>
      <c r="J894" s="75"/>
      <c r="K894" s="75"/>
      <c r="L894" s="75"/>
      <c r="M894" s="2110"/>
      <c r="N894" s="2110" t="s">
        <v>728</v>
      </c>
      <c r="O894" s="2110"/>
      <c r="P894" s="2110"/>
      <c r="Q894" s="2110"/>
      <c r="R894" s="2110"/>
      <c r="S894" s="70">
        <f t="shared" si="327"/>
        <v>45</v>
      </c>
      <c r="T894" s="75"/>
      <c r="U894" s="75"/>
      <c r="V894" s="75"/>
      <c r="W894" s="75"/>
      <c r="X894" s="75">
        <f t="shared" si="328"/>
        <v>0</v>
      </c>
      <c r="Y894" s="75">
        <f>IF(OR(Y895&gt;0,COUNTIF(PDs!$AD$59:$AD$77,Tablas!D894)&gt;0),1,0)</f>
        <v>0</v>
      </c>
      <c r="Z894" s="75" t="str">
        <f>IF(T.Manos_final&lt;20,"NO","-")</f>
        <v>NO</v>
      </c>
      <c r="AA894" s="926">
        <f>HA_final-PDs!$X$25+MIN(PDs!$X$25+H$1013-H894,50)</f>
        <v>0</v>
      </c>
      <c r="AB894" s="699">
        <f>HE_final-PDs!$X$27+MIN(PDs!$X$27+I$1013-I894,50)</f>
        <v>0</v>
      </c>
      <c r="AC894" s="1150">
        <f>HP_final-PDs!$X$26+MIN(PDs!$X$26+J$1013-J894,50)</f>
        <v>0</v>
      </c>
      <c r="AE894" s="1640" t="s">
        <v>8301</v>
      </c>
      <c r="AF894" s="286">
        <v>20</v>
      </c>
      <c r="AG894" s="838">
        <v>50</v>
      </c>
      <c r="AI894" s="1209" t="str">
        <f>IF(PDs!E60="","",PDs!E60)</f>
        <v/>
      </c>
      <c r="AJ894" s="699" t="str">
        <f>IF(PDs!J60="","",PDs!J60)</f>
        <v/>
      </c>
      <c r="AK894" s="3995" t="str">
        <f t="shared" ref="AK894:AK911" si="330">IF(ISNUMBER(MATCH(AI894,$AE$898:$AE$920,0)),"Básica",IF(ISNUMBER(MATCH(AI894,$AE$921:$AE$947,0)),"Avanzada",""))</f>
        <v/>
      </c>
      <c r="AL894" s="699" t="str">
        <f t="shared" si="329"/>
        <v/>
      </c>
      <c r="AM894" s="926" t="str">
        <f t="shared" ref="AM894:AM911" si="331">IFERROR("Tablas!"&amp;IF($AK$891,ADDRESS(ROW(),COLUMN(AN894)),ADDRESS(ROW(),COLUMN(INDEX(AN894:AP894,1,$AL894))))&amp;":"&amp;ADDRESS(ROW(),COLUMN(INDEX(AN894:AP894,1,$AL894))),"")</f>
        <v/>
      </c>
      <c r="AN894" s="699">
        <f>IF(AM$890&lt;&gt;"",IF(AM$890="Tao",VLOOKUP($AK894&amp;AN$891,$AE$891:$AG$895,2,0),VLOOKUP($AK894&amp;AN$891,$AE$891:$AG$895,3,0)),0)</f>
        <v>0</v>
      </c>
      <c r="AO894" s="699">
        <f t="shared" ref="AO894:AO911" si="332">IF(AM$890&lt;&gt;"",AN894+IF(AM$890="Tao",VLOOKUP($AK894&amp;AO$891,$AE$891:$AG$895,2,0),VLOOKUP($AK894&amp;AO$891,$AE$891:$AG$895,3,0)),0)</f>
        <v>0</v>
      </c>
      <c r="AP894" s="699">
        <f t="shared" ref="AP894:AP911" si="333">IF(AM$890&lt;&gt;"",AO894+IF(AM$890="Tao",VLOOKUP($AK894&amp;AP$891,$AE$891:$AG$895,2,0),VLOOKUP($AK894&amp;AP$891,$AE$891:$AG$895,3,0)),0)</f>
        <v>0</v>
      </c>
      <c r="AQ894" s="304">
        <f>IFERROR(MATCH(PDs!M60,AN894:AP894,0),0)</f>
        <v>1</v>
      </c>
      <c r="AR894" s="926" t="str">
        <f t="shared" ref="AR894:AR911" si="334">IFERROR(IF(AND(AQ894&lt;$AL894,AR$890&lt;&gt;""),"Tablas!"&amp;ADDRESS(ROW(),COLUMN(INDEX(AS894:AU894,1,AQ894+1)))&amp;":"&amp;ADDRESS(ROW(),COLUMN(INDEX(AS894:AU894,1,$AL894))),""),"")</f>
        <v/>
      </c>
      <c r="AS894" s="699">
        <f t="shared" ref="AS894:AS911" si="335">IF(AND(AR$890&lt;&gt;"",AS$891&gt;AQ894),IF(AR$890="Tao",VLOOKUP($AK894&amp;AS$891,$AE$891:$AG$895,2,0),VLOOKUP($AK894&amp;AS$891,$AE$891:$AG$895,3,0)),0)</f>
        <v>0</v>
      </c>
      <c r="AT894" s="699">
        <f t="shared" ref="AT894:AT911" si="336">IF(AND(AR$890&lt;&gt;"",AT$891&gt;AQ894),AS894+IF(AR$890="Tao",VLOOKUP($AK894&amp;AT$891,$AE$891:$AG$895,2,0),VLOOKUP($AK894&amp;AT$891,$AE$891:$AG$895,3,0)),0)</f>
        <v>0</v>
      </c>
      <c r="AU894" s="699">
        <f t="shared" ref="AU894:AU911" si="337">IF(AND(AR$890&lt;&gt;"",AU$891&gt;AQ894),AT894+IF(AR$890="Tao",VLOOKUP($AK894&amp;AU$891,$AE$891:$AG$895,2,0),VLOOKUP($AK894&amp;AU$891,$AE$891:$AG$895,3,0)),0)</f>
        <v>0</v>
      </c>
      <c r="AV894" s="304">
        <f>IF(AR894="",AQ894,MAX(IFERROR(MATCH(PDs!O60,AS894:AU894,0),0),AQ894))</f>
        <v>1</v>
      </c>
      <c r="AW894" s="926" t="str">
        <f t="shared" ref="AW894:AW911" si="338">IFERROR(IF(AND(AV894&lt;$AL894,AW$890&lt;&gt;""),"Tablas!"&amp;ADDRESS(ROW(),COLUMN(INDEX(AX894:AZ894,1,AV894+1)))&amp;":"&amp;ADDRESS(ROW(),COLUMN(INDEX(AX894:AZ894,1,$AL894))),""),"")</f>
        <v/>
      </c>
      <c r="AX894" s="699">
        <f t="shared" ref="AX894:AX911" si="339">IF(AND(AW$890&lt;&gt;"",AX$891&gt;AV894),IF(AW$890="Tao",VLOOKUP($AK894&amp;AX$891,$AE$891:$AG$895,2,0),VLOOKUP($AK894&amp;AX$891,$AE$891:$AG$895,3,0)),0)</f>
        <v>0</v>
      </c>
      <c r="AY894" s="699">
        <f t="shared" ref="AY894:AY911" si="340">IF(AND(AW$890&lt;&gt;"",AY$891&gt;AV894),AX894+IF(AW$890="Tao",VLOOKUP($AK894&amp;AY$891,$AE$891:$AG$895,2,0),VLOOKUP($AK894&amp;AY$891,$AE$891:$AG$895,3,0)),0)</f>
        <v>0</v>
      </c>
      <c r="AZ894" s="699">
        <f t="shared" ref="AZ894:AZ911" si="341">IF(AND(AW$890&lt;&gt;"",AZ$891&gt;AV894),AY894+IF(AW$890="Tao",VLOOKUP($AK894&amp;AZ$891,$AE$891:$AG$895,2,0),VLOOKUP($AK894&amp;AZ$891,$AE$891:$AG$895,3,0)),0)</f>
        <v>0</v>
      </c>
      <c r="BA894" s="304">
        <f>IF(AW894="",AV894,MAX(IFERROR(MATCH(PDs!Q60,AX894:AZ894,0),0),AV894))</f>
        <v>1</v>
      </c>
      <c r="BB894" s="926" t="str">
        <f t="shared" ref="BB894:BB911" si="342">IFERROR(IF(AND(BA894&lt;$AL894,BB$890&lt;&gt;""),"Tablas!"&amp;ADDRESS(ROW(),COLUMN(INDEX(BC894:BE894,1,BA894+1)))&amp;":"&amp;ADDRESS(ROW(),COLUMN(INDEX(BC894:BE894,1,$AL894))),""),"")</f>
        <v/>
      </c>
      <c r="BC894" s="699">
        <f t="shared" ref="BC894:BC911" si="343">IF(AND(BB$890&lt;&gt;"",BC$891&gt;BA894),IF(BB$890="Tao",VLOOKUP($AK894&amp;BC$891,$AE$891:$AG$895,2,0),VLOOKUP($AK894&amp;BC$891,$AE$891:$AG$895,3,0)),0)</f>
        <v>0</v>
      </c>
      <c r="BD894" s="699">
        <f t="shared" ref="BD894:BD911" si="344">IF(AND(BB$890&lt;&gt;"",BD$891&gt;BA894),BC894+IF(BB$890="Tao",VLOOKUP($AK894&amp;BD$891,$AE$891:$AG$895,2,0),VLOOKUP($AK894&amp;BD$891,$AE$891:$AG$895,3,0)),0)</f>
        <v>0</v>
      </c>
      <c r="BE894" s="699">
        <f t="shared" ref="BE894:BE911" si="345">IF(AND(BB$890&lt;&gt;"",BE$891&gt;BA894),BD894+IF(BB$890="Tao",VLOOKUP($AK894&amp;BE$891,$AE$891:$AG$895,2,0),VLOOKUP($AK894&amp;BE$891,$AE$891:$AG$895,3,0)),0)</f>
        <v>0</v>
      </c>
      <c r="BF894" s="304">
        <f>IF(BB894="",BA894,MAX(IFERROR(MATCH(PDs!S60,BC894:BE894,0),0),BA894))</f>
        <v>1</v>
      </c>
      <c r="BG894" s="926" t="str">
        <f t="shared" ref="BG894:BG911" si="346">IFERROR(IF(AND(BF894&lt;$AL894,BG$890&lt;&gt;""),"Tablas!"&amp;ADDRESS(ROW(),COLUMN(INDEX(BH894:BJ894,1,BF894+1)))&amp;":"&amp;ADDRESS(ROW(),COLUMN(INDEX(BH894:BJ894,1,$AL894))),""),"")</f>
        <v/>
      </c>
      <c r="BH894" s="699">
        <f t="shared" ref="BH894:BH911" si="347">IF(AND(BG$890&lt;&gt;"",BH$891&gt;BF894),IF(BG$890="Tao",VLOOKUP($AK894&amp;BH$891,$AE$891:$AG$895,2,0),VLOOKUP($AK894&amp;BH$891,$AE$891:$AG$895,3,0)),0)</f>
        <v>0</v>
      </c>
      <c r="BI894" s="699">
        <f t="shared" ref="BI894:BI911" si="348">IF(AND(BG$890&lt;&gt;"",BI$891&gt;BF894),BH894+IF(BG$890="Tao",VLOOKUP($AK894&amp;BI$891,$AE$891:$AG$895,2,0),VLOOKUP($AK894&amp;BI$891,$AE$891:$AG$895,3,0)),0)</f>
        <v>0</v>
      </c>
      <c r="BJ894" s="699">
        <f t="shared" ref="BJ894:BJ911" si="349">IF(AND(BG$890&lt;&gt;"",BJ$891&gt;BF894),BI894+IF(BG$890="Tao",VLOOKUP($AK894&amp;BJ$891,$AE$891:$AG$895,2,0),VLOOKUP($AK894&amp;BJ$891,$AE$891:$AG$895,3,0)),0)</f>
        <v>0</v>
      </c>
      <c r="BK894" s="304">
        <f>IF(BG894="",BF894,MAX(IFERROR(MATCH(PDs!U60,BH894:BJ894,0),0),BF894))</f>
        <v>1</v>
      </c>
      <c r="BL894" s="604">
        <f>IF(BK894=AL894,1,0)</f>
        <v>0</v>
      </c>
    </row>
    <row r="895" spans="1:64" ht="12.75" customHeight="1" thickBot="1">
      <c r="A895" s="219">
        <v>876</v>
      </c>
      <c r="B895" s="7145"/>
      <c r="C895" s="443"/>
      <c r="D895" s="210" t="s">
        <v>729</v>
      </c>
      <c r="E895" s="75">
        <f>10+Bono_Fue</f>
        <v>10</v>
      </c>
      <c r="F895" s="75"/>
      <c r="G895" s="75">
        <v>10</v>
      </c>
      <c r="H895" s="75"/>
      <c r="I895" s="75">
        <v>10</v>
      </c>
      <c r="J895" s="75">
        <v>10</v>
      </c>
      <c r="K895" s="75"/>
      <c r="L895" s="75"/>
      <c r="M895" s="2110"/>
      <c r="N895" s="2110" t="s">
        <v>8316</v>
      </c>
      <c r="O895" s="2110"/>
      <c r="P895" s="2110"/>
      <c r="Q895" s="2110"/>
      <c r="R895" s="2110"/>
      <c r="S895" s="70">
        <f t="shared" si="327"/>
        <v>69</v>
      </c>
      <c r="T895" s="75"/>
      <c r="U895" s="75"/>
      <c r="V895" s="75"/>
      <c r="W895" s="75"/>
      <c r="X895" s="75">
        <f t="shared" si="328"/>
        <v>0</v>
      </c>
      <c r="Y895" s="75">
        <f>IF(OR(Y896&gt;0,COUNTIF(PDs!$AD$59:$AD$77,Tablas!D895)&gt;0),1,0)</f>
        <v>0</v>
      </c>
      <c r="Z895" s="75" t="str">
        <f>IF(OR(T.Manos_final&lt;40,AA895&lt;100,MAX(AB895,AC895)&lt;120),"NO","-")</f>
        <v>NO</v>
      </c>
      <c r="AA895" s="926">
        <f>HA_final-PDs!$X$25+MIN(PDs!$X$25+H$1013-H895,50)</f>
        <v>0</v>
      </c>
      <c r="AB895" s="699">
        <f>HE_final-PDs!$X$27+MIN(PDs!$X$27+I$1013-I895,50)</f>
        <v>-10</v>
      </c>
      <c r="AC895" s="1150">
        <f>HP_final-PDs!$X$26+MIN(PDs!$X$26+J$1013-J895,50)</f>
        <v>-10</v>
      </c>
      <c r="AE895" s="1641" t="s">
        <v>8302</v>
      </c>
      <c r="AF895" s="290">
        <v>20</v>
      </c>
      <c r="AG895" s="844">
        <v>50</v>
      </c>
      <c r="AI895" s="1209" t="str">
        <f>IF(PDs!E61="","",PDs!E61)</f>
        <v/>
      </c>
      <c r="AJ895" s="699" t="str">
        <f>IF(PDs!J61="","",PDs!J61)</f>
        <v/>
      </c>
      <c r="AK895" s="699" t="str">
        <f t="shared" si="330"/>
        <v/>
      </c>
      <c r="AL895" s="699" t="str">
        <f t="shared" si="329"/>
        <v/>
      </c>
      <c r="AM895" s="926" t="str">
        <f t="shared" si="331"/>
        <v/>
      </c>
      <c r="AN895" s="699">
        <f>IF(AM$890&lt;&gt;"",IF(AM$890="Tao",VLOOKUP($AK895&amp;AN$891,$AE$891:$AG$895,2,0),VLOOKUP($AK895&amp;AN$891,$AE$891:$AG$895,3,0)),0)</f>
        <v>0</v>
      </c>
      <c r="AO895" s="699">
        <f t="shared" si="332"/>
        <v>0</v>
      </c>
      <c r="AP895" s="699">
        <f t="shared" si="333"/>
        <v>0</v>
      </c>
      <c r="AQ895" s="304">
        <f>IFERROR(MATCH(PDs!M61,AN895:AP895,0),0)</f>
        <v>1</v>
      </c>
      <c r="AR895" s="926" t="str">
        <f t="shared" si="334"/>
        <v/>
      </c>
      <c r="AS895" s="699">
        <f t="shared" si="335"/>
        <v>0</v>
      </c>
      <c r="AT895" s="699">
        <f t="shared" si="336"/>
        <v>0</v>
      </c>
      <c r="AU895" s="699">
        <f t="shared" si="337"/>
        <v>0</v>
      </c>
      <c r="AV895" s="304">
        <f>IF(AR895="",AQ895,MAX(IFERROR(MATCH(PDs!O61,AS895:AU895,0),0),AQ895))</f>
        <v>1</v>
      </c>
      <c r="AW895" s="926" t="str">
        <f t="shared" si="338"/>
        <v/>
      </c>
      <c r="AX895" s="699">
        <f t="shared" si="339"/>
        <v>0</v>
      </c>
      <c r="AY895" s="699">
        <f t="shared" si="340"/>
        <v>0</v>
      </c>
      <c r="AZ895" s="699">
        <f t="shared" si="341"/>
        <v>0</v>
      </c>
      <c r="BA895" s="304">
        <f>IF(AW895="",AV895,MAX(IFERROR(MATCH(PDs!Q61,AX895:AZ895,0),0),AV895))</f>
        <v>1</v>
      </c>
      <c r="BB895" s="926" t="str">
        <f t="shared" si="342"/>
        <v/>
      </c>
      <c r="BC895" s="699">
        <f t="shared" si="343"/>
        <v>0</v>
      </c>
      <c r="BD895" s="699">
        <f t="shared" si="344"/>
        <v>0</v>
      </c>
      <c r="BE895" s="699">
        <f t="shared" si="345"/>
        <v>0</v>
      </c>
      <c r="BF895" s="304">
        <f>IF(BB895="",BA895,MAX(IFERROR(MATCH(PDs!S61,BC895:BE895,0),0),BA895))</f>
        <v>1</v>
      </c>
      <c r="BG895" s="926" t="str">
        <f t="shared" si="346"/>
        <v/>
      </c>
      <c r="BH895" s="699">
        <f t="shared" si="347"/>
        <v>0</v>
      </c>
      <c r="BI895" s="699">
        <f t="shared" si="348"/>
        <v>0</v>
      </c>
      <c r="BJ895" s="699">
        <f t="shared" si="349"/>
        <v>0</v>
      </c>
      <c r="BK895" s="304">
        <f>IF(BG895="",BF895,MAX(IFERROR(MATCH(PDs!U61,BH895:BJ895,0),0),BF895))</f>
        <v>1</v>
      </c>
      <c r="BL895" s="604">
        <f t="shared" ref="BL895:BL911" si="350">IF(BK895=AL895,1,0)</f>
        <v>0</v>
      </c>
    </row>
    <row r="896" spans="1:64" ht="12.75" customHeight="1" thickBot="1">
      <c r="A896" s="219">
        <v>877</v>
      </c>
      <c r="B896" s="7145"/>
      <c r="C896" s="443"/>
      <c r="D896" s="210" t="s">
        <v>730</v>
      </c>
      <c r="E896" s="75">
        <f>10+Bono_Fue</f>
        <v>10</v>
      </c>
      <c r="F896" s="75"/>
      <c r="G896" s="75">
        <v>20</v>
      </c>
      <c r="H896" s="75"/>
      <c r="I896" s="75">
        <v>10</v>
      </c>
      <c r="J896" s="75">
        <v>10</v>
      </c>
      <c r="K896" s="75"/>
      <c r="L896" s="75"/>
      <c r="M896" s="2110"/>
      <c r="N896" s="2110" t="s">
        <v>8320</v>
      </c>
      <c r="O896" s="2110"/>
      <c r="P896" s="2110"/>
      <c r="Q896" s="2110"/>
      <c r="R896" s="2110"/>
      <c r="S896" s="70">
        <f t="shared" si="327"/>
        <v>79</v>
      </c>
      <c r="T896" s="75"/>
      <c r="U896" s="75"/>
      <c r="V896" s="75"/>
      <c r="W896" s="75"/>
      <c r="X896" s="75">
        <f t="shared" si="328"/>
        <v>0</v>
      </c>
      <c r="Y896" s="75">
        <f>IF(COUNTIF(PDs!$AD$59:$AD$77,Tablas!D896)&gt;0,1,0)</f>
        <v>0</v>
      </c>
      <c r="Z896" s="75" t="str">
        <f>IF(OR(T.Manos_final&lt;80,AA896&lt;100,MAX(AB896,AC896)&lt;200),"NO","-")</f>
        <v>NO</v>
      </c>
      <c r="AA896" s="926">
        <f>HA_final-PDs!$X$25+MIN(PDs!$X$25+H$1013-H896,50)</f>
        <v>0</v>
      </c>
      <c r="AB896" s="699">
        <f>HE_final-PDs!$X$27+MIN(PDs!$X$27+I$1013-I896,50)</f>
        <v>-10</v>
      </c>
      <c r="AC896" s="1150">
        <f>HP_final-PDs!$X$26+MIN(PDs!$X$26+J$1013-J896,50)</f>
        <v>-10</v>
      </c>
      <c r="AI896" s="1209" t="str">
        <f>IF(PDs!E62="","",PDs!E62)</f>
        <v/>
      </c>
      <c r="AJ896" s="699" t="str">
        <f>IF(PDs!J62="","",PDs!J62)</f>
        <v/>
      </c>
      <c r="AK896" s="699" t="str">
        <f t="shared" si="330"/>
        <v/>
      </c>
      <c r="AL896" s="699" t="str">
        <f t="shared" si="329"/>
        <v/>
      </c>
      <c r="AM896" s="926" t="str">
        <f t="shared" si="331"/>
        <v/>
      </c>
      <c r="AN896" s="699">
        <f t="shared" ref="AN896:AN911" si="351">IF(AM$890&lt;&gt;"",IF(AM$890="Tao",VLOOKUP($AK896&amp;AN$891,$AE$891:$AG$895,2,0),VLOOKUP($AK896&amp;AN$891,$AE$891:$AG$895,3,0)),0)</f>
        <v>0</v>
      </c>
      <c r="AO896" s="699">
        <f t="shared" si="332"/>
        <v>0</v>
      </c>
      <c r="AP896" s="699">
        <f t="shared" si="333"/>
        <v>0</v>
      </c>
      <c r="AQ896" s="304">
        <f>IFERROR(MATCH(PDs!M62,AN896:AP896,0),0)</f>
        <v>1</v>
      </c>
      <c r="AR896" s="926" t="str">
        <f t="shared" si="334"/>
        <v/>
      </c>
      <c r="AS896" s="699">
        <f t="shared" si="335"/>
        <v>0</v>
      </c>
      <c r="AT896" s="699">
        <f t="shared" si="336"/>
        <v>0</v>
      </c>
      <c r="AU896" s="699">
        <f t="shared" si="337"/>
        <v>0</v>
      </c>
      <c r="AV896" s="304">
        <f>IF(AR896="",AQ896,MAX(IFERROR(MATCH(PDs!O62,AS896:AU896,0),0),AQ896))</f>
        <v>1</v>
      </c>
      <c r="AW896" s="926" t="str">
        <f t="shared" si="338"/>
        <v/>
      </c>
      <c r="AX896" s="699">
        <f t="shared" si="339"/>
        <v>0</v>
      </c>
      <c r="AY896" s="699">
        <f t="shared" si="340"/>
        <v>0</v>
      </c>
      <c r="AZ896" s="699">
        <f t="shared" si="341"/>
        <v>0</v>
      </c>
      <c r="BA896" s="304">
        <f>IF(AW896="",AV896,MAX(IFERROR(MATCH(PDs!Q62,AX896:AZ896,0),0),AV896))</f>
        <v>1</v>
      </c>
      <c r="BB896" s="926" t="str">
        <f t="shared" si="342"/>
        <v/>
      </c>
      <c r="BC896" s="699">
        <f t="shared" si="343"/>
        <v>0</v>
      </c>
      <c r="BD896" s="699">
        <f t="shared" si="344"/>
        <v>0</v>
      </c>
      <c r="BE896" s="699">
        <f t="shared" si="345"/>
        <v>0</v>
      </c>
      <c r="BF896" s="304">
        <f>IF(BB896="",BA896,MAX(IFERROR(MATCH(PDs!S62,BC896:BE896,0),0),BA896))</f>
        <v>1</v>
      </c>
      <c r="BG896" s="926" t="str">
        <f t="shared" si="346"/>
        <v/>
      </c>
      <c r="BH896" s="699">
        <f t="shared" si="347"/>
        <v>0</v>
      </c>
      <c r="BI896" s="699">
        <f t="shared" si="348"/>
        <v>0</v>
      </c>
      <c r="BJ896" s="699">
        <f t="shared" si="349"/>
        <v>0</v>
      </c>
      <c r="BK896" s="304">
        <f>IF(BG896="",BF896,MAX(IFERROR(MATCH(PDs!U62,BH896:BJ896,0),0),BF896))</f>
        <v>1</v>
      </c>
      <c r="BL896" s="604">
        <f t="shared" si="350"/>
        <v>0</v>
      </c>
    </row>
    <row r="897" spans="1:64" ht="12.75" customHeight="1" thickBot="1">
      <c r="A897" s="219">
        <v>878</v>
      </c>
      <c r="B897" s="7145"/>
      <c r="C897" s="443"/>
      <c r="D897" s="210" t="s">
        <v>731</v>
      </c>
      <c r="E897" s="75">
        <f>10+2*Bono_Fue</f>
        <v>10</v>
      </c>
      <c r="F897" s="75"/>
      <c r="G897" s="75">
        <v>0</v>
      </c>
      <c r="H897" s="75"/>
      <c r="I897" s="75"/>
      <c r="J897" s="75"/>
      <c r="K897" s="75">
        <v>5</v>
      </c>
      <c r="L897" s="75"/>
      <c r="M897" s="2110"/>
      <c r="N897" s="2110" t="s">
        <v>1315</v>
      </c>
      <c r="O897" s="2110"/>
      <c r="P897" s="2110"/>
      <c r="Q897" s="2110"/>
      <c r="R897" s="2110"/>
      <c r="S897" s="70">
        <f t="shared" si="327"/>
        <v>1</v>
      </c>
      <c r="T897" s="75"/>
      <c r="U897" s="75"/>
      <c r="V897" s="75"/>
      <c r="W897" s="75"/>
      <c r="X897" s="75">
        <f t="shared" si="328"/>
        <v>0</v>
      </c>
      <c r="Y897" s="75">
        <f>IF(OR(Y898&gt;0,COUNTIF(PDs!$AD$59:$AD$77,Tablas!D897)&gt;0),1,0)</f>
        <v>0</v>
      </c>
      <c r="Z897" s="75" t="str">
        <f>IF(OR(P.Fuerza_final&lt;30),"NO","-")</f>
        <v>NO</v>
      </c>
      <c r="AA897" s="926">
        <f>HA_final-PDs!$X$25+MIN(PDs!$X$25+H$1013-H897,50)</f>
        <v>0</v>
      </c>
      <c r="AB897" s="699">
        <f>HE_final-PDs!$X$27+MIN(PDs!$X$27+I$1013-I897,50)</f>
        <v>0</v>
      </c>
      <c r="AC897" s="1150">
        <f>HP_final-PDs!$X$26+MIN(PDs!$X$26+J$1013-J897,50)</f>
        <v>0</v>
      </c>
      <c r="AE897" s="1147" t="s">
        <v>7864</v>
      </c>
      <c r="AF897" s="1148" t="s">
        <v>6725</v>
      </c>
      <c r="AG897" s="1152" t="s">
        <v>6726</v>
      </c>
      <c r="AI897" s="1209" t="str">
        <f>IF(PDs!E63="","",PDs!E63)</f>
        <v/>
      </c>
      <c r="AJ897" s="699" t="str">
        <f>IF(PDs!J63="","",PDs!J63)</f>
        <v/>
      </c>
      <c r="AK897" s="699" t="str">
        <f t="shared" si="330"/>
        <v/>
      </c>
      <c r="AL897" s="699" t="str">
        <f t="shared" si="329"/>
        <v/>
      </c>
      <c r="AM897" s="926" t="str">
        <f t="shared" si="331"/>
        <v/>
      </c>
      <c r="AN897" s="699">
        <f t="shared" si="351"/>
        <v>0</v>
      </c>
      <c r="AO897" s="699">
        <f t="shared" si="332"/>
        <v>0</v>
      </c>
      <c r="AP897" s="699">
        <f t="shared" si="333"/>
        <v>0</v>
      </c>
      <c r="AQ897" s="304">
        <f>IFERROR(MATCH(PDs!M63,AN897:AP897,0),0)</f>
        <v>1</v>
      </c>
      <c r="AR897" s="926" t="str">
        <f t="shared" si="334"/>
        <v/>
      </c>
      <c r="AS897" s="699">
        <f t="shared" si="335"/>
        <v>0</v>
      </c>
      <c r="AT897" s="699">
        <f t="shared" si="336"/>
        <v>0</v>
      </c>
      <c r="AU897" s="699">
        <f t="shared" si="337"/>
        <v>0</v>
      </c>
      <c r="AV897" s="304">
        <f>IF(AR897="",AQ897,MAX(IFERROR(MATCH(PDs!O63,AS897:AU897,0),0),AQ897))</f>
        <v>1</v>
      </c>
      <c r="AW897" s="926" t="str">
        <f t="shared" si="338"/>
        <v/>
      </c>
      <c r="AX897" s="699">
        <f t="shared" si="339"/>
        <v>0</v>
      </c>
      <c r="AY897" s="699">
        <f t="shared" si="340"/>
        <v>0</v>
      </c>
      <c r="AZ897" s="699">
        <f t="shared" si="341"/>
        <v>0</v>
      </c>
      <c r="BA897" s="304">
        <f>IF(AW897="",AV897,MAX(IFERROR(MATCH(PDs!Q63,AX897:AZ897,0),0),AV897))</f>
        <v>1</v>
      </c>
      <c r="BB897" s="926" t="str">
        <f t="shared" si="342"/>
        <v/>
      </c>
      <c r="BC897" s="699">
        <f t="shared" si="343"/>
        <v>0</v>
      </c>
      <c r="BD897" s="699">
        <f t="shared" si="344"/>
        <v>0</v>
      </c>
      <c r="BE897" s="699">
        <f t="shared" si="345"/>
        <v>0</v>
      </c>
      <c r="BF897" s="304">
        <f>IF(BB897="",BA897,MAX(IFERROR(MATCH(PDs!S63,BC897:BE897,0),0),BA897))</f>
        <v>1</v>
      </c>
      <c r="BG897" s="926" t="str">
        <f t="shared" si="346"/>
        <v/>
      </c>
      <c r="BH897" s="699">
        <f t="shared" si="347"/>
        <v>0</v>
      </c>
      <c r="BI897" s="699">
        <f t="shared" si="348"/>
        <v>0</v>
      </c>
      <c r="BJ897" s="699">
        <f t="shared" si="349"/>
        <v>0</v>
      </c>
      <c r="BK897" s="304">
        <f>IF(BG897="",BF897,MAX(IFERROR(MATCH(PDs!U63,BH897:BJ897,0),0),BF897))</f>
        <v>1</v>
      </c>
      <c r="BL897" s="604">
        <f t="shared" si="350"/>
        <v>0</v>
      </c>
    </row>
    <row r="898" spans="1:64" ht="12.75" customHeight="1">
      <c r="A898" s="219">
        <v>879</v>
      </c>
      <c r="B898" s="7145"/>
      <c r="C898" s="443"/>
      <c r="D898" s="210" t="s">
        <v>732</v>
      </c>
      <c r="E898" s="75">
        <f>20+2*Bono_Fue</f>
        <v>20</v>
      </c>
      <c r="F898" s="75"/>
      <c r="G898" s="75">
        <v>10</v>
      </c>
      <c r="H898" s="75"/>
      <c r="I898" s="75"/>
      <c r="J898" s="75"/>
      <c r="K898" s="75">
        <v>5</v>
      </c>
      <c r="L898" s="75"/>
      <c r="M898" s="2110"/>
      <c r="N898" s="2110" t="s">
        <v>733</v>
      </c>
      <c r="O898" s="2110"/>
      <c r="P898" s="2110"/>
      <c r="Q898" s="2110"/>
      <c r="R898" s="2110"/>
      <c r="S898" s="70">
        <f t="shared" si="327"/>
        <v>36</v>
      </c>
      <c r="T898" s="75"/>
      <c r="U898" s="75"/>
      <c r="V898" s="75"/>
      <c r="W898" s="75"/>
      <c r="X898" s="75">
        <f t="shared" si="328"/>
        <v>0</v>
      </c>
      <c r="Y898" s="75">
        <f>IF(OR(Y899&gt;0,COUNTIF(PDs!$AD$59:$AD$77,Tablas!D898)&gt;0),1,0)</f>
        <v>0</v>
      </c>
      <c r="Z898" s="75" t="str">
        <f>IF(OR(P.Fuerza_final&lt;60,AA898&lt;120,MAX(AB898,AC898)&lt;120),"NO","-")</f>
        <v>NO</v>
      </c>
      <c r="AA898" s="926">
        <f>HA_final-PDs!$X$25+MIN(PDs!$X$25+H$1013-H898,50)</f>
        <v>0</v>
      </c>
      <c r="AB898" s="699">
        <f>HE_final-PDs!$X$27+MIN(PDs!$X$27+I$1013-I898,50)</f>
        <v>0</v>
      </c>
      <c r="AC898" s="1150">
        <f>HP_final-PDs!$X$26+MIN(PDs!$X$26+J$1013-J898,50)</f>
        <v>0</v>
      </c>
      <c r="AE898" s="3902" t="s">
        <v>726</v>
      </c>
      <c r="AF898" s="3899" t="s">
        <v>1225</v>
      </c>
      <c r="AG898" s="1153" t="s">
        <v>1225</v>
      </c>
      <c r="AI898" s="1209" t="str">
        <f>IF(PDs!E64="","",PDs!E64)</f>
        <v/>
      </c>
      <c r="AJ898" s="699" t="str">
        <f>IF(PDs!J64="","",PDs!J64)</f>
        <v/>
      </c>
      <c r="AK898" s="699" t="str">
        <f t="shared" si="330"/>
        <v/>
      </c>
      <c r="AL898" s="699" t="str">
        <f t="shared" si="329"/>
        <v/>
      </c>
      <c r="AM898" s="926" t="str">
        <f t="shared" si="331"/>
        <v/>
      </c>
      <c r="AN898" s="699">
        <f t="shared" si="351"/>
        <v>0</v>
      </c>
      <c r="AO898" s="699">
        <f t="shared" si="332"/>
        <v>0</v>
      </c>
      <c r="AP898" s="699">
        <f t="shared" si="333"/>
        <v>0</v>
      </c>
      <c r="AQ898" s="304">
        <f>IFERROR(MATCH(PDs!M64,AN898:AP898,0),0)</f>
        <v>1</v>
      </c>
      <c r="AR898" s="926" t="str">
        <f t="shared" si="334"/>
        <v/>
      </c>
      <c r="AS898" s="699">
        <f t="shared" si="335"/>
        <v>0</v>
      </c>
      <c r="AT898" s="699">
        <f t="shared" si="336"/>
        <v>0</v>
      </c>
      <c r="AU898" s="699">
        <f t="shared" si="337"/>
        <v>0</v>
      </c>
      <c r="AV898" s="304">
        <f>IF(AR898="",AQ898,MAX(IFERROR(MATCH(PDs!O64,AS898:AU898,0),0),AQ898))</f>
        <v>1</v>
      </c>
      <c r="AW898" s="926" t="str">
        <f t="shared" si="338"/>
        <v/>
      </c>
      <c r="AX898" s="699">
        <f t="shared" si="339"/>
        <v>0</v>
      </c>
      <c r="AY898" s="699">
        <f t="shared" si="340"/>
        <v>0</v>
      </c>
      <c r="AZ898" s="699">
        <f t="shared" si="341"/>
        <v>0</v>
      </c>
      <c r="BA898" s="304">
        <f>IF(AW898="",AV898,MAX(IFERROR(MATCH(PDs!Q64,AX898:AZ898,0),0),AV898))</f>
        <v>1</v>
      </c>
      <c r="BB898" s="926" t="str">
        <f t="shared" si="342"/>
        <v/>
      </c>
      <c r="BC898" s="699">
        <f t="shared" si="343"/>
        <v>0</v>
      </c>
      <c r="BD898" s="699">
        <f t="shared" si="344"/>
        <v>0</v>
      </c>
      <c r="BE898" s="699">
        <f t="shared" si="345"/>
        <v>0</v>
      </c>
      <c r="BF898" s="304">
        <f>IF(BB898="",BA898,MAX(IFERROR(MATCH(PDs!S64,BC898:BE898,0),0),BA898))</f>
        <v>1</v>
      </c>
      <c r="BG898" s="926" t="str">
        <f t="shared" si="346"/>
        <v/>
      </c>
      <c r="BH898" s="699">
        <f t="shared" si="347"/>
        <v>0</v>
      </c>
      <c r="BI898" s="699">
        <f t="shared" si="348"/>
        <v>0</v>
      </c>
      <c r="BJ898" s="699">
        <f t="shared" si="349"/>
        <v>0</v>
      </c>
      <c r="BK898" s="304">
        <f>IF(BG898="",BF898,MAX(IFERROR(MATCH(PDs!U64,BH898:BJ898,0),0),BF898))</f>
        <v>1</v>
      </c>
      <c r="BL898" s="604">
        <f t="shared" si="350"/>
        <v>0</v>
      </c>
    </row>
    <row r="899" spans="1:64" ht="12.75" customHeight="1" thickBot="1">
      <c r="A899" s="219">
        <v>880</v>
      </c>
      <c r="B899" s="7145"/>
      <c r="C899" s="443"/>
      <c r="D899" s="210" t="s">
        <v>734</v>
      </c>
      <c r="E899" s="75">
        <f>30+2*Bono_Fue</f>
        <v>30</v>
      </c>
      <c r="F899" s="75"/>
      <c r="G899" s="75">
        <v>20</v>
      </c>
      <c r="H899" s="75">
        <v>10</v>
      </c>
      <c r="I899" s="75"/>
      <c r="J899" s="75"/>
      <c r="K899" s="75">
        <v>10</v>
      </c>
      <c r="L899" s="75"/>
      <c r="M899" s="2110"/>
      <c r="N899" s="2110" t="s">
        <v>733</v>
      </c>
      <c r="O899" s="2110"/>
      <c r="P899" s="2110"/>
      <c r="Q899" s="2110"/>
      <c r="R899" s="2110"/>
      <c r="S899" s="70">
        <f t="shared" si="327"/>
        <v>36</v>
      </c>
      <c r="T899" s="75"/>
      <c r="U899" s="75"/>
      <c r="V899" s="75"/>
      <c r="W899" s="75"/>
      <c r="X899" s="75">
        <f t="shared" si="328"/>
        <v>0</v>
      </c>
      <c r="Y899" s="75">
        <f>IF(COUNTIF(PDs!$AD$59:$AD$77,Tablas!D899)&gt;0,1,0)</f>
        <v>0</v>
      </c>
      <c r="Z899" s="75" t="str">
        <f>IF(OR(P.Fuerza_final&lt;120,AA899&lt;200,MAX(AB899,AC899)&lt;200),"NO","-")</f>
        <v>NO</v>
      </c>
      <c r="AA899" s="926">
        <f>HA_final-PDs!$X$25+MIN(PDs!$X$25+H$1013-H899,50)</f>
        <v>-10</v>
      </c>
      <c r="AB899" s="699">
        <f>HE_final-PDs!$X$27+MIN(PDs!$X$27+I$1013-I899,50)</f>
        <v>0</v>
      </c>
      <c r="AC899" s="1150">
        <f>HP_final-PDs!$X$26+MIN(PDs!$X$26+J$1013-J899,50)</f>
        <v>0</v>
      </c>
      <c r="AE899" s="1149" t="s">
        <v>6689</v>
      </c>
      <c r="AF899" s="3899" t="s">
        <v>3036</v>
      </c>
      <c r="AG899" s="1151" t="s">
        <v>3037</v>
      </c>
      <c r="AI899" s="1209" t="str">
        <f>IF(PDs!E65="","",PDs!E65)</f>
        <v/>
      </c>
      <c r="AJ899" s="699" t="str">
        <f>IF(PDs!J65="","",PDs!J65)</f>
        <v/>
      </c>
      <c r="AK899" s="699" t="str">
        <f t="shared" si="330"/>
        <v/>
      </c>
      <c r="AL899" s="699" t="str">
        <f t="shared" si="329"/>
        <v/>
      </c>
      <c r="AM899" s="926" t="str">
        <f t="shared" si="331"/>
        <v/>
      </c>
      <c r="AN899" s="699">
        <f t="shared" si="351"/>
        <v>0</v>
      </c>
      <c r="AO899" s="699">
        <f t="shared" si="332"/>
        <v>0</v>
      </c>
      <c r="AP899" s="699">
        <f t="shared" si="333"/>
        <v>0</v>
      </c>
      <c r="AQ899" s="304">
        <f>IFERROR(MATCH(PDs!M65,AN899:AP899,0),0)</f>
        <v>1</v>
      </c>
      <c r="AR899" s="926" t="str">
        <f t="shared" si="334"/>
        <v/>
      </c>
      <c r="AS899" s="699">
        <f t="shared" si="335"/>
        <v>0</v>
      </c>
      <c r="AT899" s="699">
        <f t="shared" si="336"/>
        <v>0</v>
      </c>
      <c r="AU899" s="699">
        <f t="shared" si="337"/>
        <v>0</v>
      </c>
      <c r="AV899" s="304">
        <f>IF(AR899="",AQ899,MAX(IFERROR(MATCH(PDs!O65,AS899:AU899,0),0),AQ899))</f>
        <v>1</v>
      </c>
      <c r="AW899" s="926" t="str">
        <f t="shared" si="338"/>
        <v/>
      </c>
      <c r="AX899" s="699">
        <f t="shared" si="339"/>
        <v>0</v>
      </c>
      <c r="AY899" s="699">
        <f t="shared" si="340"/>
        <v>0</v>
      </c>
      <c r="AZ899" s="699">
        <f t="shared" si="341"/>
        <v>0</v>
      </c>
      <c r="BA899" s="304">
        <f>IF(AW899="",AV899,MAX(IFERROR(MATCH(PDs!Q65,AX899:AZ899,0),0),AV899))</f>
        <v>1</v>
      </c>
      <c r="BB899" s="926" t="str">
        <f t="shared" si="342"/>
        <v/>
      </c>
      <c r="BC899" s="699">
        <f t="shared" si="343"/>
        <v>0</v>
      </c>
      <c r="BD899" s="699">
        <f t="shared" si="344"/>
        <v>0</v>
      </c>
      <c r="BE899" s="699">
        <f t="shared" si="345"/>
        <v>0</v>
      </c>
      <c r="BF899" s="304">
        <f>IF(BB899="",BA899,MAX(IFERROR(MATCH(PDs!S65,BC899:BE899,0),0),BA899))</f>
        <v>1</v>
      </c>
      <c r="BG899" s="926" t="str">
        <f t="shared" si="346"/>
        <v/>
      </c>
      <c r="BH899" s="699">
        <f t="shared" si="347"/>
        <v>0</v>
      </c>
      <c r="BI899" s="699">
        <f t="shared" si="348"/>
        <v>0</v>
      </c>
      <c r="BJ899" s="699">
        <f t="shared" si="349"/>
        <v>0</v>
      </c>
      <c r="BK899" s="304">
        <f>IF(BG899="",BF899,MAX(IFERROR(MATCH(PDs!U65,BH899:BJ899,0),0),BF899))</f>
        <v>1</v>
      </c>
      <c r="BL899" s="604">
        <f t="shared" si="350"/>
        <v>0</v>
      </c>
    </row>
    <row r="900" spans="1:64" ht="12.75" customHeight="1" thickBot="1">
      <c r="A900" s="219">
        <v>881</v>
      </c>
      <c r="B900" s="7145"/>
      <c r="C900" s="443"/>
      <c r="D900" s="210" t="s">
        <v>735</v>
      </c>
      <c r="E900" s="75">
        <f>20+Bono_Fue</f>
        <v>20</v>
      </c>
      <c r="F900" s="75"/>
      <c r="G900" s="75">
        <v>0</v>
      </c>
      <c r="H900" s="75"/>
      <c r="I900" s="75"/>
      <c r="J900" s="75"/>
      <c r="K900" s="75"/>
      <c r="L900" s="75"/>
      <c r="M900" s="2110"/>
      <c r="N900" s="2110" t="s">
        <v>736</v>
      </c>
      <c r="O900" s="2110"/>
      <c r="P900" s="2110"/>
      <c r="Q900" s="2110"/>
      <c r="R900" s="2110"/>
      <c r="S900" s="70">
        <f t="shared" si="327"/>
        <v>30</v>
      </c>
      <c r="T900" s="75"/>
      <c r="U900" s="75"/>
      <c r="V900" s="75"/>
      <c r="W900" s="75"/>
      <c r="X900" s="75">
        <f t="shared" si="328"/>
        <v>0</v>
      </c>
      <c r="Y900" s="75">
        <f>IF(OR(Y901&gt;0,COUNTIF(PDs!$AD$59:$AD$77,Tablas!D900)&gt;0),1,0)</f>
        <v>0</v>
      </c>
      <c r="Z900" s="75" t="str">
        <f>IF(OR(Baile_final&lt;20,Baile_final="-"),"NO","-")</f>
        <v>NO</v>
      </c>
      <c r="AA900" s="926">
        <f>HA_final-PDs!$X$25+MIN(PDs!$X$25+H$1013-H900,50)</f>
        <v>0</v>
      </c>
      <c r="AB900" s="699">
        <f>HE_final-PDs!$X$27+MIN(PDs!$X$27+I$1013-I900,50)</f>
        <v>0</v>
      </c>
      <c r="AC900" s="1150">
        <f>HP_final-PDs!$X$26+MIN(PDs!$X$26+J$1013-J900,50)</f>
        <v>0</v>
      </c>
      <c r="AE900" s="1149" t="s">
        <v>6690</v>
      </c>
      <c r="AF900" s="3900" t="s">
        <v>6724</v>
      </c>
      <c r="AI900" s="1209" t="str">
        <f>IF(PDs!E66="","",PDs!E66)</f>
        <v/>
      </c>
      <c r="AJ900" s="699" t="str">
        <f>IF(PDs!J66="","",PDs!J66)</f>
        <v/>
      </c>
      <c r="AK900" s="699" t="str">
        <f t="shared" si="330"/>
        <v/>
      </c>
      <c r="AL900" s="699" t="str">
        <f t="shared" si="329"/>
        <v/>
      </c>
      <c r="AM900" s="926" t="str">
        <f t="shared" si="331"/>
        <v/>
      </c>
      <c r="AN900" s="699">
        <f t="shared" si="351"/>
        <v>0</v>
      </c>
      <c r="AO900" s="699">
        <f t="shared" si="332"/>
        <v>0</v>
      </c>
      <c r="AP900" s="699">
        <f t="shared" si="333"/>
        <v>0</v>
      </c>
      <c r="AQ900" s="304">
        <f>IFERROR(MATCH(PDs!M66,AN900:AP900,0),0)</f>
        <v>1</v>
      </c>
      <c r="AR900" s="926" t="str">
        <f t="shared" si="334"/>
        <v/>
      </c>
      <c r="AS900" s="699">
        <f t="shared" si="335"/>
        <v>0</v>
      </c>
      <c r="AT900" s="699">
        <f t="shared" si="336"/>
        <v>0</v>
      </c>
      <c r="AU900" s="699">
        <f t="shared" si="337"/>
        <v>0</v>
      </c>
      <c r="AV900" s="304">
        <f>IF(AR900="",AQ900,MAX(IFERROR(MATCH(PDs!O66,AS900:AU900,0),0),AQ900))</f>
        <v>1</v>
      </c>
      <c r="AW900" s="926" t="str">
        <f t="shared" si="338"/>
        <v/>
      </c>
      <c r="AX900" s="699">
        <f t="shared" si="339"/>
        <v>0</v>
      </c>
      <c r="AY900" s="699">
        <f t="shared" si="340"/>
        <v>0</v>
      </c>
      <c r="AZ900" s="699">
        <f t="shared" si="341"/>
        <v>0</v>
      </c>
      <c r="BA900" s="304">
        <f>IF(AW900="",AV900,MAX(IFERROR(MATCH(PDs!Q66,AX900:AZ900,0),0),AV900))</f>
        <v>1</v>
      </c>
      <c r="BB900" s="926" t="str">
        <f t="shared" si="342"/>
        <v/>
      </c>
      <c r="BC900" s="699">
        <f t="shared" si="343"/>
        <v>0</v>
      </c>
      <c r="BD900" s="699">
        <f t="shared" si="344"/>
        <v>0</v>
      </c>
      <c r="BE900" s="699">
        <f t="shared" si="345"/>
        <v>0</v>
      </c>
      <c r="BF900" s="304">
        <f>IF(BB900="",BA900,MAX(IFERROR(MATCH(PDs!S66,BC900:BE900,0),0),BA900))</f>
        <v>1</v>
      </c>
      <c r="BG900" s="926" t="str">
        <f t="shared" si="346"/>
        <v/>
      </c>
      <c r="BH900" s="699">
        <f t="shared" si="347"/>
        <v>0</v>
      </c>
      <c r="BI900" s="699">
        <f t="shared" si="348"/>
        <v>0</v>
      </c>
      <c r="BJ900" s="699">
        <f t="shared" si="349"/>
        <v>0</v>
      </c>
      <c r="BK900" s="304">
        <f>IF(BG900="",BF900,MAX(IFERROR(MATCH(PDs!U66,BH900:BJ900,0),0),BF900))</f>
        <v>1</v>
      </c>
      <c r="BL900" s="604">
        <f t="shared" si="350"/>
        <v>0</v>
      </c>
    </row>
    <row r="901" spans="1:64" ht="12.75" customHeight="1" thickBot="1">
      <c r="A901" s="219">
        <v>882</v>
      </c>
      <c r="B901" s="7145"/>
      <c r="C901" s="443"/>
      <c r="D901" s="210" t="s">
        <v>737</v>
      </c>
      <c r="E901" s="75">
        <f>20+Bono_Fue</f>
        <v>20</v>
      </c>
      <c r="F901" s="75"/>
      <c r="G901" s="75">
        <v>10</v>
      </c>
      <c r="H901" s="75"/>
      <c r="I901" s="75">
        <v>10</v>
      </c>
      <c r="J901" s="75"/>
      <c r="K901" s="75"/>
      <c r="L901" s="75"/>
      <c r="M901" s="2110"/>
      <c r="N901" s="2110" t="s">
        <v>738</v>
      </c>
      <c r="O901" s="2110"/>
      <c r="P901" s="2110"/>
      <c r="Q901" s="2110"/>
      <c r="R901" s="2110"/>
      <c r="S901" s="70">
        <f t="shared" si="327"/>
        <v>31</v>
      </c>
      <c r="T901" s="75"/>
      <c r="U901" s="75"/>
      <c r="V901" s="75"/>
      <c r="W901" s="75"/>
      <c r="X901" s="75">
        <f t="shared" si="328"/>
        <v>0</v>
      </c>
      <c r="Y901" s="75">
        <f>IF(OR(Y902&gt;0,COUNTIF(PDs!$AD$59:$AD$77,Tablas!D901)&gt;0),1,0)</f>
        <v>0</v>
      </c>
      <c r="Z901" s="75" t="str">
        <f>IF(OR(Baile_final&lt;40,Baile_final="-",AB901&lt;120),"NO","-")</f>
        <v>NO</v>
      </c>
      <c r="AA901" s="926">
        <f>HA_final-PDs!$X$25+MIN(PDs!$X$25+H$1013-H901,50)</f>
        <v>0</v>
      </c>
      <c r="AB901" s="699">
        <f>HE_final-PDs!$X$27+MIN(PDs!$X$27+I$1013-I901,50)</f>
        <v>-10</v>
      </c>
      <c r="AC901" s="1150">
        <f>HP_final-PDs!$X$26+MIN(PDs!$X$26+J$1013-J901,50)</f>
        <v>0</v>
      </c>
      <c r="AE901" s="1149" t="s">
        <v>6691</v>
      </c>
      <c r="AI901" s="1209" t="str">
        <f>IF(PDs!E67="","",PDs!E67)</f>
        <v/>
      </c>
      <c r="AJ901" s="699" t="str">
        <f>IF(PDs!J67="","",PDs!J67)</f>
        <v/>
      </c>
      <c r="AK901" s="699" t="str">
        <f t="shared" si="330"/>
        <v/>
      </c>
      <c r="AL901" s="699" t="str">
        <f t="shared" si="329"/>
        <v/>
      </c>
      <c r="AM901" s="926" t="str">
        <f t="shared" si="331"/>
        <v/>
      </c>
      <c r="AN901" s="699">
        <f t="shared" si="351"/>
        <v>0</v>
      </c>
      <c r="AO901" s="699">
        <f t="shared" si="332"/>
        <v>0</v>
      </c>
      <c r="AP901" s="699">
        <f t="shared" si="333"/>
        <v>0</v>
      </c>
      <c r="AQ901" s="304">
        <f>IFERROR(MATCH(PDs!M67,AN901:AP901,0),0)</f>
        <v>1</v>
      </c>
      <c r="AR901" s="926" t="str">
        <f t="shared" si="334"/>
        <v/>
      </c>
      <c r="AS901" s="699">
        <f t="shared" si="335"/>
        <v>0</v>
      </c>
      <c r="AT901" s="699">
        <f t="shared" si="336"/>
        <v>0</v>
      </c>
      <c r="AU901" s="699">
        <f t="shared" si="337"/>
        <v>0</v>
      </c>
      <c r="AV901" s="304">
        <f>IF(AR901="",AQ901,MAX(IFERROR(MATCH(PDs!O67,AS901:AU901,0),0),AQ901))</f>
        <v>1</v>
      </c>
      <c r="AW901" s="926" t="str">
        <f t="shared" si="338"/>
        <v/>
      </c>
      <c r="AX901" s="699">
        <f t="shared" si="339"/>
        <v>0</v>
      </c>
      <c r="AY901" s="699">
        <f t="shared" si="340"/>
        <v>0</v>
      </c>
      <c r="AZ901" s="699">
        <f t="shared" si="341"/>
        <v>0</v>
      </c>
      <c r="BA901" s="304">
        <f>IF(AW901="",AV901,MAX(IFERROR(MATCH(PDs!Q67,AX901:AZ901,0),0),AV901))</f>
        <v>1</v>
      </c>
      <c r="BB901" s="926" t="str">
        <f t="shared" si="342"/>
        <v/>
      </c>
      <c r="BC901" s="699">
        <f t="shared" si="343"/>
        <v>0</v>
      </c>
      <c r="BD901" s="699">
        <f t="shared" si="344"/>
        <v>0</v>
      </c>
      <c r="BE901" s="699">
        <f t="shared" si="345"/>
        <v>0</v>
      </c>
      <c r="BF901" s="304">
        <f>IF(BB901="",BA901,MAX(IFERROR(MATCH(PDs!S67,BC901:BE901,0),0),BA901))</f>
        <v>1</v>
      </c>
      <c r="BG901" s="926" t="str">
        <f t="shared" si="346"/>
        <v/>
      </c>
      <c r="BH901" s="699">
        <f t="shared" si="347"/>
        <v>0</v>
      </c>
      <c r="BI901" s="699">
        <f t="shared" si="348"/>
        <v>0</v>
      </c>
      <c r="BJ901" s="699">
        <f t="shared" si="349"/>
        <v>0</v>
      </c>
      <c r="BK901" s="304">
        <f>IF(BG901="",BF901,MAX(IFERROR(MATCH(PDs!U67,BH901:BJ901,0),0),BF901))</f>
        <v>1</v>
      </c>
      <c r="BL901" s="604">
        <f t="shared" si="350"/>
        <v>0</v>
      </c>
    </row>
    <row r="902" spans="1:64" ht="12.75" customHeight="1" thickBot="1">
      <c r="A902" s="219">
        <v>883</v>
      </c>
      <c r="B902" s="7145"/>
      <c r="C902" s="443"/>
      <c r="D902" s="210" t="s">
        <v>739</v>
      </c>
      <c r="E902" s="75">
        <f>20+Bono_Fue</f>
        <v>20</v>
      </c>
      <c r="F902" s="75"/>
      <c r="G902" s="75">
        <v>20</v>
      </c>
      <c r="H902" s="75"/>
      <c r="I902" s="75">
        <v>10</v>
      </c>
      <c r="J902" s="75"/>
      <c r="K902" s="75"/>
      <c r="L902" s="75"/>
      <c r="M902" s="2110"/>
      <c r="N902" s="2110" t="s">
        <v>8318</v>
      </c>
      <c r="O902" s="2110"/>
      <c r="P902" s="2110"/>
      <c r="Q902" s="2110"/>
      <c r="R902" s="2110"/>
      <c r="S902" s="70">
        <f t="shared" si="327"/>
        <v>64</v>
      </c>
      <c r="T902" s="75"/>
      <c r="U902" s="75"/>
      <c r="V902" s="75"/>
      <c r="W902" s="75"/>
      <c r="X902" s="75">
        <f t="shared" si="328"/>
        <v>0</v>
      </c>
      <c r="Y902" s="75">
        <f>IF(COUNTIF(PDs!$AD$59:$AD$77,Tablas!D902)&gt;0,1,0)</f>
        <v>0</v>
      </c>
      <c r="Z902" s="75" t="str">
        <f>IF(OR(Baile_final&lt;120,Baile_final="-",AB902&lt;200),"NO","-")</f>
        <v>NO</v>
      </c>
      <c r="AA902" s="926">
        <f>HA_final-PDs!$X$25+MIN(PDs!$X$25+H$1013-H902,50)</f>
        <v>0</v>
      </c>
      <c r="AB902" s="699">
        <f>HE_final-PDs!$X$27+MIN(PDs!$X$27+I$1013-I902,50)</f>
        <v>-10</v>
      </c>
      <c r="AC902" s="1150">
        <f>HP_final-PDs!$X$26+MIN(PDs!$X$26+J$1013-J902,50)</f>
        <v>0</v>
      </c>
      <c r="AE902" s="1149" t="s">
        <v>6692</v>
      </c>
      <c r="AF902" s="3901" t="s">
        <v>8303</v>
      </c>
      <c r="AG902" s="1152" t="s">
        <v>8304</v>
      </c>
      <c r="AI902" s="1209" t="str">
        <f>IF(PDs!E68="","",PDs!E68)</f>
        <v/>
      </c>
      <c r="AJ902" s="699" t="str">
        <f>IF(PDs!J68="","",PDs!J68)</f>
        <v/>
      </c>
      <c r="AK902" s="699" t="str">
        <f t="shared" si="330"/>
        <v/>
      </c>
      <c r="AL902" s="699" t="str">
        <f t="shared" si="329"/>
        <v/>
      </c>
      <c r="AM902" s="926" t="str">
        <f t="shared" si="331"/>
        <v/>
      </c>
      <c r="AN902" s="699">
        <f t="shared" si="351"/>
        <v>0</v>
      </c>
      <c r="AO902" s="699">
        <f t="shared" si="332"/>
        <v>0</v>
      </c>
      <c r="AP902" s="699">
        <f t="shared" si="333"/>
        <v>0</v>
      </c>
      <c r="AQ902" s="304">
        <f>IFERROR(MATCH(PDs!M68,AN902:AP902,0),0)</f>
        <v>1</v>
      </c>
      <c r="AR902" s="926" t="str">
        <f t="shared" si="334"/>
        <v/>
      </c>
      <c r="AS902" s="699">
        <f t="shared" si="335"/>
        <v>0</v>
      </c>
      <c r="AT902" s="699">
        <f t="shared" si="336"/>
        <v>0</v>
      </c>
      <c r="AU902" s="699">
        <f t="shared" si="337"/>
        <v>0</v>
      </c>
      <c r="AV902" s="304">
        <f>IF(AR902="",AQ902,MAX(IFERROR(MATCH(PDs!O68,AS902:AU902,0),0),AQ902))</f>
        <v>1</v>
      </c>
      <c r="AW902" s="926" t="str">
        <f t="shared" si="338"/>
        <v/>
      </c>
      <c r="AX902" s="699">
        <f t="shared" si="339"/>
        <v>0</v>
      </c>
      <c r="AY902" s="699">
        <f t="shared" si="340"/>
        <v>0</v>
      </c>
      <c r="AZ902" s="699">
        <f t="shared" si="341"/>
        <v>0</v>
      </c>
      <c r="BA902" s="304">
        <f>IF(AW902="",AV902,MAX(IFERROR(MATCH(PDs!Q68,AX902:AZ902,0),0),AV902))</f>
        <v>1</v>
      </c>
      <c r="BB902" s="926" t="str">
        <f t="shared" si="342"/>
        <v/>
      </c>
      <c r="BC902" s="699">
        <f t="shared" si="343"/>
        <v>0</v>
      </c>
      <c r="BD902" s="699">
        <f t="shared" si="344"/>
        <v>0</v>
      </c>
      <c r="BE902" s="699">
        <f t="shared" si="345"/>
        <v>0</v>
      </c>
      <c r="BF902" s="304">
        <f>IF(BB902="",BA902,MAX(IFERROR(MATCH(PDs!S68,BC902:BE902,0),0),BA902))</f>
        <v>1</v>
      </c>
      <c r="BG902" s="926" t="str">
        <f t="shared" si="346"/>
        <v/>
      </c>
      <c r="BH902" s="699">
        <f t="shared" si="347"/>
        <v>0</v>
      </c>
      <c r="BI902" s="699">
        <f t="shared" si="348"/>
        <v>0</v>
      </c>
      <c r="BJ902" s="699">
        <f t="shared" si="349"/>
        <v>0</v>
      </c>
      <c r="BK902" s="304">
        <f>IF(BG902="",BF902,MAX(IFERROR(MATCH(PDs!U68,BH902:BJ902,0),0),BF902))</f>
        <v>1</v>
      </c>
      <c r="BL902" s="604">
        <f t="shared" si="350"/>
        <v>0</v>
      </c>
    </row>
    <row r="903" spans="1:64" ht="12.75" customHeight="1">
      <c r="A903" s="219">
        <v>884</v>
      </c>
      <c r="B903" s="7145"/>
      <c r="C903" s="443"/>
      <c r="D903" s="210" t="s">
        <v>740</v>
      </c>
      <c r="E903" s="75">
        <f>10+Bono_Fue</f>
        <v>10</v>
      </c>
      <c r="F903" s="75"/>
      <c r="G903" s="75">
        <v>0</v>
      </c>
      <c r="H903" s="75"/>
      <c r="I903" s="75"/>
      <c r="J903" s="75"/>
      <c r="K903" s="75"/>
      <c r="L903" s="75"/>
      <c r="M903" s="2110"/>
      <c r="N903" s="2110" t="s">
        <v>741</v>
      </c>
      <c r="O903" s="2110"/>
      <c r="P903" s="2110"/>
      <c r="Q903" s="2110"/>
      <c r="R903" s="2110"/>
      <c r="S903" s="70">
        <f t="shared" si="327"/>
        <v>42</v>
      </c>
      <c r="T903" s="75"/>
      <c r="U903" s="75"/>
      <c r="V903" s="75"/>
      <c r="W903" s="75"/>
      <c r="X903" s="75">
        <f t="shared" si="328"/>
        <v>0</v>
      </c>
      <c r="Y903" s="75">
        <f>IF(OR(Y904&gt;0,COUNTIF(PDs!$AD$59:$AD$77,Tablas!D903)&gt;0),1,0)</f>
        <v>0</v>
      </c>
      <c r="Z903" s="75" t="str">
        <f>IF(P.Fuerza_final&lt;20,"NO","-")</f>
        <v>NO</v>
      </c>
      <c r="AA903" s="926">
        <f>HA_final-PDs!$X$25+MIN(PDs!$X$25+H$1013-H903,50)</f>
        <v>0</v>
      </c>
      <c r="AB903" s="699">
        <f>HE_final-PDs!$X$27+MIN(PDs!$X$27+I$1013-I903,50)</f>
        <v>0</v>
      </c>
      <c r="AC903" s="1150">
        <f>HP_final-PDs!$X$26+MIN(PDs!$X$26+J$1013-J903,50)</f>
        <v>0</v>
      </c>
      <c r="AE903" s="1149" t="s">
        <v>6693</v>
      </c>
      <c r="AF903" s="3899" t="s">
        <v>1225</v>
      </c>
      <c r="AG903" s="1153" t="s">
        <v>1225</v>
      </c>
      <c r="AI903" s="1209" t="str">
        <f>IF(PDs!E69="","",PDs!E69)</f>
        <v/>
      </c>
      <c r="AJ903" s="699" t="str">
        <f>IF(PDs!J69="","",PDs!J69)</f>
        <v/>
      </c>
      <c r="AK903" s="699" t="str">
        <f t="shared" si="330"/>
        <v/>
      </c>
      <c r="AL903" s="699" t="str">
        <f t="shared" si="329"/>
        <v/>
      </c>
      <c r="AM903" s="926" t="str">
        <f t="shared" si="331"/>
        <v/>
      </c>
      <c r="AN903" s="699">
        <f t="shared" si="351"/>
        <v>0</v>
      </c>
      <c r="AO903" s="699">
        <f t="shared" si="332"/>
        <v>0</v>
      </c>
      <c r="AP903" s="699">
        <f t="shared" si="333"/>
        <v>0</v>
      </c>
      <c r="AQ903" s="304">
        <f>IFERROR(MATCH(PDs!M69,AN903:AP903,0),0)</f>
        <v>1</v>
      </c>
      <c r="AR903" s="926" t="str">
        <f t="shared" si="334"/>
        <v/>
      </c>
      <c r="AS903" s="699">
        <f t="shared" si="335"/>
        <v>0</v>
      </c>
      <c r="AT903" s="699">
        <f t="shared" si="336"/>
        <v>0</v>
      </c>
      <c r="AU903" s="699">
        <f t="shared" si="337"/>
        <v>0</v>
      </c>
      <c r="AV903" s="304">
        <f>IF(AR903="",AQ903,MAX(IFERROR(MATCH(PDs!O69,AS903:AU903,0),0),AQ903))</f>
        <v>1</v>
      </c>
      <c r="AW903" s="926" t="str">
        <f t="shared" si="338"/>
        <v/>
      </c>
      <c r="AX903" s="699">
        <f t="shared" si="339"/>
        <v>0</v>
      </c>
      <c r="AY903" s="699">
        <f t="shared" si="340"/>
        <v>0</v>
      </c>
      <c r="AZ903" s="699">
        <f t="shared" si="341"/>
        <v>0</v>
      </c>
      <c r="BA903" s="304">
        <f>IF(AW903="",AV903,MAX(IFERROR(MATCH(PDs!Q69,AX903:AZ903,0),0),AV903))</f>
        <v>1</v>
      </c>
      <c r="BB903" s="926" t="str">
        <f t="shared" si="342"/>
        <v/>
      </c>
      <c r="BC903" s="699">
        <f t="shared" si="343"/>
        <v>0</v>
      </c>
      <c r="BD903" s="699">
        <f t="shared" si="344"/>
        <v>0</v>
      </c>
      <c r="BE903" s="699">
        <f t="shared" si="345"/>
        <v>0</v>
      </c>
      <c r="BF903" s="304">
        <f>IF(BB903="",BA903,MAX(IFERROR(MATCH(PDs!S69,BC903:BE903,0),0),BA903))</f>
        <v>1</v>
      </c>
      <c r="BG903" s="926" t="str">
        <f t="shared" si="346"/>
        <v/>
      </c>
      <c r="BH903" s="699">
        <f t="shared" si="347"/>
        <v>0</v>
      </c>
      <c r="BI903" s="699">
        <f t="shared" si="348"/>
        <v>0</v>
      </c>
      <c r="BJ903" s="699">
        <f t="shared" si="349"/>
        <v>0</v>
      </c>
      <c r="BK903" s="304">
        <f>IF(BG903="",BF903,MAX(IFERROR(MATCH(PDs!U69,BH903:BJ903,0),0),BF903))</f>
        <v>1</v>
      </c>
      <c r="BL903" s="604">
        <f t="shared" si="350"/>
        <v>0</v>
      </c>
    </row>
    <row r="904" spans="1:64" ht="12.75" customHeight="1" thickBot="1">
      <c r="A904" s="219">
        <v>885</v>
      </c>
      <c r="B904" s="7145"/>
      <c r="C904" s="443"/>
      <c r="D904" s="210" t="s">
        <v>742</v>
      </c>
      <c r="E904" s="75">
        <f>20+Bono_Fue</f>
        <v>20</v>
      </c>
      <c r="F904" s="75"/>
      <c r="G904" s="75">
        <v>10</v>
      </c>
      <c r="H904" s="75"/>
      <c r="I904" s="75"/>
      <c r="J904" s="75"/>
      <c r="K904" s="75"/>
      <c r="L904" s="75"/>
      <c r="M904" s="2110"/>
      <c r="N904" s="2110" t="s">
        <v>743</v>
      </c>
      <c r="O904" s="2110"/>
      <c r="P904" s="2110"/>
      <c r="Q904" s="2110"/>
      <c r="R904" s="2110"/>
      <c r="S904" s="70">
        <f t="shared" si="327"/>
        <v>33</v>
      </c>
      <c r="T904" s="75"/>
      <c r="U904" s="75"/>
      <c r="V904" s="75"/>
      <c r="W904" s="75"/>
      <c r="X904" s="75">
        <f t="shared" si="328"/>
        <v>0</v>
      </c>
      <c r="Y904" s="75">
        <f>IF(OR(Y905&gt;0,COUNTIF(PDs!$AD$59:$AD$77,Tablas!D904)&gt;0),1,0)</f>
        <v>0</v>
      </c>
      <c r="Z904" s="75" t="str">
        <f>IF(OR(P.Fuerza_final&lt;40,AA904&lt;130),"NO","-")</f>
        <v>NO</v>
      </c>
      <c r="AA904" s="926">
        <f>HA_final-PDs!$X$25+MIN(PDs!$X$25+H$1013-H904,50)</f>
        <v>0</v>
      </c>
      <c r="AB904" s="699">
        <f>HE_final-PDs!$X$27+MIN(PDs!$X$27+I$1013-I904,50)</f>
        <v>0</v>
      </c>
      <c r="AC904" s="1150">
        <f>HP_final-PDs!$X$26+MIN(PDs!$X$26+J$1013-J904,50)</f>
        <v>0</v>
      </c>
      <c r="AE904" s="1149" t="s">
        <v>6694</v>
      </c>
      <c r="AF904" s="3899" t="s">
        <v>8305</v>
      </c>
      <c r="AG904" s="1151" t="s">
        <v>8306</v>
      </c>
      <c r="AI904" s="1209" t="str">
        <f>IF(PDs!E70="","",PDs!E70)</f>
        <v/>
      </c>
      <c r="AJ904" s="699" t="str">
        <f>IF(PDs!J70="","",PDs!J70)</f>
        <v/>
      </c>
      <c r="AK904" s="699" t="str">
        <f t="shared" si="330"/>
        <v/>
      </c>
      <c r="AL904" s="699" t="str">
        <f t="shared" si="329"/>
        <v/>
      </c>
      <c r="AM904" s="926" t="str">
        <f t="shared" si="331"/>
        <v/>
      </c>
      <c r="AN904" s="699">
        <f t="shared" si="351"/>
        <v>0</v>
      </c>
      <c r="AO904" s="699">
        <f t="shared" si="332"/>
        <v>0</v>
      </c>
      <c r="AP904" s="699">
        <f t="shared" si="333"/>
        <v>0</v>
      </c>
      <c r="AQ904" s="304">
        <f>IFERROR(MATCH(PDs!M70,AN904:AP904,0),0)</f>
        <v>1</v>
      </c>
      <c r="AR904" s="926" t="str">
        <f t="shared" si="334"/>
        <v/>
      </c>
      <c r="AS904" s="699">
        <f t="shared" si="335"/>
        <v>0</v>
      </c>
      <c r="AT904" s="699">
        <f t="shared" si="336"/>
        <v>0</v>
      </c>
      <c r="AU904" s="699">
        <f t="shared" si="337"/>
        <v>0</v>
      </c>
      <c r="AV904" s="304">
        <f>IF(AR904="",AQ904,MAX(IFERROR(MATCH(PDs!O70,AS904:AU904,0),0),AQ904))</f>
        <v>1</v>
      </c>
      <c r="AW904" s="926" t="str">
        <f t="shared" si="338"/>
        <v/>
      </c>
      <c r="AX904" s="699">
        <f t="shared" si="339"/>
        <v>0</v>
      </c>
      <c r="AY904" s="699">
        <f t="shared" si="340"/>
        <v>0</v>
      </c>
      <c r="AZ904" s="699">
        <f t="shared" si="341"/>
        <v>0</v>
      </c>
      <c r="BA904" s="304">
        <f>IF(AW904="",AV904,MAX(IFERROR(MATCH(PDs!Q70,AX904:AZ904,0),0),AV904))</f>
        <v>1</v>
      </c>
      <c r="BB904" s="926" t="str">
        <f t="shared" si="342"/>
        <v/>
      </c>
      <c r="BC904" s="699">
        <f t="shared" si="343"/>
        <v>0</v>
      </c>
      <c r="BD904" s="699">
        <f t="shared" si="344"/>
        <v>0</v>
      </c>
      <c r="BE904" s="699">
        <f t="shared" si="345"/>
        <v>0</v>
      </c>
      <c r="BF904" s="304">
        <f>IF(BB904="",BA904,MAX(IFERROR(MATCH(PDs!S70,BC904:BE904,0),0),BA904))</f>
        <v>1</v>
      </c>
      <c r="BG904" s="926" t="str">
        <f t="shared" si="346"/>
        <v/>
      </c>
      <c r="BH904" s="699">
        <f t="shared" si="347"/>
        <v>0</v>
      </c>
      <c r="BI904" s="699">
        <f t="shared" si="348"/>
        <v>0</v>
      </c>
      <c r="BJ904" s="699">
        <f t="shared" si="349"/>
        <v>0</v>
      </c>
      <c r="BK904" s="304">
        <f>IF(BG904="",BF904,MAX(IFERROR(MATCH(PDs!U70,BH904:BJ904,0),0),BF904))</f>
        <v>1</v>
      </c>
      <c r="BL904" s="604">
        <f t="shared" si="350"/>
        <v>0</v>
      </c>
    </row>
    <row r="905" spans="1:64" ht="12.75" customHeight="1" thickBot="1">
      <c r="A905" s="219">
        <v>886</v>
      </c>
      <c r="B905" s="7145"/>
      <c r="C905" s="443"/>
      <c r="D905" s="210" t="s">
        <v>744</v>
      </c>
      <c r="E905" s="75">
        <f>20+Bono_Fue</f>
        <v>20</v>
      </c>
      <c r="F905" s="75"/>
      <c r="G905" s="75">
        <v>20</v>
      </c>
      <c r="H905" s="75"/>
      <c r="I905" s="75"/>
      <c r="J905" s="75"/>
      <c r="K905" s="75"/>
      <c r="L905" s="75"/>
      <c r="M905" s="2110"/>
      <c r="N905" s="2110" t="s">
        <v>8319</v>
      </c>
      <c r="O905" s="2110"/>
      <c r="P905" s="2110"/>
      <c r="Q905" s="2110"/>
      <c r="R905" s="2110"/>
      <c r="S905" s="70">
        <f t="shared" si="327"/>
        <v>82</v>
      </c>
      <c r="T905" s="75"/>
      <c r="U905" s="75"/>
      <c r="V905" s="75"/>
      <c r="W905" s="75"/>
      <c r="X905" s="75">
        <f t="shared" si="328"/>
        <v>0</v>
      </c>
      <c r="Y905" s="75">
        <f>IF(COUNTIF(PDs!$AD$59:$AD$77,Tablas!D905)&gt;0,1,0)</f>
        <v>0</v>
      </c>
      <c r="Z905" s="75" t="str">
        <f>IF(OR(P.Fuerza_final&lt;120,AA905&lt;200),"NO","-")</f>
        <v>NO</v>
      </c>
      <c r="AA905" s="926">
        <f>HA_final-PDs!$X$25+MIN(PDs!$X$25+H$1013-H905,50)</f>
        <v>0</v>
      </c>
      <c r="AB905" s="699">
        <f>HE_final-PDs!$X$27+MIN(PDs!$X$27+I$1013-I905,50)</f>
        <v>0</v>
      </c>
      <c r="AC905" s="1150">
        <f>HP_final-PDs!$X$26+MIN(PDs!$X$26+J$1013-J905,50)</f>
        <v>0</v>
      </c>
      <c r="AE905" s="1149" t="s">
        <v>6695</v>
      </c>
      <c r="AF905" s="3900" t="s">
        <v>8307</v>
      </c>
      <c r="AI905" s="1209" t="str">
        <f>IF(PDs!E71="","",PDs!E71)</f>
        <v/>
      </c>
      <c r="AJ905" s="699" t="str">
        <f>IF(PDs!J71="","",PDs!J71)</f>
        <v/>
      </c>
      <c r="AK905" s="699" t="str">
        <f t="shared" si="330"/>
        <v/>
      </c>
      <c r="AL905" s="699" t="str">
        <f t="shared" si="329"/>
        <v/>
      </c>
      <c r="AM905" s="926" t="str">
        <f t="shared" si="331"/>
        <v/>
      </c>
      <c r="AN905" s="699">
        <f t="shared" si="351"/>
        <v>0</v>
      </c>
      <c r="AO905" s="699">
        <f t="shared" si="332"/>
        <v>0</v>
      </c>
      <c r="AP905" s="699">
        <f t="shared" si="333"/>
        <v>0</v>
      </c>
      <c r="AQ905" s="304">
        <f>IFERROR(MATCH(PDs!M71,AN905:AP905,0),0)</f>
        <v>1</v>
      </c>
      <c r="AR905" s="926" t="str">
        <f t="shared" si="334"/>
        <v/>
      </c>
      <c r="AS905" s="699">
        <f t="shared" si="335"/>
        <v>0</v>
      </c>
      <c r="AT905" s="699">
        <f t="shared" si="336"/>
        <v>0</v>
      </c>
      <c r="AU905" s="699">
        <f t="shared" si="337"/>
        <v>0</v>
      </c>
      <c r="AV905" s="304">
        <f>IF(AR905="",AQ905,MAX(IFERROR(MATCH(PDs!O71,AS905:AU905,0),0),AQ905))</f>
        <v>1</v>
      </c>
      <c r="AW905" s="926" t="str">
        <f t="shared" si="338"/>
        <v/>
      </c>
      <c r="AX905" s="699">
        <f t="shared" si="339"/>
        <v>0</v>
      </c>
      <c r="AY905" s="699">
        <f t="shared" si="340"/>
        <v>0</v>
      </c>
      <c r="AZ905" s="699">
        <f t="shared" si="341"/>
        <v>0</v>
      </c>
      <c r="BA905" s="304">
        <f>IF(AW905="",AV905,MAX(IFERROR(MATCH(PDs!Q71,AX905:AZ905,0),0),AV905))</f>
        <v>1</v>
      </c>
      <c r="BB905" s="926" t="str">
        <f t="shared" si="342"/>
        <v/>
      </c>
      <c r="BC905" s="699">
        <f t="shared" si="343"/>
        <v>0</v>
      </c>
      <c r="BD905" s="699">
        <f t="shared" si="344"/>
        <v>0</v>
      </c>
      <c r="BE905" s="699">
        <f t="shared" si="345"/>
        <v>0</v>
      </c>
      <c r="BF905" s="304">
        <f>IF(BB905="",BA905,MAX(IFERROR(MATCH(PDs!S71,BC905:BE905,0),0),BA905))</f>
        <v>1</v>
      </c>
      <c r="BG905" s="926" t="str">
        <f t="shared" si="346"/>
        <v/>
      </c>
      <c r="BH905" s="699">
        <f t="shared" si="347"/>
        <v>0</v>
      </c>
      <c r="BI905" s="699">
        <f t="shared" si="348"/>
        <v>0</v>
      </c>
      <c r="BJ905" s="699">
        <f t="shared" si="349"/>
        <v>0</v>
      </c>
      <c r="BK905" s="304">
        <f>IF(BG905="",BF905,MAX(IFERROR(MATCH(PDs!U71,BH905:BJ905,0),0),BF905))</f>
        <v>1</v>
      </c>
      <c r="BL905" s="604">
        <f t="shared" si="350"/>
        <v>0</v>
      </c>
    </row>
    <row r="906" spans="1:64" ht="12.75" customHeight="1">
      <c r="A906" s="219">
        <v>887</v>
      </c>
      <c r="B906" s="7145"/>
      <c r="C906" s="443"/>
      <c r="D906" s="210" t="s">
        <v>745</v>
      </c>
      <c r="E906" s="75">
        <f>10+Bono_Fue</f>
        <v>10</v>
      </c>
      <c r="F906" s="75"/>
      <c r="G906" s="75">
        <v>0</v>
      </c>
      <c r="H906" s="75"/>
      <c r="I906" s="75"/>
      <c r="J906" s="75"/>
      <c r="K906" s="75"/>
      <c r="L906" s="75"/>
      <c r="M906" s="2110"/>
      <c r="N906" s="2110" t="s">
        <v>746</v>
      </c>
      <c r="O906" s="2110"/>
      <c r="P906" s="2110"/>
      <c r="Q906" s="2110"/>
      <c r="R906" s="2110"/>
      <c r="S906" s="70">
        <f t="shared" si="327"/>
        <v>61</v>
      </c>
      <c r="T906" s="75"/>
      <c r="U906" s="75"/>
      <c r="V906" s="75"/>
      <c r="W906" s="75"/>
      <c r="X906" s="75">
        <f t="shared" si="328"/>
        <v>0</v>
      </c>
      <c r="Y906" s="75">
        <f>IF(OR(Y907&gt;0,COUNTIF(PDs!$AD$59:$AD$77,Tablas!D906)&gt;0),1,0)</f>
        <v>0</v>
      </c>
      <c r="Z906" s="75" t="str">
        <f>IF(OR(T.Manos_final&lt;20,Atletismo_final&lt;40),"NO","-")</f>
        <v>NO</v>
      </c>
      <c r="AA906" s="926">
        <f>HA_final-PDs!$X$25+MIN(PDs!$X$25+H$1013-H906,50)</f>
        <v>0</v>
      </c>
      <c r="AB906" s="699">
        <f>HE_final-PDs!$X$27+MIN(PDs!$X$27+I$1013-I906,50)</f>
        <v>0</v>
      </c>
      <c r="AC906" s="1150">
        <f>HP_final-PDs!$X$26+MIN(PDs!$X$26+J$1013-J906,50)</f>
        <v>0</v>
      </c>
      <c r="AE906" s="1149" t="s">
        <v>6696</v>
      </c>
      <c r="AI906" s="1209" t="str">
        <f>IF(PDs!E72="","",PDs!E72)</f>
        <v/>
      </c>
      <c r="AJ906" s="699" t="str">
        <f>IF(PDs!J72="","",PDs!J72)</f>
        <v/>
      </c>
      <c r="AK906" s="699" t="str">
        <f t="shared" si="330"/>
        <v/>
      </c>
      <c r="AL906" s="699" t="str">
        <f t="shared" si="329"/>
        <v/>
      </c>
      <c r="AM906" s="926" t="str">
        <f t="shared" si="331"/>
        <v/>
      </c>
      <c r="AN906" s="699">
        <f t="shared" si="351"/>
        <v>0</v>
      </c>
      <c r="AO906" s="699">
        <f t="shared" si="332"/>
        <v>0</v>
      </c>
      <c r="AP906" s="699">
        <f t="shared" si="333"/>
        <v>0</v>
      </c>
      <c r="AQ906" s="304">
        <f>IFERROR(MATCH(PDs!M72,AN906:AP906,0),0)</f>
        <v>1</v>
      </c>
      <c r="AR906" s="926" t="str">
        <f t="shared" si="334"/>
        <v/>
      </c>
      <c r="AS906" s="699">
        <f t="shared" si="335"/>
        <v>0</v>
      </c>
      <c r="AT906" s="699">
        <f t="shared" si="336"/>
        <v>0</v>
      </c>
      <c r="AU906" s="699">
        <f t="shared" si="337"/>
        <v>0</v>
      </c>
      <c r="AV906" s="304">
        <f>IF(AR906="",AQ906,MAX(IFERROR(MATCH(PDs!O72,AS906:AU906,0),0),AQ906))</f>
        <v>1</v>
      </c>
      <c r="AW906" s="926" t="str">
        <f t="shared" si="338"/>
        <v/>
      </c>
      <c r="AX906" s="699">
        <f t="shared" si="339"/>
        <v>0</v>
      </c>
      <c r="AY906" s="699">
        <f t="shared" si="340"/>
        <v>0</v>
      </c>
      <c r="AZ906" s="699">
        <f t="shared" si="341"/>
        <v>0</v>
      </c>
      <c r="BA906" s="304">
        <f>IF(AW906="",AV906,MAX(IFERROR(MATCH(PDs!Q72,AX906:AZ906,0),0),AV906))</f>
        <v>1</v>
      </c>
      <c r="BB906" s="926" t="str">
        <f t="shared" si="342"/>
        <v/>
      </c>
      <c r="BC906" s="699">
        <f t="shared" si="343"/>
        <v>0</v>
      </c>
      <c r="BD906" s="699">
        <f t="shared" si="344"/>
        <v>0</v>
      </c>
      <c r="BE906" s="699">
        <f t="shared" si="345"/>
        <v>0</v>
      </c>
      <c r="BF906" s="304">
        <f>IF(BB906="",BA906,MAX(IFERROR(MATCH(PDs!S72,BC906:BE906,0),0),BA906))</f>
        <v>1</v>
      </c>
      <c r="BG906" s="926" t="str">
        <f t="shared" si="346"/>
        <v/>
      </c>
      <c r="BH906" s="699">
        <f t="shared" si="347"/>
        <v>0</v>
      </c>
      <c r="BI906" s="699">
        <f t="shared" si="348"/>
        <v>0</v>
      </c>
      <c r="BJ906" s="699">
        <f t="shared" si="349"/>
        <v>0</v>
      </c>
      <c r="BK906" s="304">
        <f>IF(BG906="",BF906,MAX(IFERROR(MATCH(PDs!U72,BH906:BJ906,0),0),BF906))</f>
        <v>1</v>
      </c>
      <c r="BL906" s="604">
        <f t="shared" si="350"/>
        <v>0</v>
      </c>
    </row>
    <row r="907" spans="1:64" ht="12.75" customHeight="1">
      <c r="A907" s="219">
        <v>888</v>
      </c>
      <c r="B907" s="7145"/>
      <c r="C907" s="443"/>
      <c r="D907" s="210" t="s">
        <v>747</v>
      </c>
      <c r="E907" s="75">
        <f>20+Bono_Fue</f>
        <v>20</v>
      </c>
      <c r="F907" s="75"/>
      <c r="G907" s="75">
        <v>10</v>
      </c>
      <c r="H907" s="75"/>
      <c r="I907" s="75">
        <v>10</v>
      </c>
      <c r="J907" s="75">
        <v>10</v>
      </c>
      <c r="K907" s="75"/>
      <c r="L907" s="75"/>
      <c r="M907" s="2110"/>
      <c r="N907" s="2110" t="s">
        <v>748</v>
      </c>
      <c r="O907" s="2110"/>
      <c r="P907" s="2110"/>
      <c r="Q907" s="2110"/>
      <c r="R907" s="2110"/>
      <c r="S907" s="70">
        <f t="shared" si="327"/>
        <v>61</v>
      </c>
      <c r="T907" s="75"/>
      <c r="U907" s="75"/>
      <c r="V907" s="75"/>
      <c r="W907" s="75"/>
      <c r="X907" s="75">
        <f t="shared" si="328"/>
        <v>0</v>
      </c>
      <c r="Y907" s="75">
        <f>IF(OR(Y908&gt;0,COUNTIF(PDs!$AD$59:$AD$77,Tablas!D907)&gt;0),1,0)</f>
        <v>0</v>
      </c>
      <c r="Z907" s="75" t="str">
        <f>IF(OR(T.Manos_final&lt;40,Atletismo_final&lt;60,MAX(AB907,AC907)&lt;120),"NO","-")</f>
        <v>NO</v>
      </c>
      <c r="AA907" s="926">
        <f>HA_final-PDs!$X$25+MIN(PDs!$X$25+H$1013-H907,50)</f>
        <v>0</v>
      </c>
      <c r="AB907" s="699">
        <f>HE_final-PDs!$X$27+MIN(PDs!$X$27+I$1013-I907,50)</f>
        <v>-10</v>
      </c>
      <c r="AC907" s="1150">
        <f>HP_final-PDs!$X$26+MIN(PDs!$X$26+J$1013-J907,50)</f>
        <v>-10</v>
      </c>
      <c r="AE907" s="1149" t="s">
        <v>6697</v>
      </c>
      <c r="AI907" s="1209" t="str">
        <f>IF(PDs!E73="","",PDs!E73)</f>
        <v/>
      </c>
      <c r="AJ907" s="699" t="str">
        <f>IF(PDs!J73="","",PDs!J73)</f>
        <v/>
      </c>
      <c r="AK907" s="699" t="str">
        <f t="shared" si="330"/>
        <v/>
      </c>
      <c r="AL907" s="699" t="str">
        <f t="shared" si="329"/>
        <v/>
      </c>
      <c r="AM907" s="926" t="str">
        <f t="shared" si="331"/>
        <v/>
      </c>
      <c r="AN907" s="699">
        <f t="shared" si="351"/>
        <v>0</v>
      </c>
      <c r="AO907" s="699">
        <f t="shared" si="332"/>
        <v>0</v>
      </c>
      <c r="AP907" s="699">
        <f t="shared" si="333"/>
        <v>0</v>
      </c>
      <c r="AQ907" s="304">
        <f>IFERROR(MATCH(PDs!M73,AN907:AP907,0),0)</f>
        <v>1</v>
      </c>
      <c r="AR907" s="926" t="str">
        <f t="shared" si="334"/>
        <v/>
      </c>
      <c r="AS907" s="699">
        <f t="shared" si="335"/>
        <v>0</v>
      </c>
      <c r="AT907" s="699">
        <f t="shared" si="336"/>
        <v>0</v>
      </c>
      <c r="AU907" s="699">
        <f t="shared" si="337"/>
        <v>0</v>
      </c>
      <c r="AV907" s="304">
        <f>IF(AR907="",AQ907,MAX(IFERROR(MATCH(PDs!O73,AS907:AU907,0),0),AQ907))</f>
        <v>1</v>
      </c>
      <c r="AW907" s="926" t="str">
        <f t="shared" si="338"/>
        <v/>
      </c>
      <c r="AX907" s="699">
        <f t="shared" si="339"/>
        <v>0</v>
      </c>
      <c r="AY907" s="699">
        <f t="shared" si="340"/>
        <v>0</v>
      </c>
      <c r="AZ907" s="699">
        <f t="shared" si="341"/>
        <v>0</v>
      </c>
      <c r="BA907" s="304">
        <f>IF(AW907="",AV907,MAX(IFERROR(MATCH(PDs!Q73,AX907:AZ907,0),0),AV907))</f>
        <v>1</v>
      </c>
      <c r="BB907" s="926" t="str">
        <f t="shared" si="342"/>
        <v/>
      </c>
      <c r="BC907" s="699">
        <f t="shared" si="343"/>
        <v>0</v>
      </c>
      <c r="BD907" s="699">
        <f t="shared" si="344"/>
        <v>0</v>
      </c>
      <c r="BE907" s="699">
        <f t="shared" si="345"/>
        <v>0</v>
      </c>
      <c r="BF907" s="304">
        <f>IF(BB907="",BA907,MAX(IFERROR(MATCH(PDs!S73,BC907:BE907,0),0),BA907))</f>
        <v>1</v>
      </c>
      <c r="BG907" s="926" t="str">
        <f t="shared" si="346"/>
        <v/>
      </c>
      <c r="BH907" s="699">
        <f t="shared" si="347"/>
        <v>0</v>
      </c>
      <c r="BI907" s="699">
        <f t="shared" si="348"/>
        <v>0</v>
      </c>
      <c r="BJ907" s="699">
        <f t="shared" si="349"/>
        <v>0</v>
      </c>
      <c r="BK907" s="304">
        <f>IF(BG907="",BF907,MAX(IFERROR(MATCH(PDs!U73,BH907:BJ907,0),0),BF907))</f>
        <v>1</v>
      </c>
      <c r="BL907" s="604">
        <f t="shared" si="350"/>
        <v>0</v>
      </c>
    </row>
    <row r="908" spans="1:64" ht="12.75" customHeight="1">
      <c r="A908" s="219">
        <v>889</v>
      </c>
      <c r="B908" s="7145"/>
      <c r="C908" s="443"/>
      <c r="D908" s="210" t="s">
        <v>749</v>
      </c>
      <c r="E908" s="75">
        <f>30+Bono_Fue</f>
        <v>30</v>
      </c>
      <c r="F908" s="75"/>
      <c r="G908" s="75">
        <v>20</v>
      </c>
      <c r="H908" s="75"/>
      <c r="I908" s="75">
        <v>10</v>
      </c>
      <c r="J908" s="75">
        <v>10</v>
      </c>
      <c r="K908" s="75"/>
      <c r="L908" s="75"/>
      <c r="M908" s="2110"/>
      <c r="N908" s="2110" t="s">
        <v>8321</v>
      </c>
      <c r="O908" s="2110"/>
      <c r="P908" s="2110"/>
      <c r="Q908" s="2110"/>
      <c r="R908" s="2110"/>
      <c r="S908" s="70">
        <f t="shared" si="327"/>
        <v>85</v>
      </c>
      <c r="T908" s="75"/>
      <c r="U908" s="75"/>
      <c r="V908" s="75"/>
      <c r="W908" s="75"/>
      <c r="X908" s="75">
        <f t="shared" si="328"/>
        <v>0</v>
      </c>
      <c r="Y908" s="75">
        <f>IF(COUNTIF(PDs!$AD$59:$AD$77,Tablas!D908)&gt;0,1,0)</f>
        <v>0</v>
      </c>
      <c r="Z908" s="75" t="str">
        <f>IF(OR(T.Manos_final&lt;100,Atletismo_final&lt;120,MAX(AB908,AC908)&lt;130),"NO","-")</f>
        <v>NO</v>
      </c>
      <c r="AA908" s="926">
        <f>HA_final-PDs!$X$25+MIN(PDs!$X$25+H$1013-H908,50)</f>
        <v>0</v>
      </c>
      <c r="AB908" s="699">
        <f>HE_final-PDs!$X$27+MIN(PDs!$X$27+I$1013-I908,50)</f>
        <v>-10</v>
      </c>
      <c r="AC908" s="1150">
        <f>HP_final-PDs!$X$26+MIN(PDs!$X$26+J$1013-J908,50)</f>
        <v>-10</v>
      </c>
      <c r="AE908" s="1149" t="s">
        <v>6698</v>
      </c>
      <c r="AI908" s="1209" t="str">
        <f>IF(PDs!E74="","",PDs!E74)</f>
        <v/>
      </c>
      <c r="AJ908" s="699" t="str">
        <f>IF(PDs!J74="","",PDs!J74)</f>
        <v/>
      </c>
      <c r="AK908" s="699" t="str">
        <f t="shared" si="330"/>
        <v/>
      </c>
      <c r="AL908" s="699" t="str">
        <f t="shared" si="329"/>
        <v/>
      </c>
      <c r="AM908" s="926" t="str">
        <f t="shared" si="331"/>
        <v/>
      </c>
      <c r="AN908" s="699">
        <f t="shared" si="351"/>
        <v>0</v>
      </c>
      <c r="AO908" s="699">
        <f t="shared" si="332"/>
        <v>0</v>
      </c>
      <c r="AP908" s="699">
        <f t="shared" si="333"/>
        <v>0</v>
      </c>
      <c r="AQ908" s="304">
        <f>IFERROR(MATCH(PDs!M74,AN908:AP908,0),0)</f>
        <v>1</v>
      </c>
      <c r="AR908" s="926" t="str">
        <f t="shared" si="334"/>
        <v/>
      </c>
      <c r="AS908" s="699">
        <f t="shared" si="335"/>
        <v>0</v>
      </c>
      <c r="AT908" s="699">
        <f t="shared" si="336"/>
        <v>0</v>
      </c>
      <c r="AU908" s="699">
        <f t="shared" si="337"/>
        <v>0</v>
      </c>
      <c r="AV908" s="304">
        <f>IF(AR908="",AQ908,MAX(IFERROR(MATCH(PDs!O74,AS908:AU908,0),0),AQ908))</f>
        <v>1</v>
      </c>
      <c r="AW908" s="926" t="str">
        <f t="shared" si="338"/>
        <v/>
      </c>
      <c r="AX908" s="699">
        <f t="shared" si="339"/>
        <v>0</v>
      </c>
      <c r="AY908" s="699">
        <f t="shared" si="340"/>
        <v>0</v>
      </c>
      <c r="AZ908" s="699">
        <f t="shared" si="341"/>
        <v>0</v>
      </c>
      <c r="BA908" s="304">
        <f>IF(AW908="",AV908,MAX(IFERROR(MATCH(PDs!Q74,AX908:AZ908,0),0),AV908))</f>
        <v>1</v>
      </c>
      <c r="BB908" s="926" t="str">
        <f t="shared" si="342"/>
        <v/>
      </c>
      <c r="BC908" s="699">
        <f t="shared" si="343"/>
        <v>0</v>
      </c>
      <c r="BD908" s="699">
        <f t="shared" si="344"/>
        <v>0</v>
      </c>
      <c r="BE908" s="699">
        <f t="shared" si="345"/>
        <v>0</v>
      </c>
      <c r="BF908" s="304">
        <f>IF(BB908="",BA908,MAX(IFERROR(MATCH(PDs!S74,BC908:BE908,0),0),BA908))</f>
        <v>1</v>
      </c>
      <c r="BG908" s="926" t="str">
        <f t="shared" si="346"/>
        <v/>
      </c>
      <c r="BH908" s="699">
        <f t="shared" si="347"/>
        <v>0</v>
      </c>
      <c r="BI908" s="699">
        <f t="shared" si="348"/>
        <v>0</v>
      </c>
      <c r="BJ908" s="699">
        <f t="shared" si="349"/>
        <v>0</v>
      </c>
      <c r="BK908" s="304">
        <f>IF(BG908="",BF908,MAX(IFERROR(MATCH(PDs!U74,BH908:BJ908,0),0),BF908))</f>
        <v>1</v>
      </c>
      <c r="BL908" s="604">
        <f t="shared" si="350"/>
        <v>0</v>
      </c>
    </row>
    <row r="909" spans="1:64" ht="12.75" customHeight="1">
      <c r="A909" s="219">
        <v>890</v>
      </c>
      <c r="B909" s="7145"/>
      <c r="C909" s="443"/>
      <c r="D909" s="210" t="s">
        <v>750</v>
      </c>
      <c r="E909" s="75">
        <f>10+Bono_Fue</f>
        <v>10</v>
      </c>
      <c r="F909" s="75"/>
      <c r="G909" s="75">
        <v>0</v>
      </c>
      <c r="H909" s="75"/>
      <c r="I909" s="75"/>
      <c r="J909" s="75"/>
      <c r="K909" s="75"/>
      <c r="L909" s="75"/>
      <c r="M909" s="2110"/>
      <c r="N909" s="2110" t="s">
        <v>751</v>
      </c>
      <c r="O909" s="2110"/>
      <c r="P909" s="2110"/>
      <c r="Q909" s="2110"/>
      <c r="R909" s="2110"/>
      <c r="S909" s="70">
        <f t="shared" si="327"/>
        <v>50</v>
      </c>
      <c r="T909" s="75"/>
      <c r="U909" s="75"/>
      <c r="V909" s="75"/>
      <c r="W909" s="75"/>
      <c r="X909" s="75">
        <f t="shared" si="328"/>
        <v>0</v>
      </c>
      <c r="Y909" s="75">
        <f>IF(OR(Y910&gt;0,COUNTIF(PDs!$AD$59:$AD$77,Tablas!D909)&gt;0),1,0)</f>
        <v>0</v>
      </c>
      <c r="Z909" s="75" t="s">
        <v>1315</v>
      </c>
      <c r="AA909" s="926">
        <f>HA_final-PDs!$X$25+MIN(PDs!$X$25+H$1013-H909,50)</f>
        <v>0</v>
      </c>
      <c r="AB909" s="699">
        <f>HE_final-PDs!$X$27+MIN(PDs!$X$27+I$1013-I909,50)</f>
        <v>0</v>
      </c>
      <c r="AC909" s="1150">
        <f>HP_final-PDs!$X$26+MIN(PDs!$X$26+J$1013-J909,50)</f>
        <v>0</v>
      </c>
      <c r="AE909" s="1149" t="s">
        <v>6699</v>
      </c>
      <c r="AI909" s="1209" t="str">
        <f>IF(PDs!E75="","",PDs!E75)</f>
        <v/>
      </c>
      <c r="AJ909" s="699" t="str">
        <f>IF(PDs!J75="","",PDs!J75)</f>
        <v/>
      </c>
      <c r="AK909" s="699" t="str">
        <f t="shared" si="330"/>
        <v/>
      </c>
      <c r="AL909" s="699" t="str">
        <f t="shared" si="329"/>
        <v/>
      </c>
      <c r="AM909" s="926" t="str">
        <f t="shared" si="331"/>
        <v/>
      </c>
      <c r="AN909" s="699">
        <f t="shared" si="351"/>
        <v>0</v>
      </c>
      <c r="AO909" s="699">
        <f t="shared" si="332"/>
        <v>0</v>
      </c>
      <c r="AP909" s="699">
        <f t="shared" si="333"/>
        <v>0</v>
      </c>
      <c r="AQ909" s="304">
        <f>IFERROR(MATCH(PDs!M75,AN909:AP909,0),0)</f>
        <v>1</v>
      </c>
      <c r="AR909" s="926" t="str">
        <f t="shared" si="334"/>
        <v/>
      </c>
      <c r="AS909" s="699">
        <f t="shared" si="335"/>
        <v>0</v>
      </c>
      <c r="AT909" s="699">
        <f t="shared" si="336"/>
        <v>0</v>
      </c>
      <c r="AU909" s="699">
        <f t="shared" si="337"/>
        <v>0</v>
      </c>
      <c r="AV909" s="304">
        <f>IF(AR909="",AQ909,MAX(IFERROR(MATCH(PDs!O75,AS909:AU909,0),0),AQ909))</f>
        <v>1</v>
      </c>
      <c r="AW909" s="926" t="str">
        <f t="shared" si="338"/>
        <v/>
      </c>
      <c r="AX909" s="699">
        <f t="shared" si="339"/>
        <v>0</v>
      </c>
      <c r="AY909" s="699">
        <f t="shared" si="340"/>
        <v>0</v>
      </c>
      <c r="AZ909" s="699">
        <f t="shared" si="341"/>
        <v>0</v>
      </c>
      <c r="BA909" s="304">
        <f>IF(AW909="",AV909,MAX(IFERROR(MATCH(PDs!Q75,AX909:AZ909,0),0),AV909))</f>
        <v>1</v>
      </c>
      <c r="BB909" s="926" t="str">
        <f t="shared" si="342"/>
        <v/>
      </c>
      <c r="BC909" s="699">
        <f t="shared" si="343"/>
        <v>0</v>
      </c>
      <c r="BD909" s="699">
        <f t="shared" si="344"/>
        <v>0</v>
      </c>
      <c r="BE909" s="699">
        <f t="shared" si="345"/>
        <v>0</v>
      </c>
      <c r="BF909" s="304">
        <f>IF(BB909="",BA909,MAX(IFERROR(MATCH(PDs!S75,BC909:BE909,0),0),BA909))</f>
        <v>1</v>
      </c>
      <c r="BG909" s="926" t="str">
        <f t="shared" si="346"/>
        <v/>
      </c>
      <c r="BH909" s="699">
        <f t="shared" si="347"/>
        <v>0</v>
      </c>
      <c r="BI909" s="699">
        <f t="shared" si="348"/>
        <v>0</v>
      </c>
      <c r="BJ909" s="699">
        <f t="shared" si="349"/>
        <v>0</v>
      </c>
      <c r="BK909" s="304">
        <f>IF(BG909="",BF909,MAX(IFERROR(MATCH(PDs!U75,BH909:BJ909,0),0),BF909))</f>
        <v>1</v>
      </c>
      <c r="BL909" s="604">
        <f t="shared" si="350"/>
        <v>0</v>
      </c>
    </row>
    <row r="910" spans="1:64" ht="12.75" customHeight="1">
      <c r="A910" s="219">
        <v>891</v>
      </c>
      <c r="B910" s="7145"/>
      <c r="C910" s="443"/>
      <c r="D910" s="210" t="s">
        <v>752</v>
      </c>
      <c r="E910" s="75">
        <f>20+Bono_Fue</f>
        <v>20</v>
      </c>
      <c r="F910" s="75"/>
      <c r="G910" s="75">
        <v>10</v>
      </c>
      <c r="H910" s="75"/>
      <c r="I910" s="75"/>
      <c r="J910" s="75"/>
      <c r="K910" s="75"/>
      <c r="L910" s="75"/>
      <c r="M910" s="2110"/>
      <c r="N910" s="2110" t="s">
        <v>753</v>
      </c>
      <c r="O910" s="2110"/>
      <c r="P910" s="2110"/>
      <c r="Q910" s="2110"/>
      <c r="R910" s="2110"/>
      <c r="S910" s="70">
        <f t="shared" si="327"/>
        <v>50</v>
      </c>
      <c r="T910" s="75"/>
      <c r="U910" s="75"/>
      <c r="V910" s="75"/>
      <c r="W910" s="75"/>
      <c r="X910" s="75">
        <f t="shared" si="328"/>
        <v>0</v>
      </c>
      <c r="Y910" s="75">
        <f>IF(OR(Y911&gt;0,COUNTIF(PDs!$AD$59:$AD$77,Tablas!D910)&gt;0),1,0)</f>
        <v>0</v>
      </c>
      <c r="Z910" s="2109" t="str">
        <f>IF(OR(AA910&lt;120),"NO","-")</f>
        <v>NO</v>
      </c>
      <c r="AA910" s="926">
        <f>HA_final-PDs!$X$25+MIN(PDs!$X$25+H$1013-H910,50)</f>
        <v>0</v>
      </c>
      <c r="AB910" s="699">
        <f>HE_final-PDs!$X$27+MIN(PDs!$X$27+I$1013-I910,50)</f>
        <v>0</v>
      </c>
      <c r="AC910" s="1150">
        <f>HP_final-PDs!$X$26+MIN(PDs!$X$26+J$1013-J910,50)</f>
        <v>0</v>
      </c>
      <c r="AE910" s="1149" t="s">
        <v>6700</v>
      </c>
      <c r="AI910" s="1209" t="str">
        <f>IF(PDs!E76="","",PDs!E76)</f>
        <v/>
      </c>
      <c r="AJ910" s="699" t="str">
        <f>IF(PDs!J76="","",PDs!J76)</f>
        <v/>
      </c>
      <c r="AK910" s="699" t="str">
        <f t="shared" si="330"/>
        <v/>
      </c>
      <c r="AL910" s="699" t="str">
        <f t="shared" si="329"/>
        <v/>
      </c>
      <c r="AM910" s="926" t="str">
        <f t="shared" si="331"/>
        <v/>
      </c>
      <c r="AN910" s="699">
        <f t="shared" si="351"/>
        <v>0</v>
      </c>
      <c r="AO910" s="699">
        <f t="shared" si="332"/>
        <v>0</v>
      </c>
      <c r="AP910" s="699">
        <f t="shared" si="333"/>
        <v>0</v>
      </c>
      <c r="AQ910" s="304">
        <f>IFERROR(MATCH(PDs!M76,AN910:AP910,0),0)</f>
        <v>1</v>
      </c>
      <c r="AR910" s="926" t="str">
        <f t="shared" si="334"/>
        <v/>
      </c>
      <c r="AS910" s="699">
        <f t="shared" si="335"/>
        <v>0</v>
      </c>
      <c r="AT910" s="699">
        <f t="shared" si="336"/>
        <v>0</v>
      </c>
      <c r="AU910" s="699">
        <f t="shared" si="337"/>
        <v>0</v>
      </c>
      <c r="AV910" s="304">
        <f>IF(AR910="",AQ910,MAX(IFERROR(MATCH(PDs!O76,AS910:AU910,0),0),AQ910))</f>
        <v>1</v>
      </c>
      <c r="AW910" s="926" t="str">
        <f t="shared" si="338"/>
        <v/>
      </c>
      <c r="AX910" s="699">
        <f t="shared" si="339"/>
        <v>0</v>
      </c>
      <c r="AY910" s="699">
        <f t="shared" si="340"/>
        <v>0</v>
      </c>
      <c r="AZ910" s="699">
        <f t="shared" si="341"/>
        <v>0</v>
      </c>
      <c r="BA910" s="304">
        <f>IF(AW910="",AV910,MAX(IFERROR(MATCH(PDs!Q76,AX910:AZ910,0),0),AV910))</f>
        <v>1</v>
      </c>
      <c r="BB910" s="926" t="str">
        <f t="shared" si="342"/>
        <v/>
      </c>
      <c r="BC910" s="699">
        <f t="shared" si="343"/>
        <v>0</v>
      </c>
      <c r="BD910" s="699">
        <f t="shared" si="344"/>
        <v>0</v>
      </c>
      <c r="BE910" s="699">
        <f t="shared" si="345"/>
        <v>0</v>
      </c>
      <c r="BF910" s="304">
        <f>IF(BB910="",BA910,MAX(IFERROR(MATCH(PDs!S76,BC910:BE910,0),0),BA910))</f>
        <v>1</v>
      </c>
      <c r="BG910" s="926" t="str">
        <f t="shared" si="346"/>
        <v/>
      </c>
      <c r="BH910" s="699">
        <f t="shared" si="347"/>
        <v>0</v>
      </c>
      <c r="BI910" s="699">
        <f t="shared" si="348"/>
        <v>0</v>
      </c>
      <c r="BJ910" s="699">
        <f t="shared" si="349"/>
        <v>0</v>
      </c>
      <c r="BK910" s="304">
        <f>IF(BG910="",BF910,MAX(IFERROR(MATCH(PDs!U76,BH910:BJ910,0),0),BF910))</f>
        <v>1</v>
      </c>
      <c r="BL910" s="604">
        <f t="shared" si="350"/>
        <v>0</v>
      </c>
    </row>
    <row r="911" spans="1:64" ht="12.75" customHeight="1" thickBot="1">
      <c r="A911" s="219">
        <v>892</v>
      </c>
      <c r="B911" s="7145"/>
      <c r="C911" s="443"/>
      <c r="D911" s="210" t="s">
        <v>754</v>
      </c>
      <c r="E911" s="75">
        <f>20+Bono_Fue</f>
        <v>20</v>
      </c>
      <c r="F911" s="75"/>
      <c r="G911" s="75">
        <v>20</v>
      </c>
      <c r="H911" s="75">
        <v>10</v>
      </c>
      <c r="I911" s="75"/>
      <c r="J911" s="75"/>
      <c r="K911" s="75"/>
      <c r="L911" s="75"/>
      <c r="M911" s="2110"/>
      <c r="N911" s="2110" t="s">
        <v>8328</v>
      </c>
      <c r="O911" s="2110"/>
      <c r="P911" s="2110"/>
      <c r="Q911" s="2110"/>
      <c r="R911" s="2110"/>
      <c r="S911" s="70">
        <f t="shared" si="327"/>
        <v>81</v>
      </c>
      <c r="T911" s="75"/>
      <c r="U911" s="75"/>
      <c r="V911" s="75"/>
      <c r="W911" s="75"/>
      <c r="X911" s="75">
        <f t="shared" si="328"/>
        <v>0</v>
      </c>
      <c r="Y911" s="75">
        <f>IF(COUNTIF(PDs!$AD$59:$AD$77,Tablas!D911)&gt;0,1,0)</f>
        <v>0</v>
      </c>
      <c r="Z911" s="2109" t="str">
        <f>IF(OR(AA911&lt;200),"NO","-")</f>
        <v>NO</v>
      </c>
      <c r="AA911" s="926">
        <f>HA_final-PDs!$X$25+MIN(PDs!$X$25+H$1013-H911,50)</f>
        <v>-10</v>
      </c>
      <c r="AB911" s="699">
        <f>HE_final-PDs!$X$27+MIN(PDs!$X$27+I$1013-I911,50)</f>
        <v>0</v>
      </c>
      <c r="AC911" s="1150">
        <f>HP_final-PDs!$X$26+MIN(PDs!$X$26+J$1013-J911,50)</f>
        <v>0</v>
      </c>
      <c r="AE911" s="1149" t="s">
        <v>6701</v>
      </c>
      <c r="AI911" s="1210" t="str">
        <f>IF(PDs!E77="","",PDs!E77)</f>
        <v/>
      </c>
      <c r="AJ911" s="1122" t="str">
        <f>IF(PDs!J77="","",PDs!J77)</f>
        <v/>
      </c>
      <c r="AK911" s="3996" t="str">
        <f t="shared" si="330"/>
        <v/>
      </c>
      <c r="AL911" s="1122" t="str">
        <f t="shared" si="329"/>
        <v/>
      </c>
      <c r="AM911" s="1121" t="str">
        <f t="shared" si="331"/>
        <v/>
      </c>
      <c r="AN911" s="1122">
        <f t="shared" si="351"/>
        <v>0</v>
      </c>
      <c r="AO911" s="1122">
        <f t="shared" si="332"/>
        <v>0</v>
      </c>
      <c r="AP911" s="1122">
        <f t="shared" si="333"/>
        <v>0</v>
      </c>
      <c r="AQ911" s="309">
        <f>IFERROR(MATCH(PDs!M77,AN911:AP911,0),0)</f>
        <v>1</v>
      </c>
      <c r="AR911" s="1121" t="str">
        <f t="shared" si="334"/>
        <v/>
      </c>
      <c r="AS911" s="1122">
        <f t="shared" si="335"/>
        <v>0</v>
      </c>
      <c r="AT911" s="1122">
        <f t="shared" si="336"/>
        <v>0</v>
      </c>
      <c r="AU911" s="1122">
        <f t="shared" si="337"/>
        <v>0</v>
      </c>
      <c r="AV911" s="309">
        <f>IF(AR911="",AQ911,MAX(IFERROR(MATCH(PDs!O77,AS911:AU911,0),0),AQ911))</f>
        <v>1</v>
      </c>
      <c r="AW911" s="1121" t="str">
        <f t="shared" si="338"/>
        <v/>
      </c>
      <c r="AX911" s="1122">
        <f t="shared" si="339"/>
        <v>0</v>
      </c>
      <c r="AY911" s="1122">
        <f t="shared" si="340"/>
        <v>0</v>
      </c>
      <c r="AZ911" s="1122">
        <f t="shared" si="341"/>
        <v>0</v>
      </c>
      <c r="BA911" s="309">
        <f>IF(AW911="",AV911,MAX(IFERROR(MATCH(PDs!Q77,AX911:AZ911,0),0),AV911))</f>
        <v>1</v>
      </c>
      <c r="BB911" s="1121" t="str">
        <f t="shared" si="342"/>
        <v/>
      </c>
      <c r="BC911" s="1122">
        <f t="shared" si="343"/>
        <v>0</v>
      </c>
      <c r="BD911" s="1122">
        <f t="shared" si="344"/>
        <v>0</v>
      </c>
      <c r="BE911" s="1122">
        <f t="shared" si="345"/>
        <v>0</v>
      </c>
      <c r="BF911" s="309">
        <f>IF(BB911="",BA911,MAX(IFERROR(MATCH(PDs!S77,BC911:BE911,0),0),BA911))</f>
        <v>1</v>
      </c>
      <c r="BG911" s="1121" t="str">
        <f t="shared" si="346"/>
        <v/>
      </c>
      <c r="BH911" s="1122">
        <f t="shared" si="347"/>
        <v>0</v>
      </c>
      <c r="BI911" s="1122">
        <f t="shared" si="348"/>
        <v>0</v>
      </c>
      <c r="BJ911" s="1122">
        <f t="shared" si="349"/>
        <v>0</v>
      </c>
      <c r="BK911" s="309">
        <f>IF(BG911="",BF911,MAX(IFERROR(MATCH(PDs!U77,BH911:BJ911,0),0),BF911))</f>
        <v>1</v>
      </c>
      <c r="BL911" s="1636">
        <f t="shared" si="350"/>
        <v>0</v>
      </c>
    </row>
    <row r="912" spans="1:64" ht="12.75" customHeight="1">
      <c r="A912" s="219">
        <v>893</v>
      </c>
      <c r="B912" s="7145"/>
      <c r="C912" s="443"/>
      <c r="D912" s="210" t="s">
        <v>755</v>
      </c>
      <c r="E912" s="75">
        <f>10+Bono_Fue</f>
        <v>10</v>
      </c>
      <c r="F912" s="75"/>
      <c r="G912" s="75">
        <v>0</v>
      </c>
      <c r="H912" s="75"/>
      <c r="I912" s="75"/>
      <c r="J912" s="75"/>
      <c r="K912" s="75"/>
      <c r="L912" s="75"/>
      <c r="M912" s="2110"/>
      <c r="N912" s="2110" t="s">
        <v>756</v>
      </c>
      <c r="O912" s="2110"/>
      <c r="P912" s="2110"/>
      <c r="Q912" s="2110"/>
      <c r="R912" s="2110"/>
      <c r="S912" s="70">
        <f t="shared" si="327"/>
        <v>52</v>
      </c>
      <c r="T912" s="75"/>
      <c r="U912" s="75"/>
      <c r="V912" s="75"/>
      <c r="W912" s="75"/>
      <c r="X912" s="75">
        <f t="shared" si="328"/>
        <v>0</v>
      </c>
      <c r="Y912" s="75">
        <f>IF(OR(Y913&gt;0,COUNTIF(PDs!$AD$59:$AD$77,Tablas!D912)&gt;0),1,0)</f>
        <v>0</v>
      </c>
      <c r="Z912" s="2109" t="str">
        <f>IF(T.Manos_final&lt;40,"NO","-")</f>
        <v>NO</v>
      </c>
      <c r="AA912" s="926">
        <f>HA_final-PDs!$X$25+MIN(PDs!$X$25+H$1013-H912,50)</f>
        <v>0</v>
      </c>
      <c r="AB912" s="699">
        <f>HE_final-PDs!$X$27+MIN(PDs!$X$27+I$1013-I912,50)</f>
        <v>0</v>
      </c>
      <c r="AC912" s="1150">
        <f>HP_final-PDs!$X$26+MIN(PDs!$X$26+J$1013-J912,50)</f>
        <v>0</v>
      </c>
      <c r="AE912" s="1149" t="s">
        <v>6702</v>
      </c>
    </row>
    <row r="913" spans="1:31" ht="12.75" customHeight="1">
      <c r="A913" s="219">
        <v>894</v>
      </c>
      <c r="B913" s="7145"/>
      <c r="C913" s="443"/>
      <c r="D913" s="210" t="s">
        <v>757</v>
      </c>
      <c r="E913" s="75">
        <f>20+Bono_Fue</f>
        <v>20</v>
      </c>
      <c r="F913" s="75"/>
      <c r="G913" s="75">
        <v>10</v>
      </c>
      <c r="H913" s="75"/>
      <c r="I913" s="75"/>
      <c r="J913" s="75">
        <v>10</v>
      </c>
      <c r="K913" s="75"/>
      <c r="L913" s="75"/>
      <c r="M913" s="2110"/>
      <c r="N913" s="2110" t="s">
        <v>8323</v>
      </c>
      <c r="O913" s="2110"/>
      <c r="P913" s="2110"/>
      <c r="Q913" s="2110"/>
      <c r="R913" s="2110"/>
      <c r="S913" s="70">
        <f t="shared" si="327"/>
        <v>67</v>
      </c>
      <c r="T913" s="75"/>
      <c r="U913" s="75"/>
      <c r="V913" s="75"/>
      <c r="W913" s="75"/>
      <c r="X913" s="75">
        <f t="shared" si="328"/>
        <v>0</v>
      </c>
      <c r="Y913" s="75">
        <f>IF(OR(Y914&gt;0,COUNTIF(PDs!$AD$59:$AD$77,Tablas!D913)&gt;0),1,0)</f>
        <v>0</v>
      </c>
      <c r="Z913" s="2109" t="str">
        <f>IF(OR(T.Manos_final&lt;60,MAX(AB913,AC913)&lt;120),"NO","-")</f>
        <v>NO</v>
      </c>
      <c r="AA913" s="926">
        <f>HA_final-PDs!$X$25+MIN(PDs!$X$25+H$1013-H913,50)</f>
        <v>0</v>
      </c>
      <c r="AB913" s="699">
        <f>HE_final-PDs!$X$27+MIN(PDs!$X$27+I$1013-I913,50)</f>
        <v>0</v>
      </c>
      <c r="AC913" s="1150">
        <f>HP_final-PDs!$X$26+MIN(PDs!$X$26+J$1013-J913,50)</f>
        <v>-10</v>
      </c>
      <c r="AE913" s="1149" t="s">
        <v>6703</v>
      </c>
    </row>
    <row r="914" spans="1:31" ht="12.75" customHeight="1">
      <c r="A914" s="219">
        <v>895</v>
      </c>
      <c r="B914" s="7145"/>
      <c r="C914" s="443"/>
      <c r="D914" s="210" t="s">
        <v>758</v>
      </c>
      <c r="E914" s="75">
        <f>20+Bono_Fue</f>
        <v>20</v>
      </c>
      <c r="F914" s="75"/>
      <c r="G914" s="75">
        <v>20</v>
      </c>
      <c r="H914" s="75"/>
      <c r="I914" s="75"/>
      <c r="J914" s="75">
        <v>10</v>
      </c>
      <c r="K914" s="75"/>
      <c r="L914" s="75"/>
      <c r="M914" s="2110"/>
      <c r="N914" s="2110" t="s">
        <v>8324</v>
      </c>
      <c r="O914" s="2110"/>
      <c r="P914" s="2110"/>
      <c r="Q914" s="2110"/>
      <c r="R914" s="2110"/>
      <c r="S914" s="70">
        <f t="shared" si="327"/>
        <v>61</v>
      </c>
      <c r="T914" s="75"/>
      <c r="U914" s="75"/>
      <c r="V914" s="75"/>
      <c r="W914" s="75"/>
      <c r="X914" s="75">
        <f t="shared" si="328"/>
        <v>0</v>
      </c>
      <c r="Y914" s="75">
        <f>IF(COUNTIF(PDs!$AD$59:$AD$77,Tablas!D914)&gt;0,1,0)</f>
        <v>0</v>
      </c>
      <c r="Z914" s="2109" t="str">
        <f>IF(OR(T.Manos_final&lt;140,MAX(AB914,AC914)&lt;200),"NO","-")</f>
        <v>NO</v>
      </c>
      <c r="AA914" s="926">
        <f>HA_final-PDs!$X$25+MIN(PDs!$X$25+H$1013-H914,50)</f>
        <v>0</v>
      </c>
      <c r="AB914" s="699">
        <f>HE_final-PDs!$X$27+MIN(PDs!$X$27+I$1013-I914,50)</f>
        <v>0</v>
      </c>
      <c r="AC914" s="1150">
        <f>HP_final-PDs!$X$26+MIN(PDs!$X$26+J$1013-J914,50)</f>
        <v>-10</v>
      </c>
      <c r="AE914" s="1149" t="s">
        <v>6704</v>
      </c>
    </row>
    <row r="915" spans="1:31" ht="12.75" customHeight="1">
      <c r="A915" s="219">
        <v>896</v>
      </c>
      <c r="B915" s="7145"/>
      <c r="C915" s="443"/>
      <c r="D915" s="210" t="s">
        <v>759</v>
      </c>
      <c r="E915" s="75">
        <f>20+Bono_Fue</f>
        <v>20</v>
      </c>
      <c r="F915" s="75"/>
      <c r="G915" s="75">
        <v>0</v>
      </c>
      <c r="H915" s="75"/>
      <c r="I915" s="75"/>
      <c r="J915" s="75"/>
      <c r="K915" s="75"/>
      <c r="L915" s="75"/>
      <c r="M915" s="2110"/>
      <c r="N915" s="2110" t="s">
        <v>1315</v>
      </c>
      <c r="O915" s="2110"/>
      <c r="P915" s="2110"/>
      <c r="Q915" s="2110"/>
      <c r="R915" s="2110"/>
      <c r="S915" s="70">
        <f t="shared" si="327"/>
        <v>1</v>
      </c>
      <c r="T915" s="75"/>
      <c r="U915" s="75"/>
      <c r="V915" s="75"/>
      <c r="W915" s="75"/>
      <c r="X915" s="75">
        <f t="shared" si="328"/>
        <v>0</v>
      </c>
      <c r="Y915" s="75">
        <f>IF(OR(Y916&gt;0,COUNTIF(PDs!$AD$59:$AD$77,Tablas!D915)&gt;0),1,0)</f>
        <v>0</v>
      </c>
      <c r="Z915" s="2109" t="str">
        <f>IF(OR(Acrobacias_final&lt;20,Estilo_final&lt;10,T.Manos_final&lt;20),"NO","-")</f>
        <v>NO</v>
      </c>
      <c r="AA915" s="926">
        <f>HA_final-PDs!$X$25+MIN(PDs!$X$25+H$1013-H915,50)</f>
        <v>0</v>
      </c>
      <c r="AB915" s="699">
        <f>HE_final-PDs!$X$27+MIN(PDs!$X$27+I$1013-I915,50)</f>
        <v>0</v>
      </c>
      <c r="AC915" s="1150">
        <f>HP_final-PDs!$X$26+MIN(PDs!$X$26+J$1013-J915,50)</f>
        <v>0</v>
      </c>
      <c r="AE915" s="1149" t="s">
        <v>6705</v>
      </c>
    </row>
    <row r="916" spans="1:31" ht="12.75" customHeight="1">
      <c r="A916" s="219">
        <v>897</v>
      </c>
      <c r="B916" s="7145"/>
      <c r="C916" s="443"/>
      <c r="D916" s="210" t="s">
        <v>760</v>
      </c>
      <c r="E916" s="75">
        <f>20+Bono_Fue</f>
        <v>20</v>
      </c>
      <c r="F916" s="75"/>
      <c r="G916" s="75">
        <v>10</v>
      </c>
      <c r="H916" s="75"/>
      <c r="I916" s="75"/>
      <c r="J916" s="75"/>
      <c r="K916" s="75"/>
      <c r="L916" s="75"/>
      <c r="M916" s="2110"/>
      <c r="N916" s="2110" t="s">
        <v>761</v>
      </c>
      <c r="O916" s="2110"/>
      <c r="P916" s="2110"/>
      <c r="Q916" s="2110"/>
      <c r="R916" s="2110"/>
      <c r="S916" s="70">
        <f t="shared" si="327"/>
        <v>58</v>
      </c>
      <c r="T916" s="75"/>
      <c r="U916" s="75"/>
      <c r="V916" s="75"/>
      <c r="W916" s="75"/>
      <c r="X916" s="75">
        <f t="shared" si="328"/>
        <v>0</v>
      </c>
      <c r="Y916" s="75">
        <f>IF(OR(Y917&gt;0,COUNTIF(PDs!$AD$59:$AD$77,Tablas!D916)&gt;0),1,0)</f>
        <v>0</v>
      </c>
      <c r="Z916" s="2109" t="str">
        <f>IF(OR(Acrobacias_final&lt;40,Estilo_final&lt;20,T.Manos_final&lt;40,AA916&lt;120,MAX(AB916,AC916)&lt;120),"NO","-")</f>
        <v>NO</v>
      </c>
      <c r="AA916" s="926">
        <f>HA_final-PDs!$X$25+MIN(PDs!$X$25+H$1013-H916,50)</f>
        <v>0</v>
      </c>
      <c r="AB916" s="699">
        <f>HE_final-PDs!$X$27+MIN(PDs!$X$27+I$1013-I916,50)</f>
        <v>0</v>
      </c>
      <c r="AC916" s="1150">
        <f>HP_final-PDs!$X$26+MIN(PDs!$X$26+J$1013-J916,50)</f>
        <v>0</v>
      </c>
      <c r="AE916" s="1149" t="s">
        <v>6706</v>
      </c>
    </row>
    <row r="917" spans="1:31" ht="12.75" customHeight="1">
      <c r="A917" s="219">
        <v>898</v>
      </c>
      <c r="B917" s="7145"/>
      <c r="C917" s="443"/>
      <c r="D917" s="210" t="s">
        <v>762</v>
      </c>
      <c r="E917" s="75">
        <f>20+Bono_Fue</f>
        <v>20</v>
      </c>
      <c r="F917" s="75"/>
      <c r="G917" s="75">
        <v>20</v>
      </c>
      <c r="H917" s="75"/>
      <c r="I917" s="75"/>
      <c r="J917" s="75"/>
      <c r="K917" s="75"/>
      <c r="L917" s="75"/>
      <c r="M917" s="2110"/>
      <c r="N917" s="2110" t="s">
        <v>8325</v>
      </c>
      <c r="O917" s="2110"/>
      <c r="P917" s="2110"/>
      <c r="Q917" s="2110"/>
      <c r="R917" s="2110"/>
      <c r="S917" s="70">
        <f t="shared" si="327"/>
        <v>58</v>
      </c>
      <c r="T917" s="75"/>
      <c r="U917" s="75" t="s">
        <v>1411</v>
      </c>
      <c r="V917" s="75"/>
      <c r="W917" s="75"/>
      <c r="X917" s="75">
        <f t="shared" si="328"/>
        <v>0</v>
      </c>
      <c r="Y917" s="75">
        <f>IF(COUNTIF(PDs!$AD$59:$AD$77,Tablas!D917)&gt;0,1,0)</f>
        <v>0</v>
      </c>
      <c r="Z917" s="2109" t="str">
        <f>IF(OR(Acrobacias_final&lt;120,Estilo_final&lt;100,T.Manos_final&lt;120,AA917&lt;200,MAX(AB917,AC917)&lt;200),"NO","-")</f>
        <v>NO</v>
      </c>
      <c r="AA917" s="926">
        <f>HA_final-PDs!$X$25+MIN(PDs!$X$25+H$1013-H917,50)</f>
        <v>0</v>
      </c>
      <c r="AB917" s="699">
        <f>HE_final-PDs!$X$27+MIN(PDs!$X$27+I$1013-I917,50)</f>
        <v>0</v>
      </c>
      <c r="AC917" s="1150">
        <f>HP_final-PDs!$X$26+MIN(PDs!$X$26+J$1013-J917,50)</f>
        <v>0</v>
      </c>
      <c r="AE917" s="3905" t="s">
        <v>12163</v>
      </c>
    </row>
    <row r="918" spans="1:31" ht="12.75" customHeight="1">
      <c r="A918" s="219">
        <v>899</v>
      </c>
      <c r="B918" s="7145"/>
      <c r="C918" s="443"/>
      <c r="D918" s="210" t="s">
        <v>763</v>
      </c>
      <c r="E918" s="75">
        <f>10+Bono_Fue</f>
        <v>10</v>
      </c>
      <c r="F918" s="75"/>
      <c r="G918" s="75">
        <v>0</v>
      </c>
      <c r="H918" s="75"/>
      <c r="I918" s="75">
        <v>10</v>
      </c>
      <c r="J918" s="75">
        <v>10</v>
      </c>
      <c r="K918" s="75"/>
      <c r="L918" s="75"/>
      <c r="M918" s="2110"/>
      <c r="N918" s="2110" t="s">
        <v>1315</v>
      </c>
      <c r="O918" s="2110"/>
      <c r="P918" s="2110"/>
      <c r="Q918" s="2110"/>
      <c r="R918" s="2110"/>
      <c r="S918" s="70">
        <f t="shared" si="327"/>
        <v>1</v>
      </c>
      <c r="T918" s="75"/>
      <c r="U918" s="75"/>
      <c r="V918" s="75"/>
      <c r="W918" s="75"/>
      <c r="X918" s="75">
        <f t="shared" si="328"/>
        <v>0</v>
      </c>
      <c r="Y918" s="75">
        <f>IF(OR(Y919&gt;0,COUNTIF(PDs!$AD$59:$AD$77,Tablas!D918)&gt;0),1,0)</f>
        <v>0</v>
      </c>
      <c r="Z918" s="2109" t="str">
        <f>IF(Estilo_final&lt;20,"NO","-")</f>
        <v>NO</v>
      </c>
      <c r="AA918" s="926">
        <f>HA_final-PDs!$X$25+MIN(PDs!$X$25+H$1013-H918,50)</f>
        <v>0</v>
      </c>
      <c r="AB918" s="699">
        <f>HE_final-PDs!$X$27+MIN(PDs!$X$27+I$1013-I918,50)</f>
        <v>-10</v>
      </c>
      <c r="AC918" s="1150">
        <f>HP_final-PDs!$X$26+MIN(PDs!$X$26+J$1013-J918,50)</f>
        <v>-10</v>
      </c>
      <c r="AE918" s="3905" t="s">
        <v>12164</v>
      </c>
    </row>
    <row r="919" spans="1:31" ht="12.75" customHeight="1">
      <c r="A919" s="219">
        <v>900</v>
      </c>
      <c r="B919" s="7145"/>
      <c r="C919" s="443"/>
      <c r="D919" s="210" t="s">
        <v>764</v>
      </c>
      <c r="E919" s="75">
        <f>20+Bono_Fue</f>
        <v>20</v>
      </c>
      <c r="F919" s="75"/>
      <c r="G919" s="75">
        <v>10</v>
      </c>
      <c r="H919" s="75"/>
      <c r="I919" s="75"/>
      <c r="J919" s="75"/>
      <c r="K919" s="75"/>
      <c r="L919" s="75"/>
      <c r="M919" s="2110"/>
      <c r="N919" s="2110" t="s">
        <v>765</v>
      </c>
      <c r="O919" s="2110"/>
      <c r="P919" s="2110"/>
      <c r="Q919" s="2110"/>
      <c r="R919" s="2110"/>
      <c r="S919" s="70">
        <f t="shared" si="327"/>
        <v>45</v>
      </c>
      <c r="T919" s="75"/>
      <c r="U919" s="75"/>
      <c r="V919" s="75"/>
      <c r="W919" s="75"/>
      <c r="X919" s="75">
        <f t="shared" si="328"/>
        <v>0</v>
      </c>
      <c r="Y919" s="75">
        <f>IF(OR(Y920&gt;0,COUNTIF(PDs!$AD$59:$AD$77,Tablas!D919)&gt;0),1,0)</f>
        <v>0</v>
      </c>
      <c r="Z919" s="2109" t="str">
        <f>IF(OR(Estilo_final&lt;40,MAX(AB919,AC919)&lt;130),"NO","-")</f>
        <v>NO</v>
      </c>
      <c r="AA919" s="926">
        <f>HA_final-PDs!$X$25+MIN(PDs!$X$25+H$1013-H919,50)</f>
        <v>0</v>
      </c>
      <c r="AB919" s="699">
        <f>HE_final-PDs!$X$27+MIN(PDs!$X$27+I$1013-I919,50)</f>
        <v>0</v>
      </c>
      <c r="AC919" s="1150">
        <f>HP_final-PDs!$X$26+MIN(PDs!$X$26+J$1013-J919,50)</f>
        <v>0</v>
      </c>
      <c r="AE919" s="3905" t="s">
        <v>12166</v>
      </c>
    </row>
    <row r="920" spans="1:31" ht="12.75" customHeight="1">
      <c r="A920" s="219">
        <v>901</v>
      </c>
      <c r="B920" s="7145"/>
      <c r="C920" s="443"/>
      <c r="D920" s="210" t="s">
        <v>766</v>
      </c>
      <c r="E920" s="75">
        <f>20+Bono_Fue</f>
        <v>20</v>
      </c>
      <c r="F920" s="75"/>
      <c r="G920" s="75">
        <v>20</v>
      </c>
      <c r="H920" s="75"/>
      <c r="I920" s="75">
        <v>10</v>
      </c>
      <c r="J920" s="75">
        <v>10</v>
      </c>
      <c r="K920" s="75"/>
      <c r="L920" s="75"/>
      <c r="M920" s="2110"/>
      <c r="N920" s="2110" t="s">
        <v>8326</v>
      </c>
      <c r="O920" s="2110"/>
      <c r="P920" s="2110"/>
      <c r="Q920" s="2110"/>
      <c r="R920" s="2110"/>
      <c r="S920" s="70">
        <f t="shared" si="327"/>
        <v>48</v>
      </c>
      <c r="T920" s="75"/>
      <c r="U920" s="75"/>
      <c r="V920" s="75"/>
      <c r="W920" s="75"/>
      <c r="X920" s="75">
        <f t="shared" si="328"/>
        <v>0</v>
      </c>
      <c r="Y920" s="75">
        <f>IF(COUNTIF(PDs!$AD$59:$AD$77,Tablas!D920)&gt;0,1,0)</f>
        <v>0</v>
      </c>
      <c r="Z920" s="2109" t="str">
        <f>IF(OR(Estilo_final&lt;80,MAX(AB920,AC920)&lt;200),"NO","-")</f>
        <v>NO</v>
      </c>
      <c r="AA920" s="926">
        <f>HA_final-PDs!$X$25+MIN(PDs!$X$25+H$1013-H920,50)</f>
        <v>0</v>
      </c>
      <c r="AB920" s="699">
        <f>HE_final-PDs!$X$27+MIN(PDs!$X$27+I$1013-I920,50)</f>
        <v>-10</v>
      </c>
      <c r="AC920" s="1150">
        <f>HP_final-PDs!$X$26+MIN(PDs!$X$26+J$1013-J920,50)</f>
        <v>-10</v>
      </c>
      <c r="AE920" s="3905" t="s">
        <v>12165</v>
      </c>
    </row>
    <row r="921" spans="1:31" ht="12.75" customHeight="1">
      <c r="A921" s="219">
        <v>902</v>
      </c>
      <c r="B921" s="7145"/>
      <c r="C921" s="443"/>
      <c r="D921" s="210" t="s">
        <v>767</v>
      </c>
      <c r="E921" s="75">
        <f>20+Bono_Fue</f>
        <v>20</v>
      </c>
      <c r="F921" s="75"/>
      <c r="G921" s="75">
        <v>0</v>
      </c>
      <c r="H921" s="75"/>
      <c r="I921" s="75"/>
      <c r="J921" s="75"/>
      <c r="K921" s="75"/>
      <c r="L921" s="75">
        <v>10</v>
      </c>
      <c r="M921" s="2110"/>
      <c r="N921" s="2110" t="s">
        <v>9525</v>
      </c>
      <c r="O921" s="2110"/>
      <c r="P921" s="2110"/>
      <c r="Q921" s="2110"/>
      <c r="R921" s="2110"/>
      <c r="S921" s="70">
        <f t="shared" si="327"/>
        <v>67</v>
      </c>
      <c r="T921" s="75"/>
      <c r="U921" s="75"/>
      <c r="V921" s="75"/>
      <c r="W921" s="75"/>
      <c r="X921" s="75">
        <f t="shared" si="328"/>
        <v>0</v>
      </c>
      <c r="Y921" s="75">
        <f>IF(OR(Y922&gt;0,COUNTIF(PDs!$AD$59:$AD$77,Tablas!D921)&gt;0),1,0)</f>
        <v>0</v>
      </c>
      <c r="Z921" s="2109" t="str">
        <f>IF(T.Manos_final&lt;20,"NO","-")</f>
        <v>NO</v>
      </c>
      <c r="AA921" s="926">
        <f>HA_final-PDs!$X$25+MIN(PDs!$X$25+H$1013-H921,50)</f>
        <v>0</v>
      </c>
      <c r="AB921" s="699">
        <f>HE_final-PDs!$X$27+MIN(PDs!$X$27+I$1013-I921,50)</f>
        <v>0</v>
      </c>
      <c r="AC921" s="1150">
        <f>HP_final-PDs!$X$26+MIN(PDs!$X$26+J$1013-J921,50)</f>
        <v>0</v>
      </c>
      <c r="AE921" s="1154" t="s">
        <v>807</v>
      </c>
    </row>
    <row r="922" spans="1:31" ht="12.75" customHeight="1">
      <c r="A922" s="219">
        <v>903</v>
      </c>
      <c r="B922" s="7145"/>
      <c r="C922" s="443"/>
      <c r="D922" s="210" t="s">
        <v>768</v>
      </c>
      <c r="E922" s="75">
        <f>30+Bono_Fue</f>
        <v>30</v>
      </c>
      <c r="F922" s="75"/>
      <c r="G922" s="75">
        <v>10</v>
      </c>
      <c r="H922" s="75"/>
      <c r="I922" s="75"/>
      <c r="J922" s="75">
        <v>10</v>
      </c>
      <c r="K922" s="75"/>
      <c r="L922" s="75"/>
      <c r="M922" s="2110"/>
      <c r="N922" s="2110" t="s">
        <v>769</v>
      </c>
      <c r="O922" s="2110"/>
      <c r="P922" s="2110"/>
      <c r="Q922" s="2110"/>
      <c r="R922" s="2110"/>
      <c r="S922" s="70">
        <f t="shared" si="327"/>
        <v>46</v>
      </c>
      <c r="T922" s="75"/>
      <c r="U922" s="75"/>
      <c r="V922" s="75"/>
      <c r="W922" s="75"/>
      <c r="X922" s="75">
        <f t="shared" si="328"/>
        <v>0</v>
      </c>
      <c r="Y922" s="75">
        <f>IF(OR(Y923&gt;0,COUNTIF(PDs!$AD$59:$AD$77,Tablas!D922)&gt;0),1,0)</f>
        <v>0</v>
      </c>
      <c r="Z922" s="2109" t="str">
        <f>IF(OR(T.Manos_final&lt;40,MAX(AB922,AC922)&lt;120),"NO","-")</f>
        <v>NO</v>
      </c>
      <c r="AA922" s="926">
        <f>HA_final-PDs!$X$25+MIN(PDs!$X$25+H$1013-H922,50)</f>
        <v>0</v>
      </c>
      <c r="AB922" s="699">
        <f>HE_final-PDs!$X$27+MIN(PDs!$X$27+I$1013-I922,50)</f>
        <v>0</v>
      </c>
      <c r="AC922" s="1150">
        <f>HP_final-PDs!$X$26+MIN(PDs!$X$26+J$1013-J922,50)</f>
        <v>-10</v>
      </c>
      <c r="AE922" s="1149" t="s">
        <v>6707</v>
      </c>
    </row>
    <row r="923" spans="1:31" ht="12.75" customHeight="1">
      <c r="A923" s="219">
        <v>904</v>
      </c>
      <c r="B923" s="7145"/>
      <c r="C923" s="443"/>
      <c r="D923" s="210" t="s">
        <v>770</v>
      </c>
      <c r="E923" s="75">
        <f>40+Bono_Fue</f>
        <v>40</v>
      </c>
      <c r="F923" s="75"/>
      <c r="G923" s="75">
        <v>20</v>
      </c>
      <c r="H923" s="75"/>
      <c r="I923" s="75"/>
      <c r="J923" s="75">
        <v>20</v>
      </c>
      <c r="K923" s="75"/>
      <c r="L923" s="75"/>
      <c r="M923" s="2110"/>
      <c r="N923" s="2110" t="s">
        <v>771</v>
      </c>
      <c r="O923" s="2110"/>
      <c r="P923" s="2110"/>
      <c r="Q923" s="2110"/>
      <c r="R923" s="2110"/>
      <c r="S923" s="70">
        <f t="shared" si="327"/>
        <v>40</v>
      </c>
      <c r="T923" s="75"/>
      <c r="U923" s="75"/>
      <c r="V923" s="75"/>
      <c r="W923" s="75"/>
      <c r="X923" s="75">
        <f t="shared" si="328"/>
        <v>0</v>
      </c>
      <c r="Y923" s="75">
        <f>IF(COUNTIF(PDs!$AD$59:$AD$77,Tablas!D923)&gt;0,1,0)</f>
        <v>0</v>
      </c>
      <c r="Z923" s="2109" t="str">
        <f>IF(OR(T.Manos_final&lt;100,AC923&lt;200),"NO","-")</f>
        <v>NO</v>
      </c>
      <c r="AA923" s="926">
        <f>HA_final-PDs!$X$25+MIN(PDs!$X$25+H$1013-H923,50)</f>
        <v>0</v>
      </c>
      <c r="AB923" s="699">
        <f>HE_final-PDs!$X$27+MIN(PDs!$X$27+I$1013-I923,50)</f>
        <v>0</v>
      </c>
      <c r="AC923" s="1150">
        <f>HP_final-PDs!$X$26+MIN(PDs!$X$26+J$1013-J923,50)</f>
        <v>-20</v>
      </c>
      <c r="AE923" s="1149" t="s">
        <v>6708</v>
      </c>
    </row>
    <row r="924" spans="1:31" ht="12.75" customHeight="1">
      <c r="A924" s="219">
        <v>905</v>
      </c>
      <c r="B924" s="7145"/>
      <c r="C924" s="443"/>
      <c r="D924" s="210" t="s">
        <v>772</v>
      </c>
      <c r="E924" s="75">
        <f>20+2*Bono_Fue</f>
        <v>20</v>
      </c>
      <c r="F924" s="75"/>
      <c r="G924" s="75">
        <v>0</v>
      </c>
      <c r="H924" s="75"/>
      <c r="I924" s="75"/>
      <c r="J924" s="75"/>
      <c r="K924" s="75"/>
      <c r="L924" s="75"/>
      <c r="M924" s="2110"/>
      <c r="N924" s="2110" t="s">
        <v>1315</v>
      </c>
      <c r="O924" s="2110"/>
      <c r="P924" s="2110"/>
      <c r="Q924" s="2110"/>
      <c r="R924" s="2110"/>
      <c r="S924" s="70">
        <f t="shared" si="327"/>
        <v>1</v>
      </c>
      <c r="T924" s="75"/>
      <c r="U924" s="75"/>
      <c r="V924" s="75"/>
      <c r="W924" s="75"/>
      <c r="X924" s="75">
        <f t="shared" si="328"/>
        <v>0</v>
      </c>
      <c r="Y924" s="75">
        <f>IF(OR(Y925&gt;0,COUNTIF(PDs!$AD$59:$AD$77,Tablas!D924)&gt;0),1,0)</f>
        <v>0</v>
      </c>
      <c r="Z924" s="2109" t="str">
        <f>IF(P.Fuerza_final&lt;30,"NO","-")</f>
        <v>NO</v>
      </c>
      <c r="AA924" s="926">
        <f>HA_final-PDs!$X$25+MIN(PDs!$X$25+H$1013-H924,50)</f>
        <v>0</v>
      </c>
      <c r="AB924" s="699">
        <f>HE_final-PDs!$X$27+MIN(PDs!$X$27+I$1013-I924,50)</f>
        <v>0</v>
      </c>
      <c r="AC924" s="1150">
        <f>HP_final-PDs!$X$26+MIN(PDs!$X$26+J$1013-J924,50)</f>
        <v>0</v>
      </c>
      <c r="AE924" s="1149" t="s">
        <v>6709</v>
      </c>
    </row>
    <row r="925" spans="1:31" ht="12.75" customHeight="1">
      <c r="A925" s="219">
        <v>906</v>
      </c>
      <c r="B925" s="7145"/>
      <c r="C925" s="443"/>
      <c r="D925" s="210" t="s">
        <v>773</v>
      </c>
      <c r="E925" s="75">
        <f>20+3*Bono_Fue</f>
        <v>20</v>
      </c>
      <c r="F925" s="75"/>
      <c r="G925" s="75">
        <v>10</v>
      </c>
      <c r="H925" s="75"/>
      <c r="I925" s="75"/>
      <c r="J925" s="75"/>
      <c r="K925" s="75"/>
      <c r="L925" s="75"/>
      <c r="M925" s="2110"/>
      <c r="N925" s="2110" t="s">
        <v>1315</v>
      </c>
      <c r="O925" s="2110"/>
      <c r="P925" s="2110"/>
      <c r="Q925" s="2110"/>
      <c r="R925" s="2110"/>
      <c r="S925" s="70">
        <f t="shared" ref="S925:S988" si="352">LEN(N925)</f>
        <v>1</v>
      </c>
      <c r="T925" s="75"/>
      <c r="U925" s="75"/>
      <c r="V925" s="75"/>
      <c r="W925" s="75"/>
      <c r="X925" s="75">
        <f t="shared" ref="X925:X988" si="353">Y925*E925</f>
        <v>0</v>
      </c>
      <c r="Y925" s="75">
        <f>IF(OR(Y926&gt;0,COUNTIF(PDs!$AD$59:$AD$77,Tablas!D925)&gt;0),1,0)</f>
        <v>0</v>
      </c>
      <c r="Z925" s="2109" t="str">
        <f>IF(OR(P.Fuerza_final&lt;40,AA925&lt;130),"NO","-")</f>
        <v>NO</v>
      </c>
      <c r="AA925" s="926">
        <f>HA_final-PDs!$X$25+MIN(PDs!$X$25+H$1013-H925,50)</f>
        <v>0</v>
      </c>
      <c r="AB925" s="699">
        <f>HE_final-PDs!$X$27+MIN(PDs!$X$27+I$1013-I925,50)</f>
        <v>0</v>
      </c>
      <c r="AC925" s="1150">
        <f>HP_final-PDs!$X$26+MIN(PDs!$X$26+J$1013-J925,50)</f>
        <v>0</v>
      </c>
      <c r="AE925" s="1149" t="s">
        <v>6710</v>
      </c>
    </row>
    <row r="926" spans="1:31" ht="12.75" customHeight="1">
      <c r="A926" s="219">
        <v>907</v>
      </c>
      <c r="B926" s="7145"/>
      <c r="C926" s="443"/>
      <c r="D926" s="210" t="s">
        <v>774</v>
      </c>
      <c r="E926" s="75">
        <f>20+4*Bono_Fue</f>
        <v>20</v>
      </c>
      <c r="F926" s="75"/>
      <c r="G926" s="75">
        <v>20</v>
      </c>
      <c r="H926" s="75"/>
      <c r="I926" s="75"/>
      <c r="J926" s="75"/>
      <c r="K926" s="75"/>
      <c r="L926" s="75"/>
      <c r="M926" s="2110"/>
      <c r="N926" s="2110" t="s">
        <v>775</v>
      </c>
      <c r="O926" s="2110"/>
      <c r="P926" s="2110"/>
      <c r="Q926" s="2110"/>
      <c r="R926" s="2110"/>
      <c r="S926" s="70">
        <f t="shared" si="352"/>
        <v>39</v>
      </c>
      <c r="T926" s="75"/>
      <c r="U926" s="75"/>
      <c r="V926" s="75"/>
      <c r="W926" s="75"/>
      <c r="X926" s="75">
        <f t="shared" si="353"/>
        <v>0</v>
      </c>
      <c r="Y926" s="75">
        <f>IF(COUNTIF(PDs!$AD$59:$AD$77,Tablas!D926)&gt;0,1,0)</f>
        <v>0</v>
      </c>
      <c r="Z926" s="2109" t="str">
        <f>IF(OR(P.Fuerza_final&lt;160,AA926&lt;200),"NO","-")</f>
        <v>NO</v>
      </c>
      <c r="AA926" s="926">
        <f>HA_final-PDs!$X$25+MIN(PDs!$X$25+H$1013-H926,50)</f>
        <v>0</v>
      </c>
      <c r="AB926" s="699">
        <f>HE_final-PDs!$X$27+MIN(PDs!$X$27+I$1013-I926,50)</f>
        <v>0</v>
      </c>
      <c r="AC926" s="1150">
        <f>HP_final-PDs!$X$26+MIN(PDs!$X$26+J$1013-J926,50)</f>
        <v>0</v>
      </c>
      <c r="AE926" s="1149" t="s">
        <v>6711</v>
      </c>
    </row>
    <row r="927" spans="1:31" ht="12.75" customHeight="1">
      <c r="A927" s="219">
        <v>908</v>
      </c>
      <c r="B927" s="7145"/>
      <c r="C927" s="443"/>
      <c r="D927" s="210" t="s">
        <v>776</v>
      </c>
      <c r="E927" s="75">
        <f>20+Bono_Fue</f>
        <v>20</v>
      </c>
      <c r="F927" s="75"/>
      <c r="G927" s="75">
        <v>0</v>
      </c>
      <c r="H927" s="75"/>
      <c r="I927" s="75"/>
      <c r="J927" s="75"/>
      <c r="K927" s="75"/>
      <c r="L927" s="75"/>
      <c r="M927" s="2110"/>
      <c r="N927" s="2110" t="s">
        <v>777</v>
      </c>
      <c r="O927" s="2110"/>
      <c r="P927" s="2110"/>
      <c r="Q927" s="2110"/>
      <c r="R927" s="2110"/>
      <c r="S927" s="70">
        <f t="shared" si="352"/>
        <v>31</v>
      </c>
      <c r="T927" s="75"/>
      <c r="U927" s="75"/>
      <c r="V927" s="75"/>
      <c r="W927" s="75"/>
      <c r="X927" s="75">
        <f t="shared" si="353"/>
        <v>0</v>
      </c>
      <c r="Y927" s="75">
        <f>IF(OR(Y928&gt;0,COUNTIF(PDs!$AD$59:$AD$77,Tablas!D927)&gt;0),1,0)</f>
        <v>0</v>
      </c>
      <c r="Z927" s="2109" t="str">
        <f>IF(OR(Atletismo_final&lt;30,P.Fuerza_final&lt;30),"NO","-")</f>
        <v>NO</v>
      </c>
      <c r="AA927" s="926">
        <f>HA_final-PDs!$X$25+MIN(PDs!$X$25+H$1013-H927,50)</f>
        <v>0</v>
      </c>
      <c r="AB927" s="699">
        <f>HE_final-PDs!$X$27+MIN(PDs!$X$27+I$1013-I927,50)</f>
        <v>0</v>
      </c>
      <c r="AC927" s="1150">
        <f>HP_final-PDs!$X$26+MIN(PDs!$X$26+J$1013-J927,50)</f>
        <v>0</v>
      </c>
      <c r="AE927" s="1149" t="s">
        <v>6712</v>
      </c>
    </row>
    <row r="928" spans="1:31" ht="12.75" customHeight="1">
      <c r="A928" s="219">
        <v>909</v>
      </c>
      <c r="B928" s="7145"/>
      <c r="C928" s="443"/>
      <c r="D928" s="210" t="s">
        <v>778</v>
      </c>
      <c r="E928" s="75">
        <f>20+Bono_Fue</f>
        <v>20</v>
      </c>
      <c r="F928" s="75"/>
      <c r="G928" s="75">
        <v>10</v>
      </c>
      <c r="H928" s="75"/>
      <c r="I928" s="75"/>
      <c r="J928" s="75"/>
      <c r="K928" s="75"/>
      <c r="L928" s="75"/>
      <c r="M928" s="2110"/>
      <c r="N928" s="2110" t="s">
        <v>8327</v>
      </c>
      <c r="O928" s="2110"/>
      <c r="P928" s="2110"/>
      <c r="Q928" s="2110"/>
      <c r="R928" s="2110"/>
      <c r="S928" s="70">
        <f t="shared" si="352"/>
        <v>82</v>
      </c>
      <c r="T928" s="75"/>
      <c r="U928" s="75"/>
      <c r="V928" s="75"/>
      <c r="W928" s="75"/>
      <c r="X928" s="75">
        <f t="shared" si="353"/>
        <v>0</v>
      </c>
      <c r="Y928" s="75">
        <f>IF(OR(Y929&gt;0,COUNTIF(PDs!$AD$59:$AD$77,Tablas!D928)&gt;0),1,0)</f>
        <v>0</v>
      </c>
      <c r="Z928" s="2109" t="str">
        <f>IF(OR(Atletismo_final&lt;50,P.Fuerza_final&lt;50,AA928&lt;110,MAX(AB928,AC928)&lt;110),"NO","-")</f>
        <v>NO</v>
      </c>
      <c r="AA928" s="926">
        <f>HA_final-PDs!$X$25+MIN(PDs!$X$25+H$1013-H928,50)</f>
        <v>0</v>
      </c>
      <c r="AB928" s="699">
        <f>HE_final-PDs!$X$27+MIN(PDs!$X$27+I$1013-I928,50)</f>
        <v>0</v>
      </c>
      <c r="AC928" s="1150">
        <f>HP_final-PDs!$X$26+MIN(PDs!$X$26+J$1013-J928,50)</f>
        <v>0</v>
      </c>
      <c r="AE928" s="1149" t="s">
        <v>6713</v>
      </c>
    </row>
    <row r="929" spans="1:43" ht="12.75" customHeight="1">
      <c r="A929" s="219">
        <v>910</v>
      </c>
      <c r="B929" s="7145"/>
      <c r="C929" s="443"/>
      <c r="D929" s="210" t="s">
        <v>779</v>
      </c>
      <c r="E929" s="75">
        <f>20+Bono_Fue</f>
        <v>20</v>
      </c>
      <c r="F929" s="75"/>
      <c r="G929" s="75">
        <v>20</v>
      </c>
      <c r="H929" s="75"/>
      <c r="I929" s="75">
        <v>10</v>
      </c>
      <c r="J929" s="75">
        <v>10</v>
      </c>
      <c r="K929" s="75"/>
      <c r="L929" s="75"/>
      <c r="M929" s="2110"/>
      <c r="N929" s="2110" t="s">
        <v>8329</v>
      </c>
      <c r="O929" s="2110"/>
      <c r="P929" s="2110"/>
      <c r="Q929" s="2110"/>
      <c r="R929" s="2110"/>
      <c r="S929" s="70">
        <f t="shared" si="352"/>
        <v>82</v>
      </c>
      <c r="T929" s="75"/>
      <c r="U929" s="75"/>
      <c r="V929" s="75"/>
      <c r="W929" s="75"/>
      <c r="X929" s="75">
        <f t="shared" si="353"/>
        <v>0</v>
      </c>
      <c r="Y929" s="75">
        <f>IF(COUNTIF(PDs!$AD$59:$AD$77,Tablas!D929)&gt;0,1,0)</f>
        <v>0</v>
      </c>
      <c r="Z929" s="2109" t="str">
        <f>IF(OR(Atletismo_final&lt;50,P.Fuerza_final&lt;120,AA929&lt;110,MAX(AB929,AC929)&lt;200),"NO","-")</f>
        <v>NO</v>
      </c>
      <c r="AA929" s="926">
        <f>HA_final-PDs!$X$25+MIN(PDs!$X$25+H$1013-H929,50)</f>
        <v>0</v>
      </c>
      <c r="AB929" s="699">
        <f>HE_final-PDs!$X$27+MIN(PDs!$X$27+I$1013-I929,50)</f>
        <v>-10</v>
      </c>
      <c r="AC929" s="1150">
        <f>HP_final-PDs!$X$26+MIN(PDs!$X$26+J$1013-J929,50)</f>
        <v>-10</v>
      </c>
      <c r="AE929" s="1149" t="s">
        <v>6714</v>
      </c>
    </row>
    <row r="930" spans="1:43" ht="12.75" customHeight="1">
      <c r="A930" s="219">
        <v>911</v>
      </c>
      <c r="B930" s="7145"/>
      <c r="C930" s="443"/>
      <c r="D930" s="210" t="s">
        <v>780</v>
      </c>
      <c r="E930" s="75">
        <f>10+Bono_Fue</f>
        <v>10</v>
      </c>
      <c r="F930" s="75"/>
      <c r="G930" s="75">
        <v>0</v>
      </c>
      <c r="H930" s="75"/>
      <c r="I930" s="75"/>
      <c r="J930" s="75"/>
      <c r="K930" s="75"/>
      <c r="L930" s="75"/>
      <c r="M930" s="2110"/>
      <c r="N930" s="2110" t="s">
        <v>781</v>
      </c>
      <c r="O930" s="2110"/>
      <c r="P930" s="2110"/>
      <c r="Q930" s="2110"/>
      <c r="R930" s="2110"/>
      <c r="S930" s="70">
        <f t="shared" si="352"/>
        <v>40</v>
      </c>
      <c r="T930" s="75"/>
      <c r="U930" s="75"/>
      <c r="V930" s="75"/>
      <c r="W930" s="75"/>
      <c r="X930" s="75">
        <f t="shared" si="353"/>
        <v>0</v>
      </c>
      <c r="Y930" s="75">
        <f>IF(OR(Y931&gt;0,COUNTIF(PDs!$AD$59:$AD$77,Tablas!D930)&gt;0),1,0)</f>
        <v>0</v>
      </c>
      <c r="Z930" s="2109" t="s">
        <v>1315</v>
      </c>
      <c r="AA930" s="926">
        <f>HA_final-PDs!$X$25+MIN(PDs!$X$25+H$1013-H930,50)</f>
        <v>0</v>
      </c>
      <c r="AB930" s="699">
        <f>HE_final-PDs!$X$27+MIN(PDs!$X$27+I$1013-I930,50)</f>
        <v>0</v>
      </c>
      <c r="AC930" s="1150">
        <f>HP_final-PDs!$X$26+MIN(PDs!$X$26+J$1013-J930,50)</f>
        <v>0</v>
      </c>
      <c r="AE930" s="1149" t="s">
        <v>6715</v>
      </c>
    </row>
    <row r="931" spans="1:43" ht="12.75" customHeight="1">
      <c r="A931" s="219">
        <v>912</v>
      </c>
      <c r="B931" s="7145"/>
      <c r="C931" s="443"/>
      <c r="D931" s="210" t="s">
        <v>782</v>
      </c>
      <c r="E931" s="75">
        <f>20+Bono_Fue</f>
        <v>20</v>
      </c>
      <c r="F931" s="75"/>
      <c r="G931" s="75">
        <v>10</v>
      </c>
      <c r="H931" s="75"/>
      <c r="I931" s="75"/>
      <c r="J931" s="75">
        <v>10</v>
      </c>
      <c r="K931" s="75"/>
      <c r="L931" s="75"/>
      <c r="M931" s="2110"/>
      <c r="N931" s="2110" t="s">
        <v>8331</v>
      </c>
      <c r="O931" s="2110"/>
      <c r="P931" s="2110"/>
      <c r="Q931" s="2110"/>
      <c r="R931" s="2110"/>
      <c r="S931" s="70">
        <f t="shared" si="352"/>
        <v>63</v>
      </c>
      <c r="T931" s="75"/>
      <c r="U931" s="75"/>
      <c r="V931" s="75"/>
      <c r="W931" s="75"/>
      <c r="X931" s="75">
        <f t="shared" si="353"/>
        <v>0</v>
      </c>
      <c r="Y931" s="75">
        <f>IF(OR(Y932&gt;0,COUNTIF(PDs!$AD$59:$AD$77,Tablas!D931)&gt;0),1,0)</f>
        <v>0</v>
      </c>
      <c r="Z931" s="2109" t="str">
        <f>IF(OR(AA931&lt;130),"NO","-")</f>
        <v>NO</v>
      </c>
      <c r="AA931" s="926">
        <f>HA_final-PDs!$X$25+MIN(PDs!$X$25+H$1013-H931,50)</f>
        <v>0</v>
      </c>
      <c r="AB931" s="699">
        <f>HE_final-PDs!$X$27+MIN(PDs!$X$27+I$1013-I931,50)</f>
        <v>0</v>
      </c>
      <c r="AC931" s="1150">
        <f>HP_final-PDs!$X$26+MIN(PDs!$X$26+J$1013-J931,50)</f>
        <v>-10</v>
      </c>
      <c r="AE931" s="1149" t="s">
        <v>6716</v>
      </c>
    </row>
    <row r="932" spans="1:43" ht="12.75" customHeight="1">
      <c r="A932" s="219">
        <v>913</v>
      </c>
      <c r="B932" s="7145"/>
      <c r="C932" s="443"/>
      <c r="D932" s="210" t="s">
        <v>783</v>
      </c>
      <c r="E932" s="75">
        <f>30+Bono_Fue</f>
        <v>30</v>
      </c>
      <c r="F932" s="75"/>
      <c r="G932" s="75">
        <v>20</v>
      </c>
      <c r="H932" s="75"/>
      <c r="I932" s="75"/>
      <c r="J932" s="75">
        <v>10</v>
      </c>
      <c r="K932" s="75"/>
      <c r="L932" s="75"/>
      <c r="M932" s="2110"/>
      <c r="N932" s="2110" t="s">
        <v>8330</v>
      </c>
      <c r="O932" s="2110"/>
      <c r="P932" s="2110"/>
      <c r="Q932" s="2110"/>
      <c r="R932" s="2110"/>
      <c r="S932" s="70">
        <f t="shared" si="352"/>
        <v>82</v>
      </c>
      <c r="T932" s="75"/>
      <c r="U932" s="75"/>
      <c r="V932" s="75"/>
      <c r="W932" s="75"/>
      <c r="X932" s="75">
        <f t="shared" si="353"/>
        <v>0</v>
      </c>
      <c r="Y932" s="75">
        <f>IF(COUNTIF(PDs!$AD$59:$AD$77,Tablas!D932)&gt;0,1,0)</f>
        <v>0</v>
      </c>
      <c r="Z932" s="2109" t="str">
        <f>IF(OR(AA932&lt;200,MAX(AB932,AC932)&lt;200),"NO","-")</f>
        <v>NO</v>
      </c>
      <c r="AA932" s="926">
        <f>HA_final-PDs!$X$25+MIN(PDs!$X$25+H$1013-H932,50)</f>
        <v>0</v>
      </c>
      <c r="AB932" s="699">
        <f>HE_final-PDs!$X$27+MIN(PDs!$X$27+I$1013-I932,50)</f>
        <v>0</v>
      </c>
      <c r="AC932" s="1150">
        <f>HP_final-PDs!$X$26+MIN(PDs!$X$26+J$1013-J932,50)</f>
        <v>-10</v>
      </c>
      <c r="AE932" s="1149" t="s">
        <v>6717</v>
      </c>
    </row>
    <row r="933" spans="1:43" ht="12.75" customHeight="1">
      <c r="A933" s="219">
        <v>914</v>
      </c>
      <c r="B933" s="7145"/>
      <c r="C933" s="443"/>
      <c r="D933" s="210" t="s">
        <v>784</v>
      </c>
      <c r="E933" s="75">
        <f>20+Bono_Fue</f>
        <v>20</v>
      </c>
      <c r="F933" s="75"/>
      <c r="G933" s="75">
        <v>0</v>
      </c>
      <c r="H933" s="75">
        <v>5</v>
      </c>
      <c r="I933" s="75"/>
      <c r="J933" s="75"/>
      <c r="K933" s="75"/>
      <c r="L933" s="75"/>
      <c r="M933" s="2110"/>
      <c r="N933" s="2110" t="s">
        <v>1315</v>
      </c>
      <c r="O933" s="2110"/>
      <c r="P933" s="2110"/>
      <c r="Q933" s="2110"/>
      <c r="R933" s="2110"/>
      <c r="S933" s="70">
        <f t="shared" si="352"/>
        <v>1</v>
      </c>
      <c r="T933" s="75"/>
      <c r="U933" s="75"/>
      <c r="V933" s="75"/>
      <c r="W933" s="75"/>
      <c r="X933" s="75">
        <f t="shared" si="353"/>
        <v>0</v>
      </c>
      <c r="Y933" s="75">
        <f>IF(OR(Y934&gt;0,COUNTIF(PDs!$AD$59:$AD$77,Tablas!D933)&gt;0),1,0)</f>
        <v>0</v>
      </c>
      <c r="Z933" s="2109" t="s">
        <v>1315</v>
      </c>
      <c r="AA933" s="926">
        <f>HA_final-PDs!$X$25+MIN(PDs!$X$25+H$1013-H933,50)</f>
        <v>-5</v>
      </c>
      <c r="AB933" s="699">
        <f>HE_final-PDs!$X$27+MIN(PDs!$X$27+I$1013-I933,50)</f>
        <v>0</v>
      </c>
      <c r="AC933" s="1150">
        <f>HP_final-PDs!$X$26+MIN(PDs!$X$26+J$1013-J933,50)</f>
        <v>0</v>
      </c>
      <c r="AE933" s="1149" t="s">
        <v>6718</v>
      </c>
    </row>
    <row r="934" spans="1:43" ht="12.75" customHeight="1">
      <c r="A934" s="219">
        <v>915</v>
      </c>
      <c r="B934" s="7145"/>
      <c r="C934" s="443"/>
      <c r="D934" s="210" t="s">
        <v>785</v>
      </c>
      <c r="E934" s="75">
        <f>30+Bono_Fue</f>
        <v>30</v>
      </c>
      <c r="F934" s="75"/>
      <c r="G934" s="75">
        <v>10</v>
      </c>
      <c r="H934" s="75">
        <v>5</v>
      </c>
      <c r="I934" s="75"/>
      <c r="J934" s="75"/>
      <c r="K934" s="75"/>
      <c r="L934" s="75"/>
      <c r="M934" s="2110"/>
      <c r="N934" s="2110" t="s">
        <v>1315</v>
      </c>
      <c r="O934" s="2110"/>
      <c r="P934" s="2110"/>
      <c r="Q934" s="2110"/>
      <c r="R934" s="2110"/>
      <c r="S934" s="70">
        <f t="shared" si="352"/>
        <v>1</v>
      </c>
      <c r="T934" s="75"/>
      <c r="U934" s="75"/>
      <c r="V934" s="75"/>
      <c r="W934" s="75"/>
      <c r="X934" s="75">
        <f t="shared" si="353"/>
        <v>0</v>
      </c>
      <c r="Y934" s="75">
        <f>IF(OR(Y935&gt;0,COUNTIF(PDs!$AD$59:$AD$77,Tablas!D934)&gt;0),1,0)</f>
        <v>0</v>
      </c>
      <c r="Z934" s="2109" t="str">
        <f>IF(OR(AA934&lt;120,MAX(AB934,AC934)&lt;120),"NO","-")</f>
        <v>NO</v>
      </c>
      <c r="AA934" s="926">
        <f>HA_final-PDs!$X$25+MIN(PDs!$X$25+H$1013-H934,50)</f>
        <v>-5</v>
      </c>
      <c r="AB934" s="699">
        <f>HE_final-PDs!$X$27+MIN(PDs!$X$27+I$1013-I934,50)</f>
        <v>0</v>
      </c>
      <c r="AC934" s="1150">
        <f>HP_final-PDs!$X$26+MIN(PDs!$X$26+J$1013-J934,50)</f>
        <v>0</v>
      </c>
      <c r="AE934" s="1149" t="s">
        <v>6719</v>
      </c>
    </row>
    <row r="935" spans="1:43" ht="12.75" customHeight="1">
      <c r="A935" s="219">
        <v>916</v>
      </c>
      <c r="B935" s="7145"/>
      <c r="C935" s="443"/>
      <c r="D935" s="210" t="s">
        <v>786</v>
      </c>
      <c r="E935" s="75">
        <f>50+Bono_Fue</f>
        <v>50</v>
      </c>
      <c r="F935" s="75"/>
      <c r="G935" s="75">
        <v>20</v>
      </c>
      <c r="H935" s="75">
        <v>10</v>
      </c>
      <c r="I935" s="75"/>
      <c r="J935" s="75"/>
      <c r="K935" s="75"/>
      <c r="L935" s="75"/>
      <c r="M935" s="2110"/>
      <c r="N935" s="2110" t="s">
        <v>1315</v>
      </c>
      <c r="O935" s="2110"/>
      <c r="P935" s="2110"/>
      <c r="Q935" s="2110"/>
      <c r="R935" s="2110"/>
      <c r="S935" s="70">
        <f t="shared" si="352"/>
        <v>1</v>
      </c>
      <c r="T935" s="75"/>
      <c r="U935" s="75"/>
      <c r="V935" s="75"/>
      <c r="W935" s="75"/>
      <c r="X935" s="75">
        <f t="shared" si="353"/>
        <v>0</v>
      </c>
      <c r="Y935" s="75">
        <f>IF(COUNTIF(PDs!$AD$59:$AD$77,Tablas!D935)&gt;0,1,0)</f>
        <v>0</v>
      </c>
      <c r="Z935" s="2109" t="str">
        <f>IF(OR(AA935&lt;200,MAX(AB935,AC935)&lt;120),"NO","-")</f>
        <v>NO</v>
      </c>
      <c r="AA935" s="926">
        <f>HA_final-PDs!$X$25+MIN(PDs!$X$25+H$1013-H935,50)</f>
        <v>-10</v>
      </c>
      <c r="AB935" s="699">
        <f>HE_final-PDs!$X$27+MIN(PDs!$X$27+I$1013-I935,50)</f>
        <v>0</v>
      </c>
      <c r="AC935" s="1150">
        <f>HP_final-PDs!$X$26+MIN(PDs!$X$26+J$1013-J935,50)</f>
        <v>0</v>
      </c>
      <c r="AE935" s="1149" t="s">
        <v>6720</v>
      </c>
      <c r="AP935" s="510"/>
      <c r="AQ935" s="510"/>
    </row>
    <row r="936" spans="1:43" ht="12.75" customHeight="1">
      <c r="A936" s="219">
        <v>917</v>
      </c>
      <c r="B936" s="7145"/>
      <c r="C936" s="443"/>
      <c r="D936" s="210" t="s">
        <v>787</v>
      </c>
      <c r="E936" s="75">
        <f>10+Bono_Fue</f>
        <v>10</v>
      </c>
      <c r="F936" s="75"/>
      <c r="G936" s="75">
        <v>0</v>
      </c>
      <c r="H936" s="75"/>
      <c r="I936" s="75"/>
      <c r="J936" s="75"/>
      <c r="K936" s="75"/>
      <c r="L936" s="75"/>
      <c r="M936" s="2110"/>
      <c r="N936" s="2110" t="s">
        <v>788</v>
      </c>
      <c r="O936" s="2110"/>
      <c r="P936" s="2110"/>
      <c r="Q936" s="2110"/>
      <c r="R936" s="2110"/>
      <c r="S936" s="70">
        <f t="shared" si="352"/>
        <v>31</v>
      </c>
      <c r="T936" s="75"/>
      <c r="U936" s="75"/>
      <c r="V936" s="75"/>
      <c r="W936" s="75"/>
      <c r="X936" s="75">
        <f t="shared" si="353"/>
        <v>0</v>
      </c>
      <c r="Y936" s="75">
        <f>IF(OR(Y937&gt;0,COUNTIF(PDs!$AD$59:$AD$77,Tablas!D936)&gt;0),1,0)</f>
        <v>0</v>
      </c>
      <c r="Z936" s="75" t="str">
        <f>IF(Advertir_final&lt;50,"NO","-")</f>
        <v>NO</v>
      </c>
      <c r="AA936" s="926">
        <f>HA_final-PDs!$X$25+MIN(PDs!$X$25+H$1013-H936,50)</f>
        <v>0</v>
      </c>
      <c r="AB936" s="699">
        <f>HE_final-PDs!$X$27+MIN(PDs!$X$27+I$1013-I936,50)</f>
        <v>0</v>
      </c>
      <c r="AC936" s="1150">
        <f>HP_final-PDs!$X$26+MIN(PDs!$X$26+J$1013-J936,50)</f>
        <v>0</v>
      </c>
      <c r="AE936" s="1149" t="s">
        <v>6721</v>
      </c>
      <c r="AP936" s="510"/>
      <c r="AQ936" s="510"/>
    </row>
    <row r="937" spans="1:43" ht="12.75" customHeight="1">
      <c r="A937" s="219">
        <v>918</v>
      </c>
      <c r="B937" s="7145"/>
      <c r="C937" s="443"/>
      <c r="D937" s="210" t="s">
        <v>789</v>
      </c>
      <c r="E937" s="75">
        <f>20+Bono_Fue</f>
        <v>20</v>
      </c>
      <c r="F937" s="75"/>
      <c r="G937" s="75">
        <v>10</v>
      </c>
      <c r="H937" s="75"/>
      <c r="I937" s="75">
        <v>10</v>
      </c>
      <c r="J937" s="75">
        <v>10</v>
      </c>
      <c r="K937" s="75"/>
      <c r="L937" s="75"/>
      <c r="M937" s="2110"/>
      <c r="N937" s="2110" t="s">
        <v>790</v>
      </c>
      <c r="O937" s="2110"/>
      <c r="P937" s="2110"/>
      <c r="Q937" s="2110"/>
      <c r="R937" s="2110"/>
      <c r="S937" s="70">
        <f t="shared" si="352"/>
        <v>26</v>
      </c>
      <c r="T937" s="75"/>
      <c r="U937" s="75"/>
      <c r="V937" s="75"/>
      <c r="W937" s="75"/>
      <c r="X937" s="75">
        <f t="shared" si="353"/>
        <v>0</v>
      </c>
      <c r="Y937" s="75">
        <f>IF(OR(Y938&gt;0,COUNTIF(PDs!$AD$59:$AD$77,Tablas!D937)&gt;0),1,0)</f>
        <v>0</v>
      </c>
      <c r="Z937" s="75" t="str">
        <f>IF(OR(Advertir_final&lt;90,MAX(AB937,AC937)&lt;120),"NO","-")</f>
        <v>NO</v>
      </c>
      <c r="AA937" s="926">
        <f>HA_final-PDs!$X$25+MIN(PDs!$X$25+H$1013-H937,50)</f>
        <v>0</v>
      </c>
      <c r="AB937" s="699">
        <f>HE_final-PDs!$X$27+MIN(PDs!$X$27+I$1013-I937,50)</f>
        <v>-10</v>
      </c>
      <c r="AC937" s="1150">
        <f>HP_final-PDs!$X$26+MIN(PDs!$X$26+J$1013-J937,50)</f>
        <v>-10</v>
      </c>
      <c r="AE937" s="1149" t="s">
        <v>6722</v>
      </c>
      <c r="AP937" s="510"/>
      <c r="AQ937" s="510"/>
    </row>
    <row r="938" spans="1:43" ht="12.75" customHeight="1">
      <c r="A938" s="219">
        <v>919</v>
      </c>
      <c r="B938" s="7145"/>
      <c r="C938" s="443"/>
      <c r="D938" s="210" t="s">
        <v>791</v>
      </c>
      <c r="E938" s="75">
        <f>30+Bono_Fue</f>
        <v>30</v>
      </c>
      <c r="F938" s="75"/>
      <c r="G938" s="75">
        <v>20</v>
      </c>
      <c r="H938" s="75"/>
      <c r="I938" s="75">
        <v>10</v>
      </c>
      <c r="J938" s="75">
        <v>10</v>
      </c>
      <c r="K938" s="75"/>
      <c r="L938" s="75"/>
      <c r="M938" s="2110"/>
      <c r="N938" s="2110" t="s">
        <v>8332</v>
      </c>
      <c r="O938" s="2110"/>
      <c r="P938" s="2110"/>
      <c r="Q938" s="2110"/>
      <c r="R938" s="2110"/>
      <c r="S938" s="70">
        <f t="shared" si="352"/>
        <v>38</v>
      </c>
      <c r="T938" s="75"/>
      <c r="U938" s="75"/>
      <c r="V938" s="75"/>
      <c r="W938" s="75"/>
      <c r="X938" s="75">
        <f t="shared" si="353"/>
        <v>0</v>
      </c>
      <c r="Y938" s="75">
        <f>IF(COUNTIF(PDs!$AD$59:$AD$77,Tablas!D938)&gt;0,1,0)</f>
        <v>0</v>
      </c>
      <c r="Z938" s="75" t="str">
        <f>IF(OR(Advertir_final&lt;120,Acrobacias_final&lt;60,MAX(AB938,AC938)&lt;200),"NO","-")</f>
        <v>NO</v>
      </c>
      <c r="AA938" s="926">
        <f>HA_final-PDs!$X$25+MIN(PDs!$X$25+H$1013-H938,50)</f>
        <v>0</v>
      </c>
      <c r="AB938" s="699">
        <f>HE_final-PDs!$X$27+MIN(PDs!$X$27+I$1013-I938,50)</f>
        <v>-10</v>
      </c>
      <c r="AC938" s="1150">
        <f>HP_final-PDs!$X$26+MIN(PDs!$X$26+J$1013-J938,50)</f>
        <v>-10</v>
      </c>
      <c r="AE938" s="1149" t="s">
        <v>6723</v>
      </c>
      <c r="AP938" s="510"/>
      <c r="AQ938" s="510"/>
    </row>
    <row r="939" spans="1:43" ht="12.75" customHeight="1">
      <c r="A939" s="219">
        <v>920</v>
      </c>
      <c r="B939" s="7145"/>
      <c r="C939" s="443"/>
      <c r="D939" s="210" t="s">
        <v>792</v>
      </c>
      <c r="E939" s="75">
        <f>10+Bono_Fue</f>
        <v>10</v>
      </c>
      <c r="F939" s="75"/>
      <c r="G939" s="75">
        <v>0</v>
      </c>
      <c r="H939" s="75"/>
      <c r="I939" s="75"/>
      <c r="J939" s="75"/>
      <c r="K939" s="75"/>
      <c r="L939" s="75"/>
      <c r="M939" s="2110"/>
      <c r="N939" s="2110" t="s">
        <v>793</v>
      </c>
      <c r="O939" s="2110"/>
      <c r="P939" s="2110"/>
      <c r="Q939" s="2110"/>
      <c r="R939" s="2110"/>
      <c r="S939" s="70">
        <f t="shared" si="352"/>
        <v>54</v>
      </c>
      <c r="T939" s="75"/>
      <c r="U939" s="75"/>
      <c r="V939" s="75"/>
      <c r="W939" s="75"/>
      <c r="X939" s="75">
        <f t="shared" si="353"/>
        <v>0</v>
      </c>
      <c r="Y939" s="75">
        <f>IF(OR(Y940&gt;0,COUNTIF(PDs!$AD$59:$AD$77,Tablas!D939)&gt;0),1,0)</f>
        <v>0</v>
      </c>
      <c r="Z939" s="75" t="s">
        <v>1315</v>
      </c>
      <c r="AA939" s="926">
        <f>HA_final-PDs!$X$25+MIN(PDs!$X$25+H$1013-H939,50)</f>
        <v>0</v>
      </c>
      <c r="AB939" s="699">
        <f>HE_final-PDs!$X$27+MIN(PDs!$X$27+I$1013-I939,50)</f>
        <v>0</v>
      </c>
      <c r="AC939" s="1150">
        <f>HP_final-PDs!$X$26+MIN(PDs!$X$26+J$1013-J939,50)</f>
        <v>0</v>
      </c>
      <c r="AE939" s="3903" t="s">
        <v>12582</v>
      </c>
      <c r="AP939" s="510"/>
      <c r="AQ939" s="510"/>
    </row>
    <row r="940" spans="1:43" ht="12.75" customHeight="1">
      <c r="A940" s="219">
        <v>921</v>
      </c>
      <c r="B940" s="7145"/>
      <c r="C940" s="443"/>
      <c r="D940" s="210" t="s">
        <v>794</v>
      </c>
      <c r="E940" s="75">
        <f>20+Bono_Fue</f>
        <v>20</v>
      </c>
      <c r="F940" s="75"/>
      <c r="G940" s="75">
        <v>10</v>
      </c>
      <c r="H940" s="75"/>
      <c r="I940" s="75"/>
      <c r="J940" s="75"/>
      <c r="K940" s="75"/>
      <c r="L940" s="75"/>
      <c r="M940" s="2110"/>
      <c r="N940" s="2110" t="s">
        <v>795</v>
      </c>
      <c r="O940" s="2110"/>
      <c r="P940" s="2110"/>
      <c r="Q940" s="2110"/>
      <c r="R940" s="2110"/>
      <c r="S940" s="70">
        <f t="shared" si="352"/>
        <v>54</v>
      </c>
      <c r="T940" s="75"/>
      <c r="U940" s="75"/>
      <c r="V940" s="75"/>
      <c r="W940" s="75"/>
      <c r="X940" s="75">
        <f t="shared" si="353"/>
        <v>0</v>
      </c>
      <c r="Y940" s="75">
        <f>IF(OR(Y941&gt;0,COUNTIF(PDs!$AD$59:$AD$77,Tablas!D940)&gt;0),1,0)</f>
        <v>0</v>
      </c>
      <c r="Z940" s="75" t="str">
        <f>IF(OR(AA940&lt;130,MAX(AB940,AC940)&lt;100),"NO","-")</f>
        <v>NO</v>
      </c>
      <c r="AA940" s="926">
        <f>HA_final-PDs!$X$25+MIN(PDs!$X$25+H$1013-H940,50)</f>
        <v>0</v>
      </c>
      <c r="AB940" s="699">
        <f>HE_final-PDs!$X$27+MIN(PDs!$X$27+I$1013-I940,50)</f>
        <v>0</v>
      </c>
      <c r="AC940" s="1150">
        <f>HP_final-PDs!$X$26+MIN(PDs!$X$26+J$1013-J940,50)</f>
        <v>0</v>
      </c>
      <c r="AE940" s="3903" t="s">
        <v>12167</v>
      </c>
      <c r="AP940" s="510"/>
      <c r="AQ940" s="510"/>
    </row>
    <row r="941" spans="1:43" ht="12.75" customHeight="1">
      <c r="A941" s="219">
        <v>922</v>
      </c>
      <c r="B941" s="7145"/>
      <c r="C941" s="443"/>
      <c r="D941" s="210" t="s">
        <v>796</v>
      </c>
      <c r="E941" s="75">
        <f>20+Bono_Fue</f>
        <v>20</v>
      </c>
      <c r="F941" s="75"/>
      <c r="G941" s="75">
        <v>20</v>
      </c>
      <c r="H941" s="75"/>
      <c r="I941" s="75"/>
      <c r="J941" s="75"/>
      <c r="K941" s="75"/>
      <c r="L941" s="75"/>
      <c r="M941" s="2110"/>
      <c r="N941" s="2110" t="s">
        <v>797</v>
      </c>
      <c r="O941" s="2110"/>
      <c r="P941" s="2110"/>
      <c r="Q941" s="2110"/>
      <c r="R941" s="2110"/>
      <c r="S941" s="70">
        <f t="shared" si="352"/>
        <v>64</v>
      </c>
      <c r="T941" s="75"/>
      <c r="U941" s="75"/>
      <c r="V941" s="75"/>
      <c r="W941" s="75"/>
      <c r="X941" s="75">
        <f t="shared" si="353"/>
        <v>0</v>
      </c>
      <c r="Y941" s="75">
        <f>IF(COUNTIF(PDs!$AD$59:$AD$77,Tablas!D941)&gt;0,1,0)</f>
        <v>0</v>
      </c>
      <c r="Z941" s="75" t="str">
        <f>IF(OR(AA941&lt;200,MAX(AB941,AC941)&lt;100),"NO","-")</f>
        <v>NO</v>
      </c>
      <c r="AA941" s="926">
        <f>HA_final-PDs!$X$25+MIN(PDs!$X$25+H$1013-H941,50)</f>
        <v>0</v>
      </c>
      <c r="AB941" s="699">
        <f>HE_final-PDs!$X$27+MIN(PDs!$X$27+I$1013-I941,50)</f>
        <v>0</v>
      </c>
      <c r="AC941" s="1150">
        <f>HP_final-PDs!$X$26+MIN(PDs!$X$26+J$1013-J941,50)</f>
        <v>0</v>
      </c>
      <c r="AE941" s="3903" t="s">
        <v>14157</v>
      </c>
      <c r="AP941" s="510"/>
      <c r="AQ941" s="510"/>
    </row>
    <row r="942" spans="1:43" ht="12.75" customHeight="1">
      <c r="A942" s="219">
        <v>923</v>
      </c>
      <c r="B942" s="7145"/>
      <c r="C942" s="443"/>
      <c r="D942" s="210" t="s">
        <v>798</v>
      </c>
      <c r="E942" s="75">
        <f>20+Bono_Pod</f>
        <v>20</v>
      </c>
      <c r="F942" s="75"/>
      <c r="G942" s="75">
        <v>10</v>
      </c>
      <c r="H942" s="75"/>
      <c r="I942" s="75"/>
      <c r="J942" s="75"/>
      <c r="K942" s="75"/>
      <c r="L942" s="75"/>
      <c r="M942" s="2110"/>
      <c r="N942" s="2110" t="s">
        <v>1315</v>
      </c>
      <c r="O942" s="2110"/>
      <c r="P942" s="2110"/>
      <c r="Q942" s="2110"/>
      <c r="R942" s="2110"/>
      <c r="S942" s="70">
        <f t="shared" si="352"/>
        <v>1</v>
      </c>
      <c r="T942" s="75"/>
      <c r="U942" s="75"/>
      <c r="V942" s="75"/>
      <c r="W942" s="75"/>
      <c r="X942" s="75">
        <f t="shared" si="353"/>
        <v>0</v>
      </c>
      <c r="Y942" s="75">
        <f>IF(OR(Y943&gt;0,COUNTIF(PDs!$AD$59:$AD$77,Tablas!D942)&gt;0),1,0)</f>
        <v>0</v>
      </c>
      <c r="Z942" s="75" t="s">
        <v>1315</v>
      </c>
      <c r="AA942" s="926">
        <f>HA_final-PDs!$X$25+MIN(PDs!$X$25+H$1013-H942,50)</f>
        <v>0</v>
      </c>
      <c r="AB942" s="699">
        <f>HE_final-PDs!$X$27+MIN(PDs!$X$27+I$1013-I942,50)</f>
        <v>0</v>
      </c>
      <c r="AC942" s="1150">
        <f>HP_final-PDs!$X$26+MIN(PDs!$X$26+J$1013-J942,50)</f>
        <v>0</v>
      </c>
      <c r="AE942" s="3903" t="s">
        <v>12168</v>
      </c>
      <c r="AP942" s="510"/>
      <c r="AQ942" s="510"/>
    </row>
    <row r="943" spans="1:43" ht="12.75" customHeight="1">
      <c r="A943" s="219">
        <v>924</v>
      </c>
      <c r="B943" s="7145"/>
      <c r="C943" s="443"/>
      <c r="D943" s="210" t="s">
        <v>799</v>
      </c>
      <c r="E943" s="75">
        <f>20+2*Bono_Pod</f>
        <v>20</v>
      </c>
      <c r="F943" s="75"/>
      <c r="G943" s="75">
        <v>30</v>
      </c>
      <c r="H943" s="75"/>
      <c r="I943" s="75"/>
      <c r="J943" s="75"/>
      <c r="K943" s="75"/>
      <c r="L943" s="75"/>
      <c r="M943" s="2110"/>
      <c r="N943" s="2110" t="s">
        <v>1315</v>
      </c>
      <c r="O943" s="2110"/>
      <c r="P943" s="2110"/>
      <c r="Q943" s="2110"/>
      <c r="R943" s="2110"/>
      <c r="S943" s="70">
        <f t="shared" si="352"/>
        <v>1</v>
      </c>
      <c r="T943" s="75"/>
      <c r="U943" s="75"/>
      <c r="V943" s="75"/>
      <c r="W943" s="75"/>
      <c r="X943" s="75">
        <f t="shared" si="353"/>
        <v>0</v>
      </c>
      <c r="Y943" s="75">
        <f>IF(OR(Y944&gt;0,COUNTIF(PDs!$AD$59:$AD$77,Tablas!D943)&gt;0),1,0)</f>
        <v>0</v>
      </c>
      <c r="Z943" s="75" t="str">
        <f>IF(OR(NOT(OR(UsodelKi,,Ki!I43=70))),"NO","-")</f>
        <v>NO</v>
      </c>
      <c r="AA943" s="926">
        <f>HA_final-PDs!$X$25+MIN(PDs!$X$25+H$1013-H943,50)</f>
        <v>0</v>
      </c>
      <c r="AB943" s="699">
        <f>HE_final-PDs!$X$27+MIN(PDs!$X$27+I$1013-I943,50)</f>
        <v>0</v>
      </c>
      <c r="AC943" s="1150">
        <f>HP_final-PDs!$X$26+MIN(PDs!$X$26+J$1013-J943,50)</f>
        <v>0</v>
      </c>
      <c r="AE943" s="3903" t="s">
        <v>12169</v>
      </c>
      <c r="AP943" s="510"/>
      <c r="AQ943" s="510"/>
    </row>
    <row r="944" spans="1:43" ht="12.75" customHeight="1">
      <c r="A944" s="219">
        <v>925</v>
      </c>
      <c r="B944" s="7145"/>
      <c r="C944" s="443"/>
      <c r="D944" s="210" t="s">
        <v>800</v>
      </c>
      <c r="E944" s="75">
        <f>20+2*Bono_Pod</f>
        <v>20</v>
      </c>
      <c r="F944" s="75">
        <f>Bono_Pod</f>
        <v>0</v>
      </c>
      <c r="G944" s="75">
        <v>60</v>
      </c>
      <c r="H944" s="75"/>
      <c r="I944" s="75"/>
      <c r="J944" s="75"/>
      <c r="K944" s="75"/>
      <c r="L944" s="75"/>
      <c r="M944" s="2110"/>
      <c r="N944" s="2110" t="s">
        <v>1315</v>
      </c>
      <c r="O944" s="2110"/>
      <c r="P944" s="2110"/>
      <c r="Q944" s="2110"/>
      <c r="R944" s="2110"/>
      <c r="S944" s="70">
        <f t="shared" si="352"/>
        <v>1</v>
      </c>
      <c r="T944" s="75"/>
      <c r="U944" s="75"/>
      <c r="V944" s="75"/>
      <c r="W944" s="75"/>
      <c r="X944" s="75">
        <f t="shared" si="353"/>
        <v>0</v>
      </c>
      <c r="Y944" s="75">
        <f>IF(COUNTIF(PDs!$AD$59:$AD$77,Tablas!D944)&gt;0,1,0)</f>
        <v>0</v>
      </c>
      <c r="Z944" s="75" t="str">
        <f>IF(OR(NOT(OR(UsodelKi,Ki!I43=70)),NOT(OR(Usodelaenergíanecesaria,Ki!I59=10)),AA944&lt;180,MAX(AB944,AC944)&lt;180),"NO","-")</f>
        <v>NO</v>
      </c>
      <c r="AA944" s="926">
        <f>HA_final-PDs!$X$25+MIN(PDs!$X$25+H$1013-H944,50)</f>
        <v>0</v>
      </c>
      <c r="AB944" s="699">
        <f>HE_final-PDs!$X$27+MIN(PDs!$X$27+I$1013-I944,50)</f>
        <v>0</v>
      </c>
      <c r="AC944" s="1150">
        <f>HP_final-PDs!$X$26+MIN(PDs!$X$26+J$1013-J944,50)</f>
        <v>0</v>
      </c>
      <c r="AE944" s="3903" t="s">
        <v>12170</v>
      </c>
      <c r="AP944" s="510"/>
      <c r="AQ944" s="510"/>
    </row>
    <row r="945" spans="1:43" ht="12.75" customHeight="1">
      <c r="A945" s="219">
        <v>926</v>
      </c>
      <c r="B945" s="7145"/>
      <c r="C945" s="443"/>
      <c r="D945" s="210" t="s">
        <v>801</v>
      </c>
      <c r="E945" s="75">
        <f>10+Bono_Fue</f>
        <v>10</v>
      </c>
      <c r="F945" s="75"/>
      <c r="G945" s="75">
        <v>0</v>
      </c>
      <c r="H945" s="75"/>
      <c r="I945" s="75"/>
      <c r="J945" s="75"/>
      <c r="K945" s="75"/>
      <c r="L945" s="75"/>
      <c r="M945" s="2110"/>
      <c r="N945" s="2110" t="s">
        <v>802</v>
      </c>
      <c r="O945" s="2110"/>
      <c r="P945" s="2110"/>
      <c r="Q945" s="2110"/>
      <c r="R945" s="2110"/>
      <c r="S945" s="70">
        <f t="shared" si="352"/>
        <v>62</v>
      </c>
      <c r="T945" s="75"/>
      <c r="U945" s="75"/>
      <c r="V945" s="75"/>
      <c r="W945" s="75"/>
      <c r="X945" s="75">
        <f t="shared" si="353"/>
        <v>0</v>
      </c>
      <c r="Y945" s="75">
        <f>IF(OR(Y946&gt;0,COUNTIF(PDs!$AD$59:$AD$77,Tablas!D945)&gt;0),1,0)</f>
        <v>0</v>
      </c>
      <c r="Z945" s="75" t="str">
        <f>IF(T.Manos_final&lt;20,"NO","-")</f>
        <v>NO</v>
      </c>
      <c r="AA945" s="926">
        <f>HA_final-PDs!$X$25+MIN(PDs!$X$25+H$1013-H945,50)</f>
        <v>0</v>
      </c>
      <c r="AB945" s="699">
        <f>HE_final-PDs!$X$27+MIN(PDs!$X$27+I$1013-I945,50)</f>
        <v>0</v>
      </c>
      <c r="AC945" s="1150">
        <f>HP_final-PDs!$X$26+MIN(PDs!$X$26+J$1013-J945,50)</f>
        <v>0</v>
      </c>
      <c r="AE945" s="3903" t="s">
        <v>12171</v>
      </c>
      <c r="AP945" s="510"/>
      <c r="AQ945" s="510"/>
    </row>
    <row r="946" spans="1:43" ht="12.75" customHeight="1">
      <c r="A946" s="219">
        <v>927</v>
      </c>
      <c r="B946" s="7145"/>
      <c r="C946" s="443"/>
      <c r="D946" s="210" t="s">
        <v>803</v>
      </c>
      <c r="E946" s="75">
        <f>20+Bono_Fue</f>
        <v>20</v>
      </c>
      <c r="F946" s="75"/>
      <c r="G946" s="75">
        <v>10</v>
      </c>
      <c r="H946" s="75"/>
      <c r="I946" s="75"/>
      <c r="J946" s="75"/>
      <c r="K946" s="75"/>
      <c r="L946" s="75"/>
      <c r="M946" s="2110"/>
      <c r="N946" s="2110" t="s">
        <v>804</v>
      </c>
      <c r="O946" s="2110"/>
      <c r="P946" s="2110"/>
      <c r="Q946" s="2110"/>
      <c r="R946" s="2110"/>
      <c r="S946" s="70">
        <f t="shared" si="352"/>
        <v>62</v>
      </c>
      <c r="T946" s="75"/>
      <c r="U946" s="75"/>
      <c r="V946" s="75"/>
      <c r="W946" s="75"/>
      <c r="X946" s="75">
        <f t="shared" si="353"/>
        <v>0</v>
      </c>
      <c r="Y946" s="75">
        <f>IF(OR(Y947&gt;0,COUNTIF(PDs!$AD$59:$AD$77,Tablas!D946)&gt;0),1,0)</f>
        <v>0</v>
      </c>
      <c r="Z946" s="75" t="str">
        <f>IF(OR(T.Manos_final&lt;50,Turno_SinArmas_final-IFERROR(VLOOKUP(Combate!E20,Tablas!AC604:AF608,3,FALSE),0)&lt;100,AA946&lt;120),"NO","-")</f>
        <v>NO</v>
      </c>
      <c r="AA946" s="926">
        <f>HA_final-PDs!$X$25+MIN(PDs!$X$25+H$1013-H946,50)</f>
        <v>0</v>
      </c>
      <c r="AB946" s="699">
        <f>HE_final-PDs!$X$27+MIN(PDs!$X$27+I$1013-I946,50)</f>
        <v>0</v>
      </c>
      <c r="AC946" s="1150">
        <f>HP_final-PDs!$X$26+MIN(PDs!$X$26+J$1013-J946,50)</f>
        <v>0</v>
      </c>
      <c r="AE946" s="3903" t="s">
        <v>12172</v>
      </c>
      <c r="AP946" s="510"/>
      <c r="AQ946" s="510"/>
    </row>
    <row r="947" spans="1:43" ht="12.75" customHeight="1" thickBot="1">
      <c r="A947" s="219">
        <v>928</v>
      </c>
      <c r="B947" s="7145"/>
      <c r="C947" s="443"/>
      <c r="D947" s="210" t="s">
        <v>805</v>
      </c>
      <c r="E947" s="75">
        <f>30+Bono_Fue</f>
        <v>30</v>
      </c>
      <c r="F947" s="75"/>
      <c r="G947" s="75">
        <v>20</v>
      </c>
      <c r="H947" s="75"/>
      <c r="I947" s="75"/>
      <c r="J947" s="75"/>
      <c r="K947" s="75"/>
      <c r="L947" s="75"/>
      <c r="M947" s="2110"/>
      <c r="N947" s="2110" t="s">
        <v>806</v>
      </c>
      <c r="O947" s="2110"/>
      <c r="P947" s="2110"/>
      <c r="Q947" s="2110"/>
      <c r="R947" s="2110"/>
      <c r="S947" s="70">
        <f t="shared" si="352"/>
        <v>62</v>
      </c>
      <c r="T947" s="75"/>
      <c r="U947" s="75"/>
      <c r="V947" s="75"/>
      <c r="W947" s="75"/>
      <c r="X947" s="75">
        <f t="shared" si="353"/>
        <v>0</v>
      </c>
      <c r="Y947" s="75">
        <f>IF(COUNTIF(PDs!$AD$59:$AD$77,Tablas!D947)&gt;0,1,0)</f>
        <v>0</v>
      </c>
      <c r="Z947" s="75" t="str">
        <f>IF(OR(T.Manos_final&lt;100,Turno_SinArmas_final-IFERROR(VLOOKUP(Combate!E20,Tablas!AC604:AF608,3,FALSE),0)&lt;120,AA947&lt;200),"NO","-")</f>
        <v>NO</v>
      </c>
      <c r="AA947" s="926">
        <f>HA_final-PDs!$X$25+MIN(PDs!$X$25+H$1013-H947,50)</f>
        <v>0</v>
      </c>
      <c r="AB947" s="699">
        <f>HE_final-PDs!$X$27+MIN(PDs!$X$27+I$1013-I947,50)</f>
        <v>0</v>
      </c>
      <c r="AC947" s="1150">
        <f>HP_final-PDs!$X$26+MIN(PDs!$X$26+J$1013-J947,50)</f>
        <v>0</v>
      </c>
      <c r="AE947" s="3904" t="s">
        <v>12173</v>
      </c>
      <c r="AP947" s="510"/>
      <c r="AQ947" s="510"/>
    </row>
    <row r="948" spans="1:43" ht="12.75" customHeight="1">
      <c r="A948" s="219">
        <v>929</v>
      </c>
      <c r="B948" s="7145"/>
      <c r="C948" s="3892"/>
      <c r="D948" s="3893" t="s">
        <v>12140</v>
      </c>
      <c r="E948" s="3620">
        <f>10+Bono_Fue</f>
        <v>10</v>
      </c>
      <c r="F948" s="3620"/>
      <c r="G948" s="3620">
        <v>0</v>
      </c>
      <c r="H948" s="2615" t="s">
        <v>2603</v>
      </c>
      <c r="I948" s="2613"/>
      <c r="J948" s="2613"/>
      <c r="K948" s="2613"/>
      <c r="L948" s="2613"/>
      <c r="M948" s="2613"/>
      <c r="N948" s="3894" t="s">
        <v>12141</v>
      </c>
      <c r="O948" s="2613"/>
      <c r="P948" s="2613"/>
      <c r="Q948" s="2613"/>
      <c r="R948" s="2613"/>
      <c r="S948" s="3895">
        <f t="shared" si="352"/>
        <v>30</v>
      </c>
      <c r="T948" s="2613"/>
      <c r="U948" s="2613"/>
      <c r="V948" s="2613"/>
      <c r="W948" s="2613"/>
      <c r="X948" s="3806">
        <f t="shared" si="353"/>
        <v>0</v>
      </c>
      <c r="Y948" s="3620">
        <f>IF(OR(Y950&gt;0,COUNTIF(PDs!$AD$59:$AD$77,D948)&gt;0),1,0)</f>
        <v>0</v>
      </c>
      <c r="Z948" s="3620" t="str">
        <f>IF(AND(P.Fuerza_final&lt;20,Acrobacias_final&lt;20),"NO","-")</f>
        <v>NO</v>
      </c>
      <c r="AA948" s="3896"/>
      <c r="AB948" s="2615">
        <f>HE_final-PDs!$X$27+MIN(PDs!$X$27+I$1013-I948,50)</f>
        <v>0</v>
      </c>
      <c r="AC948" s="3897">
        <f>HP_final-PDs!$X$26+MIN(PDs!$X$26+J$1013-J948,50)</f>
        <v>0</v>
      </c>
      <c r="AP948" s="510"/>
      <c r="AQ948" s="510"/>
    </row>
    <row r="949" spans="1:43" ht="12.75" customHeight="1">
      <c r="A949" s="219">
        <v>930</v>
      </c>
      <c r="B949" s="7145"/>
      <c r="C949" s="3892"/>
      <c r="D949" s="3893" t="s">
        <v>12142</v>
      </c>
      <c r="E949" s="3620">
        <f>20+Bono_Fue</f>
        <v>20</v>
      </c>
      <c r="F949" s="3620"/>
      <c r="G949" s="3620">
        <v>10</v>
      </c>
      <c r="H949" s="2615"/>
      <c r="I949" s="2613"/>
      <c r="J949" s="2613"/>
      <c r="K949" s="2613"/>
      <c r="L949" s="2613"/>
      <c r="M949" s="2613"/>
      <c r="N949" s="3894" t="s">
        <v>12143</v>
      </c>
      <c r="O949" s="2613"/>
      <c r="P949" s="2613"/>
      <c r="Q949" s="2613"/>
      <c r="R949" s="2613"/>
      <c r="S949" s="3895">
        <f t="shared" si="352"/>
        <v>37</v>
      </c>
      <c r="T949" s="2613"/>
      <c r="U949" s="2613"/>
      <c r="V949" s="2613"/>
      <c r="W949" s="2613"/>
      <c r="X949" s="3806">
        <f t="shared" si="353"/>
        <v>0</v>
      </c>
      <c r="Y949" s="3620">
        <f>IF(OR(Y950&gt;0,COUNTIF(PDs!$AD$59:$AD$77,D949)&gt;0),1,0)</f>
        <v>0</v>
      </c>
      <c r="Z949" s="3620" t="str">
        <f>IF(AND(P.Fuerza_final&lt;40,Acrobacias_final&lt;80,AA949&lt;120),"NO","-")</f>
        <v>NO</v>
      </c>
      <c r="AA949" s="3896">
        <f>HA_final-PDs!$X$25+MIN(PDs!$X$25+H$1013-H949,50)</f>
        <v>0</v>
      </c>
      <c r="AB949" s="2615">
        <f>HE_final-PDs!$X$27+MIN(PDs!$X$27+I$1013-I949,50)</f>
        <v>0</v>
      </c>
      <c r="AC949" s="3897">
        <f>HP_final-PDs!$X$26+MIN(PDs!$X$26+J$1013-J949,50)</f>
        <v>0</v>
      </c>
      <c r="AP949" s="510"/>
      <c r="AQ949" s="510"/>
    </row>
    <row r="950" spans="1:43" ht="12.75" customHeight="1">
      <c r="A950" s="219">
        <v>931</v>
      </c>
      <c r="B950" s="7145"/>
      <c r="C950" s="3892"/>
      <c r="D950" s="3893" t="s">
        <v>12144</v>
      </c>
      <c r="E950" s="3620">
        <f>30+Bono_Fue</f>
        <v>30</v>
      </c>
      <c r="F950" s="3620"/>
      <c r="G950" s="3620">
        <v>20</v>
      </c>
      <c r="H950" s="3620">
        <v>5</v>
      </c>
      <c r="I950" s="3620"/>
      <c r="J950" s="3620"/>
      <c r="K950" s="2613"/>
      <c r="L950" s="2613"/>
      <c r="M950" s="2613"/>
      <c r="N950" s="3898" t="s">
        <v>12145</v>
      </c>
      <c r="O950" s="2613"/>
      <c r="P950" s="2613"/>
      <c r="Q950" s="2613"/>
      <c r="R950" s="2613"/>
      <c r="S950" s="3895">
        <f t="shared" si="352"/>
        <v>41</v>
      </c>
      <c r="T950" s="2613"/>
      <c r="U950" s="2613"/>
      <c r="V950" s="2613"/>
      <c r="W950" s="2613"/>
      <c r="X950" s="3806">
        <f t="shared" si="353"/>
        <v>0</v>
      </c>
      <c r="Y950" s="3620">
        <f>IF(COUNTIF(PDs!$AD$59:$AD$77,D950)&gt;0,1,0)</f>
        <v>0</v>
      </c>
      <c r="Z950" s="3620" t="str">
        <f>IF(AND(P.Fuerza_final&lt;80,Acrobacias_final&lt;80,AA950&lt;200),"NO","-")</f>
        <v>NO</v>
      </c>
      <c r="AA950" s="3896">
        <f>HA_final-PDs!$X$25+MIN(PDs!$X$25+H$1013-H950,50)</f>
        <v>-5</v>
      </c>
      <c r="AB950" s="2615">
        <f>HE_final-PDs!$X$27+MIN(PDs!$X$27+I$1013-I950,50)</f>
        <v>0</v>
      </c>
      <c r="AC950" s="3897">
        <f>HP_final-PDs!$X$26+MIN(PDs!$X$26+J$1013-J950,50)</f>
        <v>0</v>
      </c>
      <c r="AP950" s="510"/>
      <c r="AQ950" s="510"/>
    </row>
    <row r="951" spans="1:43" ht="12.75" customHeight="1">
      <c r="A951" s="219">
        <v>932</v>
      </c>
      <c r="B951" s="7145"/>
      <c r="C951" s="3892"/>
      <c r="D951" s="3893" t="s">
        <v>12146</v>
      </c>
      <c r="E951" s="3620">
        <f>10+Bono_Fue</f>
        <v>10</v>
      </c>
      <c r="F951" s="3620"/>
      <c r="G951" s="3620">
        <v>0</v>
      </c>
      <c r="H951" s="3620"/>
      <c r="I951" s="3620"/>
      <c r="J951" s="3620"/>
      <c r="K951" s="2613"/>
      <c r="L951" s="2613"/>
      <c r="M951" s="2613"/>
      <c r="N951" s="3894" t="s">
        <v>12147</v>
      </c>
      <c r="O951" s="2613"/>
      <c r="P951" s="2613"/>
      <c r="Q951" s="2613"/>
      <c r="R951" s="2613"/>
      <c r="S951" s="3895">
        <f t="shared" si="352"/>
        <v>39</v>
      </c>
      <c r="T951" s="2613"/>
      <c r="U951" s="2613"/>
      <c r="V951" s="2613"/>
      <c r="W951" s="2613"/>
      <c r="X951" s="3806">
        <f t="shared" si="353"/>
        <v>0</v>
      </c>
      <c r="Y951" s="3620">
        <f>IF(OR(Y953&gt;0,COUNTIF(PDs!$AD$59:$AD$77,D951)&gt;0),1,0)</f>
        <v>0</v>
      </c>
      <c r="Z951" s="3620" t="str">
        <f>IF(P.Fuerza_final&lt;40,"NO","-")</f>
        <v>NO</v>
      </c>
      <c r="AA951" s="3896">
        <f>HA_final-PDs!$X$25+MIN(PDs!$X$25+H$1013-H951,50)</f>
        <v>0</v>
      </c>
      <c r="AB951" s="2615">
        <f>HE_final-PDs!$X$27+MIN(PDs!$X$27+I$1013-I951,50)</f>
        <v>0</v>
      </c>
      <c r="AC951" s="3897">
        <f>HP_final-PDs!$X$26+MIN(PDs!$X$26+J$1013-J951,50)</f>
        <v>0</v>
      </c>
      <c r="AP951" s="510"/>
      <c r="AQ951" s="510"/>
    </row>
    <row r="952" spans="1:43" ht="12.75" customHeight="1">
      <c r="A952" s="219">
        <v>933</v>
      </c>
      <c r="B952" s="7145"/>
      <c r="C952" s="3892"/>
      <c r="D952" s="3893" t="s">
        <v>12148</v>
      </c>
      <c r="E952" s="3620">
        <f>20+Bono_Fue</f>
        <v>20</v>
      </c>
      <c r="F952" s="3620"/>
      <c r="G952" s="3620">
        <v>10</v>
      </c>
      <c r="H952" s="3620">
        <v>5</v>
      </c>
      <c r="I952" s="3620"/>
      <c r="J952" s="3620"/>
      <c r="K952" s="2613"/>
      <c r="L952" s="2613"/>
      <c r="M952" s="2613"/>
      <c r="N952" s="3894" t="s">
        <v>12149</v>
      </c>
      <c r="O952" s="2613"/>
      <c r="P952" s="2613"/>
      <c r="Q952" s="2613"/>
      <c r="R952" s="2613"/>
      <c r="S952" s="3895">
        <f t="shared" si="352"/>
        <v>33</v>
      </c>
      <c r="T952" s="2613"/>
      <c r="U952" s="2613"/>
      <c r="V952" s="2613"/>
      <c r="W952" s="2613"/>
      <c r="X952" s="3806">
        <f t="shared" si="353"/>
        <v>0</v>
      </c>
      <c r="Y952" s="3620">
        <f>IF(OR(Y953&gt;0,COUNTIF(PDs!$AD$59:$AD$77,D952)&gt;0),1,0)</f>
        <v>0</v>
      </c>
      <c r="Z952" s="3620" t="str">
        <f>IF(AND(P.Fuerza_final&lt;60,AA952&lt;120),"NO","-")</f>
        <v>NO</v>
      </c>
      <c r="AA952" s="3896">
        <f>HA_final-PDs!$X$25+MIN(PDs!$X$25+H$1013-H952,50)</f>
        <v>-5</v>
      </c>
      <c r="AB952" s="2615">
        <f>HE_final-PDs!$X$27+MIN(PDs!$X$27+I$1013-I952,50)</f>
        <v>0</v>
      </c>
      <c r="AC952" s="3897">
        <f>HP_final-PDs!$X$26+MIN(PDs!$X$26+J$1013-J952,50)</f>
        <v>0</v>
      </c>
      <c r="AP952" s="510"/>
      <c r="AQ952" s="510"/>
    </row>
    <row r="953" spans="1:43" ht="12.75" customHeight="1">
      <c r="A953" s="219">
        <v>934</v>
      </c>
      <c r="B953" s="7145"/>
      <c r="C953" s="3892"/>
      <c r="D953" s="3893" t="s">
        <v>12150</v>
      </c>
      <c r="E953" s="3620">
        <f>30+Bono_Fue</f>
        <v>30</v>
      </c>
      <c r="F953" s="3620"/>
      <c r="G953" s="3620">
        <v>20</v>
      </c>
      <c r="H953" s="3620">
        <v>5</v>
      </c>
      <c r="I953" s="3620"/>
      <c r="J953" s="3620"/>
      <c r="K953" s="2613"/>
      <c r="L953" s="2613"/>
      <c r="M953" s="2613"/>
      <c r="N953" s="3898" t="s">
        <v>12151</v>
      </c>
      <c r="O953" s="2613"/>
      <c r="P953" s="2613"/>
      <c r="Q953" s="2613"/>
      <c r="R953" s="2613"/>
      <c r="S953" s="3895">
        <f t="shared" si="352"/>
        <v>31</v>
      </c>
      <c r="T953" s="2613"/>
      <c r="U953" s="2613"/>
      <c r="V953" s="2613"/>
      <c r="W953" s="2613"/>
      <c r="X953" s="3806">
        <f t="shared" si="353"/>
        <v>0</v>
      </c>
      <c r="Y953" s="3620">
        <f>IF(COUNTIF(PDs!$AD$59:$AD$77,D953)&gt;0,1,0)</f>
        <v>0</v>
      </c>
      <c r="Z953" s="3620" t="str">
        <f>IF(AND(P.Fuerza_final&lt;100,AA953&lt;200,Ki!Q16&lt;&gt;10),"NO","-")</f>
        <v>NO</v>
      </c>
      <c r="AA953" s="3896">
        <f>HA_final-PDs!$X$25+MIN(PDs!$X$25+H$1013-H953,50)</f>
        <v>-5</v>
      </c>
      <c r="AB953" s="2615">
        <f>HE_final-PDs!$X$27+MIN(PDs!$X$27+I$1013-I953,50)</f>
        <v>0</v>
      </c>
      <c r="AC953" s="3897">
        <f>HP_final-PDs!$X$26+MIN(PDs!$X$26+J$1013-J953,50)</f>
        <v>0</v>
      </c>
      <c r="AP953" s="510"/>
      <c r="AQ953" s="510"/>
    </row>
    <row r="954" spans="1:43" ht="12.75" customHeight="1">
      <c r="A954" s="219">
        <v>935</v>
      </c>
      <c r="B954" s="7145"/>
      <c r="C954" s="3892"/>
      <c r="D954" s="3893" t="s">
        <v>12152</v>
      </c>
      <c r="E954" s="3620">
        <f>10+Bono_Fue</f>
        <v>10</v>
      </c>
      <c r="F954" s="3620"/>
      <c r="G954" s="3620">
        <v>0</v>
      </c>
      <c r="H954" s="3620"/>
      <c r="I954" s="3620"/>
      <c r="J954" s="3620"/>
      <c r="K954" s="2613"/>
      <c r="L954" s="2613"/>
      <c r="M954" s="2613"/>
      <c r="N954" s="3898" t="s">
        <v>12153</v>
      </c>
      <c r="O954" s="2613"/>
      <c r="P954" s="2613"/>
      <c r="Q954" s="2613"/>
      <c r="R954" s="2613"/>
      <c r="S954" s="3895">
        <f t="shared" si="352"/>
        <v>50</v>
      </c>
      <c r="T954" s="2613"/>
      <c r="U954" s="2613"/>
      <c r="V954" s="2613"/>
      <c r="W954" s="2613"/>
      <c r="X954" s="3806">
        <f t="shared" si="353"/>
        <v>0</v>
      </c>
      <c r="Y954" s="3620">
        <f>IF(OR(Y956&gt;0,COUNTIF(PDs!$AD$59:$AD$77,D954)&gt;0),1,0)</f>
        <v>0</v>
      </c>
      <c r="Z954" s="3620" t="str">
        <f>IF(AND(AND(Medicina_final&gt;=60,Medicina_final&lt;&gt;"-"),T.Manos_final&gt;=40),"-","NO")</f>
        <v>NO</v>
      </c>
      <c r="AA954" s="3896">
        <f>HA_final-PDs!$X$25+MIN(PDs!$X$25+H$1013-H954,50)</f>
        <v>0</v>
      </c>
      <c r="AB954" s="2615">
        <f>HE_final-PDs!$X$27+MIN(PDs!$X$27+I$1013-I954,50)</f>
        <v>0</v>
      </c>
      <c r="AC954" s="3897">
        <f>HP_final-PDs!$X$26+MIN(PDs!$X$26+J$1013-J954,50)</f>
        <v>0</v>
      </c>
      <c r="AP954" s="510"/>
      <c r="AQ954" s="510"/>
    </row>
    <row r="955" spans="1:43" ht="12.75" customHeight="1">
      <c r="A955" s="219">
        <v>936</v>
      </c>
      <c r="B955" s="7145"/>
      <c r="C955" s="3892"/>
      <c r="D955" s="3893" t="s">
        <v>12154</v>
      </c>
      <c r="E955" s="3620">
        <f>20+Bono_Fue</f>
        <v>20</v>
      </c>
      <c r="F955" s="3620"/>
      <c r="G955" s="3620">
        <v>10</v>
      </c>
      <c r="H955" s="3620">
        <v>5</v>
      </c>
      <c r="I955" s="3620"/>
      <c r="J955" s="3620"/>
      <c r="K955" s="2613"/>
      <c r="L955" s="2613"/>
      <c r="M955" s="2613"/>
      <c r="N955" s="3898" t="s">
        <v>12155</v>
      </c>
      <c r="O955" s="2613"/>
      <c r="P955" s="2613"/>
      <c r="Q955" s="2613"/>
      <c r="R955" s="2613"/>
      <c r="S955" s="3895">
        <f t="shared" si="352"/>
        <v>50</v>
      </c>
      <c r="T955" s="2613"/>
      <c r="U955" s="2613"/>
      <c r="V955" s="2613"/>
      <c r="W955" s="2613"/>
      <c r="X955" s="3806">
        <f t="shared" si="353"/>
        <v>0</v>
      </c>
      <c r="Y955" s="3620">
        <f>IF(OR(Y956&gt;0,COUNTIF(PDs!$AD$59:$AD$77,D955)&gt;0),1,0)</f>
        <v>0</v>
      </c>
      <c r="Z955" s="3620" t="str">
        <f>IF(AND(AND(Medicina_final&gt;=80,Medicina_final&lt;&gt;"-"),T.Manos_final&gt;=80,Ki!Q38=10,AA955&gt;=140),"-","NO")</f>
        <v>NO</v>
      </c>
      <c r="AA955" s="3896">
        <f>HA_final-PDs!$X$25+MIN(PDs!$X$25+H$1013-H955,50)</f>
        <v>-5</v>
      </c>
      <c r="AB955" s="2615">
        <f>HE_final-PDs!$X$27+MIN(PDs!$X$27+I$1013-I955,50)</f>
        <v>0</v>
      </c>
      <c r="AC955" s="3897">
        <f>HP_final-PDs!$X$26+MIN(PDs!$X$26+J$1013-J955,50)</f>
        <v>0</v>
      </c>
      <c r="AP955" s="510"/>
      <c r="AQ955" s="510"/>
    </row>
    <row r="956" spans="1:43" ht="12.75" customHeight="1">
      <c r="A956" s="219">
        <v>937</v>
      </c>
      <c r="B956" s="7145"/>
      <c r="C956" s="3892"/>
      <c r="D956" s="3893" t="s">
        <v>12156</v>
      </c>
      <c r="E956" s="3620">
        <f>30+Bono_Fue</f>
        <v>30</v>
      </c>
      <c r="F956" s="3620"/>
      <c r="G956" s="3620">
        <v>20</v>
      </c>
      <c r="H956" s="3620">
        <v>5</v>
      </c>
      <c r="I956" s="3620"/>
      <c r="J956" s="3620"/>
      <c r="K956" s="2613"/>
      <c r="L956" s="2613"/>
      <c r="M956" s="2613"/>
      <c r="N956" s="3898" t="s">
        <v>12157</v>
      </c>
      <c r="O956" s="2613"/>
      <c r="P956" s="2613"/>
      <c r="Q956" s="2613"/>
      <c r="R956" s="2613"/>
      <c r="S956" s="3895">
        <f t="shared" si="352"/>
        <v>50</v>
      </c>
      <c r="T956" s="2613"/>
      <c r="U956" s="2613"/>
      <c r="V956" s="2613"/>
      <c r="W956" s="2613"/>
      <c r="X956" s="3806">
        <f t="shared" si="353"/>
        <v>0</v>
      </c>
      <c r="Y956" s="3620">
        <f>IF(COUNTIF(PDs!$AD$59:$AD$77,D956)&gt;0,1,0)</f>
        <v>0</v>
      </c>
      <c r="Z956" s="3620" t="str">
        <f>IF(AND(AND(Medicina_final&gt;=120,Medicina_final&lt;&gt;"-"),T.Manos_final&gt;=140,Ki!Q38=10,AA956&gt;=200),"-","NO")</f>
        <v>NO</v>
      </c>
      <c r="AA956" s="3896">
        <f>HA_final-PDs!$X$25+MIN(PDs!$X$25+H$1013-H956,50)</f>
        <v>-5</v>
      </c>
      <c r="AB956" s="2615">
        <f>HE_final-PDs!$X$27+MIN(PDs!$X$27+I$1013-I956,50)</f>
        <v>0</v>
      </c>
      <c r="AC956" s="3897">
        <f>HP_final-PDs!$X$26+MIN(PDs!$X$26+J$1013-J956,50)</f>
        <v>0</v>
      </c>
      <c r="AP956" s="510"/>
      <c r="AQ956" s="510"/>
    </row>
    <row r="957" spans="1:43" ht="12.75" customHeight="1">
      <c r="A957" s="219">
        <v>938</v>
      </c>
      <c r="B957" s="7145"/>
      <c r="C957" s="3892"/>
      <c r="D957" s="3893" t="s">
        <v>12158</v>
      </c>
      <c r="E957" s="3620">
        <f>10+Bono_Fue</f>
        <v>10</v>
      </c>
      <c r="F957" s="3620"/>
      <c r="G957" s="3620">
        <v>0</v>
      </c>
      <c r="H957" s="3620"/>
      <c r="I957" s="3620"/>
      <c r="J957" s="3620"/>
      <c r="K957" s="2613"/>
      <c r="L957" s="2613"/>
      <c r="M957" s="2613"/>
      <c r="N957" s="3898" t="s">
        <v>12159</v>
      </c>
      <c r="O957" s="2613"/>
      <c r="P957" s="2613"/>
      <c r="Q957" s="2613"/>
      <c r="R957" s="2613"/>
      <c r="S957" s="3895">
        <f t="shared" si="352"/>
        <v>16</v>
      </c>
      <c r="T957" s="2613"/>
      <c r="U957" s="2613"/>
      <c r="V957" s="2613"/>
      <c r="W957" s="2613"/>
      <c r="X957" s="3806">
        <f t="shared" si="353"/>
        <v>0</v>
      </c>
      <c r="Y957" s="3620">
        <f>IF(OR(Y959&gt;0,COUNTIF(PDs!$AD$59:$AD$77,D957)&gt;0),1,0)</f>
        <v>0</v>
      </c>
      <c r="Z957" s="3620" t="str">
        <f>IF(T.Manos_final&gt;=40,"-","NO")</f>
        <v>NO</v>
      </c>
      <c r="AA957" s="3896">
        <f>HA_final-PDs!$X$25+MIN(PDs!$X$25+H$1013-H957,50)</f>
        <v>0</v>
      </c>
      <c r="AB957" s="2615">
        <f>HE_final-PDs!$X$27+MIN(PDs!$X$27+I$1013-I957,50)</f>
        <v>0</v>
      </c>
      <c r="AC957" s="3897">
        <f>HP_final-PDs!$X$26+MIN(PDs!$X$26+J$1013-J957,50)</f>
        <v>0</v>
      </c>
      <c r="AP957" s="510"/>
      <c r="AQ957" s="510"/>
    </row>
    <row r="958" spans="1:43" ht="12.75" customHeight="1">
      <c r="A958" s="219">
        <v>939</v>
      </c>
      <c r="B958" s="7145"/>
      <c r="C958" s="3892"/>
      <c r="D958" s="3893" t="s">
        <v>12160</v>
      </c>
      <c r="E958" s="3620">
        <f>20+Bono_Fue</f>
        <v>20</v>
      </c>
      <c r="F958" s="3620"/>
      <c r="G958" s="3620">
        <v>0</v>
      </c>
      <c r="H958" s="3620"/>
      <c r="I958" s="3620"/>
      <c r="J958" s="3620"/>
      <c r="K958" s="2613"/>
      <c r="L958" s="2613"/>
      <c r="M958" s="2613"/>
      <c r="N958" s="3898" t="s">
        <v>12547</v>
      </c>
      <c r="O958" s="2613"/>
      <c r="P958" s="2613"/>
      <c r="Q958" s="2613"/>
      <c r="R958" s="2613"/>
      <c r="S958" s="3895">
        <f t="shared" si="352"/>
        <v>16</v>
      </c>
      <c r="T958" s="2613"/>
      <c r="U958" s="2613"/>
      <c r="V958" s="2613"/>
      <c r="W958" s="2613"/>
      <c r="X958" s="3806">
        <f t="shared" si="353"/>
        <v>0</v>
      </c>
      <c r="Y958" s="3620">
        <f>IF(OR(Y959&gt;0,COUNTIF(PDs!$AD$59:$AD$77,D958)&gt;0),1,0)</f>
        <v>0</v>
      </c>
      <c r="Z958" s="3620" t="str">
        <f>IF(AND(T.Manos_final&gt;=80,AA958&gt;=120),"-","NO")</f>
        <v>NO</v>
      </c>
      <c r="AA958" s="3896">
        <f>HA_final-PDs!$X$25+MIN(PDs!$X$25+H$1013-H958,50)</f>
        <v>0</v>
      </c>
      <c r="AB958" s="2615">
        <f>HE_final-PDs!$X$27+MIN(PDs!$X$27+I$1013-I958,50)</f>
        <v>0</v>
      </c>
      <c r="AC958" s="3897">
        <f>HP_final-PDs!$X$26+MIN(PDs!$X$26+J$1013-J958,50)</f>
        <v>0</v>
      </c>
      <c r="AP958" s="510"/>
      <c r="AQ958" s="510"/>
    </row>
    <row r="959" spans="1:43" ht="12.75" customHeight="1">
      <c r="A959" s="219">
        <v>940</v>
      </c>
      <c r="B959" s="7145"/>
      <c r="C959" s="3892"/>
      <c r="D959" s="3893" t="s">
        <v>12162</v>
      </c>
      <c r="E959" s="3620">
        <f>30+Bono_Fue</f>
        <v>30</v>
      </c>
      <c r="F959" s="3620"/>
      <c r="G959" s="3620">
        <v>10</v>
      </c>
      <c r="H959" s="3620">
        <v>10</v>
      </c>
      <c r="I959" s="3620"/>
      <c r="J959" s="3620"/>
      <c r="K959" s="2613"/>
      <c r="L959" s="2613"/>
      <c r="M959" s="2613"/>
      <c r="N959" s="3898" t="s">
        <v>12161</v>
      </c>
      <c r="O959" s="2613"/>
      <c r="P959" s="2613"/>
      <c r="Q959" s="2613"/>
      <c r="R959" s="2613"/>
      <c r="S959" s="3895">
        <f t="shared" si="352"/>
        <v>16</v>
      </c>
      <c r="T959" s="2613"/>
      <c r="U959" s="2613"/>
      <c r="V959" s="2613"/>
      <c r="W959" s="2613"/>
      <c r="X959" s="3806">
        <f t="shared" si="353"/>
        <v>0</v>
      </c>
      <c r="Y959" s="3620">
        <f>IF(COUNTIF(PDs!$AD$59:$AD$77,D959)&gt;0,1,0)</f>
        <v>0</v>
      </c>
      <c r="Z959" s="3620" t="str">
        <f>IF(AND(T.Manos_final&gt;=120,AA959&gt;=200,Ki!Q40=10),"-","NO")</f>
        <v>NO</v>
      </c>
      <c r="AA959" s="3896">
        <f>HA_final-PDs!$X$25+MIN(PDs!$X$25+H$1013-H959,50)</f>
        <v>-10</v>
      </c>
      <c r="AB959" s="2615">
        <f>HE_final-PDs!$X$27+MIN(PDs!$X$27+I$1013-I959,50)</f>
        <v>0</v>
      </c>
      <c r="AC959" s="3897">
        <f>HP_final-PDs!$X$26+MIN(PDs!$X$26+J$1013-J959,50)</f>
        <v>0</v>
      </c>
      <c r="AP959" s="510"/>
      <c r="AQ959" s="510"/>
    </row>
    <row r="960" spans="1:43" ht="12.75" customHeight="1">
      <c r="A960" s="219">
        <v>941</v>
      </c>
      <c r="B960" s="7145"/>
      <c r="C960" s="443"/>
      <c r="D960" s="78" t="s">
        <v>807</v>
      </c>
      <c r="E960" s="75"/>
      <c r="F960" s="75"/>
      <c r="G960" s="75"/>
      <c r="H960" s="75"/>
      <c r="I960" s="75"/>
      <c r="J960" s="75"/>
      <c r="K960" s="75"/>
      <c r="L960" s="75"/>
      <c r="M960" s="2110"/>
      <c r="N960" s="2110" t="s">
        <v>1315</v>
      </c>
      <c r="O960" s="2110"/>
      <c r="P960" s="2110"/>
      <c r="Q960" s="2110"/>
      <c r="R960" s="2110"/>
      <c r="S960" s="70"/>
      <c r="T960" s="75"/>
      <c r="U960" s="75"/>
      <c r="V960" s="75"/>
      <c r="W960" s="75"/>
      <c r="X960" s="75"/>
      <c r="Y960" s="75"/>
      <c r="Z960" s="75" t="s">
        <v>1315</v>
      </c>
      <c r="AA960" s="926"/>
      <c r="AB960" s="699"/>
      <c r="AC960" s="3619"/>
      <c r="AP960" s="510"/>
      <c r="AQ960" s="510"/>
    </row>
    <row r="961" spans="1:43" ht="12.75" customHeight="1">
      <c r="A961" s="219">
        <v>942</v>
      </c>
      <c r="B961" s="7145"/>
      <c r="C961" s="443"/>
      <c r="D961" s="210" t="s">
        <v>808</v>
      </c>
      <c r="E961" s="75">
        <v>0</v>
      </c>
      <c r="F961" s="75">
        <v>10</v>
      </c>
      <c r="G961" s="75">
        <v>10</v>
      </c>
      <c r="H961" s="75">
        <v>10</v>
      </c>
      <c r="I961" s="75">
        <v>10</v>
      </c>
      <c r="J961" s="75">
        <v>10</v>
      </c>
      <c r="K961" s="75">
        <v>10</v>
      </c>
      <c r="L961" s="75"/>
      <c r="M961" s="2110"/>
      <c r="N961" s="2110" t="s">
        <v>1315</v>
      </c>
      <c r="O961" s="2110"/>
      <c r="P961" s="2110"/>
      <c r="Q961" s="2110"/>
      <c r="R961" s="2110"/>
      <c r="S961" s="70">
        <f t="shared" si="352"/>
        <v>1</v>
      </c>
      <c r="T961" s="75"/>
      <c r="U961" s="75"/>
      <c r="V961" s="75"/>
      <c r="W961" s="75"/>
      <c r="X961" s="75">
        <f t="shared" si="353"/>
        <v>0</v>
      </c>
      <c r="Y961" s="75">
        <f>IF(OR(Y962&gt;0,COUNTIF(PDs!$AD$59:$AD$77,Tablas!D961)&gt;0),1,0)</f>
        <v>0</v>
      </c>
      <c r="Z961" s="75" t="str">
        <f>IF(OR(AA961&lt;160,MAX(AB961,AC961)&lt;160,$Y$916=0),"NO","-")</f>
        <v>NO</v>
      </c>
      <c r="AA961" s="926" cm="1">
        <f t="array" ref="AA961">HA_final-PDs!$X$25+MIN(PDs!$X$25+H$1013-H961,50)+MAX(V$893:V960*$Y$893:$Y960,V962:V$1012*$Y962:$Y$1012)</f>
        <v>-10</v>
      </c>
      <c r="AB961" s="699" cm="1">
        <f t="array" ref="AB961">HE_final-PDs!$X$27+MIN(PDs!$X$27+I$1013-I961,50)+MAX(W$893:W960*$Y$893:$Y960,W962:W$1012*$Y962:$Y$1012)</f>
        <v>-10</v>
      </c>
      <c r="AC961" s="3619" cm="1">
        <f t="array" ref="AC961">HP_final-PDs!$X$26+MIN(PDs!$X$26+J$1013-J961,50)+MAX(W$893:W960*$Y$893:$Y960,W962:W$1012*$Y962:$Y$1012)</f>
        <v>-10</v>
      </c>
      <c r="AP961" s="510"/>
      <c r="AQ961" s="510"/>
    </row>
    <row r="962" spans="1:43" ht="12.75" customHeight="1">
      <c r="A962" s="219">
        <v>943</v>
      </c>
      <c r="B962" s="7145"/>
      <c r="C962" s="443"/>
      <c r="D962" s="210" t="s">
        <v>809</v>
      </c>
      <c r="E962" s="75">
        <v>0</v>
      </c>
      <c r="F962" s="75"/>
      <c r="G962" s="75">
        <v>20</v>
      </c>
      <c r="H962" s="75"/>
      <c r="I962" s="75"/>
      <c r="J962" s="75"/>
      <c r="K962" s="75"/>
      <c r="L962" s="75"/>
      <c r="M962" s="2110"/>
      <c r="N962" s="2110" t="s">
        <v>810</v>
      </c>
      <c r="O962" s="2110"/>
      <c r="P962" s="2110"/>
      <c r="Q962" s="2110"/>
      <c r="R962" s="2110"/>
      <c r="S962" s="70">
        <f t="shared" si="352"/>
        <v>61</v>
      </c>
      <c r="T962" s="75"/>
      <c r="U962" s="75"/>
      <c r="V962" s="75">
        <v>10</v>
      </c>
      <c r="W962" s="75">
        <v>10</v>
      </c>
      <c r="X962" s="75">
        <f t="shared" si="353"/>
        <v>0</v>
      </c>
      <c r="Y962" s="75">
        <f>IF(COUNTIF(PDs!$AD$59:$AD$77,Tablas!D962)&gt;0,1,0)</f>
        <v>0</v>
      </c>
      <c r="Z962" s="75" t="str">
        <f>IF(OR(AA962&lt;280,MAX(AB962,AC962)&lt;280,$Y$917=0,NOT(Inhumanidad)),"NO","-")</f>
        <v>NO</v>
      </c>
      <c r="AA962" s="926" cm="1">
        <f t="array" ref="AA962">HA_final-PDs!$X$25+MIN(PDs!$X$25+H$1013-H962,50)+MAX(V$893:V961*$Y$893:$Y961,V963:V$1012*$Y963:$Y$1012)</f>
        <v>0</v>
      </c>
      <c r="AB962" s="699" cm="1">
        <f t="array" ref="AB962">HE_final-PDs!$X$27+MIN(PDs!$X$27+I$1013-I962,50)+MAX(W$893:W961*$Y$893:$Y961,W963:W$1012*$Y963:$Y$1012)</f>
        <v>0</v>
      </c>
      <c r="AC962" s="3619" cm="1">
        <f t="array" ref="AC962">HP_final-PDs!$X$26+MIN(PDs!$X$26+J$1013-J962,50)+MAX(W$893:W961*$Y$893:$Y961,W963:W$1012*$Y963:$Y$1012)</f>
        <v>0</v>
      </c>
      <c r="AP962" s="510"/>
      <c r="AQ962" s="510"/>
    </row>
    <row r="963" spans="1:43" ht="12.75" customHeight="1">
      <c r="A963" s="219">
        <v>944</v>
      </c>
      <c r="B963" s="7145"/>
      <c r="C963" s="443"/>
      <c r="D963" s="210" t="s">
        <v>811</v>
      </c>
      <c r="E963" s="75">
        <v>0</v>
      </c>
      <c r="F963" s="75">
        <v>10</v>
      </c>
      <c r="G963" s="75">
        <v>10</v>
      </c>
      <c r="H963" s="75">
        <v>20</v>
      </c>
      <c r="I963" s="75"/>
      <c r="J963" s="75"/>
      <c r="K963" s="75"/>
      <c r="L963" s="75"/>
      <c r="M963" s="75">
        <v>10</v>
      </c>
      <c r="N963" s="2110" t="s">
        <v>9526</v>
      </c>
      <c r="O963" s="2110"/>
      <c r="P963" s="2110"/>
      <c r="Q963" s="2110"/>
      <c r="R963" s="2110"/>
      <c r="S963" s="70">
        <f t="shared" si="352"/>
        <v>43</v>
      </c>
      <c r="T963" s="75" t="s">
        <v>1410</v>
      </c>
      <c r="U963" s="75" t="s">
        <v>1411</v>
      </c>
      <c r="V963" s="75"/>
      <c r="W963" s="75"/>
      <c r="X963" s="75">
        <f t="shared" si="353"/>
        <v>0</v>
      </c>
      <c r="Y963" s="75">
        <f>IF(OR(Y964&gt;0,COUNTIF(PDs!$AD$59:$AD$77,Tablas!D963)&gt;0),1,0)</f>
        <v>0</v>
      </c>
      <c r="Z963" s="75" t="str">
        <f>IF(OR(NOT(OR($Y$910=1,$Y$901=1)),NOT(OR(Extrusióndepresencia,Extrusióndevacío))),"NO","-")</f>
        <v>NO</v>
      </c>
      <c r="AA963" s="926" cm="1">
        <f t="array" ref="AA963">HA_final-PDs!$X$25+MIN(PDs!$X$25+H$1013-H963,50)+MAX(V$893:V962*$Y$893:$Y962,V964:V$1012*$Y964:$Y$1012)</f>
        <v>-20</v>
      </c>
      <c r="AB963" s="699" cm="1">
        <f t="array" ref="AB963">HE_final-PDs!$X$27+MIN(PDs!$X$27+I$1013-I963,50)+MAX(W$893:W962*$Y$893:$Y962,W964:W$1012*$Y964:$Y$1012)</f>
        <v>0</v>
      </c>
      <c r="AC963" s="3619" cm="1">
        <f t="array" ref="AC963">HP_final-PDs!$X$26+MIN(PDs!$X$26+J$1013-J963,50)+MAX(W$893:W962*$Y$893:$Y962,W964:W$1012*$Y964:$Y$1012)</f>
        <v>0</v>
      </c>
      <c r="AP963" s="510"/>
      <c r="AQ963" s="510"/>
    </row>
    <row r="964" spans="1:43" ht="12.75" customHeight="1">
      <c r="A964" s="219">
        <v>945</v>
      </c>
      <c r="B964" s="7145"/>
      <c r="C964" s="443"/>
      <c r="D964" s="210" t="s">
        <v>812</v>
      </c>
      <c r="E964" s="75">
        <v>0</v>
      </c>
      <c r="F964" s="75">
        <v>10</v>
      </c>
      <c r="G964" s="75">
        <v>20</v>
      </c>
      <c r="H964" s="75"/>
      <c r="I964" s="75"/>
      <c r="J964" s="75"/>
      <c r="K964" s="75"/>
      <c r="L964" s="75"/>
      <c r="M964" s="75">
        <v>15</v>
      </c>
      <c r="N964" s="2110" t="s">
        <v>9527</v>
      </c>
      <c r="O964" s="2110"/>
      <c r="P964" s="2110"/>
      <c r="Q964" s="2110"/>
      <c r="R964" s="2110"/>
      <c r="S964" s="70">
        <f t="shared" si="352"/>
        <v>67</v>
      </c>
      <c r="T964" s="75"/>
      <c r="U964" s="75"/>
      <c r="V964" s="75">
        <v>20</v>
      </c>
      <c r="W964" s="75"/>
      <c r="X964" s="75">
        <f t="shared" si="353"/>
        <v>0</v>
      </c>
      <c r="Y964" s="75">
        <f>IF(COUNTIF(PDs!$AD$59:$AD$77,Tablas!D964)&gt;0,1,0)</f>
        <v>0</v>
      </c>
      <c r="Z964" s="75" t="str">
        <f>IF(OR(NOT(OR($Y$911=1,$Y$902=1)),NOT(OR(Extrusióndepresencia,Extrusióndevacío)),NOT(Inhumanidad),AA964&lt;280),"NO","-")</f>
        <v>NO</v>
      </c>
      <c r="AA964" s="926" cm="1">
        <f t="array" ref="AA964">HA_final-PDs!$X$25+MIN(PDs!$X$25+H$1013-H964,50)+MAX(V$893:V963*$Y$893:$Y963,V965:V$1012*$Y965:$Y$1012)</f>
        <v>0</v>
      </c>
      <c r="AB964" s="699" cm="1">
        <f t="array" ref="AB964">HE_final-PDs!$X$27+MIN(PDs!$X$27+I$1013-I964,50)+MAX(W$893:W963*$Y$893:$Y963,W965:W$1012*$Y965:$Y$1012)</f>
        <v>0</v>
      </c>
      <c r="AC964" s="3619" cm="1">
        <f t="array" ref="AC964">HP_final-PDs!$X$26+MIN(PDs!$X$26+J$1013-J964,50)+MAX(W$893:W963*$Y$893:$Y963,W965:W$1012*$Y965:$Y$1012)</f>
        <v>0</v>
      </c>
      <c r="AP964" s="510"/>
      <c r="AQ964" s="510"/>
    </row>
    <row r="965" spans="1:43" ht="12.75" customHeight="1">
      <c r="A965" s="219">
        <v>946</v>
      </c>
      <c r="B965" s="7145"/>
      <c r="C965" s="443"/>
      <c r="D965" s="210" t="s">
        <v>813</v>
      </c>
      <c r="E965" s="75">
        <v>0</v>
      </c>
      <c r="F965" s="75"/>
      <c r="G965" s="75">
        <v>10</v>
      </c>
      <c r="H965" s="75">
        <v>20</v>
      </c>
      <c r="I965" s="75"/>
      <c r="J965" s="75"/>
      <c r="K965" s="75">
        <v>10</v>
      </c>
      <c r="L965" s="75"/>
      <c r="M965" s="2110"/>
      <c r="N965" s="2110" t="str">
        <f>IF($Y$923=0,"Desarmar sin penalizador y con +3 a los controles enfrentados","Desarmar sin penalizador y con +4 a los controles enfrentados")</f>
        <v>Desarmar sin penalizador y con +3 a los controles enfrentados</v>
      </c>
      <c r="O965" s="2110"/>
      <c r="P965" s="2110"/>
      <c r="Q965" s="2110"/>
      <c r="R965" s="2110"/>
      <c r="S965" s="70">
        <f t="shared" si="352"/>
        <v>61</v>
      </c>
      <c r="T965" s="75"/>
      <c r="U965" s="75"/>
      <c r="V965" s="75"/>
      <c r="W965" s="75"/>
      <c r="X965" s="75">
        <f t="shared" si="353"/>
        <v>0</v>
      </c>
      <c r="Y965" s="75">
        <f>IF(OR(Y966&gt;0,COUNTIF(PDs!$AD$59:$AD$77,Tablas!D965)&gt;0),1,0)</f>
        <v>0</v>
      </c>
      <c r="Z965" s="75" t="str">
        <f>IF(OR(NOT(OR($Y$910=1,$Y$912=1,$Y$922=1)),AA965&lt;200),"NO","-")</f>
        <v>NO</v>
      </c>
      <c r="AA965" s="926" cm="1">
        <f t="array" ref="AA965">HA_final-PDs!$X$25+MIN(PDs!$X$25+H$1013-H965,50)+MAX(V$893:V964*$Y$893:$Y964,V966:V$1012*$Y966:$Y$1012)</f>
        <v>-20</v>
      </c>
      <c r="AB965" s="699" cm="1">
        <f t="array" ref="AB965">HE_final-PDs!$X$27+MIN(PDs!$X$27+I$1013-I965,50)+MAX(W$893:W964*$Y$893:$Y964,W966:W$1012*$Y966:$Y$1012)</f>
        <v>0</v>
      </c>
      <c r="AC965" s="3619" cm="1">
        <f t="array" ref="AC965">HP_final-PDs!$X$26+MIN(PDs!$X$26+J$1013-J965,50)+MAX(W$893:W964*$Y$893:$Y964,W966:W$1012*$Y966:$Y$1012)</f>
        <v>0</v>
      </c>
      <c r="AP965" s="510"/>
      <c r="AQ965" s="510"/>
    </row>
    <row r="966" spans="1:43" ht="12.75" customHeight="1">
      <c r="A966" s="219">
        <v>947</v>
      </c>
      <c r="B966" s="7145"/>
      <c r="C966" s="443"/>
      <c r="D966" s="210" t="s">
        <v>814</v>
      </c>
      <c r="E966" s="75">
        <v>0</v>
      </c>
      <c r="F966" s="75"/>
      <c r="G966" s="75">
        <v>20</v>
      </c>
      <c r="H966" s="75"/>
      <c r="I966" s="75"/>
      <c r="J966" s="75"/>
      <c r="K966" s="75">
        <v>10</v>
      </c>
      <c r="L966" s="75"/>
      <c r="M966" s="2110"/>
      <c r="N966" s="2110" t="str">
        <f>IF($Y$923=0,"Desarmar bono +3 y sin penalizador","Desarmar bono +4 y sin penalizador")&amp;". Chequeo de Desarmar en cada Parada con éxito"</f>
        <v>Desarmar bono +3 y sin penalizador. Chequeo de Desarmar en cada Parada con éxito</v>
      </c>
      <c r="O966" s="2110"/>
      <c r="P966" s="2110"/>
      <c r="Q966" s="2110"/>
      <c r="R966" s="2110"/>
      <c r="S966" s="70">
        <f t="shared" si="352"/>
        <v>80</v>
      </c>
      <c r="T966" s="75"/>
      <c r="U966" s="75"/>
      <c r="V966" s="75">
        <v>20</v>
      </c>
      <c r="W966" s="75"/>
      <c r="X966" s="75">
        <f t="shared" si="353"/>
        <v>0</v>
      </c>
      <c r="Y966" s="75">
        <f>IF(COUNTIF(PDs!$AD$59:$AD$77,Tablas!D966)&gt;0,1,0)</f>
        <v>0</v>
      </c>
      <c r="Z966" s="75" t="str">
        <f>IF(OR(NOT(OR($Y$911=1,$Y$914=1,$Y$923=1)),AA966&lt;280,MAX(AB966,AC966)&lt;260),"NO","-")</f>
        <v>NO</v>
      </c>
      <c r="AA966" s="926" cm="1">
        <f t="array" ref="AA966">HA_final-PDs!$X$25+MIN(PDs!$X$25+H$1013-H966,50)+MAX(V$893:V965*$Y$893:$Y965,V967:V$1012*$Y967:$Y$1012)</f>
        <v>0</v>
      </c>
      <c r="AB966" s="699" cm="1">
        <f t="array" ref="AB966">HE_final-PDs!$X$27+MIN(PDs!$X$27+I$1013-I966,50)+MAX(W$893:W965*$Y$893:$Y965,W967:W$1012*$Y967:$Y$1012)</f>
        <v>0</v>
      </c>
      <c r="AC966" s="3619" cm="1">
        <f t="array" ref="AC966">HP_final-PDs!$X$26+MIN(PDs!$X$26+J$1013-J966,50)+MAX(W$893:W965*$Y$893:$Y965,W967:W$1012*$Y967:$Y$1012)</f>
        <v>0</v>
      </c>
      <c r="AP966" s="510"/>
      <c r="AQ966" s="510"/>
    </row>
    <row r="967" spans="1:43" ht="12.75" customHeight="1">
      <c r="A967" s="219">
        <v>948</v>
      </c>
      <c r="B967" s="7145"/>
      <c r="C967" s="443"/>
      <c r="D967" s="210" t="s">
        <v>815</v>
      </c>
      <c r="E967" s="75">
        <v>0</v>
      </c>
      <c r="F967" s="75"/>
      <c r="G967" s="75">
        <v>10</v>
      </c>
      <c r="H967" s="75"/>
      <c r="I967" s="75">
        <v>20</v>
      </c>
      <c r="J967" s="75">
        <v>20</v>
      </c>
      <c r="K967" s="75"/>
      <c r="L967" s="75"/>
      <c r="M967" s="2110"/>
      <c r="N967" s="2110" t="s">
        <v>816</v>
      </c>
      <c r="O967" s="2110"/>
      <c r="P967" s="2110"/>
      <c r="Q967" s="2110"/>
      <c r="R967" s="2110"/>
      <c r="S967" s="70">
        <f t="shared" si="352"/>
        <v>62</v>
      </c>
      <c r="T967" s="75"/>
      <c r="U967" s="75"/>
      <c r="V967" s="75"/>
      <c r="W967" s="75"/>
      <c r="X967" s="75">
        <f t="shared" si="353"/>
        <v>0</v>
      </c>
      <c r="Y967" s="75">
        <f>IF(OR(Y968&gt;0,COUNTIF(PDs!$AD$59:$AD$77,Tablas!D967)&gt;0),1,0)</f>
        <v>0</v>
      </c>
      <c r="Z967" s="75" t="str">
        <f>IF(OR(NOT(OR($Y$931=1,$Y$934=1)),AA967&lt;160,MAX(AB967,AC967)&lt;160),"NO","-")</f>
        <v>NO</v>
      </c>
      <c r="AA967" s="926" cm="1">
        <f t="array" ref="AA967">HA_final-PDs!$X$25+MIN(PDs!$X$25+H$1013-H967,50)+MAX(V$893:V966*$Y$893:$Y966,V968:V$1012*$Y968:$Y$1012)</f>
        <v>0</v>
      </c>
      <c r="AB967" s="699" cm="1">
        <f t="array" ref="AB967">HE_final-PDs!$X$27+MIN(PDs!$X$27+I$1013-I967,50)+MAX(W$893:W966*$Y$893:$Y966,W968:W$1012*$Y968:$Y$1012)</f>
        <v>-20</v>
      </c>
      <c r="AC967" s="3619" cm="1">
        <f t="array" ref="AC967">HP_final-PDs!$X$26+MIN(PDs!$X$26+J$1013-J967,50)+MAX(W$893:W966*$Y$893:$Y966,W968:W$1012*$Y968:$Y$1012)</f>
        <v>-20</v>
      </c>
      <c r="AP967" s="510"/>
      <c r="AQ967" s="510"/>
    </row>
    <row r="968" spans="1:43" ht="12.75" customHeight="1">
      <c r="A968" s="219">
        <v>949</v>
      </c>
      <c r="B968" s="7145"/>
      <c r="C968" s="443"/>
      <c r="D968" s="210" t="s">
        <v>817</v>
      </c>
      <c r="E968" s="75">
        <v>0</v>
      </c>
      <c r="F968" s="75"/>
      <c r="G968" s="75">
        <v>20</v>
      </c>
      <c r="H968" s="75"/>
      <c r="I968" s="75"/>
      <c r="J968" s="75"/>
      <c r="K968" s="75"/>
      <c r="L968" s="75"/>
      <c r="M968" s="2110"/>
      <c r="N968" s="2110" t="s">
        <v>8333</v>
      </c>
      <c r="O968" s="2110"/>
      <c r="P968" s="2110"/>
      <c r="Q968" s="2110"/>
      <c r="R968" s="2110"/>
      <c r="S968" s="70">
        <f t="shared" si="352"/>
        <v>84</v>
      </c>
      <c r="T968" s="75"/>
      <c r="U968" s="75"/>
      <c r="V968" s="75">
        <v>15</v>
      </c>
      <c r="W968" s="75">
        <v>15</v>
      </c>
      <c r="X968" s="75">
        <f t="shared" si="353"/>
        <v>0</v>
      </c>
      <c r="Y968" s="75">
        <f>IF(COUNTIF(PDs!$AD$59:$AD$77,Tablas!D968)&gt;0,1,0)</f>
        <v>0</v>
      </c>
      <c r="Z968" s="75" t="str">
        <f>IF(OR(NOT(OR($Y$932=1,$Y$935=1)),AA968&lt;280,MAX(AB968,AC968)&lt;280,NOT(Inhumanidad),NOT(Erudición)),"NO","-")</f>
        <v>NO</v>
      </c>
      <c r="AA968" s="926" cm="1">
        <f t="array" ref="AA968">HA_final-PDs!$X$25+MIN(PDs!$X$25+H$1013-H968,50)+MAX(V$893:V967*$Y$893:$Y967,V969:V$1012*$Y969:$Y$1012)</f>
        <v>0</v>
      </c>
      <c r="AB968" s="699" cm="1">
        <f t="array" ref="AB968">HE_final-PDs!$X$27+MIN(PDs!$X$27+I$1013-I968,50)+MAX(W$893:W967*$Y$893:$Y967,W969:W$1012*$Y969:$Y$1012)</f>
        <v>0</v>
      </c>
      <c r="AC968" s="3619" cm="1">
        <f t="array" ref="AC968">HP_final-PDs!$X$26+MIN(PDs!$X$26+J$1013-J968,50)+MAX(W$893:W967*$Y$893:$Y967,W969:W$1012*$Y969:$Y$1012)</f>
        <v>0</v>
      </c>
      <c r="AP968" s="510"/>
      <c r="AQ968" s="510"/>
    </row>
    <row r="969" spans="1:43" ht="12.75" customHeight="1">
      <c r="A969" s="219">
        <v>950</v>
      </c>
      <c r="B969" s="7145"/>
      <c r="C969" s="443"/>
      <c r="D969" s="210" t="s">
        <v>818</v>
      </c>
      <c r="E969" s="75">
        <f>2*Presencia_final+Bono_Pod-Combate!$L$24</f>
        <v>60</v>
      </c>
      <c r="F969" s="75"/>
      <c r="G969" s="75">
        <v>15</v>
      </c>
      <c r="H969" s="75">
        <v>10</v>
      </c>
      <c r="I969" s="75"/>
      <c r="J969" s="75"/>
      <c r="K969" s="75"/>
      <c r="L969" s="75"/>
      <c r="M969" s="2110"/>
      <c r="N969" s="2110" t="s">
        <v>819</v>
      </c>
      <c r="O969" s="2110"/>
      <c r="P969" s="2110"/>
      <c r="Q969" s="2110"/>
      <c r="R969" s="2110"/>
      <c r="S969" s="70">
        <f t="shared" si="352"/>
        <v>37</v>
      </c>
      <c r="T969" s="75"/>
      <c r="U969" s="75"/>
      <c r="V969" s="75"/>
      <c r="W969" s="75"/>
      <c r="X969" s="75">
        <f t="shared" si="353"/>
        <v>0</v>
      </c>
      <c r="Y969" s="75">
        <f>IF(OR(Y970&gt;0,COUNTIF(PDs!$AD$59:$AD$77,Tablas!D969)&gt;0),1,0)</f>
        <v>0</v>
      </c>
      <c r="Z969" s="75" t="str">
        <f>IF(OR(NOT(OR($Y$907=1,$Y$943=1)),AA969&lt;200,NOT(OR(Extensióndelauraalarma,Extrusióndevacío))),"NO","-")</f>
        <v>NO</v>
      </c>
      <c r="AA969" s="926" cm="1">
        <f t="array" ref="AA969">HA_final-PDs!$X$25+MIN(PDs!$X$25+H$1013-H969,50)+MAX(V$893:V968*$Y$893:$Y968,V970:V$1012*$Y970:$Y$1012)</f>
        <v>-10</v>
      </c>
      <c r="AB969" s="699" cm="1">
        <f t="array" ref="AB969">HE_final-PDs!$X$27+MIN(PDs!$X$27+I$1013-I969,50)+MAX(W$893:W968*$Y$893:$Y968,W970:W$1012*$Y970:$Y$1012)</f>
        <v>0</v>
      </c>
      <c r="AC969" s="3619" cm="1">
        <f t="array" ref="AC969">HP_final-PDs!$X$26+MIN(PDs!$X$26+J$1013-J969,50)+MAX(W$893:W968*$Y$893:$Y968,W970:W$1012*$Y970:$Y$1012)</f>
        <v>0</v>
      </c>
      <c r="AP969" s="510"/>
      <c r="AQ969" s="510"/>
    </row>
    <row r="970" spans="1:43" ht="12.75" customHeight="1">
      <c r="A970" s="219">
        <v>951</v>
      </c>
      <c r="B970" s="7145"/>
      <c r="C970" s="443"/>
      <c r="D970" s="210" t="s">
        <v>820</v>
      </c>
      <c r="E970" s="75">
        <f>2*Presencia_final+Bono_Pod-Combate!$L$24</f>
        <v>60</v>
      </c>
      <c r="F970" s="75"/>
      <c r="G970" s="75">
        <v>35</v>
      </c>
      <c r="H970" s="75"/>
      <c r="I970" s="75"/>
      <c r="J970" s="75"/>
      <c r="K970" s="75"/>
      <c r="L970" s="75"/>
      <c r="M970" s="2110"/>
      <c r="N970" s="2110" t="s">
        <v>819</v>
      </c>
      <c r="O970" s="2110"/>
      <c r="P970" s="2110"/>
      <c r="Q970" s="2110"/>
      <c r="R970" s="2110"/>
      <c r="S970" s="70">
        <f t="shared" si="352"/>
        <v>37</v>
      </c>
      <c r="T970" s="75"/>
      <c r="U970" s="75"/>
      <c r="V970" s="75">
        <v>25</v>
      </c>
      <c r="W970" s="75"/>
      <c r="X970" s="75">
        <f t="shared" si="353"/>
        <v>0</v>
      </c>
      <c r="Y970" s="75">
        <f>IF(COUNTIF(PDs!$AD$59:$AD$77,Tablas!D970)&gt;0,1,0)</f>
        <v>0</v>
      </c>
      <c r="Z970" s="75" t="str">
        <f>IF(OR(NOT(OR($Y$908=1,$Y$944=1)),AA970&lt;300,NOT(OR(Extensióndelauraalarma,Extrusióndevacío)),NOT(Inhumanidad)),"NO","-")</f>
        <v>NO</v>
      </c>
      <c r="AA970" s="926" cm="1">
        <f t="array" ref="AA970">HA_final-PDs!$X$25+MIN(PDs!$X$25+H$1013-H970,50)+MAX(V$893:V969*$Y$893:$Y969,V971:V$1012*$Y971:$Y$1012)</f>
        <v>0</v>
      </c>
      <c r="AB970" s="699" cm="1">
        <f t="array" ref="AB970">HE_final-PDs!$X$27+MIN(PDs!$X$27+I$1013-I970,50)+MAX(W$893:W969*$Y$893:$Y969,W971:W$1012*$Y971:$Y$1012)</f>
        <v>0</v>
      </c>
      <c r="AC970" s="3619" cm="1">
        <f t="array" ref="AC970">HP_final-PDs!$X$26+MIN(PDs!$X$26+J$1013-J970,50)+MAX(W$893:W969*$Y$893:$Y969,W971:W$1012*$Y971:$Y$1012)</f>
        <v>0</v>
      </c>
      <c r="AP970" s="510"/>
      <c r="AQ970" s="510"/>
    </row>
    <row r="971" spans="1:43" ht="12.75" customHeight="1">
      <c r="A971" s="219">
        <v>952</v>
      </c>
      <c r="B971" s="7145"/>
      <c r="C971" s="443"/>
      <c r="D971" s="210" t="s">
        <v>821</v>
      </c>
      <c r="E971" s="75">
        <v>0</v>
      </c>
      <c r="F971" s="75"/>
      <c r="G971" s="75">
        <v>10</v>
      </c>
      <c r="H971" s="75">
        <v>10</v>
      </c>
      <c r="I971" s="75"/>
      <c r="J971" s="75"/>
      <c r="K971" s="75"/>
      <c r="L971" s="75"/>
      <c r="M971" s="2110"/>
      <c r="N971" s="2110" t="s">
        <v>822</v>
      </c>
      <c r="O971" s="2110"/>
      <c r="P971" s="2110"/>
      <c r="Q971" s="2110"/>
      <c r="R971" s="2110"/>
      <c r="S971" s="70">
        <f t="shared" si="352"/>
        <v>64</v>
      </c>
      <c r="T971" s="75"/>
      <c r="U971" s="75"/>
      <c r="V971" s="75"/>
      <c r="W971" s="75"/>
      <c r="X971" s="75">
        <f t="shared" si="353"/>
        <v>0</v>
      </c>
      <c r="Y971" s="75">
        <f>IF(OR(Y972&gt;0,COUNTIF(PDs!$AD$59:$AD$77,Tablas!D971)&gt;0),1,0)</f>
        <v>0</v>
      </c>
      <c r="Z971" s="75" t="str">
        <f>IF(OR(NOT(OR($Y$898=1,$Y$934=1)),AA971&lt;200),"NO","-")</f>
        <v>NO</v>
      </c>
      <c r="AA971" s="926" cm="1">
        <f t="array" ref="AA971">HA_final-PDs!$X$25+MIN(PDs!$X$25+H$1013-H971,50)+MAX(V$893:V970*$Y$893:$Y970,V972:V$1012*$Y972:$Y$1012)</f>
        <v>-10</v>
      </c>
      <c r="AB971" s="699" cm="1">
        <f t="array" ref="AB971">HE_final-PDs!$X$27+MIN(PDs!$X$27+I$1013-I971,50)+MAX(W$893:W970*$Y$893:$Y970,W972:W$1012*$Y972:$Y$1012)</f>
        <v>0</v>
      </c>
      <c r="AC971" s="3619" cm="1">
        <f t="array" ref="AC971">HP_final-PDs!$X$26+MIN(PDs!$X$26+J$1013-J971,50)+MAX(W$893:W970*$Y$893:$Y970,W972:W$1012*$Y972:$Y$1012)</f>
        <v>0</v>
      </c>
      <c r="AP971" s="510"/>
      <c r="AQ971" s="510"/>
    </row>
    <row r="972" spans="1:43" ht="12.75" customHeight="1">
      <c r="A972" s="219">
        <v>953</v>
      </c>
      <c r="B972" s="7145"/>
      <c r="C972" s="443"/>
      <c r="D972" s="210" t="s">
        <v>823</v>
      </c>
      <c r="E972" s="75">
        <v>0</v>
      </c>
      <c r="F972" s="75"/>
      <c r="G972" s="75">
        <v>20</v>
      </c>
      <c r="H972" s="75"/>
      <c r="I972" s="75"/>
      <c r="J972" s="75"/>
      <c r="K972" s="75"/>
      <c r="L972" s="75"/>
      <c r="M972" s="2110"/>
      <c r="N972" s="2110" t="s">
        <v>8334</v>
      </c>
      <c r="O972" s="2110"/>
      <c r="P972" s="2110"/>
      <c r="Q972" s="2110"/>
      <c r="R972" s="2110"/>
      <c r="S972" s="70">
        <f t="shared" si="352"/>
        <v>65</v>
      </c>
      <c r="T972" s="75"/>
      <c r="U972" s="75"/>
      <c r="V972" s="75">
        <v>15</v>
      </c>
      <c r="W972" s="75"/>
      <c r="X972" s="75">
        <f t="shared" si="353"/>
        <v>0</v>
      </c>
      <c r="Y972" s="75">
        <f>IF(COUNTIF(PDs!$AD$59:$AD$77,Tablas!D972)&gt;0,1,0)</f>
        <v>0</v>
      </c>
      <c r="Z972" s="75" t="str">
        <f>IF(OR(NOT(OR($Y$899=1,$Y$935=1)),AA972&lt;300,NOT(OR(Extrusióndepresencia,Extrusióndevacío)),NOT(Inhumanidad)),"NO","-")</f>
        <v>NO</v>
      </c>
      <c r="AA972" s="926" cm="1">
        <f t="array" ref="AA972">HA_final-PDs!$X$25+MIN(PDs!$X$25+H$1013-H972,50)+MAX(V$893:V971*$Y$893:$Y971,V973:V$1012*$Y973:$Y$1012)</f>
        <v>0</v>
      </c>
      <c r="AB972" s="699" cm="1">
        <f t="array" ref="AB972">HE_final-PDs!$X$27+MIN(PDs!$X$27+I$1013-I972,50)+MAX(W$893:W971*$Y$893:$Y971,W973:W$1012*$Y973:$Y$1012)</f>
        <v>0</v>
      </c>
      <c r="AC972" s="3619" cm="1">
        <f t="array" ref="AC972">HP_final-PDs!$X$26+MIN(PDs!$X$26+J$1013-J972,50)+MAX(W$893:W971*$Y$893:$Y971,W973:W$1012*$Y973:$Y$1012)</f>
        <v>0</v>
      </c>
      <c r="AP972" s="510"/>
      <c r="AQ972" s="510"/>
    </row>
    <row r="973" spans="1:43" ht="12.75" customHeight="1">
      <c r="A973" s="219">
        <v>954</v>
      </c>
      <c r="B973" s="7145"/>
      <c r="C973" s="443"/>
      <c r="D973" s="210" t="s">
        <v>824</v>
      </c>
      <c r="E973" s="75">
        <v>0</v>
      </c>
      <c r="F973" s="75">
        <v>20</v>
      </c>
      <c r="G973" s="75">
        <v>10</v>
      </c>
      <c r="H973" s="75">
        <v>10</v>
      </c>
      <c r="I973" s="75"/>
      <c r="J973" s="75"/>
      <c r="K973" s="75">
        <v>20</v>
      </c>
      <c r="L973" s="75"/>
      <c r="M973" s="2110"/>
      <c r="N973" s="2110" t="s">
        <v>825</v>
      </c>
      <c r="O973" s="2110"/>
      <c r="P973" s="2110"/>
      <c r="Q973" s="2110"/>
      <c r="R973" s="2110"/>
      <c r="S973" s="70">
        <f t="shared" si="352"/>
        <v>66</v>
      </c>
      <c r="T973" s="75"/>
      <c r="U973" s="75"/>
      <c r="V973" s="75"/>
      <c r="W973" s="75"/>
      <c r="X973" s="75">
        <f t="shared" si="353"/>
        <v>0</v>
      </c>
      <c r="Y973" s="75">
        <f>IF(OR(Y974&gt;0,COUNTIF(PDs!$AD$59:$AD$77,Tablas!D973)&gt;0),1,0)</f>
        <v>0</v>
      </c>
      <c r="Z973" s="75" t="str">
        <f>IF(OR(NOT(OR($Y$925=1,$Y$934=1)),AA973&lt;200),"NO","-")</f>
        <v>NO</v>
      </c>
      <c r="AA973" s="926" cm="1">
        <f t="array" ref="AA973">HA_final-PDs!$X$25+MIN(PDs!$X$25+H$1013-H973,50)+MAX(V$893:V972*$Y$893:$Y972,V974:V$1012*$Y974:$Y$1012)</f>
        <v>-10</v>
      </c>
      <c r="AB973" s="699" cm="1">
        <f t="array" ref="AB973">HE_final-PDs!$X$27+MIN(PDs!$X$27+I$1013-I973,50)+MAX(W$893:W972*$Y$893:$Y972,W974:W$1012*$Y974:$Y$1012)</f>
        <v>0</v>
      </c>
      <c r="AC973" s="3619" cm="1">
        <f t="array" ref="AC973">HP_final-PDs!$X$26+MIN(PDs!$X$26+J$1013-J973,50)+MAX(W$893:W972*$Y$893:$Y972,W974:W$1012*$Y974:$Y$1012)</f>
        <v>0</v>
      </c>
      <c r="AP973" s="510"/>
      <c r="AQ973" s="510"/>
    </row>
    <row r="974" spans="1:43" ht="12.75" customHeight="1">
      <c r="A974" s="219">
        <v>955</v>
      </c>
      <c r="B974" s="7145"/>
      <c r="C974" s="443"/>
      <c r="D974" s="210" t="s">
        <v>826</v>
      </c>
      <c r="E974" s="75">
        <v>0</v>
      </c>
      <c r="F974" s="75">
        <v>10</v>
      </c>
      <c r="G974" s="75">
        <v>20</v>
      </c>
      <c r="H974" s="75"/>
      <c r="I974" s="75"/>
      <c r="J974" s="75"/>
      <c r="K974" s="75">
        <v>20</v>
      </c>
      <c r="L974" s="75"/>
      <c r="M974" s="2110"/>
      <c r="N974" s="2110" t="s">
        <v>827</v>
      </c>
      <c r="O974" s="2110"/>
      <c r="P974" s="2110"/>
      <c r="Q974" s="2110"/>
      <c r="R974" s="2110"/>
      <c r="S974" s="70">
        <f t="shared" si="352"/>
        <v>53</v>
      </c>
      <c r="T974" s="75"/>
      <c r="U974" s="75"/>
      <c r="V974" s="75">
        <v>20</v>
      </c>
      <c r="W974" s="75"/>
      <c r="X974" s="75">
        <f t="shared" si="353"/>
        <v>0</v>
      </c>
      <c r="Y974" s="75">
        <f>IF(COUNTIF(PDs!$AD$59:$AD$77,Tablas!D974)&gt;0,1,0)</f>
        <v>0</v>
      </c>
      <c r="Z974" s="75" t="str">
        <f>IF(OR(NOT(OR($Y$926=1,$Y$935=1)),AA974&lt;300,NOT(OR(Usodelaenergíanecesaria,SinNecesidades)),NOT(Inhumanidad)),"NO","-")</f>
        <v>NO</v>
      </c>
      <c r="AA974" s="926" cm="1">
        <f t="array" ref="AA974">HA_final-PDs!$X$25+MIN(PDs!$X$25+H$1013-H974,50)+MAX(V$893:V973*$Y$893:$Y973,V975:V$1012*$Y975:$Y$1012)</f>
        <v>0</v>
      </c>
      <c r="AB974" s="699" cm="1">
        <f t="array" ref="AB974">HE_final-PDs!$X$27+MIN(PDs!$X$27+I$1013-I974,50)+MAX(W$893:W973*$Y$893:$Y973,W975:W$1012*$Y975:$Y$1012)</f>
        <v>0</v>
      </c>
      <c r="AC974" s="3619" cm="1">
        <f t="array" ref="AC974">HP_final-PDs!$X$26+MIN(PDs!$X$26+J$1013-J974,50)+MAX(W$893:W973*$Y$893:$Y973,W975:W$1012*$Y975:$Y$1012)</f>
        <v>0</v>
      </c>
      <c r="AP974" s="510"/>
      <c r="AQ974" s="510"/>
    </row>
    <row r="975" spans="1:43" ht="12.75" customHeight="1">
      <c r="A975" s="219">
        <v>956</v>
      </c>
      <c r="B975" s="7145"/>
      <c r="C975" s="443"/>
      <c r="D975" s="210" t="s">
        <v>828</v>
      </c>
      <c r="E975" s="75">
        <v>0</v>
      </c>
      <c r="F975" s="75"/>
      <c r="G975" s="75">
        <v>10</v>
      </c>
      <c r="H975" s="75"/>
      <c r="I975" s="75">
        <v>10</v>
      </c>
      <c r="J975" s="75">
        <v>10</v>
      </c>
      <c r="K975" s="75"/>
      <c r="L975" s="75"/>
      <c r="M975" s="2110"/>
      <c r="N975" s="2110" t="s">
        <v>8335</v>
      </c>
      <c r="O975" s="2110"/>
      <c r="P975" s="2110"/>
      <c r="Q975" s="2110"/>
      <c r="R975" s="2110"/>
      <c r="S975" s="70">
        <f t="shared" si="352"/>
        <v>46</v>
      </c>
      <c r="T975" s="75"/>
      <c r="U975" s="75"/>
      <c r="V975" s="75"/>
      <c r="W975" s="75"/>
      <c r="X975" s="75">
        <f t="shared" si="353"/>
        <v>0</v>
      </c>
      <c r="Y975" s="75">
        <f>IF(OR(Y976&gt;0,COUNTIF(PDs!$AD$59:$AD$77,Tablas!D975)&gt;0),1,0)</f>
        <v>0</v>
      </c>
      <c r="Z975" s="75" t="str">
        <f>IF(OR($Y$937=0,Advertir_final&lt;200,MAX(AB975,AC975)&lt;200,NOT(DeteccióndelKi)),"NO","-")</f>
        <v>NO</v>
      </c>
      <c r="AA975" s="926" cm="1">
        <f t="array" ref="AA975">HA_final-PDs!$X$25+MIN(PDs!$X$25+H$1013-H975,50)+MAX(V$893:V974*$Y$893:$Y974,V976:V$1012*$Y976:$Y$1012)</f>
        <v>0</v>
      </c>
      <c r="AB975" s="699" cm="1">
        <f t="array" ref="AB975">HE_final-PDs!$X$27+MIN(PDs!$X$27+I$1013-I975,50)+MAX(W$893:W974*$Y$893:$Y974,W976:W$1012*$Y976:$Y$1012)</f>
        <v>-10</v>
      </c>
      <c r="AC975" s="3619" cm="1">
        <f t="array" ref="AC975">HP_final-PDs!$X$26+MIN(PDs!$X$26+J$1013-J975,50)+MAX(W$893:W974*$Y$893:$Y974,W976:W$1012*$Y976:$Y$1012)</f>
        <v>-10</v>
      </c>
      <c r="AP975" s="510"/>
      <c r="AQ975" s="510"/>
    </row>
    <row r="976" spans="1:43" ht="12.75" customHeight="1">
      <c r="A976" s="219">
        <v>957</v>
      </c>
      <c r="B976" s="7145"/>
      <c r="C976" s="443"/>
      <c r="D976" s="210" t="s">
        <v>829</v>
      </c>
      <c r="E976" s="75">
        <v>0</v>
      </c>
      <c r="F976" s="75"/>
      <c r="G976" s="75">
        <v>20</v>
      </c>
      <c r="H976" s="75"/>
      <c r="I976" s="75"/>
      <c r="J976" s="75"/>
      <c r="K976" s="75"/>
      <c r="L976" s="75"/>
      <c r="M976" s="2110"/>
      <c r="N976" s="2110" t="s">
        <v>8336</v>
      </c>
      <c r="O976" s="2110"/>
      <c r="P976" s="2110"/>
      <c r="Q976" s="2110"/>
      <c r="R976" s="2110"/>
      <c r="S976" s="70">
        <f t="shared" si="352"/>
        <v>84</v>
      </c>
      <c r="T976" s="75"/>
      <c r="U976" s="75"/>
      <c r="V976" s="75">
        <v>20</v>
      </c>
      <c r="W976" s="75"/>
      <c r="X976" s="75">
        <f t="shared" si="353"/>
        <v>0</v>
      </c>
      <c r="Y976" s="75">
        <f>IF(COUNTIF(PDs!$AD$59:$AD$77,Tablas!D976)&gt;0,1,0)</f>
        <v>0</v>
      </c>
      <c r="Z976" s="75" t="str">
        <f>IF(OR($Y$938=0,Advertir_final&lt;240,MAX(AB976,AC976)&lt;300,NOT(Inhumanidad),NOT(Erudición)),"NO","-")</f>
        <v>NO</v>
      </c>
      <c r="AA976" s="926" cm="1">
        <f t="array" ref="AA976">HA_final-PDs!$X$25+MIN(PDs!$X$25+H$1013-H976,50)+MAX(V$893:V975*$Y$893:$Y975,V977:V$1012*$Y977:$Y$1012)</f>
        <v>0</v>
      </c>
      <c r="AB976" s="699" cm="1">
        <f t="array" ref="AB976">HE_final-PDs!$X$27+MIN(PDs!$X$27+I$1013-I976,50)+MAX(W$893:W975*$Y$893:$Y975,W977:W$1012*$Y977:$Y$1012)</f>
        <v>0</v>
      </c>
      <c r="AC976" s="3619" cm="1">
        <f t="array" ref="AC976">HP_final-PDs!$X$26+MIN(PDs!$X$26+J$1013-J976,50)+MAX(W$893:W975*$Y$893:$Y975,W977:W$1012*$Y977:$Y$1012)</f>
        <v>0</v>
      </c>
      <c r="AP976" s="510"/>
      <c r="AQ976" s="510"/>
    </row>
    <row r="977" spans="1:43" ht="12.75" customHeight="1">
      <c r="A977" s="219">
        <v>958</v>
      </c>
      <c r="B977" s="7145"/>
      <c r="C977" s="443"/>
      <c r="D977" s="210" t="s">
        <v>830</v>
      </c>
      <c r="E977" s="75">
        <v>0</v>
      </c>
      <c r="F977" s="75"/>
      <c r="G977" s="75">
        <v>10</v>
      </c>
      <c r="H977" s="75"/>
      <c r="I977" s="75">
        <v>20</v>
      </c>
      <c r="J977" s="75">
        <v>20</v>
      </c>
      <c r="K977" s="75"/>
      <c r="L977" s="75"/>
      <c r="M977" s="2110"/>
      <c r="N977" s="2110" t="s">
        <v>831</v>
      </c>
      <c r="O977" s="2110"/>
      <c r="P977" s="2110"/>
      <c r="Q977" s="2110"/>
      <c r="R977" s="2110"/>
      <c r="S977" s="70">
        <f t="shared" si="352"/>
        <v>44</v>
      </c>
      <c r="T977" s="75"/>
      <c r="U977" s="75"/>
      <c r="V977" s="75"/>
      <c r="W977" s="75"/>
      <c r="X977" s="75">
        <f t="shared" si="353"/>
        <v>0</v>
      </c>
      <c r="Y977" s="75">
        <f>IF(OR(Y978&gt;0,COUNTIF(PDs!$AD$59:$AD$77,Tablas!D977)&gt;0),1,0)</f>
        <v>0</v>
      </c>
      <c r="Z977" s="75" t="str">
        <f>IF(OR($Y$919=0,Estilo_final&lt;120,MAX(AB977,AC977)&lt;220,NOT(DeteccióndelKi)),"NO","-")</f>
        <v>NO</v>
      </c>
      <c r="AA977" s="926" cm="1">
        <f t="array" ref="AA977">HA_final-PDs!$X$25+MIN(PDs!$X$25+H$1013-H977,50)+MAX(V$893:V976*$Y$893:$Y976,V978:V$1012*$Y978:$Y$1012)</f>
        <v>0</v>
      </c>
      <c r="AB977" s="699" cm="1">
        <f t="array" ref="AB977">HE_final-PDs!$X$27+MIN(PDs!$X$27+I$1013-I977,50)+MAX(W$893:W976*$Y$893:$Y976,W978:W$1012*$Y978:$Y$1012)</f>
        <v>-20</v>
      </c>
      <c r="AC977" s="3619" cm="1">
        <f t="array" ref="AC977">HP_final-PDs!$X$26+MIN(PDs!$X$26+J$1013-J977,50)+MAX(W$893:W976*$Y$893:$Y976,W978:W$1012*$Y978:$Y$1012)</f>
        <v>-20</v>
      </c>
      <c r="AP977" s="510"/>
      <c r="AQ977" s="510"/>
    </row>
    <row r="978" spans="1:43" ht="12.75" customHeight="1">
      <c r="A978" s="219">
        <v>959</v>
      </c>
      <c r="B978" s="7145"/>
      <c r="C978" s="443"/>
      <c r="D978" s="210" t="s">
        <v>832</v>
      </c>
      <c r="E978" s="75">
        <v>0</v>
      </c>
      <c r="F978" s="75"/>
      <c r="G978" s="75">
        <v>20</v>
      </c>
      <c r="H978" s="75"/>
      <c r="I978" s="75"/>
      <c r="J978" s="75"/>
      <c r="K978" s="75"/>
      <c r="L978" s="75"/>
      <c r="M978" s="2110"/>
      <c r="N978" s="2110" t="s">
        <v>833</v>
      </c>
      <c r="O978" s="2110"/>
      <c r="P978" s="2110"/>
      <c r="Q978" s="2110"/>
      <c r="R978" s="2110"/>
      <c r="S978" s="70">
        <f t="shared" si="352"/>
        <v>49</v>
      </c>
      <c r="T978" s="75"/>
      <c r="U978" s="75"/>
      <c r="V978" s="75"/>
      <c r="W978" s="75">
        <v>20</v>
      </c>
      <c r="X978" s="75">
        <f t="shared" si="353"/>
        <v>0</v>
      </c>
      <c r="Y978" s="75">
        <f>IF(COUNTIF(PDs!$AD$59:$AD$77,Tablas!D978)&gt;0,1,0)</f>
        <v>0</v>
      </c>
      <c r="Z978" s="75" t="str">
        <f>IF(OR($Y$920=0,Estilo_final&lt;140,MAX(AB978,AC978)&lt;300,NOT(DeteccióndelKi),NOT(Erudición)),"NO","-")</f>
        <v>NO</v>
      </c>
      <c r="AA978" s="926" cm="1">
        <f t="array" ref="AA978">HA_final-PDs!$X$25+MIN(PDs!$X$25+H$1013-H978,50)+MAX(V$893:V977*$Y$893:$Y977,V979:V$1012*$Y979:$Y$1012)</f>
        <v>0</v>
      </c>
      <c r="AB978" s="699" cm="1">
        <f t="array" ref="AB978">HE_final-PDs!$X$27+MIN(PDs!$X$27+I$1013-I978,50)+MAX(W$893:W977*$Y$893:$Y977,W979:W$1012*$Y979:$Y$1012)</f>
        <v>0</v>
      </c>
      <c r="AC978" s="3619" cm="1">
        <f t="array" ref="AC978">HP_final-PDs!$X$26+MIN(PDs!$X$26+J$1013-J978,50)+MAX(W$893:W977*$Y$893:$Y977,W979:W$1012*$Y979:$Y$1012)</f>
        <v>0</v>
      </c>
      <c r="AP978" s="510"/>
      <c r="AQ978" s="510"/>
    </row>
    <row r="979" spans="1:43" ht="12.75" customHeight="1">
      <c r="A979" s="219">
        <v>960</v>
      </c>
      <c r="B979" s="7145"/>
      <c r="C979" s="443"/>
      <c r="D979" s="210" t="s">
        <v>834</v>
      </c>
      <c r="E979" s="75">
        <v>0</v>
      </c>
      <c r="F979" s="75"/>
      <c r="G979" s="75">
        <v>10</v>
      </c>
      <c r="H979" s="75">
        <v>10</v>
      </c>
      <c r="I979" s="75"/>
      <c r="J979" s="75"/>
      <c r="K979" s="75"/>
      <c r="L979" s="75"/>
      <c r="M979" s="2110"/>
      <c r="N979" s="2110" t="s">
        <v>835</v>
      </c>
      <c r="O979" s="2110"/>
      <c r="P979" s="2110"/>
      <c r="Q979" s="2110"/>
      <c r="R979" s="2110"/>
      <c r="S979" s="70">
        <f t="shared" si="352"/>
        <v>52</v>
      </c>
      <c r="T979" s="75"/>
      <c r="U979" s="75"/>
      <c r="V979" s="75"/>
      <c r="W979" s="75"/>
      <c r="X979" s="75">
        <f t="shared" si="353"/>
        <v>0</v>
      </c>
      <c r="Y979" s="75">
        <f>IF(OR(Y980&gt;0,COUNTIF(PDs!$AD$59:$AD$77,Tablas!D979)&gt;0),1,0)</f>
        <v>0</v>
      </c>
      <c r="Z979" s="75" t="str">
        <f>IF(OR(NOT(OR($Y$904=1,$Y$928=1)),AA979&lt;160,MAX(AB979,AC979)&lt;160,NOT(Inhumanidad)),"NO","-")</f>
        <v>NO</v>
      </c>
      <c r="AA979" s="926" cm="1">
        <f t="array" ref="AA979">HA_final-PDs!$X$25+MIN(PDs!$X$25+H$1013-H979,50)+MAX(V$893:V978*$Y$893:$Y978,V980:V$1012*$Y980:$Y$1012)</f>
        <v>-10</v>
      </c>
      <c r="AB979" s="699" cm="1">
        <f t="array" ref="AB979">HE_final-PDs!$X$27+MIN(PDs!$X$27+I$1013-I979,50)+MAX(W$893:W978*$Y$893:$Y978,W980:W$1012*$Y980:$Y$1012)</f>
        <v>0</v>
      </c>
      <c r="AC979" s="3619" cm="1">
        <f t="array" ref="AC979">HP_final-PDs!$X$26+MIN(PDs!$X$26+J$1013-J979,50)+MAX(W$893:W978*$Y$893:$Y978,W980:W$1012*$Y980:$Y$1012)</f>
        <v>0</v>
      </c>
      <c r="AP979" s="510"/>
      <c r="AQ979" s="510"/>
    </row>
    <row r="980" spans="1:43" ht="12.75" customHeight="1">
      <c r="A980" s="219">
        <v>961</v>
      </c>
      <c r="B980" s="7145"/>
      <c r="C980" s="443"/>
      <c r="D980" s="210" t="s">
        <v>836</v>
      </c>
      <c r="E980" s="75">
        <v>0</v>
      </c>
      <c r="F980" s="75"/>
      <c r="G980" s="75">
        <v>20</v>
      </c>
      <c r="H980" s="75"/>
      <c r="I980" s="75"/>
      <c r="J980" s="75"/>
      <c r="K980" s="75"/>
      <c r="L980" s="75"/>
      <c r="M980" s="2110"/>
      <c r="N980" s="2110" t="s">
        <v>8337</v>
      </c>
      <c r="O980" s="2110"/>
      <c r="P980" s="2110"/>
      <c r="Q980" s="2110"/>
      <c r="R980" s="2110"/>
      <c r="S980" s="70">
        <f t="shared" si="352"/>
        <v>83</v>
      </c>
      <c r="T980" s="75"/>
      <c r="U980" s="75"/>
      <c r="V980" s="75">
        <v>10</v>
      </c>
      <c r="W980" s="75">
        <v>10</v>
      </c>
      <c r="X980" s="75">
        <f t="shared" si="353"/>
        <v>0</v>
      </c>
      <c r="Y980" s="75">
        <f>IF(COUNTIF(PDs!$AD$59:$AD$77,Tablas!D980)&gt;0,1,0)</f>
        <v>0</v>
      </c>
      <c r="Z980" s="75" t="str">
        <f>IF(OR(NOT(OR($Y$905=1,$Y$929=1)),AA980&lt;260,MAX(AB980,AC980)&lt;260,NOT(Inhumanidad)),"NO","-")</f>
        <v>NO</v>
      </c>
      <c r="AA980" s="926" cm="1">
        <f t="array" ref="AA980">HA_final-PDs!$X$25+MIN(PDs!$X$25+H$1013-H980,50)+MAX(V$893:V979*$Y$893:$Y979,V981:V$1012*$Y981:$Y$1012)</f>
        <v>0</v>
      </c>
      <c r="AB980" s="699" cm="1">
        <f t="array" ref="AB980">HE_final-PDs!$X$27+MIN(PDs!$X$27+I$1013-I980,50)+MAX(W$893:W979*$Y$893:$Y979,W981:W$1012*$Y981:$Y$1012)</f>
        <v>0</v>
      </c>
      <c r="AC980" s="3619" cm="1">
        <f t="array" ref="AC980">HP_final-PDs!$X$26+MIN(PDs!$X$26+J$1013-J980,50)+MAX(W$893:W979*$Y$893:$Y979,W981:W$1012*$Y981:$Y$1012)</f>
        <v>0</v>
      </c>
      <c r="AD980" s="510" t="b">
        <f>OR($Y$916=1,$Y$946=1,$Y$955=1)</f>
        <v>0</v>
      </c>
      <c r="AP980" s="510"/>
      <c r="AQ980" s="510"/>
    </row>
    <row r="981" spans="1:43" ht="12.75" customHeight="1">
      <c r="A981" s="219">
        <v>962</v>
      </c>
      <c r="B981" s="7145"/>
      <c r="C981" s="443"/>
      <c r="D981" s="210" t="s">
        <v>837</v>
      </c>
      <c r="E981" s="75">
        <v>0</v>
      </c>
      <c r="F981" s="75"/>
      <c r="G981" s="75">
        <v>15</v>
      </c>
      <c r="H981" s="75">
        <v>10</v>
      </c>
      <c r="I981" s="75"/>
      <c r="J981" s="75"/>
      <c r="K981" s="75"/>
      <c r="L981" s="75"/>
      <c r="M981" s="2110"/>
      <c r="N981" s="2110" t="s">
        <v>8338</v>
      </c>
      <c r="O981" s="2110"/>
      <c r="P981" s="2110"/>
      <c r="Q981" s="2110"/>
      <c r="R981" s="2110"/>
      <c r="S981" s="70">
        <f t="shared" si="352"/>
        <v>66</v>
      </c>
      <c r="T981" s="75"/>
      <c r="U981" s="75"/>
      <c r="V981" s="75"/>
      <c r="W981" s="75"/>
      <c r="X981" s="75">
        <f t="shared" si="353"/>
        <v>0</v>
      </c>
      <c r="Y981" s="75">
        <f>IF(OR(Y982&gt;0,COUNTIF(PDs!$AD$59:$AD$77,Tablas!D981)&gt;0),1,0)</f>
        <v>0</v>
      </c>
      <c r="Z981" s="75" t="str">
        <f>IF(OR(NOT(OR($Y$916=1,$Y$946=1,$Y$955=1)),Medicina_final="-",NOT(OR(Medicina_final&gt;=120,AND(PDs!I167="Anatomía",Medicina_final&gt;=80))),AA981&lt;200),"NO","-")</f>
        <v>NO</v>
      </c>
      <c r="AA981" s="926" cm="1">
        <f t="array" ref="AA981">HA_final-PDs!$X$25+MIN(PDs!$X$25+H$1013-H981,50)+MAX(V$893:V980*$Y$893:$Y980,V982:V$1012*$Y982:$Y$1012)</f>
        <v>-10</v>
      </c>
      <c r="AB981" s="699" cm="1">
        <f t="array" ref="AB981">HE_final-PDs!$X$27+MIN(PDs!$X$27+I$1013-I981,50)+MAX(W$893:W980*$Y$893:$Y980,W982:W$1012*$Y982:$Y$1012)</f>
        <v>0</v>
      </c>
      <c r="AC981" s="3619" cm="1">
        <f t="array" ref="AC981">HP_final-PDs!$X$26+MIN(PDs!$X$26+J$1013-J981,50)+MAX(W$893:W980*$Y$893:$Y980,W982:W$1012*$Y982:$Y$1012)</f>
        <v>0</v>
      </c>
      <c r="AD981" s="510" t="b">
        <f>OR(Medicina_final&gt;=150,AND(PDs!I167="Anatomía",Medicina_final&gt;=80))</f>
        <v>1</v>
      </c>
      <c r="AP981" s="510"/>
      <c r="AQ981" s="510"/>
    </row>
    <row r="982" spans="1:43" ht="12.75" customHeight="1">
      <c r="A982" s="219">
        <v>963</v>
      </c>
      <c r="B982" s="7145"/>
      <c r="C982" s="443"/>
      <c r="D982" s="210" t="s">
        <v>838</v>
      </c>
      <c r="E982" s="75">
        <v>0</v>
      </c>
      <c r="F982" s="75"/>
      <c r="G982" s="75">
        <v>30</v>
      </c>
      <c r="H982" s="75"/>
      <c r="I982" s="75"/>
      <c r="J982" s="75"/>
      <c r="K982" s="75"/>
      <c r="L982" s="75"/>
      <c r="M982" s="2110"/>
      <c r="N982" s="2110" t="s">
        <v>8339</v>
      </c>
      <c r="O982" s="2110"/>
      <c r="P982" s="2110"/>
      <c r="Q982" s="2110"/>
      <c r="R982" s="2110"/>
      <c r="S982" s="70">
        <f t="shared" si="352"/>
        <v>80</v>
      </c>
      <c r="T982" s="75"/>
      <c r="U982" s="75"/>
      <c r="V982" s="75">
        <v>20</v>
      </c>
      <c r="W982" s="75"/>
      <c r="X982" s="75">
        <f t="shared" si="353"/>
        <v>0</v>
      </c>
      <c r="Y982" s="75">
        <f>IF(COUNTIF(PDs!$AD$59:$AD$77,Tablas!D982)&gt;0,1,0)</f>
        <v>0</v>
      </c>
      <c r="Z982" s="75" t="str">
        <f>IF(AND(OR($Y$917=1,$Y$947=1,$Y$956=1),OR(Medicina_final&gt;=150,AND(PDs!I167="Anatomía",Medicina_final&gt;=100)),AA982&gt;=260,Inhumanidad),"-","NO")</f>
        <v>NO</v>
      </c>
      <c r="AA982" s="926" cm="1">
        <f t="array" ref="AA982">HA_final-PDs!$X$25+MIN(PDs!$X$25+H$1013-H982,50)+MAX(V$893:V981*$Y$893:$Y981,V983:V$1012*$Y983:$Y$1012)</f>
        <v>0</v>
      </c>
      <c r="AB982" s="699" cm="1">
        <f t="array" ref="AB982">HE_final-PDs!$X$27+MIN(PDs!$X$27+I$1013-I982,50)+MAX(W$893:W981*$Y$893:$Y981,W983:W$1012*$Y983:$Y$1012)</f>
        <v>0</v>
      </c>
      <c r="AC982" s="3619" cm="1">
        <f t="array" ref="AC982">HP_final-PDs!$X$26+MIN(PDs!$X$26+J$1013-J982,50)+MAX(W$893:W981*$Y$893:$Y981,W983:W$1012*$Y983:$Y$1012)</f>
        <v>0</v>
      </c>
      <c r="AP982" s="510"/>
      <c r="AQ982" s="510"/>
    </row>
    <row r="983" spans="1:43" ht="12.75" customHeight="1">
      <c r="A983" s="219">
        <v>964</v>
      </c>
      <c r="B983" s="7145"/>
      <c r="C983" s="443"/>
      <c r="D983" s="210" t="s">
        <v>839</v>
      </c>
      <c r="E983" s="75">
        <v>0</v>
      </c>
      <c r="F983" s="75"/>
      <c r="G983" s="75">
        <v>10</v>
      </c>
      <c r="H983" s="75"/>
      <c r="I983" s="75">
        <v>10</v>
      </c>
      <c r="J983" s="75">
        <v>10</v>
      </c>
      <c r="K983" s="75"/>
      <c r="L983" s="75"/>
      <c r="M983" s="2110"/>
      <c r="N983" s="2110" t="s">
        <v>840</v>
      </c>
      <c r="O983" s="2110"/>
      <c r="P983" s="2110"/>
      <c r="Q983" s="2110"/>
      <c r="R983" s="2110"/>
      <c r="S983" s="70">
        <f t="shared" si="352"/>
        <v>36</v>
      </c>
      <c r="T983" s="75"/>
      <c r="U983" s="75"/>
      <c r="V983" s="75"/>
      <c r="W983" s="75"/>
      <c r="X983" s="75">
        <f t="shared" si="353"/>
        <v>0</v>
      </c>
      <c r="Y983" s="75">
        <f>IF(OR(Y984&gt;0,COUNTIF(PDs!$AD$59:$AD$77,Tablas!D983)&gt;0),1,0)</f>
        <v>0</v>
      </c>
      <c r="Z983" s="75" t="str">
        <f>IF(OR(NOT(OR($Y$925=1,$Y$922=1)),MAX(AB983,AC983)&lt;200,NOT(Inhumanidad)),"NO","-")</f>
        <v>NO</v>
      </c>
      <c r="AA983" s="926" cm="1">
        <f t="array" ref="AA983">HA_final-PDs!$X$25+MIN(PDs!$X$25+H$1013-H983,50)+MAX(V$893:V982*$Y$893:$Y982,V984:V$1012*$Y984:$Y$1012)</f>
        <v>0</v>
      </c>
      <c r="AB983" s="699" cm="1">
        <f t="array" ref="AB983">HE_final-PDs!$X$27+MIN(PDs!$X$27+I$1013-I983,50)+MAX(W$893:W982*$Y$893:$Y982,W984:W$1012*$Y984:$Y$1012)</f>
        <v>-10</v>
      </c>
      <c r="AC983" s="3619" cm="1">
        <f t="array" ref="AC983">HP_final-PDs!$X$26+MIN(PDs!$X$26+J$1013-J983,50)+MAX(W$893:W982*$Y$893:$Y982,W984:W$1012*$Y984:$Y$1012)</f>
        <v>-10</v>
      </c>
      <c r="AD983" s="510" t="str">
        <f>IF(OR(NOT(OR($Y$916=1,$Y$946=1,$Y$955=1)),Medicina_final="-",NOT(OR(Medicina_final&gt;=150,AND(PDs!I152="Anatomía",Medicina_final&gt;=60))),AA926&lt;200),"NO","-")</f>
        <v>NO</v>
      </c>
      <c r="AP983" s="510"/>
      <c r="AQ983" s="510"/>
    </row>
    <row r="984" spans="1:43" ht="12.75" customHeight="1">
      <c r="A984" s="219">
        <v>965</v>
      </c>
      <c r="B984" s="7145"/>
      <c r="C984" s="443"/>
      <c r="D984" s="210" t="s">
        <v>841</v>
      </c>
      <c r="E984" s="75">
        <v>0</v>
      </c>
      <c r="F984" s="75"/>
      <c r="G984" s="75">
        <v>30</v>
      </c>
      <c r="H984" s="75"/>
      <c r="I984" s="75"/>
      <c r="J984" s="75"/>
      <c r="K984" s="75"/>
      <c r="L984" s="75"/>
      <c r="M984" s="2110"/>
      <c r="N984" s="2110" t="s">
        <v>842</v>
      </c>
      <c r="O984" s="2110"/>
      <c r="P984" s="2110"/>
      <c r="Q984" s="2110"/>
      <c r="R984" s="2110"/>
      <c r="S984" s="70">
        <f t="shared" si="352"/>
        <v>37</v>
      </c>
      <c r="T984" s="75"/>
      <c r="U984" s="75"/>
      <c r="V984" s="75"/>
      <c r="W984" s="75">
        <v>20</v>
      </c>
      <c r="X984" s="75">
        <f t="shared" si="353"/>
        <v>0</v>
      </c>
      <c r="Y984" s="75">
        <f>IF(COUNTIF(PDs!$AD$59:$AD$77,Tablas!D984)&gt;0,1,0)</f>
        <v>0</v>
      </c>
      <c r="Z984" s="75" t="str">
        <f>IF(OR(NOT(OR($Y$926=1,$Y$923=1)),MAX(AB984,AC984)&lt;300,NOT(Zen)),"NO","-")</f>
        <v>NO</v>
      </c>
      <c r="AA984" s="926" cm="1">
        <f t="array" ref="AA984">HA_final-PDs!$X$25+MIN(PDs!$X$25+H$1013-H984,50)+MAX(V$893:V983*$Y$893:$Y983,V985:V$1012*$Y985:$Y$1012)</f>
        <v>0</v>
      </c>
      <c r="AB984" s="699" cm="1">
        <f t="array" ref="AB984">HE_final-PDs!$X$27+MIN(PDs!$X$27+I$1013-I984,50)+MAX(W$893:W983*$Y$893:$Y983,W985:W$1012*$Y985:$Y$1012)</f>
        <v>0</v>
      </c>
      <c r="AC984" s="3619" cm="1">
        <f t="array" ref="AC984">HP_final-PDs!$X$26+MIN(PDs!$X$26+J$1013-J984,50)+MAX(W$893:W983*$Y$893:$Y983,W985:W$1012*$Y985:$Y$1012)</f>
        <v>0</v>
      </c>
      <c r="AD984" s="510" t="str">
        <f>IF(OR(NOT(OR($Y$916=1,$Y$946=1,$Y$955=1)),Medicina_final="-",NOT(OR(Medicina_final&gt;=120,AND(PDs!I167="Anatomía",Medicina_final&gt;=80))),AA981&lt;200),"NO","-")</f>
        <v>NO</v>
      </c>
      <c r="AP984" s="510"/>
      <c r="AQ984" s="510"/>
    </row>
    <row r="985" spans="1:43" ht="12.75" customHeight="1">
      <c r="A985" s="219">
        <v>966</v>
      </c>
      <c r="B985" s="7145"/>
      <c r="C985" s="443"/>
      <c r="D985" s="210" t="s">
        <v>843</v>
      </c>
      <c r="E985" s="75">
        <v>0</v>
      </c>
      <c r="F985" s="75"/>
      <c r="G985" s="75">
        <v>10</v>
      </c>
      <c r="H985" s="75"/>
      <c r="I985" s="75">
        <v>20</v>
      </c>
      <c r="J985" s="75">
        <v>20</v>
      </c>
      <c r="K985" s="75"/>
      <c r="L985" s="75"/>
      <c r="M985" s="2110"/>
      <c r="N985" s="2110" t="s">
        <v>8340</v>
      </c>
      <c r="O985" s="2110"/>
      <c r="P985" s="2110"/>
      <c r="Q985" s="2110"/>
      <c r="R985" s="2110"/>
      <c r="S985" s="70">
        <f t="shared" si="352"/>
        <v>49</v>
      </c>
      <c r="T985" s="75"/>
      <c r="U985" s="75"/>
      <c r="V985" s="75"/>
      <c r="W985" s="75"/>
      <c r="X985" s="75">
        <f t="shared" si="353"/>
        <v>0</v>
      </c>
      <c r="Y985" s="75">
        <f>IF(OR(Y986&gt;0,COUNTIF(PDs!$AD$59:$AD$77,Tablas!D985)&gt;0),1,0)</f>
        <v>0</v>
      </c>
      <c r="Z985" s="75" t="str">
        <f>IF(OR($Y$895=0,MAX(AB985,AC985)&lt;200),"NO","-")</f>
        <v>NO</v>
      </c>
      <c r="AA985" s="926" cm="1">
        <f t="array" ref="AA985">HA_final-PDs!$X$25+MIN(PDs!$X$25+H$1013-H985,50)+MAX(V$893:V984*$Y$893:$Y984,V986:V$1012*$Y986:$Y$1012)</f>
        <v>0</v>
      </c>
      <c r="AB985" s="699" cm="1">
        <f t="array" ref="AB985">HE_final-PDs!$X$27+MIN(PDs!$X$27+I$1013-I985,50)+MAX(W$893:W984*$Y$893:$Y984,W986:W$1012*$Y986:$Y$1012)</f>
        <v>-20</v>
      </c>
      <c r="AC985" s="3619" cm="1">
        <f t="array" ref="AC985">HP_final-PDs!$X$26+MIN(PDs!$X$26+J$1013-J985,50)+MAX(W$893:W984*$Y$893:$Y984,W986:W$1012*$Y986:$Y$1012)</f>
        <v>-20</v>
      </c>
      <c r="AP985" s="510"/>
      <c r="AQ985" s="510"/>
    </row>
    <row r="986" spans="1:43" ht="12.75" customHeight="1">
      <c r="A986" s="219">
        <v>967</v>
      </c>
      <c r="B986" s="7145"/>
      <c r="C986" s="443"/>
      <c r="D986" s="210" t="s">
        <v>844</v>
      </c>
      <c r="E986" s="75">
        <v>0</v>
      </c>
      <c r="F986" s="75"/>
      <c r="G986" s="75">
        <v>20</v>
      </c>
      <c r="H986" s="75"/>
      <c r="I986" s="75"/>
      <c r="J986" s="75"/>
      <c r="K986" s="75"/>
      <c r="L986" s="75"/>
      <c r="M986" s="2110"/>
      <c r="N986" s="2110" t="s">
        <v>8341</v>
      </c>
      <c r="O986" s="2110"/>
      <c r="P986" s="2110"/>
      <c r="Q986" s="2110"/>
      <c r="R986" s="2110"/>
      <c r="S986" s="70">
        <f t="shared" si="352"/>
        <v>69</v>
      </c>
      <c r="T986" s="75"/>
      <c r="U986" s="75"/>
      <c r="V986" s="75"/>
      <c r="W986" s="75">
        <v>20</v>
      </c>
      <c r="X986" s="75">
        <f t="shared" si="353"/>
        <v>0</v>
      </c>
      <c r="Y986" s="75">
        <f>IF(COUNTIF(PDs!$AD$59:$AD$77,Tablas!D986)&gt;0,1,0)</f>
        <v>0</v>
      </c>
      <c r="Z986" s="75" t="str">
        <f>IF(OR($Y$896=0,MAX(AB986,AC986)&lt;300,NOT(Inhumanidad)),"NO","-")</f>
        <v>NO</v>
      </c>
      <c r="AA986" s="926" cm="1">
        <f t="array" ref="AA986">HA_final-PDs!$X$25+MIN(PDs!$X$25+H$1013-H986,50)+MAX(V$893:V985*$Y$893:$Y985,V987:V$1012*$Y987:$Y$1012)</f>
        <v>0</v>
      </c>
      <c r="AB986" s="699" cm="1">
        <f t="array" ref="AB986">HE_final-PDs!$X$27+MIN(PDs!$X$27+I$1013-I986,50)+MAX(W$893:W985*$Y$893:$Y985,W987:W$1012*$Y987:$Y$1012)</f>
        <v>0</v>
      </c>
      <c r="AC986" s="3619" cm="1">
        <f t="array" ref="AC986">HP_final-PDs!$X$26+MIN(PDs!$X$26+J$1013-J986,50)+MAX(W$893:W985*$Y$893:$Y985,W987:W$1012*$Y987:$Y$1012)</f>
        <v>0</v>
      </c>
      <c r="AP986" s="510"/>
      <c r="AQ986" s="510"/>
    </row>
    <row r="987" spans="1:43" ht="12.75" customHeight="1">
      <c r="A987" s="219">
        <v>968</v>
      </c>
      <c r="B987" s="7145"/>
      <c r="C987" s="443"/>
      <c r="D987" s="210" t="s">
        <v>845</v>
      </c>
      <c r="E987" s="75">
        <v>0</v>
      </c>
      <c r="F987" s="75">
        <v>10</v>
      </c>
      <c r="G987" s="75">
        <v>10</v>
      </c>
      <c r="H987" s="75">
        <v>20</v>
      </c>
      <c r="I987" s="75"/>
      <c r="J987" s="75"/>
      <c r="K987" s="75"/>
      <c r="L987" s="75"/>
      <c r="M987" s="2110"/>
      <c r="N987" s="2110" t="s">
        <v>8342</v>
      </c>
      <c r="O987" s="2110"/>
      <c r="P987" s="2110"/>
      <c r="Q987" s="2110"/>
      <c r="R987" s="2110"/>
      <c r="S987" s="70">
        <f t="shared" si="352"/>
        <v>45</v>
      </c>
      <c r="T987" s="75"/>
      <c r="U987" s="75"/>
      <c r="V987" s="75"/>
      <c r="W987" s="75"/>
      <c r="X987" s="75">
        <f t="shared" si="353"/>
        <v>0</v>
      </c>
      <c r="Y987" s="75">
        <f>IF(OR(Y988&gt;0,COUNTIF(PDs!$AD$59:$AD$77,Tablas!D987)&gt;0),1,0)</f>
        <v>0</v>
      </c>
      <c r="Z987" s="2109" t="str">
        <f>IF(OR(NOT(OR($Y$934=1,$Y$910=1)),AA987&lt;180,NOT(OR(Extrusióndepresencia,SinNecesidades))),"NO","-")</f>
        <v>NO</v>
      </c>
      <c r="AA987" s="926" cm="1">
        <f t="array" ref="AA987">HA_final-PDs!$X$25+MIN(PDs!$X$25+H$1013-H987,50)+MAX(V$893:V986*$Y$893:$Y986,V988:V$1012*$Y988:$Y$1012)</f>
        <v>-20</v>
      </c>
      <c r="AB987" s="699" cm="1">
        <f t="array" ref="AB987">HE_final-PDs!$X$27+MIN(PDs!$X$27+I$1013-I987,50)+MAX(W$893:W986*$Y$893:$Y986,W988:W$1012*$Y988:$Y$1012)</f>
        <v>0</v>
      </c>
      <c r="AC987" s="3619" cm="1">
        <f t="array" ref="AC987">HP_final-PDs!$X$26+MIN(PDs!$X$26+J$1013-J987,50)+MAX(W$893:W986*$Y$893:$Y986,W988:W$1012*$Y988:$Y$1012)</f>
        <v>0</v>
      </c>
      <c r="AP987" s="510"/>
      <c r="AQ987" s="510"/>
    </row>
    <row r="988" spans="1:43" ht="12.75" customHeight="1">
      <c r="A988" s="219">
        <v>969</v>
      </c>
      <c r="B988" s="7145"/>
      <c r="C988" s="443"/>
      <c r="D988" s="210" t="s">
        <v>846</v>
      </c>
      <c r="E988" s="75">
        <v>0</v>
      </c>
      <c r="F988" s="75"/>
      <c r="G988" s="75">
        <v>20</v>
      </c>
      <c r="H988" s="75"/>
      <c r="I988" s="75"/>
      <c r="J988" s="75"/>
      <c r="K988" s="75"/>
      <c r="L988" s="75"/>
      <c r="M988" s="2110"/>
      <c r="N988" s="2110" t="s">
        <v>847</v>
      </c>
      <c r="O988" s="2110"/>
      <c r="P988" s="2110"/>
      <c r="Q988" s="2110"/>
      <c r="R988" s="2110"/>
      <c r="S988" s="70">
        <f t="shared" si="352"/>
        <v>63</v>
      </c>
      <c r="T988" s="75"/>
      <c r="U988" s="75"/>
      <c r="V988" s="75">
        <v>20</v>
      </c>
      <c r="W988" s="75"/>
      <c r="X988" s="75">
        <f t="shared" si="353"/>
        <v>0</v>
      </c>
      <c r="Y988" s="75">
        <f>IF(COUNTIF(PDs!$AD$59:$AD$77,Tablas!D988)&gt;0,1,0)</f>
        <v>0</v>
      </c>
      <c r="Z988" s="75" t="str">
        <f>IF(OR(NOT(OR($Y$935=1,$Y$911=1)),AA988&lt;280,NOT(OR(Extrusióndepresencia,SinNecesidades))),"NO","-")</f>
        <v>NO</v>
      </c>
      <c r="AA988" s="926" cm="1">
        <f t="array" ref="AA988">HA_final-PDs!$X$25+MIN(PDs!$X$25+H$1013-H988,50)+MAX(V$893:V987*$Y$893:$Y987,V989:V$1012*$Y989:$Y$1012)</f>
        <v>0</v>
      </c>
      <c r="AB988" s="699" cm="1">
        <f t="array" ref="AB988">HE_final-PDs!$X$27+MIN(PDs!$X$27+I$1013-I988,50)+MAX(W$893:W987*$Y$893:$Y987,W989:W$1012*$Y989:$Y$1012)</f>
        <v>0</v>
      </c>
      <c r="AC988" s="3619" cm="1">
        <f t="array" ref="AC988">HP_final-PDs!$X$26+MIN(PDs!$X$26+J$1013-J988,50)+MAX(W$893:W987*$Y$893:$Y987,W989:W$1012*$Y989:$Y$1012)</f>
        <v>0</v>
      </c>
      <c r="AP988" s="510"/>
      <c r="AQ988" s="510"/>
    </row>
    <row r="989" spans="1:43" ht="12.75" customHeight="1">
      <c r="A989" s="219">
        <v>970</v>
      </c>
      <c r="B989" s="7145"/>
      <c r="C989" s="443"/>
      <c r="D989" s="210" t="s">
        <v>848</v>
      </c>
      <c r="E989" s="75">
        <v>0</v>
      </c>
      <c r="F989" s="75"/>
      <c r="G989" s="75">
        <v>10</v>
      </c>
      <c r="H989" s="75"/>
      <c r="I989" s="75">
        <v>20</v>
      </c>
      <c r="J989" s="75">
        <v>20</v>
      </c>
      <c r="K989" s="75"/>
      <c r="L989" s="75"/>
      <c r="M989" s="2110"/>
      <c r="N989" s="2110" t="s">
        <v>849</v>
      </c>
      <c r="O989" s="2110"/>
      <c r="P989" s="2110"/>
      <c r="Q989" s="2110"/>
      <c r="R989" s="2110"/>
      <c r="S989" s="70">
        <f t="shared" ref="S989:S994" si="354">LEN(N989)</f>
        <v>36</v>
      </c>
      <c r="T989" s="75"/>
      <c r="U989" s="75"/>
      <c r="V989" s="75"/>
      <c r="W989" s="75"/>
      <c r="X989" s="75">
        <f t="shared" ref="X989:X994" si="355">Y989*E989</f>
        <v>0</v>
      </c>
      <c r="Y989" s="75">
        <f>IF(OR(Y990&gt;0,COUNTIF(PDs!$AD$59:$AD$77,Tablas!D989)&gt;0),1,0)</f>
        <v>0</v>
      </c>
      <c r="Z989" s="2109" t="str">
        <f>IF(OR(NOT(OR($Y$895=1,$Y$913=1)),MAX(AC989,AB989)&lt;200,NOT(OR(UsodelKi,Ki!I43=70))),"NO","-")</f>
        <v>NO</v>
      </c>
      <c r="AA989" s="926" cm="1">
        <f t="array" ref="AA989">HA_final-PDs!$X$25+MIN(PDs!$X$25+H$1013-H989,50)+MAX(V$893:V988*$Y$893:$Y988,V990:V$1012*$Y990:$Y$1012)</f>
        <v>0</v>
      </c>
      <c r="AB989" s="699" cm="1">
        <f t="array" ref="AB989">HE_final-PDs!$X$27+MIN(PDs!$X$27+I$1013-I989,50)+MAX(W$893:W988*$Y$893:$Y988,W990:W$1012*$Y990:$Y$1012)</f>
        <v>-20</v>
      </c>
      <c r="AC989" s="3619" cm="1">
        <f t="array" ref="AC989">HP_final-PDs!$X$26+MIN(PDs!$X$26+J$1013-J989,50)+MAX(W$893:W988*$Y$893:$Y988,W990:W$1012*$Y990:$Y$1012)</f>
        <v>-20</v>
      </c>
      <c r="AP989" s="510"/>
      <c r="AQ989" s="510"/>
    </row>
    <row r="990" spans="1:43" ht="12.75" customHeight="1">
      <c r="A990" s="219">
        <v>971</v>
      </c>
      <c r="B990" s="7145"/>
      <c r="C990" s="443"/>
      <c r="D990" s="210" t="s">
        <v>850</v>
      </c>
      <c r="E990" s="75">
        <v>0</v>
      </c>
      <c r="F990" s="75"/>
      <c r="G990" s="75">
        <v>20</v>
      </c>
      <c r="H990" s="75"/>
      <c r="I990" s="75"/>
      <c r="J990" s="75"/>
      <c r="K990" s="75"/>
      <c r="L990" s="75"/>
      <c r="M990" s="2110"/>
      <c r="N990" s="2110" t="s">
        <v>851</v>
      </c>
      <c r="O990" s="2110"/>
      <c r="P990" s="2110"/>
      <c r="Q990" s="2110"/>
      <c r="R990" s="2110"/>
      <c r="S990" s="70">
        <f t="shared" si="354"/>
        <v>37</v>
      </c>
      <c r="T990" s="75"/>
      <c r="U990" s="75"/>
      <c r="V990" s="75"/>
      <c r="W990" s="75">
        <v>20</v>
      </c>
      <c r="X990" s="75">
        <f t="shared" si="355"/>
        <v>0</v>
      </c>
      <c r="Y990" s="75">
        <f>IF(COUNTIF(PDs!$AD$59:$AD$77,Tablas!D990)&gt;0,1,0)</f>
        <v>0</v>
      </c>
      <c r="Z990" s="2109" t="str">
        <f>IF(OR(NOT(OR($Y$896=1,$Y$914=1)),MAX(AB990,AC990)&lt;300,NOT(OR(UsodelKi,Ki!I43=70))),"NO","-")</f>
        <v>NO</v>
      </c>
      <c r="AA990" s="926" cm="1">
        <f t="array" ref="AA990">HA_final-PDs!$X$25+MIN(PDs!$X$25+H$1013-H990,50)+MAX(V$893:V989*$Y$893:$Y989,V991:V$1012*$Y991:$Y$1012)</f>
        <v>0</v>
      </c>
      <c r="AB990" s="699" cm="1">
        <f t="array" ref="AB990">HE_final-PDs!$X$27+MIN(PDs!$X$27+I$1013-I990,50)+MAX(W$893:W989*$Y$893:$Y989,W991:W$1012*$Y991:$Y$1012)</f>
        <v>0</v>
      </c>
      <c r="AC990" s="3619" cm="1">
        <f t="array" ref="AC990">HP_final-PDs!$X$26+MIN(PDs!$X$26+J$1013-J990,50)+MAX(W$893:W989*$Y$893:$Y989,W991:W$1012*$Y991:$Y$1012)</f>
        <v>0</v>
      </c>
      <c r="AP990" s="510"/>
      <c r="AQ990" s="510"/>
    </row>
    <row r="991" spans="1:43" ht="12.75" customHeight="1">
      <c r="A991" s="219">
        <v>972</v>
      </c>
      <c r="B991" s="7145"/>
      <c r="C991" s="443"/>
      <c r="D991" s="210" t="s">
        <v>852</v>
      </c>
      <c r="E991" s="75">
        <v>0</v>
      </c>
      <c r="F991" s="75"/>
      <c r="G991" s="75">
        <v>15</v>
      </c>
      <c r="H991" s="75">
        <v>10</v>
      </c>
      <c r="I991" s="75"/>
      <c r="J991" s="75"/>
      <c r="K991" s="75"/>
      <c r="L991" s="75"/>
      <c r="M991" s="2110"/>
      <c r="N991" s="2110" t="s">
        <v>853</v>
      </c>
      <c r="O991" s="2110"/>
      <c r="P991" s="2110"/>
      <c r="Q991" s="2110"/>
      <c r="R991" s="2110"/>
      <c r="S991" s="70">
        <f t="shared" si="354"/>
        <v>59</v>
      </c>
      <c r="T991" s="75"/>
      <c r="U991" s="75"/>
      <c r="V991" s="75"/>
      <c r="W991" s="75"/>
      <c r="X991" s="75">
        <f t="shared" si="355"/>
        <v>0</v>
      </c>
      <c r="Y991" s="75">
        <f>IF(OR(Y992&gt;0,COUNTIF(PDs!$AD$59:$AD$77,Tablas!D991)&gt;0),1,0)</f>
        <v>0</v>
      </c>
      <c r="Z991" s="2109" t="str">
        <f>IF(OR($Y$943=0,AA991&lt;200,NOT(OR(Extrusióndepresencia,Extrusióndevacío))),"NO","-")</f>
        <v>NO</v>
      </c>
      <c r="AA991" s="926" cm="1">
        <f t="array" ref="AA991">HA_final-PDs!$X$25+MIN(PDs!$X$25+H$1013-H991,50)+MAX(V$893:V990*$Y$893:$Y990,V992:V$1012*$Y992:$Y$1012)</f>
        <v>-10</v>
      </c>
      <c r="AB991" s="699" cm="1">
        <f t="array" ref="AB991">HE_final-PDs!$X$27+MIN(PDs!$X$27+I$1013-I991,50)+MAX(W$893:W990*$Y$893:$Y990,W992:W$1012*$Y992:$Y$1012)</f>
        <v>0</v>
      </c>
      <c r="AC991" s="3619" cm="1">
        <f t="array" ref="AC991">HP_final-PDs!$X$26+MIN(PDs!$X$26+J$1013-J991,50)+MAX(W$893:W990*$Y$893:$Y990,W992:W$1012*$Y992:$Y$1012)</f>
        <v>0</v>
      </c>
      <c r="AP991" s="510"/>
      <c r="AQ991" s="510"/>
    </row>
    <row r="992" spans="1:43" ht="12.75" customHeight="1">
      <c r="A992" s="219">
        <v>973</v>
      </c>
      <c r="B992" s="7145"/>
      <c r="C992" s="443"/>
      <c r="D992" s="210" t="s">
        <v>854</v>
      </c>
      <c r="E992" s="75">
        <v>0</v>
      </c>
      <c r="F992" s="75">
        <f>Bono_Pod</f>
        <v>0</v>
      </c>
      <c r="G992" s="75">
        <v>35</v>
      </c>
      <c r="H992" s="75"/>
      <c r="I992" s="75"/>
      <c r="J992" s="75"/>
      <c r="K992" s="75"/>
      <c r="L992" s="75"/>
      <c r="M992" s="2110"/>
      <c r="N992" s="2110" t="s">
        <v>855</v>
      </c>
      <c r="O992" s="2110"/>
      <c r="P992" s="2110"/>
      <c r="Q992" s="2110"/>
      <c r="R992" s="2110"/>
      <c r="S992" s="70">
        <f t="shared" si="354"/>
        <v>40</v>
      </c>
      <c r="T992" s="75"/>
      <c r="U992" s="75"/>
      <c r="V992" s="75">
        <v>15</v>
      </c>
      <c r="W992" s="75"/>
      <c r="X992" s="75">
        <f t="shared" si="355"/>
        <v>0</v>
      </c>
      <c r="Y992" s="75">
        <f>IF(COUNTIF(PDs!$AD$59:$AD$77,Tablas!D992)&gt;0,1,0)</f>
        <v>0</v>
      </c>
      <c r="Z992" s="2109" t="str">
        <f>IF(OR($Y$944=0,AA992&lt;300,NOT(OR(Extrusióndepresencia,Extrusióndevacío)),NOT(Inhumanidad)),"NO","-")</f>
        <v>NO</v>
      </c>
      <c r="AA992" s="926" cm="1">
        <f t="array" ref="AA992">HA_final-PDs!$X$25+MIN(PDs!$X$25+H$1013-H992,50)+MAX(V$893:V991*$Y$893:$Y991,V993:V$1012*$Y993:$Y$1012)</f>
        <v>0</v>
      </c>
      <c r="AB992" s="699" cm="1">
        <f t="array" ref="AB992">HE_final-PDs!$X$27+MIN(PDs!$X$27+I$1013-I992,50)+MAX(W$893:W991*$Y$893:$Y991,W993:W$1012*$Y993:$Y$1012)</f>
        <v>0</v>
      </c>
      <c r="AC992" s="3619" cm="1">
        <f t="array" ref="AC992">HP_final-PDs!$X$26+MIN(PDs!$X$26+J$1013-J992,50)+MAX(W$893:W991*$Y$893:$Y991,W993:W$1012*$Y993:$Y$1012)</f>
        <v>0</v>
      </c>
      <c r="AP992" s="510"/>
      <c r="AQ992" s="510"/>
    </row>
    <row r="993" spans="1:43" ht="12.75" customHeight="1">
      <c r="A993" s="219">
        <v>974</v>
      </c>
      <c r="B993" s="7145"/>
      <c r="C993" s="443"/>
      <c r="D993" s="210" t="s">
        <v>856</v>
      </c>
      <c r="E993" s="75">
        <v>0</v>
      </c>
      <c r="F993" s="75"/>
      <c r="G993" s="75">
        <v>20</v>
      </c>
      <c r="H993" s="75"/>
      <c r="I993" s="75">
        <v>20</v>
      </c>
      <c r="J993" s="75">
        <v>20</v>
      </c>
      <c r="K993" s="75"/>
      <c r="L993" s="75"/>
      <c r="M993" s="2110"/>
      <c r="N993" s="2110" t="s">
        <v>1315</v>
      </c>
      <c r="O993" s="2110"/>
      <c r="P993" s="2110"/>
      <c r="Q993" s="2110"/>
      <c r="R993" s="2110"/>
      <c r="S993" s="70">
        <f t="shared" si="354"/>
        <v>1</v>
      </c>
      <c r="T993" s="75" t="s">
        <v>1415</v>
      </c>
      <c r="U993" s="75"/>
      <c r="V993" s="75"/>
      <c r="W993" s="75"/>
      <c r="X993" s="75">
        <f t="shared" si="355"/>
        <v>0</v>
      </c>
      <c r="Y993" s="75">
        <f>IF(OR(Y994&gt;0,COUNTIF(PDs!$AD$59:$AD$77,Tablas!D993)&gt;0),1,0)</f>
        <v>0</v>
      </c>
      <c r="Z993" s="75" t="str">
        <f>IF(OR(NOT(OR($Y$916=1,$Y$943=1)),NOT(OR(Extrusióndepresencia,Extrusióndevacío))),"NO","-")</f>
        <v>NO</v>
      </c>
      <c r="AA993" s="926" cm="1">
        <f t="array" ref="AA993">HA_final-PDs!$X$25+MIN(PDs!$X$25+H$1013-H993,50)+MAX(V$893:V992*$Y$893:$Y992,V994:V$1012*$Y994:$Y$1012)</f>
        <v>0</v>
      </c>
      <c r="AB993" s="699" cm="1">
        <f t="array" ref="AB993">HE_final-PDs!$X$27+MIN(PDs!$X$27+I$1013-I993,50)+MAX(W$893:W992*$Y$893:$Y992,W994:W$1012*$Y994:$Y$1012)</f>
        <v>-20</v>
      </c>
      <c r="AC993" s="3619" cm="1">
        <f t="array" ref="AC993">HP_final-PDs!$X$26+MIN(PDs!$X$26+J$1013-J993,50)+MAX(W$893:W992*$Y$893:$Y992,W994:W$1012*$Y994:$Y$1012)</f>
        <v>-20</v>
      </c>
      <c r="AP993" s="510"/>
      <c r="AQ993" s="510"/>
    </row>
    <row r="994" spans="1:43" ht="12.75" customHeight="1" thickBot="1">
      <c r="A994" s="219">
        <v>975</v>
      </c>
      <c r="B994" s="7145"/>
      <c r="C994" s="3883"/>
      <c r="D994" s="3884" t="s">
        <v>857</v>
      </c>
      <c r="E994" s="3885">
        <v>0</v>
      </c>
      <c r="F994" s="3885"/>
      <c r="G994" s="3885">
        <v>40</v>
      </c>
      <c r="H994" s="3885"/>
      <c r="I994" s="3886"/>
      <c r="J994" s="3885"/>
      <c r="K994" s="3885"/>
      <c r="L994" s="3885"/>
      <c r="M994" s="3887"/>
      <c r="N994" s="3887" t="s">
        <v>858</v>
      </c>
      <c r="O994" s="3887"/>
      <c r="P994" s="3887"/>
      <c r="Q994" s="3887"/>
      <c r="R994" s="3887"/>
      <c r="S994" s="3888">
        <f t="shared" si="354"/>
        <v>62</v>
      </c>
      <c r="T994" s="3885" t="s">
        <v>1415</v>
      </c>
      <c r="U994" s="3885"/>
      <c r="V994" s="3885"/>
      <c r="W994" s="3885">
        <v>15</v>
      </c>
      <c r="X994" s="75">
        <f t="shared" si="355"/>
        <v>0</v>
      </c>
      <c r="Y994" s="75">
        <f>IF(COUNTIF(PDs!$AD$59:$AD$77,Tablas!D994)&gt;0,1,0)</f>
        <v>0</v>
      </c>
      <c r="Z994" s="75" t="str">
        <f>IF(OR(NOT(OR($Y$917=1,$Y$944=1)),AA994&lt;280,NOT(OR(Extrusióndepresencia,Extrusióndevacío))),"NO","-")</f>
        <v>NO</v>
      </c>
      <c r="AA994" s="3889">
        <f t="array" ref="AA994">HA_final-PDs!$X$25+MIN(PDs!$X$25+H$1013-H994,50)+MAX(V$893:V993*$Y$893:$Y993)</f>
        <v>0</v>
      </c>
      <c r="AB994" s="3890">
        <f t="array" ref="AB994">HE_final-PDs!$X$27+MIN(PDs!$X$27+I$1013-I994,50)+MAX(W$893:W993*$Y$893:$Y993)</f>
        <v>0</v>
      </c>
      <c r="AC994" s="3891">
        <f t="array" ref="AC994">HP_final-PDs!$X$26+MIN(PDs!$X$26+J$1013-J994,50)+MAX(W$893:W993*$Y$893:$Y993)</f>
        <v>0</v>
      </c>
      <c r="AP994" s="510"/>
      <c r="AQ994" s="510"/>
    </row>
    <row r="995" spans="1:43" ht="12.75" customHeight="1">
      <c r="A995" s="219">
        <v>976</v>
      </c>
      <c r="B995" s="7145"/>
      <c r="C995" s="3814"/>
      <c r="D995" s="3893" t="s">
        <v>12579</v>
      </c>
      <c r="E995" s="3806">
        <v>0</v>
      </c>
      <c r="F995" s="3806"/>
      <c r="G995" s="3806">
        <v>10</v>
      </c>
      <c r="H995" s="3806">
        <v>10</v>
      </c>
      <c r="I995" s="3906"/>
      <c r="J995" s="3806"/>
      <c r="K995" s="3806"/>
      <c r="L995" s="3806"/>
      <c r="M995" s="3907"/>
      <c r="N995" s="3907" t="s">
        <v>12109</v>
      </c>
      <c r="O995" s="3907"/>
      <c r="P995" s="3907"/>
      <c r="Q995" s="3907"/>
      <c r="R995" s="3907"/>
      <c r="S995" s="3855">
        <f t="shared" ref="S995:S1012" si="356">LEN(N995)</f>
        <v>57</v>
      </c>
      <c r="T995" s="3806"/>
      <c r="U995" s="3806"/>
      <c r="V995" s="3806"/>
      <c r="W995" s="3806"/>
      <c r="X995" s="3806">
        <f t="shared" ref="X995:X1012" si="357">Y995*E995</f>
        <v>0</v>
      </c>
      <c r="Y995" s="3806">
        <f>IF(OR(Y996&gt;0,COUNTIF(PDs!$AD$59:$AD$77,Tablas!D995)&gt;0),1,0)</f>
        <v>0</v>
      </c>
      <c r="Z995" s="3806" t="str">
        <f>IF(AND(Y901=1,Ki!I43=70,AA995&gt;=160),"-","NO")</f>
        <v>NO</v>
      </c>
      <c r="AA995" s="3896" cm="1">
        <f t="array" ref="AA995">HA_final-PDs!$X$25+MIN(PDs!$X$25+H$1013-H995,50)+MAX(V$893:V994*$Y$893:$Y994,V996:V$1012*$Y996:$Y$1012)</f>
        <v>-10</v>
      </c>
      <c r="AB995" s="2615" cm="1">
        <f t="array" ref="AB995">HE_final-PDs!$X$27+MIN(PDs!$X$27+I$1013-I995,50)+MAX(W$893:W994*$Y$893:$Y994,W996:W$1012*$Y996:$Y$1012)</f>
        <v>0</v>
      </c>
      <c r="AC995" s="3897" cm="1">
        <f t="array" ref="AC995">HP_final-PDs!$X$26+MIN(PDs!$X$26+J$1013-J995,50)+MAX(W$893:W994*$Y$893:$Y994,W996:W$1012*$Y996:$Y$1012)</f>
        <v>0</v>
      </c>
      <c r="AP995" s="510"/>
      <c r="AQ995" s="510"/>
    </row>
    <row r="996" spans="1:43" ht="12.75" customHeight="1">
      <c r="A996" s="219">
        <v>977</v>
      </c>
      <c r="B996" s="7145"/>
      <c r="C996" s="3814"/>
      <c r="D996" s="3893" t="s">
        <v>12580</v>
      </c>
      <c r="E996" s="3806">
        <v>0</v>
      </c>
      <c r="F996" s="3806"/>
      <c r="G996" s="3806">
        <v>30</v>
      </c>
      <c r="H996" s="3806"/>
      <c r="I996" s="3906"/>
      <c r="J996" s="3806"/>
      <c r="K996" s="3806"/>
      <c r="L996" s="3806"/>
      <c r="M996" s="3907"/>
      <c r="N996" s="3907" t="s">
        <v>12110</v>
      </c>
      <c r="O996" s="3907"/>
      <c r="P996" s="3907"/>
      <c r="Q996" s="3907"/>
      <c r="R996" s="3907"/>
      <c r="S996" s="3855">
        <f t="shared" si="356"/>
        <v>54</v>
      </c>
      <c r="T996" s="3806"/>
      <c r="U996" s="3806"/>
      <c r="V996" s="3806">
        <v>20</v>
      </c>
      <c r="W996" s="3806"/>
      <c r="X996" s="3806">
        <f t="shared" si="357"/>
        <v>0</v>
      </c>
      <c r="Y996" s="3806">
        <f>IF(COUNTIF(PDs!$AD$59:$AD$77,Tablas!D996)&gt;0,1,0)</f>
        <v>0</v>
      </c>
      <c r="Z996" s="3806" t="str">
        <f>IF(AND(Y903=1,Ki!I44=70,AA996&gt;=240),"-","NO")</f>
        <v>NO</v>
      </c>
      <c r="AA996" s="3896" cm="1">
        <f t="array" ref="AA996">HA_final-PDs!$X$25+MIN(PDs!$X$25+H$1013-H996,50)+MAX(V$893:V995*$Y$893:$Y995,V997:V$1012*$Y997:$Y$1012)</f>
        <v>0</v>
      </c>
      <c r="AB996" s="2615" cm="1">
        <f t="array" ref="AB996">HE_final-PDs!$X$27+MIN(PDs!$X$27+I$1013-I996,50)+MAX(W$893:W995*$Y$893:$Y995,W997:W$1012*$Y997:$Y$1012)</f>
        <v>0</v>
      </c>
      <c r="AC996" s="3897" cm="1">
        <f t="array" ref="AC996">HP_final-PDs!$X$26+MIN(PDs!$X$26+J$1013-J996,50)+MAX(W$893:W995*$Y$893:$Y995,W997:W$1012*$Y997:$Y$1012)</f>
        <v>0</v>
      </c>
      <c r="AP996" s="510"/>
      <c r="AQ996" s="510"/>
    </row>
    <row r="997" spans="1:43" ht="12.75" customHeight="1">
      <c r="A997" s="219">
        <v>978</v>
      </c>
      <c r="B997" s="7145"/>
      <c r="C997" s="3814"/>
      <c r="D997" s="3893" t="s">
        <v>12111</v>
      </c>
      <c r="E997" s="3806">
        <v>0</v>
      </c>
      <c r="F997" s="3806"/>
      <c r="G997" s="3806">
        <v>10</v>
      </c>
      <c r="H997" s="3806"/>
      <c r="I997" s="3806">
        <v>10</v>
      </c>
      <c r="J997" s="3806"/>
      <c r="K997" s="3806"/>
      <c r="L997" s="3806"/>
      <c r="M997" s="3907"/>
      <c r="N997" s="3907" t="s">
        <v>12112</v>
      </c>
      <c r="O997" s="3907"/>
      <c r="P997" s="3907"/>
      <c r="Q997" s="3907"/>
      <c r="R997" s="3907"/>
      <c r="S997" s="3855">
        <f t="shared" si="356"/>
        <v>65</v>
      </c>
      <c r="T997" s="3806"/>
      <c r="U997" s="3806"/>
      <c r="V997" s="3806"/>
      <c r="W997" s="3806"/>
      <c r="X997" s="3806">
        <f t="shared" si="357"/>
        <v>0</v>
      </c>
      <c r="Y997" s="3806">
        <f>IF(OR(Y998&gt;0,COUNTIF(PDs!$AD$59:$AD$77,Tablas!D997)&gt;0),1,0)</f>
        <v>0</v>
      </c>
      <c r="Z997" s="3806" t="str">
        <f>IF(AND(OR(Y901=1,Y940=1),Ki!Q27=10,AA997&gt;=180,Acrobacias_final&gt;=100,AC997&gt;=180),"-","NO")</f>
        <v>NO</v>
      </c>
      <c r="AA997" s="3896" cm="1">
        <f t="array" ref="AA997">HA_final-PDs!$X$25+MIN(PDs!$X$25+H$1013-H997,50)+MAX(V$893:V996*$Y$893:$Y996,V998:V$1012*$Y998:$Y$1012)</f>
        <v>0</v>
      </c>
      <c r="AB997" s="2615" cm="1">
        <f t="array" ref="AB997">HE_final-PDs!$X$27+MIN(PDs!$X$27+I$1013-I997,50)+MAX(W$893:W996*$Y$893:$Y996,W998:W$1012*$Y998:$Y$1012)</f>
        <v>-10</v>
      </c>
      <c r="AC997" s="3897" cm="1">
        <f t="array" ref="AC997">HP_final-PDs!$X$26+MIN(PDs!$X$26+J$1013-J997,50)+MAX(W$893:W996*$Y$893:$Y996,W998:W$1012*$Y998:$Y$1012)</f>
        <v>0</v>
      </c>
      <c r="AP997" s="510"/>
      <c r="AQ997" s="510"/>
    </row>
    <row r="998" spans="1:43" ht="12.75" customHeight="1">
      <c r="A998" s="219">
        <v>979</v>
      </c>
      <c r="B998" s="7145"/>
      <c r="C998" s="3814"/>
      <c r="D998" s="3893" t="s">
        <v>12113</v>
      </c>
      <c r="E998" s="3806">
        <v>0</v>
      </c>
      <c r="F998" s="3806"/>
      <c r="G998" s="3806">
        <v>30</v>
      </c>
      <c r="H998" s="3806"/>
      <c r="I998" s="3906"/>
      <c r="J998" s="3806"/>
      <c r="K998" s="3806"/>
      <c r="L998" s="3806"/>
      <c r="M998" s="3907"/>
      <c r="N998" s="3907" t="s">
        <v>12114</v>
      </c>
      <c r="O998" s="3907"/>
      <c r="P998" s="3907"/>
      <c r="Q998" s="3907"/>
      <c r="R998" s="3907"/>
      <c r="S998" s="3855">
        <f t="shared" si="356"/>
        <v>55</v>
      </c>
      <c r="T998" s="3806"/>
      <c r="U998" s="3806"/>
      <c r="V998" s="3806"/>
      <c r="W998" s="3806">
        <v>20</v>
      </c>
      <c r="X998" s="3806">
        <f t="shared" si="357"/>
        <v>0</v>
      </c>
      <c r="Y998" s="3806">
        <f>IF(COUNTIF(PDs!$AD$59:$AD$77,Tablas!D998)&gt;0,1,0)</f>
        <v>0</v>
      </c>
      <c r="Z998" s="3806" t="str">
        <f>IF(AND(OR(Y903=1,Y942=1),Ki!Q27=10,AA998&gt;=280,Acrobacias_final&gt;=140,Saltar_final&gt;=140,MAX(AB998:AC998)&gt;=280),"-","NO")</f>
        <v>NO</v>
      </c>
      <c r="AA998" s="3896" cm="1">
        <f t="array" ref="AA998">HA_final-PDs!$X$25+MIN(PDs!$X$25+H$1013-H998,50)+MAX(V$893:V997*$Y$893:$Y997,V999:V$1012*$Y999:$Y$1012)</f>
        <v>0</v>
      </c>
      <c r="AB998" s="2615" cm="1">
        <f t="array" ref="AB998">HE_final-PDs!$X$27+MIN(PDs!$X$27+I$1013-I998,50)+MAX(W$893:W997*$Y$893:$Y997,W999:W$1012*$Y999:$Y$1012)</f>
        <v>0</v>
      </c>
      <c r="AC998" s="3897" cm="1">
        <f t="array" ref="AC998">HP_final-PDs!$X$26+MIN(PDs!$X$26+J$1013-J998,50)+MAX(W$893:W997*$Y$893:$Y997,W999:W$1012*$Y999:$Y$1012)</f>
        <v>0</v>
      </c>
      <c r="AP998" s="510"/>
      <c r="AQ998" s="510"/>
    </row>
    <row r="999" spans="1:43" ht="12.75" customHeight="1">
      <c r="A999" s="219">
        <v>980</v>
      </c>
      <c r="B999" s="7145"/>
      <c r="C999" s="3814"/>
      <c r="D999" s="3893" t="s">
        <v>14158</v>
      </c>
      <c r="E999" s="3806">
        <v>0</v>
      </c>
      <c r="F999" s="3806"/>
      <c r="G999" s="3806">
        <v>10</v>
      </c>
      <c r="H999" s="3806">
        <v>10</v>
      </c>
      <c r="I999" s="3906"/>
      <c r="J999" s="3806"/>
      <c r="K999" s="3806"/>
      <c r="L999" s="3806"/>
      <c r="M999" s="3907"/>
      <c r="N999" s="3907" t="s">
        <v>12115</v>
      </c>
      <c r="O999" s="3907"/>
      <c r="P999" s="3907"/>
      <c r="Q999" s="3907"/>
      <c r="R999" s="3907"/>
      <c r="S999" s="3855">
        <f t="shared" si="356"/>
        <v>48</v>
      </c>
      <c r="T999" s="3806"/>
      <c r="U999" s="3806"/>
      <c r="V999" s="3806"/>
      <c r="W999" s="3806"/>
      <c r="X999" s="3806">
        <f t="shared" si="357"/>
        <v>0</v>
      </c>
      <c r="Y999" s="3806">
        <f>IF(OR(Y1000&gt;0,COUNTIF(PDs!$AD$59:$AD$77,Tablas!D999)&gt;0),1,0)</f>
        <v>0</v>
      </c>
      <c r="Z999" s="3806" t="str">
        <f>IF(AND(Y925=1,P.Fuerza_final&gt;=60,AA999&gt;=160),"-","NO")</f>
        <v>NO</v>
      </c>
      <c r="AA999" s="3896" cm="1">
        <f t="array" ref="AA999">HA_final-PDs!$X$25+MIN(PDs!$X$25+H$1013-H999,50)+MAX(V$893:V998*$Y$893:$Y998,V1000:V$1012*$Y1000:$Y$1012)</f>
        <v>-10</v>
      </c>
      <c r="AB999" s="2615" cm="1">
        <f t="array" ref="AB999">HE_final-PDs!$X$27+MIN(PDs!$X$27+I$1013-I999,50)+MAX(W$893:W998*$Y$893:$Y998,W1000:W$1012*$Y1000:$Y$1012)</f>
        <v>0</v>
      </c>
      <c r="AC999" s="3897" cm="1">
        <f t="array" ref="AC999">HP_final-PDs!$X$26+MIN(PDs!$X$26+J$1013-J999,50)+MAX(W$893:W998*$Y$893:$Y998,W1000:W$1012*$Y1000:$Y$1012)</f>
        <v>0</v>
      </c>
      <c r="AP999" s="510"/>
      <c r="AQ999" s="510"/>
    </row>
    <row r="1000" spans="1:43" ht="12.75" customHeight="1">
      <c r="A1000" s="219">
        <v>981</v>
      </c>
      <c r="B1000" s="7145"/>
      <c r="C1000" s="3814"/>
      <c r="D1000" s="3893" t="s">
        <v>14159</v>
      </c>
      <c r="E1000" s="3806">
        <v>0</v>
      </c>
      <c r="F1000" s="3806"/>
      <c r="G1000" s="3806">
        <v>20</v>
      </c>
      <c r="H1000" s="3806"/>
      <c r="I1000" s="3906"/>
      <c r="J1000" s="3806"/>
      <c r="K1000" s="3806"/>
      <c r="L1000" s="3806"/>
      <c r="M1000" s="3907"/>
      <c r="N1000" s="3907" t="s">
        <v>12116</v>
      </c>
      <c r="O1000" s="3907"/>
      <c r="P1000" s="3907"/>
      <c r="Q1000" s="3907"/>
      <c r="R1000" s="3907"/>
      <c r="S1000" s="3855">
        <f t="shared" si="356"/>
        <v>40</v>
      </c>
      <c r="T1000" s="3806"/>
      <c r="U1000" s="3806"/>
      <c r="V1000" s="3806">
        <v>20</v>
      </c>
      <c r="W1000" s="3806"/>
      <c r="X1000" s="3806">
        <f t="shared" si="357"/>
        <v>0</v>
      </c>
      <c r="Y1000" s="3806">
        <f>IF(COUNTIF(PDs!$AD$59:$AD$77,Tablas!D1000)&gt;0,1,0)</f>
        <v>0</v>
      </c>
      <c r="Z1000" s="3806" t="str">
        <f>IF(AND(Y926=1,P.Fuerza_final&gt;=120,AA1000&gt;=240),"-","NO")</f>
        <v>NO</v>
      </c>
      <c r="AA1000" s="3896" cm="1">
        <f t="array" ref="AA1000">HA_final-PDs!$X$25+MIN(PDs!$X$25+H$1013-H1000,50)+MAX(V$893:V999*$Y$893:$Y999,V1001:V$1012*$Y1001:$Y$1012)</f>
        <v>0</v>
      </c>
      <c r="AB1000" s="2615" cm="1">
        <f t="array" ref="AB1000">HE_final-PDs!$X$27+MIN(PDs!$X$27+I$1013-I1000,50)+MAX(W$893:W999*$Y$893:$Y999,W1001:W$1012*$Y1001:$Y$1012)</f>
        <v>0</v>
      </c>
      <c r="AC1000" s="3897" cm="1">
        <f t="array" ref="AC1000">HP_final-PDs!$X$26+MIN(PDs!$X$26+J$1013-J1000,50)+MAX(W$893:W999*$Y$893:$Y999,W1001:W$1012*$Y1001:$Y$1012)</f>
        <v>0</v>
      </c>
      <c r="AP1000" s="510"/>
      <c r="AQ1000" s="510"/>
    </row>
    <row r="1001" spans="1:43" ht="12.75" customHeight="1">
      <c r="A1001" s="219">
        <v>982</v>
      </c>
      <c r="B1001" s="7145"/>
      <c r="C1001" s="3814"/>
      <c r="D1001" s="3893" t="s">
        <v>12117</v>
      </c>
      <c r="E1001" s="3806">
        <v>0</v>
      </c>
      <c r="F1001" s="3806"/>
      <c r="G1001" s="3806">
        <v>10</v>
      </c>
      <c r="H1001" s="3806"/>
      <c r="I1001" s="3906"/>
      <c r="J1001" s="3806">
        <v>10</v>
      </c>
      <c r="K1001" s="3806"/>
      <c r="L1001" s="3806"/>
      <c r="M1001" s="3907"/>
      <c r="N1001" s="3907" t="s">
        <v>12118</v>
      </c>
      <c r="O1001" s="3907"/>
      <c r="P1001" s="3907"/>
      <c r="Q1001" s="3907"/>
      <c r="R1001" s="3907"/>
      <c r="S1001" s="3855">
        <f t="shared" si="356"/>
        <v>85</v>
      </c>
      <c r="T1001" s="3806"/>
      <c r="U1001" s="3806"/>
      <c r="V1001" s="3806"/>
      <c r="W1001" s="3806"/>
      <c r="X1001" s="3806">
        <f t="shared" si="357"/>
        <v>0</v>
      </c>
      <c r="Y1001" s="3806">
        <f>IF(OR(Y1002&gt;0,COUNTIF(PDs!$AD$59:$AD$77,Tablas!D1001)&gt;0),1,0)</f>
        <v>0</v>
      </c>
      <c r="Z1001" s="3806" t="str">
        <f>IF(AND(Y913=1,T.Manos_final&gt;=120,AA1001&gt;=200),"-","NO")</f>
        <v>NO</v>
      </c>
      <c r="AA1001" s="3896" cm="1">
        <f t="array" ref="AA1001">HA_final-PDs!$X$25+MIN(PDs!$X$25+H$1013-H1001,50)+MAX(V$893:V1000*$Y$893:$Y1000,V1002:V$1012*$Y1002:$Y$1012)</f>
        <v>0</v>
      </c>
      <c r="AB1001" s="2615" cm="1">
        <f t="array" ref="AB1001">HE_final-PDs!$X$27+MIN(PDs!$X$27+I$1013-I1001,50)+MAX(W$893:W1000*$Y$893:$Y1000,W1002:W$1012*$Y1002:$Y$1012)</f>
        <v>0</v>
      </c>
      <c r="AC1001" s="3897" cm="1">
        <f t="array" ref="AC1001">HP_final-PDs!$X$26+MIN(PDs!$X$26+J$1013-J1001,50)+MAX(W$893:W1000*$Y$893:$Y1000,W1002:W$1012*$Y1002:$Y$1012)</f>
        <v>-10</v>
      </c>
      <c r="AP1001" s="510"/>
      <c r="AQ1001" s="510"/>
    </row>
    <row r="1002" spans="1:43" ht="12.75" customHeight="1">
      <c r="A1002" s="219">
        <v>983</v>
      </c>
      <c r="B1002" s="7145"/>
      <c r="C1002" s="3814"/>
      <c r="D1002" s="3893" t="s">
        <v>12119</v>
      </c>
      <c r="E1002" s="3806">
        <v>0</v>
      </c>
      <c r="F1002" s="3806"/>
      <c r="G1002" s="3806">
        <v>30</v>
      </c>
      <c r="H1002" s="3806"/>
      <c r="I1002" s="3906"/>
      <c r="J1002" s="3806"/>
      <c r="K1002" s="3806"/>
      <c r="L1002" s="3806"/>
      <c r="M1002" s="3907"/>
      <c r="N1002" s="3908" t="s">
        <v>12120</v>
      </c>
      <c r="O1002" s="3907"/>
      <c r="P1002" s="3907"/>
      <c r="Q1002" s="3907"/>
      <c r="R1002" s="3907"/>
      <c r="S1002" s="3855">
        <f t="shared" si="356"/>
        <v>104</v>
      </c>
      <c r="T1002" s="3806"/>
      <c r="U1002" s="3806"/>
      <c r="V1002" s="3806"/>
      <c r="W1002" s="3806">
        <v>10</v>
      </c>
      <c r="X1002" s="3806">
        <f t="shared" si="357"/>
        <v>0</v>
      </c>
      <c r="Y1002" s="3806">
        <f>IF(COUNTIF(PDs!$AD$59:$AD$77,Tablas!D1002)&gt;0,1,0)</f>
        <v>0</v>
      </c>
      <c r="Z1002" s="3806" t="str">
        <f>IF(AND(Y914=1,T.Manos_final&gt;=200,AC1002&gt;=240),"-","NO")</f>
        <v>NO</v>
      </c>
      <c r="AA1002" s="3896" cm="1">
        <f t="array" ref="AA1002">HA_final-PDs!$X$25+MIN(PDs!$X$25+H$1013-H1002,50)+MAX(V$893:V1001*$Y$893:$Y1001,V1003:V$1012*$Y1003:$Y$1012)</f>
        <v>0</v>
      </c>
      <c r="AB1002" s="2615" cm="1">
        <f t="array" ref="AB1002">HE_final-PDs!$X$27+MIN(PDs!$X$27+I$1013-I1002,50)+MAX(W$893:W1001*$Y$893:$Y1001,W1003:W$1012*$Y1003:$Y$1012)</f>
        <v>0</v>
      </c>
      <c r="AC1002" s="3897" cm="1">
        <f t="array" ref="AC1002">HP_final-PDs!$X$26+MIN(PDs!$X$26+J$1013-J1002,50)+MAX(W$893:W1001*$Y$893:$Y1001,W1003:W$1012*$Y1003:$Y$1012)</f>
        <v>0</v>
      </c>
      <c r="AP1002" s="510"/>
      <c r="AQ1002" s="510"/>
    </row>
    <row r="1003" spans="1:43" ht="12.75" customHeight="1">
      <c r="A1003" s="219">
        <v>984</v>
      </c>
      <c r="B1003" s="7145"/>
      <c r="C1003" s="3814"/>
      <c r="D1003" s="3893" t="s">
        <v>12121</v>
      </c>
      <c r="E1003" s="3806">
        <f>Bono_Pod*5</f>
        <v>0</v>
      </c>
      <c r="F1003" s="3806"/>
      <c r="G1003" s="3806">
        <v>10</v>
      </c>
      <c r="H1003" s="3806">
        <v>10</v>
      </c>
      <c r="I1003" s="3906"/>
      <c r="J1003" s="3806"/>
      <c r="K1003" s="3806"/>
      <c r="L1003" s="3806"/>
      <c r="M1003" s="3907"/>
      <c r="N1003" s="3907" t="s">
        <v>12122</v>
      </c>
      <c r="O1003" s="3907"/>
      <c r="P1003" s="3907"/>
      <c r="Q1003" s="3907"/>
      <c r="R1003" s="3907"/>
      <c r="S1003" s="3855">
        <f t="shared" si="356"/>
        <v>80</v>
      </c>
      <c r="T1003" s="3806"/>
      <c r="U1003" s="3806"/>
      <c r="V1003" s="3806"/>
      <c r="W1003" s="3806"/>
      <c r="X1003" s="3806">
        <f t="shared" si="357"/>
        <v>0</v>
      </c>
      <c r="Y1003" s="3806">
        <f>IF(OR(Y1004&gt;0,COUNTIF(PDs!$AD$59:$AD$77,Tablas!D1003)&gt;0),1,0)</f>
        <v>0</v>
      </c>
      <c r="Z1003" s="3806" t="str">
        <f>IF(AND(Y943=1,OR(Ki!Q41=20,Ki!I56=20),AA1003&gt;=200),"-","NO")</f>
        <v>NO</v>
      </c>
      <c r="AA1003" s="3896" cm="1">
        <f t="array" ref="AA1003">HA_final-PDs!$X$25+MIN(PDs!$X$25+H$1013-H1003,50)+MAX(V$893:V1002*$Y$893:$Y1002,V1004:V$1012*$Y1004:$Y$1012)</f>
        <v>-10</v>
      </c>
      <c r="AB1003" s="2615" cm="1">
        <f t="array" ref="AB1003">HE_final-PDs!$X$27+MIN(PDs!$X$27+I$1013-I1003,50)+MAX(W$893:W1002*$Y$893:$Y1002,W1004:W$1012*$Y1004:$Y$1012)</f>
        <v>0</v>
      </c>
      <c r="AC1003" s="3897" cm="1">
        <f t="array" ref="AC1003">HP_final-PDs!$X$26+MIN(PDs!$X$26+J$1013-J1003,50)+MAX(W$893:W1002*$Y$893:$Y1002,W1004:W$1012*$Y1004:$Y$1012)</f>
        <v>0</v>
      </c>
      <c r="AP1003" s="510"/>
      <c r="AQ1003" s="510"/>
    </row>
    <row r="1004" spans="1:43" ht="12.75" customHeight="1">
      <c r="A1004" s="219">
        <v>985</v>
      </c>
      <c r="B1004" s="7145"/>
      <c r="C1004" s="3814"/>
      <c r="D1004" s="3893" t="s">
        <v>12123</v>
      </c>
      <c r="E1004" s="3806">
        <f>Bono_Pod*5</f>
        <v>0</v>
      </c>
      <c r="F1004" s="3806"/>
      <c r="G1004" s="3806">
        <v>20</v>
      </c>
      <c r="H1004" s="3806"/>
      <c r="I1004" s="3906"/>
      <c r="J1004" s="3806"/>
      <c r="K1004" s="3806"/>
      <c r="L1004" s="3806"/>
      <c r="M1004" s="3907"/>
      <c r="N1004" s="3908" t="s">
        <v>12124</v>
      </c>
      <c r="O1004" s="3907"/>
      <c r="P1004" s="3907"/>
      <c r="Q1004" s="3907"/>
      <c r="R1004" s="3907"/>
      <c r="S1004" s="3855">
        <f t="shared" si="356"/>
        <v>47</v>
      </c>
      <c r="T1004" s="3806"/>
      <c r="U1004" s="3806"/>
      <c r="V1004" s="3806">
        <v>10</v>
      </c>
      <c r="W1004" s="3806"/>
      <c r="X1004" s="3806">
        <f t="shared" si="357"/>
        <v>0</v>
      </c>
      <c r="Y1004" s="3806">
        <f>IF(COUNTIF(PDs!$AD$59:$AD$77,Tablas!D1004)&gt;0,1,0)</f>
        <v>0</v>
      </c>
      <c r="Z1004" s="3806" t="str">
        <f>IF(AND(Y944=1,OR(Ki!Q41=20,Ki!I56=20),AA1004&gt;=240),"-","NO")</f>
        <v>NO</v>
      </c>
      <c r="AA1004" s="3896" cm="1">
        <f t="array" ref="AA1004">HA_final-PDs!$X$25+MIN(PDs!$X$25+H$1013-H1004,50)+MAX(V$893:V1003*$Y$893:$Y1003,V1005:V$1012*$Y1005:$Y$1012)</f>
        <v>0</v>
      </c>
      <c r="AB1004" s="2615" cm="1">
        <f t="array" ref="AB1004">HE_final-PDs!$X$27+MIN(PDs!$X$27+I$1013-I1004,50)+MAX(W$893:W1003*$Y$893:$Y1003,W1005:W$1012*$Y1005:$Y$1012)</f>
        <v>0</v>
      </c>
      <c r="AC1004" s="3897" cm="1">
        <f t="array" ref="AC1004">HP_final-PDs!$X$26+MIN(PDs!$X$26+J$1013-J1004,50)+MAX(W$893:W1003*$Y$893:$Y1003,W1005:W$1012*$Y1005:$Y$1012)</f>
        <v>0</v>
      </c>
      <c r="AP1004" s="510"/>
      <c r="AQ1004" s="510"/>
    </row>
    <row r="1005" spans="1:43" ht="12.75" customHeight="1">
      <c r="A1005" s="219">
        <v>986</v>
      </c>
      <c r="B1005" s="7145"/>
      <c r="C1005" s="3814"/>
      <c r="D1005" s="3893" t="s">
        <v>12125</v>
      </c>
      <c r="E1005" s="3806">
        <v>0</v>
      </c>
      <c r="F1005" s="3806"/>
      <c r="G1005" s="3806">
        <v>20</v>
      </c>
      <c r="H1005" s="3806">
        <v>10</v>
      </c>
      <c r="I1005" s="3906"/>
      <c r="J1005" s="3806"/>
      <c r="K1005" s="3806"/>
      <c r="L1005" s="3806"/>
      <c r="M1005" s="3907"/>
      <c r="N1005" s="3907" t="s">
        <v>12126</v>
      </c>
      <c r="O1005" s="3907"/>
      <c r="P1005" s="3907"/>
      <c r="Q1005" s="3907"/>
      <c r="R1005" s="3907"/>
      <c r="S1005" s="3855">
        <f t="shared" si="356"/>
        <v>90</v>
      </c>
      <c r="T1005" s="3806"/>
      <c r="U1005" s="3806" t="s">
        <v>1412</v>
      </c>
      <c r="V1005" s="3806"/>
      <c r="W1005" s="3806"/>
      <c r="X1005" s="3806">
        <f t="shared" si="357"/>
        <v>0</v>
      </c>
      <c r="Y1005" s="3806">
        <f>IF(OR(Y1006&gt;0,COUNTIF(PDs!$AD$59:$AD$77,Tablas!D1005)&gt;0),1,0)</f>
        <v>0</v>
      </c>
      <c r="Z1005" s="3882" t="str">
        <f>IF(AND(Y943=1,CM_final&gt;300,AA1005&gt;=200),"-","NO")</f>
        <v>NO</v>
      </c>
      <c r="AA1005" s="3896" cm="1">
        <f t="array" ref="AA1005">HA_final-PDs!$X$25+MIN(PDs!$X$25+H$1013-H1005,50)+MAX(V$893:V1004*$Y$893:$Y1004,V1006:V$1012*$Y1006:$Y$1012)</f>
        <v>-10</v>
      </c>
      <c r="AB1005" s="2615" cm="1">
        <f t="array" ref="AB1005">HE_final-PDs!$X$27+MIN(PDs!$X$27+I$1013-I1005,50)+MAX(W$893:W1004*$Y$893:$Y1004,W1006:W$1012*$Y1006:$Y$1012)</f>
        <v>0</v>
      </c>
      <c r="AC1005" s="3897" cm="1">
        <f t="array" ref="AC1005">HP_final-PDs!$X$26+MIN(PDs!$X$26+J$1013-J1005,50)+MAX(W$893:W1004*$Y$893:$Y1004,W1006:W$1012*$Y1006:$Y$1012)</f>
        <v>0</v>
      </c>
      <c r="AP1005" s="510"/>
      <c r="AQ1005" s="510"/>
    </row>
    <row r="1006" spans="1:43" ht="12.75" customHeight="1">
      <c r="A1006" s="219">
        <v>987</v>
      </c>
      <c r="B1006" s="7145"/>
      <c r="C1006" s="3814"/>
      <c r="D1006" s="3893" t="s">
        <v>12127</v>
      </c>
      <c r="E1006" s="3806">
        <v>0</v>
      </c>
      <c r="F1006" s="3806"/>
      <c r="G1006" s="3806">
        <v>20</v>
      </c>
      <c r="H1006" s="3806"/>
      <c r="I1006" s="3906"/>
      <c r="J1006" s="3806"/>
      <c r="K1006" s="3806"/>
      <c r="L1006" s="3806"/>
      <c r="M1006" s="3907"/>
      <c r="N1006" s="3907" t="s">
        <v>12128</v>
      </c>
      <c r="O1006" s="3907"/>
      <c r="P1006" s="3907"/>
      <c r="Q1006" s="3907"/>
      <c r="R1006" s="3907"/>
      <c r="S1006" s="3855">
        <f t="shared" si="356"/>
        <v>90</v>
      </c>
      <c r="T1006" s="3806" t="s">
        <v>1412</v>
      </c>
      <c r="U1006" s="3806"/>
      <c r="V1006" s="3806">
        <v>20</v>
      </c>
      <c r="W1006" s="3806"/>
      <c r="X1006" s="3806">
        <f t="shared" si="357"/>
        <v>0</v>
      </c>
      <c r="Y1006" s="3806">
        <f>IF(COUNTIF(PDs!$AD$59:$AD$77,Tablas!D1006)&gt;0,1,0)</f>
        <v>0</v>
      </c>
      <c r="Z1006" s="3882" t="str">
        <f>IF(AND(Y944=1,CM_final&gt;300,AA1006&gt;=280),"-","NO")</f>
        <v>NO</v>
      </c>
      <c r="AA1006" s="3896" cm="1">
        <f t="array" ref="AA1006">HA_final-PDs!$X$25+MIN(PDs!$X$25+H$1013-H1006,50)+MAX(V$893:V1005*$Y$893:$Y1005,V1007:V$1012*$Y1007:$Y$1012)</f>
        <v>0</v>
      </c>
      <c r="AB1006" s="2615" cm="1">
        <f t="array" ref="AB1006">HE_final-PDs!$X$27+MIN(PDs!$X$27+I$1013-I1006,50)+MAX(W$893:W1005*$Y$893:$Y1005,W1007:W$1012*$Y1007:$Y$1012)</f>
        <v>0</v>
      </c>
      <c r="AC1006" s="3897" cm="1">
        <f t="array" ref="AC1006">HP_final-PDs!$X$26+MIN(PDs!$X$26+J$1013-J1006,50)+MAX(W$893:W1005*$Y$893:$Y1005,W1007:W$1012*$Y1007:$Y$1012)</f>
        <v>0</v>
      </c>
      <c r="AP1006" s="510"/>
      <c r="AQ1006" s="510"/>
    </row>
    <row r="1007" spans="1:43" ht="12.75" customHeight="1">
      <c r="A1007" s="219">
        <v>988</v>
      </c>
      <c r="B1007" s="7145"/>
      <c r="C1007" s="3814"/>
      <c r="D1007" s="3893" t="s">
        <v>12129</v>
      </c>
      <c r="E1007" s="3806">
        <v>0</v>
      </c>
      <c r="F1007" s="3806"/>
      <c r="G1007" s="3806">
        <v>10</v>
      </c>
      <c r="H1007" s="3806"/>
      <c r="I1007" s="3906"/>
      <c r="J1007" s="3806">
        <v>20</v>
      </c>
      <c r="K1007" s="3806"/>
      <c r="L1007" s="3806">
        <v>15</v>
      </c>
      <c r="M1007" s="3907"/>
      <c r="N1007" s="3908" t="s">
        <v>12130</v>
      </c>
      <c r="O1007" s="3907"/>
      <c r="P1007" s="3907"/>
      <c r="Q1007" s="3907"/>
      <c r="R1007" s="3907"/>
      <c r="S1007" s="3855">
        <f t="shared" si="356"/>
        <v>42</v>
      </c>
      <c r="T1007" s="3806"/>
      <c r="U1007" s="3806"/>
      <c r="V1007" s="3806"/>
      <c r="W1007" s="3806"/>
      <c r="X1007" s="3806">
        <f t="shared" si="357"/>
        <v>0</v>
      </c>
      <c r="Y1007" s="3806">
        <f>IF(OR(Y1008&gt;0,COUNTIF(PDs!$AD$59:$AD$77,Tablas!D1007)&gt;0),1,0)</f>
        <v>0</v>
      </c>
      <c r="Z1007" s="3806" t="str">
        <f>IF(NOT(AND(OR(Y952=1,Y922=1),Ki!Q16=10,AC1007&gt;=200)),"NO","-")</f>
        <v>NO</v>
      </c>
      <c r="AA1007" s="3896" cm="1">
        <f t="array" ref="AA1007">HA_final-PDs!$X$25+MIN(PDs!$X$25+H$1013-H1007,50)+MAX(V$893:V1006*$Y$893:$Y1006,V1008:V$1012*$Y1008:$Y$1012)</f>
        <v>0</v>
      </c>
      <c r="AB1007" s="2615" cm="1">
        <f t="array" ref="AB1007">HE_final-PDs!$X$27+MIN(PDs!$X$27+I$1013-I1007,50)+MAX(W$893:W1006*$Y$893:$Y1006,W1008:W$1012*$Y1008:$Y$1012)</f>
        <v>0</v>
      </c>
      <c r="AC1007" s="3897" cm="1">
        <f t="array" ref="AC1007">HP_final-PDs!$X$26+MIN(PDs!$X$26+J$1013-J1007,50)+MAX(W$893:W1006*$Y$893:$Y1006,W1008:W$1012*$Y1008:$Y$1012)</f>
        <v>-20</v>
      </c>
      <c r="AP1007" s="510"/>
      <c r="AQ1007" s="510"/>
    </row>
    <row r="1008" spans="1:43" ht="12.75" customHeight="1">
      <c r="A1008" s="219">
        <v>989</v>
      </c>
      <c r="B1008" s="7145"/>
      <c r="C1008" s="3814"/>
      <c r="D1008" s="3893" t="s">
        <v>12131</v>
      </c>
      <c r="E1008" s="3806">
        <v>0</v>
      </c>
      <c r="F1008" s="3806"/>
      <c r="G1008" s="3806">
        <v>30</v>
      </c>
      <c r="H1008" s="3806"/>
      <c r="I1008" s="3906"/>
      <c r="J1008" s="3806"/>
      <c r="K1008" s="3806"/>
      <c r="L1008" s="3806">
        <v>15</v>
      </c>
      <c r="M1008" s="3907"/>
      <c r="N1008" s="3908" t="s">
        <v>12132</v>
      </c>
      <c r="O1008" s="3907"/>
      <c r="P1008" s="3907"/>
      <c r="Q1008" s="3907"/>
      <c r="R1008" s="3907"/>
      <c r="S1008" s="3855">
        <f t="shared" si="356"/>
        <v>42</v>
      </c>
      <c r="T1008" s="3806"/>
      <c r="U1008" s="3806"/>
      <c r="V1008" s="3806"/>
      <c r="W1008" s="3806">
        <v>20</v>
      </c>
      <c r="X1008" s="3806">
        <f t="shared" si="357"/>
        <v>0</v>
      </c>
      <c r="Y1008" s="3806">
        <f>IF(COUNTIF(PDs!$AD$59:$AD$77,Tablas!D1008)&gt;0,1,0)</f>
        <v>0</v>
      </c>
      <c r="Z1008" s="3806" t="str">
        <f>IF(NOT(AND(OR(Y953=1,Y923=1),Ki!Q17=10,AC1008&gt;=260)),"NO","-")</f>
        <v>NO</v>
      </c>
      <c r="AA1008" s="3896" cm="1">
        <f t="array" ref="AA1008">HA_final-PDs!$X$25+MIN(PDs!$X$25+H$1013-H1008,50)+MAX(V$893:V1007*$Y$893:$Y1007,V1009:V$1012*$Y1009:$Y$1012)</f>
        <v>0</v>
      </c>
      <c r="AB1008" s="2615" cm="1">
        <f t="array" ref="AB1008">HE_final-PDs!$X$27+MIN(PDs!$X$27+I$1013-I1008,50)+MAX(W$893:W1007*$Y$893:$Y1007,W1009:W$1012*$Y1009:$Y$1012)</f>
        <v>0</v>
      </c>
      <c r="AC1008" s="3897" cm="1">
        <f t="array" ref="AC1008">HP_final-PDs!$X$26+MIN(PDs!$X$26+J$1013-J1008,50)+MAX(W$893:W1007*$Y$893:$Y1007,W1009:W$1012*$Y1009:$Y$1012)</f>
        <v>0</v>
      </c>
      <c r="AP1008" s="510"/>
      <c r="AQ1008" s="510"/>
    </row>
    <row r="1009" spans="1:43" ht="12.75" customHeight="1">
      <c r="A1009" s="219">
        <v>990</v>
      </c>
      <c r="B1009" s="7145"/>
      <c r="C1009" s="3814"/>
      <c r="D1009" s="3893" t="s">
        <v>12133</v>
      </c>
      <c r="E1009" s="3806">
        <v>0</v>
      </c>
      <c r="F1009" s="3806"/>
      <c r="G1009" s="3806">
        <v>10</v>
      </c>
      <c r="H1009" s="3806">
        <v>10</v>
      </c>
      <c r="I1009" s="3906"/>
      <c r="J1009" s="3806"/>
      <c r="K1009" s="3806"/>
      <c r="L1009" s="3806"/>
      <c r="M1009" s="3907"/>
      <c r="N1009" s="3907" t="s">
        <v>12134</v>
      </c>
      <c r="O1009" s="3907"/>
      <c r="P1009" s="3907"/>
      <c r="Q1009" s="3907"/>
      <c r="R1009" s="3907"/>
      <c r="S1009" s="3855">
        <f t="shared" si="356"/>
        <v>26</v>
      </c>
      <c r="T1009" s="3806"/>
      <c r="U1009" s="3806"/>
      <c r="V1009" s="3806"/>
      <c r="W1009" s="3806"/>
      <c r="X1009" s="3806">
        <f t="shared" si="357"/>
        <v>0</v>
      </c>
      <c r="Y1009" s="3806">
        <f>IF(OR(Y1010&gt;0,COUNTIF(PDs!$AD$59:$AD$77,Tablas!D1009)&gt;0),1,0)</f>
        <v>0</v>
      </c>
      <c r="Z1009" s="3806" t="str">
        <f>IF(NOT(AND(OR(Y958=1,Y910=1),Extensióndelauraalarma,AA1009&gt;=200)),"NO","-")</f>
        <v>NO</v>
      </c>
      <c r="AA1009" s="3896" cm="1">
        <f t="array" ref="AA1009">HA_final-PDs!$X$25+MIN(PDs!$X$25+H$1013-H1009,50)+MAX(V$893:V1008*$Y$893:$Y1008,V1010:V$1012*$Y1010:$Y$1012)</f>
        <v>-10</v>
      </c>
      <c r="AB1009" s="2615" cm="1">
        <f t="array" ref="AB1009">HE_final-PDs!$X$27+MIN(PDs!$X$27+I$1013-I1009,50)+MAX(W$893:W1008*$Y$893:$Y1008,W1010:W$1012*$Y1010:$Y$1012)</f>
        <v>0</v>
      </c>
      <c r="AC1009" s="3897" cm="1">
        <f t="array" ref="AC1009">HP_final-PDs!$X$26+MIN(PDs!$X$26+J$1013-J1009,50)+MAX(W$893:W1008*$Y$893:$Y1008,W1010:W$1012*$Y1010:$Y$1012)</f>
        <v>0</v>
      </c>
      <c r="AD1009" s="510" t="b">
        <f>AND(Y958=1,Extensióndelauraalarma,AC1009&gt;=200)</f>
        <v>0</v>
      </c>
      <c r="AP1009" s="510"/>
      <c r="AQ1009" s="510"/>
    </row>
    <row r="1010" spans="1:43" ht="12.75" customHeight="1">
      <c r="A1010" s="219">
        <v>991</v>
      </c>
      <c r="B1010" s="7145"/>
      <c r="C1010" s="3814"/>
      <c r="D1010" s="3893" t="s">
        <v>12135</v>
      </c>
      <c r="E1010" s="3806">
        <v>0</v>
      </c>
      <c r="F1010" s="3806"/>
      <c r="G1010" s="3806">
        <v>20</v>
      </c>
      <c r="H1010" s="3806"/>
      <c r="I1010" s="3906"/>
      <c r="J1010" s="3806"/>
      <c r="K1010" s="3806"/>
      <c r="L1010" s="3806"/>
      <c r="M1010" s="3907"/>
      <c r="N1010" s="3907" t="s">
        <v>12134</v>
      </c>
      <c r="O1010" s="3907"/>
      <c r="P1010" s="3907"/>
      <c r="Q1010" s="3907"/>
      <c r="R1010" s="3907"/>
      <c r="S1010" s="3855">
        <f t="shared" si="356"/>
        <v>26</v>
      </c>
      <c r="T1010" s="3806"/>
      <c r="U1010" s="3806"/>
      <c r="V1010" s="3806">
        <v>20</v>
      </c>
      <c r="W1010" s="3806"/>
      <c r="X1010" s="3806">
        <f t="shared" si="357"/>
        <v>0</v>
      </c>
      <c r="Y1010" s="3806">
        <f>IF(COUNTIF(PDs!$AD$59:$AD$77,Tablas!D1010)&gt;0,1,0)</f>
        <v>0</v>
      </c>
      <c r="Z1010" s="3806" t="str">
        <f>IF(NOT(AND(OR(Y959=1,Y911=1),Extensióndelauraalarma,AA1010&gt;=280)),"NO","-")</f>
        <v>NO</v>
      </c>
      <c r="AA1010" s="3896" cm="1">
        <f t="array" ref="AA1010">HA_final-PDs!$X$25+MIN(PDs!$X$25+H$1013-H1010,50)+MAX(V$893:V1009*$Y$893:$Y1009,V1011:V$1012*$Y1011:$Y$1012)</f>
        <v>0</v>
      </c>
      <c r="AB1010" s="2615" cm="1">
        <f t="array" ref="AB1010">HE_final-PDs!$X$27+MIN(PDs!$X$27+I$1013-I1010,50)+MAX(W$893:W1009*$Y$893:$Y1009,W1011:W$1012*$Y1011:$Y$1012)</f>
        <v>0</v>
      </c>
      <c r="AC1010" s="3897" cm="1">
        <f t="array" ref="AC1010">HP_final-PDs!$X$26+MIN(PDs!$X$26+J$1013-J1010,50)+MAX(W$893:W1009*$Y$893:$Y1009,W1011:W$1012*$Y1011:$Y$1012)</f>
        <v>0</v>
      </c>
      <c r="AP1010" s="510"/>
      <c r="AQ1010" s="510"/>
    </row>
    <row r="1011" spans="1:43" ht="12.75" customHeight="1">
      <c r="A1011" s="219">
        <v>992</v>
      </c>
      <c r="B1011" s="7145"/>
      <c r="C1011" s="3814"/>
      <c r="D1011" s="3893" t="s">
        <v>12136</v>
      </c>
      <c r="E1011" s="3806">
        <v>0</v>
      </c>
      <c r="F1011" s="3806"/>
      <c r="G1011" s="3806">
        <v>10</v>
      </c>
      <c r="H1011" s="3806">
        <v>10</v>
      </c>
      <c r="I1011" s="3906"/>
      <c r="J1011" s="3806"/>
      <c r="K1011" s="3806"/>
      <c r="L1011" s="3806"/>
      <c r="M1011" s="3907"/>
      <c r="N1011" s="3907" t="s">
        <v>12137</v>
      </c>
      <c r="O1011" s="3907"/>
      <c r="P1011" s="3907"/>
      <c r="Q1011" s="3907"/>
      <c r="R1011" s="3907"/>
      <c r="S1011" s="3855">
        <f t="shared" si="356"/>
        <v>73</v>
      </c>
      <c r="T1011" s="3806"/>
      <c r="U1011" s="3806"/>
      <c r="V1011" s="3806"/>
      <c r="W1011" s="3806"/>
      <c r="X1011" s="3806">
        <f t="shared" si="357"/>
        <v>0</v>
      </c>
      <c r="Y1011" s="3806">
        <f>IF(OR(Y1012&gt;0,COUNTIF(PDs!$AD$59:$AD$77,Tablas!D1011)&gt;0),1,0)</f>
        <v>0</v>
      </c>
      <c r="Z1011" s="3806" t="str">
        <f>IF(AND(Sigilo_final&gt;=200,OcultacióndelKi,AA1011&gt;=200),"-","NO")</f>
        <v>NO</v>
      </c>
      <c r="AA1011" s="3896" cm="1">
        <f t="array" ref="AA1011">HA_final-PDs!$X$25+MIN(PDs!$X$25+H$1013-H1011,50)+MAX(V$893:V1010*$Y$893:$Y1010,V1012:V$1012*$Y1012:$Y$1012)</f>
        <v>-10</v>
      </c>
      <c r="AB1011" s="2615" cm="1">
        <f t="array" ref="AB1011">HE_final-PDs!$X$27+MIN(PDs!$X$27+I$1013-I1011,50)+MAX(W$893:W1010*$Y$893:$Y1010,W1012:W$1012*$Y1012:$Y$1012)</f>
        <v>0</v>
      </c>
      <c r="AC1011" s="3897" cm="1">
        <f t="array" ref="AC1011">HP_final-PDs!$X$26+MIN(PDs!$X$26+J$1013-J1011,50)+MAX(W$893:W1010*$Y$893:$Y1010,W1012:W$1012*$Y1012:$Y$1012)</f>
        <v>0</v>
      </c>
      <c r="AP1011" s="510"/>
      <c r="AQ1011" s="510"/>
    </row>
    <row r="1012" spans="1:43" ht="12.75" customHeight="1" thickBot="1">
      <c r="A1012" s="219">
        <v>993</v>
      </c>
      <c r="B1012" s="7145"/>
      <c r="C1012" s="3814"/>
      <c r="D1012" s="3893" t="s">
        <v>12138</v>
      </c>
      <c r="E1012" s="3806">
        <v>0</v>
      </c>
      <c r="F1012" s="3806"/>
      <c r="G1012" s="3806">
        <v>20</v>
      </c>
      <c r="H1012" s="3806"/>
      <c r="I1012" s="3906"/>
      <c r="J1012" s="3806"/>
      <c r="K1012" s="3806"/>
      <c r="L1012" s="3806"/>
      <c r="M1012" s="3907"/>
      <c r="N1012" s="3907" t="s">
        <v>12139</v>
      </c>
      <c r="O1012" s="3907"/>
      <c r="P1012" s="3907"/>
      <c r="Q1012" s="3907"/>
      <c r="R1012" s="3907"/>
      <c r="S1012" s="3855">
        <f t="shared" si="356"/>
        <v>45</v>
      </c>
      <c r="T1012" s="3806"/>
      <c r="U1012" s="3806"/>
      <c r="V1012" s="3806">
        <v>10</v>
      </c>
      <c r="W1012" s="3806"/>
      <c r="X1012" s="3806">
        <f t="shared" si="357"/>
        <v>0</v>
      </c>
      <c r="Y1012" s="3909">
        <f>IF(COUNTIF(PDs!$AD$59:$AD$77,Tablas!D1012)&gt;0,1,0)</f>
        <v>0</v>
      </c>
      <c r="Z1012" s="3806" t="str">
        <f>IF(AND(Sigilo_final&gt;=280,OcultacióndelKi,Ki!Q54&gt;10,AA1012&gt;280),"-","NO")</f>
        <v>NO</v>
      </c>
      <c r="AA1012" s="3896" cm="1">
        <f t="array" ref="AA1012">HA_final-PDs!$X$25+MIN(PDs!$X$25+H$1013-H1012,50)+MAX(V$893:V1011*$Y$893:$Y1011,V$1012:V1013*$Y$1012:$Y1013)</f>
        <v>0</v>
      </c>
      <c r="AB1012" s="2615" cm="1">
        <f t="array" ref="AB1012">HE_final-PDs!$X$27+MIN(PDs!$X$27+I$1013-I1012,50)+MAX(W$893:W1011*$Y$893:$Y1011,W$1012:W1013*$Y$1012:$Y1013)</f>
        <v>0</v>
      </c>
      <c r="AC1012" s="3897" cm="1">
        <f t="array" ref="AC1012">HP_final-PDs!$X$26+MIN(PDs!$X$26+J$1013-J1012,50)+MAX(W$893:W1011*$Y$893:$Y1011,W$1012:W1013*$Y$1012:$Y1013)</f>
        <v>0</v>
      </c>
      <c r="AP1012" s="510"/>
      <c r="AQ1012" s="510"/>
    </row>
    <row r="1013" spans="1:43" ht="12.75" customHeight="1" thickBot="1">
      <c r="A1013" s="219">
        <v>994</v>
      </c>
      <c r="B1013" s="7145"/>
      <c r="F1013" s="7960">
        <f>SUMPRODUCT($F$894:$F$1012,$Y$894:$Y$1012)</f>
        <v>0</v>
      </c>
      <c r="G1013" s="7982" t="s">
        <v>859</v>
      </c>
      <c r="H1013" s="7957">
        <f>Tablas!H950*Tablas!Y950+Tablas!H899*Tablas!Y899+Tablas!H952*Tablas!Y952+Tablas!H953*Tablas!Y953+Tablas!H955*Tablas!Y955+Tablas!H956*Tablas!Y956+Tablas!H959*Tablas!Y959+Tablas!H911*Tablas!Y911+Tablas!H961*Tablas!Y961+Tablas!H963*Tablas!Y963+Tablas!H965*Tablas!Y965+Tablas!H934*Tablas!Y934+Tablas!H933*Tablas!Y933+Tablas!H935*Tablas!Y935+Tablas!H969*Tablas!Y969+H971*Y971+H973*Y973+H979*Y978+H981*Y980+H987*Y987+H991*Y991+H995*Y995+H999*Y999+H1003*Y1003+H1005*Y1005+H1009*Y1009+H1011*Y1011</f>
        <v>0</v>
      </c>
      <c r="I1013" s="7957">
        <f>Tablas!I895*Tablas!Y895+Tablas!I896*Tablas!Y896+Tablas!I967*Tablas!Y967+Tablas!I901*Tablas!Y901+Tablas!I902*Tablas!Y902+Tablas!I961*Tablas!Y961+Tablas!I975*Tablas!Y975+Tablas!I907*Tablas!Y907+Tablas!I908*Tablas!Y908+Tablas!I918*Tablas!Y918+Tablas!I920*Tablas!Y920+Tablas!I977*Tablas!Y977+Tablas!I929*Tablas!Y929+Tablas!I983*Tablas!Y983+Tablas!I985*Tablas!Y985+Tablas!I989*Tablas!Y989+Tablas!I937*Tablas!Y937+Tablas!I938*Tablas!Y938+Tablas!I993*Tablas!Y993+I997*Y997</f>
        <v>0</v>
      </c>
      <c r="J1013" s="7957">
        <f>Tablas!J895*Tablas!Y895+Tablas!J896*Tablas!Y896+Tablas!J961*Tablas!Y961+Tablas!J967*Tablas!Y967+Tablas!J975*Tablas!Y975+Tablas!J907*Tablas!Y907+Tablas!J908*Tablas!Y908+Tablas!J913*Tablas!Y913+Tablas!J914*Tablas!Y914+Tablas!J918*Tablas!Y918+Tablas!J920*Tablas!Y920+Tablas!J983*Tablas!Y983+Tablas!J922*Tablas!Y922+Tablas!J923*Tablas!Y923+Tablas!J929*Tablas!Y929+Tablas!J985*Tablas!Y985+Tablas!J931*Tablas!Y931+Tablas!J932*Tablas!Y932+Tablas!J989*Tablas!Y989+Tablas!J977*Tablas!Y977+Tablas!J937*Tablas!Y937+Tablas!J938*Tablas!Y938+Tablas!J981*Tablas!Y981+J993*Y993+J1001*Y1001+J1007*Y1007</f>
        <v>0</v>
      </c>
      <c r="K1013" s="7957">
        <f>Tablas!K965*Tablas!Y965+Tablas!K898*Tablas!Y898+Tablas!K897*Tablas!Y897+Tablas!K899*Tablas!$Y$899+Tablas!K966*Tablas!$Y$966+Tablas!K973*Tablas!Y973+Tablas!K962*Tablas!Y962+Tablas!K961*Tablas!Y961+Tablas!K974*Tablas!Y974</f>
        <v>0</v>
      </c>
      <c r="L1013" s="7957">
        <f>Tablas!$L$921*Tablas!$Y$921+L1007*Y1007+L1008*Y1008</f>
        <v>0</v>
      </c>
      <c r="M1013" s="8061">
        <f>Tablas!M963*Tablas!Y963+Tablas!M964*Tablas!Y964</f>
        <v>0</v>
      </c>
      <c r="N1013" s="8065" t="s">
        <v>860</v>
      </c>
      <c r="O1013" s="8077">
        <f>+MAX(Tablas!V966*Tablas!Y966,Tablas!V974*Tablas!Y974,Tablas!V980*Tablas!Y980,Tablas!V982*Tablas!Y982,Tablas!V988*Tablas!Y988,Tablas!V972*Tablas!Y972,Tablas!V962*Tablas!Y962,Tablas!V964*Tablas!Y964,Tablas!V968*Tablas!Y968,Tablas!V970*Tablas!Y970,Tablas!V976*Tablas!Y976,Tablas!V1012*Tablas!Y1012,V992*Y992,V996*Y996,V1000*Y1000,V1004*Y1004,V1006*Y1006,V1010*Y1010)</f>
        <v>0</v>
      </c>
      <c r="P1013" s="7972">
        <f>+MAX(Tablas!W962*Tablas!Y962,Tablas!W980*Tablas!Y980,Tablas!W984*Tablas!Y984,Tablas!W968*Tablas!Y968,Tablas!W986*Tablas!Y986,Tablas!W990*Tablas!Y990,Tablas!W978*Tablas!Y978,Tablas!W982*Tablas!Y982,W994*Y994,W998*Y998,W1002*Y1002,W1008*Y1008)</f>
        <v>0</v>
      </c>
      <c r="Q1013" s="956" t="s">
        <v>725</v>
      </c>
    </row>
    <row r="1014" spans="1:43" ht="12.75" customHeight="1" thickBot="1">
      <c r="A1014" s="219">
        <v>995</v>
      </c>
      <c r="B1014" s="7145"/>
      <c r="F1014" s="7961"/>
      <c r="G1014" s="7983"/>
      <c r="H1014" s="7958"/>
      <c r="I1014" s="7958"/>
      <c r="J1014" s="7958"/>
      <c r="K1014" s="7958"/>
      <c r="L1014" s="7958"/>
      <c r="M1014" s="8062"/>
      <c r="N1014" s="8066"/>
      <c r="O1014" s="8078"/>
      <c r="P1014" s="7973"/>
      <c r="Q1014" s="808">
        <f>MAX(Tablas!$X$893:$X$1012)</f>
        <v>0</v>
      </c>
      <c r="Y1014" s="510" t="b">
        <f>AND(Y943=1,CM_final&gt;300,AC1005&gt;=200)</f>
        <v>0</v>
      </c>
    </row>
    <row r="1015" spans="1:43" ht="12.75" customHeight="1">
      <c r="A1015" s="219">
        <v>996</v>
      </c>
      <c r="B1015" s="7145"/>
      <c r="H1015"/>
      <c r="I1015" s="510"/>
      <c r="N1015"/>
      <c r="O1015" s="510"/>
    </row>
    <row r="1016" spans="1:43" ht="12.75" customHeight="1" thickBot="1">
      <c r="A1016" s="219">
        <v>997</v>
      </c>
      <c r="B1016" s="7145"/>
      <c r="H1016"/>
      <c r="I1016" s="510"/>
      <c r="N1016"/>
      <c r="O1016" s="510"/>
    </row>
    <row r="1017" spans="1:43" ht="12.75" customHeight="1">
      <c r="A1017" s="219">
        <v>998</v>
      </c>
      <c r="B1017" s="7145"/>
      <c r="C1017" s="8079" t="s">
        <v>6796</v>
      </c>
      <c r="D1017" s="8080"/>
      <c r="E1017" s="8080"/>
      <c r="F1017" s="8080"/>
      <c r="G1017" s="8080"/>
      <c r="H1017" s="8080"/>
      <c r="I1017" s="8080"/>
      <c r="J1017" s="8080"/>
      <c r="K1017" s="8080"/>
      <c r="L1017" s="8080"/>
      <c r="M1017" s="8080"/>
      <c r="N1017" s="8081"/>
      <c r="P1017" s="7834" t="s">
        <v>2395</v>
      </c>
      <c r="Q1017" s="7835"/>
      <c r="R1017" s="7835"/>
      <c r="S1017" s="7835"/>
      <c r="T1017" s="7835"/>
      <c r="U1017" s="7835"/>
      <c r="V1017" s="7835"/>
      <c r="W1017" s="7835"/>
      <c r="X1017" s="7835"/>
      <c r="Y1017" s="7835"/>
      <c r="Z1017" s="7835"/>
      <c r="AA1017" s="7835"/>
      <c r="AB1017" s="7835"/>
      <c r="AC1017" s="7836"/>
    </row>
    <row r="1018" spans="1:43" ht="12.75" customHeight="1">
      <c r="A1018" s="219">
        <v>999</v>
      </c>
      <c r="B1018" s="7145"/>
      <c r="C1018" s="3951"/>
      <c r="D1018" s="827"/>
      <c r="E1018" s="827">
        <v>1</v>
      </c>
      <c r="F1018" s="827">
        <v>2</v>
      </c>
      <c r="G1018" s="827">
        <v>3</v>
      </c>
      <c r="H1018" s="827">
        <v>4</v>
      </c>
      <c r="I1018" s="827">
        <v>5</v>
      </c>
      <c r="J1018" s="827">
        <v>6</v>
      </c>
      <c r="K1018" s="827">
        <v>7</v>
      </c>
      <c r="L1018" s="827">
        <v>8</v>
      </c>
      <c r="M1018" s="827">
        <v>9</v>
      </c>
      <c r="N1018" s="3952">
        <v>10</v>
      </c>
      <c r="P1018" s="8082"/>
      <c r="Q1018" s="8083"/>
      <c r="R1018" s="8083"/>
      <c r="S1018" s="8083"/>
      <c r="T1018" s="8083"/>
      <c r="U1018" s="8083"/>
      <c r="V1018" s="8083"/>
      <c r="W1018" s="8083"/>
      <c r="X1018" s="8083"/>
      <c r="Y1018" s="8083"/>
      <c r="Z1018" s="8083"/>
      <c r="AA1018" s="8083"/>
      <c r="AB1018" s="8083"/>
      <c r="AC1018" s="8084"/>
    </row>
    <row r="1019" spans="1:43" ht="12.75" customHeight="1" thickBot="1">
      <c r="A1019" s="219">
        <v>1000</v>
      </c>
      <c r="B1019" s="7145"/>
      <c r="C1019" s="3971"/>
      <c r="D1019" s="3972"/>
      <c r="E1019" s="3973" t="s">
        <v>2364</v>
      </c>
      <c r="F1019" s="3974" t="s">
        <v>1349</v>
      </c>
      <c r="G1019" s="3974" t="s">
        <v>2097</v>
      </c>
      <c r="H1019" s="3974" t="s">
        <v>721</v>
      </c>
      <c r="I1019" s="3975" t="s">
        <v>1408</v>
      </c>
      <c r="J1019" s="3975"/>
      <c r="K1019" s="3972" t="s">
        <v>6797</v>
      </c>
      <c r="L1019" s="3972" t="s">
        <v>6798</v>
      </c>
      <c r="M1019" s="3972" t="s">
        <v>6799</v>
      </c>
      <c r="N1019" s="3976" t="s">
        <v>6800</v>
      </c>
      <c r="P1019" s="1071"/>
      <c r="Q1019" s="1234"/>
      <c r="R1019" s="1234" t="s">
        <v>1300</v>
      </c>
      <c r="S1019" s="1234" t="s">
        <v>1349</v>
      </c>
      <c r="T1019" s="1234" t="s">
        <v>8093</v>
      </c>
      <c r="U1019" s="1235" t="s">
        <v>1408</v>
      </c>
      <c r="V1019" s="1100"/>
      <c r="W1019" s="1100"/>
      <c r="X1019" s="1100"/>
      <c r="Y1019" s="1100" t="s">
        <v>8099</v>
      </c>
      <c r="Z1019" s="1100"/>
      <c r="AA1019" s="1100"/>
      <c r="AB1019" s="1234"/>
      <c r="AC1019" s="1102" t="s">
        <v>5998</v>
      </c>
    </row>
    <row r="1020" spans="1:43" ht="12.75" customHeight="1">
      <c r="A1020" s="219">
        <v>1001</v>
      </c>
      <c r="B1020" s="7145"/>
      <c r="C1020" s="2766"/>
      <c r="D1020" s="21"/>
      <c r="E1020" s="210" t="s">
        <v>726</v>
      </c>
      <c r="F1020" s="84">
        <v>0</v>
      </c>
      <c r="G1020" s="75"/>
      <c r="H1020" s="75" t="s">
        <v>1315</v>
      </c>
      <c r="I1020" s="75" t="s">
        <v>1315</v>
      </c>
      <c r="J1020" s="21"/>
      <c r="K1020" s="47"/>
      <c r="L1020" s="21"/>
      <c r="M1020" s="21"/>
      <c r="N1020" s="3613"/>
      <c r="P1020" s="443"/>
      <c r="Q1020" s="21"/>
      <c r="R1020" s="212" t="s">
        <v>2396</v>
      </c>
      <c r="S1020" s="84">
        <v>30</v>
      </c>
      <c r="T1020" s="84">
        <v>0</v>
      </c>
      <c r="U1020" s="14" t="s">
        <v>2397</v>
      </c>
      <c r="V1020" s="47"/>
      <c r="W1020" s="47"/>
      <c r="X1020" s="47"/>
      <c r="Y1020" s="14" t="s">
        <v>2397</v>
      </c>
      <c r="Z1020" s="21"/>
      <c r="AA1020" s="21"/>
      <c r="AB1020" s="619"/>
      <c r="AC1020" s="1047">
        <f>COUNTIF(Compra_TablasEstilo,Tablas!R1020)</f>
        <v>0</v>
      </c>
    </row>
    <row r="1021" spans="1:43" ht="12.75" customHeight="1">
      <c r="A1021" s="219">
        <v>1002</v>
      </c>
      <c r="B1021" s="7145"/>
      <c r="C1021" s="3953"/>
      <c r="D1021" s="21"/>
      <c r="E1021" s="210" t="s">
        <v>861</v>
      </c>
      <c r="F1021" s="75">
        <v>40</v>
      </c>
      <c r="G1021" s="75">
        <f>IF(COUNTIF(PDs!$E$78:$E$80,Tablas!E1021)&gt;0,1,0)</f>
        <v>0</v>
      </c>
      <c r="H1021" s="75" t="str">
        <f>IF(Tablas!Y894=0,"NO","-")</f>
        <v>NO</v>
      </c>
      <c r="I1021" s="21" t="s">
        <v>6802</v>
      </c>
      <c r="J1021" s="21"/>
      <c r="K1021" s="75">
        <f t="shared" ref="K1021:K1038" si="358">$G1021*SUMPRODUCT(H$893:H$982,--ISNUMBER(SEARCH($N1021,$D$893:$D$982)),$Y$893:$Y$982)</f>
        <v>0</v>
      </c>
      <c r="L1021" s="75">
        <f t="shared" ref="L1021:L1038" si="359">$G1021*SUMPRODUCT(I$893:I$982,--ISNUMBER(SEARCH($N1021,$D$893:$D$982)),$Y$893:$Y$982)</f>
        <v>0</v>
      </c>
      <c r="M1021" s="75">
        <f t="shared" ref="M1021:M1038" si="360">$G1021*SUMPRODUCT(J$893:J$982,--ISNUMBER(SEARCH($N1021,$D$893:$D$982)),$Y$893:$Y$982)</f>
        <v>0</v>
      </c>
      <c r="N1021" s="3954" t="s">
        <v>6689</v>
      </c>
      <c r="P1021" s="443"/>
      <c r="Q1021" s="21"/>
      <c r="R1021" s="212" t="s">
        <v>2398</v>
      </c>
      <c r="S1021" s="84">
        <v>30</v>
      </c>
      <c r="T1021" s="84">
        <v>0</v>
      </c>
      <c r="U1021" s="14" t="s">
        <v>2399</v>
      </c>
      <c r="V1021" s="47"/>
      <c r="W1021" s="47"/>
      <c r="X1021" s="47"/>
      <c r="Y1021" s="14" t="s">
        <v>2399</v>
      </c>
      <c r="Z1021" s="21"/>
      <c r="AA1021" s="21"/>
      <c r="AB1021" s="21"/>
      <c r="AC1021" s="1047">
        <f>COUNTIF(Compra_TablasEstilo,Tablas!R1021)</f>
        <v>0</v>
      </c>
    </row>
    <row r="1022" spans="1:43" ht="12.75" customHeight="1">
      <c r="A1022" s="219">
        <v>1003</v>
      </c>
      <c r="B1022" s="7145"/>
      <c r="C1022" s="3953"/>
      <c r="D1022" s="21"/>
      <c r="E1022" s="210" t="s">
        <v>862</v>
      </c>
      <c r="F1022" s="75">
        <v>10</v>
      </c>
      <c r="G1022" s="75">
        <f>IF(COUNTIF(PDs!$E$78:$E$80,Tablas!E1022)&gt;0,1,0)</f>
        <v>0</v>
      </c>
      <c r="H1022" s="75" t="str">
        <f>IF(Tablas!Y897=0,"NO","-")</f>
        <v>NO</v>
      </c>
      <c r="I1022" s="21" t="s">
        <v>6803</v>
      </c>
      <c r="J1022" s="21"/>
      <c r="K1022" s="75">
        <f t="shared" si="358"/>
        <v>0</v>
      </c>
      <c r="L1022" s="75">
        <f t="shared" si="359"/>
        <v>0</v>
      </c>
      <c r="M1022" s="75">
        <f t="shared" si="360"/>
        <v>0</v>
      </c>
      <c r="N1022" s="3954" t="s">
        <v>6690</v>
      </c>
      <c r="P1022" s="443"/>
      <c r="Q1022" s="21"/>
      <c r="R1022" s="212" t="s">
        <v>2400</v>
      </c>
      <c r="S1022" s="84">
        <v>40</v>
      </c>
      <c r="T1022" s="84">
        <v>0</v>
      </c>
      <c r="U1022" s="14" t="s">
        <v>2401</v>
      </c>
      <c r="V1022" s="47"/>
      <c r="W1022" s="47"/>
      <c r="X1022" s="47"/>
      <c r="Y1022" s="14" t="s">
        <v>2401</v>
      </c>
      <c r="Z1022" s="21"/>
      <c r="AA1022" s="21"/>
      <c r="AB1022" s="21"/>
      <c r="AC1022" s="1047">
        <f>COUNTIF(Compra_TablasEstilo,Tablas!R1022)</f>
        <v>0</v>
      </c>
    </row>
    <row r="1023" spans="1:43" ht="12.75" customHeight="1">
      <c r="A1023" s="219">
        <v>1004</v>
      </c>
      <c r="B1023" s="7145"/>
      <c r="C1023" s="3953"/>
      <c r="D1023" s="21"/>
      <c r="E1023" s="210" t="s">
        <v>863</v>
      </c>
      <c r="F1023" s="75">
        <v>30</v>
      </c>
      <c r="G1023" s="75">
        <f>IF(COUNTIF(PDs!$E$78:$E$80,Tablas!E1023)&gt;0,1,0)</f>
        <v>0</v>
      </c>
      <c r="H1023" s="75" t="str">
        <f>IF(Tablas!Y900=0,"NO","-")</f>
        <v>NO</v>
      </c>
      <c r="I1023" s="21" t="s">
        <v>6804</v>
      </c>
      <c r="J1023" s="21"/>
      <c r="K1023" s="75">
        <f t="shared" si="358"/>
        <v>0</v>
      </c>
      <c r="L1023" s="75">
        <f t="shared" si="359"/>
        <v>0</v>
      </c>
      <c r="M1023" s="75">
        <f t="shared" si="360"/>
        <v>0</v>
      </c>
      <c r="N1023" s="3954" t="s">
        <v>6691</v>
      </c>
      <c r="P1023" s="443"/>
      <c r="Q1023" s="21"/>
      <c r="R1023" s="212" t="s">
        <v>2402</v>
      </c>
      <c r="S1023" s="84">
        <v>30</v>
      </c>
      <c r="T1023" s="84">
        <v>0</v>
      </c>
      <c r="U1023" s="14" t="s">
        <v>2403</v>
      </c>
      <c r="V1023" s="47"/>
      <c r="W1023" s="47"/>
      <c r="X1023" s="47"/>
      <c r="Y1023" s="14" t="s">
        <v>2403</v>
      </c>
      <c r="Z1023" s="21"/>
      <c r="AA1023" s="21"/>
      <c r="AB1023" s="21"/>
      <c r="AC1023" s="1047">
        <f>COUNTIF(Compra_TablasEstilo,Tablas!R1023)</f>
        <v>0</v>
      </c>
    </row>
    <row r="1024" spans="1:43" ht="12.75" customHeight="1">
      <c r="A1024" s="219">
        <v>1005</v>
      </c>
      <c r="B1024" s="7145"/>
      <c r="C1024" s="3953"/>
      <c r="D1024" s="21"/>
      <c r="E1024" s="210" t="s">
        <v>864</v>
      </c>
      <c r="F1024" s="75">
        <v>10</v>
      </c>
      <c r="G1024" s="75">
        <f>IF(COUNTIF(PDs!$E$78:$E$80,Tablas!E1024)&gt;0,1,0)</f>
        <v>0</v>
      </c>
      <c r="H1024" s="75" t="str">
        <f>IF(Tablas!Y903=0,"NO","-")</f>
        <v>NO</v>
      </c>
      <c r="I1024" s="21" t="s">
        <v>6805</v>
      </c>
      <c r="J1024" s="21"/>
      <c r="K1024" s="75">
        <f t="shared" si="358"/>
        <v>0</v>
      </c>
      <c r="L1024" s="75">
        <f t="shared" si="359"/>
        <v>0</v>
      </c>
      <c r="M1024" s="75">
        <f t="shared" si="360"/>
        <v>0</v>
      </c>
      <c r="N1024" s="3954" t="s">
        <v>6692</v>
      </c>
      <c r="P1024" s="443"/>
      <c r="Q1024" s="21"/>
      <c r="R1024" s="212" t="s">
        <v>2404</v>
      </c>
      <c r="S1024" s="84">
        <v>30</v>
      </c>
      <c r="T1024" s="84">
        <v>0</v>
      </c>
      <c r="U1024" s="14" t="s">
        <v>689</v>
      </c>
      <c r="V1024" s="47"/>
      <c r="W1024" s="47"/>
      <c r="X1024" s="47"/>
      <c r="Y1024" s="14" t="s">
        <v>689</v>
      </c>
      <c r="Z1024" s="21"/>
      <c r="AA1024" s="21"/>
      <c r="AB1024" s="21"/>
      <c r="AC1024" s="1047">
        <f>COUNTIF(Compra_TablasEstilo,Tablas!R1024)</f>
        <v>0</v>
      </c>
    </row>
    <row r="1025" spans="1:29" ht="12.75" customHeight="1">
      <c r="A1025" s="219">
        <v>1006</v>
      </c>
      <c r="B1025" s="7145"/>
      <c r="C1025" s="3953"/>
      <c r="D1025" s="21"/>
      <c r="E1025" s="210" t="s">
        <v>865</v>
      </c>
      <c r="F1025" s="75">
        <v>40</v>
      </c>
      <c r="G1025" s="75">
        <f>IF(COUNTIF(PDs!$E$78:$E$80,Tablas!E1025)&gt;0,1,0)</f>
        <v>0</v>
      </c>
      <c r="H1025" s="75" t="str">
        <f>IF(Tablas!Y906=0,"NO","-")</f>
        <v>NO</v>
      </c>
      <c r="I1025" s="21" t="s">
        <v>6806</v>
      </c>
      <c r="J1025" s="21"/>
      <c r="K1025" s="75">
        <f t="shared" si="358"/>
        <v>0</v>
      </c>
      <c r="L1025" s="75">
        <f t="shared" si="359"/>
        <v>0</v>
      </c>
      <c r="M1025" s="75">
        <f t="shared" si="360"/>
        <v>0</v>
      </c>
      <c r="N1025" s="3954" t="s">
        <v>6693</v>
      </c>
      <c r="P1025" s="443"/>
      <c r="Q1025" s="21"/>
      <c r="R1025" s="212" t="s">
        <v>690</v>
      </c>
      <c r="S1025" s="84">
        <v>20</v>
      </c>
      <c r="T1025" s="84">
        <v>0</v>
      </c>
      <c r="U1025" s="14" t="s">
        <v>691</v>
      </c>
      <c r="V1025" s="47"/>
      <c r="W1025" s="47"/>
      <c r="X1025" s="47"/>
      <c r="Y1025" s="14" t="s">
        <v>691</v>
      </c>
      <c r="Z1025" s="21"/>
      <c r="AA1025" s="21"/>
      <c r="AB1025" s="21"/>
      <c r="AC1025" s="1047">
        <f>COUNTIF(Compra_TablasEstilo,Tablas!R1025)</f>
        <v>0</v>
      </c>
    </row>
    <row r="1026" spans="1:29" ht="12.75" customHeight="1">
      <c r="A1026" s="219">
        <v>1007</v>
      </c>
      <c r="B1026" s="7145"/>
      <c r="C1026" s="3953"/>
      <c r="D1026" s="21"/>
      <c r="E1026" s="210" t="s">
        <v>866</v>
      </c>
      <c r="F1026" s="75">
        <v>10</v>
      </c>
      <c r="G1026" s="75">
        <f>IF(COUNTIF(PDs!$E$78:$E$80,Tablas!E1026)&gt;0,1,0)</f>
        <v>0</v>
      </c>
      <c r="H1026" s="75" t="str">
        <f>IF(Tablas!Y909=0,"NO","-")</f>
        <v>NO</v>
      </c>
      <c r="I1026" s="21" t="s">
        <v>6807</v>
      </c>
      <c r="J1026" s="21"/>
      <c r="K1026" s="75">
        <f t="shared" si="358"/>
        <v>0</v>
      </c>
      <c r="L1026" s="75">
        <f t="shared" si="359"/>
        <v>0</v>
      </c>
      <c r="M1026" s="75">
        <f t="shared" si="360"/>
        <v>0</v>
      </c>
      <c r="N1026" s="3954" t="s">
        <v>6694</v>
      </c>
      <c r="P1026" s="443"/>
      <c r="Q1026" s="21"/>
      <c r="R1026" s="212" t="s">
        <v>692</v>
      </c>
      <c r="S1026" s="84">
        <v>40</v>
      </c>
      <c r="T1026" s="84">
        <v>1</v>
      </c>
      <c r="U1026" s="14" t="s">
        <v>693</v>
      </c>
      <c r="V1026" s="47"/>
      <c r="W1026" s="47"/>
      <c r="X1026" s="47"/>
      <c r="Y1026" s="14" t="s">
        <v>8100</v>
      </c>
      <c r="Z1026" s="21"/>
      <c r="AA1026" s="21"/>
      <c r="AB1026" s="21"/>
      <c r="AC1026" s="1047">
        <f>COUNTIF(Compra_TablasEstilo,Tablas!R1026)</f>
        <v>0</v>
      </c>
    </row>
    <row r="1027" spans="1:29" ht="12.75" customHeight="1">
      <c r="A1027" s="219">
        <v>1008</v>
      </c>
      <c r="B1027" s="7145"/>
      <c r="C1027" s="3953"/>
      <c r="D1027" s="21"/>
      <c r="E1027" s="210" t="s">
        <v>867</v>
      </c>
      <c r="F1027" s="75">
        <v>30</v>
      </c>
      <c r="G1027" s="75">
        <f>IF(COUNTIF(PDs!$E$78:$E$80,Tablas!E1027)&gt;0,1,0)</f>
        <v>0</v>
      </c>
      <c r="H1027" s="75" t="str">
        <f>IF(Tablas!Y912=0,"NO","-")</f>
        <v>NO</v>
      </c>
      <c r="I1027" s="21" t="s">
        <v>6808</v>
      </c>
      <c r="J1027" s="21"/>
      <c r="K1027" s="75">
        <f t="shared" si="358"/>
        <v>0</v>
      </c>
      <c r="L1027" s="75">
        <f t="shared" si="359"/>
        <v>0</v>
      </c>
      <c r="M1027" s="75">
        <f t="shared" si="360"/>
        <v>0</v>
      </c>
      <c r="N1027" s="3954" t="s">
        <v>6695</v>
      </c>
      <c r="P1027" s="443"/>
      <c r="Q1027" s="21"/>
      <c r="R1027" s="212" t="s">
        <v>694</v>
      </c>
      <c r="S1027" s="84">
        <v>40</v>
      </c>
      <c r="T1027" s="84">
        <v>0</v>
      </c>
      <c r="U1027" s="14" t="s">
        <v>8103</v>
      </c>
      <c r="V1027" s="47"/>
      <c r="W1027" s="47"/>
      <c r="X1027" s="47"/>
      <c r="Y1027" s="14" t="s">
        <v>8103</v>
      </c>
      <c r="Z1027" s="21"/>
      <c r="AA1027" s="21"/>
      <c r="AB1027" s="21"/>
      <c r="AC1027" s="1047">
        <f>COUNTIF(Compra_TablasEstilo,Tablas!R1027)</f>
        <v>0</v>
      </c>
    </row>
    <row r="1028" spans="1:29" ht="12.75" customHeight="1">
      <c r="A1028" s="219">
        <v>1009</v>
      </c>
      <c r="B1028" s="7145"/>
      <c r="C1028" s="3953"/>
      <c r="D1028" s="21"/>
      <c r="E1028" s="210" t="s">
        <v>868</v>
      </c>
      <c r="F1028" s="75">
        <v>60</v>
      </c>
      <c r="G1028" s="75">
        <f>IF(COUNTIF(PDs!$E$78:$E$80,Tablas!E1028)&gt;0,1,0)</f>
        <v>0</v>
      </c>
      <c r="H1028" s="75" t="str">
        <f>IF(Tablas!Y915=0,"NO","-")</f>
        <v>NO</v>
      </c>
      <c r="I1028" s="21" t="s">
        <v>9529</v>
      </c>
      <c r="J1028" s="21"/>
      <c r="K1028" s="75">
        <f t="shared" si="358"/>
        <v>0</v>
      </c>
      <c r="L1028" s="75">
        <f t="shared" si="359"/>
        <v>0</v>
      </c>
      <c r="M1028" s="75">
        <f t="shared" si="360"/>
        <v>0</v>
      </c>
      <c r="N1028" s="3954" t="s">
        <v>6696</v>
      </c>
      <c r="P1028" s="3892"/>
      <c r="Q1028" s="3814"/>
      <c r="R1028" s="3917" t="s">
        <v>12229</v>
      </c>
      <c r="S1028" s="3620">
        <v>50</v>
      </c>
      <c r="T1028" s="3620">
        <v>0</v>
      </c>
      <c r="U1028" s="3916" t="s">
        <v>12237</v>
      </c>
      <c r="V1028" s="2613"/>
      <c r="W1028" s="2613"/>
      <c r="X1028" s="2613"/>
      <c r="Y1028" s="3916" t="s">
        <v>12237</v>
      </c>
      <c r="Z1028" s="2615"/>
      <c r="AA1028" s="2615"/>
      <c r="AB1028" s="2615"/>
      <c r="AC1028" s="1047">
        <f>COUNTIF(Compra_TablasEstilo,Tablas!R1028)</f>
        <v>0</v>
      </c>
    </row>
    <row r="1029" spans="1:29" ht="12.75" customHeight="1">
      <c r="A1029" s="219">
        <v>1010</v>
      </c>
      <c r="B1029" s="7145"/>
      <c r="C1029" s="3953"/>
      <c r="D1029" s="21"/>
      <c r="E1029" s="210" t="s">
        <v>869</v>
      </c>
      <c r="F1029" s="75">
        <v>10</v>
      </c>
      <c r="G1029" s="75">
        <f>IF(COUNTIF(PDs!$E$78:$E$80,Tablas!E1029)&gt;0,1,0)</f>
        <v>0</v>
      </c>
      <c r="H1029" s="75" t="str">
        <f>IF(Tablas!Y918=0,"NO","-")</f>
        <v>NO</v>
      </c>
      <c r="I1029" s="21" t="s">
        <v>6809</v>
      </c>
      <c r="J1029" s="21"/>
      <c r="K1029" s="75">
        <f t="shared" si="358"/>
        <v>0</v>
      </c>
      <c r="L1029" s="75">
        <f t="shared" si="359"/>
        <v>0</v>
      </c>
      <c r="M1029" s="75">
        <f t="shared" si="360"/>
        <v>0</v>
      </c>
      <c r="N1029" s="3954" t="s">
        <v>6697</v>
      </c>
      <c r="P1029" s="3892"/>
      <c r="Q1029" s="3814"/>
      <c r="R1029" s="3917" t="s">
        <v>12230</v>
      </c>
      <c r="S1029" s="3620">
        <v>30</v>
      </c>
      <c r="T1029" s="3620">
        <v>0</v>
      </c>
      <c r="U1029" s="3916" t="s">
        <v>12238</v>
      </c>
      <c r="V1029" s="2613"/>
      <c r="W1029" s="2613"/>
      <c r="X1029" s="2613"/>
      <c r="Y1029" s="3916" t="s">
        <v>12238</v>
      </c>
      <c r="Z1029" s="2615"/>
      <c r="AA1029" s="2615"/>
      <c r="AB1029" s="2615"/>
      <c r="AC1029" s="1047">
        <f>COUNTIF(Compra_TablasEstilo,Tablas!R1029)</f>
        <v>0</v>
      </c>
    </row>
    <row r="1030" spans="1:29" ht="12.75" customHeight="1">
      <c r="A1030" s="219">
        <v>1011</v>
      </c>
      <c r="B1030" s="7145"/>
      <c r="C1030" s="3953"/>
      <c r="D1030" s="21"/>
      <c r="E1030" s="210" t="s">
        <v>870</v>
      </c>
      <c r="F1030" s="75">
        <v>20</v>
      </c>
      <c r="G1030" s="75">
        <f>IF(COUNTIF(PDs!$E$78:$E$80,Tablas!E1030)&gt;0,1,0)</f>
        <v>0</v>
      </c>
      <c r="H1030" s="75" t="str">
        <f>IF(Tablas!Y921=0,"NO","-")</f>
        <v>NO</v>
      </c>
      <c r="I1030" s="21" t="s">
        <v>6810</v>
      </c>
      <c r="J1030" s="21"/>
      <c r="K1030" s="75">
        <f t="shared" si="358"/>
        <v>0</v>
      </c>
      <c r="L1030" s="75">
        <f t="shared" si="359"/>
        <v>0</v>
      </c>
      <c r="M1030" s="75">
        <f t="shared" si="360"/>
        <v>0</v>
      </c>
      <c r="N1030" s="3954" t="s">
        <v>6698</v>
      </c>
      <c r="P1030" s="443"/>
      <c r="Q1030" s="21"/>
      <c r="R1030" s="212" t="s">
        <v>695</v>
      </c>
      <c r="S1030" s="84">
        <v>40</v>
      </c>
      <c r="T1030" s="84">
        <v>0</v>
      </c>
      <c r="U1030" s="14" t="s">
        <v>696</v>
      </c>
      <c r="V1030" s="47"/>
      <c r="W1030" s="47"/>
      <c r="X1030" s="47"/>
      <c r="Y1030" s="14" t="s">
        <v>696</v>
      </c>
      <c r="Z1030" s="21"/>
      <c r="AA1030" s="21"/>
      <c r="AB1030" s="21"/>
      <c r="AC1030" s="1047">
        <f>COUNTIF(Compra_TablasEstilo,Tablas!R1030)</f>
        <v>0</v>
      </c>
    </row>
    <row r="1031" spans="1:29" ht="12.75" customHeight="1">
      <c r="A1031" s="219">
        <v>1012</v>
      </c>
      <c r="B1031" s="7145"/>
      <c r="C1031" s="3953"/>
      <c r="D1031" s="21"/>
      <c r="E1031" s="210" t="s">
        <v>871</v>
      </c>
      <c r="F1031" s="75">
        <v>20</v>
      </c>
      <c r="G1031" s="75">
        <f>IF(COUNTIF(PDs!$E$78:$E$80,Tablas!E1031)&gt;0,1,0)</f>
        <v>0</v>
      </c>
      <c r="H1031" s="75" t="str">
        <f>IF(Tablas!Y924=0,"NO","-")</f>
        <v>NO</v>
      </c>
      <c r="I1031" s="21" t="s">
        <v>9909</v>
      </c>
      <c r="J1031" s="21"/>
      <c r="K1031" s="75">
        <f t="shared" si="358"/>
        <v>0</v>
      </c>
      <c r="L1031" s="75">
        <f t="shared" si="359"/>
        <v>0</v>
      </c>
      <c r="M1031" s="75">
        <f t="shared" si="360"/>
        <v>0</v>
      </c>
      <c r="N1031" s="3954" t="s">
        <v>6699</v>
      </c>
      <c r="P1031" s="443"/>
      <c r="Q1031" s="21"/>
      <c r="R1031" s="212" t="s">
        <v>697</v>
      </c>
      <c r="S1031" s="84">
        <v>30</v>
      </c>
      <c r="T1031" s="84">
        <v>1</v>
      </c>
      <c r="U1031" s="14" t="s">
        <v>698</v>
      </c>
      <c r="V1031" s="47"/>
      <c r="W1031" s="47"/>
      <c r="X1031" s="47"/>
      <c r="Y1031" s="14" t="s">
        <v>8101</v>
      </c>
      <c r="Z1031" s="21"/>
      <c r="AA1031" s="21"/>
      <c r="AB1031" s="21"/>
      <c r="AC1031" s="1047">
        <f>COUNTIF(Compra_TablasEstilo,Tablas!R1031)</f>
        <v>0</v>
      </c>
    </row>
    <row r="1032" spans="1:29" ht="12.75" customHeight="1">
      <c r="A1032" s="219">
        <v>1013</v>
      </c>
      <c r="B1032" s="7145"/>
      <c r="C1032" s="3953"/>
      <c r="D1032" s="21"/>
      <c r="E1032" s="210" t="s">
        <v>872</v>
      </c>
      <c r="F1032" s="75">
        <v>20</v>
      </c>
      <c r="G1032" s="75">
        <f>IF(COUNTIF(PDs!$E$78:$E$80,Tablas!E1032)&gt;0,1,0)</f>
        <v>0</v>
      </c>
      <c r="H1032" s="75" t="str">
        <f>IF(Tablas!Y927=0,"NO","-")</f>
        <v>NO</v>
      </c>
      <c r="I1032" s="21" t="s">
        <v>6811</v>
      </c>
      <c r="J1032" s="21"/>
      <c r="K1032" s="75">
        <f t="shared" si="358"/>
        <v>0</v>
      </c>
      <c r="L1032" s="75">
        <f t="shared" si="359"/>
        <v>0</v>
      </c>
      <c r="M1032" s="75">
        <f t="shared" si="360"/>
        <v>0</v>
      </c>
      <c r="N1032" s="3954" t="s">
        <v>6700</v>
      </c>
      <c r="P1032" s="443"/>
      <c r="Q1032" s="21"/>
      <c r="R1032" s="212" t="s">
        <v>699</v>
      </c>
      <c r="S1032" s="84">
        <v>20</v>
      </c>
      <c r="T1032" s="84">
        <v>0</v>
      </c>
      <c r="U1032" s="14" t="s">
        <v>700</v>
      </c>
      <c r="V1032" s="47"/>
      <c r="W1032" s="47"/>
      <c r="X1032" s="47"/>
      <c r="Y1032" s="14" t="s">
        <v>700</v>
      </c>
      <c r="Z1032" s="21"/>
      <c r="AA1032" s="21"/>
      <c r="AB1032" s="21"/>
      <c r="AC1032" s="1047">
        <f>COUNTIF(Compra_TablasEstilo,Tablas!R1032)</f>
        <v>0</v>
      </c>
    </row>
    <row r="1033" spans="1:29" ht="12.75" customHeight="1">
      <c r="A1033" s="219">
        <v>1014</v>
      </c>
      <c r="B1033" s="7145"/>
      <c r="C1033" s="3953"/>
      <c r="D1033" s="21"/>
      <c r="E1033" s="210" t="s">
        <v>873</v>
      </c>
      <c r="F1033" s="75">
        <v>30</v>
      </c>
      <c r="G1033" s="75">
        <f>IF(COUNTIF(PDs!$E$78:$E$80,Tablas!E1033)&gt;0,1,0)</f>
        <v>0</v>
      </c>
      <c r="H1033" s="75" t="str">
        <f>IF(Tablas!Y930=0,"NO","-")</f>
        <v>NO</v>
      </c>
      <c r="I1033" s="21" t="s">
        <v>6812</v>
      </c>
      <c r="J1033" s="21"/>
      <c r="K1033" s="75">
        <f t="shared" si="358"/>
        <v>0</v>
      </c>
      <c r="L1033" s="75">
        <f t="shared" si="359"/>
        <v>0</v>
      </c>
      <c r="M1033" s="75">
        <f t="shared" si="360"/>
        <v>0</v>
      </c>
      <c r="N1033" s="3954" t="s">
        <v>6701</v>
      </c>
      <c r="P1033" s="443"/>
      <c r="Q1033" s="21"/>
      <c r="R1033" s="212" t="s">
        <v>701</v>
      </c>
      <c r="S1033" s="84">
        <v>20</v>
      </c>
      <c r="T1033" s="84">
        <v>0</v>
      </c>
      <c r="U1033" s="14" t="s">
        <v>702</v>
      </c>
      <c r="V1033" s="47"/>
      <c r="W1033" s="47"/>
      <c r="X1033" s="47"/>
      <c r="Y1033" s="14" t="s">
        <v>702</v>
      </c>
      <c r="Z1033" s="21"/>
      <c r="AA1033" s="21"/>
      <c r="AB1033" s="21"/>
      <c r="AC1033" s="1047">
        <f>COUNTIF(Compra_TablasEstilo,Tablas!R1033)</f>
        <v>0</v>
      </c>
    </row>
    <row r="1034" spans="1:29" ht="12.75" customHeight="1">
      <c r="A1034" s="219">
        <v>1015</v>
      </c>
      <c r="B1034" s="7145"/>
      <c r="C1034" s="3953"/>
      <c r="D1034" s="21"/>
      <c r="E1034" s="210" t="s">
        <v>874</v>
      </c>
      <c r="F1034" s="75">
        <v>20</v>
      </c>
      <c r="G1034" s="75">
        <f>IF(COUNTIF(PDs!$E$78:$E$80,Tablas!E1034)&gt;0,1,0)</f>
        <v>0</v>
      </c>
      <c r="H1034" s="75" t="str">
        <f>IF(Tablas!Y933=0,"NO","-")</f>
        <v>NO</v>
      </c>
      <c r="I1034" s="21" t="s">
        <v>8170</v>
      </c>
      <c r="J1034" s="21"/>
      <c r="K1034" s="75">
        <f t="shared" si="358"/>
        <v>0</v>
      </c>
      <c r="L1034" s="75">
        <f t="shared" si="359"/>
        <v>0</v>
      </c>
      <c r="M1034" s="75">
        <f t="shared" si="360"/>
        <v>0</v>
      </c>
      <c r="N1034" s="3954" t="s">
        <v>6702</v>
      </c>
      <c r="P1034" s="2613"/>
      <c r="Q1034" s="2613"/>
      <c r="R1034" s="3917" t="s">
        <v>12234</v>
      </c>
      <c r="S1034" s="3620">
        <v>30</v>
      </c>
      <c r="T1034" s="3620">
        <v>0</v>
      </c>
      <c r="U1034" s="3916" t="s">
        <v>12239</v>
      </c>
      <c r="V1034" s="2613"/>
      <c r="W1034" s="2613"/>
      <c r="X1034" s="2613"/>
      <c r="Y1034" s="3916" t="s">
        <v>12239</v>
      </c>
      <c r="Z1034" s="2615"/>
      <c r="AA1034" s="2615"/>
      <c r="AB1034" s="2615"/>
      <c r="AC1034" s="1047">
        <f>COUNTIF(Compra_TablasEstilo,Tablas!R1034)</f>
        <v>0</v>
      </c>
    </row>
    <row r="1035" spans="1:29" ht="12.75" customHeight="1">
      <c r="A1035" s="219">
        <v>1016</v>
      </c>
      <c r="B1035" s="7145"/>
      <c r="C1035" s="3953"/>
      <c r="D1035" s="21"/>
      <c r="E1035" s="210" t="s">
        <v>875</v>
      </c>
      <c r="F1035" s="75">
        <v>10</v>
      </c>
      <c r="G1035" s="75">
        <f>IF(COUNTIF(PDs!$E$78:$E$80,Tablas!E1035)&gt;0,1,0)</f>
        <v>0</v>
      </c>
      <c r="H1035" s="75" t="str">
        <f>IF(Tablas!Y936=0,"NO","-")</f>
        <v>NO</v>
      </c>
      <c r="I1035" s="21" t="s">
        <v>6813</v>
      </c>
      <c r="J1035" s="21"/>
      <c r="K1035" s="75">
        <f t="shared" si="358"/>
        <v>0</v>
      </c>
      <c r="L1035" s="75">
        <f t="shared" si="359"/>
        <v>0</v>
      </c>
      <c r="M1035" s="75">
        <f t="shared" si="360"/>
        <v>0</v>
      </c>
      <c r="N1035" s="3954" t="s">
        <v>6703</v>
      </c>
      <c r="P1035" s="443"/>
      <c r="Q1035" s="21"/>
      <c r="R1035" s="212" t="s">
        <v>703</v>
      </c>
      <c r="S1035" s="84">
        <v>20</v>
      </c>
      <c r="T1035" s="84">
        <v>0</v>
      </c>
      <c r="U1035" s="14" t="s">
        <v>704</v>
      </c>
      <c r="V1035" s="47"/>
      <c r="W1035" s="47"/>
      <c r="X1035" s="47"/>
      <c r="Y1035" s="14" t="s">
        <v>8102</v>
      </c>
      <c r="Z1035" s="21"/>
      <c r="AA1035" s="21"/>
      <c r="AB1035" s="21"/>
      <c r="AC1035" s="1047">
        <f>COUNTIF(Compra_TablasEstilo,Tablas!R1035)</f>
        <v>0</v>
      </c>
    </row>
    <row r="1036" spans="1:29" ht="12.75" customHeight="1">
      <c r="A1036" s="219">
        <v>1017</v>
      </c>
      <c r="B1036" s="7145"/>
      <c r="C1036" s="3953"/>
      <c r="D1036" s="21"/>
      <c r="E1036" s="210" t="s">
        <v>876</v>
      </c>
      <c r="F1036" s="75">
        <v>40</v>
      </c>
      <c r="G1036" s="75">
        <f>IF(COUNTIF(PDs!$E$78:$E$80,Tablas!E1036)&gt;0,1,0)</f>
        <v>0</v>
      </c>
      <c r="H1036" s="75" t="str">
        <f>IF(Tablas!Y939=0,"NO","-")</f>
        <v>NO</v>
      </c>
      <c r="I1036" s="21" t="s">
        <v>6814</v>
      </c>
      <c r="J1036" s="21"/>
      <c r="K1036" s="75">
        <f t="shared" si="358"/>
        <v>0</v>
      </c>
      <c r="L1036" s="75">
        <f t="shared" si="359"/>
        <v>0</v>
      </c>
      <c r="M1036" s="75">
        <f t="shared" si="360"/>
        <v>0</v>
      </c>
      <c r="N1036" s="3954" t="s">
        <v>6704</v>
      </c>
      <c r="P1036" s="443"/>
      <c r="Q1036" s="21"/>
      <c r="R1036" s="212" t="s">
        <v>705</v>
      </c>
      <c r="S1036" s="84">
        <v>10</v>
      </c>
      <c r="T1036" s="84">
        <v>0</v>
      </c>
      <c r="U1036" s="14" t="s">
        <v>706</v>
      </c>
      <c r="V1036" s="47"/>
      <c r="W1036" s="47"/>
      <c r="X1036" s="47"/>
      <c r="Y1036" s="14" t="s">
        <v>706</v>
      </c>
      <c r="Z1036" s="21"/>
      <c r="AA1036" s="21"/>
      <c r="AB1036" s="21"/>
      <c r="AC1036" s="1047">
        <f>COUNTIF(Compra_TablasEstilo,Tablas!R1036)</f>
        <v>0</v>
      </c>
    </row>
    <row r="1037" spans="1:29" ht="12.75" customHeight="1">
      <c r="A1037" s="219">
        <v>1018</v>
      </c>
      <c r="B1037" s="7145"/>
      <c r="C1037" s="3953"/>
      <c r="D1037" s="21"/>
      <c r="E1037" s="210" t="s">
        <v>877</v>
      </c>
      <c r="F1037" s="75">
        <v>30</v>
      </c>
      <c r="G1037" s="75">
        <f>IF(COUNTIF(PDs!$E$78:$E$80,Tablas!E1037)&gt;0,1,0)</f>
        <v>0</v>
      </c>
      <c r="H1037" s="75" t="str">
        <f>IF(Tablas!Y942=0,"NO","-")</f>
        <v>NO</v>
      </c>
      <c r="I1037" s="21" t="s">
        <v>6815</v>
      </c>
      <c r="J1037" s="21"/>
      <c r="K1037" s="75">
        <f t="shared" si="358"/>
        <v>0</v>
      </c>
      <c r="L1037" s="75">
        <f t="shared" si="359"/>
        <v>0</v>
      </c>
      <c r="M1037" s="75">
        <f t="shared" si="360"/>
        <v>0</v>
      </c>
      <c r="N1037" s="3954" t="s">
        <v>6705</v>
      </c>
      <c r="P1037" s="3892"/>
      <c r="Q1037" s="3814"/>
      <c r="R1037" s="3917" t="s">
        <v>12231</v>
      </c>
      <c r="S1037" s="3813">
        <v>30</v>
      </c>
      <c r="T1037" s="3813">
        <v>1</v>
      </c>
      <c r="U1037" s="3918" t="s">
        <v>12244</v>
      </c>
      <c r="V1037" s="3805"/>
      <c r="W1037" s="3805"/>
      <c r="X1037" s="3805"/>
      <c r="Y1037" s="3918" t="s">
        <v>12244</v>
      </c>
      <c r="Z1037" s="3814"/>
      <c r="AA1037" s="3814"/>
      <c r="AB1037" s="3814"/>
      <c r="AC1037" s="1047">
        <f>COUNTIF(Compra_TablasEstilo,Tablas!R1037)</f>
        <v>0</v>
      </c>
    </row>
    <row r="1038" spans="1:29" ht="12.75" customHeight="1">
      <c r="A1038" s="219">
        <v>1019</v>
      </c>
      <c r="B1038" s="7145"/>
      <c r="C1038" s="3953"/>
      <c r="D1038" s="21"/>
      <c r="E1038" s="210" t="s">
        <v>878</v>
      </c>
      <c r="F1038" s="75">
        <v>40</v>
      </c>
      <c r="G1038" s="75">
        <f>IF(COUNTIF(PDs!$E$78:$E$80,Tablas!E1038)&gt;0,1,0)</f>
        <v>0</v>
      </c>
      <c r="H1038" s="75" t="str">
        <f>IF(Tablas!Y945=0,"NO","-")</f>
        <v>NO</v>
      </c>
      <c r="I1038" s="21" t="s">
        <v>6816</v>
      </c>
      <c r="J1038" s="21"/>
      <c r="K1038" s="75">
        <f t="shared" si="358"/>
        <v>0</v>
      </c>
      <c r="L1038" s="75">
        <f t="shared" si="359"/>
        <v>0</v>
      </c>
      <c r="M1038" s="75">
        <f t="shared" si="360"/>
        <v>0</v>
      </c>
      <c r="N1038" s="3954" t="s">
        <v>6706</v>
      </c>
      <c r="P1038" s="3892"/>
      <c r="Q1038" s="3814"/>
      <c r="R1038" s="3917" t="s">
        <v>12233</v>
      </c>
      <c r="S1038" s="3813">
        <v>20</v>
      </c>
      <c r="T1038" s="3813">
        <v>0</v>
      </c>
      <c r="U1038" s="3918" t="s">
        <v>12240</v>
      </c>
      <c r="V1038" s="3805"/>
      <c r="W1038" s="3805"/>
      <c r="X1038" s="3805"/>
      <c r="Y1038" s="3918" t="s">
        <v>12240</v>
      </c>
      <c r="Z1038" s="3814"/>
      <c r="AA1038" s="3814"/>
      <c r="AB1038" s="3814"/>
      <c r="AC1038" s="1047">
        <f>COUNTIF(Compra_TablasEstilo,Tablas!R1038)</f>
        <v>0</v>
      </c>
    </row>
    <row r="1039" spans="1:29" ht="12.75" customHeight="1">
      <c r="A1039" s="219">
        <v>1020</v>
      </c>
      <c r="B1039" s="7145"/>
      <c r="C1039" s="3955"/>
      <c r="D1039" s="2613"/>
      <c r="E1039" s="3956" t="s">
        <v>12223</v>
      </c>
      <c r="F1039" s="3620">
        <v>20</v>
      </c>
      <c r="G1039" s="3806">
        <f>IF(COUNTIF(PDs!$E$78:$E$80,Tablas!E1039)&gt;0,1,0)</f>
        <v>0</v>
      </c>
      <c r="H1039" s="3620" t="str">
        <f>IF(Tablas!Y948=0,"NO","-")</f>
        <v>NO</v>
      </c>
      <c r="I1039" s="2613" t="s">
        <v>12224</v>
      </c>
      <c r="J1039" s="2613"/>
      <c r="K1039" s="3806">
        <f t="shared" ref="K1039:M1042" si="361">$G1039*SUMPRODUCT(H$893:H$994,--ISNUMBER(SEARCH($N1039,$D$893:$D$994)),$Y$893:$Y$994)</f>
        <v>0</v>
      </c>
      <c r="L1039" s="3806">
        <f t="shared" si="361"/>
        <v>0</v>
      </c>
      <c r="M1039" s="3806">
        <f t="shared" si="361"/>
        <v>0</v>
      </c>
      <c r="N1039" s="3957" t="s">
        <v>12163</v>
      </c>
      <c r="P1039" s="2613"/>
      <c r="Q1039" s="2613"/>
      <c r="R1039" s="3917" t="s">
        <v>12232</v>
      </c>
      <c r="S1039" s="3620">
        <v>30</v>
      </c>
      <c r="T1039" s="3620">
        <v>0</v>
      </c>
      <c r="U1039" s="3916" t="s">
        <v>12242</v>
      </c>
      <c r="V1039" s="2613"/>
      <c r="W1039" s="2613"/>
      <c r="X1039" s="2613"/>
      <c r="Y1039" s="3916" t="s">
        <v>12242</v>
      </c>
      <c r="Z1039" s="2615"/>
      <c r="AA1039" s="2615"/>
      <c r="AB1039" s="2615"/>
      <c r="AC1039" s="1047">
        <f>COUNTIF(Compra_TablasEstilo,Tablas!R1039)</f>
        <v>0</v>
      </c>
    </row>
    <row r="1040" spans="1:29" ht="12.75" customHeight="1">
      <c r="A1040" s="219">
        <v>1021</v>
      </c>
      <c r="B1040" s="7145"/>
      <c r="C1040" s="3955"/>
      <c r="D1040" s="2613"/>
      <c r="E1040" s="3956" t="s">
        <v>12225</v>
      </c>
      <c r="F1040" s="3620">
        <v>10</v>
      </c>
      <c r="G1040" s="3806">
        <f>IF(COUNTIF(PDs!$E$78:$E$80,Tablas!E1040)&gt;0,1,0)</f>
        <v>0</v>
      </c>
      <c r="H1040" s="3620" t="str">
        <f>IF(Tablas!Y951=0,"NO","-")</f>
        <v>NO</v>
      </c>
      <c r="I1040" s="2613" t="s">
        <v>12220</v>
      </c>
      <c r="J1040" s="2613"/>
      <c r="K1040" s="3806">
        <f t="shared" si="361"/>
        <v>0</v>
      </c>
      <c r="L1040" s="3806">
        <f t="shared" si="361"/>
        <v>0</v>
      </c>
      <c r="M1040" s="3806">
        <f t="shared" si="361"/>
        <v>0</v>
      </c>
      <c r="N1040" s="3957" t="s">
        <v>12164</v>
      </c>
      <c r="P1040" s="2613"/>
      <c r="Q1040" s="2613"/>
      <c r="R1040" s="3917" t="s">
        <v>12235</v>
      </c>
      <c r="S1040" s="3620">
        <v>20</v>
      </c>
      <c r="T1040" s="3620">
        <v>0</v>
      </c>
      <c r="U1040" s="3916" t="s">
        <v>12241</v>
      </c>
      <c r="V1040" s="2613"/>
      <c r="W1040" s="2613"/>
      <c r="X1040" s="2613"/>
      <c r="Y1040" s="3916" t="s">
        <v>12241</v>
      </c>
      <c r="Z1040" s="2615"/>
      <c r="AA1040" s="2615"/>
      <c r="AB1040" s="2615"/>
      <c r="AC1040" s="1047">
        <f>COUNTIF(Compra_TablasEstilo,Tablas!R1040)</f>
        <v>0</v>
      </c>
    </row>
    <row r="1041" spans="1:29" ht="12.75" customHeight="1">
      <c r="A1041" s="219">
        <v>1022</v>
      </c>
      <c r="B1041" s="7145"/>
      <c r="C1041" s="3955"/>
      <c r="D1041" s="2613"/>
      <c r="E1041" s="3956" t="s">
        <v>12226</v>
      </c>
      <c r="F1041" s="3620">
        <v>20</v>
      </c>
      <c r="G1041" s="3806">
        <f>IF(COUNTIF(PDs!$E$78:$E$80,Tablas!E1041)&gt;0,1,0)</f>
        <v>0</v>
      </c>
      <c r="H1041" s="3620" t="str">
        <f>IF(Tablas!Y954=0,"NO","-")</f>
        <v>NO</v>
      </c>
      <c r="I1041" s="2613" t="s">
        <v>12227</v>
      </c>
      <c r="J1041" s="2613"/>
      <c r="K1041" s="3806">
        <f t="shared" si="361"/>
        <v>0</v>
      </c>
      <c r="L1041" s="3806">
        <f t="shared" si="361"/>
        <v>0</v>
      </c>
      <c r="M1041" s="3806">
        <f t="shared" si="361"/>
        <v>0</v>
      </c>
      <c r="N1041" s="3957" t="s">
        <v>12166</v>
      </c>
      <c r="P1041" s="2613"/>
      <c r="Q1041" s="2613"/>
      <c r="R1041" s="3917" t="s">
        <v>12236</v>
      </c>
      <c r="S1041" s="3620">
        <v>30</v>
      </c>
      <c r="T1041" s="3620">
        <v>0</v>
      </c>
      <c r="U1041" s="3916" t="s">
        <v>12243</v>
      </c>
      <c r="V1041" s="2613"/>
      <c r="W1041" s="2613"/>
      <c r="X1041" s="2613"/>
      <c r="Y1041" s="3916" t="s">
        <v>12243</v>
      </c>
      <c r="Z1041" s="2615"/>
      <c r="AA1041" s="2615"/>
      <c r="AB1041" s="2615"/>
      <c r="AC1041" s="1047">
        <f>COUNTIF(Compra_TablasEstilo,Tablas!R1041)</f>
        <v>0</v>
      </c>
    </row>
    <row r="1042" spans="1:29" ht="12.75" customHeight="1">
      <c r="A1042" s="219">
        <v>1023</v>
      </c>
      <c r="B1042" s="7145"/>
      <c r="C1042" s="3955"/>
      <c r="D1042" s="2613"/>
      <c r="E1042" s="3956" t="s">
        <v>12228</v>
      </c>
      <c r="F1042" s="3620">
        <v>40</v>
      </c>
      <c r="G1042" s="3806">
        <f>IF(COUNTIF(PDs!$E$78:$E$80,Tablas!E1042)&gt;0,1,0)</f>
        <v>0</v>
      </c>
      <c r="H1042" s="3620" t="str">
        <f>IF(Tablas!Y957=0,"NO","-")</f>
        <v>NO</v>
      </c>
      <c r="I1042" s="2613" t="s">
        <v>2374</v>
      </c>
      <c r="J1042" s="2613"/>
      <c r="K1042" s="3806">
        <f t="shared" si="361"/>
        <v>0</v>
      </c>
      <c r="L1042" s="3806">
        <f t="shared" si="361"/>
        <v>0</v>
      </c>
      <c r="M1042" s="3806">
        <f t="shared" si="361"/>
        <v>0</v>
      </c>
      <c r="N1042" s="3957" t="s">
        <v>12165</v>
      </c>
      <c r="P1042" s="443"/>
      <c r="Q1042" s="21"/>
      <c r="R1042" s="212" t="s">
        <v>707</v>
      </c>
      <c r="S1042" s="84">
        <v>30</v>
      </c>
      <c r="T1042" s="84">
        <v>0</v>
      </c>
      <c r="U1042" s="14" t="s">
        <v>708</v>
      </c>
      <c r="V1042" s="47"/>
      <c r="W1042" s="47"/>
      <c r="X1042" s="47"/>
      <c r="Y1042" s="14" t="s">
        <v>708</v>
      </c>
      <c r="Z1042" s="21"/>
      <c r="AA1042" s="21"/>
      <c r="AB1042" s="21"/>
      <c r="AC1042" s="1047">
        <f>COUNTIF(Compra_TablasEstilo,Tablas!R1042)</f>
        <v>0</v>
      </c>
    </row>
    <row r="1043" spans="1:29" ht="12.75" customHeight="1">
      <c r="A1043" s="219">
        <v>1024</v>
      </c>
      <c r="B1043" s="7145"/>
      <c r="C1043" s="3953"/>
      <c r="D1043" s="21"/>
      <c r="E1043" s="210" t="s">
        <v>807</v>
      </c>
      <c r="F1043" s="84">
        <v>0</v>
      </c>
      <c r="G1043" s="75"/>
      <c r="H1043" s="75" t="s">
        <v>1315</v>
      </c>
      <c r="I1043" s="75" t="s">
        <v>6506</v>
      </c>
      <c r="J1043" s="21"/>
      <c r="K1043" s="75"/>
      <c r="L1043" s="75"/>
      <c r="M1043" s="75"/>
      <c r="N1043" s="3958"/>
      <c r="P1043" s="443"/>
      <c r="Q1043" s="21"/>
      <c r="R1043" s="212" t="s">
        <v>709</v>
      </c>
      <c r="S1043" s="84">
        <v>20</v>
      </c>
      <c r="T1043" s="84">
        <v>0</v>
      </c>
      <c r="U1043" s="14" t="s">
        <v>710</v>
      </c>
      <c r="V1043" s="47"/>
      <c r="W1043" s="47"/>
      <c r="X1043" s="47"/>
      <c r="Y1043" s="14" t="s">
        <v>710</v>
      </c>
      <c r="Z1043" s="21"/>
      <c r="AA1043" s="21"/>
      <c r="AB1043" s="21"/>
      <c r="AC1043" s="1047">
        <f>COUNTIF(Compra_TablasEstilo,Tablas!R1043)</f>
        <v>0</v>
      </c>
    </row>
    <row r="1044" spans="1:29" ht="12.75" customHeight="1">
      <c r="A1044" s="219">
        <v>1025</v>
      </c>
      <c r="B1044" s="7145"/>
      <c r="C1044" s="3953"/>
      <c r="D1044" s="21"/>
      <c r="E1044" s="210" t="s">
        <v>879</v>
      </c>
      <c r="F1044" s="75">
        <v>40</v>
      </c>
      <c r="G1044" s="75">
        <f>IF(COUNTIF(PDs!$E$78:$E$80,Tablas!E1044)&gt;0,1,0)</f>
        <v>0</v>
      </c>
      <c r="H1044" s="75" t="str">
        <f>IF(Y965=0,"NO","-")</f>
        <v>NO</v>
      </c>
      <c r="I1044" s="21" t="s">
        <v>6817</v>
      </c>
      <c r="J1044" s="21"/>
      <c r="K1044" s="75">
        <f t="shared" ref="K1044:K1054" si="362">$G1044*SUMPRODUCT(H$893:H$982,--ISNUMBER(SEARCH($N1044,$D$893:$D$982)),$Y$893:$Y$982)</f>
        <v>0</v>
      </c>
      <c r="L1044" s="75">
        <f t="shared" ref="L1044:L1054" si="363">$G1044*SUMPRODUCT(I$893:I$982,--ISNUMBER(SEARCH($N1044,$D$893:$D$982)),$Y$893:$Y$982)</f>
        <v>0</v>
      </c>
      <c r="M1044" s="75">
        <f t="shared" ref="M1044:M1054" si="364">$G1044*SUMPRODUCT(J$893:J$982,--ISNUMBER(SEARCH($N1044,$D$893:$D$982)),$Y$893:$Y$982)</f>
        <v>0</v>
      </c>
      <c r="N1044" s="3954" t="s">
        <v>6709</v>
      </c>
      <c r="P1044" s="443"/>
      <c r="Q1044" s="21"/>
      <c r="R1044" s="212" t="s">
        <v>711</v>
      </c>
      <c r="S1044" s="84">
        <v>20</v>
      </c>
      <c r="T1044" s="84">
        <v>0</v>
      </c>
      <c r="U1044" s="14" t="s">
        <v>712</v>
      </c>
      <c r="V1044" s="47"/>
      <c r="W1044" s="47"/>
      <c r="X1044" s="47"/>
      <c r="Y1044" s="14" t="s">
        <v>712</v>
      </c>
      <c r="Z1044" s="21"/>
      <c r="AA1044" s="21"/>
      <c r="AB1044" s="21"/>
      <c r="AC1044" s="1047">
        <f>COUNTIF(Compra_TablasEstilo,Tablas!R1044)</f>
        <v>0</v>
      </c>
    </row>
    <row r="1045" spans="1:29" ht="12.75" customHeight="1" thickBot="1">
      <c r="A1045" s="219">
        <v>1026</v>
      </c>
      <c r="B1045" s="7145"/>
      <c r="C1045" s="3953"/>
      <c r="D1045" s="21"/>
      <c r="E1045" s="210" t="s">
        <v>880</v>
      </c>
      <c r="F1045" s="75">
        <v>10</v>
      </c>
      <c r="G1045" s="75">
        <f>IF(COUNTIF(PDs!$E$78:$E$80,Tablas!E1045)&gt;0,1,0)</f>
        <v>0</v>
      </c>
      <c r="H1045" s="75" t="str">
        <f>IF(Y967=0,"NO","-")</f>
        <v>NO</v>
      </c>
      <c r="I1045" s="21" t="s">
        <v>6818</v>
      </c>
      <c r="J1045" s="21"/>
      <c r="K1045" s="75">
        <f t="shared" si="362"/>
        <v>0</v>
      </c>
      <c r="L1045" s="75">
        <f t="shared" si="363"/>
        <v>0</v>
      </c>
      <c r="M1045" s="75">
        <f t="shared" si="364"/>
        <v>0</v>
      </c>
      <c r="N1045" s="3954" t="s">
        <v>6710</v>
      </c>
      <c r="P1045" s="445"/>
      <c r="Q1045" s="528"/>
      <c r="R1045" s="1232" t="s">
        <v>713</v>
      </c>
      <c r="S1045" s="446">
        <v>10</v>
      </c>
      <c r="T1045" s="446">
        <v>0</v>
      </c>
      <c r="U1045" s="1233" t="s">
        <v>714</v>
      </c>
      <c r="V1045" s="561"/>
      <c r="W1045" s="561"/>
      <c r="X1045" s="561"/>
      <c r="Y1045" s="1233" t="s">
        <v>714</v>
      </c>
      <c r="Z1045" s="528"/>
      <c r="AA1045" s="528"/>
      <c r="AB1045" s="528"/>
      <c r="AC1045" s="1917">
        <f>COUNTIF(Compra_TablasEstilo,Tablas!R1045)</f>
        <v>0</v>
      </c>
    </row>
    <row r="1046" spans="1:29" ht="12.75" customHeight="1">
      <c r="A1046" s="219">
        <v>1027</v>
      </c>
      <c r="B1046" s="7145"/>
      <c r="C1046" s="3953"/>
      <c r="D1046" s="21"/>
      <c r="E1046" s="210" t="s">
        <v>881</v>
      </c>
      <c r="F1046" s="75">
        <v>20</v>
      </c>
      <c r="G1046" s="75">
        <f>IF(COUNTIF(PDs!$E$78:$E$80,Tablas!E1046)&gt;0,1,0)</f>
        <v>0</v>
      </c>
      <c r="H1046" s="75" t="str">
        <f>IF(Y973=0,"NO","-")</f>
        <v>NO</v>
      </c>
      <c r="I1046" s="21" t="s">
        <v>6819</v>
      </c>
      <c r="J1046" s="21"/>
      <c r="K1046" s="75">
        <f t="shared" si="362"/>
        <v>0</v>
      </c>
      <c r="L1046" s="75">
        <f t="shared" si="363"/>
        <v>0</v>
      </c>
      <c r="M1046" s="75">
        <f t="shared" si="364"/>
        <v>0</v>
      </c>
      <c r="N1046" s="3954" t="s">
        <v>6713</v>
      </c>
    </row>
    <row r="1047" spans="1:29" ht="12.75" customHeight="1">
      <c r="A1047" s="219">
        <v>1028</v>
      </c>
      <c r="B1047" s="7145"/>
      <c r="C1047" s="3953"/>
      <c r="D1047" s="21"/>
      <c r="E1047" s="210" t="s">
        <v>882</v>
      </c>
      <c r="F1047" s="75">
        <v>20</v>
      </c>
      <c r="G1047" s="75">
        <f>IF(COUNTIF(PDs!$E$78:$E$80,Tablas!E1047)&gt;0,1,0)</f>
        <v>0</v>
      </c>
      <c r="H1047" s="75" t="str">
        <f>IF(Y975=0,"NO","-")</f>
        <v>NO</v>
      </c>
      <c r="I1047" s="21" t="s">
        <v>6820</v>
      </c>
      <c r="J1047" s="21"/>
      <c r="K1047" s="75">
        <f t="shared" si="362"/>
        <v>0</v>
      </c>
      <c r="L1047" s="75">
        <f t="shared" si="363"/>
        <v>0</v>
      </c>
      <c r="M1047" s="75">
        <f t="shared" si="364"/>
        <v>0</v>
      </c>
      <c r="N1047" s="3954" t="s">
        <v>6714</v>
      </c>
    </row>
    <row r="1048" spans="1:29" ht="12.75" customHeight="1">
      <c r="A1048" s="219">
        <v>1029</v>
      </c>
      <c r="B1048" s="7145"/>
      <c r="C1048" s="3953"/>
      <c r="D1048" s="21"/>
      <c r="E1048" s="210" t="s">
        <v>883</v>
      </c>
      <c r="F1048" s="75">
        <v>20</v>
      </c>
      <c r="G1048" s="75">
        <f>IF(COUNTIF(PDs!$E$78:$E$80,Tablas!E1048)&gt;0,1,0)</f>
        <v>0</v>
      </c>
      <c r="H1048" s="75" t="str">
        <f>IF(Y979=0,"NO","-")</f>
        <v>NO</v>
      </c>
      <c r="I1048" s="21" t="s">
        <v>6821</v>
      </c>
      <c r="J1048" s="21"/>
      <c r="K1048" s="75">
        <f t="shared" si="362"/>
        <v>0</v>
      </c>
      <c r="L1048" s="75">
        <f t="shared" si="363"/>
        <v>0</v>
      </c>
      <c r="M1048" s="75">
        <f t="shared" si="364"/>
        <v>0</v>
      </c>
      <c r="N1048" s="3954" t="s">
        <v>6716</v>
      </c>
    </row>
    <row r="1049" spans="1:29" ht="12.75" customHeight="1">
      <c r="A1049" s="219">
        <v>1030</v>
      </c>
      <c r="B1049" s="7145"/>
      <c r="C1049" s="3953"/>
      <c r="D1049" s="21"/>
      <c r="E1049" s="210" t="s">
        <v>884</v>
      </c>
      <c r="F1049" s="75">
        <v>10</v>
      </c>
      <c r="G1049" s="75">
        <f>IF(COUNTIF(PDs!$E$78:$E$80,Tablas!E1049)&gt;0,1,0)</f>
        <v>0</v>
      </c>
      <c r="H1049" s="75" t="str">
        <f>IF(Y981=0,"NO","-")</f>
        <v>NO</v>
      </c>
      <c r="I1049" s="21" t="s">
        <v>6822</v>
      </c>
      <c r="J1049" s="21"/>
      <c r="K1049" s="75">
        <f t="shared" si="362"/>
        <v>0</v>
      </c>
      <c r="L1049" s="75">
        <f t="shared" si="363"/>
        <v>0</v>
      </c>
      <c r="M1049" s="75">
        <f t="shared" si="364"/>
        <v>0</v>
      </c>
      <c r="N1049" s="3954" t="s">
        <v>6717</v>
      </c>
    </row>
    <row r="1050" spans="1:29" ht="12.75" customHeight="1">
      <c r="A1050" s="219">
        <v>1031</v>
      </c>
      <c r="B1050" s="7145"/>
      <c r="C1050" s="3953"/>
      <c r="D1050" s="21"/>
      <c r="E1050" s="210" t="s">
        <v>885</v>
      </c>
      <c r="F1050" s="75">
        <v>40</v>
      </c>
      <c r="G1050" s="75">
        <f>IF(COUNTIF(PDs!$E$78:$E$80,Tablas!E1050)&gt;0,1,0)</f>
        <v>0</v>
      </c>
      <c r="H1050" s="75" t="str">
        <f>IF(Y983=0,"NO","-")</f>
        <v>NO</v>
      </c>
      <c r="I1050" s="21" t="s">
        <v>9649</v>
      </c>
      <c r="J1050" s="21"/>
      <c r="K1050" s="75">
        <f t="shared" si="362"/>
        <v>0</v>
      </c>
      <c r="L1050" s="75">
        <f t="shared" si="363"/>
        <v>0</v>
      </c>
      <c r="M1050" s="75">
        <f t="shared" si="364"/>
        <v>0</v>
      </c>
      <c r="N1050" s="3954" t="s">
        <v>6718</v>
      </c>
    </row>
    <row r="1051" spans="1:29" ht="12.75" customHeight="1">
      <c r="B1051" s="7145"/>
      <c r="C1051" s="3953"/>
      <c r="D1051" s="21"/>
      <c r="E1051" s="210" t="s">
        <v>886</v>
      </c>
      <c r="F1051" s="75">
        <v>40</v>
      </c>
      <c r="G1051" s="75">
        <f>IF(COUNTIF(PDs!$E$78:$E$80,Tablas!E1051)&gt;0,1,0)</f>
        <v>0</v>
      </c>
      <c r="H1051" s="75" t="str">
        <f>IF(Y986=0,"NO","-")</f>
        <v>NO</v>
      </c>
      <c r="I1051" s="21" t="s">
        <v>6823</v>
      </c>
      <c r="J1051" s="21"/>
      <c r="K1051" s="75">
        <f t="shared" si="362"/>
        <v>0</v>
      </c>
      <c r="L1051" s="75">
        <f t="shared" si="363"/>
        <v>0</v>
      </c>
      <c r="M1051" s="75">
        <f t="shared" si="364"/>
        <v>0</v>
      </c>
      <c r="N1051" s="3954" t="s">
        <v>6719</v>
      </c>
    </row>
    <row r="1052" spans="1:29" ht="12.75" customHeight="1">
      <c r="B1052" s="7145"/>
      <c r="C1052" s="3953"/>
      <c r="D1052" s="21"/>
      <c r="E1052" s="210" t="s">
        <v>887</v>
      </c>
      <c r="F1052" s="75">
        <v>30</v>
      </c>
      <c r="G1052" s="75">
        <f>IF(COUNTIF(PDs!$E$78:$E$80,Tablas!E1052)&gt;0,1,0)</f>
        <v>0</v>
      </c>
      <c r="H1052" s="75" t="str">
        <f>IF(Y988=0,"NO","-")</f>
        <v>NO</v>
      </c>
      <c r="I1052" s="21" t="s">
        <v>6824</v>
      </c>
      <c r="J1052" s="21"/>
      <c r="K1052" s="75">
        <f t="shared" si="362"/>
        <v>0</v>
      </c>
      <c r="L1052" s="75">
        <f t="shared" si="363"/>
        <v>0</v>
      </c>
      <c r="M1052" s="75">
        <f t="shared" si="364"/>
        <v>0</v>
      </c>
      <c r="N1052" s="3954" t="s">
        <v>6720</v>
      </c>
    </row>
    <row r="1053" spans="1:29" ht="12.75" customHeight="1">
      <c r="B1053" s="7145"/>
      <c r="C1053" s="3953"/>
      <c r="D1053" s="21"/>
      <c r="E1053" s="210" t="s">
        <v>888</v>
      </c>
      <c r="F1053" s="75">
        <v>20</v>
      </c>
      <c r="G1053" s="75">
        <f>IF(COUNTIF(PDs!$E$78:$E$80,Tablas!E1053)&gt;0,1,0)</f>
        <v>0</v>
      </c>
      <c r="H1053" s="75" t="str">
        <f>IF(Y989=0,"NO","-")</f>
        <v>NO</v>
      </c>
      <c r="I1053" s="21" t="s">
        <v>6825</v>
      </c>
      <c r="J1053" s="21"/>
      <c r="K1053" s="75">
        <f t="shared" si="362"/>
        <v>0</v>
      </c>
      <c r="L1053" s="75">
        <f t="shared" si="363"/>
        <v>0</v>
      </c>
      <c r="M1053" s="75">
        <f t="shared" si="364"/>
        <v>0</v>
      </c>
      <c r="N1053" s="3954" t="s">
        <v>6721</v>
      </c>
    </row>
    <row r="1054" spans="1:29" ht="12.75" customHeight="1">
      <c r="B1054" s="7145"/>
      <c r="C1054" s="3953"/>
      <c r="D1054" s="21"/>
      <c r="E1054" s="210" t="s">
        <v>889</v>
      </c>
      <c r="F1054" s="75">
        <v>20</v>
      </c>
      <c r="G1054" s="75">
        <f>IF(COUNTIF(PDs!$E$78:$E$80,Tablas!E1054)&gt;0,1,0)</f>
        <v>0</v>
      </c>
      <c r="H1054" s="75" t="str">
        <f>IF(Y990=0,"NO","-")</f>
        <v>NO</v>
      </c>
      <c r="I1054" s="21" t="s">
        <v>6826</v>
      </c>
      <c r="J1054" s="21"/>
      <c r="K1054" s="75">
        <f t="shared" si="362"/>
        <v>0</v>
      </c>
      <c r="L1054" s="75">
        <f t="shared" si="363"/>
        <v>0</v>
      </c>
      <c r="M1054" s="75">
        <f t="shared" si="364"/>
        <v>0</v>
      </c>
      <c r="N1054" s="3954" t="s">
        <v>6722</v>
      </c>
    </row>
    <row r="1055" spans="1:29" ht="12.75" customHeight="1">
      <c r="B1055" s="7145"/>
      <c r="C1055" s="3955"/>
      <c r="D1055" s="2613"/>
      <c r="E1055" s="3956" t="s">
        <v>12581</v>
      </c>
      <c r="F1055" s="3620">
        <v>30</v>
      </c>
      <c r="G1055" s="3806">
        <f>IF(COUNTIF(PDs!$E$78:$E$80,Tablas!E1051)&gt;0,1,0)</f>
        <v>0</v>
      </c>
      <c r="H1055" s="3620" t="str">
        <f>IF(Y995=0,"NO","-")</f>
        <v>NO</v>
      </c>
      <c r="I1055" s="2613" t="s">
        <v>12207</v>
      </c>
      <c r="J1055" s="2613"/>
      <c r="K1055" s="3806">
        <f t="shared" ref="K1055:K1063" si="365">$G1055*SUMPRODUCT(H$893:H$994,--ISNUMBER(SEARCH($N1055,$D$893:$D$994)),$Y$893:$Y$994)</f>
        <v>0</v>
      </c>
      <c r="L1055" s="3806">
        <f t="shared" ref="L1055:L1063" si="366">$G1055*SUMPRODUCT(I$893:I$994,--ISNUMBER(SEARCH($N1055,$D$893:$D$994)),$Y$893:$Y$994)</f>
        <v>0</v>
      </c>
      <c r="M1055" s="3806">
        <f t="shared" ref="M1055:M1063" si="367">$G1055*SUMPRODUCT(J$893:J$994,--ISNUMBER(SEARCH($N1055,$D$893:$D$994)),$Y$893:$Y$994)</f>
        <v>0</v>
      </c>
      <c r="N1055" s="3957" t="s">
        <v>12208</v>
      </c>
    </row>
    <row r="1056" spans="1:29" ht="12.75" customHeight="1">
      <c r="A1056" s="219">
        <v>1032</v>
      </c>
      <c r="B1056" s="7145"/>
      <c r="C1056" s="3955"/>
      <c r="D1056" s="2613"/>
      <c r="E1056" s="3956" t="s">
        <v>12209</v>
      </c>
      <c r="F1056" s="3620">
        <v>30</v>
      </c>
      <c r="G1056" s="3806">
        <f>IF(COUNTIF(PDs!$E$78:$E$80,Tablas!E1052)&gt;0,1,0)</f>
        <v>0</v>
      </c>
      <c r="H1056" s="3620" t="str">
        <f>IF(Y997=0,"NO","-")</f>
        <v>NO</v>
      </c>
      <c r="I1056" s="2613" t="s">
        <v>12210</v>
      </c>
      <c r="J1056" s="2613"/>
      <c r="K1056" s="3806">
        <f t="shared" si="365"/>
        <v>0</v>
      </c>
      <c r="L1056" s="3806">
        <f t="shared" si="366"/>
        <v>0</v>
      </c>
      <c r="M1056" s="3806">
        <f t="shared" si="367"/>
        <v>0</v>
      </c>
      <c r="N1056" s="3957" t="s">
        <v>12167</v>
      </c>
    </row>
    <row r="1057" spans="1:53" ht="12.75" customHeight="1">
      <c r="B1057" s="7145"/>
      <c r="C1057" s="3955"/>
      <c r="D1057" s="2613"/>
      <c r="E1057" s="3956" t="s">
        <v>14160</v>
      </c>
      <c r="F1057" s="3620">
        <v>40</v>
      </c>
      <c r="G1057" s="3806">
        <f>IF(COUNTIF(PDs!$E$78:$E$80,Tablas!E1053)&gt;0,1,0)</f>
        <v>0</v>
      </c>
      <c r="H1057" s="3620" t="str">
        <f>IF(Y999=0,"NO","-")</f>
        <v>NO</v>
      </c>
      <c r="I1057" s="2613" t="s">
        <v>12211</v>
      </c>
      <c r="J1057" s="2613"/>
      <c r="K1057" s="3806">
        <f t="shared" si="365"/>
        <v>0</v>
      </c>
      <c r="L1057" s="3806">
        <f t="shared" si="366"/>
        <v>0</v>
      </c>
      <c r="M1057" s="3806">
        <f t="shared" si="367"/>
        <v>0</v>
      </c>
      <c r="N1057" s="3957" t="s">
        <v>14157</v>
      </c>
    </row>
    <row r="1058" spans="1:53" ht="12.75" customHeight="1">
      <c r="A1058" s="219">
        <v>1033</v>
      </c>
      <c r="B1058" s="7145"/>
      <c r="C1058" s="3955"/>
      <c r="D1058" s="2613"/>
      <c r="E1058" s="3956" t="s">
        <v>12212</v>
      </c>
      <c r="F1058" s="3620">
        <v>30</v>
      </c>
      <c r="G1058" s="3806">
        <f>IF(COUNTIF(PDs!$E$78:$E$80,Tablas!E1054)&gt;0,1,0)</f>
        <v>0</v>
      </c>
      <c r="H1058" s="3620" t="str">
        <f>IF(Y1001=0,"NO","-")</f>
        <v>NO</v>
      </c>
      <c r="I1058" s="2613" t="s">
        <v>12213</v>
      </c>
      <c r="J1058" s="2613"/>
      <c r="K1058" s="3806">
        <f t="shared" si="365"/>
        <v>0</v>
      </c>
      <c r="L1058" s="3806">
        <f t="shared" si="366"/>
        <v>0</v>
      </c>
      <c r="M1058" s="3806">
        <f t="shared" si="367"/>
        <v>0</v>
      </c>
      <c r="N1058" s="3957" t="s">
        <v>12168</v>
      </c>
    </row>
    <row r="1059" spans="1:53" ht="12.75" customHeight="1">
      <c r="A1059" s="219">
        <v>1034</v>
      </c>
      <c r="B1059" s="7145"/>
      <c r="C1059" s="3955"/>
      <c r="D1059" s="2613"/>
      <c r="E1059" s="3956" t="s">
        <v>12214</v>
      </c>
      <c r="F1059" s="3620">
        <v>20</v>
      </c>
      <c r="G1059" s="3806">
        <f>IF(COUNTIF(PDs!$E$78:$E$80,Tablas!E1055)&gt;0,1,0)</f>
        <v>0</v>
      </c>
      <c r="H1059" s="3620" t="str">
        <f>IF(Y1003=0,"NO","-")</f>
        <v>NO</v>
      </c>
      <c r="I1059" s="2613" t="s">
        <v>12215</v>
      </c>
      <c r="J1059" s="2613"/>
      <c r="K1059" s="3806">
        <f t="shared" si="365"/>
        <v>0</v>
      </c>
      <c r="L1059" s="3806">
        <f t="shared" si="366"/>
        <v>0</v>
      </c>
      <c r="M1059" s="3806">
        <f t="shared" si="367"/>
        <v>0</v>
      </c>
      <c r="N1059" s="3957" t="s">
        <v>12216</v>
      </c>
    </row>
    <row r="1060" spans="1:53" ht="12.75" customHeight="1">
      <c r="B1060" s="7145"/>
      <c r="C1060" s="3955"/>
      <c r="D1060" s="2613"/>
      <c r="E1060" s="3956" t="s">
        <v>12217</v>
      </c>
      <c r="F1060" s="3620">
        <v>40</v>
      </c>
      <c r="G1060" s="3806">
        <f>IF(COUNTIF(PDs!$E$78:$E$80,Tablas!E1056)&gt;0,1,0)</f>
        <v>0</v>
      </c>
      <c r="H1060" s="3620" t="str">
        <f>IF(Y1005=0,"NO","-")</f>
        <v>NO</v>
      </c>
      <c r="I1060" s="2613" t="s">
        <v>2374</v>
      </c>
      <c r="J1060" s="2613"/>
      <c r="K1060" s="3806">
        <f t="shared" si="365"/>
        <v>0</v>
      </c>
      <c r="L1060" s="3806">
        <f t="shared" si="366"/>
        <v>0</v>
      </c>
      <c r="M1060" s="3806">
        <f t="shared" si="367"/>
        <v>0</v>
      </c>
      <c r="N1060" s="3957" t="s">
        <v>12170</v>
      </c>
    </row>
    <row r="1061" spans="1:53" ht="12.75" customHeight="1">
      <c r="B1061" s="7145"/>
      <c r="C1061" s="3955"/>
      <c r="D1061" s="2613"/>
      <c r="E1061" s="3956" t="s">
        <v>12218</v>
      </c>
      <c r="F1061" s="3620">
        <v>40</v>
      </c>
      <c r="G1061" s="3806">
        <f>IF(COUNTIF(PDs!$E$78:$E$80,Tablas!E1057)&gt;0,1,0)</f>
        <v>0</v>
      </c>
      <c r="H1061" s="3620" t="str">
        <f>IF(Y1007=0,"NO","-")</f>
        <v>NO</v>
      </c>
      <c r="I1061" s="2613" t="s">
        <v>2374</v>
      </c>
      <c r="J1061" s="2613"/>
      <c r="K1061" s="3806">
        <f t="shared" si="365"/>
        <v>0</v>
      </c>
      <c r="L1061" s="3806">
        <f t="shared" si="366"/>
        <v>0</v>
      </c>
      <c r="M1061" s="3806">
        <f t="shared" si="367"/>
        <v>0</v>
      </c>
      <c r="N1061" s="3957" t="s">
        <v>12172</v>
      </c>
    </row>
    <row r="1062" spans="1:53" ht="12.75" customHeight="1">
      <c r="B1062" s="7145"/>
      <c r="C1062" s="3955"/>
      <c r="D1062" s="2613"/>
      <c r="E1062" s="3956" t="s">
        <v>12219</v>
      </c>
      <c r="F1062" s="3620">
        <v>10</v>
      </c>
      <c r="G1062" s="3806">
        <f>IF(COUNTIF(PDs!$E$78:$E$80,Tablas!E1058)&gt;0,1,0)</f>
        <v>0</v>
      </c>
      <c r="H1062" s="3620" t="str">
        <f>IF(Y1009=0,"NO","-")</f>
        <v>NO</v>
      </c>
      <c r="I1062" s="2613" t="s">
        <v>12220</v>
      </c>
      <c r="J1062" s="2613"/>
      <c r="K1062" s="3806">
        <f t="shared" si="365"/>
        <v>0</v>
      </c>
      <c r="L1062" s="3806">
        <f t="shared" si="366"/>
        <v>0</v>
      </c>
      <c r="M1062" s="3806">
        <f t="shared" si="367"/>
        <v>0</v>
      </c>
      <c r="N1062" s="3957" t="s">
        <v>12171</v>
      </c>
    </row>
    <row r="1063" spans="1:53" ht="12.75" customHeight="1" thickBot="1">
      <c r="B1063" s="7145"/>
      <c r="C1063" s="3959"/>
      <c r="D1063" s="3928"/>
      <c r="E1063" s="3960" t="s">
        <v>12221</v>
      </c>
      <c r="F1063" s="3961">
        <v>20</v>
      </c>
      <c r="G1063" s="3962">
        <f>IF(COUNTIF(PDs!$E$78:$E$80,Tablas!E1059)&gt;0,1,0)</f>
        <v>0</v>
      </c>
      <c r="H1063" s="3961" t="str">
        <f>IF(Y1011=0,"NO","-")</f>
        <v>NO</v>
      </c>
      <c r="I1063" s="3928" t="s">
        <v>12222</v>
      </c>
      <c r="J1063" s="3928"/>
      <c r="K1063" s="3962">
        <f t="shared" si="365"/>
        <v>0</v>
      </c>
      <c r="L1063" s="3962">
        <f t="shared" si="366"/>
        <v>0</v>
      </c>
      <c r="M1063" s="3962">
        <f t="shared" si="367"/>
        <v>0</v>
      </c>
      <c r="N1063" s="3963" t="s">
        <v>12173</v>
      </c>
    </row>
    <row r="1064" spans="1:53" ht="12.75" customHeight="1" thickBot="1">
      <c r="A1064" s="219">
        <v>1035</v>
      </c>
      <c r="B1064" s="7145"/>
      <c r="H1064" s="215"/>
      <c r="N1064"/>
    </row>
    <row r="1065" spans="1:53" ht="12.75" customHeight="1" thickBot="1">
      <c r="A1065" s="219">
        <v>1036</v>
      </c>
      <c r="B1065" s="7145"/>
      <c r="C1065" s="7974" t="s">
        <v>890</v>
      </c>
      <c r="D1065" s="7974"/>
      <c r="E1065" s="7974"/>
      <c r="F1065" s="7974"/>
      <c r="G1065" s="7974"/>
      <c r="H1065" s="7974"/>
      <c r="I1065" s="7974"/>
      <c r="J1065" s="7974"/>
      <c r="K1065" s="7974"/>
      <c r="L1065" s="7974"/>
      <c r="M1065" s="7974"/>
      <c r="N1065" s="7974"/>
      <c r="O1065" s="7974"/>
      <c r="P1065" s="7974"/>
      <c r="Q1065" s="7974"/>
      <c r="R1065" s="7974"/>
      <c r="U1065" s="7959" t="s">
        <v>10007</v>
      </c>
      <c r="V1065" s="7959"/>
      <c r="W1065" s="7959"/>
      <c r="X1065" s="7959"/>
      <c r="Y1065" s="7959"/>
      <c r="Z1065" s="7959"/>
      <c r="AA1065" s="7959"/>
      <c r="AB1065" s="7959"/>
      <c r="AC1065" s="7959"/>
      <c r="AD1065" s="7959"/>
      <c r="AE1065" s="7959"/>
      <c r="AF1065" s="7959"/>
      <c r="AG1065" s="7959"/>
      <c r="AH1065" s="7959"/>
      <c r="AI1065" s="7959"/>
      <c r="AJ1065" s="7959"/>
      <c r="AL1065" s="8067" t="s">
        <v>10118</v>
      </c>
      <c r="AM1065" s="8067"/>
      <c r="AN1065" s="8067"/>
      <c r="AO1065" s="8067"/>
      <c r="AP1065" s="8067"/>
      <c r="AQ1065" s="8067"/>
      <c r="AR1065" s="8067"/>
      <c r="AS1065" s="8067"/>
      <c r="AT1065" s="8067"/>
      <c r="AU1065" s="8067"/>
      <c r="AV1065" s="8067"/>
      <c r="AW1065" s="8067"/>
      <c r="AX1065" s="8067"/>
      <c r="AY1065" s="8067"/>
      <c r="AZ1065" s="8067"/>
      <c r="BA1065" s="8067"/>
    </row>
    <row r="1066" spans="1:53" ht="12.75" customHeight="1">
      <c r="A1066" s="219">
        <v>1037</v>
      </c>
      <c r="B1066" s="7145"/>
      <c r="C1066" s="7974"/>
      <c r="D1066" s="7974"/>
      <c r="E1066" s="7974"/>
      <c r="F1066" s="7974"/>
      <c r="G1066" s="7974"/>
      <c r="H1066" s="7974"/>
      <c r="I1066" s="7974"/>
      <c r="J1066" s="7974"/>
      <c r="K1066" s="7974"/>
      <c r="L1066" s="7974"/>
      <c r="M1066" s="7974"/>
      <c r="N1066" s="7974"/>
      <c r="O1066" s="7974"/>
      <c r="P1066" s="7974"/>
      <c r="Q1066" s="7974"/>
      <c r="R1066" s="7974"/>
      <c r="U1066" s="7959"/>
      <c r="V1066" s="7959"/>
      <c r="W1066" s="7959"/>
      <c r="X1066" s="7959"/>
      <c r="Y1066" s="7959"/>
      <c r="Z1066" s="7959"/>
      <c r="AA1066" s="7959"/>
      <c r="AB1066" s="7959"/>
      <c r="AC1066" s="7959"/>
      <c r="AD1066" s="7959"/>
      <c r="AE1066" s="7959"/>
      <c r="AF1066" s="7959"/>
      <c r="AG1066" s="7959"/>
      <c r="AH1066" s="7959"/>
      <c r="AI1066" s="7959"/>
      <c r="AJ1066" s="7959"/>
      <c r="AL1066" s="8067"/>
      <c r="AM1066" s="8067"/>
      <c r="AN1066" s="8067"/>
      <c r="AO1066" s="8067"/>
      <c r="AP1066" s="8067"/>
      <c r="AQ1066" s="8067"/>
      <c r="AR1066" s="8067"/>
      <c r="AS1066" s="8067"/>
      <c r="AT1066" s="8067"/>
      <c r="AU1066" s="8067"/>
      <c r="AV1066" s="8067"/>
      <c r="AW1066" s="8067"/>
      <c r="AX1066" s="8067"/>
      <c r="AY1066" s="8067"/>
      <c r="AZ1066" s="8067"/>
      <c r="BA1066" s="8067"/>
    </row>
    <row r="1067" spans="1:53" ht="12.75" customHeight="1" thickBot="1">
      <c r="A1067" s="219">
        <v>1038</v>
      </c>
      <c r="B1067" s="7145"/>
      <c r="C1067" s="3964"/>
      <c r="D1067" s="3965"/>
      <c r="E1067" s="206" t="s">
        <v>1300</v>
      </c>
      <c r="F1067" s="169" t="s">
        <v>891</v>
      </c>
      <c r="G1067" s="169" t="s">
        <v>1359</v>
      </c>
      <c r="H1067" s="171" t="s">
        <v>2097</v>
      </c>
      <c r="I1067" s="562" t="s">
        <v>721</v>
      </c>
      <c r="J1067" s="226" t="s">
        <v>1408</v>
      </c>
      <c r="K1067" s="226"/>
      <c r="L1067" s="226"/>
      <c r="M1067" s="226"/>
      <c r="N1067" s="226"/>
      <c r="O1067" s="562"/>
      <c r="P1067" s="226"/>
      <c r="Q1067" s="226"/>
      <c r="R1067" s="227"/>
      <c r="U1067" s="3920"/>
      <c r="V1067" s="3921"/>
      <c r="W1067" s="3922" t="s">
        <v>1300</v>
      </c>
      <c r="X1067" s="3923" t="s">
        <v>891</v>
      </c>
      <c r="Y1067" s="3923" t="s">
        <v>1359</v>
      </c>
      <c r="Z1067" s="3922" t="s">
        <v>2097</v>
      </c>
      <c r="AA1067" s="3924" t="s">
        <v>721</v>
      </c>
      <c r="AB1067" s="3921" t="s">
        <v>10113</v>
      </c>
      <c r="AC1067" s="3921" t="s">
        <v>1408</v>
      </c>
      <c r="AD1067" s="3921"/>
      <c r="AE1067" s="3921"/>
      <c r="AF1067" s="3921"/>
      <c r="AG1067" s="3924"/>
      <c r="AH1067" s="3921"/>
      <c r="AI1067" s="3921"/>
      <c r="AJ1067" s="3925"/>
      <c r="AL1067" s="2769" t="s">
        <v>6651</v>
      </c>
      <c r="AM1067" s="2770" t="s">
        <v>9642</v>
      </c>
      <c r="AN1067" s="2771" t="s">
        <v>1300</v>
      </c>
      <c r="AO1067" s="2772" t="s">
        <v>10110</v>
      </c>
      <c r="AP1067" s="2772" t="s">
        <v>10111</v>
      </c>
      <c r="AQ1067" s="2771" t="s">
        <v>10112</v>
      </c>
      <c r="AR1067" s="2773" t="s">
        <v>8850</v>
      </c>
      <c r="AS1067" s="2770" t="s">
        <v>2097</v>
      </c>
      <c r="AT1067" s="2770" t="s">
        <v>7873</v>
      </c>
      <c r="AU1067" s="2770" t="s">
        <v>11072</v>
      </c>
      <c r="AV1067" s="2770" t="s">
        <v>11073</v>
      </c>
      <c r="AW1067" s="2770" t="s">
        <v>11074</v>
      </c>
      <c r="AX1067" s="2773" t="s">
        <v>11075</v>
      </c>
      <c r="AY1067" s="2770" t="s">
        <v>10113</v>
      </c>
      <c r="AZ1067" s="2770" t="s">
        <v>1408</v>
      </c>
      <c r="BA1067" s="2774"/>
    </row>
    <row r="1068" spans="1:53" ht="12.75" customHeight="1">
      <c r="A1068" s="219">
        <v>1039</v>
      </c>
      <c r="B1068" s="7145"/>
      <c r="C1068" s="515" t="str">
        <f t="shared" ref="C1068:C1077" si="368">VLOOKUP(A1,$D$1068:$E$1077,2,0)</f>
        <v>&gt; ARS MAGNUS MENORES</v>
      </c>
      <c r="D1068" s="794">
        <f t="shared" ref="D1068:D1077" si="369">COUNTIF($E$1068:$E$1077,"&lt;="&amp;E1068)</f>
        <v>1</v>
      </c>
      <c r="E1068" s="209" t="s">
        <v>892</v>
      </c>
      <c r="F1068" s="199">
        <v>0</v>
      </c>
      <c r="G1068" s="199">
        <v>0</v>
      </c>
      <c r="H1068" s="84"/>
      <c r="I1068" s="223" t="s">
        <v>1315</v>
      </c>
      <c r="J1068" s="228" t="s">
        <v>1315</v>
      </c>
      <c r="K1068" s="46"/>
      <c r="L1068" s="46"/>
      <c r="M1068" s="46"/>
      <c r="N1068" s="46"/>
      <c r="O1068" s="559"/>
      <c r="P1068" s="46"/>
      <c r="Q1068" s="46"/>
      <c r="R1068" s="3967"/>
      <c r="U1068" s="2612" t="str">
        <f t="shared" ref="U1068:U1085" si="370">VLOOKUP(A1,$V$1068:$W$1085,2,0)</f>
        <v>&gt; ARS INANIMIS</v>
      </c>
      <c r="V1068" s="2613">
        <f>COUNTIF($W$1068:$W$1085,"&lt;="&amp;W1068)</f>
        <v>1</v>
      </c>
      <c r="W1068" s="2613" t="s">
        <v>10008</v>
      </c>
      <c r="X1068" s="2614">
        <v>0</v>
      </c>
      <c r="Y1068" s="2614">
        <v>0</v>
      </c>
      <c r="Z1068" s="2615"/>
      <c r="AA1068" s="2615" t="s">
        <v>1315</v>
      </c>
      <c r="AB1068" s="2615" t="s">
        <v>1315</v>
      </c>
      <c r="AC1068" s="2615" t="s">
        <v>1315</v>
      </c>
      <c r="AD1068" s="2615"/>
      <c r="AE1068" s="2615"/>
      <c r="AF1068" s="2615"/>
      <c r="AG1068" s="2615"/>
      <c r="AH1068" s="2615"/>
      <c r="AI1068" s="2615"/>
      <c r="AJ1068" s="3926"/>
      <c r="AL1068" s="2781" t="str">
        <f t="shared" ref="AL1068:AL1075" si="371">VLOOKUP(A1,$AM$1068:$AN$1075,2,0)</f>
        <v>&gt; ARS COGNITIAM MENORES</v>
      </c>
      <c r="AM1068" s="2739">
        <f>COUNTIF($AN$1068:$AN$1075,"&lt;="&amp;AN1068)</f>
        <v>1</v>
      </c>
      <c r="AN1068" s="2777" t="s">
        <v>10077</v>
      </c>
      <c r="AO1068" s="2740"/>
      <c r="AP1068" s="2776"/>
      <c r="AQ1068" s="2740"/>
      <c r="AR1068" s="2740"/>
      <c r="AS1068" s="2740"/>
      <c r="AT1068" s="2740"/>
      <c r="AU1068" s="2740"/>
      <c r="AV1068" s="2740"/>
      <c r="AW1068" s="2740"/>
      <c r="AX1068" s="2740"/>
      <c r="AY1068" s="2740"/>
      <c r="AZ1068" s="2740"/>
      <c r="BA1068" s="2775"/>
    </row>
    <row r="1069" spans="1:53" ht="12.75" customHeight="1">
      <c r="A1069" s="219">
        <v>1040</v>
      </c>
      <c r="B1069" s="7145"/>
      <c r="C1069" s="515" t="str">
        <f t="shared" si="368"/>
        <v>Acróbata Maestro</v>
      </c>
      <c r="D1069" s="794">
        <f t="shared" si="369"/>
        <v>4</v>
      </c>
      <c r="E1069" s="131" t="s">
        <v>893</v>
      </c>
      <c r="F1069" s="75">
        <v>30</v>
      </c>
      <c r="G1069" s="75">
        <v>10</v>
      </c>
      <c r="H1069" s="84">
        <f>IF(COUNTIF(PDs!$E$81:$H$85,E1069)&gt;0,1,0)</f>
        <v>0</v>
      </c>
      <c r="I1069" s="540" t="s">
        <v>1315</v>
      </c>
      <c r="J1069" s="14" t="s">
        <v>894</v>
      </c>
      <c r="K1069" s="21"/>
      <c r="L1069" s="21"/>
      <c r="M1069" s="21"/>
      <c r="N1069" s="21"/>
      <c r="O1069" s="47"/>
      <c r="P1069" s="21"/>
      <c r="Q1069" s="21"/>
      <c r="R1069" s="3817"/>
      <c r="U1069" s="2612" t="str">
        <f t="shared" si="370"/>
        <v>Alienis: Rasgar la Realidad</v>
      </c>
      <c r="V1069" s="2613">
        <f t="shared" ref="V1069:V1085" si="372">COUNTIF($W$1068:$W$1085,"&lt;="&amp;W1069)</f>
        <v>4</v>
      </c>
      <c r="W1069" s="2613" t="s">
        <v>10009</v>
      </c>
      <c r="X1069" s="2614">
        <v>40</v>
      </c>
      <c r="Y1069" s="2614">
        <v>30</v>
      </c>
      <c r="Z1069" s="3620">
        <f>IF(COUNTIF(PDs!$E$86:$K$90,W1069)&gt;0,1,0)</f>
        <v>0</v>
      </c>
      <c r="AA1069" s="2615">
        <f>IF(AND(HA_final&gt;=150,OR(Ki!I48&gt;0,Ki!I49&gt;0,Ki!I50&gt;0,Ki!I51&gt;0,Ki!I52&gt;0,Ki!I53&gt;0,Ki!I54&gt;0),POD&gt;=10),1,0)</f>
        <v>0</v>
      </c>
      <c r="AB1069" s="2698" t="str">
        <f>IF(AA1069=1,"Ver descripción","FALTAN REQUISITOS")</f>
        <v>FALTAN REQUISITOS</v>
      </c>
      <c r="AC1069" s="2698" t="s">
        <v>10033</v>
      </c>
      <c r="AD1069" s="2615"/>
      <c r="AE1069" s="2615"/>
      <c r="AF1069" s="2615"/>
      <c r="AG1069" s="2615"/>
      <c r="AH1069" s="2615"/>
      <c r="AI1069" s="2615"/>
      <c r="AJ1069" s="3926"/>
      <c r="AL1069" s="2781" t="str">
        <f t="shared" si="371"/>
        <v>Cambiar tipología</v>
      </c>
      <c r="AM1069" s="2739">
        <f t="shared" ref="AM1069:AM1075" si="373">COUNTIF($AN$1068:$AN$1075,"&lt;="&amp;AN1069)</f>
        <v>5</v>
      </c>
      <c r="AN1069" s="2777" t="s">
        <v>10078</v>
      </c>
      <c r="AO1069" s="2796">
        <v>15</v>
      </c>
      <c r="AP1069" s="2796">
        <v>15</v>
      </c>
      <c r="AQ1069" s="2796">
        <v>10</v>
      </c>
      <c r="AR1069" s="2795" t="s">
        <v>4020</v>
      </c>
      <c r="AS1069" s="2795">
        <f>IF(COUNTIF(PDs!$E$130:$K$134,AN1069)&gt;0,1,0)</f>
        <v>0</v>
      </c>
      <c r="AT1069" s="2789" t="s">
        <v>11076</v>
      </c>
      <c r="AU1069" s="2795">
        <f>VLOOKUP(MID(AT1069,1,7),'Tablas psiquica'!D147:V147,17,FALSE)</f>
        <v>0</v>
      </c>
      <c r="AV1069" s="2795">
        <f>IF(AGI&gt;=8,1,0)</f>
        <v>0</v>
      </c>
      <c r="AW1069" s="2795" t="s">
        <v>1315</v>
      </c>
      <c r="AX1069" s="2795" t="s">
        <v>1315</v>
      </c>
      <c r="AY1069" s="2795" t="str">
        <f>IF(SUM(AS1069,VLOOKUP(MID(AT1069,1,7),'Tablas psiquica'!D147:V147,17,FALSE),IF(AGI&gt;=8,1,0))=3,"Ver Descripción","FALTAN REQUISITOS")</f>
        <v>FALTAN REQUISITOS</v>
      </c>
      <c r="AZ1069" s="3566" t="s">
        <v>10129</v>
      </c>
      <c r="BA1069" s="2775"/>
    </row>
    <row r="1070" spans="1:53" ht="12.75" customHeight="1">
      <c r="A1070" s="219">
        <v>1041</v>
      </c>
      <c r="B1070" s="7145"/>
      <c r="C1070" s="515" t="str">
        <f t="shared" si="368"/>
        <v>Ataque Final</v>
      </c>
      <c r="D1070" s="794">
        <f t="shared" si="369"/>
        <v>10</v>
      </c>
      <c r="E1070" s="131" t="s">
        <v>895</v>
      </c>
      <c r="F1070" s="75">
        <v>20</v>
      </c>
      <c r="G1070" s="75">
        <v>10</v>
      </c>
      <c r="H1070" s="84">
        <f>IF(COUNTIF(PDs!$E$81:$H$85,E1070)&gt;0,1,0)</f>
        <v>0</v>
      </c>
      <c r="I1070" s="540" t="str">
        <f>IF(COUNTIF(PDs!$E$49:$H$58,Tablas!$R$1020)&gt;0,"-","NO")</f>
        <v>NO</v>
      </c>
      <c r="J1070" s="14" t="s">
        <v>896</v>
      </c>
      <c r="K1070" s="21"/>
      <c r="L1070" s="21"/>
      <c r="M1070" s="21"/>
      <c r="N1070" s="21"/>
      <c r="O1070" s="47"/>
      <c r="P1070" s="21"/>
      <c r="Q1070" s="21"/>
      <c r="R1070" s="3817"/>
      <c r="U1070" s="2612" t="str">
        <f t="shared" si="370"/>
        <v>Ansas: Mascarada de la Muerte Roja</v>
      </c>
      <c r="V1070" s="2613">
        <f t="shared" si="372"/>
        <v>17</v>
      </c>
      <c r="W1070" s="2613" t="s">
        <v>10010</v>
      </c>
      <c r="X1070" s="2614">
        <v>50</v>
      </c>
      <c r="Y1070" s="2614">
        <v>30</v>
      </c>
      <c r="Z1070" s="3620">
        <f>IF(COUNTIF(PDs!$E$86:$K$90,W1070)&gt;0,1,0)</f>
        <v>0</v>
      </c>
      <c r="AA1070" s="2615">
        <f>IF(AND(HA_final&gt;=200,Ki!I57&gt;0,Ki!I74&gt;0),1,0)</f>
        <v>0</v>
      </c>
      <c r="AB1070" s="2698" t="str">
        <f t="shared" ref="AB1070:AB1085" si="374">IF(AA1070=1,"Ver descripción","FALTAN REQUISITOS")</f>
        <v>FALTAN REQUISITOS</v>
      </c>
      <c r="AC1070" s="2698" t="s">
        <v>10032</v>
      </c>
      <c r="AD1070" s="2615"/>
      <c r="AE1070" s="2615"/>
      <c r="AF1070" s="2615"/>
      <c r="AG1070" s="2615"/>
      <c r="AH1070" s="2615"/>
      <c r="AI1070" s="2615"/>
      <c r="AJ1070" s="3926"/>
      <c r="AL1070" s="2781" t="str">
        <f t="shared" si="371"/>
        <v>Gravimetría</v>
      </c>
      <c r="AM1070" s="2739">
        <f t="shared" si="373"/>
        <v>7</v>
      </c>
      <c r="AN1070" s="2777" t="s">
        <v>10079</v>
      </c>
      <c r="AO1070" s="2796">
        <v>10</v>
      </c>
      <c r="AP1070" s="2796">
        <v>10</v>
      </c>
      <c r="AQ1070" s="2796">
        <v>15</v>
      </c>
      <c r="AR1070" s="2795" t="s">
        <v>4020</v>
      </c>
      <c r="AS1070" s="2795">
        <f>IF(COUNTIF(PDs!$E$130:$K$134,AN1070)&gt;0,1,0)</f>
        <v>0</v>
      </c>
      <c r="AT1070" s="2789" t="s">
        <v>14155</v>
      </c>
      <c r="AU1070" s="2795">
        <f>IF('Tablas psiquica'!Z296&gt;=1,1,0)</f>
        <v>0</v>
      </c>
      <c r="AV1070" s="2795" t="s">
        <v>1315</v>
      </c>
      <c r="AW1070" s="2795" t="s">
        <v>1315</v>
      </c>
      <c r="AX1070" s="2795" t="s">
        <v>1315</v>
      </c>
      <c r="AY1070" s="2795" t="str">
        <f>IF(SUM(AS1070+AU1070)=2,"Ver Descripción","FALTAN REQUISITOS")</f>
        <v>FALTAN REQUISITOS</v>
      </c>
      <c r="AZ1070" s="3566" t="s">
        <v>10130</v>
      </c>
      <c r="BA1070" s="2775"/>
    </row>
    <row r="1071" spans="1:53" ht="12.75" customHeight="1">
      <c r="A1071" s="219">
        <v>1042</v>
      </c>
      <c r="B1071" s="7145"/>
      <c r="C1071" s="515" t="str">
        <f t="shared" si="368"/>
        <v>Berserker</v>
      </c>
      <c r="D1071" s="794">
        <f t="shared" si="369"/>
        <v>7</v>
      </c>
      <c r="E1071" s="131" t="s">
        <v>897</v>
      </c>
      <c r="F1071" s="75">
        <v>10</v>
      </c>
      <c r="G1071" s="75">
        <v>10</v>
      </c>
      <c r="H1071" s="84">
        <f>IF(COUNTIF(PDs!$E$81:$H$85,E1071)&gt;0,1,0)</f>
        <v>0</v>
      </c>
      <c r="I1071" s="540" t="str">
        <f>IF(OR(NOT(UsodelKi),Tablas!$Y$895+Tablas!$Y$898+Tablas!$Y$901+Tablas!$Y$904+Tablas!$Y$907+Tablas!$Y$910+Tablas!$Y$913+Tablas!$Y$916+Tablas!$Y$919+Tablas!$Y$922+Tablas!$Y$925+Tablas!$Y$928+Tablas!$Y$931+Tablas!$Y$934+Tablas!$Y$937+Tablas!$Y$940+Tablas!$Y$943+Tablas!$Y$946=0),"NO","-")</f>
        <v>NO</v>
      </c>
      <c r="J1071" s="14" t="s">
        <v>898</v>
      </c>
      <c r="K1071" s="21"/>
      <c r="L1071" s="21"/>
      <c r="M1071" s="21"/>
      <c r="N1071" s="21"/>
      <c r="O1071" s="47"/>
      <c r="P1071" s="21"/>
      <c r="Q1071" s="21"/>
      <c r="R1071" s="3817"/>
      <c r="U1071" s="2612" t="str">
        <f t="shared" si="370"/>
        <v>Athame: Anillos Negros</v>
      </c>
      <c r="V1071" s="2613">
        <f t="shared" si="372"/>
        <v>2</v>
      </c>
      <c r="W1071" s="2613" t="s">
        <v>10011</v>
      </c>
      <c r="X1071" s="2614">
        <v>40</v>
      </c>
      <c r="Y1071" s="2614">
        <v>40</v>
      </c>
      <c r="Z1071" s="3620">
        <f>IF(COUNTIF(PDs!$E$86:$K$90,W1071)&gt;0,1,0)</f>
        <v>0</v>
      </c>
      <c r="AA1071" s="2615">
        <f>IF(AND(HA_final&gt;=180,Ki!I55&gt;0,POD&gt;=10),1,0)</f>
        <v>0</v>
      </c>
      <c r="AB1071" s="2698" t="str">
        <f t="shared" si="374"/>
        <v>FALTAN REQUISITOS</v>
      </c>
      <c r="AC1071" s="2698" t="s">
        <v>10034</v>
      </c>
      <c r="AD1071" s="2615"/>
      <c r="AE1071" s="2615"/>
      <c r="AF1071" s="2615"/>
      <c r="AG1071" s="2615"/>
      <c r="AH1071" s="2615"/>
      <c r="AI1071" s="2615"/>
      <c r="AJ1071" s="3926"/>
      <c r="AL1071" s="2781" t="str">
        <f t="shared" si="371"/>
        <v>Incremento sensorial</v>
      </c>
      <c r="AM1071" s="2739">
        <f t="shared" si="373"/>
        <v>2</v>
      </c>
      <c r="AN1071" s="2777" t="s">
        <v>10080</v>
      </c>
      <c r="AO1071" s="2796">
        <v>10</v>
      </c>
      <c r="AP1071" s="2796">
        <v>10</v>
      </c>
      <c r="AQ1071" s="2796">
        <v>10</v>
      </c>
      <c r="AR1071" s="2795" t="s">
        <v>4020</v>
      </c>
      <c r="AS1071" s="2795">
        <f>IF(COUNTIF(PDs!$E$130:$K$134,AN1071)&gt;0,1,0)</f>
        <v>0</v>
      </c>
      <c r="AT1071" s="2789" t="s">
        <v>14154</v>
      </c>
      <c r="AU1071" s="2795">
        <f>IF('Tablas psiquica'!Y296&gt;=1,1,0)</f>
        <v>0</v>
      </c>
      <c r="AV1071" s="2795" t="s">
        <v>1315</v>
      </c>
      <c r="AW1071" s="2795" t="s">
        <v>1315</v>
      </c>
      <c r="AX1071" s="2795" t="s">
        <v>1315</v>
      </c>
      <c r="AY1071" s="2795" t="str">
        <f>IF(SUM(AU1071,AS1071)=2,"Ver Descripción","FALTAN REQUISITOS")</f>
        <v>FALTAN REQUISITOS</v>
      </c>
      <c r="AZ1071" s="3566" t="s">
        <v>10131</v>
      </c>
      <c r="BA1071" s="2775"/>
    </row>
    <row r="1072" spans="1:53" ht="12.75" customHeight="1">
      <c r="A1072" s="219">
        <v>1043</v>
      </c>
      <c r="B1072" s="7145"/>
      <c r="C1072" s="515" t="str">
        <f t="shared" si="368"/>
        <v>Golpear la Tierra</v>
      </c>
      <c r="D1072" s="794">
        <f t="shared" si="369"/>
        <v>6</v>
      </c>
      <c r="E1072" s="131" t="s">
        <v>899</v>
      </c>
      <c r="F1072" s="75">
        <v>40</v>
      </c>
      <c r="G1072" s="75">
        <v>10</v>
      </c>
      <c r="H1072" s="84">
        <f>IF(COUNTIF(PDs!$E$81:$H$85,E1072)&gt;0,1,0)</f>
        <v>0</v>
      </c>
      <c r="I1072" s="540" t="str">
        <f>IF(Advertir_final&lt;50,"NO","-")</f>
        <v>NO</v>
      </c>
      <c r="J1072" s="14" t="s">
        <v>900</v>
      </c>
      <c r="K1072" s="21"/>
      <c r="L1072" s="21"/>
      <c r="M1072" s="21"/>
      <c r="N1072" s="21"/>
      <c r="O1072" s="47"/>
      <c r="P1072" s="21"/>
      <c r="Q1072" s="21"/>
      <c r="R1072" s="3817"/>
      <c r="U1072" s="2612" t="str">
        <f t="shared" si="370"/>
        <v>Caeles: Extrusión del Vacío</v>
      </c>
      <c r="V1072" s="2613">
        <f t="shared" si="372"/>
        <v>15</v>
      </c>
      <c r="W1072" s="2613" t="s">
        <v>10012</v>
      </c>
      <c r="X1072" s="2614">
        <v>60</v>
      </c>
      <c r="Y1072" s="2614">
        <v>60</v>
      </c>
      <c r="Z1072" s="3620">
        <f>IF(COUNTIF(PDs!$E$86:$K$90,W1072)&gt;0,1,0)</f>
        <v>0</v>
      </c>
      <c r="AA1072" s="2615">
        <f>IF(AND(HA_final&gt;=200,Ki!I66&gt;0,Ki!I74&gt;0),1,0)</f>
        <v>0</v>
      </c>
      <c r="AB1072" s="2698" t="str">
        <f t="shared" si="374"/>
        <v>FALTAN REQUISITOS</v>
      </c>
      <c r="AC1072" s="2698" t="s">
        <v>10037</v>
      </c>
      <c r="AD1072" s="2615"/>
      <c r="AE1072" s="2615"/>
      <c r="AF1072" s="2615"/>
      <c r="AG1072" s="2615"/>
      <c r="AH1072" s="2615"/>
      <c r="AI1072" s="2615"/>
      <c r="AJ1072" s="3926"/>
      <c r="AL1072" s="2781" t="str">
        <f t="shared" si="371"/>
        <v>Movimiento orbital</v>
      </c>
      <c r="AM1072" s="2739">
        <f t="shared" si="373"/>
        <v>4</v>
      </c>
      <c r="AN1072" s="2777" t="s">
        <v>10081</v>
      </c>
      <c r="AO1072" s="2796">
        <v>10</v>
      </c>
      <c r="AP1072" s="2796">
        <v>10</v>
      </c>
      <c r="AQ1072" s="2796">
        <v>10</v>
      </c>
      <c r="AR1072" s="2795" t="s">
        <v>4020</v>
      </c>
      <c r="AS1072" s="2795">
        <f>IF(COUNTIF(PDs!$E$130:$K$134,AN1072)&gt;0,1,0)</f>
        <v>0</v>
      </c>
      <c r="AT1072" s="2797" t="s">
        <v>14156</v>
      </c>
      <c r="AU1072" s="2795">
        <f>VLOOKUP(MID(AT1072,1,16),'Tablas psiquica'!D98:V98,17,FALSE)</f>
        <v>0</v>
      </c>
      <c r="AV1072" s="2795">
        <f>IF(Advertir_final&gt;=100,1,0)</f>
        <v>0</v>
      </c>
      <c r="AW1072" s="2795">
        <f>IF(OR(HA_final&gt;=100,Proyecciónpsíquica_final&gt;=100),1,0)</f>
        <v>0</v>
      </c>
      <c r="AX1072" s="2795" t="s">
        <v>1315</v>
      </c>
      <c r="AY1072" s="2795" t="str">
        <f>IF(SUM(AS1072,AU1072,AV1072,AW1072)=4,"Ver Descripción","FALTAN REQUISITOS")</f>
        <v>FALTAN REQUISITOS</v>
      </c>
      <c r="AZ1072" s="3566" t="s">
        <v>10132</v>
      </c>
      <c r="BA1072" s="2775"/>
    </row>
    <row r="1073" spans="1:53" ht="12.75" customHeight="1">
      <c r="A1073" s="219">
        <v>1044</v>
      </c>
      <c r="B1073" s="7145"/>
      <c r="C1073" s="515" t="str">
        <f t="shared" si="368"/>
        <v>Guardián</v>
      </c>
      <c r="D1073" s="794">
        <f t="shared" si="369"/>
        <v>3</v>
      </c>
      <c r="E1073" s="131" t="s">
        <v>901</v>
      </c>
      <c r="F1073" s="75">
        <v>30</v>
      </c>
      <c r="G1073" s="75">
        <v>10</v>
      </c>
      <c r="H1073" s="84">
        <f>IF(COUNTIF(PDs!$E$81:$H$85,E1073)&gt;0,1,0)</f>
        <v>0</v>
      </c>
      <c r="I1073" s="540" t="s">
        <v>1315</v>
      </c>
      <c r="J1073" s="14" t="s">
        <v>902</v>
      </c>
      <c r="K1073" s="21"/>
      <c r="L1073" s="21"/>
      <c r="M1073" s="21"/>
      <c r="N1073" s="21"/>
      <c r="O1073" s="47"/>
      <c r="P1073" s="21"/>
      <c r="Q1073" s="21"/>
      <c r="R1073" s="3817"/>
      <c r="U1073" s="2612" t="str">
        <f t="shared" si="370"/>
        <v>Corpus: Pasos al Otro Lado</v>
      </c>
      <c r="V1073" s="2613">
        <f t="shared" si="372"/>
        <v>5</v>
      </c>
      <c r="W1073" s="2613" t="s">
        <v>10013</v>
      </c>
      <c r="X1073" s="2614">
        <v>40</v>
      </c>
      <c r="Y1073" s="2614">
        <v>40</v>
      </c>
      <c r="Z1073" s="3620">
        <f>IF(COUNTIF(PDs!$E$86:$K$90,W1073)&gt;0,1,0)</f>
        <v>0</v>
      </c>
      <c r="AA1073" s="2615">
        <f>IF(AND(HA_final&gt;=150,OR(HP_final&gt;=150,HD_final&gt;=150),Ki!I64),1,0)</f>
        <v>0</v>
      </c>
      <c r="AB1073" s="2698" t="str">
        <f t="shared" si="374"/>
        <v>FALTAN REQUISITOS</v>
      </c>
      <c r="AC1073" s="2698" t="s">
        <v>10035</v>
      </c>
      <c r="AD1073" s="2615"/>
      <c r="AE1073" s="2615"/>
      <c r="AF1073" s="2615"/>
      <c r="AG1073" s="2615"/>
      <c r="AH1073" s="2615"/>
      <c r="AI1073" s="2615"/>
      <c r="AJ1073" s="3926"/>
      <c r="AL1073" s="2781" t="str">
        <f t="shared" si="371"/>
        <v>Oposición</v>
      </c>
      <c r="AM1073" s="2739">
        <f t="shared" si="373"/>
        <v>6</v>
      </c>
      <c r="AN1073" s="2777" t="s">
        <v>10082</v>
      </c>
      <c r="AO1073" s="2796">
        <v>10</v>
      </c>
      <c r="AP1073" s="2796">
        <v>10</v>
      </c>
      <c r="AQ1073" s="2796">
        <v>10</v>
      </c>
      <c r="AR1073" s="2795" t="s">
        <v>4020</v>
      </c>
      <c r="AS1073" s="2795">
        <f>IF(COUNTIF(PDs!$E$130:$K$134,AN1073)&gt;0,1,0)</f>
        <v>0</v>
      </c>
      <c r="AT1073" s="2789" t="s">
        <v>10119</v>
      </c>
      <c r="AU1073" s="2795">
        <f>VLOOKUP(MID(AT1073,1,8),'Tablas psiquica'!D191:V191,17,FALSE)</f>
        <v>0</v>
      </c>
      <c r="AV1073" s="2795">
        <f>IF(HA_final&gt;=100,1,0)</f>
        <v>0</v>
      </c>
      <c r="AW1073" s="2795" t="s">
        <v>1315</v>
      </c>
      <c r="AX1073" s="2795" t="s">
        <v>1315</v>
      </c>
      <c r="AY1073" s="2795" t="str">
        <f>IF(SUM(AS1073,AU1073,AV1073)=3,"Ver Descripción","FALTAN REQUISITOS")</f>
        <v>FALTAN REQUISITOS</v>
      </c>
      <c r="AZ1073" s="3566" t="s">
        <v>11782</v>
      </c>
      <c r="BA1073" s="2775"/>
    </row>
    <row r="1074" spans="1:53" ht="12.75" customHeight="1">
      <c r="A1074" s="219">
        <v>1045</v>
      </c>
      <c r="B1074" s="7145"/>
      <c r="C1074" s="515" t="str">
        <f t="shared" si="368"/>
        <v>Kiai</v>
      </c>
      <c r="D1074" s="794">
        <f t="shared" si="369"/>
        <v>8</v>
      </c>
      <c r="E1074" s="131" t="s">
        <v>903</v>
      </c>
      <c r="F1074" s="75">
        <v>30</v>
      </c>
      <c r="G1074" s="75">
        <v>10</v>
      </c>
      <c r="H1074" s="84">
        <f>IF(COUNTIF(PDs!$E$81:$H$85,E1074)&gt;0,1,0)</f>
        <v>0</v>
      </c>
      <c r="I1074" s="540" t="s">
        <v>1315</v>
      </c>
      <c r="J1074" s="14" t="s">
        <v>904</v>
      </c>
      <c r="K1074" s="21"/>
      <c r="L1074" s="21"/>
      <c r="M1074" s="21"/>
      <c r="N1074" s="21"/>
      <c r="O1074" s="47"/>
      <c r="P1074" s="21"/>
      <c r="Q1074" s="21"/>
      <c r="R1074" s="3817"/>
      <c r="U1074" s="2612" t="str">
        <f t="shared" si="370"/>
        <v>Daemonis: Esencia Infernal</v>
      </c>
      <c r="V1074" s="2613">
        <f t="shared" si="372"/>
        <v>6</v>
      </c>
      <c r="W1074" s="2613" t="s">
        <v>10014</v>
      </c>
      <c r="X1074" s="2614">
        <v>60</v>
      </c>
      <c r="Y1074" s="2614">
        <v>60</v>
      </c>
      <c r="Z1074" s="3620">
        <f>IF(COUNTIF(PDs!$E$86:$K$90,W1074)&gt;0,1,0)</f>
        <v>0</v>
      </c>
      <c r="AA1074" s="2615">
        <f>IF(AND(HA_final&gt;=180,OR(HP_final&gt;=180,HD_final&gt;=180),Ki!I64,Ki!I74&gt;0),1,0)</f>
        <v>0</v>
      </c>
      <c r="AB1074" s="2698" t="str">
        <f t="shared" si="374"/>
        <v>FALTAN REQUISITOS</v>
      </c>
      <c r="AC1074" s="2698" t="s">
        <v>10036</v>
      </c>
      <c r="AD1074" s="2615"/>
      <c r="AE1074" s="2615"/>
      <c r="AF1074" s="2615"/>
      <c r="AG1074" s="2615"/>
      <c r="AH1074" s="2615"/>
      <c r="AI1074" s="2615"/>
      <c r="AJ1074" s="3926"/>
      <c r="AL1074" s="2781" t="str">
        <f t="shared" si="371"/>
        <v>Protector</v>
      </c>
      <c r="AM1074" s="2739">
        <f t="shared" si="373"/>
        <v>8</v>
      </c>
      <c r="AN1074" s="2777" t="s">
        <v>10083</v>
      </c>
      <c r="AO1074" s="2796">
        <v>10</v>
      </c>
      <c r="AP1074" s="2796">
        <v>10</v>
      </c>
      <c r="AQ1074" s="2796">
        <v>15</v>
      </c>
      <c r="AR1074" s="2795" t="s">
        <v>4020</v>
      </c>
      <c r="AS1074" s="2795">
        <f>IF(COUNTIF(PDs!$E$130:$K$134,AN1074)&gt;0,1,0)</f>
        <v>0</v>
      </c>
      <c r="AT1074" s="2789" t="s">
        <v>10120</v>
      </c>
      <c r="AU1074" s="2795">
        <f>VLOOKUP(MID(AT1074,1,17),'Tablas psiquica'!D132:V132,17,FALSE)</f>
        <v>0</v>
      </c>
      <c r="AV1074" s="2795">
        <f>IF(Turno_Nat_final&gt;=80,1,0)</f>
        <v>0</v>
      </c>
      <c r="AW1074" s="2795" t="s">
        <v>1315</v>
      </c>
      <c r="AX1074" s="2795" t="s">
        <v>1315</v>
      </c>
      <c r="AY1074" s="2795" t="str">
        <f>IF(SUM(AS1074,AU1074,AV1074)=3,"Ver Descripción","FALTAN REQUISITOS")</f>
        <v>FALTAN REQUISITOS</v>
      </c>
      <c r="AZ1074" s="3566" t="s">
        <v>10133</v>
      </c>
      <c r="BA1074" s="2775"/>
    </row>
    <row r="1075" spans="1:53" ht="12.75" customHeight="1">
      <c r="A1075" s="219">
        <v>1046</v>
      </c>
      <c r="B1075" s="7145"/>
      <c r="C1075" s="515" t="str">
        <f t="shared" si="368"/>
        <v>Maniobra Especial</v>
      </c>
      <c r="D1075" s="794">
        <f t="shared" si="369"/>
        <v>5</v>
      </c>
      <c r="E1075" s="3910" t="s">
        <v>12175</v>
      </c>
      <c r="F1075" s="3911">
        <v>30</v>
      </c>
      <c r="G1075" s="3911">
        <v>10</v>
      </c>
      <c r="H1075" s="3912">
        <f>IF(COUNTIF(PDs!$E$81:$H$85,E1075)&gt;0,1,0)</f>
        <v>0</v>
      </c>
      <c r="I1075" s="3910" t="str">
        <f>IF(FUE&lt;10,"NO","-")</f>
        <v>NO</v>
      </c>
      <c r="J1075" s="3914" t="s">
        <v>12177</v>
      </c>
      <c r="K1075" s="3910"/>
      <c r="L1075" s="3910"/>
      <c r="M1075" s="3910"/>
      <c r="N1075" s="3913"/>
      <c r="O1075" s="3910"/>
      <c r="P1075" s="3910"/>
      <c r="Q1075" s="3910"/>
      <c r="R1075" s="3968"/>
      <c r="U1075" s="2612" t="str">
        <f t="shared" si="370"/>
        <v>Desiderium: Ladrón Arcano</v>
      </c>
      <c r="V1075" s="2613">
        <f t="shared" si="372"/>
        <v>14</v>
      </c>
      <c r="W1075" s="2613" t="s">
        <v>10015</v>
      </c>
      <c r="X1075" s="2614">
        <v>50</v>
      </c>
      <c r="Y1075" s="2614">
        <v>50</v>
      </c>
      <c r="Z1075" s="3620">
        <f>IF(COUNTIF(PDs!$E$86:$K$90,W1075)&gt;0,1,0)</f>
        <v>0</v>
      </c>
      <c r="AA1075" s="2615">
        <f>IF(AND(HA_final&gt;=150,Ki!I59&gt;=0,Ki!I74&gt;0),1,0)</f>
        <v>0</v>
      </c>
      <c r="AB1075" s="2698" t="str">
        <f t="shared" si="374"/>
        <v>FALTAN REQUISITOS</v>
      </c>
      <c r="AC1075" s="2698" t="s">
        <v>10109</v>
      </c>
      <c r="AD1075" s="2615"/>
      <c r="AE1075" s="2615"/>
      <c r="AF1075" s="2615"/>
      <c r="AG1075" s="2615"/>
      <c r="AH1075" s="2615"/>
      <c r="AI1075" s="2615"/>
      <c r="AJ1075" s="3926"/>
      <c r="AL1075" s="2781" t="str">
        <f t="shared" si="371"/>
        <v>Traslación ofensiva</v>
      </c>
      <c r="AM1075" s="2739">
        <f t="shared" si="373"/>
        <v>3</v>
      </c>
      <c r="AN1075" s="2777" t="s">
        <v>10084</v>
      </c>
      <c r="AO1075" s="2796">
        <v>10</v>
      </c>
      <c r="AP1075" s="2796">
        <v>10</v>
      </c>
      <c r="AQ1075" s="2796">
        <v>10</v>
      </c>
      <c r="AR1075" s="2795" t="s">
        <v>4020</v>
      </c>
      <c r="AS1075" s="2795">
        <f>IF(COUNTIF(PDs!$E$130:$K$134,AN1075)&gt;0,1,0)</f>
        <v>0</v>
      </c>
      <c r="AT1075" s="2789" t="s">
        <v>10121</v>
      </c>
      <c r="AU1075" s="2795">
        <f>VLOOKUP(MID(AT1075,1,31),'Tablas psiquica'!D146:V146,17,FALSE)</f>
        <v>0</v>
      </c>
      <c r="AV1075" s="2795">
        <f>IF(Saltar_final&gt;=50,1,0)</f>
        <v>0</v>
      </c>
      <c r="AW1075" s="2795" t="s">
        <v>1315</v>
      </c>
      <c r="AX1075" s="2795" t="s">
        <v>1315</v>
      </c>
      <c r="AY1075" s="2795" t="str">
        <f>IF(SUM(AS1075,AU1075,AV1075)=3,"Ver Descripción","FALTAN REQUISITOS")</f>
        <v>FALTAN REQUISITOS</v>
      </c>
      <c r="AZ1075" s="3566" t="s">
        <v>10134</v>
      </c>
      <c r="BA1075" s="2775"/>
    </row>
    <row r="1076" spans="1:53" ht="12.75" customHeight="1">
      <c r="A1076" s="219">
        <v>1047</v>
      </c>
      <c r="B1076" s="7145"/>
      <c r="C1076" s="515" t="str">
        <f t="shared" si="368"/>
        <v>Vigilante</v>
      </c>
      <c r="D1076" s="794">
        <f t="shared" si="369"/>
        <v>2</v>
      </c>
      <c r="E1076" s="3910" t="s">
        <v>12174</v>
      </c>
      <c r="F1076" s="3911">
        <v>40</v>
      </c>
      <c r="G1076" s="3911">
        <v>10</v>
      </c>
      <c r="H1076" s="3912">
        <f>IF(COUNTIF(PDs!$E$81:$H$85,E1076)&gt;0,1,0)</f>
        <v>0</v>
      </c>
      <c r="I1076" s="3910" t="str">
        <f>IF(AND(Acrobacias_final&lt;50,HD_final&lt;100),"NO","-")</f>
        <v>NO</v>
      </c>
      <c r="J1076" s="3914" t="s">
        <v>12178</v>
      </c>
      <c r="K1076" s="3910"/>
      <c r="L1076" s="3910"/>
      <c r="M1076" s="3910"/>
      <c r="N1076" s="3913"/>
      <c r="O1076" s="3910"/>
      <c r="P1076" s="3910"/>
      <c r="Q1076" s="3910"/>
      <c r="R1076" s="3968"/>
      <c r="U1076" s="2612" t="str">
        <f t="shared" si="370"/>
        <v>Desidia: Estancar Estados</v>
      </c>
      <c r="V1076" s="2613">
        <f t="shared" si="372"/>
        <v>18</v>
      </c>
      <c r="W1076" s="2613" t="s">
        <v>10016</v>
      </c>
      <c r="X1076" s="2614">
        <v>80</v>
      </c>
      <c r="Y1076" s="2614">
        <v>50</v>
      </c>
      <c r="Z1076" s="3620">
        <f>IF(COUNTIF(PDs!$E$86:$K$90,W1076)&gt;0,1,0)</f>
        <v>0</v>
      </c>
      <c r="AA1076" s="2615">
        <f>IF(AND(HA_final&gt;=220,Ki!I46&gt;0,Ki!I74&gt;0),1,0)</f>
        <v>0</v>
      </c>
      <c r="AB1076" s="2698" t="str">
        <f t="shared" si="374"/>
        <v>FALTAN REQUISITOS</v>
      </c>
      <c r="AC1076" s="2698" t="s">
        <v>10038</v>
      </c>
      <c r="AD1076" s="2615"/>
      <c r="AE1076" s="2615"/>
      <c r="AF1076" s="2615"/>
      <c r="AG1076" s="2615"/>
      <c r="AH1076" s="2615"/>
      <c r="AI1076" s="2615"/>
      <c r="AJ1076" s="3926"/>
      <c r="AL1076" s="2783" t="str">
        <f t="shared" ref="AL1076:AL1104" si="375">VLOOKUP(A1,$AM$1076:$AN$1104,2,0)</f>
        <v>&gt; ARS COGNITIAM MAYORES</v>
      </c>
      <c r="AM1076" s="2739">
        <f>COUNTIF($AN$1076:$AN$1104,"&lt;="&amp;AN1076)</f>
        <v>1</v>
      </c>
      <c r="AN1076" s="2777" t="s">
        <v>10085</v>
      </c>
      <c r="AO1076" s="2789"/>
      <c r="AP1076" s="2789"/>
      <c r="AQ1076" s="2789"/>
      <c r="AR1076" s="2795"/>
      <c r="AS1076" s="2795"/>
      <c r="AT1076" s="2797"/>
      <c r="AU1076" s="2795"/>
      <c r="AV1076" s="2795"/>
      <c r="AW1076" s="2795"/>
      <c r="AX1076" s="2795"/>
      <c r="AY1076" s="2795"/>
      <c r="AZ1076" s="3566" t="s">
        <v>1315</v>
      </c>
      <c r="BA1076" s="2775"/>
    </row>
    <row r="1077" spans="1:53" ht="12.75" customHeight="1">
      <c r="A1077" s="219">
        <v>1048</v>
      </c>
      <c r="B1077" s="7145"/>
      <c r="C1077" s="515" t="str">
        <f t="shared" si="368"/>
        <v>Yuuse Batojutsu</v>
      </c>
      <c r="D1077" s="794">
        <f t="shared" si="369"/>
        <v>9</v>
      </c>
      <c r="E1077" s="3910" t="s">
        <v>12176</v>
      </c>
      <c r="F1077" s="3911">
        <v>10</v>
      </c>
      <c r="G1077" s="3911">
        <v>10</v>
      </c>
      <c r="H1077" s="3912">
        <f>IF(COUNTIF(PDs!$E$81:$H$85,E1077)&gt;0,1,0)</f>
        <v>0</v>
      </c>
      <c r="I1077" s="3910" t="str">
        <f>IF(AND(PER&lt;8,AC1042=1),"NO","-")</f>
        <v>-</v>
      </c>
      <c r="J1077" s="3914" t="s">
        <v>12179</v>
      </c>
      <c r="K1077" s="3910"/>
      <c r="L1077" s="3910"/>
      <c r="M1077" s="3910"/>
      <c r="N1077" s="3913"/>
      <c r="O1077" s="3910"/>
      <c r="P1077" s="3910"/>
      <c r="Q1077" s="3910"/>
      <c r="R1077" s="3968"/>
      <c r="U1077" s="2612" t="str">
        <f t="shared" si="370"/>
        <v>Gula: Aspiradora de Almas</v>
      </c>
      <c r="V1077" s="2613">
        <f t="shared" si="372"/>
        <v>13</v>
      </c>
      <c r="W1077" s="2613" t="s">
        <v>10017</v>
      </c>
      <c r="X1077" s="2614">
        <v>50</v>
      </c>
      <c r="Y1077" s="2614">
        <v>50</v>
      </c>
      <c r="Z1077" s="3620">
        <f>IF(COUNTIF(PDs!$E$86:$K$90,W1077)&gt;0,1,0)</f>
        <v>0</v>
      </c>
      <c r="AA1077" s="2615">
        <f>IF(AND(HA_final&gt;=200,H1070=1,Ki!I56&gt;0),1,0)</f>
        <v>0</v>
      </c>
      <c r="AB1077" s="2698" t="str">
        <f t="shared" si="374"/>
        <v>FALTAN REQUISITOS</v>
      </c>
      <c r="AC1077" s="2698" t="s">
        <v>10039</v>
      </c>
      <c r="AD1077" s="2615"/>
      <c r="AE1077" s="2615"/>
      <c r="AF1077" s="2615"/>
      <c r="AG1077" s="2615"/>
      <c r="AH1077" s="2615"/>
      <c r="AI1077" s="2615"/>
      <c r="AJ1077" s="3926"/>
      <c r="AL1077" s="2783" t="str">
        <f t="shared" si="375"/>
        <v>Aversio: Proyección Ofensiva</v>
      </c>
      <c r="AM1077" s="2739">
        <f t="shared" ref="AM1077:AM1104" si="376">COUNTIF($AN$1076:$AN$1104,"&lt;="&amp;AN1077)</f>
        <v>8</v>
      </c>
      <c r="AN1077" s="2777" t="s">
        <v>10086</v>
      </c>
      <c r="AO1077" s="2796">
        <v>20</v>
      </c>
      <c r="AP1077" s="2796">
        <v>20</v>
      </c>
      <c r="AQ1077" s="2796">
        <v>20</v>
      </c>
      <c r="AR1077" s="2795" t="s">
        <v>4020</v>
      </c>
      <c r="AS1077" s="2795">
        <f>IF(COUNTIF(PDs!$E$130:$K$134,AN1077)&gt;0,1,0)</f>
        <v>0</v>
      </c>
      <c r="AT1077" s="3566" t="s">
        <v>10122</v>
      </c>
      <c r="AU1077" s="2795">
        <f>VLOOKUP(MID(AT1077,1,9),'Tablas psiquica'!D143:V143,17,FALSE)</f>
        <v>0</v>
      </c>
      <c r="AV1077" s="2795">
        <f>IF(HA_final&gt;=200,1,0)</f>
        <v>0</v>
      </c>
      <c r="AW1077" s="2795">
        <f>IF(HP_final&gt;=200,1,IF(HE_final&gt;=200,1,0))</f>
        <v>0</v>
      </c>
      <c r="AX1077" s="2795" t="s">
        <v>1315</v>
      </c>
      <c r="AY1077" s="2795" t="str">
        <f>IF(SUM(AS1077,AU1077,AV1077,AW1077)=4,"Ver Descripción","FALTAN REQUISITOS")</f>
        <v>FALTAN REQUISITOS</v>
      </c>
      <c r="AZ1077" s="3566" t="s">
        <v>10135</v>
      </c>
      <c r="BA1077" s="2775"/>
    </row>
    <row r="1078" spans="1:53" ht="12.75" customHeight="1">
      <c r="A1078" s="219">
        <v>1049</v>
      </c>
      <c r="B1078" s="7145"/>
      <c r="C1078" s="515" t="str">
        <f t="shared" ref="C1078:C1101" si="377">VLOOKUP(A1,$D$1078:$E$1101,2,0)</f>
        <v>&gt; ARS MAGNUS MAYORES</v>
      </c>
      <c r="D1078" s="794">
        <f>COUNTIF($E$1078:$E$1101,"&lt;="&amp;E1078)</f>
        <v>1</v>
      </c>
      <c r="E1078" s="131" t="s">
        <v>905</v>
      </c>
      <c r="F1078" s="75">
        <v>0</v>
      </c>
      <c r="G1078" s="75">
        <v>0</v>
      </c>
      <c r="H1078" s="84"/>
      <c r="I1078" s="540" t="s">
        <v>1315</v>
      </c>
      <c r="J1078" s="76" t="s">
        <v>1315</v>
      </c>
      <c r="K1078" s="21"/>
      <c r="L1078" s="21"/>
      <c r="M1078" s="21"/>
      <c r="N1078" s="21"/>
      <c r="O1078" s="47"/>
      <c r="P1078" s="21"/>
      <c r="Q1078" s="21"/>
      <c r="R1078" s="3817"/>
      <c r="U1078" s="2612" t="str">
        <f t="shared" si="370"/>
        <v>Insanis: Voces del Más Allá</v>
      </c>
      <c r="V1078" s="2613">
        <f t="shared" si="372"/>
        <v>9</v>
      </c>
      <c r="W1078" s="2613" t="s">
        <v>10018</v>
      </c>
      <c r="X1078" s="2614">
        <v>40</v>
      </c>
      <c r="Y1078" s="2614">
        <v>40</v>
      </c>
      <c r="Z1078" s="3620">
        <f>IF(COUNTIF(PDs!$E$86:$K$90,W1078)&gt;0,1,0)</f>
        <v>0</v>
      </c>
      <c r="AA1078" s="2615">
        <f>IF(AND(OR(HP_final&gt;150,HE_final&gt;150),Ki!I69),1,0)</f>
        <v>0</v>
      </c>
      <c r="AB1078" s="2698" t="str">
        <f t="shared" si="374"/>
        <v>FALTAN REQUISITOS</v>
      </c>
      <c r="AC1078" s="2698" t="s">
        <v>10040</v>
      </c>
      <c r="AD1078" s="2615"/>
      <c r="AE1078" s="2615"/>
      <c r="AF1078" s="2615"/>
      <c r="AG1078" s="2615"/>
      <c r="AH1078" s="2615"/>
      <c r="AI1078" s="2615"/>
      <c r="AJ1078" s="3926"/>
      <c r="AL1078" s="2783" t="str">
        <f t="shared" si="375"/>
        <v>Bestia: Mutación Aberrante</v>
      </c>
      <c r="AM1078" s="2739">
        <f t="shared" si="376"/>
        <v>27</v>
      </c>
      <c r="AN1078" s="2777" t="s">
        <v>10087</v>
      </c>
      <c r="AO1078" s="2796">
        <v>20</v>
      </c>
      <c r="AP1078" s="2796">
        <v>20</v>
      </c>
      <c r="AQ1078" s="2796">
        <v>30</v>
      </c>
      <c r="AR1078" s="2795" t="s">
        <v>4020</v>
      </c>
      <c r="AS1078" s="2795">
        <f>IF(COUNTIF(PDs!$E$130:$K$134,AN1078)&gt;0,1,0)</f>
        <v>0</v>
      </c>
      <c r="AT1078" s="3566" t="s">
        <v>10123</v>
      </c>
      <c r="AU1078" s="2795">
        <f>VLOOKUP(MID(AT1078,1,12),'Tablas psiquica'!D76:V76,17,FALSE)</f>
        <v>0</v>
      </c>
      <c r="AV1078" s="2795">
        <f>IF(HA_final&gt;=200,1,0)</f>
        <v>0</v>
      </c>
      <c r="AW1078" s="2795">
        <f>IF(VOL&gt;=11,1,0)</f>
        <v>0</v>
      </c>
      <c r="AX1078" s="2795" t="s">
        <v>1315</v>
      </c>
      <c r="AY1078" s="2795" t="str">
        <f t="shared" ref="AY1078:AY1089" si="378">IF(SUM(AS1078,AU1078,AV1078,AW1078)=4,"Ver Descripción","FALTAN REQUISITOS")</f>
        <v>FALTAN REQUISITOS</v>
      </c>
      <c r="AZ1078" s="3566" t="s">
        <v>10136</v>
      </c>
      <c r="BA1078" s="2775"/>
    </row>
    <row r="1079" spans="1:53" ht="12.75" customHeight="1">
      <c r="A1079" s="219">
        <v>1050</v>
      </c>
      <c r="B1079" s="7145"/>
      <c r="C1079" s="515" t="str">
        <f t="shared" si="377"/>
        <v>Agnitum: Ojo Absoluto</v>
      </c>
      <c r="D1079" s="794">
        <f t="shared" ref="D1079:D1101" si="379">COUNTIF($E$1078:$E$1101,"&lt;="&amp;E1079)</f>
        <v>4</v>
      </c>
      <c r="E1079" s="131" t="s">
        <v>906</v>
      </c>
      <c r="F1079" s="75">
        <v>80</v>
      </c>
      <c r="G1079" s="75">
        <v>80</v>
      </c>
      <c r="H1079" s="84">
        <f>IF(COUNTIF(PDs!$E$81:$H$85,E1079)&gt;0,1,0)</f>
        <v>0</v>
      </c>
      <c r="I1079" s="540" t="str">
        <f>IF(OR(MAX(HA_final,HA_SinArmas)&lt;220,NOT(Usodelaenergíanecesaria),NOT(Zen),POD&lt;11),"NO","-")</f>
        <v>NO</v>
      </c>
      <c r="J1079" s="14" t="s">
        <v>907</v>
      </c>
      <c r="K1079" s="21"/>
      <c r="L1079" s="21"/>
      <c r="M1079" s="21"/>
      <c r="N1079" s="21"/>
      <c r="O1079" s="47"/>
      <c r="P1079" s="21"/>
      <c r="Q1079" s="21"/>
      <c r="R1079" s="3817"/>
      <c r="U1079" s="2612" t="str">
        <f t="shared" si="370"/>
        <v>Invidia: Encarnación Pecaminosa</v>
      </c>
      <c r="V1079" s="2613">
        <f t="shared" si="372"/>
        <v>8</v>
      </c>
      <c r="W1079" s="2613" t="s">
        <v>10019</v>
      </c>
      <c r="X1079" s="2614">
        <v>50</v>
      </c>
      <c r="Y1079" s="2614">
        <v>40</v>
      </c>
      <c r="Z1079" s="3620">
        <f>IF(COUNTIF(PDs!$E$86:$K$90,W1079)&gt;0,1,0)</f>
        <v>0</v>
      </c>
      <c r="AA1079" s="2615">
        <f>IF(AND(HA_final&gt;=180,Ki!I48),1,0)</f>
        <v>0</v>
      </c>
      <c r="AB1079" s="2698" t="str">
        <f t="shared" si="374"/>
        <v>FALTAN REQUISITOS</v>
      </c>
      <c r="AC1079" s="2698" t="s">
        <v>10041</v>
      </c>
      <c r="AD1079" s="2615"/>
      <c r="AE1079" s="2615"/>
      <c r="AF1079" s="2615"/>
      <c r="AG1079" s="2615"/>
      <c r="AH1079" s="2615"/>
      <c r="AI1079" s="2615"/>
      <c r="AJ1079" s="3926"/>
      <c r="AL1079" s="2783" t="str">
        <f t="shared" si="375"/>
        <v>Elysium: Nana de la Destrucción</v>
      </c>
      <c r="AM1079" s="2739">
        <f t="shared" si="376"/>
        <v>20</v>
      </c>
      <c r="AN1079" s="2777" t="s">
        <v>10088</v>
      </c>
      <c r="AO1079" s="2796">
        <v>15</v>
      </c>
      <c r="AP1079" s="2796">
        <v>15</v>
      </c>
      <c r="AQ1079" s="2796">
        <v>10</v>
      </c>
      <c r="AR1079" s="2795" t="s">
        <v>4020</v>
      </c>
      <c r="AS1079" s="2795">
        <f>IF(COUNTIF(PDs!$E$130:$K$134,AN1079)&gt;0,1,0)</f>
        <v>0</v>
      </c>
      <c r="AT1079" s="3566" t="s">
        <v>11698</v>
      </c>
      <c r="AU1079" s="2795">
        <f>VLOOKUP(MID(AT1079,1,18),'Tablas psiquica'!D122:V122,17,FALSE)</f>
        <v>0</v>
      </c>
      <c r="AV1079" s="2795">
        <f>IF(OR(HA_final&gt;=150,Proyecciónpsíquica_final&gt;=150),1,0)</f>
        <v>0</v>
      </c>
      <c r="AW1079" s="2795">
        <f>COUNTIF(Principal!G41:J47,"Sangre de Aeon: Rudraksha")</f>
        <v>0</v>
      </c>
      <c r="AX1079" s="2795" t="s">
        <v>1315</v>
      </c>
      <c r="AY1079" s="2795" t="str">
        <f t="shared" si="378"/>
        <v>FALTAN REQUISITOS</v>
      </c>
      <c r="AZ1079" s="3566" t="s">
        <v>10137</v>
      </c>
      <c r="BA1079" s="2775"/>
    </row>
    <row r="1080" spans="1:53" ht="12.75" customHeight="1">
      <c r="A1080" s="219">
        <v>1051</v>
      </c>
      <c r="B1080" s="7145"/>
      <c r="C1080" s="515" t="str">
        <f t="shared" si="377"/>
        <v>Alogeni: Valkyria Elemental</v>
      </c>
      <c r="D1080" s="794">
        <f t="shared" si="379"/>
        <v>2</v>
      </c>
      <c r="E1080" s="131" t="s">
        <v>908</v>
      </c>
      <c r="F1080" s="75">
        <v>30</v>
      </c>
      <c r="G1080" s="75">
        <v>30</v>
      </c>
      <c r="H1080" s="84">
        <f>IF(COUNTIF(PDs!$E$81:$H$85,E1080)&gt;0,1,0)</f>
        <v>0</v>
      </c>
      <c r="I1080" s="540" t="str">
        <f>IF(OR(MAX(HA_final,HA_SinArmas)&lt;180,NOT(Erudición),PER&lt;11),"NO","-")</f>
        <v>NO</v>
      </c>
      <c r="J1080" s="14" t="s">
        <v>909</v>
      </c>
      <c r="K1080" s="21"/>
      <c r="L1080" s="21"/>
      <c r="M1080" s="21"/>
      <c r="N1080" s="21"/>
      <c r="O1080" s="47"/>
      <c r="P1080" s="21"/>
      <c r="Q1080" s="21"/>
      <c r="R1080" s="3817"/>
      <c r="U1080" s="2612" t="str">
        <f t="shared" si="370"/>
        <v>Ira: Furia Cegadora</v>
      </c>
      <c r="V1080" s="2613">
        <f t="shared" si="372"/>
        <v>12</v>
      </c>
      <c r="W1080" s="2613" t="s">
        <v>10020</v>
      </c>
      <c r="X1080" s="2614">
        <v>60</v>
      </c>
      <c r="Y1080" s="2614">
        <v>80</v>
      </c>
      <c r="Z1080" s="3620">
        <f>IF(COUNTIF(PDs!$E$86:$K$90,W1080)&gt;0,1,0)</f>
        <v>0</v>
      </c>
      <c r="AA1080" s="2615">
        <f>IF(AND(OR(HP_final&gt;=180,HE_final&gt;=180),HA_final&gt;=180,Ki!I73&gt;0,Ki!I74&gt;0),1,0)</f>
        <v>0</v>
      </c>
      <c r="AB1080" s="2698" t="str">
        <f t="shared" si="374"/>
        <v>FALTAN REQUISITOS</v>
      </c>
      <c r="AC1080" s="2698" t="s">
        <v>10042</v>
      </c>
      <c r="AD1080" s="2615"/>
      <c r="AE1080" s="2615"/>
      <c r="AF1080" s="2615"/>
      <c r="AG1080" s="2615"/>
      <c r="AH1080" s="2615"/>
      <c r="AI1080" s="2615"/>
      <c r="AJ1080" s="3926"/>
      <c r="AL1080" s="2783" t="str">
        <f t="shared" si="375"/>
        <v>Fames: Devorador de mentes</v>
      </c>
      <c r="AM1080" s="2739">
        <f t="shared" si="376"/>
        <v>14</v>
      </c>
      <c r="AN1080" s="2777" t="s">
        <v>10089</v>
      </c>
      <c r="AO1080" s="2796">
        <v>20</v>
      </c>
      <c r="AP1080" s="2796">
        <v>20</v>
      </c>
      <c r="AQ1080" s="2796">
        <v>15</v>
      </c>
      <c r="AR1080" s="2795" t="s">
        <v>4020</v>
      </c>
      <c r="AS1080" s="2795">
        <f>IF(COUNTIF(PDs!$E$130:$K$134,AN1080)&gt;0,1,0)</f>
        <v>0</v>
      </c>
      <c r="AT1080" s="3566" t="s">
        <v>11699</v>
      </c>
      <c r="AU1080" s="2795">
        <f>IF('Red Neuronal'!Z30&lt;&gt;"",1,0)</f>
        <v>0</v>
      </c>
      <c r="AV1080" s="2795">
        <f>IF(OR(HA_final&gt;=200,Proyecciónpsíquica_final&gt;=100),1,0)</f>
        <v>0</v>
      </c>
      <c r="AW1080" s="2795">
        <f>IF(VOL&gt;=11,1,0)</f>
        <v>0</v>
      </c>
      <c r="AX1080" s="2795" t="s">
        <v>1315</v>
      </c>
      <c r="AY1080" s="2795" t="str">
        <f t="shared" si="378"/>
        <v>FALTAN REQUISITOS</v>
      </c>
      <c r="AZ1080" s="3566" t="s">
        <v>10138</v>
      </c>
      <c r="BA1080" s="2775"/>
    </row>
    <row r="1081" spans="1:53" ht="12.75" customHeight="1">
      <c r="A1081" s="219">
        <v>1052</v>
      </c>
      <c r="B1081" s="7145"/>
      <c r="C1081" s="515" t="str">
        <f t="shared" si="377"/>
        <v>Ashuriam: Asalto Dimensional</v>
      </c>
      <c r="D1081" s="794">
        <f t="shared" si="379"/>
        <v>5</v>
      </c>
      <c r="E1081" s="131" t="s">
        <v>910</v>
      </c>
      <c r="F1081" s="75">
        <v>80</v>
      </c>
      <c r="G1081" s="75">
        <v>100</v>
      </c>
      <c r="H1081" s="84">
        <f>IF(COUNTIF(PDs!$E$81:$H$85,E1081)&gt;0,1,0)</f>
        <v>0</v>
      </c>
      <c r="I1081" s="540" t="str">
        <f>IF(OR(MAX(HA_final,HA_SinArmas)&lt;250,MAX(HD_final,HD_SinArmas)&lt;250,NOT(Usodelaenergíanecesaria),NOT(Inhumanidad),POD&lt;11),"NO","-")</f>
        <v>NO</v>
      </c>
      <c r="J1081" s="14" t="s">
        <v>911</v>
      </c>
      <c r="K1081" s="21"/>
      <c r="L1081" s="21"/>
      <c r="M1081" s="21"/>
      <c r="N1081" s="21"/>
      <c r="O1081" s="47"/>
      <c r="P1081" s="21"/>
      <c r="Q1081" s="21"/>
      <c r="R1081" s="3817"/>
      <c r="U1081" s="2612" t="str">
        <f t="shared" si="370"/>
        <v>Luxuria: Lascividad Sanguinolenta</v>
      </c>
      <c r="V1081" s="2613">
        <f t="shared" si="372"/>
        <v>10</v>
      </c>
      <c r="W1081" s="2613" t="s">
        <v>10021</v>
      </c>
      <c r="X1081" s="2614">
        <v>50</v>
      </c>
      <c r="Y1081" s="2614">
        <v>30</v>
      </c>
      <c r="Z1081" s="3620">
        <f>IF(COUNTIF(PDs!$E$86:$K$90,W1081)&gt;0,1,0)</f>
        <v>0</v>
      </c>
      <c r="AA1081" s="2615">
        <f>IF(AND(HA_final&gt;=180,OR(Ki!I48&gt;0,Ki!I49&gt;0,Ki!I50&gt;0,Ki!I51&gt;0,Ki!I52&gt;0,Ki!I53&gt;0,Ki!I54&gt;0),POD&gt;=10),1,0)</f>
        <v>0</v>
      </c>
      <c r="AB1081" s="2698" t="str">
        <f t="shared" si="374"/>
        <v>FALTAN REQUISITOS</v>
      </c>
      <c r="AC1081" s="2698" t="s">
        <v>10043</v>
      </c>
      <c r="AD1081" s="2615"/>
      <c r="AE1081" s="2615"/>
      <c r="AF1081" s="2615"/>
      <c r="AG1081" s="2615"/>
      <c r="AH1081" s="2615"/>
      <c r="AI1081" s="2615"/>
      <c r="AJ1081" s="3926"/>
      <c r="AL1081" s="2783" t="str">
        <f t="shared" si="375"/>
        <v>Fluctus: Manipulación Entrópica</v>
      </c>
      <c r="AM1081" s="2739">
        <f t="shared" si="376"/>
        <v>16</v>
      </c>
      <c r="AN1081" s="2777" t="s">
        <v>10090</v>
      </c>
      <c r="AO1081" s="2796">
        <v>25</v>
      </c>
      <c r="AP1081" s="2796">
        <v>25</v>
      </c>
      <c r="AQ1081" s="2796">
        <v>30</v>
      </c>
      <c r="AR1081" s="2795" t="s">
        <v>4020</v>
      </c>
      <c r="AS1081" s="2795">
        <f>IF(COUNTIF(PDs!$E$130:$K$134,AN1081)&gt;0,1,0)</f>
        <v>0</v>
      </c>
      <c r="AT1081" s="3566" t="s">
        <v>10124</v>
      </c>
      <c r="AU1081" s="2795">
        <f>IF('Red Neuronal'!P30&lt;&gt;"",1,0)</f>
        <v>0</v>
      </c>
      <c r="AV1081" s="2795">
        <f>IF(HA_final&gt;=220,1,0)</f>
        <v>0</v>
      </c>
      <c r="AW1081" s="2795">
        <f>IF(VOL&gt;=11,1,0)</f>
        <v>0</v>
      </c>
      <c r="AX1081" s="2795">
        <f>IF(OR(Ki!Q63=30,Ki!I63=20,Ki!I71=20,COUNTIF(Psíquicos!AD20:AH76,"Inhumanidad")),1,0)</f>
        <v>0</v>
      </c>
      <c r="AY1081" s="2795" t="str">
        <f>IF(SUM(AS1081,AU1081,AV1081,AW1081,AX1081)=5,"Ver Descripción","FALTAN REQUISITOS")</f>
        <v>FALTAN REQUISITOS</v>
      </c>
      <c r="AZ1081" s="3566" t="s">
        <v>10139</v>
      </c>
      <c r="BA1081" s="2775"/>
    </row>
    <row r="1082" spans="1:53" ht="12.75" customHeight="1">
      <c r="A1082" s="219">
        <v>1053</v>
      </c>
      <c r="B1082" s="7145"/>
      <c r="C1082" s="515" t="str">
        <f t="shared" si="377"/>
        <v>Caos Meister: Control del Caos</v>
      </c>
      <c r="D1082" s="794">
        <f t="shared" si="379"/>
        <v>8</v>
      </c>
      <c r="E1082" s="131" t="s">
        <v>912</v>
      </c>
      <c r="F1082" s="75">
        <v>40</v>
      </c>
      <c r="G1082" s="75">
        <v>40</v>
      </c>
      <c r="H1082" s="84">
        <f>IF(COUNTIF(PDs!$E$81:$H$85,E1082)&gt;0,1,0)</f>
        <v>0</v>
      </c>
      <c r="I1082" s="540" t="str">
        <f>IF(MAX(HA_final,HA_SinArmas)&lt;200,"NO","-")</f>
        <v>NO</v>
      </c>
      <c r="J1082" s="14" t="s">
        <v>913</v>
      </c>
      <c r="K1082" s="21"/>
      <c r="L1082" s="21"/>
      <c r="M1082" s="21"/>
      <c r="N1082" s="21"/>
      <c r="O1082" s="47"/>
      <c r="P1082" s="21"/>
      <c r="Q1082" s="21"/>
      <c r="R1082" s="3817"/>
      <c r="U1082" s="2612" t="str">
        <f t="shared" si="370"/>
        <v>Mortuus: Fecha de Muerte</v>
      </c>
      <c r="V1082" s="2613">
        <f t="shared" si="372"/>
        <v>11</v>
      </c>
      <c r="W1082" s="2613" t="s">
        <v>12245</v>
      </c>
      <c r="X1082" s="2614">
        <v>50</v>
      </c>
      <c r="Y1082" s="2614">
        <v>50</v>
      </c>
      <c r="Z1082" s="3620">
        <f>IF(COUNTIF(PDs!$E$86:$K$90,W1082)&gt;0,1,0)</f>
        <v>0</v>
      </c>
      <c r="AA1082" s="2615">
        <f>IF(AND(HA_final&gt;=180,Ki!I43=70,POD&gt;=11),1,0)</f>
        <v>0</v>
      </c>
      <c r="AB1082" s="2698" t="str">
        <f t="shared" si="374"/>
        <v>FALTAN REQUISITOS</v>
      </c>
      <c r="AC1082" s="2698" t="s">
        <v>2000</v>
      </c>
      <c r="AD1082" s="2615"/>
      <c r="AE1082" s="2615"/>
      <c r="AF1082" s="2615"/>
      <c r="AG1082" s="2615"/>
      <c r="AH1082" s="2615"/>
      <c r="AI1082" s="2615"/>
      <c r="AJ1082" s="3926"/>
      <c r="AL1082" s="2783" t="str">
        <f t="shared" si="375"/>
        <v>Gelum: Abrigo Helado</v>
      </c>
      <c r="AM1082" s="2739">
        <f t="shared" si="376"/>
        <v>26</v>
      </c>
      <c r="AN1082" s="2777" t="s">
        <v>10091</v>
      </c>
      <c r="AO1082" s="2796">
        <v>15</v>
      </c>
      <c r="AP1082" s="2796">
        <v>15</v>
      </c>
      <c r="AQ1082" s="2796">
        <v>10</v>
      </c>
      <c r="AR1082" s="2795" t="s">
        <v>4020</v>
      </c>
      <c r="AS1082" s="2795">
        <f>IF(COUNTIF(PDs!$E$130:$K$134,AN1082)&gt;0,1,0)</f>
        <v>0</v>
      </c>
      <c r="AT1082" s="3566" t="s">
        <v>11700</v>
      </c>
      <c r="AU1082" s="2795">
        <f>VLOOKUP(MID(AT1082,1,24),'Tablas psiquica'!D182:V182,17,FALSE)</f>
        <v>0</v>
      </c>
      <c r="AV1082" s="2795">
        <f>IF(HA_final&gt;=200,1,0)</f>
        <v>0</v>
      </c>
      <c r="AW1082" s="2795">
        <f>IF(FUE&gt;=10,1,0)</f>
        <v>0</v>
      </c>
      <c r="AX1082" s="2795" t="s">
        <v>1315</v>
      </c>
      <c r="AY1082" s="2795" t="str">
        <f t="shared" si="378"/>
        <v>FALTAN REQUISITOS</v>
      </c>
      <c r="AZ1082" s="3566" t="s">
        <v>10140</v>
      </c>
      <c r="BA1082" s="2775"/>
    </row>
    <row r="1083" spans="1:53" ht="12.75" customHeight="1">
      <c r="A1083" s="219">
        <v>1054</v>
      </c>
      <c r="B1083" s="7145"/>
      <c r="C1083" s="515" t="str">
        <f t="shared" si="377"/>
        <v>Cognos: El Repertorio Sinfinal</v>
      </c>
      <c r="D1083" s="794">
        <f t="shared" si="379"/>
        <v>9</v>
      </c>
      <c r="E1083" s="131" t="s">
        <v>914</v>
      </c>
      <c r="F1083" s="75">
        <v>30</v>
      </c>
      <c r="G1083" s="75">
        <v>30</v>
      </c>
      <c r="H1083" s="84">
        <f>IF(COUNTIF(PDs!$E$81:$H$85,E1083)&gt;0,1,0)</f>
        <v>0</v>
      </c>
      <c r="I1083" s="3906" t="str">
        <f>IF(OR(MAX(HD_final,HD_SinArmas)&lt;180,$P$265=0,VOL&lt;10),"NO","-")</f>
        <v>NO</v>
      </c>
      <c r="J1083" s="14" t="s">
        <v>915</v>
      </c>
      <c r="K1083" s="21"/>
      <c r="L1083" s="21"/>
      <c r="M1083" s="21"/>
      <c r="N1083" s="21"/>
      <c r="O1083" s="47"/>
      <c r="P1083" s="21"/>
      <c r="Q1083" s="21"/>
      <c r="R1083" s="3817"/>
      <c r="U1083" s="2612" t="str">
        <f t="shared" si="370"/>
        <v>Obscuritas: El Terror del Olvido</v>
      </c>
      <c r="V1083" s="2613">
        <f t="shared" si="372"/>
        <v>7</v>
      </c>
      <c r="W1083" s="2613" t="s">
        <v>12246</v>
      </c>
      <c r="X1083" s="2614">
        <v>30</v>
      </c>
      <c r="Y1083" s="2614">
        <v>30</v>
      </c>
      <c r="Z1083" s="3620">
        <f>IF(COUNTIF(PDs!$E$86:$K$90,W1083)&gt;0,1,0)</f>
        <v>0</v>
      </c>
      <c r="AA1083" s="2615">
        <f>IF(AND(HA_final&gt;=150,Ki!I70=10,OR(Ki!I74=20,Ki!Q65=30)),1,0)</f>
        <v>0</v>
      </c>
      <c r="AB1083" s="2698" t="str">
        <f t="shared" si="374"/>
        <v>FALTAN REQUISITOS</v>
      </c>
      <c r="AC1083" s="2698" t="s">
        <v>2000</v>
      </c>
      <c r="AD1083" s="2615"/>
      <c r="AE1083" s="2615"/>
      <c r="AF1083" s="2615"/>
      <c r="AG1083" s="2615"/>
      <c r="AH1083" s="2615"/>
      <c r="AI1083" s="2615"/>
      <c r="AJ1083" s="3926"/>
      <c r="AL1083" s="2783" t="str">
        <f t="shared" si="375"/>
        <v>Humanus: Máscaras Matriciales</v>
      </c>
      <c r="AM1083" s="2739">
        <f t="shared" si="376"/>
        <v>24</v>
      </c>
      <c r="AN1083" s="2777" t="s">
        <v>10092</v>
      </c>
      <c r="AO1083" s="2796">
        <v>20</v>
      </c>
      <c r="AP1083" s="2796">
        <v>20</v>
      </c>
      <c r="AQ1083" s="2796">
        <v>20</v>
      </c>
      <c r="AR1083" s="2795" t="s">
        <v>4020</v>
      </c>
      <c r="AS1083" s="2795">
        <f>IF(COUNTIF(PDs!$E$130:$K$134,AN1083)&gt;0,1,0)</f>
        <v>0</v>
      </c>
      <c r="AT1083" s="3566" t="s">
        <v>11701</v>
      </c>
      <c r="AU1083" s="2795">
        <f>VLOOKUP(MID(AT1083,1,23),'Tablas psiquica'!D162:V162,17,FALSE)</f>
        <v>0</v>
      </c>
      <c r="AV1083" s="2795">
        <f>IF(HP_final&gt;=200,1,IF(HE_final&gt;=200,1,0))</f>
        <v>0</v>
      </c>
      <c r="AW1083" s="2795">
        <f>IF(CON&gt;=10,1,0)</f>
        <v>0</v>
      </c>
      <c r="AX1083" s="2795">
        <f>COUNTIF(Principal!G41:J47,"Sangre de Aeon: Toa")</f>
        <v>0</v>
      </c>
      <c r="AY1083" s="2795" t="str">
        <f>IF(SUM(AS1083,AU1083,AV1083,AW1083,AX1083)=5,"Ver Descripción","FALTAN REQUISITOS")</f>
        <v>FALTAN REQUISITOS</v>
      </c>
      <c r="AZ1083" s="3566" t="s">
        <v>10141</v>
      </c>
      <c r="BA1083" s="2775"/>
    </row>
    <row r="1084" spans="1:53" ht="12.75" customHeight="1">
      <c r="A1084" s="219">
        <v>1055</v>
      </c>
      <c r="B1084" s="7145"/>
      <c r="C1084" s="515" t="str">
        <f t="shared" si="377"/>
        <v>Duos: Ataque Combinado</v>
      </c>
      <c r="D1084" s="794">
        <f t="shared" si="379"/>
        <v>11</v>
      </c>
      <c r="E1084" s="131" t="s">
        <v>916</v>
      </c>
      <c r="F1084" s="75">
        <v>30</v>
      </c>
      <c r="G1084" s="75">
        <v>50</v>
      </c>
      <c r="H1084" s="84">
        <f>IF(COUNTIF(PDs!$E$81:$H$85,E1084)&gt;0,1,0)</f>
        <v>0</v>
      </c>
      <c r="I1084" s="540" t="str">
        <f>IF(OR(MAX(HA_final,HA_SinArmas)&lt;200,NOT(Extensióndelauraalarma)),"NO","-")</f>
        <v>NO</v>
      </c>
      <c r="J1084" s="14" t="s">
        <v>917</v>
      </c>
      <c r="K1084" s="21"/>
      <c r="L1084" s="21"/>
      <c r="M1084" s="21"/>
      <c r="N1084" s="21"/>
      <c r="O1084" s="47"/>
      <c r="P1084" s="21"/>
      <c r="Q1084" s="21"/>
      <c r="R1084" s="3817"/>
      <c r="U1084" s="2612" t="str">
        <f t="shared" si="370"/>
        <v>Spiritus: Saltos Interdimensionales</v>
      </c>
      <c r="V1084" s="2613">
        <f t="shared" si="372"/>
        <v>16</v>
      </c>
      <c r="W1084" s="2613" t="s">
        <v>12247</v>
      </c>
      <c r="X1084" s="2614">
        <v>50</v>
      </c>
      <c r="Y1084" s="2614">
        <v>50</v>
      </c>
      <c r="Z1084" s="3620">
        <f>IF(COUNTIF(PDs!$E$86:$K$90,W1084)&gt;0,1,0)</f>
        <v>0</v>
      </c>
      <c r="AA1084" s="2615">
        <f>IF(AND(HA_final&gt;=200,Ki!I69=10,OR(Ki!I75=30,Ki!Q66=50)),1,0)</f>
        <v>0</v>
      </c>
      <c r="AB1084" s="2698" t="str">
        <f t="shared" si="374"/>
        <v>FALTAN REQUISITOS</v>
      </c>
      <c r="AC1084" s="2698" t="s">
        <v>2000</v>
      </c>
      <c r="AD1084" s="2615"/>
      <c r="AE1084" s="2615"/>
      <c r="AF1084" s="2615"/>
      <c r="AG1084" s="2615"/>
      <c r="AH1084" s="2615"/>
      <c r="AI1084" s="2615"/>
      <c r="AJ1084" s="3926"/>
      <c r="AL1084" s="2783" t="str">
        <f t="shared" si="375"/>
        <v>Ignis: Bruja Carmesí en Llamas</v>
      </c>
      <c r="AM1084" s="2739">
        <f t="shared" si="376"/>
        <v>15</v>
      </c>
      <c r="AN1084" s="2777" t="s">
        <v>10093</v>
      </c>
      <c r="AO1084" s="2796">
        <v>20</v>
      </c>
      <c r="AP1084" s="2796">
        <v>20</v>
      </c>
      <c r="AQ1084" s="2796">
        <v>15</v>
      </c>
      <c r="AR1084" s="2795" t="s">
        <v>4020</v>
      </c>
      <c r="AS1084" s="2795">
        <f>IF(COUNTIF(PDs!$E$130:$K$134,AN1084)&gt;0,1,0)</f>
        <v>0</v>
      </c>
      <c r="AT1084" s="3567" t="s">
        <v>11702</v>
      </c>
      <c r="AU1084" s="2795">
        <f>VLOOKUP(MID(AT1084,1,13),'Tablas psiquica'!D82:V82,17,FALSE)</f>
        <v>0</v>
      </c>
      <c r="AV1084" s="2795">
        <f>IF(HA_final&gt;=180,1,0)</f>
        <v>0</v>
      </c>
      <c r="AW1084" s="2795">
        <f>IF(HP_final&gt;=180,1,IF(HE_final&gt;=180,1,0))</f>
        <v>0</v>
      </c>
      <c r="AX1084" s="2795">
        <f>IF(VOL&gt;=11,1,0)</f>
        <v>0</v>
      </c>
      <c r="AY1084" s="2795" t="str">
        <f>IF(SUM(AS1084,AU1084,AV1084,AW1084,AX1084)=5,"Ver Descripción","FALTAN REQUISITOS")</f>
        <v>FALTAN REQUISITOS</v>
      </c>
      <c r="AZ1084" s="3566" t="s">
        <v>10142</v>
      </c>
      <c r="BA1084" s="2775"/>
    </row>
    <row r="1085" spans="1:53" ht="12.75" customHeight="1">
      <c r="A1085" s="219">
        <v>1056</v>
      </c>
      <c r="B1085" s="7145"/>
      <c r="C1085" s="515" t="str">
        <f t="shared" si="377"/>
        <v>Etherial: Ataques Infinitos</v>
      </c>
      <c r="D1085" s="794">
        <f t="shared" si="379"/>
        <v>10</v>
      </c>
      <c r="E1085" s="131" t="s">
        <v>918</v>
      </c>
      <c r="F1085" s="75">
        <v>40</v>
      </c>
      <c r="G1085" s="75">
        <v>40</v>
      </c>
      <c r="H1085" s="84">
        <f>IF(COUNTIF(PDs!$E$81:$H$85,E1085)&gt;0,1,0)</f>
        <v>0</v>
      </c>
      <c r="I1085" s="540" t="str">
        <f>IF(OR(MAX(HA_final,HA_SinArmas)&lt;200,NOT(Inhumanidad),AGI&lt;11),"NO","-")</f>
        <v>NO</v>
      </c>
      <c r="J1085" s="14" t="s">
        <v>919</v>
      </c>
      <c r="K1085" s="21"/>
      <c r="L1085" s="21"/>
      <c r="M1085" s="21"/>
      <c r="N1085" s="21"/>
      <c r="O1085" s="47"/>
      <c r="P1085" s="21"/>
      <c r="Q1085" s="21"/>
      <c r="R1085" s="3817"/>
      <c r="U1085" s="2612" t="str">
        <f t="shared" si="370"/>
        <v>Superbia: Voluntad Intocable</v>
      </c>
      <c r="V1085" s="2613">
        <f t="shared" si="372"/>
        <v>3</v>
      </c>
      <c r="W1085" s="2613" t="s">
        <v>12248</v>
      </c>
      <c r="X1085" s="2614">
        <v>50</v>
      </c>
      <c r="Y1085" s="2614">
        <v>50</v>
      </c>
      <c r="Z1085" s="3620">
        <f>IF(COUNTIF(PDs!$E$86:$K$90,W1085)&gt;0,1,0)</f>
        <v>0</v>
      </c>
      <c r="AA1085" s="2615">
        <f>IF(AND(HA_final&gt;=180,Ki!I70,DES&gt;=11),1,0)</f>
        <v>0</v>
      </c>
      <c r="AB1085" s="2698" t="str">
        <f t="shared" si="374"/>
        <v>FALTAN REQUISITOS</v>
      </c>
      <c r="AC1085" s="2698" t="s">
        <v>2000</v>
      </c>
      <c r="AD1085" s="2615"/>
      <c r="AE1085" s="2615"/>
      <c r="AF1085" s="2615"/>
      <c r="AG1085" s="2615"/>
      <c r="AH1085" s="2615"/>
      <c r="AI1085" s="2615"/>
      <c r="AJ1085" s="3926"/>
      <c r="AL1085" s="2783" t="str">
        <f t="shared" si="375"/>
        <v>Iter: Ojo Atemporal</v>
      </c>
      <c r="AM1085" s="2739">
        <f t="shared" si="376"/>
        <v>7</v>
      </c>
      <c r="AN1085" s="2777" t="s">
        <v>10094</v>
      </c>
      <c r="AO1085" s="2796">
        <v>20</v>
      </c>
      <c r="AP1085" s="2796">
        <v>20</v>
      </c>
      <c r="AQ1085" s="2796">
        <v>20</v>
      </c>
      <c r="AR1085" s="2795" t="s">
        <v>4020</v>
      </c>
      <c r="AS1085" s="2795">
        <f>IF(COUNTIF(PDs!$E$130:$K$134,AN1085)&gt;0,1,0)</f>
        <v>0</v>
      </c>
      <c r="AT1085" s="3567" t="s">
        <v>11703</v>
      </c>
      <c r="AU1085" s="2795">
        <f>VLOOKUP(MID(AT1085,1,30),'Tablas psiquica'!D59:V59,17,FALSE)</f>
        <v>0</v>
      </c>
      <c r="AV1085" s="2795">
        <f>IF(OR(HA_final&gt;=150,Proyecciónpsíquica_final&gt;=150),1,0)</f>
        <v>0</v>
      </c>
      <c r="AW1085" s="2795">
        <f>IF(VOL&gt;=11,1,0)</f>
        <v>0</v>
      </c>
      <c r="AX1085" s="2795">
        <f>IF(OR(Ki!Q65=30,Ki!I74=20,COUNTIF(Psíquicos!AV15:AZ60,"Inhumanidad")),1,0)</f>
        <v>0</v>
      </c>
      <c r="AY1085" s="2795" t="str">
        <f>IF(SUM(AS1085,AU1085,AV1085,AW1085,AX1085)=5,"Ver Descripción","FALTAN REQUISITOS")</f>
        <v>FALTAN REQUISITOS</v>
      </c>
      <c r="AZ1085" s="3566" t="s">
        <v>10143</v>
      </c>
      <c r="BA1085" s="2775"/>
    </row>
    <row r="1086" spans="1:53" ht="12.75" customHeight="1">
      <c r="A1086" s="219">
        <v>1057</v>
      </c>
      <c r="B1086" s="7145"/>
      <c r="C1086" s="515" t="str">
        <f t="shared" si="377"/>
        <v>Haima: Sombra de Sangre</v>
      </c>
      <c r="D1086" s="794">
        <f t="shared" si="379"/>
        <v>12</v>
      </c>
      <c r="E1086" s="131" t="s">
        <v>920</v>
      </c>
      <c r="F1086" s="75">
        <v>50</v>
      </c>
      <c r="G1086" s="75">
        <v>50</v>
      </c>
      <c r="H1086" s="84">
        <f>IF(COUNTIF(PDs!$E$81:$H$85,E1086)&gt;0,1,0)</f>
        <v>0</v>
      </c>
      <c r="I1086" s="540" t="str">
        <f>IF(OR(MAX(HA_final,HA_SinArmas)&lt;150,MAX(HD_final,HD_SinArmas)&lt;150,NOT(MultdeCuerpos)),"NO","-")</f>
        <v>NO</v>
      </c>
      <c r="J1086" s="14" t="s">
        <v>921</v>
      </c>
      <c r="K1086" s="21"/>
      <c r="L1086" s="21"/>
      <c r="M1086" s="21"/>
      <c r="N1086" s="21"/>
      <c r="O1086" s="47"/>
      <c r="P1086" s="21"/>
      <c r="Q1086" s="21"/>
      <c r="R1086" s="3817"/>
      <c r="U1086" s="2612" t="str">
        <f t="shared" ref="U1086:U1092" si="380">VLOOKUP(A1,$V$1086:$W$1092,2,0)</f>
        <v>&gt; ARMAS VACUAS</v>
      </c>
      <c r="V1086" s="2613">
        <f t="shared" ref="V1086:V1092" si="381">COUNTIF($W$1086:$W$1092,"&lt;="&amp;W1086)</f>
        <v>1</v>
      </c>
      <c r="W1086" s="2613" t="s">
        <v>10022</v>
      </c>
      <c r="X1086" s="2614">
        <v>0</v>
      </c>
      <c r="Y1086" s="2614">
        <v>0</v>
      </c>
      <c r="Z1086" s="3620">
        <f>IF(COUNTIF(PDs!$E$86:$K$90,W1086)&gt;0,1,0)</f>
        <v>0</v>
      </c>
      <c r="AA1086" s="2615"/>
      <c r="AB1086" s="2698"/>
      <c r="AC1086" s="2698" t="s">
        <v>1315</v>
      </c>
      <c r="AD1086" s="2615"/>
      <c r="AE1086" s="2615"/>
      <c r="AF1086" s="2615"/>
      <c r="AG1086" s="2615"/>
      <c r="AH1086" s="2615"/>
      <c r="AI1086" s="2615"/>
      <c r="AJ1086" s="3926"/>
      <c r="AL1086" s="2783" t="str">
        <f t="shared" si="375"/>
        <v>Lectus: Mente Infinita</v>
      </c>
      <c r="AM1086" s="2739">
        <f t="shared" si="376"/>
        <v>9</v>
      </c>
      <c r="AN1086" s="2777" t="s">
        <v>10095</v>
      </c>
      <c r="AO1086" s="2796">
        <v>25</v>
      </c>
      <c r="AP1086" s="2796">
        <v>25</v>
      </c>
      <c r="AQ1086" s="2796">
        <v>30</v>
      </c>
      <c r="AR1086" s="2795" t="s">
        <v>4020</v>
      </c>
      <c r="AS1086" s="2795">
        <f>IF(COUNTIF(PDs!$E$130:$K$134,AN1086)&gt;0,1,0)</f>
        <v>0</v>
      </c>
      <c r="AT1086" s="3568" t="s">
        <v>11705</v>
      </c>
      <c r="AU1086" s="2795">
        <f>VLOOKUP(MID(AT1086,1,18),'Tablas psiquica'!D42:V42,17,FALSE)</f>
        <v>0</v>
      </c>
      <c r="AV1086" s="2795">
        <f>IF(OR(HA_final&gt;=220,Proyecciónpsíquica_final&gt;=220),1,0)</f>
        <v>0</v>
      </c>
      <c r="AW1086" s="2795">
        <f>IF(VOL&gt;=11,1,0)</f>
        <v>0</v>
      </c>
      <c r="AX1086" s="2795">
        <f>IF(OR(Ki!Q65=30,Ki!I74=20,COUNTIF(Psíquicos!AV15:AZ60,"Inhumanidad")),1,0)</f>
        <v>0</v>
      </c>
      <c r="AY1086" s="2795" t="str">
        <f>IF(SUM(AS1086,AU1086,AV1086,AW1086,AX1086)=5,"Ver Descripción","FALTAN REQUISITOS")</f>
        <v>FALTAN REQUISITOS</v>
      </c>
      <c r="AZ1086" s="3566" t="s">
        <v>10144</v>
      </c>
      <c r="BA1086" s="2775"/>
    </row>
    <row r="1087" spans="1:53" ht="12.75" customHeight="1">
      <c r="A1087" s="219">
        <v>1058</v>
      </c>
      <c r="B1087" s="7145"/>
      <c r="C1087" s="515" t="str">
        <f t="shared" si="377"/>
        <v>Infinium: Fluctuación del Espacio</v>
      </c>
      <c r="D1087" s="794">
        <f t="shared" si="379"/>
        <v>13</v>
      </c>
      <c r="E1087" s="131" t="s">
        <v>922</v>
      </c>
      <c r="F1087" s="75">
        <v>30</v>
      </c>
      <c r="G1087" s="75">
        <v>50</v>
      </c>
      <c r="H1087" s="84">
        <f>IF(COUNTIF(PDs!$E$81:$H$85,E1087)&gt;0,1,0)</f>
        <v>0</v>
      </c>
      <c r="I1087" s="540" t="str">
        <f>IF(OR(MAX(HA_final,HA_SinArmas)&lt;200,MAX(HD_final,HD_SinArmas)&lt;200,NOT(MovimientodeMasas),NOT(Inhumanidad)),"NO","-")</f>
        <v>NO</v>
      </c>
      <c r="J1087" s="14" t="s">
        <v>923</v>
      </c>
      <c r="K1087" s="21"/>
      <c r="L1087" s="21"/>
      <c r="M1087" s="21"/>
      <c r="N1087" s="21"/>
      <c r="O1087" s="47"/>
      <c r="P1087" s="21"/>
      <c r="Q1087" s="21"/>
      <c r="R1087" s="3817"/>
      <c r="U1087" s="2612" t="str">
        <f t="shared" si="380"/>
        <v>Exanimis: Huesos y carne</v>
      </c>
      <c r="V1087" s="2613">
        <f t="shared" si="381"/>
        <v>2</v>
      </c>
      <c r="W1087" s="2613" t="s">
        <v>10024</v>
      </c>
      <c r="X1087" s="2614">
        <v>40</v>
      </c>
      <c r="Y1087" s="2614">
        <v>40</v>
      </c>
      <c r="Z1087" s="3620">
        <f>IF(COUNTIF(PDs!$E$86:$K$90,W1087)&gt;0,1,0)</f>
        <v>0</v>
      </c>
      <c r="AA1087" s="2615">
        <f>IF(AND(HA_final&gt;=180,CON&gt;=8,Res.Dolor_final&gt;=80,Ki!I74&gt;0,Ki!I55&gt;0),1,0)</f>
        <v>0</v>
      </c>
      <c r="AB1087" s="2698" t="str">
        <f t="shared" ref="AB1087:AB1092" si="382">IF(AA1087=1,"Ver descripción","FALTAN REQUISITOS")</f>
        <v>FALTAN REQUISITOS</v>
      </c>
      <c r="AC1087" s="2698" t="s">
        <v>10044</v>
      </c>
      <c r="AD1087" s="2615"/>
      <c r="AE1087" s="2615"/>
      <c r="AF1087" s="2615"/>
      <c r="AG1087" s="2615"/>
      <c r="AH1087" s="2615"/>
      <c r="AI1087" s="2615"/>
      <c r="AJ1087" s="3926"/>
      <c r="AL1087" s="2783" t="str">
        <f t="shared" si="375"/>
        <v>Lux: Látigo Fotónico</v>
      </c>
      <c r="AM1087" s="2739">
        <f t="shared" si="376"/>
        <v>2</v>
      </c>
      <c r="AN1087" s="2777" t="s">
        <v>10096</v>
      </c>
      <c r="AO1087" s="2796">
        <v>25</v>
      </c>
      <c r="AP1087" s="2796">
        <v>25</v>
      </c>
      <c r="AQ1087" s="2796">
        <v>15</v>
      </c>
      <c r="AR1087" s="2795" t="s">
        <v>4020</v>
      </c>
      <c r="AS1087" s="2795">
        <f>IF(COUNTIF(PDs!$E$130:$K$134,AN1087)&gt;0,1,0)</f>
        <v>0</v>
      </c>
      <c r="AT1087" s="3567" t="s">
        <v>11706</v>
      </c>
      <c r="AU1087" s="2795">
        <f>VLOOKUP(MID(AT1087,1,18),'Tablas psiquica'!D25:V25,17,FALSE)</f>
        <v>0</v>
      </c>
      <c r="AV1087" s="2795">
        <f>IFERROR(IF(OR(PDs!AE114,PDs!AG114,PDs!AI114,PDs!AK114,PDs!AM114)&lt;&gt;"",1,0),0)</f>
        <v>0</v>
      </c>
      <c r="AW1087" s="2795">
        <f>IF(HA_final&gt;=200,1,0)</f>
        <v>0</v>
      </c>
      <c r="AX1087" s="2795">
        <f>IF(DES&gt;=11,1,0)</f>
        <v>0</v>
      </c>
      <c r="AY1087" s="2795" t="str">
        <f>IF(SUM(AS1087,AU1087,AV1087,AW1087,AX1087)=5,"Ver Descripción","FALTAN REQUISITOS")</f>
        <v>FALTAN REQUISITOS</v>
      </c>
      <c r="AZ1087" s="3566" t="s">
        <v>10145</v>
      </c>
      <c r="BA1087" s="2775"/>
    </row>
    <row r="1088" spans="1:53" ht="12.75" customHeight="1">
      <c r="A1088" s="219">
        <v>1059</v>
      </c>
      <c r="B1088" s="7145"/>
      <c r="C1088" s="515" t="str">
        <f t="shared" si="377"/>
        <v>Magnum: Liberación de Poder</v>
      </c>
      <c r="D1088" s="794">
        <f t="shared" si="379"/>
        <v>14</v>
      </c>
      <c r="E1088" s="131" t="s">
        <v>924</v>
      </c>
      <c r="F1088" s="75">
        <v>60</v>
      </c>
      <c r="G1088" s="75">
        <v>60</v>
      </c>
      <c r="H1088" s="84">
        <f>IF(COUNTIF(PDs!$E$81:$H$85,E1088)&gt;0,1,0)</f>
        <v>0</v>
      </c>
      <c r="I1088" s="540" t="str">
        <f>IF(OR(MAX(HA_final,HA_SinArmas)&lt;200,NOT(Inhumanidad),AGI&lt;10,DES&lt;10),"NO","-")</f>
        <v>NO</v>
      </c>
      <c r="J1088" s="14" t="s">
        <v>925</v>
      </c>
      <c r="K1088" s="21"/>
      <c r="L1088" s="21"/>
      <c r="M1088" s="21"/>
      <c r="N1088" s="21"/>
      <c r="O1088" s="47"/>
      <c r="P1088" s="21"/>
      <c r="Q1088" s="21"/>
      <c r="R1088" s="3817"/>
      <c r="U1088" s="2612" t="str">
        <f t="shared" si="380"/>
        <v>Imperito: Cadenas de anatema</v>
      </c>
      <c r="V1088" s="2613">
        <f t="shared" si="381"/>
        <v>7</v>
      </c>
      <c r="W1088" s="2613" t="s">
        <v>10023</v>
      </c>
      <c r="X1088" s="2614">
        <v>40</v>
      </c>
      <c r="Y1088" s="2614">
        <v>40</v>
      </c>
      <c r="Z1088" s="3620">
        <f>IF(COUNTIF(PDs!$E$86:$K$90,W1088)&gt;0,1,0)</f>
        <v>0</v>
      </c>
      <c r="AA1088" s="2615">
        <f>IF(AND(HA_final&gt;=160,OR(HP_final&gt;=160,HE_final&gt;=160),Ki!I55&gt;0,Ki!I74&gt;0),1,0)</f>
        <v>0</v>
      </c>
      <c r="AB1088" s="2698" t="str">
        <f t="shared" si="382"/>
        <v>FALTAN REQUISITOS</v>
      </c>
      <c r="AC1088" s="2698" t="s">
        <v>10045</v>
      </c>
      <c r="AD1088" s="2615"/>
      <c r="AE1088" s="2615"/>
      <c r="AF1088" s="2615"/>
      <c r="AG1088" s="2615"/>
      <c r="AH1088" s="2615"/>
      <c r="AI1088" s="2615"/>
      <c r="AJ1088" s="3926"/>
      <c r="AL1088" s="2783" t="str">
        <f t="shared" si="375"/>
        <v>Motus: Saltos en el Espacio</v>
      </c>
      <c r="AM1088" s="2739">
        <f t="shared" si="376"/>
        <v>28</v>
      </c>
      <c r="AN1088" s="2777" t="s">
        <v>10097</v>
      </c>
      <c r="AO1088" s="2796">
        <v>20</v>
      </c>
      <c r="AP1088" s="2796">
        <v>20</v>
      </c>
      <c r="AQ1088" s="2796">
        <v>15</v>
      </c>
      <c r="AR1088" s="2795" t="s">
        <v>4020</v>
      </c>
      <c r="AS1088" s="2795">
        <f>IF(COUNTIF(PDs!$E$130:$K$134,AN1088)&gt;0,1,0)</f>
        <v>0</v>
      </c>
      <c r="AT1088" s="3568" t="s">
        <v>11704</v>
      </c>
      <c r="AU1088" s="2795">
        <f>VLOOKUP(MID(AT1088,1,17),'Tablas psiquica'!D149:V149,17,FALSE)</f>
        <v>0</v>
      </c>
      <c r="AV1088" s="2795">
        <f>IF(HA_final&gt;=200,1,0)</f>
        <v>0</v>
      </c>
      <c r="AW1088" s="2795">
        <f>IF(OR(Ki!Q65=30,Ki!I74=20,COUNTIF(Psíquicos!AV15:AZ60,"Inhumanidad")),1,0)</f>
        <v>0</v>
      </c>
      <c r="AX1088" s="2795" t="s">
        <v>1315</v>
      </c>
      <c r="AY1088" s="2795" t="str">
        <f t="shared" si="378"/>
        <v>FALTAN REQUISITOS</v>
      </c>
      <c r="AZ1088" s="3566" t="s">
        <v>10146</v>
      </c>
      <c r="BA1088" s="2775"/>
    </row>
    <row r="1089" spans="1:53" ht="12.75" customHeight="1">
      <c r="A1089" s="219">
        <v>1060</v>
      </c>
      <c r="B1089" s="7145"/>
      <c r="C1089" s="515" t="str">
        <f t="shared" si="377"/>
        <v>Matrix: División Existencial</v>
      </c>
      <c r="D1089" s="794">
        <f t="shared" si="379"/>
        <v>15</v>
      </c>
      <c r="E1089" s="131" t="s">
        <v>926</v>
      </c>
      <c r="F1089" s="75">
        <v>40</v>
      </c>
      <c r="G1089" s="75">
        <v>60</v>
      </c>
      <c r="H1089" s="84">
        <f>IF(COUNTIF(PDs!$E$81:$H$85,E1089)&gt;0,1,0)</f>
        <v>0</v>
      </c>
      <c r="I1089" s="540" t="str">
        <f>IF(OR(MAX(HA_final,HA_SinArmas)&lt;180,MAX(HD_final,HD_SinArmas)&lt;180,NOT(Erudición),PER&lt;10),"NO","-")</f>
        <v>NO</v>
      </c>
      <c r="J1089" s="14" t="s">
        <v>927</v>
      </c>
      <c r="K1089" s="21"/>
      <c r="L1089" s="21"/>
      <c r="M1089" s="21"/>
      <c r="N1089" s="21"/>
      <c r="O1089" s="47"/>
      <c r="P1089" s="21"/>
      <c r="Q1089" s="21"/>
      <c r="R1089" s="3817"/>
      <c r="U1089" s="2612" t="str">
        <f t="shared" si="380"/>
        <v>Kagune: Garra resplandeciente</v>
      </c>
      <c r="V1089" s="2613">
        <f t="shared" si="381"/>
        <v>6</v>
      </c>
      <c r="W1089" s="2613" t="s">
        <v>10025</v>
      </c>
      <c r="X1089" s="2614">
        <v>60</v>
      </c>
      <c r="Y1089" s="2614">
        <v>40</v>
      </c>
      <c r="Z1089" s="3620">
        <f>IF(COUNTIF(PDs!$E$86:$K$90,W1089)&gt;0,1,0)</f>
        <v>0</v>
      </c>
      <c r="AA1089" s="2615">
        <f>IF(AND(HA_final&gt;=200,VOL&gt;=10,Ki!I70&gt;0),1,0)</f>
        <v>0</v>
      </c>
      <c r="AB1089" s="2698" t="str">
        <f t="shared" si="382"/>
        <v>FALTAN REQUISITOS</v>
      </c>
      <c r="AC1089" s="2698" t="s">
        <v>10046</v>
      </c>
      <c r="AD1089" s="2615"/>
      <c r="AE1089" s="2615"/>
      <c r="AF1089" s="2615"/>
      <c r="AG1089" s="2615"/>
      <c r="AH1089" s="2615"/>
      <c r="AI1089" s="2615"/>
      <c r="AJ1089" s="3926"/>
      <c r="AL1089" s="2783" t="str">
        <f t="shared" si="375"/>
        <v>Perditio: Caos Primario</v>
      </c>
      <c r="AM1089" s="2739">
        <f t="shared" si="376"/>
        <v>10</v>
      </c>
      <c r="AN1089" s="2777" t="s">
        <v>10098</v>
      </c>
      <c r="AO1089" s="2796">
        <v>25</v>
      </c>
      <c r="AP1089" s="2796">
        <v>25</v>
      </c>
      <c r="AQ1089" s="2796">
        <v>25</v>
      </c>
      <c r="AR1089" s="2795" t="s">
        <v>4020</v>
      </c>
      <c r="AS1089" s="2795">
        <f>IF(COUNTIF(PDs!$E$130:$K$134,AN1089)&gt;0,1,0)</f>
        <v>0</v>
      </c>
      <c r="AT1089" s="3568" t="s">
        <v>11707</v>
      </c>
      <c r="AU1089" s="2795">
        <f>VLOOKUP(MID(AT1089,1,18),'Tablas psiquica'!D112:V112,17,FALSE)</f>
        <v>0</v>
      </c>
      <c r="AV1089" s="2795">
        <f>IF(HA_final&gt;=200,1,0)</f>
        <v>0</v>
      </c>
      <c r="AW1089" s="2795">
        <f>IF(PER&gt;=10,1,0)</f>
        <v>0</v>
      </c>
      <c r="AX1089" s="2795" t="s">
        <v>1315</v>
      </c>
      <c r="AY1089" s="2795" t="str">
        <f t="shared" si="378"/>
        <v>FALTAN REQUISITOS</v>
      </c>
      <c r="AZ1089" s="3566" t="s">
        <v>10147</v>
      </c>
      <c r="BA1089" s="2779"/>
    </row>
    <row r="1090" spans="1:53" ht="12.75" customHeight="1">
      <c r="A1090" s="219">
        <v>1061</v>
      </c>
      <c r="B1090" s="7145"/>
      <c r="C1090" s="515" t="str">
        <f t="shared" si="377"/>
        <v>Mundus: Control del Entorno</v>
      </c>
      <c r="D1090" s="794">
        <f t="shared" si="379"/>
        <v>16</v>
      </c>
      <c r="E1090" s="131" t="s">
        <v>928</v>
      </c>
      <c r="F1090" s="75">
        <v>60</v>
      </c>
      <c r="G1090" s="75">
        <v>60</v>
      </c>
      <c r="H1090" s="84">
        <f>IF(COUNTIF(PDs!$E$81:$H$85,E1090)&gt;0,1,0)</f>
        <v>0</v>
      </c>
      <c r="I1090" s="540" t="str">
        <f>IF(OR(MAX(HA_final,HA_SinArmas)&lt;200,MAX(HD_final,HD_SinArmas)&lt;200,NOT(Inhumanidad)),"NO","-")</f>
        <v>NO</v>
      </c>
      <c r="J1090" s="14" t="s">
        <v>929</v>
      </c>
      <c r="K1090" s="21"/>
      <c r="L1090" s="21"/>
      <c r="M1090" s="21"/>
      <c r="N1090" s="21"/>
      <c r="O1090" s="47"/>
      <c r="P1090" s="21"/>
      <c r="Q1090" s="21"/>
      <c r="R1090" s="3817"/>
      <c r="U1090" s="2612" t="str">
        <f t="shared" si="380"/>
        <v>Kakuja: Armadura resplandeciente</v>
      </c>
      <c r="V1090" s="2613">
        <f t="shared" si="381"/>
        <v>3</v>
      </c>
      <c r="W1090" s="2613" t="s">
        <v>10026</v>
      </c>
      <c r="X1090" s="2614">
        <v>40</v>
      </c>
      <c r="Y1090" s="2614">
        <v>60</v>
      </c>
      <c r="Z1090" s="3620">
        <f>IF(COUNTIF(PDs!$E$86:$K$90,W1090)&gt;0,1,0)</f>
        <v>0</v>
      </c>
      <c r="AA1090" s="2615">
        <f>IF(AND(HA_final&gt;=200,Ki!I55&gt;0,Ki!I74&gt;0),1,0)</f>
        <v>0</v>
      </c>
      <c r="AB1090" s="2698" t="str">
        <f t="shared" si="382"/>
        <v>FALTAN REQUISITOS</v>
      </c>
      <c r="AC1090" s="2698" t="s">
        <v>2000</v>
      </c>
      <c r="AD1090" s="2615"/>
      <c r="AE1090" s="2615"/>
      <c r="AF1090" s="2615"/>
      <c r="AG1090" s="2615"/>
      <c r="AH1090" s="2615"/>
      <c r="AI1090" s="2615"/>
      <c r="AJ1090" s="3926"/>
      <c r="AL1090" s="2783" t="str">
        <f t="shared" si="375"/>
        <v>Permutatio: Control Elemental</v>
      </c>
      <c r="AM1090" s="2739">
        <f t="shared" si="376"/>
        <v>6</v>
      </c>
      <c r="AN1090" s="2777" t="s">
        <v>10099</v>
      </c>
      <c r="AO1090" s="2796">
        <v>25</v>
      </c>
      <c r="AP1090" s="2796">
        <v>25</v>
      </c>
      <c r="AQ1090" s="2796">
        <v>25</v>
      </c>
      <c r="AR1090" s="2795" t="s">
        <v>4020</v>
      </c>
      <c r="AS1090" s="2795">
        <f>IF(COUNTIF(PDs!$E$130:$K$134,AN1090)&gt;0,1,0)</f>
        <v>0</v>
      </c>
      <c r="AT1090" s="3568" t="s">
        <v>11708</v>
      </c>
      <c r="AU1090" s="2795">
        <f>VLOOKUP(MID(AT1090,1,23),'Tablas psiquica'!D119:V119,17,FALSE)</f>
        <v>0</v>
      </c>
      <c r="AV1090" s="2795">
        <f>IF(OR(HA_final&gt;=200,Proyecciónpsíquica_final&gt;=200),1,0)</f>
        <v>0</v>
      </c>
      <c r="AW1090" s="2795">
        <f>IF(VOL&gt;=10,1,0)</f>
        <v>0</v>
      </c>
      <c r="AX1090" s="2795" t="s">
        <v>1315</v>
      </c>
      <c r="AY1090" s="2795" t="str">
        <f>IF(SUM(AS1090,AU1090,AV1090,AW1090)=4,"Ver Descripción","FALTAN REQUISITOS")</f>
        <v>FALTAN REQUISITOS</v>
      </c>
      <c r="AZ1090" s="3566" t="s">
        <v>10148</v>
      </c>
      <c r="BA1090" s="2779"/>
    </row>
    <row r="1091" spans="1:53" ht="12.75" customHeight="1">
      <c r="A1091" s="219">
        <v>1062</v>
      </c>
      <c r="B1091" s="7145"/>
      <c r="C1091" s="515" t="str">
        <f t="shared" si="377"/>
        <v>Raikou: Hoja Relámpago</v>
      </c>
      <c r="D1091" s="794">
        <f t="shared" si="379"/>
        <v>17</v>
      </c>
      <c r="E1091" s="131" t="s">
        <v>930</v>
      </c>
      <c r="F1091" s="75">
        <v>60</v>
      </c>
      <c r="G1091" s="75">
        <v>80</v>
      </c>
      <c r="H1091" s="84">
        <f>IF(COUNTIF(PDs!$E$81:$H$85,E1091)&gt;0,1,0)</f>
        <v>0</v>
      </c>
      <c r="I1091" s="540" t="str">
        <f>IF(OR(MAX(HD_final,HD_SinArmas)&lt;250,PER&lt;10),"NO","-")</f>
        <v>NO</v>
      </c>
      <c r="J1091" s="14" t="s">
        <v>931</v>
      </c>
      <c r="K1091" s="21"/>
      <c r="L1091" s="21"/>
      <c r="M1091" s="21"/>
      <c r="N1091" s="21"/>
      <c r="O1091" s="47"/>
      <c r="P1091" s="21"/>
      <c r="Q1091" s="21"/>
      <c r="R1091" s="3817"/>
      <c r="U1091" s="2612" t="str">
        <f t="shared" si="380"/>
        <v>Mutatio: Filo siemprecambiante</v>
      </c>
      <c r="V1091" s="2613">
        <f t="shared" si="381"/>
        <v>4</v>
      </c>
      <c r="W1091" s="2613" t="s">
        <v>10027</v>
      </c>
      <c r="X1091" s="2614">
        <v>40</v>
      </c>
      <c r="Y1091" s="2614">
        <v>30</v>
      </c>
      <c r="Z1091" s="3620">
        <f>IF(COUNTIF(PDs!$E$86:$K$90,W1091)&gt;0,1,0)</f>
        <v>0</v>
      </c>
      <c r="AA1091" s="2615">
        <f>IF(AND(HA_final&gt;=150,Ki!I55&gt;0,Ki!I74&gt;0),1,0)</f>
        <v>0</v>
      </c>
      <c r="AB1091" s="2698" t="str">
        <f t="shared" si="382"/>
        <v>FALTAN REQUISITOS</v>
      </c>
      <c r="AC1091" s="2698" t="s">
        <v>10047</v>
      </c>
      <c r="AD1091" s="2615"/>
      <c r="AE1091" s="2615"/>
      <c r="AF1091" s="2615"/>
      <c r="AG1091" s="2615"/>
      <c r="AH1091" s="2615"/>
      <c r="AI1091" s="2615"/>
      <c r="AJ1091" s="3926"/>
      <c r="AL1091" s="2783" t="str">
        <f t="shared" si="375"/>
        <v>Potentia: Ego Desencadenado</v>
      </c>
      <c r="AM1091" s="2739">
        <f t="shared" si="376"/>
        <v>17</v>
      </c>
      <c r="AN1091" s="2777" t="s">
        <v>10100</v>
      </c>
      <c r="AO1091" s="2796">
        <v>20</v>
      </c>
      <c r="AP1091" s="2796">
        <v>20</v>
      </c>
      <c r="AQ1091" s="2796">
        <v>15</v>
      </c>
      <c r="AR1091" s="2795" t="s">
        <v>4020</v>
      </c>
      <c r="AS1091" s="2795">
        <f>IF(COUNTIF(PDs!$E$130:$K$134,AN1091)&gt;0,1,0)</f>
        <v>0</v>
      </c>
      <c r="AT1091" s="3569" t="s">
        <v>10125</v>
      </c>
      <c r="AU1091" s="2795">
        <f>VLOOKUP(MID(AT1091,1,16),'Tablas psiquica'!D210:V210,17,FALSE)</f>
        <v>0</v>
      </c>
      <c r="AV1091" s="2795">
        <f>IF('Red Neuronal'!BD50&lt;&gt;"",1,0)</f>
        <v>0</v>
      </c>
      <c r="AW1091" s="2795">
        <f>IF(OR(HA_final&gt;=200,Proyecciónpsíquica_final&gt;=200),1,0)</f>
        <v>0</v>
      </c>
      <c r="AX1091" s="2795">
        <f>IF(VOL&gt;=11,1,0)</f>
        <v>0</v>
      </c>
      <c r="AY1091" s="2795" t="str">
        <f>IF(SUM(AS1091,AU1091,AV1091,AW1091,AX1091)=5,"Ver Descripción","FALTAN REQUISITOS")</f>
        <v>FALTAN REQUISITOS</v>
      </c>
      <c r="AZ1091" s="3566" t="s">
        <v>10149</v>
      </c>
      <c r="BA1091" s="2779"/>
    </row>
    <row r="1092" spans="1:53" ht="12.75" customHeight="1">
      <c r="A1092" s="219">
        <v>1063</v>
      </c>
      <c r="B1092" s="7145"/>
      <c r="C1092" s="515" t="str">
        <f t="shared" si="377"/>
        <v>Rem: Los Ojos del Destino</v>
      </c>
      <c r="D1092" s="794">
        <f t="shared" si="379"/>
        <v>18</v>
      </c>
      <c r="E1092" s="131" t="s">
        <v>932</v>
      </c>
      <c r="F1092" s="75">
        <v>30</v>
      </c>
      <c r="G1092" s="75">
        <v>30</v>
      </c>
      <c r="H1092" s="84">
        <f>IF(COUNTIF(PDs!$E$81:$H$85,E1092)&gt;0,1,0)</f>
        <v>0</v>
      </c>
      <c r="I1092" s="3906" t="str">
        <f>IF(OR(MAX(HA_final,HA_SinArmas)&lt;150,DES&lt;10),"NO","-")</f>
        <v>NO</v>
      </c>
      <c r="J1092" s="14" t="s">
        <v>933</v>
      </c>
      <c r="K1092" s="21"/>
      <c r="L1092" s="21"/>
      <c r="M1092" s="21"/>
      <c r="N1092" s="21"/>
      <c r="O1092" s="47"/>
      <c r="P1092" s="21"/>
      <c r="Q1092" s="21"/>
      <c r="R1092" s="3817"/>
      <c r="U1092" s="2612" t="str">
        <f t="shared" si="380"/>
        <v>Sano: Creaciones de sangre</v>
      </c>
      <c r="V1092" s="2613">
        <f t="shared" si="381"/>
        <v>5</v>
      </c>
      <c r="W1092" s="2613" t="s">
        <v>10028</v>
      </c>
      <c r="X1092" s="2614">
        <v>30</v>
      </c>
      <c r="Y1092" s="2614">
        <v>30</v>
      </c>
      <c r="Z1092" s="3620">
        <f>IF(COUNTIF(PDs!$E$86:$K$90,W1092)&gt;0,1,0)</f>
        <v>0</v>
      </c>
      <c r="AA1092" s="2615">
        <f>IF(AND(HA_final&gt;=200,AA1091&gt;0,Ki!I45&gt;0,Ki!I75&gt;0),1,0)</f>
        <v>0</v>
      </c>
      <c r="AB1092" s="2698" t="str">
        <f t="shared" si="382"/>
        <v>FALTAN REQUISITOS</v>
      </c>
      <c r="AC1092" s="2698" t="s">
        <v>2000</v>
      </c>
      <c r="AD1092" s="2615"/>
      <c r="AE1092" s="2615"/>
      <c r="AF1092" s="2615"/>
      <c r="AG1092" s="2615"/>
      <c r="AH1092" s="2615"/>
      <c r="AI1092" s="2615"/>
      <c r="AJ1092" s="3926"/>
      <c r="AL1092" s="2783" t="str">
        <f t="shared" si="375"/>
        <v>Saxum: Expansión de Dominio</v>
      </c>
      <c r="AM1092" s="2739">
        <f t="shared" si="376"/>
        <v>19</v>
      </c>
      <c r="AN1092" s="2777" t="s">
        <v>10101</v>
      </c>
      <c r="AO1092" s="2796">
        <v>20</v>
      </c>
      <c r="AP1092" s="2796">
        <v>20</v>
      </c>
      <c r="AQ1092" s="2796">
        <v>20</v>
      </c>
      <c r="AR1092" s="2795" t="s">
        <v>4020</v>
      </c>
      <c r="AS1092" s="2795">
        <f>IF(COUNTIF(PDs!$E$130:$K$134,AN1092)&gt;0,1,0)</f>
        <v>0</v>
      </c>
      <c r="AT1092" s="3569" t="s">
        <v>11709</v>
      </c>
      <c r="AU1092" s="2795">
        <f>VLOOKUP(MID(AT1092,1,19),'Tablas psiquica'!D197:V197,17,FALSE)</f>
        <v>0</v>
      </c>
      <c r="AV1092" s="2795">
        <f>IF(HA_final&gt;=160,1,0)</f>
        <v>0</v>
      </c>
      <c r="AW1092" s="2795">
        <f>IF(DES&gt;=11,1,0)</f>
        <v>0</v>
      </c>
      <c r="AX1092" s="2795" t="s">
        <v>1315</v>
      </c>
      <c r="AY1092" s="2795" t="str">
        <f>IF(SUM(AS1092,AU1092,AV1092,AW1092)=4,"Ver Descripción","FALTAN REQUISITOS")</f>
        <v>FALTAN REQUISITOS</v>
      </c>
      <c r="AZ1092" s="3566" t="s">
        <v>10150</v>
      </c>
      <c r="BA1092" s="2779"/>
    </row>
    <row r="1093" spans="1:53" ht="12.75" customHeight="1">
      <c r="A1093" s="219">
        <v>1064</v>
      </c>
      <c r="B1093" s="7145"/>
      <c r="C1093" s="515" t="str">
        <f t="shared" si="377"/>
        <v>Samiel: Retribución Final</v>
      </c>
      <c r="D1093" s="794">
        <f t="shared" si="379"/>
        <v>19</v>
      </c>
      <c r="E1093" s="131" t="s">
        <v>934</v>
      </c>
      <c r="F1093" s="75">
        <v>50</v>
      </c>
      <c r="G1093" s="75">
        <v>50</v>
      </c>
      <c r="H1093" s="84">
        <f>IF(COUNTIF(PDs!$E$81:$H$85,E1093)&gt;0,1,0)</f>
        <v>0</v>
      </c>
      <c r="I1093" s="540" t="str">
        <f>IF(OR(MAX(HA_final,HA_SinArmas)&lt;200,MAX(HD_final,HD_SinArmas)&lt;200,NOT(Inhumanidad)),"NO","-")</f>
        <v>NO</v>
      </c>
      <c r="J1093" s="14" t="s">
        <v>935</v>
      </c>
      <c r="K1093" s="21"/>
      <c r="L1093" s="21"/>
      <c r="M1093" s="21"/>
      <c r="N1093" s="21"/>
      <c r="O1093" s="47"/>
      <c r="P1093" s="21"/>
      <c r="Q1093" s="21"/>
      <c r="R1093" s="3817"/>
      <c r="U1093" s="2612" t="str">
        <f>VLOOKUP(A1,$V$1093:$W$1096,2,0)</f>
        <v>&gt; ARS INANIMIS PERSONALIZADOS</v>
      </c>
      <c r="V1093" s="2613">
        <f>COUNTIF($W$1093:$W$1096,"&lt;="&amp;W1093)</f>
        <v>1</v>
      </c>
      <c r="W1093" s="2613" t="s">
        <v>10108</v>
      </c>
      <c r="X1093" s="2614">
        <v>0</v>
      </c>
      <c r="Y1093" s="2614">
        <v>0</v>
      </c>
      <c r="Z1093" s="2615"/>
      <c r="AA1093" s="2615"/>
      <c r="AB1093" s="2698"/>
      <c r="AC1093" s="2698" t="s">
        <v>2000</v>
      </c>
      <c r="AD1093" s="2615"/>
      <c r="AE1093" s="2615"/>
      <c r="AF1093" s="2615"/>
      <c r="AG1093" s="2615"/>
      <c r="AH1093" s="2615"/>
      <c r="AI1093" s="2615"/>
      <c r="AJ1093" s="3926"/>
      <c r="AL1093" s="2783" t="str">
        <f t="shared" si="375"/>
        <v>Sensus: Sentidos Absolutos</v>
      </c>
      <c r="AM1093" s="2739">
        <f t="shared" si="376"/>
        <v>5</v>
      </c>
      <c r="AN1093" s="2777" t="s">
        <v>10102</v>
      </c>
      <c r="AO1093" s="2796">
        <v>20</v>
      </c>
      <c r="AP1093" s="2796">
        <v>20</v>
      </c>
      <c r="AQ1093" s="2796">
        <v>20</v>
      </c>
      <c r="AR1093" s="2795" t="s">
        <v>4020</v>
      </c>
      <c r="AS1093" s="2795">
        <f>IF(COUNTIF(PDs!$E$130:$K$134,AN1093)&gt;0,1,0)</f>
        <v>0</v>
      </c>
      <c r="AT1093" s="3569" t="s">
        <v>11710</v>
      </c>
      <c r="AU1093" s="2795">
        <f>VLOOKUP(MID(AT1093,1,15),'Tablas psiquica'!D22:V22,17,FALSE)</f>
        <v>0</v>
      </c>
      <c r="AV1093" s="2795">
        <f>IF(OR(HA_final&gt;=180,Proyecciónpsíquica_final&gt;=180),1,0)</f>
        <v>0</v>
      </c>
      <c r="AW1093" s="2795">
        <f>IF(VOL&gt;=10,1,0)</f>
        <v>0</v>
      </c>
      <c r="AX1093" s="2795" t="s">
        <v>1315</v>
      </c>
      <c r="AY1093" s="2795" t="str">
        <f>IF(SUM(AS1093,AU1093,AV1093,AW1093)=4,"Ver Descripción","FALTAN REQUISITOS")</f>
        <v>FALTAN REQUISITOS</v>
      </c>
      <c r="AZ1093" s="3566" t="s">
        <v>10151</v>
      </c>
      <c r="BA1093" s="2779"/>
    </row>
    <row r="1094" spans="1:53" ht="12.75" customHeight="1">
      <c r="A1094" s="219">
        <v>1065</v>
      </c>
      <c r="B1094" s="7145"/>
      <c r="C1094" s="515" t="str">
        <f t="shared" si="377"/>
        <v>Shinkyou: La Posición Espejo</v>
      </c>
      <c r="D1094" s="794">
        <f t="shared" si="379"/>
        <v>22</v>
      </c>
      <c r="E1094" s="131" t="s">
        <v>936</v>
      </c>
      <c r="F1094" s="75">
        <v>30</v>
      </c>
      <c r="G1094" s="75">
        <v>50</v>
      </c>
      <c r="H1094" s="84">
        <f>IF(COUNTIF(PDs!$E$81:$H$85,E1094)&gt;0,1,0)</f>
        <v>0</v>
      </c>
      <c r="I1094" s="540" t="str">
        <f>IF(OR(MAX(HA_final,HA_SinArmas)&lt;200,MAX(HD_final,HD_SinArmas)&lt;200,NOT(Usodelaenergíanecesaria),NOT(Inhumanidad)),"NO","-")</f>
        <v>NO</v>
      </c>
      <c r="J1094" s="14" t="s">
        <v>937</v>
      </c>
      <c r="K1094" s="21"/>
      <c r="L1094" s="21"/>
      <c r="M1094" s="21"/>
      <c r="N1094" s="21"/>
      <c r="O1094" s="47"/>
      <c r="P1094" s="21"/>
      <c r="Q1094" s="21"/>
      <c r="R1094" s="3817"/>
      <c r="U1094" s="2612" t="str">
        <f>VLOOKUP(A2,$V$1093:$W$1096,2,0)</f>
        <v>Ars Inanimis Personalizado 1</v>
      </c>
      <c r="V1094" s="2613">
        <f>V1093+1</f>
        <v>2</v>
      </c>
      <c r="W1094" s="2613" t="str">
        <f>IF(Personalización!AD97="","Ars Inanimis Personalizado 1",Personalización!AD97)</f>
        <v>Ars Inanimis Personalizado 1</v>
      </c>
      <c r="X1094" s="2614"/>
      <c r="Y1094" s="2614"/>
      <c r="Z1094" s="2615"/>
      <c r="AA1094" s="2615"/>
      <c r="AB1094" s="2698"/>
      <c r="AC1094" s="2698" t="s">
        <v>2000</v>
      </c>
      <c r="AD1094" s="2615"/>
      <c r="AE1094" s="2615"/>
      <c r="AF1094" s="2615"/>
      <c r="AG1094" s="2615"/>
      <c r="AH1094" s="2615"/>
      <c r="AI1094" s="2615"/>
      <c r="AJ1094" s="3926"/>
      <c r="AL1094" s="2783" t="str">
        <f t="shared" si="375"/>
        <v>Telum: Filo Matricial</v>
      </c>
      <c r="AM1094" s="2739">
        <f t="shared" si="376"/>
        <v>18</v>
      </c>
      <c r="AN1094" s="2777" t="s">
        <v>10103</v>
      </c>
      <c r="AO1094" s="2796">
        <v>20</v>
      </c>
      <c r="AP1094" s="2796">
        <v>20</v>
      </c>
      <c r="AQ1094" s="2796">
        <v>10</v>
      </c>
      <c r="AR1094" s="2795" t="s">
        <v>4020</v>
      </c>
      <c r="AS1094" s="2795">
        <f>IF(COUNTIF(PDs!$E$130:$K$134,AN1094)&gt;0,1,0)</f>
        <v>0</v>
      </c>
      <c r="AT1094" s="3569" t="s">
        <v>11711</v>
      </c>
      <c r="AU1094" s="2795">
        <f>VLOOKUP(MID(AT1094,1,19),'Tablas psiquica'!D103:V103,17,FALSE)</f>
        <v>0</v>
      </c>
      <c r="AV1094" s="2795">
        <f>IF(OR(HA_final&gt;=150,Proyecciónpsíquica_final&gt;=150),1,0)</f>
        <v>0</v>
      </c>
      <c r="AW1094" s="2795">
        <f>IF(PER&gt;=10,1,0)</f>
        <v>0</v>
      </c>
      <c r="AX1094" s="2795" t="s">
        <v>1315</v>
      </c>
      <c r="AY1094" s="2795" t="str">
        <f>IF(SUM(AS1094,AU1094,AV1094,AW1094)=4,"Ver Descripción","FALTAN REQUISITOS")</f>
        <v>FALTAN REQUISITOS</v>
      </c>
      <c r="AZ1094" s="3567" t="s">
        <v>11712</v>
      </c>
      <c r="BA1094" s="2779"/>
    </row>
    <row r="1095" spans="1:53" ht="12.75" customHeight="1">
      <c r="A1095" s="219">
        <v>1066</v>
      </c>
      <c r="B1095" s="7145"/>
      <c r="C1095" s="515" t="str">
        <f t="shared" si="377"/>
        <v>Summun: Acumulación de Energía</v>
      </c>
      <c r="D1095" s="794">
        <f t="shared" si="379"/>
        <v>20</v>
      </c>
      <c r="E1095" s="131" t="s">
        <v>938</v>
      </c>
      <c r="F1095" s="75">
        <v>20</v>
      </c>
      <c r="G1095" s="75">
        <v>40</v>
      </c>
      <c r="H1095" s="84">
        <f>IF(COUNTIF(PDs!$E$81:$H$85,E1095)&gt;0,1,0)</f>
        <v>0</v>
      </c>
      <c r="I1095" s="540" t="str">
        <f>IF(OR(MAX(HA_final,HA_SinArmas)&lt;150,MAX(HD_final,HD_SinArmas)&lt;150,Tablas!$P$261+Tablas!$P$262+Tablas!$P$263=0),"NO","-")</f>
        <v>NO</v>
      </c>
      <c r="J1095" s="14" t="s">
        <v>939</v>
      </c>
      <c r="K1095" s="21"/>
      <c r="L1095" s="21"/>
      <c r="M1095" s="21"/>
      <c r="N1095" s="21"/>
      <c r="O1095" s="47"/>
      <c r="P1095" s="21"/>
      <c r="Q1095" s="21"/>
      <c r="R1095" s="3817"/>
      <c r="U1095" s="2612" t="str">
        <f>VLOOKUP(A3,$V$1093:$W$1096,2,0)</f>
        <v>Ars Inanimis Personalizado 2</v>
      </c>
      <c r="V1095" s="2613">
        <f>V1094+1</f>
        <v>3</v>
      </c>
      <c r="W1095" s="2613" t="str">
        <f>IF(Personalización!AD98="","Ars Inanimis Personalizado 2",Personalización!AD98)</f>
        <v>Ars Inanimis Personalizado 2</v>
      </c>
      <c r="X1095" s="2614"/>
      <c r="Y1095" s="2614"/>
      <c r="Z1095" s="2615"/>
      <c r="AA1095" s="2615"/>
      <c r="AB1095" s="2698"/>
      <c r="AC1095" s="2698" t="s">
        <v>2000</v>
      </c>
      <c r="AD1095" s="2615"/>
      <c r="AE1095" s="2615"/>
      <c r="AF1095" s="2615"/>
      <c r="AG1095" s="2615"/>
      <c r="AH1095" s="2615"/>
      <c r="AI1095" s="2615"/>
      <c r="AJ1095" s="3926"/>
      <c r="AL1095" s="2783" t="str">
        <f t="shared" si="375"/>
        <v>Tempestas: Jinete de las Tormentas</v>
      </c>
      <c r="AM1095" s="2739">
        <f t="shared" si="376"/>
        <v>21</v>
      </c>
      <c r="AN1095" s="2777" t="s">
        <v>10104</v>
      </c>
      <c r="AO1095" s="2796">
        <v>25</v>
      </c>
      <c r="AP1095" s="2796">
        <v>25</v>
      </c>
      <c r="AQ1095" s="2796">
        <v>20</v>
      </c>
      <c r="AR1095" s="2795" t="s">
        <v>4020</v>
      </c>
      <c r="AS1095" s="2795">
        <f>IF(COUNTIF(PDs!$E$130:$K$134,AN1095)&gt;0,1,0)</f>
        <v>0</v>
      </c>
      <c r="AT1095" s="3569" t="s">
        <v>10126</v>
      </c>
      <c r="AU1095" s="2795">
        <f>VLOOKUP(MID(AT1095,1,21),'Tablas psiquica'!D177:V177,17,FALSE)</f>
        <v>0</v>
      </c>
      <c r="AV1095" s="2795">
        <f>IF(OR(HA_final&gt;=200,Proyecciónpsíquica_final&gt;=200),1,0)</f>
        <v>0</v>
      </c>
      <c r="AW1095" s="2795">
        <f>IF(VOL&gt;=11,1,0)</f>
        <v>0</v>
      </c>
      <c r="AX1095" s="2795" t="s">
        <v>1315</v>
      </c>
      <c r="AY1095" s="2795" t="str">
        <f>IF(SUM(AS1095,AU1095,AW1095,AV1095)=4,"Ver Descripción","FALTAN REQUISITOS")</f>
        <v>FALTAN REQUISITOS</v>
      </c>
      <c r="AZ1095" s="3567" t="s">
        <v>11713</v>
      </c>
      <c r="BA1095" s="2779"/>
    </row>
    <row r="1096" spans="1:53" ht="12.75" customHeight="1" thickBot="1">
      <c r="A1096" s="219">
        <v>1067</v>
      </c>
      <c r="B1096" s="7145"/>
      <c r="C1096" s="515" t="str">
        <f t="shared" si="377"/>
        <v>Transformación: El Despertar</v>
      </c>
      <c r="D1096" s="794">
        <f t="shared" si="379"/>
        <v>23</v>
      </c>
      <c r="E1096" s="131" t="s">
        <v>940</v>
      </c>
      <c r="F1096" s="75">
        <v>100</v>
      </c>
      <c r="G1096" s="75">
        <v>100</v>
      </c>
      <c r="H1096" s="84">
        <f>IF(COUNTIF(PDs!$E$81:$H$85,E1096)&gt;0,1,0)</f>
        <v>0</v>
      </c>
      <c r="I1096" s="540" t="str">
        <f>IF(OR(MAX(HA_final,HA_SinArmas)&lt;250,MAX(HD_final,HD_SinArmas)&lt;250,NOT(Zen)),"NO","-")</f>
        <v>NO</v>
      </c>
      <c r="J1096" s="14" t="s">
        <v>941</v>
      </c>
      <c r="K1096" s="21"/>
      <c r="L1096" s="21"/>
      <c r="M1096" s="21"/>
      <c r="N1096" s="21"/>
      <c r="O1096" s="47"/>
      <c r="P1096" s="21"/>
      <c r="Q1096" s="21"/>
      <c r="R1096" s="3817"/>
      <c r="U1096" s="3927" t="str">
        <f>VLOOKUP(A4,$V$1093:$W$1096,2,0)</f>
        <v>Ars Inanimis Personalizado 3</v>
      </c>
      <c r="V1096" s="3928">
        <f>V1095+1</f>
        <v>4</v>
      </c>
      <c r="W1096" s="3929" t="str">
        <f>IF(Personalización!AD99="","Ars Inanimis Personalizado 3",Personalización!AD99)</f>
        <v>Ars Inanimis Personalizado 3</v>
      </c>
      <c r="X1096" s="3930"/>
      <c r="Y1096" s="3930"/>
      <c r="Z1096" s="3931"/>
      <c r="AA1096" s="3931"/>
      <c r="AB1096" s="3932"/>
      <c r="AC1096" s="3932" t="s">
        <v>2000</v>
      </c>
      <c r="AD1096" s="3931"/>
      <c r="AE1096" s="3931"/>
      <c r="AF1096" s="3931"/>
      <c r="AG1096" s="3931"/>
      <c r="AH1096" s="3931"/>
      <c r="AI1096" s="3931"/>
      <c r="AJ1096" s="3933"/>
      <c r="AL1096" s="2783" t="str">
        <f t="shared" si="375"/>
        <v>Tempus: Arenas del Tiempo</v>
      </c>
      <c r="AM1096" s="2739">
        <f t="shared" si="376"/>
        <v>13</v>
      </c>
      <c r="AN1096" s="2777" t="s">
        <v>10105</v>
      </c>
      <c r="AO1096" s="2796">
        <v>20</v>
      </c>
      <c r="AP1096" s="2796">
        <v>20</v>
      </c>
      <c r="AQ1096" s="2796">
        <v>15</v>
      </c>
      <c r="AR1096" s="2795" t="s">
        <v>4020</v>
      </c>
      <c r="AS1096" s="2795">
        <f>IF(COUNTIF(PDs!$E$130:$K$134,AN1096)&gt;0,1,0)</f>
        <v>0</v>
      </c>
      <c r="AT1096" s="3569" t="s">
        <v>10127</v>
      </c>
      <c r="AU1096" s="2795">
        <f>VLOOKUP(MID(AT1096,1,17),'Tablas psiquica'!D132:V132,17,FALSE)</f>
        <v>0</v>
      </c>
      <c r="AV1096" s="2795">
        <f>IF(OR(PDs!W43="Tabla de armas improvisadas",PDs!W42="Tabla de armas improvisadas",PDs!W41="Tabla de armas improvisadas",PDs!W40="Tabla de armas improvisadas",PDs!W39="Tabla de armas improvisadas",PDs!W38="Tabla de armas improvisadas"),1,0)</f>
        <v>0</v>
      </c>
      <c r="AW1096" s="2795">
        <f>IF(HA_final&gt;=150,1,0)</f>
        <v>0</v>
      </c>
      <c r="AX1096" s="2795">
        <f>IF(VOL&gt;=10,1,0)</f>
        <v>0</v>
      </c>
      <c r="AY1096" s="2795" t="str">
        <f>IF(SUM(AS1096,AU1096,AV1096,AW1096,AX1096)=5,"Ver Descripción","FALTAN REQUISITOS")</f>
        <v>FALTAN REQUISITOS</v>
      </c>
      <c r="AZ1096" s="3567" t="s">
        <v>10817</v>
      </c>
      <c r="BA1096" s="2779"/>
    </row>
    <row r="1097" spans="1:53" ht="12.75" customHeight="1">
      <c r="A1097" s="219">
        <v>1068</v>
      </c>
      <c r="B1097" s="7145"/>
      <c r="C1097" s="515" t="str">
        <f t="shared" si="377"/>
        <v>Transformación: Eliodón</v>
      </c>
      <c r="D1097" s="794">
        <f t="shared" si="379"/>
        <v>21</v>
      </c>
      <c r="E1097" s="131" t="s">
        <v>942</v>
      </c>
      <c r="F1097" s="75">
        <v>20</v>
      </c>
      <c r="G1097" s="75">
        <v>50</v>
      </c>
      <c r="H1097" s="84">
        <f>IF(COUNTIF(PDs!$E$81:$H$85,E1097)&gt;0,1,0)</f>
        <v>0</v>
      </c>
      <c r="I1097" s="540" t="str">
        <f>IF(OR(MAX(HA_final,HA_SinArmas)&lt;160,MAX(HD_final,HD_SinArmas)&lt;160,Tablas!$P$274=0),"NO","-")</f>
        <v>NO</v>
      </c>
      <c r="J1097" s="14" t="s">
        <v>943</v>
      </c>
      <c r="K1097" s="21"/>
      <c r="L1097" s="21"/>
      <c r="M1097" s="21"/>
      <c r="N1097" s="21"/>
      <c r="O1097" s="47"/>
      <c r="P1097" s="21"/>
      <c r="Q1097" s="21"/>
      <c r="R1097" s="3817"/>
      <c r="AL1097" s="2783" t="str">
        <f t="shared" si="375"/>
        <v>Tenebrae: Agujeros Negros</v>
      </c>
      <c r="AM1097" s="2739">
        <f t="shared" si="376"/>
        <v>23</v>
      </c>
      <c r="AN1097" s="2777" t="s">
        <v>10106</v>
      </c>
      <c r="AO1097" s="2796">
        <v>30</v>
      </c>
      <c r="AP1097" s="2796">
        <v>30</v>
      </c>
      <c r="AQ1097" s="2796">
        <v>30</v>
      </c>
      <c r="AR1097" s="2795" t="s">
        <v>4020</v>
      </c>
      <c r="AS1097" s="2795">
        <f>IF(COUNTIF(PDs!$E$130:$K$134,AN1097)&gt;0,1,0)</f>
        <v>0</v>
      </c>
      <c r="AT1097" s="3569" t="s">
        <v>10128</v>
      </c>
      <c r="AU1097" s="2795">
        <f>VLOOKUP(MID(AT1097,1,10),'Tablas psiquica'!D193:V193,17,FALSE)</f>
        <v>0</v>
      </c>
      <c r="AV1097" s="2795">
        <f>IF(HA_final&gt;=220,1,0)</f>
        <v>0</v>
      </c>
      <c r="AW1097" s="2795">
        <f>IF(VOL&gt;=11,1,0)</f>
        <v>0</v>
      </c>
      <c r="AX1097" s="2795">
        <f>IF(OR(Ki!Q65=30,Ki!I74=20,COUNTIF(Psíquicos!AV15:AZ60,"Inhumanidad")),1,0)</f>
        <v>0</v>
      </c>
      <c r="AY1097" s="2795" t="str">
        <f>IF(SUM(AS1097,AU1097,AW1097,AV1097,AX1097)=5,"Ver Descripción","FALTAN REQUISITOS")</f>
        <v>FALTAN REQUISITOS</v>
      </c>
      <c r="AZ1097" s="3567" t="s">
        <v>11714</v>
      </c>
      <c r="BA1097" s="2779"/>
    </row>
    <row r="1098" spans="1:53" ht="12.75" customHeight="1">
      <c r="A1098" s="219">
        <v>1069</v>
      </c>
      <c r="B1098" s="7145"/>
      <c r="C1098" s="515" t="str">
        <f t="shared" si="377"/>
        <v>Transformación: Los Sellos del Dragón</v>
      </c>
      <c r="D1098" s="794">
        <f t="shared" si="379"/>
        <v>24</v>
      </c>
      <c r="E1098" s="131" t="s">
        <v>944</v>
      </c>
      <c r="F1098" s="75">
        <v>30</v>
      </c>
      <c r="G1098" s="75">
        <v>50</v>
      </c>
      <c r="H1098" s="84">
        <f>IF(COUNTIF(PDs!$E$81:$H$85,E1098)&gt;0,1,0)</f>
        <v>0</v>
      </c>
      <c r="I1098" s="540" t="str">
        <f>IF(OR(HA_final&lt;150,NOT(Usodelaenergíanecesaria),NOT(Inhumanidad)),"NO","-")</f>
        <v>NO</v>
      </c>
      <c r="J1098" s="14" t="s">
        <v>945</v>
      </c>
      <c r="K1098" s="21"/>
      <c r="L1098" s="21"/>
      <c r="M1098" s="21"/>
      <c r="N1098" s="21"/>
      <c r="O1098" s="47"/>
      <c r="P1098" s="21"/>
      <c r="Q1098" s="21"/>
      <c r="R1098" s="3817"/>
      <c r="AL1098" s="2783" t="str">
        <f t="shared" si="375"/>
        <v>Terminus: Destructor de Mundos</v>
      </c>
      <c r="AM1098" s="2739">
        <f t="shared" si="376"/>
        <v>3</v>
      </c>
      <c r="AN1098" s="2782" t="s">
        <v>10114</v>
      </c>
      <c r="AO1098" s="2753">
        <v>20</v>
      </c>
      <c r="AP1098" s="2753">
        <v>20</v>
      </c>
      <c r="AQ1098" s="2753">
        <v>20</v>
      </c>
      <c r="AR1098" s="2795" t="s">
        <v>4020</v>
      </c>
      <c r="AS1098" s="2795">
        <f>IF(COUNTIF(PDs!$E$130:$K$134,AN1098)&gt;0,1,0)</f>
        <v>0</v>
      </c>
      <c r="AT1098" s="3566" t="s">
        <v>11065</v>
      </c>
      <c r="AU1098" s="2795">
        <f>VLOOKUP(MID(AT1098,1,8),'Tablas psiquica'!D220:V220,17,FALSE)</f>
        <v>0</v>
      </c>
      <c r="AV1098" s="2795">
        <f>IF(HA_final&gt;=150,1,0)</f>
        <v>0</v>
      </c>
      <c r="AW1098" s="2795">
        <f>IF(OR(Ki!Q65=30,Ki!I74=20,COUNTIF(Psíquicos!AV15:AZ60,"Inhumanidad")),1,0)</f>
        <v>0</v>
      </c>
      <c r="AX1098" s="2795" t="s">
        <v>1315</v>
      </c>
      <c r="AY1098" s="2795" t="str">
        <f>IF(SUM(AS1098,AU1098,AW1098,AV1098)=4,"Ver Descripción","FALTAN REQUISITOS")</f>
        <v>FALTAN REQUISITOS</v>
      </c>
      <c r="AZ1098" s="3567" t="s">
        <v>11715</v>
      </c>
      <c r="BA1098" s="2779"/>
    </row>
    <row r="1099" spans="1:53" ht="12.75" customHeight="1">
      <c r="A1099" s="219">
        <v>1070</v>
      </c>
      <c r="B1099" s="7145"/>
      <c r="C1099" s="515" t="str">
        <f t="shared" si="377"/>
        <v>Transformación: Poder Físico</v>
      </c>
      <c r="D1099" s="794">
        <f t="shared" si="379"/>
        <v>6</v>
      </c>
      <c r="E1099" s="3915" t="s">
        <v>12180</v>
      </c>
      <c r="F1099" s="3806">
        <v>50</v>
      </c>
      <c r="G1099" s="3806">
        <v>50</v>
      </c>
      <c r="H1099" s="3813">
        <f>IF(COUNTIF(PDs!$E$81:$H$85,E1099)&gt;0,1,0)</f>
        <v>0</v>
      </c>
      <c r="I1099" s="2615" t="str">
        <f>IF(AND(HA_final&lt;200,Memorizar_final&lt;100,VOL&lt;10,Ki!Q15=0),"NO","-")</f>
        <v>NO</v>
      </c>
      <c r="J1099" s="3916" t="s">
        <v>12181</v>
      </c>
      <c r="K1099" s="2613"/>
      <c r="L1099" s="2613"/>
      <c r="M1099" s="2613"/>
      <c r="N1099" s="2615"/>
      <c r="O1099" s="2613"/>
      <c r="P1099" s="2613"/>
      <c r="Q1099" s="2613"/>
      <c r="R1099" s="3969"/>
      <c r="AL1099" s="2783" t="str">
        <f t="shared" si="375"/>
        <v>Terra: Inquisidor de Acero</v>
      </c>
      <c r="AM1099" s="2739">
        <f t="shared" si="376"/>
        <v>29</v>
      </c>
      <c r="AN1099" s="2782" t="s">
        <v>11695</v>
      </c>
      <c r="AO1099" s="2753">
        <v>15</v>
      </c>
      <c r="AP1099" s="2753">
        <v>15</v>
      </c>
      <c r="AQ1099" s="2753">
        <v>20</v>
      </c>
      <c r="AR1099" s="2795" t="s">
        <v>4020</v>
      </c>
      <c r="AS1099" s="2795">
        <f>IF(COUNTIF(PDs!$E$130:$K$134,AN1099)&gt;0,1,0)</f>
        <v>0</v>
      </c>
      <c r="AT1099" s="3566" t="s">
        <v>11066</v>
      </c>
      <c r="AU1099" s="2795">
        <f>VLOOKUP(MID(AT1099,1,12),'Tablas psiquica'!D18:V18,17,FALSE)</f>
        <v>0</v>
      </c>
      <c r="AV1099" s="2795">
        <f>IF(Ki!Q49=10,1,0)</f>
        <v>0</v>
      </c>
      <c r="AW1099" s="2795">
        <f>IF(HA_final&gt;=150,1,0)</f>
        <v>0</v>
      </c>
      <c r="AX1099" s="2795" t="s">
        <v>1315</v>
      </c>
      <c r="AY1099" s="2795" t="str">
        <f>IF(SUM(AS1099,AU1099,AW1099,AV1099)=4,"Ver Descripción","FALTAN REQUISITOS")</f>
        <v>FALTAN REQUISITOS</v>
      </c>
      <c r="AZ1099" s="3567" t="s">
        <v>11716</v>
      </c>
      <c r="BA1099" s="2779"/>
    </row>
    <row r="1100" spans="1:53" ht="12.75" customHeight="1">
      <c r="A1100" s="219">
        <v>1071</v>
      </c>
      <c r="B1100" s="7145"/>
      <c r="C1100" s="515" t="str">
        <f t="shared" si="377"/>
        <v>Transformación: Ruptura del Destino</v>
      </c>
      <c r="D1100" s="794">
        <f t="shared" si="379"/>
        <v>7</v>
      </c>
      <c r="E1100" s="3915" t="s">
        <v>12182</v>
      </c>
      <c r="F1100" s="3806">
        <v>30</v>
      </c>
      <c r="G1100" s="3806">
        <v>10</v>
      </c>
      <c r="H1100" s="3813">
        <f>IF(COUNTIF(PDs!$E$81:$H$85,E1100)&gt;0,1,0)</f>
        <v>0</v>
      </c>
      <c r="I1100" s="2613" t="str">
        <f>IF(HA_final&lt;150,"NO","-")</f>
        <v>NO</v>
      </c>
      <c r="J1100" s="3916" t="s">
        <v>12183</v>
      </c>
      <c r="K1100" s="2613"/>
      <c r="L1100" s="2613"/>
      <c r="M1100" s="2613"/>
      <c r="N1100" s="2615"/>
      <c r="O1100" s="2613"/>
      <c r="P1100" s="2613"/>
      <c r="Q1100" s="2613"/>
      <c r="R1100" s="3969"/>
      <c r="AL1100" s="2783" t="str">
        <f t="shared" si="375"/>
        <v>Tutamen: Armadura Esquirlada</v>
      </c>
      <c r="AM1100" s="2739">
        <f t="shared" si="376"/>
        <v>12</v>
      </c>
      <c r="AN1100" s="2782" t="s">
        <v>11696</v>
      </c>
      <c r="AO1100" s="2753">
        <v>15</v>
      </c>
      <c r="AP1100" s="2753">
        <v>15</v>
      </c>
      <c r="AQ1100" s="2753">
        <v>15</v>
      </c>
      <c r="AR1100" s="2795" t="s">
        <v>4020</v>
      </c>
      <c r="AS1100" s="2795">
        <f>IF(COUNTIF(PDs!$E$130:$K$134,AN1100)&gt;0,1,0)</f>
        <v>0</v>
      </c>
      <c r="AT1100" s="3566" t="s">
        <v>11067</v>
      </c>
      <c r="AU1100" s="2795">
        <f>VLOOKUP(MID(AT1100,1,16),'Tablas psiquica'!D139:V139,17,FALSE)</f>
        <v>0</v>
      </c>
      <c r="AV1100" s="2795">
        <f>VLOOKUP(MID(AT1100,19,15),'Tablas psiquica'!D208:V208,17,FALSE)</f>
        <v>0</v>
      </c>
      <c r="AW1100" s="2795">
        <f>IF(HA_final&gt;=150,1,0)</f>
        <v>0</v>
      </c>
      <c r="AX1100" s="2795" t="s">
        <v>1315</v>
      </c>
      <c r="AY1100" s="2795" t="str">
        <f>IF(SUM(AS1100,AU1100,AW1100,AV1100,)=4,"Ver Descripción","FALTAN REQUISITOS")</f>
        <v>FALTAN REQUISITOS</v>
      </c>
      <c r="AZ1100" s="3567" t="s">
        <v>11717</v>
      </c>
      <c r="BA1100" s="2779"/>
    </row>
    <row r="1101" spans="1:53" ht="12.75" customHeight="1">
      <c r="A1101" s="219">
        <v>1072</v>
      </c>
      <c r="B1101" s="7145"/>
      <c r="C1101" s="515" t="str">
        <f t="shared" si="377"/>
        <v>Umbra: Ataque de Sombras</v>
      </c>
      <c r="D1101" s="794">
        <f t="shared" si="379"/>
        <v>3</v>
      </c>
      <c r="E1101" s="3915" t="s">
        <v>12184</v>
      </c>
      <c r="F1101" s="3806">
        <v>40</v>
      </c>
      <c r="G1101" s="3806">
        <v>60</v>
      </c>
      <c r="H1101" s="3813">
        <f>IF(COUNTIF(PDs!$E$81:$H$85,E1101)&gt;0,1,0)</f>
        <v>0</v>
      </c>
      <c r="I1101" s="3299" t="str">
        <f>IF(AND(HA_final&lt;150,HD_final&lt;150,Ki!Q6=0),"NO","-")</f>
        <v>NO</v>
      </c>
      <c r="J1101" s="3916" t="s">
        <v>12185</v>
      </c>
      <c r="K1101" s="2613"/>
      <c r="L1101" s="2613"/>
      <c r="M1101" s="2613"/>
      <c r="N1101" s="2615"/>
      <c r="O1101" s="2613"/>
      <c r="P1101" s="2613"/>
      <c r="Q1101" s="2613"/>
      <c r="R1101" s="3969"/>
      <c r="AL1101" s="2783" t="str">
        <f t="shared" si="375"/>
        <v>Vacuos: Presión desatada</v>
      </c>
      <c r="AM1101" s="2739">
        <f t="shared" si="376"/>
        <v>4</v>
      </c>
      <c r="AN1101" s="2782" t="s">
        <v>10115</v>
      </c>
      <c r="AO1101" s="2753">
        <v>25</v>
      </c>
      <c r="AP1101" s="2753">
        <v>25</v>
      </c>
      <c r="AQ1101" s="2753">
        <v>20</v>
      </c>
      <c r="AR1101" s="2795" t="s">
        <v>4020</v>
      </c>
      <c r="AS1101" s="2795">
        <f>IF(COUNTIF(PDs!$E$130:$K$134,AN1101)&gt;0,1,0)</f>
        <v>0</v>
      </c>
      <c r="AT1101" s="3566" t="s">
        <v>11068</v>
      </c>
      <c r="AU1101" s="2795">
        <f>VLOOKUP(MID(AT1101,1,19),'Tablas psiquica'!D154:V154,17,FALSE)</f>
        <v>0</v>
      </c>
      <c r="AV1101" s="2795">
        <f>IF(HA_final&gt;=180,1,0)</f>
        <v>0</v>
      </c>
      <c r="AW1101" s="2795">
        <f>IF(HD_final&gt;=180,1,0)</f>
        <v>0</v>
      </c>
      <c r="AX1101" s="2795">
        <f>IF(Música_final&gt;=100,1,0)</f>
        <v>1</v>
      </c>
      <c r="AY1101" s="2795" t="str">
        <f t="shared" ref="AY1101:AY1104" si="383">IF(SUM(AS1101,AU1101,AW1101,AV1101,AX1101)=5,"Ver Descripción","FALTAN REQUISITOS")</f>
        <v>FALTAN REQUISITOS</v>
      </c>
      <c r="AZ1101" s="3567" t="s">
        <v>2000</v>
      </c>
      <c r="BA1101" s="2779"/>
    </row>
    <row r="1102" spans="1:53" ht="12.75" customHeight="1">
      <c r="A1102" s="219">
        <v>1073</v>
      </c>
      <c r="B1102" s="7145"/>
      <c r="C1102" s="515" t="str">
        <f t="shared" ref="C1102:C1125" si="384">VLOOKUP(A1,$D$1102:$E$1125,2,0)</f>
        <v>&gt; ARMAS IMPOSIBLES</v>
      </c>
      <c r="D1102" s="794">
        <f>COUNTIF($E$1102:$E$1125,"&lt;="&amp;E1102)</f>
        <v>1</v>
      </c>
      <c r="E1102" s="131" t="s">
        <v>2075</v>
      </c>
      <c r="F1102" s="75">
        <v>0</v>
      </c>
      <c r="G1102" s="75">
        <v>0</v>
      </c>
      <c r="H1102" s="84"/>
      <c r="I1102" s="540" t="s">
        <v>1315</v>
      </c>
      <c r="J1102" s="76" t="s">
        <v>1315</v>
      </c>
      <c r="K1102" s="21"/>
      <c r="L1102" s="21"/>
      <c r="M1102" s="21"/>
      <c r="N1102" s="21"/>
      <c r="O1102" s="47"/>
      <c r="P1102" s="21"/>
      <c r="Q1102" s="21"/>
      <c r="R1102" s="3817"/>
      <c r="AL1102" s="2783" t="str">
        <f t="shared" si="375"/>
        <v>Victus: Hacedor de Sangre</v>
      </c>
      <c r="AM1102" s="2739">
        <f t="shared" si="376"/>
        <v>11</v>
      </c>
      <c r="AN1102" s="2782" t="s">
        <v>10116</v>
      </c>
      <c r="AO1102" s="2753">
        <v>25</v>
      </c>
      <c r="AP1102" s="2753">
        <v>25</v>
      </c>
      <c r="AQ1102" s="2753">
        <v>30</v>
      </c>
      <c r="AR1102" s="2795" t="s">
        <v>4020</v>
      </c>
      <c r="AS1102" s="2795">
        <f>IF(COUNTIF(PDs!$E$130:$K$134,AN1102)&gt;0,1,0)</f>
        <v>0</v>
      </c>
      <c r="AT1102" s="3566" t="s">
        <v>11069</v>
      </c>
      <c r="AU1102" s="2795">
        <f>VLOOKUP(MID(AT1102,1,17),'Tablas psiquica'!D296:V296,17,FALSE)</f>
        <v>0</v>
      </c>
      <c r="AV1102" s="2795">
        <f>IF(Proyecciónpsíquica_final&gt;=150,1,0)</f>
        <v>0</v>
      </c>
      <c r="AW1102" s="2795">
        <f>IF(INT&gt;=11,1,0)</f>
        <v>0</v>
      </c>
      <c r="AX1102" s="2795" t="s">
        <v>1315</v>
      </c>
      <c r="AY1102" s="2795" t="str">
        <f>IF(SUM(AS1102,AU1102,AW1102,AV1102)=4,"Ver Descripción","FALTAN REQUISITOS")</f>
        <v>FALTAN REQUISITOS</v>
      </c>
      <c r="AZ1102" s="3567" t="s">
        <v>11718</v>
      </c>
      <c r="BA1102" s="2779"/>
    </row>
    <row r="1103" spans="1:53" ht="12.75" customHeight="1">
      <c r="A1103" s="219">
        <v>1074</v>
      </c>
      <c r="B1103" s="7145"/>
      <c r="C1103" s="515" t="str">
        <f t="shared" si="384"/>
        <v>Aquarius: Capas y prendas de vestir</v>
      </c>
      <c r="D1103" s="794">
        <f t="shared" ref="D1103:D1125" si="385">COUNTIF($E$1102:$E$1125,"&lt;="&amp;E1103)</f>
        <v>3</v>
      </c>
      <c r="E1103" s="131" t="s">
        <v>946</v>
      </c>
      <c r="F1103" s="75">
        <v>40</v>
      </c>
      <c r="G1103" s="75">
        <v>40</v>
      </c>
      <c r="H1103" s="84">
        <f>IF(COUNTIF(PDs!$E$81:$H$85,E1103)&gt;0,1,0)</f>
        <v>0</v>
      </c>
      <c r="I1103" s="540" t="str">
        <f>IF(OR(NOT(Inhumanidad),NOT(UsodelKi),HA_final&lt;150,HD_final&lt;150),"NO","-")</f>
        <v>NO</v>
      </c>
      <c r="J1103" s="76" t="s">
        <v>947</v>
      </c>
      <c r="K1103" s="21"/>
      <c r="L1103" s="21"/>
      <c r="M1103" s="21"/>
      <c r="N1103" s="21"/>
      <c r="O1103" s="47"/>
      <c r="P1103" s="21"/>
      <c r="Q1103" s="21"/>
      <c r="R1103" s="3817"/>
      <c r="S1103" t="b">
        <f>COUNTIF($H$1109:$H$1112,"&gt;0")&gt;0</f>
        <v>0</v>
      </c>
      <c r="AL1103" s="2783" t="str">
        <f t="shared" si="375"/>
        <v>Vinculum: Liberación Gravitatoria</v>
      </c>
      <c r="AM1103" s="2739">
        <f t="shared" si="376"/>
        <v>22</v>
      </c>
      <c r="AN1103" s="2782" t="s">
        <v>11694</v>
      </c>
      <c r="AO1103" s="2753">
        <v>20</v>
      </c>
      <c r="AP1103" s="2753">
        <v>20</v>
      </c>
      <c r="AQ1103" s="2753">
        <v>15</v>
      </c>
      <c r="AR1103" s="2795" t="s">
        <v>4020</v>
      </c>
      <c r="AS1103" s="2795">
        <f>IF(COUNTIF(PDs!$E$130:$K$134,AN1103)&gt;0,1,0)</f>
        <v>0</v>
      </c>
      <c r="AT1103" s="3566" t="s">
        <v>11070</v>
      </c>
      <c r="AU1103" s="2795">
        <f>VLOOKUP(MID(AT1103,1,12),'Tablas psiquica'!D213:V213,17,FALSE)</f>
        <v>0</v>
      </c>
      <c r="AV1103" s="2795">
        <f>VLOOKUP(MID(AT1103,15,7),'Tablas psiquica'!D161:V161,17,FALSE)</f>
        <v>0</v>
      </c>
      <c r="AW1103" s="2795">
        <f>IF(HA_final&gt;=180,1,0)</f>
        <v>0</v>
      </c>
      <c r="AX1103" s="2795">
        <f>IF(VOL&gt;=11,1,0)</f>
        <v>0</v>
      </c>
      <c r="AY1103" s="2795" t="str">
        <f t="shared" si="383"/>
        <v>FALTAN REQUISITOS</v>
      </c>
      <c r="AZ1103" s="3567" t="s">
        <v>11719</v>
      </c>
      <c r="BA1103" s="2779"/>
    </row>
    <row r="1104" spans="1:53" ht="12.75" customHeight="1">
      <c r="A1104" s="219">
        <v>1075</v>
      </c>
      <c r="B1104" s="7145"/>
      <c r="C1104" s="515" t="str">
        <f t="shared" si="384"/>
        <v>Aries: Masificación armas y cadenas</v>
      </c>
      <c r="D1104" s="794">
        <f t="shared" si="385"/>
        <v>20</v>
      </c>
      <c r="E1104" s="131" t="s">
        <v>948</v>
      </c>
      <c r="F1104" s="75">
        <v>20</v>
      </c>
      <c r="G1104" s="75">
        <v>30</v>
      </c>
      <c r="H1104" s="84">
        <f>IF(COUNTIF(PDs!$E$81:$H$85,E1104)&gt;0,1,0)</f>
        <v>0</v>
      </c>
      <c r="I1104" s="540" t="str">
        <f>IF(OR(NOT(Inhumanidad),NOT(UsodelKi),HA_final&lt;120,NOT(OR(L679="Conocida",L696="Conocida",L716="Conocida"))),"NO","-")</f>
        <v>NO</v>
      </c>
      <c r="J1104" s="76" t="s">
        <v>949</v>
      </c>
      <c r="K1104" s="21"/>
      <c r="L1104" s="21"/>
      <c r="M1104" s="21"/>
      <c r="N1104" s="21"/>
      <c r="O1104" s="47"/>
      <c r="P1104" s="21"/>
      <c r="Q1104" s="21"/>
      <c r="R1104" s="3817"/>
      <c r="AL1104" s="2783" t="str">
        <f t="shared" si="375"/>
        <v>Volito: Fragmentación Psíquica</v>
      </c>
      <c r="AM1104" s="2739">
        <f t="shared" si="376"/>
        <v>25</v>
      </c>
      <c r="AN1104" s="2782" t="s">
        <v>10117</v>
      </c>
      <c r="AO1104" s="2753">
        <v>20</v>
      </c>
      <c r="AP1104" s="2753">
        <v>20</v>
      </c>
      <c r="AQ1104" s="2753">
        <v>20</v>
      </c>
      <c r="AR1104" s="2795" t="s">
        <v>4020</v>
      </c>
      <c r="AS1104" s="2795">
        <f>IF(COUNTIF(PDs!$E$130:$K$134,AN1104)&gt;0,1,0)</f>
        <v>0</v>
      </c>
      <c r="AT1104" s="3566" t="s">
        <v>11071</v>
      </c>
      <c r="AU1104" s="2795">
        <f>VLOOKUP(MID(AT1104,1,19),'Tablas psiquica'!D84:V84,17,FALSE)</f>
        <v>0</v>
      </c>
      <c r="AV1104" s="2795">
        <f>VLOOKUP(MID(AT1104,22,22),'Tablas psiquica'!D28:V28,17,FALSE)</f>
        <v>0</v>
      </c>
      <c r="AW1104" s="2795">
        <f>IF(HD_final&gt;=180,1,0)</f>
        <v>0</v>
      </c>
      <c r="AX1104" s="2795">
        <f>IF(VOL&gt;=11,1,0)</f>
        <v>0</v>
      </c>
      <c r="AY1104" s="2795" t="str">
        <f t="shared" si="383"/>
        <v>FALTAN REQUISITOS</v>
      </c>
      <c r="AZ1104" s="3567" t="s">
        <v>11720</v>
      </c>
      <c r="BA1104" s="2779"/>
    </row>
    <row r="1105" spans="1:54" ht="12.75" customHeight="1">
      <c r="A1105" s="219">
        <v>1076</v>
      </c>
      <c r="B1105" s="7145"/>
      <c r="C1105" s="515" t="str">
        <f t="shared" si="384"/>
        <v>Cáncer Magister: Monofilos</v>
      </c>
      <c r="D1105" s="794">
        <f t="shared" si="385"/>
        <v>19</v>
      </c>
      <c r="E1105" s="3915" t="s">
        <v>12186</v>
      </c>
      <c r="F1105" s="3806">
        <v>30</v>
      </c>
      <c r="G1105" s="3806">
        <v>30</v>
      </c>
      <c r="H1105" s="3813">
        <f>IF(COUNTIF(PDs!$E$81:$H$85,E1105)&gt;0,1,0)</f>
        <v>0</v>
      </c>
      <c r="I1105" s="2613" t="str">
        <f>IF(AND(H1104=0,HA_final&lt;200,FUE&lt;11,NOT(Inhumanidad)),"NO","-")</f>
        <v>NO</v>
      </c>
      <c r="J1105" s="2613"/>
      <c r="K1105" s="2613"/>
      <c r="L1105" s="2613"/>
      <c r="M1105" s="2613"/>
      <c r="N1105" s="2615"/>
      <c r="O1105" s="2613"/>
      <c r="P1105" s="2613"/>
      <c r="Q1105" s="2613"/>
      <c r="R1105" s="3969"/>
      <c r="AL1105" s="2784" t="str">
        <f>VLOOKUP(A1,$AM$1105:$AN$1108,2,0)</f>
        <v>&gt; ARS COGNITIAM PERSONALIZADOS</v>
      </c>
      <c r="AM1105" s="2777">
        <f>COUNTIF($AN$1105:$AN$1108,"&lt;="&amp;AN1105)</f>
        <v>1</v>
      </c>
      <c r="AN1105" s="2777" t="s">
        <v>10107</v>
      </c>
      <c r="AO1105" s="2776"/>
      <c r="AP1105" s="2739"/>
      <c r="AQ1105" s="2739"/>
      <c r="AR1105" s="2795"/>
      <c r="AS1105" s="2739"/>
      <c r="AT1105" s="2739"/>
      <c r="AU1105" s="2795"/>
      <c r="AV1105" s="2795"/>
      <c r="AW1105" s="2795"/>
      <c r="AX1105" s="2795"/>
      <c r="AY1105" s="2795"/>
      <c r="AZ1105" s="3567"/>
      <c r="BA1105" s="2779"/>
    </row>
    <row r="1106" spans="1:54" ht="12.75" customHeight="1">
      <c r="A1106" s="219">
        <v>1077</v>
      </c>
      <c r="B1106" s="7145"/>
      <c r="C1106" s="515" t="str">
        <f t="shared" si="384"/>
        <v>Cáncer: Monofilos</v>
      </c>
      <c r="D1106" s="794">
        <f t="shared" si="385"/>
        <v>7</v>
      </c>
      <c r="E1106" s="131" t="s">
        <v>950</v>
      </c>
      <c r="F1106" s="75">
        <v>50</v>
      </c>
      <c r="G1106" s="75">
        <v>50</v>
      </c>
      <c r="H1106" s="84">
        <f>IF(COUNTIF(PDs!$E$81:$H$85,E1106)&gt;0,1,0)</f>
        <v>0</v>
      </c>
      <c r="I1106" s="540" t="str">
        <f>IF(OR(NOT(Inhumanidad),NOT(UsodelKi),DES&lt;11),"NO","-")</f>
        <v>NO</v>
      </c>
      <c r="J1106" s="76" t="s">
        <v>951</v>
      </c>
      <c r="K1106" s="21"/>
      <c r="L1106" s="21"/>
      <c r="M1106" s="21"/>
      <c r="N1106" s="21"/>
      <c r="O1106" s="47"/>
      <c r="P1106" s="21"/>
      <c r="Q1106" s="21"/>
      <c r="R1106" s="3817"/>
      <c r="AL1106" s="2784" t="str">
        <f>VLOOKUP(A2,$AM$1105:$AN$1108,2,0)</f>
        <v>Ars Cognitiam Pesonalizado 1</v>
      </c>
      <c r="AM1106" s="2777">
        <f>COUNTIF($AN$1105:$AN$1108,"&lt;="&amp;AN1106)</f>
        <v>2</v>
      </c>
      <c r="AN1106" s="2777" t="str">
        <f>IF(Personalización!V86="","Ars Cognitiam Pesonalizado 1",Personalización!V86)</f>
        <v>Ars Cognitiam Pesonalizado 1</v>
      </c>
      <c r="AO1106" s="2776"/>
      <c r="AP1106" s="2739"/>
      <c r="AQ1106" s="2739"/>
      <c r="AR1106" s="2795" t="s">
        <v>4020</v>
      </c>
      <c r="AS1106" s="2739"/>
      <c r="AT1106" s="2739"/>
      <c r="AU1106" s="2795"/>
      <c r="AV1106" s="2795"/>
      <c r="AW1106" s="2795"/>
      <c r="AX1106" s="2795"/>
      <c r="AY1106" s="2795"/>
      <c r="AZ1106" s="3567" t="s">
        <v>10818</v>
      </c>
      <c r="BA1106" s="2779"/>
    </row>
    <row r="1107" spans="1:54" ht="12.75" customHeight="1">
      <c r="A1107" s="219">
        <v>1078</v>
      </c>
      <c r="B1107" s="7145"/>
      <c r="C1107" s="515" t="str">
        <f t="shared" si="384"/>
        <v>Capricornius: Agujas</v>
      </c>
      <c r="D1107" s="794">
        <f t="shared" si="385"/>
        <v>5</v>
      </c>
      <c r="E1107" s="131" t="s">
        <v>952</v>
      </c>
      <c r="F1107" s="75">
        <f>40+IF($H$1122&gt;0,-10,0)</f>
        <v>40</v>
      </c>
      <c r="G1107" s="75">
        <v>20</v>
      </c>
      <c r="H1107" s="84">
        <f>IF(COUNTIF(PDs!$E$81:$H$85,E1107)&gt;0,1,0)</f>
        <v>0</v>
      </c>
      <c r="I1107" s="540" t="str">
        <f>IF(OR(NOT(Inhumanidad),NOT(UsodelKi),T.Manos_final&lt;50,DES&lt;10),"NO","-")</f>
        <v>NO</v>
      </c>
      <c r="J1107" s="76" t="s">
        <v>953</v>
      </c>
      <c r="K1107" s="21"/>
      <c r="L1107" s="21"/>
      <c r="M1107" s="21"/>
      <c r="N1107" s="21"/>
      <c r="O1107" s="47"/>
      <c r="P1107" s="21"/>
      <c r="Q1107" s="21"/>
      <c r="R1107" s="3817"/>
      <c r="AL1107" s="2784" t="str">
        <f>VLOOKUP(A3,$AM$1105:$AN$1108,2,0)</f>
        <v>Ars Cognitiam Pesonalizado 2</v>
      </c>
      <c r="AM1107" s="2777">
        <f>COUNTIF($AN$1105:$AN$1108,"&lt;="&amp;AN1107)</f>
        <v>3</v>
      </c>
      <c r="AN1107" s="2777" t="str">
        <f>IF(Personalización!V87="","Ars Cognitiam Pesonalizado 2",Personalización!V87)</f>
        <v>Ars Cognitiam Pesonalizado 2</v>
      </c>
      <c r="AO1107" s="2776"/>
      <c r="AP1107" s="2739"/>
      <c r="AQ1107" s="2739"/>
      <c r="AR1107" s="2795" t="s">
        <v>4020</v>
      </c>
      <c r="AS1107" s="2739"/>
      <c r="AT1107" s="2739"/>
      <c r="AU1107" s="2795"/>
      <c r="AV1107" s="2795"/>
      <c r="AW1107" s="2795"/>
      <c r="AX1107" s="2795"/>
      <c r="AY1107" s="2795"/>
      <c r="AZ1107" s="3567" t="s">
        <v>10819</v>
      </c>
      <c r="BA1107" s="2779"/>
    </row>
    <row r="1108" spans="1:54" ht="12.75" customHeight="1" thickBot="1">
      <c r="A1108" s="219">
        <v>1079</v>
      </c>
      <c r="B1108" s="7145"/>
      <c r="C1108" s="515" t="str">
        <f t="shared" si="384"/>
        <v>Gémini: Marionetas</v>
      </c>
      <c r="D1108" s="794">
        <f t="shared" si="385"/>
        <v>4</v>
      </c>
      <c r="E1108" s="131" t="s">
        <v>954</v>
      </c>
      <c r="F1108" s="75">
        <f>30+IF($H$1122&gt;0,-10,0)</f>
        <v>30</v>
      </c>
      <c r="G1108" s="75">
        <v>30</v>
      </c>
      <c r="H1108" s="84">
        <f>IF(COUNTIF(PDs!$E$81:$H$85,E1108)&gt;0,1,0)</f>
        <v>0</v>
      </c>
      <c r="I1108" s="540" t="str">
        <f>IF(OR(NOT(Inhumanidad),NOT(UsodelKi),HA_final&lt;200,NOT(Extensióndelauraalarma),DES&lt;11,H1107=0),"NO","-")</f>
        <v>NO</v>
      </c>
      <c r="J1108" s="76" t="s">
        <v>955</v>
      </c>
      <c r="K1108" s="21"/>
      <c r="L1108" s="21"/>
      <c r="M1108" s="21"/>
      <c r="N1108" s="21"/>
      <c r="O1108" s="47"/>
      <c r="P1108" s="21"/>
      <c r="Q1108" s="21"/>
      <c r="R1108" s="3817"/>
      <c r="AL1108" s="2785" t="str">
        <f>VLOOKUP(A4,$AM$1105:$AN$1108,2,0)</f>
        <v>Ars Cognitiam Pesonalizado 3</v>
      </c>
      <c r="AM1108" s="2778">
        <f>COUNTIF($AN$1105:$AN$1108,"&lt;="&amp;AN1108)</f>
        <v>4</v>
      </c>
      <c r="AN1108" s="2778" t="str">
        <f>IF(Personalización!V88="","Ars Cognitiam Pesonalizado 3",Personalización!V88)</f>
        <v>Ars Cognitiam Pesonalizado 3</v>
      </c>
      <c r="AO1108" s="2798"/>
      <c r="AP1108" s="2799"/>
      <c r="AQ1108" s="2799"/>
      <c r="AR1108" s="3565" t="s">
        <v>4020</v>
      </c>
      <c r="AS1108" s="2799"/>
      <c r="AT1108" s="2799"/>
      <c r="AU1108" s="3565"/>
      <c r="AV1108" s="3565"/>
      <c r="AW1108" s="3565"/>
      <c r="AX1108" s="3565"/>
      <c r="AY1108" s="3565"/>
      <c r="AZ1108" s="3610" t="s">
        <v>10820</v>
      </c>
      <c r="BA1108" s="2780"/>
    </row>
    <row r="1109" spans="1:54" ht="12.75" customHeight="1">
      <c r="A1109" s="219">
        <v>1080</v>
      </c>
      <c r="B1109" s="7145"/>
      <c r="C1109" s="515" t="str">
        <f t="shared" si="384"/>
        <v>Leo: Armas-pistola</v>
      </c>
      <c r="D1109" s="794">
        <f t="shared" si="385"/>
        <v>8</v>
      </c>
      <c r="E1109" s="131" t="s">
        <v>956</v>
      </c>
      <c r="F1109" s="75">
        <v>20</v>
      </c>
      <c r="G1109" s="75">
        <v>10</v>
      </c>
      <c r="H1109" s="84">
        <f>IF(COUNTIF(PDs!$E$81:$H$85,E1109)&gt;0,1,0)</f>
        <v>0</v>
      </c>
      <c r="I1109" s="540" t="str">
        <f>IF(OR(NOT(Inhumanidad),NOT(UsodelKi)),"NO","-")</f>
        <v>NO</v>
      </c>
      <c r="J1109" s="76" t="s">
        <v>957</v>
      </c>
      <c r="K1109" s="21"/>
      <c r="L1109" s="21"/>
      <c r="M1109" s="21"/>
      <c r="N1109" s="21"/>
      <c r="O1109" s="47"/>
      <c r="P1109" s="21"/>
      <c r="Q1109" s="21"/>
      <c r="R1109" s="3817"/>
      <c r="AO1109" s="219"/>
      <c r="AP1109" s="825"/>
      <c r="AQ1109" s="825"/>
      <c r="AR1109" s="825"/>
      <c r="AS1109" s="825"/>
      <c r="AT1109" s="825"/>
      <c r="AU1109" s="825"/>
      <c r="AV1109" s="825"/>
      <c r="AW1109" s="825"/>
      <c r="AX1109" s="825"/>
      <c r="AY1109" s="825"/>
    </row>
    <row r="1110" spans="1:54" ht="12.75" customHeight="1">
      <c r="A1110" s="219">
        <v>1081</v>
      </c>
      <c r="B1110" s="7145"/>
      <c r="C1110" s="515" t="str">
        <f t="shared" si="384"/>
        <v>Libra: Arma variable</v>
      </c>
      <c r="D1110" s="794">
        <f t="shared" si="385"/>
        <v>24</v>
      </c>
      <c r="E1110" s="131" t="s">
        <v>9601</v>
      </c>
      <c r="F1110" s="75">
        <v>50</v>
      </c>
      <c r="G1110" s="75">
        <v>50</v>
      </c>
      <c r="H1110" s="84">
        <f>IF(COUNTIF(PDs!$E$81:$H$85,E1110)&gt;0,1,0)</f>
        <v>0</v>
      </c>
      <c r="I1110" s="540" t="str">
        <f>IF(OR(NOT(Inhumanidad),NOT(UsodelKi),HA_final&lt;140,NOT(Extensióndelauraalarma),Música_final&lt;100,Música_final="-"),"NO","-")</f>
        <v>NO</v>
      </c>
      <c r="J1110" s="76" t="s">
        <v>9608</v>
      </c>
      <c r="K1110" s="21"/>
      <c r="L1110" s="21"/>
      <c r="M1110" s="21"/>
      <c r="N1110" s="21"/>
      <c r="O1110" s="47"/>
      <c r="P1110" s="21"/>
      <c r="Q1110" s="21"/>
      <c r="R1110" s="3817"/>
    </row>
    <row r="1111" spans="1:54" ht="12.75" customHeight="1">
      <c r="A1111" s="219">
        <v>1082</v>
      </c>
      <c r="B1111" s="7145"/>
      <c r="C1111" s="515" t="str">
        <f t="shared" si="384"/>
        <v>Ophiucos Magister: La Forja de Espadas</v>
      </c>
      <c r="D1111" s="794">
        <f t="shared" si="385"/>
        <v>23</v>
      </c>
      <c r="E1111" s="131" t="s">
        <v>9602</v>
      </c>
      <c r="F1111" s="75">
        <v>50</v>
      </c>
      <c r="G1111" s="75">
        <v>50</v>
      </c>
      <c r="H1111" s="84">
        <f>IF(COUNTIF(PDs!$E$81:$H$85,E1111)&gt;0,1,0)</f>
        <v>0</v>
      </c>
      <c r="I1111" s="540" t="str">
        <f>IF(OR(NOT(Inhumanidad),NOT(UsodelKi),HA_final&lt;140,NOT(Extensióndelauraalarma),Música_final&lt;100,Música_final="-"),"NO","-")</f>
        <v>NO</v>
      </c>
      <c r="J1111" s="76" t="s">
        <v>9607</v>
      </c>
      <c r="K1111" s="21"/>
      <c r="L1111" s="21"/>
      <c r="M1111" s="21"/>
      <c r="N1111" s="21"/>
      <c r="O1111" s="47"/>
      <c r="P1111" s="21"/>
      <c r="Q1111" s="21"/>
      <c r="R1111" s="3817"/>
    </row>
    <row r="1112" spans="1:54" ht="12.75" customHeight="1" thickBot="1">
      <c r="A1112" s="219">
        <v>1083</v>
      </c>
      <c r="B1112" s="7145"/>
      <c r="C1112" s="515" t="str">
        <f t="shared" si="384"/>
        <v>Ophiucos Sigma</v>
      </c>
      <c r="D1112" s="794">
        <f t="shared" si="385"/>
        <v>21</v>
      </c>
      <c r="E1112" s="131" t="s">
        <v>9603</v>
      </c>
      <c r="F1112" s="75">
        <v>50</v>
      </c>
      <c r="G1112" s="75">
        <v>50</v>
      </c>
      <c r="H1112" s="84">
        <f>IF(COUNTIF(PDs!$E$81:$H$85,E1112)&gt;0,1,0)</f>
        <v>0</v>
      </c>
      <c r="I1112" s="540" t="str">
        <f>IF(OR(NOT(Inhumanidad),NOT(UsodelKi),HA_final&lt;140,NOT(Extensióndelauraalarma),Música_final&lt;100,Música_final="-"),"NO","-")</f>
        <v>NO</v>
      </c>
      <c r="J1112" s="76" t="s">
        <v>9606</v>
      </c>
      <c r="K1112" s="21"/>
      <c r="L1112" s="21"/>
      <c r="M1112" s="21"/>
      <c r="N1112" s="21"/>
      <c r="O1112" s="47"/>
      <c r="P1112" s="21"/>
      <c r="Q1112" s="21"/>
      <c r="R1112" s="3817"/>
      <c r="AO1112"/>
      <c r="AP1112" s="510"/>
      <c r="AQ1112" s="510"/>
      <c r="AR1112" s="510"/>
      <c r="AS1112" s="510"/>
      <c r="AT1112" s="510"/>
      <c r="AU1112" s="510"/>
      <c r="AV1112" s="510"/>
      <c r="AW1112" s="510"/>
    </row>
    <row r="1113" spans="1:54" ht="12.75" customHeight="1">
      <c r="A1113" s="219">
        <v>1084</v>
      </c>
      <c r="B1113" s="7145"/>
      <c r="C1113" s="515" t="str">
        <f t="shared" si="384"/>
        <v>Ophiucos: Señor de Espadas Infinitas</v>
      </c>
      <c r="D1113" s="794">
        <f t="shared" si="385"/>
        <v>22</v>
      </c>
      <c r="E1113" s="131" t="s">
        <v>9604</v>
      </c>
      <c r="F1113" s="75">
        <v>50</v>
      </c>
      <c r="G1113" s="75">
        <v>50</v>
      </c>
      <c r="H1113" s="84">
        <f>IF(COUNTIF(PDs!$E$81:$H$85,E1113)&gt;0,1,0)</f>
        <v>0</v>
      </c>
      <c r="I1113" s="540" t="str">
        <f>IF(OR(NOT(Inhumanidad),NOT(UsodelKi),HA_final&lt;140,NOT(Extensióndelauraalarma),Música_final&lt;100,Música_final="-"),"NO","-")</f>
        <v>NO</v>
      </c>
      <c r="J1113" s="76" t="s">
        <v>9605</v>
      </c>
      <c r="K1113" s="21"/>
      <c r="L1113" s="21"/>
      <c r="M1113" s="21"/>
      <c r="N1113" s="21"/>
      <c r="O1113" s="47"/>
      <c r="P1113" s="21"/>
      <c r="Q1113" s="21"/>
      <c r="R1113" s="3817"/>
      <c r="AO1113" s="8097" t="s">
        <v>1504</v>
      </c>
      <c r="AP1113" s="8098"/>
      <c r="AQ1113" s="8099"/>
      <c r="AR1113" s="510"/>
      <c r="AS1113" s="8097" t="s">
        <v>1508</v>
      </c>
      <c r="AT1113" s="8098"/>
      <c r="AU1113" s="8099"/>
      <c r="AV1113" s="510"/>
      <c r="AW1113" s="8097" t="s">
        <v>1512</v>
      </c>
      <c r="AX1113" s="8098"/>
      <c r="AY1113" s="8099"/>
      <c r="BA1113" s="8097" t="s">
        <v>1516</v>
      </c>
      <c r="BB1113" s="8099"/>
    </row>
    <row r="1114" spans="1:54" ht="12.75" customHeight="1">
      <c r="A1114" s="219">
        <v>1085</v>
      </c>
      <c r="B1114" s="7145"/>
      <c r="C1114" s="515" t="str">
        <f t="shared" si="384"/>
        <v>Piscis Magister: Yoyó</v>
      </c>
      <c r="D1114" s="794">
        <f t="shared" si="385"/>
        <v>9</v>
      </c>
      <c r="E1114" s="131" t="s">
        <v>958</v>
      </c>
      <c r="F1114" s="75">
        <v>30</v>
      </c>
      <c r="G1114" s="75">
        <v>20</v>
      </c>
      <c r="H1114" s="84">
        <f>IF(COUNTIF(PDs!$E$81:$H$85,E1114)&gt;0,1,0)</f>
        <v>0</v>
      </c>
      <c r="I1114" s="540" t="str">
        <f>IF(OR(NOT(Inhumanidad),NOT(UsodelKi),HA_final&lt;160,HD_final&lt;160,NOT(Extensióndelauraalarma)),"NO","-")</f>
        <v>NO</v>
      </c>
      <c r="J1114" s="76" t="s">
        <v>959</v>
      </c>
      <c r="K1114" s="21"/>
      <c r="L1114" s="21"/>
      <c r="M1114" s="21"/>
      <c r="N1114" s="21"/>
      <c r="O1114" s="47"/>
      <c r="P1114" s="21"/>
      <c r="Q1114" s="21"/>
      <c r="R1114" s="3817"/>
      <c r="AO1114" s="3946" t="s">
        <v>12421</v>
      </c>
      <c r="AP1114" s="3947" t="s">
        <v>7917</v>
      </c>
      <c r="AQ1114" s="3948" t="s">
        <v>7916</v>
      </c>
      <c r="AR1114" s="510"/>
      <c r="AS1114" s="3946" t="s">
        <v>12421</v>
      </c>
      <c r="AT1114" s="3947" t="s">
        <v>7917</v>
      </c>
      <c r="AU1114" s="3948" t="s">
        <v>7916</v>
      </c>
      <c r="AV1114" s="510"/>
      <c r="AW1114" s="3946" t="s">
        <v>12421</v>
      </c>
      <c r="AX1114" s="3947" t="s">
        <v>7917</v>
      </c>
      <c r="AY1114" s="3948" t="s">
        <v>7916</v>
      </c>
      <c r="BA1114" s="3946" t="s">
        <v>12421</v>
      </c>
      <c r="BB1114" s="3947" t="s">
        <v>6137</v>
      </c>
    </row>
    <row r="1115" spans="1:54" ht="12.75" customHeight="1">
      <c r="A1115" s="219">
        <v>1086</v>
      </c>
      <c r="B1115" s="7145"/>
      <c r="C1115" s="515" t="str">
        <f t="shared" si="384"/>
        <v>Piscis: Yoyó</v>
      </c>
      <c r="D1115" s="794">
        <f t="shared" si="385"/>
        <v>18</v>
      </c>
      <c r="E1115" s="131" t="s">
        <v>960</v>
      </c>
      <c r="F1115" s="75">
        <v>20</v>
      </c>
      <c r="G1115" s="75">
        <v>20</v>
      </c>
      <c r="H1115" s="84">
        <f>IF(COUNTIF(PDs!$E$81:$H$85,E1115)&gt;0,1,0)</f>
        <v>0</v>
      </c>
      <c r="I1115" s="540" t="str">
        <f>IF(OR(NOT(Inhumanidad),NOT(UsodelKi),HA_final&lt;140,NOT(Extensióndelauraalarma)),"NO","-")</f>
        <v>NO</v>
      </c>
      <c r="J1115" s="76" t="s">
        <v>961</v>
      </c>
      <c r="K1115" s="21"/>
      <c r="L1115" s="21"/>
      <c r="M1115" s="21"/>
      <c r="N1115" s="21"/>
      <c r="O1115" s="47"/>
      <c r="P1115" s="21"/>
      <c r="Q1115" s="21"/>
      <c r="R1115" s="3817"/>
      <c r="AO1115" s="3944">
        <v>1</v>
      </c>
      <c r="AP1115" s="286" t="s">
        <v>1241</v>
      </c>
      <c r="AQ1115" s="3588">
        <v>-1</v>
      </c>
      <c r="AR1115" s="510"/>
      <c r="AS1115" s="3944">
        <v>1</v>
      </c>
      <c r="AT1115" s="286" t="s">
        <v>1241</v>
      </c>
      <c r="AU1115" s="3588" t="s">
        <v>1241</v>
      </c>
      <c r="AV1115" s="510"/>
      <c r="AW1115" s="3944">
        <v>1</v>
      </c>
      <c r="AX1115" s="286" t="s">
        <v>1241</v>
      </c>
      <c r="AY1115" s="3588" t="s">
        <v>1241</v>
      </c>
      <c r="BA1115" s="3944">
        <v>1</v>
      </c>
      <c r="BB1115" s="3588" t="s">
        <v>1241</v>
      </c>
    </row>
    <row r="1116" spans="1:54" ht="12.75" customHeight="1">
      <c r="A1116" s="219">
        <v>1087</v>
      </c>
      <c r="B1116" s="7145"/>
      <c r="C1116" s="515" t="str">
        <f t="shared" si="384"/>
        <v>Sagittarius Magister: Obj. arrojadizos</v>
      </c>
      <c r="D1116" s="794">
        <f t="shared" si="385"/>
        <v>17</v>
      </c>
      <c r="E1116" s="3915" t="s">
        <v>12187</v>
      </c>
      <c r="F1116" s="3806">
        <v>30</v>
      </c>
      <c r="G1116" s="3806">
        <v>30</v>
      </c>
      <c r="H1116" s="3813">
        <f>IF(COUNTIF(PDs!$E$81:$H$85,E1116)&gt;0,1,0)</f>
        <v>0</v>
      </c>
      <c r="I1116" s="2613" t="str">
        <f>IF(AND(H1115=0,HA_final&lt;200,HD_final&lt;180,NOT(Inhumanidad)),"NO","-")</f>
        <v>NO</v>
      </c>
      <c r="J1116" s="3916" t="s">
        <v>14149</v>
      </c>
      <c r="K1116" s="2613"/>
      <c r="L1116" s="2613"/>
      <c r="M1116" s="2613"/>
      <c r="N1116" s="2615"/>
      <c r="O1116" s="2613"/>
      <c r="P1116" s="2613"/>
      <c r="Q1116" s="2613"/>
      <c r="R1116" s="3969"/>
      <c r="AO1116" s="3944">
        <v>2</v>
      </c>
      <c r="AP1116" s="286" t="s">
        <v>1241</v>
      </c>
      <c r="AQ1116" s="3588">
        <v>-1</v>
      </c>
      <c r="AR1116" s="510"/>
      <c r="AS1116" s="3944">
        <v>2</v>
      </c>
      <c r="AT1116" s="286" t="s">
        <v>1241</v>
      </c>
      <c r="AU1116" s="3588" t="s">
        <v>1241</v>
      </c>
      <c r="AV1116" s="510"/>
      <c r="AW1116" s="3944">
        <v>2</v>
      </c>
      <c r="AX1116" s="286" t="s">
        <v>1241</v>
      </c>
      <c r="AY1116" s="3588" t="s">
        <v>1241</v>
      </c>
      <c r="BA1116" s="3944">
        <v>2</v>
      </c>
      <c r="BB1116" s="3588" t="s">
        <v>1241</v>
      </c>
    </row>
    <row r="1117" spans="1:54" ht="12.75" customHeight="1" thickBot="1">
      <c r="A1117" s="219">
        <v>1088</v>
      </c>
      <c r="B1117" s="7145"/>
      <c r="C1117" s="515" t="str">
        <f t="shared" si="384"/>
        <v>Sagittarius: Objetos arrojadizos</v>
      </c>
      <c r="D1117" s="794">
        <f t="shared" si="385"/>
        <v>16</v>
      </c>
      <c r="E1117" s="131" t="s">
        <v>962</v>
      </c>
      <c r="F1117" s="75">
        <v>40</v>
      </c>
      <c r="G1117" s="75">
        <v>30</v>
      </c>
      <c r="H1117" s="84">
        <f>IF(COUNTIF(PDs!$E$81:$H$85,E1117)&gt;0,1,0)</f>
        <v>0</v>
      </c>
      <c r="I1117" s="540" t="str">
        <f>IF(OR(NOT(Inhumanidad),NOT(UsodelKi),NOT(Extensióndelauraalarma),T.Manos_final&lt;60,DES&lt;9,HA_final&lt;140,NOT(OR(PDs!$Y$43="Lanzamiento",PDs!$Y$44="Lanzamiento",PDs!$Y$45="Lanzamiento",PDs!$Y$46="Lanzamiento",PDs!$Y$47="Lanzamiento"))),"NO","-")</f>
        <v>NO</v>
      </c>
      <c r="J1117" s="14" t="s">
        <v>963</v>
      </c>
      <c r="K1117" s="21"/>
      <c r="L1117" s="21"/>
      <c r="M1117" s="21"/>
      <c r="N1117" s="21"/>
      <c r="O1117" s="47"/>
      <c r="P1117" s="21"/>
      <c r="Q1117" s="21"/>
      <c r="R1117" s="3817"/>
      <c r="AO1117" s="3944">
        <v>3</v>
      </c>
      <c r="AP1117" s="286" t="s">
        <v>1241</v>
      </c>
      <c r="AQ1117" s="3588">
        <v>-1</v>
      </c>
      <c r="AR1117" s="510"/>
      <c r="AS1117" s="3944">
        <v>3</v>
      </c>
      <c r="AT1117" s="286" t="s">
        <v>1241</v>
      </c>
      <c r="AU1117" s="3588" t="s">
        <v>1241</v>
      </c>
      <c r="AV1117" s="510"/>
      <c r="AW1117" s="3944">
        <v>3</v>
      </c>
      <c r="AX1117" s="286" t="s">
        <v>1241</v>
      </c>
      <c r="AY1117" s="3588" t="s">
        <v>1241</v>
      </c>
      <c r="BA1117" s="3944">
        <v>3</v>
      </c>
      <c r="BB1117" s="3588" t="s">
        <v>1241</v>
      </c>
    </row>
    <row r="1118" spans="1:54" ht="12.75" customHeight="1" thickBot="1">
      <c r="A1118" s="219">
        <v>1089</v>
      </c>
      <c r="B1118" s="7145"/>
      <c r="C1118" s="515" t="str">
        <f t="shared" si="384"/>
        <v>Scorpio Magister: Espada-látigo</v>
      </c>
      <c r="D1118" s="794">
        <f t="shared" si="385"/>
        <v>15</v>
      </c>
      <c r="E1118" s="131" t="s">
        <v>964</v>
      </c>
      <c r="F1118" s="75">
        <v>30</v>
      </c>
      <c r="G1118" s="75">
        <v>30</v>
      </c>
      <c r="H1118" s="84">
        <f>IF(COUNTIF(PDs!$E$81:$H$85,E1118)&gt;0,1,0)</f>
        <v>0</v>
      </c>
      <c r="I1118" s="540" t="str">
        <f>IF(OR(NOT(Inhumanidad),NOT(UsodelKi),HA_final&lt;200,DES&lt;11,H1117=0),"NO","-")</f>
        <v>NO</v>
      </c>
      <c r="J1118" s="14" t="s">
        <v>965</v>
      </c>
      <c r="K1118" s="21"/>
      <c r="L1118" s="21"/>
      <c r="M1118" s="21"/>
      <c r="N1118" s="21"/>
      <c r="O1118" s="47"/>
      <c r="P1118" s="21"/>
      <c r="Q1118" s="21"/>
      <c r="R1118" s="3817"/>
      <c r="T1118" s="8085" t="s">
        <v>9641</v>
      </c>
      <c r="U1118" s="8086"/>
      <c r="AO1118" s="3944">
        <v>4</v>
      </c>
      <c r="AP1118" s="286" t="s">
        <v>1241</v>
      </c>
      <c r="AQ1118" s="3588">
        <v>-1</v>
      </c>
      <c r="AR1118" s="510"/>
      <c r="AS1118" s="3944">
        <v>4</v>
      </c>
      <c r="AT1118" s="286" t="s">
        <v>1241</v>
      </c>
      <c r="AU1118" s="3588" t="s">
        <v>1241</v>
      </c>
      <c r="AV1118" s="510"/>
      <c r="AW1118" s="3944">
        <v>4</v>
      </c>
      <c r="AX1118" s="286" t="s">
        <v>1241</v>
      </c>
      <c r="AY1118" s="3588" t="s">
        <v>1241</v>
      </c>
      <c r="BA1118" s="3944">
        <v>4</v>
      </c>
      <c r="BB1118" s="3588" t="s">
        <v>1241</v>
      </c>
    </row>
    <row r="1119" spans="1:54" ht="12.75" customHeight="1" thickBot="1">
      <c r="A1119" s="219">
        <v>1090</v>
      </c>
      <c r="B1119" s="7145"/>
      <c r="C1119" s="515" t="str">
        <f t="shared" si="384"/>
        <v>Scorpio: Espada-látigo</v>
      </c>
      <c r="D1119" s="794">
        <f t="shared" si="385"/>
        <v>6</v>
      </c>
      <c r="E1119" s="131" t="s">
        <v>966</v>
      </c>
      <c r="F1119" s="75">
        <v>20</v>
      </c>
      <c r="G1119" s="75">
        <v>20</v>
      </c>
      <c r="H1119" s="84">
        <f>IF(COUNTIF(PDs!$E$81:$H$85,E1119)&gt;0,1,0)</f>
        <v>0</v>
      </c>
      <c r="I1119" s="540" t="str">
        <f>IF(OR(NOT(Inhumanidad),NOT(UsodelKi),HA_final&lt;100,DES&lt;9,Medicina_final="-",Medicina_final&lt;80),"NO","-")</f>
        <v>NO</v>
      </c>
      <c r="J1119" s="14" t="s">
        <v>967</v>
      </c>
      <c r="K1119" s="21"/>
      <c r="L1119" s="21"/>
      <c r="M1119" s="21"/>
      <c r="N1119" s="21"/>
      <c r="O1119" s="47"/>
      <c r="P1119" s="21"/>
      <c r="Q1119" s="21"/>
      <c r="R1119" s="3817"/>
      <c r="T1119" s="8087"/>
      <c r="U1119" s="8088"/>
      <c r="AO1119" s="3944">
        <v>5</v>
      </c>
      <c r="AP1119" s="286" t="s">
        <v>1241</v>
      </c>
      <c r="AQ1119" s="3588">
        <v>-1</v>
      </c>
      <c r="AR1119" s="510"/>
      <c r="AS1119" s="3944">
        <v>5</v>
      </c>
      <c r="AT1119" s="286" t="s">
        <v>1241</v>
      </c>
      <c r="AU1119" s="3588" t="s">
        <v>1241</v>
      </c>
      <c r="AV1119" s="510"/>
      <c r="AW1119" s="3944">
        <v>5</v>
      </c>
      <c r="AX1119" s="286" t="s">
        <v>1241</v>
      </c>
      <c r="AY1119" s="3588" t="s">
        <v>1241</v>
      </c>
      <c r="BA1119" s="3944">
        <v>5</v>
      </c>
      <c r="BB1119" s="3588" t="s">
        <v>1241</v>
      </c>
    </row>
    <row r="1120" spans="1:54" ht="12.75" customHeight="1">
      <c r="A1120" s="219">
        <v>1091</v>
      </c>
      <c r="B1120" s="7145"/>
      <c r="C1120" s="515" t="str">
        <f t="shared" si="384"/>
        <v>Taurus Magister: Enormes armas dobles</v>
      </c>
      <c r="D1120" s="794">
        <f t="shared" si="385"/>
        <v>2</v>
      </c>
      <c r="E1120" s="131" t="s">
        <v>968</v>
      </c>
      <c r="F1120" s="75">
        <v>20</v>
      </c>
      <c r="G1120" s="75">
        <v>20</v>
      </c>
      <c r="H1120" s="84">
        <f>IF(COUNTIF(PDs!$E$81:$H$85,E1120)&gt;0,1,0)</f>
        <v>0</v>
      </c>
      <c r="I1120" s="540" t="str">
        <f>IF(OR(NOT(Inhumanidad),NOT(UsodelKi),HA_final&lt;150,HD_final&lt;150,NOT(Extensióndelauraalarma)),"NO","-")</f>
        <v>NO</v>
      </c>
      <c r="J1120" s="14" t="s">
        <v>969</v>
      </c>
      <c r="K1120" s="21"/>
      <c r="L1120" s="21"/>
      <c r="M1120" s="21"/>
      <c r="N1120" s="21"/>
      <c r="O1120" s="47"/>
      <c r="P1120" s="21"/>
      <c r="Q1120" s="21"/>
      <c r="R1120" s="3817"/>
      <c r="T1120" s="775" t="s">
        <v>1962</v>
      </c>
      <c r="U1120" s="1047">
        <f t="shared" ref="U1120:U1128" si="386">IFERROR(FIND(T1120,Tipologías_Conocidas),0)</f>
        <v>0</v>
      </c>
      <c r="AO1120" s="3944">
        <v>6</v>
      </c>
      <c r="AP1120" s="286" t="s">
        <v>1241</v>
      </c>
      <c r="AQ1120" s="3588">
        <v>-1</v>
      </c>
      <c r="AR1120" s="510"/>
      <c r="AS1120" s="3944">
        <v>6</v>
      </c>
      <c r="AT1120" s="286">
        <v>-10</v>
      </c>
      <c r="AU1120" s="3588">
        <v>-20</v>
      </c>
      <c r="AV1120" s="510"/>
      <c r="AW1120" s="3944">
        <v>6</v>
      </c>
      <c r="AX1120" s="286">
        <v>-10</v>
      </c>
      <c r="AY1120" s="3588">
        <v>-20</v>
      </c>
      <c r="BA1120" s="3944">
        <v>6</v>
      </c>
      <c r="BB1120" s="3588">
        <v>-20</v>
      </c>
    </row>
    <row r="1121" spans="1:54" ht="12.75" customHeight="1">
      <c r="A1121" s="219">
        <v>1092</v>
      </c>
      <c r="B1121" s="7145"/>
      <c r="C1121" s="515" t="str">
        <f t="shared" si="384"/>
        <v>Taurus: Enormes armas dobles</v>
      </c>
      <c r="D1121" s="794">
        <f t="shared" si="385"/>
        <v>14</v>
      </c>
      <c r="E1121" s="131" t="s">
        <v>970</v>
      </c>
      <c r="F1121" s="75">
        <v>20</v>
      </c>
      <c r="G1121" s="75">
        <v>20</v>
      </c>
      <c r="H1121" s="84">
        <f>IF(COUNTIF(PDs!$E$81:$H$85,E1121)&gt;0,1,0)</f>
        <v>0</v>
      </c>
      <c r="I1121" s="540" t="str">
        <f>IF(OR(NOT(Inhumanidad),NOT(UsodelKi),HA_final&lt;120,DES&lt;10),"NO","-")</f>
        <v>NO</v>
      </c>
      <c r="J1121" s="14" t="s">
        <v>971</v>
      </c>
      <c r="K1121" s="21"/>
      <c r="L1121" s="21"/>
      <c r="M1121" s="21"/>
      <c r="N1121" s="21"/>
      <c r="O1121" s="47"/>
      <c r="P1121" s="21"/>
      <c r="Q1121" s="21"/>
      <c r="R1121" s="3817"/>
      <c r="T1121" s="775" t="s">
        <v>1972</v>
      </c>
      <c r="U1121" s="1047">
        <f t="shared" si="386"/>
        <v>0</v>
      </c>
      <c r="AO1121" s="3944">
        <v>7</v>
      </c>
      <c r="AP1121" s="286" t="s">
        <v>1241</v>
      </c>
      <c r="AQ1121" s="3588">
        <v>-1</v>
      </c>
      <c r="AR1121" s="510"/>
      <c r="AS1121" s="3944">
        <v>7</v>
      </c>
      <c r="AT1121" s="286">
        <v>-10</v>
      </c>
      <c r="AU1121" s="3588">
        <v>-20</v>
      </c>
      <c r="AV1121" s="510"/>
      <c r="AW1121" s="3944">
        <v>7</v>
      </c>
      <c r="AX1121" s="286">
        <v>-10</v>
      </c>
      <c r="AY1121" s="3588">
        <v>-20</v>
      </c>
      <c r="BA1121" s="3944">
        <v>7</v>
      </c>
      <c r="BB1121" s="3588">
        <v>-20</v>
      </c>
    </row>
    <row r="1122" spans="1:54" ht="12.75" customHeight="1">
      <c r="A1122" s="219">
        <v>1093</v>
      </c>
      <c r="B1122" s="7145"/>
      <c r="C1122" s="515" t="str">
        <f t="shared" si="384"/>
        <v>Virgo: Instrumentos de cuerda</v>
      </c>
      <c r="D1122" s="794">
        <f t="shared" si="385"/>
        <v>13</v>
      </c>
      <c r="E1122" s="3915" t="s">
        <v>12188</v>
      </c>
      <c r="F1122" s="3806">
        <v>20</v>
      </c>
      <c r="G1122" s="3806">
        <v>20</v>
      </c>
      <c r="H1122" s="3813">
        <f>IF(COUNTIF(PDs!$E$81:$H$85,E1122)&gt;0,1,0)</f>
        <v>0</v>
      </c>
      <c r="I1122" s="2615" t="str">
        <f>IF(AND(H1121=0,HA_final&lt;200,DES&lt;13,NOT(Inhumanidad)),"NO","-")</f>
        <v>NO</v>
      </c>
      <c r="J1122" s="3916" t="s">
        <v>14150</v>
      </c>
      <c r="K1122" s="2613"/>
      <c r="L1122" s="2613"/>
      <c r="M1122" s="2613"/>
      <c r="N1122" s="2615"/>
      <c r="O1122" s="2613"/>
      <c r="P1122" s="2613"/>
      <c r="Q1122" s="2613"/>
      <c r="R1122" s="3969"/>
      <c r="T1122" s="775" t="s">
        <v>1970</v>
      </c>
      <c r="U1122" s="1047">
        <f t="shared" si="386"/>
        <v>0</v>
      </c>
      <c r="AO1122" s="3944">
        <v>8</v>
      </c>
      <c r="AP1122" s="286" t="s">
        <v>1241</v>
      </c>
      <c r="AQ1122" s="3588">
        <v>-1</v>
      </c>
      <c r="AR1122" s="510"/>
      <c r="AS1122" s="3944">
        <v>8</v>
      </c>
      <c r="AT1122" s="286">
        <v>-10</v>
      </c>
      <c r="AU1122" s="3588">
        <v>-20</v>
      </c>
      <c r="AV1122" s="510"/>
      <c r="AW1122" s="3944">
        <v>8</v>
      </c>
      <c r="AX1122" s="286">
        <v>-10</v>
      </c>
      <c r="AY1122" s="3588">
        <v>-20</v>
      </c>
      <c r="BA1122" s="3944">
        <v>8</v>
      </c>
      <c r="BB1122" s="3588">
        <v>-20</v>
      </c>
    </row>
    <row r="1123" spans="1:54" ht="12.75" customHeight="1">
      <c r="A1123" s="219">
        <v>1094</v>
      </c>
      <c r="B1123" s="7145"/>
      <c r="C1123" s="515" t="str">
        <f t="shared" si="384"/>
        <v>Virgo: Instrumentos de percusión</v>
      </c>
      <c r="D1123" s="794">
        <f t="shared" si="385"/>
        <v>12</v>
      </c>
      <c r="E1123" s="131" t="s">
        <v>972</v>
      </c>
      <c r="F1123" s="75">
        <v>40</v>
      </c>
      <c r="G1123" s="75">
        <v>80</v>
      </c>
      <c r="H1123" s="84">
        <f>IF(COUNTIF(PDs!$E$81:$H$85,E1123)&gt;0,1,0)</f>
        <v>0</v>
      </c>
      <c r="I1123" s="540" t="str">
        <f>IF(OR(NOT(Inhumanidad),NOT(UsodelKi),HA_final&lt;200,NOT(Extensióndelauraalarma),NOT(Zen)),"NO","-")</f>
        <v>NO</v>
      </c>
      <c r="J1123" s="14" t="s">
        <v>973</v>
      </c>
      <c r="K1123" s="21"/>
      <c r="L1123" s="21"/>
      <c r="M1123" s="21"/>
      <c r="N1123" s="21"/>
      <c r="O1123" s="47"/>
      <c r="P1123" s="21"/>
      <c r="Q1123" s="21"/>
      <c r="R1123" s="3817"/>
      <c r="T1123" s="775" t="s">
        <v>2016</v>
      </c>
      <c r="U1123" s="1047">
        <f t="shared" si="386"/>
        <v>0</v>
      </c>
      <c r="AO1123" s="3944">
        <v>9</v>
      </c>
      <c r="AP1123" s="286">
        <v>-1</v>
      </c>
      <c r="AQ1123" s="3588">
        <v>-2</v>
      </c>
      <c r="AR1123" s="510"/>
      <c r="AS1123" s="3944">
        <v>9</v>
      </c>
      <c r="AT1123" s="286">
        <v>-20</v>
      </c>
      <c r="AU1123" s="3588">
        <v>-30</v>
      </c>
      <c r="AV1123" s="510"/>
      <c r="AW1123" s="3944">
        <v>9</v>
      </c>
      <c r="AX1123" s="286">
        <v>-20</v>
      </c>
      <c r="AY1123" s="3588">
        <v>-40</v>
      </c>
      <c r="BA1123" s="3944">
        <v>9</v>
      </c>
      <c r="BB1123" s="3588">
        <v>-40</v>
      </c>
    </row>
    <row r="1124" spans="1:54" ht="12.75" customHeight="1">
      <c r="A1124" s="219">
        <v>1095</v>
      </c>
      <c r="B1124" s="7145"/>
      <c r="C1124" s="515" t="str">
        <f t="shared" si="384"/>
        <v>Virgo: Instrumentos grandes de viento</v>
      </c>
      <c r="D1124" s="794">
        <f t="shared" si="385"/>
        <v>10</v>
      </c>
      <c r="E1124" s="3915" t="s">
        <v>12189</v>
      </c>
      <c r="F1124" s="3806">
        <v>40</v>
      </c>
      <c r="G1124" s="3806">
        <v>20</v>
      </c>
      <c r="H1124" s="3813">
        <f>IF(COUNTIF(PDs!$E$81:$H$85,E1124)&gt;0,1,0)</f>
        <v>0</v>
      </c>
      <c r="I1124" s="2615" t="str">
        <f>IF(AND(H1123=0,HA_final&lt;250,NOT(Zen)),"NO","-")</f>
        <v>NO</v>
      </c>
      <c r="J1124" s="3916" t="s">
        <v>14151</v>
      </c>
      <c r="K1124" s="2613"/>
      <c r="L1124" s="2613"/>
      <c r="M1124" s="2613"/>
      <c r="N1124" s="2615"/>
      <c r="O1124" s="2613"/>
      <c r="P1124" s="2613"/>
      <c r="Q1124" s="2613"/>
      <c r="R1124" s="3969"/>
      <c r="T1124" s="775" t="s">
        <v>1974</v>
      </c>
      <c r="U1124" s="1047">
        <f t="shared" si="386"/>
        <v>0</v>
      </c>
      <c r="AO1124" s="3944">
        <v>10</v>
      </c>
      <c r="AP1124" s="286">
        <v>-1</v>
      </c>
      <c r="AQ1124" s="3588">
        <v>-2</v>
      </c>
      <c r="AR1124" s="510"/>
      <c r="AS1124" s="3944">
        <v>10</v>
      </c>
      <c r="AT1124" s="286">
        <v>-20</v>
      </c>
      <c r="AU1124" s="3588">
        <v>-30</v>
      </c>
      <c r="AV1124" s="510"/>
      <c r="AW1124" s="3944">
        <v>10</v>
      </c>
      <c r="AX1124" s="286">
        <v>-20</v>
      </c>
      <c r="AY1124" s="3588">
        <v>-40</v>
      </c>
      <c r="BA1124" s="3944">
        <v>10</v>
      </c>
      <c r="BB1124" s="3588">
        <v>-40</v>
      </c>
    </row>
    <row r="1125" spans="1:54" ht="12.75" customHeight="1">
      <c r="A1125" s="219">
        <v>1096</v>
      </c>
      <c r="B1125" s="7145"/>
      <c r="C1125" s="515" t="str">
        <f t="shared" si="384"/>
        <v>Virgo: Instrumentos pequeños de viento</v>
      </c>
      <c r="D1125" s="794">
        <f t="shared" si="385"/>
        <v>11</v>
      </c>
      <c r="E1125" s="131" t="s">
        <v>9643</v>
      </c>
      <c r="F1125" s="75">
        <f>MAX(80-10*U1129,10)</f>
        <v>80</v>
      </c>
      <c r="G1125" s="75">
        <v>70</v>
      </c>
      <c r="H1125" s="84">
        <f>IF(COUNTIF(PDs!$E$81:$H$85,E1125)&gt;0,1,0)</f>
        <v>0</v>
      </c>
      <c r="I1125" s="540" t="str">
        <f>IF(OR(NOT(Inhumanidad),NOT(UsodelKi),HA_final&lt;200,HD_final&lt;200,U1129&lt;3),"NO","-")</f>
        <v>NO</v>
      </c>
      <c r="J1125" s="14" t="s">
        <v>9640</v>
      </c>
      <c r="K1125" s="21"/>
      <c r="L1125" s="21"/>
      <c r="M1125" s="21"/>
      <c r="N1125" s="21"/>
      <c r="O1125" s="47"/>
      <c r="P1125" s="21"/>
      <c r="Q1125" s="21"/>
      <c r="R1125" s="3817"/>
      <c r="T1125" s="775" t="s">
        <v>1994</v>
      </c>
      <c r="U1125" s="1047">
        <f t="shared" si="386"/>
        <v>0</v>
      </c>
      <c r="AO1125" s="3944">
        <v>11</v>
      </c>
      <c r="AP1125" s="286">
        <v>-1</v>
      </c>
      <c r="AQ1125" s="3588">
        <v>-2</v>
      </c>
      <c r="AR1125" s="510"/>
      <c r="AS1125" s="3944">
        <v>11</v>
      </c>
      <c r="AT1125" s="286">
        <v>-30</v>
      </c>
      <c r="AU1125" s="3588">
        <v>-50</v>
      </c>
      <c r="AV1125" s="510"/>
      <c r="AW1125" s="3944">
        <v>11</v>
      </c>
      <c r="AX1125" s="286">
        <v>-40</v>
      </c>
      <c r="AY1125" s="3588">
        <v>-80</v>
      </c>
      <c r="BA1125" s="3944">
        <v>11</v>
      </c>
      <c r="BB1125" s="3588">
        <v>-60</v>
      </c>
    </row>
    <row r="1126" spans="1:54" ht="12.75" customHeight="1">
      <c r="A1126" s="219">
        <v>1097</v>
      </c>
      <c r="B1126" s="7145"/>
      <c r="C1126" s="3966" t="str">
        <f t="shared" ref="C1126:C1142" si="387">VLOOKUP(A1,$D$1126:$E$1142,2,0)</f>
        <v>&gt; EL SET PLANETARIO</v>
      </c>
      <c r="D1126" s="794">
        <f>COUNTIF($E$1126:$E$1142,"&lt;="&amp;E1126)</f>
        <v>1</v>
      </c>
      <c r="E1126" s="3915" t="s">
        <v>12190</v>
      </c>
      <c r="F1126" s="2613"/>
      <c r="G1126" s="2613"/>
      <c r="H1126" s="2615"/>
      <c r="I1126" s="2613"/>
      <c r="J1126" s="2613"/>
      <c r="K1126" s="2613"/>
      <c r="L1126" s="2613"/>
      <c r="M1126" s="2613"/>
      <c r="N1126" s="2615"/>
      <c r="O1126" s="2613"/>
      <c r="P1126" s="2613"/>
      <c r="Q1126" s="2613"/>
      <c r="R1126" s="3969"/>
      <c r="T1126" s="775" t="s">
        <v>1963</v>
      </c>
      <c r="U1126" s="1047">
        <f t="shared" si="386"/>
        <v>0</v>
      </c>
      <c r="AO1126" s="3944">
        <v>12</v>
      </c>
      <c r="AP1126" s="286">
        <v>-1</v>
      </c>
      <c r="AQ1126" s="3588">
        <v>-2</v>
      </c>
      <c r="AR1126" s="510"/>
      <c r="AS1126" s="3944">
        <v>12</v>
      </c>
      <c r="AT1126" s="286">
        <v>-30</v>
      </c>
      <c r="AU1126" s="3588">
        <v>-50</v>
      </c>
      <c r="AV1126" s="510"/>
      <c r="AW1126" s="3944">
        <v>12</v>
      </c>
      <c r="AX1126" s="286">
        <v>-40</v>
      </c>
      <c r="AY1126" s="3588">
        <v>-80</v>
      </c>
      <c r="BA1126" s="3944">
        <v>12</v>
      </c>
      <c r="BB1126" s="3588">
        <v>-60</v>
      </c>
    </row>
    <row r="1127" spans="1:54" ht="12.75" customHeight="1">
      <c r="A1127" s="219">
        <v>1098</v>
      </c>
      <c r="B1127" s="7145"/>
      <c r="C1127" s="3966" t="str">
        <f t="shared" si="387"/>
        <v>Jupiter: Sombrero de bruja cómicamente grande</v>
      </c>
      <c r="D1127" s="794">
        <f t="shared" ref="D1127:D1142" si="388">COUNTIF($E$1126:$E$1142,"&lt;="&amp;E1127)</f>
        <v>12</v>
      </c>
      <c r="E1127" s="3915" t="s">
        <v>12191</v>
      </c>
      <c r="F1127" s="3620">
        <v>40</v>
      </c>
      <c r="G1127" s="3620">
        <v>20</v>
      </c>
      <c r="H1127" s="3620">
        <f>IF(COUNTIF(PDs!$E$81:$H$85,E1127)&gt;0,1,0)</f>
        <v>0</v>
      </c>
      <c r="I1127" s="2613" t="str">
        <f>IF(OR(NOT(Inhumanidad),NOT(UsodelKi),HA_final&lt;150,NOT(FUE&gt;=10)),"NO","-")</f>
        <v>NO</v>
      </c>
      <c r="J1127" s="3919" t="s">
        <v>12249</v>
      </c>
      <c r="K1127" s="3919"/>
      <c r="L1127" s="3919"/>
      <c r="M1127" s="3919"/>
      <c r="N1127" s="3934"/>
      <c r="O1127" s="3919"/>
      <c r="P1127" s="3919"/>
      <c r="Q1127" s="3919"/>
      <c r="R1127" s="3970"/>
      <c r="T1127" s="775" t="s">
        <v>1990</v>
      </c>
      <c r="U1127" s="1047">
        <f t="shared" si="386"/>
        <v>0</v>
      </c>
      <c r="AO1127" s="3944">
        <v>13</v>
      </c>
      <c r="AP1127" s="286">
        <v>-2</v>
      </c>
      <c r="AQ1127" s="3588">
        <v>-3</v>
      </c>
      <c r="AR1127" s="510"/>
      <c r="AS1127" s="3944">
        <v>13</v>
      </c>
      <c r="AT1127" s="286">
        <v>-30</v>
      </c>
      <c r="AU1127" s="3588">
        <v>-50</v>
      </c>
      <c r="AV1127" s="510"/>
      <c r="AW1127" s="3944">
        <v>13</v>
      </c>
      <c r="AX1127" s="286">
        <v>-40</v>
      </c>
      <c r="AY1127" s="3588">
        <v>-80</v>
      </c>
      <c r="BA1127" s="3944">
        <v>13</v>
      </c>
      <c r="BB1127" s="3588">
        <v>-60</v>
      </c>
    </row>
    <row r="1128" spans="1:54" ht="12.75" customHeight="1">
      <c r="A1128" s="219">
        <v>1099</v>
      </c>
      <c r="B1128" s="7145"/>
      <c r="C1128" s="3966" t="str">
        <f t="shared" si="387"/>
        <v>Kuiper: Fragmentos de armas</v>
      </c>
      <c r="D1128" s="794">
        <f t="shared" si="388"/>
        <v>7</v>
      </c>
      <c r="E1128" s="3915" t="s">
        <v>12192</v>
      </c>
      <c r="F1128" s="3620">
        <v>30</v>
      </c>
      <c r="G1128" s="3620">
        <v>40</v>
      </c>
      <c r="H1128" s="3620">
        <f>IF(COUNTIF(PDs!$E$81:$H$85,E1128)&gt;0,1,0)</f>
        <v>0</v>
      </c>
      <c r="I1128" s="2613" t="str">
        <f>IF(OR(NOT(Inhumanidad),NOT(UsodelKi),HA_final&lt;140,HD_final&lt;140,NOT(TransmisióndelKi)),"NO","-")</f>
        <v>NO</v>
      </c>
      <c r="J1128" s="3919" t="s">
        <v>12250</v>
      </c>
      <c r="K1128" s="3919"/>
      <c r="L1128" s="3919"/>
      <c r="M1128" s="3919"/>
      <c r="N1128" s="3934"/>
      <c r="O1128" s="3919"/>
      <c r="P1128" s="3919"/>
      <c r="Q1128" s="3919"/>
      <c r="R1128" s="3970"/>
      <c r="T1128" s="775" t="s">
        <v>2042</v>
      </c>
      <c r="U1128" s="1047">
        <f t="shared" si="386"/>
        <v>0</v>
      </c>
      <c r="AB1128"/>
      <c r="AO1128" s="3944">
        <v>14</v>
      </c>
      <c r="AP1128" s="286">
        <v>-2</v>
      </c>
      <c r="AQ1128" s="3588">
        <v>-3</v>
      </c>
      <c r="AR1128" s="510"/>
      <c r="AS1128" s="3944">
        <v>14</v>
      </c>
      <c r="AT1128" s="286">
        <v>-40</v>
      </c>
      <c r="AU1128" s="3588">
        <v>-70</v>
      </c>
      <c r="AV1128" s="510"/>
      <c r="AW1128" s="3944">
        <v>14</v>
      </c>
      <c r="AX1128" s="286">
        <v>-60</v>
      </c>
      <c r="AY1128" s="3588">
        <v>-100</v>
      </c>
      <c r="BA1128" s="3944">
        <v>14</v>
      </c>
      <c r="BB1128" s="3588">
        <v>-80</v>
      </c>
    </row>
    <row r="1129" spans="1:54" ht="12.75" customHeight="1" thickBot="1">
      <c r="A1129" s="219">
        <v>1100</v>
      </c>
      <c r="B1129" s="7145"/>
      <c r="C1129" s="3966" t="str">
        <f t="shared" si="387"/>
        <v>Luna: Farol</v>
      </c>
      <c r="D1129" s="794">
        <f t="shared" si="388"/>
        <v>17</v>
      </c>
      <c r="E1129" s="2613" t="s">
        <v>12193</v>
      </c>
      <c r="F1129" s="3620">
        <v>20</v>
      </c>
      <c r="G1129" s="3620">
        <v>30</v>
      </c>
      <c r="H1129" s="3620">
        <f>IF(COUNTIF(PDs!$E$81:$H$85,E1129)&gt;0,1,0)</f>
        <v>0</v>
      </c>
      <c r="I1129" s="2613" t="str">
        <f>IF(OR(NOT(Inhumanidad),NOT(UsodelKi),HA_final&lt;120,HD_final&lt;120,NOT(Arte_final&lt;100),NOT(Extrusióndepresencia)),"NO","-")</f>
        <v>NO</v>
      </c>
      <c r="J1129" s="3919" t="s">
        <v>12251</v>
      </c>
      <c r="K1129" s="3919"/>
      <c r="L1129" s="3919"/>
      <c r="M1129" s="3919"/>
      <c r="N1129" s="3934"/>
      <c r="O1129" s="3919"/>
      <c r="P1129" s="3919"/>
      <c r="Q1129" s="3919"/>
      <c r="R1129" s="3970"/>
      <c r="T1129" s="2266" t="s">
        <v>9642</v>
      </c>
      <c r="U1129" s="2267">
        <f>COUNTIF(U1120:U1128,"&gt;0")</f>
        <v>0</v>
      </c>
      <c r="AO1129" s="3944">
        <v>15</v>
      </c>
      <c r="AP1129" s="286">
        <v>-2</v>
      </c>
      <c r="AQ1129" s="3588">
        <v>-3</v>
      </c>
      <c r="AR1129" s="510"/>
      <c r="AS1129" s="3944">
        <v>15</v>
      </c>
      <c r="AT1129" s="286">
        <v>-40</v>
      </c>
      <c r="AU1129" s="3588">
        <v>-70</v>
      </c>
      <c r="AV1129" s="510"/>
      <c r="AW1129" s="3944">
        <v>15</v>
      </c>
      <c r="AX1129" s="286">
        <v>-60</v>
      </c>
      <c r="AY1129" s="3588">
        <v>-100</v>
      </c>
      <c r="BA1129" s="3944">
        <v>15</v>
      </c>
      <c r="BB1129" s="3588">
        <v>-80</v>
      </c>
    </row>
    <row r="1130" spans="1:54" ht="12.75" customHeight="1" thickBot="1">
      <c r="A1130" s="219">
        <v>1101</v>
      </c>
      <c r="B1130" s="7145"/>
      <c r="C1130" s="3966" t="str">
        <f t="shared" si="387"/>
        <v>Mars Magister: Equipo de combate</v>
      </c>
      <c r="D1130" s="794">
        <f t="shared" si="388"/>
        <v>14</v>
      </c>
      <c r="E1130" s="2613" t="s">
        <v>12194</v>
      </c>
      <c r="F1130" s="3620">
        <v>40</v>
      </c>
      <c r="G1130" s="3620">
        <v>20</v>
      </c>
      <c r="H1130" s="3620">
        <f>IF(COUNTIF(PDs!$E$81:$H$85,E1130)&gt;0,1,0)</f>
        <v>0</v>
      </c>
      <c r="I1130" s="2613" t="str">
        <f>IF(OR(NOT(Inhumanidad),NOT(UsodelKi),HA_final&lt;150,NOT(DES&gt;=10)),"NO","-")</f>
        <v>NO</v>
      </c>
      <c r="J1130" s="3919" t="s">
        <v>12252</v>
      </c>
      <c r="K1130" s="3919"/>
      <c r="L1130" s="3919"/>
      <c r="M1130" s="3919"/>
      <c r="N1130" s="3919"/>
      <c r="O1130" s="3919"/>
      <c r="P1130" s="3919"/>
      <c r="Q1130" s="3919"/>
      <c r="R1130" s="3970"/>
      <c r="W1130" s="7979" t="s">
        <v>993</v>
      </c>
      <c r="X1130" s="7979"/>
      <c r="Y1130" s="7979"/>
      <c r="Z1130" s="7979"/>
      <c r="AA1130" s="7979"/>
      <c r="AB1130" s="7979"/>
      <c r="AC1130" s="7979"/>
      <c r="AD1130" s="7979"/>
      <c r="AE1130" s="7979"/>
      <c r="AF1130" s="7979"/>
      <c r="AO1130" s="3944">
        <v>16</v>
      </c>
      <c r="AP1130" s="286">
        <v>-2</v>
      </c>
      <c r="AQ1130" s="3588">
        <v>-3</v>
      </c>
      <c r="AR1130" s="510"/>
      <c r="AS1130" s="3944">
        <v>16</v>
      </c>
      <c r="AT1130" s="286">
        <v>-40</v>
      </c>
      <c r="AU1130" s="3588">
        <v>-70</v>
      </c>
      <c r="AV1130" s="510"/>
      <c r="AW1130" s="3944">
        <v>16</v>
      </c>
      <c r="AX1130" s="286">
        <v>-60</v>
      </c>
      <c r="AY1130" s="3588">
        <v>-100</v>
      </c>
      <c r="BA1130" s="3944">
        <v>16</v>
      </c>
      <c r="BB1130" s="3588">
        <v>-80</v>
      </c>
    </row>
    <row r="1131" spans="1:54" ht="12.75" customHeight="1">
      <c r="A1131" s="219">
        <v>1102</v>
      </c>
      <c r="B1131" s="7145"/>
      <c r="C1131" s="3966" t="str">
        <f t="shared" si="387"/>
        <v>Mars: Equipo de combate</v>
      </c>
      <c r="D1131" s="794">
        <f t="shared" si="388"/>
        <v>13</v>
      </c>
      <c r="E1131" s="2613" t="s">
        <v>12195</v>
      </c>
      <c r="F1131" s="3620">
        <v>30</v>
      </c>
      <c r="G1131" s="3620">
        <v>30</v>
      </c>
      <c r="H1131" s="3620">
        <f>IF(COUNTIF(PDs!$E$81:$H$85,E1131)&gt;0,1,0)</f>
        <v>0</v>
      </c>
      <c r="I1131" s="2613" t="str">
        <f>IF(OR(H1130=0,HA_final&lt;200,NOT(DES&gt;=13),NOT(Inhumanidad)),"NO","-")</f>
        <v>NO</v>
      </c>
      <c r="J1131" s="3919" t="s">
        <v>12253</v>
      </c>
      <c r="K1131" s="3919"/>
      <c r="L1131" s="3919"/>
      <c r="M1131" s="3919"/>
      <c r="N1131" s="3919"/>
      <c r="O1131" s="3919"/>
      <c r="P1131" s="3919"/>
      <c r="Q1131" s="3919"/>
      <c r="R1131" s="3970"/>
      <c r="W1131" s="7979"/>
      <c r="X1131" s="7979"/>
      <c r="Y1131" s="7979"/>
      <c r="Z1131" s="7979"/>
      <c r="AA1131" s="7979"/>
      <c r="AB1131" s="7979"/>
      <c r="AC1131" s="7979"/>
      <c r="AD1131" s="7979"/>
      <c r="AE1131" s="7979"/>
      <c r="AF1131" s="7979"/>
      <c r="AO1131" s="3944">
        <v>17</v>
      </c>
      <c r="AP1131" s="286">
        <v>-3</v>
      </c>
      <c r="AQ1131" s="3588">
        <v>-4</v>
      </c>
      <c r="AR1131" s="510"/>
      <c r="AS1131" s="3944">
        <v>17</v>
      </c>
      <c r="AT1131" s="286">
        <v>-50</v>
      </c>
      <c r="AU1131" s="3588">
        <v>-80</v>
      </c>
      <c r="AV1131" s="510"/>
      <c r="AW1131" s="3944">
        <v>17</v>
      </c>
      <c r="AX1131" s="286">
        <v>-80</v>
      </c>
      <c r="AY1131" s="3588">
        <v>-120</v>
      </c>
      <c r="BA1131" s="3944">
        <v>17</v>
      </c>
      <c r="BB1131" s="3588">
        <v>-100</v>
      </c>
    </row>
    <row r="1132" spans="1:54" ht="12.75" customHeight="1" thickBot="1">
      <c r="A1132" s="219">
        <v>1103</v>
      </c>
      <c r="B1132" s="7145"/>
      <c r="C1132" s="3966" t="str">
        <f t="shared" si="387"/>
        <v>Mercurius: Pipa de combate</v>
      </c>
      <c r="D1132" s="794">
        <f t="shared" si="388"/>
        <v>4</v>
      </c>
      <c r="E1132" s="2613" t="s">
        <v>12196</v>
      </c>
      <c r="F1132" s="3620">
        <v>30</v>
      </c>
      <c r="G1132" s="3620">
        <v>20</v>
      </c>
      <c r="H1132" s="3620">
        <f>IF(COUNTIF(PDs!$E$81:$H$85,E1132)&gt;0,1,0)</f>
        <v>0</v>
      </c>
      <c r="I1132" s="2613" t="str">
        <f>IF(OR(NOT(Inhumanidad),NOT(UsodelKi),HA_final&lt;120,NOT(MultdeCuerpos)),"NO","-")</f>
        <v>NO</v>
      </c>
      <c r="J1132" s="3919" t="s">
        <v>12254</v>
      </c>
      <c r="K1132" s="3919"/>
      <c r="L1132" s="3919"/>
      <c r="M1132" s="3919"/>
      <c r="N1132" s="3919"/>
      <c r="O1132" s="3919"/>
      <c r="P1132" s="3919"/>
      <c r="Q1132" s="3919"/>
      <c r="R1132" s="3970"/>
      <c r="W1132" s="8096" t="s">
        <v>2364</v>
      </c>
      <c r="X1132" s="8096"/>
      <c r="Y1132" s="8096"/>
      <c r="Z1132" s="171" t="s">
        <v>1349</v>
      </c>
      <c r="AA1132" s="7981" t="s">
        <v>1408</v>
      </c>
      <c r="AB1132" s="7981"/>
      <c r="AC1132" s="7981"/>
      <c r="AD1132" s="7981"/>
      <c r="AE1132" s="7981"/>
      <c r="AF1132" s="7981"/>
      <c r="AO1132" s="3944">
        <v>18</v>
      </c>
      <c r="AP1132" s="286">
        <v>-3</v>
      </c>
      <c r="AQ1132" s="3588">
        <v>-4</v>
      </c>
      <c r="AR1132" s="510"/>
      <c r="AS1132" s="3944">
        <v>18</v>
      </c>
      <c r="AT1132" s="286">
        <v>-50</v>
      </c>
      <c r="AU1132" s="3588">
        <v>-80</v>
      </c>
      <c r="AV1132" s="510"/>
      <c r="AW1132" s="3944">
        <v>18</v>
      </c>
      <c r="AX1132" s="286">
        <v>-80</v>
      </c>
      <c r="AY1132" s="3588">
        <v>-120</v>
      </c>
      <c r="BA1132" s="3944">
        <v>18</v>
      </c>
      <c r="BB1132" s="3588">
        <v>-100</v>
      </c>
    </row>
    <row r="1133" spans="1:54" ht="12.75" customHeight="1">
      <c r="A1133" s="219">
        <v>1104</v>
      </c>
      <c r="B1133" s="7145"/>
      <c r="C1133" s="3966" t="str">
        <f t="shared" si="387"/>
        <v>Neptunus: Filo espejado</v>
      </c>
      <c r="D1133" s="794">
        <f t="shared" si="388"/>
        <v>6</v>
      </c>
      <c r="E1133" s="2613" t="s">
        <v>12197</v>
      </c>
      <c r="F1133" s="3620">
        <v>40</v>
      </c>
      <c r="G1133" s="3620">
        <v>40</v>
      </c>
      <c r="H1133" s="3620">
        <f>IF(COUNTIF(PDs!$E$81:$H$85,E1133)&gt;0,1,0)</f>
        <v>0</v>
      </c>
      <c r="I1133" s="2613" t="str">
        <f>IF(OR(NOT(Inhumanidad),NOT(UsodelKi),HA_final&lt;140,NOT(Extensióndelauraalarma),COUNTIF(PDs!J59:K77,OR("Grado avanzado","Grado arcano"))),"NO","-")</f>
        <v>NO</v>
      </c>
      <c r="J1133" s="3919" t="s">
        <v>12255</v>
      </c>
      <c r="K1133" s="3919"/>
      <c r="L1133" s="3919"/>
      <c r="M1133" s="3919"/>
      <c r="N1133" s="3919"/>
      <c r="O1133" s="3919"/>
      <c r="P1133" s="3919"/>
      <c r="Q1133" s="3919"/>
      <c r="R1133" s="3970"/>
      <c r="W1133" s="80"/>
      <c r="X1133" s="46"/>
      <c r="Y1133" s="229" t="s">
        <v>994</v>
      </c>
      <c r="Z1133" s="189">
        <v>75</v>
      </c>
      <c r="AA1133" s="230" t="s">
        <v>995</v>
      </c>
      <c r="AB1133" s="46"/>
      <c r="AC1133" s="559"/>
      <c r="AD1133" s="46"/>
      <c r="AE1133" s="46"/>
      <c r="AF1133" s="81"/>
      <c r="AO1133" s="3944">
        <v>19</v>
      </c>
      <c r="AP1133" s="286">
        <v>-3</v>
      </c>
      <c r="AQ1133" s="3588">
        <v>-4</v>
      </c>
      <c r="AR1133" s="510"/>
      <c r="AS1133" s="3944">
        <v>19</v>
      </c>
      <c r="AT1133" s="286">
        <v>-50</v>
      </c>
      <c r="AU1133" s="3588">
        <v>-80</v>
      </c>
      <c r="AV1133" s="510"/>
      <c r="AW1133" s="3944">
        <v>19</v>
      </c>
      <c r="AX1133" s="286">
        <v>-80</v>
      </c>
      <c r="AY1133" s="3588">
        <v>-120</v>
      </c>
      <c r="BA1133" s="3944">
        <v>19</v>
      </c>
      <c r="BB1133" s="3588">
        <v>-100</v>
      </c>
    </row>
    <row r="1134" spans="1:54" ht="12.75" customHeight="1">
      <c r="A1134" s="219">
        <v>1105</v>
      </c>
      <c r="B1134" s="7145"/>
      <c r="C1134" s="3966" t="str">
        <f t="shared" si="387"/>
        <v>Pluto Magister: Mango de arma</v>
      </c>
      <c r="D1134" s="794">
        <f t="shared" si="388"/>
        <v>5</v>
      </c>
      <c r="E1134" s="2613" t="s">
        <v>12198</v>
      </c>
      <c r="F1134" s="3620">
        <v>20</v>
      </c>
      <c r="G1134" s="3620">
        <v>20</v>
      </c>
      <c r="H1134" s="3620">
        <f>IF(COUNTIF(PDs!$E$81:$H$85,E1134)&gt;0,1,0)</f>
        <v>0</v>
      </c>
      <c r="I1134" s="2613" t="str">
        <f>IF(OR(H1133=0,HA_final&lt;200,NOT(Inhumanidad),NOT(Extensióndelauraalarma)),"NO","-")</f>
        <v>NO</v>
      </c>
      <c r="J1134" s="3919" t="s">
        <v>12256</v>
      </c>
      <c r="K1134" s="3919"/>
      <c r="L1134" s="3919"/>
      <c r="M1134" s="3919"/>
      <c r="N1134" s="3919"/>
      <c r="O1134" s="3919"/>
      <c r="P1134" s="3919"/>
      <c r="Q1134" s="3919"/>
      <c r="R1134" s="3970"/>
      <c r="W1134" s="35"/>
      <c r="X1134" s="21"/>
      <c r="Y1134" s="212" t="s">
        <v>996</v>
      </c>
      <c r="Z1134" s="84">
        <v>75</v>
      </c>
      <c r="AA1134" s="39" t="s">
        <v>997</v>
      </c>
      <c r="AB1134" s="21"/>
      <c r="AC1134" s="47"/>
      <c r="AD1134" s="21"/>
      <c r="AE1134" s="21"/>
      <c r="AF1134" s="36"/>
      <c r="AO1134" s="3944">
        <v>20</v>
      </c>
      <c r="AP1134" s="286">
        <v>-3</v>
      </c>
      <c r="AQ1134" s="3588">
        <v>-4</v>
      </c>
      <c r="AR1134" s="510"/>
      <c r="AS1134" s="3944">
        <v>20</v>
      </c>
      <c r="AT1134" s="286">
        <v>-50</v>
      </c>
      <c r="AU1134" s="3588">
        <v>-80</v>
      </c>
      <c r="AV1134" s="510"/>
      <c r="AW1134" s="3944">
        <v>20</v>
      </c>
      <c r="AX1134" s="286">
        <v>-80</v>
      </c>
      <c r="AY1134" s="3588">
        <v>-120</v>
      </c>
      <c r="BA1134" s="3944">
        <v>20</v>
      </c>
      <c r="BB1134" s="3588">
        <v>-100</v>
      </c>
    </row>
    <row r="1135" spans="1:54" ht="12.75" customHeight="1" thickBot="1">
      <c r="A1135" s="219">
        <v>1106</v>
      </c>
      <c r="B1135" s="7145"/>
      <c r="C1135" s="3966" t="str">
        <f t="shared" si="387"/>
        <v>Pluto: Mango de arma</v>
      </c>
      <c r="D1135" s="794">
        <f t="shared" si="388"/>
        <v>3</v>
      </c>
      <c r="E1135" s="2613" t="s">
        <v>12199</v>
      </c>
      <c r="F1135" s="3620">
        <v>30</v>
      </c>
      <c r="G1135" s="3620">
        <v>30</v>
      </c>
      <c r="H1135" s="3620">
        <f>IF(COUNTIF(PDs!$E$81:$H$85,E1135)&gt;0,1,0)</f>
        <v>0</v>
      </c>
      <c r="I1135" s="2613" t="str">
        <f>IF(OR(NOT(Inhumanidad),NOT(UsodelKi),HA_final&lt;120,NOT(MovimientodeObjetos)),"NO","-")</f>
        <v>NO</v>
      </c>
      <c r="J1135" s="3919" t="s">
        <v>12257</v>
      </c>
      <c r="K1135" s="3919"/>
      <c r="L1135" s="3919"/>
      <c r="M1135" s="3919"/>
      <c r="N1135" s="3919"/>
      <c r="O1135" s="3919"/>
      <c r="P1135" s="3919"/>
      <c r="Q1135" s="3919"/>
      <c r="R1135" s="3970"/>
      <c r="W1135" s="65"/>
      <c r="X1135" s="66"/>
      <c r="Y1135" s="213" t="s">
        <v>998</v>
      </c>
      <c r="Z1135" s="187">
        <v>100</v>
      </c>
      <c r="AA1135" s="231" t="s">
        <v>999</v>
      </c>
      <c r="AB1135" s="220"/>
      <c r="AC1135" s="220"/>
      <c r="AD1135" s="220"/>
      <c r="AE1135" s="220"/>
      <c r="AF1135" s="67"/>
      <c r="AO1135" s="3944">
        <v>21</v>
      </c>
      <c r="AP1135" s="286">
        <v>-4</v>
      </c>
      <c r="AQ1135" s="3588">
        <v>-5</v>
      </c>
      <c r="AR1135" s="510"/>
      <c r="AS1135" s="3944">
        <v>21</v>
      </c>
      <c r="AT1135" s="286">
        <v>-50</v>
      </c>
      <c r="AU1135" s="3588">
        <v>-80</v>
      </c>
      <c r="AV1135" s="510"/>
      <c r="AW1135" s="3944">
        <v>21</v>
      </c>
      <c r="AX1135" s="286">
        <v>-80</v>
      </c>
      <c r="AY1135" s="3588">
        <v>-120</v>
      </c>
      <c r="BA1135" s="3944">
        <v>21</v>
      </c>
      <c r="BB1135" s="3588">
        <v>-100</v>
      </c>
    </row>
    <row r="1136" spans="1:54" ht="12.75" customHeight="1">
      <c r="B1136" s="7145"/>
      <c r="C1136" s="3966" t="str">
        <f t="shared" si="387"/>
        <v>Saturnus: Literalmente una rueda</v>
      </c>
      <c r="D1136" s="794">
        <f t="shared" si="388"/>
        <v>2</v>
      </c>
      <c r="E1136" s="2613" t="s">
        <v>12200</v>
      </c>
      <c r="F1136" s="3620">
        <v>30</v>
      </c>
      <c r="G1136" s="3620">
        <v>30</v>
      </c>
      <c r="H1136" s="3620">
        <f>IF(COUNTIF(PDs!$E$81:$H$85,E1136)&gt;0,1,0)</f>
        <v>0</v>
      </c>
      <c r="I1136" s="2613" t="str">
        <f>IF(OR(NOT(Inhumanidad),NOT(UsodelKi),HA_final&lt;120,HD_final&lt;120,NOT(TransmisióndelKi)),"NO","-")</f>
        <v>NO</v>
      </c>
      <c r="J1136" s="3919" t="s">
        <v>12258</v>
      </c>
      <c r="K1136" s="3919"/>
      <c r="L1136" s="3919"/>
      <c r="M1136" s="3919"/>
      <c r="N1136" s="3919"/>
      <c r="O1136" s="3919"/>
      <c r="P1136" s="3919"/>
      <c r="Q1136" s="3919"/>
      <c r="R1136" s="3970"/>
      <c r="AO1136" s="3944">
        <v>22</v>
      </c>
      <c r="AP1136" s="286">
        <v>-4</v>
      </c>
      <c r="AQ1136" s="3588">
        <v>-5</v>
      </c>
      <c r="AR1136" s="510"/>
      <c r="AS1136" s="3944">
        <v>22</v>
      </c>
      <c r="AT1136" s="286">
        <v>-50</v>
      </c>
      <c r="AU1136" s="3588">
        <v>-80</v>
      </c>
      <c r="AV1136" s="510"/>
      <c r="AW1136" s="3944">
        <v>22</v>
      </c>
      <c r="AX1136" s="286">
        <v>-80</v>
      </c>
      <c r="AY1136" s="3588">
        <v>-120</v>
      </c>
      <c r="BA1136" s="3944">
        <v>22</v>
      </c>
      <c r="BB1136" s="3588">
        <v>-140</v>
      </c>
    </row>
    <row r="1137" spans="1:54" ht="12.75" customHeight="1">
      <c r="B1137" s="7145"/>
      <c r="C1137" s="3966" t="str">
        <f t="shared" si="387"/>
        <v>Sol: Parasol con cañón</v>
      </c>
      <c r="D1137" s="794">
        <f t="shared" si="388"/>
        <v>11</v>
      </c>
      <c r="E1137" s="2613" t="s">
        <v>12201</v>
      </c>
      <c r="F1137" s="3620">
        <v>20</v>
      </c>
      <c r="G1137" s="3620">
        <v>40</v>
      </c>
      <c r="H1137" s="3620">
        <f>IF(COUNTIF(PDs!$E$81:$H$85,E1137)&gt;0,1,0)</f>
        <v>0</v>
      </c>
      <c r="I1137" s="2613" t="str">
        <f>IF(OR(NOT(Inhumanidad),NOT(UsodelKi),HA_final&lt;150,HD_final&lt;150,NOT(DES&gt;=10)),"NO","-")</f>
        <v>NO</v>
      </c>
      <c r="J1137" s="3919" t="s">
        <v>12259</v>
      </c>
      <c r="K1137" s="3919"/>
      <c r="L1137" s="3919"/>
      <c r="M1137" s="3919"/>
      <c r="N1137" s="3919"/>
      <c r="O1137" s="3919"/>
      <c r="P1137" s="3919"/>
      <c r="Q1137" s="3919"/>
      <c r="R1137" s="3970"/>
      <c r="AO1137" s="3944">
        <v>23</v>
      </c>
      <c r="AP1137" s="286">
        <v>-4</v>
      </c>
      <c r="AQ1137" s="3588">
        <v>-5</v>
      </c>
      <c r="AR1137" s="510"/>
      <c r="AS1137" s="3944">
        <v>23</v>
      </c>
      <c r="AT1137" s="286">
        <v>-60</v>
      </c>
      <c r="AU1137" s="3588">
        <v>-100</v>
      </c>
      <c r="AV1137" s="510"/>
      <c r="AW1137" s="3944">
        <v>23</v>
      </c>
      <c r="AX1137" s="286">
        <v>-100</v>
      </c>
      <c r="AY1137" s="3588">
        <v>-160</v>
      </c>
      <c r="BA1137" s="3944">
        <v>23</v>
      </c>
      <c r="BB1137" s="3588">
        <v>-140</v>
      </c>
    </row>
    <row r="1138" spans="1:54" ht="12.75" customHeight="1">
      <c r="B1138" s="7145"/>
      <c r="C1138" s="3966" t="str">
        <f t="shared" si="387"/>
        <v>Terra Magister: Taladro destructor</v>
      </c>
      <c r="D1138" s="794">
        <f t="shared" si="388"/>
        <v>16</v>
      </c>
      <c r="E1138" s="2613" t="s">
        <v>12202</v>
      </c>
      <c r="F1138" s="3620">
        <v>40</v>
      </c>
      <c r="G1138" s="3620">
        <v>30</v>
      </c>
      <c r="H1138" s="3620">
        <f>IF(COUNTIF(PDs!$E$81:$H$85,E1138)&gt;0,1,0)</f>
        <v>0</v>
      </c>
      <c r="I1138" s="2613" t="str">
        <f>IF(OR(NOT(Inhumanidad),NOT(UsodelKi),HA_final&lt;150,HD_final&lt;120,NOT(Acrobacias_final&lt;50),NOT(AGI&gt;=10),NOT(Eliminacióndepeso)),"NO","-")</f>
        <v>NO</v>
      </c>
      <c r="J1138" s="3919" t="s">
        <v>12260</v>
      </c>
      <c r="K1138" s="3919"/>
      <c r="L1138" s="3919"/>
      <c r="M1138" s="3919"/>
      <c r="N1138" s="3919"/>
      <c r="O1138" s="3919"/>
      <c r="P1138" s="3919"/>
      <c r="Q1138" s="3919"/>
      <c r="R1138" s="3970"/>
      <c r="AO1138" s="3944">
        <v>24</v>
      </c>
      <c r="AP1138" s="286">
        <v>-4</v>
      </c>
      <c r="AQ1138" s="3588">
        <v>-5</v>
      </c>
      <c r="AR1138" s="510"/>
      <c r="AS1138" s="3944">
        <v>24</v>
      </c>
      <c r="AT1138" s="286">
        <v>-60</v>
      </c>
      <c r="AU1138" s="3588">
        <v>-100</v>
      </c>
      <c r="AV1138" s="510"/>
      <c r="AW1138" s="3944">
        <v>24</v>
      </c>
      <c r="AX1138" s="286">
        <v>-100</v>
      </c>
      <c r="AY1138" s="3588">
        <v>-160</v>
      </c>
      <c r="BA1138" s="3944">
        <v>24</v>
      </c>
      <c r="BB1138" s="3588">
        <v>-140</v>
      </c>
    </row>
    <row r="1139" spans="1:54" ht="12.75" customHeight="1">
      <c r="B1139" s="7145"/>
      <c r="C1139" s="3966" t="str">
        <f t="shared" si="387"/>
        <v>Terra: Taladro destructor</v>
      </c>
      <c r="D1139" s="794">
        <f t="shared" si="388"/>
        <v>15</v>
      </c>
      <c r="E1139" s="2613" t="s">
        <v>12203</v>
      </c>
      <c r="F1139" s="3620">
        <v>30</v>
      </c>
      <c r="G1139" s="3620">
        <v>30</v>
      </c>
      <c r="H1139" s="3620">
        <f>IF(COUNTIF(PDs!$E$81:$H$85,E1139)&gt;0,1,0)</f>
        <v>0</v>
      </c>
      <c r="I1139" s="2613" t="str">
        <f>IF(OR(H1138=0,HA_final&lt;220,NOT(AGI&gt;=13),NOT(Inhumanidad)),"NO","-")</f>
        <v>NO</v>
      </c>
      <c r="J1139" s="3919" t="s">
        <v>12261</v>
      </c>
      <c r="K1139" s="3919"/>
      <c r="L1139" s="3919"/>
      <c r="M1139" s="3919"/>
      <c r="N1139" s="3919"/>
      <c r="O1139" s="3919"/>
      <c r="P1139" s="3919"/>
      <c r="Q1139" s="3919"/>
      <c r="R1139" s="3970"/>
      <c r="AO1139" s="3944">
        <v>25</v>
      </c>
      <c r="AP1139" s="286">
        <v>-5</v>
      </c>
      <c r="AQ1139" s="3588">
        <v>-6</v>
      </c>
      <c r="AR1139" s="510"/>
      <c r="AS1139" s="3944">
        <v>25</v>
      </c>
      <c r="AT1139" s="286">
        <v>-60</v>
      </c>
      <c r="AU1139" s="3588">
        <v>-100</v>
      </c>
      <c r="AV1139" s="510"/>
      <c r="AW1139" s="3944">
        <v>25</v>
      </c>
      <c r="AX1139" s="286">
        <v>-100</v>
      </c>
      <c r="AY1139" s="3588">
        <v>-160</v>
      </c>
      <c r="BA1139" s="3944">
        <v>25</v>
      </c>
      <c r="BB1139" s="3588">
        <v>-140</v>
      </c>
    </row>
    <row r="1140" spans="1:54" ht="12.75" customHeight="1">
      <c r="B1140" s="7145"/>
      <c r="C1140" s="3966" t="str">
        <f t="shared" si="387"/>
        <v>Uranus Magister: Patines de hielo</v>
      </c>
      <c r="D1140" s="794">
        <f t="shared" si="388"/>
        <v>8</v>
      </c>
      <c r="E1140" s="2613" t="s">
        <v>12204</v>
      </c>
      <c r="F1140" s="3620">
        <v>20</v>
      </c>
      <c r="G1140" s="3620">
        <v>40</v>
      </c>
      <c r="H1140" s="3620">
        <f>IF(COUNTIF(PDs!$E$81:$H$85,E1140)&gt;0,1,0)</f>
        <v>0</v>
      </c>
      <c r="I1140" s="2613" t="str">
        <f>IF(OR(NOT(Inhumanidad),NOT(UsodelKi),HA_final&lt;150,HD_final&lt;150,NOT(MultdeCuerpos)),"NO","-")</f>
        <v>NO</v>
      </c>
      <c r="J1140" s="3919" t="s">
        <v>12262</v>
      </c>
      <c r="K1140" s="3919"/>
      <c r="L1140" s="3919"/>
      <c r="M1140" s="3919"/>
      <c r="N1140" s="3919"/>
      <c r="O1140" s="3919"/>
      <c r="P1140" s="3919"/>
      <c r="Q1140" s="3919"/>
      <c r="R1140" s="3970"/>
      <c r="AO1140" s="3944">
        <v>26</v>
      </c>
      <c r="AP1140" s="286">
        <v>-5</v>
      </c>
      <c r="AQ1140" s="3588">
        <v>-6</v>
      </c>
      <c r="AR1140" s="510"/>
      <c r="AS1140" s="3944">
        <v>26</v>
      </c>
      <c r="AT1140" s="286">
        <v>-60</v>
      </c>
      <c r="AU1140" s="3588">
        <v>-100</v>
      </c>
      <c r="AV1140" s="510"/>
      <c r="AW1140" s="3944">
        <v>26</v>
      </c>
      <c r="AX1140" s="286">
        <v>-100</v>
      </c>
      <c r="AY1140" s="3588">
        <v>-160</v>
      </c>
      <c r="BA1140" s="3944">
        <v>26</v>
      </c>
      <c r="BB1140" s="3588">
        <v>-140</v>
      </c>
    </row>
    <row r="1141" spans="1:54" ht="12.75" customHeight="1">
      <c r="A1141" s="219">
        <v>1107</v>
      </c>
      <c r="B1141" s="7145"/>
      <c r="C1141" s="3966" t="str">
        <f t="shared" si="387"/>
        <v>Uranus: Patines de hielo</v>
      </c>
      <c r="D1141" s="794">
        <f t="shared" si="388"/>
        <v>10</v>
      </c>
      <c r="E1141" s="2613" t="s">
        <v>12205</v>
      </c>
      <c r="F1141" s="3620">
        <v>30</v>
      </c>
      <c r="G1141" s="3620">
        <v>40</v>
      </c>
      <c r="H1141" s="3620">
        <f>IF(COUNTIF(PDs!$E$81:$H$85,E1141)&gt;0,1,0)</f>
        <v>0</v>
      </c>
      <c r="I1141" s="2613" t="str">
        <f>IF(OR(NOT(Inhumanidad),NOT(UsodelKi),HA_final&lt;150,NOT(Extensióndelauraalarma)),"NO","-")</f>
        <v>NO</v>
      </c>
      <c r="J1141" s="3919" t="s">
        <v>12263</v>
      </c>
      <c r="K1141" s="3919"/>
      <c r="L1141" s="3919"/>
      <c r="M1141" s="3919"/>
      <c r="N1141" s="3919"/>
      <c r="O1141" s="3919"/>
      <c r="P1141" s="3919"/>
      <c r="Q1141" s="3919"/>
      <c r="R1141" s="3970"/>
      <c r="AO1141" s="3944">
        <v>27</v>
      </c>
      <c r="AP1141" s="286">
        <v>-5</v>
      </c>
      <c r="AQ1141" s="3588">
        <v>-6</v>
      </c>
      <c r="AR1141" s="510"/>
      <c r="AS1141" s="3944">
        <v>27</v>
      </c>
      <c r="AT1141" s="286">
        <v>-60</v>
      </c>
      <c r="AU1141" s="3588">
        <v>-100</v>
      </c>
      <c r="AV1141" s="510"/>
      <c r="AW1141" s="3944">
        <v>27</v>
      </c>
      <c r="AX1141" s="286">
        <v>-100</v>
      </c>
      <c r="AY1141" s="3588">
        <v>-160</v>
      </c>
      <c r="BA1141" s="3944">
        <v>27</v>
      </c>
      <c r="BB1141" s="3588">
        <v>-140</v>
      </c>
    </row>
    <row r="1142" spans="1:54" ht="12.75" customHeight="1" thickBot="1">
      <c r="A1142" s="219">
        <v>1108</v>
      </c>
      <c r="B1142" s="7145"/>
      <c r="C1142" s="3966" t="str">
        <f t="shared" si="387"/>
        <v>Venus: Lienzo y pincel</v>
      </c>
      <c r="D1142" s="794">
        <f t="shared" si="388"/>
        <v>9</v>
      </c>
      <c r="E1142" s="2613" t="s">
        <v>12206</v>
      </c>
      <c r="F1142" s="3620">
        <v>20</v>
      </c>
      <c r="G1142" s="3620">
        <v>20</v>
      </c>
      <c r="H1142" s="3620">
        <f>IF(COUNTIF(PDs!$E$81:$H$85,E1142)&gt;0,1,0)</f>
        <v>0</v>
      </c>
      <c r="I1142" s="2613" t="str">
        <f>IF(OR(H1141=0,HA_final&lt;220,NOT(POD&gt;=11),NOT(Inhumanidad)),"NO","-")</f>
        <v>NO</v>
      </c>
      <c r="J1142" s="3919" t="s">
        <v>12264</v>
      </c>
      <c r="K1142" s="3919"/>
      <c r="L1142" s="3919"/>
      <c r="M1142" s="3919"/>
      <c r="N1142" s="3919"/>
      <c r="O1142" s="3919"/>
      <c r="P1142" s="3919"/>
      <c r="Q1142" s="3919"/>
      <c r="R1142" s="3970"/>
      <c r="AO1142" s="3945">
        <v>28</v>
      </c>
      <c r="AP1142" s="3405">
        <v>-6</v>
      </c>
      <c r="AQ1142" s="3412">
        <v>-7</v>
      </c>
      <c r="AS1142" s="3945">
        <v>28</v>
      </c>
      <c r="AT1142" s="3405">
        <v>-80</v>
      </c>
      <c r="AU1142" s="3412">
        <v>-140</v>
      </c>
      <c r="AW1142" s="3945">
        <v>28</v>
      </c>
      <c r="AX1142" s="3405">
        <v>-120</v>
      </c>
      <c r="AY1142" s="3412">
        <v>-200</v>
      </c>
      <c r="BA1142" s="3945">
        <v>28</v>
      </c>
      <c r="BB1142" s="3412">
        <v>-180</v>
      </c>
    </row>
    <row r="1143" spans="1:54" ht="12.75" customHeight="1">
      <c r="A1143" s="219">
        <v>1109</v>
      </c>
      <c r="B1143" s="7145"/>
      <c r="C1143" s="515" t="str">
        <f>VLOOKUP(A1,$D$1143:$E$1146,2,0)</f>
        <v>&gt; ARS MAGNUS PERSONALIZADOS</v>
      </c>
      <c r="D1143" s="794">
        <f>COUNTIF($E$1143:$E$1146,"&lt;="&amp;E1143)</f>
        <v>1</v>
      </c>
      <c r="E1143" s="131" t="s">
        <v>9121</v>
      </c>
      <c r="F1143" s="75">
        <v>0</v>
      </c>
      <c r="G1143" s="75">
        <v>0</v>
      </c>
      <c r="H1143" s="84"/>
      <c r="I1143" s="540" t="s">
        <v>1315</v>
      </c>
      <c r="J1143" s="14"/>
      <c r="K1143" s="21"/>
      <c r="L1143" s="21"/>
      <c r="M1143" s="21"/>
      <c r="N1143" s="21"/>
      <c r="O1143" s="47"/>
      <c r="P1143" s="21"/>
      <c r="Q1143" s="21"/>
      <c r="R1143" s="3817"/>
    </row>
    <row r="1144" spans="1:54" ht="12.75" customHeight="1">
      <c r="A1144" s="219">
        <v>1110</v>
      </c>
      <c r="B1144" s="7145"/>
      <c r="C1144" s="515" t="str">
        <f>VLOOKUP(A2,$D$1143:$E$1146,2,0)</f>
        <v>Ars Magnus Personalizado 1</v>
      </c>
      <c r="D1144" s="794">
        <f>D1143+1</f>
        <v>2</v>
      </c>
      <c r="E1144" s="131" t="str">
        <f>IF(Personalización!AD97="","Ars Magnus Personalizado 1",Personalización!AD97)</f>
        <v>Ars Magnus Personalizado 1</v>
      </c>
      <c r="F1144" s="75">
        <f>Personalización!AI97</f>
        <v>0</v>
      </c>
      <c r="G1144" s="75">
        <f>Personalización!AJ97</f>
        <v>0</v>
      </c>
      <c r="H1144" s="84">
        <f>IF(COUNTIF(PDs!$E$81:$H$85,E1144)&gt;0,1,0)</f>
        <v>0</v>
      </c>
      <c r="I1144" s="540" t="s">
        <v>1315</v>
      </c>
      <c r="J1144" s="14" t="str">
        <f>E1144</f>
        <v>Ars Magnus Personalizado 1</v>
      </c>
      <c r="K1144" s="21"/>
      <c r="L1144" s="21"/>
      <c r="M1144" s="21"/>
      <c r="N1144" s="21"/>
      <c r="O1144" s="47"/>
      <c r="P1144" s="21"/>
      <c r="Q1144" s="21"/>
      <c r="R1144" s="3817"/>
    </row>
    <row r="1145" spans="1:54" ht="12.75" customHeight="1">
      <c r="A1145" s="219">
        <v>1111</v>
      </c>
      <c r="B1145" s="7145"/>
      <c r="C1145" s="515" t="str">
        <f>VLOOKUP(A3,$D$1143:$E$1146,2,0)</f>
        <v>Ars Magnus Personalizado 2</v>
      </c>
      <c r="D1145" s="794">
        <f>D1144+1</f>
        <v>3</v>
      </c>
      <c r="E1145" s="131" t="str">
        <f>IF(Personalización!AD98="","Ars Magnus Personalizado 2",Personalización!AD98)</f>
        <v>Ars Magnus Personalizado 2</v>
      </c>
      <c r="F1145" s="75">
        <f>Personalización!AI98</f>
        <v>0</v>
      </c>
      <c r="G1145" s="75">
        <f>Personalización!AJ98</f>
        <v>0</v>
      </c>
      <c r="H1145" s="84">
        <f>IF(COUNTIF(PDs!$E$81:$H$85,E1145)&gt;0,1,0)</f>
        <v>0</v>
      </c>
      <c r="I1145" s="540" t="s">
        <v>1315</v>
      </c>
      <c r="J1145" s="14" t="str">
        <f>E1145</f>
        <v>Ars Magnus Personalizado 2</v>
      </c>
      <c r="K1145" s="21"/>
      <c r="L1145" s="21"/>
      <c r="M1145" s="21"/>
      <c r="N1145" s="21"/>
      <c r="O1145" s="47"/>
      <c r="P1145" s="21"/>
      <c r="Q1145" s="21"/>
      <c r="R1145" s="36"/>
    </row>
    <row r="1146" spans="1:54" ht="12.75" customHeight="1">
      <c r="A1146" s="219">
        <v>1112</v>
      </c>
      <c r="B1146" s="7145"/>
      <c r="C1146" s="515" t="str">
        <f>VLOOKUP(A4,$D$1143:$E$1146,2,0)</f>
        <v>Ars Magnus Personalizado 3</v>
      </c>
      <c r="D1146" s="794">
        <f>D1145+1</f>
        <v>4</v>
      </c>
      <c r="E1146" s="131" t="str">
        <f>IF(Personalización!AD99="","Ars Magnus Personalizado 3",Personalización!AD99)</f>
        <v>Ars Magnus Personalizado 3</v>
      </c>
      <c r="F1146" s="75">
        <f>Personalización!AI99</f>
        <v>0</v>
      </c>
      <c r="G1146" s="75">
        <f>Personalización!AJ99</f>
        <v>0</v>
      </c>
      <c r="H1146" s="84">
        <f>IF(COUNTIF(PDs!$E$81:$H$85,E1146)&gt;0,1,0)</f>
        <v>0</v>
      </c>
      <c r="I1146" s="540" t="s">
        <v>1315</v>
      </c>
      <c r="J1146" s="14" t="str">
        <f>E1146</f>
        <v>Ars Magnus Personalizado 3</v>
      </c>
      <c r="K1146" s="21"/>
      <c r="L1146" s="21"/>
      <c r="M1146" s="21"/>
      <c r="N1146" s="21"/>
      <c r="O1146" s="47"/>
      <c r="P1146" s="21"/>
      <c r="Q1146" s="21"/>
      <c r="R1146" s="36"/>
    </row>
    <row r="1147" spans="1:54" ht="12.75" customHeight="1">
      <c r="A1147" s="219">
        <v>1113</v>
      </c>
      <c r="B1147" s="7145"/>
      <c r="C1147" s="515" t="str">
        <f t="shared" ref="C1147:C1156" si="389">VLOOKUP(A1,$D$1147:$E$1156,2,0)</f>
        <v>&gt; TABLAS DE COMBATE SOBRENATURAL</v>
      </c>
      <c r="D1147" s="794">
        <f t="shared" ref="D1147:D1156" si="390">COUNTIF($E$1147:$E$1156,"&lt;="&amp;E1147)</f>
        <v>1</v>
      </c>
      <c r="E1147" s="131" t="s">
        <v>974</v>
      </c>
      <c r="F1147" s="75">
        <v>0</v>
      </c>
      <c r="G1147" s="75">
        <v>0</v>
      </c>
      <c r="H1147" s="84"/>
      <c r="I1147" s="540" t="s">
        <v>1315</v>
      </c>
      <c r="J1147" s="76" t="s">
        <v>1315</v>
      </c>
      <c r="K1147" s="21"/>
      <c r="L1147" s="21"/>
      <c r="M1147" s="21"/>
      <c r="N1147" s="21"/>
      <c r="O1147" s="47"/>
      <c r="P1147" s="21"/>
      <c r="Q1147" s="21"/>
      <c r="R1147" s="36"/>
    </row>
    <row r="1148" spans="1:54" ht="12.75" customHeight="1">
      <c r="A1148" s="219">
        <v>1114</v>
      </c>
      <c r="B1148" s="7145"/>
      <c r="C1148" s="515" t="str">
        <f t="shared" si="389"/>
        <v>Ataque a distancia</v>
      </c>
      <c r="D1148" s="794">
        <f t="shared" si="390"/>
        <v>3</v>
      </c>
      <c r="E1148" s="131" t="s">
        <v>975</v>
      </c>
      <c r="F1148" s="75">
        <v>20</v>
      </c>
      <c r="G1148" s="75">
        <v>10</v>
      </c>
      <c r="H1148" s="84">
        <f>IF(COUNTIF(PDs!$E$81:$H$85,E1148)&gt;0,1,0)</f>
        <v>0</v>
      </c>
      <c r="I1148" s="540" t="str">
        <f>IF(HA_final&lt;120,"NO","-")</f>
        <v>NO</v>
      </c>
      <c r="J1148" s="14" t="s">
        <v>976</v>
      </c>
      <c r="K1148" s="21"/>
      <c r="L1148" s="21"/>
      <c r="M1148" s="21"/>
      <c r="N1148" s="21"/>
      <c r="O1148" s="47"/>
      <c r="P1148" s="21"/>
      <c r="Q1148" s="21"/>
      <c r="R1148" s="36"/>
    </row>
    <row r="1149" spans="1:54" ht="12.75" customHeight="1">
      <c r="A1149" s="219">
        <v>1115</v>
      </c>
      <c r="B1149" s="7145"/>
      <c r="C1149" s="515" t="str">
        <f t="shared" si="389"/>
        <v>Atrapar</v>
      </c>
      <c r="D1149" s="794">
        <f t="shared" si="390"/>
        <v>4</v>
      </c>
      <c r="E1149" s="131" t="s">
        <v>977</v>
      </c>
      <c r="F1149" s="75">
        <v>20</v>
      </c>
      <c r="G1149" s="75">
        <v>20</v>
      </c>
      <c r="H1149" s="84">
        <f>IF(COUNTIF(PDs!$E$81:$H$85,E1149)&gt;0,1,0)</f>
        <v>0</v>
      </c>
      <c r="I1149" s="540" t="str">
        <f>IF(OR(HA_final&lt;140,HD_final&lt;140),"NO","-")</f>
        <v>NO</v>
      </c>
      <c r="J1149" s="14" t="s">
        <v>978</v>
      </c>
      <c r="K1149" s="21"/>
      <c r="L1149" s="21"/>
      <c r="M1149" s="21"/>
      <c r="N1149" s="21"/>
      <c r="O1149" s="47"/>
      <c r="P1149" s="21"/>
      <c r="Q1149" s="21"/>
      <c r="R1149" s="36"/>
    </row>
    <row r="1150" spans="1:54" ht="12.75" customHeight="1">
      <c r="A1150" s="219">
        <v>1116</v>
      </c>
      <c r="B1150" s="7145"/>
      <c r="C1150" s="515" t="str">
        <f t="shared" si="389"/>
        <v>Controlar a distancia</v>
      </c>
      <c r="D1150" s="794">
        <f t="shared" si="390"/>
        <v>2</v>
      </c>
      <c r="E1150" s="131" t="s">
        <v>979</v>
      </c>
      <c r="F1150" s="75">
        <v>20</v>
      </c>
      <c r="G1150" s="75">
        <v>20</v>
      </c>
      <c r="H1150" s="84">
        <f>IF(COUNTIF(PDs!$E$81:$H$85,E1150)&gt;0,1,0)</f>
        <v>0</v>
      </c>
      <c r="I1150" s="540" t="str">
        <f>IF(MAX(HA_final,Místicos!$P$12,Psíquicos!$P$12)&lt;120,"NO","-")</f>
        <v>NO</v>
      </c>
      <c r="J1150" s="14" t="s">
        <v>980</v>
      </c>
      <c r="K1150" s="21"/>
      <c r="L1150" s="21"/>
      <c r="M1150" s="21"/>
      <c r="N1150" s="21"/>
      <c r="O1150" s="47"/>
      <c r="P1150" s="21"/>
      <c r="Q1150" s="21"/>
      <c r="R1150" s="36"/>
    </row>
    <row r="1151" spans="1:54" ht="12.75" customHeight="1">
      <c r="A1151" s="219">
        <v>1117</v>
      </c>
      <c r="B1151" s="7145"/>
      <c r="C1151" s="515" t="str">
        <f t="shared" si="389"/>
        <v>Escudo protector</v>
      </c>
      <c r="D1151" s="794">
        <f t="shared" si="390"/>
        <v>7</v>
      </c>
      <c r="E1151" s="131" t="s">
        <v>981</v>
      </c>
      <c r="F1151" s="75">
        <v>20</v>
      </c>
      <c r="G1151" s="75">
        <v>0</v>
      </c>
      <c r="H1151" s="84">
        <f>IF(COUNTIF(PDs!$E$81:$H$85,E1151)&gt;0,1,0)</f>
        <v>0</v>
      </c>
      <c r="I1151" s="540" t="str">
        <f>IF(NOT(Ki!P27="-"),"NO","-")</f>
        <v>NO</v>
      </c>
      <c r="J1151" s="14" t="s">
        <v>982</v>
      </c>
      <c r="K1151" s="21"/>
      <c r="L1151" s="21"/>
      <c r="M1151" s="21"/>
      <c r="N1151" s="21"/>
      <c r="O1151" s="47"/>
      <c r="P1151" s="21"/>
      <c r="Q1151" s="21"/>
      <c r="R1151" s="36"/>
    </row>
    <row r="1152" spans="1:54" ht="12.75" customHeight="1">
      <c r="A1152" s="219">
        <v>1118</v>
      </c>
      <c r="B1152" s="7145"/>
      <c r="C1152" s="515" t="str">
        <f t="shared" si="389"/>
        <v>Incremento de daño</v>
      </c>
      <c r="D1152" s="794">
        <f t="shared" si="390"/>
        <v>6</v>
      </c>
      <c r="E1152" s="131" t="s">
        <v>983</v>
      </c>
      <c r="F1152" s="75">
        <v>20</v>
      </c>
      <c r="G1152" s="75">
        <v>20</v>
      </c>
      <c r="H1152" s="84">
        <f>IF(COUNTIF(PDs!$E$81:$H$85,E1152)&gt;0,1,0)</f>
        <v>0</v>
      </c>
      <c r="I1152" s="540" t="s">
        <v>1315</v>
      </c>
      <c r="J1152" s="14" t="s">
        <v>984</v>
      </c>
      <c r="K1152" s="21"/>
      <c r="L1152" s="21"/>
      <c r="M1152" s="21"/>
      <c r="N1152" s="21"/>
      <c r="O1152" s="47"/>
      <c r="P1152" s="21"/>
      <c r="Q1152" s="21"/>
      <c r="R1152" s="36"/>
    </row>
    <row r="1153" spans="1:30" ht="12.75" customHeight="1">
      <c r="A1153" s="219">
        <v>1119</v>
      </c>
      <c r="B1153" s="7145"/>
      <c r="C1153" s="515" t="str">
        <f t="shared" si="389"/>
        <v>Movimiento acelerado</v>
      </c>
      <c r="D1153" s="794">
        <f t="shared" si="390"/>
        <v>5</v>
      </c>
      <c r="E1153" s="131" t="s">
        <v>985</v>
      </c>
      <c r="F1153" s="75">
        <v>10</v>
      </c>
      <c r="G1153" s="75">
        <v>10</v>
      </c>
      <c r="H1153" s="84">
        <f>IF(COUNTIF(PDs!$E$81:$H$85,E1153)&gt;0,1,0)</f>
        <v>0</v>
      </c>
      <c r="I1153" s="540" t="str">
        <f>IF(NOT($L$731="Conocida"),"NO","-")</f>
        <v>NO</v>
      </c>
      <c r="J1153" s="14" t="s">
        <v>986</v>
      </c>
      <c r="K1153" s="21"/>
      <c r="L1153" s="21"/>
      <c r="M1153" s="21"/>
      <c r="N1153" s="21"/>
      <c r="O1153" s="47"/>
      <c r="P1153" s="21"/>
      <c r="Q1153" s="21"/>
      <c r="R1153" s="36"/>
      <c r="AC1153" s="645"/>
    </row>
    <row r="1154" spans="1:30" ht="12.75" customHeight="1">
      <c r="B1154" s="7145"/>
      <c r="C1154" s="515" t="str">
        <f t="shared" si="389"/>
        <v>Refuerzo físico</v>
      </c>
      <c r="D1154" s="794">
        <f t="shared" si="390"/>
        <v>8</v>
      </c>
      <c r="E1154" s="131" t="s">
        <v>987</v>
      </c>
      <c r="F1154" s="75">
        <v>20</v>
      </c>
      <c r="G1154" s="75">
        <v>10</v>
      </c>
      <c r="H1154" s="84">
        <f>IF(COUNTIF(PDs!$E$81:$H$85,E1154)&gt;0,1,0)</f>
        <v>0</v>
      </c>
      <c r="I1154" s="540" t="s">
        <v>1315</v>
      </c>
      <c r="J1154" s="14" t="s">
        <v>988</v>
      </c>
      <c r="K1154" s="21"/>
      <c r="L1154" s="21"/>
      <c r="M1154" s="21"/>
      <c r="N1154" s="21"/>
      <c r="O1154" s="47"/>
      <c r="P1154" s="21"/>
      <c r="Q1154" s="21"/>
      <c r="R1154" s="36"/>
      <c r="AC1154" s="645"/>
    </row>
    <row r="1155" spans="1:30" ht="12.75" customHeight="1">
      <c r="B1155" s="7145"/>
      <c r="C1155" s="515" t="str">
        <f t="shared" si="389"/>
        <v>Técnica característica</v>
      </c>
      <c r="D1155" s="794">
        <f t="shared" si="390"/>
        <v>9</v>
      </c>
      <c r="E1155" s="131" t="s">
        <v>989</v>
      </c>
      <c r="F1155" s="75">
        <v>40</v>
      </c>
      <c r="G1155" s="75">
        <v>30</v>
      </c>
      <c r="H1155" s="84">
        <f>IF(COUNTIF(PDs!$E$81:$H$85,E1155)&gt;0,1,0)</f>
        <v>0</v>
      </c>
      <c r="I1155" s="540" t="str">
        <f>IF(OR(HA_final&lt;120,HD_final&lt;120),"NO","-")</f>
        <v>NO</v>
      </c>
      <c r="J1155" s="14" t="s">
        <v>990</v>
      </c>
      <c r="K1155" s="21"/>
      <c r="L1155" s="21"/>
      <c r="M1155" s="21"/>
      <c r="N1155" s="21"/>
      <c r="O1155" s="47"/>
      <c r="P1155" s="21"/>
      <c r="Q1155" s="21"/>
      <c r="R1155" s="36"/>
      <c r="AC1155" s="645"/>
    </row>
    <row r="1156" spans="1:30" ht="12.75" customHeight="1" thickBot="1">
      <c r="B1156" s="7145"/>
      <c r="C1156" s="221" t="str">
        <f t="shared" si="389"/>
        <v>Técnica mayor</v>
      </c>
      <c r="D1156" s="220">
        <f t="shared" si="390"/>
        <v>10</v>
      </c>
      <c r="E1156" s="211" t="s">
        <v>991</v>
      </c>
      <c r="F1156" s="194">
        <v>20</v>
      </c>
      <c r="G1156" s="194">
        <v>20</v>
      </c>
      <c r="H1156" s="187">
        <f>IF(COUNTIF(PDs!$E$81:$H$85,E1156)&gt;0,1,0)</f>
        <v>0</v>
      </c>
      <c r="I1156" s="563" t="str">
        <f>IF(OR(HA_final&lt;180,H1155=0,HD_final&lt;180),"NO","-")</f>
        <v>NO</v>
      </c>
      <c r="J1156" s="19" t="s">
        <v>992</v>
      </c>
      <c r="K1156" s="66"/>
      <c r="L1156" s="66"/>
      <c r="M1156" s="66"/>
      <c r="N1156" s="66"/>
      <c r="O1156" s="556"/>
      <c r="P1156" s="66"/>
      <c r="Q1156" s="66"/>
      <c r="R1156" s="67"/>
      <c r="AC1156" s="645"/>
    </row>
    <row r="1157" spans="1:30" ht="12.75" customHeight="1">
      <c r="A1157" s="219">
        <v>1120</v>
      </c>
      <c r="B1157" s="7145"/>
      <c r="H1157"/>
      <c r="I1157" s="510"/>
      <c r="N1157"/>
      <c r="O1157" s="510"/>
      <c r="AC1157" s="645"/>
    </row>
    <row r="1158" spans="1:30" ht="12.75" customHeight="1">
      <c r="A1158" s="219">
        <v>1121</v>
      </c>
      <c r="B1158" s="7939"/>
      <c r="C1158" s="7146" t="s">
        <v>6882</v>
      </c>
      <c r="D1158" s="7146"/>
      <c r="E1158" s="7146"/>
      <c r="F1158" s="7146"/>
      <c r="G1158" s="7146"/>
      <c r="H1158" s="7146"/>
      <c r="I1158" s="7146"/>
      <c r="J1158" s="7146"/>
      <c r="K1158" s="7146"/>
      <c r="L1158" s="7146"/>
      <c r="M1158" s="7146"/>
      <c r="N1158" s="7146"/>
      <c r="O1158" s="7146"/>
      <c r="P1158" s="7146"/>
      <c r="Q1158" s="7146"/>
      <c r="R1158" s="7146"/>
      <c r="S1158" s="7146"/>
      <c r="T1158" s="7146"/>
      <c r="U1158" s="7146"/>
      <c r="V1158" s="7146"/>
      <c r="W1158" s="7146"/>
      <c r="X1158" s="7146"/>
      <c r="Y1158" s="7146"/>
      <c r="Z1158" s="7146"/>
      <c r="AA1158" s="7146"/>
      <c r="AB1158" s="7146"/>
      <c r="AC1158" s="7146"/>
      <c r="AD1158" s="7146"/>
    </row>
    <row r="1159" spans="1:30" ht="12.75" customHeight="1">
      <c r="A1159" s="219">
        <v>1122</v>
      </c>
      <c r="B1159" s="7939"/>
      <c r="C1159" s="7146"/>
      <c r="D1159" s="7146"/>
      <c r="E1159" s="7146"/>
      <c r="F1159" s="7146"/>
      <c r="G1159" s="7146"/>
      <c r="H1159" s="7146"/>
      <c r="I1159" s="7146"/>
      <c r="J1159" s="7146"/>
      <c r="K1159" s="7146"/>
      <c r="L1159" s="7146"/>
      <c r="M1159" s="7146"/>
      <c r="N1159" s="7146"/>
      <c r="O1159" s="7146"/>
      <c r="P1159" s="7146"/>
      <c r="Q1159" s="7146"/>
      <c r="R1159" s="7146"/>
      <c r="S1159" s="7146"/>
      <c r="T1159" s="7146"/>
      <c r="U1159" s="7146"/>
      <c r="V1159" s="7146"/>
      <c r="W1159" s="7146"/>
      <c r="X1159" s="7146"/>
      <c r="Y1159" s="7146"/>
      <c r="Z1159" s="7146"/>
      <c r="AA1159" s="7146"/>
      <c r="AB1159" s="7146"/>
      <c r="AC1159" s="7146"/>
      <c r="AD1159" s="7146"/>
    </row>
    <row r="1160" spans="1:30" ht="12.75" customHeight="1">
      <c r="A1160" s="219">
        <v>1123</v>
      </c>
      <c r="B1160" s="7939"/>
      <c r="C1160" s="7146"/>
      <c r="D1160" s="7146"/>
      <c r="E1160" s="7146"/>
      <c r="F1160" s="7146"/>
      <c r="G1160" s="7146"/>
      <c r="H1160" s="7146"/>
      <c r="I1160" s="7146"/>
      <c r="J1160" s="7146"/>
      <c r="K1160" s="7146"/>
      <c r="L1160" s="7146"/>
      <c r="M1160" s="7146"/>
      <c r="N1160" s="7146"/>
      <c r="O1160" s="7146"/>
      <c r="P1160" s="7146"/>
      <c r="Q1160" s="7146"/>
      <c r="R1160" s="7146"/>
      <c r="S1160" s="7146"/>
      <c r="T1160" s="7146"/>
      <c r="U1160" s="7146"/>
      <c r="V1160" s="7146"/>
      <c r="W1160" s="7146"/>
      <c r="X1160" s="7146"/>
      <c r="Y1160" s="7146"/>
      <c r="Z1160" s="7146"/>
      <c r="AA1160" s="7146"/>
      <c r="AB1160" s="7146"/>
      <c r="AC1160" s="7146"/>
      <c r="AD1160" s="7146"/>
    </row>
    <row r="1161" spans="1:30" ht="12.75" customHeight="1" thickBot="1">
      <c r="A1161" s="219">
        <v>1124</v>
      </c>
      <c r="B1161" s="7939"/>
      <c r="H1161"/>
      <c r="I1161" s="510"/>
      <c r="N1161"/>
      <c r="O1161" s="510"/>
      <c r="AC1161" s="645"/>
    </row>
    <row r="1162" spans="1:30" ht="12.75" customHeight="1" thickBot="1">
      <c r="A1162" s="219">
        <v>1125</v>
      </c>
      <c r="B1162" s="7939"/>
      <c r="C1162" s="7979" t="s">
        <v>1073</v>
      </c>
      <c r="D1162" s="7979"/>
      <c r="E1162" s="7979"/>
      <c r="F1162" s="7979"/>
      <c r="G1162" s="7979"/>
      <c r="H1162" s="7979"/>
      <c r="I1162" s="7979"/>
      <c r="J1162" s="7979"/>
      <c r="K1162" s="7979"/>
      <c r="L1162" s="7979"/>
      <c r="M1162" s="7979"/>
      <c r="N1162"/>
      <c r="O1162" s="510"/>
      <c r="P1162" s="6421" t="s">
        <v>1000</v>
      </c>
      <c r="Q1162" s="6421"/>
      <c r="S1162" s="6421" t="s">
        <v>59</v>
      </c>
      <c r="T1162" s="6421"/>
      <c r="U1162" s="6421"/>
      <c r="W1162" s="7956" t="s">
        <v>1103</v>
      </c>
      <c r="X1162" s="7956"/>
      <c r="Z1162" s="8070" t="s">
        <v>602</v>
      </c>
      <c r="AA1162" s="8071"/>
      <c r="AB1162" s="8071"/>
      <c r="AC1162" s="8071"/>
      <c r="AD1162" s="8072"/>
    </row>
    <row r="1163" spans="1:30" ht="12.75" customHeight="1" thickBot="1">
      <c r="A1163" s="219">
        <v>1126</v>
      </c>
      <c r="B1163" s="7939"/>
      <c r="C1163" s="7979"/>
      <c r="D1163" s="7979"/>
      <c r="E1163" s="7979"/>
      <c r="F1163" s="7979"/>
      <c r="G1163" s="7979"/>
      <c r="H1163" s="7979"/>
      <c r="I1163" s="7979"/>
      <c r="J1163" s="7979"/>
      <c r="K1163" s="7979"/>
      <c r="L1163" s="7979"/>
      <c r="M1163" s="7979"/>
      <c r="N1163"/>
      <c r="O1163" s="510"/>
      <c r="P1163" s="6421"/>
      <c r="Q1163" s="6421"/>
      <c r="S1163" s="6421"/>
      <c r="T1163" s="6421"/>
      <c r="U1163" s="6421"/>
      <c r="W1163" s="170" t="s">
        <v>1251</v>
      </c>
      <c r="X1163" s="172" t="s">
        <v>1104</v>
      </c>
      <c r="Z1163" s="8073"/>
      <c r="AA1163" s="6485"/>
      <c r="AB1163" s="6485"/>
      <c r="AC1163" s="6485"/>
      <c r="AD1163" s="8074"/>
    </row>
    <row r="1164" spans="1:30" ht="12.75" customHeight="1" thickBot="1">
      <c r="A1164" s="219">
        <v>1127</v>
      </c>
      <c r="B1164" s="7939"/>
      <c r="C1164" s="8102" t="s">
        <v>1492</v>
      </c>
      <c r="D1164" s="8102"/>
      <c r="E1164" s="197" t="s">
        <v>1349</v>
      </c>
      <c r="F1164" s="8076" t="s">
        <v>1408</v>
      </c>
      <c r="G1164" s="8076"/>
      <c r="H1164" s="8076"/>
      <c r="I1164" s="8076"/>
      <c r="J1164" s="8076"/>
      <c r="K1164" s="8076"/>
      <c r="L1164" s="8076"/>
      <c r="M1164" s="8076"/>
      <c r="N1164"/>
      <c r="O1164" s="510"/>
      <c r="P1164" s="170" t="s">
        <v>1245</v>
      </c>
      <c r="Q1164" s="172" t="s">
        <v>1001</v>
      </c>
      <c r="S1164" s="254" t="s">
        <v>60</v>
      </c>
      <c r="T1164" s="171" t="s">
        <v>61</v>
      </c>
      <c r="U1164" s="172" t="s">
        <v>62</v>
      </c>
      <c r="W1164" s="191">
        <v>1</v>
      </c>
      <c r="X1164" s="50">
        <v>0</v>
      </c>
      <c r="Z1164" s="8068" t="s">
        <v>1300</v>
      </c>
      <c r="AA1164" s="8069"/>
      <c r="AB1164" s="8069"/>
      <c r="AC1164" s="549" t="s">
        <v>1216</v>
      </c>
      <c r="AD1164" s="1156" t="s">
        <v>1368</v>
      </c>
    </row>
    <row r="1165" spans="1:30" ht="12.75" customHeight="1">
      <c r="A1165" s="219">
        <v>1128</v>
      </c>
      <c r="B1165" s="7939"/>
      <c r="C1165" s="245"/>
      <c r="D1165" s="78" t="s">
        <v>1074</v>
      </c>
      <c r="E1165" s="75">
        <v>20</v>
      </c>
      <c r="F1165" s="39" t="s">
        <v>1075</v>
      </c>
      <c r="G1165" s="21"/>
      <c r="H1165" s="21"/>
      <c r="I1165" s="47"/>
      <c r="J1165" s="21"/>
      <c r="K1165" s="21"/>
      <c r="L1165" s="21"/>
      <c r="M1165" s="36"/>
      <c r="N1165"/>
      <c r="O1165" s="510"/>
      <c r="P1165" s="188">
        <v>1</v>
      </c>
      <c r="Q1165" s="190">
        <v>0</v>
      </c>
      <c r="S1165" s="85">
        <v>4</v>
      </c>
      <c r="T1165" s="84">
        <v>1</v>
      </c>
      <c r="U1165" s="50">
        <v>1</v>
      </c>
      <c r="W1165" s="191">
        <v>2</v>
      </c>
      <c r="X1165" s="50">
        <v>0</v>
      </c>
      <c r="Z1165" s="515" t="str">
        <f t="shared" ref="Z1165:Z1209" si="391">VLOOKUP(A1,$AA$1165:$AB$1209,2,0)</f>
        <v>&gt; ARCANOS</v>
      </c>
      <c r="AA1165" s="794">
        <f>COUNTIF($AB$1165:$AB$1209,"&lt;="&amp;AB1165)</f>
        <v>1</v>
      </c>
      <c r="AB1165" s="1157" t="s">
        <v>603</v>
      </c>
      <c r="AC1165" s="1158"/>
      <c r="AD1165" s="1159"/>
    </row>
    <row r="1166" spans="1:30" ht="12.75" customHeight="1">
      <c r="A1166" s="219">
        <v>1129</v>
      </c>
      <c r="B1166" s="7939"/>
      <c r="C1166" s="85"/>
      <c r="D1166" s="78" t="s">
        <v>1076</v>
      </c>
      <c r="E1166" s="75">
        <v>15</v>
      </c>
      <c r="F1166" s="39" t="s">
        <v>1077</v>
      </c>
      <c r="G1166" s="21"/>
      <c r="H1166" s="21"/>
      <c r="I1166" s="47"/>
      <c r="J1166" s="21"/>
      <c r="K1166" s="21"/>
      <c r="L1166" s="21"/>
      <c r="M1166" s="36"/>
      <c r="N1166"/>
      <c r="O1166" s="510"/>
      <c r="P1166" s="191">
        <v>2</v>
      </c>
      <c r="Q1166" s="50">
        <v>0</v>
      </c>
      <c r="S1166" s="85">
        <v>8</v>
      </c>
      <c r="T1166" s="84">
        <v>1</v>
      </c>
      <c r="U1166" s="50">
        <v>2</v>
      </c>
      <c r="W1166" s="191">
        <v>3</v>
      </c>
      <c r="X1166" s="50">
        <v>0</v>
      </c>
      <c r="Z1166" s="515" t="str">
        <f t="shared" si="391"/>
        <v>El Carro</v>
      </c>
      <c r="AA1166" s="794">
        <f t="shared" ref="AA1166:AA1209" si="392">COUNTIF($AB$1165:$AB$1209,"&lt;="&amp;AB1166)</f>
        <v>16</v>
      </c>
      <c r="AB1166" s="1160" t="s">
        <v>604</v>
      </c>
      <c r="AC1166" s="786">
        <v>120</v>
      </c>
      <c r="AD1166" s="1159">
        <v>100</v>
      </c>
    </row>
    <row r="1167" spans="1:30" ht="12.75" customHeight="1">
      <c r="A1167" s="219">
        <v>1130</v>
      </c>
      <c r="B1167" s="7939"/>
      <c r="C1167" s="85"/>
      <c r="D1167" s="78" t="s">
        <v>1078</v>
      </c>
      <c r="E1167" s="75">
        <v>20</v>
      </c>
      <c r="F1167" s="39" t="s">
        <v>1079</v>
      </c>
      <c r="G1167" s="21"/>
      <c r="H1167" s="21"/>
      <c r="I1167" s="47"/>
      <c r="J1167" s="21"/>
      <c r="K1167" s="21"/>
      <c r="L1167" s="21"/>
      <c r="M1167" s="36"/>
      <c r="N1167"/>
      <c r="O1167" s="510"/>
      <c r="P1167" s="191">
        <v>3</v>
      </c>
      <c r="Q1167" s="50">
        <v>0</v>
      </c>
      <c r="S1167" s="85">
        <v>14</v>
      </c>
      <c r="T1167" s="84">
        <v>2</v>
      </c>
      <c r="U1167" s="50">
        <v>3</v>
      </c>
      <c r="W1167" s="191">
        <v>4</v>
      </c>
      <c r="X1167" s="50">
        <v>0</v>
      </c>
      <c r="Z1167" s="515" t="str">
        <f t="shared" si="391"/>
        <v>El Carro invertido</v>
      </c>
      <c r="AA1167" s="794">
        <f t="shared" si="392"/>
        <v>12</v>
      </c>
      <c r="AB1167" s="1161" t="s">
        <v>605</v>
      </c>
      <c r="AC1167" s="47">
        <v>130</v>
      </c>
      <c r="AD1167" s="132">
        <v>100</v>
      </c>
    </row>
    <row r="1168" spans="1:30" ht="12.75" customHeight="1">
      <c r="A1168" s="219">
        <v>1131</v>
      </c>
      <c r="B1168" s="7939"/>
      <c r="C1168" s="85"/>
      <c r="D1168" s="78" t="s">
        <v>1080</v>
      </c>
      <c r="E1168" s="75">
        <v>10</v>
      </c>
      <c r="F1168" s="39" t="s">
        <v>1081</v>
      </c>
      <c r="G1168" s="21"/>
      <c r="H1168" s="21"/>
      <c r="I1168" s="47"/>
      <c r="J1168" s="21"/>
      <c r="K1168" s="21"/>
      <c r="L1168" s="21"/>
      <c r="M1168" s="36"/>
      <c r="N1168"/>
      <c r="O1168" s="510"/>
      <c r="P1168" s="191">
        <v>4</v>
      </c>
      <c r="Q1168" s="50">
        <v>0</v>
      </c>
      <c r="S1168" s="85">
        <v>18</v>
      </c>
      <c r="T1168" s="84">
        <v>2</v>
      </c>
      <c r="U1168" s="50">
        <v>4</v>
      </c>
      <c r="W1168" s="191">
        <v>5</v>
      </c>
      <c r="X1168" s="50">
        <v>10</v>
      </c>
      <c r="Z1168" s="515" t="str">
        <f t="shared" si="391"/>
        <v>El Colgado</v>
      </c>
      <c r="AA1168" s="794">
        <f t="shared" si="392"/>
        <v>38</v>
      </c>
      <c r="AB1168" s="1161" t="s">
        <v>606</v>
      </c>
      <c r="AC1168" s="47">
        <v>140</v>
      </c>
      <c r="AD1168" s="132">
        <v>150</v>
      </c>
    </row>
    <row r="1169" spans="1:30" ht="12.75" customHeight="1">
      <c r="A1169" s="219">
        <v>1132</v>
      </c>
      <c r="B1169" s="7939"/>
      <c r="C1169" s="85"/>
      <c r="D1169" s="78" t="s">
        <v>1082</v>
      </c>
      <c r="E1169" s="75">
        <v>10</v>
      </c>
      <c r="F1169" s="39" t="s">
        <v>1083</v>
      </c>
      <c r="G1169" s="21"/>
      <c r="H1169" s="21"/>
      <c r="I1169" s="47"/>
      <c r="J1169" s="21"/>
      <c r="K1169" s="21"/>
      <c r="L1169" s="21"/>
      <c r="M1169" s="36"/>
      <c r="N1169"/>
      <c r="O1169" s="510"/>
      <c r="P1169" s="191">
        <v>5</v>
      </c>
      <c r="Q1169" s="50">
        <v>0</v>
      </c>
      <c r="S1169" s="85">
        <v>24</v>
      </c>
      <c r="T1169" s="84">
        <v>3</v>
      </c>
      <c r="U1169" s="50">
        <v>5</v>
      </c>
      <c r="W1169" s="85">
        <v>6</v>
      </c>
      <c r="X1169" s="50">
        <v>20</v>
      </c>
      <c r="Z1169" s="515" t="str">
        <f t="shared" si="391"/>
        <v>El Colgado invertido</v>
      </c>
      <c r="AA1169" s="794">
        <f t="shared" si="392"/>
        <v>24</v>
      </c>
      <c r="AB1169" s="1161" t="s">
        <v>607</v>
      </c>
      <c r="AC1169" s="47">
        <v>150</v>
      </c>
      <c r="AD1169" s="132">
        <v>200</v>
      </c>
    </row>
    <row r="1170" spans="1:30" ht="12.75" customHeight="1">
      <c r="A1170" s="219">
        <v>1133</v>
      </c>
      <c r="B1170" s="7939"/>
      <c r="C1170" s="85"/>
      <c r="D1170" s="78" t="s">
        <v>1084</v>
      </c>
      <c r="E1170" s="75">
        <v>20</v>
      </c>
      <c r="F1170" s="39" t="s">
        <v>1085</v>
      </c>
      <c r="G1170" s="21"/>
      <c r="H1170" s="21"/>
      <c r="I1170" s="47"/>
      <c r="J1170" s="21"/>
      <c r="K1170" s="21"/>
      <c r="L1170" s="21"/>
      <c r="M1170" s="36"/>
      <c r="N1170"/>
      <c r="O1170" s="510"/>
      <c r="P1170" s="85">
        <v>6</v>
      </c>
      <c r="Q1170" s="50">
        <v>10</v>
      </c>
      <c r="S1170" s="85">
        <v>28</v>
      </c>
      <c r="T1170" s="84">
        <v>3</v>
      </c>
      <c r="U1170" s="50">
        <v>6</v>
      </c>
      <c r="W1170" s="85">
        <v>7</v>
      </c>
      <c r="X1170" s="50">
        <v>30</v>
      </c>
      <c r="Z1170" s="515" t="str">
        <f t="shared" si="391"/>
        <v>El Diablo</v>
      </c>
      <c r="AA1170" s="794">
        <f t="shared" si="392"/>
        <v>8</v>
      </c>
      <c r="AB1170" s="1161" t="s">
        <v>608</v>
      </c>
      <c r="AC1170" s="47">
        <v>160</v>
      </c>
      <c r="AD1170" s="132">
        <v>200</v>
      </c>
    </row>
    <row r="1171" spans="1:30" ht="12.75" customHeight="1" thickBot="1">
      <c r="A1171" s="219">
        <v>1134</v>
      </c>
      <c r="B1171" s="7939"/>
      <c r="C1171" s="186"/>
      <c r="D1171" s="238" t="s">
        <v>1086</v>
      </c>
      <c r="E1171" s="194">
        <v>10</v>
      </c>
      <c r="F1171" s="246" t="s">
        <v>1087</v>
      </c>
      <c r="G1171" s="66"/>
      <c r="H1171" s="66"/>
      <c r="I1171" s="556"/>
      <c r="J1171" s="66"/>
      <c r="K1171" s="66"/>
      <c r="L1171" s="66"/>
      <c r="M1171" s="67"/>
      <c r="N1171"/>
      <c r="O1171" s="510"/>
      <c r="P1171" s="85">
        <v>7</v>
      </c>
      <c r="Q1171" s="50">
        <v>20</v>
      </c>
      <c r="S1171" s="85">
        <v>34</v>
      </c>
      <c r="T1171" s="84">
        <v>4</v>
      </c>
      <c r="U1171" s="50">
        <v>7</v>
      </c>
      <c r="W1171" s="85">
        <v>8</v>
      </c>
      <c r="X1171" s="50">
        <v>40</v>
      </c>
      <c r="Z1171" s="515" t="str">
        <f t="shared" si="391"/>
        <v>El Diablo invertido</v>
      </c>
      <c r="AA1171" s="794">
        <f t="shared" si="392"/>
        <v>22</v>
      </c>
      <c r="AB1171" s="1161" t="s">
        <v>609</v>
      </c>
      <c r="AC1171" s="47">
        <v>170</v>
      </c>
      <c r="AD1171" s="132">
        <v>250</v>
      </c>
    </row>
    <row r="1172" spans="1:30" ht="12.75" customHeight="1" thickBot="1">
      <c r="A1172" s="219">
        <v>1135</v>
      </c>
      <c r="B1172" s="7939"/>
      <c r="H1172"/>
      <c r="I1172" s="510"/>
      <c r="L1172" s="242"/>
      <c r="N1172"/>
      <c r="O1172" s="510"/>
      <c r="P1172" s="85">
        <v>8</v>
      </c>
      <c r="Q1172" s="50">
        <v>30</v>
      </c>
      <c r="S1172" s="85">
        <v>38</v>
      </c>
      <c r="T1172" s="84">
        <v>4</v>
      </c>
      <c r="U1172" s="50">
        <v>8</v>
      </c>
      <c r="W1172" s="85">
        <v>9</v>
      </c>
      <c r="X1172" s="50">
        <v>50</v>
      </c>
      <c r="Z1172" s="515" t="str">
        <f t="shared" si="391"/>
        <v>El Emperador</v>
      </c>
      <c r="AA1172" s="794">
        <f t="shared" si="392"/>
        <v>44</v>
      </c>
      <c r="AB1172" s="1161" t="s">
        <v>610</v>
      </c>
      <c r="AC1172" s="47">
        <v>180</v>
      </c>
      <c r="AD1172" s="132">
        <v>250</v>
      </c>
    </row>
    <row r="1173" spans="1:30" ht="12.75" customHeight="1" thickBot="1">
      <c r="A1173" s="219">
        <v>1136</v>
      </c>
      <c r="B1173" s="7939"/>
      <c r="C1173" s="7942" t="s">
        <v>1088</v>
      </c>
      <c r="E1173" s="7940" t="s">
        <v>6429</v>
      </c>
      <c r="G1173" s="7862" t="s">
        <v>6433</v>
      </c>
      <c r="H1173" s="7863"/>
      <c r="I1173" s="7943" t="s">
        <v>5863</v>
      </c>
      <c r="K1173" s="4372" t="s">
        <v>1092</v>
      </c>
      <c r="L1173" s="242"/>
      <c r="M1173" s="8044" t="s">
        <v>1007</v>
      </c>
      <c r="N1173" s="8044"/>
      <c r="O1173" s="510"/>
      <c r="P1173" s="85">
        <v>9</v>
      </c>
      <c r="Q1173" s="50">
        <v>40</v>
      </c>
      <c r="S1173" s="85">
        <v>44</v>
      </c>
      <c r="T1173" s="84">
        <v>5</v>
      </c>
      <c r="U1173" s="50">
        <v>9</v>
      </c>
      <c r="W1173" s="191">
        <v>10</v>
      </c>
      <c r="X1173" s="50">
        <v>60</v>
      </c>
      <c r="Z1173" s="515" t="str">
        <f t="shared" si="391"/>
        <v>El Emperador invertido</v>
      </c>
      <c r="AA1173" s="794">
        <f t="shared" si="392"/>
        <v>2</v>
      </c>
      <c r="AB1173" s="1161" t="s">
        <v>611</v>
      </c>
      <c r="AC1173" s="47">
        <v>190</v>
      </c>
      <c r="AD1173" s="132">
        <v>300</v>
      </c>
    </row>
    <row r="1174" spans="1:30" ht="12.75" customHeight="1" thickBot="1">
      <c r="A1174" s="219">
        <v>1137</v>
      </c>
      <c r="B1174" s="7939"/>
      <c r="C1174" s="7942"/>
      <c r="E1174" s="8089"/>
      <c r="G1174" s="8032"/>
      <c r="H1174" s="8033"/>
      <c r="I1174" s="7944" t="s">
        <v>5863</v>
      </c>
      <c r="K1174" s="4372"/>
      <c r="M1174" s="8044"/>
      <c r="N1174" s="8044"/>
      <c r="O1174" s="510"/>
      <c r="P1174" s="191">
        <v>10</v>
      </c>
      <c r="Q1174" s="50">
        <v>50</v>
      </c>
      <c r="S1174" s="85">
        <v>48</v>
      </c>
      <c r="T1174" s="84">
        <v>5</v>
      </c>
      <c r="U1174" s="50">
        <v>10</v>
      </c>
      <c r="W1174" s="85">
        <v>11</v>
      </c>
      <c r="X1174" s="50">
        <v>70</v>
      </c>
      <c r="Z1174" s="515" t="str">
        <f t="shared" si="391"/>
        <v>El Ermitaño</v>
      </c>
      <c r="AA1174" s="794">
        <f t="shared" si="392"/>
        <v>28</v>
      </c>
      <c r="AB1174" s="1161" t="s">
        <v>612</v>
      </c>
      <c r="AC1174" s="47">
        <v>200</v>
      </c>
      <c r="AD1174" s="132">
        <v>350</v>
      </c>
    </row>
    <row r="1175" spans="1:30" ht="12.75" customHeight="1" thickBot="1">
      <c r="A1175" s="219">
        <v>1138</v>
      </c>
      <c r="B1175" s="7939"/>
      <c r="C1175" s="247" t="s">
        <v>1553</v>
      </c>
      <c r="E1175" s="4016" t="s">
        <v>6435</v>
      </c>
      <c r="G1175" s="7862" t="s">
        <v>6467</v>
      </c>
      <c r="H1175" s="7863"/>
      <c r="I1175" s="893" t="s">
        <v>6468</v>
      </c>
      <c r="K1175" s="216" t="s">
        <v>1093</v>
      </c>
      <c r="M1175" s="196" t="s">
        <v>1008</v>
      </c>
      <c r="N1175" s="198" t="s">
        <v>1349</v>
      </c>
      <c r="O1175" s="510"/>
      <c r="P1175" s="85">
        <v>11</v>
      </c>
      <c r="Q1175" s="50">
        <v>75</v>
      </c>
      <c r="S1175" s="85">
        <v>54</v>
      </c>
      <c r="T1175" s="84">
        <v>6</v>
      </c>
      <c r="U1175" s="50">
        <v>11</v>
      </c>
      <c r="W1175" s="85">
        <v>12</v>
      </c>
      <c r="X1175" s="50">
        <v>80</v>
      </c>
      <c r="Z1175" s="515" t="str">
        <f t="shared" si="391"/>
        <v>El Ermitaño invertido</v>
      </c>
      <c r="AA1175" s="794">
        <f t="shared" si="392"/>
        <v>10</v>
      </c>
      <c r="AB1175" s="1161" t="s">
        <v>613</v>
      </c>
      <c r="AC1175" s="47">
        <v>220</v>
      </c>
      <c r="AD1175" s="132">
        <v>400</v>
      </c>
    </row>
    <row r="1176" spans="1:30" ht="12.75" customHeight="1">
      <c r="A1176" s="219">
        <v>1139</v>
      </c>
      <c r="B1176" s="7939"/>
      <c r="C1176" s="247" t="s">
        <v>1554</v>
      </c>
      <c r="E1176" s="653" t="s">
        <v>6430</v>
      </c>
      <c r="G1176" s="7865"/>
      <c r="H1176" s="6485"/>
      <c r="I1176" s="893" t="s">
        <v>6013</v>
      </c>
      <c r="K1176" s="216" t="s">
        <v>1424</v>
      </c>
      <c r="M1176" s="233">
        <v>2</v>
      </c>
      <c r="N1176" s="234">
        <v>2</v>
      </c>
      <c r="O1176" s="510"/>
      <c r="P1176" s="85">
        <v>12</v>
      </c>
      <c r="Q1176" s="50">
        <v>100</v>
      </c>
      <c r="S1176" s="85">
        <v>58</v>
      </c>
      <c r="T1176" s="84">
        <v>6</v>
      </c>
      <c r="U1176" s="50">
        <v>12</v>
      </c>
      <c r="W1176" s="85">
        <v>13</v>
      </c>
      <c r="X1176" s="50">
        <v>90</v>
      </c>
      <c r="Z1176" s="515" t="str">
        <f t="shared" si="391"/>
        <v>El Hierofante</v>
      </c>
      <c r="AA1176" s="794">
        <f t="shared" si="392"/>
        <v>36</v>
      </c>
      <c r="AB1176" s="1161" t="s">
        <v>614</v>
      </c>
      <c r="AC1176" s="47">
        <v>240</v>
      </c>
      <c r="AD1176" s="132">
        <v>450</v>
      </c>
    </row>
    <row r="1177" spans="1:30" ht="12.75" customHeight="1" thickBot="1">
      <c r="A1177" s="219">
        <v>1140</v>
      </c>
      <c r="B1177" s="7939"/>
      <c r="C1177" s="247" t="s">
        <v>1461</v>
      </c>
      <c r="E1177" s="653" t="s">
        <v>6431</v>
      </c>
      <c r="G1177" s="660" t="s">
        <v>6437</v>
      </c>
      <c r="H1177" s="197" t="s">
        <v>6438</v>
      </c>
      <c r="I1177" s="893" t="s">
        <v>6469</v>
      </c>
      <c r="K1177" s="216" t="s">
        <v>1094</v>
      </c>
      <c r="M1177" s="235">
        <v>12</v>
      </c>
      <c r="N1177" s="236">
        <v>4</v>
      </c>
      <c r="O1177" s="510"/>
      <c r="P1177" s="85">
        <v>13</v>
      </c>
      <c r="Q1177" s="50">
        <v>150</v>
      </c>
      <c r="S1177" s="85">
        <v>64</v>
      </c>
      <c r="T1177" s="84">
        <v>7</v>
      </c>
      <c r="U1177" s="50">
        <v>13</v>
      </c>
      <c r="W1177" s="85">
        <v>14</v>
      </c>
      <c r="X1177" s="50">
        <v>100</v>
      </c>
      <c r="Z1177" s="515" t="str">
        <f t="shared" si="391"/>
        <v>El Hierofante invertido</v>
      </c>
      <c r="AA1177" s="794">
        <f t="shared" si="392"/>
        <v>30</v>
      </c>
      <c r="AB1177" s="1161" t="s">
        <v>615</v>
      </c>
      <c r="AC1177" s="47">
        <v>260</v>
      </c>
      <c r="AD1177" s="132">
        <v>500</v>
      </c>
    </row>
    <row r="1178" spans="1:30" ht="12.75" customHeight="1">
      <c r="A1178" s="219">
        <v>1141</v>
      </c>
      <c r="B1178" s="7939"/>
      <c r="C1178" s="247" t="s">
        <v>1464</v>
      </c>
      <c r="E1178" s="653" t="s">
        <v>6432</v>
      </c>
      <c r="G1178" s="4022">
        <v>1</v>
      </c>
      <c r="H1178" s="4023">
        <v>12</v>
      </c>
      <c r="I1178" s="893" t="s">
        <v>6470</v>
      </c>
      <c r="K1178" s="216" t="s">
        <v>1095</v>
      </c>
      <c r="M1178" s="235">
        <v>22</v>
      </c>
      <c r="N1178" s="236">
        <v>6</v>
      </c>
      <c r="O1178" s="510"/>
      <c r="P1178" s="85">
        <v>14</v>
      </c>
      <c r="Q1178" s="50">
        <v>200</v>
      </c>
      <c r="S1178" s="85">
        <v>68</v>
      </c>
      <c r="T1178" s="84">
        <v>7</v>
      </c>
      <c r="U1178" s="50">
        <v>14</v>
      </c>
      <c r="W1178" s="191">
        <v>15</v>
      </c>
      <c r="X1178" s="50">
        <v>120</v>
      </c>
      <c r="Z1178" s="515" t="str">
        <f t="shared" si="391"/>
        <v>El Juicio</v>
      </c>
      <c r="AA1178" s="794">
        <f t="shared" si="392"/>
        <v>4</v>
      </c>
      <c r="AB1178" s="1161" t="s">
        <v>616</v>
      </c>
      <c r="AC1178" s="47">
        <v>280</v>
      </c>
      <c r="AD1178" s="132">
        <v>550</v>
      </c>
    </row>
    <row r="1179" spans="1:30" ht="12.75" customHeight="1">
      <c r="A1179" s="219">
        <v>1142</v>
      </c>
      <c r="B1179" s="7939"/>
      <c r="C1179" s="247" t="s">
        <v>1468</v>
      </c>
      <c r="E1179" s="653" t="s">
        <v>6433</v>
      </c>
      <c r="G1179" s="4022">
        <v>2</v>
      </c>
      <c r="H1179" s="4023">
        <v>16</v>
      </c>
      <c r="I1179" s="893" t="s">
        <v>6471</v>
      </c>
      <c r="K1179" s="216" t="s">
        <v>1096</v>
      </c>
      <c r="M1179" s="235">
        <v>32</v>
      </c>
      <c r="N1179" s="236">
        <v>8</v>
      </c>
      <c r="O1179" s="510"/>
      <c r="P1179" s="191">
        <v>15</v>
      </c>
      <c r="Q1179" s="50">
        <v>300</v>
      </c>
      <c r="S1179" s="85">
        <v>74</v>
      </c>
      <c r="T1179" s="84">
        <v>8</v>
      </c>
      <c r="U1179" s="50">
        <v>15</v>
      </c>
      <c r="W1179" s="191">
        <v>16</v>
      </c>
      <c r="X1179" s="50">
        <v>140</v>
      </c>
      <c r="Z1179" s="515" t="str">
        <f t="shared" si="391"/>
        <v>El Juicio invertido</v>
      </c>
      <c r="AA1179" s="794">
        <f t="shared" si="392"/>
        <v>34</v>
      </c>
      <c r="AB1179" s="1161" t="s">
        <v>617</v>
      </c>
      <c r="AC1179" s="47">
        <v>300</v>
      </c>
      <c r="AD1179" s="132">
        <v>600</v>
      </c>
    </row>
    <row r="1180" spans="1:30" ht="12.75" customHeight="1" thickBot="1">
      <c r="A1180" s="219">
        <v>1143</v>
      </c>
      <c r="B1180" s="7939"/>
      <c r="C1180" s="247" t="s">
        <v>1558</v>
      </c>
      <c r="E1180" s="4015" t="s">
        <v>12663</v>
      </c>
      <c r="G1180" s="4022">
        <v>3</v>
      </c>
      <c r="H1180" s="4023">
        <v>20</v>
      </c>
      <c r="I1180" s="893" t="s">
        <v>6472</v>
      </c>
      <c r="K1180" s="217" t="s">
        <v>1097</v>
      </c>
      <c r="M1180" s="235">
        <v>42</v>
      </c>
      <c r="N1180" s="236">
        <v>10</v>
      </c>
      <c r="O1180" s="510"/>
      <c r="P1180" s="191">
        <v>16</v>
      </c>
      <c r="Q1180" s="50">
        <v>400</v>
      </c>
      <c r="S1180" s="85">
        <v>78</v>
      </c>
      <c r="T1180" s="84">
        <v>8</v>
      </c>
      <c r="U1180" s="50">
        <v>16</v>
      </c>
      <c r="W1180" s="85">
        <v>17</v>
      </c>
      <c r="X1180" s="50">
        <v>160</v>
      </c>
      <c r="Z1180" s="515" t="str">
        <f t="shared" si="391"/>
        <v>El Loco</v>
      </c>
      <c r="AA1180" s="794">
        <f t="shared" si="392"/>
        <v>40</v>
      </c>
      <c r="AB1180" s="1161" t="s">
        <v>618</v>
      </c>
      <c r="AC1180" s="47">
        <v>320</v>
      </c>
      <c r="AD1180" s="132">
        <v>650</v>
      </c>
    </row>
    <row r="1181" spans="1:30" ht="12.75" customHeight="1" thickBot="1">
      <c r="A1181" s="219">
        <v>1144</v>
      </c>
      <c r="B1181" s="7939"/>
      <c r="C1181" s="104" t="s">
        <v>1089</v>
      </c>
      <c r="E1181" s="4015" t="s">
        <v>12664</v>
      </c>
      <c r="G1181" s="4022">
        <v>4</v>
      </c>
      <c r="H1181" s="4023">
        <v>24</v>
      </c>
      <c r="I1181" s="893" t="s">
        <v>1920</v>
      </c>
      <c r="M1181" s="235">
        <v>52</v>
      </c>
      <c r="N1181" s="236">
        <v>12</v>
      </c>
      <c r="O1181" s="510"/>
      <c r="P1181" s="85">
        <v>17</v>
      </c>
      <c r="Q1181" s="50">
        <v>500</v>
      </c>
      <c r="S1181" s="85">
        <v>84</v>
      </c>
      <c r="T1181" s="84">
        <v>9</v>
      </c>
      <c r="U1181" s="50">
        <v>17</v>
      </c>
      <c r="W1181" s="85">
        <v>18</v>
      </c>
      <c r="X1181" s="50">
        <v>180</v>
      </c>
      <c r="Z1181" s="515" t="str">
        <f t="shared" si="391"/>
        <v>El Loco invertido</v>
      </c>
      <c r="AA1181" s="794">
        <f t="shared" si="392"/>
        <v>6</v>
      </c>
      <c r="AB1181" s="1161" t="s">
        <v>619</v>
      </c>
      <c r="AC1181" s="47">
        <v>340</v>
      </c>
      <c r="AD1181" s="132">
        <v>700</v>
      </c>
    </row>
    <row r="1182" spans="1:30" ht="12.75" customHeight="1" thickBot="1">
      <c r="A1182" s="219">
        <v>1145</v>
      </c>
      <c r="B1182" s="7939"/>
      <c r="E1182" s="4017" t="s">
        <v>12665</v>
      </c>
      <c r="G1182" s="4024">
        <v>5</v>
      </c>
      <c r="H1182" s="4023">
        <v>28</v>
      </c>
      <c r="I1182" s="893" t="s">
        <v>6473</v>
      </c>
      <c r="M1182" s="235">
        <v>62</v>
      </c>
      <c r="N1182" s="236">
        <v>14</v>
      </c>
      <c r="O1182" s="510"/>
      <c r="P1182" s="85">
        <v>18</v>
      </c>
      <c r="Q1182" s="50">
        <v>600</v>
      </c>
      <c r="S1182" s="85">
        <v>88</v>
      </c>
      <c r="T1182" s="84">
        <v>9</v>
      </c>
      <c r="U1182" s="50">
        <v>18</v>
      </c>
      <c r="W1182" s="85">
        <v>19</v>
      </c>
      <c r="X1182" s="50">
        <v>200</v>
      </c>
      <c r="Z1182" s="515" t="str">
        <f t="shared" si="391"/>
        <v>El Mundo</v>
      </c>
      <c r="AA1182" s="794">
        <f t="shared" si="392"/>
        <v>42</v>
      </c>
      <c r="AB1182" s="1161" t="s">
        <v>620</v>
      </c>
      <c r="AC1182" s="47">
        <v>360</v>
      </c>
      <c r="AD1182" s="132">
        <v>750</v>
      </c>
    </row>
    <row r="1183" spans="1:30" ht="12.75" customHeight="1" thickBot="1">
      <c r="A1183" s="219">
        <v>1146</v>
      </c>
      <c r="B1183" s="7939"/>
      <c r="C1183" s="7940" t="s">
        <v>6657</v>
      </c>
      <c r="G1183" s="4024">
        <v>6</v>
      </c>
      <c r="H1183" s="4025">
        <v>32</v>
      </c>
      <c r="I1183" s="893" t="s">
        <v>6476</v>
      </c>
      <c r="M1183" s="235">
        <v>72</v>
      </c>
      <c r="N1183" s="236">
        <v>16</v>
      </c>
      <c r="O1183" s="510"/>
      <c r="P1183" s="85">
        <v>19</v>
      </c>
      <c r="Q1183" s="50">
        <v>700</v>
      </c>
      <c r="S1183" s="85">
        <v>94</v>
      </c>
      <c r="T1183" s="84">
        <v>10</v>
      </c>
      <c r="U1183" s="50">
        <v>19</v>
      </c>
      <c r="W1183" s="192">
        <v>20</v>
      </c>
      <c r="X1183" s="179">
        <v>220</v>
      </c>
      <c r="Z1183" s="515" t="str">
        <f t="shared" si="391"/>
        <v>El Mundo invertido</v>
      </c>
      <c r="AA1183" s="794">
        <f t="shared" si="392"/>
        <v>26</v>
      </c>
      <c r="AB1183" s="1161" t="s">
        <v>621</v>
      </c>
      <c r="AC1183" s="47">
        <v>380</v>
      </c>
      <c r="AD1183" s="132">
        <v>800</v>
      </c>
    </row>
    <row r="1184" spans="1:30" ht="12.75" customHeight="1" thickBot="1">
      <c r="A1184" s="219">
        <v>1147</v>
      </c>
      <c r="B1184" s="7939"/>
      <c r="C1184" s="7941"/>
      <c r="G1184" s="4026">
        <v>7</v>
      </c>
      <c r="H1184" s="4027">
        <v>36</v>
      </c>
      <c r="I1184" s="893" t="s">
        <v>6477</v>
      </c>
      <c r="M1184" s="235">
        <v>82</v>
      </c>
      <c r="N1184" s="236">
        <v>18</v>
      </c>
      <c r="O1184" s="510"/>
      <c r="P1184" s="192">
        <v>20</v>
      </c>
      <c r="Q1184" s="179">
        <v>800</v>
      </c>
      <c r="S1184" s="186">
        <v>98</v>
      </c>
      <c r="T1184" s="187">
        <v>10</v>
      </c>
      <c r="U1184" s="179">
        <v>20</v>
      </c>
      <c r="Z1184" s="515" t="str">
        <f t="shared" si="391"/>
        <v>El Sol</v>
      </c>
      <c r="AA1184" s="794">
        <f t="shared" si="392"/>
        <v>32</v>
      </c>
      <c r="AB1184" s="1161" t="s">
        <v>622</v>
      </c>
      <c r="AC1184" s="47">
        <v>400</v>
      </c>
      <c r="AD1184" s="132">
        <v>850</v>
      </c>
    </row>
    <row r="1185" spans="1:30" ht="12.75" customHeight="1" thickBot="1">
      <c r="A1185" s="219">
        <v>1148</v>
      </c>
      <c r="B1185" s="7939"/>
      <c r="C1185" s="764" t="s">
        <v>1553</v>
      </c>
      <c r="H1185"/>
      <c r="I1185" s="893" t="s">
        <v>6478</v>
      </c>
      <c r="M1185" s="237">
        <v>92</v>
      </c>
      <c r="N1185" s="232">
        <v>20</v>
      </c>
      <c r="O1185" s="510"/>
      <c r="Z1185" s="515" t="str">
        <f t="shared" si="391"/>
        <v>El Sol invertido</v>
      </c>
      <c r="AA1185" s="794">
        <f t="shared" si="392"/>
        <v>20</v>
      </c>
      <c r="AB1185" s="1161" t="s">
        <v>623</v>
      </c>
      <c r="AC1185" s="47">
        <v>420</v>
      </c>
      <c r="AD1185" s="132">
        <v>900</v>
      </c>
    </row>
    <row r="1186" spans="1:30" ht="12.75" customHeight="1" thickBot="1">
      <c r="A1186" s="219">
        <v>1149</v>
      </c>
      <c r="B1186" s="7939"/>
      <c r="C1186" s="764" t="s">
        <v>1554</v>
      </c>
      <c r="H1186"/>
      <c r="I1186" s="894" t="s">
        <v>6479</v>
      </c>
      <c r="N1186"/>
      <c r="O1186" s="510"/>
      <c r="Z1186" s="515" t="str">
        <f t="shared" si="391"/>
        <v>El Sumo Sacerdote</v>
      </c>
      <c r="AA1186" s="794">
        <f t="shared" si="392"/>
        <v>14</v>
      </c>
      <c r="AB1186" s="1161" t="s">
        <v>624</v>
      </c>
      <c r="AC1186" s="47">
        <v>440</v>
      </c>
      <c r="AD1186" s="132">
        <v>950</v>
      </c>
    </row>
    <row r="1187" spans="1:30" ht="12.75" customHeight="1">
      <c r="A1187" s="219">
        <v>1150</v>
      </c>
      <c r="B1187" s="7939"/>
      <c r="C1187" s="764" t="s">
        <v>1468</v>
      </c>
      <c r="E1187" s="8090" t="s">
        <v>1090</v>
      </c>
      <c r="G1187" s="215"/>
      <c r="H1187"/>
      <c r="O1187" s="510"/>
      <c r="U1187" s="7862" t="s">
        <v>7915</v>
      </c>
      <c r="V1187" s="7863"/>
      <c r="W1187" s="7864"/>
      <c r="Z1187" s="515" t="str">
        <f t="shared" si="391"/>
        <v>El Sumo Sacerdote invertido</v>
      </c>
      <c r="AA1187" s="794">
        <f t="shared" si="392"/>
        <v>18</v>
      </c>
      <c r="AB1187" s="1161" t="s">
        <v>625</v>
      </c>
      <c r="AC1187" s="47">
        <v>460</v>
      </c>
      <c r="AD1187" s="132">
        <v>1000</v>
      </c>
    </row>
    <row r="1188" spans="1:30" ht="12.75" customHeight="1">
      <c r="A1188" s="219">
        <v>1151</v>
      </c>
      <c r="B1188" s="7939"/>
      <c r="C1188" s="764" t="s">
        <v>1464</v>
      </c>
      <c r="E1188" s="8091"/>
      <c r="F1188" s="1227" t="s">
        <v>1258</v>
      </c>
      <c r="G1188" s="1007" t="s">
        <v>6852</v>
      </c>
      <c r="H1188" s="889"/>
      <c r="I1188" s="1195" t="s">
        <v>8033</v>
      </c>
      <c r="J1188" s="1193" t="s">
        <v>5978</v>
      </c>
      <c r="K1188" s="1193" t="s">
        <v>6854</v>
      </c>
      <c r="L1188" s="1193" t="s">
        <v>1369</v>
      </c>
      <c r="M1188" s="1193" t="s">
        <v>8091</v>
      </c>
      <c r="N1188" s="1193" t="s">
        <v>8090</v>
      </c>
      <c r="O1188" s="1193" t="s">
        <v>8092</v>
      </c>
      <c r="P1188" s="1193" t="s">
        <v>8088</v>
      </c>
      <c r="Q1188" s="890" t="s">
        <v>8089</v>
      </c>
      <c r="U1188" s="7865"/>
      <c r="V1188" s="6485"/>
      <c r="W1188" s="7866"/>
      <c r="Z1188" s="515" t="str">
        <f t="shared" si="391"/>
        <v>La Emperatriz</v>
      </c>
      <c r="AA1188" s="794">
        <f t="shared" si="392"/>
        <v>17</v>
      </c>
      <c r="AB1188" s="1160" t="s">
        <v>626</v>
      </c>
      <c r="AC1188" s="47">
        <v>120</v>
      </c>
      <c r="AD1188" s="132">
        <v>100</v>
      </c>
    </row>
    <row r="1189" spans="1:30" ht="12.75" customHeight="1">
      <c r="A1189" s="219">
        <v>1152</v>
      </c>
      <c r="B1189" s="7939"/>
      <c r="C1189" s="764" t="s">
        <v>1461</v>
      </c>
      <c r="E1189" s="746" t="s">
        <v>1553</v>
      </c>
      <c r="F1189" s="804" t="s">
        <v>7916</v>
      </c>
      <c r="G1189" s="218" t="str">
        <f>E1190&amp;", "&amp;$E$1199</f>
        <v>Oscuridad, Nigromancia</v>
      </c>
      <c r="H1189" s="84"/>
      <c r="I1189" s="84">
        <f>IF(SUMPRODUCT(--ISNUMBER(SEARCH(Tablas!$E1189,Tablas!$K$415:$K$425)),Tablas!$G$415:$G$425)&gt;0,40,0)+J1461</f>
        <v>0</v>
      </c>
      <c r="J1189" s="84">
        <f>IF(ISNA(MATCH(E1189,Orden_VíasAprendidas,0)),999,MATCH(E1189,Orden_VíasAprendidas,0))</f>
        <v>999</v>
      </c>
      <c r="K1189" s="84">
        <f>IF(OR($H$1581&gt;0,$G$445&gt;0),1,IF(OR(J1190&lt;J1189,J$1199&lt;J1189),2,1))</f>
        <v>1</v>
      </c>
      <c r="L1189" s="84" t="str">
        <f>IF(J1189&lt;999,VLOOKUP(E1189,$H$1204:$J$1214,2)*20-VLOOKUP(E1189,$H$1204:$J$1214,3)*20+Místicos!$L$12,"")</f>
        <v/>
      </c>
      <c r="M1189" s="84" t="str">
        <f>IFERROR(RANK(L1189,$L$1189:$L$1199)+COUNTIF($L$1189:L1189,L1189)-1,"")</f>
        <v/>
      </c>
      <c r="N1189" s="84" t="str">
        <f t="shared" ref="N1189:N1199" si="393">IFERROR(INDEX($L$1189:$L$1199,MATCH(A1,$M$1189:$M$1199,0)),"")</f>
        <v/>
      </c>
      <c r="O1189" s="84" t="str">
        <f t="shared" ref="O1189:O1199" si="394">IFERROR(INDEX(Lista_Vías,MATCH(A1,$M$1189:$M$1199,0)),"")</f>
        <v/>
      </c>
      <c r="P1189" s="84" t="str">
        <f>IF(AND(N1189&lt;&gt;"",N1189&gt;Místicos!$L$12),N1189&amp;" "&amp;O1189,"")</f>
        <v/>
      </c>
      <c r="Q1189" s="641" t="str">
        <f>IF(AND(N1189&lt;&gt;"",N1189&lt;Místicos!$L$12),N1189&amp;" "&amp;O1189,"")</f>
        <v/>
      </c>
      <c r="R1189" s="1229"/>
      <c r="S1189" s="215"/>
      <c r="U1189" s="1200" t="s">
        <v>7916</v>
      </c>
      <c r="V1189" s="1201" t="s">
        <v>7917</v>
      </c>
      <c r="W1189" s="1202" t="s">
        <v>7918</v>
      </c>
      <c r="Z1189" s="515" t="str">
        <f t="shared" si="391"/>
        <v>La Emperatriz invertida</v>
      </c>
      <c r="AA1189" s="794">
        <f t="shared" si="392"/>
        <v>13</v>
      </c>
      <c r="AB1189" s="1161" t="s">
        <v>627</v>
      </c>
      <c r="AC1189" s="47">
        <v>130</v>
      </c>
      <c r="AD1189" s="132">
        <v>100</v>
      </c>
    </row>
    <row r="1190" spans="1:30" ht="12.75" customHeight="1">
      <c r="A1190" s="219">
        <v>1153</v>
      </c>
      <c r="B1190" s="7939"/>
      <c r="C1190" s="764" t="s">
        <v>1558</v>
      </c>
      <c r="E1190" s="746" t="s">
        <v>1554</v>
      </c>
      <c r="F1190" s="804" t="s">
        <v>7916</v>
      </c>
      <c r="G1190" s="218" t="str">
        <f>E1189&amp;", "&amp;$E$1199</f>
        <v>Luz, Nigromancia</v>
      </c>
      <c r="H1190" s="84"/>
      <c r="I1190" s="84">
        <f>IF(SUMPRODUCT(--ISNUMBER(SEARCH(Tablas!$E1190,Tablas!$K$415:$K$425)),Tablas!$G$415:$G$425)&gt;0,40,0)+J1462</f>
        <v>0</v>
      </c>
      <c r="J1190" s="84">
        <f t="shared" ref="J1190:J1199" si="395">IF(ISNA(MATCH(E1190,Orden_VíasAprendidas,0)),999,MATCH(E1190,Orden_VíasAprendidas,0))</f>
        <v>999</v>
      </c>
      <c r="K1190" s="84">
        <f>IF(OR($H$1581&gt;0,$G$445&gt;0),1,IF(OR(J1189&lt;J1190,J$1199&lt;J1190),2,1))</f>
        <v>1</v>
      </c>
      <c r="L1190" s="84" t="str">
        <f>IF(J1190&lt;999,VLOOKUP(E1190,$H$1204:$J$1214,2)*20-VLOOKUP(E1190,$H$1204:$J$1214,3)*20+Místicos!$L$12,"")</f>
        <v/>
      </c>
      <c r="M1190" s="84" t="str">
        <f>IFERROR(RANK(L1190,$L$1189:$L$1199)+COUNTIF($L$1189:L1190,L1190)-1,"")</f>
        <v/>
      </c>
      <c r="N1190" s="84" t="str">
        <f t="shared" si="393"/>
        <v/>
      </c>
      <c r="O1190" s="84" t="str">
        <f t="shared" si="394"/>
        <v/>
      </c>
      <c r="P1190" s="84" t="str">
        <f>IF(AND(N1190&lt;&gt;"",N1190&gt;Místicos!$L$12),N1190&amp;" "&amp;O1190,"")</f>
        <v/>
      </c>
      <c r="Q1190" s="641" t="str">
        <f>IF(AND(N1190&lt;&gt;"",N1190&lt;Místicos!$L$12),N1190&amp;" "&amp;O1190,"")</f>
        <v/>
      </c>
      <c r="R1190" s="1229"/>
      <c r="S1190" s="215"/>
      <c r="U1190" s="1080">
        <v>4</v>
      </c>
      <c r="V1190" s="1054">
        <v>4</v>
      </c>
      <c r="W1190" s="1197">
        <v>8</v>
      </c>
      <c r="Z1190" s="515" t="str">
        <f t="shared" si="391"/>
        <v>La Estrella</v>
      </c>
      <c r="AA1190" s="794">
        <f t="shared" si="392"/>
        <v>39</v>
      </c>
      <c r="AB1190" s="1161" t="s">
        <v>628</v>
      </c>
      <c r="AC1190" s="47">
        <v>140</v>
      </c>
      <c r="AD1190" s="132">
        <v>150</v>
      </c>
    </row>
    <row r="1191" spans="1:30" ht="12.75" customHeight="1">
      <c r="A1191" s="219">
        <v>1154</v>
      </c>
      <c r="B1191" s="7939"/>
      <c r="C1191" s="764" t="s">
        <v>1560</v>
      </c>
      <c r="E1191" s="746" t="s">
        <v>1468</v>
      </c>
      <c r="F1191" s="804" t="s">
        <v>7917</v>
      </c>
      <c r="G1191" s="218" t="str">
        <f>E1192&amp;", "&amp;$E$1199</f>
        <v>Agua, Nigromancia</v>
      </c>
      <c r="H1191" s="84"/>
      <c r="I1191" s="84">
        <f>IF(SUMPRODUCT(--ISNUMBER(SEARCH(Tablas!$E1191,Tablas!$K$415:$K$425)),Tablas!$G$415:$G$425)&gt;0,40,0)+J1463</f>
        <v>0</v>
      </c>
      <c r="J1191" s="84">
        <f t="shared" si="395"/>
        <v>999</v>
      </c>
      <c r="K1191" s="84">
        <f>IF(OR($H$1581&gt;0,$G$445&gt;0),1,IF(OR(J1192&lt;J1191,J$1199&lt;J1191),2,1))</f>
        <v>1</v>
      </c>
      <c r="L1191" s="84" t="str">
        <f>IF(J1191&lt;999,VLOOKUP(E1191,$H$1204:$J$1214,2)*20-VLOOKUP(E1191,$H$1204:$J$1214,3)*20+Místicos!$L$12,"")</f>
        <v/>
      </c>
      <c r="M1191" s="84" t="str">
        <f>IFERROR(RANK(L1191,$L$1189:$L$1199)+COUNTIF($L$1189:L1191,L1191)-1,"")</f>
        <v/>
      </c>
      <c r="N1191" s="84" t="str">
        <f t="shared" si="393"/>
        <v/>
      </c>
      <c r="O1191" s="84" t="str">
        <f t="shared" si="394"/>
        <v/>
      </c>
      <c r="P1191" s="84" t="str">
        <f>IF(AND(N1191&lt;&gt;"",N1191&gt;Místicos!$L$12),N1191&amp;" "&amp;O1191,"")</f>
        <v/>
      </c>
      <c r="Q1191" s="641" t="str">
        <f>IF(AND(N1191&lt;&gt;"",N1191&lt;Místicos!$L$12),N1191&amp;" "&amp;O1191,"")</f>
        <v/>
      </c>
      <c r="S1191" s="215"/>
      <c r="U1191" s="1080">
        <f>10+U1190</f>
        <v>14</v>
      </c>
      <c r="V1191" s="1054">
        <v>8</v>
      </c>
      <c r="W1191" s="1197">
        <f>10+W1190</f>
        <v>18</v>
      </c>
      <c r="Z1191" s="515" t="str">
        <f t="shared" si="391"/>
        <v>La Estrella invertida</v>
      </c>
      <c r="AA1191" s="794">
        <f t="shared" si="392"/>
        <v>25</v>
      </c>
      <c r="AB1191" s="1161" t="s">
        <v>629</v>
      </c>
      <c r="AC1191" s="47">
        <v>150</v>
      </c>
      <c r="AD1191" s="132">
        <v>200</v>
      </c>
    </row>
    <row r="1192" spans="1:30" ht="12.75" customHeight="1">
      <c r="A1192" s="219">
        <v>1155</v>
      </c>
      <c r="B1192" s="7939"/>
      <c r="C1192" s="764" t="s">
        <v>1561</v>
      </c>
      <c r="E1192" s="746" t="s">
        <v>1464</v>
      </c>
      <c r="F1192" s="804" t="s">
        <v>7917</v>
      </c>
      <c r="G1192" s="218" t="str">
        <f>E1191&amp;", "&amp;$E$1199</f>
        <v>Fuego, Nigromancia</v>
      </c>
      <c r="H1192" s="84"/>
      <c r="I1192" s="84">
        <f>IF(SUMPRODUCT(--ISNUMBER(SEARCH(Tablas!$E1192,Tablas!$K$415:$K$425)),Tablas!$G$415:$G$425)&gt;0,40,0)+J1464</f>
        <v>0</v>
      </c>
      <c r="J1192" s="84">
        <f t="shared" si="395"/>
        <v>999</v>
      </c>
      <c r="K1192" s="84">
        <f>IF(OR($H$1581&gt;0,$G$445&gt;0),1,IF(OR(J1191&lt;J1192,J$1199&lt;J1192),2,1))</f>
        <v>1</v>
      </c>
      <c r="L1192" s="84" t="str">
        <f>IF(J1192&lt;999,VLOOKUP(E1192,$H$1204:$J$1214,2)*20-VLOOKUP(E1192,$H$1204:$J$1214,3)*20+Místicos!$L$12,"")</f>
        <v/>
      </c>
      <c r="M1192" s="84" t="str">
        <f>IFERROR(RANK(L1192,$L$1189:$L$1199)+COUNTIF($L$1189:L1192,L1192)-1,"")</f>
        <v/>
      </c>
      <c r="N1192" s="84" t="str">
        <f t="shared" si="393"/>
        <v/>
      </c>
      <c r="O1192" s="84" t="str">
        <f t="shared" si="394"/>
        <v/>
      </c>
      <c r="P1192" s="84" t="str">
        <f>IF(AND(N1192&lt;&gt;"",N1192&gt;Místicos!$L$12),N1192&amp;" "&amp;O1192,"")</f>
        <v/>
      </c>
      <c r="Q1192" s="641" t="str">
        <f>IF(AND(N1192&lt;&gt;"",N1192&lt;Místicos!$L$12),N1192&amp;" "&amp;O1192,"")</f>
        <v/>
      </c>
      <c r="U1192" s="1080">
        <f t="shared" ref="U1192:U1199" si="396">10+U1191</f>
        <v>24</v>
      </c>
      <c r="V1192" s="1054">
        <f>10+V1190</f>
        <v>14</v>
      </c>
      <c r="W1192" s="1197">
        <f t="shared" ref="W1192:W1199" si="397">10+W1191</f>
        <v>28</v>
      </c>
      <c r="Z1192" s="515" t="str">
        <f t="shared" si="391"/>
        <v>La Fuerza</v>
      </c>
      <c r="AA1192" s="794">
        <f t="shared" si="392"/>
        <v>9</v>
      </c>
      <c r="AB1192" s="1161" t="s">
        <v>630</v>
      </c>
      <c r="AC1192" s="47">
        <v>160</v>
      </c>
      <c r="AD1192" s="132">
        <v>200</v>
      </c>
    </row>
    <row r="1193" spans="1:30" ht="12.75" customHeight="1">
      <c r="A1193" s="219">
        <v>1156</v>
      </c>
      <c r="B1193" s="7939"/>
      <c r="C1193" s="764" t="s">
        <v>1563</v>
      </c>
      <c r="E1193" s="746" t="s">
        <v>1461</v>
      </c>
      <c r="F1193" s="804" t="s">
        <v>7917</v>
      </c>
      <c r="G1193" s="218" t="str">
        <f>E1194&amp;", "&amp;$E$1199</f>
        <v>Tierra, Nigromancia</v>
      </c>
      <c r="H1193" s="84"/>
      <c r="I1193" s="84">
        <f>IF(SUMPRODUCT(--ISNUMBER(SEARCH(Tablas!$E1193,Tablas!$K$415:$K$425)),Tablas!$G$415:$G$425)&gt;0,40,0)+J1465</f>
        <v>0</v>
      </c>
      <c r="J1193" s="84">
        <f t="shared" si="395"/>
        <v>999</v>
      </c>
      <c r="K1193" s="84">
        <f>IF(OR($H$1581&gt;0,$G$445&gt;0),1,IF(OR(J1194&lt;J1193,J$1199&lt;J1193),2,1))</f>
        <v>1</v>
      </c>
      <c r="L1193" s="84" t="str">
        <f>IF(J1193&lt;999,VLOOKUP(E1193,$H$1204:$J$1214,2)*20-VLOOKUP(E1193,$H$1204:$J$1214,3)*20+Místicos!$L$12,"")</f>
        <v/>
      </c>
      <c r="M1193" s="84" t="str">
        <f>IFERROR(RANK(L1193,$L$1189:$L$1199)+COUNTIF($L$1189:L1193,L1193)-1,"")</f>
        <v/>
      </c>
      <c r="N1193" s="84" t="str">
        <f t="shared" si="393"/>
        <v/>
      </c>
      <c r="O1193" s="84" t="str">
        <f t="shared" si="394"/>
        <v/>
      </c>
      <c r="P1193" s="84" t="str">
        <f>IF(AND(N1193&lt;&gt;"",N1193&gt;Místicos!$L$12),N1193&amp;" "&amp;O1193,"")</f>
        <v/>
      </c>
      <c r="Q1193" s="641" t="str">
        <f>IF(AND(N1193&lt;&gt;"",N1193&lt;Místicos!$L$12),N1193&amp;" "&amp;O1193,"")</f>
        <v/>
      </c>
      <c r="R1193" s="1226" t="s">
        <v>6858</v>
      </c>
      <c r="U1193" s="1080">
        <f t="shared" si="396"/>
        <v>34</v>
      </c>
      <c r="V1193" s="1054">
        <f>10+V1191</f>
        <v>18</v>
      </c>
      <c r="W1193" s="1197">
        <f t="shared" si="397"/>
        <v>38</v>
      </c>
      <c r="Z1193" s="515" t="str">
        <f t="shared" si="391"/>
        <v>La Fuerza invertida</v>
      </c>
      <c r="AA1193" s="794">
        <f t="shared" si="392"/>
        <v>23</v>
      </c>
      <c r="AB1193" s="1161" t="s">
        <v>631</v>
      </c>
      <c r="AC1193" s="47">
        <v>170</v>
      </c>
      <c r="AD1193" s="132">
        <v>250</v>
      </c>
    </row>
    <row r="1194" spans="1:30" ht="12.75" customHeight="1">
      <c r="A1194" s="219">
        <v>1157</v>
      </c>
      <c r="B1194" s="7939"/>
      <c r="C1194" s="764" t="s">
        <v>1565</v>
      </c>
      <c r="E1194" s="746" t="s">
        <v>1558</v>
      </c>
      <c r="F1194" s="804" t="s">
        <v>7917</v>
      </c>
      <c r="G1194" s="218" t="str">
        <f>E1193&amp;", "&amp;$E$1199</f>
        <v>Aire, Nigromancia</v>
      </c>
      <c r="H1194" s="84"/>
      <c r="I1194" s="84">
        <f>IF(SUMPRODUCT(--ISNUMBER(SEARCH(Tablas!$E1194,Tablas!$K$415:$K$425)),Tablas!$G$415:$G$425)&gt;0,40,0)+J1466</f>
        <v>0</v>
      </c>
      <c r="J1194" s="84">
        <f t="shared" si="395"/>
        <v>999</v>
      </c>
      <c r="K1194" s="84">
        <f>IF(OR($H$1581&gt;0,$G$445&gt;0),1,IF(OR(J1193&lt;J1194,J$1199&lt;J1194),2,1))</f>
        <v>1</v>
      </c>
      <c r="L1194" s="84" t="str">
        <f>IF(J1194&lt;999,VLOOKUP(E1194,$H$1204:$J$1214,2)*20-VLOOKUP(E1194,$H$1204:$J$1214,3)*20+Místicos!$L$12,"")</f>
        <v/>
      </c>
      <c r="M1194" s="84" t="str">
        <f>IFERROR(RANK(L1194,$L$1189:$L$1199)+COUNTIF($L$1189:L1194,L1194)-1,"")</f>
        <v/>
      </c>
      <c r="N1194" s="84" t="str">
        <f t="shared" si="393"/>
        <v/>
      </c>
      <c r="O1194" s="84" t="str">
        <f t="shared" si="394"/>
        <v/>
      </c>
      <c r="P1194" s="84" t="str">
        <f>IF(AND(N1194&lt;&gt;"",N1194&gt;Místicos!$L$12),N1194&amp;" "&amp;O1194,"")</f>
        <v/>
      </c>
      <c r="Q1194" s="641" t="str">
        <f>IF(AND(N1194&lt;&gt;"",N1194&lt;Místicos!$L$12),N1194&amp;" "&amp;O1194,"")</f>
        <v/>
      </c>
      <c r="R1194" s="1214" t="s">
        <v>6857</v>
      </c>
      <c r="U1194" s="1080">
        <f t="shared" si="396"/>
        <v>44</v>
      </c>
      <c r="V1194" s="1054">
        <f t="shared" ref="V1194:V1207" si="398">10+V1192</f>
        <v>24</v>
      </c>
      <c r="W1194" s="1197">
        <f t="shared" si="397"/>
        <v>48</v>
      </c>
      <c r="Z1194" s="515" t="str">
        <f t="shared" si="391"/>
        <v>La Justicia</v>
      </c>
      <c r="AA1194" s="794">
        <f t="shared" si="392"/>
        <v>45</v>
      </c>
      <c r="AB1194" s="1161" t="s">
        <v>632</v>
      </c>
      <c r="AC1194" s="47">
        <v>180</v>
      </c>
      <c r="AD1194" s="132">
        <v>250</v>
      </c>
    </row>
    <row r="1195" spans="1:30" ht="12.75" customHeight="1">
      <c r="A1195" s="219">
        <v>1158</v>
      </c>
      <c r="B1195" s="7939"/>
      <c r="C1195" s="764" t="s">
        <v>1567</v>
      </c>
      <c r="E1195" s="746" t="s">
        <v>1560</v>
      </c>
      <c r="F1195" s="804" t="s">
        <v>7916</v>
      </c>
      <c r="G1195" s="218" t="str">
        <f>E1196&amp;", "&amp;$E$1199</f>
        <v>Destrucción, Nigromancia</v>
      </c>
      <c r="H1195" s="84"/>
      <c r="I1195" s="84">
        <f>IF(SUMPRODUCT(--ISNUMBER(SEARCH(Tablas!$E1195,Tablas!$K$415:$K$425)),Tablas!$G$415:$G$425)&gt;0,40,0)+J1467</f>
        <v>0</v>
      </c>
      <c r="J1195" s="84">
        <f t="shared" si="395"/>
        <v>999</v>
      </c>
      <c r="K1195" s="84">
        <f>IF(OR($H$1581&gt;0,$G$445&gt;0),1,IF(OR(J1196&lt;J1195,J$1199&lt;J1195),2,1))</f>
        <v>1</v>
      </c>
      <c r="L1195" s="84" t="str">
        <f>IF(J1195&lt;999,VLOOKUP(E1195,$H$1204:$J$1214,2)*20-VLOOKUP(E1195,$H$1204:$J$1214,3)*20+Místicos!$L$12,"")</f>
        <v/>
      </c>
      <c r="M1195" s="84" t="str">
        <f>IFERROR(RANK(L1195,$L$1189:$L$1199)+COUNTIF($L$1189:L1195,L1195)-1,"")</f>
        <v/>
      </c>
      <c r="N1195" s="84" t="str">
        <f t="shared" si="393"/>
        <v/>
      </c>
      <c r="O1195" s="84" t="str">
        <f t="shared" si="394"/>
        <v/>
      </c>
      <c r="P1195" s="84" t="str">
        <f>IF(AND(N1195&lt;&gt;"",N1195&gt;Místicos!$L$12),N1195&amp;" "&amp;O1195,"")</f>
        <v/>
      </c>
      <c r="Q1195" s="641" t="str">
        <f>IF(AND(N1195&lt;&gt;"",N1195&lt;Místicos!$L$12),N1195&amp;" "&amp;O1195,"")</f>
        <v/>
      </c>
      <c r="R1195" s="941" t="str">
        <f>IF(K1189=2,", "&amp;E1189,"")&amp;IF(K1190=2,", "&amp;E1190,"")&amp;IF(K1191=2,", "&amp;E1191,"")&amp;IF(K1192=2,", "&amp;E1192,"")&amp;IF(K1193=2,", "&amp;E1193,"")&amp;IF(K1194=2,", "&amp;E1194,"")&amp;IF(K1195=2,", "&amp;E1195,"")&amp;IF(K1196=2,", "&amp;E1196,"")&amp;IF(K1197=2,", "&amp;E1197,"")&amp;IF(K1198=2,", "&amp;E1198,"")&amp;IF(K1199=2,", "&amp;E1199,"")</f>
        <v/>
      </c>
      <c r="U1195" s="1080">
        <f t="shared" si="396"/>
        <v>54</v>
      </c>
      <c r="V1195" s="1054">
        <f t="shared" si="398"/>
        <v>28</v>
      </c>
      <c r="W1195" s="1197">
        <f t="shared" si="397"/>
        <v>58</v>
      </c>
      <c r="Z1195" s="515" t="str">
        <f t="shared" si="391"/>
        <v>La Justicia invertida</v>
      </c>
      <c r="AA1195" s="794">
        <f t="shared" si="392"/>
        <v>3</v>
      </c>
      <c r="AB1195" s="1161" t="s">
        <v>633</v>
      </c>
      <c r="AC1195" s="47">
        <v>190</v>
      </c>
      <c r="AD1195" s="132">
        <v>300</v>
      </c>
    </row>
    <row r="1196" spans="1:30" ht="12.75" customHeight="1" thickBot="1">
      <c r="A1196" s="219">
        <v>1159</v>
      </c>
      <c r="B1196" s="7939"/>
      <c r="C1196" s="765" t="s">
        <v>8085</v>
      </c>
      <c r="E1196" s="746" t="s">
        <v>1561</v>
      </c>
      <c r="F1196" s="804" t="s">
        <v>7916</v>
      </c>
      <c r="G1196" s="218" t="str">
        <f>E1195&amp;", "&amp;$E$1199</f>
        <v>Creación, Nigromancia</v>
      </c>
      <c r="H1196" s="84"/>
      <c r="I1196" s="84">
        <f>IF(SUMPRODUCT(--ISNUMBER(SEARCH(Tablas!$E1196,Tablas!$K$415:$K$425)),Tablas!$G$415:$G$425)&gt;0,40,0)+J1468</f>
        <v>0</v>
      </c>
      <c r="J1196" s="84">
        <f t="shared" si="395"/>
        <v>999</v>
      </c>
      <c r="K1196" s="84">
        <f>IF(OR($H$1581&gt;0,$G$445&gt;0),1,IF(OR(J1195&lt;J1196,J$1199&lt;J1196),2,1))</f>
        <v>1</v>
      </c>
      <c r="L1196" s="84" t="str">
        <f>IF(J1196&lt;999,VLOOKUP(E1196,$H$1204:$J$1214,2)*20-VLOOKUP(E1196,$H$1204:$J$1214,3)*20+Místicos!$L$12,"")</f>
        <v/>
      </c>
      <c r="M1196" s="84" t="str">
        <f>IFERROR(RANK(L1196,$L$1189:$L$1199)+COUNTIF($L$1189:L1196,L1196)-1,"")</f>
        <v/>
      </c>
      <c r="N1196" s="84" t="str">
        <f t="shared" si="393"/>
        <v/>
      </c>
      <c r="O1196" s="84" t="str">
        <f t="shared" si="394"/>
        <v/>
      </c>
      <c r="P1196" s="84" t="str">
        <f>IF(AND(N1196&lt;&gt;"",N1196&gt;Místicos!$L$12),N1196&amp;" "&amp;O1196,"")</f>
        <v/>
      </c>
      <c r="Q1196" s="641" t="str">
        <f>IF(AND(N1196&lt;&gt;"",N1196&lt;Místicos!$L$12),N1196&amp;" "&amp;O1196,"")</f>
        <v/>
      </c>
      <c r="R1196" s="1214" t="s">
        <v>6856</v>
      </c>
      <c r="U1196" s="1080">
        <f t="shared" si="396"/>
        <v>64</v>
      </c>
      <c r="V1196" s="1054">
        <f t="shared" si="398"/>
        <v>34</v>
      </c>
      <c r="W1196" s="1197">
        <f t="shared" si="397"/>
        <v>68</v>
      </c>
      <c r="Z1196" s="515" t="str">
        <f t="shared" si="391"/>
        <v>La Luna</v>
      </c>
      <c r="AA1196" s="794">
        <f t="shared" si="392"/>
        <v>29</v>
      </c>
      <c r="AB1196" s="1161" t="s">
        <v>634</v>
      </c>
      <c r="AC1196" s="47">
        <v>200</v>
      </c>
      <c r="AD1196" s="132">
        <v>350</v>
      </c>
    </row>
    <row r="1197" spans="1:30" ht="12.75" customHeight="1">
      <c r="A1197" s="219">
        <v>1160</v>
      </c>
      <c r="B1197" s="7939"/>
      <c r="C1197" s="766" t="s">
        <v>46</v>
      </c>
      <c r="E1197" s="746" t="s">
        <v>1563</v>
      </c>
      <c r="F1197" s="804" t="s">
        <v>7917</v>
      </c>
      <c r="G1197" s="218" t="str">
        <f>E1198&amp;", "&amp;$E$1199</f>
        <v>Ilusión, Nigromancia</v>
      </c>
      <c r="H1197" s="84"/>
      <c r="I1197" s="84">
        <f>IF(SUMPRODUCT(--ISNUMBER(SEARCH(Tablas!$E1197,Tablas!$K$415:$K$425)),Tablas!$G$415:$G$425)&gt;0,40,0)+J1469</f>
        <v>0</v>
      </c>
      <c r="J1197" s="84">
        <f t="shared" si="395"/>
        <v>999</v>
      </c>
      <c r="K1197" s="84">
        <f>IF(OR($H$1581&gt;0,$G$445&gt;0),1,IF(OR(J1198&lt;J1197,J$1199&lt;J1197),2,1))</f>
        <v>1</v>
      </c>
      <c r="L1197" s="84" t="str">
        <f>IF(J1197&lt;999,VLOOKUP(E1197,$H$1204:$J$1214,2)*20-VLOOKUP(E1197,$H$1204:$J$1214,3)*20+Místicos!$L$12,"")</f>
        <v/>
      </c>
      <c r="M1197" s="84" t="str">
        <f>IFERROR(RANK(L1197,$L$1189:$L$1199)+COUNTIF($L$1189:L1197,L1197)-1,"")</f>
        <v/>
      </c>
      <c r="N1197" s="84" t="str">
        <f t="shared" si="393"/>
        <v/>
      </c>
      <c r="O1197" s="84" t="str">
        <f t="shared" si="394"/>
        <v/>
      </c>
      <c r="P1197" s="84" t="str">
        <f>IF(AND(N1197&lt;&gt;"",N1197&gt;Místicos!$L$12),N1197&amp;" "&amp;O1197,"")</f>
        <v/>
      </c>
      <c r="Q1197" s="641" t="str">
        <f>IF(AND(N1197&lt;&gt;"",N1197&lt;Místicos!$L$12),N1197&amp;" "&amp;O1197,"")</f>
        <v/>
      </c>
      <c r="R1197" s="941" t="str">
        <f>IF(COUNTIF(K1189:K1199,2)&gt;5,IF(K1189=1,", "&amp;E1189,"")&amp;IF(K1190=1,", "&amp;E1190,"")&amp;IF(K1191=1,", "&amp;E1191,"")&amp;IF(K1192=1,", "&amp;E1192,"")&amp;IF(K1193=1,", "&amp;E1193,"")&amp;IF(K1194=1,", "&amp;E1194,"")&amp;IF(K1195=1,", "&amp;E1195,"")&amp;IF(K1196=1,", "&amp;E1196,"")&amp;IF(K1197=1,", "&amp;E1197,"")&amp;IF(K1198=1,", "&amp;E1198,"")&amp;IF(K1199=1,", "&amp;E1199,""),R1195)</f>
        <v/>
      </c>
      <c r="U1197" s="1080">
        <f t="shared" si="396"/>
        <v>74</v>
      </c>
      <c r="V1197" s="1054">
        <f t="shared" si="398"/>
        <v>38</v>
      </c>
      <c r="W1197" s="1197">
        <f t="shared" si="397"/>
        <v>78</v>
      </c>
      <c r="Z1197" s="515" t="str">
        <f t="shared" si="391"/>
        <v>La Luna invertida</v>
      </c>
      <c r="AA1197" s="794">
        <f t="shared" si="392"/>
        <v>11</v>
      </c>
      <c r="AB1197" s="1161" t="s">
        <v>635</v>
      </c>
      <c r="AC1197" s="47">
        <v>240</v>
      </c>
      <c r="AD1197" s="132">
        <v>400</v>
      </c>
    </row>
    <row r="1198" spans="1:30" ht="12.75" customHeight="1">
      <c r="A1198" s="219">
        <v>1161</v>
      </c>
      <c r="B1198" s="7939"/>
      <c r="C1198" s="767" t="s">
        <v>47</v>
      </c>
      <c r="E1198" s="746" t="s">
        <v>1565</v>
      </c>
      <c r="F1198" s="804" t="s">
        <v>7917</v>
      </c>
      <c r="G1198" s="218" t="str">
        <f>E1197&amp;", "&amp;$E$1199</f>
        <v>Esencia, Nigromancia</v>
      </c>
      <c r="H1198" s="84"/>
      <c r="I1198" s="84">
        <f>IF(SUMPRODUCT(--ISNUMBER(SEARCH(Tablas!$E1198,Tablas!$K$415:$K$425)),Tablas!$G$415:$G$425)&gt;0,40,0)+J1470</f>
        <v>0</v>
      </c>
      <c r="J1198" s="84">
        <f t="shared" si="395"/>
        <v>999</v>
      </c>
      <c r="K1198" s="84">
        <f>IF(OR($H$1581&gt;0,$G$445&gt;0),1,IF(OR(J1197&lt;J1198,J$1199&lt;J1198),2,1))</f>
        <v>1</v>
      </c>
      <c r="L1198" s="84" t="str">
        <f>IF(J1198&lt;999,VLOOKUP(E1198,$H$1204:$J$1214,2)*20-VLOOKUP(E1198,$H$1204:$J$1214,3)*20+Místicos!$L$12,"")</f>
        <v/>
      </c>
      <c r="M1198" s="84" t="str">
        <f>IFERROR(RANK(L1198,$L$1189:$L$1199)+COUNTIF($L$1189:L1198,L1198)-1,"")</f>
        <v/>
      </c>
      <c r="N1198" s="84" t="str">
        <f t="shared" si="393"/>
        <v/>
      </c>
      <c r="O1198" s="84" t="str">
        <f t="shared" si="394"/>
        <v/>
      </c>
      <c r="P1198" s="84" t="str">
        <f>IF(AND(N1198&lt;&gt;"",N1198&gt;Místicos!$L$12),N1198&amp;" "&amp;O1198,"")</f>
        <v/>
      </c>
      <c r="Q1198" s="641" t="str">
        <f>IF(AND(N1198&lt;&gt;"",N1198&lt;Místicos!$L$12),N1198&amp;" "&amp;O1198,"")</f>
        <v/>
      </c>
      <c r="R1198" s="1213" t="s">
        <v>6855</v>
      </c>
      <c r="U1198" s="1080">
        <f t="shared" si="396"/>
        <v>84</v>
      </c>
      <c r="V1198" s="1054">
        <f t="shared" si="398"/>
        <v>44</v>
      </c>
      <c r="W1198" s="1197">
        <f t="shared" si="397"/>
        <v>88</v>
      </c>
      <c r="Z1198" s="515" t="str">
        <f t="shared" si="391"/>
        <v>La Muerte</v>
      </c>
      <c r="AA1198" s="794">
        <f t="shared" si="392"/>
        <v>37</v>
      </c>
      <c r="AB1198" s="1161" t="s">
        <v>636</v>
      </c>
      <c r="AC1198" s="47">
        <v>240</v>
      </c>
      <c r="AD1198" s="132">
        <v>450</v>
      </c>
    </row>
    <row r="1199" spans="1:30" ht="12.75" customHeight="1">
      <c r="A1199" s="219">
        <v>1162</v>
      </c>
      <c r="B1199" s="7939"/>
      <c r="C1199" s="767" t="s">
        <v>48</v>
      </c>
      <c r="E1199" s="746" t="s">
        <v>1567</v>
      </c>
      <c r="F1199" s="805" t="s">
        <v>7916</v>
      </c>
      <c r="G1199" s="1196" t="s">
        <v>6853</v>
      </c>
      <c r="H1199" s="1194"/>
      <c r="I1199" s="1194">
        <f>IF(SUMPRODUCT(--ISNUMBER(SEARCH(Tablas!$E1199,Tablas!$K$415:$K$425)),Tablas!$G$415:$G$425)&gt;0,40,0)+J1471</f>
        <v>0</v>
      </c>
      <c r="J1199" s="1194">
        <f t="shared" si="395"/>
        <v>999</v>
      </c>
      <c r="K1199" s="1194">
        <f>IF(OR($H$1581&gt;0,$G$445&gt;0),1,IF(OR(J1199=1,COUNTA(Orden_VíasAprendidas)=0),1,2))</f>
        <v>1</v>
      </c>
      <c r="L1199" s="1194" t="str">
        <f>IF(J1199&lt;999,VLOOKUP(E1199,$H$1204:$J$1214,2)*20-VLOOKUP(E1199,$H$1204:$J$1214,3)*20+Místicos!$L$12,"")</f>
        <v/>
      </c>
      <c r="M1199" s="1194" t="str">
        <f>IFERROR(RANK(L1199,$L$1189:$L$1199)+COUNTIF($L$1189:L1199,L1199)-1,"")</f>
        <v/>
      </c>
      <c r="N1199" s="1194" t="str">
        <f t="shared" si="393"/>
        <v/>
      </c>
      <c r="O1199" s="1194" t="str">
        <f t="shared" si="394"/>
        <v/>
      </c>
      <c r="P1199" s="1194" t="str">
        <f>IF(AND(N1199&lt;&gt;"",N1199&gt;Místicos!$L$12),N1199&amp;" "&amp;O1199,"")</f>
        <v/>
      </c>
      <c r="Q1199" s="891" t="str">
        <f>IF(AND(N1199&lt;&gt;"",N1199&lt;Místicos!$L$12),N1199&amp;" "&amp;O1199,"")</f>
        <v/>
      </c>
      <c r="R1199" s="942" t="str">
        <f>IF(R1197&lt;&gt;R1195,"Todas excepto ","")&amp;MID(R1197,3,LEN(R1197))</f>
        <v/>
      </c>
      <c r="U1199" s="1080">
        <f t="shared" si="396"/>
        <v>94</v>
      </c>
      <c r="V1199" s="1054">
        <f t="shared" si="398"/>
        <v>48</v>
      </c>
      <c r="W1199" s="1197">
        <f t="shared" si="397"/>
        <v>98</v>
      </c>
      <c r="Z1199" s="515" t="str">
        <f t="shared" si="391"/>
        <v>La Muerte invertida</v>
      </c>
      <c r="AA1199" s="794">
        <f t="shared" si="392"/>
        <v>31</v>
      </c>
      <c r="AB1199" s="1161" t="s">
        <v>637</v>
      </c>
      <c r="AC1199" s="47">
        <v>260</v>
      </c>
      <c r="AD1199" s="132">
        <v>500</v>
      </c>
    </row>
    <row r="1200" spans="1:30" ht="12.75" customHeight="1" thickBot="1">
      <c r="A1200" s="219">
        <v>1163</v>
      </c>
      <c r="B1200" s="7939"/>
      <c r="C1200" s="767" t="s">
        <v>49</v>
      </c>
      <c r="E1200" s="892" t="s">
        <v>1091</v>
      </c>
      <c r="G1200" s="1225" t="s">
        <v>8086</v>
      </c>
      <c r="H1200" s="8092">
        <f>IF(AND(P1200="",Q1200=""),Místicos!L12,P1200&amp;Q1200&amp;", "&amp;IF(AND(I1212=0,I1215=0),Místicos!L12,Místicos!L12-20)&amp;" Otros")</f>
        <v>0</v>
      </c>
      <c r="I1200" s="8092"/>
      <c r="J1200" s="8092"/>
      <c r="K1200" s="8092"/>
      <c r="L1200" s="8092"/>
      <c r="M1200" s="8092"/>
      <c r="N1200" s="8092"/>
      <c r="O1200" s="8092"/>
      <c r="P1200" s="1228" t="str">
        <f>IF(P1189="","",P1189)&amp;IF(P1190="","",", "&amp;P1190)&amp;IF(P1191="","",", "&amp;P1191)&amp;IF(P1192="","",", "&amp;P1192)&amp;IF(P1193="","",", "&amp;P1193)&amp;IF(P1194="","",", "&amp;P1194)&amp;IF(P1195="","",", "&amp;P1195)&amp;IF(P1196="","",", "&amp;P1196)&amp;IF(P1197="","",", "&amp;P1197)&amp;IF(P1198="","",", "&amp;P1198)&amp;IF(P1199="","",", "&amp;P1199)</f>
        <v/>
      </c>
      <c r="Q1200" s="1228" t="str">
        <f>IF(AND(I1212=0,I1215=0),IF(Q1189="","",", "&amp;Q1189)&amp;IF(Q1190="","",", "&amp;Q1190)&amp;IF(Q1191="","",", "&amp;Q1191)&amp;IF(Q1192="","",", "&amp;Q1192)&amp;IF(Q1193="","",", "&amp;Q1193)&amp;IF(Q1194="","",", "&amp;Q1194)&amp;IF(Q1195="","",", "&amp;Q1195)&amp;IF(Q1196="","",", "&amp;Q1196)&amp;IF(Q1197="","",", "&amp;Q1197)&amp;IF(Q1198="","",", "&amp;Q1198)&amp;IF(Q1199="","",", "&amp;Q1199),"")</f>
        <v/>
      </c>
      <c r="U1200" s="1080"/>
      <c r="V1200" s="1054">
        <f t="shared" si="398"/>
        <v>54</v>
      </c>
      <c r="W1200" s="1197"/>
      <c r="Z1200" s="515" t="str">
        <f t="shared" si="391"/>
        <v>La Rueda</v>
      </c>
      <c r="AA1200" s="794">
        <f t="shared" si="392"/>
        <v>5</v>
      </c>
      <c r="AB1200" s="1161" t="s">
        <v>638</v>
      </c>
      <c r="AC1200" s="47">
        <v>280</v>
      </c>
      <c r="AD1200" s="132">
        <v>550</v>
      </c>
    </row>
    <row r="1201" spans="1:30" ht="12.75" customHeight="1" thickBot="1">
      <c r="A1201" s="219">
        <v>1164</v>
      </c>
      <c r="B1201" s="7939"/>
      <c r="C1201" s="767" t="s">
        <v>50</v>
      </c>
      <c r="H1201"/>
      <c r="I1201" s="510"/>
      <c r="N1201"/>
      <c r="O1201" s="510"/>
      <c r="U1201" s="1080"/>
      <c r="V1201" s="1054">
        <f t="shared" si="398"/>
        <v>58</v>
      </c>
      <c r="W1201" s="1197"/>
      <c r="Z1201" s="515" t="str">
        <f t="shared" si="391"/>
        <v>La Rueda invertida</v>
      </c>
      <c r="AA1201" s="794">
        <f t="shared" si="392"/>
        <v>35</v>
      </c>
      <c r="AB1201" s="1161" t="s">
        <v>639</v>
      </c>
      <c r="AC1201" s="47">
        <v>300</v>
      </c>
      <c r="AD1201" s="132">
        <v>600</v>
      </c>
    </row>
    <row r="1202" spans="1:30" ht="12.75" customHeight="1">
      <c r="A1202" s="219">
        <v>1165</v>
      </c>
      <c r="B1202" s="7939"/>
      <c r="C1202" s="767" t="s">
        <v>51</v>
      </c>
      <c r="E1202" s="7956" t="s">
        <v>1098</v>
      </c>
      <c r="F1202" s="7956"/>
      <c r="H1202" s="8106" t="s">
        <v>1100</v>
      </c>
      <c r="I1202" s="8107"/>
      <c r="J1202" s="8108"/>
      <c r="L1202" s="8048" t="s">
        <v>1105</v>
      </c>
      <c r="M1202" s="8049"/>
      <c r="N1202"/>
      <c r="O1202" s="510"/>
      <c r="U1202" s="1080"/>
      <c r="V1202" s="1054">
        <f t="shared" si="398"/>
        <v>64</v>
      </c>
      <c r="W1202" s="1197"/>
      <c r="Z1202" s="515" t="str">
        <f t="shared" si="391"/>
        <v>La Suma Sacerdotisa</v>
      </c>
      <c r="AA1202" s="794">
        <f t="shared" si="392"/>
        <v>41</v>
      </c>
      <c r="AB1202" s="1161" t="s">
        <v>640</v>
      </c>
      <c r="AC1202" s="47">
        <v>320</v>
      </c>
      <c r="AD1202" s="132">
        <v>650</v>
      </c>
    </row>
    <row r="1203" spans="1:30" ht="12.75" customHeight="1" thickBot="1">
      <c r="A1203" s="219">
        <v>1166</v>
      </c>
      <c r="B1203" s="7939"/>
      <c r="C1203" s="767" t="s">
        <v>52</v>
      </c>
      <c r="E1203" s="170" t="s">
        <v>1369</v>
      </c>
      <c r="F1203" s="172" t="s">
        <v>1099</v>
      </c>
      <c r="H1203" s="884" t="s">
        <v>1549</v>
      </c>
      <c r="I1203" s="206" t="s">
        <v>1101</v>
      </c>
      <c r="J1203" s="837" t="s">
        <v>8087</v>
      </c>
      <c r="L1203" s="2684" t="s">
        <v>1646</v>
      </c>
      <c r="M1203" s="3564" t="s">
        <v>1106</v>
      </c>
      <c r="N1203"/>
      <c r="O1203" s="510"/>
      <c r="U1203" s="1080"/>
      <c r="V1203" s="1054">
        <f t="shared" si="398"/>
        <v>68</v>
      </c>
      <c r="W1203" s="1197"/>
      <c r="Z1203" s="515" t="str">
        <f t="shared" si="391"/>
        <v>La Suma Sacerdotisa invertida</v>
      </c>
      <c r="AA1203" s="794">
        <f t="shared" si="392"/>
        <v>7</v>
      </c>
      <c r="AB1203" s="1161" t="s">
        <v>641</v>
      </c>
      <c r="AC1203" s="47">
        <v>340</v>
      </c>
      <c r="AD1203" s="132">
        <v>700</v>
      </c>
    </row>
    <row r="1204" spans="1:30" ht="12.75" customHeight="1">
      <c r="A1204" s="219">
        <v>1167</v>
      </c>
      <c r="B1204" s="7939"/>
      <c r="C1204" s="767" t="s">
        <v>53</v>
      </c>
      <c r="E1204" s="248">
        <v>0</v>
      </c>
      <c r="F1204" s="190">
        <f>0+10*Tablas!G426+20*Tablas!G427+30*Tablas!G428+10*H1518</f>
        <v>0</v>
      </c>
      <c r="H1204" s="1220" t="s">
        <v>1464</v>
      </c>
      <c r="I1204" s="1221">
        <f>IF(I1215&gt;0,IF(AND(J1192&lt;999,K1192&lt;2),1,0),Tablas!G435)</f>
        <v>0</v>
      </c>
      <c r="J1204" s="1222">
        <f>IF(OR(I1209&gt;0,I1212&gt;0),1,0)</f>
        <v>0</v>
      </c>
      <c r="L1204" s="2685">
        <v>1</v>
      </c>
      <c r="M1204" s="2686">
        <v>10</v>
      </c>
      <c r="N1204"/>
      <c r="O1204" s="510"/>
      <c r="U1204" s="1080"/>
      <c r="V1204" s="1054">
        <f t="shared" si="398"/>
        <v>74</v>
      </c>
      <c r="W1204" s="1197"/>
      <c r="Z1204" s="515" t="str">
        <f t="shared" si="391"/>
        <v>La Templanza</v>
      </c>
      <c r="AA1204" s="794">
        <f t="shared" si="392"/>
        <v>43</v>
      </c>
      <c r="AB1204" s="1161" t="s">
        <v>642</v>
      </c>
      <c r="AC1204" s="47">
        <v>340</v>
      </c>
      <c r="AD1204" s="132">
        <v>750</v>
      </c>
    </row>
    <row r="1205" spans="1:30" ht="12.75" customHeight="1">
      <c r="A1205" s="219">
        <v>1168</v>
      </c>
      <c r="B1205" s="7939"/>
      <c r="C1205" s="767" t="s">
        <v>54</v>
      </c>
      <c r="E1205" s="85">
        <v>10</v>
      </c>
      <c r="F1205" s="50">
        <f>10+10*Tablas!G426+20*Tablas!G427+30*Tablas!G428+10*H1518</f>
        <v>10</v>
      </c>
      <c r="H1205" s="1223" t="s">
        <v>1461</v>
      </c>
      <c r="I1205" s="84">
        <f>IF(I1215&gt;0,IF(AND(J1193&lt;999,K1193&lt;2),1,0),Tablas!G436)</f>
        <v>0</v>
      </c>
      <c r="J1205" s="444">
        <f>IF(OR(I1214&gt;0,I1212&gt;0),1,0)</f>
        <v>0</v>
      </c>
      <c r="L1205" s="2687">
        <v>3</v>
      </c>
      <c r="M1205" s="2688">
        <v>20</v>
      </c>
      <c r="N1205"/>
      <c r="O1205" s="510"/>
      <c r="U1205" s="1080"/>
      <c r="V1205" s="1054">
        <f t="shared" si="398"/>
        <v>78</v>
      </c>
      <c r="W1205" s="1197"/>
      <c r="Z1205" s="515" t="str">
        <f t="shared" si="391"/>
        <v>La Templanza invertida</v>
      </c>
      <c r="AA1205" s="794">
        <f t="shared" si="392"/>
        <v>27</v>
      </c>
      <c r="AB1205" s="1161" t="s">
        <v>643</v>
      </c>
      <c r="AC1205" s="47">
        <v>380</v>
      </c>
      <c r="AD1205" s="132">
        <v>800</v>
      </c>
    </row>
    <row r="1206" spans="1:30" ht="12.75" customHeight="1">
      <c r="A1206" s="219">
        <v>1169</v>
      </c>
      <c r="B1206" s="7939"/>
      <c r="C1206" s="767" t="s">
        <v>55</v>
      </c>
      <c r="E1206" s="85">
        <v>55</v>
      </c>
      <c r="F1206" s="50">
        <f>20+10*Tablas!G426+20*Tablas!G427+30*Tablas!G428+10*H1518</f>
        <v>20</v>
      </c>
      <c r="H1206" s="1223" t="s">
        <v>1560</v>
      </c>
      <c r="I1206" s="84">
        <f>IF(I1215&gt;0,IF(AND(J1195&lt;999,K1195&lt;2),1,0),Tablas!G438)</f>
        <v>0</v>
      </c>
      <c r="J1206" s="444">
        <f>IF(OR(I1207&gt;0,I1212&gt;0),1,0)</f>
        <v>0</v>
      </c>
      <c r="L1206" s="2687">
        <v>6</v>
      </c>
      <c r="M1206" s="2688">
        <v>30</v>
      </c>
      <c r="N1206"/>
      <c r="O1206" s="510"/>
      <c r="U1206" s="1080"/>
      <c r="V1206" s="1054">
        <f t="shared" si="398"/>
        <v>84</v>
      </c>
      <c r="W1206" s="1197"/>
      <c r="Z1206" s="515" t="str">
        <f t="shared" si="391"/>
        <v>La Torre</v>
      </c>
      <c r="AA1206" s="794">
        <f t="shared" si="392"/>
        <v>33</v>
      </c>
      <c r="AB1206" s="1161" t="s">
        <v>644</v>
      </c>
      <c r="AC1206" s="47">
        <v>400</v>
      </c>
      <c r="AD1206" s="132">
        <v>850</v>
      </c>
    </row>
    <row r="1207" spans="1:30" ht="12.75" customHeight="1">
      <c r="A1207" s="219">
        <v>1170</v>
      </c>
      <c r="B1207" s="7939"/>
      <c r="C1207" s="767" t="s">
        <v>56</v>
      </c>
      <c r="E1207" s="85">
        <v>75</v>
      </c>
      <c r="F1207" s="50">
        <f>30+10*Tablas!G426+20*Tablas!G427+30*Tablas!G428+10*H1518</f>
        <v>30</v>
      </c>
      <c r="H1207" s="1223" t="s">
        <v>1561</v>
      </c>
      <c r="I1207" s="84">
        <f>IF(I1215&gt;0,IF(AND(J1196&lt;999,K1196&lt;2),1,0),Tablas!G439)</f>
        <v>0</v>
      </c>
      <c r="J1207" s="444">
        <f>IF(OR(I1206&gt;0,I1212&gt;0),1,0)</f>
        <v>0</v>
      </c>
      <c r="L1207" s="2687">
        <v>9</v>
      </c>
      <c r="M1207" s="2688">
        <v>40</v>
      </c>
      <c r="N1207"/>
      <c r="O1207" s="510"/>
      <c r="U1207" s="1080"/>
      <c r="V1207" s="1054">
        <f t="shared" si="398"/>
        <v>88</v>
      </c>
      <c r="W1207" s="1197"/>
      <c r="Z1207" s="515" t="str">
        <f t="shared" si="391"/>
        <v>La Torre invertida</v>
      </c>
      <c r="AA1207" s="794">
        <f t="shared" si="392"/>
        <v>21</v>
      </c>
      <c r="AB1207" s="1161" t="s">
        <v>645</v>
      </c>
      <c r="AC1207" s="47">
        <v>420</v>
      </c>
      <c r="AD1207" s="132">
        <v>900</v>
      </c>
    </row>
    <row r="1208" spans="1:30" ht="12.75" customHeight="1" thickBot="1">
      <c r="A1208" s="219">
        <v>1171</v>
      </c>
      <c r="B1208" s="7939"/>
      <c r="C1208" s="767" t="s">
        <v>57</v>
      </c>
      <c r="E1208" s="85">
        <v>95</v>
      </c>
      <c r="F1208" s="50">
        <f>40+10*Tablas!G426+20*Tablas!G427+30*Tablas!G428+10*H1518</f>
        <v>40</v>
      </c>
      <c r="H1208" s="1223" t="s">
        <v>1563</v>
      </c>
      <c r="I1208" s="84">
        <f>IF(I1215&gt;0,IF(AND(J1197&lt;999,K1197&lt;2),1,0),Tablas!G440)</f>
        <v>0</v>
      </c>
      <c r="J1208" s="444">
        <f>IF(OR(I1210&gt;0,I1212&gt;0),1,0)</f>
        <v>0</v>
      </c>
      <c r="L1208" s="2687">
        <v>13</v>
      </c>
      <c r="M1208" s="2688">
        <v>50</v>
      </c>
      <c r="N1208"/>
      <c r="O1208" s="510"/>
      <c r="U1208" s="1080"/>
      <c r="V1208" s="1054">
        <f>10+V1206</f>
        <v>94</v>
      </c>
      <c r="W1208" s="1197"/>
      <c r="Z1208" s="515" t="str">
        <f t="shared" si="391"/>
        <v>Los Enamorados</v>
      </c>
      <c r="AA1208" s="794">
        <f t="shared" si="392"/>
        <v>15</v>
      </c>
      <c r="AB1208" s="1161" t="s">
        <v>646</v>
      </c>
      <c r="AC1208" s="47">
        <v>440</v>
      </c>
      <c r="AD1208" s="132">
        <v>950</v>
      </c>
    </row>
    <row r="1209" spans="1:30" ht="12.75" customHeight="1" thickBot="1">
      <c r="A1209" s="219">
        <v>1172</v>
      </c>
      <c r="B1209" s="7939"/>
      <c r="C1209" s="767" t="s">
        <v>1926</v>
      </c>
      <c r="E1209" s="85">
        <v>115</v>
      </c>
      <c r="F1209" s="50">
        <f>50+10*Tablas!G426+20*Tablas!G427+30*Tablas!G428+10*H1518</f>
        <v>50</v>
      </c>
      <c r="H1209" s="1223" t="s">
        <v>1468</v>
      </c>
      <c r="I1209" s="84">
        <f>IF(I1215&gt;0,IF(AND(J1191&lt;999,K1191&lt;2),1,0),Tablas!G434)</f>
        <v>0</v>
      </c>
      <c r="J1209" s="444">
        <f>IF(OR(I1204&gt;0,I1212&gt;0),1,0)</f>
        <v>0</v>
      </c>
      <c r="L1209" s="2689">
        <v>17</v>
      </c>
      <c r="M1209" s="2688">
        <v>60</v>
      </c>
      <c r="O1209" s="1204" t="s">
        <v>8057</v>
      </c>
      <c r="P1209" s="1205" t="s">
        <v>8058</v>
      </c>
      <c r="U1209" s="1081"/>
      <c r="V1209" s="1198">
        <f>10+V1207</f>
        <v>98</v>
      </c>
      <c r="W1209" s="1199"/>
      <c r="Z1209" s="515" t="str">
        <f t="shared" si="391"/>
        <v>Los Enamorados invertidos</v>
      </c>
      <c r="AA1209" s="794">
        <f t="shared" si="392"/>
        <v>19</v>
      </c>
      <c r="AB1209" s="1161" t="s">
        <v>647</v>
      </c>
      <c r="AC1209" s="47">
        <v>460</v>
      </c>
      <c r="AD1209" s="132">
        <v>1000</v>
      </c>
    </row>
    <row r="1210" spans="1:30" ht="12.75" customHeight="1" thickBot="1">
      <c r="A1210" s="219">
        <v>1173</v>
      </c>
      <c r="B1210" s="7939"/>
      <c r="C1210" s="768" t="s">
        <v>58</v>
      </c>
      <c r="E1210" s="85">
        <v>135</v>
      </c>
      <c r="F1210" s="50">
        <f>60+10*Tablas!G426+20*Tablas!G427+30*Tablas!G428+10*H1518</f>
        <v>60</v>
      </c>
      <c r="H1210" s="1223" t="s">
        <v>1565</v>
      </c>
      <c r="I1210" s="84">
        <f>IF(I1215&gt;0,IF(AND(J1198&lt;999,K1198&lt;2),1,0),Tablas!G441)</f>
        <v>0</v>
      </c>
      <c r="J1210" s="444">
        <f>IF(OR(I1208&gt;0,I1212&gt;0),1,0)</f>
        <v>0</v>
      </c>
      <c r="L1210" s="2689">
        <v>22</v>
      </c>
      <c r="M1210" s="2688">
        <v>70</v>
      </c>
      <c r="O1210" s="35" t="s">
        <v>1468</v>
      </c>
      <c r="P1210" s="1206" t="s">
        <v>1412</v>
      </c>
      <c r="Z1210" s="515" t="str">
        <f>VLOOKUP(A1,$AA$1210:$AB$1241,2,0)</f>
        <v>&gt; GRANDES BESTIAS</v>
      </c>
      <c r="AA1210" s="794">
        <f>COUNTIF($AB$1210:$AB$1241,"&lt;="&amp;AB1210)</f>
        <v>1</v>
      </c>
      <c r="AB1210" s="1161" t="s">
        <v>648</v>
      </c>
      <c r="AC1210" s="47"/>
      <c r="AD1210" s="132"/>
    </row>
    <row r="1211" spans="1:30" ht="12.75" customHeight="1">
      <c r="A1211" s="219">
        <v>1174</v>
      </c>
      <c r="B1211" s="7939"/>
      <c r="C1211" s="4033" t="s">
        <v>1762</v>
      </c>
      <c r="E1211" s="85">
        <v>155</v>
      </c>
      <c r="F1211" s="50">
        <f>70+10*Tablas!G426+20*Tablas!G427+30*Tablas!G428+10*H1518</f>
        <v>70</v>
      </c>
      <c r="H1211" s="1223" t="s">
        <v>1553</v>
      </c>
      <c r="I1211" s="84">
        <f>IF(I1215&gt;0,IF(AND(J1189&lt;999,K1189&lt;2),1,0),Tablas!G432)</f>
        <v>0</v>
      </c>
      <c r="J1211" s="444">
        <f>IF(OR(I1213&gt;0,I1212&gt;0),1,0)</f>
        <v>0</v>
      </c>
      <c r="L1211" s="2689">
        <v>27</v>
      </c>
      <c r="M1211" s="2688">
        <v>80</v>
      </c>
      <c r="O1211" s="35" t="s">
        <v>1461</v>
      </c>
      <c r="P1211" s="1141" t="s">
        <v>1410</v>
      </c>
      <c r="Z1211" s="515" t="str">
        <f t="shared" ref="Z1211:Z1241" si="399">VLOOKUP(A2,$AA$1210:$AB$1241,2,0)</f>
        <v>Behemoth, Señor de la Tierra</v>
      </c>
      <c r="AA1211" s="794">
        <f t="shared" ref="AA1211:AA1241" si="400">COUNTIF($AB$1210:$AB$1241,"&lt;="&amp;AB1211)</f>
        <v>25</v>
      </c>
      <c r="AB1211" s="1161" t="s">
        <v>11974</v>
      </c>
      <c r="AC1211" s="47">
        <v>280</v>
      </c>
      <c r="AD1211" s="132">
        <v>450</v>
      </c>
    </row>
    <row r="1212" spans="1:30" ht="12.75" customHeight="1">
      <c r="A1212" s="219">
        <v>1175</v>
      </c>
      <c r="B1212" s="7939"/>
      <c r="C1212" s="4033" t="s">
        <v>6067</v>
      </c>
      <c r="E1212" s="85">
        <v>185</v>
      </c>
      <c r="F1212" s="50">
        <f>80+10*Tablas!G426+20*Tablas!G427+30*Tablas!G428+10*H1518</f>
        <v>80</v>
      </c>
      <c r="H1212" s="1223" t="s">
        <v>1567</v>
      </c>
      <c r="I1212" s="84">
        <f>IF(I1215&gt;0,IF(AND(J1199&lt;999,K1199&lt;2),1,0),Tablas!G442)</f>
        <v>0</v>
      </c>
      <c r="J1212" s="444">
        <f>IF(OR(COUNTIF(I1213:I1214,"&gt;0"),COUNTIF(I1204:I1211,"&gt;0")),1,0)</f>
        <v>0</v>
      </c>
      <c r="L1212" s="2689">
        <v>33</v>
      </c>
      <c r="M1212" s="2688">
        <v>90</v>
      </c>
      <c r="O1212" s="35" t="s">
        <v>1464</v>
      </c>
      <c r="P1212" s="1141" t="s">
        <v>1414</v>
      </c>
      <c r="Z1212" s="515" t="str">
        <f t="shared" si="399"/>
        <v>Byakko, el Tigre Blanco</v>
      </c>
      <c r="AA1212" s="794">
        <f t="shared" si="400"/>
        <v>14</v>
      </c>
      <c r="AB1212" s="1161" t="s">
        <v>649</v>
      </c>
      <c r="AC1212" s="47">
        <v>150</v>
      </c>
      <c r="AD1212" s="132">
        <v>200</v>
      </c>
    </row>
    <row r="1213" spans="1:30" ht="12.75" customHeight="1" thickBot="1">
      <c r="A1213" s="219">
        <v>1176</v>
      </c>
      <c r="B1213" s="7939"/>
      <c r="C1213" s="4033" t="s">
        <v>12687</v>
      </c>
      <c r="E1213" s="186">
        <v>200</v>
      </c>
      <c r="F1213" s="179">
        <f>90+10*Tablas!G426+20*Tablas!G427+30*Tablas!G428+10*H1518</f>
        <v>90</v>
      </c>
      <c r="H1213" s="1223" t="s">
        <v>1554</v>
      </c>
      <c r="I1213" s="84">
        <f>IF(I1215&gt;0,IF(AND(J1190&lt;999,K1190&lt;2),1,0),Tablas!G433)</f>
        <v>0</v>
      </c>
      <c r="J1213" s="444">
        <f>IF(OR(I1211&gt;0,I1212&gt;0),1,0)</f>
        <v>0</v>
      </c>
      <c r="L1213" s="2690">
        <v>40</v>
      </c>
      <c r="M1213" s="2691">
        <v>100</v>
      </c>
      <c r="O1213" s="35" t="s">
        <v>1558</v>
      </c>
      <c r="P1213" s="1141" t="s">
        <v>1357</v>
      </c>
      <c r="Z1213" s="515" t="str">
        <f t="shared" si="399"/>
        <v>Caronte, Titiritero de Almas</v>
      </c>
      <c r="AA1213" s="794">
        <f t="shared" si="400"/>
        <v>8</v>
      </c>
      <c r="AB1213" s="1161" t="s">
        <v>650</v>
      </c>
      <c r="AC1213" s="47">
        <v>220</v>
      </c>
      <c r="AD1213" s="132">
        <v>500</v>
      </c>
    </row>
    <row r="1214" spans="1:30" ht="12.75" customHeight="1">
      <c r="A1214" s="219">
        <v>1177</v>
      </c>
      <c r="B1214" s="7939"/>
      <c r="C1214" s="4033" t="s">
        <v>2405</v>
      </c>
      <c r="E1214" s="278"/>
      <c r="H1214" s="1223" t="s">
        <v>1558</v>
      </c>
      <c r="I1214" s="84">
        <f>IF(I1215&gt;0,IF(AND(J1194&lt;999,K1194&lt;2),1,0),Tablas!G437)</f>
        <v>0</v>
      </c>
      <c r="J1214" s="444">
        <f>IF(OR(I1205&gt;0,I1212&gt;0),1,0)</f>
        <v>0</v>
      </c>
      <c r="O1214" s="35" t="s">
        <v>1553</v>
      </c>
      <c r="P1214" s="1141"/>
      <c r="Z1214" s="515" t="str">
        <f t="shared" si="399"/>
        <v>Druaga</v>
      </c>
      <c r="AA1214" s="794">
        <f t="shared" si="400"/>
        <v>22</v>
      </c>
      <c r="AB1214" s="1161" t="s">
        <v>651</v>
      </c>
      <c r="AC1214" s="47">
        <v>140</v>
      </c>
      <c r="AD1214" s="132">
        <v>200</v>
      </c>
    </row>
    <row r="1215" spans="1:30" ht="12.75" customHeight="1" thickBot="1">
      <c r="A1215" s="219">
        <v>1178</v>
      </c>
      <c r="B1215" s="7939"/>
      <c r="C1215" s="4033" t="s">
        <v>73</v>
      </c>
      <c r="H1215" s="1224" t="s">
        <v>1102</v>
      </c>
      <c r="I1215" s="446">
        <f>Tablas!G443</f>
        <v>0</v>
      </c>
      <c r="J1215" s="631" t="s">
        <v>1315</v>
      </c>
      <c r="O1215" s="65" t="s">
        <v>1554</v>
      </c>
      <c r="P1215" s="1207"/>
      <c r="Z1215" s="515" t="str">
        <f t="shared" si="399"/>
        <v>Eir, la Primera Valkyria</v>
      </c>
      <c r="AA1215" s="794">
        <f t="shared" si="400"/>
        <v>15</v>
      </c>
      <c r="AB1215" s="1161" t="s">
        <v>652</v>
      </c>
      <c r="AC1215" s="47">
        <v>180</v>
      </c>
      <c r="AD1215" s="132">
        <v>200</v>
      </c>
    </row>
    <row r="1216" spans="1:30" ht="12.75" customHeight="1">
      <c r="A1216" s="219">
        <v>1179</v>
      </c>
      <c r="B1216" s="7939"/>
      <c r="C1216" s="4033" t="s">
        <v>12747</v>
      </c>
      <c r="N1216"/>
      <c r="O1216" s="510"/>
      <c r="Z1216" s="515" t="str">
        <f t="shared" si="399"/>
        <v>El Vendedor</v>
      </c>
      <c r="AA1216" s="794">
        <f t="shared" si="400"/>
        <v>16</v>
      </c>
      <c r="AB1216" s="1161" t="s">
        <v>653</v>
      </c>
      <c r="AC1216" s="47">
        <v>240</v>
      </c>
      <c r="AD1216" s="132">
        <v>400</v>
      </c>
    </row>
    <row r="1217" spans="1:42" ht="12.75" customHeight="1" thickBot="1">
      <c r="A1217" s="219">
        <v>1180</v>
      </c>
      <c r="B1217" s="7939"/>
      <c r="C1217" s="4033" t="s">
        <v>12748</v>
      </c>
      <c r="Z1217" s="515" t="str">
        <f t="shared" si="399"/>
        <v>Enamon</v>
      </c>
      <c r="AA1217" s="794">
        <f t="shared" si="400"/>
        <v>11</v>
      </c>
      <c r="AB1217" s="1161" t="s">
        <v>654</v>
      </c>
      <c r="AC1217" s="47">
        <v>260</v>
      </c>
      <c r="AD1217" s="132">
        <v>400</v>
      </c>
    </row>
    <row r="1218" spans="1:42" ht="12.75" customHeight="1" thickBot="1">
      <c r="A1218" s="219">
        <v>1181</v>
      </c>
      <c r="B1218" s="7939"/>
      <c r="C1218" s="4034" t="s">
        <v>12749</v>
      </c>
      <c r="Z1218" s="515" t="str">
        <f t="shared" si="399"/>
        <v>Ethelthryth, Señora de los Nombres</v>
      </c>
      <c r="AA1218" s="794">
        <f t="shared" si="400"/>
        <v>21</v>
      </c>
      <c r="AB1218" s="1161" t="s">
        <v>655</v>
      </c>
      <c r="AC1218" s="47">
        <v>180</v>
      </c>
      <c r="AD1218" s="132">
        <v>200</v>
      </c>
      <c r="AF1218" s="5433" t="s">
        <v>6542</v>
      </c>
      <c r="AG1218" s="5434"/>
      <c r="AH1218" s="5434"/>
      <c r="AI1218" s="5434"/>
      <c r="AJ1218" s="5434"/>
      <c r="AK1218" s="5434"/>
      <c r="AL1218" s="5434"/>
      <c r="AM1218" s="5434"/>
      <c r="AN1218" s="5434"/>
      <c r="AO1218" s="5434"/>
      <c r="AP1218" s="5435"/>
    </row>
    <row r="1219" spans="1:42" ht="12.75" customHeight="1" thickBot="1">
      <c r="A1219" s="219">
        <v>1182</v>
      </c>
      <c r="B1219" s="7939"/>
      <c r="Z1219" s="515" t="str">
        <f t="shared" si="399"/>
        <v>Forseti, Señor del Equilibrio</v>
      </c>
      <c r="AA1219" s="794">
        <f t="shared" si="400"/>
        <v>12</v>
      </c>
      <c r="AB1219" s="1161" t="s">
        <v>656</v>
      </c>
      <c r="AC1219" s="47">
        <v>220</v>
      </c>
      <c r="AD1219" s="132">
        <v>350</v>
      </c>
      <c r="AF1219" s="4047" t="s">
        <v>1553</v>
      </c>
      <c r="AG1219" s="4032" t="s">
        <v>1554</v>
      </c>
      <c r="AH1219" s="4048" t="s">
        <v>1560</v>
      </c>
      <c r="AI1219" s="4032" t="s">
        <v>1561</v>
      </c>
      <c r="AJ1219" s="4032" t="s">
        <v>1468</v>
      </c>
      <c r="AK1219" s="4032" t="s">
        <v>1464</v>
      </c>
      <c r="AL1219" s="4032" t="s">
        <v>1558</v>
      </c>
      <c r="AM1219" s="4032" t="s">
        <v>1461</v>
      </c>
      <c r="AN1219" s="4032" t="s">
        <v>1563</v>
      </c>
      <c r="AO1219" s="4032" t="s">
        <v>1565</v>
      </c>
      <c r="AP1219" s="4049" t="s">
        <v>1567</v>
      </c>
    </row>
    <row r="1220" spans="1:42" ht="12.75" customHeight="1">
      <c r="A1220" s="219">
        <v>1183</v>
      </c>
      <c r="B1220" s="7939"/>
      <c r="C1220" s="8056" t="s">
        <v>45</v>
      </c>
      <c r="D1220" s="8057"/>
      <c r="E1220" s="8057"/>
      <c r="F1220" s="8057"/>
      <c r="G1220" s="8057"/>
      <c r="H1220" s="8057"/>
      <c r="I1220" s="8057"/>
      <c r="J1220" s="8058"/>
      <c r="K1220" s="8103" t="s">
        <v>6541</v>
      </c>
      <c r="M1220" s="5433" t="s">
        <v>6542</v>
      </c>
      <c r="N1220" s="5434"/>
      <c r="O1220" s="5434"/>
      <c r="P1220" s="5434"/>
      <c r="Q1220" s="5434"/>
      <c r="R1220" s="5434"/>
      <c r="S1220" s="5434"/>
      <c r="T1220" s="5434"/>
      <c r="U1220" s="5434"/>
      <c r="V1220" s="5434"/>
      <c r="W1220" s="5435"/>
      <c r="Z1220" s="515" t="str">
        <f t="shared" si="399"/>
        <v>Galgaliel, Ángel de los Dones</v>
      </c>
      <c r="AA1220" s="794">
        <f t="shared" si="400"/>
        <v>24</v>
      </c>
      <c r="AB1220" s="1161" t="s">
        <v>657</v>
      </c>
      <c r="AC1220" s="47">
        <v>220</v>
      </c>
      <c r="AD1220" s="132">
        <v>400</v>
      </c>
      <c r="AF1220" s="4050" t="s">
        <v>7876</v>
      </c>
      <c r="AG1220" s="2861" t="s">
        <v>7876</v>
      </c>
      <c r="AH1220" s="2861" t="s">
        <v>7876</v>
      </c>
      <c r="AI1220" s="2861" t="s">
        <v>7876</v>
      </c>
      <c r="AJ1220" s="2861" t="s">
        <v>7876</v>
      </c>
      <c r="AK1220" s="2861" t="s">
        <v>7876</v>
      </c>
      <c r="AL1220" s="2861" t="s">
        <v>7876</v>
      </c>
      <c r="AM1220" s="2861" t="s">
        <v>7876</v>
      </c>
      <c r="AN1220" s="2861" t="s">
        <v>7876</v>
      </c>
      <c r="AO1220" s="2861" t="s">
        <v>7876</v>
      </c>
      <c r="AP1220" s="4051" t="s">
        <v>7876</v>
      </c>
    </row>
    <row r="1221" spans="1:42" ht="12.75" customHeight="1" thickBot="1">
      <c r="A1221" s="219">
        <v>1184</v>
      </c>
      <c r="B1221" s="7939"/>
      <c r="C1221" s="8093" t="s">
        <v>6543</v>
      </c>
      <c r="D1221" s="8094"/>
      <c r="E1221" s="8094"/>
      <c r="F1221" s="8094"/>
      <c r="G1221" s="8094"/>
      <c r="H1221" s="8094"/>
      <c r="I1221" s="8094"/>
      <c r="J1221" s="8095"/>
      <c r="K1221" s="8103"/>
      <c r="M1221" s="4047" t="s">
        <v>1553</v>
      </c>
      <c r="N1221" s="4032" t="s">
        <v>1554</v>
      </c>
      <c r="O1221" s="4048" t="s">
        <v>1560</v>
      </c>
      <c r="P1221" s="4032" t="s">
        <v>1561</v>
      </c>
      <c r="Q1221" s="4032" t="s">
        <v>1468</v>
      </c>
      <c r="R1221" s="4032" t="s">
        <v>1464</v>
      </c>
      <c r="S1221" s="4032" t="s">
        <v>1558</v>
      </c>
      <c r="T1221" s="4032" t="s">
        <v>1461</v>
      </c>
      <c r="U1221" s="4032" t="s">
        <v>1563</v>
      </c>
      <c r="V1221" s="4032" t="s">
        <v>1565</v>
      </c>
      <c r="W1221" s="4049" t="s">
        <v>1567</v>
      </c>
      <c r="Z1221" s="515" t="str">
        <f t="shared" si="399"/>
        <v>Garuda, Alas de Fuego</v>
      </c>
      <c r="AA1221" s="794">
        <f t="shared" si="400"/>
        <v>17</v>
      </c>
      <c r="AB1221" s="1161" t="s">
        <v>658</v>
      </c>
      <c r="AC1221" s="47">
        <v>280</v>
      </c>
      <c r="AD1221" s="132">
        <v>500</v>
      </c>
      <c r="AF1221" s="4050" t="s">
        <v>46</v>
      </c>
      <c r="AG1221" s="2861" t="s">
        <v>46</v>
      </c>
      <c r="AH1221" s="2861" t="s">
        <v>46</v>
      </c>
      <c r="AI1221" s="2861" t="s">
        <v>46</v>
      </c>
      <c r="AJ1221" s="2861" t="s">
        <v>47</v>
      </c>
      <c r="AK1221" s="2861" t="s">
        <v>54</v>
      </c>
      <c r="AL1221" s="2861" t="s">
        <v>47</v>
      </c>
      <c r="AM1221" s="2861" t="s">
        <v>46</v>
      </c>
      <c r="AN1221" s="2861" t="s">
        <v>54</v>
      </c>
      <c r="AO1221" s="2861" t="s">
        <v>48</v>
      </c>
      <c r="AP1221" s="4051" t="s">
        <v>54</v>
      </c>
    </row>
    <row r="1222" spans="1:42" ht="12.75" customHeight="1">
      <c r="A1222" s="219">
        <v>1185</v>
      </c>
      <c r="B1222" s="7939"/>
      <c r="C1222" s="251" t="s">
        <v>46</v>
      </c>
      <c r="D1222" s="252" t="s">
        <v>1567</v>
      </c>
      <c r="E1222" s="252" t="s">
        <v>1565</v>
      </c>
      <c r="F1222" s="252" t="s">
        <v>1563</v>
      </c>
      <c r="G1222" s="252" t="s">
        <v>1468</v>
      </c>
      <c r="H1222" s="252" t="s">
        <v>1558</v>
      </c>
      <c r="I1222" s="218" t="s">
        <v>1464</v>
      </c>
      <c r="J1222" s="193"/>
      <c r="K1222" s="689" t="str">
        <f t="shared" ref="K1222:K1235" si="401">D1222&amp;E1222&amp;F1222&amp;G1222&amp;H1222&amp;I1222&amp;J1222</f>
        <v>NigromanciaIlusiónEsenciaFuegoTierraAgua</v>
      </c>
      <c r="M1222" s="4050" t="s">
        <v>7876</v>
      </c>
      <c r="N1222" s="2861" t="s">
        <v>7876</v>
      </c>
      <c r="O1222" s="2861" t="s">
        <v>7876</v>
      </c>
      <c r="P1222" s="2861" t="s">
        <v>7876</v>
      </c>
      <c r="Q1222" s="2861" t="s">
        <v>7876</v>
      </c>
      <c r="R1222" s="2861" t="s">
        <v>7876</v>
      </c>
      <c r="S1222" s="2861" t="s">
        <v>7876</v>
      </c>
      <c r="T1222" s="2861" t="s">
        <v>7876</v>
      </c>
      <c r="U1222" s="2861" t="s">
        <v>7876</v>
      </c>
      <c r="V1222" s="2861" t="s">
        <v>7876</v>
      </c>
      <c r="W1222" s="4051" t="s">
        <v>7876</v>
      </c>
      <c r="Z1222" s="515" t="str">
        <f t="shared" si="399"/>
        <v>Genbu, la Tortuga Negra</v>
      </c>
      <c r="AA1222" s="794">
        <f t="shared" si="400"/>
        <v>9</v>
      </c>
      <c r="AB1222" s="1161" t="s">
        <v>659</v>
      </c>
      <c r="AC1222" s="47">
        <v>280</v>
      </c>
      <c r="AD1222" s="132">
        <v>400</v>
      </c>
      <c r="AF1222" s="4050" t="s">
        <v>54</v>
      </c>
      <c r="AG1222" s="2861" t="s">
        <v>54</v>
      </c>
      <c r="AH1222" s="2861" t="s">
        <v>54</v>
      </c>
      <c r="AI1222" s="2861" t="s">
        <v>47</v>
      </c>
      <c r="AJ1222" s="2861" t="s">
        <v>49</v>
      </c>
      <c r="AK1222" s="2861" t="s">
        <v>48</v>
      </c>
      <c r="AL1222" s="2861" t="s">
        <v>51</v>
      </c>
      <c r="AM1222" s="2861" t="s">
        <v>54</v>
      </c>
      <c r="AN1222" s="2861" t="s">
        <v>50</v>
      </c>
      <c r="AO1222" s="2861" t="s">
        <v>50</v>
      </c>
      <c r="AP1222" s="4051" t="s">
        <v>47</v>
      </c>
    </row>
    <row r="1223" spans="1:42" ht="12.75" customHeight="1">
      <c r="A1223" s="219">
        <v>1186</v>
      </c>
      <c r="B1223" s="7939"/>
      <c r="C1223" s="253" t="s">
        <v>54</v>
      </c>
      <c r="D1223" s="252" t="s">
        <v>1561</v>
      </c>
      <c r="E1223" s="252" t="s">
        <v>1558</v>
      </c>
      <c r="F1223" s="252" t="s">
        <v>1468</v>
      </c>
      <c r="G1223" s="252" t="s">
        <v>1565</v>
      </c>
      <c r="H1223" s="252"/>
      <c r="I1223" s="218"/>
      <c r="J1223" s="193"/>
      <c r="K1223" s="689" t="str">
        <f t="shared" si="401"/>
        <v>DestrucciónTierraFuegoIlusión</v>
      </c>
      <c r="M1223" s="4050" t="s">
        <v>46</v>
      </c>
      <c r="N1223" s="2861" t="s">
        <v>46</v>
      </c>
      <c r="O1223" s="2861" t="s">
        <v>46</v>
      </c>
      <c r="P1223" s="2861" t="s">
        <v>46</v>
      </c>
      <c r="Q1223" s="2861" t="s">
        <v>47</v>
      </c>
      <c r="R1223" s="2861" t="s">
        <v>54</v>
      </c>
      <c r="S1223" s="2861" t="s">
        <v>47</v>
      </c>
      <c r="T1223" s="2861" t="s">
        <v>46</v>
      </c>
      <c r="U1223" s="2861" t="s">
        <v>54</v>
      </c>
      <c r="V1223" s="2861" t="s">
        <v>48</v>
      </c>
      <c r="W1223" s="4051" t="s">
        <v>54</v>
      </c>
      <c r="Z1223" s="515" t="str">
        <f t="shared" si="399"/>
        <v>Hermod, el Mensajero de los Dioses</v>
      </c>
      <c r="AA1223" s="794">
        <f t="shared" si="400"/>
        <v>6</v>
      </c>
      <c r="AB1223" s="1161" t="s">
        <v>660</v>
      </c>
      <c r="AC1223" s="47">
        <v>280</v>
      </c>
      <c r="AD1223" s="132">
        <v>400</v>
      </c>
      <c r="AF1223" s="4050" t="s">
        <v>48</v>
      </c>
      <c r="AG1223" s="2861" t="s">
        <v>47</v>
      </c>
      <c r="AH1223" s="2861" t="s">
        <v>48</v>
      </c>
      <c r="AI1223" s="2861" t="s">
        <v>49</v>
      </c>
      <c r="AJ1223" s="2861" t="s">
        <v>53</v>
      </c>
      <c r="AK1223" s="2861" t="s">
        <v>50</v>
      </c>
      <c r="AL1223" s="2861" t="s">
        <v>52</v>
      </c>
      <c r="AM1223" s="2861" t="s">
        <v>50</v>
      </c>
      <c r="AN1223" s="2861" t="s">
        <v>52</v>
      </c>
      <c r="AO1223" s="2861" t="s">
        <v>51</v>
      </c>
      <c r="AP1223" s="4051" t="s">
        <v>49</v>
      </c>
    </row>
    <row r="1224" spans="1:42" ht="12.75" customHeight="1">
      <c r="A1224" s="219">
        <v>1187</v>
      </c>
      <c r="B1224" s="7939"/>
      <c r="C1224" s="253" t="s">
        <v>47</v>
      </c>
      <c r="D1224" s="252" t="s">
        <v>1563</v>
      </c>
      <c r="E1224" s="252" t="s">
        <v>1461</v>
      </c>
      <c r="F1224" s="252" t="s">
        <v>1553</v>
      </c>
      <c r="G1224" s="252" t="s">
        <v>1464</v>
      </c>
      <c r="H1224" s="252" t="s">
        <v>1565</v>
      </c>
      <c r="I1224" s="218" t="s">
        <v>1560</v>
      </c>
      <c r="J1224" s="193"/>
      <c r="K1224" s="689" t="str">
        <f t="shared" si="401"/>
        <v>EsenciaAireLuzAguaIlusiónCreación</v>
      </c>
      <c r="M1224" s="4050" t="s">
        <v>54</v>
      </c>
      <c r="N1224" s="2861" t="s">
        <v>54</v>
      </c>
      <c r="O1224" s="2861" t="s">
        <v>54</v>
      </c>
      <c r="P1224" s="2861" t="s">
        <v>47</v>
      </c>
      <c r="Q1224" s="2861" t="s">
        <v>49</v>
      </c>
      <c r="R1224" s="2861" t="s">
        <v>48</v>
      </c>
      <c r="S1224" s="2861" t="s">
        <v>51</v>
      </c>
      <c r="T1224" s="2861" t="s">
        <v>54</v>
      </c>
      <c r="U1224" s="2861" t="s">
        <v>50</v>
      </c>
      <c r="V1224" s="2861" t="s">
        <v>50</v>
      </c>
      <c r="W1224" s="4051" t="s">
        <v>47</v>
      </c>
      <c r="Z1224" s="515" t="str">
        <f t="shared" si="399"/>
        <v>Huginn y Muninn, Ojos de Cuervo</v>
      </c>
      <c r="AA1224" s="794">
        <f t="shared" si="400"/>
        <v>29</v>
      </c>
      <c r="AB1224" s="1161" t="s">
        <v>661</v>
      </c>
      <c r="AC1224" s="47">
        <v>240</v>
      </c>
      <c r="AD1224" s="132">
        <v>350</v>
      </c>
      <c r="AF1224" s="4050" t="s">
        <v>50</v>
      </c>
      <c r="AG1224" s="2861" t="s">
        <v>48</v>
      </c>
      <c r="AH1224" s="2861" t="s">
        <v>50</v>
      </c>
      <c r="AI1224" s="2861" t="s">
        <v>53</v>
      </c>
      <c r="AJ1224" s="2861" t="s">
        <v>1926</v>
      </c>
      <c r="AK1224" s="2861" t="s">
        <v>51</v>
      </c>
      <c r="AL1224" s="2861" t="s">
        <v>1926</v>
      </c>
      <c r="AM1224" s="2861" t="s">
        <v>51</v>
      </c>
      <c r="AN1224" s="2861" t="s">
        <v>55</v>
      </c>
      <c r="AO1224" s="2861" t="s">
        <v>56</v>
      </c>
      <c r="AP1224" s="4051" t="s">
        <v>53</v>
      </c>
    </row>
    <row r="1225" spans="1:42" ht="12.75" customHeight="1">
      <c r="A1225" s="219">
        <v>1188</v>
      </c>
      <c r="B1225" s="7939"/>
      <c r="C1225" s="253" t="s">
        <v>48</v>
      </c>
      <c r="D1225" s="252" t="s">
        <v>1567</v>
      </c>
      <c r="E1225" s="252" t="s">
        <v>1561</v>
      </c>
      <c r="F1225" s="252" t="s">
        <v>1563</v>
      </c>
      <c r="G1225" s="252" t="s">
        <v>1468</v>
      </c>
      <c r="H1225" s="252" t="s">
        <v>1461</v>
      </c>
      <c r="I1225" s="218" t="s">
        <v>1558</v>
      </c>
      <c r="J1225" s="193"/>
      <c r="K1225" s="689" t="str">
        <f t="shared" si="401"/>
        <v>NigromanciaDestrucciónEsenciaFuegoAireTierra</v>
      </c>
      <c r="M1225" s="4050" t="s">
        <v>48</v>
      </c>
      <c r="N1225" s="2861" t="s">
        <v>47</v>
      </c>
      <c r="O1225" s="2861" t="s">
        <v>48</v>
      </c>
      <c r="P1225" s="2861" t="s">
        <v>49</v>
      </c>
      <c r="Q1225" s="2861" t="s">
        <v>53</v>
      </c>
      <c r="R1225" s="2861" t="s">
        <v>50</v>
      </c>
      <c r="S1225" s="2861" t="s">
        <v>52</v>
      </c>
      <c r="T1225" s="2861" t="s">
        <v>50</v>
      </c>
      <c r="U1225" s="2861" t="s">
        <v>52</v>
      </c>
      <c r="V1225" s="2861" t="s">
        <v>51</v>
      </c>
      <c r="W1225" s="4051" t="s">
        <v>49</v>
      </c>
      <c r="Z1225" s="515" t="str">
        <f t="shared" si="399"/>
        <v>Idea, Musa de la Locura</v>
      </c>
      <c r="AA1225" s="794">
        <f t="shared" si="400"/>
        <v>28</v>
      </c>
      <c r="AB1225" s="1161" t="s">
        <v>662</v>
      </c>
      <c r="AC1225" s="47">
        <v>240</v>
      </c>
      <c r="AD1225" s="132">
        <v>400</v>
      </c>
      <c r="AF1225" s="4050" t="s">
        <v>51</v>
      </c>
      <c r="AG1225" s="2861" t="s">
        <v>49</v>
      </c>
      <c r="AH1225" s="2861" t="s">
        <v>52</v>
      </c>
      <c r="AI1225" s="2861" t="s">
        <v>55</v>
      </c>
      <c r="AJ1225" s="2861" t="s">
        <v>7877</v>
      </c>
      <c r="AK1225" s="2861" t="s">
        <v>52</v>
      </c>
      <c r="AL1225" s="2861" t="s">
        <v>7877</v>
      </c>
      <c r="AM1225" s="2861" t="s">
        <v>52</v>
      </c>
      <c r="AN1225" s="2861" t="s">
        <v>56</v>
      </c>
      <c r="AO1225" s="2861" t="s">
        <v>1926</v>
      </c>
      <c r="AP1225" s="4051" t="s">
        <v>55</v>
      </c>
    </row>
    <row r="1226" spans="1:42" ht="12.75" customHeight="1">
      <c r="A1226" s="219">
        <v>1189</v>
      </c>
      <c r="B1226" s="7939"/>
      <c r="C1226" s="253" t="s">
        <v>49</v>
      </c>
      <c r="D1226" s="252" t="s">
        <v>1560</v>
      </c>
      <c r="E1226" s="252" t="s">
        <v>1553</v>
      </c>
      <c r="F1226" s="252" t="s">
        <v>1563</v>
      </c>
      <c r="G1226" s="252" t="s">
        <v>1558</v>
      </c>
      <c r="H1226" s="252" t="s">
        <v>1464</v>
      </c>
      <c r="I1226" s="218" t="s">
        <v>1461</v>
      </c>
      <c r="J1226" s="193" t="s">
        <v>1565</v>
      </c>
      <c r="K1226" s="689" t="str">
        <f t="shared" si="401"/>
        <v>CreaciónLuzEsenciaTierraAguaAireIlusión</v>
      </c>
      <c r="M1226" s="4050" t="s">
        <v>50</v>
      </c>
      <c r="N1226" s="2861" t="s">
        <v>48</v>
      </c>
      <c r="O1226" s="2861" t="s">
        <v>50</v>
      </c>
      <c r="P1226" s="2861" t="s">
        <v>53</v>
      </c>
      <c r="Q1226" s="2861" t="s">
        <v>1926</v>
      </c>
      <c r="R1226" s="2861" t="s">
        <v>51</v>
      </c>
      <c r="S1226" s="2861" t="s">
        <v>1926</v>
      </c>
      <c r="T1226" s="2861" t="s">
        <v>51</v>
      </c>
      <c r="U1226" s="2861" t="s">
        <v>55</v>
      </c>
      <c r="V1226" s="2861" t="s">
        <v>56</v>
      </c>
      <c r="W1226" s="4051" t="s">
        <v>53</v>
      </c>
      <c r="Z1226" s="515" t="str">
        <f t="shared" si="399"/>
        <v>Idún, Señora de la Juventud Eterna</v>
      </c>
      <c r="AA1226" s="794">
        <f t="shared" si="400"/>
        <v>4</v>
      </c>
      <c r="AB1226" s="1161" t="s">
        <v>663</v>
      </c>
      <c r="AC1226" s="47">
        <v>340</v>
      </c>
      <c r="AD1226" s="132">
        <v>700</v>
      </c>
      <c r="AF1226" s="4050" t="s">
        <v>52</v>
      </c>
      <c r="AG1226" s="2861" t="s">
        <v>50</v>
      </c>
      <c r="AH1226" s="2861" t="s">
        <v>53</v>
      </c>
      <c r="AI1226" s="2861" t="s">
        <v>57</v>
      </c>
      <c r="AJ1226" s="2861" t="s">
        <v>46</v>
      </c>
      <c r="AK1226" s="2861" t="s">
        <v>55</v>
      </c>
      <c r="AL1226" s="2861" t="s">
        <v>46</v>
      </c>
      <c r="AM1226" s="2861" t="s">
        <v>53</v>
      </c>
      <c r="AN1226" s="2861" t="s">
        <v>7877</v>
      </c>
      <c r="AO1226" s="2861" t="s">
        <v>7877</v>
      </c>
      <c r="AP1226" s="4051" t="s">
        <v>56</v>
      </c>
    </row>
    <row r="1227" spans="1:42" ht="12.75" customHeight="1">
      <c r="A1227" s="219">
        <v>1190</v>
      </c>
      <c r="B1227" s="7939"/>
      <c r="C1227" s="253" t="s">
        <v>50</v>
      </c>
      <c r="D1227" s="252" t="s">
        <v>1561</v>
      </c>
      <c r="E1227" s="252" t="s">
        <v>1468</v>
      </c>
      <c r="F1227" s="252" t="s">
        <v>1558</v>
      </c>
      <c r="G1227" s="252" t="s">
        <v>1567</v>
      </c>
      <c r="H1227" s="252"/>
      <c r="I1227" s="218"/>
      <c r="J1227" s="193"/>
      <c r="K1227" s="689" t="str">
        <f t="shared" si="401"/>
        <v>DestrucciónFuegoTierraNigromancia</v>
      </c>
      <c r="M1227" s="4050" t="s">
        <v>51</v>
      </c>
      <c r="N1227" s="2861" t="s">
        <v>49</v>
      </c>
      <c r="O1227" s="2861" t="s">
        <v>52</v>
      </c>
      <c r="P1227" s="2861" t="s">
        <v>55</v>
      </c>
      <c r="Q1227" s="4052"/>
      <c r="R1227" s="2861" t="s">
        <v>52</v>
      </c>
      <c r="S1227" s="4052"/>
      <c r="T1227" s="2861" t="s">
        <v>52</v>
      </c>
      <c r="U1227" s="2861" t="s">
        <v>56</v>
      </c>
      <c r="V1227" s="2861" t="s">
        <v>1926</v>
      </c>
      <c r="W1227" s="4051" t="s">
        <v>55</v>
      </c>
      <c r="Z1227" s="515" t="str">
        <f t="shared" si="399"/>
        <v>Kagutsuchi</v>
      </c>
      <c r="AA1227" s="794">
        <f t="shared" si="400"/>
        <v>23</v>
      </c>
      <c r="AB1227" s="1161" t="s">
        <v>664</v>
      </c>
      <c r="AC1227" s="47">
        <v>280</v>
      </c>
      <c r="AD1227" s="132">
        <v>500</v>
      </c>
      <c r="AF1227" s="4050" t="s">
        <v>56</v>
      </c>
      <c r="AG1227" s="2861" t="s">
        <v>51</v>
      </c>
      <c r="AH1227" s="2861" t="s">
        <v>55</v>
      </c>
      <c r="AI1227" s="2861" t="s">
        <v>58</v>
      </c>
      <c r="AJ1227" s="2861" t="s">
        <v>54</v>
      </c>
      <c r="AK1227" s="2861" t="s">
        <v>58</v>
      </c>
      <c r="AL1227" s="2861" t="s">
        <v>54</v>
      </c>
      <c r="AM1227" s="2861" t="s">
        <v>56</v>
      </c>
      <c r="AN1227" s="2861" t="s">
        <v>46</v>
      </c>
      <c r="AO1227" s="2861" t="s">
        <v>46</v>
      </c>
      <c r="AP1227" s="4051" t="s">
        <v>1926</v>
      </c>
    </row>
    <row r="1228" spans="1:42" ht="12.75" customHeight="1">
      <c r="A1228" s="219">
        <v>1191</v>
      </c>
      <c r="B1228" s="7939"/>
      <c r="C1228" s="253" t="s">
        <v>51</v>
      </c>
      <c r="D1228" s="252" t="s">
        <v>1560</v>
      </c>
      <c r="E1228" s="252" t="s">
        <v>1561</v>
      </c>
      <c r="F1228" s="252" t="s">
        <v>1563</v>
      </c>
      <c r="G1228" s="252" t="s">
        <v>1468</v>
      </c>
      <c r="H1228" s="252" t="s">
        <v>1567</v>
      </c>
      <c r="I1228" s="218"/>
      <c r="J1228" s="193"/>
      <c r="K1228" s="689" t="str">
        <f t="shared" si="401"/>
        <v>CreaciónDestrucciónEsenciaFuegoNigromancia</v>
      </c>
      <c r="M1228" s="4050" t="s">
        <v>52</v>
      </c>
      <c r="N1228" s="2861" t="s">
        <v>50</v>
      </c>
      <c r="O1228" s="2861" t="s">
        <v>53</v>
      </c>
      <c r="P1228" s="2861" t="s">
        <v>57</v>
      </c>
      <c r="Q1228" s="4052"/>
      <c r="R1228" s="2861" t="s">
        <v>55</v>
      </c>
      <c r="S1228" s="4052"/>
      <c r="T1228" s="2861" t="s">
        <v>53</v>
      </c>
      <c r="U1228" s="4052"/>
      <c r="V1228" s="4052"/>
      <c r="W1228" s="4051" t="s">
        <v>56</v>
      </c>
      <c r="Z1228" s="515" t="str">
        <f t="shared" si="399"/>
        <v>Kirin, el Centro</v>
      </c>
      <c r="AA1228" s="794">
        <f t="shared" si="400"/>
        <v>18</v>
      </c>
      <c r="AB1228" s="1161" t="s">
        <v>12010</v>
      </c>
      <c r="AC1228" s="47">
        <v>200</v>
      </c>
      <c r="AD1228" s="132">
        <v>350</v>
      </c>
      <c r="AF1228" s="4050" t="s">
        <v>57</v>
      </c>
      <c r="AG1228" s="2861" t="s">
        <v>53</v>
      </c>
      <c r="AH1228" s="2861" t="s">
        <v>57</v>
      </c>
      <c r="AI1228" s="2861" t="s">
        <v>7877</v>
      </c>
      <c r="AJ1228" s="2861" t="s">
        <v>48</v>
      </c>
      <c r="AK1228" s="2861" t="s">
        <v>7877</v>
      </c>
      <c r="AL1228" s="2861" t="s">
        <v>48</v>
      </c>
      <c r="AM1228" s="2861" t="s">
        <v>1926</v>
      </c>
      <c r="AN1228" s="2861" t="s">
        <v>47</v>
      </c>
      <c r="AO1228" s="2861" t="s">
        <v>54</v>
      </c>
      <c r="AP1228" s="4051" t="s">
        <v>58</v>
      </c>
    </row>
    <row r="1229" spans="1:42" ht="12.75" customHeight="1">
      <c r="A1229" s="219">
        <v>1192</v>
      </c>
      <c r="B1229" s="7939"/>
      <c r="C1229" s="253" t="s">
        <v>52</v>
      </c>
      <c r="D1229" s="252" t="s">
        <v>1561</v>
      </c>
      <c r="E1229" s="252" t="s">
        <v>1554</v>
      </c>
      <c r="F1229" s="252" t="s">
        <v>1468</v>
      </c>
      <c r="G1229" s="252" t="s">
        <v>1567</v>
      </c>
      <c r="H1229" s="252" t="s">
        <v>1565</v>
      </c>
      <c r="I1229" s="218"/>
      <c r="J1229" s="193"/>
      <c r="K1229" s="689" t="str">
        <f t="shared" si="401"/>
        <v>DestrucciónOscuridadFuegoNigromanciaIlusión</v>
      </c>
      <c r="M1229" s="4050" t="s">
        <v>56</v>
      </c>
      <c r="N1229" s="2861" t="s">
        <v>51</v>
      </c>
      <c r="O1229" s="2861" t="s">
        <v>55</v>
      </c>
      <c r="P1229" s="2861" t="s">
        <v>58</v>
      </c>
      <c r="Q1229" s="4052"/>
      <c r="R1229" s="2861" t="s">
        <v>58</v>
      </c>
      <c r="S1229" s="4052"/>
      <c r="T1229" s="2861" t="s">
        <v>56</v>
      </c>
      <c r="U1229" s="4052"/>
      <c r="V1229" s="4052"/>
      <c r="W1229" s="4051" t="s">
        <v>1926</v>
      </c>
      <c r="Z1229" s="515" t="str">
        <f t="shared" si="399"/>
        <v>Leviathan, Señor de los Océanos</v>
      </c>
      <c r="AA1229" s="794">
        <f t="shared" si="400"/>
        <v>10</v>
      </c>
      <c r="AB1229" s="1161" t="s">
        <v>665</v>
      </c>
      <c r="AC1229" s="47">
        <v>320</v>
      </c>
      <c r="AD1229" s="132">
        <v>600</v>
      </c>
      <c r="AF1229" s="4050" t="s">
        <v>7877</v>
      </c>
      <c r="AG1229" s="2861" t="s">
        <v>55</v>
      </c>
      <c r="AH1229" s="2861" t="s">
        <v>7877</v>
      </c>
      <c r="AI1229" s="2861" t="s">
        <v>54</v>
      </c>
      <c r="AJ1229" s="2861" t="s">
        <v>50</v>
      </c>
      <c r="AK1229" s="2861" t="s">
        <v>46</v>
      </c>
      <c r="AL1229" s="2861" t="s">
        <v>49</v>
      </c>
      <c r="AM1229" s="2861" t="s">
        <v>58</v>
      </c>
      <c r="AN1229" s="2861" t="s">
        <v>48</v>
      </c>
      <c r="AO1229" s="2861" t="s">
        <v>47</v>
      </c>
      <c r="AP1229" s="4051" t="s">
        <v>7877</v>
      </c>
    </row>
    <row r="1230" spans="1:42" ht="12.75" customHeight="1">
      <c r="A1230" s="219">
        <v>1193</v>
      </c>
      <c r="B1230" s="7939"/>
      <c r="C1230" s="253" t="s">
        <v>53</v>
      </c>
      <c r="D1230" s="252" t="s">
        <v>1553</v>
      </c>
      <c r="E1230" s="252" t="s">
        <v>1563</v>
      </c>
      <c r="F1230" s="252" t="s">
        <v>1565</v>
      </c>
      <c r="G1230" s="252" t="s">
        <v>1558</v>
      </c>
      <c r="H1230" s="252" t="s">
        <v>1464</v>
      </c>
      <c r="I1230" s="218"/>
      <c r="J1230" s="193"/>
      <c r="K1230" s="689" t="str">
        <f t="shared" si="401"/>
        <v>LuzEsenciaIlusiónTierraAgua</v>
      </c>
      <c r="M1230" s="4050" t="s">
        <v>57</v>
      </c>
      <c r="N1230" s="2861" t="s">
        <v>53</v>
      </c>
      <c r="O1230" s="2861" t="s">
        <v>57</v>
      </c>
      <c r="P1230" s="4052"/>
      <c r="Q1230" s="4052"/>
      <c r="R1230" s="4052"/>
      <c r="S1230" s="4052"/>
      <c r="T1230" s="2861" t="s">
        <v>1926</v>
      </c>
      <c r="U1230" s="4052"/>
      <c r="V1230" s="4052"/>
      <c r="W1230" s="4051" t="s">
        <v>58</v>
      </c>
      <c r="Z1230" s="515" t="str">
        <f t="shared" si="399"/>
        <v>Lix Tetrax</v>
      </c>
      <c r="AA1230" s="794">
        <f t="shared" si="400"/>
        <v>5</v>
      </c>
      <c r="AB1230" s="1161" t="s">
        <v>666</v>
      </c>
      <c r="AC1230" s="47">
        <v>320</v>
      </c>
      <c r="AD1230" s="132">
        <v>550</v>
      </c>
      <c r="AF1230" s="4050" t="s">
        <v>47</v>
      </c>
      <c r="AG1230" s="2861" t="s">
        <v>56</v>
      </c>
      <c r="AH1230" s="2861" t="s">
        <v>47</v>
      </c>
      <c r="AI1230" s="2861" t="s">
        <v>48</v>
      </c>
      <c r="AJ1230" s="2861" t="s">
        <v>51</v>
      </c>
      <c r="AK1230" s="2861" t="s">
        <v>47</v>
      </c>
      <c r="AL1230" s="2861" t="s">
        <v>50</v>
      </c>
      <c r="AM1230" s="2861" t="s">
        <v>7877</v>
      </c>
      <c r="AN1230" s="2861" t="s">
        <v>49</v>
      </c>
      <c r="AO1230" s="2861" t="s">
        <v>49</v>
      </c>
      <c r="AP1230" s="4051" t="s">
        <v>46</v>
      </c>
    </row>
    <row r="1231" spans="1:42" ht="12.75" customHeight="1">
      <c r="A1231" s="219">
        <v>1194</v>
      </c>
      <c r="B1231" s="7939"/>
      <c r="C1231" s="253" t="s">
        <v>55</v>
      </c>
      <c r="D1231" s="252" t="s">
        <v>1553</v>
      </c>
      <c r="E1231" s="252" t="s">
        <v>1565</v>
      </c>
      <c r="F1231" s="252" t="s">
        <v>1468</v>
      </c>
      <c r="G1231" s="252" t="s">
        <v>1461</v>
      </c>
      <c r="H1231" s="252" t="s">
        <v>1558</v>
      </c>
      <c r="I1231" s="218"/>
      <c r="J1231" s="193"/>
      <c r="K1231" s="689" t="str">
        <f t="shared" si="401"/>
        <v>LuzIlusiónFuegoAireTierra</v>
      </c>
      <c r="M1231" s="4053"/>
      <c r="N1231" s="2861" t="s">
        <v>55</v>
      </c>
      <c r="O1231" s="4052"/>
      <c r="P1231" s="4052"/>
      <c r="Q1231" s="4052"/>
      <c r="R1231" s="4052"/>
      <c r="S1231" s="4052"/>
      <c r="T1231" s="2861" t="s">
        <v>58</v>
      </c>
      <c r="U1231" s="4052"/>
      <c r="V1231" s="4054"/>
      <c r="W1231" s="4055"/>
      <c r="Z1231" s="515" t="str">
        <f t="shared" si="399"/>
        <v>Naaga, Madre de los Venenos</v>
      </c>
      <c r="AA1231" s="794">
        <f t="shared" si="400"/>
        <v>2</v>
      </c>
      <c r="AB1231" s="1161" t="s">
        <v>667</v>
      </c>
      <c r="AC1231" s="47">
        <v>280</v>
      </c>
      <c r="AD1231" s="132">
        <v>500</v>
      </c>
      <c r="AF1231" s="4050" t="s">
        <v>49</v>
      </c>
      <c r="AG1231" s="2861" t="s">
        <v>57</v>
      </c>
      <c r="AH1231" s="2861" t="s">
        <v>49</v>
      </c>
      <c r="AI1231" s="2861" t="s">
        <v>50</v>
      </c>
      <c r="AJ1231" s="2861" t="s">
        <v>52</v>
      </c>
      <c r="AK1231" s="2861" t="s">
        <v>49</v>
      </c>
      <c r="AL1231" s="2861" t="s">
        <v>53</v>
      </c>
      <c r="AM1231" s="2861" t="s">
        <v>47</v>
      </c>
      <c r="AN1231" s="2861" t="s">
        <v>51</v>
      </c>
      <c r="AO1231" s="2861" t="s">
        <v>52</v>
      </c>
      <c r="AP1231" s="4051" t="s">
        <v>48</v>
      </c>
    </row>
    <row r="1232" spans="1:42" ht="12.75" customHeight="1">
      <c r="A1232" s="219">
        <v>1195</v>
      </c>
      <c r="B1232" s="7939"/>
      <c r="C1232" s="253" t="s">
        <v>56</v>
      </c>
      <c r="D1232" s="252" t="s">
        <v>1560</v>
      </c>
      <c r="E1232" s="252" t="s">
        <v>1561</v>
      </c>
      <c r="F1232" s="252" t="s">
        <v>1464</v>
      </c>
      <c r="G1232" s="252" t="s">
        <v>1558</v>
      </c>
      <c r="H1232" s="252" t="s">
        <v>1468</v>
      </c>
      <c r="I1232" s="218"/>
      <c r="J1232" s="193"/>
      <c r="K1232" s="689" t="str">
        <f t="shared" si="401"/>
        <v>CreaciónDestrucciónAguaTierraFuego</v>
      </c>
      <c r="M1232" s="4053"/>
      <c r="N1232" s="2861" t="s">
        <v>56</v>
      </c>
      <c r="O1232" s="4052"/>
      <c r="P1232" s="4052"/>
      <c r="Q1232" s="2861" t="s">
        <v>7877</v>
      </c>
      <c r="R1232" s="4052"/>
      <c r="S1232" s="4052"/>
      <c r="T1232" s="4052"/>
      <c r="U1232" s="4054"/>
      <c r="V1232" s="4054"/>
      <c r="W1232" s="4055"/>
      <c r="Z1232" s="515" t="str">
        <f t="shared" si="399"/>
        <v>Pandora, el Castigo Divino</v>
      </c>
      <c r="AA1232" s="794">
        <f t="shared" si="400"/>
        <v>20</v>
      </c>
      <c r="AB1232" s="1161" t="s">
        <v>668</v>
      </c>
      <c r="AC1232" s="47">
        <v>280</v>
      </c>
      <c r="AD1232" s="132">
        <v>500</v>
      </c>
      <c r="AF1232" s="4050" t="s">
        <v>53</v>
      </c>
      <c r="AG1232" s="2861" t="s">
        <v>1926</v>
      </c>
      <c r="AH1232" s="2861" t="s">
        <v>51</v>
      </c>
      <c r="AI1232" s="2861" t="s">
        <v>51</v>
      </c>
      <c r="AJ1232" s="2861" t="s">
        <v>55</v>
      </c>
      <c r="AK1232" s="2861" t="s">
        <v>53</v>
      </c>
      <c r="AL1232" s="2861" t="s">
        <v>55</v>
      </c>
      <c r="AM1232" s="2861" t="s">
        <v>48</v>
      </c>
      <c r="AN1232" s="2861" t="s">
        <v>53</v>
      </c>
      <c r="AO1232" s="2861" t="s">
        <v>53</v>
      </c>
      <c r="AP1232" s="4051" t="s">
        <v>50</v>
      </c>
    </row>
    <row r="1233" spans="1:42" ht="12.75" customHeight="1">
      <c r="A1233" s="219">
        <v>1196</v>
      </c>
      <c r="B1233" s="7939"/>
      <c r="C1233" s="253" t="s">
        <v>57</v>
      </c>
      <c r="D1233" s="252" t="s">
        <v>1567</v>
      </c>
      <c r="E1233" s="252" t="s">
        <v>1464</v>
      </c>
      <c r="F1233" s="252" t="s">
        <v>1558</v>
      </c>
      <c r="G1233" s="252" t="s">
        <v>1468</v>
      </c>
      <c r="H1233" s="252" t="s">
        <v>1461</v>
      </c>
      <c r="I1233" s="218" t="s">
        <v>1563</v>
      </c>
      <c r="J1233" s="193" t="s">
        <v>1565</v>
      </c>
      <c r="K1233" s="689" t="str">
        <f t="shared" si="401"/>
        <v>NigromanciaAguaTierraFuegoAireEsenciaIlusión</v>
      </c>
      <c r="M1233" s="4053"/>
      <c r="N1233" s="2861" t="s">
        <v>57</v>
      </c>
      <c r="O1233" s="4052"/>
      <c r="P1233" s="4052"/>
      <c r="Q1233" s="2861" t="s">
        <v>46</v>
      </c>
      <c r="R1233" s="4052"/>
      <c r="S1233" s="2861" t="s">
        <v>7877</v>
      </c>
      <c r="T1233" s="4052"/>
      <c r="U1233" s="4054"/>
      <c r="V1233" s="4052"/>
      <c r="W1233" s="4055"/>
      <c r="Z1233" s="515" t="str">
        <f t="shared" si="399"/>
        <v>Raksasha</v>
      </c>
      <c r="AA1233" s="794">
        <f t="shared" si="400"/>
        <v>31</v>
      </c>
      <c r="AB1233" s="1161" t="s">
        <v>669</v>
      </c>
      <c r="AC1233" s="47">
        <v>280</v>
      </c>
      <c r="AD1233" s="132">
        <v>500</v>
      </c>
      <c r="AF1233" s="4050" t="s">
        <v>55</v>
      </c>
      <c r="AG1233" s="2861" t="s">
        <v>58</v>
      </c>
      <c r="AH1233" s="2861" t="s">
        <v>56</v>
      </c>
      <c r="AI1233" s="2861" t="s">
        <v>52</v>
      </c>
      <c r="AJ1233" s="2861" t="s">
        <v>56</v>
      </c>
      <c r="AK1233" s="2861" t="s">
        <v>56</v>
      </c>
      <c r="AL1233" s="2861" t="s">
        <v>56</v>
      </c>
      <c r="AM1233" s="2861" t="s">
        <v>49</v>
      </c>
      <c r="AN1233" s="2861" t="s">
        <v>57</v>
      </c>
      <c r="AO1233" s="2861" t="s">
        <v>55</v>
      </c>
      <c r="AP1233" s="4051" t="s">
        <v>51</v>
      </c>
    </row>
    <row r="1234" spans="1:42" ht="12.75" customHeight="1">
      <c r="A1234" s="219">
        <v>1197</v>
      </c>
      <c r="B1234" s="7939"/>
      <c r="C1234" s="253" t="s">
        <v>1926</v>
      </c>
      <c r="D1234" s="252" t="s">
        <v>1553</v>
      </c>
      <c r="E1234" s="252" t="s">
        <v>1563</v>
      </c>
      <c r="F1234" s="252" t="s">
        <v>1464</v>
      </c>
      <c r="G1234" s="252" t="s">
        <v>1560</v>
      </c>
      <c r="H1234" s="252" t="s">
        <v>1561</v>
      </c>
      <c r="I1234" s="218"/>
      <c r="J1234" s="193"/>
      <c r="K1234" s="689" t="str">
        <f t="shared" si="401"/>
        <v>LuzEsenciaAguaCreaciónDestrucción</v>
      </c>
      <c r="M1234" s="4053"/>
      <c r="N1234" s="2861" t="s">
        <v>1926</v>
      </c>
      <c r="O1234" s="4052"/>
      <c r="P1234" s="4052"/>
      <c r="Q1234" s="2861" t="s">
        <v>54</v>
      </c>
      <c r="R1234" s="4052"/>
      <c r="S1234" s="2861" t="s">
        <v>46</v>
      </c>
      <c r="T1234" s="4052"/>
      <c r="U1234" s="4052"/>
      <c r="V1234" s="4052"/>
      <c r="W1234" s="4056"/>
      <c r="Z1234" s="515" t="str">
        <f t="shared" si="399"/>
        <v>Rudraskha</v>
      </c>
      <c r="AA1234" s="794">
        <f t="shared" si="400"/>
        <v>26</v>
      </c>
      <c r="AB1234" s="1161" t="s">
        <v>670</v>
      </c>
      <c r="AC1234" s="47">
        <v>400</v>
      </c>
      <c r="AD1234" s="132">
        <v>800</v>
      </c>
      <c r="AF1234" s="4050" t="s">
        <v>1926</v>
      </c>
      <c r="AG1234" s="2861" t="s">
        <v>7877</v>
      </c>
      <c r="AH1234" s="2861" t="s">
        <v>1926</v>
      </c>
      <c r="AI1234" s="2861" t="s">
        <v>56</v>
      </c>
      <c r="AJ1234" s="2861" t="s">
        <v>57</v>
      </c>
      <c r="AK1234" s="2861" t="s">
        <v>57</v>
      </c>
      <c r="AL1234" s="2861" t="s">
        <v>57</v>
      </c>
      <c r="AM1234" s="2861" t="s">
        <v>55</v>
      </c>
      <c r="AN1234" s="2861" t="s">
        <v>1926</v>
      </c>
      <c r="AO1234" s="2861" t="s">
        <v>57</v>
      </c>
      <c r="AP1234" s="4051" t="s">
        <v>52</v>
      </c>
    </row>
    <row r="1235" spans="1:42" ht="12.75" customHeight="1" thickBot="1">
      <c r="A1235" s="219">
        <v>1198</v>
      </c>
      <c r="B1235" s="7939"/>
      <c r="C1235" s="4036" t="s">
        <v>58</v>
      </c>
      <c r="D1235" s="252" t="s">
        <v>1553</v>
      </c>
      <c r="E1235" s="252" t="s">
        <v>1560</v>
      </c>
      <c r="F1235" s="252" t="s">
        <v>1558</v>
      </c>
      <c r="G1235" s="252" t="s">
        <v>1468</v>
      </c>
      <c r="H1235" s="252" t="s">
        <v>1563</v>
      </c>
      <c r="I1235" s="218" t="s">
        <v>1565</v>
      </c>
      <c r="J1235" s="4037"/>
      <c r="K1235" s="4035" t="str">
        <f t="shared" si="401"/>
        <v>LuzCreaciónTierraFuegoEsenciaIlusión</v>
      </c>
      <c r="M1235" s="4053"/>
      <c r="N1235" s="2861" t="s">
        <v>58</v>
      </c>
      <c r="O1235" s="4052"/>
      <c r="P1235" s="2861" t="s">
        <v>7877</v>
      </c>
      <c r="Q1235" s="2861" t="s">
        <v>48</v>
      </c>
      <c r="R1235" s="4052"/>
      <c r="S1235" s="2861" t="s">
        <v>54</v>
      </c>
      <c r="T1235" s="4052"/>
      <c r="U1235" s="4052"/>
      <c r="V1235" s="2861" t="s">
        <v>7877</v>
      </c>
      <c r="W1235" s="4056"/>
      <c r="Z1235" s="515" t="str">
        <f t="shared" si="399"/>
        <v>Seiryu, el Dragón Celeste</v>
      </c>
      <c r="AA1235" s="794">
        <f t="shared" si="400"/>
        <v>13</v>
      </c>
      <c r="AB1235" s="1161" t="s">
        <v>671</v>
      </c>
      <c r="AC1235" s="47">
        <v>400</v>
      </c>
      <c r="AD1235" s="132">
        <v>800</v>
      </c>
      <c r="AF1235" s="4057" t="s">
        <v>58</v>
      </c>
      <c r="AG1235" s="2861" t="s">
        <v>52</v>
      </c>
      <c r="AH1235" s="2861" t="s">
        <v>58</v>
      </c>
      <c r="AI1235" s="2861" t="s">
        <v>1926</v>
      </c>
      <c r="AJ1235" s="2861" t="s">
        <v>58</v>
      </c>
      <c r="AK1235" s="2861" t="s">
        <v>2072</v>
      </c>
      <c r="AL1235" s="2861" t="s">
        <v>58</v>
      </c>
      <c r="AM1235" s="2861" t="s">
        <v>57</v>
      </c>
      <c r="AN1235" s="2861" t="s">
        <v>58</v>
      </c>
      <c r="AO1235" s="2861" t="s">
        <v>58</v>
      </c>
      <c r="AP1235" s="4051" t="s">
        <v>57</v>
      </c>
    </row>
    <row r="1236" spans="1:42" ht="12.75" customHeight="1">
      <c r="A1236" s="219">
        <v>1199</v>
      </c>
      <c r="B1236" s="7939"/>
      <c r="C1236" s="4038"/>
      <c r="D1236" s="4040"/>
      <c r="E1236" s="4040"/>
      <c r="F1236" s="4040"/>
      <c r="G1236" s="4040"/>
      <c r="H1236" s="4044"/>
      <c r="I1236" s="3869"/>
      <c r="J1236" s="3869"/>
      <c r="K1236" s="4041"/>
      <c r="M1236" s="4053"/>
      <c r="N1236" s="4052"/>
      <c r="O1236" s="4052"/>
      <c r="P1236" s="2861" t="s">
        <v>54</v>
      </c>
      <c r="Q1236" s="2861" t="s">
        <v>50</v>
      </c>
      <c r="R1236" s="4052"/>
      <c r="S1236" s="2861" t="s">
        <v>48</v>
      </c>
      <c r="T1236" s="4052"/>
      <c r="U1236" s="2861" t="s">
        <v>7877</v>
      </c>
      <c r="V1236" s="2861" t="s">
        <v>46</v>
      </c>
      <c r="W1236" s="4056"/>
      <c r="Z1236" s="515" t="str">
        <f t="shared" si="399"/>
        <v>Suzaku, el Fénix</v>
      </c>
      <c r="AA1236" s="794">
        <f t="shared" si="400"/>
        <v>27</v>
      </c>
      <c r="AB1236" s="1161" t="s">
        <v>672</v>
      </c>
      <c r="AC1236" s="47">
        <v>400</v>
      </c>
      <c r="AD1236" s="132">
        <v>800</v>
      </c>
    </row>
    <row r="1237" spans="1:42" ht="12.75" customHeight="1">
      <c r="A1237" s="219">
        <v>1200</v>
      </c>
      <c r="B1237" s="7939"/>
      <c r="C1237" s="4038"/>
      <c r="D1237" s="4040"/>
      <c r="E1237" s="4040"/>
      <c r="F1237" s="4040"/>
      <c r="G1237" s="4040"/>
      <c r="H1237" s="4044"/>
      <c r="I1237" s="3869"/>
      <c r="J1237" s="3869"/>
      <c r="K1237" s="4041"/>
      <c r="M1237" s="4053"/>
      <c r="N1237" s="4052"/>
      <c r="O1237" s="4052"/>
      <c r="P1237" s="2861" t="s">
        <v>48</v>
      </c>
      <c r="Q1237" s="2861" t="s">
        <v>51</v>
      </c>
      <c r="R1237" s="4052"/>
      <c r="S1237" s="2861" t="s">
        <v>49</v>
      </c>
      <c r="T1237" s="4052"/>
      <c r="U1237" s="2861" t="s">
        <v>46</v>
      </c>
      <c r="V1237" s="2861" t="s">
        <v>54</v>
      </c>
      <c r="W1237" s="4051" t="s">
        <v>7877</v>
      </c>
      <c r="Z1237" s="515" t="str">
        <f t="shared" si="399"/>
        <v>Thanathos</v>
      </c>
      <c r="AA1237" s="794">
        <f t="shared" si="400"/>
        <v>3</v>
      </c>
      <c r="AB1237" s="1161" t="s">
        <v>673</v>
      </c>
      <c r="AC1237" s="47">
        <v>400</v>
      </c>
      <c r="AD1237" s="132">
        <v>800</v>
      </c>
    </row>
    <row r="1238" spans="1:42" ht="12.75" customHeight="1">
      <c r="A1238" s="219">
        <v>1201</v>
      </c>
      <c r="B1238" s="7939"/>
      <c r="C1238" s="4038"/>
      <c r="D1238" s="4040"/>
      <c r="E1238" s="4040"/>
      <c r="F1238" s="4040"/>
      <c r="G1238" s="4044"/>
      <c r="H1238" s="4044"/>
      <c r="I1238" s="3869"/>
      <c r="J1238" s="3869"/>
      <c r="K1238" s="4041"/>
      <c r="M1238" s="4053"/>
      <c r="N1238" s="4052"/>
      <c r="O1238" s="2861" t="s">
        <v>7877</v>
      </c>
      <c r="P1238" s="2861" t="s">
        <v>50</v>
      </c>
      <c r="Q1238" s="2861" t="s">
        <v>52</v>
      </c>
      <c r="R1238" s="2861" t="s">
        <v>7877</v>
      </c>
      <c r="S1238" s="2861" t="s">
        <v>50</v>
      </c>
      <c r="T1238" s="2861" t="s">
        <v>7877</v>
      </c>
      <c r="U1238" s="2861" t="s">
        <v>47</v>
      </c>
      <c r="V1238" s="2861" t="s">
        <v>47</v>
      </c>
      <c r="W1238" s="4051" t="s">
        <v>46</v>
      </c>
      <c r="Z1238" s="515" t="str">
        <f t="shared" si="399"/>
        <v>Veles, el Poder de la Magia</v>
      </c>
      <c r="AA1238" s="794">
        <f t="shared" si="400"/>
        <v>19</v>
      </c>
      <c r="AB1238" s="1161" t="s">
        <v>674</v>
      </c>
      <c r="AC1238" s="47">
        <v>440</v>
      </c>
      <c r="AD1238" s="132">
        <v>800</v>
      </c>
    </row>
    <row r="1239" spans="1:42" ht="12.75" customHeight="1">
      <c r="A1239" s="219">
        <v>1202</v>
      </c>
      <c r="B1239" s="7939"/>
      <c r="C1239" s="4038"/>
      <c r="D1239" s="4040"/>
      <c r="E1239" s="4040"/>
      <c r="F1239" s="4040"/>
      <c r="G1239" s="4040"/>
      <c r="H1239" s="4046"/>
      <c r="I1239" s="3869"/>
      <c r="J1239" s="3869"/>
      <c r="K1239" s="4041"/>
      <c r="M1239" s="4053"/>
      <c r="N1239" s="4052"/>
      <c r="O1239" s="2861" t="s">
        <v>47</v>
      </c>
      <c r="P1239" s="2861" t="s">
        <v>51</v>
      </c>
      <c r="Q1239" s="2861" t="s">
        <v>55</v>
      </c>
      <c r="R1239" s="2861" t="s">
        <v>46</v>
      </c>
      <c r="S1239" s="2861" t="s">
        <v>53</v>
      </c>
      <c r="T1239" s="2861" t="s">
        <v>47</v>
      </c>
      <c r="U1239" s="2861" t="s">
        <v>48</v>
      </c>
      <c r="V1239" s="2861" t="s">
        <v>49</v>
      </c>
      <c r="W1239" s="4051" t="s">
        <v>48</v>
      </c>
      <c r="Z1239" s="515" t="str">
        <f t="shared" si="399"/>
        <v>Vilfain</v>
      </c>
      <c r="AA1239" s="794">
        <f t="shared" si="400"/>
        <v>7</v>
      </c>
      <c r="AB1239" s="1161" t="s">
        <v>675</v>
      </c>
      <c r="AC1239" s="47">
        <v>240</v>
      </c>
      <c r="AD1239" s="132">
        <v>800</v>
      </c>
    </row>
    <row r="1240" spans="1:42" ht="12.75" customHeight="1">
      <c r="A1240" s="219">
        <v>1203</v>
      </c>
      <c r="B1240" s="7939"/>
      <c r="C1240" s="4038"/>
      <c r="D1240" s="4040"/>
      <c r="E1240" s="4040"/>
      <c r="F1240" s="4044"/>
      <c r="G1240" s="4044"/>
      <c r="H1240" s="4044"/>
      <c r="I1240" s="3869"/>
      <c r="J1240" s="3869"/>
      <c r="K1240" s="4041"/>
      <c r="M1240" s="4050" t="s">
        <v>7877</v>
      </c>
      <c r="N1240" s="4052"/>
      <c r="O1240" s="2861" t="s">
        <v>49</v>
      </c>
      <c r="P1240" s="2861" t="s">
        <v>52</v>
      </c>
      <c r="Q1240" s="2861" t="s">
        <v>56</v>
      </c>
      <c r="R1240" s="2861" t="s">
        <v>47</v>
      </c>
      <c r="S1240" s="2861" t="s">
        <v>55</v>
      </c>
      <c r="T1240" s="2861" t="s">
        <v>48</v>
      </c>
      <c r="U1240" s="2861" t="s">
        <v>49</v>
      </c>
      <c r="V1240" s="2861" t="s">
        <v>52</v>
      </c>
      <c r="W1240" s="4051" t="s">
        <v>50</v>
      </c>
      <c r="Z1240" s="515" t="str">
        <f t="shared" si="399"/>
        <v>Ziz, Señor de los Cielos</v>
      </c>
      <c r="AA1240" s="794">
        <f t="shared" si="400"/>
        <v>32</v>
      </c>
      <c r="AB1240" s="1161" t="s">
        <v>9638</v>
      </c>
      <c r="AC1240" s="47">
        <v>320</v>
      </c>
      <c r="AD1240" s="132">
        <v>600</v>
      </c>
    </row>
    <row r="1241" spans="1:42" ht="12.75" customHeight="1">
      <c r="A1241" s="219">
        <v>1204</v>
      </c>
      <c r="B1241" s="7939"/>
      <c r="C1241" s="4038"/>
      <c r="D1241" s="4040"/>
      <c r="E1241" s="4040"/>
      <c r="F1241" s="4040"/>
      <c r="G1241" s="4040"/>
      <c r="H1241" s="4046"/>
      <c r="I1241" s="3869"/>
      <c r="J1241" s="3869"/>
      <c r="K1241" s="4041"/>
      <c r="M1241" s="4050" t="s">
        <v>47</v>
      </c>
      <c r="N1241" s="4052"/>
      <c r="O1241" s="2861" t="s">
        <v>51</v>
      </c>
      <c r="P1241" s="2861" t="s">
        <v>56</v>
      </c>
      <c r="Q1241" s="2861" t="s">
        <v>57</v>
      </c>
      <c r="R1241" s="2861" t="s">
        <v>49</v>
      </c>
      <c r="S1241" s="2861" t="s">
        <v>56</v>
      </c>
      <c r="T1241" s="2861" t="s">
        <v>49</v>
      </c>
      <c r="U1241" s="2861" t="s">
        <v>51</v>
      </c>
      <c r="V1241" s="2861" t="s">
        <v>53</v>
      </c>
      <c r="W1241" s="4051" t="s">
        <v>51</v>
      </c>
      <c r="Z1241" s="515" t="str">
        <f t="shared" si="399"/>
        <v>Zvilpogghua</v>
      </c>
      <c r="AA1241" s="794">
        <f t="shared" si="400"/>
        <v>30</v>
      </c>
      <c r="AB1241" s="1161" t="s">
        <v>9639</v>
      </c>
      <c r="AC1241" s="47">
        <v>280</v>
      </c>
      <c r="AD1241" s="132">
        <v>600</v>
      </c>
    </row>
    <row r="1242" spans="1:42" ht="12.75" customHeight="1">
      <c r="A1242" s="219">
        <v>1205</v>
      </c>
      <c r="B1242" s="7939"/>
      <c r="C1242" s="4038"/>
      <c r="D1242" s="4040"/>
      <c r="E1242" s="4040"/>
      <c r="F1242" s="4040"/>
      <c r="G1242" s="4040"/>
      <c r="H1242" s="4040"/>
      <c r="I1242" s="3867"/>
      <c r="J1242" s="3869"/>
      <c r="K1242" s="4041"/>
      <c r="M1242" s="4050" t="s">
        <v>49</v>
      </c>
      <c r="N1242" s="4052"/>
      <c r="O1242" s="2861" t="s">
        <v>56</v>
      </c>
      <c r="P1242" s="2861" t="s">
        <v>1926</v>
      </c>
      <c r="Q1242" s="2861" t="s">
        <v>58</v>
      </c>
      <c r="R1242" s="2861" t="s">
        <v>53</v>
      </c>
      <c r="S1242" s="2861" t="s">
        <v>57</v>
      </c>
      <c r="T1242" s="2861" t="s">
        <v>55</v>
      </c>
      <c r="U1242" s="2861" t="s">
        <v>53</v>
      </c>
      <c r="V1242" s="2861" t="s">
        <v>55</v>
      </c>
      <c r="W1242" s="4051" t="s">
        <v>52</v>
      </c>
      <c r="Z1242" s="515" t="str">
        <f>VLOOKUP(A1,$AA$1242:$AB$1257,2,0)</f>
        <v>&gt; ENCARNACIONES</v>
      </c>
      <c r="AA1242" s="794">
        <f>COUNTIF($AB$1242:$AB$1257,"&lt;="&amp;AB1242)</f>
        <v>1</v>
      </c>
      <c r="AB1242" s="4224" t="s">
        <v>677</v>
      </c>
      <c r="AC1242" s="2066"/>
      <c r="AD1242" s="4225"/>
    </row>
    <row r="1243" spans="1:42" ht="12.75" customHeight="1" thickBot="1">
      <c r="A1243" s="219">
        <v>1206</v>
      </c>
      <c r="B1243" s="7939"/>
      <c r="C1243" s="4039"/>
      <c r="D1243" s="4045"/>
      <c r="E1243" s="4045"/>
      <c r="F1243" s="4045"/>
      <c r="G1243" s="4045"/>
      <c r="H1243" s="4045"/>
      <c r="I1243" s="4042"/>
      <c r="J1243" s="4042"/>
      <c r="K1243" s="4043"/>
      <c r="M1243" s="4050" t="s">
        <v>53</v>
      </c>
      <c r="N1243" s="2861" t="s">
        <v>7877</v>
      </c>
      <c r="O1243" s="2861" t="s">
        <v>1926</v>
      </c>
      <c r="P1243" s="4052"/>
      <c r="Q1243" s="4052"/>
      <c r="R1243" s="2861" t="s">
        <v>56</v>
      </c>
      <c r="S1243" s="2861" t="s">
        <v>58</v>
      </c>
      <c r="T1243" s="2861" t="s">
        <v>57</v>
      </c>
      <c r="U1243" s="2861" t="s">
        <v>57</v>
      </c>
      <c r="V1243" s="2861" t="s">
        <v>57</v>
      </c>
      <c r="W1243" s="4051" t="s">
        <v>57</v>
      </c>
      <c r="Z1243" s="515" t="str">
        <f t="shared" ref="Z1243:Z1257" si="402">VLOOKUP(A2,$AA$1242:$AB$1257,2,0)</f>
        <v>Aeriel, el Caballero de Argenta</v>
      </c>
      <c r="AA1243" s="794">
        <f t="shared" ref="AA1243:AA1257" si="403">COUNTIF($AB$1242:$AB$1257,"&lt;="&amp;AB1243)</f>
        <v>11</v>
      </c>
      <c r="AB1243" s="4224" t="s">
        <v>13896</v>
      </c>
      <c r="AC1243" s="2066"/>
      <c r="AD1243" s="4225"/>
    </row>
    <row r="1244" spans="1:42" ht="12.75" customHeight="1" thickBot="1">
      <c r="A1244" s="219">
        <v>1207</v>
      </c>
      <c r="B1244" s="7939"/>
      <c r="C1244" s="4038"/>
      <c r="D1244" s="4045"/>
      <c r="E1244" s="4045"/>
      <c r="F1244" s="4045"/>
      <c r="G1244" s="4045"/>
      <c r="H1244" s="4045"/>
      <c r="I1244" s="4042"/>
      <c r="J1244" s="4042"/>
      <c r="K1244" s="4043"/>
      <c r="M1244" s="4050" t="s">
        <v>55</v>
      </c>
      <c r="N1244" s="2861" t="s">
        <v>52</v>
      </c>
      <c r="O1244" s="2861" t="s">
        <v>58</v>
      </c>
      <c r="P1244" s="4052"/>
      <c r="Q1244" s="4052"/>
      <c r="R1244" s="2861" t="s">
        <v>57</v>
      </c>
      <c r="S1244" s="4052"/>
      <c r="T1244" s="4052"/>
      <c r="U1244" s="2861" t="s">
        <v>1926</v>
      </c>
      <c r="V1244" s="2861" t="s">
        <v>58</v>
      </c>
      <c r="W1244" s="4055"/>
      <c r="Z1244" s="515" t="str">
        <f t="shared" si="402"/>
        <v>Ambrose Magus, el Hechicero</v>
      </c>
      <c r="AA1244" s="794">
        <f t="shared" si="403"/>
        <v>13</v>
      </c>
      <c r="AB1244" s="4224" t="s">
        <v>13897</v>
      </c>
      <c r="AC1244" s="2066"/>
      <c r="AD1244" s="4225"/>
    </row>
    <row r="1245" spans="1:42" ht="12.75" customHeight="1">
      <c r="A1245" s="219">
        <v>1208</v>
      </c>
      <c r="B1245" s="7939"/>
      <c r="M1245" s="4050" t="s">
        <v>1926</v>
      </c>
      <c r="N1245" s="4052"/>
      <c r="O1245" s="4052"/>
      <c r="P1245" s="4052"/>
      <c r="Q1245" s="4052"/>
      <c r="R1245" s="2861" t="s">
        <v>2072</v>
      </c>
      <c r="S1245" s="4052"/>
      <c r="T1245" s="4052"/>
      <c r="U1245" s="2861" t="s">
        <v>58</v>
      </c>
      <c r="V1245" s="4052"/>
      <c r="W1245" s="4055"/>
      <c r="Z1245" s="515" t="str">
        <f t="shared" si="402"/>
        <v>Anassilish, el Sin Rostro</v>
      </c>
      <c r="AA1245" s="794">
        <f t="shared" si="403"/>
        <v>6</v>
      </c>
      <c r="AB1245" s="4224" t="s">
        <v>13898</v>
      </c>
      <c r="AC1245" s="2066"/>
      <c r="AD1245" s="4225"/>
    </row>
    <row r="1246" spans="1:42" ht="12.75" customHeight="1" thickBot="1">
      <c r="A1246" s="219">
        <v>1209</v>
      </c>
      <c r="B1246" s="7939"/>
      <c r="M1246" s="4057" t="s">
        <v>58</v>
      </c>
      <c r="N1246" s="4058"/>
      <c r="O1246" s="4058"/>
      <c r="P1246" s="4058"/>
      <c r="Q1246" s="4058"/>
      <c r="R1246" s="4058"/>
      <c r="S1246" s="4058"/>
      <c r="T1246" s="4058"/>
      <c r="U1246" s="4058"/>
      <c r="V1246" s="4058"/>
      <c r="W1246" s="4059"/>
      <c r="Z1246" s="515" t="str">
        <f t="shared" si="402"/>
        <v>Arturia, el León Blanco</v>
      </c>
      <c r="AA1246" s="794">
        <f t="shared" si="403"/>
        <v>14</v>
      </c>
      <c r="AB1246" s="4224" t="s">
        <v>13899</v>
      </c>
      <c r="AC1246" s="699"/>
      <c r="AD1246" s="699"/>
    </row>
    <row r="1247" spans="1:42" ht="12.75" customHeight="1">
      <c r="A1247" s="219">
        <v>1210</v>
      </c>
      <c r="B1247" s="7939"/>
      <c r="Z1247" s="515" t="str">
        <f t="shared" si="402"/>
        <v>Eiko, la princesa Oni</v>
      </c>
      <c r="AA1247" s="794">
        <f t="shared" si="403"/>
        <v>7</v>
      </c>
      <c r="AB1247" s="4224" t="s">
        <v>13900</v>
      </c>
      <c r="AC1247" s="2066"/>
      <c r="AD1247" s="4225"/>
    </row>
    <row r="1248" spans="1:42" ht="12.75" customHeight="1">
      <c r="A1248" s="219">
        <v>1211</v>
      </c>
      <c r="B1248" s="7939"/>
      <c r="Z1248" s="515" t="str">
        <f t="shared" si="402"/>
        <v>Gygjur, Asesino de Dragones</v>
      </c>
      <c r="AA1248" s="794">
        <f t="shared" si="403"/>
        <v>5</v>
      </c>
      <c r="AB1248" s="4224" t="s">
        <v>13901</v>
      </c>
      <c r="AC1248" s="2066"/>
      <c r="AD1248" s="4225"/>
    </row>
    <row r="1249" spans="1:30" ht="12.75" customHeight="1">
      <c r="A1249" s="219">
        <v>1212</v>
      </c>
      <c r="B1249" s="7939"/>
      <c r="Z1249" s="515" t="str">
        <f t="shared" si="402"/>
        <v>Holst, Rey de Héroes</v>
      </c>
      <c r="AA1249" s="794">
        <f t="shared" si="403"/>
        <v>9</v>
      </c>
      <c r="AB1249" s="4224" t="s">
        <v>13902</v>
      </c>
      <c r="AC1249" s="699"/>
      <c r="AD1249" s="699"/>
    </row>
    <row r="1250" spans="1:30" ht="12.75" customHeight="1">
      <c r="A1250" s="219">
        <v>1213</v>
      </c>
      <c r="B1250" s="7939"/>
      <c r="Z1250" s="515" t="str">
        <f t="shared" si="402"/>
        <v>Kha-nefer, el Sacerdote Impío</v>
      </c>
      <c r="AA1250" s="794">
        <f t="shared" si="403"/>
        <v>4</v>
      </c>
      <c r="AB1250" s="4224" t="s">
        <v>13903</v>
      </c>
      <c r="AC1250" s="2066"/>
      <c r="AD1250" s="4225"/>
    </row>
    <row r="1251" spans="1:30" ht="12.75" customHeight="1">
      <c r="A1251" s="219">
        <v>1214</v>
      </c>
      <c r="B1251" s="7939"/>
      <c r="Z1251" s="515" t="str">
        <f t="shared" si="402"/>
        <v>Kristoff, el Rey Pirata</v>
      </c>
      <c r="AA1251" s="794">
        <f t="shared" si="403"/>
        <v>3</v>
      </c>
      <c r="AB1251" s="4224" t="s">
        <v>13904</v>
      </c>
      <c r="AC1251" s="2066"/>
      <c r="AD1251" s="4225"/>
    </row>
    <row r="1252" spans="1:30" ht="12.75" customHeight="1">
      <c r="A1252" s="219">
        <v>1215</v>
      </c>
      <c r="B1252" s="7939"/>
      <c r="Z1252" s="515" t="str">
        <f t="shared" si="402"/>
        <v>Linx Kazte Hex, la Sombra de la Muerte</v>
      </c>
      <c r="AA1252" s="794">
        <f t="shared" si="403"/>
        <v>15</v>
      </c>
      <c r="AB1252" s="4224" t="s">
        <v>13905</v>
      </c>
      <c r="AC1252" s="2066"/>
      <c r="AD1252" s="4225"/>
    </row>
    <row r="1253" spans="1:30" ht="12.75" customHeight="1">
      <c r="A1253" s="219">
        <v>1216</v>
      </c>
      <c r="B1253" s="7939"/>
      <c r="Z1253" s="515" t="str">
        <f t="shared" si="402"/>
        <v>Loly Ann</v>
      </c>
      <c r="AA1253" s="794">
        <f t="shared" si="403"/>
        <v>10</v>
      </c>
      <c r="AB1253" s="4224" t="s">
        <v>13906</v>
      </c>
      <c r="AC1253" s="2066"/>
      <c r="AD1253" s="4225"/>
    </row>
    <row r="1254" spans="1:30" ht="12.75" customHeight="1">
      <c r="A1254" s="219">
        <v>1217</v>
      </c>
      <c r="B1254" s="7939"/>
      <c r="Z1254" s="515" t="str">
        <f t="shared" si="402"/>
        <v>Nerval, Defensor de los Perdidos</v>
      </c>
      <c r="AA1254" s="794">
        <f t="shared" si="403"/>
        <v>12</v>
      </c>
      <c r="AB1254" s="4224" t="s">
        <v>13907</v>
      </c>
      <c r="AC1254" s="2066"/>
      <c r="AD1254" s="4225"/>
    </row>
    <row r="1255" spans="1:30" ht="12.75" customHeight="1">
      <c r="A1255" s="219">
        <v>1218</v>
      </c>
      <c r="B1255" s="7939"/>
      <c r="Z1255" s="515" t="str">
        <f t="shared" si="402"/>
        <v>Quezcatli, Hijo del Sol</v>
      </c>
      <c r="AA1255" s="794">
        <f t="shared" si="403"/>
        <v>2</v>
      </c>
      <c r="AB1255" s="4224" t="s">
        <v>13908</v>
      </c>
      <c r="AC1255" s="2066"/>
      <c r="AD1255" s="4225"/>
    </row>
    <row r="1256" spans="1:30" ht="12.75" customHeight="1">
      <c r="A1256" s="219">
        <v>1219</v>
      </c>
      <c r="B1256" s="7939"/>
      <c r="Z1256" s="515" t="str">
        <f t="shared" si="402"/>
        <v>Ruatha Synn</v>
      </c>
      <c r="AA1256" s="794">
        <f t="shared" si="403"/>
        <v>16</v>
      </c>
      <c r="AB1256" s="4224" t="s">
        <v>13909</v>
      </c>
      <c r="AC1256" s="2066"/>
      <c r="AD1256" s="4225"/>
    </row>
    <row r="1257" spans="1:30" ht="12.75" customHeight="1">
      <c r="A1257" s="219">
        <v>1220</v>
      </c>
      <c r="B1257" s="7939"/>
      <c r="Z1257" s="515" t="str">
        <f t="shared" si="402"/>
        <v>Wang Shou Bo</v>
      </c>
      <c r="AA1257" s="794">
        <f t="shared" si="403"/>
        <v>8</v>
      </c>
      <c r="AB1257" s="1161" t="s">
        <v>13910</v>
      </c>
      <c r="AC1257" s="47"/>
      <c r="AD1257" s="132"/>
    </row>
    <row r="1258" spans="1:30" ht="12.75" customHeight="1">
      <c r="A1258" s="219">
        <v>1221</v>
      </c>
      <c r="B1258" s="7939"/>
      <c r="Z1258" s="515" t="str">
        <f t="shared" ref="Z1258:Z1265" si="404">AB1258</f>
        <v>&gt; INVOCACIONES PERSONALIZADAS</v>
      </c>
      <c r="AA1258" s="794"/>
      <c r="AB1258" s="1161" t="s">
        <v>678</v>
      </c>
      <c r="AC1258" s="47"/>
      <c r="AD1258" s="132"/>
    </row>
    <row r="1259" spans="1:30" ht="12.75" customHeight="1">
      <c r="A1259" s="219">
        <v>1222</v>
      </c>
      <c r="B1259" s="7939"/>
      <c r="Z1259" s="515" t="str">
        <f t="shared" si="404"/>
        <v>Invocación personalizada #1</v>
      </c>
      <c r="AA1259" s="794"/>
      <c r="AB1259" s="1161" t="str">
        <f>IF(Personalización!V55=0,"Invocación personalizada #1",Personalización!V55)</f>
        <v>Invocación personalizada #1</v>
      </c>
      <c r="AC1259" s="47">
        <f>Personalización!AB55</f>
        <v>0</v>
      </c>
      <c r="AD1259" s="132">
        <f>Personalización!AC55</f>
        <v>0</v>
      </c>
    </row>
    <row r="1260" spans="1:30" ht="12.75" customHeight="1">
      <c r="A1260" s="219">
        <v>1223</v>
      </c>
      <c r="B1260" s="7939"/>
      <c r="Z1260" s="515" t="str">
        <f t="shared" si="404"/>
        <v>Invocación personalizada #2</v>
      </c>
      <c r="AA1260" s="794"/>
      <c r="AB1260" s="1161" t="str">
        <f>IF(Personalización!V56=0,"Invocación personalizada #2",Personalización!V56)</f>
        <v>Invocación personalizada #2</v>
      </c>
      <c r="AC1260" s="47">
        <f>Personalización!AB56</f>
        <v>0</v>
      </c>
      <c r="AD1260" s="132">
        <f>Personalización!AC56</f>
        <v>0</v>
      </c>
    </row>
    <row r="1261" spans="1:30" ht="12.75" customHeight="1">
      <c r="A1261" s="219">
        <v>1224</v>
      </c>
      <c r="B1261" s="7939"/>
      <c r="Z1261" s="515" t="str">
        <f t="shared" si="404"/>
        <v>Invocación personalizada #3</v>
      </c>
      <c r="AA1261" s="794"/>
      <c r="AB1261" s="1161" t="str">
        <f>IF(Personalización!V57=0,"Invocación personalizada #3",Personalización!V57)</f>
        <v>Invocación personalizada #3</v>
      </c>
      <c r="AC1261" s="47">
        <f>Personalización!AB57</f>
        <v>0</v>
      </c>
      <c r="AD1261" s="132">
        <f>Personalización!AC57</f>
        <v>0</v>
      </c>
    </row>
    <row r="1262" spans="1:30" ht="12.75" customHeight="1" thickBot="1">
      <c r="A1262" s="219">
        <v>1225</v>
      </c>
      <c r="B1262" s="7939"/>
      <c r="Z1262" s="515" t="str">
        <f t="shared" si="404"/>
        <v>Invocación personalizada #4</v>
      </c>
      <c r="AA1262" s="794"/>
      <c r="AB1262" s="1161" t="str">
        <f>IF(Personalización!V58=0,"Invocación personalizada #4",Personalización!V58)</f>
        <v>Invocación personalizada #4</v>
      </c>
      <c r="AC1262" s="47">
        <f>Personalización!AB58</f>
        <v>0</v>
      </c>
      <c r="AD1262" s="132">
        <f>Personalización!AC58</f>
        <v>0</v>
      </c>
    </row>
    <row r="1263" spans="1:30" ht="12.75" customHeight="1" thickBot="1">
      <c r="A1263" s="219">
        <v>1226</v>
      </c>
      <c r="B1263" s="7939"/>
      <c r="C1263" s="7862" t="s">
        <v>9949</v>
      </c>
      <c r="D1263" s="7863"/>
      <c r="E1263" s="7863"/>
      <c r="F1263" s="7863"/>
      <c r="G1263" s="7863"/>
      <c r="H1263" s="7863"/>
      <c r="I1263" s="7863"/>
      <c r="J1263" s="7863"/>
      <c r="K1263" s="7863"/>
      <c r="L1263" s="7863"/>
      <c r="M1263" s="7864"/>
      <c r="N1263" s="608"/>
      <c r="O1263" s="700"/>
      <c r="P1263" s="4372" t="s">
        <v>63</v>
      </c>
      <c r="Q1263" s="4372"/>
      <c r="R1263" s="4372"/>
      <c r="S1263" s="4372"/>
      <c r="T1263" s="4372"/>
      <c r="U1263" s="4372"/>
      <c r="V1263" s="4372"/>
      <c r="W1263" s="4372"/>
      <c r="Z1263" s="515" t="str">
        <f t="shared" si="404"/>
        <v>Invocación personalizada #5</v>
      </c>
      <c r="AA1263" s="794"/>
      <c r="AB1263" s="1161" t="str">
        <f>IF(Personalización!V59=0,"Invocación personalizada #5",Personalización!V59)</f>
        <v>Invocación personalizada #5</v>
      </c>
      <c r="AC1263" s="47">
        <f>Personalización!AB59</f>
        <v>0</v>
      </c>
      <c r="AD1263" s="132">
        <f>Personalización!AC59</f>
        <v>0</v>
      </c>
    </row>
    <row r="1264" spans="1:30" ht="12.75" customHeight="1" thickBot="1">
      <c r="A1264" s="219">
        <v>1227</v>
      </c>
      <c r="B1264" s="7939"/>
      <c r="C1264" s="8032"/>
      <c r="D1264" s="8033"/>
      <c r="E1264" s="8033"/>
      <c r="F1264" s="8033"/>
      <c r="G1264" s="8033"/>
      <c r="H1264" s="8033"/>
      <c r="I1264" s="8033"/>
      <c r="J1264" s="8033"/>
      <c r="K1264" s="8033"/>
      <c r="L1264" s="8033"/>
      <c r="M1264" s="8034"/>
      <c r="O1264" s="510"/>
      <c r="P1264" s="4372"/>
      <c r="Q1264" s="4372"/>
      <c r="R1264" s="4372"/>
      <c r="S1264" s="4372"/>
      <c r="T1264" s="4372"/>
      <c r="U1264" s="4372"/>
      <c r="V1264" s="4372"/>
      <c r="W1264" s="4372"/>
      <c r="Z1264" s="515" t="str">
        <f t="shared" si="404"/>
        <v>Invocación personalizada #6</v>
      </c>
      <c r="AA1264" s="794"/>
      <c r="AB1264" s="1161" t="str">
        <f>IF(Personalización!V60=0,"Invocación personalizada #6",Personalización!V60)</f>
        <v>Invocación personalizada #6</v>
      </c>
      <c r="AC1264" s="47">
        <f>Personalización!AB60</f>
        <v>0</v>
      </c>
      <c r="AD1264" s="132">
        <f>Personalización!AC60</f>
        <v>0</v>
      </c>
    </row>
    <row r="1265" spans="1:30" ht="12.75" customHeight="1" thickBot="1">
      <c r="A1265" s="219">
        <v>1228</v>
      </c>
      <c r="B1265" s="7939"/>
      <c r="C1265" s="2495" t="s">
        <v>1464</v>
      </c>
      <c r="D1265" s="2496" t="s">
        <v>1461</v>
      </c>
      <c r="E1265" s="2496" t="s">
        <v>1560</v>
      </c>
      <c r="F1265" s="2497" t="s">
        <v>1561</v>
      </c>
      <c r="G1265" s="2496" t="s">
        <v>1563</v>
      </c>
      <c r="H1265" s="2496" t="s">
        <v>1468</v>
      </c>
      <c r="I1265" s="2496" t="s">
        <v>1565</v>
      </c>
      <c r="J1265" s="2496" t="s">
        <v>1553</v>
      </c>
      <c r="K1265" s="2496" t="s">
        <v>1567</v>
      </c>
      <c r="L1265" s="1275" t="s">
        <v>1554</v>
      </c>
      <c r="M1265" s="2498" t="s">
        <v>1558</v>
      </c>
      <c r="P1265" s="255">
        <f>IF(Q1265="",0,1)</f>
        <v>0</v>
      </c>
      <c r="Q1265" s="27" t="str">
        <f>IF(Metamagia!$F$15+Metamagia!$C$32&gt;1,"Escudos potenciados (2)",IF(Metamagia!$F$15+Metamagia!$C$32&gt;0,"Escudos potenciados (1)",""))</f>
        <v/>
      </c>
      <c r="R1265" s="27"/>
      <c r="S1265" s="27" t="str">
        <f>IF(Metamagia!$F$15+Metamagia!$C$32&gt;1,"Los escudos sobrenaturales triplican sus PVs",IF(Metamagia!$F$15+Metamagia!$C$32&gt;0,"Los escudos sobrenaturales duplican sus PVs",""))</f>
        <v/>
      </c>
      <c r="T1265" s="27"/>
      <c r="U1265" s="46"/>
      <c r="V1265" s="47"/>
      <c r="W1265" s="36"/>
      <c r="Z1265" s="221" t="str">
        <f t="shared" si="404"/>
        <v>Invocación personalizada #7</v>
      </c>
      <c r="AA1265" s="556"/>
      <c r="AB1265" s="1162" t="str">
        <f>IF(Personalización!V61=0,"Invocación personalizada #7",Personalización!V61)</f>
        <v>Invocación personalizada #7</v>
      </c>
      <c r="AC1265" s="556">
        <f>Personalización!AB61</f>
        <v>0</v>
      </c>
      <c r="AD1265" s="560">
        <f>Personalización!AC61</f>
        <v>0</v>
      </c>
    </row>
    <row r="1266" spans="1:30" ht="12.75" customHeight="1">
      <c r="A1266" s="219">
        <v>1229</v>
      </c>
      <c r="B1266" s="7939"/>
      <c r="C1266" s="2499" t="str">
        <f>IFERROR(VLOOKUP(C$1265,Místicos!$C$15:$F$25,3,0),"")</f>
        <v/>
      </c>
      <c r="D1266" s="2347" t="str">
        <f>IFERROR(VLOOKUP(D$1265,Místicos!$C$15:$F$25,3,0),"")</f>
        <v/>
      </c>
      <c r="E1266" s="2347" t="str">
        <f>IFERROR(VLOOKUP(E$1265,Místicos!$C$15:$F$25,3,0),"")</f>
        <v/>
      </c>
      <c r="F1266" s="2347" t="str">
        <f>IFERROR(VLOOKUP(F$1265,Místicos!$C$15:$F$25,3,0),"")</f>
        <v/>
      </c>
      <c r="G1266" s="2347" t="str">
        <f>IFERROR(VLOOKUP(G$1265,Místicos!$C$15:$F$25,3,0),"")</f>
        <v/>
      </c>
      <c r="H1266" s="2347" t="str">
        <f>IFERROR(VLOOKUP(H$1265,Místicos!$C$15:$F$25,3,0),"")</f>
        <v/>
      </c>
      <c r="I1266" s="2347" t="str">
        <f>IFERROR(VLOOKUP(I$1265,Místicos!$C$15:$F$25,3,0),"")</f>
        <v/>
      </c>
      <c r="J1266" s="2347" t="str">
        <f>IFERROR(VLOOKUP(J$1265,Místicos!$C$15:$F$25,3,0),"")</f>
        <v/>
      </c>
      <c r="K1266" s="2347" t="str">
        <f>IFERROR(VLOOKUP(K$1265,Místicos!$C$15:$F$25,3,0),"")</f>
        <v/>
      </c>
      <c r="L1266" s="2347" t="str">
        <f>IFERROR(VLOOKUP(L$1265,Místicos!$C$15:$F$25,3,0),"")</f>
        <v/>
      </c>
      <c r="M1266" s="2348" t="str">
        <f>IFERROR(VLOOKUP(M$1265,Místicos!$C$15:$F$25,3,0),"")</f>
        <v/>
      </c>
      <c r="P1266" s="255">
        <f t="shared" ref="P1266:P1307" si="405">IF(Q1266="",P1265,P1265+1)</f>
        <v>0</v>
      </c>
      <c r="Q1266" s="27" t="str">
        <f>IF(Metamagia!$I$29+Metamagia!$L$24&gt;1,"Precisión mística (2)",IF(Metamagia!$I$29+Metamagia!$L$24&gt;0,"Precisión mística (1)",""))</f>
        <v/>
      </c>
      <c r="R1266" s="27"/>
      <c r="S1266" s="27" t="str">
        <f>IF(Metamagia!$I$29+Metamagia!$L$24&gt;1,"Regla de Preciso en todo conjuro de Ataque",IF(Metamagia!$I$29+Metamagia!$L$24&gt;0,"Regla de Preciso en los conjuros de Ataque sin área",""))</f>
        <v/>
      </c>
      <c r="T1266" s="27"/>
      <c r="U1266" s="21"/>
      <c r="V1266" s="47"/>
      <c r="W1266" s="36"/>
    </row>
    <row r="1267" spans="1:30" ht="12.75" customHeight="1">
      <c r="A1267" s="219">
        <v>1230</v>
      </c>
      <c r="B1267" s="7939"/>
      <c r="C1267" s="307" t="str">
        <f>IFERROR(INDEX(Místicos!$AG$12:$AJ$50,MATCH(C$1265&amp;$A1,Místicos!$AN$12:$AN$50,0),1)&amp;", ","")</f>
        <v/>
      </c>
      <c r="D1267" s="304" t="str">
        <f>IFERROR(INDEX(Místicos!$AG$12:$AJ$50,MATCH(D$1265&amp;$A1,Místicos!$AN$12:$AN$50,0),1)&amp;", ","")</f>
        <v/>
      </c>
      <c r="E1267" s="304" t="str">
        <f>IFERROR(INDEX(Místicos!$AG$12:$AJ$50,MATCH(E$1265&amp;$A1,Místicos!$AN$12:$AN$50,0),1)&amp;", ","")</f>
        <v/>
      </c>
      <c r="F1267" s="304" t="str">
        <f>IFERROR(INDEX(Místicos!$AG$12:$AJ$50,MATCH(F$1265&amp;$A1,Místicos!$AN$12:$AN$50,0),1)&amp;", ","")</f>
        <v/>
      </c>
      <c r="G1267" s="304" t="str">
        <f>IFERROR(INDEX(Místicos!$AG$12:$AJ$50,MATCH(G$1265&amp;$A1,Místicos!$AN$12:$AN$50,0),1)&amp;", ","")</f>
        <v/>
      </c>
      <c r="H1267" s="304" t="str">
        <f>IFERROR(INDEX(Místicos!$AG$12:$AJ$50,MATCH(H$1265&amp;$A1,Místicos!$AN$12:$AN$50,0),1)&amp;", ","")</f>
        <v/>
      </c>
      <c r="I1267" s="304" t="str">
        <f>IFERROR(INDEX(Místicos!$AG$12:$AJ$50,MATCH(I$1265&amp;$A1,Místicos!$AN$12:$AN$50,0),1)&amp;", ","")</f>
        <v/>
      </c>
      <c r="J1267" s="304" t="str">
        <f>IFERROR(INDEX(Místicos!$AG$12:$AJ$50,MATCH(J$1265&amp;$A1,Místicos!$AN$12:$AN$50,0),1)&amp;", ","")</f>
        <v/>
      </c>
      <c r="K1267" s="304" t="str">
        <f>IFERROR(INDEX(Místicos!$AG$12:$AJ$50,MATCH(K$1265&amp;$A1,Místicos!$AN$12:$AN$50,0),1)&amp;", ","")</f>
        <v/>
      </c>
      <c r="L1267" s="304" t="str">
        <f>IFERROR(INDEX(Místicos!$AG$12:$AJ$50,MATCH(L$1265&amp;$A1,Místicos!$AN$12:$AN$50,0),1)&amp;", ","")</f>
        <v/>
      </c>
      <c r="M1267" s="571" t="str">
        <f>IFERROR(INDEX(Místicos!$AG$12:$AJ$50,MATCH(M$1265&amp;$A1,Místicos!$AN$12:$AN$50,0),1)&amp;", ","")</f>
        <v/>
      </c>
      <c r="O1267" s="510"/>
      <c r="P1267" s="255">
        <f t="shared" si="405"/>
        <v>0</v>
      </c>
      <c r="Q1267" s="27" t="str">
        <f>IF(Metamagia!$I$14+Metamagia!$O$24&gt;1,"Incremento destructivo (2)",IF(Metamagia!$I$14+Metamagia!$O$24&gt;0,"Incremento destructivo (1)",""))</f>
        <v/>
      </c>
      <c r="R1267" s="27"/>
      <c r="S1267" s="27" t="str">
        <f>IF(Metamagia!$I$14+Metamagia!$O$24&gt;1,"+20 al Daño base por Grado del conjuro",IF(Metamagia!$I$14+Metamagia!$O$24&gt;0,"+10 al Daño base por Grado del conjuro",""))</f>
        <v/>
      </c>
      <c r="T1267" s="27"/>
      <c r="U1267" s="21"/>
      <c r="V1267" s="47"/>
      <c r="W1267" s="36"/>
    </row>
    <row r="1268" spans="1:30" ht="12.75" customHeight="1">
      <c r="A1268" s="219">
        <v>1231</v>
      </c>
      <c r="B1268" s="7939"/>
      <c r="C1268" s="307" t="str">
        <f>IFERROR(INDEX(Místicos!$AG$12:$AJ$50,MATCH(C$1265&amp;$A2,Místicos!$AN$12:$AN$50,0),1)&amp;", ","")</f>
        <v/>
      </c>
      <c r="D1268" s="304" t="str">
        <f>IFERROR(INDEX(Místicos!$AG$12:$AJ$50,MATCH(D$1265&amp;$A2,Místicos!$AN$12:$AN$50,0),1)&amp;", ","")</f>
        <v/>
      </c>
      <c r="E1268" s="304" t="str">
        <f>IFERROR(INDEX(Místicos!$AG$12:$AJ$50,MATCH(E$1265&amp;$A2,Místicos!$AN$12:$AN$50,0),1)&amp;", ","")</f>
        <v/>
      </c>
      <c r="F1268" s="304" t="str">
        <f>IFERROR(INDEX(Místicos!$AG$12:$AJ$50,MATCH(F$1265&amp;$A2,Místicos!$AN$12:$AN$50,0),1)&amp;", ","")</f>
        <v/>
      </c>
      <c r="G1268" s="304" t="str">
        <f>IFERROR(INDEX(Místicos!$AG$12:$AJ$50,MATCH(G$1265&amp;$A2,Místicos!$AN$12:$AN$50,0),1)&amp;", ","")</f>
        <v/>
      </c>
      <c r="H1268" s="304" t="str">
        <f>IFERROR(INDEX(Místicos!$AG$12:$AJ$50,MATCH(H$1265&amp;$A2,Místicos!$AN$12:$AN$50,0),1)&amp;", ","")</f>
        <v/>
      </c>
      <c r="I1268" s="304" t="str">
        <f>IFERROR(INDEX(Místicos!$AG$12:$AJ$50,MATCH(I$1265&amp;$A2,Místicos!$AN$12:$AN$50,0),1)&amp;", ","")</f>
        <v/>
      </c>
      <c r="J1268" s="304" t="str">
        <f>IFERROR(INDEX(Místicos!$AG$12:$AJ$50,MATCH(J$1265&amp;$A2,Místicos!$AN$12:$AN$50,0),1)&amp;", ","")</f>
        <v/>
      </c>
      <c r="K1268" s="304" t="str">
        <f>IFERROR(INDEX(Místicos!$AG$12:$AJ$50,MATCH(K$1265&amp;$A2,Místicos!$AN$12:$AN$50,0),1)&amp;", ","")</f>
        <v/>
      </c>
      <c r="L1268" s="304" t="str">
        <f>IFERROR(INDEX(Místicos!$AG$12:$AJ$50,MATCH(L$1265&amp;$A2,Místicos!$AN$12:$AN$50,0),1)&amp;", ","")</f>
        <v/>
      </c>
      <c r="M1268" s="571" t="str">
        <f>IFERROR(INDEX(Místicos!$AG$12:$AJ$50,MATCH(M$1265&amp;$A2,Místicos!$AN$12:$AN$50,0),1)&amp;", ","")</f>
        <v/>
      </c>
      <c r="P1268" s="255">
        <f t="shared" si="405"/>
        <v>0</v>
      </c>
      <c r="Q1268" s="27" t="str">
        <f>IF(Metamagia!$F$24+Metamagia!$L$30&gt;1,"Área potenciada (2)",IF(Metamagia!$F$24+Metamagia!$L$30&gt;0,"Área potenciada (1)",""))</f>
        <v/>
      </c>
      <c r="R1268" s="27"/>
      <c r="S1268" s="27" t="str">
        <f>IF(Metamagia!$F$24+Metamagia!$L$30&gt;1,"El área de los conjuros se dobla",IF(Metamagia!$F$24+Metamagia!$L$30&gt;0,"El área de los conjuros se incrementa un 50%",""))</f>
        <v/>
      </c>
      <c r="T1268" s="27"/>
      <c r="U1268" s="21"/>
      <c r="V1268" s="47"/>
      <c r="W1268" s="36"/>
    </row>
    <row r="1269" spans="1:30" ht="12.75" customHeight="1">
      <c r="A1269" s="219">
        <v>1232</v>
      </c>
      <c r="B1269" s="7939"/>
      <c r="C1269" s="307" t="str">
        <f>IFERROR(INDEX(Místicos!$AG$12:$AJ$50,MATCH(C$1265&amp;$A3,Místicos!$AN$12:$AN$50,0),1)&amp;", ","")</f>
        <v/>
      </c>
      <c r="D1269" s="304" t="str">
        <f>IFERROR(INDEX(Místicos!$AG$12:$AJ$50,MATCH(D$1265&amp;$A3,Místicos!$AN$12:$AN$50,0),1)&amp;", ","")</f>
        <v/>
      </c>
      <c r="E1269" s="304" t="str">
        <f>IFERROR(INDEX(Místicos!$AG$12:$AJ$50,MATCH(E$1265&amp;$A3,Místicos!$AN$12:$AN$50,0),1)&amp;", ","")</f>
        <v/>
      </c>
      <c r="F1269" s="304" t="str">
        <f>IFERROR(INDEX(Místicos!$AG$12:$AJ$50,MATCH(F$1265&amp;$A3,Místicos!$AN$12:$AN$50,0),1)&amp;", ","")</f>
        <v/>
      </c>
      <c r="G1269" s="304" t="str">
        <f>IFERROR(INDEX(Místicos!$AG$12:$AJ$50,MATCH(G$1265&amp;$A3,Místicos!$AN$12:$AN$50,0),1)&amp;", ","")</f>
        <v/>
      </c>
      <c r="H1269" s="304" t="str">
        <f>IFERROR(INDEX(Místicos!$AG$12:$AJ$50,MATCH(H$1265&amp;$A3,Místicos!$AN$12:$AN$50,0),1)&amp;", ","")</f>
        <v/>
      </c>
      <c r="I1269" s="304" t="str">
        <f>IFERROR(INDEX(Místicos!$AG$12:$AJ$50,MATCH(I$1265&amp;$A3,Místicos!$AN$12:$AN$50,0),1)&amp;", ","")</f>
        <v/>
      </c>
      <c r="J1269" s="304" t="str">
        <f>IFERROR(INDEX(Místicos!$AG$12:$AJ$50,MATCH(J$1265&amp;$A3,Místicos!$AN$12:$AN$50,0),1)&amp;", ","")</f>
        <v/>
      </c>
      <c r="K1269" s="304" t="str">
        <f>IFERROR(INDEX(Místicos!$AG$12:$AJ$50,MATCH(K$1265&amp;$A3,Místicos!$AN$12:$AN$50,0),1)&amp;", ","")</f>
        <v/>
      </c>
      <c r="L1269" s="304" t="str">
        <f>IFERROR(INDEX(Místicos!$AG$12:$AJ$50,MATCH(L$1265&amp;$A3,Místicos!$AN$12:$AN$50,0),1)&amp;", ","")</f>
        <v/>
      </c>
      <c r="M1269" s="571" t="str">
        <f>IFERROR(INDEX(Místicos!$AG$12:$AJ$50,MATCH(M$1265&amp;$A3,Místicos!$AN$12:$AN$50,0),1)&amp;", ","")</f>
        <v/>
      </c>
      <c r="P1269" s="255">
        <f t="shared" si="405"/>
        <v>0</v>
      </c>
      <c r="Q1269" s="27" t="str">
        <f>IF(Metamagia!$C$24+Metamagia!$L$15+Metamagia!$R$19&gt;2,"Eliminar protección (3)",IF(Metamagia!$C$24+Metamagia!$L$15+Metamagia!$R$19&gt;1,"Eliminar protección (2)",IF(Metamagia!$C$24+Metamagia!$L$15+Metamagia!$R$19&gt;0,"Eliminar protección (1)","")))</f>
        <v/>
      </c>
      <c r="R1269" s="27"/>
      <c r="S1269"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269" s="27"/>
      <c r="U1269" s="21"/>
      <c r="V1269" s="47"/>
      <c r="W1269" s="36"/>
    </row>
    <row r="1270" spans="1:30" ht="12.75" customHeight="1">
      <c r="A1270" s="219">
        <v>1233</v>
      </c>
      <c r="B1270" s="7939"/>
      <c r="C1270" s="307" t="str">
        <f>IFERROR(INDEX(Místicos!$AG$12:$AJ$50,MATCH(C$1265&amp;$A4,Místicos!$AN$12:$AN$50,0),1)&amp;", ","")</f>
        <v/>
      </c>
      <c r="D1270" s="304" t="str">
        <f>IFERROR(INDEX(Místicos!$AG$12:$AJ$50,MATCH(D$1265&amp;$A4,Místicos!$AN$12:$AN$50,0),1)&amp;", ","")</f>
        <v/>
      </c>
      <c r="E1270" s="304" t="str">
        <f>IFERROR(INDEX(Místicos!$AG$12:$AJ$50,MATCH(E$1265&amp;$A4,Místicos!$AN$12:$AN$50,0),1)&amp;", ","")</f>
        <v/>
      </c>
      <c r="F1270" s="304" t="str">
        <f>IFERROR(INDEX(Místicos!$AG$12:$AJ$50,MATCH(F$1265&amp;$A4,Místicos!$AN$12:$AN$50,0),1)&amp;", ","")</f>
        <v/>
      </c>
      <c r="G1270" s="304" t="str">
        <f>IFERROR(INDEX(Místicos!$AG$12:$AJ$50,MATCH(G$1265&amp;$A4,Místicos!$AN$12:$AN$50,0),1)&amp;", ","")</f>
        <v/>
      </c>
      <c r="H1270" s="304" t="str">
        <f>IFERROR(INDEX(Místicos!$AG$12:$AJ$50,MATCH(H$1265&amp;$A4,Místicos!$AN$12:$AN$50,0),1)&amp;", ","")</f>
        <v/>
      </c>
      <c r="I1270" s="304" t="str">
        <f>IFERROR(INDEX(Místicos!$AG$12:$AJ$50,MATCH(I$1265&amp;$A4,Místicos!$AN$12:$AN$50,0),1)&amp;", ","")</f>
        <v/>
      </c>
      <c r="J1270" s="304" t="str">
        <f>IFERROR(INDEX(Místicos!$AG$12:$AJ$50,MATCH(J$1265&amp;$A4,Místicos!$AN$12:$AN$50,0),1)&amp;", ","")</f>
        <v/>
      </c>
      <c r="K1270" s="304" t="str">
        <f>IFERROR(INDEX(Místicos!$AG$12:$AJ$50,MATCH(K$1265&amp;$A4,Místicos!$AN$12:$AN$50,0),1)&amp;", ","")</f>
        <v/>
      </c>
      <c r="L1270" s="304" t="str">
        <f>IFERROR(INDEX(Místicos!$AG$12:$AJ$50,MATCH(L$1265&amp;$A4,Místicos!$AN$12:$AN$50,0),1)&amp;", ","")</f>
        <v/>
      </c>
      <c r="M1270" s="571" t="str">
        <f>IFERROR(INDEX(Místicos!$AG$12:$AJ$50,MATCH(M$1265&amp;$A4,Místicos!$AN$12:$AN$50,0),1)&amp;", ","")</f>
        <v/>
      </c>
      <c r="P1270" s="255">
        <f t="shared" si="405"/>
        <v>0</v>
      </c>
      <c r="Q1270" s="27" t="str">
        <f>IF(Metamagia!$C$39+Metamagia!$I$19+Metamagia!$F$30&gt;2,"Erudición defensiva (3)",IF(Metamagia!$C$39+Metamagia!$I$19+Metamagia!$F$30&gt;1,"Erudición defensiva (2)",IF(Metamagia!$C$39+Metamagia!$I$19+Metamagia!$F$30&gt;0,"Erudición defensiva (1)","")))</f>
        <v/>
      </c>
      <c r="R1270" s="27"/>
      <c r="S1270"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270" s="27"/>
      <c r="U1270" s="21"/>
      <c r="V1270" s="47"/>
      <c r="W1270" s="36"/>
    </row>
    <row r="1271" spans="1:30" ht="12.75" customHeight="1">
      <c r="A1271" s="219">
        <v>1234</v>
      </c>
      <c r="B1271" s="7939"/>
      <c r="C1271" s="307" t="str">
        <f>IFERROR(INDEX(Místicos!$AG$12:$AJ$50,MATCH(C$1265&amp;$A5,Místicos!$AN$12:$AN$50,0),1)&amp;", ","")</f>
        <v/>
      </c>
      <c r="D1271" s="304" t="str">
        <f>IFERROR(INDEX(Místicos!$AG$12:$AJ$50,MATCH(D$1265&amp;$A5,Místicos!$AN$12:$AN$50,0),1)&amp;", ","")</f>
        <v/>
      </c>
      <c r="E1271" s="304" t="str">
        <f>IFERROR(INDEX(Místicos!$AG$12:$AJ$50,MATCH(E$1265&amp;$A5,Místicos!$AN$12:$AN$50,0),1)&amp;", ","")</f>
        <v/>
      </c>
      <c r="F1271" s="304" t="str">
        <f>IFERROR(INDEX(Místicos!$AG$12:$AJ$50,MATCH(F$1265&amp;$A5,Místicos!$AN$12:$AN$50,0),1)&amp;", ","")</f>
        <v/>
      </c>
      <c r="G1271" s="304" t="str">
        <f>IFERROR(INDEX(Místicos!$AG$12:$AJ$50,MATCH(G$1265&amp;$A5,Místicos!$AN$12:$AN$50,0),1)&amp;", ","")</f>
        <v/>
      </c>
      <c r="H1271" s="304" t="str">
        <f>IFERROR(INDEX(Místicos!$AG$12:$AJ$50,MATCH(H$1265&amp;$A5,Místicos!$AN$12:$AN$50,0),1)&amp;", ","")</f>
        <v/>
      </c>
      <c r="I1271" s="304" t="str">
        <f>IFERROR(INDEX(Místicos!$AG$12:$AJ$50,MATCH(I$1265&amp;$A5,Místicos!$AN$12:$AN$50,0),1)&amp;", ","")</f>
        <v/>
      </c>
      <c r="J1271" s="304" t="str">
        <f>IFERROR(INDEX(Místicos!$AG$12:$AJ$50,MATCH(J$1265&amp;$A5,Místicos!$AN$12:$AN$50,0),1)&amp;", ","")</f>
        <v/>
      </c>
      <c r="K1271" s="304" t="str">
        <f>IFERROR(INDEX(Místicos!$AG$12:$AJ$50,MATCH(K$1265&amp;$A5,Místicos!$AN$12:$AN$50,0),1)&amp;", ","")</f>
        <v/>
      </c>
      <c r="L1271" s="304" t="str">
        <f>IFERROR(INDEX(Místicos!$AG$12:$AJ$50,MATCH(L$1265&amp;$A5,Místicos!$AN$12:$AN$50,0),1)&amp;", ","")</f>
        <v/>
      </c>
      <c r="M1271" s="571" t="str">
        <f>IFERROR(INDEX(Místicos!$AG$12:$AJ$50,MATCH(M$1265&amp;$A5,Místicos!$AN$12:$AN$50,0),1)&amp;", ","")</f>
        <v/>
      </c>
      <c r="P1271" s="255">
        <f t="shared" si="405"/>
        <v>0</v>
      </c>
      <c r="Q1271" s="27" t="str">
        <f>IF(Metamagia!$I$24+Metamagia!$I$34+Metamagia!$R$24&gt;2,"Erudición ofensiva (3)",IF(Metamagia!$I$24+Metamagia!$I$34+Metamagia!$R$24&gt;1,"Erudición ofensiva (2)",IF(Metamagia!$I$24+Metamagia!$I$34+Metamagia!$R$24&gt;0,"Erudición ofensiva (1)","")))</f>
        <v/>
      </c>
      <c r="R1271" s="27"/>
      <c r="S1271"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271" s="27"/>
      <c r="U1271" s="21"/>
      <c r="V1271" s="47"/>
      <c r="W1271" s="36"/>
    </row>
    <row r="1272" spans="1:30" ht="12.75" customHeight="1">
      <c r="A1272" s="219">
        <v>1235</v>
      </c>
      <c r="B1272" s="7939"/>
      <c r="C1272" s="307" t="str">
        <f>IFERROR(INDEX(Místicos!$AG$12:$AJ$50,MATCH(C$1265&amp;$A6,Místicos!$AN$12:$AN$50,0),1)&amp;", ","")</f>
        <v/>
      </c>
      <c r="D1272" s="304" t="str">
        <f>IFERROR(INDEX(Místicos!$AG$12:$AJ$50,MATCH(D$1265&amp;$A6,Místicos!$AN$12:$AN$50,0),1)&amp;", ","")</f>
        <v/>
      </c>
      <c r="E1272" s="304" t="str">
        <f>IFERROR(INDEX(Místicos!$AG$12:$AJ$50,MATCH(E$1265&amp;$A6,Místicos!$AN$12:$AN$50,0),1)&amp;", ","")</f>
        <v/>
      </c>
      <c r="F1272" s="304" t="str">
        <f>IFERROR(INDEX(Místicos!$AG$12:$AJ$50,MATCH(F$1265&amp;$A6,Místicos!$AN$12:$AN$50,0),1)&amp;", ","")</f>
        <v/>
      </c>
      <c r="G1272" s="304" t="str">
        <f>IFERROR(INDEX(Místicos!$AG$12:$AJ$50,MATCH(G$1265&amp;$A6,Místicos!$AN$12:$AN$50,0),1)&amp;", ","")</f>
        <v/>
      </c>
      <c r="H1272" s="304" t="str">
        <f>IFERROR(INDEX(Místicos!$AG$12:$AJ$50,MATCH(H$1265&amp;$A6,Místicos!$AN$12:$AN$50,0),1)&amp;", ","")</f>
        <v/>
      </c>
      <c r="I1272" s="304" t="str">
        <f>IFERROR(INDEX(Místicos!$AG$12:$AJ$50,MATCH(I$1265&amp;$A6,Místicos!$AN$12:$AN$50,0),1)&amp;", ","")</f>
        <v/>
      </c>
      <c r="J1272" s="304" t="str">
        <f>IFERROR(INDEX(Místicos!$AG$12:$AJ$50,MATCH(J$1265&amp;$A6,Místicos!$AN$12:$AN$50,0),1)&amp;", ","")</f>
        <v/>
      </c>
      <c r="K1272" s="304" t="str">
        <f>IFERROR(INDEX(Místicos!$AG$12:$AJ$50,MATCH(K$1265&amp;$A6,Místicos!$AN$12:$AN$50,0),1)&amp;", ","")</f>
        <v/>
      </c>
      <c r="L1272" s="304" t="str">
        <f>IFERROR(INDEX(Místicos!$AG$12:$AJ$50,MATCH(L$1265&amp;$A6,Místicos!$AN$12:$AN$50,0),1)&amp;", ","")</f>
        <v/>
      </c>
      <c r="M1272" s="571" t="str">
        <f>IFERROR(INDEX(Místicos!$AG$12:$AJ$50,MATCH(M$1265&amp;$A6,Místicos!$AN$12:$AN$50,0),1)&amp;", ","")</f>
        <v/>
      </c>
      <c r="P1272" s="255">
        <f t="shared" si="405"/>
        <v>0</v>
      </c>
      <c r="Q1272" s="14" t="str">
        <f>IF(Metamagia!$F$37=1,"Metamagister: Doble daño","")</f>
        <v/>
      </c>
      <c r="R1272" s="14"/>
      <c r="S1272" s="14" t="str">
        <f>IF(Metamagia!$F$37=1,"El Daño Base de los conjuros ofensivos se dobla","")</f>
        <v/>
      </c>
      <c r="T1272" s="14"/>
      <c r="U1272" s="14"/>
      <c r="V1272" s="218"/>
      <c r="W1272" s="8"/>
    </row>
    <row r="1273" spans="1:30" ht="12.75" customHeight="1">
      <c r="A1273" s="219">
        <v>1236</v>
      </c>
      <c r="B1273" s="7939"/>
      <c r="C1273" s="307" t="str">
        <f>IFERROR(INDEX(Místicos!$AG$12:$AJ$50,MATCH(C$1265&amp;$A7,Místicos!$AN$12:$AN$50,0),1)&amp;", ","")</f>
        <v/>
      </c>
      <c r="D1273" s="304" t="str">
        <f>IFERROR(INDEX(Místicos!$AG$12:$AJ$50,MATCH(D$1265&amp;$A7,Místicos!$AN$12:$AN$50,0),1)&amp;", ","")</f>
        <v/>
      </c>
      <c r="E1273" s="304" t="str">
        <f>IFERROR(INDEX(Místicos!$AG$12:$AJ$50,MATCH(E$1265&amp;$A7,Místicos!$AN$12:$AN$50,0),1)&amp;", ","")</f>
        <v/>
      </c>
      <c r="F1273" s="304" t="str">
        <f>IFERROR(INDEX(Místicos!$AG$12:$AJ$50,MATCH(F$1265&amp;$A7,Místicos!$AN$12:$AN$50,0),1)&amp;", ","")</f>
        <v/>
      </c>
      <c r="G1273" s="304" t="str">
        <f>IFERROR(INDEX(Místicos!$AG$12:$AJ$50,MATCH(G$1265&amp;$A7,Místicos!$AN$12:$AN$50,0),1)&amp;", ","")</f>
        <v/>
      </c>
      <c r="H1273" s="304" t="str">
        <f>IFERROR(INDEX(Místicos!$AG$12:$AJ$50,MATCH(H$1265&amp;$A7,Místicos!$AN$12:$AN$50,0),1)&amp;", ","")</f>
        <v/>
      </c>
      <c r="I1273" s="304" t="str">
        <f>IFERROR(INDEX(Místicos!$AG$12:$AJ$50,MATCH(I$1265&amp;$A7,Místicos!$AN$12:$AN$50,0),1)&amp;", ","")</f>
        <v/>
      </c>
      <c r="J1273" s="304" t="str">
        <f>IFERROR(INDEX(Místicos!$AG$12:$AJ$50,MATCH(J$1265&amp;$A7,Místicos!$AN$12:$AN$50,0),1)&amp;", ","")</f>
        <v/>
      </c>
      <c r="K1273" s="304" t="str">
        <f>IFERROR(INDEX(Místicos!$AG$12:$AJ$50,MATCH(K$1265&amp;$A7,Místicos!$AN$12:$AN$50,0),1)&amp;", ","")</f>
        <v/>
      </c>
      <c r="L1273" s="304" t="str">
        <f>IFERROR(INDEX(Místicos!$AG$12:$AJ$50,MATCH(L$1265&amp;$A7,Místicos!$AN$12:$AN$50,0),1)&amp;", ","")</f>
        <v/>
      </c>
      <c r="M1273" s="571" t="str">
        <f>IFERROR(INDEX(Místicos!$AG$12:$AJ$50,MATCH(M$1265&amp;$A7,Místicos!$AN$12:$AN$50,0),1)&amp;", ","")</f>
        <v/>
      </c>
      <c r="P1273" s="255">
        <f t="shared" si="405"/>
        <v>0</v>
      </c>
      <c r="Q1273" s="14" t="str">
        <f>IF(Metamagia!$X$54=1,"Magia combinada","")</f>
        <v/>
      </c>
      <c r="R1273" s="21"/>
      <c r="S1273" s="14" t="str">
        <f>IF(Metamagia!$X$54=1,"Permite a varios hechiceros combinarse para lanzar un conjuro. Ver","")</f>
        <v/>
      </c>
      <c r="T1273" s="21"/>
      <c r="U1273" s="21"/>
      <c r="V1273" s="47"/>
      <c r="W1273" s="36"/>
    </row>
    <row r="1274" spans="1:30" ht="12.75" customHeight="1">
      <c r="A1274" s="219">
        <v>1237</v>
      </c>
      <c r="B1274" s="7939"/>
      <c r="C1274" s="307" t="str">
        <f>IFERROR(INDEX(Místicos!$AG$12:$AJ$50,MATCH(C$1265&amp;$A8,Místicos!$AN$12:$AN$50,0),1)&amp;", ","")</f>
        <v/>
      </c>
      <c r="D1274" s="304" t="str">
        <f>IFERROR(INDEX(Místicos!$AG$12:$AJ$50,MATCH(D$1265&amp;$A8,Místicos!$AN$12:$AN$50,0),1)&amp;", ","")</f>
        <v/>
      </c>
      <c r="E1274" s="304" t="str">
        <f>IFERROR(INDEX(Místicos!$AG$12:$AJ$50,MATCH(E$1265&amp;$A8,Místicos!$AN$12:$AN$50,0),1)&amp;", ","")</f>
        <v/>
      </c>
      <c r="F1274" s="304" t="str">
        <f>IFERROR(INDEX(Místicos!$AG$12:$AJ$50,MATCH(F$1265&amp;$A8,Místicos!$AN$12:$AN$50,0),1)&amp;", ","")</f>
        <v/>
      </c>
      <c r="G1274" s="304" t="str">
        <f>IFERROR(INDEX(Místicos!$AG$12:$AJ$50,MATCH(G$1265&amp;$A8,Místicos!$AN$12:$AN$50,0),1)&amp;", ","")</f>
        <v/>
      </c>
      <c r="H1274" s="304" t="str">
        <f>IFERROR(INDEX(Místicos!$AG$12:$AJ$50,MATCH(H$1265&amp;$A8,Místicos!$AN$12:$AN$50,0),1)&amp;", ","")</f>
        <v/>
      </c>
      <c r="I1274" s="304" t="str">
        <f>IFERROR(INDEX(Místicos!$AG$12:$AJ$50,MATCH(I$1265&amp;$A8,Místicos!$AN$12:$AN$50,0),1)&amp;", ","")</f>
        <v/>
      </c>
      <c r="J1274" s="304" t="str">
        <f>IFERROR(INDEX(Místicos!$AG$12:$AJ$50,MATCH(J$1265&amp;$A8,Místicos!$AN$12:$AN$50,0),1)&amp;", ","")</f>
        <v/>
      </c>
      <c r="K1274" s="304" t="str">
        <f>IFERROR(INDEX(Místicos!$AG$12:$AJ$50,MATCH(K$1265&amp;$A8,Místicos!$AN$12:$AN$50,0),1)&amp;", ","")</f>
        <v/>
      </c>
      <c r="L1274" s="304" t="str">
        <f>IFERROR(INDEX(Místicos!$AG$12:$AJ$50,MATCH(L$1265&amp;$A8,Místicos!$AN$12:$AN$50,0),1)&amp;", ","")</f>
        <v/>
      </c>
      <c r="M1274" s="571" t="str">
        <f>IFERROR(INDEX(Místicos!$AG$12:$AJ$50,MATCH(M$1265&amp;$A8,Místicos!$AN$12:$AN$50,0),1)&amp;", ","")</f>
        <v/>
      </c>
      <c r="P1274" s="255">
        <f t="shared" si="405"/>
        <v>0</v>
      </c>
      <c r="Q1274" s="14" t="str">
        <f>IF(Metamagia!$AD$54=1,"Efectos persistentes","")</f>
        <v/>
      </c>
      <c r="R1274" s="21"/>
      <c r="S1274" s="14" t="str">
        <f>IF(Metamagia!$AD$54=1,"El afectado por un conjuro Anímico no puede repetir RM hasta 10 asaltos","")</f>
        <v/>
      </c>
      <c r="T1274" s="21"/>
      <c r="U1274" s="21"/>
      <c r="V1274" s="47"/>
      <c r="W1274" s="36"/>
    </row>
    <row r="1275" spans="1:30" ht="12.75" customHeight="1">
      <c r="A1275" s="219">
        <v>1238</v>
      </c>
      <c r="B1275" s="7939"/>
      <c r="C1275" s="307" t="str">
        <f>IFERROR(INDEX(Místicos!$AG$12:$AJ$50,MATCH(C$1265&amp;$A9,Místicos!$AN$12:$AN$50,0),1)&amp;", ","")</f>
        <v/>
      </c>
      <c r="D1275" s="304" t="str">
        <f>IFERROR(INDEX(Místicos!$AG$12:$AJ$50,MATCH(D$1265&amp;$A9,Místicos!$AN$12:$AN$50,0),1)&amp;", ","")</f>
        <v/>
      </c>
      <c r="E1275" s="304" t="str">
        <f>IFERROR(INDEX(Místicos!$AG$12:$AJ$50,MATCH(E$1265&amp;$A9,Místicos!$AN$12:$AN$50,0),1)&amp;", ","")</f>
        <v/>
      </c>
      <c r="F1275" s="304" t="str">
        <f>IFERROR(INDEX(Místicos!$AG$12:$AJ$50,MATCH(F$1265&amp;$A9,Místicos!$AN$12:$AN$50,0),1)&amp;", ","")</f>
        <v/>
      </c>
      <c r="G1275" s="304" t="str">
        <f>IFERROR(INDEX(Místicos!$AG$12:$AJ$50,MATCH(G$1265&amp;$A9,Místicos!$AN$12:$AN$50,0),1)&amp;", ","")</f>
        <v/>
      </c>
      <c r="H1275" s="304" t="str">
        <f>IFERROR(INDEX(Místicos!$AG$12:$AJ$50,MATCH(H$1265&amp;$A9,Místicos!$AN$12:$AN$50,0),1)&amp;", ","")</f>
        <v/>
      </c>
      <c r="I1275" s="304" t="str">
        <f>IFERROR(INDEX(Místicos!$AG$12:$AJ$50,MATCH(I$1265&amp;$A9,Místicos!$AN$12:$AN$50,0),1)&amp;", ","")</f>
        <v/>
      </c>
      <c r="J1275" s="304" t="str">
        <f>IFERROR(INDEX(Místicos!$AG$12:$AJ$50,MATCH(J$1265&amp;$A9,Místicos!$AN$12:$AN$50,0),1)&amp;", ","")</f>
        <v/>
      </c>
      <c r="K1275" s="304" t="str">
        <f>IFERROR(INDEX(Místicos!$AG$12:$AJ$50,MATCH(K$1265&amp;$A9,Místicos!$AN$12:$AN$50,0),1)&amp;", ","")</f>
        <v/>
      </c>
      <c r="L1275" s="304" t="str">
        <f>IFERROR(INDEX(Místicos!$AG$12:$AJ$50,MATCH(L$1265&amp;$A9,Místicos!$AN$12:$AN$50,0),1)&amp;", ","")</f>
        <v/>
      </c>
      <c r="M1275" s="571" t="str">
        <f>IFERROR(INDEX(Místicos!$AG$12:$AJ$50,MATCH(M$1265&amp;$A9,Místicos!$AN$12:$AN$50,0),1)&amp;", ","")</f>
        <v/>
      </c>
      <c r="P1275" s="255">
        <f t="shared" si="405"/>
        <v>0</v>
      </c>
      <c r="Q1275" s="14" t="str">
        <f>IF(Metamagia!$AA$64+Metamagia!$AA$59+Metamagia!$AA$54+Metamagia!$AD$48+Metamagia!$AG$46+Metamagia!$U$54+Metamagia!$R$54&gt;0,"Proyección mágica determinada ("&amp;Metamagia!$AA$64+Metamagia!$AA$59+Metamagia!$AA$54+Metamagia!$AD$48+Metamagia!$AG$46+Metamagia!$U$54+Metamagia!$R$54&amp;")","")</f>
        <v/>
      </c>
      <c r="R1275" s="21"/>
      <c r="S1275" s="14" t="str">
        <f>IF(Metamagia!$AA$64+Metamagia!$AA$59+Metamagia!$AA$54+Metamagia!$AD$48+Metamagia!$AG$46+Metamagia!$U$54+Metamagia!$R$54&gt;0,"Proy. Mágica determinada con consumo de Zeón. Ver tabla de Proyección","")</f>
        <v/>
      </c>
      <c r="T1275" s="21"/>
      <c r="U1275" s="21"/>
      <c r="V1275" s="47"/>
      <c r="W1275" s="36"/>
    </row>
    <row r="1276" spans="1:30" ht="12.75" customHeight="1">
      <c r="A1276" s="219">
        <v>1239</v>
      </c>
      <c r="B1276" s="7939"/>
      <c r="C1276" s="307" t="str">
        <f>IFERROR(INDEX(Místicos!$AG$12:$AJ$50,MATCH(C$1265&amp;$A10,Místicos!$AN$12:$AN$50,0),1)&amp;", ","")</f>
        <v/>
      </c>
      <c r="D1276" s="304" t="str">
        <f>IFERROR(INDEX(Místicos!$AG$12:$AJ$50,MATCH(D$1265&amp;$A10,Místicos!$AN$12:$AN$50,0),1)&amp;", ","")</f>
        <v/>
      </c>
      <c r="E1276" s="304" t="str">
        <f>IFERROR(INDEX(Místicos!$AG$12:$AJ$50,MATCH(E$1265&amp;$A10,Místicos!$AN$12:$AN$50,0),1)&amp;", ","")</f>
        <v/>
      </c>
      <c r="F1276" s="304" t="str">
        <f>IFERROR(INDEX(Místicos!$AG$12:$AJ$50,MATCH(F$1265&amp;$A10,Místicos!$AN$12:$AN$50,0),1)&amp;", ","")</f>
        <v/>
      </c>
      <c r="G1276" s="304" t="str">
        <f>IFERROR(INDEX(Místicos!$AG$12:$AJ$50,MATCH(G$1265&amp;$A10,Místicos!$AN$12:$AN$50,0),1)&amp;", ","")</f>
        <v/>
      </c>
      <c r="H1276" s="304" t="str">
        <f>IFERROR(INDEX(Místicos!$AG$12:$AJ$50,MATCH(H$1265&amp;$A10,Místicos!$AN$12:$AN$50,0),1)&amp;", ","")</f>
        <v/>
      </c>
      <c r="I1276" s="304" t="str">
        <f>IFERROR(INDEX(Místicos!$AG$12:$AJ$50,MATCH(I$1265&amp;$A10,Místicos!$AN$12:$AN$50,0),1)&amp;", ","")</f>
        <v/>
      </c>
      <c r="J1276" s="304" t="str">
        <f>IFERROR(INDEX(Místicos!$AG$12:$AJ$50,MATCH(J$1265&amp;$A10,Místicos!$AN$12:$AN$50,0),1)&amp;", ","")</f>
        <v/>
      </c>
      <c r="K1276" s="304" t="str">
        <f>IFERROR(INDEX(Místicos!$AG$12:$AJ$50,MATCH(K$1265&amp;$A10,Místicos!$AN$12:$AN$50,0),1)&amp;", ","")</f>
        <v/>
      </c>
      <c r="L1276" s="304" t="str">
        <f>IFERROR(INDEX(Místicos!$AG$12:$AJ$50,MATCH(L$1265&amp;$A10,Místicos!$AN$12:$AN$50,0),1)&amp;", ","")</f>
        <v/>
      </c>
      <c r="M1276" s="571" t="str">
        <f>IFERROR(INDEX(Místicos!$AG$12:$AJ$50,MATCH(M$1265&amp;$A10,Místicos!$AN$12:$AN$50,0),1)&amp;", ","")</f>
        <v/>
      </c>
      <c r="P1276" s="255">
        <f t="shared" si="405"/>
        <v>0</v>
      </c>
      <c r="Q1276" s="27" t="str">
        <f>IF(Metamagia!$AD$63+Metamagia!$AG$54&gt;1,"Explotación de la energía física (2)",IF(Metamagia!$AD$63+Metamagia!$AG$54&gt;0,"Explotación de la energía física (1)",""))</f>
        <v/>
      </c>
      <c r="R1276" s="27"/>
      <c r="S1276" s="27" t="str">
        <f>IF(Metamagia!$AD$63+Metamagia!$AG$54&gt;1,"+40 a ACT por Cansancio consumido",IF(Metamagia!$AD$63+Metamagia!$AG$54&gt;0,"+25 a ACT por Cansancio consumido",""))</f>
        <v/>
      </c>
      <c r="T1276" s="27"/>
      <c r="U1276" s="21"/>
      <c r="V1276" s="47"/>
      <c r="W1276" s="36"/>
    </row>
    <row r="1277" spans="1:30" ht="12.75" customHeight="1">
      <c r="A1277" s="219">
        <v>1240</v>
      </c>
      <c r="B1277" s="7939"/>
      <c r="C1277" s="307" t="str">
        <f>IFERROR(INDEX(Místicos!$AG$12:$AJ$50,MATCH(C$1265&amp;$A11,Místicos!$AN$12:$AN$50,0),1)&amp;", ","")</f>
        <v/>
      </c>
      <c r="D1277" s="304" t="str">
        <f>IFERROR(INDEX(Místicos!$AG$12:$AJ$50,MATCH(D$1265&amp;$A11,Místicos!$AN$12:$AN$50,0),1)&amp;", ","")</f>
        <v/>
      </c>
      <c r="E1277" s="304" t="str">
        <f>IFERROR(INDEX(Místicos!$AG$12:$AJ$50,MATCH(E$1265&amp;$A11,Místicos!$AN$12:$AN$50,0),1)&amp;", ","")</f>
        <v/>
      </c>
      <c r="F1277" s="304" t="str">
        <f>IFERROR(INDEX(Místicos!$AG$12:$AJ$50,MATCH(F$1265&amp;$A11,Místicos!$AN$12:$AN$50,0),1)&amp;", ","")</f>
        <v/>
      </c>
      <c r="G1277" s="304" t="str">
        <f>IFERROR(INDEX(Místicos!$AG$12:$AJ$50,MATCH(G$1265&amp;$A11,Místicos!$AN$12:$AN$50,0),1)&amp;", ","")</f>
        <v/>
      </c>
      <c r="H1277" s="304" t="str">
        <f>IFERROR(INDEX(Místicos!$AG$12:$AJ$50,MATCH(H$1265&amp;$A11,Místicos!$AN$12:$AN$50,0),1)&amp;", ","")</f>
        <v/>
      </c>
      <c r="I1277" s="304" t="str">
        <f>IFERROR(INDEX(Místicos!$AG$12:$AJ$50,MATCH(I$1265&amp;$A11,Místicos!$AN$12:$AN$50,0),1)&amp;", ","")</f>
        <v/>
      </c>
      <c r="J1277" s="304" t="str">
        <f>IFERROR(INDEX(Místicos!$AG$12:$AJ$50,MATCH(J$1265&amp;$A11,Místicos!$AN$12:$AN$50,0),1)&amp;", ","")</f>
        <v/>
      </c>
      <c r="K1277" s="304" t="str">
        <f>IFERROR(INDEX(Místicos!$AG$12:$AJ$50,MATCH(K$1265&amp;$A11,Místicos!$AN$12:$AN$50,0),1)&amp;", ","")</f>
        <v/>
      </c>
      <c r="L1277" s="304" t="str">
        <f>IFERROR(INDEX(Místicos!$AG$12:$AJ$50,MATCH(L$1265&amp;$A11,Místicos!$AN$12:$AN$50,0),1)&amp;", ","")</f>
        <v/>
      </c>
      <c r="M1277" s="571" t="str">
        <f>IFERROR(INDEX(Místicos!$AG$12:$AJ$50,MATCH(M$1265&amp;$A11,Místicos!$AN$12:$AN$50,0),1)&amp;", ","")</f>
        <v/>
      </c>
      <c r="P1277" s="255">
        <f t="shared" si="405"/>
        <v>0</v>
      </c>
      <c r="Q1277" s="14" t="str">
        <f>IF(Metamagia!$R$59+Metamagia!$X$63+Metamagia!$X$48&gt;2,"Regeneración zeónica avanzada (3)",IF(Metamagia!$R$59+Metamagia!$X$63+Metamagia!$X$48&gt;1,"Regeneración zeónica avanzada (2)",IF(Metamagia!$R$59+Metamagia!$X$63+Metamagia!$X$48&gt;0,"Regeneración zeónica avanzada (1)","")))</f>
        <v/>
      </c>
      <c r="R1277" s="21"/>
      <c r="S1277"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277" s="21"/>
      <c r="U1277" s="21"/>
      <c r="V1277" s="47"/>
      <c r="W1277" s="36"/>
    </row>
    <row r="1278" spans="1:30" ht="12.75" customHeight="1">
      <c r="A1278" s="219">
        <v>1241</v>
      </c>
      <c r="B1278" s="7939"/>
      <c r="C1278" s="307" t="str">
        <f>IFERROR(INDEX(Místicos!$AG$12:$AJ$50,MATCH(C$1265&amp;$A12,Místicos!$AN$12:$AN$50,0),1)&amp;", ","")</f>
        <v/>
      </c>
      <c r="D1278" s="304" t="str">
        <f>IFERROR(INDEX(Místicos!$AG$12:$AJ$50,MATCH(D$1265&amp;$A12,Místicos!$AN$12:$AN$50,0),1)&amp;", ","")</f>
        <v/>
      </c>
      <c r="E1278" s="304" t="str">
        <f>IFERROR(INDEX(Místicos!$AG$12:$AJ$50,MATCH(E$1265&amp;$A12,Místicos!$AN$12:$AN$50,0),1)&amp;", ","")</f>
        <v/>
      </c>
      <c r="F1278" s="304" t="str">
        <f>IFERROR(INDEX(Místicos!$AG$12:$AJ$50,MATCH(F$1265&amp;$A12,Místicos!$AN$12:$AN$50,0),1)&amp;", ","")</f>
        <v/>
      </c>
      <c r="G1278" s="304" t="str">
        <f>IFERROR(INDEX(Místicos!$AG$12:$AJ$50,MATCH(G$1265&amp;$A12,Místicos!$AN$12:$AN$50,0),1)&amp;", ","")</f>
        <v/>
      </c>
      <c r="H1278" s="304" t="str">
        <f>IFERROR(INDEX(Místicos!$AG$12:$AJ$50,MATCH(H$1265&amp;$A12,Místicos!$AN$12:$AN$50,0),1)&amp;", ","")</f>
        <v/>
      </c>
      <c r="I1278" s="304" t="str">
        <f>IFERROR(INDEX(Místicos!$AG$12:$AJ$50,MATCH(I$1265&amp;$A12,Místicos!$AN$12:$AN$50,0),1)&amp;", ","")</f>
        <v/>
      </c>
      <c r="J1278" s="304" t="str">
        <f>IFERROR(INDEX(Místicos!$AG$12:$AJ$50,MATCH(J$1265&amp;$A12,Místicos!$AN$12:$AN$50,0),1)&amp;", ","")</f>
        <v/>
      </c>
      <c r="K1278" s="304" t="str">
        <f>IFERROR(INDEX(Místicos!$AG$12:$AJ$50,MATCH(K$1265&amp;$A12,Místicos!$AN$12:$AN$50,0),1)&amp;", ","")</f>
        <v/>
      </c>
      <c r="L1278" s="304" t="str">
        <f>IFERROR(INDEX(Místicos!$AG$12:$AJ$50,MATCH(L$1265&amp;$A12,Místicos!$AN$12:$AN$50,0),1)&amp;", ","")</f>
        <v/>
      </c>
      <c r="M1278" s="571" t="str">
        <f>IFERROR(INDEX(Místicos!$AG$12:$AJ$50,MATCH(M$1265&amp;$A12,Místicos!$AN$12:$AN$50,0),1)&amp;", ","")</f>
        <v/>
      </c>
      <c r="P1278" s="255">
        <f t="shared" si="405"/>
        <v>0</v>
      </c>
      <c r="Q1278" s="14" t="str">
        <f>IF(Metamagia!$AA$49=1,"Elevación","")</f>
        <v/>
      </c>
      <c r="R1278" s="21"/>
      <c r="S1278" s="14" t="str">
        <f>IF(Metamagia!$AA$49=1,"Permite entrar en un trance cuya duración cuenta doble para recuperar Zeón","")</f>
        <v/>
      </c>
      <c r="T1278" s="21"/>
      <c r="U1278" s="21"/>
      <c r="V1278" s="47"/>
      <c r="W1278" s="36"/>
    </row>
    <row r="1279" spans="1:30" ht="12.75" customHeight="1">
      <c r="A1279" s="219">
        <v>1242</v>
      </c>
      <c r="B1279" s="7939"/>
      <c r="C1279" s="307" t="str">
        <f>IFERROR(INDEX(Místicos!$AG$12:$AJ$50,MATCH(C$1265&amp;$A13,Místicos!$AN$12:$AN$50,0),1)&amp;", ","")</f>
        <v/>
      </c>
      <c r="D1279" s="304" t="str">
        <f>IFERROR(INDEX(Místicos!$AG$12:$AJ$50,MATCH(D$1265&amp;$A13,Místicos!$AN$12:$AN$50,0),1)&amp;", ","")</f>
        <v/>
      </c>
      <c r="E1279" s="304" t="str">
        <f>IFERROR(INDEX(Místicos!$AG$12:$AJ$50,MATCH(E$1265&amp;$A13,Místicos!$AN$12:$AN$50,0),1)&amp;", ","")</f>
        <v/>
      </c>
      <c r="F1279" s="304" t="str">
        <f>IFERROR(INDEX(Místicos!$AG$12:$AJ$50,MATCH(F$1265&amp;$A13,Místicos!$AN$12:$AN$50,0),1)&amp;", ","")</f>
        <v/>
      </c>
      <c r="G1279" s="304" t="str">
        <f>IFERROR(INDEX(Místicos!$AG$12:$AJ$50,MATCH(G$1265&amp;$A13,Místicos!$AN$12:$AN$50,0),1)&amp;", ","")</f>
        <v/>
      </c>
      <c r="H1279" s="304" t="str">
        <f>IFERROR(INDEX(Místicos!$AG$12:$AJ$50,MATCH(H$1265&amp;$A13,Místicos!$AN$12:$AN$50,0),1)&amp;", ","")</f>
        <v/>
      </c>
      <c r="I1279" s="304" t="str">
        <f>IFERROR(INDEX(Místicos!$AG$12:$AJ$50,MATCH(I$1265&amp;$A13,Místicos!$AN$12:$AN$50,0),1)&amp;", ","")</f>
        <v/>
      </c>
      <c r="J1279" s="304" t="str">
        <f>IFERROR(INDEX(Místicos!$AG$12:$AJ$50,MATCH(J$1265&amp;$A13,Místicos!$AN$12:$AN$50,0),1)&amp;", ","")</f>
        <v/>
      </c>
      <c r="K1279" s="304" t="str">
        <f>IFERROR(INDEX(Místicos!$AG$12:$AJ$50,MATCH(K$1265&amp;$A13,Místicos!$AN$12:$AN$50,0),1)&amp;", ","")</f>
        <v/>
      </c>
      <c r="L1279" s="304" t="str">
        <f>IFERROR(INDEX(Místicos!$AG$12:$AJ$50,MATCH(L$1265&amp;$A13,Místicos!$AN$12:$AN$50,0),1)&amp;", ","")</f>
        <v/>
      </c>
      <c r="M1279" s="571" t="str">
        <f>IFERROR(INDEX(Místicos!$AG$12:$AJ$50,MATCH(M$1265&amp;$A13,Místicos!$AN$12:$AN$50,0),1)&amp;", ","")</f>
        <v/>
      </c>
      <c r="P1279" s="255">
        <f t="shared" si="405"/>
        <v>0</v>
      </c>
      <c r="Q1279" s="14" t="str">
        <f>IF(Metamagia!$AA$44=1,"Avatar","")</f>
        <v/>
      </c>
      <c r="R1279" s="21"/>
      <c r="S1279" s="14" t="str">
        <f>IF(Metamagia!$AA$44=1,"El personaje puede convertirse en un Avatar de Magia. Ver","")</f>
        <v/>
      </c>
      <c r="T1279" s="21"/>
      <c r="U1279" s="21"/>
      <c r="V1279" s="47"/>
      <c r="W1279" s="36"/>
    </row>
    <row r="1280" spans="1:30" ht="12.75" customHeight="1">
      <c r="A1280" s="219">
        <v>1243</v>
      </c>
      <c r="B1280" s="7939"/>
      <c r="C1280" s="307" t="str">
        <f>IFERROR(INDEX(Místicos!$AG$12:$AJ$50,MATCH(C$1265&amp;$A14,Místicos!$AN$12:$AN$50,0),1)&amp;", ","")</f>
        <v/>
      </c>
      <c r="D1280" s="304" t="str">
        <f>IFERROR(INDEX(Místicos!$AG$12:$AJ$50,MATCH(D$1265&amp;$A14,Místicos!$AN$12:$AN$50,0),1)&amp;", ","")</f>
        <v/>
      </c>
      <c r="E1280" s="304" t="str">
        <f>IFERROR(INDEX(Místicos!$AG$12:$AJ$50,MATCH(E$1265&amp;$A14,Místicos!$AN$12:$AN$50,0),1)&amp;", ","")</f>
        <v/>
      </c>
      <c r="F1280" s="304" t="str">
        <f>IFERROR(INDEX(Místicos!$AG$12:$AJ$50,MATCH(F$1265&amp;$A14,Místicos!$AN$12:$AN$50,0),1)&amp;", ","")</f>
        <v/>
      </c>
      <c r="G1280" s="304" t="str">
        <f>IFERROR(INDEX(Místicos!$AG$12:$AJ$50,MATCH(G$1265&amp;$A14,Místicos!$AN$12:$AN$50,0),1)&amp;", ","")</f>
        <v/>
      </c>
      <c r="H1280" s="304" t="str">
        <f>IFERROR(INDEX(Místicos!$AG$12:$AJ$50,MATCH(H$1265&amp;$A14,Místicos!$AN$12:$AN$50,0),1)&amp;", ","")</f>
        <v/>
      </c>
      <c r="I1280" s="304" t="str">
        <f>IFERROR(INDEX(Místicos!$AG$12:$AJ$50,MATCH(I$1265&amp;$A14,Místicos!$AN$12:$AN$50,0),1)&amp;", ","")</f>
        <v/>
      </c>
      <c r="J1280" s="304" t="str">
        <f>IFERROR(INDEX(Místicos!$AG$12:$AJ$50,MATCH(J$1265&amp;$A14,Místicos!$AN$12:$AN$50,0),1)&amp;", ","")</f>
        <v/>
      </c>
      <c r="K1280" s="304" t="str">
        <f>IFERROR(INDEX(Místicos!$AG$12:$AJ$50,MATCH(K$1265&amp;$A14,Místicos!$AN$12:$AN$50,0),1)&amp;", ","")</f>
        <v/>
      </c>
      <c r="L1280" s="304" t="str">
        <f>IFERROR(INDEX(Místicos!$AG$12:$AJ$50,MATCH(L$1265&amp;$A14,Místicos!$AN$12:$AN$50,0),1)&amp;", ","")</f>
        <v/>
      </c>
      <c r="M1280" s="571" t="str">
        <f>IFERROR(INDEX(Místicos!$AG$12:$AJ$50,MATCH(M$1265&amp;$A14,Místicos!$AN$12:$AN$50,0),1)&amp;", ","")</f>
        <v/>
      </c>
      <c r="P1280" s="255">
        <f t="shared" si="405"/>
        <v>0</v>
      </c>
      <c r="Q1280" s="14" t="str">
        <f>IF(Metamagia!$AD$41=1,"Metamagister: Zeón Ilimitado","")</f>
        <v/>
      </c>
      <c r="R1280" s="21"/>
      <c r="S1280" s="14" t="str">
        <f>IF(Metamagia!$AD$41=1,"El hechicero devuelve a la reserva la mitad del coste de sus conjuros","")</f>
        <v/>
      </c>
      <c r="T1280" s="21"/>
      <c r="U1280" s="21"/>
      <c r="V1280" s="47"/>
      <c r="W1280" s="36"/>
    </row>
    <row r="1281" spans="1:23" ht="12.75" customHeight="1">
      <c r="A1281" s="219">
        <v>1244</v>
      </c>
      <c r="B1281" s="7939"/>
      <c r="C1281" s="307" t="str">
        <f>IFERROR(INDEX(Místicos!$AG$12:$AJ$50,MATCH(C$1265&amp;$A15,Místicos!$AN$12:$AN$50,0),1)&amp;", ","")</f>
        <v/>
      </c>
      <c r="D1281" s="304" t="str">
        <f>IFERROR(INDEX(Místicos!$AG$12:$AJ$50,MATCH(D$1265&amp;$A15,Místicos!$AN$12:$AN$50,0),1)&amp;", ","")</f>
        <v/>
      </c>
      <c r="E1281" s="304" t="str">
        <f>IFERROR(INDEX(Místicos!$AG$12:$AJ$50,MATCH(E$1265&amp;$A15,Místicos!$AN$12:$AN$50,0),1)&amp;", ","")</f>
        <v/>
      </c>
      <c r="F1281" s="304" t="str">
        <f>IFERROR(INDEX(Místicos!$AG$12:$AJ$50,MATCH(F$1265&amp;$A15,Místicos!$AN$12:$AN$50,0),1)&amp;", ","")</f>
        <v/>
      </c>
      <c r="G1281" s="304" t="str">
        <f>IFERROR(INDEX(Místicos!$AG$12:$AJ$50,MATCH(G$1265&amp;$A15,Místicos!$AN$12:$AN$50,0),1)&amp;", ","")</f>
        <v/>
      </c>
      <c r="H1281" s="304" t="str">
        <f>IFERROR(INDEX(Místicos!$AG$12:$AJ$50,MATCH(H$1265&amp;$A15,Místicos!$AN$12:$AN$50,0),1)&amp;", ","")</f>
        <v/>
      </c>
      <c r="I1281" s="304" t="str">
        <f>IFERROR(INDEX(Místicos!$AG$12:$AJ$50,MATCH(I$1265&amp;$A15,Místicos!$AN$12:$AN$50,0),1)&amp;", ","")</f>
        <v/>
      </c>
      <c r="J1281" s="304" t="str">
        <f>IFERROR(INDEX(Místicos!$AG$12:$AJ$50,MATCH(J$1265&amp;$A15,Místicos!$AN$12:$AN$50,0),1)&amp;", ","")</f>
        <v/>
      </c>
      <c r="K1281" s="304" t="str">
        <f>IFERROR(INDEX(Místicos!$AG$12:$AJ$50,MATCH(K$1265&amp;$A15,Místicos!$AN$12:$AN$50,0),1)&amp;", ","")</f>
        <v/>
      </c>
      <c r="L1281" s="304" t="str">
        <f>IFERROR(INDEX(Místicos!$AG$12:$AJ$50,MATCH(L$1265&amp;$A15,Místicos!$AN$12:$AN$50,0),1)&amp;", ","")</f>
        <v/>
      </c>
      <c r="M1281" s="571" t="str">
        <f>IFERROR(INDEX(Místicos!$AG$12:$AJ$50,MATCH(M$1265&amp;$A15,Místicos!$AN$12:$AN$50,0),1)&amp;", ","")</f>
        <v/>
      </c>
      <c r="P1281" s="255">
        <f t="shared" si="405"/>
        <v>0</v>
      </c>
      <c r="Q1281" s="14" t="str">
        <f>IF(Metamagia!$F$63=1,"Seguridad defensiva","")</f>
        <v/>
      </c>
      <c r="R1281" s="21"/>
      <c r="S1281" s="14" t="str">
        <f>IF(Metamagia!$F$63=1,"Con Pifia al proyectar un escudo se sigue activando el conjuro","")</f>
        <v/>
      </c>
      <c r="T1281" s="21"/>
      <c r="U1281" s="21"/>
      <c r="V1281" s="47"/>
      <c r="W1281" s="36"/>
    </row>
    <row r="1282" spans="1:23" ht="12.75" customHeight="1">
      <c r="A1282" s="219">
        <v>1245</v>
      </c>
      <c r="B1282" s="7939"/>
      <c r="C1282" s="307" t="str">
        <f>IFERROR(INDEX(Místicos!$AG$12:$AJ$50,MATCH(C$1265&amp;$A16,Místicos!$AN$12:$AN$50,0),1)&amp;", ","")</f>
        <v/>
      </c>
      <c r="D1282" s="304" t="str">
        <f>IFERROR(INDEX(Místicos!$AG$12:$AJ$50,MATCH(D$1265&amp;$A16,Místicos!$AN$12:$AN$50,0),1)&amp;", ","")</f>
        <v/>
      </c>
      <c r="E1282" s="304" t="str">
        <f>IFERROR(INDEX(Místicos!$AG$12:$AJ$50,MATCH(E$1265&amp;$A16,Místicos!$AN$12:$AN$50,0),1)&amp;", ","")</f>
        <v/>
      </c>
      <c r="F1282" s="304" t="str">
        <f>IFERROR(INDEX(Místicos!$AG$12:$AJ$50,MATCH(F$1265&amp;$A16,Místicos!$AN$12:$AN$50,0),1)&amp;", ","")</f>
        <v/>
      </c>
      <c r="G1282" s="304" t="str">
        <f>IFERROR(INDEX(Místicos!$AG$12:$AJ$50,MATCH(G$1265&amp;$A16,Místicos!$AN$12:$AN$50,0),1)&amp;", ","")</f>
        <v/>
      </c>
      <c r="H1282" s="304" t="str">
        <f>IFERROR(INDEX(Místicos!$AG$12:$AJ$50,MATCH(H$1265&amp;$A16,Místicos!$AN$12:$AN$50,0),1)&amp;", ","")</f>
        <v/>
      </c>
      <c r="I1282" s="304" t="str">
        <f>IFERROR(INDEX(Místicos!$AG$12:$AJ$50,MATCH(I$1265&amp;$A16,Místicos!$AN$12:$AN$50,0),1)&amp;", ","")</f>
        <v/>
      </c>
      <c r="J1282" s="304" t="str">
        <f>IFERROR(INDEX(Místicos!$AG$12:$AJ$50,MATCH(J$1265&amp;$A16,Místicos!$AN$12:$AN$50,0),1)&amp;", ","")</f>
        <v/>
      </c>
      <c r="K1282" s="304" t="str">
        <f>IFERROR(INDEX(Místicos!$AG$12:$AJ$50,MATCH(K$1265&amp;$A16,Místicos!$AN$12:$AN$50,0),1)&amp;", ","")</f>
        <v/>
      </c>
      <c r="L1282" s="304" t="str">
        <f>IFERROR(INDEX(Místicos!$AG$12:$AJ$50,MATCH(L$1265&amp;$A16,Místicos!$AN$12:$AN$50,0),1)&amp;", ","")</f>
        <v/>
      </c>
      <c r="M1282" s="571" t="str">
        <f>IFERROR(INDEX(Místicos!$AG$12:$AJ$50,MATCH(M$1265&amp;$A16,Místicos!$AN$12:$AN$50,0),1)&amp;", ","")</f>
        <v/>
      </c>
      <c r="P1282" s="255">
        <f t="shared" si="405"/>
        <v>0</v>
      </c>
      <c r="Q1282" s="27" t="str">
        <f>IF(Metamagia!$I$64+Metamagia!$I$54&gt;1,"Magia vital (2)",IF(Metamagia!$I$64+Metamagia!$I$54&gt;0,"Magia vital (1)",""))</f>
        <v/>
      </c>
      <c r="R1282" s="27"/>
      <c r="S1282" s="27" t="str">
        <f>IF(Metamagia!$I$64+Metamagia!$I$54&gt;1,"Curación incrementada +40 PVs por Grado de conjuro",IF(Metamagia!$I$64+Metamagia!$I$54&gt;0,"Curación incrementada +20 PVs por Grado de conjuro",""))</f>
        <v/>
      </c>
      <c r="T1282" s="27"/>
      <c r="U1282" s="21"/>
      <c r="V1282" s="47"/>
      <c r="W1282" s="36"/>
    </row>
    <row r="1283" spans="1:23" ht="12.75" customHeight="1">
      <c r="A1283" s="219">
        <v>1246</v>
      </c>
      <c r="B1283" s="7939"/>
      <c r="C1283" s="307" t="str">
        <f>IFERROR(INDEX(Místicos!$AG$12:$AJ$50,MATCH(C$1265&amp;$A17,Místicos!$AN$12:$AN$50,0),1)&amp;", ","")</f>
        <v/>
      </c>
      <c r="D1283" s="304" t="str">
        <f>IFERROR(INDEX(Místicos!$AG$12:$AJ$50,MATCH(D$1265&amp;$A17,Místicos!$AN$12:$AN$50,0),1)&amp;", ","")</f>
        <v/>
      </c>
      <c r="E1283" s="304" t="str">
        <f>IFERROR(INDEX(Místicos!$AG$12:$AJ$50,MATCH(E$1265&amp;$A17,Místicos!$AN$12:$AN$50,0),1)&amp;", ","")</f>
        <v/>
      </c>
      <c r="F1283" s="304" t="str">
        <f>IFERROR(INDEX(Místicos!$AG$12:$AJ$50,MATCH(F$1265&amp;$A17,Místicos!$AN$12:$AN$50,0),1)&amp;", ","")</f>
        <v/>
      </c>
      <c r="G1283" s="304" t="str">
        <f>IFERROR(INDEX(Místicos!$AG$12:$AJ$50,MATCH(G$1265&amp;$A17,Místicos!$AN$12:$AN$50,0),1)&amp;", ","")</f>
        <v/>
      </c>
      <c r="H1283" s="304" t="str">
        <f>IFERROR(INDEX(Místicos!$AG$12:$AJ$50,MATCH(H$1265&amp;$A17,Místicos!$AN$12:$AN$50,0),1)&amp;", ","")</f>
        <v/>
      </c>
      <c r="I1283" s="304" t="str">
        <f>IFERROR(INDEX(Místicos!$AG$12:$AJ$50,MATCH(I$1265&amp;$A17,Místicos!$AN$12:$AN$50,0),1)&amp;", ","")</f>
        <v/>
      </c>
      <c r="J1283" s="304" t="str">
        <f>IFERROR(INDEX(Místicos!$AG$12:$AJ$50,MATCH(J$1265&amp;$A17,Místicos!$AN$12:$AN$50,0),1)&amp;", ","")</f>
        <v/>
      </c>
      <c r="K1283" s="304" t="str">
        <f>IFERROR(INDEX(Místicos!$AG$12:$AJ$50,MATCH(K$1265&amp;$A17,Místicos!$AN$12:$AN$50,0),1)&amp;", ","")</f>
        <v/>
      </c>
      <c r="L1283" s="304" t="str">
        <f>IFERROR(INDEX(Místicos!$AG$12:$AJ$50,MATCH(L$1265&amp;$A17,Místicos!$AN$12:$AN$50,0),1)&amp;", ","")</f>
        <v/>
      </c>
      <c r="M1283" s="571" t="str">
        <f>IFERROR(INDEX(Místicos!$AG$12:$AJ$50,MATCH(M$1265&amp;$A17,Místicos!$AN$12:$AN$50,0),1)&amp;", ","")</f>
        <v/>
      </c>
      <c r="P1283" s="255">
        <f t="shared" si="405"/>
        <v>0</v>
      </c>
      <c r="Q1283" s="14" t="str">
        <f>IF(Metamagia!$C$54=1,"Sentir la magia","")</f>
        <v/>
      </c>
      <c r="R1283" s="21"/>
      <c r="S1283" s="14" t="str">
        <f>IF(Metamagia!$C$54=1,"Mejora un Grado los resultados en Valoración Mágica. Ver","")</f>
        <v/>
      </c>
      <c r="T1283" s="21"/>
      <c r="U1283" s="21"/>
      <c r="V1283" s="47"/>
      <c r="W1283" s="36"/>
    </row>
    <row r="1284" spans="1:23" ht="12.75" customHeight="1">
      <c r="A1284" s="219">
        <v>1247</v>
      </c>
      <c r="B1284" s="7939"/>
      <c r="C1284" s="307" t="str">
        <f>IFERROR(INDEX(Místicos!$AG$12:$AJ$50,MATCH(C$1265&amp;$A18,Místicos!$AN$12:$AN$50,0),1)&amp;", ","")</f>
        <v/>
      </c>
      <c r="D1284" s="304" t="str">
        <f>IFERROR(INDEX(Místicos!$AG$12:$AJ$50,MATCH(D$1265&amp;$A18,Místicos!$AN$12:$AN$50,0),1)&amp;", ","")</f>
        <v/>
      </c>
      <c r="E1284" s="304" t="str">
        <f>IFERROR(INDEX(Místicos!$AG$12:$AJ$50,MATCH(E$1265&amp;$A18,Místicos!$AN$12:$AN$50,0),1)&amp;", ","")</f>
        <v/>
      </c>
      <c r="F1284" s="304" t="str">
        <f>IFERROR(INDEX(Místicos!$AG$12:$AJ$50,MATCH(F$1265&amp;$A18,Místicos!$AN$12:$AN$50,0),1)&amp;", ","")</f>
        <v/>
      </c>
      <c r="G1284" s="304" t="str">
        <f>IFERROR(INDEX(Místicos!$AG$12:$AJ$50,MATCH(G$1265&amp;$A18,Místicos!$AN$12:$AN$50,0),1)&amp;", ","")</f>
        <v/>
      </c>
      <c r="H1284" s="304" t="str">
        <f>IFERROR(INDEX(Místicos!$AG$12:$AJ$50,MATCH(H$1265&amp;$A18,Místicos!$AN$12:$AN$50,0),1)&amp;", ","")</f>
        <v/>
      </c>
      <c r="I1284" s="304" t="str">
        <f>IFERROR(INDEX(Místicos!$AG$12:$AJ$50,MATCH(I$1265&amp;$A18,Místicos!$AN$12:$AN$50,0),1)&amp;", ","")</f>
        <v/>
      </c>
      <c r="J1284" s="304" t="str">
        <f>IFERROR(INDEX(Místicos!$AG$12:$AJ$50,MATCH(J$1265&amp;$A18,Místicos!$AN$12:$AN$50,0),1)&amp;", ","")</f>
        <v/>
      </c>
      <c r="K1284" s="304" t="str">
        <f>IFERROR(INDEX(Místicos!$AG$12:$AJ$50,MATCH(K$1265&amp;$A18,Místicos!$AN$12:$AN$50,0),1)&amp;", ","")</f>
        <v/>
      </c>
      <c r="L1284" s="304" t="str">
        <f>IFERROR(INDEX(Místicos!$AG$12:$AJ$50,MATCH(L$1265&amp;$A18,Místicos!$AN$12:$AN$50,0),1)&amp;", ","")</f>
        <v/>
      </c>
      <c r="M1284" s="571" t="str">
        <f>IFERROR(INDEX(Místicos!$AG$12:$AJ$50,MATCH(M$1265&amp;$A18,Místicos!$AN$12:$AN$50,0),1)&amp;", ","")</f>
        <v/>
      </c>
      <c r="P1284" s="255">
        <f t="shared" si="405"/>
        <v>0</v>
      </c>
      <c r="Q1284" s="14" t="str">
        <f>IF(Metamagia!$O$54=1,"Magia oculta","")</f>
        <v/>
      </c>
      <c r="R1284" s="21"/>
      <c r="S1284" s="14" t="str">
        <f>IF(Metamagia!$O$54=1,"Disminuye penalizador para ocultar sortilegios y dificulta la detección de la magia","")</f>
        <v/>
      </c>
      <c r="T1284" s="21"/>
      <c r="U1284" s="21"/>
      <c r="V1284" s="47"/>
      <c r="W1284" s="36"/>
    </row>
    <row r="1285" spans="1:23" ht="12.75" customHeight="1">
      <c r="A1285" s="219">
        <v>1248</v>
      </c>
      <c r="B1285" s="7939"/>
      <c r="C1285" s="307" t="str">
        <f>IFERROR(INDEX(Místicos!$AG$12:$AJ$50,MATCH(C$1265&amp;$A19,Místicos!$AN$12:$AN$50,0),1)&amp;", ","")</f>
        <v/>
      </c>
      <c r="D1285" s="304" t="str">
        <f>IFERROR(INDEX(Místicos!$AG$12:$AJ$50,MATCH(D$1265&amp;$A19,Místicos!$AN$12:$AN$50,0),1)&amp;", ","")</f>
        <v/>
      </c>
      <c r="E1285" s="304" t="str">
        <f>IFERROR(INDEX(Místicos!$AG$12:$AJ$50,MATCH(E$1265&amp;$A19,Místicos!$AN$12:$AN$50,0),1)&amp;", ","")</f>
        <v/>
      </c>
      <c r="F1285" s="304" t="str">
        <f>IFERROR(INDEX(Místicos!$AG$12:$AJ$50,MATCH(F$1265&amp;$A19,Místicos!$AN$12:$AN$50,0),1)&amp;", ","")</f>
        <v/>
      </c>
      <c r="G1285" s="304" t="str">
        <f>IFERROR(INDEX(Místicos!$AG$12:$AJ$50,MATCH(G$1265&amp;$A19,Místicos!$AN$12:$AN$50,0),1)&amp;", ","")</f>
        <v/>
      </c>
      <c r="H1285" s="304" t="str">
        <f>IFERROR(INDEX(Místicos!$AG$12:$AJ$50,MATCH(H$1265&amp;$A19,Místicos!$AN$12:$AN$50,0),1)&amp;", ","")</f>
        <v/>
      </c>
      <c r="I1285" s="304" t="str">
        <f>IFERROR(INDEX(Místicos!$AG$12:$AJ$50,MATCH(I$1265&amp;$A19,Místicos!$AN$12:$AN$50,0),1)&amp;", ","")</f>
        <v/>
      </c>
      <c r="J1285" s="304" t="str">
        <f>IFERROR(INDEX(Místicos!$AG$12:$AJ$50,MATCH(J$1265&amp;$A19,Místicos!$AN$12:$AN$50,0),1)&amp;", ","")</f>
        <v/>
      </c>
      <c r="K1285" s="304" t="str">
        <f>IFERROR(INDEX(Místicos!$AG$12:$AJ$50,MATCH(K$1265&amp;$A19,Místicos!$AN$12:$AN$50,0),1)&amp;", ","")</f>
        <v/>
      </c>
      <c r="L1285" s="304" t="str">
        <f>IFERROR(INDEX(Místicos!$AG$12:$AJ$50,MATCH(L$1265&amp;$A19,Místicos!$AN$12:$AN$50,0),1)&amp;", ","")</f>
        <v/>
      </c>
      <c r="M1285" s="571" t="str">
        <f>IFERROR(INDEX(Místicos!$AG$12:$AJ$50,MATCH(M$1265&amp;$A19,Místicos!$AN$12:$AN$50,0),1)&amp;", ","")</f>
        <v/>
      </c>
      <c r="P1285" s="255">
        <f t="shared" si="405"/>
        <v>0</v>
      </c>
      <c r="Q1285" s="14" t="str">
        <f>IF(Metamagia!$I$49+Metamagia!$L$48&gt;1,"Bucle existencial (2)",IF(Metamagia!$I$49+Metamagia!$L$48&gt;0,"Bucle existencial (1)",""))</f>
        <v/>
      </c>
      <c r="R1285" s="14"/>
      <c r="S1285" s="14" t="str">
        <f>IF(Metamagia!$I$49+Metamagia!$L$48&gt;1,"Puede mantenerse hasta 5 asaltos",IF(Metamagia!$I$49+Metamagia!$L$48&gt;0,"Puede mantenerse hasta 2 asaltos",""))</f>
        <v/>
      </c>
      <c r="T1285" s="14"/>
      <c r="U1285" s="21"/>
      <c r="V1285" s="47"/>
      <c r="W1285" s="36"/>
    </row>
    <row r="1286" spans="1:23" ht="12.75" customHeight="1">
      <c r="A1286" s="219">
        <v>1249</v>
      </c>
      <c r="B1286" s="7939"/>
      <c r="C1286" s="307" t="str">
        <f>IFERROR(INDEX(Místicos!$AG$12:$AJ$50,MATCH(C$1265&amp;$A20,Místicos!$AN$12:$AN$50,0),1)&amp;", ","")</f>
        <v/>
      </c>
      <c r="D1286" s="304" t="str">
        <f>IFERROR(INDEX(Místicos!$AG$12:$AJ$50,MATCH(D$1265&amp;$A20,Místicos!$AN$12:$AN$50,0),1)&amp;", ","")</f>
        <v/>
      </c>
      <c r="E1286" s="304" t="str">
        <f>IFERROR(INDEX(Místicos!$AG$12:$AJ$50,MATCH(E$1265&amp;$A20,Místicos!$AN$12:$AN$50,0),1)&amp;", ","")</f>
        <v/>
      </c>
      <c r="F1286" s="304" t="str">
        <f>IFERROR(INDEX(Místicos!$AG$12:$AJ$50,MATCH(F$1265&amp;$A20,Místicos!$AN$12:$AN$50,0),1)&amp;", ","")</f>
        <v/>
      </c>
      <c r="G1286" s="304" t="str">
        <f>IFERROR(INDEX(Místicos!$AG$12:$AJ$50,MATCH(G$1265&amp;$A20,Místicos!$AN$12:$AN$50,0),1)&amp;", ","")</f>
        <v/>
      </c>
      <c r="H1286" s="304" t="str">
        <f>IFERROR(INDEX(Místicos!$AG$12:$AJ$50,MATCH(H$1265&amp;$A20,Místicos!$AN$12:$AN$50,0),1)&amp;", ","")</f>
        <v/>
      </c>
      <c r="I1286" s="304" t="str">
        <f>IFERROR(INDEX(Místicos!$AG$12:$AJ$50,MATCH(I$1265&amp;$A20,Místicos!$AN$12:$AN$50,0),1)&amp;", ","")</f>
        <v/>
      </c>
      <c r="J1286" s="304" t="str">
        <f>IFERROR(INDEX(Místicos!$AG$12:$AJ$50,MATCH(J$1265&amp;$A20,Místicos!$AN$12:$AN$50,0),1)&amp;", ","")</f>
        <v/>
      </c>
      <c r="K1286" s="304" t="str">
        <f>IFERROR(INDEX(Místicos!$AG$12:$AJ$50,MATCH(K$1265&amp;$A20,Místicos!$AN$12:$AN$50,0),1)&amp;", ","")</f>
        <v/>
      </c>
      <c r="L1286" s="304" t="str">
        <f>IFERROR(INDEX(Místicos!$AG$12:$AJ$50,MATCH(L$1265&amp;$A20,Místicos!$AN$12:$AN$50,0),1)&amp;", ","")</f>
        <v/>
      </c>
      <c r="M1286" s="571" t="str">
        <f>IFERROR(INDEX(Místicos!$AG$12:$AJ$50,MATCH(M$1265&amp;$A20,Místicos!$AN$12:$AN$50,0),1)&amp;", ","")</f>
        <v/>
      </c>
      <c r="P1286" s="255">
        <f t="shared" si="405"/>
        <v>0</v>
      </c>
      <c r="Q1286" s="14" t="str">
        <f>IF(Metamagia!$F$48=1,"Control del espacio","")</f>
        <v/>
      </c>
      <c r="R1286" s="21"/>
      <c r="S1286" s="14" t="str">
        <f>IF(Metamagia!$F$48=1,"Permite seleccionar blancos en todos los conjuros de área","")</f>
        <v/>
      </c>
      <c r="T1286" s="21"/>
      <c r="U1286" s="21"/>
      <c r="V1286" s="47"/>
      <c r="W1286" s="36"/>
    </row>
    <row r="1287" spans="1:23" ht="12.75" customHeight="1" thickBot="1">
      <c r="A1287" s="219">
        <v>1250</v>
      </c>
      <c r="B1287" s="7939"/>
      <c r="C1287" s="2492" t="str">
        <f>IF(AND(C1266&lt;&gt;0,C1266&lt;&gt;""),C1266&amp;", ","")&amp;IF(AND(Resumen!$AP$50="Sí"),C1267&amp;C1268&amp;C1269&amp;C1270&amp;C1271&amp;C1272&amp;C1273&amp;C1274&amp;C1275&amp;C1276&amp;C1277&amp;C1278&amp;C1279&amp;C1280&amp;C1281&amp;C1282&amp;C1283&amp;C1284&amp;C1285&amp;C1286,"")</f>
        <v/>
      </c>
      <c r="D1287" s="2493" t="str">
        <f>IF(AND(D1266&lt;&gt;0,D1266&lt;&gt;""),D1266&amp;", ","")&amp;IF(AND(Resumen!$AP$50="Sí"),D1267&amp;D1268&amp;D1269&amp;D1270&amp;D1271&amp;D1272&amp;D1273&amp;D1274&amp;D1275&amp;D1276&amp;D1277&amp;D1278&amp;D1279&amp;D1280&amp;D1281&amp;D1282&amp;D1283&amp;D1284&amp;D1285&amp;D1286,"")</f>
        <v/>
      </c>
      <c r="E1287" s="2493" t="str">
        <f>IF(AND(E1266&lt;&gt;0,E1266&lt;&gt;""),E1266&amp;", ","")&amp;IF(AND(Resumen!$AP$50="Sí"),E1267&amp;E1268&amp;E1269&amp;E1270&amp;E1271&amp;E1272&amp;E1273&amp;E1274&amp;E1275&amp;E1276&amp;E1277&amp;E1278&amp;E1279&amp;E1280&amp;E1281&amp;E1282&amp;E1283&amp;E1284&amp;E1285&amp;E1286,"")</f>
        <v/>
      </c>
      <c r="F1287" s="2493" t="str">
        <f>IF(AND(F1266&lt;&gt;0,F1266&lt;&gt;""),F1266&amp;", ","")&amp;IF(AND(Resumen!$AP$50="Sí"),F1267&amp;F1268&amp;F1269&amp;F1270&amp;F1271&amp;F1272&amp;F1273&amp;F1274&amp;F1275&amp;F1276&amp;F1277&amp;F1278&amp;F1279&amp;F1280&amp;F1281&amp;F1282&amp;F1283&amp;F1284&amp;F1285&amp;F1286,"")</f>
        <v/>
      </c>
      <c r="G1287" s="2493" t="str">
        <f>IF(AND(G1266&lt;&gt;0,G1266&lt;&gt;""),G1266&amp;", ","")&amp;IF(AND(Resumen!$AP$50="Sí"),G1267&amp;G1268&amp;G1269&amp;G1270&amp;G1271&amp;G1272&amp;G1273&amp;G1274&amp;G1275&amp;G1276&amp;G1277&amp;G1278&amp;G1279&amp;G1280&amp;G1281&amp;G1282&amp;G1283&amp;G1284&amp;G1285&amp;G1286,"")</f>
        <v/>
      </c>
      <c r="H1287" s="2493" t="str">
        <f>IF(AND(H1266&lt;&gt;0,H1266&lt;&gt;""),H1266&amp;", ","")&amp;IF(AND(Resumen!$AP$50="Sí"),H1267&amp;H1268&amp;H1269&amp;H1270&amp;H1271&amp;H1272&amp;H1273&amp;H1274&amp;H1275&amp;H1276&amp;H1277&amp;H1278&amp;H1279&amp;H1280&amp;H1281&amp;H1282&amp;H1283&amp;H1284&amp;H1285&amp;H1286,"")</f>
        <v/>
      </c>
      <c r="I1287" s="2493" t="str">
        <f>IF(AND(I1266&lt;&gt;0,I1266&lt;&gt;""),I1266&amp;", ","")&amp;IF(AND(Resumen!$AP$50="Sí"),I1267&amp;I1268&amp;I1269&amp;I1270&amp;I1271&amp;I1272&amp;I1273&amp;I1274&amp;I1275&amp;I1276&amp;I1277&amp;I1278&amp;I1279&amp;I1280&amp;I1281&amp;I1282&amp;I1283&amp;I1284&amp;I1285&amp;I1286,"")</f>
        <v/>
      </c>
      <c r="J1287" s="2493" t="str">
        <f>IF(AND(J1266&lt;&gt;0,J1266&lt;&gt;""),J1266&amp;", ","")&amp;IF(AND(Resumen!$AP$50="Sí"),J1267&amp;J1268&amp;J1269&amp;J1270&amp;J1271&amp;J1272&amp;J1273&amp;J1274&amp;J1275&amp;J1276&amp;J1277&amp;J1278&amp;J1279&amp;J1280&amp;J1281&amp;J1282&amp;J1283&amp;J1284&amp;J1285&amp;J1286,"")</f>
        <v/>
      </c>
      <c r="K1287" s="2493" t="str">
        <f>IF(AND(K1266&lt;&gt;0,K1266&lt;&gt;""),K1266&amp;", ","")&amp;IF(AND(Resumen!$AP$50="Sí"),K1267&amp;K1268&amp;K1269&amp;K1270&amp;K1271&amp;K1272&amp;K1273&amp;K1274&amp;K1275&amp;K1276&amp;K1277&amp;K1278&amp;K1279&amp;K1280&amp;K1281&amp;K1282&amp;K1283&amp;K1284&amp;K1285&amp;K1286,"")</f>
        <v/>
      </c>
      <c r="L1287" s="2493" t="str">
        <f>IF(AND(L1266&lt;&gt;0,L1266&lt;&gt;""),L1266&amp;", ","")&amp;IF(AND(Resumen!$AP$50="Sí"),L1267&amp;L1268&amp;L1269&amp;L1270&amp;L1271&amp;L1272&amp;L1273&amp;L1274&amp;L1275&amp;L1276&amp;L1277&amp;L1278&amp;L1279&amp;L1280&amp;L1281&amp;L1282&amp;L1283&amp;L1284&amp;L1285&amp;L1286,"")</f>
        <v/>
      </c>
      <c r="M1287" s="2494" t="str">
        <f>IF(AND(M1266&lt;&gt;0,M1266&lt;&gt;""),M1266&amp;", ","")&amp;IF(AND(Resumen!$AP$50="Sí"),M1267&amp;M1268&amp;M1269&amp;M1270&amp;M1271&amp;M1272&amp;M1273&amp;M1274&amp;M1275&amp;M1276&amp;M1277&amp;M1278&amp;M1279&amp;M1280&amp;M1281&amp;M1282&amp;M1283&amp;M1284&amp;M1285&amp;M1286,"")</f>
        <v/>
      </c>
      <c r="O1287" s="510"/>
      <c r="P1287" s="255">
        <f t="shared" si="405"/>
        <v>0</v>
      </c>
      <c r="Q1287" s="14" t="str">
        <f>IF(Metamagia!$I$59=1,"Control de la energía","")</f>
        <v/>
      </c>
      <c r="R1287" s="21"/>
      <c r="S1287" s="14" t="str">
        <f>IF(Metamagia!$I$59=1,"Por 10 de Zeón permite que un conjuro físico pueda dañar o parar energía","")</f>
        <v/>
      </c>
      <c r="T1287" s="21"/>
      <c r="U1287" s="21"/>
      <c r="V1287" s="47"/>
      <c r="W1287" s="36"/>
    </row>
    <row r="1288" spans="1:23" ht="12.75" customHeight="1" thickBot="1">
      <c r="A1288" s="219">
        <v>1251</v>
      </c>
      <c r="B1288" s="7939"/>
      <c r="P1288" s="255">
        <f t="shared" si="405"/>
        <v>0</v>
      </c>
      <c r="Q1288" s="14" t="str">
        <f>IF(Metamagia!$L$54=1,"Aguante al daño sobrenatural","")</f>
        <v/>
      </c>
      <c r="R1288" s="21"/>
      <c r="S1288" s="14" t="str">
        <f>IF(Metamagia!$L$54=1,"Permite sufrir hasta la mitad de Daño mágico en puntos de Zeón","")</f>
        <v/>
      </c>
      <c r="T1288" s="21"/>
      <c r="U1288" s="21"/>
      <c r="V1288" s="47"/>
      <c r="W1288" s="36"/>
    </row>
    <row r="1289" spans="1:23" ht="12.75" customHeight="1" thickBot="1">
      <c r="A1289" s="219">
        <v>1252</v>
      </c>
      <c r="B1289" s="7939"/>
      <c r="C1289" s="8050" t="s">
        <v>1639</v>
      </c>
      <c r="D1289" s="8051"/>
      <c r="E1289" s="8051"/>
      <c r="F1289" s="8051"/>
      <c r="G1289" s="8051"/>
      <c r="H1289" s="8051"/>
      <c r="I1289" s="8051"/>
      <c r="J1289" s="8051"/>
      <c r="K1289" s="8051"/>
      <c r="L1289" s="8051"/>
      <c r="M1289" s="8051"/>
      <c r="N1289" s="8052"/>
      <c r="P1289" s="255">
        <f t="shared" si="405"/>
        <v>0</v>
      </c>
      <c r="Q1289" s="14" t="str">
        <f>IF(Metamagia!$F$54=1,"Transmisión de magia","")</f>
        <v/>
      </c>
      <c r="R1289" s="21"/>
      <c r="S1289" s="14" t="str">
        <f>IF(Metamagia!$F$54=1,"Permite la transferencia de Zeón a distancia (Presencia en metros)","")</f>
        <v/>
      </c>
      <c r="T1289" s="21"/>
      <c r="U1289" s="21"/>
      <c r="V1289" s="47"/>
      <c r="W1289" s="36"/>
    </row>
    <row r="1290" spans="1:23" ht="12.75" customHeight="1" thickBot="1">
      <c r="A1290" s="219">
        <v>1253</v>
      </c>
      <c r="B1290" s="7939"/>
      <c r="C1290" s="8053"/>
      <c r="D1290" s="8054"/>
      <c r="E1290" s="8054"/>
      <c r="F1290" s="8054"/>
      <c r="G1290" s="8054"/>
      <c r="H1290" s="8054"/>
      <c r="I1290" s="8054"/>
      <c r="J1290" s="8054"/>
      <c r="K1290" s="8054"/>
      <c r="L1290" s="8054"/>
      <c r="M1290" s="8054"/>
      <c r="N1290" s="8055"/>
      <c r="P1290" s="255">
        <f t="shared" si="405"/>
        <v>0</v>
      </c>
      <c r="Q1290" s="27" t="str">
        <f>IF(Metamagia!$R$49+Metamagia!$L$63+Metamagia!$C$46&gt;2,"Forzar velocidad (3)",IF(Metamagia!$R$49+Metamagia!$L$63+Metamagia!$C$46&gt;1,"Forzar velocidad (2)",IF(Metamagia!$R$49+Metamagia!$L$63+Metamagia!$C$46&gt;0,"Forzar velocidad (1)","")))</f>
        <v/>
      </c>
      <c r="R1290" s="27"/>
      <c r="S1290"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290" s="27"/>
      <c r="U1290" s="21"/>
      <c r="V1290" s="47"/>
      <c r="W1290" s="36"/>
    </row>
    <row r="1291" spans="1:23" ht="12.75" customHeight="1" thickBot="1">
      <c r="A1291" s="219">
        <v>1254</v>
      </c>
      <c r="B1291" s="7939"/>
      <c r="C1291" s="2750" t="s">
        <v>10058</v>
      </c>
      <c r="D1291" s="2755" t="s">
        <v>10059</v>
      </c>
      <c r="E1291" s="2751" t="s">
        <v>1300</v>
      </c>
      <c r="F1291" s="2751" t="s">
        <v>1668</v>
      </c>
      <c r="G1291" s="2751"/>
      <c r="H1291" s="2751"/>
      <c r="I1291" s="2751"/>
      <c r="J1291" s="2751"/>
      <c r="K1291" s="2751"/>
      <c r="L1291" s="2751"/>
      <c r="M1291" s="2751"/>
      <c r="N1291" s="2752"/>
      <c r="P1291" s="255">
        <f t="shared" si="405"/>
        <v>0</v>
      </c>
      <c r="Q1291" s="14" t="str">
        <f>IF(Metamagia!$I$44=1,"Doble conjuro innato","")</f>
        <v/>
      </c>
      <c r="R1291" s="21"/>
      <c r="S1291" s="14" t="str">
        <f>IF(Metamagia!$I$44=1,"Permite realizar 2 conjuros innatos distintos por asalto","")</f>
        <v/>
      </c>
      <c r="T1291" s="21"/>
      <c r="U1291" s="21"/>
      <c r="V1291" s="47"/>
      <c r="W1291" s="36"/>
    </row>
    <row r="1292" spans="1:23" ht="12.75" customHeight="1">
      <c r="A1292" s="219">
        <v>1255</v>
      </c>
      <c r="B1292" s="7939"/>
      <c r="C1292" s="2754" t="str">
        <f t="shared" ref="C1292:C1312" si="406">VLOOKUP(A1,$D$1292:$E$1312,2,0)</f>
        <v>Antimateria</v>
      </c>
      <c r="D1292" s="2753">
        <f t="shared" ref="D1292:D1312" si="407">COUNTIF($E$1292:$E$1312,"&lt;="&amp;E1292)</f>
        <v>3</v>
      </c>
      <c r="E1292" s="2728" t="s">
        <v>77</v>
      </c>
      <c r="F1292" s="2729" t="s">
        <v>67</v>
      </c>
      <c r="G1292" s="2730"/>
      <c r="H1292" s="2730"/>
      <c r="I1292" s="2731"/>
      <c r="J1292" s="2730"/>
      <c r="K1292" s="2730"/>
      <c r="L1292" s="2730"/>
      <c r="M1292" s="2730"/>
      <c r="N1292" s="2732"/>
      <c r="P1292" s="255">
        <f t="shared" si="405"/>
        <v>0</v>
      </c>
      <c r="Q1292" s="14" t="str">
        <f>IF(Metamagia!$L$41=1,"Metamagister: Mantenimiento añadido","")</f>
        <v/>
      </c>
      <c r="R1292" s="21"/>
      <c r="S1292" s="14" t="str">
        <f>IF(Metamagia!$L$41=1,"El mantenimiento pasa a ser cada 5 asaltos (cada semana los Diarios)","")</f>
        <v/>
      </c>
      <c r="T1292" s="21"/>
      <c r="U1292" s="21"/>
      <c r="V1292" s="47"/>
      <c r="W1292" s="36"/>
    </row>
    <row r="1293" spans="1:23" ht="12.75" customHeight="1">
      <c r="A1293" s="219">
        <v>1256</v>
      </c>
      <c r="B1293" s="7939"/>
      <c r="C1293" s="2754" t="str">
        <f t="shared" si="406"/>
        <v>Bioquinesis</v>
      </c>
      <c r="D1293" s="2753">
        <f t="shared" si="407"/>
        <v>5</v>
      </c>
      <c r="E1293" s="2728" t="s">
        <v>70</v>
      </c>
      <c r="F1293" s="2729" t="s">
        <v>71</v>
      </c>
      <c r="G1293" s="2730"/>
      <c r="H1293" s="2730"/>
      <c r="I1293" s="2731"/>
      <c r="J1293" s="2730"/>
      <c r="K1293" s="2730"/>
      <c r="L1293" s="2730"/>
      <c r="M1293" s="2730"/>
      <c r="N1293" s="2732"/>
      <c r="P1293" s="255">
        <f t="shared" si="405"/>
        <v>0</v>
      </c>
      <c r="Q1293" s="14" t="str">
        <f>IF(Metamagia!$AA$14=1,"Concentración mística","")</f>
        <v/>
      </c>
      <c r="R1293" s="21"/>
      <c r="S1293" s="14" t="str">
        <f>IF(Metamagia!$AA$14=1,"Reduce a la mitad la dificultad de Resistir Dolor al concentrar Zeón","")</f>
        <v/>
      </c>
      <c r="T1293" s="21"/>
      <c r="U1293" s="21"/>
      <c r="V1293" s="47"/>
      <c r="W1293" s="36"/>
    </row>
    <row r="1294" spans="1:23" ht="12.75" customHeight="1">
      <c r="A1294" s="219">
        <v>1257</v>
      </c>
      <c r="B1294" s="7939"/>
      <c r="C1294" s="2754" t="str">
        <f t="shared" si="406"/>
        <v>Causalidad</v>
      </c>
      <c r="D1294" s="2753">
        <f t="shared" si="407"/>
        <v>9</v>
      </c>
      <c r="E1294" s="2728" t="s">
        <v>73</v>
      </c>
      <c r="F1294" s="2729" t="s">
        <v>67</v>
      </c>
      <c r="G1294" s="2730"/>
      <c r="H1294" s="2730"/>
      <c r="I1294" s="2731"/>
      <c r="J1294" s="2730"/>
      <c r="K1294" s="2730"/>
      <c r="L1294" s="2730"/>
      <c r="M1294" s="2730"/>
      <c r="N1294" s="2732"/>
      <c r="P1294" s="255">
        <f t="shared" si="405"/>
        <v>0</v>
      </c>
      <c r="Q1294" s="14" t="str">
        <f>IF(Metamagia!$X$15=1,IF(W1294&lt;2,"Conjuro especializado Nv 30","Conjuro especializado Nv 30 (2)"),"")</f>
        <v/>
      </c>
      <c r="R1294" s="21"/>
      <c r="S1294" s="14" t="str">
        <f>IF(Metamagia!$X$15=1,"+10 ACT, +1 INT para Requisitos de conjuro: "&amp;Personalización!AF55,"")</f>
        <v/>
      </c>
      <c r="T1294" s="14" t="str">
        <f>IF(Metamagia!$X$15=1,Personalización!AF55,"")</f>
        <v/>
      </c>
      <c r="U1294" s="21"/>
      <c r="V1294" s="47"/>
      <c r="W1294" s="2278">
        <f>IF(OR(T1294&lt;&gt;"",T1295&lt;&gt;""),IF(T1294=T1295,2,1),0)</f>
        <v>0</v>
      </c>
    </row>
    <row r="1295" spans="1:23" ht="12.75" customHeight="1">
      <c r="A1295" s="219">
        <v>1258</v>
      </c>
      <c r="B1295" s="7939"/>
      <c r="C1295" s="2754" t="str">
        <f t="shared" si="406"/>
        <v>Control del Sonido</v>
      </c>
      <c r="D1295" s="2753">
        <f t="shared" si="407"/>
        <v>8</v>
      </c>
      <c r="E1295" s="2728" t="s">
        <v>78</v>
      </c>
      <c r="F1295" s="2729" t="s">
        <v>79</v>
      </c>
      <c r="G1295" s="2730"/>
      <c r="H1295" s="2730"/>
      <c r="I1295" s="2731"/>
      <c r="J1295" s="2730"/>
      <c r="K1295" s="2730"/>
      <c r="L1295" s="2730"/>
      <c r="M1295" s="2730"/>
      <c r="N1295" s="2732"/>
      <c r="P1295" s="255">
        <f t="shared" si="405"/>
        <v>0</v>
      </c>
      <c r="Q1295" s="14" t="str">
        <f>IF(Metamagia!$AD$15=1,IF(W1294=2,"","Conjuro especializado Nv 30"),"")</f>
        <v/>
      </c>
      <c r="R1295" s="21"/>
      <c r="S1295" s="14" t="str">
        <f>IF(Metamagia!$AD$15=1,"+10 ACT, +1 INT para Requisitos de conjuro: "&amp;Personalización!AF56,"")</f>
        <v/>
      </c>
      <c r="T1295" s="14" t="str">
        <f>IF(Metamagia!$AD$15=1,Personalización!AF56,"")</f>
        <v/>
      </c>
      <c r="U1295" s="21"/>
      <c r="V1295" s="47"/>
      <c r="W1295" s="36"/>
    </row>
    <row r="1296" spans="1:23" ht="12.75" customHeight="1">
      <c r="A1296" s="219">
        <v>1259</v>
      </c>
      <c r="B1296" s="7939"/>
      <c r="C1296" s="2754" t="str">
        <f t="shared" si="406"/>
        <v>Crioquinesis</v>
      </c>
      <c r="D1296" s="2753">
        <f t="shared" si="407"/>
        <v>13</v>
      </c>
      <c r="E1296" s="2728" t="s">
        <v>72</v>
      </c>
      <c r="F1296" s="2729" t="s">
        <v>67</v>
      </c>
      <c r="G1296" s="2730"/>
      <c r="H1296" s="2730"/>
      <c r="I1296" s="2731"/>
      <c r="J1296" s="2730"/>
      <c r="K1296" s="2730"/>
      <c r="L1296" s="2730"/>
      <c r="M1296" s="2730"/>
      <c r="N1296" s="2732"/>
      <c r="P1296" s="255">
        <f t="shared" si="405"/>
        <v>0</v>
      </c>
      <c r="Q1296" s="14" t="str">
        <f>IF(Metamagia!$R$29=1,"Conjuro especializado Nv 50","")</f>
        <v/>
      </c>
      <c r="R1296" s="21"/>
      <c r="S1296" s="14" t="str">
        <f>IF(Metamagia!$R$29=1,"+10 ACT, +1 INT para Requisitos de conjuro: "&amp;Personalización!AF57,"")</f>
        <v/>
      </c>
      <c r="T1296" s="14" t="str">
        <f>IF(Metamagia!$R$29=1,Personalización!AF57,"")</f>
        <v/>
      </c>
      <c r="U1296" s="21"/>
      <c r="V1296" s="47"/>
      <c r="W1296" s="36"/>
    </row>
    <row r="1297" spans="1:23" ht="12.75" customHeight="1">
      <c r="A1297" s="219">
        <v>1260</v>
      </c>
      <c r="B1297" s="7939"/>
      <c r="C1297" s="2754" t="str">
        <f t="shared" si="406"/>
        <v>Cronoquinesis</v>
      </c>
      <c r="D1297" s="2753">
        <f t="shared" si="407"/>
        <v>14</v>
      </c>
      <c r="E1297" s="2728" t="s">
        <v>1553</v>
      </c>
      <c r="F1297" s="2729" t="s">
        <v>67</v>
      </c>
      <c r="G1297" s="2730"/>
      <c r="H1297" s="2730"/>
      <c r="I1297" s="2731"/>
      <c r="J1297" s="2730"/>
      <c r="K1297" s="2730"/>
      <c r="L1297" s="2730"/>
      <c r="M1297" s="2730"/>
      <c r="N1297" s="2732"/>
      <c r="P1297" s="255">
        <f t="shared" si="405"/>
        <v>0</v>
      </c>
      <c r="Q1297" s="14" t="str">
        <f>IF(Metamagia!$X$24=1,IF(W1297&lt;2,"Conjuro especializado Nv 60","Conjuro especializado Nv 60 (2)"),"")</f>
        <v/>
      </c>
      <c r="R1297" s="21"/>
      <c r="S1297" s="14" t="str">
        <f>IF(Metamagia!$X$24=1,"+10 ACT, +1 INT para Requisitos de conjuro: "&amp;Personalización!AF59,"")</f>
        <v/>
      </c>
      <c r="T1297" s="14" t="str">
        <f>IF(Metamagia!$X$24=1,Personalización!AF59,"")</f>
        <v/>
      </c>
      <c r="U1297" s="21"/>
      <c r="V1297" s="47"/>
      <c r="W1297" s="2278">
        <f>IF(OR(T1297&lt;&gt;"",T1298&lt;&gt;""),IF(T1297=T1298,2,1),0)</f>
        <v>0</v>
      </c>
    </row>
    <row r="1298" spans="1:23" ht="12.75" customHeight="1">
      <c r="A1298" s="219">
        <v>1261</v>
      </c>
      <c r="B1298" s="7939"/>
      <c r="C1298" s="2754" t="str">
        <f t="shared" si="406"/>
        <v>Dominio del Espacio</v>
      </c>
      <c r="D1298" s="2753">
        <f t="shared" si="407"/>
        <v>15</v>
      </c>
      <c r="E1298" s="2728" t="s">
        <v>68</v>
      </c>
      <c r="F1298" s="2729" t="s">
        <v>69</v>
      </c>
      <c r="G1298" s="2730"/>
      <c r="H1298" s="2730"/>
      <c r="I1298" s="2731"/>
      <c r="J1298" s="2730"/>
      <c r="K1298" s="2730"/>
      <c r="L1298" s="2730"/>
      <c r="M1298" s="2730"/>
      <c r="N1298" s="2732"/>
      <c r="P1298" s="255">
        <f t="shared" si="405"/>
        <v>0</v>
      </c>
      <c r="Q1298" s="14" t="str">
        <f>IF(Metamagia!$AG$24=1,IF(W1297=2,"","Conjuro especializado Nv 60"),"")</f>
        <v/>
      </c>
      <c r="R1298" s="21"/>
      <c r="S1298" s="14" t="str">
        <f>IF(Metamagia!$AG$24=1,"+10 ACT, +1 INT para Requisitos de conjuro: "&amp;Personalización!AF58,"")</f>
        <v/>
      </c>
      <c r="T1298" s="14" t="str">
        <f>IF(Metamagia!$AG$24=1,Personalización!AF58,"")</f>
        <v/>
      </c>
      <c r="U1298" s="21"/>
      <c r="V1298" s="47"/>
      <c r="W1298" s="36"/>
    </row>
    <row r="1299" spans="1:23" ht="12.75" customHeight="1">
      <c r="A1299" s="219">
        <v>1262</v>
      </c>
      <c r="B1299" s="7939"/>
      <c r="C1299" s="2754" t="str">
        <f t="shared" si="406"/>
        <v>Electromagnetismo</v>
      </c>
      <c r="D1299" s="2753">
        <f t="shared" si="407"/>
        <v>17</v>
      </c>
      <c r="E1299" s="2728" t="s">
        <v>76</v>
      </c>
      <c r="F1299" s="2729" t="s">
        <v>65</v>
      </c>
      <c r="G1299" s="2730"/>
      <c r="H1299" s="2730"/>
      <c r="I1299" s="2731"/>
      <c r="J1299" s="2730"/>
      <c r="K1299" s="2730"/>
      <c r="L1299" s="2730"/>
      <c r="M1299" s="2730"/>
      <c r="N1299" s="2732"/>
      <c r="P1299" s="255">
        <f t="shared" si="405"/>
        <v>0</v>
      </c>
      <c r="Q1299" s="14" t="str">
        <f>IF(Metamagia!$AG$39=1,"Conjuro especializado Nv 70","")</f>
        <v/>
      </c>
      <c r="R1299" s="21"/>
      <c r="S1299" s="14" t="str">
        <f>IF(Metamagia!$AG$39=1,"+10 ACT, +1 INT para Requisitos de conjuro: "&amp;Personalización!AF60,"")</f>
        <v/>
      </c>
      <c r="T1299" s="14" t="str">
        <f>IF(Metamagia!$AG$39=1,Personalización!AF60,"")</f>
        <v/>
      </c>
      <c r="U1299" s="21"/>
      <c r="V1299" s="47"/>
      <c r="W1299" s="36"/>
    </row>
    <row r="1300" spans="1:23" ht="12.75" customHeight="1">
      <c r="A1300" s="219">
        <v>1263</v>
      </c>
      <c r="B1300" s="7939"/>
      <c r="C1300" s="2754" t="str">
        <f t="shared" si="406"/>
        <v>Energía</v>
      </c>
      <c r="D1300" s="2753">
        <f t="shared" si="407"/>
        <v>18</v>
      </c>
      <c r="E1300" s="2728" t="s">
        <v>74</v>
      </c>
      <c r="F1300" s="2729" t="s">
        <v>75</v>
      </c>
      <c r="G1300" s="2730"/>
      <c r="H1300" s="2730"/>
      <c r="I1300" s="2731"/>
      <c r="J1300" s="2730"/>
      <c r="K1300" s="2730"/>
      <c r="L1300" s="2730"/>
      <c r="M1300" s="2730"/>
      <c r="N1300" s="2732"/>
      <c r="P1300" s="255">
        <f t="shared" si="405"/>
        <v>0</v>
      </c>
      <c r="Q1300" s="14" t="str">
        <f>IF(Metamagia!$AA$29=1,"Conjuro especializado Nv 80","")</f>
        <v/>
      </c>
      <c r="R1300" s="21"/>
      <c r="S1300" s="14" t="str">
        <f>IF(Metamagia!$AA$29=1,"+10 ACT, +1 INT para Requisitos de conjuro: "&amp;Personalización!AF61,"")</f>
        <v/>
      </c>
      <c r="T1300" s="14" t="str">
        <f>IF(Metamagia!$AA$29=1,Personalización!AF61,"")</f>
        <v/>
      </c>
      <c r="U1300" s="21"/>
      <c r="V1300" s="47"/>
      <c r="W1300" s="36"/>
    </row>
    <row r="1301" spans="1:23" ht="12.75" customHeight="1">
      <c r="A1301" s="219">
        <v>1264</v>
      </c>
      <c r="B1301" s="7939"/>
      <c r="C1301" s="2754" t="str">
        <f t="shared" si="406"/>
        <v>Filoquinesis</v>
      </c>
      <c r="D1301" s="2753">
        <f t="shared" si="407"/>
        <v>19</v>
      </c>
      <c r="E1301" s="2728" t="s">
        <v>64</v>
      </c>
      <c r="F1301" s="2729" t="s">
        <v>65</v>
      </c>
      <c r="G1301" s="2730"/>
      <c r="H1301" s="2730"/>
      <c r="I1301" s="2731"/>
      <c r="J1301" s="2730"/>
      <c r="K1301" s="2730"/>
      <c r="L1301" s="2730"/>
      <c r="M1301" s="2730"/>
      <c r="N1301" s="2732"/>
      <c r="P1301" s="255">
        <f t="shared" si="405"/>
        <v>0</v>
      </c>
      <c r="Q1301" s="14" t="str">
        <f>IF(Metamagia!$AD$24+Metamagia!$AG$32&gt;1,"Romper resistencias (2)",IF(Metamagia!$AD$24+Metamagia!$AG$32&gt;0,"Romper resistencias (1)",""))</f>
        <v/>
      </c>
      <c r="R1301" s="21"/>
      <c r="S1301" s="14" t="str">
        <f>IF(Metamagia!$AD$24+Metamagia!$AG$32&gt;1,"+10 a la RM por cada 50% de éxito en la Proyección",IF(Metamagia!$AD$24+Metamagia!$AG$32&gt;0,"+5 a la RM por cada 50% de éxito en la Proyección",""))</f>
        <v/>
      </c>
      <c r="T1301" s="21"/>
      <c r="U1301" s="21"/>
      <c r="V1301" s="47"/>
      <c r="W1301" s="36"/>
    </row>
    <row r="1302" spans="1:23" ht="12.75" customHeight="1">
      <c r="A1302" s="219">
        <v>1265</v>
      </c>
      <c r="B1302" s="7939"/>
      <c r="C1302" s="2754" t="str">
        <f t="shared" si="406"/>
        <v>Gravitatoria</v>
      </c>
      <c r="D1302" s="2753">
        <f t="shared" si="407"/>
        <v>20</v>
      </c>
      <c r="E1302" s="2728" t="s">
        <v>66</v>
      </c>
      <c r="F1302" s="2729" t="s">
        <v>67</v>
      </c>
      <c r="G1302" s="2730"/>
      <c r="H1302" s="2730"/>
      <c r="I1302" s="2731"/>
      <c r="J1302" s="2730"/>
      <c r="K1302" s="2730"/>
      <c r="L1302" s="2730"/>
      <c r="M1302" s="2730"/>
      <c r="N1302" s="2732"/>
      <c r="P1302" s="255">
        <f t="shared" si="405"/>
        <v>0</v>
      </c>
      <c r="Q1302" s="14" t="str">
        <f>IF(Metamagia!$U$24+Metamagia!$AA$19&gt;1,"Distancia incrementada (2)",IF(Metamagia!$U$24+Metamagia!$AA$19&gt;0,"Distancia incrementada (1)",""))</f>
        <v/>
      </c>
      <c r="R1302" s="21"/>
      <c r="S1302" s="14" t="str">
        <f>IF(Metamagia!$U$24+Metamagia!$AA$19&gt;1,"Alcance cuadriplicado respecto a lo que indica el nivel de Proyección",IF(Metamagia!$U$24+Metamagia!$AA$19&gt;0,"Alcance duplicado respecto a lo que indica el nivel de Proyección",""))</f>
        <v/>
      </c>
      <c r="T1302" s="21"/>
      <c r="U1302" s="21"/>
      <c r="V1302" s="47"/>
      <c r="W1302" s="36"/>
    </row>
    <row r="1303" spans="1:23" ht="12.75" customHeight="1">
      <c r="A1303" s="219">
        <v>1266</v>
      </c>
      <c r="B1303" s="7939"/>
      <c r="C1303" s="2754" t="str">
        <f t="shared" si="406"/>
        <v>Hidroquinesis</v>
      </c>
      <c r="D1303" s="2753">
        <f t="shared" si="407"/>
        <v>21</v>
      </c>
      <c r="E1303" s="2728" t="s">
        <v>80</v>
      </c>
      <c r="F1303" s="2729" t="s">
        <v>67</v>
      </c>
      <c r="G1303" s="2730"/>
      <c r="H1303" s="2730"/>
      <c r="I1303" s="2731"/>
      <c r="J1303" s="2730"/>
      <c r="K1303" s="2730"/>
      <c r="L1303" s="2730"/>
      <c r="M1303" s="2730"/>
      <c r="N1303" s="2732"/>
      <c r="P1303" s="255">
        <f t="shared" si="405"/>
        <v>0</v>
      </c>
      <c r="Q1303" s="14" t="str">
        <f>IF(Metamagia!$AD$30=1,"Enlazar conjuros","")</f>
        <v/>
      </c>
      <c r="R1303" s="21"/>
      <c r="S1303" s="14" t="str">
        <f>IF(Metamagia!$AD$30=1,"Permite mezclar dos conjuros en uno solo. Ver","")</f>
        <v/>
      </c>
      <c r="T1303" s="21"/>
      <c r="U1303" s="21"/>
      <c r="V1303" s="47"/>
      <c r="W1303" s="36"/>
    </row>
    <row r="1304" spans="1:23" ht="12.75" customHeight="1">
      <c r="A1304" s="219">
        <v>1267</v>
      </c>
      <c r="B1304" s="7939"/>
      <c r="C1304" s="2754" t="str">
        <f t="shared" si="406"/>
        <v>Incremento Físico</v>
      </c>
      <c r="D1304" s="2753">
        <f t="shared" si="407"/>
        <v>11</v>
      </c>
      <c r="E1304" s="2728" t="s">
        <v>10050</v>
      </c>
      <c r="F1304" s="2729" t="s">
        <v>67</v>
      </c>
      <c r="G1304" s="2738"/>
      <c r="H1304" s="2740"/>
      <c r="I1304" s="2738"/>
      <c r="J1304" s="2738"/>
      <c r="K1304" s="2741"/>
      <c r="L1304" s="2741"/>
      <c r="M1304" s="2741"/>
      <c r="N1304" s="2747"/>
      <c r="P1304" s="255">
        <f t="shared" si="405"/>
        <v>0</v>
      </c>
      <c r="Q1304" s="14" t="str">
        <f>IF(Metamagia!$AA$24=1,"Maximización de conjuros","")</f>
        <v/>
      </c>
      <c r="R1304" s="21"/>
      <c r="S1304" s="14" t="str">
        <f>IF(Metamagia!$AA$24=1,"Se considera que el personaje tiene +1 INT para los Requisitos de conjuro","")</f>
        <v/>
      </c>
      <c r="T1304" s="21"/>
      <c r="U1304" s="21"/>
      <c r="V1304" s="47"/>
      <c r="W1304" s="36"/>
    </row>
    <row r="1305" spans="1:23" ht="12.75" customHeight="1">
      <c r="A1305" s="219">
        <v>1268</v>
      </c>
      <c r="B1305" s="7939"/>
      <c r="C1305" s="2754" t="str">
        <f t="shared" si="406"/>
        <v>Luz</v>
      </c>
      <c r="D1305" s="2753">
        <f t="shared" si="407"/>
        <v>4</v>
      </c>
      <c r="E1305" s="2728" t="s">
        <v>10065</v>
      </c>
      <c r="F1305" s="2729" t="s">
        <v>10064</v>
      </c>
      <c r="G1305" s="2738"/>
      <c r="H1305" s="2740"/>
      <c r="I1305" s="2738"/>
      <c r="J1305" s="2738"/>
      <c r="K1305" s="2741"/>
      <c r="L1305" s="2741"/>
      <c r="M1305" s="2741"/>
      <c r="N1305" s="2747"/>
      <c r="P1305" s="255">
        <f t="shared" si="405"/>
        <v>0</v>
      </c>
      <c r="Q1305" s="14" t="str">
        <f>IF(Metamagia!$X$30=1,"Doble conjuro","")</f>
        <v/>
      </c>
      <c r="R1305" s="21"/>
      <c r="S1305" s="14" t="str">
        <f>IF(Metamagia!$X$30=1,"Permite lanzar dos conjuros con la ACT doblada. Ver","")</f>
        <v/>
      </c>
      <c r="T1305" s="21"/>
      <c r="U1305" s="21"/>
      <c r="V1305" s="47"/>
      <c r="W1305" s="36"/>
    </row>
    <row r="1306" spans="1:23" ht="12.75" customHeight="1">
      <c r="A1306" s="219">
        <v>1269</v>
      </c>
      <c r="B1306" s="7939"/>
      <c r="C1306" s="2754" t="str">
        <f t="shared" si="406"/>
        <v>Piroquinesis</v>
      </c>
      <c r="D1306" s="2753">
        <f t="shared" si="407"/>
        <v>12</v>
      </c>
      <c r="E1306" s="2728" t="s">
        <v>10052</v>
      </c>
      <c r="F1306" s="2729" t="s">
        <v>67</v>
      </c>
      <c r="G1306" s="2741"/>
      <c r="H1306" s="2738"/>
      <c r="I1306" s="2742"/>
      <c r="J1306" s="2742"/>
      <c r="K1306" s="2742"/>
      <c r="L1306" s="2743"/>
      <c r="M1306" s="2743"/>
      <c r="N1306" s="2747"/>
      <c r="P1306" s="255">
        <f t="shared" si="405"/>
        <v>0</v>
      </c>
      <c r="Q1306" s="14" t="str">
        <f>IF(Metamagia!$AA$34=1,"Conjuro innato superior","")</f>
        <v/>
      </c>
      <c r="R1306" s="21"/>
      <c r="S1306" s="14" t="str">
        <f>IF(Metamagia!$AA$34=1,"Permite acumular magia mientras se lanzan conjuros innatos","")</f>
        <v/>
      </c>
      <c r="T1306" s="21"/>
      <c r="U1306" s="21"/>
      <c r="V1306" s="47"/>
      <c r="W1306" s="36"/>
    </row>
    <row r="1307" spans="1:23" ht="12.75" customHeight="1" thickBot="1">
      <c r="A1307" s="219">
        <v>1270</v>
      </c>
      <c r="B1307" s="7939"/>
      <c r="C1307" s="2754" t="str">
        <f t="shared" si="406"/>
        <v>Presión</v>
      </c>
      <c r="D1307" s="2753">
        <f t="shared" si="407"/>
        <v>6</v>
      </c>
      <c r="E1307" s="2728" t="s">
        <v>10062</v>
      </c>
      <c r="F1307" s="2729" t="s">
        <v>67</v>
      </c>
      <c r="G1307" s="2741"/>
      <c r="H1307" s="2738"/>
      <c r="I1307" s="2738"/>
      <c r="J1307" s="2738"/>
      <c r="K1307" s="2738"/>
      <c r="L1307" s="2744"/>
      <c r="M1307" s="2745"/>
      <c r="N1307" s="2747"/>
      <c r="P1307" s="256">
        <f t="shared" si="405"/>
        <v>0</v>
      </c>
      <c r="Q1307" s="19" t="str">
        <f>IF(Metamagia!$X$37=1,"Metamagister: Alta Magia","")</f>
        <v/>
      </c>
      <c r="R1307" s="66"/>
      <c r="S1307" s="19" t="str">
        <f>IF(Metamagia!$X$37=1,"Permite lanzar conjuros de Alta Magia sin Gnosis 25. Ver","")</f>
        <v/>
      </c>
      <c r="T1307" s="66"/>
      <c r="U1307" s="66"/>
      <c r="V1307" s="556"/>
      <c r="W1307" s="67"/>
    </row>
    <row r="1308" spans="1:23" ht="12.75" customHeight="1">
      <c r="A1308" s="219">
        <v>1271</v>
      </c>
      <c r="B1308" s="7939"/>
      <c r="C1308" s="2754" t="str">
        <f t="shared" si="406"/>
        <v>Sentiente</v>
      </c>
      <c r="D1308" s="2753">
        <f t="shared" si="407"/>
        <v>16</v>
      </c>
      <c r="E1308" s="2728" t="s">
        <v>10053</v>
      </c>
      <c r="F1308" s="2729" t="s">
        <v>67</v>
      </c>
      <c r="G1308" s="2741"/>
      <c r="H1308" s="2738"/>
      <c r="I1308" s="2738"/>
      <c r="J1308" s="2738"/>
      <c r="K1308" s="2738"/>
      <c r="L1308" s="2746"/>
      <c r="M1308" s="2745"/>
      <c r="N1308" s="2747"/>
    </row>
    <row r="1309" spans="1:23" ht="12.75" customHeight="1">
      <c r="A1309" s="219">
        <v>1272</v>
      </c>
      <c r="B1309" s="7939"/>
      <c r="C1309" s="2754" t="str">
        <f t="shared" si="406"/>
        <v>Telemetría</v>
      </c>
      <c r="D1309" s="2753">
        <f t="shared" si="407"/>
        <v>1</v>
      </c>
      <c r="E1309" s="2728" t="s">
        <v>10054</v>
      </c>
      <c r="F1309" s="2729" t="s">
        <v>10061</v>
      </c>
      <c r="G1309" s="2741"/>
      <c r="H1309" s="2738"/>
      <c r="I1309" s="2738"/>
      <c r="J1309" s="2738"/>
      <c r="K1309" s="2738"/>
      <c r="L1309" s="2746"/>
      <c r="M1309" s="2745"/>
      <c r="N1309" s="2748"/>
    </row>
    <row r="1310" spans="1:23" ht="12.75" customHeight="1">
      <c r="A1310" s="219">
        <v>1273</v>
      </c>
      <c r="B1310" s="7939"/>
      <c r="C1310" s="2754" t="str">
        <f t="shared" si="406"/>
        <v>Telepatía</v>
      </c>
      <c r="D1310" s="2753">
        <f t="shared" si="407"/>
        <v>10</v>
      </c>
      <c r="E1310" s="2728" t="s">
        <v>10055</v>
      </c>
      <c r="F1310" s="2729" t="s">
        <v>67</v>
      </c>
      <c r="G1310" s="2738"/>
      <c r="H1310" s="2740"/>
      <c r="I1310" s="2738"/>
      <c r="J1310" s="2738"/>
      <c r="K1310" s="2738"/>
      <c r="L1310" s="2738"/>
      <c r="M1310" s="2738"/>
      <c r="N1310" s="2747"/>
    </row>
    <row r="1311" spans="1:23" ht="12.75" customHeight="1">
      <c r="A1311" s="219">
        <v>1274</v>
      </c>
      <c r="B1311" s="7939"/>
      <c r="C1311" s="2754" t="str">
        <f t="shared" si="406"/>
        <v>Telequinesis</v>
      </c>
      <c r="D1311" s="2753">
        <f t="shared" si="407"/>
        <v>7</v>
      </c>
      <c r="E1311" s="2728" t="s">
        <v>10066</v>
      </c>
      <c r="F1311" s="2729" t="s">
        <v>67</v>
      </c>
      <c r="G1311" s="2741"/>
      <c r="H1311" s="2738"/>
      <c r="I1311" s="2738"/>
      <c r="J1311" s="2738"/>
      <c r="K1311" s="2738"/>
      <c r="L1311" s="2746"/>
      <c r="M1311" s="2745"/>
      <c r="N1311" s="2747"/>
    </row>
    <row r="1312" spans="1:23" ht="12.75" customHeight="1" thickBot="1">
      <c r="A1312" s="219">
        <v>1275</v>
      </c>
      <c r="B1312" s="7939"/>
      <c r="C1312" s="2754" t="str">
        <f t="shared" si="406"/>
        <v>Teletransporte</v>
      </c>
      <c r="D1312" s="2753">
        <f t="shared" si="407"/>
        <v>2</v>
      </c>
      <c r="E1312" s="2728" t="s">
        <v>10060</v>
      </c>
      <c r="F1312" s="2729" t="s">
        <v>10063</v>
      </c>
      <c r="G1312" s="2741"/>
      <c r="H1312" s="2738"/>
      <c r="I1312" s="2738"/>
      <c r="J1312" s="2738"/>
      <c r="K1312" s="2738"/>
      <c r="L1312" s="2746"/>
      <c r="M1312" s="2745"/>
      <c r="N1312" s="2749"/>
    </row>
    <row r="1313" spans="1:23" ht="12.75" customHeight="1" thickBot="1">
      <c r="A1313" s="219">
        <v>1276</v>
      </c>
      <c r="B1313" s="7939"/>
      <c r="C1313" s="2756" t="s">
        <v>10057</v>
      </c>
      <c r="D1313" s="2733"/>
      <c r="E1313" s="2734"/>
      <c r="F1313" s="2735"/>
      <c r="G1313" s="2734"/>
      <c r="H1313" s="2734"/>
      <c r="I1313" s="2734"/>
      <c r="J1313" s="2734"/>
      <c r="K1313" s="2734"/>
      <c r="L1313" s="2734"/>
      <c r="M1313" s="2734"/>
      <c r="N1313" s="2736"/>
    </row>
    <row r="1314" spans="1:23" ht="12.75" customHeight="1" thickBot="1">
      <c r="A1314" s="219">
        <v>1277</v>
      </c>
      <c r="B1314" s="7939"/>
      <c r="C1314" s="2756" t="s">
        <v>8279</v>
      </c>
      <c r="D1314" s="2733"/>
      <c r="E1314" s="2734"/>
      <c r="F1314" s="2735"/>
      <c r="G1314" s="2734"/>
      <c r="H1314" s="2734"/>
      <c r="I1314" s="2734"/>
      <c r="J1314" s="2734"/>
      <c r="K1314" s="2734"/>
      <c r="L1314" s="2734"/>
      <c r="M1314" s="2734"/>
      <c r="N1314" s="2736"/>
    </row>
    <row r="1315" spans="1:23" ht="12.75" customHeight="1">
      <c r="A1315" s="219">
        <v>1278</v>
      </c>
      <c r="B1315" s="7939"/>
    </row>
    <row r="1316" spans="1:23" ht="12.75" customHeight="1">
      <c r="A1316" s="219">
        <v>1279</v>
      </c>
      <c r="B1316" s="7939"/>
    </row>
    <row r="1317" spans="1:23" ht="12.75" customHeight="1">
      <c r="A1317" s="219">
        <v>1280</v>
      </c>
      <c r="B1317" s="7939"/>
    </row>
    <row r="1318" spans="1:23" ht="12.75" customHeight="1">
      <c r="A1318" s="219">
        <v>1281</v>
      </c>
      <c r="B1318" s="7939"/>
    </row>
    <row r="1319" spans="1:23" ht="12.75" customHeight="1">
      <c r="A1319" s="219">
        <v>1282</v>
      </c>
      <c r="B1319" s="7939"/>
    </row>
    <row r="1320" spans="1:23" ht="12.75" customHeight="1">
      <c r="A1320" s="219">
        <v>1283</v>
      </c>
      <c r="B1320" s="7939"/>
    </row>
    <row r="1321" spans="1:23" ht="12.75" customHeight="1">
      <c r="A1321" s="219">
        <v>1284</v>
      </c>
      <c r="B1321" s="7939"/>
    </row>
    <row r="1322" spans="1:23" ht="12.75" customHeight="1">
      <c r="A1322" s="219">
        <v>1285</v>
      </c>
      <c r="B1322" s="7939"/>
      <c r="C1322" s="1046"/>
      <c r="D1322" s="1046"/>
      <c r="E1322" s="1046"/>
      <c r="F1322" s="1046"/>
      <c r="G1322" s="1046"/>
      <c r="H1322"/>
      <c r="L1322" s="259"/>
      <c r="M1322" s="258"/>
      <c r="N1322"/>
    </row>
    <row r="1323" spans="1:23" ht="12.75" customHeight="1">
      <c r="A1323" s="219">
        <v>1286</v>
      </c>
      <c r="B1323" s="7939"/>
      <c r="C1323" s="1046"/>
      <c r="D1323" s="1046"/>
      <c r="E1323" s="1046"/>
      <c r="F1323" s="1046"/>
      <c r="G1323" s="1046"/>
      <c r="H1323"/>
      <c r="L1323" s="259"/>
      <c r="M1323" s="258"/>
      <c r="N1323"/>
    </row>
    <row r="1324" spans="1:23" ht="12.75" customHeight="1" thickBot="1">
      <c r="A1324" s="219">
        <v>1287</v>
      </c>
      <c r="B1324" s="7939"/>
      <c r="C1324" s="1046"/>
      <c r="D1324" s="1046"/>
      <c r="E1324" s="1046"/>
      <c r="F1324" s="1046"/>
      <c r="G1324" s="1046"/>
      <c r="H1324"/>
      <c r="L1324" s="259"/>
      <c r="M1324" s="258"/>
      <c r="N1324"/>
    </row>
    <row r="1325" spans="1:23" ht="12.75" customHeight="1" thickBot="1">
      <c r="A1325" s="219">
        <v>1288</v>
      </c>
      <c r="B1325" s="7939"/>
      <c r="C1325" s="8184" t="s">
        <v>30</v>
      </c>
      <c r="D1325" s="8184"/>
      <c r="E1325" s="8184"/>
      <c r="F1325" s="8184"/>
      <c r="G1325" s="8184"/>
      <c r="H1325" s="8184"/>
      <c r="I1325" s="8184"/>
      <c r="J1325" s="8184"/>
      <c r="K1325" s="8184"/>
      <c r="L1325" s="8184"/>
      <c r="M1325" s="8184"/>
      <c r="N1325" s="8184"/>
      <c r="O1325" s="8184"/>
      <c r="P1325" s="8184"/>
      <c r="Q1325" s="8184"/>
      <c r="R1325" s="8184"/>
      <c r="S1325" s="8184"/>
      <c r="T1325" s="8184"/>
      <c r="U1325" s="8184"/>
      <c r="V1325" s="8184"/>
      <c r="W1325" s="8184"/>
    </row>
    <row r="1326" spans="1:23" ht="12.75" customHeight="1">
      <c r="A1326" s="219">
        <v>1289</v>
      </c>
      <c r="B1326" s="7939"/>
      <c r="C1326" s="8184"/>
      <c r="D1326" s="8184"/>
      <c r="E1326" s="8184"/>
      <c r="F1326" s="8184"/>
      <c r="G1326" s="8184"/>
      <c r="H1326" s="8184"/>
      <c r="I1326" s="8184"/>
      <c r="J1326" s="8184"/>
      <c r="K1326" s="8184"/>
      <c r="L1326" s="8184"/>
      <c r="M1326" s="8184"/>
      <c r="N1326" s="8184"/>
      <c r="O1326" s="8184"/>
      <c r="P1326" s="8184"/>
      <c r="Q1326" s="8184"/>
      <c r="R1326" s="8184"/>
      <c r="S1326" s="8184"/>
      <c r="T1326" s="8184"/>
      <c r="U1326" s="8184"/>
      <c r="V1326" s="8184"/>
      <c r="W1326" s="8184"/>
    </row>
    <row r="1327" spans="1:23" ht="12.75" customHeight="1" thickBot="1">
      <c r="A1327" s="219">
        <v>1290</v>
      </c>
      <c r="B1327" s="7939"/>
      <c r="C1327" s="8109" t="s">
        <v>31</v>
      </c>
      <c r="D1327" s="8109"/>
      <c r="E1327" s="2772" t="s">
        <v>1349</v>
      </c>
      <c r="F1327" s="2772" t="s">
        <v>10112</v>
      </c>
      <c r="G1327" s="2770" t="s">
        <v>1408</v>
      </c>
      <c r="H1327" s="3016" t="s">
        <v>9763</v>
      </c>
      <c r="I1327" s="3017"/>
      <c r="J1327" s="8110" t="s">
        <v>1068</v>
      </c>
      <c r="K1327" s="8110"/>
      <c r="L1327" s="8110"/>
      <c r="M1327" s="8110"/>
      <c r="N1327" s="8110"/>
      <c r="O1327" s="8110"/>
      <c r="P1327" s="8110"/>
      <c r="Q1327" s="8110"/>
      <c r="R1327" s="8075" t="s">
        <v>859</v>
      </c>
      <c r="S1327" s="8075"/>
      <c r="T1327" s="8075"/>
      <c r="U1327" s="8075"/>
      <c r="V1327" s="8075"/>
      <c r="W1327" s="8075"/>
    </row>
    <row r="1328" spans="1:23" ht="12.75" customHeight="1">
      <c r="A1328" s="219">
        <v>1291</v>
      </c>
      <c r="B1328" s="7939"/>
      <c r="C1328" s="2993"/>
      <c r="D1328" s="2728" t="s">
        <v>32</v>
      </c>
      <c r="E1328" s="2994">
        <v>30</v>
      </c>
      <c r="F1328" s="2994">
        <v>10</v>
      </c>
      <c r="G1328" s="2995" t="s">
        <v>33</v>
      </c>
      <c r="H1328" s="2729"/>
      <c r="I1328" s="2731"/>
      <c r="J1328" s="2729" t="s">
        <v>11785</v>
      </c>
      <c r="K1328" s="2730"/>
      <c r="L1328" s="2730"/>
      <c r="M1328" s="2730"/>
      <c r="N1328" s="2730"/>
      <c r="O1328" s="2731"/>
      <c r="P1328" s="2730"/>
      <c r="Q1328" s="2730"/>
      <c r="R1328" s="2739" t="s">
        <v>11786</v>
      </c>
      <c r="S1328" s="2730"/>
      <c r="T1328" s="2730"/>
      <c r="U1328" s="2730"/>
      <c r="V1328" s="2810"/>
      <c r="W1328" s="2810"/>
    </row>
    <row r="1329" spans="1:23" ht="12.75" customHeight="1">
      <c r="A1329" s="219">
        <v>1292</v>
      </c>
      <c r="B1329" s="7939"/>
      <c r="C1329" s="2996"/>
      <c r="D1329" s="2728" t="s">
        <v>34</v>
      </c>
      <c r="E1329" s="2994">
        <v>30</v>
      </c>
      <c r="F1329" s="2994">
        <v>10</v>
      </c>
      <c r="G1329" s="2997" t="s">
        <v>35</v>
      </c>
      <c r="H1329" s="2729"/>
      <c r="I1329" s="2731"/>
      <c r="J1329" s="2729" t="s">
        <v>11784</v>
      </c>
      <c r="K1329" s="2730"/>
      <c r="L1329" s="2730"/>
      <c r="M1329" s="2730"/>
      <c r="N1329" s="2730"/>
      <c r="O1329" s="2731"/>
      <c r="P1329" s="2730"/>
      <c r="Q1329" s="2730"/>
      <c r="R1329" s="2729" t="s">
        <v>11787</v>
      </c>
      <c r="S1329" s="2730"/>
      <c r="T1329" s="2730"/>
      <c r="U1329" s="2730"/>
      <c r="V1329" s="2730"/>
      <c r="W1329" s="2810"/>
    </row>
    <row r="1330" spans="1:23" ht="12.75" customHeight="1">
      <c r="A1330" s="219">
        <v>1293</v>
      </c>
      <c r="B1330" s="7939"/>
      <c r="C1330" s="2996"/>
      <c r="D1330" s="2728" t="s">
        <v>36</v>
      </c>
      <c r="E1330" s="2994">
        <v>20</v>
      </c>
      <c r="F1330" s="2994">
        <v>20</v>
      </c>
      <c r="G1330" s="2997" t="s">
        <v>37</v>
      </c>
      <c r="H1330" s="2729"/>
      <c r="I1330" s="2731"/>
      <c r="J1330" s="2729" t="s">
        <v>10202</v>
      </c>
      <c r="K1330" s="2730"/>
      <c r="L1330" s="2730"/>
      <c r="M1330" s="2730"/>
      <c r="N1330" s="2730"/>
      <c r="O1330" s="2731"/>
      <c r="P1330" s="2730"/>
      <c r="Q1330" s="2730"/>
      <c r="R1330" s="2729" t="s">
        <v>10208</v>
      </c>
      <c r="S1330" s="2730"/>
      <c r="T1330" s="2730"/>
      <c r="U1330" s="2730"/>
      <c r="V1330" s="2730"/>
      <c r="W1330" s="2810"/>
    </row>
    <row r="1331" spans="1:23" ht="12.75" customHeight="1">
      <c r="A1331" s="219">
        <v>1294</v>
      </c>
      <c r="B1331" s="7939"/>
      <c r="C1331" s="2996"/>
      <c r="D1331" s="2728" t="s">
        <v>38</v>
      </c>
      <c r="E1331" s="2994">
        <v>40</v>
      </c>
      <c r="F1331" s="2994">
        <v>15</v>
      </c>
      <c r="G1331" s="2997" t="s">
        <v>39</v>
      </c>
      <c r="H1331" s="2729"/>
      <c r="I1331" s="2731"/>
      <c r="J1331" s="2729" t="s">
        <v>10203</v>
      </c>
      <c r="K1331" s="2730"/>
      <c r="L1331" s="2730"/>
      <c r="M1331" s="2730"/>
      <c r="N1331" s="2730"/>
      <c r="O1331" s="2731"/>
      <c r="P1331" s="2730"/>
      <c r="Q1331" s="2730"/>
      <c r="R1331" s="2998" t="s">
        <v>10209</v>
      </c>
      <c r="S1331" s="2730"/>
      <c r="T1331" s="2730"/>
      <c r="U1331" s="2730"/>
      <c r="V1331" s="2730"/>
      <c r="W1331" s="2810"/>
    </row>
    <row r="1332" spans="1:23" ht="12.75" customHeight="1">
      <c r="A1332" s="219">
        <v>1295</v>
      </c>
      <c r="B1332" s="7939"/>
      <c r="C1332" s="2996"/>
      <c r="D1332" s="2728" t="s">
        <v>40</v>
      </c>
      <c r="E1332" s="2994">
        <v>30</v>
      </c>
      <c r="F1332" s="2994">
        <v>10</v>
      </c>
      <c r="G1332" s="2997" t="s">
        <v>41</v>
      </c>
      <c r="H1332" s="2729"/>
      <c r="I1332" s="2731"/>
      <c r="J1332" s="2729" t="s">
        <v>10204</v>
      </c>
      <c r="K1332" s="2730"/>
      <c r="L1332" s="2730"/>
      <c r="M1332" s="2730"/>
      <c r="N1332" s="2730"/>
      <c r="O1332" s="2731"/>
      <c r="P1332" s="2730"/>
      <c r="Q1332" s="2730"/>
      <c r="R1332" s="2998" t="s">
        <v>10210</v>
      </c>
      <c r="S1332" s="2730"/>
      <c r="T1332" s="2730"/>
      <c r="U1332" s="2730"/>
      <c r="V1332" s="2730"/>
      <c r="W1332" s="2810"/>
    </row>
    <row r="1333" spans="1:23" ht="12.75" customHeight="1">
      <c r="A1333" s="219">
        <v>1296</v>
      </c>
      <c r="B1333" s="7939"/>
      <c r="C1333" s="2996"/>
      <c r="D1333" s="2728" t="s">
        <v>2285</v>
      </c>
      <c r="E1333" s="2994">
        <v>20</v>
      </c>
      <c r="F1333" s="2994">
        <v>10</v>
      </c>
      <c r="G1333" s="2997" t="s">
        <v>42</v>
      </c>
      <c r="H1333" s="2729"/>
      <c r="I1333" s="2731"/>
      <c r="J1333" s="2998" t="s">
        <v>10205</v>
      </c>
      <c r="K1333" s="2730"/>
      <c r="L1333" s="2730"/>
      <c r="M1333" s="2730"/>
      <c r="N1333" s="2730"/>
      <c r="O1333" s="2731"/>
      <c r="P1333" s="2730"/>
      <c r="Q1333" s="2730"/>
      <c r="R1333" s="2998" t="s">
        <v>10211</v>
      </c>
      <c r="S1333" s="2730"/>
      <c r="T1333" s="2730"/>
      <c r="U1333" s="2730"/>
      <c r="V1333" s="2730"/>
      <c r="W1333" s="2810"/>
    </row>
    <row r="1334" spans="1:23" ht="12.75" customHeight="1">
      <c r="A1334" s="219">
        <v>1297</v>
      </c>
      <c r="B1334" s="7939"/>
      <c r="C1334" s="2996"/>
      <c r="D1334" s="2728" t="s">
        <v>43</v>
      </c>
      <c r="E1334" s="2994">
        <v>40</v>
      </c>
      <c r="F1334" s="2994">
        <v>20</v>
      </c>
      <c r="G1334" s="2997" t="s">
        <v>44</v>
      </c>
      <c r="H1334" s="2729"/>
      <c r="I1334" s="2731"/>
      <c r="J1334" s="2729" t="s">
        <v>10206</v>
      </c>
      <c r="K1334" s="2730"/>
      <c r="L1334" s="2730"/>
      <c r="M1334" s="2730"/>
      <c r="N1334" s="2730"/>
      <c r="O1334" s="2731"/>
      <c r="P1334" s="2730"/>
      <c r="Q1334" s="2730"/>
      <c r="R1334" s="2729" t="s">
        <v>10212</v>
      </c>
      <c r="S1334" s="2730"/>
      <c r="T1334" s="2730"/>
      <c r="U1334" s="2730"/>
      <c r="V1334" s="2730"/>
      <c r="W1334" s="2810"/>
    </row>
    <row r="1335" spans="1:23" ht="12.75" customHeight="1">
      <c r="A1335" s="219">
        <v>1298</v>
      </c>
      <c r="B1335" s="7939"/>
      <c r="C1335" s="2996"/>
      <c r="D1335" s="2728" t="s">
        <v>10200</v>
      </c>
      <c r="E1335" s="2994">
        <v>30</v>
      </c>
      <c r="F1335" s="2994">
        <v>15</v>
      </c>
      <c r="G1335" s="2997" t="s">
        <v>10201</v>
      </c>
      <c r="H1335" s="2730"/>
      <c r="I1335" s="2731"/>
      <c r="J1335" s="2729" t="s">
        <v>10207</v>
      </c>
      <c r="K1335" s="2730"/>
      <c r="L1335" s="2730"/>
      <c r="M1335" s="2730"/>
      <c r="N1335" s="2730"/>
      <c r="O1335" s="2731"/>
      <c r="P1335" s="2730"/>
      <c r="Q1335" s="2730"/>
      <c r="R1335" s="2729" t="s">
        <v>10213</v>
      </c>
      <c r="S1335" s="2730"/>
      <c r="T1335" s="2730"/>
      <c r="U1335" s="2730"/>
      <c r="V1335" s="2730"/>
      <c r="W1335" s="2810"/>
    </row>
    <row r="1336" spans="1:23" ht="12.75" customHeight="1">
      <c r="A1336" s="219">
        <v>1299</v>
      </c>
      <c r="B1336" s="7939"/>
      <c r="C1336" s="2996"/>
      <c r="D1336" s="2728" t="str">
        <f>IF(Personalización!W66=0,"Patrón mental #1",Personalización!W66)</f>
        <v>Patrón mental #1</v>
      </c>
      <c r="E1336" s="2994">
        <f>Personalización!AB66</f>
        <v>0</v>
      </c>
      <c r="F1336" s="2994">
        <v>0</v>
      </c>
      <c r="G1336" s="2997">
        <f>Personalización!AD66</f>
        <v>0</v>
      </c>
      <c r="H1336" s="2730"/>
      <c r="I1336" s="2731"/>
      <c r="J1336" s="2999">
        <f>Personalización!Y68</f>
        <v>0</v>
      </c>
      <c r="K1336" s="2730"/>
      <c r="L1336" s="2730"/>
      <c r="M1336" s="2730"/>
      <c r="N1336" s="2730"/>
      <c r="O1336" s="2731"/>
      <c r="P1336" s="2730"/>
      <c r="Q1336" s="2730"/>
      <c r="R1336" s="2997">
        <f>Personalización!Y67</f>
        <v>0</v>
      </c>
      <c r="S1336" s="2730"/>
      <c r="T1336" s="2730"/>
      <c r="U1336" s="2730"/>
      <c r="V1336" s="2730"/>
      <c r="W1336" s="2810"/>
    </row>
    <row r="1337" spans="1:23" ht="12.75" customHeight="1" thickBot="1">
      <c r="A1337" s="219">
        <v>1300</v>
      </c>
      <c r="B1337" s="7939"/>
      <c r="C1337" s="3000"/>
      <c r="D1337" s="3001" t="str">
        <f>IF(Personalización!W70=0,"Patrón mental #2",Personalización!W70)</f>
        <v>Patrón mental #2</v>
      </c>
      <c r="E1337" s="3002">
        <f>Personalización!AB70</f>
        <v>0</v>
      </c>
      <c r="F1337" s="3002">
        <v>0</v>
      </c>
      <c r="G1337" s="3003">
        <f>Personalización!AD70</f>
        <v>0</v>
      </c>
      <c r="H1337" s="3004"/>
      <c r="I1337" s="3005"/>
      <c r="J1337" s="3006">
        <f>Personalización!Y72</f>
        <v>0</v>
      </c>
      <c r="K1337" s="3004"/>
      <c r="L1337" s="3004"/>
      <c r="M1337" s="3004"/>
      <c r="N1337" s="3004"/>
      <c r="O1337" s="3005"/>
      <c r="P1337" s="3004"/>
      <c r="Q1337" s="3004"/>
      <c r="R1337" s="3003">
        <f>Personalización!Y71</f>
        <v>0</v>
      </c>
      <c r="S1337" s="3004"/>
      <c r="T1337" s="3004"/>
      <c r="U1337" s="3004"/>
      <c r="V1337" s="3004"/>
      <c r="W1337" s="3007"/>
    </row>
    <row r="1338" spans="1:23" ht="12.75" customHeight="1" thickBot="1">
      <c r="A1338" s="219">
        <v>1301</v>
      </c>
      <c r="B1338" s="7939"/>
    </row>
    <row r="1339" spans="1:23" ht="12.75" customHeight="1">
      <c r="B1339" s="7939"/>
      <c r="C1339" s="1046"/>
      <c r="D1339" s="1046"/>
      <c r="E1339" s="1046"/>
      <c r="F1339" s="1046"/>
      <c r="G1339" s="1046"/>
      <c r="H1339"/>
      <c r="K1339" s="8111" t="s">
        <v>10214</v>
      </c>
      <c r="L1339" s="8112"/>
      <c r="M1339" s="258"/>
      <c r="N1339" s="3018" t="s">
        <v>10215</v>
      </c>
      <c r="O1339" s="3019" t="s">
        <v>10216</v>
      </c>
    </row>
    <row r="1340" spans="1:23" ht="12.75" customHeight="1">
      <c r="B1340" s="7939"/>
      <c r="C1340" s="1046"/>
      <c r="D1340" s="1046"/>
      <c r="E1340" s="1046"/>
      <c r="F1340" s="1046"/>
      <c r="G1340" s="1046"/>
      <c r="H1340"/>
      <c r="K1340" s="3008" t="s">
        <v>1289</v>
      </c>
      <c r="L1340" s="3009"/>
      <c r="M1340" s="258"/>
      <c r="N1340" s="3012" t="s">
        <v>10217</v>
      </c>
      <c r="O1340" s="3013">
        <f>IF(Personalización!AG82=Tablas!N1340,1,0)</f>
        <v>0</v>
      </c>
    </row>
    <row r="1341" spans="1:23" ht="12.75" customHeight="1" thickBot="1">
      <c r="B1341" s="7939"/>
      <c r="C1341" s="1046"/>
      <c r="D1341" s="1046"/>
      <c r="E1341" s="1046"/>
      <c r="F1341" s="1046"/>
      <c r="G1341" s="1046"/>
      <c r="H1341"/>
      <c r="K1341" s="3010" t="s">
        <v>1284</v>
      </c>
      <c r="L1341" s="3011"/>
      <c r="M1341" s="258"/>
      <c r="N1341" s="3012" t="s">
        <v>10218</v>
      </c>
      <c r="O1341" s="3013">
        <f>IF(Personalización!AG82=Tablas!N1341,1,0)</f>
        <v>0</v>
      </c>
    </row>
    <row r="1342" spans="1:23" ht="12.75" customHeight="1">
      <c r="B1342" s="7939"/>
      <c r="C1342" s="1046"/>
      <c r="D1342" s="1046"/>
      <c r="E1342" s="1046"/>
      <c r="F1342" s="1046"/>
      <c r="G1342" s="1046"/>
      <c r="H1342"/>
      <c r="L1342" s="259"/>
      <c r="M1342" s="258"/>
      <c r="N1342" s="3012" t="s">
        <v>10219</v>
      </c>
      <c r="O1342" s="3013">
        <f>IF(Personalización!AG82=Tablas!N1342,1,0)</f>
        <v>0</v>
      </c>
    </row>
    <row r="1343" spans="1:23" ht="12.75" customHeight="1" thickBot="1">
      <c r="B1343" s="7939"/>
      <c r="L1343" s="259"/>
      <c r="M1343" s="258"/>
      <c r="N1343" s="3014" t="s">
        <v>10220</v>
      </c>
      <c r="O1343" s="3015">
        <f>IF(Personalización!AG82=Tablas!N1343,1,0)</f>
        <v>0</v>
      </c>
    </row>
    <row r="1344" spans="1:23" ht="12.75" customHeight="1">
      <c r="B1344" s="7939"/>
      <c r="C1344" s="1046"/>
      <c r="D1344" s="1046"/>
      <c r="E1344" s="1046"/>
      <c r="F1344" s="1046"/>
      <c r="G1344" s="1046"/>
      <c r="H1344"/>
      <c r="L1344" s="259"/>
      <c r="M1344" s="258"/>
      <c r="N1344"/>
    </row>
    <row r="1345" spans="2:14" ht="12.75" customHeight="1">
      <c r="B1345" s="7939"/>
      <c r="C1345" s="1046"/>
      <c r="D1345" s="1046"/>
      <c r="E1345" s="1046"/>
      <c r="F1345" s="1046"/>
      <c r="G1345" s="1046"/>
      <c r="H1345"/>
      <c r="L1345" s="259"/>
      <c r="M1345" s="258"/>
      <c r="N1345"/>
    </row>
    <row r="1346" spans="2:14" ht="12.75" customHeight="1">
      <c r="B1346" s="7939"/>
      <c r="C1346" s="1046"/>
      <c r="D1346" s="1046"/>
      <c r="E1346" s="1046"/>
      <c r="F1346" s="1046"/>
      <c r="G1346" s="1046"/>
      <c r="H1346"/>
      <c r="L1346" s="259"/>
      <c r="M1346" s="258"/>
      <c r="N1346"/>
    </row>
    <row r="1347" spans="2:14" ht="12.75" customHeight="1">
      <c r="B1347" s="7939"/>
      <c r="C1347" s="1046"/>
      <c r="D1347" s="1046"/>
      <c r="E1347" s="1046"/>
      <c r="F1347" s="1046"/>
      <c r="G1347" s="1046"/>
      <c r="H1347"/>
      <c r="L1347" s="259"/>
      <c r="M1347" s="258"/>
      <c r="N1347"/>
    </row>
    <row r="1348" spans="2:14" ht="12.75" customHeight="1">
      <c r="B1348" s="7939"/>
      <c r="C1348" s="1046"/>
      <c r="D1348" s="1046"/>
      <c r="E1348" s="1046"/>
      <c r="F1348" s="1046"/>
      <c r="G1348" s="1046"/>
      <c r="H1348"/>
      <c r="L1348" s="259"/>
      <c r="M1348" s="258"/>
      <c r="N1348"/>
    </row>
    <row r="1349" spans="2:14" ht="12.75" customHeight="1">
      <c r="B1349" s="7939"/>
      <c r="C1349" s="1046"/>
      <c r="D1349" s="1046"/>
      <c r="E1349" s="1046"/>
      <c r="F1349" s="1046"/>
      <c r="G1349" s="1046"/>
      <c r="H1349"/>
      <c r="L1349" s="259"/>
      <c r="M1349" s="258"/>
      <c r="N1349"/>
    </row>
    <row r="1350" spans="2:14" ht="12.75" customHeight="1">
      <c r="B1350" s="7939"/>
      <c r="C1350" s="1046"/>
      <c r="D1350" s="1046"/>
      <c r="E1350" s="1046"/>
      <c r="F1350" s="1046"/>
      <c r="G1350" s="1046"/>
      <c r="H1350"/>
      <c r="L1350" s="259"/>
      <c r="M1350" s="258"/>
      <c r="N1350"/>
    </row>
    <row r="1351" spans="2:14" ht="12.75" customHeight="1">
      <c r="B1351" s="7939"/>
      <c r="C1351" s="1046"/>
      <c r="D1351" s="1046"/>
      <c r="E1351" s="1046"/>
      <c r="F1351" s="1046"/>
      <c r="G1351" s="1046"/>
      <c r="H1351"/>
      <c r="L1351" s="259"/>
      <c r="M1351" s="258"/>
      <c r="N1351"/>
    </row>
    <row r="1352" spans="2:14" ht="12.75" customHeight="1">
      <c r="B1352" s="7939"/>
      <c r="C1352" s="1046"/>
      <c r="D1352" s="1046"/>
      <c r="E1352" s="1046"/>
      <c r="F1352" s="1046"/>
      <c r="G1352" s="1046"/>
      <c r="H1352"/>
      <c r="L1352" s="259"/>
      <c r="M1352" s="258"/>
      <c r="N1352"/>
    </row>
    <row r="1353" spans="2:14" ht="12.75" customHeight="1">
      <c r="B1353" s="7939"/>
      <c r="C1353" s="1046"/>
      <c r="D1353" s="1046"/>
      <c r="E1353" s="1046"/>
      <c r="F1353" s="1046"/>
      <c r="G1353" s="1046"/>
      <c r="H1353"/>
      <c r="L1353" s="259"/>
      <c r="M1353" s="258"/>
      <c r="N1353"/>
    </row>
    <row r="1354" spans="2:14" ht="12.75" customHeight="1">
      <c r="B1354" s="7939"/>
      <c r="C1354" s="1046"/>
      <c r="D1354" s="1046"/>
      <c r="E1354" s="1046"/>
      <c r="F1354" s="1046"/>
      <c r="G1354" s="1046"/>
      <c r="H1354"/>
      <c r="L1354" s="259"/>
      <c r="M1354" s="258"/>
      <c r="N1354"/>
    </row>
    <row r="1355" spans="2:14" ht="12.75" customHeight="1">
      <c r="B1355" s="7939"/>
      <c r="C1355" s="1046"/>
      <c r="D1355" s="1046"/>
      <c r="E1355" s="1046"/>
      <c r="F1355" s="1046"/>
      <c r="G1355" s="1046"/>
      <c r="H1355"/>
      <c r="L1355" s="259"/>
      <c r="M1355" s="258"/>
      <c r="N1355"/>
    </row>
    <row r="1356" spans="2:14" ht="12.75" customHeight="1">
      <c r="B1356" s="7939"/>
      <c r="C1356" s="1046"/>
      <c r="D1356" s="1046"/>
      <c r="E1356" s="1046"/>
      <c r="F1356" s="1046"/>
      <c r="G1356" s="1046"/>
      <c r="H1356"/>
      <c r="L1356" s="259"/>
      <c r="M1356" s="258"/>
      <c r="N1356"/>
    </row>
    <row r="1357" spans="2:14" ht="12.75" customHeight="1">
      <c r="B1357" s="7939"/>
      <c r="C1357" s="1046"/>
      <c r="D1357" s="1046"/>
      <c r="E1357" s="1046"/>
      <c r="F1357" s="1046"/>
      <c r="G1357" s="1046"/>
      <c r="H1357"/>
      <c r="L1357" s="259"/>
      <c r="M1357" s="258"/>
      <c r="N1357"/>
    </row>
    <row r="1358" spans="2:14" ht="12.75" customHeight="1">
      <c r="B1358" s="7939"/>
      <c r="C1358" s="1046"/>
      <c r="D1358" s="1046"/>
      <c r="E1358" s="1046"/>
      <c r="F1358" s="1046"/>
      <c r="G1358" s="1046"/>
      <c r="H1358"/>
      <c r="L1358" s="259"/>
      <c r="M1358" s="258"/>
      <c r="N1358"/>
    </row>
    <row r="1359" spans="2:14" ht="12.75" customHeight="1">
      <c r="B1359" s="7939"/>
      <c r="C1359" s="1046"/>
      <c r="D1359" s="1046"/>
      <c r="E1359" s="1046"/>
      <c r="F1359" s="1046"/>
      <c r="G1359" s="1046"/>
      <c r="H1359"/>
      <c r="L1359" s="259"/>
      <c r="M1359" s="258"/>
      <c r="N1359"/>
    </row>
    <row r="1360" spans="2:14" ht="12.75" customHeight="1">
      <c r="B1360" s="7939"/>
      <c r="C1360" s="1046"/>
      <c r="D1360" s="1046"/>
      <c r="E1360" s="1046"/>
      <c r="F1360" s="1046"/>
      <c r="G1360" s="1046"/>
      <c r="H1360"/>
      <c r="L1360" s="259"/>
      <c r="M1360" s="258"/>
      <c r="N1360"/>
    </row>
    <row r="1361" spans="1:80" ht="12.75" customHeight="1">
      <c r="B1361" s="7939"/>
      <c r="C1361" s="1046"/>
      <c r="D1361" s="1046"/>
      <c r="E1361" s="1046"/>
      <c r="F1361" s="1046"/>
      <c r="G1361" s="1046"/>
      <c r="H1361"/>
      <c r="L1361" s="259"/>
      <c r="M1361" s="258"/>
      <c r="N1361"/>
    </row>
    <row r="1362" spans="1:80" ht="12.75" customHeight="1">
      <c r="B1362" s="7939"/>
      <c r="C1362" s="1046"/>
      <c r="D1362" s="1046"/>
      <c r="E1362" s="1046"/>
      <c r="F1362" s="1046"/>
      <c r="G1362" s="1046"/>
      <c r="H1362"/>
      <c r="L1362" s="259"/>
      <c r="M1362" s="258"/>
      <c r="N1362"/>
    </row>
    <row r="1363" spans="1:80" ht="12.75" customHeight="1">
      <c r="B1363" s="7939"/>
      <c r="C1363" s="1046"/>
      <c r="D1363" s="1046"/>
      <c r="E1363" s="1046"/>
      <c r="F1363" s="1046"/>
      <c r="G1363" s="1046"/>
      <c r="H1363"/>
      <c r="L1363" s="259"/>
      <c r="M1363" s="258"/>
      <c r="N1363"/>
    </row>
    <row r="1364" spans="1:80" ht="12.75" customHeight="1">
      <c r="B1364" s="7939"/>
      <c r="C1364" s="1046"/>
      <c r="D1364" s="1046"/>
      <c r="E1364" s="1046"/>
      <c r="F1364" s="1046"/>
      <c r="G1364" s="1046"/>
      <c r="H1364"/>
      <c r="L1364" s="259"/>
      <c r="M1364" s="258"/>
      <c r="N1364"/>
    </row>
    <row r="1365" spans="1:80" ht="12.75" customHeight="1">
      <c r="B1365" s="7939"/>
      <c r="C1365" s="1046"/>
      <c r="D1365" s="1046"/>
      <c r="E1365" s="1046"/>
      <c r="F1365" s="1046"/>
      <c r="G1365" s="1046"/>
      <c r="H1365"/>
      <c r="L1365" s="259"/>
      <c r="M1365" s="258"/>
      <c r="N1365"/>
    </row>
    <row r="1366" spans="1:80" ht="12.75" customHeight="1">
      <c r="A1366" s="219">
        <v>1302</v>
      </c>
      <c r="B1366" s="7939"/>
      <c r="C1366" s="1046"/>
      <c r="D1366" s="1046"/>
      <c r="E1366" s="1046"/>
      <c r="F1366" s="1046"/>
      <c r="G1366" s="1046"/>
      <c r="H1366"/>
      <c r="L1366" s="259"/>
      <c r="M1366" s="258"/>
      <c r="N1366"/>
    </row>
    <row r="1367" spans="1:80" ht="12.75" customHeight="1">
      <c r="A1367" s="219">
        <v>1303</v>
      </c>
      <c r="B1367" s="7939"/>
      <c r="C1367" s="1046"/>
      <c r="D1367" s="1046"/>
      <c r="E1367" s="1046"/>
      <c r="F1367" s="1046"/>
      <c r="G1367" s="1046"/>
      <c r="H1367"/>
      <c r="L1367" s="259"/>
      <c r="M1367" s="258"/>
      <c r="N1367"/>
    </row>
    <row r="1368" spans="1:80" ht="12.75" customHeight="1">
      <c r="A1368" s="219">
        <v>1304</v>
      </c>
      <c r="B1368" s="7145"/>
      <c r="C1368" s="7146" t="s">
        <v>6883</v>
      </c>
      <c r="D1368" s="7146"/>
      <c r="E1368" s="7146"/>
      <c r="F1368" s="7146"/>
      <c r="G1368" s="7146"/>
      <c r="H1368" s="7146"/>
      <c r="I1368" s="7146"/>
      <c r="J1368" s="7146"/>
      <c r="K1368" s="7146"/>
      <c r="L1368" s="7146"/>
      <c r="M1368" s="7146"/>
      <c r="N1368" s="7146"/>
      <c r="O1368" s="7146"/>
      <c r="P1368" s="7146"/>
      <c r="Q1368" s="7146"/>
      <c r="R1368" s="7146"/>
      <c r="S1368" s="7146"/>
      <c r="T1368" s="7146"/>
      <c r="U1368" s="7146"/>
      <c r="V1368" s="7146"/>
      <c r="W1368" s="7146"/>
      <c r="X1368" s="7146"/>
      <c r="Y1368" s="7146"/>
      <c r="Z1368" s="7146"/>
      <c r="AA1368" s="7146"/>
      <c r="AB1368" s="7146"/>
      <c r="AC1368" s="7146"/>
      <c r="AD1368" s="7146"/>
      <c r="AE1368" s="7146"/>
      <c r="AF1368" s="7146"/>
      <c r="AG1368" s="7146"/>
      <c r="AH1368" s="7146"/>
      <c r="AI1368" s="7146"/>
      <c r="AJ1368" s="7146"/>
      <c r="AK1368" s="7146"/>
      <c r="AL1368" s="7146"/>
      <c r="AM1368" s="7146"/>
      <c r="AN1368" s="7146"/>
      <c r="AO1368" s="7146"/>
      <c r="AP1368" s="7146"/>
      <c r="AQ1368" s="7146"/>
      <c r="AR1368" s="7146"/>
      <c r="AS1368" s="7146"/>
      <c r="AT1368" s="7146"/>
      <c r="AU1368" s="7146"/>
      <c r="AV1368" s="7146"/>
      <c r="AW1368" s="7146"/>
      <c r="AX1368" s="7146"/>
      <c r="AY1368" s="7146"/>
      <c r="AZ1368" s="7146"/>
      <c r="BA1368" s="7146"/>
      <c r="BB1368" s="7146"/>
      <c r="BC1368" s="7146"/>
      <c r="BD1368" s="7146"/>
      <c r="BE1368" s="7146"/>
      <c r="BF1368" s="7146"/>
      <c r="BG1368" s="7146"/>
      <c r="BH1368" s="7146"/>
      <c r="BI1368" s="7146"/>
      <c r="BJ1368" s="7146"/>
      <c r="BK1368" s="7146"/>
      <c r="BL1368" s="7146"/>
      <c r="BM1368" s="7146"/>
      <c r="BN1368" s="7146"/>
      <c r="BO1368" s="7146"/>
      <c r="BP1368" s="7146"/>
      <c r="BQ1368" s="7146"/>
      <c r="BR1368" s="7146"/>
      <c r="BS1368" s="7146"/>
      <c r="BT1368" s="7146"/>
      <c r="BU1368" s="7146"/>
      <c r="BV1368" s="7146"/>
      <c r="BW1368" s="7146"/>
      <c r="BX1368" s="7146"/>
      <c r="BY1368" s="7146"/>
      <c r="BZ1368" s="7146"/>
      <c r="CA1368" s="7146"/>
      <c r="CB1368" s="7146"/>
    </row>
    <row r="1369" spans="1:80" ht="12.75" customHeight="1">
      <c r="A1369" s="219">
        <v>1305</v>
      </c>
      <c r="B1369" s="7145"/>
      <c r="C1369" s="7146"/>
      <c r="D1369" s="7146"/>
      <c r="E1369" s="7146"/>
      <c r="F1369" s="7146"/>
      <c r="G1369" s="7146"/>
      <c r="H1369" s="7146"/>
      <c r="I1369" s="7146"/>
      <c r="J1369" s="7146"/>
      <c r="K1369" s="7146"/>
      <c r="L1369" s="7146"/>
      <c r="M1369" s="7146"/>
      <c r="N1369" s="7146"/>
      <c r="O1369" s="7146"/>
      <c r="P1369" s="7146"/>
      <c r="Q1369" s="7146"/>
      <c r="R1369" s="7146"/>
      <c r="S1369" s="7146"/>
      <c r="T1369" s="7146"/>
      <c r="U1369" s="7146"/>
      <c r="V1369" s="7146"/>
      <c r="W1369" s="7146"/>
      <c r="X1369" s="7146"/>
      <c r="Y1369" s="7146"/>
      <c r="Z1369" s="7146"/>
      <c r="AA1369" s="7146"/>
      <c r="AB1369" s="7146"/>
      <c r="AC1369" s="7146"/>
      <c r="AD1369" s="7146"/>
      <c r="AE1369" s="7146"/>
      <c r="AF1369" s="7146"/>
      <c r="AG1369" s="7146"/>
      <c r="AH1369" s="7146"/>
      <c r="AI1369" s="7146"/>
      <c r="AJ1369" s="7146"/>
      <c r="AK1369" s="7146"/>
      <c r="AL1369" s="7146"/>
      <c r="AM1369" s="7146"/>
      <c r="AN1369" s="7146"/>
      <c r="AO1369" s="7146"/>
      <c r="AP1369" s="7146"/>
      <c r="AQ1369" s="7146"/>
      <c r="AR1369" s="7146"/>
      <c r="AS1369" s="7146"/>
      <c r="AT1369" s="7146"/>
      <c r="AU1369" s="7146"/>
      <c r="AV1369" s="7146"/>
      <c r="AW1369" s="7146"/>
      <c r="AX1369" s="7146"/>
      <c r="AY1369" s="7146"/>
      <c r="AZ1369" s="7146"/>
      <c r="BA1369" s="7146"/>
      <c r="BB1369" s="7146"/>
      <c r="BC1369" s="7146"/>
      <c r="BD1369" s="7146"/>
      <c r="BE1369" s="7146"/>
      <c r="BF1369" s="7146"/>
      <c r="BG1369" s="7146"/>
      <c r="BH1369" s="7146"/>
      <c r="BI1369" s="7146"/>
      <c r="BJ1369" s="7146"/>
      <c r="BK1369" s="7146"/>
      <c r="BL1369" s="7146"/>
      <c r="BM1369" s="7146"/>
      <c r="BN1369" s="7146"/>
      <c r="BO1369" s="7146"/>
      <c r="BP1369" s="7146"/>
      <c r="BQ1369" s="7146"/>
      <c r="BR1369" s="7146"/>
      <c r="BS1369" s="7146"/>
      <c r="BT1369" s="7146"/>
      <c r="BU1369" s="7146"/>
      <c r="BV1369" s="7146"/>
      <c r="BW1369" s="7146"/>
      <c r="BX1369" s="7146"/>
      <c r="BY1369" s="7146"/>
      <c r="BZ1369" s="7146"/>
      <c r="CA1369" s="7146"/>
      <c r="CB1369" s="7146"/>
    </row>
    <row r="1370" spans="1:80" ht="12.75" customHeight="1">
      <c r="A1370" s="219">
        <v>1306</v>
      </c>
      <c r="B1370" s="7145"/>
      <c r="C1370" s="7146"/>
      <c r="D1370" s="7146"/>
      <c r="E1370" s="7146"/>
      <c r="F1370" s="7146"/>
      <c r="G1370" s="7146"/>
      <c r="H1370" s="7146"/>
      <c r="I1370" s="7146"/>
      <c r="J1370" s="7146"/>
      <c r="K1370" s="7146"/>
      <c r="L1370" s="7146"/>
      <c r="M1370" s="7146"/>
      <c r="N1370" s="7146"/>
      <c r="O1370" s="7146"/>
      <c r="P1370" s="7146"/>
      <c r="Q1370" s="7146"/>
      <c r="R1370" s="7146"/>
      <c r="S1370" s="7146"/>
      <c r="T1370" s="7146"/>
      <c r="U1370" s="7146"/>
      <c r="V1370" s="7146"/>
      <c r="W1370" s="7146"/>
      <c r="X1370" s="7146"/>
      <c r="Y1370" s="7146"/>
      <c r="Z1370" s="7146"/>
      <c r="AA1370" s="7146"/>
      <c r="AB1370" s="7146"/>
      <c r="AC1370" s="7146"/>
      <c r="AD1370" s="7146"/>
      <c r="AE1370" s="7146"/>
      <c r="AF1370" s="7146"/>
      <c r="AG1370" s="7146"/>
      <c r="AH1370" s="7146"/>
      <c r="AI1370" s="7146"/>
      <c r="AJ1370" s="7146"/>
      <c r="AK1370" s="7146"/>
      <c r="AL1370" s="7146"/>
      <c r="AM1370" s="7146"/>
      <c r="AN1370" s="7146"/>
      <c r="AO1370" s="7146"/>
      <c r="AP1370" s="7146"/>
      <c r="AQ1370" s="7146"/>
      <c r="AR1370" s="7146"/>
      <c r="AS1370" s="7146"/>
      <c r="AT1370" s="7146"/>
      <c r="AU1370" s="7146"/>
      <c r="AV1370" s="7146"/>
      <c r="AW1370" s="7146"/>
      <c r="AX1370" s="7146"/>
      <c r="AY1370" s="7146"/>
      <c r="AZ1370" s="7146"/>
      <c r="BA1370" s="7146"/>
      <c r="BB1370" s="7146"/>
      <c r="BC1370" s="7146"/>
      <c r="BD1370" s="7146"/>
      <c r="BE1370" s="7146"/>
      <c r="BF1370" s="7146"/>
      <c r="BG1370" s="7146"/>
      <c r="BH1370" s="7146"/>
      <c r="BI1370" s="7146"/>
      <c r="BJ1370" s="7146"/>
      <c r="BK1370" s="7146"/>
      <c r="BL1370" s="7146"/>
      <c r="BM1370" s="7146"/>
      <c r="BN1370" s="7146"/>
      <c r="BO1370" s="7146"/>
      <c r="BP1370" s="7146"/>
      <c r="BQ1370" s="7146"/>
      <c r="BR1370" s="7146"/>
      <c r="BS1370" s="7146"/>
      <c r="BT1370" s="7146"/>
      <c r="BU1370" s="7146"/>
      <c r="BV1370" s="7146"/>
      <c r="BW1370" s="7146"/>
      <c r="BX1370" s="7146"/>
      <c r="BY1370" s="7146"/>
      <c r="BZ1370" s="7146"/>
      <c r="CA1370" s="7146"/>
      <c r="CB1370" s="7146"/>
    </row>
    <row r="1371" spans="1:80" ht="12.75" customHeight="1" thickBot="1">
      <c r="A1371" s="219">
        <v>1307</v>
      </c>
      <c r="B1371" s="7145"/>
      <c r="H1371"/>
      <c r="I1371" s="510"/>
      <c r="N1371"/>
      <c r="O1371" s="510"/>
    </row>
    <row r="1372" spans="1:80" ht="12.75" customHeight="1">
      <c r="A1372" s="219">
        <v>1308</v>
      </c>
      <c r="B1372" s="7145"/>
      <c r="C1372" s="8119" t="s">
        <v>1108</v>
      </c>
      <c r="D1372" s="8120"/>
      <c r="E1372" s="8120"/>
      <c r="F1372" s="8120"/>
      <c r="G1372" s="8120"/>
      <c r="H1372" s="8120"/>
      <c r="I1372" s="8120"/>
      <c r="J1372" s="8120"/>
      <c r="K1372" s="8121"/>
      <c r="M1372" s="7862" t="s">
        <v>1298</v>
      </c>
      <c r="N1372" s="7863"/>
      <c r="O1372" s="7863"/>
      <c r="P1372" s="7863"/>
      <c r="Q1372" s="7863"/>
      <c r="R1372" s="7863"/>
      <c r="S1372" s="7863"/>
      <c r="T1372" s="7864"/>
      <c r="W1372" s="8045" t="s">
        <v>1300</v>
      </c>
      <c r="X1372" s="8046"/>
      <c r="Y1372" s="8114" t="s">
        <v>6893</v>
      </c>
      <c r="Z1372" s="8113" t="s">
        <v>6898</v>
      </c>
      <c r="AA1372" s="8114"/>
      <c r="AB1372" s="8114"/>
      <c r="AC1372" s="8114"/>
      <c r="AD1372" s="8114"/>
      <c r="AE1372" s="8114"/>
      <c r="AF1372" s="8114"/>
      <c r="AG1372" s="8114"/>
      <c r="AH1372" s="8114"/>
      <c r="AI1372" s="8114"/>
      <c r="AJ1372" s="8114"/>
      <c r="AK1372" s="8114"/>
      <c r="AL1372" s="8114"/>
      <c r="AM1372" s="8114"/>
      <c r="AN1372" s="8114"/>
      <c r="AO1372" s="8114"/>
      <c r="AP1372" s="8114"/>
      <c r="AQ1372" s="8114"/>
      <c r="AR1372" s="8114"/>
      <c r="AS1372" s="8114"/>
      <c r="AT1372" s="8114"/>
      <c r="AU1372" s="8114"/>
      <c r="AV1372" s="8114"/>
      <c r="AW1372" s="8114"/>
      <c r="AX1372" s="8114"/>
      <c r="AY1372" s="8114"/>
      <c r="AZ1372" s="8114"/>
      <c r="BA1372" s="8114"/>
      <c r="BB1372" s="8114"/>
      <c r="BC1372" s="8114"/>
      <c r="BD1372" s="8114"/>
      <c r="BE1372" s="8114"/>
      <c r="BF1372" s="8114"/>
      <c r="BG1372" s="8114"/>
      <c r="BH1372" s="8114"/>
      <c r="BI1372" s="8114"/>
      <c r="BJ1372" s="8114"/>
      <c r="BK1372" s="8114"/>
      <c r="BL1372" s="8114"/>
      <c r="BM1372" s="8114"/>
      <c r="BN1372" s="8114"/>
      <c r="BO1372" s="8114"/>
      <c r="BP1372" s="8114"/>
      <c r="BQ1372" s="8114"/>
      <c r="BR1372" s="8114"/>
      <c r="BS1372" s="8114"/>
      <c r="BT1372" s="8114"/>
      <c r="BU1372" s="8114"/>
      <c r="BV1372" s="8114"/>
      <c r="BW1372" s="8114"/>
      <c r="BX1372" s="8114"/>
      <c r="BY1372" s="8114"/>
      <c r="BZ1372" s="8114"/>
      <c r="CA1372" s="8114"/>
      <c r="CB1372" s="8115"/>
    </row>
    <row r="1373" spans="1:80" ht="12.75" customHeight="1">
      <c r="A1373" s="219">
        <v>1309</v>
      </c>
      <c r="B1373" s="7145"/>
      <c r="C1373" s="8144"/>
      <c r="D1373" s="8145"/>
      <c r="E1373" s="8145"/>
      <c r="F1373" s="8145"/>
      <c r="G1373" s="8145"/>
      <c r="H1373" s="8145"/>
      <c r="I1373" s="8145"/>
      <c r="J1373" s="8145"/>
      <c r="K1373" s="8146"/>
      <c r="M1373" s="7865"/>
      <c r="N1373" s="6485"/>
      <c r="O1373" s="6485"/>
      <c r="P1373" s="6485"/>
      <c r="Q1373" s="6485"/>
      <c r="R1373" s="6485"/>
      <c r="S1373" s="6485"/>
      <c r="T1373" s="7866"/>
      <c r="W1373" s="8047"/>
      <c r="X1373" s="6337"/>
      <c r="Y1373" s="8104"/>
      <c r="Z1373" s="8116"/>
      <c r="AA1373" s="8104"/>
      <c r="AB1373" s="8104"/>
      <c r="AC1373" s="8104"/>
      <c r="AD1373" s="8104"/>
      <c r="AE1373" s="8104"/>
      <c r="AF1373" s="8104"/>
      <c r="AG1373" s="8104"/>
      <c r="AH1373" s="8104"/>
      <c r="AI1373" s="8104"/>
      <c r="AJ1373" s="8104"/>
      <c r="AK1373" s="8104"/>
      <c r="AL1373" s="8104"/>
      <c r="AM1373" s="8104"/>
      <c r="AN1373" s="8104"/>
      <c r="AO1373" s="8104"/>
      <c r="AP1373" s="8104"/>
      <c r="AQ1373" s="8104"/>
      <c r="AR1373" s="8104"/>
      <c r="AS1373" s="8104"/>
      <c r="AT1373" s="8104"/>
      <c r="AU1373" s="8104"/>
      <c r="AV1373" s="8104"/>
      <c r="AW1373" s="8104"/>
      <c r="AX1373" s="8104"/>
      <c r="AY1373" s="8104"/>
      <c r="AZ1373" s="8104"/>
      <c r="BA1373" s="8104"/>
      <c r="BB1373" s="8104"/>
      <c r="BC1373" s="8104"/>
      <c r="BD1373" s="8104"/>
      <c r="BE1373" s="8104"/>
      <c r="BF1373" s="8104"/>
      <c r="BG1373" s="8104"/>
      <c r="BH1373" s="8104"/>
      <c r="BI1373" s="8104"/>
      <c r="BJ1373" s="8104"/>
      <c r="BK1373" s="8104"/>
      <c r="BL1373" s="8104"/>
      <c r="BM1373" s="8104"/>
      <c r="BN1373" s="8104"/>
      <c r="BO1373" s="8104"/>
      <c r="BP1373" s="8104"/>
      <c r="BQ1373" s="8104"/>
      <c r="BR1373" s="8104"/>
      <c r="BS1373" s="8104"/>
      <c r="BT1373" s="8104"/>
      <c r="BU1373" s="8104"/>
      <c r="BV1373" s="8104"/>
      <c r="BW1373" s="8104"/>
      <c r="BX1373" s="8104"/>
      <c r="BY1373" s="8104"/>
      <c r="BZ1373" s="8104"/>
      <c r="CA1373" s="8104"/>
      <c r="CB1373" s="8105"/>
    </row>
    <row r="1374" spans="1:80" ht="12.75" customHeight="1">
      <c r="A1374" s="219">
        <v>1310</v>
      </c>
      <c r="B1374" s="7145"/>
      <c r="C1374" s="909"/>
      <c r="D1374" s="858"/>
      <c r="E1374" s="858">
        <v>1</v>
      </c>
      <c r="F1374" s="858">
        <v>2</v>
      </c>
      <c r="G1374" s="858">
        <v>3</v>
      </c>
      <c r="H1374" s="858">
        <v>4</v>
      </c>
      <c r="I1374" s="858">
        <v>5</v>
      </c>
      <c r="J1374" s="858">
        <v>6</v>
      </c>
      <c r="K1374" s="674">
        <v>7</v>
      </c>
      <c r="M1374" s="909"/>
      <c r="N1374" s="858"/>
      <c r="O1374" s="858">
        <v>1</v>
      </c>
      <c r="P1374" s="858">
        <v>2</v>
      </c>
      <c r="Q1374" s="858">
        <v>3</v>
      </c>
      <c r="R1374" s="858">
        <v>4</v>
      </c>
      <c r="S1374" s="858">
        <v>5</v>
      </c>
      <c r="T1374" s="674">
        <v>6</v>
      </c>
      <c r="W1374" s="929" t="s">
        <v>1167</v>
      </c>
      <c r="X1374" s="699"/>
      <c r="Y1374" s="921"/>
      <c r="Z1374" s="1178"/>
      <c r="AA1374" s="1179"/>
      <c r="AB1374" s="1179"/>
      <c r="AC1374" s="1179"/>
      <c r="AD1374" s="1179"/>
      <c r="AE1374" s="1179"/>
      <c r="AF1374" s="1179"/>
      <c r="AG1374" s="1179"/>
      <c r="AH1374" s="1179"/>
      <c r="AI1374" s="1179"/>
      <c r="AJ1374" s="1179"/>
      <c r="AK1374" s="1179"/>
      <c r="AL1374" s="1179"/>
      <c r="AM1374" s="1179"/>
      <c r="AN1374" s="1179"/>
      <c r="AO1374" s="1179"/>
      <c r="AP1374" s="1179"/>
      <c r="AQ1374" s="1180"/>
      <c r="AR1374" s="1180"/>
      <c r="AS1374" s="1180"/>
      <c r="AT1374" s="1180"/>
      <c r="AU1374" s="1180"/>
      <c r="AV1374" s="1180"/>
      <c r="AW1374" s="1180"/>
      <c r="AX1374" s="1180"/>
      <c r="AY1374" s="1180"/>
      <c r="AZ1374" s="1180"/>
      <c r="BA1374" s="1180"/>
      <c r="BB1374" s="1180"/>
      <c r="BC1374" s="1180"/>
      <c r="BD1374" s="1180"/>
      <c r="BE1374" s="1180"/>
      <c r="BF1374" s="1180"/>
      <c r="BG1374" s="1180"/>
      <c r="BH1374" s="1180"/>
      <c r="BI1374" s="1180"/>
      <c r="BJ1374" s="1180"/>
      <c r="BK1374" s="1180"/>
      <c r="BL1374" s="1180"/>
      <c r="BM1374" s="1181"/>
      <c r="BN1374" s="1181"/>
      <c r="BO1374" s="1181"/>
      <c r="BP1374" s="1181"/>
      <c r="BQ1374" s="1181"/>
      <c r="BR1374" s="1181"/>
      <c r="BS1374" s="1181"/>
      <c r="BT1374" s="1181"/>
      <c r="BU1374" s="1181"/>
      <c r="BV1374" s="1181"/>
      <c r="BW1374" s="1181"/>
      <c r="BX1374" s="1181"/>
      <c r="BY1374" s="1181"/>
      <c r="BZ1374" s="1181"/>
      <c r="CA1374" s="1181"/>
      <c r="CB1374" s="1182"/>
    </row>
    <row r="1375" spans="1:80" ht="12.75" customHeight="1">
      <c r="A1375" s="219">
        <v>1311</v>
      </c>
      <c r="B1375" s="7145"/>
      <c r="C1375" s="910"/>
      <c r="D1375" s="911"/>
      <c r="E1375" s="857" t="s">
        <v>1300</v>
      </c>
      <c r="F1375" s="857" t="s">
        <v>1109</v>
      </c>
      <c r="G1375" s="857" t="s">
        <v>1349</v>
      </c>
      <c r="H1375" s="857" t="s">
        <v>2097</v>
      </c>
      <c r="I1375" s="912" t="s">
        <v>1757</v>
      </c>
      <c r="J1375" s="857" t="s">
        <v>6646</v>
      </c>
      <c r="K1375" s="913" t="s">
        <v>6890</v>
      </c>
      <c r="M1375" s="915"/>
      <c r="N1375" s="916"/>
      <c r="O1375" s="857" t="s">
        <v>1300</v>
      </c>
      <c r="P1375" s="857" t="s">
        <v>1236</v>
      </c>
      <c r="Q1375" s="917" t="s">
        <v>1349</v>
      </c>
      <c r="R1375" s="857" t="s">
        <v>2097</v>
      </c>
      <c r="S1375" s="857" t="s">
        <v>6646</v>
      </c>
      <c r="T1375" s="913" t="s">
        <v>6890</v>
      </c>
      <c r="W1375" s="929" t="s">
        <v>1770</v>
      </c>
      <c r="X1375" s="286"/>
      <c r="Y1375" s="924" t="str">
        <f>IF(Z1375="","",SUBSTITUTE("PodHab_"&amp;W1375," ",""))</f>
        <v/>
      </c>
      <c r="Z1375" s="1177" t="s">
        <v>6506</v>
      </c>
      <c r="AA1375" s="1183"/>
      <c r="AB1375" s="1183"/>
      <c r="AC1375" s="1183"/>
      <c r="AD1375" s="1183"/>
      <c r="AE1375" s="1183"/>
      <c r="AF1375" s="1183"/>
      <c r="AG1375" s="1183"/>
      <c r="AH1375" s="1183"/>
      <c r="AI1375" s="1183"/>
      <c r="AJ1375" s="1183"/>
      <c r="AK1375" s="1183"/>
      <c r="AL1375" s="1183"/>
      <c r="AM1375" s="1183"/>
      <c r="AN1375" s="1183"/>
      <c r="AO1375" s="1183"/>
      <c r="AP1375" s="1183"/>
      <c r="AQ1375" s="1181"/>
      <c r="AR1375" s="1181"/>
      <c r="AS1375" s="1181"/>
      <c r="AT1375" s="1181"/>
      <c r="AU1375" s="1181"/>
      <c r="AV1375" s="1181"/>
      <c r="AW1375" s="1181"/>
      <c r="AX1375" s="1181"/>
      <c r="AY1375" s="1181"/>
      <c r="AZ1375" s="1181"/>
      <c r="BA1375" s="1181"/>
      <c r="BB1375" s="1181"/>
      <c r="BC1375" s="1181"/>
      <c r="BD1375" s="1181"/>
      <c r="BE1375" s="1181"/>
      <c r="BF1375" s="1181"/>
      <c r="BG1375" s="1181"/>
      <c r="BH1375" s="1181"/>
      <c r="BI1375" s="1181"/>
      <c r="BJ1375" s="1181"/>
      <c r="BK1375" s="1181"/>
      <c r="BL1375" s="1181"/>
      <c r="BM1375" s="1181"/>
      <c r="BN1375" s="1181"/>
      <c r="BO1375" s="1181"/>
      <c r="BP1375" s="1181"/>
      <c r="BQ1375" s="1181"/>
      <c r="BR1375" s="1181"/>
      <c r="BS1375" s="1181"/>
      <c r="BT1375" s="1181"/>
      <c r="BU1375" s="1181"/>
      <c r="BV1375" s="1181"/>
      <c r="BW1375" s="1181"/>
      <c r="BX1375" s="1181"/>
      <c r="BY1375" s="1181"/>
      <c r="BZ1375" s="1181"/>
      <c r="CA1375" s="1181"/>
      <c r="CB1375" s="1182"/>
    </row>
    <row r="1376" spans="1:80" ht="12.75" customHeight="1">
      <c r="A1376" s="219">
        <v>1312</v>
      </c>
      <c r="B1376" s="7145"/>
      <c r="C1376" s="515"/>
      <c r="D1376" s="252"/>
      <c r="E1376" s="905" t="s">
        <v>1110</v>
      </c>
      <c r="F1376" s="75">
        <v>0</v>
      </c>
      <c r="G1376" s="75">
        <v>0</v>
      </c>
      <c r="H1376" s="75"/>
      <c r="I1376" s="907"/>
      <c r="J1376" s="173"/>
      <c r="K1376" s="898"/>
      <c r="M1376" s="307"/>
      <c r="N1376" s="21"/>
      <c r="O1376" s="131" t="s">
        <v>1167</v>
      </c>
      <c r="P1376" s="895"/>
      <c r="Q1376" s="84"/>
      <c r="R1376" s="907"/>
      <c r="S1376" s="173"/>
      <c r="T1376" s="898"/>
      <c r="W1376" s="929" t="s">
        <v>6900</v>
      </c>
      <c r="X1376" s="286"/>
      <c r="Y1376" s="758" t="str">
        <f t="shared" ref="Y1376:Y1381" si="408">IF(Z1376="","",SUBSTITUTE("PodHab_"&amp;W1376," ",""))</f>
        <v>PodHab_Ataqueadicional</v>
      </c>
      <c r="Z1376" s="1177" t="s">
        <v>6950</v>
      </c>
      <c r="AA1376" s="1183" t="s">
        <v>6951</v>
      </c>
      <c r="AB1376" s="1183" t="s">
        <v>6952</v>
      </c>
      <c r="AC1376" s="1183" t="s">
        <v>6953</v>
      </c>
      <c r="AD1376" s="1183" t="s">
        <v>6954</v>
      </c>
      <c r="AE1376" s="1183" t="s">
        <v>6955</v>
      </c>
      <c r="AF1376" s="1183" t="s">
        <v>6922</v>
      </c>
      <c r="AG1376" s="1181" t="s">
        <v>9968</v>
      </c>
      <c r="AH1376" s="1183" t="s">
        <v>9969</v>
      </c>
      <c r="AI1376" s="1183" t="s">
        <v>9970</v>
      </c>
      <c r="AJ1376" s="1181" t="s">
        <v>9975</v>
      </c>
      <c r="AK1376" s="1183" t="s">
        <v>9976</v>
      </c>
      <c r="AL1376" s="1183" t="s">
        <v>9977</v>
      </c>
      <c r="AM1376" s="1183"/>
      <c r="AN1376" s="699"/>
      <c r="AO1376" s="699"/>
      <c r="AP1376" s="304"/>
      <c r="AQ1376" s="1183"/>
      <c r="AR1376" s="304"/>
      <c r="AS1376" s="304"/>
      <c r="AT1376" s="304"/>
      <c r="AU1376" s="1181"/>
      <c r="AV1376" s="1181"/>
      <c r="AW1376" s="1181"/>
      <c r="AX1376" s="1181"/>
      <c r="AY1376" s="1181"/>
      <c r="AZ1376" s="1181"/>
      <c r="BA1376" s="1181"/>
      <c r="BB1376" s="1181"/>
      <c r="BC1376" s="1181"/>
      <c r="BD1376" s="1181"/>
      <c r="BE1376" s="1181"/>
      <c r="BF1376" s="1181"/>
      <c r="BG1376" s="1181"/>
      <c r="BH1376" s="1181"/>
      <c r="BI1376" s="1181"/>
      <c r="BJ1376" s="1181"/>
      <c r="BK1376" s="1181"/>
      <c r="BL1376" s="1181"/>
      <c r="BM1376" s="1181"/>
      <c r="BN1376" s="1181"/>
      <c r="BO1376" s="1181"/>
      <c r="BP1376" s="1181"/>
      <c r="BQ1376" s="1181"/>
      <c r="BR1376" s="1181"/>
      <c r="BS1376" s="1181"/>
      <c r="BT1376" s="1181"/>
      <c r="BU1376" s="1181"/>
      <c r="BV1376" s="1181"/>
      <c r="BW1376" s="1181"/>
      <c r="BX1376" s="1181"/>
      <c r="BY1376" s="1181"/>
      <c r="BZ1376" s="1181"/>
      <c r="CA1376" s="1181"/>
      <c r="CB1376" s="1182"/>
    </row>
    <row r="1377" spans="1:80" ht="12.75" customHeight="1">
      <c r="A1377" s="219">
        <v>1313</v>
      </c>
      <c r="B1377" s="7145"/>
      <c r="C1377" s="902"/>
      <c r="D1377" s="57"/>
      <c r="E1377" s="905" t="s">
        <v>1111</v>
      </c>
      <c r="F1377" s="75">
        <v>0</v>
      </c>
      <c r="G1377" s="75">
        <v>10</v>
      </c>
      <c r="H1377" s="75">
        <f>COUNTIF(HabilidadesEsenciales_Adquiridas,Tablas!E1377)</f>
        <v>0</v>
      </c>
      <c r="I1377" s="907">
        <v>1</v>
      </c>
      <c r="J1377" s="173"/>
      <c r="K1377" s="898"/>
      <c r="M1377" s="307"/>
      <c r="N1377" s="21"/>
      <c r="O1377" s="131" t="s">
        <v>1770</v>
      </c>
      <c r="P1377" s="900">
        <v>0</v>
      </c>
      <c r="Q1377" s="173">
        <v>20</v>
      </c>
      <c r="R1377" s="907">
        <f>COUNTIF(PoderesDeCriatura_Adquiridos,Tablas!O1377)</f>
        <v>0</v>
      </c>
      <c r="S1377" s="173"/>
      <c r="T1377" s="898"/>
      <c r="W1377" s="929" t="s">
        <v>1490</v>
      </c>
      <c r="X1377" s="304"/>
      <c r="Y1377" s="758" t="str">
        <f>IF(Z1377="","",SUBSTITUTE("PodHab_"&amp;W1377," ",""))</f>
        <v>PodHab_Ataqueelemental</v>
      </c>
      <c r="Z1377" s="1177" t="s">
        <v>1468</v>
      </c>
      <c r="AA1377" s="1183" t="s">
        <v>1461</v>
      </c>
      <c r="AB1377" s="1183" t="s">
        <v>1464</v>
      </c>
      <c r="AC1377" s="1183" t="s">
        <v>1558</v>
      </c>
      <c r="AD1377" s="1183" t="s">
        <v>1553</v>
      </c>
      <c r="AE1377" s="1183" t="s">
        <v>1554</v>
      </c>
      <c r="AF1377" s="1181" t="s">
        <v>9968</v>
      </c>
      <c r="AG1377" s="1183" t="s">
        <v>9969</v>
      </c>
      <c r="AH1377" s="1183" t="s">
        <v>9971</v>
      </c>
      <c r="AI1377" s="1183" t="s">
        <v>9972</v>
      </c>
      <c r="AJ1377" s="1183" t="s">
        <v>9973</v>
      </c>
      <c r="AK1377" s="1183"/>
      <c r="AL1377" s="1183"/>
      <c r="AM1377" s="1179"/>
      <c r="AN1377" s="1179"/>
      <c r="AO1377" s="1179"/>
      <c r="AP1377" s="1179"/>
      <c r="AQ1377" s="1180"/>
      <c r="AR1377" s="1180"/>
      <c r="AS1377" s="1180"/>
      <c r="AT1377" s="1180"/>
      <c r="AU1377" s="1180"/>
      <c r="AV1377" s="1180"/>
      <c r="AW1377" s="1180"/>
      <c r="AX1377" s="1180"/>
      <c r="AY1377" s="1180"/>
      <c r="AZ1377" s="1180"/>
      <c r="BA1377" s="1180"/>
      <c r="BB1377" s="1180"/>
      <c r="BC1377" s="1180"/>
      <c r="BD1377" s="1180"/>
      <c r="BE1377" s="1180"/>
      <c r="BF1377" s="1180"/>
      <c r="BG1377" s="1180"/>
      <c r="BH1377" s="1180"/>
      <c r="BI1377" s="1180"/>
      <c r="BJ1377" s="1180"/>
      <c r="BK1377" s="1180"/>
      <c r="BL1377" s="1181"/>
      <c r="BM1377" s="1181"/>
      <c r="BN1377" s="1181"/>
      <c r="BO1377" s="1181"/>
      <c r="BP1377" s="1181"/>
      <c r="BQ1377" s="1181"/>
      <c r="BR1377" s="1181"/>
      <c r="BS1377" s="1181"/>
      <c r="BT1377" s="1181"/>
      <c r="BU1377" s="1181"/>
      <c r="BV1377" s="1181"/>
      <c r="BW1377" s="1181"/>
      <c r="BX1377" s="1181"/>
      <c r="BY1377" s="1181"/>
      <c r="BZ1377" s="1181"/>
      <c r="CA1377" s="1181"/>
      <c r="CB1377" s="1182"/>
    </row>
    <row r="1378" spans="1:80" ht="12.75" customHeight="1">
      <c r="A1378" s="219">
        <v>1314</v>
      </c>
      <c r="B1378" s="7145"/>
      <c r="C1378" s="902"/>
      <c r="D1378" s="57"/>
      <c r="E1378" s="905" t="s">
        <v>2113</v>
      </c>
      <c r="F1378" s="75">
        <v>5</v>
      </c>
      <c r="G1378" s="75">
        <v>30</v>
      </c>
      <c r="H1378" s="75">
        <f>COUNTIF(HabilidadesEsenciales_Adquiridas,Tablas!E1378)</f>
        <v>0</v>
      </c>
      <c r="I1378" s="907">
        <v>2</v>
      </c>
      <c r="J1378" s="173"/>
      <c r="K1378" s="898"/>
      <c r="M1378" s="307"/>
      <c r="N1378" s="21"/>
      <c r="O1378" s="131" t="s">
        <v>7218</v>
      </c>
      <c r="P1378" s="900">
        <v>0</v>
      </c>
      <c r="Q1378" s="173">
        <v>20</v>
      </c>
      <c r="R1378" s="907">
        <f>COUNTIF(PoderesDeCriatura_Adquiridos,Tablas!O1378)</f>
        <v>0</v>
      </c>
      <c r="S1378" s="173"/>
      <c r="T1378" s="898"/>
      <c r="W1378" s="929" t="s">
        <v>6923</v>
      </c>
      <c r="X1378" s="286"/>
      <c r="Y1378" s="758" t="str">
        <f t="shared" si="408"/>
        <v>PodHab_Ataqueespecial</v>
      </c>
      <c r="Z1378" s="1177" t="s">
        <v>6956</v>
      </c>
      <c r="AA1378" s="1183" t="s">
        <v>6957</v>
      </c>
      <c r="AB1378" s="1183" t="s">
        <v>6958</v>
      </c>
      <c r="AC1378" s="1183" t="s">
        <v>6959</v>
      </c>
      <c r="AD1378" s="1183" t="s">
        <v>6960</v>
      </c>
      <c r="AE1378" s="1183" t="s">
        <v>6961</v>
      </c>
      <c r="AF1378" s="1183" t="s">
        <v>6962</v>
      </c>
      <c r="AG1378" s="1183" t="s">
        <v>6963</v>
      </c>
      <c r="AH1378" s="1183" t="s">
        <v>6964</v>
      </c>
      <c r="AI1378" s="1183" t="s">
        <v>6965</v>
      </c>
      <c r="AJ1378" s="1183" t="s">
        <v>6966</v>
      </c>
      <c r="AK1378" s="1183" t="s">
        <v>6967</v>
      </c>
      <c r="AL1378" s="1183" t="s">
        <v>6968</v>
      </c>
      <c r="AM1378" s="1183" t="s">
        <v>6969</v>
      </c>
      <c r="AN1378" s="1183" t="s">
        <v>6970</v>
      </c>
      <c r="AO1378" s="1183" t="s">
        <v>6971</v>
      </c>
      <c r="AP1378" s="1183" t="s">
        <v>6972</v>
      </c>
      <c r="AQ1378" s="1181" t="s">
        <v>6973</v>
      </c>
      <c r="AR1378" s="1181" t="s">
        <v>6974</v>
      </c>
      <c r="AS1378" s="1181" t="s">
        <v>6975</v>
      </c>
      <c r="AT1378" s="1181" t="s">
        <v>6976</v>
      </c>
      <c r="AU1378" s="1181" t="s">
        <v>6977</v>
      </c>
      <c r="AV1378" s="1181" t="s">
        <v>6978</v>
      </c>
      <c r="AW1378" s="1181" t="s">
        <v>5255</v>
      </c>
      <c r="AX1378" s="1181" t="s">
        <v>6979</v>
      </c>
      <c r="AY1378" s="1181" t="s">
        <v>6980</v>
      </c>
      <c r="AZ1378" s="1181" t="s">
        <v>6981</v>
      </c>
      <c r="BA1378" s="1181" t="s">
        <v>6982</v>
      </c>
      <c r="BB1378" s="1181" t="s">
        <v>6983</v>
      </c>
      <c r="BC1378" s="1181" t="s">
        <v>6984</v>
      </c>
      <c r="BD1378" s="1181" t="s">
        <v>6985</v>
      </c>
      <c r="BE1378" s="1181" t="s">
        <v>9968</v>
      </c>
      <c r="BF1378" s="1183" t="s">
        <v>9969</v>
      </c>
      <c r="BG1378" s="1183" t="s">
        <v>9970</v>
      </c>
      <c r="BH1378" s="1183" t="s">
        <v>9971</v>
      </c>
      <c r="BI1378" s="1183" t="s">
        <v>9972</v>
      </c>
      <c r="BJ1378" s="1183" t="s">
        <v>9973</v>
      </c>
      <c r="BK1378" s="1183" t="s">
        <v>9974</v>
      </c>
      <c r="BL1378" s="1181"/>
      <c r="BM1378" s="1181"/>
      <c r="BN1378" s="1181"/>
      <c r="BO1378" s="1181"/>
      <c r="BP1378" s="1181"/>
      <c r="BQ1378" s="1181"/>
      <c r="BR1378" s="1181"/>
      <c r="BS1378" s="1181"/>
      <c r="BT1378" s="1181"/>
      <c r="BU1378" s="1181"/>
      <c r="BV1378" s="1181"/>
      <c r="BW1378" s="1181"/>
      <c r="BX1378" s="1181"/>
      <c r="BY1378" s="1181"/>
      <c r="BZ1378" s="1181"/>
      <c r="CA1378" s="1181"/>
      <c r="CB1378" s="1182"/>
    </row>
    <row r="1379" spans="1:80" ht="12.75" customHeight="1">
      <c r="A1379" s="219">
        <v>1315</v>
      </c>
      <c r="B1379" s="7145"/>
      <c r="C1379" s="902"/>
      <c r="D1379" s="57"/>
      <c r="E1379" s="905" t="s">
        <v>1112</v>
      </c>
      <c r="F1379" s="75">
        <v>5</v>
      </c>
      <c r="G1379" s="75">
        <v>15</v>
      </c>
      <c r="H1379" s="75">
        <f>COUNTIF(HabilidadesEsenciales_Adquiridas,Tablas!E1379)</f>
        <v>0</v>
      </c>
      <c r="I1379" s="907"/>
      <c r="J1379" s="173"/>
      <c r="K1379" s="898"/>
      <c r="M1379" s="307"/>
      <c r="N1379" s="21"/>
      <c r="O1379" s="131" t="s">
        <v>7219</v>
      </c>
      <c r="P1379" s="900">
        <v>0</v>
      </c>
      <c r="Q1379" s="173">
        <v>30</v>
      </c>
      <c r="R1379" s="907">
        <f>COUNTIF(PoderesDeCriatura_Adquiridos,Tablas!O1379)</f>
        <v>0</v>
      </c>
      <c r="S1379" s="173"/>
      <c r="T1379" s="898"/>
      <c r="W1379" s="929" t="s">
        <v>1169</v>
      </c>
      <c r="X1379" s="304"/>
      <c r="Y1379" s="758" t="str">
        <f t="shared" si="408"/>
        <v/>
      </c>
      <c r="Z1379" s="1178"/>
      <c r="AA1379" s="1179"/>
      <c r="AB1379" s="1179"/>
      <c r="AC1379" s="1179"/>
      <c r="AD1379" s="1179"/>
      <c r="AE1379" s="1179"/>
      <c r="AF1379" s="1179"/>
      <c r="AG1379" s="1179"/>
      <c r="AH1379" s="1179"/>
      <c r="AI1379" s="1179"/>
      <c r="AJ1379" s="1179"/>
      <c r="AK1379" s="1179"/>
      <c r="AL1379" s="1179"/>
      <c r="AM1379" s="1179"/>
      <c r="AN1379" s="1179"/>
      <c r="AO1379" s="1179"/>
      <c r="AP1379" s="1179"/>
      <c r="AQ1379" s="1180"/>
      <c r="AR1379" s="1180"/>
      <c r="AS1379" s="1180"/>
      <c r="AT1379" s="1180"/>
      <c r="AU1379" s="1180"/>
      <c r="AV1379" s="1180"/>
      <c r="AW1379" s="1180"/>
      <c r="AX1379" s="1180"/>
      <c r="AY1379" s="1180"/>
      <c r="AZ1379" s="1180"/>
      <c r="BA1379" s="1180"/>
      <c r="BB1379" s="1180"/>
      <c r="BC1379" s="1180"/>
      <c r="BD1379" s="1180"/>
      <c r="BE1379" s="1180"/>
      <c r="BF1379" s="1180"/>
      <c r="BG1379" s="1180"/>
      <c r="BH1379" s="1180"/>
      <c r="BI1379" s="1180"/>
      <c r="BJ1379" s="1180"/>
      <c r="BK1379" s="1180"/>
      <c r="BL1379" s="1181"/>
      <c r="BM1379" s="1181"/>
      <c r="BN1379" s="1181"/>
      <c r="BO1379" s="1181"/>
      <c r="BP1379" s="1181"/>
      <c r="BQ1379" s="1181"/>
      <c r="BR1379" s="1181"/>
      <c r="BS1379" s="1181"/>
      <c r="BT1379" s="1181"/>
      <c r="BU1379" s="1181"/>
      <c r="BV1379" s="1181"/>
      <c r="BW1379" s="1181"/>
      <c r="BX1379" s="1181"/>
      <c r="BY1379" s="1181"/>
      <c r="BZ1379" s="1181"/>
      <c r="CA1379" s="1181"/>
      <c r="CB1379" s="1182"/>
    </row>
    <row r="1380" spans="1:80" ht="12.75" customHeight="1">
      <c r="A1380" s="219">
        <v>1316</v>
      </c>
      <c r="B1380" s="7145"/>
      <c r="C1380" s="902"/>
      <c r="D1380" s="57"/>
      <c r="E1380" s="905" t="s">
        <v>1113</v>
      </c>
      <c r="F1380" s="75">
        <v>5</v>
      </c>
      <c r="G1380" s="75">
        <v>30</v>
      </c>
      <c r="H1380" s="75">
        <f>COUNTIF(HabilidadesEsenciales_Adquiridas,Tablas!E1380)</f>
        <v>0</v>
      </c>
      <c r="I1380" s="907"/>
      <c r="J1380" s="173"/>
      <c r="K1380" s="898"/>
      <c r="M1380" s="307"/>
      <c r="N1380" s="21"/>
      <c r="O1380" s="131" t="s">
        <v>7220</v>
      </c>
      <c r="P1380" s="900">
        <v>0</v>
      </c>
      <c r="Q1380" s="173">
        <v>40</v>
      </c>
      <c r="R1380" s="907">
        <f>COUNTIF(PoderesDeCriatura_Adquiridos,Tablas!O1380)</f>
        <v>0</v>
      </c>
      <c r="S1380" s="173"/>
      <c r="T1380" s="898"/>
      <c r="W1380" s="929" t="s">
        <v>6903</v>
      </c>
      <c r="X1380" s="286"/>
      <c r="Y1380" s="758" t="str">
        <f t="shared" si="408"/>
        <v>PodHab_Ataquevenenoso</v>
      </c>
      <c r="Z1380" s="1177" t="s">
        <v>6986</v>
      </c>
      <c r="AA1380" s="1183" t="s">
        <v>6987</v>
      </c>
      <c r="AB1380" s="1183" t="s">
        <v>6988</v>
      </c>
      <c r="AC1380" s="1183" t="s">
        <v>6989</v>
      </c>
      <c r="AD1380" s="1183" t="s">
        <v>6990</v>
      </c>
      <c r="AE1380" s="1183" t="s">
        <v>6991</v>
      </c>
      <c r="AF1380" s="1183" t="s">
        <v>6992</v>
      </c>
      <c r="AG1380" s="1183" t="s">
        <v>6993</v>
      </c>
      <c r="AH1380" s="1183" t="s">
        <v>6994</v>
      </c>
      <c r="AI1380" s="1183" t="s">
        <v>6995</v>
      </c>
      <c r="AJ1380" s="1183"/>
      <c r="AK1380" s="1179"/>
      <c r="AL1380" s="1179"/>
      <c r="AM1380" s="1179"/>
      <c r="AN1380" s="1179"/>
      <c r="AO1380" s="1179"/>
      <c r="AP1380" s="1179"/>
      <c r="AQ1380" s="1180"/>
      <c r="AR1380" s="1180"/>
      <c r="AS1380" s="1180"/>
      <c r="AT1380" s="1180"/>
      <c r="AU1380" s="1180"/>
      <c r="AV1380" s="1180"/>
      <c r="AW1380" s="1180"/>
      <c r="AX1380" s="1180"/>
      <c r="AY1380" s="1180"/>
      <c r="AZ1380" s="1180"/>
      <c r="BA1380" s="1180"/>
      <c r="BB1380" s="1180"/>
      <c r="BC1380" s="1180"/>
      <c r="BD1380" s="1180"/>
      <c r="BE1380" s="1180"/>
      <c r="BF1380" s="1180"/>
      <c r="BG1380" s="1180"/>
      <c r="BH1380" s="1180"/>
      <c r="BI1380" s="1180"/>
      <c r="BJ1380" s="1180"/>
      <c r="BK1380" s="1180"/>
      <c r="BL1380" s="1181"/>
      <c r="BM1380" s="1181"/>
      <c r="BN1380" s="1181"/>
      <c r="BO1380" s="1181"/>
      <c r="BP1380" s="1181"/>
      <c r="BQ1380" s="1181"/>
      <c r="BR1380" s="1181"/>
      <c r="BS1380" s="1181"/>
      <c r="BT1380" s="1181"/>
      <c r="BU1380" s="1181"/>
      <c r="BV1380" s="1181"/>
      <c r="BW1380" s="1181"/>
      <c r="BX1380" s="1181"/>
      <c r="BY1380" s="1181"/>
      <c r="BZ1380" s="1181"/>
      <c r="CA1380" s="1181"/>
      <c r="CB1380" s="1182"/>
    </row>
    <row r="1381" spans="1:80" ht="12.75" customHeight="1">
      <c r="A1381" s="219">
        <v>1317</v>
      </c>
      <c r="B1381" s="7145"/>
      <c r="C1381" s="902"/>
      <c r="D1381" s="57"/>
      <c r="E1381" s="905" t="s">
        <v>9812</v>
      </c>
      <c r="F1381" s="75">
        <v>0</v>
      </c>
      <c r="G1381" s="75">
        <v>10</v>
      </c>
      <c r="H1381" s="75">
        <f>COUNTIF(HabilidadesEsenciales_Adquiridas,Tablas!E1381)</f>
        <v>0</v>
      </c>
      <c r="I1381" s="907">
        <v>1</v>
      </c>
      <c r="J1381" s="173" t="b">
        <f>SUM($H$1381:$H$1385)&gt;0</f>
        <v>0</v>
      </c>
      <c r="K1381" s="898" t="str">
        <f>IFERROR(LEFT(L1381,LEN(L1381)-2),"")</f>
        <v/>
      </c>
      <c r="L1381" t="str">
        <f>IF(H1381,"Gusto, ","")&amp;IF(H1382,"Oído, ","")&amp;IF(H1383,"Olfato, ","")&amp;IF(H1384,"Tacto, ","")&amp;IF(H1385,"Vista, ","")</f>
        <v/>
      </c>
      <c r="M1381" s="307"/>
      <c r="N1381" s="21"/>
      <c r="O1381" s="131" t="s">
        <v>7221</v>
      </c>
      <c r="P1381" s="900">
        <v>5</v>
      </c>
      <c r="Q1381" s="173">
        <v>50</v>
      </c>
      <c r="R1381" s="907">
        <f>COUNTIF(PoderesDeCriatura_Adquiridos,Tablas!O1381)</f>
        <v>0</v>
      </c>
      <c r="S1381" s="173"/>
      <c r="T1381" s="898"/>
      <c r="W1381" s="929" t="s">
        <v>6668</v>
      </c>
      <c r="X1381" s="286"/>
      <c r="Y1381" s="758" t="str">
        <f t="shared" si="408"/>
        <v>PodHab_Críticoincrementado</v>
      </c>
      <c r="Z1381" s="1177" t="s">
        <v>6996</v>
      </c>
      <c r="AA1381" s="1183" t="s">
        <v>6997</v>
      </c>
      <c r="AB1381" s="1183" t="s">
        <v>6998</v>
      </c>
      <c r="AC1381" s="1183" t="s">
        <v>6999</v>
      </c>
      <c r="AD1381" s="1183" t="s">
        <v>7000</v>
      </c>
      <c r="AE1381" s="1183" t="s">
        <v>7001</v>
      </c>
      <c r="AF1381" s="1183" t="s">
        <v>7002</v>
      </c>
      <c r="AG1381" s="1183" t="s">
        <v>7003</v>
      </c>
      <c r="AH1381" s="1183" t="s">
        <v>7004</v>
      </c>
      <c r="AI1381" s="1183" t="s">
        <v>7005</v>
      </c>
      <c r="AJ1381" s="1183"/>
      <c r="AK1381" s="1179"/>
      <c r="AL1381" s="1179"/>
      <c r="AM1381" s="1179"/>
      <c r="AN1381" s="1179"/>
      <c r="AO1381" s="1179"/>
      <c r="AP1381" s="1179"/>
      <c r="AQ1381" s="1180"/>
      <c r="AR1381" s="1180"/>
      <c r="AS1381" s="1180"/>
      <c r="AT1381" s="1180"/>
      <c r="AU1381" s="1180"/>
      <c r="AV1381" s="1180"/>
      <c r="AW1381" s="1180"/>
      <c r="AX1381" s="1180"/>
      <c r="AY1381" s="1180"/>
      <c r="AZ1381" s="1180"/>
      <c r="BA1381" s="1180"/>
      <c r="BB1381" s="1180"/>
      <c r="BC1381" s="1180"/>
      <c r="BD1381" s="1180"/>
      <c r="BE1381" s="1180"/>
      <c r="BF1381" s="1180"/>
      <c r="BG1381" s="1180"/>
      <c r="BH1381" s="1180"/>
      <c r="BI1381" s="1180"/>
      <c r="BJ1381" s="1180"/>
      <c r="BK1381" s="1180"/>
      <c r="BL1381" s="1181"/>
      <c r="BM1381" s="1181"/>
      <c r="BN1381" s="1181"/>
      <c r="BO1381" s="1181"/>
      <c r="BP1381" s="1181"/>
      <c r="BQ1381" s="1181"/>
      <c r="BR1381" s="1181"/>
      <c r="BS1381" s="1181"/>
      <c r="BT1381" s="1181"/>
      <c r="BU1381" s="1181"/>
      <c r="BV1381" s="1181"/>
      <c r="BW1381" s="1181"/>
      <c r="BX1381" s="1181"/>
      <c r="BY1381" s="1181"/>
      <c r="BZ1381" s="1181"/>
      <c r="CA1381" s="1181"/>
      <c r="CB1381" s="1182"/>
    </row>
    <row r="1382" spans="1:80" ht="12.75" customHeight="1">
      <c r="A1382" s="219">
        <v>1318</v>
      </c>
      <c r="B1382" s="7145"/>
      <c r="C1382" s="902"/>
      <c r="D1382" s="57"/>
      <c r="E1382" s="905" t="s">
        <v>9813</v>
      </c>
      <c r="F1382" s="75">
        <v>0</v>
      </c>
      <c r="G1382" s="75">
        <v>10</v>
      </c>
      <c r="H1382" s="75">
        <f>COUNTIF(HabilidadesEsenciales_Adquiridas,Tablas!E1382)</f>
        <v>0</v>
      </c>
      <c r="I1382" s="907">
        <v>1</v>
      </c>
      <c r="J1382" s="173"/>
      <c r="K1382" s="898"/>
      <c r="M1382" s="307"/>
      <c r="N1382" s="21"/>
      <c r="O1382" s="131" t="s">
        <v>7222</v>
      </c>
      <c r="P1382" s="900">
        <v>5</v>
      </c>
      <c r="Q1382" s="173">
        <v>60</v>
      </c>
      <c r="R1382" s="907">
        <f>COUNTIF(PoderesDeCriatura_Adquiridos,Tablas!O1382)</f>
        <v>0</v>
      </c>
      <c r="S1382" s="173"/>
      <c r="T1382" s="898"/>
      <c r="W1382" s="929" t="s">
        <v>7879</v>
      </c>
      <c r="X1382" s="286"/>
      <c r="Y1382" s="758"/>
      <c r="Z1382" s="1177"/>
      <c r="AA1382" s="1183"/>
      <c r="AB1382" s="1183"/>
      <c r="AC1382" s="1183"/>
      <c r="AD1382" s="1183"/>
      <c r="AE1382" s="1183"/>
      <c r="AF1382" s="1183"/>
      <c r="AG1382" s="1183"/>
      <c r="AH1382" s="1183"/>
      <c r="AI1382" s="1183"/>
      <c r="AJ1382" s="1183"/>
      <c r="AK1382" s="1179"/>
      <c r="AL1382" s="1179"/>
      <c r="AM1382" s="1179"/>
      <c r="AN1382" s="1179"/>
      <c r="AO1382" s="1179"/>
      <c r="AP1382" s="1179"/>
      <c r="AQ1382" s="1180"/>
      <c r="AR1382" s="1180"/>
      <c r="AS1382" s="1180"/>
      <c r="AT1382" s="1180"/>
      <c r="AU1382" s="1180"/>
      <c r="AV1382" s="1180"/>
      <c r="AW1382" s="1180"/>
      <c r="AX1382" s="1180"/>
      <c r="AY1382" s="1180"/>
      <c r="AZ1382" s="1180"/>
      <c r="BA1382" s="1180"/>
      <c r="BB1382" s="1180"/>
      <c r="BC1382" s="1180"/>
      <c r="BD1382" s="1180"/>
      <c r="BE1382" s="1180"/>
      <c r="BF1382" s="1180"/>
      <c r="BG1382" s="1180"/>
      <c r="BH1382" s="1180"/>
      <c r="BI1382" s="1180"/>
      <c r="BJ1382" s="1180"/>
      <c r="BK1382" s="1180"/>
      <c r="BL1382" s="1181"/>
      <c r="BM1382" s="1181"/>
      <c r="BN1382" s="1181"/>
      <c r="BO1382" s="1181"/>
      <c r="BP1382" s="1181"/>
      <c r="BQ1382" s="1181"/>
      <c r="BR1382" s="1181"/>
      <c r="BS1382" s="1181"/>
      <c r="BT1382" s="1181"/>
      <c r="BU1382" s="1181"/>
      <c r="BV1382" s="1181"/>
      <c r="BW1382" s="1181"/>
      <c r="BX1382" s="1181"/>
      <c r="BY1382" s="1181"/>
      <c r="BZ1382" s="1181"/>
      <c r="CA1382" s="1181"/>
      <c r="CB1382" s="1182"/>
    </row>
    <row r="1383" spans="1:80" ht="12.75" customHeight="1">
      <c r="A1383" s="219">
        <v>1319</v>
      </c>
      <c r="B1383" s="7145"/>
      <c r="C1383" s="902"/>
      <c r="D1383" s="57"/>
      <c r="E1383" s="905" t="s">
        <v>9814</v>
      </c>
      <c r="F1383" s="75">
        <v>0</v>
      </c>
      <c r="G1383" s="75">
        <v>10</v>
      </c>
      <c r="H1383" s="75">
        <f>COUNTIF(HabilidadesEsenciales_Adquiridas,Tablas!E1383)</f>
        <v>0</v>
      </c>
      <c r="I1383" s="907">
        <v>1</v>
      </c>
      <c r="J1383" s="173"/>
      <c r="K1383" s="898"/>
      <c r="M1383" s="307"/>
      <c r="N1383" s="21"/>
      <c r="O1383" s="131" t="s">
        <v>7223</v>
      </c>
      <c r="P1383" s="900">
        <v>10</v>
      </c>
      <c r="Q1383" s="173">
        <v>80</v>
      </c>
      <c r="R1383" s="907">
        <f>COUNTIF(PoderesDeCriatura_Adquiridos,Tablas!O1383)</f>
        <v>0</v>
      </c>
      <c r="S1383" s="173"/>
      <c r="T1383" s="898"/>
      <c r="W1383" s="929" t="s">
        <v>1491</v>
      </c>
      <c r="X1383" s="286"/>
      <c r="Y1383" s="758" t="str">
        <f>IF(Z1383="","",SUBSTITUTE("PodHab_"&amp;W1383," ",""))</f>
        <v>PodHab_Dañoincrementado</v>
      </c>
      <c r="Z1383" s="1177" t="s">
        <v>7006</v>
      </c>
      <c r="AA1383" s="1183" t="s">
        <v>7007</v>
      </c>
      <c r="AB1383" s="1183" t="s">
        <v>7008</v>
      </c>
      <c r="AC1383" s="1183" t="s">
        <v>7009</v>
      </c>
      <c r="AD1383" s="1183" t="s">
        <v>7010</v>
      </c>
      <c r="AE1383" s="1183" t="s">
        <v>7011</v>
      </c>
      <c r="AF1383" s="1183" t="s">
        <v>7012</v>
      </c>
      <c r="AG1383" s="1183" t="s">
        <v>7013</v>
      </c>
      <c r="AH1383" s="1183" t="s">
        <v>7014</v>
      </c>
      <c r="AI1383" s="1179"/>
      <c r="AJ1383" s="1179"/>
      <c r="AK1383" s="1179"/>
      <c r="AL1383" s="1179"/>
      <c r="AM1383" s="1179"/>
      <c r="AN1383" s="1179"/>
      <c r="AO1383" s="1179"/>
      <c r="AP1383" s="1179"/>
      <c r="AQ1383" s="1180"/>
      <c r="AR1383" s="1180"/>
      <c r="AS1383" s="1180"/>
      <c r="AT1383" s="1180"/>
      <c r="AU1383" s="1180"/>
      <c r="AV1383" s="1180"/>
      <c r="AW1383" s="1180"/>
      <c r="AX1383" s="1180"/>
      <c r="AY1383" s="1180"/>
      <c r="AZ1383" s="1180"/>
      <c r="BA1383" s="1180"/>
      <c r="BB1383" s="1180"/>
      <c r="BC1383" s="1180"/>
      <c r="BD1383" s="1180"/>
      <c r="BE1383" s="1180"/>
      <c r="BF1383" s="1180"/>
      <c r="BG1383" s="1180"/>
      <c r="BH1383" s="1180"/>
      <c r="BI1383" s="1180"/>
      <c r="BJ1383" s="1180"/>
      <c r="BK1383" s="1180"/>
      <c r="BL1383" s="1181"/>
      <c r="BM1383" s="1181"/>
      <c r="BN1383" s="1181"/>
      <c r="BO1383" s="1181"/>
      <c r="BP1383" s="1181"/>
      <c r="BQ1383" s="1181"/>
      <c r="BR1383" s="1181"/>
      <c r="BS1383" s="1181"/>
      <c r="BT1383" s="1181"/>
      <c r="BU1383" s="1181"/>
      <c r="BV1383" s="1181"/>
      <c r="BW1383" s="1181"/>
      <c r="BX1383" s="1181"/>
      <c r="BY1383" s="1181"/>
      <c r="BZ1383" s="1181"/>
      <c r="CA1383" s="1181"/>
      <c r="CB1383" s="1182"/>
    </row>
    <row r="1384" spans="1:80" ht="12.75" customHeight="1">
      <c r="A1384" s="219">
        <v>1320</v>
      </c>
      <c r="B1384" s="7145"/>
      <c r="C1384" s="902"/>
      <c r="D1384" s="57"/>
      <c r="E1384" s="905" t="s">
        <v>9815</v>
      </c>
      <c r="F1384" s="75">
        <v>0</v>
      </c>
      <c r="G1384" s="75">
        <v>10</v>
      </c>
      <c r="H1384" s="75">
        <f>COUNTIF(HabilidadesEsenciales_Adquiridas,Tablas!E1384)</f>
        <v>0</v>
      </c>
      <c r="I1384" s="907">
        <v>1</v>
      </c>
      <c r="J1384" s="173"/>
      <c r="K1384" s="898"/>
      <c r="M1384" s="307"/>
      <c r="N1384" s="21"/>
      <c r="O1384" s="131" t="s">
        <v>7224</v>
      </c>
      <c r="P1384" s="900">
        <v>15</v>
      </c>
      <c r="Q1384" s="173">
        <v>100</v>
      </c>
      <c r="R1384" s="907">
        <f>COUNTIF(PoderesDeCriatura_Adquiridos,Tablas!O1384)</f>
        <v>0</v>
      </c>
      <c r="S1384" s="173"/>
      <c r="T1384" s="898"/>
      <c r="W1384" s="929" t="s">
        <v>6904</v>
      </c>
      <c r="X1384" s="286"/>
      <c r="Y1384" s="758" t="str">
        <f>IF(Z1384="","",SUBSTITUTE("PodHab_"&amp;W1384," ",""))</f>
        <v>PodHab_Efectomísticoañadido</v>
      </c>
      <c r="Z1384" s="1177" t="s">
        <v>7015</v>
      </c>
      <c r="AA1384" s="1183" t="s">
        <v>7016</v>
      </c>
      <c r="AB1384" s="1183" t="s">
        <v>4422</v>
      </c>
      <c r="AC1384" s="1183" t="s">
        <v>4423</v>
      </c>
      <c r="AD1384" s="1183" t="s">
        <v>3580</v>
      </c>
      <c r="AE1384" s="1183" t="s">
        <v>3581</v>
      </c>
      <c r="AF1384" s="1183" t="s">
        <v>3582</v>
      </c>
      <c r="AG1384" s="1183" t="s">
        <v>3583</v>
      </c>
      <c r="AH1384" s="1183" t="s">
        <v>7017</v>
      </c>
      <c r="AI1384" s="1183" t="s">
        <v>3005</v>
      </c>
      <c r="AJ1384" s="1183" t="s">
        <v>583</v>
      </c>
      <c r="AK1384" s="1183" t="s">
        <v>3002</v>
      </c>
      <c r="AL1384" s="1183" t="s">
        <v>7018</v>
      </c>
      <c r="AM1384" s="1183" t="s">
        <v>412</v>
      </c>
      <c r="AN1384" s="1183" t="s">
        <v>7019</v>
      </c>
      <c r="AO1384" s="1183" t="s">
        <v>7020</v>
      </c>
      <c r="AP1384" s="1183" t="s">
        <v>532</v>
      </c>
      <c r="AQ1384" s="1181" t="s">
        <v>399</v>
      </c>
      <c r="AR1384" s="1181" t="s">
        <v>400</v>
      </c>
      <c r="AS1384" s="1181" t="s">
        <v>401</v>
      </c>
      <c r="AT1384" s="1181" t="s">
        <v>3003</v>
      </c>
      <c r="AU1384" s="1181" t="s">
        <v>7021</v>
      </c>
      <c r="AV1384" s="1181" t="s">
        <v>7022</v>
      </c>
      <c r="AW1384" s="1181" t="s">
        <v>3004</v>
      </c>
      <c r="AX1384" s="1181" t="s">
        <v>426</v>
      </c>
      <c r="AY1384" s="1181" t="s">
        <v>49</v>
      </c>
      <c r="AZ1384" s="1181" t="s">
        <v>36</v>
      </c>
      <c r="BA1384" s="1181" t="s">
        <v>7023</v>
      </c>
      <c r="BB1384" s="1181" t="s">
        <v>7024</v>
      </c>
      <c r="BC1384" s="1181" t="s">
        <v>9517</v>
      </c>
      <c r="BD1384" s="1181" t="s">
        <v>9518</v>
      </c>
      <c r="BE1384" s="1181" t="s">
        <v>448</v>
      </c>
      <c r="BF1384" s="1181" t="s">
        <v>7025</v>
      </c>
      <c r="BG1384" s="1181" t="s">
        <v>7026</v>
      </c>
      <c r="BH1384" s="1181" t="s">
        <v>7027</v>
      </c>
      <c r="BI1384" s="1181" t="s">
        <v>7028</v>
      </c>
      <c r="BJ1384" s="1181" t="s">
        <v>7029</v>
      </c>
      <c r="BK1384" s="1181"/>
      <c r="BL1384" s="1181"/>
      <c r="BM1384" s="1181"/>
      <c r="BN1384" s="1181"/>
      <c r="BO1384" s="1181"/>
      <c r="BP1384" s="1181"/>
      <c r="BQ1384" s="1181"/>
      <c r="BR1384" s="1181"/>
      <c r="BS1384" s="1181"/>
      <c r="BT1384" s="1181"/>
      <c r="BU1384" s="1181"/>
      <c r="BV1384" s="1181"/>
      <c r="BW1384" s="1181"/>
      <c r="BX1384" s="1181"/>
      <c r="BY1384" s="1181"/>
      <c r="BZ1384" s="1181"/>
      <c r="CA1384" s="1181"/>
      <c r="CB1384" s="1182"/>
    </row>
    <row r="1385" spans="1:80" ht="12.75" customHeight="1">
      <c r="A1385" s="219">
        <v>1321</v>
      </c>
      <c r="B1385" s="7145"/>
      <c r="C1385" s="902"/>
      <c r="D1385" s="57"/>
      <c r="E1385" s="905" t="s">
        <v>9816</v>
      </c>
      <c r="F1385" s="75">
        <v>0</v>
      </c>
      <c r="G1385" s="75">
        <v>10</v>
      </c>
      <c r="H1385" s="75">
        <f>COUNTIF(HabilidadesEsenciales_Adquiridas,Tablas!E1385)</f>
        <v>0</v>
      </c>
      <c r="I1385" s="907">
        <v>1</v>
      </c>
      <c r="J1385" s="173"/>
      <c r="K1385" s="898"/>
      <c r="M1385" s="307"/>
      <c r="N1385" s="21"/>
      <c r="O1385" s="131" t="s">
        <v>7225</v>
      </c>
      <c r="P1385" s="900">
        <v>0</v>
      </c>
      <c r="Q1385" s="173">
        <v>10</v>
      </c>
      <c r="R1385" s="907">
        <f>COUNTIF(PoderesDeCriatura_Adquiridos,Tablas!O1385)</f>
        <v>0</v>
      </c>
      <c r="S1385" s="173"/>
      <c r="T1385" s="898"/>
      <c r="W1385" s="929" t="s">
        <v>6902</v>
      </c>
      <c r="X1385" s="286"/>
      <c r="Y1385" s="758" t="str">
        <f>IF(Z1385="","",SUBSTITUTE("PodHab_"&amp;W1385," ",""))</f>
        <v>PodHab_Modificadordearmadura</v>
      </c>
      <c r="Z1385" s="1177" t="s">
        <v>7030</v>
      </c>
      <c r="AA1385" s="1183" t="s">
        <v>7031</v>
      </c>
      <c r="AB1385" s="1183" t="s">
        <v>7032</v>
      </c>
      <c r="AC1385" s="1183" t="s">
        <v>7033</v>
      </c>
      <c r="AD1385" s="1183" t="s">
        <v>7034</v>
      </c>
      <c r="AE1385" s="1179"/>
      <c r="AF1385" s="1179"/>
      <c r="AG1385" s="1179"/>
      <c r="AH1385" s="1179"/>
      <c r="AI1385" s="1179"/>
      <c r="AJ1385" s="1179"/>
      <c r="AK1385" s="1179"/>
      <c r="AL1385" s="1179"/>
      <c r="AM1385" s="1179"/>
      <c r="AN1385" s="1179"/>
      <c r="AO1385" s="1179"/>
      <c r="AP1385" s="1179"/>
      <c r="AQ1385" s="1180"/>
      <c r="AR1385" s="1180"/>
      <c r="AS1385" s="1180"/>
      <c r="AT1385" s="1180"/>
      <c r="AU1385" s="1180"/>
      <c r="AV1385" s="1180"/>
      <c r="AW1385" s="1180"/>
      <c r="AX1385" s="1180"/>
      <c r="AY1385" s="1180"/>
      <c r="AZ1385" s="1180"/>
      <c r="BA1385" s="1180"/>
      <c r="BB1385" s="1180"/>
      <c r="BC1385" s="1180"/>
      <c r="BD1385" s="1180"/>
      <c r="BE1385" s="1180"/>
      <c r="BF1385" s="1180"/>
      <c r="BG1385" s="1180"/>
      <c r="BH1385" s="1180"/>
      <c r="BI1385" s="1180"/>
      <c r="BJ1385" s="1180"/>
      <c r="BK1385" s="1180"/>
      <c r="BL1385" s="1181"/>
      <c r="BM1385" s="1181"/>
      <c r="BN1385" s="1181"/>
      <c r="BO1385" s="1181"/>
      <c r="BP1385" s="1181"/>
      <c r="BQ1385" s="1181"/>
      <c r="BR1385" s="1181"/>
      <c r="BS1385" s="1181"/>
      <c r="BT1385" s="1181"/>
      <c r="BU1385" s="1181"/>
      <c r="BV1385" s="1181"/>
      <c r="BW1385" s="1181"/>
      <c r="BX1385" s="1181"/>
      <c r="BY1385" s="1181"/>
      <c r="BZ1385" s="1181"/>
      <c r="CA1385" s="1181"/>
      <c r="CB1385" s="1182"/>
    </row>
    <row r="1386" spans="1:80" ht="12.75" customHeight="1">
      <c r="A1386" s="219">
        <v>1322</v>
      </c>
      <c r="B1386" s="7145"/>
      <c r="C1386" s="902"/>
      <c r="D1386" s="57"/>
      <c r="E1386" s="905" t="s">
        <v>1115</v>
      </c>
      <c r="F1386" s="75">
        <v>5</v>
      </c>
      <c r="G1386" s="75">
        <v>10</v>
      </c>
      <c r="H1386" s="75">
        <f>COUNTIF(HabilidadesEsenciales_Adquiridas,Tablas!E1386)</f>
        <v>0</v>
      </c>
      <c r="I1386" s="907"/>
      <c r="J1386" s="173"/>
      <c r="K1386" s="898"/>
      <c r="M1386" s="307"/>
      <c r="N1386" s="21"/>
      <c r="O1386" s="131" t="s">
        <v>7226</v>
      </c>
      <c r="P1386" s="900">
        <v>0</v>
      </c>
      <c r="Q1386" s="173">
        <v>20</v>
      </c>
      <c r="R1386" s="907">
        <f>COUNTIF(PoderesDeCriatura_Adquiridos,Tablas!O1386)</f>
        <v>0</v>
      </c>
      <c r="S1386" s="173"/>
      <c r="T1386" s="898"/>
      <c r="W1386" s="929" t="s">
        <v>6905</v>
      </c>
      <c r="X1386" s="286"/>
      <c r="Y1386" s="758" t="str">
        <f>IF(Z1386="","",SUBSTITUTE("PodHab_"&amp;W1386," ",""))</f>
        <v>PodHab_Presaespecial</v>
      </c>
      <c r="Z1386" s="1177" t="s">
        <v>7035</v>
      </c>
      <c r="AA1386" s="1183" t="s">
        <v>7036</v>
      </c>
      <c r="AB1386" s="1183" t="s">
        <v>7037</v>
      </c>
      <c r="AC1386" s="1183" t="s">
        <v>7038</v>
      </c>
      <c r="AD1386" s="1183" t="s">
        <v>7039</v>
      </c>
      <c r="AE1386" s="1183" t="s">
        <v>7040</v>
      </c>
      <c r="AF1386" s="1179"/>
      <c r="AG1386" s="1179"/>
      <c r="AH1386" s="1179"/>
      <c r="AI1386" s="1179"/>
      <c r="AJ1386" s="1179"/>
      <c r="AK1386" s="1179"/>
      <c r="AL1386" s="1179"/>
      <c r="AM1386" s="1179"/>
      <c r="AN1386" s="1179"/>
      <c r="AO1386" s="1179"/>
      <c r="AP1386" s="1179"/>
      <c r="AQ1386" s="1180"/>
      <c r="AR1386" s="1180"/>
      <c r="AS1386" s="1180"/>
      <c r="AT1386" s="1180"/>
      <c r="AU1386" s="1180"/>
      <c r="AV1386" s="1180"/>
      <c r="AW1386" s="1180"/>
      <c r="AX1386" s="1180"/>
      <c r="AY1386" s="1180"/>
      <c r="AZ1386" s="1180"/>
      <c r="BA1386" s="1180"/>
      <c r="BB1386" s="1180"/>
      <c r="BC1386" s="1180"/>
      <c r="BD1386" s="1180"/>
      <c r="BE1386" s="1180"/>
      <c r="BF1386" s="1180"/>
      <c r="BG1386" s="1180"/>
      <c r="BH1386" s="1180"/>
      <c r="BI1386" s="1180"/>
      <c r="BJ1386" s="1180"/>
      <c r="BK1386" s="1180"/>
      <c r="BL1386" s="1181"/>
      <c r="BM1386" s="1181"/>
      <c r="BN1386" s="1181"/>
      <c r="BO1386" s="1181"/>
      <c r="BP1386" s="1181"/>
      <c r="BQ1386" s="1181"/>
      <c r="BR1386" s="1181"/>
      <c r="BS1386" s="1181"/>
      <c r="BT1386" s="1181"/>
      <c r="BU1386" s="1181"/>
      <c r="BV1386" s="1181"/>
      <c r="BW1386" s="1181"/>
      <c r="BX1386" s="1181"/>
      <c r="BY1386" s="1181"/>
      <c r="BZ1386" s="1181"/>
      <c r="CA1386" s="1181"/>
      <c r="CB1386" s="1182"/>
    </row>
    <row r="1387" spans="1:80" ht="12.75" customHeight="1">
      <c r="A1387" s="219">
        <v>1323</v>
      </c>
      <c r="B1387" s="7145"/>
      <c r="C1387" s="902"/>
      <c r="D1387" s="57"/>
      <c r="E1387" s="905" t="s">
        <v>1116</v>
      </c>
      <c r="F1387" s="75">
        <v>0</v>
      </c>
      <c r="G1387" s="75">
        <v>20</v>
      </c>
      <c r="H1387" s="75">
        <f>COUNTIF(HabilidadesEsenciales_Adquiridas,Tablas!E1387)</f>
        <v>0</v>
      </c>
      <c r="I1387" s="907">
        <v>1</v>
      </c>
      <c r="J1387" s="173">
        <f>IF(H1391&gt;0,20,IF(H1389&gt;0,15,IF(H1387&gt;0,13,10)))</f>
        <v>10</v>
      </c>
      <c r="K1387" s="898" t="s">
        <v>7860</v>
      </c>
      <c r="M1387" s="307"/>
      <c r="N1387" s="21"/>
      <c r="O1387" s="131" t="s">
        <v>7227</v>
      </c>
      <c r="P1387" s="900">
        <v>0</v>
      </c>
      <c r="Q1387" s="173">
        <v>30</v>
      </c>
      <c r="R1387" s="907">
        <f>COUNTIF(PoderesDeCriatura_Adquiridos,Tablas!O1387)</f>
        <v>0</v>
      </c>
      <c r="S1387" s="173"/>
      <c r="T1387" s="898"/>
      <c r="W1387" s="929" t="s">
        <v>6901</v>
      </c>
      <c r="X1387" s="286"/>
      <c r="Y1387" s="758" t="str">
        <f>IF(Z1387="","",SUBSTITUTE("PodHab_"&amp;W1387," ",""))</f>
        <v>PodHab_Reacciónincrementada</v>
      </c>
      <c r="Z1387" s="1177" t="s">
        <v>7041</v>
      </c>
      <c r="AA1387" s="1183" t="s">
        <v>7042</v>
      </c>
      <c r="AB1387" s="1183" t="s">
        <v>7043</v>
      </c>
      <c r="AC1387" s="1179"/>
      <c r="AD1387" s="1179"/>
      <c r="AE1387" s="1179"/>
      <c r="AF1387" s="1179"/>
      <c r="AG1387" s="1179"/>
      <c r="AH1387" s="1179"/>
      <c r="AI1387" s="1179"/>
      <c r="AJ1387" s="1179"/>
      <c r="AK1387" s="1179"/>
      <c r="AL1387" s="1179"/>
      <c r="AM1387" s="1179"/>
      <c r="AN1387" s="1179"/>
      <c r="AO1387" s="1179"/>
      <c r="AP1387" s="1179"/>
      <c r="AQ1387" s="1180"/>
      <c r="AR1387" s="1180"/>
      <c r="AS1387" s="1180"/>
      <c r="AT1387" s="1180"/>
      <c r="AU1387" s="1180"/>
      <c r="AV1387" s="1180"/>
      <c r="AW1387" s="1180"/>
      <c r="AX1387" s="1180"/>
      <c r="AY1387" s="1180"/>
      <c r="AZ1387" s="1180"/>
      <c r="BA1387" s="1180"/>
      <c r="BB1387" s="1180"/>
      <c r="BC1387" s="1180"/>
      <c r="BD1387" s="1180"/>
      <c r="BE1387" s="1180"/>
      <c r="BF1387" s="1180"/>
      <c r="BG1387" s="1180"/>
      <c r="BH1387" s="1180"/>
      <c r="BI1387" s="1180"/>
      <c r="BJ1387" s="1180"/>
      <c r="BK1387" s="1180"/>
      <c r="BL1387" s="1181"/>
      <c r="BM1387" s="1181"/>
      <c r="BN1387" s="1181"/>
      <c r="BO1387" s="1181"/>
      <c r="BP1387" s="1181"/>
      <c r="BQ1387" s="1181"/>
      <c r="BR1387" s="1181"/>
      <c r="BS1387" s="1181"/>
      <c r="BT1387" s="1181"/>
      <c r="BU1387" s="1181"/>
      <c r="BV1387" s="1181"/>
      <c r="BW1387" s="1181"/>
      <c r="BX1387" s="1181"/>
      <c r="BY1387" s="1181"/>
      <c r="BZ1387" s="1181"/>
      <c r="CA1387" s="1181"/>
      <c r="CB1387" s="1182"/>
    </row>
    <row r="1388" spans="1:80" ht="12.75" customHeight="1">
      <c r="A1388" s="219">
        <v>1324</v>
      </c>
      <c r="B1388" s="7145"/>
      <c r="C1388" s="902"/>
      <c r="D1388" s="57"/>
      <c r="E1388" s="905" t="s">
        <v>1117</v>
      </c>
      <c r="F1388" s="75">
        <v>5</v>
      </c>
      <c r="G1388" s="75">
        <v>20</v>
      </c>
      <c r="H1388" s="75">
        <f>COUNTIF(HabilidadesEsenciales_Adquiridas,Tablas!E1388)</f>
        <v>0</v>
      </c>
      <c r="I1388" s="907">
        <v>1</v>
      </c>
      <c r="J1388" s="173">
        <f>IF(H1392&gt;0,20,IF(H1390&gt;0,15,IF(H1388&gt;0,13,10)))</f>
        <v>10</v>
      </c>
      <c r="K1388" s="898" t="s">
        <v>7861</v>
      </c>
      <c r="M1388" s="307"/>
      <c r="N1388" s="21"/>
      <c r="O1388" s="131" t="s">
        <v>7228</v>
      </c>
      <c r="P1388" s="900">
        <v>0</v>
      </c>
      <c r="Q1388" s="173">
        <v>40</v>
      </c>
      <c r="R1388" s="907">
        <f>COUNTIF(PoderesDeCriatura_Adquiridos,Tablas!O1388)</f>
        <v>0</v>
      </c>
      <c r="S1388" s="173"/>
      <c r="T1388" s="898"/>
      <c r="W1388" s="929" t="s">
        <v>1170</v>
      </c>
      <c r="X1388" s="699"/>
      <c r="Y1388" s="758"/>
      <c r="Z1388" s="1177" t="s">
        <v>6506</v>
      </c>
      <c r="AA1388" s="1183"/>
      <c r="AB1388" s="1183"/>
      <c r="AC1388" s="1183"/>
      <c r="AD1388" s="1183"/>
      <c r="AE1388" s="1183"/>
      <c r="AF1388" s="1183"/>
      <c r="AG1388" s="1183"/>
      <c r="AH1388" s="1183"/>
      <c r="AI1388" s="1183"/>
      <c r="AJ1388" s="1183"/>
      <c r="AK1388" s="1183"/>
      <c r="AL1388" s="1183"/>
      <c r="AM1388" s="1183"/>
      <c r="AN1388" s="1183"/>
      <c r="AO1388" s="1183"/>
      <c r="AP1388" s="1183"/>
      <c r="AQ1388" s="1181"/>
      <c r="AR1388" s="1181"/>
      <c r="AS1388" s="1181"/>
      <c r="AT1388" s="1181"/>
      <c r="AU1388" s="1181"/>
      <c r="AV1388" s="1181"/>
      <c r="AW1388" s="1181"/>
      <c r="AX1388" s="1181"/>
      <c r="AY1388" s="1181"/>
      <c r="AZ1388" s="1181"/>
      <c r="BA1388" s="1181"/>
      <c r="BB1388" s="1181"/>
      <c r="BC1388" s="1181"/>
      <c r="BD1388" s="1181"/>
      <c r="BE1388" s="1181"/>
      <c r="BF1388" s="1181"/>
      <c r="BG1388" s="1181"/>
      <c r="BH1388" s="1181"/>
      <c r="BI1388" s="1181"/>
      <c r="BJ1388" s="1181"/>
      <c r="BK1388" s="1181"/>
      <c r="BL1388" s="1181"/>
      <c r="BM1388" s="1181"/>
      <c r="BN1388" s="1181"/>
      <c r="BO1388" s="1181"/>
      <c r="BP1388" s="1181"/>
      <c r="BQ1388" s="1181"/>
      <c r="BR1388" s="1181"/>
      <c r="BS1388" s="1181"/>
      <c r="BT1388" s="1181"/>
      <c r="BU1388" s="1181"/>
      <c r="BV1388" s="1181"/>
      <c r="BW1388" s="1181"/>
      <c r="BX1388" s="1181"/>
      <c r="BY1388" s="1181"/>
      <c r="BZ1388" s="1181"/>
      <c r="CA1388" s="1181"/>
      <c r="CB1388" s="1182"/>
    </row>
    <row r="1389" spans="1:80" ht="12.75" customHeight="1">
      <c r="A1389" s="219">
        <v>1325</v>
      </c>
      <c r="B1389" s="7145"/>
      <c r="C1389" s="902"/>
      <c r="D1389" s="57"/>
      <c r="E1389" s="905" t="s">
        <v>1118</v>
      </c>
      <c r="F1389" s="75">
        <v>20</v>
      </c>
      <c r="G1389" s="75">
        <v>40</v>
      </c>
      <c r="H1389" s="75">
        <f>COUNTIF(HabilidadesEsenciales_Adquiridas,Tablas!E1389)</f>
        <v>0</v>
      </c>
      <c r="I1389" s="907">
        <v>1</v>
      </c>
      <c r="J1389" s="173"/>
      <c r="K1389" s="898"/>
      <c r="M1389" s="307"/>
      <c r="N1389" s="21"/>
      <c r="O1389" s="131" t="s">
        <v>7229</v>
      </c>
      <c r="P1389" s="900">
        <v>5</v>
      </c>
      <c r="Q1389" s="173">
        <v>50</v>
      </c>
      <c r="R1389" s="907">
        <f>COUNTIF(PoderesDeCriatura_Adquiridos,Tablas!O1389)</f>
        <v>0</v>
      </c>
      <c r="S1389" s="173"/>
      <c r="T1389" s="898"/>
      <c r="W1389" s="929" t="s">
        <v>6924</v>
      </c>
      <c r="X1389" s="699"/>
      <c r="Y1389" s="758" t="str">
        <f>IF(Z1389="","",SUBSTITUTE("PodHab_"&amp;W1389," ",""))</f>
        <v>PodHab_Desplazamientoespecial</v>
      </c>
      <c r="Z1389" s="1177" t="s">
        <v>2345</v>
      </c>
      <c r="AA1389" s="1183" t="s">
        <v>1171</v>
      </c>
      <c r="AB1389" s="1183" t="s">
        <v>1172</v>
      </c>
      <c r="AC1389" s="1183" t="s">
        <v>1173</v>
      </c>
      <c r="AD1389" s="1183" t="s">
        <v>1174</v>
      </c>
      <c r="AE1389" s="1183" t="s">
        <v>1175</v>
      </c>
      <c r="AF1389" s="1183"/>
      <c r="AG1389" s="1183"/>
      <c r="AH1389" s="1183"/>
      <c r="AI1389" s="1183"/>
      <c r="AJ1389" s="1183"/>
      <c r="AK1389" s="1183"/>
      <c r="AL1389" s="1183"/>
      <c r="AM1389" s="1183"/>
      <c r="AN1389" s="1183"/>
      <c r="AO1389" s="1183"/>
      <c r="AP1389" s="1183"/>
      <c r="AQ1389" s="1181"/>
      <c r="AR1389" s="1181"/>
      <c r="AS1389" s="1181"/>
      <c r="AT1389" s="1181"/>
      <c r="AU1389" s="1181"/>
      <c r="AV1389" s="1181"/>
      <c r="AW1389" s="1181"/>
      <c r="AX1389" s="1181"/>
      <c r="AY1389" s="1181"/>
      <c r="AZ1389" s="1181"/>
      <c r="BA1389" s="1181"/>
      <c r="BB1389" s="1181"/>
      <c r="BC1389" s="1181"/>
      <c r="BD1389" s="1181"/>
      <c r="BE1389" s="1181"/>
      <c r="BF1389" s="1181"/>
      <c r="BG1389" s="1181"/>
      <c r="BH1389" s="1181"/>
      <c r="BI1389" s="1181"/>
      <c r="BJ1389" s="1181"/>
      <c r="BK1389" s="1181"/>
      <c r="BL1389" s="1181"/>
      <c r="BM1389" s="1181"/>
      <c r="BN1389" s="1181"/>
      <c r="BO1389" s="1181"/>
      <c r="BP1389" s="1181"/>
      <c r="BQ1389" s="1181"/>
      <c r="BR1389" s="1181"/>
      <c r="BS1389" s="1181"/>
      <c r="BT1389" s="1181"/>
      <c r="BU1389" s="1181"/>
      <c r="BV1389" s="1181"/>
      <c r="BW1389" s="1181"/>
      <c r="BX1389" s="1181"/>
      <c r="BY1389" s="1181"/>
      <c r="BZ1389" s="1181"/>
      <c r="CA1389" s="1181"/>
      <c r="CB1389" s="1182"/>
    </row>
    <row r="1390" spans="1:80" ht="12.75" customHeight="1">
      <c r="A1390" s="219">
        <v>1326</v>
      </c>
      <c r="B1390" s="7145"/>
      <c r="C1390" s="902"/>
      <c r="D1390" s="57"/>
      <c r="E1390" s="905" t="s">
        <v>1119</v>
      </c>
      <c r="F1390" s="75">
        <v>20</v>
      </c>
      <c r="G1390" s="75">
        <v>40</v>
      </c>
      <c r="H1390" s="75">
        <f>COUNTIF(HabilidadesEsenciales_Adquiridas,Tablas!E1390)</f>
        <v>0</v>
      </c>
      <c r="I1390" s="907">
        <v>1</v>
      </c>
      <c r="J1390" s="173"/>
      <c r="K1390" s="898"/>
      <c r="M1390" s="307"/>
      <c r="N1390" s="21"/>
      <c r="O1390" s="131" t="s">
        <v>7230</v>
      </c>
      <c r="P1390" s="900">
        <v>10</v>
      </c>
      <c r="Q1390" s="173">
        <v>60</v>
      </c>
      <c r="R1390" s="907">
        <f>COUNTIF(PoderesDeCriatura_Adquiridos,Tablas!O1390)</f>
        <v>0</v>
      </c>
      <c r="S1390" s="173"/>
      <c r="T1390" s="898"/>
      <c r="W1390" s="929" t="s">
        <v>6941</v>
      </c>
      <c r="X1390" s="286"/>
      <c r="Y1390" s="758" t="str">
        <f>IF(Z1390="","",SUBSTITUTE("PodHab_"&amp;W1390," ",""))</f>
        <v>PodHab_Transporteautomático</v>
      </c>
      <c r="Z1390" s="1177" t="s">
        <v>7044</v>
      </c>
      <c r="AA1390" s="1183" t="s">
        <v>5660</v>
      </c>
      <c r="AB1390" s="1183" t="s">
        <v>5396</v>
      </c>
      <c r="AC1390" s="1183" t="s">
        <v>5729</v>
      </c>
      <c r="AD1390" s="1183" t="s">
        <v>5397</v>
      </c>
      <c r="AE1390" s="1183" t="s">
        <v>5652</v>
      </c>
      <c r="AF1390" s="1183" t="s">
        <v>5662</v>
      </c>
      <c r="AG1390" s="1183" t="s">
        <v>7045</v>
      </c>
      <c r="AH1390" s="1183" t="s">
        <v>5400</v>
      </c>
      <c r="AI1390" s="1183" t="s">
        <v>7046</v>
      </c>
      <c r="AJ1390" s="1183" t="s">
        <v>6979</v>
      </c>
      <c r="AK1390" s="1183" t="s">
        <v>6980</v>
      </c>
      <c r="AL1390" s="1183" t="s">
        <v>6981</v>
      </c>
      <c r="AM1390" s="1183" t="s">
        <v>6984</v>
      </c>
      <c r="AN1390" s="1183" t="s">
        <v>6985</v>
      </c>
      <c r="AO1390" s="1183" t="s">
        <v>7047</v>
      </c>
      <c r="AP1390" s="1183"/>
      <c r="AQ1390" s="1181"/>
      <c r="AR1390" s="1181"/>
      <c r="AS1390" s="1181"/>
      <c r="AT1390" s="1181"/>
      <c r="AU1390" s="1181"/>
      <c r="AV1390" s="1181"/>
      <c r="AW1390" s="1181"/>
      <c r="AX1390" s="1181"/>
      <c r="AY1390" s="1181"/>
      <c r="AZ1390" s="1181"/>
      <c r="BA1390" s="1181"/>
      <c r="BB1390" s="1181"/>
      <c r="BC1390" s="1181"/>
      <c r="BD1390" s="1181"/>
      <c r="BE1390" s="1181"/>
      <c r="BF1390" s="1181"/>
      <c r="BG1390" s="1181"/>
      <c r="BH1390" s="1181"/>
      <c r="BI1390" s="1181"/>
      <c r="BJ1390" s="1181"/>
      <c r="BK1390" s="1181"/>
      <c r="BL1390" s="1181"/>
      <c r="BM1390" s="1181"/>
      <c r="BN1390" s="1181"/>
      <c r="BO1390" s="1181"/>
      <c r="BP1390" s="1181"/>
      <c r="BQ1390" s="1181"/>
      <c r="BR1390" s="1181"/>
      <c r="BS1390" s="1181"/>
      <c r="BT1390" s="1181"/>
      <c r="BU1390" s="1181"/>
      <c r="BV1390" s="1181"/>
      <c r="BW1390" s="1181"/>
      <c r="BX1390" s="1181"/>
      <c r="BY1390" s="1181"/>
      <c r="BZ1390" s="1181"/>
      <c r="CA1390" s="1181"/>
      <c r="CB1390" s="1182"/>
    </row>
    <row r="1391" spans="1:80" ht="12.75" customHeight="1">
      <c r="A1391" s="219">
        <v>1327</v>
      </c>
      <c r="B1391" s="7145"/>
      <c r="C1391" s="902"/>
      <c r="D1391" s="57"/>
      <c r="E1391" s="905" t="s">
        <v>1120</v>
      </c>
      <c r="F1391" s="75">
        <v>30</v>
      </c>
      <c r="G1391" s="75">
        <v>80</v>
      </c>
      <c r="H1391" s="75">
        <f>COUNTIF(HabilidadesEsenciales_Adquiridas,Tablas!E1391)</f>
        <v>0</v>
      </c>
      <c r="I1391" s="907">
        <v>1</v>
      </c>
      <c r="J1391" s="173"/>
      <c r="K1391" s="898"/>
      <c r="M1391" s="307"/>
      <c r="N1391" s="21"/>
      <c r="O1391" s="131" t="s">
        <v>7231</v>
      </c>
      <c r="P1391" s="900">
        <v>20</v>
      </c>
      <c r="Q1391" s="173">
        <v>80</v>
      </c>
      <c r="R1391" s="907">
        <f>COUNTIF(PoderesDeCriatura_Adquiridos,Tablas!O1391)</f>
        <v>0</v>
      </c>
      <c r="S1391" s="173"/>
      <c r="T1391" s="898"/>
      <c r="W1391" s="929" t="s">
        <v>6942</v>
      </c>
      <c r="X1391" s="286"/>
      <c r="Y1391" s="758" t="str">
        <f>IF(Z1391="","",SUBSTITUTE("PodHab_"&amp;W1391," ",""))</f>
        <v>PodHab_Tipodemovimiento</v>
      </c>
      <c r="Z1391" s="1177" t="str">
        <f>"+"&amp;A1</f>
        <v>+1</v>
      </c>
      <c r="AA1391" s="1183" t="str">
        <f>"+"&amp;B1</f>
        <v>+2</v>
      </c>
      <c r="AB1391" s="1183" t="str">
        <f>"+"&amp;C1</f>
        <v>+3</v>
      </c>
      <c r="AC1391" s="1183" t="str">
        <f>"+"&amp;D1</f>
        <v>+4</v>
      </c>
      <c r="AD1391" s="1183"/>
      <c r="AE1391" s="1183"/>
      <c r="AF1391" s="1183"/>
      <c r="AG1391" s="1183"/>
      <c r="AH1391" s="1183"/>
      <c r="AI1391" s="1183"/>
      <c r="AJ1391" s="1183"/>
      <c r="AK1391" s="1183"/>
      <c r="AL1391" s="1183"/>
      <c r="AM1391" s="1183"/>
      <c r="AN1391" s="1183"/>
      <c r="AO1391" s="1183"/>
      <c r="AP1391" s="1183"/>
      <c r="AQ1391" s="1181"/>
      <c r="AR1391" s="1181"/>
      <c r="AS1391" s="1181"/>
      <c r="AT1391" s="1181"/>
      <c r="AU1391" s="1181"/>
      <c r="AV1391" s="1181"/>
      <c r="AW1391" s="1181"/>
      <c r="AX1391" s="1181"/>
      <c r="AY1391" s="1181"/>
      <c r="AZ1391" s="1181"/>
      <c r="BA1391" s="1181"/>
      <c r="BB1391" s="1181"/>
      <c r="BC1391" s="1181"/>
      <c r="BD1391" s="1181"/>
      <c r="BE1391" s="1181"/>
      <c r="BF1391" s="1181"/>
      <c r="BG1391" s="1181"/>
      <c r="BH1391" s="1181"/>
      <c r="BI1391" s="1181"/>
      <c r="BJ1391" s="1181"/>
      <c r="BK1391" s="1181"/>
      <c r="BL1391" s="1181"/>
      <c r="BM1391" s="1181"/>
      <c r="BN1391" s="1181"/>
      <c r="BO1391" s="1181"/>
      <c r="BP1391" s="1181"/>
      <c r="BQ1391" s="1181"/>
      <c r="BR1391" s="1181"/>
      <c r="BS1391" s="1181"/>
      <c r="BT1391" s="1181"/>
      <c r="BU1391" s="1181"/>
      <c r="BV1391" s="1181"/>
      <c r="BW1391" s="1181"/>
      <c r="BX1391" s="1181"/>
      <c r="BY1391" s="1181"/>
      <c r="BZ1391" s="1181"/>
      <c r="CA1391" s="1181"/>
      <c r="CB1391" s="1182"/>
    </row>
    <row r="1392" spans="1:80" ht="12.75" customHeight="1">
      <c r="A1392" s="219">
        <v>1328</v>
      </c>
      <c r="B1392" s="7145"/>
      <c r="C1392" s="902"/>
      <c r="D1392" s="57"/>
      <c r="E1392" s="905" t="s">
        <v>1121</v>
      </c>
      <c r="F1392" s="75">
        <v>35</v>
      </c>
      <c r="G1392" s="75">
        <v>80</v>
      </c>
      <c r="H1392" s="75">
        <f>COUNTIF(HabilidadesEsenciales_Adquiridas,Tablas!E1392)</f>
        <v>0</v>
      </c>
      <c r="I1392" s="907">
        <v>1</v>
      </c>
      <c r="J1392" s="173"/>
      <c r="K1392" s="898"/>
      <c r="M1392" s="307"/>
      <c r="N1392" s="21"/>
      <c r="O1392" s="131" t="s">
        <v>7232</v>
      </c>
      <c r="P1392" s="900">
        <v>25</v>
      </c>
      <c r="Q1392" s="173">
        <v>100</v>
      </c>
      <c r="R1392" s="907">
        <f>COUNTIF(PoderesDeCriatura_Adquiridos,Tablas!O1392)</f>
        <v>0</v>
      </c>
      <c r="S1392" s="173"/>
      <c r="T1392" s="898"/>
      <c r="W1392" s="929" t="s">
        <v>6906</v>
      </c>
      <c r="X1392" s="286"/>
      <c r="Y1392" s="758" t="str">
        <f>IF(Z1392="","",SUBSTITUTE("PodHab_"&amp;W1392," ",""))</f>
        <v>PodHab_Vuelonatural</v>
      </c>
      <c r="Z1392" s="1177" t="s">
        <v>7048</v>
      </c>
      <c r="AA1392" s="1183" t="s">
        <v>7049</v>
      </c>
      <c r="AB1392" s="1183" t="s">
        <v>7050</v>
      </c>
      <c r="AC1392" s="1183" t="s">
        <v>7051</v>
      </c>
      <c r="AD1392" s="1183" t="s">
        <v>7052</v>
      </c>
      <c r="AE1392" s="1183"/>
      <c r="AF1392" s="1183"/>
      <c r="AG1392" s="1183"/>
      <c r="AH1392" s="1183"/>
      <c r="AI1392" s="1183"/>
      <c r="AJ1392" s="1183"/>
      <c r="AK1392" s="1183"/>
      <c r="AL1392" s="1183"/>
      <c r="AM1392" s="1183"/>
      <c r="AN1392" s="1183"/>
      <c r="AO1392" s="1183"/>
      <c r="AP1392" s="1183"/>
      <c r="AQ1392" s="1181"/>
      <c r="AR1392" s="1181"/>
      <c r="AS1392" s="1181"/>
      <c r="AT1392" s="1181"/>
      <c r="AU1392" s="1181"/>
      <c r="AV1392" s="1181"/>
      <c r="AW1392" s="1181"/>
      <c r="AX1392" s="1181"/>
      <c r="AY1392" s="1181"/>
      <c r="AZ1392" s="1181"/>
      <c r="BA1392" s="1181"/>
      <c r="BB1392" s="1181"/>
      <c r="BC1392" s="1181"/>
      <c r="BD1392" s="1181"/>
      <c r="BE1392" s="1181"/>
      <c r="BF1392" s="1181"/>
      <c r="BG1392" s="1181"/>
      <c r="BH1392" s="1181"/>
      <c r="BI1392" s="1181"/>
      <c r="BJ1392" s="1181"/>
      <c r="BK1392" s="1181"/>
      <c r="BL1392" s="1181"/>
      <c r="BM1392" s="1181"/>
      <c r="BN1392" s="1181"/>
      <c r="BO1392" s="1181"/>
      <c r="BP1392" s="1181"/>
      <c r="BQ1392" s="1181"/>
      <c r="BR1392" s="1181"/>
      <c r="BS1392" s="1181"/>
      <c r="BT1392" s="1181"/>
      <c r="BU1392" s="1181"/>
      <c r="BV1392" s="1181"/>
      <c r="BW1392" s="1181"/>
      <c r="BX1392" s="1181"/>
      <c r="BY1392" s="1181"/>
      <c r="BZ1392" s="1181"/>
      <c r="CA1392" s="1181"/>
      <c r="CB1392" s="1182"/>
    </row>
    <row r="1393" spans="1:80" ht="12.75" customHeight="1">
      <c r="A1393" s="219">
        <v>1329</v>
      </c>
      <c r="B1393" s="7145"/>
      <c r="C1393" s="902"/>
      <c r="D1393" s="57"/>
      <c r="E1393" s="905" t="s">
        <v>7635</v>
      </c>
      <c r="F1393" s="75">
        <v>0</v>
      </c>
      <c r="G1393" s="75">
        <v>20</v>
      </c>
      <c r="H1393" s="75">
        <f>COUNTIF(HabilidadesEsenciales_Adquiridas,Tablas!E1393)</f>
        <v>0</v>
      </c>
      <c r="I1393" s="907">
        <v>1</v>
      </c>
      <c r="J1393" s="173">
        <f t="array" ref="J1393">MAX({1;2;3;4;5}*H1393:H1397)</f>
        <v>0</v>
      </c>
      <c r="K1393" s="898" t="s">
        <v>1233</v>
      </c>
      <c r="M1393" s="307"/>
      <c r="N1393" s="21"/>
      <c r="O1393" s="131" t="s">
        <v>7233</v>
      </c>
      <c r="P1393" s="900">
        <v>30</v>
      </c>
      <c r="Q1393" s="173">
        <v>120</v>
      </c>
      <c r="R1393" s="907">
        <f>COUNTIF(PoderesDeCriatura_Adquiridos,Tablas!O1393)</f>
        <v>0</v>
      </c>
      <c r="S1393" s="173"/>
      <c r="T1393" s="898"/>
      <c r="W1393" s="929" t="s">
        <v>6907</v>
      </c>
      <c r="X1393" s="286"/>
      <c r="Y1393" s="758" t="str">
        <f>IF(Z1393="","",SUBSTITUTE("PodHab_"&amp;W1393," ",""))</f>
        <v>PodHab_Vuelomístico</v>
      </c>
      <c r="Z1393" s="1177" t="s">
        <v>7053</v>
      </c>
      <c r="AA1393" s="1183" t="s">
        <v>7048</v>
      </c>
      <c r="AB1393" s="1183" t="s">
        <v>7049</v>
      </c>
      <c r="AC1393" s="1183" t="s">
        <v>7050</v>
      </c>
      <c r="AD1393" s="1183" t="s">
        <v>7051</v>
      </c>
      <c r="AE1393" s="1183" t="s">
        <v>7052</v>
      </c>
      <c r="AF1393" s="1183" t="s">
        <v>7054</v>
      </c>
      <c r="AG1393" s="1183" t="s">
        <v>7055</v>
      </c>
      <c r="AH1393" s="1183"/>
      <c r="AI1393" s="1183"/>
      <c r="AJ1393" s="1183"/>
      <c r="AK1393" s="1183"/>
      <c r="AL1393" s="1183"/>
      <c r="AM1393" s="1183"/>
      <c r="AN1393" s="1183"/>
      <c r="AO1393" s="1183"/>
      <c r="AP1393" s="1183"/>
      <c r="AQ1393" s="1181"/>
      <c r="AR1393" s="1181"/>
      <c r="AS1393" s="1181"/>
      <c r="AT1393" s="1181"/>
      <c r="AU1393" s="1181"/>
      <c r="AV1393" s="1181"/>
      <c r="AW1393" s="1181"/>
      <c r="AX1393" s="1181"/>
      <c r="AY1393" s="1181"/>
      <c r="AZ1393" s="1181"/>
      <c r="BA1393" s="1181"/>
      <c r="BB1393" s="1181"/>
      <c r="BC1393" s="1181"/>
      <c r="BD1393" s="1181"/>
      <c r="BE1393" s="1181"/>
      <c r="BF1393" s="1181"/>
      <c r="BG1393" s="1181"/>
      <c r="BH1393" s="1181"/>
      <c r="BI1393" s="1181"/>
      <c r="BJ1393" s="1181"/>
      <c r="BK1393" s="1181"/>
      <c r="BL1393" s="1181"/>
      <c r="BM1393" s="1181"/>
      <c r="BN1393" s="1181"/>
      <c r="BO1393" s="1181"/>
      <c r="BP1393" s="1181"/>
      <c r="BQ1393" s="1181"/>
      <c r="BR1393" s="1181"/>
      <c r="BS1393" s="1181"/>
      <c r="BT1393" s="1181"/>
      <c r="BU1393" s="1181"/>
      <c r="BV1393" s="1181"/>
      <c r="BW1393" s="1181"/>
      <c r="BX1393" s="1181"/>
      <c r="BY1393" s="1181"/>
      <c r="BZ1393" s="1181"/>
      <c r="CA1393" s="1181"/>
      <c r="CB1393" s="1182"/>
    </row>
    <row r="1394" spans="1:80" ht="12.75" customHeight="1">
      <c r="A1394" s="219">
        <v>1330</v>
      </c>
      <c r="B1394" s="7145"/>
      <c r="C1394" s="902"/>
      <c r="D1394" s="57"/>
      <c r="E1394" s="905" t="s">
        <v>7636</v>
      </c>
      <c r="F1394" s="75">
        <v>5</v>
      </c>
      <c r="G1394" s="75">
        <v>40</v>
      </c>
      <c r="H1394" s="75">
        <f>COUNTIF(HabilidadesEsenciales_Adquiridas,Tablas!E1394)</f>
        <v>0</v>
      </c>
      <c r="I1394" s="907">
        <v>1</v>
      </c>
      <c r="J1394" s="173">
        <f t="array" ref="J1394">MAX({1;2;3;4;5}*H1398:H1402)</f>
        <v>0</v>
      </c>
      <c r="K1394" s="898" t="s">
        <v>1357</v>
      </c>
      <c r="M1394" s="307"/>
      <c r="N1394" s="21"/>
      <c r="O1394" s="131" t="s">
        <v>7234</v>
      </c>
      <c r="P1394" s="900">
        <v>0</v>
      </c>
      <c r="Q1394" s="173">
        <v>10</v>
      </c>
      <c r="R1394" s="907">
        <f>COUNTIF(PoderesDeCriatura_Adquiridos,Tablas!O1394)</f>
        <v>0</v>
      </c>
      <c r="S1394" s="173"/>
      <c r="T1394" s="898"/>
      <c r="W1394" s="929" t="s">
        <v>1180</v>
      </c>
      <c r="X1394" s="699"/>
      <c r="Y1394" s="758"/>
      <c r="Z1394" s="1177" t="s">
        <v>6506</v>
      </c>
      <c r="AA1394" s="1183" t="s">
        <v>6506</v>
      </c>
      <c r="AB1394" s="1183" t="s">
        <v>6506</v>
      </c>
      <c r="AC1394" s="1183" t="s">
        <v>6506</v>
      </c>
      <c r="AD1394" s="1183" t="s">
        <v>6506</v>
      </c>
      <c r="AE1394" s="1183" t="s">
        <v>6506</v>
      </c>
      <c r="AF1394" s="1183"/>
      <c r="AG1394" s="1183"/>
      <c r="AH1394" s="1183"/>
      <c r="AI1394" s="1183"/>
      <c r="AJ1394" s="1183"/>
      <c r="AK1394" s="1183"/>
      <c r="AL1394" s="1183"/>
      <c r="AM1394" s="1183"/>
      <c r="AN1394" s="1183"/>
      <c r="AO1394" s="1183"/>
      <c r="AP1394" s="1183"/>
      <c r="AQ1394" s="1181"/>
      <c r="AR1394" s="1181"/>
      <c r="AS1394" s="1181"/>
      <c r="AT1394" s="1181"/>
      <c r="AU1394" s="1181"/>
      <c r="AV1394" s="1181"/>
      <c r="AW1394" s="1181"/>
      <c r="AX1394" s="1181"/>
      <c r="AY1394" s="1181"/>
      <c r="AZ1394" s="1181"/>
      <c r="BA1394" s="1181"/>
      <c r="BB1394" s="1181"/>
      <c r="BC1394" s="1181"/>
      <c r="BD1394" s="1181"/>
      <c r="BE1394" s="1181"/>
      <c r="BF1394" s="1181"/>
      <c r="BG1394" s="1181"/>
      <c r="BH1394" s="1181"/>
      <c r="BI1394" s="1181"/>
      <c r="BJ1394" s="1181"/>
      <c r="BK1394" s="1181"/>
      <c r="BL1394" s="1181"/>
      <c r="BM1394" s="1181"/>
      <c r="BN1394" s="1181"/>
      <c r="BO1394" s="1181"/>
      <c r="BP1394" s="1181"/>
      <c r="BQ1394" s="1181"/>
      <c r="BR1394" s="1181"/>
      <c r="BS1394" s="1181"/>
      <c r="BT1394" s="1181"/>
      <c r="BU1394" s="1181"/>
      <c r="BV1394" s="1181"/>
      <c r="BW1394" s="1181"/>
      <c r="BX1394" s="1181"/>
      <c r="BY1394" s="1181"/>
      <c r="BZ1394" s="1181"/>
      <c r="CA1394" s="1181"/>
      <c r="CB1394" s="1182"/>
    </row>
    <row r="1395" spans="1:80" ht="12.75" customHeight="1">
      <c r="A1395" s="219">
        <v>1331</v>
      </c>
      <c r="B1395" s="7145"/>
      <c r="C1395" s="902"/>
      <c r="D1395" s="57"/>
      <c r="E1395" s="905" t="s">
        <v>7637</v>
      </c>
      <c r="F1395" s="75">
        <v>15</v>
      </c>
      <c r="G1395" s="75">
        <v>60</v>
      </c>
      <c r="H1395" s="75">
        <f>COUNTIF(HabilidadesEsenciales_Adquiridas,Tablas!E1395)</f>
        <v>0</v>
      </c>
      <c r="I1395" s="907">
        <v>1</v>
      </c>
      <c r="J1395" s="173">
        <f t="array" ref="J1395">MAX({1;2;3;4;5}*H1403:H1407)</f>
        <v>0</v>
      </c>
      <c r="K1395" s="898" t="s">
        <v>1238</v>
      </c>
      <c r="M1395" s="307"/>
      <c r="N1395" s="21"/>
      <c r="O1395" s="131" t="s">
        <v>7235</v>
      </c>
      <c r="P1395" s="900">
        <v>10</v>
      </c>
      <c r="Q1395" s="173">
        <v>20</v>
      </c>
      <c r="R1395" s="907">
        <f>COUNTIF(PoderesDeCriatura_Adquiridos,Tablas!O1395)</f>
        <v>0</v>
      </c>
      <c r="S1395" s="173">
        <f>IF(R1394=1,10,IF(R1395=1,20,IF(R1396=1,30,0)))</f>
        <v>0</v>
      </c>
      <c r="T1395" s="898" t="s">
        <v>1252</v>
      </c>
      <c r="W1395" s="929" t="s">
        <v>6925</v>
      </c>
      <c r="X1395" s="286"/>
      <c r="Y1395" s="758" t="str">
        <f>IF(Z1395="","",SUBSTITUTE("PodHab_"&amp;W1395," ",""))</f>
        <v>PodHab_Resistenciafísicamejorada</v>
      </c>
      <c r="Z1395" s="1177" t="s">
        <v>7056</v>
      </c>
      <c r="AA1395" s="1183" t="s">
        <v>2537</v>
      </c>
      <c r="AB1395" s="1183" t="s">
        <v>7057</v>
      </c>
      <c r="AC1395" s="1183" t="s">
        <v>7058</v>
      </c>
      <c r="AD1395" s="1183" t="s">
        <v>7059</v>
      </c>
      <c r="AE1395" s="1183" t="s">
        <v>7060</v>
      </c>
      <c r="AF1395" s="1183" t="s">
        <v>7061</v>
      </c>
      <c r="AG1395" s="1183" t="s">
        <v>7062</v>
      </c>
      <c r="AH1395" s="1183"/>
      <c r="AI1395" s="1183"/>
      <c r="AJ1395" s="1183"/>
      <c r="AK1395" s="1183"/>
      <c r="AL1395" s="1183"/>
      <c r="AM1395" s="1183"/>
      <c r="AN1395" s="1183"/>
      <c r="AO1395" s="1183"/>
      <c r="AP1395" s="1183"/>
      <c r="AQ1395" s="1181"/>
      <c r="AR1395" s="1181"/>
      <c r="AS1395" s="1181"/>
      <c r="AT1395" s="1181"/>
      <c r="AU1395" s="1181"/>
      <c r="AV1395" s="1181"/>
      <c r="AW1395" s="1181"/>
      <c r="AX1395" s="1181"/>
      <c r="AY1395" s="1181"/>
      <c r="AZ1395" s="1181"/>
      <c r="BA1395" s="1181"/>
      <c r="BB1395" s="1181"/>
      <c r="BC1395" s="1181"/>
      <c r="BD1395" s="1181"/>
      <c r="BE1395" s="1181"/>
      <c r="BF1395" s="1181"/>
      <c r="BG1395" s="1181"/>
      <c r="BH1395" s="1181"/>
      <c r="BI1395" s="1181"/>
      <c r="BJ1395" s="1181"/>
      <c r="BK1395" s="1181"/>
      <c r="BL1395" s="1181"/>
      <c r="BM1395" s="1181"/>
      <c r="BN1395" s="1181"/>
      <c r="BO1395" s="1181"/>
      <c r="BP1395" s="1181"/>
      <c r="BQ1395" s="1181"/>
      <c r="BR1395" s="1181"/>
      <c r="BS1395" s="1181"/>
      <c r="BT1395" s="1181"/>
      <c r="BU1395" s="1181"/>
      <c r="BV1395" s="1181"/>
      <c r="BW1395" s="1181"/>
      <c r="BX1395" s="1181"/>
      <c r="BY1395" s="1181"/>
      <c r="BZ1395" s="1181"/>
      <c r="CA1395" s="1181"/>
      <c r="CB1395" s="1182"/>
    </row>
    <row r="1396" spans="1:80" ht="12.75" customHeight="1">
      <c r="A1396" s="219">
        <v>1332</v>
      </c>
      <c r="B1396" s="7145"/>
      <c r="C1396" s="902"/>
      <c r="D1396" s="57"/>
      <c r="E1396" s="905" t="s">
        <v>7638</v>
      </c>
      <c r="F1396" s="75">
        <v>20</v>
      </c>
      <c r="G1396" s="75">
        <v>120</v>
      </c>
      <c r="H1396" s="75">
        <f>COUNTIF(HabilidadesEsenciales_Adquiridas,Tablas!E1396)</f>
        <v>0</v>
      </c>
      <c r="I1396" s="907"/>
      <c r="J1396" s="173">
        <f t="array" ref="J1396">MAX({1;2;3;4;5}*H1408:H1412)</f>
        <v>0</v>
      </c>
      <c r="K1396" s="898" t="s">
        <v>1243</v>
      </c>
      <c r="M1396" s="307"/>
      <c r="N1396" s="21"/>
      <c r="O1396" s="131" t="s">
        <v>7236</v>
      </c>
      <c r="P1396" s="900">
        <v>20</v>
      </c>
      <c r="Q1396" s="173">
        <v>30</v>
      </c>
      <c r="R1396" s="907">
        <f>COUNTIF(PoderesDeCriatura_Adquiridos,Tablas!O1396)</f>
        <v>0</v>
      </c>
      <c r="S1396" s="173"/>
      <c r="T1396" s="898"/>
      <c r="W1396" s="929" t="s">
        <v>6926</v>
      </c>
      <c r="X1396" s="286"/>
      <c r="Y1396" s="758" t="str">
        <f>IF(Z1396="","",SUBSTITUTE("PodHab_"&amp;W1396," ",""))</f>
        <v>PodHab_Resistenciamísticamejorada</v>
      </c>
      <c r="Z1396" s="1177" t="s">
        <v>7063</v>
      </c>
      <c r="AA1396" s="1183" t="s">
        <v>7064</v>
      </c>
      <c r="AB1396" s="1183" t="s">
        <v>7065</v>
      </c>
      <c r="AC1396" s="1183" t="s">
        <v>7066</v>
      </c>
      <c r="AD1396" s="1183" t="s">
        <v>7067</v>
      </c>
      <c r="AE1396" s="1183" t="s">
        <v>7068</v>
      </c>
      <c r="AF1396" s="1183" t="s">
        <v>7069</v>
      </c>
      <c r="AG1396" s="1183" t="s">
        <v>7070</v>
      </c>
      <c r="AH1396" s="1183" t="s">
        <v>7071</v>
      </c>
      <c r="AI1396" s="1183" t="s">
        <v>7072</v>
      </c>
      <c r="AJ1396" s="699"/>
      <c r="AK1396" s="699"/>
      <c r="AL1396" s="699"/>
      <c r="AM1396" s="699"/>
      <c r="AN1396" s="699"/>
      <c r="AO1396" s="1183"/>
      <c r="AP1396" s="1183"/>
      <c r="AQ1396" s="1181"/>
      <c r="AR1396" s="1181"/>
      <c r="AS1396" s="1181"/>
      <c r="AT1396" s="1181"/>
      <c r="AU1396" s="1181"/>
      <c r="AV1396" s="1181"/>
      <c r="AW1396" s="1181"/>
      <c r="AX1396" s="1181"/>
      <c r="AY1396" s="1181"/>
      <c r="AZ1396" s="1181"/>
      <c r="BA1396" s="1181"/>
      <c r="BB1396" s="1181"/>
      <c r="BC1396" s="1181"/>
      <c r="BD1396" s="1181"/>
      <c r="BE1396" s="1181"/>
      <c r="BF1396" s="1181"/>
      <c r="BG1396" s="1181"/>
      <c r="BH1396" s="1181"/>
      <c r="BI1396" s="1181"/>
      <c r="BJ1396" s="1181"/>
      <c r="BK1396" s="1181"/>
      <c r="BL1396" s="1181"/>
      <c r="BM1396" s="1181"/>
      <c r="BN1396" s="1181"/>
      <c r="BO1396" s="1181"/>
      <c r="BP1396" s="1181"/>
      <c r="BQ1396" s="1181"/>
      <c r="BR1396" s="1181"/>
      <c r="BS1396" s="1181"/>
      <c r="BT1396" s="1181"/>
      <c r="BU1396" s="1181"/>
      <c r="BV1396" s="1181"/>
      <c r="BW1396" s="1181"/>
      <c r="BX1396" s="1181"/>
      <c r="BY1396" s="1181"/>
      <c r="BZ1396" s="1181"/>
      <c r="CA1396" s="1181"/>
      <c r="CB1396" s="1182"/>
    </row>
    <row r="1397" spans="1:80" ht="12.75" customHeight="1">
      <c r="A1397" s="219">
        <v>1333</v>
      </c>
      <c r="B1397" s="7145"/>
      <c r="C1397" s="902"/>
      <c r="D1397" s="57"/>
      <c r="E1397" s="905" t="s">
        <v>7639</v>
      </c>
      <c r="F1397" s="75">
        <v>25</v>
      </c>
      <c r="G1397" s="75">
        <v>180</v>
      </c>
      <c r="H1397" s="75">
        <f>COUNTIF(HabilidadesEsenciales_Adquiridas,Tablas!E1397)</f>
        <v>0</v>
      </c>
      <c r="I1397" s="907"/>
      <c r="J1397" s="173">
        <f t="array" ref="J1397">MAX({1;2;3;4;5}*H1413:H1417)</f>
        <v>0</v>
      </c>
      <c r="K1397" s="898" t="s">
        <v>1245</v>
      </c>
      <c r="M1397" s="307"/>
      <c r="N1397" s="21"/>
      <c r="O1397" s="131" t="s">
        <v>1168</v>
      </c>
      <c r="P1397" s="900">
        <v>10</v>
      </c>
      <c r="Q1397" s="173">
        <v>10</v>
      </c>
      <c r="R1397" s="907">
        <f>COUNTIF(PoderesDeCriatura_Adquiridos,Tablas!O1397)</f>
        <v>0</v>
      </c>
      <c r="S1397" s="173"/>
      <c r="T1397" s="898"/>
      <c r="W1397" s="929" t="s">
        <v>9481</v>
      </c>
      <c r="X1397" s="286"/>
      <c r="Y1397" s="758" t="str">
        <f>IF(Z1397="","",SUBSTITUTE("PodHab_"&amp;W1397," ",""))</f>
        <v>PodHab_PenalaResistenciamística</v>
      </c>
      <c r="Z1397" s="1177" t="s">
        <v>7073</v>
      </c>
      <c r="AA1397" s="1183" t="s">
        <v>7074</v>
      </c>
      <c r="AB1397" s="1183" t="s">
        <v>7075</v>
      </c>
      <c r="AC1397" s="1183" t="s">
        <v>7076</v>
      </c>
      <c r="AD1397" s="1183" t="s">
        <v>7077</v>
      </c>
      <c r="AE1397" s="1183" t="s">
        <v>7078</v>
      </c>
      <c r="AF1397" s="1183" t="s">
        <v>7079</v>
      </c>
      <c r="AG1397" s="1183" t="s">
        <v>7080</v>
      </c>
      <c r="AH1397" s="1183" t="s">
        <v>7081</v>
      </c>
      <c r="AI1397" s="1183" t="s">
        <v>7082</v>
      </c>
      <c r="AJ1397" s="699"/>
      <c r="AK1397" s="699"/>
      <c r="AL1397" s="699"/>
      <c r="AM1397" s="699"/>
      <c r="AN1397" s="699"/>
      <c r="AO1397" s="1183" t="s">
        <v>6506</v>
      </c>
      <c r="AP1397" s="1183" t="s">
        <v>6506</v>
      </c>
      <c r="AQ1397" s="1181"/>
      <c r="AR1397" s="1181"/>
      <c r="AS1397" s="1181"/>
      <c r="AT1397" s="1181"/>
      <c r="AU1397" s="1181"/>
      <c r="AV1397" s="1181"/>
      <c r="AW1397" s="1181"/>
      <c r="AX1397" s="1181"/>
      <c r="AY1397" s="1181"/>
      <c r="AZ1397" s="1181"/>
      <c r="BA1397" s="1181"/>
      <c r="BB1397" s="1181"/>
      <c r="BC1397" s="1181"/>
      <c r="BD1397" s="1181"/>
      <c r="BE1397" s="1181"/>
      <c r="BF1397" s="1181"/>
      <c r="BG1397" s="1181"/>
      <c r="BH1397" s="1181"/>
      <c r="BI1397" s="1181"/>
      <c r="BJ1397" s="1181"/>
      <c r="BK1397" s="1181"/>
      <c r="BL1397" s="1181"/>
      <c r="BM1397" s="1181"/>
      <c r="BN1397" s="1181"/>
      <c r="BO1397" s="1181"/>
      <c r="BP1397" s="1181"/>
      <c r="BQ1397" s="1181"/>
      <c r="BR1397" s="1181"/>
      <c r="BS1397" s="1181"/>
      <c r="BT1397" s="1181"/>
      <c r="BU1397" s="1181"/>
      <c r="BV1397" s="1181"/>
      <c r="BW1397" s="1181"/>
      <c r="BX1397" s="1181"/>
      <c r="BY1397" s="1181"/>
      <c r="BZ1397" s="1181"/>
      <c r="CA1397" s="1181"/>
      <c r="CB1397" s="1182"/>
    </row>
    <row r="1398" spans="1:80" ht="12.75" customHeight="1">
      <c r="A1398" s="219">
        <v>1334</v>
      </c>
      <c r="B1398" s="7145"/>
      <c r="C1398" s="902"/>
      <c r="D1398" s="57"/>
      <c r="E1398" s="905" t="s">
        <v>7640</v>
      </c>
      <c r="F1398" s="75">
        <v>0</v>
      </c>
      <c r="G1398" s="75">
        <v>20</v>
      </c>
      <c r="H1398" s="75">
        <f>COUNTIF(HabilidadesEsenciales_Adquiridas,Tablas!E1398)</f>
        <v>0</v>
      </c>
      <c r="I1398" s="907">
        <v>1</v>
      </c>
      <c r="J1398" s="173">
        <f t="array" ref="J1398">MAX({1;2;3;4;5}*H1418:H1422)</f>
        <v>0</v>
      </c>
      <c r="K1398" s="898" t="s">
        <v>1248</v>
      </c>
      <c r="M1398" s="307"/>
      <c r="N1398" s="21"/>
      <c r="O1398" s="131" t="s">
        <v>7237</v>
      </c>
      <c r="P1398" s="900">
        <v>0</v>
      </c>
      <c r="Q1398" s="173">
        <v>10</v>
      </c>
      <c r="R1398" s="907">
        <f>COUNTIF(PoderesDeCriatura_Adquiridos,Tablas!O1398)</f>
        <v>0</v>
      </c>
      <c r="S1398" s="173"/>
      <c r="T1398" s="898"/>
      <c r="W1398" s="929" t="s">
        <v>1228</v>
      </c>
      <c r="X1398" s="286"/>
      <c r="Y1398" s="758" t="str">
        <f>IF(Z1398="","",SUBSTITUTE("PodHab_"&amp;W1398," ",""))</f>
        <v>PodHab_Regeneración</v>
      </c>
      <c r="Z1398" s="1177" t="s">
        <v>7083</v>
      </c>
      <c r="AA1398" s="1183" t="s">
        <v>7053</v>
      </c>
      <c r="AB1398" s="1183" t="s">
        <v>7048</v>
      </c>
      <c r="AC1398" s="1183" t="s">
        <v>7049</v>
      </c>
      <c r="AD1398" s="1183" t="s">
        <v>7050</v>
      </c>
      <c r="AE1398" s="1183" t="s">
        <v>7051</v>
      </c>
      <c r="AF1398" s="1183" t="s">
        <v>7052</v>
      </c>
      <c r="AG1398" s="1183" t="s">
        <v>7054</v>
      </c>
      <c r="AH1398" s="1183" t="s">
        <v>7084</v>
      </c>
      <c r="AI1398" s="1183" t="s">
        <v>7085</v>
      </c>
      <c r="AJ1398" s="1183" t="s">
        <v>7086</v>
      </c>
      <c r="AK1398" s="1183" t="s">
        <v>7087</v>
      </c>
      <c r="AL1398" s="1183" t="s">
        <v>7088</v>
      </c>
      <c r="AM1398" s="1183"/>
      <c r="AN1398" s="1183"/>
      <c r="AO1398" s="1183"/>
      <c r="AP1398" s="1183"/>
      <c r="AQ1398" s="1181"/>
      <c r="AR1398" s="1181"/>
      <c r="AS1398" s="1181"/>
      <c r="AT1398" s="1181"/>
      <c r="AU1398" s="1181"/>
      <c r="AV1398" s="1181"/>
      <c r="AW1398" s="1181"/>
      <c r="AX1398" s="1181"/>
      <c r="AY1398" s="1181"/>
      <c r="AZ1398" s="1181"/>
      <c r="BA1398" s="1181"/>
      <c r="BB1398" s="1181"/>
      <c r="BC1398" s="1181"/>
      <c r="BD1398" s="1181"/>
      <c r="BE1398" s="1181"/>
      <c r="BF1398" s="1181"/>
      <c r="BG1398" s="1181"/>
      <c r="BH1398" s="1181"/>
      <c r="BI1398" s="1181"/>
      <c r="BJ1398" s="1181"/>
      <c r="BK1398" s="1181"/>
      <c r="BL1398" s="1181"/>
      <c r="BM1398" s="1181"/>
      <c r="BN1398" s="1181"/>
      <c r="BO1398" s="1181"/>
      <c r="BP1398" s="1181"/>
      <c r="BQ1398" s="1181"/>
      <c r="BR1398" s="1181"/>
      <c r="BS1398" s="1181"/>
      <c r="BT1398" s="1181"/>
      <c r="BU1398" s="1181"/>
      <c r="BV1398" s="1181"/>
      <c r="BW1398" s="1181"/>
      <c r="BX1398" s="1181"/>
      <c r="BY1398" s="1181"/>
      <c r="BZ1398" s="1181"/>
      <c r="CA1398" s="1181"/>
      <c r="CB1398" s="1182"/>
    </row>
    <row r="1399" spans="1:80" ht="12.75" customHeight="1">
      <c r="A1399" s="219">
        <v>1335</v>
      </c>
      <c r="B1399" s="7145"/>
      <c r="C1399" s="902"/>
      <c r="D1399" s="57"/>
      <c r="E1399" s="905" t="s">
        <v>7641</v>
      </c>
      <c r="F1399" s="75">
        <v>5</v>
      </c>
      <c r="G1399" s="75">
        <v>40</v>
      </c>
      <c r="H1399" s="75">
        <f>COUNTIF(HabilidadesEsenciales_Adquiridas,Tablas!E1399)</f>
        <v>0</v>
      </c>
      <c r="I1399" s="907">
        <v>1</v>
      </c>
      <c r="J1399" s="173">
        <f t="array" ref="J1399">MAX({1;2;3;4;5}*H1423:H1427)</f>
        <v>0</v>
      </c>
      <c r="K1399" s="898" t="s">
        <v>1250</v>
      </c>
      <c r="M1399" s="307"/>
      <c r="N1399" s="21"/>
      <c r="O1399" s="131" t="s">
        <v>7238</v>
      </c>
      <c r="P1399" s="900">
        <v>10</v>
      </c>
      <c r="Q1399" s="173">
        <v>15</v>
      </c>
      <c r="R1399" s="907">
        <f>COUNTIF(PoderesDeCriatura_Adquiridos,Tablas!O1399)</f>
        <v>0</v>
      </c>
      <c r="S1399" s="173"/>
      <c r="T1399" s="898"/>
      <c r="W1399" s="929" t="s">
        <v>6908</v>
      </c>
      <c r="X1399" s="286"/>
      <c r="Y1399" s="758" t="str">
        <f>IF(Z1399="","",SUBSTITUTE("PodHab_"&amp;W1399," ",""))</f>
        <v>PodHab_Degeneración</v>
      </c>
      <c r="Z1399" s="1177" t="s">
        <v>7089</v>
      </c>
      <c r="AA1399" s="1183" t="s">
        <v>7090</v>
      </c>
      <c r="AB1399" s="1183" t="s">
        <v>7091</v>
      </c>
      <c r="AC1399" s="1183" t="s">
        <v>7092</v>
      </c>
      <c r="AD1399" s="1183" t="s">
        <v>7093</v>
      </c>
      <c r="AE1399" s="1183"/>
      <c r="AF1399" s="1183"/>
      <c r="AG1399" s="1183"/>
      <c r="AH1399" s="1183"/>
      <c r="AI1399" s="1183"/>
      <c r="AJ1399" s="1183"/>
      <c r="AK1399" s="1183"/>
      <c r="AL1399" s="1183"/>
      <c r="AM1399" s="1183"/>
      <c r="AN1399" s="1183"/>
      <c r="AO1399" s="1183"/>
      <c r="AP1399" s="1183"/>
      <c r="AQ1399" s="1181"/>
      <c r="AR1399" s="1181"/>
      <c r="AS1399" s="1181"/>
      <c r="AT1399" s="1181"/>
      <c r="AU1399" s="1181"/>
      <c r="AV1399" s="1181"/>
      <c r="AW1399" s="1181"/>
      <c r="AX1399" s="1181"/>
      <c r="AY1399" s="1181"/>
      <c r="AZ1399" s="1181"/>
      <c r="BA1399" s="1181"/>
      <c r="BB1399" s="1181"/>
      <c r="BC1399" s="1181"/>
      <c r="BD1399" s="1181"/>
      <c r="BE1399" s="1181"/>
      <c r="BF1399" s="1181"/>
      <c r="BG1399" s="1181"/>
      <c r="BH1399" s="1181"/>
      <c r="BI1399" s="1181"/>
      <c r="BJ1399" s="1181"/>
      <c r="BK1399" s="1181"/>
      <c r="BL1399" s="1181"/>
      <c r="BM1399" s="1181"/>
      <c r="BN1399" s="1181"/>
      <c r="BO1399" s="1181"/>
      <c r="BP1399" s="1181"/>
      <c r="BQ1399" s="1181"/>
      <c r="BR1399" s="1181"/>
      <c r="BS1399" s="1181"/>
      <c r="BT1399" s="1181"/>
      <c r="BU1399" s="1181"/>
      <c r="BV1399" s="1181"/>
      <c r="BW1399" s="1181"/>
      <c r="BX1399" s="1181"/>
      <c r="BY1399" s="1181"/>
      <c r="BZ1399" s="1181"/>
      <c r="CA1399" s="1181"/>
      <c r="CB1399" s="1182"/>
    </row>
    <row r="1400" spans="1:80" ht="12.75" customHeight="1">
      <c r="A1400" s="219">
        <v>1336</v>
      </c>
      <c r="B1400" s="7145"/>
      <c r="C1400" s="902"/>
      <c r="D1400" s="57"/>
      <c r="E1400" s="905" t="s">
        <v>7642</v>
      </c>
      <c r="F1400" s="75">
        <v>15</v>
      </c>
      <c r="G1400" s="75">
        <v>60</v>
      </c>
      <c r="H1400" s="75">
        <f>COUNTIF(HabilidadesEsenciales_Adquiridas,Tablas!E1400)</f>
        <v>0</v>
      </c>
      <c r="I1400" s="907">
        <v>1</v>
      </c>
      <c r="J1400" s="173">
        <f t="array" ref="J1400">MAX({1;2;3;4;5}*H1428:H1432)</f>
        <v>0</v>
      </c>
      <c r="K1400" s="898" t="s">
        <v>1251</v>
      </c>
      <c r="M1400" s="307"/>
      <c r="N1400" s="21"/>
      <c r="O1400" s="131" t="s">
        <v>7239</v>
      </c>
      <c r="P1400" s="900">
        <v>15</v>
      </c>
      <c r="Q1400" s="173">
        <v>20</v>
      </c>
      <c r="R1400" s="907">
        <f>COUNTIF(PoderesDeCriatura_Adquiridos,Tablas!O1400)</f>
        <v>0</v>
      </c>
      <c r="S1400" s="173"/>
      <c r="T1400" s="898"/>
      <c r="W1400" s="929" t="s">
        <v>1181</v>
      </c>
      <c r="X1400" s="286"/>
      <c r="Y1400" s="758"/>
      <c r="Z1400" s="1177"/>
      <c r="AA1400" s="1183"/>
      <c r="AB1400" s="1183"/>
      <c r="AC1400" s="1183"/>
      <c r="AD1400" s="1183"/>
      <c r="AE1400" s="1183"/>
      <c r="AF1400" s="1183"/>
      <c r="AG1400" s="1183"/>
      <c r="AH1400" s="1183"/>
      <c r="AI1400" s="1183"/>
      <c r="AJ1400" s="1183"/>
      <c r="AK1400" s="1183"/>
      <c r="AL1400" s="1183"/>
      <c r="AM1400" s="1183"/>
      <c r="AN1400" s="1183"/>
      <c r="AO1400" s="1183"/>
      <c r="AP1400" s="1183"/>
      <c r="AQ1400" s="1181"/>
      <c r="AR1400" s="1181"/>
      <c r="AS1400" s="1181"/>
      <c r="AT1400" s="1181"/>
      <c r="AU1400" s="1181"/>
      <c r="AV1400" s="1181"/>
      <c r="AW1400" s="1181"/>
      <c r="AX1400" s="1181"/>
      <c r="AY1400" s="1181"/>
      <c r="AZ1400" s="1181"/>
      <c r="BA1400" s="1181"/>
      <c r="BB1400" s="1181"/>
      <c r="BC1400" s="1181"/>
      <c r="BD1400" s="1181"/>
      <c r="BE1400" s="1181"/>
      <c r="BF1400" s="1181"/>
      <c r="BG1400" s="1181"/>
      <c r="BH1400" s="1181"/>
      <c r="BI1400" s="1181"/>
      <c r="BJ1400" s="1181"/>
      <c r="BK1400" s="1181"/>
      <c r="BL1400" s="1181"/>
      <c r="BM1400" s="1181"/>
      <c r="BN1400" s="1181"/>
      <c r="BO1400" s="1181"/>
      <c r="BP1400" s="1181"/>
      <c r="BQ1400" s="1181"/>
      <c r="BR1400" s="1181"/>
      <c r="BS1400" s="1181"/>
      <c r="BT1400" s="1181"/>
      <c r="BU1400" s="1181"/>
      <c r="BV1400" s="1181"/>
      <c r="BW1400" s="1181"/>
      <c r="BX1400" s="1181"/>
      <c r="BY1400" s="1181"/>
      <c r="BZ1400" s="1181"/>
      <c r="CA1400" s="1181"/>
      <c r="CB1400" s="1182"/>
    </row>
    <row r="1401" spans="1:80" ht="12.75" customHeight="1">
      <c r="A1401" s="219">
        <v>1337</v>
      </c>
      <c r="B1401" s="7145"/>
      <c r="C1401" s="902"/>
      <c r="D1401" s="57"/>
      <c r="E1401" s="905" t="s">
        <v>7643</v>
      </c>
      <c r="F1401" s="75">
        <v>20</v>
      </c>
      <c r="G1401" s="75">
        <v>120</v>
      </c>
      <c r="H1401" s="75">
        <f>COUNTIF(HabilidadesEsenciales_Adquiridas,Tablas!E1401)</f>
        <v>0</v>
      </c>
      <c r="I1401" s="907"/>
      <c r="J1401" s="173"/>
      <c r="K1401" s="898"/>
      <c r="M1401" s="307"/>
      <c r="N1401" s="21"/>
      <c r="O1401" s="131" t="s">
        <v>7240</v>
      </c>
      <c r="P1401" s="900">
        <v>20</v>
      </c>
      <c r="Q1401" s="173">
        <v>25</v>
      </c>
      <c r="R1401" s="907">
        <f>COUNTIF(PoderesDeCriatura_Adquiridos,Tablas!O1401)</f>
        <v>0</v>
      </c>
      <c r="S1401" s="173"/>
      <c r="T1401" s="898"/>
      <c r="W1401" s="929" t="s">
        <v>157</v>
      </c>
      <c r="X1401" s="286"/>
      <c r="Y1401" s="758" t="str">
        <f t="shared" ref="Y1401:Y1432" si="409">IF(Z1401="","",SUBSTITUTE("PodHab_"&amp;W1401," ",""))</f>
        <v>PodHab_Inmunidad</v>
      </c>
      <c r="Z1401" s="1177" t="s">
        <v>7974</v>
      </c>
      <c r="AA1401" s="1183" t="s">
        <v>7975</v>
      </c>
      <c r="AB1401" s="1183" t="s">
        <v>7976</v>
      </c>
      <c r="AC1401" s="1183" t="s">
        <v>7977</v>
      </c>
      <c r="AD1401" s="1183" t="s">
        <v>7978</v>
      </c>
      <c r="AE1401" s="1183" t="s">
        <v>7979</v>
      </c>
      <c r="AF1401" s="1183" t="s">
        <v>7980</v>
      </c>
      <c r="AG1401" s="1183" t="s">
        <v>7981</v>
      </c>
      <c r="AH1401" s="1183" t="s">
        <v>7982</v>
      </c>
      <c r="AI1401" s="1183" t="s">
        <v>7983</v>
      </c>
      <c r="AJ1401" s="1183" t="s">
        <v>7984</v>
      </c>
      <c r="AK1401" s="1183" t="s">
        <v>7985</v>
      </c>
      <c r="AL1401" s="1183" t="s">
        <v>7986</v>
      </c>
      <c r="AM1401" s="1183" t="s">
        <v>7987</v>
      </c>
      <c r="AN1401" s="1183" t="s">
        <v>7988</v>
      </c>
      <c r="AO1401" s="1183" t="s">
        <v>7989</v>
      </c>
      <c r="AP1401" s="1183" t="s">
        <v>7990</v>
      </c>
      <c r="AQ1401" s="1181" t="s">
        <v>7094</v>
      </c>
      <c r="AR1401" s="1181"/>
      <c r="AS1401" s="1181"/>
      <c r="AT1401" s="1181"/>
      <c r="AU1401" s="1181"/>
      <c r="AV1401" s="1181"/>
      <c r="AW1401" s="1181"/>
      <c r="AX1401" s="1181"/>
      <c r="AY1401" s="1181"/>
      <c r="AZ1401" s="1181"/>
      <c r="BA1401" s="1181"/>
      <c r="BB1401" s="1181"/>
      <c r="BC1401" s="1181"/>
      <c r="BD1401" s="1181"/>
      <c r="BE1401" s="1181"/>
      <c r="BF1401" s="1181"/>
      <c r="BG1401" s="1181"/>
      <c r="BH1401" s="1181"/>
      <c r="BI1401" s="1181"/>
      <c r="BJ1401" s="1181"/>
      <c r="BK1401" s="1181"/>
      <c r="BL1401" s="1181"/>
      <c r="BM1401" s="1181"/>
      <c r="BN1401" s="1181"/>
      <c r="BO1401" s="1181"/>
      <c r="BP1401" s="1181"/>
      <c r="BQ1401" s="1181"/>
      <c r="BR1401" s="1181"/>
      <c r="BS1401" s="1181"/>
      <c r="BT1401" s="1181"/>
      <c r="BU1401" s="1181"/>
      <c r="BV1401" s="1181"/>
      <c r="BW1401" s="1181"/>
      <c r="BX1401" s="1181"/>
      <c r="BY1401" s="1181"/>
      <c r="BZ1401" s="1181"/>
      <c r="CA1401" s="1181"/>
      <c r="CB1401" s="1182"/>
    </row>
    <row r="1402" spans="1:80" ht="12.75" customHeight="1">
      <c r="A1402" s="219">
        <v>1338</v>
      </c>
      <c r="B1402" s="7145"/>
      <c r="C1402" s="902"/>
      <c r="D1402" s="57"/>
      <c r="E1402" s="905" t="s">
        <v>7644</v>
      </c>
      <c r="F1402" s="75">
        <v>25</v>
      </c>
      <c r="G1402" s="75">
        <v>180</v>
      </c>
      <c r="H1402" s="75">
        <f>COUNTIF(HabilidadesEsenciales_Adquiridas,Tablas!E1402)</f>
        <v>0</v>
      </c>
      <c r="I1402" s="907"/>
      <c r="J1402" s="173"/>
      <c r="K1402" s="898"/>
      <c r="M1402" s="307"/>
      <c r="N1402" s="21"/>
      <c r="O1402" s="131" t="s">
        <v>7241</v>
      </c>
      <c r="P1402" s="900">
        <v>25</v>
      </c>
      <c r="Q1402" s="173">
        <v>30</v>
      </c>
      <c r="R1402" s="907">
        <f>COUNTIF(PoderesDeCriatura_Adquiridos,Tablas!O1402)</f>
        <v>0</v>
      </c>
      <c r="S1402" s="173"/>
      <c r="T1402" s="898"/>
      <c r="W1402" s="929" t="s">
        <v>6909</v>
      </c>
      <c r="X1402" s="286"/>
      <c r="Y1402" s="758" t="str">
        <f t="shared" si="409"/>
        <v>PodHab_Vulnerabilidadextrema</v>
      </c>
      <c r="Z1402" s="1177" t="s">
        <v>7095</v>
      </c>
      <c r="AA1402" s="1183" t="s">
        <v>7096</v>
      </c>
      <c r="AB1402" s="1183" t="s">
        <v>7097</v>
      </c>
      <c r="AC1402" s="1183" t="s">
        <v>7098</v>
      </c>
      <c r="AD1402" s="1183" t="s">
        <v>7099</v>
      </c>
      <c r="AE1402" s="1183" t="s">
        <v>7100</v>
      </c>
      <c r="AF1402" s="1183" t="s">
        <v>7101</v>
      </c>
      <c r="AG1402" s="1183" t="s">
        <v>7902</v>
      </c>
      <c r="AH1402" s="1183" t="s">
        <v>9519</v>
      </c>
      <c r="AI1402" s="1183" t="s">
        <v>3004</v>
      </c>
      <c r="AJ1402" s="1183" t="s">
        <v>7020</v>
      </c>
      <c r="AK1402" s="1183" t="s">
        <v>412</v>
      </c>
      <c r="AL1402" s="1183" t="s">
        <v>49</v>
      </c>
      <c r="AM1402" s="1183" t="s">
        <v>3581</v>
      </c>
      <c r="AN1402" s="1183" t="s">
        <v>3582</v>
      </c>
      <c r="AO1402" s="1183" t="s">
        <v>3583</v>
      </c>
      <c r="AP1402" s="1183" t="s">
        <v>7017</v>
      </c>
      <c r="AQ1402" s="1181"/>
      <c r="AR1402" s="1181"/>
      <c r="AS1402" s="1181"/>
      <c r="AT1402" s="1181"/>
      <c r="AU1402" s="1181"/>
      <c r="AV1402" s="1181"/>
      <c r="AW1402" s="1181"/>
      <c r="AX1402" s="1181"/>
      <c r="AY1402" s="1181"/>
      <c r="AZ1402" s="1181"/>
      <c r="BA1402" s="1181"/>
      <c r="BB1402" s="1181"/>
      <c r="BC1402" s="1181"/>
      <c r="BD1402" s="1181"/>
      <c r="BE1402" s="1181"/>
      <c r="BF1402" s="1181"/>
      <c r="BG1402" s="1181"/>
      <c r="BH1402" s="1181"/>
      <c r="BI1402" s="1181"/>
      <c r="BJ1402" s="1181"/>
      <c r="BK1402" s="1181"/>
      <c r="BL1402" s="1181"/>
      <c r="BM1402" s="1181"/>
      <c r="BN1402" s="1181"/>
      <c r="BO1402" s="1181"/>
      <c r="BP1402" s="1181"/>
      <c r="BQ1402" s="1181"/>
      <c r="BR1402" s="1181"/>
      <c r="BS1402" s="1181"/>
      <c r="BT1402" s="1181"/>
      <c r="BU1402" s="1181"/>
      <c r="BV1402" s="1181"/>
      <c r="BW1402" s="1181"/>
      <c r="BX1402" s="1181"/>
      <c r="BY1402" s="1181"/>
      <c r="BZ1402" s="1181"/>
      <c r="CA1402" s="1181"/>
      <c r="CB1402" s="1182"/>
    </row>
    <row r="1403" spans="1:80" ht="12.75" customHeight="1">
      <c r="A1403" s="219">
        <v>1339</v>
      </c>
      <c r="B1403" s="7145"/>
      <c r="C1403" s="902"/>
      <c r="D1403" s="57"/>
      <c r="E1403" s="905" t="s">
        <v>7645</v>
      </c>
      <c r="F1403" s="75">
        <v>0</v>
      </c>
      <c r="G1403" s="75">
        <v>20</v>
      </c>
      <c r="H1403" s="75">
        <f>COUNTIF(HabilidadesEsenciales_Adquiridas,Tablas!E1403)</f>
        <v>0</v>
      </c>
      <c r="I1403" s="907">
        <v>1</v>
      </c>
      <c r="J1403" s="173"/>
      <c r="K1403" s="898"/>
      <c r="M1403" s="307"/>
      <c r="N1403" s="21"/>
      <c r="O1403" s="131" t="s">
        <v>7242</v>
      </c>
      <c r="P1403" s="900">
        <v>5</v>
      </c>
      <c r="Q1403" s="173">
        <v>10</v>
      </c>
      <c r="R1403" s="907">
        <f>COUNTIF(PoderesDeCriatura_Adquiridos,Tablas!O1403)</f>
        <v>0</v>
      </c>
      <c r="S1403" s="173"/>
      <c r="T1403" s="898"/>
      <c r="U1403">
        <v>1</v>
      </c>
      <c r="W1403" s="929" t="s">
        <v>6910</v>
      </c>
      <c r="X1403" s="286"/>
      <c r="Y1403" s="758" t="str">
        <f t="shared" si="409"/>
        <v>PodHab_Barreradedaño</v>
      </c>
      <c r="Z1403" s="1177" t="s">
        <v>7102</v>
      </c>
      <c r="AA1403" s="1183" t="s">
        <v>7103</v>
      </c>
      <c r="AB1403" s="1183" t="s">
        <v>7104</v>
      </c>
      <c r="AC1403" s="1183" t="s">
        <v>7105</v>
      </c>
      <c r="AD1403" s="1183" t="s">
        <v>7106</v>
      </c>
      <c r="AE1403" s="1183" t="s">
        <v>7107</v>
      </c>
      <c r="AF1403" s="1183" t="s">
        <v>7108</v>
      </c>
      <c r="AG1403" s="1183"/>
      <c r="AH1403" s="1183"/>
      <c r="AI1403" s="1183"/>
      <c r="AJ1403" s="1183"/>
      <c r="AK1403" s="1183"/>
      <c r="AL1403" s="1183"/>
      <c r="AM1403" s="1183"/>
      <c r="AN1403" s="1183"/>
      <c r="AO1403" s="1183"/>
      <c r="AP1403" s="1183"/>
      <c r="AQ1403" s="1181"/>
      <c r="AR1403" s="1181"/>
      <c r="AS1403" s="1181"/>
      <c r="AT1403" s="1181"/>
      <c r="AU1403" s="1181"/>
      <c r="AV1403" s="1181"/>
      <c r="AW1403" s="1181"/>
      <c r="AX1403" s="1181"/>
      <c r="AY1403" s="1181"/>
      <c r="AZ1403" s="1181"/>
      <c r="BA1403" s="1181"/>
      <c r="BB1403" s="1181"/>
      <c r="BC1403" s="1181"/>
      <c r="BD1403" s="1181"/>
      <c r="BE1403" s="1181"/>
      <c r="BF1403" s="1181"/>
      <c r="BG1403" s="1181"/>
      <c r="BH1403" s="1181"/>
      <c r="BI1403" s="1181"/>
      <c r="BJ1403" s="1181"/>
      <c r="BK1403" s="1181"/>
      <c r="BL1403" s="1181"/>
      <c r="BM1403" s="1181"/>
      <c r="BN1403" s="1181"/>
      <c r="BO1403" s="1181"/>
      <c r="BP1403" s="1181"/>
      <c r="BQ1403" s="1181"/>
      <c r="BR1403" s="1181"/>
      <c r="BS1403" s="1181"/>
      <c r="BT1403" s="1181"/>
      <c r="BU1403" s="1181"/>
      <c r="BV1403" s="1181"/>
      <c r="BW1403" s="1181"/>
      <c r="BX1403" s="1181"/>
      <c r="BY1403" s="1181"/>
      <c r="BZ1403" s="1181"/>
      <c r="CA1403" s="1181"/>
      <c r="CB1403" s="1182"/>
    </row>
    <row r="1404" spans="1:80" ht="12.75" customHeight="1">
      <c r="A1404" s="219">
        <v>1340</v>
      </c>
      <c r="B1404" s="7145"/>
      <c r="C1404" s="902"/>
      <c r="D1404" s="57"/>
      <c r="E1404" s="905" t="s">
        <v>7646</v>
      </c>
      <c r="F1404" s="75">
        <v>5</v>
      </c>
      <c r="G1404" s="75">
        <v>40</v>
      </c>
      <c r="H1404" s="75">
        <f>COUNTIF(HabilidadesEsenciales_Adquiridas,Tablas!E1404)</f>
        <v>0</v>
      </c>
      <c r="I1404" s="907">
        <v>1</v>
      </c>
      <c r="J1404" s="173"/>
      <c r="K1404" s="898"/>
      <c r="M1404" s="307"/>
      <c r="N1404" s="21"/>
      <c r="O1404" s="131" t="s">
        <v>7243</v>
      </c>
      <c r="P1404" s="900">
        <v>10</v>
      </c>
      <c r="Q1404" s="173">
        <v>20</v>
      </c>
      <c r="R1404" s="907">
        <f>COUNTIF(PoderesDeCriatura_Adquiridos,Tablas!O1404)</f>
        <v>0</v>
      </c>
      <c r="S1404" s="173"/>
      <c r="T1404" s="898"/>
      <c r="U1404">
        <v>1</v>
      </c>
      <c r="W1404" s="929" t="s">
        <v>1182</v>
      </c>
      <c r="X1404" s="699"/>
      <c r="Y1404" s="758" t="str">
        <f t="shared" si="409"/>
        <v/>
      </c>
      <c r="Z1404" s="1177"/>
      <c r="AA1404" s="1183"/>
      <c r="AB1404" s="1183"/>
      <c r="AC1404" s="1183"/>
      <c r="AD1404" s="1183"/>
      <c r="AE1404" s="1183"/>
      <c r="AF1404" s="1183"/>
      <c r="AG1404" s="1183"/>
      <c r="AH1404" s="1183"/>
      <c r="AI1404" s="1183"/>
      <c r="AJ1404" s="1183"/>
      <c r="AK1404" s="1183"/>
      <c r="AL1404" s="1183"/>
      <c r="AM1404" s="1183"/>
      <c r="AN1404" s="1183"/>
      <c r="AO1404" s="1183"/>
      <c r="AP1404" s="1183"/>
      <c r="AQ1404" s="1181"/>
      <c r="AR1404" s="1181"/>
      <c r="AS1404" s="1181"/>
      <c r="AT1404" s="1181"/>
      <c r="AU1404" s="1181"/>
      <c r="AV1404" s="1181"/>
      <c r="AW1404" s="1181"/>
      <c r="AX1404" s="1181"/>
      <c r="AY1404" s="1181"/>
      <c r="AZ1404" s="1181"/>
      <c r="BA1404" s="1181"/>
      <c r="BB1404" s="1181"/>
      <c r="BC1404" s="1181"/>
      <c r="BD1404" s="1181"/>
      <c r="BE1404" s="1181"/>
      <c r="BF1404" s="1181"/>
      <c r="BG1404" s="1181"/>
      <c r="BH1404" s="1181"/>
      <c r="BI1404" s="1181"/>
      <c r="BJ1404" s="1181"/>
      <c r="BK1404" s="1181"/>
      <c r="BL1404" s="1181"/>
      <c r="BM1404" s="1181"/>
      <c r="BN1404" s="1181"/>
      <c r="BO1404" s="1181"/>
      <c r="BP1404" s="1181"/>
      <c r="BQ1404" s="1181"/>
      <c r="BR1404" s="1181"/>
      <c r="BS1404" s="1181"/>
      <c r="BT1404" s="1181"/>
      <c r="BU1404" s="1181"/>
      <c r="BV1404" s="1181"/>
      <c r="BW1404" s="1181"/>
      <c r="BX1404" s="1181"/>
      <c r="BY1404" s="1181"/>
      <c r="BZ1404" s="1181"/>
      <c r="CA1404" s="1181"/>
      <c r="CB1404" s="1182"/>
    </row>
    <row r="1405" spans="1:80" ht="12.75" customHeight="1">
      <c r="A1405" s="219">
        <v>1341</v>
      </c>
      <c r="B1405" s="7145"/>
      <c r="C1405" s="902"/>
      <c r="D1405" s="57"/>
      <c r="E1405" s="905" t="s">
        <v>7647</v>
      </c>
      <c r="F1405" s="75">
        <v>15</v>
      </c>
      <c r="G1405" s="75">
        <v>60</v>
      </c>
      <c r="H1405" s="75">
        <f>COUNTIF(HabilidadesEsenciales_Adquiridas,Tablas!E1405)</f>
        <v>0</v>
      </c>
      <c r="I1405" s="907">
        <v>1</v>
      </c>
      <c r="J1405" s="173"/>
      <c r="K1405" s="898"/>
      <c r="M1405" s="307"/>
      <c r="N1405" s="21"/>
      <c r="O1405" s="131" t="s">
        <v>7244</v>
      </c>
      <c r="P1405" s="900">
        <v>15</v>
      </c>
      <c r="Q1405" s="173">
        <v>30</v>
      </c>
      <c r="R1405" s="907">
        <f>COUNTIF(PoderesDeCriatura_Adquiridos,Tablas!O1405)</f>
        <v>0</v>
      </c>
      <c r="S1405" s="173"/>
      <c r="T1405" s="898"/>
      <c r="U1405">
        <v>1</v>
      </c>
      <c r="W1405" s="929" t="s">
        <v>6927</v>
      </c>
      <c r="X1405" s="286"/>
      <c r="Y1405" s="758" t="str">
        <f t="shared" si="409"/>
        <v>PodHab_Armadurafísica</v>
      </c>
      <c r="Z1405" s="1177" t="s">
        <v>5445</v>
      </c>
      <c r="AA1405" s="1183" t="s">
        <v>4052</v>
      </c>
      <c r="AB1405" s="1183" t="s">
        <v>7109</v>
      </c>
      <c r="AC1405" s="1183" t="s">
        <v>4053</v>
      </c>
      <c r="AD1405" s="1183" t="s">
        <v>7110</v>
      </c>
      <c r="AE1405" s="1183" t="s">
        <v>4054</v>
      </c>
      <c r="AF1405" s="1183" t="s">
        <v>7111</v>
      </c>
      <c r="AG1405" s="1183" t="s">
        <v>4055</v>
      </c>
      <c r="AH1405" s="1183" t="s">
        <v>7112</v>
      </c>
      <c r="AI1405" s="1183" t="s">
        <v>5446</v>
      </c>
      <c r="AJ1405" s="1183" t="s">
        <v>5447</v>
      </c>
      <c r="AK1405" s="1183" t="s">
        <v>7113</v>
      </c>
      <c r="AL1405" s="1183" t="s">
        <v>7114</v>
      </c>
      <c r="AM1405" s="1183" t="s">
        <v>7115</v>
      </c>
      <c r="AN1405" s="1183" t="s">
        <v>7116</v>
      </c>
      <c r="AO1405" s="1183" t="s">
        <v>7117</v>
      </c>
      <c r="AP1405" s="1183" t="s">
        <v>7118</v>
      </c>
      <c r="AQ1405" s="1181" t="s">
        <v>7119</v>
      </c>
      <c r="AR1405" s="1181"/>
      <c r="AS1405" s="1181"/>
      <c r="AT1405" s="1181"/>
      <c r="AU1405" s="1181"/>
      <c r="AV1405" s="1181"/>
      <c r="AW1405" s="1181"/>
      <c r="AX1405" s="1181"/>
      <c r="AY1405" s="1181"/>
      <c r="AZ1405" s="1181"/>
      <c r="BA1405" s="1181"/>
      <c r="BB1405" s="1181"/>
      <c r="BC1405" s="1181"/>
      <c r="BD1405" s="1181"/>
      <c r="BE1405" s="1181"/>
      <c r="BF1405" s="1181"/>
      <c r="BG1405" s="1181"/>
      <c r="BH1405" s="1181"/>
      <c r="BI1405" s="1181"/>
      <c r="BJ1405" s="1181"/>
      <c r="BK1405" s="1181"/>
      <c r="BL1405" s="1181"/>
      <c r="BM1405" s="1181"/>
      <c r="BN1405" s="1181"/>
      <c r="BO1405" s="1181"/>
      <c r="BP1405" s="1181"/>
      <c r="BQ1405" s="1181"/>
      <c r="BR1405" s="1181"/>
      <c r="BS1405" s="1181"/>
      <c r="BT1405" s="1181"/>
      <c r="BU1405" s="1181"/>
      <c r="BV1405" s="1181"/>
      <c r="BW1405" s="1181"/>
      <c r="BX1405" s="1181"/>
      <c r="BY1405" s="1181"/>
      <c r="BZ1405" s="1181"/>
      <c r="CA1405" s="1181"/>
      <c r="CB1405" s="1182"/>
    </row>
    <row r="1406" spans="1:80" ht="12.75" customHeight="1">
      <c r="A1406" s="219">
        <v>1342</v>
      </c>
      <c r="B1406" s="7145"/>
      <c r="C1406" s="902"/>
      <c r="D1406" s="57"/>
      <c r="E1406" s="905" t="s">
        <v>7648</v>
      </c>
      <c r="F1406" s="75">
        <v>20</v>
      </c>
      <c r="G1406" s="75">
        <v>120</v>
      </c>
      <c r="H1406" s="75">
        <f>COUNTIF(HabilidadesEsenciales_Adquiridas,Tablas!E1406)</f>
        <v>0</v>
      </c>
      <c r="I1406" s="907"/>
      <c r="J1406" s="173"/>
      <c r="K1406" s="898"/>
      <c r="M1406" s="307"/>
      <c r="N1406" s="21"/>
      <c r="O1406" s="131" t="s">
        <v>7245</v>
      </c>
      <c r="P1406" s="900">
        <v>20</v>
      </c>
      <c r="Q1406" s="173">
        <v>40</v>
      </c>
      <c r="R1406" s="907">
        <f>COUNTIF(PoderesDeCriatura_Adquiridos,Tablas!O1406)</f>
        <v>0</v>
      </c>
      <c r="S1406" s="173"/>
      <c r="T1406" s="898"/>
      <c r="U1406">
        <v>1</v>
      </c>
      <c r="W1406" s="929" t="s">
        <v>2142</v>
      </c>
      <c r="X1406" s="286"/>
      <c r="Y1406" s="758" t="str">
        <f t="shared" si="409"/>
        <v>PodHab_Armaduramística</v>
      </c>
      <c r="Z1406" s="1177" t="s">
        <v>5445</v>
      </c>
      <c r="AA1406" s="1183" t="s">
        <v>4052</v>
      </c>
      <c r="AB1406" s="1183" t="s">
        <v>7109</v>
      </c>
      <c r="AC1406" s="1183" t="s">
        <v>4053</v>
      </c>
      <c r="AD1406" s="1183" t="s">
        <v>7110</v>
      </c>
      <c r="AE1406" s="1183" t="s">
        <v>4054</v>
      </c>
      <c r="AF1406" s="1183" t="s">
        <v>7111</v>
      </c>
      <c r="AG1406" s="1183" t="s">
        <v>4055</v>
      </c>
      <c r="AH1406" s="1183"/>
      <c r="AI1406" s="1183"/>
      <c r="AJ1406" s="1183"/>
      <c r="AK1406" s="1183"/>
      <c r="AL1406" s="1183"/>
      <c r="AM1406" s="1183"/>
      <c r="AN1406" s="1183"/>
      <c r="AO1406" s="1183"/>
      <c r="AP1406" s="1183"/>
      <c r="AQ1406" s="1181"/>
      <c r="AR1406" s="1181"/>
      <c r="AS1406" s="1181"/>
      <c r="AT1406" s="1181"/>
      <c r="AU1406" s="1181"/>
      <c r="AV1406" s="1181"/>
      <c r="AW1406" s="1181"/>
      <c r="AX1406" s="1181"/>
      <c r="AY1406" s="1181"/>
      <c r="AZ1406" s="1181"/>
      <c r="BA1406" s="1181"/>
      <c r="BB1406" s="1181"/>
      <c r="BC1406" s="1181"/>
      <c r="BD1406" s="1181"/>
      <c r="BE1406" s="1181"/>
      <c r="BF1406" s="1181"/>
      <c r="BG1406" s="1181"/>
      <c r="BH1406" s="1181"/>
      <c r="BI1406" s="1181"/>
      <c r="BJ1406" s="1181"/>
      <c r="BK1406" s="1181"/>
      <c r="BL1406" s="1181"/>
      <c r="BM1406" s="1181"/>
      <c r="BN1406" s="1181"/>
      <c r="BO1406" s="1181"/>
      <c r="BP1406" s="1181"/>
      <c r="BQ1406" s="1181"/>
      <c r="BR1406" s="1181"/>
      <c r="BS1406" s="1181"/>
      <c r="BT1406" s="1181"/>
      <c r="BU1406" s="1181"/>
      <c r="BV1406" s="1181"/>
      <c r="BW1406" s="1181"/>
      <c r="BX1406" s="1181"/>
      <c r="BY1406" s="1181"/>
      <c r="BZ1406" s="1181"/>
      <c r="CA1406" s="1181"/>
      <c r="CB1406" s="1182"/>
    </row>
    <row r="1407" spans="1:80" ht="12.75" customHeight="1">
      <c r="A1407" s="219">
        <v>1343</v>
      </c>
      <c r="B1407" s="7145"/>
      <c r="C1407" s="902"/>
      <c r="D1407" s="57"/>
      <c r="E1407" s="905" t="s">
        <v>7649</v>
      </c>
      <c r="F1407" s="75">
        <v>25</v>
      </c>
      <c r="G1407" s="75">
        <v>180</v>
      </c>
      <c r="H1407" s="75">
        <f>COUNTIF(HabilidadesEsenciales_Adquiridas,Tablas!E1407)</f>
        <v>0</v>
      </c>
      <c r="I1407" s="907"/>
      <c r="J1407" s="173"/>
      <c r="K1407" s="898"/>
      <c r="M1407" s="307"/>
      <c r="N1407" s="21"/>
      <c r="O1407" s="131" t="s">
        <v>7246</v>
      </c>
      <c r="P1407" s="900">
        <v>25</v>
      </c>
      <c r="Q1407" s="173">
        <v>50</v>
      </c>
      <c r="R1407" s="907">
        <f>COUNTIF(PoderesDeCriatura_Adquiridos,Tablas!O1407)</f>
        <v>0</v>
      </c>
      <c r="S1407" s="173"/>
      <c r="T1407" s="898"/>
      <c r="U1407">
        <v>1</v>
      </c>
      <c r="W1407" s="929" t="s">
        <v>1183</v>
      </c>
      <c r="X1407" s="699"/>
      <c r="Y1407" s="758" t="str">
        <f t="shared" si="409"/>
        <v/>
      </c>
      <c r="Z1407" s="1177"/>
      <c r="AA1407" s="1183"/>
      <c r="AB1407" s="1183"/>
      <c r="AC1407" s="1183"/>
      <c r="AD1407" s="1183"/>
      <c r="AE1407" s="1183"/>
      <c r="AF1407" s="1183"/>
      <c r="AG1407" s="1183"/>
      <c r="AH1407" s="1183"/>
      <c r="AI1407" s="1183"/>
      <c r="AJ1407" s="1183"/>
      <c r="AK1407" s="1183"/>
      <c r="AL1407" s="1183"/>
      <c r="AM1407" s="1183"/>
      <c r="AN1407" s="1183"/>
      <c r="AO1407" s="1183"/>
      <c r="AP1407" s="1183"/>
      <c r="AQ1407" s="1181"/>
      <c r="AR1407" s="1181"/>
      <c r="AS1407" s="1181"/>
      <c r="AT1407" s="1181"/>
      <c r="AU1407" s="1181"/>
      <c r="AV1407" s="1181"/>
      <c r="AW1407" s="1181"/>
      <c r="AX1407" s="1181"/>
      <c r="AY1407" s="1181"/>
      <c r="AZ1407" s="1181"/>
      <c r="BA1407" s="1181"/>
      <c r="BB1407" s="1181"/>
      <c r="BC1407" s="1181"/>
      <c r="BD1407" s="1181"/>
      <c r="BE1407" s="1181"/>
      <c r="BF1407" s="1181"/>
      <c r="BG1407" s="1181"/>
      <c r="BH1407" s="1181"/>
      <c r="BI1407" s="1181"/>
      <c r="BJ1407" s="1181"/>
      <c r="BK1407" s="1181"/>
      <c r="BL1407" s="1181"/>
      <c r="BM1407" s="1181"/>
      <c r="BN1407" s="1181"/>
      <c r="BO1407" s="1181"/>
      <c r="BP1407" s="1181"/>
      <c r="BQ1407" s="1181"/>
      <c r="BR1407" s="1181"/>
      <c r="BS1407" s="1181"/>
      <c r="BT1407" s="1181"/>
      <c r="BU1407" s="1181"/>
      <c r="BV1407" s="1181"/>
      <c r="BW1407" s="1181"/>
      <c r="BX1407" s="1181"/>
      <c r="BY1407" s="1181"/>
      <c r="BZ1407" s="1181"/>
      <c r="CA1407" s="1181"/>
      <c r="CB1407" s="1182"/>
    </row>
    <row r="1408" spans="1:80" ht="12.75" customHeight="1">
      <c r="A1408" s="219">
        <v>1344</v>
      </c>
      <c r="B1408" s="7145"/>
      <c r="C1408" s="902"/>
      <c r="D1408" s="57"/>
      <c r="E1408" s="905" t="s">
        <v>7650</v>
      </c>
      <c r="F1408" s="75">
        <v>0</v>
      </c>
      <c r="G1408" s="75">
        <v>20</v>
      </c>
      <c r="H1408" s="75">
        <f>COUNTIF(HabilidadesEsenciales_Adquiridas,Tablas!E1408)</f>
        <v>0</v>
      </c>
      <c r="I1408" s="907">
        <v>1</v>
      </c>
      <c r="J1408" s="173"/>
      <c r="K1408" s="898"/>
      <c r="M1408" s="307"/>
      <c r="N1408" s="21"/>
      <c r="O1408" s="131" t="s">
        <v>7247</v>
      </c>
      <c r="P1408" s="900">
        <v>30</v>
      </c>
      <c r="Q1408" s="173">
        <v>60</v>
      </c>
      <c r="R1408" s="907">
        <f>COUNTIF(PoderesDeCriatura_Adquiridos,Tablas!O1408)</f>
        <v>0</v>
      </c>
      <c r="S1408" s="173"/>
      <c r="T1408" s="898"/>
      <c r="U1408">
        <v>1</v>
      </c>
      <c r="W1408" s="929" t="s">
        <v>6943</v>
      </c>
      <c r="X1408" s="286"/>
      <c r="Y1408" s="758" t="str">
        <f t="shared" si="409"/>
        <v>PodHab_HabilidadesEspirituales</v>
      </c>
      <c r="Z1408" s="1177" t="s">
        <v>7120</v>
      </c>
      <c r="AA1408" s="1183" t="s">
        <v>7121</v>
      </c>
      <c r="AB1408" s="1183" t="s">
        <v>7122</v>
      </c>
      <c r="AC1408" s="1183"/>
      <c r="AD1408" s="1183"/>
      <c r="AE1408" s="1183"/>
      <c r="AF1408" s="1183"/>
      <c r="AG1408" s="1183"/>
      <c r="AH1408" s="1183"/>
      <c r="AI1408" s="1179"/>
      <c r="AJ1408" s="1179"/>
      <c r="AK1408" s="1179"/>
      <c r="AL1408" s="1179"/>
      <c r="AM1408" s="1179"/>
      <c r="AN1408" s="1179"/>
      <c r="AO1408" s="1179"/>
      <c r="AP1408" s="1179"/>
      <c r="AQ1408" s="1180"/>
      <c r="AR1408" s="1180"/>
      <c r="AS1408" s="1180"/>
      <c r="AT1408" s="1180"/>
      <c r="AU1408" s="1180"/>
      <c r="AV1408" s="1180"/>
      <c r="AW1408" s="1180"/>
      <c r="AX1408" s="1180"/>
      <c r="AY1408" s="1180"/>
      <c r="AZ1408" s="1180"/>
      <c r="BA1408" s="1181"/>
      <c r="BB1408" s="1181"/>
      <c r="BC1408" s="1181"/>
      <c r="BD1408" s="1181"/>
      <c r="BE1408" s="1181"/>
      <c r="BF1408" s="1181"/>
      <c r="BG1408" s="1181"/>
      <c r="BH1408" s="1181"/>
      <c r="BI1408" s="1181"/>
      <c r="BJ1408" s="1181"/>
      <c r="BK1408" s="1181"/>
      <c r="BL1408" s="1181"/>
      <c r="BM1408" s="1181"/>
      <c r="BN1408" s="1181"/>
      <c r="BO1408" s="1181"/>
      <c r="BP1408" s="1181"/>
      <c r="BQ1408" s="1181"/>
      <c r="BR1408" s="1181"/>
      <c r="BS1408" s="1181"/>
      <c r="BT1408" s="1181"/>
      <c r="BU1408" s="1181"/>
      <c r="BV1408" s="1181"/>
      <c r="BW1408" s="1181"/>
      <c r="BX1408" s="1181"/>
      <c r="BY1408" s="1181"/>
      <c r="BZ1408" s="1181"/>
      <c r="CA1408" s="1181"/>
      <c r="CB1408" s="1182"/>
    </row>
    <row r="1409" spans="1:80" ht="12.75" customHeight="1">
      <c r="A1409" s="219">
        <v>1345</v>
      </c>
      <c r="B1409" s="7145"/>
      <c r="C1409" s="902"/>
      <c r="D1409" s="57"/>
      <c r="E1409" s="905" t="s">
        <v>7651</v>
      </c>
      <c r="F1409" s="75">
        <v>5</v>
      </c>
      <c r="G1409" s="75">
        <v>40</v>
      </c>
      <c r="H1409" s="75">
        <f>COUNTIF(HabilidadesEsenciales_Adquiridas,Tablas!E1409)</f>
        <v>0</v>
      </c>
      <c r="I1409" s="907">
        <v>1</v>
      </c>
      <c r="J1409" s="173"/>
      <c r="K1409" s="898"/>
      <c r="M1409" s="307"/>
      <c r="N1409" s="21"/>
      <c r="O1409" s="131" t="s">
        <v>7248</v>
      </c>
      <c r="P1409" s="900">
        <v>35</v>
      </c>
      <c r="Q1409" s="173">
        <v>70</v>
      </c>
      <c r="R1409" s="907">
        <f>COUNTIF(PoderesDeCriatura_Adquiridos,Tablas!O1409)</f>
        <v>0</v>
      </c>
      <c r="S1409" s="173"/>
      <c r="T1409" s="898"/>
      <c r="U1409">
        <v>1</v>
      </c>
      <c r="W1409" s="929" t="s">
        <v>0</v>
      </c>
      <c r="X1409" s="699"/>
      <c r="Y1409" s="758" t="str">
        <f t="shared" si="409"/>
        <v/>
      </c>
      <c r="Z1409" s="1177"/>
      <c r="AA1409" s="1183"/>
      <c r="AB1409" s="1183"/>
      <c r="AC1409" s="1183"/>
      <c r="AD1409" s="1183"/>
      <c r="AE1409" s="1183"/>
      <c r="AF1409" s="1183"/>
      <c r="AG1409" s="1183"/>
      <c r="AH1409" s="1183"/>
      <c r="AI1409" s="1183"/>
      <c r="AJ1409" s="1183"/>
      <c r="AK1409" s="1183"/>
      <c r="AL1409" s="1183"/>
      <c r="AM1409" s="1183"/>
      <c r="AN1409" s="1183"/>
      <c r="AO1409" s="1183"/>
      <c r="AP1409" s="1183"/>
      <c r="AQ1409" s="1181"/>
      <c r="AR1409" s="1181"/>
      <c r="AS1409" s="1181"/>
      <c r="AT1409" s="1181"/>
      <c r="AU1409" s="1181"/>
      <c r="AV1409" s="1181"/>
      <c r="AW1409" s="1181"/>
      <c r="AX1409" s="1181"/>
      <c r="AY1409" s="1181"/>
      <c r="AZ1409" s="1181"/>
      <c r="BA1409" s="1181"/>
      <c r="BB1409" s="1181"/>
      <c r="BC1409" s="1181"/>
      <c r="BD1409" s="1181"/>
      <c r="BE1409" s="1181"/>
      <c r="BF1409" s="1181"/>
      <c r="BG1409" s="1181"/>
      <c r="BH1409" s="1181"/>
      <c r="BI1409" s="1181"/>
      <c r="BJ1409" s="1181"/>
      <c r="BK1409" s="1181"/>
      <c r="BL1409" s="1181"/>
      <c r="BM1409" s="1181"/>
      <c r="BN1409" s="1181"/>
      <c r="BO1409" s="1181"/>
      <c r="BP1409" s="1181"/>
      <c r="BQ1409" s="1181"/>
      <c r="BR1409" s="1181"/>
      <c r="BS1409" s="1181"/>
      <c r="BT1409" s="1181"/>
      <c r="BU1409" s="1181"/>
      <c r="BV1409" s="1181"/>
      <c r="BW1409" s="1181"/>
      <c r="BX1409" s="1181"/>
      <c r="BY1409" s="1181"/>
      <c r="BZ1409" s="1181"/>
      <c r="CA1409" s="1181"/>
      <c r="CB1409" s="1182"/>
    </row>
    <row r="1410" spans="1:80" ht="12.75" customHeight="1">
      <c r="A1410" s="219">
        <v>1346</v>
      </c>
      <c r="B1410" s="7145"/>
      <c r="C1410" s="902"/>
      <c r="D1410" s="57"/>
      <c r="E1410" s="905" t="s">
        <v>7652</v>
      </c>
      <c r="F1410" s="75">
        <v>15</v>
      </c>
      <c r="G1410" s="75">
        <v>60</v>
      </c>
      <c r="H1410" s="75">
        <f>COUNTIF(HabilidadesEsenciales_Adquiridas,Tablas!E1410)</f>
        <v>0</v>
      </c>
      <c r="I1410" s="907">
        <v>1</v>
      </c>
      <c r="J1410" s="173"/>
      <c r="K1410" s="898"/>
      <c r="M1410" s="307"/>
      <c r="N1410" s="21"/>
      <c r="O1410" s="131" t="s">
        <v>7249</v>
      </c>
      <c r="P1410" s="900">
        <v>40</v>
      </c>
      <c r="Q1410" s="173">
        <v>80</v>
      </c>
      <c r="R1410" s="907">
        <f>COUNTIF(PoderesDeCriatura_Adquiridos,Tablas!O1410)</f>
        <v>0</v>
      </c>
      <c r="S1410" s="173"/>
      <c r="T1410" s="898"/>
      <c r="U1410">
        <v>1</v>
      </c>
      <c r="W1410" s="929" t="s">
        <v>2558</v>
      </c>
      <c r="X1410" s="286"/>
      <c r="Y1410" s="758" t="str">
        <f t="shared" si="409"/>
        <v>PodHab_Aura</v>
      </c>
      <c r="Z1410" s="1177" t="s">
        <v>6973</v>
      </c>
      <c r="AA1410" s="1183" t="s">
        <v>6975</v>
      </c>
      <c r="AB1410" s="1183" t="s">
        <v>6976</v>
      </c>
      <c r="AC1410" s="1183" t="s">
        <v>6977</v>
      </c>
      <c r="AD1410" s="1183" t="s">
        <v>6978</v>
      </c>
      <c r="AE1410" s="1183" t="s">
        <v>5255</v>
      </c>
      <c r="AF1410" s="1183" t="s">
        <v>7015</v>
      </c>
      <c r="AG1410" s="1183" t="s">
        <v>7016</v>
      </c>
      <c r="AH1410" s="1183" t="s">
        <v>4422</v>
      </c>
      <c r="AI1410" s="1183" t="s">
        <v>4423</v>
      </c>
      <c r="AJ1410" s="1183" t="s">
        <v>3580</v>
      </c>
      <c r="AK1410" s="1183" t="s">
        <v>3581</v>
      </c>
      <c r="AL1410" s="1183" t="s">
        <v>3005</v>
      </c>
      <c r="AM1410" s="1183" t="s">
        <v>583</v>
      </c>
      <c r="AN1410" s="1183" t="s">
        <v>3002</v>
      </c>
      <c r="AO1410" s="1183" t="s">
        <v>7018</v>
      </c>
      <c r="AP1410" s="1183" t="s">
        <v>412</v>
      </c>
      <c r="AQ1410" s="1181" t="s">
        <v>7019</v>
      </c>
      <c r="AR1410" s="1181" t="s">
        <v>7020</v>
      </c>
      <c r="AS1410" s="1181" t="s">
        <v>532</v>
      </c>
      <c r="AT1410" s="1181" t="s">
        <v>399</v>
      </c>
      <c r="AU1410" s="1181" t="s">
        <v>400</v>
      </c>
      <c r="AV1410" s="1181" t="s">
        <v>401</v>
      </c>
      <c r="AW1410" s="1181" t="s">
        <v>3003</v>
      </c>
      <c r="AX1410" s="1181" t="s">
        <v>7021</v>
      </c>
      <c r="AY1410" s="1181" t="s">
        <v>7022</v>
      </c>
      <c r="AZ1410" s="1181" t="s">
        <v>3004</v>
      </c>
      <c r="BA1410" s="1181" t="s">
        <v>426</v>
      </c>
      <c r="BB1410" s="1181" t="s">
        <v>49</v>
      </c>
      <c r="BC1410" s="1181" t="s">
        <v>36</v>
      </c>
      <c r="BD1410" s="1181" t="s">
        <v>7023</v>
      </c>
      <c r="BE1410" s="1181" t="s">
        <v>7024</v>
      </c>
      <c r="BF1410" s="1181" t="s">
        <v>7123</v>
      </c>
      <c r="BG1410" s="1181" t="s">
        <v>7028</v>
      </c>
      <c r="BH1410" s="1181" t="s">
        <v>7124</v>
      </c>
      <c r="BI1410" s="1181"/>
      <c r="BJ1410" s="1181"/>
      <c r="BK1410" s="1181"/>
      <c r="BL1410" s="1181"/>
      <c r="BM1410" s="1181"/>
      <c r="BN1410" s="1181"/>
      <c r="BO1410" s="1181"/>
      <c r="BP1410" s="1181"/>
      <c r="BQ1410" s="1181"/>
      <c r="BR1410" s="1181"/>
      <c r="BS1410" s="1181"/>
      <c r="BT1410" s="1181"/>
      <c r="BU1410" s="1181"/>
      <c r="BV1410" s="1181"/>
      <c r="BW1410" s="1181"/>
      <c r="BX1410" s="1181"/>
      <c r="BY1410" s="1181"/>
      <c r="BZ1410" s="1181"/>
      <c r="CA1410" s="1181"/>
      <c r="CB1410" s="1182"/>
    </row>
    <row r="1411" spans="1:80" ht="12.75" customHeight="1">
      <c r="A1411" s="219">
        <v>1347</v>
      </c>
      <c r="B1411" s="7145"/>
      <c r="C1411" s="902"/>
      <c r="D1411" s="57"/>
      <c r="E1411" s="905" t="s">
        <v>7653</v>
      </c>
      <c r="F1411" s="75">
        <v>20</v>
      </c>
      <c r="G1411" s="75">
        <v>120</v>
      </c>
      <c r="H1411" s="75">
        <f>COUNTIF(HabilidadesEsenciales_Adquiridas,Tablas!E1411)</f>
        <v>0</v>
      </c>
      <c r="I1411" s="907"/>
      <c r="J1411" s="173"/>
      <c r="K1411" s="898"/>
      <c r="M1411" s="307"/>
      <c r="N1411" s="21"/>
      <c r="O1411" s="131" t="s">
        <v>7250</v>
      </c>
      <c r="P1411" s="900">
        <v>5</v>
      </c>
      <c r="Q1411" s="173">
        <f>10+IF(OR(TipoDeCriatura="Entre mundos, Elemental",TipoDeCriatura="Ánima, Elemental"),10,0)</f>
        <v>10</v>
      </c>
      <c r="R1411" s="907">
        <f>COUNTIF(PoderesDeCriatura_Adquiridos,Tablas!O1411)</f>
        <v>0</v>
      </c>
      <c r="S1411" s="173"/>
      <c r="T1411" s="898"/>
      <c r="U1411">
        <v>1</v>
      </c>
      <c r="W1411" s="929" t="s">
        <v>6911</v>
      </c>
      <c r="X1411" s="286"/>
      <c r="Y1411" s="758" t="str">
        <f t="shared" si="409"/>
        <v>PodHab_Forma</v>
      </c>
      <c r="Z1411" s="1177" t="s">
        <v>7125</v>
      </c>
      <c r="AA1411" s="1183" t="s">
        <v>7126</v>
      </c>
      <c r="AB1411" s="1183" t="s">
        <v>318</v>
      </c>
      <c r="AC1411" s="1183" t="s">
        <v>7127</v>
      </c>
      <c r="AD1411" s="1183" t="s">
        <v>9610</v>
      </c>
      <c r="AE1411" s="1183" t="s">
        <v>7094</v>
      </c>
      <c r="AF1411" s="1183"/>
      <c r="AG1411" s="1183"/>
      <c r="AH1411" s="1183"/>
      <c r="AI1411" s="1183"/>
      <c r="AJ1411" s="1183"/>
      <c r="AK1411" s="1183"/>
      <c r="AL1411" s="1183"/>
      <c r="AM1411" s="1183"/>
      <c r="AN1411" s="1183"/>
      <c r="AO1411" s="1183"/>
      <c r="AP1411" s="1183"/>
      <c r="AQ1411" s="1181"/>
      <c r="AR1411" s="1181"/>
      <c r="AS1411" s="1181"/>
      <c r="AT1411" s="1181"/>
      <c r="AU1411" s="1181"/>
      <c r="AV1411" s="1181"/>
      <c r="AW1411" s="1181"/>
      <c r="AX1411" s="1181"/>
      <c r="AY1411" s="1181"/>
      <c r="AZ1411" s="1181"/>
      <c r="BA1411" s="1181"/>
      <c r="BB1411" s="1181"/>
      <c r="BC1411" s="1181"/>
      <c r="BD1411" s="1181"/>
      <c r="BE1411" s="1181"/>
      <c r="BF1411" s="1181"/>
      <c r="BG1411" s="1181"/>
      <c r="BH1411" s="1181"/>
      <c r="BI1411" s="1181"/>
      <c r="BJ1411" s="1181"/>
      <c r="BK1411" s="1181"/>
      <c r="BL1411" s="1181"/>
      <c r="BM1411" s="1181"/>
      <c r="BN1411" s="1181"/>
      <c r="BO1411" s="1181"/>
      <c r="BP1411" s="1181"/>
      <c r="BQ1411" s="1181"/>
      <c r="BR1411" s="1181"/>
      <c r="BS1411" s="1181"/>
      <c r="BT1411" s="1181"/>
      <c r="BU1411" s="1181"/>
      <c r="BV1411" s="1181"/>
      <c r="BW1411" s="1181"/>
      <c r="BX1411" s="1181"/>
      <c r="BY1411" s="1181"/>
      <c r="BZ1411" s="1181"/>
      <c r="CA1411" s="1181"/>
      <c r="CB1411" s="1182"/>
    </row>
    <row r="1412" spans="1:80" ht="12.75" customHeight="1">
      <c r="A1412" s="219">
        <v>1348</v>
      </c>
      <c r="B1412" s="7145"/>
      <c r="C1412" s="902"/>
      <c r="D1412" s="57"/>
      <c r="E1412" s="905" t="s">
        <v>7654</v>
      </c>
      <c r="F1412" s="75">
        <v>25</v>
      </c>
      <c r="G1412" s="75">
        <v>180</v>
      </c>
      <c r="H1412" s="75">
        <f>COUNTIF(HabilidadesEsenciales_Adquiridas,Tablas!E1412)</f>
        <v>0</v>
      </c>
      <c r="I1412" s="907"/>
      <c r="J1412" s="173"/>
      <c r="K1412" s="898"/>
      <c r="M1412" s="307"/>
      <c r="N1412" s="21"/>
      <c r="O1412" s="131" t="s">
        <v>7251</v>
      </c>
      <c r="P1412" s="900">
        <v>10</v>
      </c>
      <c r="Q1412" s="173">
        <f>15+IF(OR(TipoDeCriatura="Entre mundos, Elemental",TipoDeCriatura="Ánima, Elemental"),10,0)</f>
        <v>15</v>
      </c>
      <c r="R1412" s="907">
        <f>COUNTIF(PoderesDeCriatura_Adquiridos,Tablas!O1412)</f>
        <v>0</v>
      </c>
      <c r="S1412" s="173"/>
      <c r="T1412" s="898"/>
      <c r="U1412">
        <v>1</v>
      </c>
      <c r="W1412" s="929" t="s">
        <v>6928</v>
      </c>
      <c r="X1412" s="286"/>
      <c r="Y1412" s="758" t="str">
        <f t="shared" si="409"/>
        <v>PodHab_Indetecciones</v>
      </c>
      <c r="Z1412" s="1177" t="s">
        <v>7128</v>
      </c>
      <c r="AA1412" s="1183" t="s">
        <v>7129</v>
      </c>
      <c r="AB1412" s="1183" t="s">
        <v>7130</v>
      </c>
      <c r="AC1412" s="1183" t="s">
        <v>7131</v>
      </c>
      <c r="AD1412" s="1183" t="s">
        <v>2</v>
      </c>
      <c r="AE1412" s="1183" t="s">
        <v>7132</v>
      </c>
      <c r="AF1412" s="1183" t="s">
        <v>3</v>
      </c>
      <c r="AG1412" s="1183" t="s">
        <v>7133</v>
      </c>
      <c r="AH1412" s="1183" t="s">
        <v>4</v>
      </c>
      <c r="AI1412" s="1183" t="s">
        <v>7134</v>
      </c>
      <c r="AJ1412" s="1183"/>
      <c r="AK1412" s="1183"/>
      <c r="AL1412" s="1183"/>
      <c r="AM1412" s="1183"/>
      <c r="AN1412" s="1183"/>
      <c r="AO1412" s="1183"/>
      <c r="AP1412" s="1179"/>
      <c r="AQ1412" s="1180"/>
      <c r="AR1412" s="1180"/>
      <c r="AS1412" s="1180"/>
      <c r="AT1412" s="1180"/>
      <c r="AU1412" s="1180"/>
      <c r="AV1412" s="1180"/>
      <c r="AW1412" s="1181"/>
      <c r="AX1412" s="1181"/>
      <c r="AY1412" s="1181"/>
      <c r="AZ1412" s="1181"/>
      <c r="BA1412" s="1181"/>
      <c r="BB1412" s="1181"/>
      <c r="BC1412" s="1181"/>
      <c r="BD1412" s="1181"/>
      <c r="BE1412" s="1181"/>
      <c r="BF1412" s="1181"/>
      <c r="BG1412" s="1181"/>
      <c r="BH1412" s="1181"/>
      <c r="BI1412" s="1181"/>
      <c r="BJ1412" s="1181"/>
      <c r="BK1412" s="1181"/>
      <c r="BL1412" s="1181"/>
      <c r="BM1412" s="1181"/>
      <c r="BN1412" s="1181"/>
      <c r="BO1412" s="1181"/>
      <c r="BP1412" s="1181"/>
      <c r="BQ1412" s="1181"/>
      <c r="BR1412" s="1181"/>
      <c r="BS1412" s="1181"/>
      <c r="BT1412" s="1181"/>
      <c r="BU1412" s="1181"/>
      <c r="BV1412" s="1181"/>
      <c r="BW1412" s="1181"/>
      <c r="BX1412" s="1181"/>
      <c r="BY1412" s="1181"/>
      <c r="BZ1412" s="1181"/>
      <c r="CA1412" s="1181"/>
      <c r="CB1412" s="1182"/>
    </row>
    <row r="1413" spans="1:80" ht="12.75" customHeight="1">
      <c r="A1413" s="219">
        <v>1349</v>
      </c>
      <c r="B1413" s="7145"/>
      <c r="C1413" s="902"/>
      <c r="D1413" s="57"/>
      <c r="E1413" s="905" t="s">
        <v>7655</v>
      </c>
      <c r="F1413" s="75">
        <v>0</v>
      </c>
      <c r="G1413" s="75">
        <v>20</v>
      </c>
      <c r="H1413" s="75">
        <f>COUNTIF(HabilidadesEsenciales_Adquiridas,Tablas!E1413)</f>
        <v>0</v>
      </c>
      <c r="I1413" s="907">
        <v>1</v>
      </c>
      <c r="J1413" s="173"/>
      <c r="K1413" s="898"/>
      <c r="M1413" s="307"/>
      <c r="N1413" s="21"/>
      <c r="O1413" s="131" t="s">
        <v>7252</v>
      </c>
      <c r="P1413" s="900">
        <v>10</v>
      </c>
      <c r="Q1413" s="173">
        <f>20+IF(OR(TipoDeCriatura="Entre mundos, Elemental",TipoDeCriatura="Ánima, Elemental"),10,0)</f>
        <v>20</v>
      </c>
      <c r="R1413" s="907">
        <f>COUNTIF(PoderesDeCriatura_Adquiridos,Tablas!O1413)</f>
        <v>0</v>
      </c>
      <c r="S1413" s="173"/>
      <c r="T1413" s="898"/>
      <c r="U1413">
        <v>1</v>
      </c>
      <c r="W1413" s="929" t="s">
        <v>6944</v>
      </c>
      <c r="X1413" s="286"/>
      <c r="Y1413" s="758" t="str">
        <f t="shared" si="409"/>
        <v>PodHab_MagiaInnata</v>
      </c>
      <c r="Z1413" s="1177" t="s">
        <v>7135</v>
      </c>
      <c r="AA1413" s="1183" t="s">
        <v>7136</v>
      </c>
      <c r="AB1413" s="1183" t="s">
        <v>6980</v>
      </c>
      <c r="AC1413" s="1183" t="s">
        <v>7137</v>
      </c>
      <c r="AD1413" s="1183" t="s">
        <v>6981</v>
      </c>
      <c r="AE1413" s="1183" t="s">
        <v>6982</v>
      </c>
      <c r="AF1413" s="1183" t="s">
        <v>6983</v>
      </c>
      <c r="AG1413" s="1183" t="s">
        <v>6984</v>
      </c>
      <c r="AH1413" s="1183" t="s">
        <v>6985</v>
      </c>
      <c r="AI1413" s="1183"/>
      <c r="AJ1413" s="1183"/>
      <c r="AK1413" s="1183"/>
      <c r="AL1413" s="1183"/>
      <c r="AM1413" s="1183"/>
      <c r="AN1413" s="1183"/>
      <c r="AO1413" s="1183"/>
      <c r="AP1413" s="1183"/>
      <c r="AQ1413" s="1181"/>
      <c r="AR1413" s="1181"/>
      <c r="AS1413" s="1181"/>
      <c r="AT1413" s="1181"/>
      <c r="AU1413" s="1181"/>
      <c r="AV1413" s="1181"/>
      <c r="AW1413" s="1181"/>
      <c r="AX1413" s="1181"/>
      <c r="AY1413" s="1181"/>
      <c r="AZ1413" s="1181"/>
      <c r="BA1413" s="1181"/>
      <c r="BB1413" s="1181"/>
      <c r="BC1413" s="1181"/>
      <c r="BD1413" s="1181"/>
      <c r="BE1413" s="1181"/>
      <c r="BF1413" s="1181"/>
      <c r="BG1413" s="1181"/>
      <c r="BH1413" s="1181"/>
      <c r="BI1413" s="1181"/>
      <c r="BJ1413" s="1181"/>
      <c r="BK1413" s="1181"/>
      <c r="BL1413" s="1181"/>
      <c r="BM1413" s="1181"/>
      <c r="BN1413" s="1181"/>
      <c r="BO1413" s="1181"/>
      <c r="BP1413" s="1181"/>
      <c r="BQ1413" s="1181"/>
      <c r="BR1413" s="1181"/>
      <c r="BS1413" s="1181"/>
      <c r="BT1413" s="1181"/>
      <c r="BU1413" s="1181"/>
      <c r="BV1413" s="1181"/>
      <c r="BW1413" s="1181"/>
      <c r="BX1413" s="1181"/>
      <c r="BY1413" s="1181"/>
      <c r="BZ1413" s="1181"/>
      <c r="CA1413" s="1181"/>
      <c r="CB1413" s="1182"/>
    </row>
    <row r="1414" spans="1:80" ht="12.75" customHeight="1">
      <c r="A1414" s="219">
        <v>1350</v>
      </c>
      <c r="B1414" s="7145"/>
      <c r="C1414" s="902"/>
      <c r="D1414" s="57"/>
      <c r="E1414" s="905" t="s">
        <v>7656</v>
      </c>
      <c r="F1414" s="75">
        <v>5</v>
      </c>
      <c r="G1414" s="75">
        <v>40</v>
      </c>
      <c r="H1414" s="75">
        <f>COUNTIF(HabilidadesEsenciales_Adquiridas,Tablas!E1414)</f>
        <v>0</v>
      </c>
      <c r="I1414" s="907">
        <v>1</v>
      </c>
      <c r="J1414" s="173"/>
      <c r="K1414" s="898"/>
      <c r="M1414" s="307"/>
      <c r="N1414" s="21"/>
      <c r="O1414" s="131" t="s">
        <v>7253</v>
      </c>
      <c r="P1414" s="900">
        <v>10</v>
      </c>
      <c r="Q1414" s="173">
        <f>25+IF(OR(TipoDeCriatura="Entre mundos, Elemental",TipoDeCriatura="Ánima, Elemental"),10,0)</f>
        <v>25</v>
      </c>
      <c r="R1414" s="907">
        <f>COUNTIF(PoderesDeCriatura_Adquiridos,Tablas!O1414)</f>
        <v>0</v>
      </c>
      <c r="S1414" s="173"/>
      <c r="T1414" s="898"/>
      <c r="U1414">
        <v>1</v>
      </c>
      <c r="W1414" s="929" t="s">
        <v>6912</v>
      </c>
      <c r="X1414" s="286"/>
      <c r="Y1414" s="758" t="str">
        <f t="shared" si="409"/>
        <v>PodHab_Psíquicainnata</v>
      </c>
      <c r="Z1414" s="1177" t="s">
        <v>7138</v>
      </c>
      <c r="AA1414" s="1183" t="s">
        <v>7136</v>
      </c>
      <c r="AB1414" s="1183" t="s">
        <v>6980</v>
      </c>
      <c r="AC1414" s="1183" t="s">
        <v>7137</v>
      </c>
      <c r="AD1414" s="1183" t="s">
        <v>6981</v>
      </c>
      <c r="AE1414" s="1183" t="s">
        <v>6982</v>
      </c>
      <c r="AF1414" s="1183" t="s">
        <v>6983</v>
      </c>
      <c r="AG1414" s="1183" t="s">
        <v>6984</v>
      </c>
      <c r="AH1414" s="1183" t="s">
        <v>6985</v>
      </c>
      <c r="AI1414" s="1183"/>
      <c r="AJ1414" s="1179"/>
      <c r="AK1414" s="1179"/>
      <c r="AL1414" s="1183"/>
      <c r="AM1414" s="1183"/>
      <c r="AN1414" s="1183"/>
      <c r="AO1414" s="1183"/>
      <c r="AP1414" s="1183"/>
      <c r="AQ1414" s="1181"/>
      <c r="AR1414" s="1181"/>
      <c r="AS1414" s="1181"/>
      <c r="AT1414" s="1181"/>
      <c r="AU1414" s="1181"/>
      <c r="AV1414" s="1181"/>
      <c r="AW1414" s="1181"/>
      <c r="AX1414" s="1181"/>
      <c r="AY1414" s="1181"/>
      <c r="AZ1414" s="1181"/>
      <c r="BA1414" s="1181"/>
      <c r="BB1414" s="1181"/>
      <c r="BC1414" s="1181"/>
      <c r="BD1414" s="1181"/>
      <c r="BE1414" s="1181"/>
      <c r="BF1414" s="1181"/>
      <c r="BG1414" s="1181"/>
      <c r="BH1414" s="1181"/>
      <c r="BI1414" s="1181"/>
      <c r="BJ1414" s="1181"/>
      <c r="BK1414" s="1181"/>
      <c r="BL1414" s="1181"/>
      <c r="BM1414" s="1181"/>
      <c r="BN1414" s="1181"/>
      <c r="BO1414" s="1181"/>
      <c r="BP1414" s="1181"/>
      <c r="BQ1414" s="1181"/>
      <c r="BR1414" s="1181"/>
      <c r="BS1414" s="1181"/>
      <c r="BT1414" s="1181"/>
      <c r="BU1414" s="1181"/>
      <c r="BV1414" s="1181"/>
      <c r="BW1414" s="1181"/>
      <c r="BX1414" s="1181"/>
      <c r="BY1414" s="1181"/>
      <c r="BZ1414" s="1181"/>
      <c r="CA1414" s="1181"/>
      <c r="CB1414" s="1182"/>
    </row>
    <row r="1415" spans="1:80" ht="12.75" customHeight="1">
      <c r="A1415" s="219">
        <v>1351</v>
      </c>
      <c r="B1415" s="7145"/>
      <c r="C1415" s="902"/>
      <c r="D1415" s="57"/>
      <c r="E1415" s="905" t="s">
        <v>7657</v>
      </c>
      <c r="F1415" s="75">
        <v>15</v>
      </c>
      <c r="G1415" s="75">
        <v>60</v>
      </c>
      <c r="H1415" s="75">
        <f>COUNTIF(HabilidadesEsenciales_Adquiridas,Tablas!E1415)</f>
        <v>0</v>
      </c>
      <c r="I1415" s="907">
        <v>1</v>
      </c>
      <c r="J1415" s="173"/>
      <c r="K1415" s="898"/>
      <c r="M1415" s="307"/>
      <c r="N1415" s="21"/>
      <c r="O1415" s="131" t="s">
        <v>7254</v>
      </c>
      <c r="P1415" s="900">
        <v>15</v>
      </c>
      <c r="Q1415" s="173">
        <f>30+IF(OR(TipoDeCriatura="Entre mundos, Elemental",TipoDeCriatura="Ánima, Elemental"),10,0)</f>
        <v>30</v>
      </c>
      <c r="R1415" s="907">
        <f>COUNTIF(PoderesDeCriatura_Adquiridos,Tablas!O1415)</f>
        <v>0</v>
      </c>
      <c r="S1415" s="173"/>
      <c r="T1415" s="898"/>
      <c r="U1415">
        <v>1</v>
      </c>
      <c r="W1415" s="929" t="s">
        <v>1</v>
      </c>
      <c r="X1415" s="286"/>
      <c r="Y1415" s="758" t="str">
        <f t="shared" si="409"/>
        <v>PodHab_Metamorfismo</v>
      </c>
      <c r="Z1415" s="1177" t="s">
        <v>7139</v>
      </c>
      <c r="AA1415" s="1183" t="s">
        <v>1582</v>
      </c>
      <c r="AB1415" s="1183" t="s">
        <v>3036</v>
      </c>
      <c r="AC1415" s="1183" t="s">
        <v>7137</v>
      </c>
      <c r="AD1415" s="1179"/>
      <c r="AE1415" s="1179"/>
      <c r="AF1415" s="1179"/>
      <c r="AG1415" s="1179"/>
      <c r="AH1415" s="1179"/>
      <c r="AI1415" s="1179"/>
      <c r="AJ1415" s="1179"/>
      <c r="AK1415" s="1179"/>
      <c r="AL1415" s="1179"/>
      <c r="AM1415" s="1179"/>
      <c r="AN1415" s="1179"/>
      <c r="AO1415" s="1179"/>
      <c r="AP1415" s="1179"/>
      <c r="AQ1415" s="1180"/>
      <c r="AR1415" s="1180"/>
      <c r="AS1415" s="1180"/>
      <c r="AT1415" s="1180"/>
      <c r="AU1415" s="1180"/>
      <c r="AV1415" s="1180"/>
      <c r="AW1415" s="1180"/>
      <c r="AX1415" s="1180"/>
      <c r="AY1415" s="1180"/>
      <c r="AZ1415" s="1180"/>
      <c r="BA1415" s="1180"/>
      <c r="BB1415" s="1180"/>
      <c r="BC1415" s="1180"/>
      <c r="BD1415" s="1180"/>
      <c r="BE1415" s="1180"/>
      <c r="BF1415" s="1180"/>
      <c r="BG1415" s="1180"/>
      <c r="BH1415" s="1180"/>
      <c r="BI1415" s="1180"/>
      <c r="BJ1415" s="1181"/>
      <c r="BK1415" s="1181"/>
      <c r="BL1415" s="1181"/>
      <c r="BM1415" s="1181"/>
      <c r="BN1415" s="1181"/>
      <c r="BO1415" s="1181"/>
      <c r="BP1415" s="1181"/>
      <c r="BQ1415" s="1181"/>
      <c r="BR1415" s="1181"/>
      <c r="BS1415" s="1181"/>
      <c r="BT1415" s="1181"/>
      <c r="BU1415" s="1181"/>
      <c r="BV1415" s="1181"/>
      <c r="BW1415" s="1181"/>
      <c r="BX1415" s="1181"/>
      <c r="BY1415" s="1181"/>
      <c r="BZ1415" s="1181"/>
      <c r="CA1415" s="1181"/>
      <c r="CB1415" s="1182"/>
    </row>
    <row r="1416" spans="1:80" ht="12.75" customHeight="1">
      <c r="A1416" s="219">
        <v>1352</v>
      </c>
      <c r="B1416" s="7145"/>
      <c r="C1416" s="902"/>
      <c r="D1416" s="57"/>
      <c r="E1416" s="905" t="s">
        <v>7658</v>
      </c>
      <c r="F1416" s="75">
        <v>20</v>
      </c>
      <c r="G1416" s="75">
        <v>120</v>
      </c>
      <c r="H1416" s="75">
        <f>COUNTIF(HabilidadesEsenciales_Adquiridas,Tablas!E1416)</f>
        <v>0</v>
      </c>
      <c r="I1416" s="907">
        <v>1</v>
      </c>
      <c r="J1416" s="173"/>
      <c r="K1416" s="898"/>
      <c r="M1416" s="307"/>
      <c r="N1416" s="21"/>
      <c r="O1416" s="131" t="s">
        <v>7255</v>
      </c>
      <c r="P1416" s="900">
        <v>20</v>
      </c>
      <c r="Q1416" s="173">
        <f>50+IF(OR(TipoDeCriatura="Entre mundos, Elemental",TipoDeCriatura="Ánima, Elemental"),10,0)</f>
        <v>50</v>
      </c>
      <c r="R1416" s="907">
        <f>COUNTIF(PoderesDeCriatura_Adquiridos,Tablas!O1416)</f>
        <v>0</v>
      </c>
      <c r="S1416" s="173"/>
      <c r="T1416" s="898"/>
      <c r="U1416">
        <v>1</v>
      </c>
      <c r="W1416" s="929" t="s">
        <v>5</v>
      </c>
      <c r="X1416" s="699"/>
      <c r="Y1416" s="758" t="str">
        <f t="shared" si="409"/>
        <v/>
      </c>
      <c r="Z1416" s="1177"/>
      <c r="AA1416" s="1183"/>
      <c r="AB1416" s="1183"/>
      <c r="AC1416" s="1183"/>
      <c r="AD1416" s="1183"/>
      <c r="AE1416" s="1183"/>
      <c r="AF1416" s="1183"/>
      <c r="AG1416" s="1183"/>
      <c r="AH1416" s="1183"/>
      <c r="AI1416" s="1183"/>
      <c r="AJ1416" s="1183"/>
      <c r="AK1416" s="1183"/>
      <c r="AL1416" s="1183"/>
      <c r="AM1416" s="1183"/>
      <c r="AN1416" s="1183"/>
      <c r="AO1416" s="1183"/>
      <c r="AP1416" s="1183"/>
      <c r="AQ1416" s="1181"/>
      <c r="AR1416" s="1181"/>
      <c r="AS1416" s="1181"/>
      <c r="AT1416" s="1181"/>
      <c r="AU1416" s="1181"/>
      <c r="AV1416" s="1181"/>
      <c r="AW1416" s="1181"/>
      <c r="AX1416" s="1181"/>
      <c r="AY1416" s="1181"/>
      <c r="AZ1416" s="1181"/>
      <c r="BA1416" s="1181"/>
      <c r="BB1416" s="1181"/>
      <c r="BC1416" s="1181"/>
      <c r="BD1416" s="1181"/>
      <c r="BE1416" s="1181"/>
      <c r="BF1416" s="1181"/>
      <c r="BG1416" s="1181"/>
      <c r="BH1416" s="1181"/>
      <c r="BI1416" s="1181"/>
      <c r="BJ1416" s="1181"/>
      <c r="BK1416" s="1181"/>
      <c r="BL1416" s="1181"/>
      <c r="BM1416" s="1181"/>
      <c r="BN1416" s="1181"/>
      <c r="BO1416" s="1181"/>
      <c r="BP1416" s="1181"/>
      <c r="BQ1416" s="1181"/>
      <c r="BR1416" s="1181"/>
      <c r="BS1416" s="1181"/>
      <c r="BT1416" s="1181"/>
      <c r="BU1416" s="1181"/>
      <c r="BV1416" s="1181"/>
      <c r="BW1416" s="1181"/>
      <c r="BX1416" s="1181"/>
      <c r="BY1416" s="1181"/>
      <c r="BZ1416" s="1181"/>
      <c r="CA1416" s="1181"/>
      <c r="CB1416" s="1182"/>
    </row>
    <row r="1417" spans="1:80" ht="12.75" customHeight="1">
      <c r="A1417" s="219">
        <v>1353</v>
      </c>
      <c r="B1417" s="7145"/>
      <c r="C1417" s="902"/>
      <c r="D1417" s="57"/>
      <c r="E1417" s="905" t="s">
        <v>7659</v>
      </c>
      <c r="F1417" s="75">
        <v>25</v>
      </c>
      <c r="G1417" s="75">
        <v>180</v>
      </c>
      <c r="H1417" s="75">
        <f>COUNTIF(HabilidadesEsenciales_Adquiridas,Tablas!E1417)</f>
        <v>0</v>
      </c>
      <c r="I1417" s="907">
        <v>1</v>
      </c>
      <c r="J1417" s="173"/>
      <c r="K1417" s="898"/>
      <c r="M1417" s="307"/>
      <c r="N1417" s="21"/>
      <c r="O1417" s="131" t="s">
        <v>7256</v>
      </c>
      <c r="P1417" s="900">
        <v>20</v>
      </c>
      <c r="Q1417" s="173">
        <f>60+IF(OR(TipoDeCriatura="Entre mundos, Elemental",TipoDeCriatura="Ánima, Elemental"),10,0)</f>
        <v>60</v>
      </c>
      <c r="R1417" s="907">
        <f>COUNTIF(PoderesDeCriatura_Adquiridos,Tablas!O1417)</f>
        <v>0</v>
      </c>
      <c r="S1417" s="173"/>
      <c r="T1417" s="898"/>
      <c r="U1417">
        <v>1</v>
      </c>
      <c r="W1417" s="929" t="s">
        <v>6913</v>
      </c>
      <c r="X1417" s="286"/>
      <c r="Y1417" s="758" t="str">
        <f t="shared" si="409"/>
        <v>PodHab_Detecciónsobrenatural</v>
      </c>
      <c r="Z1417" s="1177" t="s">
        <v>5278</v>
      </c>
      <c r="AA1417" s="1183" t="s">
        <v>5279</v>
      </c>
      <c r="AB1417" s="1183" t="s">
        <v>5280</v>
      </c>
      <c r="AC1417" s="1183" t="s">
        <v>5281</v>
      </c>
      <c r="AD1417" s="1183" t="s">
        <v>7140</v>
      </c>
      <c r="AE1417" s="1183" t="s">
        <v>7141</v>
      </c>
      <c r="AF1417" s="1183" t="s">
        <v>7142</v>
      </c>
      <c r="AG1417" s="1183" t="s">
        <v>3425</v>
      </c>
      <c r="AH1417" s="1183" t="s">
        <v>3391</v>
      </c>
      <c r="AI1417" s="1183" t="s">
        <v>3153</v>
      </c>
      <c r="AJ1417" s="1183" t="s">
        <v>3560</v>
      </c>
      <c r="AK1417" s="1183" t="s">
        <v>4385</v>
      </c>
      <c r="AL1417" s="1183" t="s">
        <v>7143</v>
      </c>
      <c r="AM1417" s="1183" t="s">
        <v>7144</v>
      </c>
      <c r="AN1417" s="1183"/>
      <c r="AO1417" s="1179"/>
      <c r="AP1417" s="1179"/>
      <c r="AQ1417" s="1180"/>
      <c r="AR1417" s="1181"/>
      <c r="AS1417" s="1181"/>
      <c r="AT1417" s="1181"/>
      <c r="AU1417" s="1181"/>
      <c r="AV1417" s="1181"/>
      <c r="AW1417" s="1181"/>
      <c r="AX1417" s="1181"/>
      <c r="AY1417" s="1181"/>
      <c r="AZ1417" s="1181"/>
      <c r="BA1417" s="1181"/>
      <c r="BB1417" s="1181"/>
      <c r="BC1417" s="1181"/>
      <c r="BD1417" s="1181"/>
      <c r="BE1417" s="1181"/>
      <c r="BF1417" s="1181"/>
      <c r="BG1417" s="1181"/>
      <c r="BH1417" s="1181"/>
      <c r="BI1417" s="1181"/>
      <c r="BJ1417" s="1181"/>
      <c r="BK1417" s="1181"/>
      <c r="BL1417" s="1181"/>
      <c r="BM1417" s="1181"/>
      <c r="BN1417" s="1181"/>
      <c r="BO1417" s="1181"/>
      <c r="BP1417" s="1181"/>
      <c r="BQ1417" s="1181"/>
      <c r="BR1417" s="1181"/>
      <c r="BS1417" s="1181"/>
      <c r="BT1417" s="1181"/>
      <c r="BU1417" s="1181"/>
      <c r="BV1417" s="1181"/>
      <c r="BW1417" s="1181"/>
      <c r="BX1417" s="1181"/>
      <c r="BY1417" s="1181"/>
      <c r="BZ1417" s="1181"/>
      <c r="CA1417" s="1181"/>
      <c r="CB1417" s="1182"/>
    </row>
    <row r="1418" spans="1:80" ht="12.75" customHeight="1">
      <c r="A1418" s="219">
        <v>1354</v>
      </c>
      <c r="B1418" s="7145"/>
      <c r="C1418" s="902"/>
      <c r="D1418" s="57"/>
      <c r="E1418" s="905" t="s">
        <v>7660</v>
      </c>
      <c r="F1418" s="75">
        <v>0</v>
      </c>
      <c r="G1418" s="75">
        <v>20</v>
      </c>
      <c r="H1418" s="75">
        <f>COUNTIF(HabilidadesEsenciales_Adquiridas,Tablas!E1418)</f>
        <v>0</v>
      </c>
      <c r="I1418" s="907">
        <v>1</v>
      </c>
      <c r="J1418" s="173"/>
      <c r="K1418" s="898"/>
      <c r="M1418" s="307"/>
      <c r="N1418" s="21"/>
      <c r="O1418" s="131" t="s">
        <v>7257</v>
      </c>
      <c r="P1418" s="900">
        <v>25</v>
      </c>
      <c r="Q1418" s="173">
        <f>80+IF(OR(TipoDeCriatura="Entre mundos, Elemental",TipoDeCriatura="Ánima, Elemental"),10,0)</f>
        <v>80</v>
      </c>
      <c r="R1418" s="907">
        <f>COUNTIF(PoderesDeCriatura_Adquiridos,Tablas!O1418)</f>
        <v>0</v>
      </c>
      <c r="S1418" s="173"/>
      <c r="T1418" s="898"/>
      <c r="U1418">
        <v>1</v>
      </c>
      <c r="W1418" s="929" t="s">
        <v>6929</v>
      </c>
      <c r="X1418" s="286"/>
      <c r="Y1418" s="758" t="str">
        <f t="shared" si="409"/>
        <v>PodHab_Visiónespecial</v>
      </c>
      <c r="Z1418" s="1177" t="s">
        <v>1766</v>
      </c>
      <c r="AA1418" s="1183" t="s">
        <v>6</v>
      </c>
      <c r="AB1418" s="3982" t="s">
        <v>12491</v>
      </c>
      <c r="AC1418" s="3982" t="s">
        <v>12492</v>
      </c>
      <c r="AD1418" s="3982" t="s">
        <v>12493</v>
      </c>
      <c r="AE1418" s="3982" t="s">
        <v>12494</v>
      </c>
      <c r="AF1418" s="1183" t="s">
        <v>7</v>
      </c>
      <c r="AG1418" s="1183" t="s">
        <v>8</v>
      </c>
      <c r="AH1418" s="1183" t="s">
        <v>9</v>
      </c>
      <c r="AI1418" s="1183" t="s">
        <v>10</v>
      </c>
      <c r="AJ1418" s="1183" t="s">
        <v>2147</v>
      </c>
      <c r="AK1418" s="1183"/>
      <c r="AL1418" s="1183"/>
      <c r="AM1418" s="1183"/>
      <c r="AN1418" s="1183"/>
      <c r="AO1418" s="1183"/>
      <c r="AP1418" s="1183"/>
      <c r="AQ1418" s="1181"/>
      <c r="AR1418" s="1181"/>
      <c r="AS1418" s="1181"/>
      <c r="AT1418" s="1181"/>
      <c r="AU1418" s="1181"/>
      <c r="AV1418" s="1181"/>
      <c r="AW1418" s="1181"/>
      <c r="AX1418" s="1181"/>
      <c r="AY1418" s="1181"/>
      <c r="AZ1418" s="1181"/>
      <c r="BA1418" s="1181"/>
      <c r="BB1418" s="1181"/>
      <c r="BC1418" s="1181"/>
      <c r="BD1418" s="1181"/>
      <c r="BE1418" s="1181"/>
      <c r="BF1418" s="1181"/>
      <c r="BG1418" s="1181"/>
      <c r="BH1418" s="1181"/>
      <c r="BI1418" s="1181"/>
      <c r="BJ1418" s="1181"/>
      <c r="BK1418" s="1181"/>
      <c r="BL1418" s="1181"/>
      <c r="BM1418" s="1181"/>
      <c r="BN1418" s="1181"/>
      <c r="BO1418" s="1181"/>
      <c r="BP1418" s="1181"/>
      <c r="BQ1418" s="1181"/>
      <c r="BR1418" s="1181"/>
      <c r="BS1418" s="1181"/>
      <c r="BT1418" s="1181"/>
      <c r="BU1418" s="1181"/>
      <c r="BV1418" s="1181"/>
      <c r="BW1418" s="1181"/>
      <c r="BX1418" s="1181"/>
      <c r="BY1418" s="1181"/>
      <c r="BZ1418" s="1181"/>
      <c r="CA1418" s="1181"/>
      <c r="CB1418" s="1182"/>
    </row>
    <row r="1419" spans="1:80" ht="12.75" customHeight="1">
      <c r="A1419" s="219">
        <v>1355</v>
      </c>
      <c r="B1419" s="7145"/>
      <c r="C1419" s="902"/>
      <c r="D1419" s="57"/>
      <c r="E1419" s="905" t="s">
        <v>7661</v>
      </c>
      <c r="F1419" s="75">
        <v>5</v>
      </c>
      <c r="G1419" s="75">
        <v>40</v>
      </c>
      <c r="H1419" s="75">
        <f>COUNTIF(HabilidadesEsenciales_Adquiridas,Tablas!E1419)</f>
        <v>0</v>
      </c>
      <c r="I1419" s="907">
        <v>1</v>
      </c>
      <c r="J1419" s="173"/>
      <c r="K1419" s="898"/>
      <c r="M1419" s="307"/>
      <c r="N1419" s="21"/>
      <c r="O1419" s="131" t="s">
        <v>7258</v>
      </c>
      <c r="P1419" s="900">
        <v>30</v>
      </c>
      <c r="Q1419" s="173">
        <f>100+IF(OR(TipoDeCriatura="Entre mundos, Elemental",TipoDeCriatura="Ánima, Elemental"),10,0)</f>
        <v>100</v>
      </c>
      <c r="R1419" s="907">
        <f>COUNTIF(PoderesDeCriatura_Adquiridos,Tablas!O1419)</f>
        <v>0</v>
      </c>
      <c r="S1419" s="173"/>
      <c r="T1419" s="898"/>
      <c r="U1419">
        <v>1</v>
      </c>
      <c r="W1419" s="929" t="s">
        <v>11</v>
      </c>
      <c r="X1419" s="699"/>
      <c r="Y1419" s="758" t="str">
        <f t="shared" si="409"/>
        <v/>
      </c>
      <c r="Z1419" s="1177"/>
      <c r="AA1419" s="1183"/>
      <c r="AB1419" s="1183"/>
      <c r="AC1419" s="1183"/>
      <c r="AD1419" s="1183"/>
      <c r="AE1419" s="1183"/>
      <c r="AF1419" s="1183"/>
      <c r="AG1419" s="1183"/>
      <c r="AH1419" s="1183"/>
      <c r="AI1419" s="1183"/>
      <c r="AJ1419" s="1183"/>
      <c r="AK1419" s="1183"/>
      <c r="AL1419" s="1183"/>
      <c r="AM1419" s="1183"/>
      <c r="AN1419" s="1183"/>
      <c r="AO1419" s="1183"/>
      <c r="AP1419" s="1183"/>
      <c r="AQ1419" s="1181"/>
      <c r="AR1419" s="1181"/>
      <c r="AS1419" s="1181"/>
      <c r="AT1419" s="1181"/>
      <c r="AU1419" s="1181"/>
      <c r="AV1419" s="1181"/>
      <c r="AW1419" s="1181"/>
      <c r="AX1419" s="1181"/>
      <c r="AY1419" s="1181"/>
      <c r="AZ1419" s="1181"/>
      <c r="BA1419" s="1181"/>
      <c r="BB1419" s="1181"/>
      <c r="BC1419" s="1181"/>
      <c r="BD1419" s="1181"/>
      <c r="BE1419" s="1181"/>
      <c r="BF1419" s="1181"/>
      <c r="BG1419" s="1181"/>
      <c r="BH1419" s="1181"/>
      <c r="BI1419" s="1181"/>
      <c r="BJ1419" s="1181"/>
      <c r="BK1419" s="1181"/>
      <c r="BL1419" s="1181"/>
      <c r="BM1419" s="1181"/>
      <c r="BN1419" s="1181"/>
      <c r="BO1419" s="1181"/>
      <c r="BP1419" s="1181"/>
      <c r="BQ1419" s="1181"/>
      <c r="BR1419" s="1181"/>
      <c r="BS1419" s="1181"/>
      <c r="BT1419" s="1181"/>
      <c r="BU1419" s="1181"/>
      <c r="BV1419" s="1181"/>
      <c r="BW1419" s="1181"/>
      <c r="BX1419" s="1181"/>
      <c r="BY1419" s="1181"/>
      <c r="BZ1419" s="1181"/>
      <c r="CA1419" s="1181"/>
      <c r="CB1419" s="1182"/>
    </row>
    <row r="1420" spans="1:80" ht="12.75" customHeight="1">
      <c r="A1420" s="219">
        <v>1356</v>
      </c>
      <c r="B1420" s="7145"/>
      <c r="C1420" s="902"/>
      <c r="D1420" s="57"/>
      <c r="E1420" s="905" t="s">
        <v>7662</v>
      </c>
      <c r="F1420" s="75">
        <v>15</v>
      </c>
      <c r="G1420" s="75">
        <v>60</v>
      </c>
      <c r="H1420" s="75">
        <f>COUNTIF(HabilidadesEsenciales_Adquiridas,Tablas!E1420)</f>
        <v>0</v>
      </c>
      <c r="I1420" s="907">
        <v>1</v>
      </c>
      <c r="J1420" s="173"/>
      <c r="K1420" s="898"/>
      <c r="M1420" s="307"/>
      <c r="N1420" s="21"/>
      <c r="O1420" s="131" t="s">
        <v>7259</v>
      </c>
      <c r="P1420" s="900">
        <v>10</v>
      </c>
      <c r="Q1420" s="173">
        <f>10+IF(OR(TipoDeCriatura="Entre mundos, Elemental",TipoDeCriatura="Ánima, Elemental"),10,0)</f>
        <v>10</v>
      </c>
      <c r="R1420" s="907">
        <f>COUNTIF(PoderesDeCriatura_Adquiridos,Tablas!O1420)</f>
        <v>0</v>
      </c>
      <c r="S1420" s="173"/>
      <c r="T1420" s="898"/>
      <c r="U1420">
        <v>1</v>
      </c>
      <c r="W1420" s="929" t="s">
        <v>6916</v>
      </c>
      <c r="X1420" s="286"/>
      <c r="Y1420" s="758" t="str">
        <f t="shared" si="409"/>
        <v>PodHab_Acumularataque</v>
      </c>
      <c r="Z1420" s="1177" t="s">
        <v>7145</v>
      </c>
      <c r="AA1420" s="1183" t="s">
        <v>7146</v>
      </c>
      <c r="AB1420" s="1183" t="s">
        <v>7147</v>
      </c>
      <c r="AC1420" s="1183" t="s">
        <v>7148</v>
      </c>
      <c r="AD1420" s="1183" t="s">
        <v>7149</v>
      </c>
      <c r="AE1420" s="1183" t="s">
        <v>7150</v>
      </c>
      <c r="AF1420" s="1183" t="s">
        <v>7151</v>
      </c>
      <c r="AG1420" s="1183"/>
      <c r="AH1420" s="1183"/>
      <c r="AI1420" s="1183"/>
      <c r="AJ1420" s="1183"/>
      <c r="AK1420" s="1183"/>
      <c r="AL1420" s="1179"/>
      <c r="AM1420" s="1179"/>
      <c r="AN1420" s="1179"/>
      <c r="AO1420" s="1179"/>
      <c r="AP1420" s="1179"/>
      <c r="AQ1420" s="1180"/>
      <c r="AR1420" s="1180"/>
      <c r="AS1420" s="1180"/>
      <c r="AT1420" s="1180"/>
      <c r="AU1420" s="1180"/>
      <c r="AV1420" s="1180"/>
      <c r="AW1420" s="1180"/>
      <c r="AX1420" s="1180"/>
      <c r="AY1420" s="1181"/>
      <c r="AZ1420" s="1181"/>
      <c r="BA1420" s="1181"/>
      <c r="BB1420" s="1181"/>
      <c r="BC1420" s="1181"/>
      <c r="BD1420" s="1181"/>
      <c r="BE1420" s="1181"/>
      <c r="BF1420" s="1181"/>
      <c r="BG1420" s="1181"/>
      <c r="BH1420" s="1181"/>
      <c r="BI1420" s="1181"/>
      <c r="BJ1420" s="1181"/>
      <c r="BK1420" s="1181"/>
      <c r="BL1420" s="1181"/>
      <c r="BM1420" s="1181"/>
      <c r="BN1420" s="1181"/>
      <c r="BO1420" s="1181"/>
      <c r="BP1420" s="1181"/>
      <c r="BQ1420" s="1181"/>
      <c r="BR1420" s="1181"/>
      <c r="BS1420" s="1181"/>
      <c r="BT1420" s="1181"/>
      <c r="BU1420" s="1181"/>
      <c r="BV1420" s="1181"/>
      <c r="BW1420" s="1181"/>
      <c r="BX1420" s="1181"/>
      <c r="BY1420" s="1181"/>
      <c r="BZ1420" s="1181"/>
      <c r="CA1420" s="1181"/>
      <c r="CB1420" s="1182"/>
    </row>
    <row r="1421" spans="1:80" ht="12.75" customHeight="1">
      <c r="A1421" s="219">
        <v>1357</v>
      </c>
      <c r="B1421" s="7145"/>
      <c r="C1421" s="902"/>
      <c r="D1421" s="57"/>
      <c r="E1421" s="905" t="s">
        <v>7663</v>
      </c>
      <c r="F1421" s="75">
        <v>20</v>
      </c>
      <c r="G1421" s="75">
        <v>120</v>
      </c>
      <c r="H1421" s="75">
        <f>COUNTIF(HabilidadesEsenciales_Adquiridas,Tablas!E1421)</f>
        <v>0</v>
      </c>
      <c r="I1421" s="907"/>
      <c r="J1421" s="173"/>
      <c r="K1421" s="898"/>
      <c r="M1421" s="307"/>
      <c r="N1421" s="21"/>
      <c r="O1421" s="131" t="s">
        <v>7260</v>
      </c>
      <c r="P1421" s="900">
        <v>10</v>
      </c>
      <c r="Q1421" s="173">
        <f>20+IF(OR(TipoDeCriatura="Entre mundos, Elemental",TipoDeCriatura="Ánima, Elemental"),10,0)</f>
        <v>20</v>
      </c>
      <c r="R1421" s="907">
        <f>COUNTIF(PoderesDeCriatura_Adquiridos,Tablas!O1421)</f>
        <v>0</v>
      </c>
      <c r="S1421" s="173"/>
      <c r="T1421" s="898"/>
      <c r="U1421">
        <v>1</v>
      </c>
      <c r="W1421" s="929" t="s">
        <v>13</v>
      </c>
      <c r="X1421" s="286"/>
      <c r="Y1421" s="758" t="str">
        <f t="shared" si="409"/>
        <v>PodHab_Armanaturaladistancia</v>
      </c>
      <c r="Z1421" s="1177" t="s">
        <v>6945</v>
      </c>
      <c r="AA1421" s="1183" t="s">
        <v>6946</v>
      </c>
      <c r="AB1421" s="1183" t="s">
        <v>6947</v>
      </c>
      <c r="AC1421" s="1183" t="s">
        <v>6948</v>
      </c>
      <c r="AD1421" s="1181" t="s">
        <v>9968</v>
      </c>
      <c r="AE1421" s="1183" t="s">
        <v>9969</v>
      </c>
      <c r="AF1421" s="1183" t="s">
        <v>9970</v>
      </c>
      <c r="AG1421" s="1181" t="s">
        <v>9975</v>
      </c>
      <c r="AH1421" s="1183" t="s">
        <v>9976</v>
      </c>
      <c r="AI1421" s="1183" t="s">
        <v>9977</v>
      </c>
      <c r="AJ1421" s="1183"/>
      <c r="AK1421" s="1183"/>
      <c r="AL1421" s="1179"/>
      <c r="AM1421" s="1179"/>
      <c r="AN1421" s="1179"/>
      <c r="AO1421" s="1179"/>
      <c r="AP1421" s="1179"/>
      <c r="AQ1421" s="1180"/>
      <c r="AR1421" s="1180"/>
      <c r="AS1421" s="1180"/>
      <c r="AT1421" s="1180"/>
      <c r="AU1421" s="1180"/>
      <c r="AV1421" s="1180"/>
      <c r="AW1421" s="1180"/>
      <c r="AX1421" s="1180"/>
      <c r="AY1421" s="1181"/>
      <c r="AZ1421" s="1181"/>
      <c r="BA1421" s="1181"/>
      <c r="BB1421" s="1181"/>
      <c r="BC1421" s="1181"/>
      <c r="BD1421" s="1181"/>
      <c r="BE1421" s="1181"/>
      <c r="BF1421" s="1181"/>
      <c r="BG1421" s="1181"/>
      <c r="BH1421" s="1181"/>
      <c r="BI1421" s="1181"/>
      <c r="BJ1421" s="1181"/>
      <c r="BK1421" s="1181"/>
      <c r="BL1421" s="1181"/>
      <c r="BM1421" s="1181"/>
      <c r="BN1421" s="1181"/>
      <c r="BO1421" s="1181"/>
      <c r="BP1421" s="1181"/>
      <c r="BQ1421" s="1181"/>
      <c r="BR1421" s="1181"/>
      <c r="BS1421" s="1181"/>
      <c r="BT1421" s="1181"/>
      <c r="BU1421" s="1181"/>
      <c r="BV1421" s="1181"/>
      <c r="BW1421" s="1181"/>
      <c r="BX1421" s="1181"/>
      <c r="BY1421" s="1181"/>
      <c r="BZ1421" s="1181"/>
      <c r="CA1421" s="1181"/>
      <c r="CB1421" s="1182"/>
    </row>
    <row r="1422" spans="1:80" ht="12.75" customHeight="1">
      <c r="A1422" s="219">
        <v>1358</v>
      </c>
      <c r="B1422" s="7145"/>
      <c r="C1422" s="902"/>
      <c r="D1422" s="57"/>
      <c r="E1422" s="905" t="s">
        <v>7664</v>
      </c>
      <c r="F1422" s="75">
        <v>25</v>
      </c>
      <c r="G1422" s="75">
        <v>180</v>
      </c>
      <c r="H1422" s="75">
        <f>COUNTIF(HabilidadesEsenciales_Adquiridas,Tablas!E1422)</f>
        <v>0</v>
      </c>
      <c r="I1422" s="907"/>
      <c r="J1422" s="173"/>
      <c r="K1422" s="898"/>
      <c r="M1422" s="307"/>
      <c r="N1422" s="21"/>
      <c r="O1422" s="131" t="s">
        <v>7261</v>
      </c>
      <c r="P1422" s="900">
        <v>15</v>
      </c>
      <c r="Q1422" s="173">
        <f>30+IF(OR(TipoDeCriatura="Entre mundos, Elemental",TipoDeCriatura="Ánima, Elemental"),10,0)</f>
        <v>30</v>
      </c>
      <c r="R1422" s="907">
        <f>COUNTIF(PoderesDeCriatura_Adquiridos,Tablas!O1422)</f>
        <v>0</v>
      </c>
      <c r="S1422" s="173"/>
      <c r="T1422" s="898"/>
      <c r="U1422">
        <v>1</v>
      </c>
      <c r="W1422" s="929" t="s">
        <v>9485</v>
      </c>
      <c r="X1422" s="286"/>
      <c r="Y1422" s="758" t="str">
        <f t="shared" si="409"/>
        <v>PodHab_Ataqueautomáticocondicionado</v>
      </c>
      <c r="Z1422" s="1177" t="s">
        <v>7152</v>
      </c>
      <c r="AA1422" s="1183" t="s">
        <v>7153</v>
      </c>
      <c r="AB1422" s="1183" t="s">
        <v>7154</v>
      </c>
      <c r="AC1422" s="1183" t="s">
        <v>7155</v>
      </c>
      <c r="AD1422" s="1183" t="s">
        <v>7156</v>
      </c>
      <c r="AE1422" s="1183" t="s">
        <v>7157</v>
      </c>
      <c r="AF1422" s="1183" t="s">
        <v>722</v>
      </c>
      <c r="AG1422" s="1183" t="s">
        <v>49</v>
      </c>
      <c r="AH1422" s="1183" t="s">
        <v>2004</v>
      </c>
      <c r="AI1422" s="1183" t="s">
        <v>7158</v>
      </c>
      <c r="AJ1422" s="1181" t="s">
        <v>9968</v>
      </c>
      <c r="AK1422" s="1183" t="s">
        <v>9969</v>
      </c>
      <c r="AL1422" s="1183" t="s">
        <v>9970</v>
      </c>
      <c r="AM1422" s="1181" t="s">
        <v>9975</v>
      </c>
      <c r="AN1422" s="1183" t="s">
        <v>9976</v>
      </c>
      <c r="AO1422" s="1183" t="s">
        <v>9977</v>
      </c>
      <c r="AP1422" s="1183"/>
      <c r="AQ1422" s="1181"/>
      <c r="AR1422" s="1183"/>
      <c r="AS1422" s="1183"/>
      <c r="AT1422" s="1183"/>
      <c r="AU1422" s="1183"/>
      <c r="AV1422" s="1183"/>
      <c r="AW1422" s="1183"/>
      <c r="AX1422" s="1180"/>
      <c r="AY1422" s="1181"/>
      <c r="AZ1422" s="1181"/>
      <c r="BA1422" s="1181"/>
      <c r="BB1422" s="1181"/>
      <c r="BC1422" s="1181"/>
      <c r="BD1422" s="1181"/>
      <c r="BE1422" s="1181"/>
      <c r="BF1422" s="1181"/>
      <c r="BG1422" s="1181"/>
      <c r="BH1422" s="1181"/>
      <c r="BI1422" s="1181"/>
      <c r="BJ1422" s="1181"/>
      <c r="BK1422" s="1181"/>
      <c r="BL1422" s="1181"/>
      <c r="BM1422" s="1181"/>
      <c r="BN1422" s="1181"/>
      <c r="BO1422" s="1181"/>
      <c r="BP1422" s="1181"/>
      <c r="BQ1422" s="1181"/>
      <c r="BR1422" s="1181"/>
      <c r="BS1422" s="1181"/>
      <c r="BT1422" s="1181"/>
      <c r="BU1422" s="1181"/>
      <c r="BV1422" s="1181"/>
      <c r="BW1422" s="1181"/>
      <c r="BX1422" s="1181"/>
      <c r="BY1422" s="1181"/>
      <c r="BZ1422" s="1181"/>
      <c r="CA1422" s="1181"/>
      <c r="CB1422" s="1182"/>
    </row>
    <row r="1423" spans="1:80" ht="12.75" customHeight="1">
      <c r="A1423" s="219">
        <v>1359</v>
      </c>
      <c r="B1423" s="7145"/>
      <c r="C1423" s="902"/>
      <c r="D1423" s="57"/>
      <c r="E1423" s="905" t="s">
        <v>7665</v>
      </c>
      <c r="F1423" s="75">
        <v>0</v>
      </c>
      <c r="G1423" s="75">
        <v>20</v>
      </c>
      <c r="H1423" s="75">
        <f>COUNTIF(HabilidadesEsenciales_Adquiridas,Tablas!E1423)</f>
        <v>0</v>
      </c>
      <c r="I1423" s="907">
        <v>1</v>
      </c>
      <c r="J1423" s="173"/>
      <c r="K1423" s="898"/>
      <c r="M1423" s="307"/>
      <c r="N1423" s="21"/>
      <c r="O1423" s="131" t="s">
        <v>7262</v>
      </c>
      <c r="P1423" s="900">
        <v>20</v>
      </c>
      <c r="Q1423" s="173">
        <f>40+IF(OR(TipoDeCriatura="Entre mundos, Elemental",TipoDeCriatura="Ánima, Elemental"),10,0)</f>
        <v>40</v>
      </c>
      <c r="R1423" s="907">
        <f>COUNTIF(PoderesDeCriatura_Adquiridos,Tablas!O1423)</f>
        <v>0</v>
      </c>
      <c r="S1423" s="173"/>
      <c r="T1423" s="898"/>
      <c r="U1423">
        <v>1</v>
      </c>
      <c r="W1423" s="929" t="s">
        <v>12</v>
      </c>
      <c r="X1423" s="925"/>
      <c r="Y1423" s="758" t="str">
        <f>IF(Z1423="","",SUBSTITUTE("PodHab_"&amp;W1423," ",""))</f>
        <v/>
      </c>
      <c r="Z1423" s="1177"/>
      <c r="AA1423" s="1183"/>
      <c r="AB1423" s="1183"/>
      <c r="AC1423" s="1183"/>
      <c r="AD1423" s="1183"/>
      <c r="AE1423" s="1183"/>
      <c r="AF1423" s="1183"/>
      <c r="AG1423" s="1183"/>
      <c r="AH1423" s="1183"/>
      <c r="AI1423" s="1183"/>
      <c r="AJ1423" s="1183"/>
      <c r="AK1423" s="1183"/>
      <c r="AL1423" s="1179"/>
      <c r="AM1423" s="1179"/>
      <c r="AN1423" s="1179"/>
      <c r="AO1423" s="1179"/>
      <c r="AP1423" s="1179"/>
      <c r="AQ1423" s="1180"/>
      <c r="AR1423" s="1180"/>
      <c r="AS1423" s="1180"/>
      <c r="AT1423" s="1180"/>
      <c r="AU1423" s="1180"/>
      <c r="AV1423" s="1180"/>
      <c r="AW1423" s="1180"/>
      <c r="AX1423" s="1180"/>
      <c r="AY1423" s="1181"/>
      <c r="AZ1423" s="1181"/>
      <c r="BA1423" s="1181"/>
      <c r="BB1423" s="1181"/>
      <c r="BC1423" s="1181"/>
      <c r="BD1423" s="1181"/>
      <c r="BE1423" s="1181"/>
      <c r="BF1423" s="1181"/>
      <c r="BG1423" s="1181"/>
      <c r="BH1423" s="1181"/>
      <c r="BI1423" s="1181"/>
      <c r="BJ1423" s="1181"/>
      <c r="BK1423" s="1181"/>
      <c r="BL1423" s="1181"/>
      <c r="BM1423" s="1181"/>
      <c r="BN1423" s="1181"/>
      <c r="BO1423" s="1181"/>
      <c r="BP1423" s="1181"/>
      <c r="BQ1423" s="1181"/>
      <c r="BR1423" s="1181"/>
      <c r="BS1423" s="1181"/>
      <c r="BT1423" s="1181"/>
      <c r="BU1423" s="1181"/>
      <c r="BV1423" s="1181"/>
      <c r="BW1423" s="1181"/>
      <c r="BX1423" s="1181"/>
      <c r="BY1423" s="1181"/>
      <c r="BZ1423" s="1181"/>
      <c r="CA1423" s="1181"/>
      <c r="CB1423" s="1182"/>
    </row>
    <row r="1424" spans="1:80" ht="12.75" customHeight="1">
      <c r="A1424" s="219">
        <v>1360</v>
      </c>
      <c r="B1424" s="7145"/>
      <c r="C1424" s="902"/>
      <c r="D1424" s="57"/>
      <c r="E1424" s="905" t="s">
        <v>7666</v>
      </c>
      <c r="F1424" s="75">
        <v>5</v>
      </c>
      <c r="G1424" s="75">
        <v>40</v>
      </c>
      <c r="H1424" s="75">
        <f>COUNTIF(HabilidadesEsenciales_Adquiridas,Tablas!E1424)</f>
        <v>0</v>
      </c>
      <c r="I1424" s="907">
        <v>1</v>
      </c>
      <c r="J1424" s="173"/>
      <c r="K1424" s="898"/>
      <c r="M1424" s="307"/>
      <c r="N1424" s="21"/>
      <c r="O1424" s="131" t="s">
        <v>7263</v>
      </c>
      <c r="P1424" s="900">
        <v>25</v>
      </c>
      <c r="Q1424" s="173">
        <f>50+IF(OR(TipoDeCriatura="Entre mundos, Elemental",TipoDeCriatura="Ánima, Elemental"),10,0)</f>
        <v>50</v>
      </c>
      <c r="R1424" s="907">
        <f>COUNTIF(PoderesDeCriatura_Adquiridos,Tablas!O1424)</f>
        <v>0</v>
      </c>
      <c r="S1424" s="173"/>
      <c r="T1424" s="898"/>
      <c r="U1424">
        <v>1</v>
      </c>
      <c r="W1424" s="929" t="s">
        <v>6931</v>
      </c>
      <c r="X1424" s="286"/>
      <c r="Y1424" s="758" t="str">
        <f t="shared" si="409"/>
        <v>PodHab_Ataquecamuflado</v>
      </c>
      <c r="Z1424" s="1177" t="s">
        <v>7159</v>
      </c>
      <c r="AA1424" s="1183" t="s">
        <v>7160</v>
      </c>
      <c r="AB1424" s="1183" t="s">
        <v>7161</v>
      </c>
      <c r="AC1424" s="1183" t="s">
        <v>7162</v>
      </c>
      <c r="AD1424" s="1183" t="s">
        <v>7163</v>
      </c>
      <c r="AE1424" s="1183"/>
      <c r="AF1424" s="1183"/>
      <c r="AG1424" s="1183"/>
      <c r="AH1424" s="1183"/>
      <c r="AI1424" s="1183"/>
      <c r="AJ1424" s="1183"/>
      <c r="AK1424" s="1183"/>
      <c r="AL1424" s="1179"/>
      <c r="AM1424" s="1179"/>
      <c r="AN1424" s="1179"/>
      <c r="AO1424" s="1179"/>
      <c r="AP1424" s="1179"/>
      <c r="AQ1424" s="1180"/>
      <c r="AR1424" s="1180"/>
      <c r="AS1424" s="1180"/>
      <c r="AT1424" s="1180"/>
      <c r="AU1424" s="1180"/>
      <c r="AV1424" s="1180"/>
      <c r="AW1424" s="1180"/>
      <c r="AX1424" s="1180"/>
      <c r="AY1424" s="1181"/>
      <c r="AZ1424" s="1181"/>
      <c r="BA1424" s="1181"/>
      <c r="BB1424" s="1181"/>
      <c r="BC1424" s="1181"/>
      <c r="BD1424" s="1181"/>
      <c r="BE1424" s="1181"/>
      <c r="BF1424" s="1181"/>
      <c r="BG1424" s="1181"/>
      <c r="BH1424" s="1181"/>
      <c r="BI1424" s="1181"/>
      <c r="BJ1424" s="1181"/>
      <c r="BK1424" s="1181"/>
      <c r="BL1424" s="1181"/>
      <c r="BM1424" s="1181"/>
      <c r="BN1424" s="1181"/>
      <c r="BO1424" s="1181"/>
      <c r="BP1424" s="1181"/>
      <c r="BQ1424" s="1181"/>
      <c r="BR1424" s="1181"/>
      <c r="BS1424" s="1181"/>
      <c r="BT1424" s="1181"/>
      <c r="BU1424" s="1181"/>
      <c r="BV1424" s="1181"/>
      <c r="BW1424" s="1181"/>
      <c r="BX1424" s="1181"/>
      <c r="BY1424" s="1181"/>
      <c r="BZ1424" s="1181"/>
      <c r="CA1424" s="1181"/>
      <c r="CB1424" s="1182"/>
    </row>
    <row r="1425" spans="1:80" ht="12.75" customHeight="1">
      <c r="A1425" s="219">
        <v>1361</v>
      </c>
      <c r="B1425" s="7145"/>
      <c r="C1425" s="902"/>
      <c r="D1425" s="57"/>
      <c r="E1425" s="905" t="s">
        <v>7667</v>
      </c>
      <c r="F1425" s="75">
        <v>15</v>
      </c>
      <c r="G1425" s="75">
        <v>60</v>
      </c>
      <c r="H1425" s="75">
        <f>COUNTIF(HabilidadesEsenciales_Adquiridas,Tablas!E1425)</f>
        <v>0</v>
      </c>
      <c r="I1425" s="907">
        <v>1</v>
      </c>
      <c r="J1425" s="173"/>
      <c r="K1425" s="898"/>
      <c r="M1425" s="307"/>
      <c r="N1425" s="21"/>
      <c r="O1425" s="131" t="s">
        <v>7264</v>
      </c>
      <c r="P1425" s="900">
        <v>30</v>
      </c>
      <c r="Q1425" s="173">
        <f>60+IF(OR(TipoDeCriatura="Entre mundos, Elemental",TipoDeCriatura="Ánima, Elemental"),10,0)</f>
        <v>60</v>
      </c>
      <c r="R1425" s="907">
        <f>COUNTIF(PoderesDeCriatura_Adquiridos,Tablas!O1425)</f>
        <v>0</v>
      </c>
      <c r="S1425" s="173"/>
      <c r="T1425" s="898"/>
      <c r="U1425">
        <v>1</v>
      </c>
      <c r="W1425" s="929" t="s">
        <v>6921</v>
      </c>
      <c r="X1425" s="304"/>
      <c r="Y1425" s="758" t="str">
        <f t="shared" si="409"/>
        <v>PodHab_Ataqueespecialincrementado</v>
      </c>
      <c r="Z1425" s="1177" t="s">
        <v>7164</v>
      </c>
      <c r="AA1425" s="1183" t="s">
        <v>7165</v>
      </c>
      <c r="AB1425" s="1183" t="s">
        <v>7166</v>
      </c>
      <c r="AC1425" s="1183" t="s">
        <v>7167</v>
      </c>
      <c r="AD1425" s="1183" t="s">
        <v>7168</v>
      </c>
      <c r="AE1425" s="1183" t="s">
        <v>6506</v>
      </c>
      <c r="AF1425" s="1179"/>
      <c r="AG1425" s="1179"/>
      <c r="AH1425" s="1179"/>
      <c r="AI1425" s="1183"/>
      <c r="AJ1425" s="1183"/>
      <c r="AK1425" s="1183"/>
      <c r="AL1425" s="1179"/>
      <c r="AM1425" s="1179"/>
      <c r="AN1425" s="1179"/>
      <c r="AO1425" s="1179"/>
      <c r="AP1425" s="1179"/>
      <c r="AQ1425" s="1180"/>
      <c r="AR1425" s="1180"/>
      <c r="AS1425" s="1180"/>
      <c r="AT1425" s="1180"/>
      <c r="AU1425" s="1180"/>
      <c r="AV1425" s="1180"/>
      <c r="AW1425" s="1180"/>
      <c r="AX1425" s="1180"/>
      <c r="AY1425" s="1181"/>
      <c r="AZ1425" s="1181"/>
      <c r="BA1425" s="1181"/>
      <c r="BB1425" s="1181"/>
      <c r="BC1425" s="1181"/>
      <c r="BD1425" s="1181"/>
      <c r="BE1425" s="1181"/>
      <c r="BF1425" s="1181"/>
      <c r="BG1425" s="1181"/>
      <c r="BH1425" s="1181"/>
      <c r="BI1425" s="1181"/>
      <c r="BJ1425" s="1181"/>
      <c r="BK1425" s="1181"/>
      <c r="BL1425" s="1181"/>
      <c r="BM1425" s="1181"/>
      <c r="BN1425" s="1181"/>
      <c r="BO1425" s="1181"/>
      <c r="BP1425" s="1181"/>
      <c r="BQ1425" s="1181"/>
      <c r="BR1425" s="1181"/>
      <c r="BS1425" s="1181"/>
      <c r="BT1425" s="1181"/>
      <c r="BU1425" s="1181"/>
      <c r="BV1425" s="1181"/>
      <c r="BW1425" s="1181"/>
      <c r="BX1425" s="1181"/>
      <c r="BY1425" s="1181"/>
      <c r="BZ1425" s="1181"/>
      <c r="CA1425" s="1181"/>
      <c r="CB1425" s="1182"/>
    </row>
    <row r="1426" spans="1:80" ht="12.75" customHeight="1">
      <c r="A1426" s="219">
        <v>1362</v>
      </c>
      <c r="B1426" s="7145"/>
      <c r="C1426" s="902"/>
      <c r="D1426" s="57"/>
      <c r="E1426" s="905" t="s">
        <v>7668</v>
      </c>
      <c r="F1426" s="75">
        <v>20</v>
      </c>
      <c r="G1426" s="75">
        <v>120</v>
      </c>
      <c r="H1426" s="75">
        <f>COUNTIF(HabilidadesEsenciales_Adquiridas,Tablas!E1426)</f>
        <v>0</v>
      </c>
      <c r="I1426" s="907"/>
      <c r="J1426" s="173"/>
      <c r="K1426" s="898"/>
      <c r="M1426" s="307"/>
      <c r="N1426" s="21"/>
      <c r="O1426" s="131" t="s">
        <v>7265</v>
      </c>
      <c r="P1426" s="900">
        <v>35</v>
      </c>
      <c r="Q1426" s="173">
        <f>80+IF(OR(TipoDeCriatura="Entre mundos, Elemental",TipoDeCriatura="Ánima, Elemental"),10,0)</f>
        <v>80</v>
      </c>
      <c r="R1426" s="907">
        <f>COUNTIF(PoderesDeCriatura_Adquiridos,Tablas!O1426)</f>
        <v>0</v>
      </c>
      <c r="S1426" s="173"/>
      <c r="T1426" s="898"/>
      <c r="U1426">
        <v>1</v>
      </c>
      <c r="W1426" s="929" t="s">
        <v>6932</v>
      </c>
      <c r="X1426" s="286"/>
      <c r="Y1426" s="758" t="str">
        <f t="shared" si="409"/>
        <v>PodHab_Ataquemantenido</v>
      </c>
      <c r="Z1426" s="1177" t="s">
        <v>7169</v>
      </c>
      <c r="AA1426" s="1183" t="s">
        <v>7170</v>
      </c>
      <c r="AB1426" s="1183" t="s">
        <v>7171</v>
      </c>
      <c r="AC1426" s="1183" t="s">
        <v>7172</v>
      </c>
      <c r="AD1426" s="1183" t="s">
        <v>7173</v>
      </c>
      <c r="AE1426" s="1183"/>
      <c r="AF1426" s="1183"/>
      <c r="AG1426" s="1183"/>
      <c r="AH1426" s="1183"/>
      <c r="AI1426" s="1183"/>
      <c r="AJ1426" s="1183"/>
      <c r="AK1426" s="1183"/>
      <c r="AL1426" s="1179"/>
      <c r="AM1426" s="1179"/>
      <c r="AN1426" s="1179"/>
      <c r="AO1426" s="1179"/>
      <c r="AP1426" s="1179"/>
      <c r="AQ1426" s="1180"/>
      <c r="AR1426" s="1180"/>
      <c r="AS1426" s="1180"/>
      <c r="AT1426" s="1180"/>
      <c r="AU1426" s="1180"/>
      <c r="AV1426" s="1180"/>
      <c r="AW1426" s="1180"/>
      <c r="AX1426" s="1180"/>
      <c r="AY1426" s="1181"/>
      <c r="AZ1426" s="1181"/>
      <c r="BA1426" s="1181"/>
      <c r="BB1426" s="1181"/>
      <c r="BC1426" s="1181"/>
      <c r="BD1426" s="1181"/>
      <c r="BE1426" s="1181"/>
      <c r="BF1426" s="1181"/>
      <c r="BG1426" s="1181"/>
      <c r="BH1426" s="1181"/>
      <c r="BI1426" s="1181"/>
      <c r="BJ1426" s="1181"/>
      <c r="BK1426" s="1181"/>
      <c r="BL1426" s="1181"/>
      <c r="BM1426" s="1181"/>
      <c r="BN1426" s="1181"/>
      <c r="BO1426" s="1181"/>
      <c r="BP1426" s="1181"/>
      <c r="BQ1426" s="1181"/>
      <c r="BR1426" s="1181"/>
      <c r="BS1426" s="1181"/>
      <c r="BT1426" s="1181"/>
      <c r="BU1426" s="1181"/>
      <c r="BV1426" s="1181"/>
      <c r="BW1426" s="1181"/>
      <c r="BX1426" s="1181"/>
      <c r="BY1426" s="1181"/>
      <c r="BZ1426" s="1181"/>
      <c r="CA1426" s="1181"/>
      <c r="CB1426" s="1182"/>
    </row>
    <row r="1427" spans="1:80" ht="12.75" customHeight="1">
      <c r="A1427" s="219">
        <v>1363</v>
      </c>
      <c r="B1427" s="7145"/>
      <c r="C1427" s="902"/>
      <c r="D1427" s="57"/>
      <c r="E1427" s="905" t="s">
        <v>7669</v>
      </c>
      <c r="F1427" s="75">
        <v>25</v>
      </c>
      <c r="G1427" s="75">
        <v>180</v>
      </c>
      <c r="H1427" s="75">
        <f>COUNTIF(HabilidadesEsenciales_Adquiridas,Tablas!E1427)</f>
        <v>0</v>
      </c>
      <c r="I1427" s="907"/>
      <c r="J1427" s="173"/>
      <c r="K1427" s="898"/>
      <c r="M1427" s="307"/>
      <c r="N1427" s="21"/>
      <c r="O1427" s="131" t="s">
        <v>7266</v>
      </c>
      <c r="P1427" s="900">
        <v>10</v>
      </c>
      <c r="Q1427" s="173">
        <f>5+IF(OR(TipoDeCriatura="Entre mundos, Elemental",TipoDeCriatura="Ánima, Elemental"),5,0)</f>
        <v>5</v>
      </c>
      <c r="R1427" s="907">
        <f>COUNTIF(PoderesDeCriatura_Adquiridos,Tablas!O1427)</f>
        <v>0</v>
      </c>
      <c r="S1427" s="173"/>
      <c r="T1427" s="898"/>
      <c r="U1427">
        <v>1</v>
      </c>
      <c r="W1427" s="929" t="s">
        <v>6930</v>
      </c>
      <c r="X1427" s="286"/>
      <c r="Y1427" s="758" t="str">
        <f t="shared" si="409"/>
        <v>PodHab_Ataqueretardado</v>
      </c>
      <c r="Z1427" s="1177" t="s">
        <v>7174</v>
      </c>
      <c r="AA1427" s="1183" t="s">
        <v>7175</v>
      </c>
      <c r="AB1427" s="1183" t="s">
        <v>7176</v>
      </c>
      <c r="AC1427" s="1183" t="s">
        <v>7177</v>
      </c>
      <c r="AD1427" s="1183"/>
      <c r="AE1427" s="1183"/>
      <c r="AF1427" s="1183"/>
      <c r="AG1427" s="1183"/>
      <c r="AH1427" s="1183"/>
      <c r="AI1427" s="1183"/>
      <c r="AJ1427" s="1183"/>
      <c r="AK1427" s="1183"/>
      <c r="AL1427" s="1179"/>
      <c r="AM1427" s="1179"/>
      <c r="AN1427" s="1179"/>
      <c r="AO1427" s="1179"/>
      <c r="AP1427" s="1179"/>
      <c r="AQ1427" s="1180"/>
      <c r="AR1427" s="1180"/>
      <c r="AS1427" s="1180"/>
      <c r="AT1427" s="1180"/>
      <c r="AU1427" s="1180"/>
      <c r="AV1427" s="1180"/>
      <c r="AW1427" s="1180"/>
      <c r="AX1427" s="1180"/>
      <c r="AY1427" s="1181"/>
      <c r="AZ1427" s="1181"/>
      <c r="BA1427" s="1181"/>
      <c r="BB1427" s="1181"/>
      <c r="BC1427" s="1181"/>
      <c r="BD1427" s="1181"/>
      <c r="BE1427" s="1181"/>
      <c r="BF1427" s="1181"/>
      <c r="BG1427" s="1181"/>
      <c r="BH1427" s="1181"/>
      <c r="BI1427" s="1181"/>
      <c r="BJ1427" s="1181"/>
      <c r="BK1427" s="1181"/>
      <c r="BL1427" s="1181"/>
      <c r="BM1427" s="1181"/>
      <c r="BN1427" s="1181"/>
      <c r="BO1427" s="1181"/>
      <c r="BP1427" s="1181"/>
      <c r="BQ1427" s="1181"/>
      <c r="BR1427" s="1181"/>
      <c r="BS1427" s="1181"/>
      <c r="BT1427" s="1181"/>
      <c r="BU1427" s="1181"/>
      <c r="BV1427" s="1181"/>
      <c r="BW1427" s="1181"/>
      <c r="BX1427" s="1181"/>
      <c r="BY1427" s="1181"/>
      <c r="BZ1427" s="1181"/>
      <c r="CA1427" s="1181"/>
      <c r="CB1427" s="1182"/>
    </row>
    <row r="1428" spans="1:80" ht="12.75" customHeight="1">
      <c r="A1428" s="219">
        <v>1364</v>
      </c>
      <c r="B1428" s="7145"/>
      <c r="C1428" s="902"/>
      <c r="D1428" s="57"/>
      <c r="E1428" s="905" t="s">
        <v>7670</v>
      </c>
      <c r="F1428" s="75">
        <v>0</v>
      </c>
      <c r="G1428" s="75">
        <v>20</v>
      </c>
      <c r="H1428" s="75">
        <f>COUNTIF(HabilidadesEsenciales_Adquiridas,Tablas!E1428)</f>
        <v>0</v>
      </c>
      <c r="I1428" s="907">
        <v>1</v>
      </c>
      <c r="J1428" s="173"/>
      <c r="K1428" s="898"/>
      <c r="M1428" s="307"/>
      <c r="N1428" s="21"/>
      <c r="O1428" s="131" t="s">
        <v>7267</v>
      </c>
      <c r="P1428" s="900">
        <v>20</v>
      </c>
      <c r="Q1428" s="173">
        <f>60+IF(OR(TipoDeCriatura="Entre mundos, Elemental",TipoDeCriatura="Ánima, Elemental"),10,0)</f>
        <v>60</v>
      </c>
      <c r="R1428" s="907">
        <f>COUNTIF(PoderesDeCriatura_Adquiridos,Tablas!O1428)</f>
        <v>0</v>
      </c>
      <c r="S1428" s="173"/>
      <c r="T1428" s="898"/>
      <c r="U1428">
        <v>1</v>
      </c>
      <c r="W1428" s="929" t="s">
        <v>6917</v>
      </c>
      <c r="X1428" s="286"/>
      <c r="Y1428" s="758" t="str">
        <f t="shared" si="409"/>
        <v>PodHab_Ataquesmúltiplesaleatorios</v>
      </c>
      <c r="Z1428" s="1177" t="s">
        <v>7178</v>
      </c>
      <c r="AA1428" s="1183" t="s">
        <v>7179</v>
      </c>
      <c r="AB1428" s="1183" t="s">
        <v>7180</v>
      </c>
      <c r="AC1428" s="1183" t="s">
        <v>7152</v>
      </c>
      <c r="AD1428" s="1183" t="s">
        <v>7153</v>
      </c>
      <c r="AE1428" s="1183" t="s">
        <v>7154</v>
      </c>
      <c r="AF1428" s="1183" t="s">
        <v>7181</v>
      </c>
      <c r="AG1428" s="1181" t="s">
        <v>9968</v>
      </c>
      <c r="AH1428" s="1183" t="s">
        <v>9969</v>
      </c>
      <c r="AI1428" s="1183" t="s">
        <v>9970</v>
      </c>
      <c r="AJ1428" s="1181" t="s">
        <v>9975</v>
      </c>
      <c r="AK1428" s="1183" t="s">
        <v>9976</v>
      </c>
      <c r="AL1428" s="1183" t="s">
        <v>9977</v>
      </c>
      <c r="AM1428" s="1183"/>
      <c r="AN1428" s="1181"/>
      <c r="AO1428" s="1183"/>
      <c r="AP1428" s="1183"/>
      <c r="AQ1428" s="1183"/>
      <c r="AR1428" s="1183"/>
      <c r="AS1428" s="1183"/>
      <c r="AT1428" s="1183"/>
      <c r="AU1428" s="1180"/>
      <c r="AV1428" s="1180"/>
      <c r="AW1428" s="1180"/>
      <c r="AX1428" s="1180"/>
      <c r="AY1428" s="1181"/>
      <c r="AZ1428" s="1181"/>
      <c r="BA1428" s="1181"/>
      <c r="BB1428" s="1181"/>
      <c r="BC1428" s="1181"/>
      <c r="BD1428" s="1181"/>
      <c r="BE1428" s="1181"/>
      <c r="BF1428" s="1181"/>
      <c r="BG1428" s="1181"/>
      <c r="BH1428" s="1181"/>
      <c r="BI1428" s="1181"/>
      <c r="BJ1428" s="1181"/>
      <c r="BK1428" s="1181"/>
      <c r="BL1428" s="1181"/>
      <c r="BM1428" s="1181"/>
      <c r="BN1428" s="1181"/>
      <c r="BO1428" s="1181"/>
      <c r="BP1428" s="1181"/>
      <c r="BQ1428" s="1181"/>
      <c r="BR1428" s="1181"/>
      <c r="BS1428" s="1181"/>
      <c r="BT1428" s="1181"/>
      <c r="BU1428" s="1181"/>
      <c r="BV1428" s="1181"/>
      <c r="BW1428" s="1181"/>
      <c r="BX1428" s="1181"/>
      <c r="BY1428" s="1181"/>
      <c r="BZ1428" s="1181"/>
      <c r="CA1428" s="1181"/>
      <c r="CB1428" s="1182"/>
    </row>
    <row r="1429" spans="1:80" ht="12.75" customHeight="1">
      <c r="A1429" s="219">
        <v>1365</v>
      </c>
      <c r="B1429" s="7145"/>
      <c r="C1429" s="902"/>
      <c r="D1429" s="57"/>
      <c r="E1429" s="905" t="s">
        <v>7671</v>
      </c>
      <c r="F1429" s="75">
        <v>5</v>
      </c>
      <c r="G1429" s="75">
        <v>40</v>
      </c>
      <c r="H1429" s="75">
        <f>COUNTIF(HabilidadesEsenciales_Adquiridas,Tablas!E1429)</f>
        <v>0</v>
      </c>
      <c r="I1429" s="907">
        <v>1</v>
      </c>
      <c r="J1429" s="173"/>
      <c r="K1429" s="898"/>
      <c r="M1429" s="307"/>
      <c r="N1429" s="21"/>
      <c r="O1429" s="131" t="s">
        <v>7268</v>
      </c>
      <c r="P1429" s="900">
        <v>5</v>
      </c>
      <c r="Q1429" s="173">
        <v>-10</v>
      </c>
      <c r="R1429" s="907">
        <f>COUNTIF(PoderesDeCriatura_Adquiridos,Tablas!O1429)</f>
        <v>0</v>
      </c>
      <c r="S1429" s="173"/>
      <c r="T1429" s="898"/>
      <c r="U1429">
        <v>1</v>
      </c>
      <c r="W1429" s="929" t="s">
        <v>6918</v>
      </c>
      <c r="X1429" s="925"/>
      <c r="Y1429" s="758" t="str">
        <f t="shared" si="409"/>
        <v/>
      </c>
      <c r="Z1429" s="1177" t="s">
        <v>6506</v>
      </c>
      <c r="AA1429" s="1183"/>
      <c r="AB1429" s="1183"/>
      <c r="AC1429" s="1183"/>
      <c r="AD1429" s="1183"/>
      <c r="AE1429" s="1183"/>
      <c r="AF1429" s="1183"/>
      <c r="AG1429" s="1183"/>
      <c r="AH1429" s="1183"/>
      <c r="AI1429" s="1183"/>
      <c r="AJ1429" s="1183"/>
      <c r="AK1429" s="1183"/>
      <c r="AL1429" s="1179"/>
      <c r="AM1429" s="1179"/>
      <c r="AN1429" s="1179"/>
      <c r="AO1429" s="1179"/>
      <c r="AP1429" s="1179"/>
      <c r="AQ1429" s="1180"/>
      <c r="AR1429" s="1180"/>
      <c r="AS1429" s="1180"/>
      <c r="AT1429" s="1180"/>
      <c r="AU1429" s="1180"/>
      <c r="AV1429" s="1180"/>
      <c r="AW1429" s="1180"/>
      <c r="AX1429" s="1180"/>
      <c r="AY1429" s="1181"/>
      <c r="AZ1429" s="1181"/>
      <c r="BA1429" s="1181"/>
      <c r="BB1429" s="1181"/>
      <c r="BC1429" s="1181"/>
      <c r="BD1429" s="1181"/>
      <c r="BE1429" s="1181"/>
      <c r="BF1429" s="1181"/>
      <c r="BG1429" s="1181"/>
      <c r="BH1429" s="1181"/>
      <c r="BI1429" s="1181"/>
      <c r="BJ1429" s="1181"/>
      <c r="BK1429" s="1181"/>
      <c r="BL1429" s="1181"/>
      <c r="BM1429" s="1181"/>
      <c r="BN1429" s="1181"/>
      <c r="BO1429" s="1181"/>
      <c r="BP1429" s="1181"/>
      <c r="BQ1429" s="1181"/>
      <c r="BR1429" s="1181"/>
      <c r="BS1429" s="1181"/>
      <c r="BT1429" s="1181"/>
      <c r="BU1429" s="1181"/>
      <c r="BV1429" s="1181"/>
      <c r="BW1429" s="1181"/>
      <c r="BX1429" s="1181"/>
      <c r="BY1429" s="1181"/>
      <c r="BZ1429" s="1181"/>
      <c r="CA1429" s="1181"/>
      <c r="CB1429" s="1182"/>
    </row>
    <row r="1430" spans="1:80" ht="12.75" customHeight="1">
      <c r="A1430" s="219">
        <v>1366</v>
      </c>
      <c r="B1430" s="7145"/>
      <c r="C1430" s="902"/>
      <c r="D1430" s="57"/>
      <c r="E1430" s="905" t="s">
        <v>7672</v>
      </c>
      <c r="F1430" s="75">
        <v>15</v>
      </c>
      <c r="G1430" s="75">
        <v>60</v>
      </c>
      <c r="H1430" s="75">
        <f>COUNTIF(HabilidadesEsenciales_Adquiridas,Tablas!E1430)</f>
        <v>0</v>
      </c>
      <c r="I1430" s="907">
        <v>1</v>
      </c>
      <c r="J1430" s="173"/>
      <c r="K1430" s="898"/>
      <c r="M1430" s="307"/>
      <c r="N1430" s="21"/>
      <c r="O1430" s="131" t="s">
        <v>7269</v>
      </c>
      <c r="P1430" s="900">
        <v>5</v>
      </c>
      <c r="Q1430" s="173">
        <v>-20</v>
      </c>
      <c r="R1430" s="907">
        <f>COUNTIF(PoderesDeCriatura_Adquiridos,Tablas!O1430)</f>
        <v>0</v>
      </c>
      <c r="S1430" s="173"/>
      <c r="T1430" s="898"/>
      <c r="U1430">
        <v>1</v>
      </c>
      <c r="W1430" s="929" t="s">
        <v>6915</v>
      </c>
      <c r="X1430" s="925"/>
      <c r="Y1430" s="758" t="str">
        <f t="shared" si="409"/>
        <v/>
      </c>
      <c r="Z1430" s="1177"/>
      <c r="AA1430" s="1183"/>
      <c r="AB1430" s="1183"/>
      <c r="AC1430" s="1183"/>
      <c r="AD1430" s="1183"/>
      <c r="AE1430" s="1183"/>
      <c r="AF1430" s="1183"/>
      <c r="AG1430" s="1183"/>
      <c r="AH1430" s="1183"/>
      <c r="AI1430" s="1183"/>
      <c r="AJ1430" s="1183"/>
      <c r="AK1430" s="1183"/>
      <c r="AL1430" s="1179"/>
      <c r="AM1430" s="1179"/>
      <c r="AN1430" s="1179"/>
      <c r="AO1430" s="1179"/>
      <c r="AP1430" s="1179"/>
      <c r="AQ1430" s="1180"/>
      <c r="AR1430" s="1180"/>
      <c r="AS1430" s="1180"/>
      <c r="AT1430" s="1180"/>
      <c r="AU1430" s="1180"/>
      <c r="AV1430" s="1180"/>
      <c r="AW1430" s="1180"/>
      <c r="AX1430" s="1180"/>
      <c r="AY1430" s="1181"/>
      <c r="AZ1430" s="1181"/>
      <c r="BA1430" s="1181"/>
      <c r="BB1430" s="1181"/>
      <c r="BC1430" s="1181"/>
      <c r="BD1430" s="1181"/>
      <c r="BE1430" s="1181"/>
      <c r="BF1430" s="1181"/>
      <c r="BG1430" s="1181"/>
      <c r="BH1430" s="1181"/>
      <c r="BI1430" s="1181"/>
      <c r="BJ1430" s="1181"/>
      <c r="BK1430" s="1181"/>
      <c r="BL1430" s="1181"/>
      <c r="BM1430" s="1181"/>
      <c r="BN1430" s="1181"/>
      <c r="BO1430" s="1181"/>
      <c r="BP1430" s="1181"/>
      <c r="BQ1430" s="1181"/>
      <c r="BR1430" s="1181"/>
      <c r="BS1430" s="1181"/>
      <c r="BT1430" s="1181"/>
      <c r="BU1430" s="1181"/>
      <c r="BV1430" s="1181"/>
      <c r="BW1430" s="1181"/>
      <c r="BX1430" s="1181"/>
      <c r="BY1430" s="1181"/>
      <c r="BZ1430" s="1181"/>
      <c r="CA1430" s="1181"/>
      <c r="CB1430" s="1182"/>
    </row>
    <row r="1431" spans="1:80" ht="12.75" customHeight="1">
      <c r="A1431" s="219">
        <v>1367</v>
      </c>
      <c r="B1431" s="7145"/>
      <c r="C1431" s="902"/>
      <c r="D1431" s="57"/>
      <c r="E1431" s="905" t="s">
        <v>7673</v>
      </c>
      <c r="F1431" s="75">
        <v>20</v>
      </c>
      <c r="G1431" s="75">
        <v>120</v>
      </c>
      <c r="H1431" s="75">
        <f>COUNTIF(HabilidadesEsenciales_Adquiridas,Tablas!E1431)</f>
        <v>0</v>
      </c>
      <c r="I1431" s="907"/>
      <c r="J1431" s="173"/>
      <c r="K1431" s="898"/>
      <c r="M1431" s="307"/>
      <c r="N1431" s="21"/>
      <c r="O1431" s="131" t="s">
        <v>7270</v>
      </c>
      <c r="P1431" s="900">
        <v>5</v>
      </c>
      <c r="Q1431" s="173">
        <v>-30</v>
      </c>
      <c r="R1431" s="907">
        <f>COUNTIF(PoderesDeCriatura_Adquiridos,Tablas!O1431)</f>
        <v>0</v>
      </c>
      <c r="S1431" s="173"/>
      <c r="T1431" s="898"/>
      <c r="U1431">
        <v>1</v>
      </c>
      <c r="W1431" s="929" t="s">
        <v>2016</v>
      </c>
      <c r="X1431" s="286"/>
      <c r="Y1431" s="758" t="str">
        <f t="shared" si="409"/>
        <v>PodHab_Escudo</v>
      </c>
      <c r="Z1431" s="1177" t="s">
        <v>2018</v>
      </c>
      <c r="AA1431" s="1183" t="s">
        <v>2017</v>
      </c>
      <c r="AB1431" s="1183" t="s">
        <v>2015</v>
      </c>
      <c r="AC1431" s="1183" t="s">
        <v>7182</v>
      </c>
      <c r="AD1431" s="1183" t="s">
        <v>7183</v>
      </c>
      <c r="AE1431" s="1183" t="s">
        <v>7184</v>
      </c>
      <c r="AF1431" s="1183" t="s">
        <v>7185</v>
      </c>
      <c r="AG1431" s="1183" t="s">
        <v>7186</v>
      </c>
      <c r="AH1431" s="1183"/>
      <c r="AI1431" s="1183"/>
      <c r="AJ1431" s="1183"/>
      <c r="AK1431" s="1183"/>
      <c r="AL1431" s="1179"/>
      <c r="AM1431" s="1179"/>
      <c r="AN1431" s="1179"/>
      <c r="AO1431" s="1179"/>
      <c r="AP1431" s="1179"/>
      <c r="AQ1431" s="1180"/>
      <c r="AR1431" s="1180"/>
      <c r="AS1431" s="1180"/>
      <c r="AT1431" s="1180"/>
      <c r="AU1431" s="1180"/>
      <c r="AV1431" s="1180"/>
      <c r="AW1431" s="1180"/>
      <c r="AX1431" s="1180"/>
      <c r="AY1431" s="1181"/>
      <c r="AZ1431" s="1181"/>
      <c r="BA1431" s="1181"/>
      <c r="BB1431" s="1181"/>
      <c r="BC1431" s="1181"/>
      <c r="BD1431" s="1181"/>
      <c r="BE1431" s="1181"/>
      <c r="BF1431" s="1181"/>
      <c r="BG1431" s="1181"/>
      <c r="BH1431" s="1181"/>
      <c r="BI1431" s="1181"/>
      <c r="BJ1431" s="1181"/>
      <c r="BK1431" s="1181"/>
      <c r="BL1431" s="1181"/>
      <c r="BM1431" s="1181"/>
      <c r="BN1431" s="1181"/>
      <c r="BO1431" s="1181"/>
      <c r="BP1431" s="1181"/>
      <c r="BQ1431" s="1181"/>
      <c r="BR1431" s="1181"/>
      <c r="BS1431" s="1181"/>
      <c r="BT1431" s="1181"/>
      <c r="BU1431" s="1181"/>
      <c r="BV1431" s="1181"/>
      <c r="BW1431" s="1181"/>
      <c r="BX1431" s="1181"/>
      <c r="BY1431" s="1181"/>
      <c r="BZ1431" s="1181"/>
      <c r="CA1431" s="1181"/>
      <c r="CB1431" s="1182"/>
    </row>
    <row r="1432" spans="1:80" ht="12.75" customHeight="1">
      <c r="A1432" s="219">
        <v>1368</v>
      </c>
      <c r="B1432" s="7145"/>
      <c r="C1432" s="902"/>
      <c r="D1432" s="57"/>
      <c r="E1432" s="905" t="s">
        <v>7674</v>
      </c>
      <c r="F1432" s="75">
        <v>25</v>
      </c>
      <c r="G1432" s="75">
        <v>180</v>
      </c>
      <c r="H1432" s="75">
        <f>COUNTIF(HabilidadesEsenciales_Adquiridas,Tablas!E1432)</f>
        <v>0</v>
      </c>
      <c r="I1432" s="907"/>
      <c r="J1432" s="173"/>
      <c r="K1432" s="898"/>
      <c r="M1432" s="307"/>
      <c r="N1432" s="21"/>
      <c r="O1432" s="131" t="s">
        <v>7271</v>
      </c>
      <c r="P1432" s="900">
        <v>5</v>
      </c>
      <c r="Q1432" s="173">
        <v>-40</v>
      </c>
      <c r="R1432" s="907">
        <f>COUNTIF(PoderesDeCriatura_Adquiridos,Tablas!O1432)</f>
        <v>0</v>
      </c>
      <c r="S1432" s="173"/>
      <c r="T1432" s="898"/>
      <c r="U1432">
        <v>1</v>
      </c>
      <c r="W1432" s="929" t="s">
        <v>6920</v>
      </c>
      <c r="X1432" s="925"/>
      <c r="Y1432" s="758" t="str">
        <f t="shared" si="409"/>
        <v/>
      </c>
      <c r="Z1432" s="1177"/>
      <c r="AA1432" s="1183"/>
      <c r="AB1432" s="1183"/>
      <c r="AC1432" s="1183"/>
      <c r="AD1432" s="1183"/>
      <c r="AE1432" s="1183"/>
      <c r="AF1432" s="1183"/>
      <c r="AG1432" s="1183"/>
      <c r="AH1432" s="1183"/>
      <c r="AI1432" s="1183"/>
      <c r="AJ1432" s="1183" t="s">
        <v>6506</v>
      </c>
      <c r="AK1432" s="1183" t="s">
        <v>6506</v>
      </c>
      <c r="AL1432" s="1179"/>
      <c r="AM1432" s="1179"/>
      <c r="AN1432" s="1179"/>
      <c r="AO1432" s="1179"/>
      <c r="AP1432" s="1179"/>
      <c r="AQ1432" s="1180"/>
      <c r="AR1432" s="1180"/>
      <c r="AS1432" s="1180"/>
      <c r="AT1432" s="1180"/>
      <c r="AU1432" s="1180"/>
      <c r="AV1432" s="1180"/>
      <c r="AW1432" s="1180"/>
      <c r="AX1432" s="1180"/>
      <c r="AY1432" s="1181"/>
      <c r="AZ1432" s="1181"/>
      <c r="BA1432" s="1181"/>
      <c r="BB1432" s="1181"/>
      <c r="BC1432" s="1181"/>
      <c r="BD1432" s="1181"/>
      <c r="BE1432" s="1181"/>
      <c r="BF1432" s="1181"/>
      <c r="BG1432" s="1181"/>
      <c r="BH1432" s="1181"/>
      <c r="BI1432" s="1181"/>
      <c r="BJ1432" s="1181"/>
      <c r="BK1432" s="1181"/>
      <c r="BL1432" s="1181"/>
      <c r="BM1432" s="1181"/>
      <c r="BN1432" s="1181"/>
      <c r="BO1432" s="1181"/>
      <c r="BP1432" s="1181"/>
      <c r="BQ1432" s="1181"/>
      <c r="BR1432" s="1181"/>
      <c r="BS1432" s="1181"/>
      <c r="BT1432" s="1181"/>
      <c r="BU1432" s="1181"/>
      <c r="BV1432" s="1181"/>
      <c r="BW1432" s="1181"/>
      <c r="BX1432" s="1181"/>
      <c r="BY1432" s="1181"/>
      <c r="BZ1432" s="1181"/>
      <c r="CA1432" s="1181"/>
      <c r="CB1432" s="1182"/>
    </row>
    <row r="1433" spans="1:80" ht="12.75" customHeight="1">
      <c r="A1433" s="219">
        <v>1369</v>
      </c>
      <c r="B1433" s="7145"/>
      <c r="C1433" s="902"/>
      <c r="D1433" s="57"/>
      <c r="E1433" s="905" t="s">
        <v>2130</v>
      </c>
      <c r="F1433" s="75">
        <v>0</v>
      </c>
      <c r="G1433" s="75">
        <v>10</v>
      </c>
      <c r="H1433" s="75">
        <f>COUNTIF(HabilidadesEsenciales_Adquiridas,Tablas!E1433)</f>
        <v>0</v>
      </c>
      <c r="I1433" s="907">
        <v>1</v>
      </c>
      <c r="J1433" s="173"/>
      <c r="K1433" s="898"/>
      <c r="M1433" s="307"/>
      <c r="N1433" s="21"/>
      <c r="O1433" s="131" t="s">
        <v>7272</v>
      </c>
      <c r="P1433" s="895">
        <v>5</v>
      </c>
      <c r="Q1433" s="84">
        <v>-50</v>
      </c>
      <c r="R1433" s="907">
        <f>COUNTIF(PoderesDeCriatura_Adquiridos,Tablas!O1433)</f>
        <v>0</v>
      </c>
      <c r="S1433" s="173"/>
      <c r="T1433" s="898"/>
      <c r="U1433">
        <v>1</v>
      </c>
      <c r="W1433" s="929" t="s">
        <v>6914</v>
      </c>
      <c r="X1433" s="925" t="str">
        <f>MID(INDEX(Lista_PoderesCriatura,MATCH($W1428&amp;"*",Lista_PoderesCriatura,0)-1+Tablas!N$1),LEN($W1428)+3,200)</f>
        <v/>
      </c>
      <c r="Y1433" s="758" t="str">
        <f t="shared" ref="Y1433:Y1452" si="410">IF(Z1433="","",SUBSTITUTE("PodHab_"&amp;W1433," ",""))</f>
        <v/>
      </c>
      <c r="Z1433" s="1177" t="s">
        <v>6506</v>
      </c>
      <c r="AA1433" s="1183" t="s">
        <v>6506</v>
      </c>
      <c r="AB1433" s="1183"/>
      <c r="AC1433" s="1183"/>
      <c r="AD1433" s="1183"/>
      <c r="AE1433" s="1183"/>
      <c r="AF1433" s="1183"/>
      <c r="AG1433" s="1183"/>
      <c r="AH1433" s="1183"/>
      <c r="AI1433" s="1183"/>
      <c r="AJ1433" s="1183"/>
      <c r="AK1433" s="1183"/>
      <c r="AL1433" s="1179"/>
      <c r="AM1433" s="1179"/>
      <c r="AN1433" s="1179"/>
      <c r="AO1433" s="1179"/>
      <c r="AP1433" s="1179"/>
      <c r="AQ1433" s="1180"/>
      <c r="AR1433" s="1180"/>
      <c r="AS1433" s="1180"/>
      <c r="AT1433" s="1180"/>
      <c r="AU1433" s="1180"/>
      <c r="AV1433" s="1180"/>
      <c r="AW1433" s="1180"/>
      <c r="AX1433" s="1180"/>
      <c r="AY1433" s="1181"/>
      <c r="AZ1433" s="1181"/>
      <c r="BA1433" s="1181"/>
      <c r="BB1433" s="1181"/>
      <c r="BC1433" s="1181"/>
      <c r="BD1433" s="1181"/>
      <c r="BE1433" s="1181"/>
      <c r="BF1433" s="1181"/>
      <c r="BG1433" s="1181"/>
      <c r="BH1433" s="1181"/>
      <c r="BI1433" s="1181"/>
      <c r="BJ1433" s="1181"/>
      <c r="BK1433" s="1181"/>
      <c r="BL1433" s="1181"/>
      <c r="BM1433" s="1181"/>
      <c r="BN1433" s="1181"/>
      <c r="BO1433" s="1181"/>
      <c r="BP1433" s="1181"/>
      <c r="BQ1433" s="1181"/>
      <c r="BR1433" s="1181"/>
      <c r="BS1433" s="1181"/>
      <c r="BT1433" s="1181"/>
      <c r="BU1433" s="1181"/>
      <c r="BV1433" s="1181"/>
      <c r="BW1433" s="1181"/>
      <c r="BX1433" s="1181"/>
      <c r="BY1433" s="1181"/>
      <c r="BZ1433" s="1181"/>
      <c r="CA1433" s="1181"/>
      <c r="CB1433" s="1182"/>
    </row>
    <row r="1434" spans="1:80" ht="12.75" customHeight="1">
      <c r="A1434" s="219">
        <v>1370</v>
      </c>
      <c r="B1434" s="7145"/>
      <c r="C1434" s="902"/>
      <c r="D1434" s="57"/>
      <c r="E1434" s="905" t="s">
        <v>2131</v>
      </c>
      <c r="F1434" s="75">
        <v>0</v>
      </c>
      <c r="G1434" s="75">
        <v>10</v>
      </c>
      <c r="H1434" s="75">
        <f>COUNTIF(HabilidadesEsenciales_Adquiridas,Tablas!E1434)</f>
        <v>0</v>
      </c>
      <c r="I1434" s="907">
        <v>1</v>
      </c>
      <c r="J1434" s="173">
        <f t="array" ref="J1434">MAX({1;2;3;4;5}*H1433:H1437)+MIN({-1;-2;-3;-4;-5}*H1438:H1442)</f>
        <v>0</v>
      </c>
      <c r="K1434" s="898" t="s">
        <v>1755</v>
      </c>
      <c r="M1434" s="307"/>
      <c r="N1434" s="21"/>
      <c r="O1434" s="1" t="s">
        <v>7273</v>
      </c>
      <c r="P1434" s="900">
        <v>0</v>
      </c>
      <c r="Q1434" s="173">
        <v>10</v>
      </c>
      <c r="R1434" s="907">
        <f>COUNTIF(PoderesDeCriatura_Adquiridos,Tablas!O1434)</f>
        <v>0</v>
      </c>
      <c r="S1434" s="173"/>
      <c r="T1434" s="898"/>
      <c r="W1434" s="929" t="s">
        <v>6680</v>
      </c>
      <c r="X1434" s="286"/>
      <c r="Y1434" s="758" t="str">
        <f t="shared" si="410"/>
        <v>PodHab_Imparable</v>
      </c>
      <c r="Z1434" s="1177" t="s">
        <v>7187</v>
      </c>
      <c r="AA1434" s="1183" t="s">
        <v>7188</v>
      </c>
      <c r="AB1434" s="1183" t="s">
        <v>7189</v>
      </c>
      <c r="AC1434" s="1183"/>
      <c r="AD1434" s="1183"/>
      <c r="AE1434" s="1183"/>
      <c r="AF1434" s="1183"/>
      <c r="AG1434" s="1183"/>
      <c r="AH1434" s="1183"/>
      <c r="AI1434" s="1183"/>
      <c r="AJ1434" s="1183"/>
      <c r="AK1434" s="1183"/>
      <c r="AL1434" s="1179"/>
      <c r="AM1434" s="1179"/>
      <c r="AN1434" s="1179"/>
      <c r="AO1434" s="1179"/>
      <c r="AP1434" s="1179"/>
      <c r="AQ1434" s="1180"/>
      <c r="AR1434" s="1180"/>
      <c r="AS1434" s="1180"/>
      <c r="AT1434" s="1180"/>
      <c r="AU1434" s="1180"/>
      <c r="AV1434" s="1180"/>
      <c r="AW1434" s="1180"/>
      <c r="AX1434" s="1180"/>
      <c r="AY1434" s="1181"/>
      <c r="AZ1434" s="1181"/>
      <c r="BA1434" s="1181"/>
      <c r="BB1434" s="1181"/>
      <c r="BC1434" s="1181"/>
      <c r="BD1434" s="1181"/>
      <c r="BE1434" s="1181"/>
      <c r="BF1434" s="1181"/>
      <c r="BG1434" s="1181"/>
      <c r="BH1434" s="1181"/>
      <c r="BI1434" s="1181"/>
      <c r="BJ1434" s="1181"/>
      <c r="BK1434" s="1181"/>
      <c r="BL1434" s="1181"/>
      <c r="BM1434" s="1181"/>
      <c r="BN1434" s="1181"/>
      <c r="BO1434" s="1181"/>
      <c r="BP1434" s="1181"/>
      <c r="BQ1434" s="1181"/>
      <c r="BR1434" s="1181"/>
      <c r="BS1434" s="1181"/>
      <c r="BT1434" s="1181"/>
      <c r="BU1434" s="1181"/>
      <c r="BV1434" s="1181"/>
      <c r="BW1434" s="1181"/>
      <c r="BX1434" s="1181"/>
      <c r="BY1434" s="1181"/>
      <c r="BZ1434" s="1181"/>
      <c r="CA1434" s="1181"/>
      <c r="CB1434" s="1182"/>
    </row>
    <row r="1435" spans="1:80" ht="12.75" customHeight="1">
      <c r="A1435" s="219">
        <v>1371</v>
      </c>
      <c r="B1435" s="7145"/>
      <c r="C1435" s="902"/>
      <c r="D1435" s="57"/>
      <c r="E1435" s="905" t="s">
        <v>2132</v>
      </c>
      <c r="F1435" s="75">
        <v>0</v>
      </c>
      <c r="G1435" s="75">
        <v>10</v>
      </c>
      <c r="H1435" s="75">
        <f>COUNTIF(HabilidadesEsenciales_Adquiridas,Tablas!E1435)</f>
        <v>0</v>
      </c>
      <c r="I1435" s="907">
        <v>1</v>
      </c>
      <c r="J1435" s="173"/>
      <c r="K1435" s="898"/>
      <c r="M1435" s="307"/>
      <c r="N1435" s="21"/>
      <c r="O1435" s="1" t="s">
        <v>7274</v>
      </c>
      <c r="P1435" s="900">
        <v>0</v>
      </c>
      <c r="Q1435" s="173">
        <v>20</v>
      </c>
      <c r="R1435" s="907">
        <f>COUNTIF(PoderesDeCriatura_Adquiridos,Tablas!O1435)</f>
        <v>0</v>
      </c>
      <c r="S1435" s="173"/>
      <c r="T1435" s="898"/>
      <c r="W1435" s="929" t="s">
        <v>6919</v>
      </c>
      <c r="X1435" s="286"/>
      <c r="Y1435" s="758" t="str">
        <f t="shared" si="410"/>
        <v>PodHab_Reduccióndedaño</v>
      </c>
      <c r="Z1435" s="1177" t="s">
        <v>7190</v>
      </c>
      <c r="AA1435" s="1183" t="s">
        <v>7191</v>
      </c>
      <c r="AB1435" s="1183" t="s">
        <v>7192</v>
      </c>
      <c r="AC1435" s="1183" t="s">
        <v>7193</v>
      </c>
      <c r="AD1435" s="1183" t="s">
        <v>7194</v>
      </c>
      <c r="AE1435" s="1183" t="s">
        <v>7195</v>
      </c>
      <c r="AF1435" s="1183"/>
      <c r="AG1435" s="1183"/>
      <c r="AH1435" s="1183"/>
      <c r="AI1435" s="1183"/>
      <c r="AJ1435" s="1183"/>
      <c r="AK1435" s="1183"/>
      <c r="AL1435" s="1179"/>
      <c r="AM1435" s="1179"/>
      <c r="AN1435" s="1179"/>
      <c r="AO1435" s="1179"/>
      <c r="AP1435" s="1179"/>
      <c r="AQ1435" s="1180"/>
      <c r="AR1435" s="1180"/>
      <c r="AS1435" s="1180"/>
      <c r="AT1435" s="1180"/>
      <c r="AU1435" s="1180"/>
      <c r="AV1435" s="1180"/>
      <c r="AW1435" s="1180"/>
      <c r="AX1435" s="1180"/>
      <c r="AY1435" s="1181"/>
      <c r="AZ1435" s="1181"/>
      <c r="BA1435" s="1181"/>
      <c r="BB1435" s="1181"/>
      <c r="BC1435" s="1181"/>
      <c r="BD1435" s="1181"/>
      <c r="BE1435" s="1181"/>
      <c r="BF1435" s="1181"/>
      <c r="BG1435" s="1181"/>
      <c r="BH1435" s="1181"/>
      <c r="BI1435" s="1181"/>
      <c r="BJ1435" s="1181"/>
      <c r="BK1435" s="1181"/>
      <c r="BL1435" s="1181"/>
      <c r="BM1435" s="1181"/>
      <c r="BN1435" s="1181"/>
      <c r="BO1435" s="1181"/>
      <c r="BP1435" s="1181"/>
      <c r="BQ1435" s="1181"/>
      <c r="BR1435" s="1181"/>
      <c r="BS1435" s="1181"/>
      <c r="BT1435" s="1181"/>
      <c r="BU1435" s="1181"/>
      <c r="BV1435" s="1181"/>
      <c r="BW1435" s="1181"/>
      <c r="BX1435" s="1181"/>
      <c r="BY1435" s="1181"/>
      <c r="BZ1435" s="1181"/>
      <c r="CA1435" s="1181"/>
      <c r="CB1435" s="1182"/>
    </row>
    <row r="1436" spans="1:80" ht="12.75" customHeight="1">
      <c r="A1436" s="219">
        <v>1372</v>
      </c>
      <c r="B1436" s="7145"/>
      <c r="C1436" s="902"/>
      <c r="D1436" s="57"/>
      <c r="E1436" s="905" t="s">
        <v>2133</v>
      </c>
      <c r="F1436" s="75">
        <v>0</v>
      </c>
      <c r="G1436" s="75">
        <v>10</v>
      </c>
      <c r="H1436" s="75">
        <f>COUNTIF(HabilidadesEsenciales_Adquiridas,Tablas!E1436)</f>
        <v>0</v>
      </c>
      <c r="I1436" s="907">
        <v>1</v>
      </c>
      <c r="J1436" s="173"/>
      <c r="K1436" s="898"/>
      <c r="M1436" s="307"/>
      <c r="N1436" s="21"/>
      <c r="O1436" s="1" t="s">
        <v>7275</v>
      </c>
      <c r="P1436" s="900">
        <v>0</v>
      </c>
      <c r="Q1436" s="173">
        <v>30</v>
      </c>
      <c r="R1436" s="907">
        <f>COUNTIF(PoderesDeCriatura_Adquiridos,Tablas!O1436)</f>
        <v>0</v>
      </c>
      <c r="S1436" s="173"/>
      <c r="T1436" s="898"/>
      <c r="W1436" s="929" t="s">
        <v>6933</v>
      </c>
      <c r="X1436" s="286"/>
      <c r="Y1436" s="758" t="str">
        <f t="shared" si="410"/>
        <v>PodHab_Reflejarataques</v>
      </c>
      <c r="Z1436" s="1177" t="s">
        <v>979</v>
      </c>
      <c r="AA1436" s="1183" t="s">
        <v>7196</v>
      </c>
      <c r="AB1436" s="1183" t="s">
        <v>7197</v>
      </c>
      <c r="AC1436" s="1183" t="s">
        <v>7198</v>
      </c>
      <c r="AD1436" s="1183"/>
      <c r="AE1436" s="1183"/>
      <c r="AF1436" s="1183"/>
      <c r="AG1436" s="1183"/>
      <c r="AH1436" s="1183"/>
      <c r="AI1436" s="1183"/>
      <c r="AJ1436" s="1183"/>
      <c r="AK1436" s="1183"/>
      <c r="AL1436" s="1179"/>
      <c r="AM1436" s="1179"/>
      <c r="AN1436" s="1179"/>
      <c r="AO1436" s="1179"/>
      <c r="AP1436" s="1179"/>
      <c r="AQ1436" s="1180"/>
      <c r="AR1436" s="1180"/>
      <c r="AS1436" s="1180"/>
      <c r="AT1436" s="1180"/>
      <c r="AU1436" s="1180"/>
      <c r="AV1436" s="1180"/>
      <c r="AW1436" s="1180"/>
      <c r="AX1436" s="1180"/>
      <c r="AY1436" s="1181"/>
      <c r="AZ1436" s="1181"/>
      <c r="BA1436" s="1181"/>
      <c r="BB1436" s="1181"/>
      <c r="BC1436" s="1181"/>
      <c r="BD1436" s="1181"/>
      <c r="BE1436" s="1181"/>
      <c r="BF1436" s="1181"/>
      <c r="BG1436" s="1181"/>
      <c r="BH1436" s="1181"/>
      <c r="BI1436" s="1181"/>
      <c r="BJ1436" s="1181"/>
      <c r="BK1436" s="1181"/>
      <c r="BL1436" s="1181"/>
      <c r="BM1436" s="1181"/>
      <c r="BN1436" s="1181"/>
      <c r="BO1436" s="1181"/>
      <c r="BP1436" s="1181"/>
      <c r="BQ1436" s="1181"/>
      <c r="BR1436" s="1181"/>
      <c r="BS1436" s="1181"/>
      <c r="BT1436" s="1181"/>
      <c r="BU1436" s="1181"/>
      <c r="BV1436" s="1181"/>
      <c r="BW1436" s="1181"/>
      <c r="BX1436" s="1181"/>
      <c r="BY1436" s="1181"/>
      <c r="BZ1436" s="1181"/>
      <c r="CA1436" s="1181"/>
      <c r="CB1436" s="1182"/>
    </row>
    <row r="1437" spans="1:80" ht="12.75" customHeight="1">
      <c r="A1437" s="219">
        <v>1373</v>
      </c>
      <c r="B1437" s="7145"/>
      <c r="C1437" s="902"/>
      <c r="D1437" s="57"/>
      <c r="E1437" s="905" t="s">
        <v>2134</v>
      </c>
      <c r="F1437" s="75">
        <v>0</v>
      </c>
      <c r="G1437" s="75">
        <v>10</v>
      </c>
      <c r="H1437" s="75">
        <f>COUNTIF(HabilidadesEsenciales_Adquiridas,Tablas!E1437)</f>
        <v>0</v>
      </c>
      <c r="I1437" s="907">
        <v>1</v>
      </c>
      <c r="J1437" s="173"/>
      <c r="K1437" s="898"/>
      <c r="M1437" s="307"/>
      <c r="N1437" s="21"/>
      <c r="O1437" s="1" t="s">
        <v>7276</v>
      </c>
      <c r="P1437" s="900">
        <v>0</v>
      </c>
      <c r="Q1437" s="173">
        <v>40</v>
      </c>
      <c r="R1437" s="907">
        <f>COUNTIF(PoderesDeCriatura_Adquiridos,Tablas!O1437)</f>
        <v>0</v>
      </c>
      <c r="S1437" s="173"/>
      <c r="T1437" s="898"/>
      <c r="U1437">
        <v>2</v>
      </c>
      <c r="W1437" s="929" t="s">
        <v>1429</v>
      </c>
      <c r="X1437" s="286"/>
      <c r="Y1437" s="758" t="str">
        <f t="shared" si="410"/>
        <v>PodHab_Rotura</v>
      </c>
      <c r="Z1437" s="1177" t="s">
        <v>6459</v>
      </c>
      <c r="AA1437" s="1183" t="s">
        <v>7056</v>
      </c>
      <c r="AB1437" s="1183" t="s">
        <v>7199</v>
      </c>
      <c r="AC1437" s="1183" t="s">
        <v>2537</v>
      </c>
      <c r="AD1437" s="1183" t="s">
        <v>7200</v>
      </c>
      <c r="AE1437" s="1183"/>
      <c r="AF1437" s="1183"/>
      <c r="AG1437" s="1183"/>
      <c r="AH1437" s="1183"/>
      <c r="AI1437" s="1183"/>
      <c r="AJ1437" s="1183"/>
      <c r="AK1437" s="1183"/>
      <c r="AL1437" s="1183"/>
      <c r="AM1437" s="1183"/>
      <c r="AN1437" s="1183"/>
      <c r="AO1437" s="1183"/>
      <c r="AP1437" s="1183"/>
      <c r="AQ1437" s="1181"/>
      <c r="AR1437" s="1181"/>
      <c r="AS1437" s="1181"/>
      <c r="AT1437" s="1181"/>
      <c r="AU1437" s="1181"/>
      <c r="AV1437" s="1181"/>
      <c r="AW1437" s="1181"/>
      <c r="AX1437" s="1181"/>
      <c r="AY1437" s="1181"/>
      <c r="AZ1437" s="1181"/>
      <c r="BA1437" s="1181"/>
      <c r="BB1437" s="1181"/>
      <c r="BC1437" s="1181"/>
      <c r="BD1437" s="1181"/>
      <c r="BE1437" s="1181"/>
      <c r="BF1437" s="1181"/>
      <c r="BG1437" s="1181"/>
      <c r="BH1437" s="1181"/>
      <c r="BI1437" s="1181"/>
      <c r="BJ1437" s="1181"/>
      <c r="BK1437" s="1181"/>
      <c r="BL1437" s="1181"/>
      <c r="BM1437" s="1181"/>
      <c r="BN1437" s="1181"/>
      <c r="BO1437" s="1181"/>
      <c r="BP1437" s="1181"/>
      <c r="BQ1437" s="1181"/>
      <c r="BR1437" s="1181"/>
      <c r="BS1437" s="1181"/>
      <c r="BT1437" s="1181"/>
      <c r="BU1437" s="1181"/>
      <c r="BV1437" s="1181"/>
      <c r="BW1437" s="1181"/>
      <c r="BX1437" s="1181"/>
      <c r="BY1437" s="1181"/>
      <c r="BZ1437" s="1181"/>
      <c r="CA1437" s="1181"/>
      <c r="CB1437" s="1182"/>
    </row>
    <row r="1438" spans="1:80" ht="12.75" customHeight="1">
      <c r="A1438" s="219">
        <v>1374</v>
      </c>
      <c r="B1438" s="7145"/>
      <c r="C1438" s="902"/>
      <c r="D1438" s="57"/>
      <c r="E1438" s="905" t="s">
        <v>2135</v>
      </c>
      <c r="F1438" s="75">
        <v>0</v>
      </c>
      <c r="G1438" s="75">
        <v>10</v>
      </c>
      <c r="H1438" s="75">
        <f>COUNTIF(HabilidadesEsenciales_Adquiridas,Tablas!E1438)</f>
        <v>0</v>
      </c>
      <c r="I1438" s="907">
        <v>1</v>
      </c>
      <c r="J1438" s="173"/>
      <c r="K1438" s="898"/>
      <c r="M1438" s="307"/>
      <c r="N1438" s="21"/>
      <c r="O1438" s="1" t="s">
        <v>7277</v>
      </c>
      <c r="P1438" s="900">
        <v>0</v>
      </c>
      <c r="Q1438" s="173">
        <v>50</v>
      </c>
      <c r="R1438" s="907">
        <f>COUNTIF(PoderesDeCriatura_Adquiridos,Tablas!O1438)</f>
        <v>0</v>
      </c>
      <c r="S1438" s="173"/>
      <c r="T1438" s="898"/>
      <c r="U1438">
        <v>2</v>
      </c>
      <c r="W1438" s="929" t="s">
        <v>18</v>
      </c>
      <c r="X1438" s="699"/>
      <c r="Y1438" s="758" t="str">
        <f t="shared" si="410"/>
        <v/>
      </c>
      <c r="Z1438" s="1177"/>
      <c r="AA1438" s="1183"/>
      <c r="AB1438" s="1183"/>
      <c r="AC1438" s="1183"/>
      <c r="AD1438" s="1183"/>
      <c r="AE1438" s="1183"/>
      <c r="AF1438" s="1183"/>
      <c r="AG1438" s="1183"/>
      <c r="AH1438" s="1183"/>
      <c r="AI1438" s="1183"/>
      <c r="AJ1438" s="1183"/>
      <c r="AK1438" s="1183"/>
      <c r="AL1438" s="1183"/>
      <c r="AM1438" s="1183"/>
      <c r="AN1438" s="1183"/>
      <c r="AO1438" s="1183"/>
      <c r="AP1438" s="1183"/>
      <c r="AQ1438" s="1181"/>
      <c r="AR1438" s="1181"/>
      <c r="AS1438" s="1181"/>
      <c r="AT1438" s="1181"/>
      <c r="AU1438" s="1181"/>
      <c r="AV1438" s="1181"/>
      <c r="AW1438" s="1181"/>
      <c r="AX1438" s="1181"/>
      <c r="AY1438" s="1181"/>
      <c r="AZ1438" s="1181"/>
      <c r="BA1438" s="1181"/>
      <c r="BB1438" s="1181"/>
      <c r="BC1438" s="1181"/>
      <c r="BD1438" s="1181"/>
      <c r="BE1438" s="1181"/>
      <c r="BF1438" s="1181"/>
      <c r="BG1438" s="1181"/>
      <c r="BH1438" s="1181"/>
      <c r="BI1438" s="1181"/>
      <c r="BJ1438" s="1181"/>
      <c r="BK1438" s="1181"/>
      <c r="BL1438" s="1181"/>
      <c r="BM1438" s="1181"/>
      <c r="BN1438" s="1181"/>
      <c r="BO1438" s="1181"/>
      <c r="BP1438" s="1181"/>
      <c r="BQ1438" s="1181"/>
      <c r="BR1438" s="1181"/>
      <c r="BS1438" s="1181"/>
      <c r="BT1438" s="1181"/>
      <c r="BU1438" s="1181"/>
      <c r="BV1438" s="1181"/>
      <c r="BW1438" s="1181"/>
      <c r="BX1438" s="1181"/>
      <c r="BY1438" s="1181"/>
      <c r="BZ1438" s="1181"/>
      <c r="CA1438" s="1181"/>
      <c r="CB1438" s="1182"/>
    </row>
    <row r="1439" spans="1:80" ht="12.75" customHeight="1">
      <c r="A1439" s="219">
        <v>1375</v>
      </c>
      <c r="B1439" s="7145"/>
      <c r="C1439" s="902"/>
      <c r="D1439" s="57"/>
      <c r="E1439" s="905" t="s">
        <v>2136</v>
      </c>
      <c r="F1439" s="75">
        <v>0</v>
      </c>
      <c r="G1439" s="75">
        <v>10</v>
      </c>
      <c r="H1439" s="75">
        <f>COUNTIF(HabilidadesEsenciales_Adquiridas,Tablas!E1439)</f>
        <v>0</v>
      </c>
      <c r="I1439" s="907">
        <v>1</v>
      </c>
      <c r="J1439" s="173"/>
      <c r="K1439" s="898"/>
      <c r="M1439" s="307"/>
      <c r="N1439" s="21"/>
      <c r="O1439" s="1" t="s">
        <v>7278</v>
      </c>
      <c r="P1439" s="900">
        <v>0</v>
      </c>
      <c r="Q1439" s="173">
        <v>60</v>
      </c>
      <c r="R1439" s="907">
        <f>COUNTIF(PoderesDeCriatura_Adquiridos,Tablas!O1439)</f>
        <v>0</v>
      </c>
      <c r="S1439" s="173"/>
      <c r="T1439" s="898"/>
      <c r="U1439">
        <v>2</v>
      </c>
      <c r="W1439" s="929" t="s">
        <v>6935</v>
      </c>
      <c r="X1439" s="286"/>
      <c r="Y1439" s="758" t="str">
        <f t="shared" si="410"/>
        <v>PodHab_Efectopermanente</v>
      </c>
      <c r="Z1439" s="1177" t="s">
        <v>7201</v>
      </c>
      <c r="AA1439" s="1183" t="s">
        <v>7202</v>
      </c>
      <c r="AB1439" s="1183"/>
      <c r="AC1439" s="1179"/>
      <c r="AD1439" s="1183"/>
      <c r="AE1439" s="1183"/>
      <c r="AF1439" s="1183"/>
      <c r="AG1439" s="1183"/>
      <c r="AH1439" s="1183"/>
      <c r="AI1439" s="1183"/>
      <c r="AJ1439" s="1183"/>
      <c r="AK1439" s="1183"/>
      <c r="AL1439" s="1183"/>
      <c r="AM1439" s="1183"/>
      <c r="AN1439" s="1183"/>
      <c r="AO1439" s="1183"/>
      <c r="AP1439" s="1183"/>
      <c r="AQ1439" s="1181"/>
      <c r="AR1439" s="1181"/>
      <c r="AS1439" s="1181"/>
      <c r="AT1439" s="1181"/>
      <c r="AU1439" s="1181"/>
      <c r="AV1439" s="1181"/>
      <c r="AW1439" s="1181"/>
      <c r="AX1439" s="1181"/>
      <c r="AY1439" s="1181"/>
      <c r="AZ1439" s="1181"/>
      <c r="BA1439" s="1181"/>
      <c r="BB1439" s="1181"/>
      <c r="BC1439" s="1181"/>
      <c r="BD1439" s="1181"/>
      <c r="BE1439" s="1181"/>
      <c r="BF1439" s="1181"/>
      <c r="BG1439" s="1181"/>
      <c r="BH1439" s="1181"/>
      <c r="BI1439" s="1181"/>
      <c r="BJ1439" s="1181"/>
      <c r="BK1439" s="1181"/>
      <c r="BL1439" s="1181"/>
      <c r="BM1439" s="1181"/>
      <c r="BN1439" s="1181"/>
      <c r="BO1439" s="1181"/>
      <c r="BP1439" s="1181"/>
      <c r="BQ1439" s="1181"/>
      <c r="BR1439" s="1181"/>
      <c r="BS1439" s="1181"/>
      <c r="BT1439" s="1181"/>
      <c r="BU1439" s="1181"/>
      <c r="BV1439" s="1181"/>
      <c r="BW1439" s="1181"/>
      <c r="BX1439" s="1181"/>
      <c r="BY1439" s="1181"/>
      <c r="BZ1439" s="1181"/>
      <c r="CA1439" s="1181"/>
      <c r="CB1439" s="1182"/>
    </row>
    <row r="1440" spans="1:80" ht="12.75" customHeight="1">
      <c r="A1440" s="219">
        <v>1376</v>
      </c>
      <c r="B1440" s="7145"/>
      <c r="C1440" s="902"/>
      <c r="D1440" s="57"/>
      <c r="E1440" s="905" t="s">
        <v>2137</v>
      </c>
      <c r="F1440" s="75">
        <v>0</v>
      </c>
      <c r="G1440" s="75">
        <v>10</v>
      </c>
      <c r="H1440" s="75">
        <f>COUNTIF(HabilidadesEsenciales_Adquiridas,Tablas!E1440)</f>
        <v>0</v>
      </c>
      <c r="I1440" s="907">
        <v>1</v>
      </c>
      <c r="J1440" s="173"/>
      <c r="K1440" s="898"/>
      <c r="M1440" s="307"/>
      <c r="N1440" s="21"/>
      <c r="O1440" s="1" t="s">
        <v>7279</v>
      </c>
      <c r="P1440" s="900">
        <v>0</v>
      </c>
      <c r="Q1440" s="173">
        <v>80</v>
      </c>
      <c r="R1440" s="907">
        <f>COUNTIF(PoderesDeCriatura_Adquiridos,Tablas!O1440)</f>
        <v>0</v>
      </c>
      <c r="S1440" s="173"/>
      <c r="T1440" s="898"/>
      <c r="U1440">
        <v>2</v>
      </c>
      <c r="W1440" s="929" t="s">
        <v>22</v>
      </c>
      <c r="X1440" s="286"/>
      <c r="Y1440" s="758" t="str">
        <f t="shared" si="410"/>
        <v/>
      </c>
      <c r="Z1440" s="1177"/>
      <c r="AA1440" s="1183"/>
      <c r="AB1440" s="1183"/>
      <c r="AC1440" s="1183"/>
      <c r="AD1440" s="1183"/>
      <c r="AE1440" s="1183"/>
      <c r="AF1440" s="1183"/>
      <c r="AG1440" s="1183"/>
      <c r="AH1440" s="1183"/>
      <c r="AI1440" s="1183"/>
      <c r="AJ1440" s="1183"/>
      <c r="AK1440" s="1183"/>
      <c r="AL1440" s="1183"/>
      <c r="AM1440" s="1183"/>
      <c r="AN1440" s="1183"/>
      <c r="AO1440" s="1183"/>
      <c r="AP1440" s="1183"/>
      <c r="AQ1440" s="1181"/>
      <c r="AR1440" s="1181"/>
      <c r="AS1440" s="1181"/>
      <c r="AT1440" s="1181"/>
      <c r="AU1440" s="1181"/>
      <c r="AV1440" s="1181"/>
      <c r="AW1440" s="1181"/>
      <c r="AX1440" s="1181"/>
      <c r="AY1440" s="1181"/>
      <c r="AZ1440" s="1181"/>
      <c r="BA1440" s="1181"/>
      <c r="BB1440" s="1181"/>
      <c r="BC1440" s="1181"/>
      <c r="BD1440" s="1181"/>
      <c r="BE1440" s="1181"/>
      <c r="BF1440" s="1181"/>
      <c r="BG1440" s="1181"/>
      <c r="BH1440" s="1181"/>
      <c r="BI1440" s="1181"/>
      <c r="BJ1440" s="1181"/>
      <c r="BK1440" s="1181"/>
      <c r="BL1440" s="1181"/>
      <c r="BM1440" s="1181"/>
      <c r="BN1440" s="1181"/>
      <c r="BO1440" s="1181"/>
      <c r="BP1440" s="1181"/>
      <c r="BQ1440" s="1181"/>
      <c r="BR1440" s="1181"/>
      <c r="BS1440" s="1181"/>
      <c r="BT1440" s="1181"/>
      <c r="BU1440" s="1181"/>
      <c r="BV1440" s="1181"/>
      <c r="BW1440" s="1181"/>
      <c r="BX1440" s="1181"/>
      <c r="BY1440" s="1181"/>
      <c r="BZ1440" s="1181"/>
      <c r="CA1440" s="1181"/>
      <c r="CB1440" s="1182"/>
    </row>
    <row r="1441" spans="1:80" ht="12.75" customHeight="1">
      <c r="A1441" s="219">
        <v>1377</v>
      </c>
      <c r="B1441" s="7145"/>
      <c r="C1441" s="902"/>
      <c r="D1441" s="57"/>
      <c r="E1441" s="905" t="s">
        <v>2138</v>
      </c>
      <c r="F1441" s="75">
        <v>0</v>
      </c>
      <c r="G1441" s="75">
        <v>10</v>
      </c>
      <c r="H1441" s="75">
        <f>COUNTIF(HabilidadesEsenciales_Adquiridas,Tablas!E1441)</f>
        <v>0</v>
      </c>
      <c r="I1441" s="907">
        <v>1</v>
      </c>
      <c r="J1441" s="173"/>
      <c r="K1441" s="898"/>
      <c r="M1441" s="307"/>
      <c r="N1441" s="21"/>
      <c r="O1441" s="1" t="s">
        <v>7280</v>
      </c>
      <c r="P1441" s="900">
        <v>10</v>
      </c>
      <c r="Q1441" s="173">
        <v>100</v>
      </c>
      <c r="R1441" s="907">
        <f>COUNTIF(PoderesDeCriatura_Adquiridos,Tablas!O1441)</f>
        <v>0</v>
      </c>
      <c r="S1441" s="173"/>
      <c r="T1441" s="898"/>
      <c r="U1441">
        <v>2</v>
      </c>
      <c r="W1441" s="929" t="s">
        <v>6934</v>
      </c>
      <c r="X1441" s="286"/>
      <c r="Y1441" s="758" t="str">
        <f t="shared" si="410"/>
        <v>PodHab_Sentidosespeciales</v>
      </c>
      <c r="Z1441" s="1177" t="s">
        <v>19</v>
      </c>
      <c r="AA1441" s="1183" t="s">
        <v>20</v>
      </c>
      <c r="AB1441" s="1183" t="s">
        <v>21</v>
      </c>
      <c r="AC1441" s="1183"/>
      <c r="AD1441" s="1183"/>
      <c r="AE1441" s="1183"/>
      <c r="AF1441" s="1183"/>
      <c r="AG1441" s="1183"/>
      <c r="AH1441" s="1179"/>
      <c r="AI1441" s="1179"/>
      <c r="AJ1441" s="1179"/>
      <c r="AK1441" s="1179"/>
      <c r="AL1441" s="1179"/>
      <c r="AM1441" s="1179"/>
      <c r="AN1441" s="1179"/>
      <c r="AO1441" s="1183"/>
      <c r="AP1441" s="1183"/>
      <c r="AQ1441" s="1181"/>
      <c r="AR1441" s="1181"/>
      <c r="AS1441" s="1181"/>
      <c r="AT1441" s="1181"/>
      <c r="AU1441" s="1181"/>
      <c r="AV1441" s="1181"/>
      <c r="AW1441" s="1181"/>
      <c r="AX1441" s="1181"/>
      <c r="AY1441" s="1181"/>
      <c r="AZ1441" s="1181"/>
      <c r="BA1441" s="1181"/>
      <c r="BB1441" s="1181"/>
      <c r="BC1441" s="1181"/>
      <c r="BD1441" s="1181"/>
      <c r="BE1441" s="1181"/>
      <c r="BF1441" s="1181"/>
      <c r="BG1441" s="1181"/>
      <c r="BH1441" s="1181"/>
      <c r="BI1441" s="1181"/>
      <c r="BJ1441" s="1181"/>
      <c r="BK1441" s="1181"/>
      <c r="BL1441" s="1181"/>
      <c r="BM1441" s="1181"/>
      <c r="BN1441" s="1181"/>
      <c r="BO1441" s="1181"/>
      <c r="BP1441" s="1181"/>
      <c r="BQ1441" s="1181"/>
      <c r="BR1441" s="1181"/>
      <c r="BS1441" s="1181"/>
      <c r="BT1441" s="1181"/>
      <c r="BU1441" s="1181"/>
      <c r="BV1441" s="1181"/>
      <c r="BW1441" s="1181"/>
      <c r="BX1441" s="1181"/>
      <c r="BY1441" s="1181"/>
      <c r="BZ1441" s="1181"/>
      <c r="CA1441" s="1181"/>
      <c r="CB1441" s="1182"/>
    </row>
    <row r="1442" spans="1:80" ht="12.75" customHeight="1">
      <c r="A1442" s="219">
        <v>1378</v>
      </c>
      <c r="B1442" s="7145"/>
      <c r="C1442" s="902"/>
      <c r="D1442" s="57"/>
      <c r="E1442" s="905" t="s">
        <v>2139</v>
      </c>
      <c r="F1442" s="75">
        <v>0</v>
      </c>
      <c r="G1442" s="75">
        <v>10</v>
      </c>
      <c r="H1442" s="75">
        <f>COUNTIF(HabilidadesEsenciales_Adquiridas,Tablas!E1442)</f>
        <v>0</v>
      </c>
      <c r="I1442" s="907">
        <v>1</v>
      </c>
      <c r="J1442" s="173"/>
      <c r="K1442" s="898"/>
      <c r="M1442" s="307"/>
      <c r="N1442" s="21"/>
      <c r="O1442" s="1" t="s">
        <v>7281</v>
      </c>
      <c r="P1442" s="900">
        <v>20</v>
      </c>
      <c r="Q1442" s="173">
        <v>140</v>
      </c>
      <c r="R1442" s="907">
        <f>COUNTIF(PoderesDeCriatura_Adquiridos,Tablas!O1442)</f>
        <v>0</v>
      </c>
      <c r="S1442" s="173"/>
      <c r="T1442" s="898"/>
      <c r="U1442">
        <v>2</v>
      </c>
      <c r="W1442" s="929" t="s">
        <v>1781</v>
      </c>
      <c r="X1442" s="286"/>
      <c r="Y1442" s="758" t="str">
        <f t="shared" si="410"/>
        <v>PodHab_Transformación</v>
      </c>
      <c r="Z1442" s="1177" t="s">
        <v>7203</v>
      </c>
      <c r="AA1442" s="1183" t="s">
        <v>7204</v>
      </c>
      <c r="AB1442" s="1183" t="s">
        <v>7205</v>
      </c>
      <c r="AC1442" s="1183" t="s">
        <v>7206</v>
      </c>
      <c r="AD1442" s="1183" t="s">
        <v>7207</v>
      </c>
      <c r="AE1442" s="1183"/>
      <c r="AF1442" s="1183"/>
      <c r="AG1442" s="1183"/>
      <c r="AH1442" s="1183"/>
      <c r="AI1442" s="1183"/>
      <c r="AJ1442" s="1183"/>
      <c r="AK1442" s="1183"/>
      <c r="AL1442" s="1183"/>
      <c r="AM1442" s="1183" t="s">
        <v>6506</v>
      </c>
      <c r="AN1442" s="1183" t="s">
        <v>6506</v>
      </c>
      <c r="AO1442" s="1183" t="s">
        <v>6506</v>
      </c>
      <c r="AP1442" s="1183" t="s">
        <v>6506</v>
      </c>
      <c r="AQ1442" s="1181"/>
      <c r="AR1442" s="1181"/>
      <c r="AS1442" s="1181"/>
      <c r="AT1442" s="1181"/>
      <c r="AU1442" s="1181"/>
      <c r="AV1442" s="1181"/>
      <c r="AW1442" s="1181"/>
      <c r="AX1442" s="1181"/>
      <c r="AY1442" s="1181"/>
      <c r="AZ1442" s="1181"/>
      <c r="BA1442" s="1181"/>
      <c r="BB1442" s="1181"/>
      <c r="BC1442" s="1181"/>
      <c r="BD1442" s="1181"/>
      <c r="BE1442" s="1181"/>
      <c r="BF1442" s="1181"/>
      <c r="BG1442" s="1181"/>
      <c r="BH1442" s="1181"/>
      <c r="BI1442" s="1181"/>
      <c r="BJ1442" s="1181"/>
      <c r="BK1442" s="1181"/>
      <c r="BL1442" s="1181"/>
      <c r="BM1442" s="1181"/>
      <c r="BN1442" s="1181"/>
      <c r="BO1442" s="1181"/>
      <c r="BP1442" s="1181"/>
      <c r="BQ1442" s="1181"/>
      <c r="BR1442" s="1181"/>
      <c r="BS1442" s="1181"/>
      <c r="BT1442" s="1181"/>
      <c r="BU1442" s="1181"/>
      <c r="BV1442" s="1181"/>
      <c r="BW1442" s="1181"/>
      <c r="BX1442" s="1181"/>
      <c r="BY1442" s="1181"/>
      <c r="BZ1442" s="1181"/>
      <c r="CA1442" s="1181"/>
      <c r="CB1442" s="1182"/>
    </row>
    <row r="1443" spans="1:80" ht="12.75" customHeight="1">
      <c r="A1443" s="219">
        <v>1379</v>
      </c>
      <c r="B1443" s="7145"/>
      <c r="C1443" s="902"/>
      <c r="D1443" s="57"/>
      <c r="E1443" s="905" t="s">
        <v>1122</v>
      </c>
      <c r="F1443" s="75">
        <v>0</v>
      </c>
      <c r="G1443" s="75">
        <v>30</v>
      </c>
      <c r="H1443" s="75">
        <f>COUNTIF(HabilidadesEsenciales_Adquiridas,Tablas!E1443)</f>
        <v>0</v>
      </c>
      <c r="I1443" s="907">
        <v>1</v>
      </c>
      <c r="J1443" s="173"/>
      <c r="K1443" s="898"/>
      <c r="M1443" s="307"/>
      <c r="N1443" s="21"/>
      <c r="O1443" s="1" t="s">
        <v>7282</v>
      </c>
      <c r="P1443" s="900">
        <v>30</v>
      </c>
      <c r="Q1443" s="173">
        <v>180</v>
      </c>
      <c r="R1443" s="907">
        <f>COUNTIF(PoderesDeCriatura_Adquiridos,Tablas!O1443)</f>
        <v>0</v>
      </c>
      <c r="S1443" s="173"/>
      <c r="T1443" s="898"/>
      <c r="U1443">
        <v>2</v>
      </c>
      <c r="W1443" s="929" t="s">
        <v>23</v>
      </c>
      <c r="X1443" s="699"/>
      <c r="Y1443" s="758" t="str">
        <f t="shared" si="410"/>
        <v/>
      </c>
      <c r="Z1443" s="1177" t="s">
        <v>6506</v>
      </c>
      <c r="AA1443" s="1183" t="s">
        <v>6506</v>
      </c>
      <c r="AB1443" s="1183" t="s">
        <v>6506</v>
      </c>
      <c r="AC1443" s="1183" t="s">
        <v>6506</v>
      </c>
      <c r="AD1443" s="1183" t="s">
        <v>6506</v>
      </c>
      <c r="AE1443" s="1183" t="s">
        <v>6506</v>
      </c>
      <c r="AF1443" s="1183" t="s">
        <v>6506</v>
      </c>
      <c r="AG1443" s="1183" t="s">
        <v>6506</v>
      </c>
      <c r="AH1443" s="1183" t="s">
        <v>6506</v>
      </c>
      <c r="AI1443" s="1183" t="s">
        <v>6506</v>
      </c>
      <c r="AJ1443" s="1183" t="s">
        <v>6506</v>
      </c>
      <c r="AK1443" s="1183" t="s">
        <v>6506</v>
      </c>
      <c r="AL1443" s="1183" t="s">
        <v>6506</v>
      </c>
      <c r="AM1443" s="1183" t="s">
        <v>6506</v>
      </c>
      <c r="AN1443" s="1183" t="s">
        <v>6506</v>
      </c>
      <c r="AO1443" s="1183" t="s">
        <v>6506</v>
      </c>
      <c r="AP1443" s="1183" t="s">
        <v>6506</v>
      </c>
      <c r="AQ1443" s="1181"/>
      <c r="AR1443" s="1181"/>
      <c r="AS1443" s="1181"/>
      <c r="AT1443" s="1181"/>
      <c r="AU1443" s="1181"/>
      <c r="AV1443" s="1181"/>
      <c r="AW1443" s="1181"/>
      <c r="AX1443" s="1181"/>
      <c r="AY1443" s="1181"/>
      <c r="AZ1443" s="1181"/>
      <c r="BA1443" s="1181"/>
      <c r="BB1443" s="1181"/>
      <c r="BC1443" s="1181"/>
      <c r="BD1443" s="1181"/>
      <c r="BE1443" s="1181"/>
      <c r="BF1443" s="1181"/>
      <c r="BG1443" s="1181"/>
      <c r="BH1443" s="1181"/>
      <c r="BI1443" s="1181"/>
      <c r="BJ1443" s="1181"/>
      <c r="BK1443" s="1181"/>
      <c r="BL1443" s="1181"/>
      <c r="BM1443" s="1181"/>
      <c r="BN1443" s="1181"/>
      <c r="BO1443" s="1181"/>
      <c r="BP1443" s="1181"/>
      <c r="BQ1443" s="1181"/>
      <c r="BR1443" s="1181"/>
      <c r="BS1443" s="1181"/>
      <c r="BT1443" s="1181"/>
      <c r="BU1443" s="1181"/>
      <c r="BV1443" s="1181"/>
      <c r="BW1443" s="1181"/>
      <c r="BX1443" s="1181"/>
      <c r="BY1443" s="1181"/>
      <c r="BZ1443" s="1181"/>
      <c r="CA1443" s="1181"/>
      <c r="CB1443" s="1182"/>
    </row>
    <row r="1444" spans="1:80" ht="12.75" customHeight="1">
      <c r="A1444" s="219">
        <v>1380</v>
      </c>
      <c r="B1444" s="7145"/>
      <c r="C1444" s="902"/>
      <c r="D1444" s="57"/>
      <c r="E1444" s="905" t="s">
        <v>1536</v>
      </c>
      <c r="F1444" s="75">
        <v>0</v>
      </c>
      <c r="G1444" s="75">
        <v>10</v>
      </c>
      <c r="H1444" s="75">
        <f>COUNTIF(HabilidadesEsenciales_Adquiridas,Tablas!E1444)</f>
        <v>0</v>
      </c>
      <c r="I1444" s="907">
        <v>2</v>
      </c>
      <c r="J1444" s="173"/>
      <c r="K1444" s="898"/>
      <c r="M1444" s="307"/>
      <c r="N1444" s="21"/>
      <c r="O1444" s="131" t="s">
        <v>7283</v>
      </c>
      <c r="P1444" s="900">
        <v>5</v>
      </c>
      <c r="Q1444" s="173">
        <v>20</v>
      </c>
      <c r="R1444" s="907">
        <f>COUNTIF(PoderesDeCriatura_Adquiridos,Tablas!O1444)</f>
        <v>0</v>
      </c>
      <c r="S1444" s="173"/>
      <c r="T1444" s="898"/>
      <c r="U1444">
        <v>2</v>
      </c>
      <c r="W1444" s="929" t="s">
        <v>6936</v>
      </c>
      <c r="X1444" s="286"/>
      <c r="Y1444" s="758" t="str">
        <f t="shared" si="410"/>
        <v>PodHab_Maestríasobrenatural</v>
      </c>
      <c r="Z1444" s="1177" t="s">
        <v>7208</v>
      </c>
      <c r="AA1444" s="1183" t="s">
        <v>7209</v>
      </c>
      <c r="AB1444" s="1183" t="s">
        <v>7210</v>
      </c>
      <c r="AC1444" s="1183" t="s">
        <v>7211</v>
      </c>
      <c r="AD1444" s="1183" t="s">
        <v>7212</v>
      </c>
      <c r="AE1444" s="1183" t="s">
        <v>7213</v>
      </c>
      <c r="AF1444" s="1183"/>
      <c r="AG1444" s="1183"/>
      <c r="AH1444" s="1183"/>
      <c r="AI1444" s="1183"/>
      <c r="AJ1444" s="1183"/>
      <c r="AK1444" s="1183"/>
      <c r="AL1444" s="1183"/>
      <c r="AM1444" s="1183"/>
      <c r="AN1444" s="1183"/>
      <c r="AO1444" s="1183"/>
      <c r="AP1444" s="1183"/>
      <c r="AQ1444" s="1181"/>
      <c r="AR1444" s="1181"/>
      <c r="AS1444" s="1181"/>
      <c r="AT1444" s="1181"/>
      <c r="AU1444" s="1181"/>
      <c r="AV1444" s="1181"/>
      <c r="AW1444" s="1181"/>
      <c r="AX1444" s="1181"/>
      <c r="AY1444" s="1181"/>
      <c r="AZ1444" s="1181"/>
      <c r="BA1444" s="1181"/>
      <c r="BB1444" s="1181"/>
      <c r="BC1444" s="1181"/>
      <c r="BD1444" s="1181"/>
      <c r="BE1444" s="1181"/>
      <c r="BF1444" s="1181"/>
      <c r="BG1444" s="1181"/>
      <c r="BH1444" s="1181"/>
      <c r="BI1444" s="1181"/>
      <c r="BJ1444" s="1181"/>
      <c r="BK1444" s="1181"/>
      <c r="BL1444" s="1181"/>
      <c r="BM1444" s="1181"/>
      <c r="BN1444" s="1181"/>
      <c r="BO1444" s="1181"/>
      <c r="BP1444" s="1181"/>
      <c r="BQ1444" s="1181"/>
      <c r="BR1444" s="1181"/>
      <c r="BS1444" s="1181"/>
      <c r="BT1444" s="1181"/>
      <c r="BU1444" s="1181"/>
      <c r="BV1444" s="1181"/>
      <c r="BW1444" s="1181"/>
      <c r="BX1444" s="1181"/>
      <c r="BY1444" s="1181"/>
      <c r="BZ1444" s="1181"/>
      <c r="CA1444" s="1181"/>
      <c r="CB1444" s="1182"/>
    </row>
    <row r="1445" spans="1:80" ht="12.75" customHeight="1">
      <c r="A1445" s="219">
        <v>1381</v>
      </c>
      <c r="B1445" s="7145"/>
      <c r="C1445" s="902"/>
      <c r="D1445" s="57"/>
      <c r="E1445" s="905" t="s">
        <v>1537</v>
      </c>
      <c r="F1445" s="75">
        <v>25</v>
      </c>
      <c r="G1445" s="75">
        <v>20</v>
      </c>
      <c r="H1445" s="75">
        <f>COUNTIF(HabilidadesEsenciales_Adquiridas,Tablas!E1445)</f>
        <v>0</v>
      </c>
      <c r="I1445" s="907">
        <v>2</v>
      </c>
      <c r="J1445" s="173"/>
      <c r="K1445" s="898"/>
      <c r="M1445" s="307"/>
      <c r="N1445" s="21"/>
      <c r="O1445" s="131" t="s">
        <v>7284</v>
      </c>
      <c r="P1445" s="900">
        <v>10</v>
      </c>
      <c r="Q1445" s="173">
        <v>30</v>
      </c>
      <c r="R1445" s="907">
        <f>COUNTIF(PoderesDeCriatura_Adquiridos,Tablas!O1445)</f>
        <v>0</v>
      </c>
      <c r="S1445" s="173"/>
      <c r="T1445" s="898"/>
      <c r="U1445">
        <v>2</v>
      </c>
      <c r="W1445" s="929" t="s">
        <v>6475</v>
      </c>
      <c r="X1445" s="286"/>
      <c r="Y1445" s="758" t="str">
        <f t="shared" si="410"/>
        <v>PodHab_Magianatural</v>
      </c>
      <c r="Z1445" s="1177" t="s">
        <v>7214</v>
      </c>
      <c r="AA1445" s="1183" t="s">
        <v>1856</v>
      </c>
      <c r="AB1445" s="1183"/>
      <c r="AC1445" s="1183"/>
      <c r="AD1445" s="1183"/>
      <c r="AE1445" s="1183"/>
      <c r="AF1445" s="1183"/>
      <c r="AG1445" s="1183"/>
      <c r="AH1445" s="1183"/>
      <c r="AI1445" s="1183"/>
      <c r="AJ1445" s="1183"/>
      <c r="AK1445" s="1183"/>
      <c r="AL1445" s="1183"/>
      <c r="AM1445" s="1183"/>
      <c r="AN1445" s="1183"/>
      <c r="AO1445" s="1183"/>
      <c r="AP1445" s="1183" t="s">
        <v>6506</v>
      </c>
      <c r="AQ1445" s="1181"/>
      <c r="AR1445" s="1181"/>
      <c r="AS1445" s="1181"/>
      <c r="AT1445" s="1181"/>
      <c r="AU1445" s="1181"/>
      <c r="AV1445" s="1181"/>
      <c r="AW1445" s="1181"/>
      <c r="AX1445" s="1181"/>
      <c r="AY1445" s="1181"/>
      <c r="AZ1445" s="1181"/>
      <c r="BA1445" s="1181"/>
      <c r="BB1445" s="1181"/>
      <c r="BC1445" s="1181"/>
      <c r="BD1445" s="1181"/>
      <c r="BE1445" s="1181"/>
      <c r="BF1445" s="1181"/>
      <c r="BG1445" s="1181"/>
      <c r="BH1445" s="1181"/>
      <c r="BI1445" s="1181"/>
      <c r="BJ1445" s="1181"/>
      <c r="BK1445" s="1181"/>
      <c r="BL1445" s="1181"/>
      <c r="BM1445" s="1181"/>
      <c r="BN1445" s="1181"/>
      <c r="BO1445" s="1181"/>
      <c r="BP1445" s="1181"/>
      <c r="BQ1445" s="1181"/>
      <c r="BR1445" s="1181"/>
      <c r="BS1445" s="1181"/>
      <c r="BT1445" s="1181"/>
      <c r="BU1445" s="1181"/>
      <c r="BV1445" s="1181"/>
      <c r="BW1445" s="1181"/>
      <c r="BX1445" s="1181"/>
      <c r="BY1445" s="1181"/>
      <c r="BZ1445" s="1181"/>
      <c r="CA1445" s="1181"/>
      <c r="CB1445" s="1182"/>
    </row>
    <row r="1446" spans="1:80" ht="12.75" customHeight="1">
      <c r="A1446" s="219">
        <v>1382</v>
      </c>
      <c r="B1446" s="7145"/>
      <c r="C1446" s="902"/>
      <c r="D1446" s="57"/>
      <c r="E1446" s="905" t="s">
        <v>1123</v>
      </c>
      <c r="F1446" s="75">
        <v>0</v>
      </c>
      <c r="G1446" s="75">
        <v>10</v>
      </c>
      <c r="H1446" s="75">
        <f>COUNTIF(HabilidadesEsenciales_Adquiridas,Tablas!E1446)</f>
        <v>0</v>
      </c>
      <c r="I1446" s="907"/>
      <c r="J1446" s="173"/>
      <c r="K1446" s="898"/>
      <c r="M1446" s="307"/>
      <c r="N1446" s="21"/>
      <c r="O1446" s="131" t="s">
        <v>7285</v>
      </c>
      <c r="P1446" s="900">
        <v>15</v>
      </c>
      <c r="Q1446" s="173">
        <v>40</v>
      </c>
      <c r="R1446" s="907">
        <f>COUNTIF(PoderesDeCriatura_Adquiridos,Tablas!O1446)</f>
        <v>0</v>
      </c>
      <c r="S1446" s="173"/>
      <c r="T1446" s="898"/>
      <c r="U1446">
        <v>2</v>
      </c>
      <c r="W1446" s="929" t="s">
        <v>24</v>
      </c>
      <c r="X1446" s="286"/>
      <c r="Y1446" s="758" t="str">
        <f t="shared" si="410"/>
        <v/>
      </c>
      <c r="Z1446" s="1177"/>
      <c r="AA1446" s="1183"/>
      <c r="AB1446" s="1183"/>
      <c r="AC1446" s="1183"/>
      <c r="AD1446" s="1183"/>
      <c r="AE1446" s="1183"/>
      <c r="AF1446" s="1183"/>
      <c r="AG1446" s="1183"/>
      <c r="AH1446" s="1183"/>
      <c r="AI1446" s="1183"/>
      <c r="AJ1446" s="1183"/>
      <c r="AK1446" s="1183"/>
      <c r="AL1446" s="1183"/>
      <c r="AM1446" s="1183" t="s">
        <v>6506</v>
      </c>
      <c r="AN1446" s="1183" t="s">
        <v>6506</v>
      </c>
      <c r="AO1446" s="1183" t="s">
        <v>6506</v>
      </c>
      <c r="AP1446" s="1183" t="s">
        <v>6506</v>
      </c>
      <c r="AQ1446" s="1181"/>
      <c r="AR1446" s="1181"/>
      <c r="AS1446" s="1181"/>
      <c r="AT1446" s="1181"/>
      <c r="AU1446" s="1181"/>
      <c r="AV1446" s="1181"/>
      <c r="AW1446" s="1181"/>
      <c r="AX1446" s="1181"/>
      <c r="AY1446" s="1181"/>
      <c r="AZ1446" s="1181"/>
      <c r="BA1446" s="1181"/>
      <c r="BB1446" s="1181"/>
      <c r="BC1446" s="1181"/>
      <c r="BD1446" s="1181"/>
      <c r="BE1446" s="1181"/>
      <c r="BF1446" s="1181"/>
      <c r="BG1446" s="1181"/>
      <c r="BH1446" s="1181"/>
      <c r="BI1446" s="1181"/>
      <c r="BJ1446" s="1181"/>
      <c r="BK1446" s="1181"/>
      <c r="BL1446" s="1181"/>
      <c r="BM1446" s="1181"/>
      <c r="BN1446" s="1181"/>
      <c r="BO1446" s="1181"/>
      <c r="BP1446" s="1181"/>
      <c r="BQ1446" s="1181"/>
      <c r="BR1446" s="1181"/>
      <c r="BS1446" s="1181"/>
      <c r="BT1446" s="1181"/>
      <c r="BU1446" s="1181"/>
      <c r="BV1446" s="1181"/>
      <c r="BW1446" s="1181"/>
      <c r="BX1446" s="1181"/>
      <c r="BY1446" s="1181"/>
      <c r="BZ1446" s="1181"/>
      <c r="CA1446" s="1181"/>
      <c r="CB1446" s="1182"/>
    </row>
    <row r="1447" spans="1:80" ht="12.75" customHeight="1">
      <c r="A1447" s="219">
        <v>1383</v>
      </c>
      <c r="B1447" s="7145"/>
      <c r="C1447" s="902"/>
      <c r="D1447" s="57"/>
      <c r="E1447" s="905" t="s">
        <v>1124</v>
      </c>
      <c r="F1447" s="75">
        <v>5</v>
      </c>
      <c r="G1447" s="75">
        <v>10</v>
      </c>
      <c r="H1447" s="75">
        <f>COUNTIF(HabilidadesEsenciales_Adquiridas,Tablas!E1447)</f>
        <v>0</v>
      </c>
      <c r="I1447" s="907"/>
      <c r="J1447" s="173"/>
      <c r="K1447" s="898"/>
      <c r="M1447" s="307"/>
      <c r="N1447" s="21"/>
      <c r="O1447" s="131" t="s">
        <v>7286</v>
      </c>
      <c r="P1447" s="900">
        <v>15</v>
      </c>
      <c r="Q1447" s="173">
        <v>50</v>
      </c>
      <c r="R1447" s="907">
        <f>COUNTIF(PoderesDeCriatura_Adquiridos,Tablas!O1447)</f>
        <v>0</v>
      </c>
      <c r="S1447" s="173"/>
      <c r="T1447" s="898"/>
      <c r="U1447">
        <v>2</v>
      </c>
      <c r="W1447" s="929" t="s">
        <v>25</v>
      </c>
      <c r="X1447" s="699"/>
      <c r="Y1447" s="758" t="str">
        <f t="shared" si="410"/>
        <v/>
      </c>
      <c r="Z1447" s="1177"/>
      <c r="AA1447" s="1183"/>
      <c r="AB1447" s="1183"/>
      <c r="AC1447" s="1183"/>
      <c r="AD1447" s="1183"/>
      <c r="AE1447" s="1183"/>
      <c r="AF1447" s="1183"/>
      <c r="AG1447" s="1183"/>
      <c r="AH1447" s="1183"/>
      <c r="AI1447" s="1183"/>
      <c r="AJ1447" s="1183"/>
      <c r="AK1447" s="1183"/>
      <c r="AL1447" s="1183"/>
      <c r="AM1447" s="1183" t="s">
        <v>6506</v>
      </c>
      <c r="AN1447" s="1183" t="s">
        <v>6506</v>
      </c>
      <c r="AO1447" s="1183" t="s">
        <v>6506</v>
      </c>
      <c r="AP1447" s="1183" t="s">
        <v>6506</v>
      </c>
      <c r="AQ1447" s="1181"/>
      <c r="AR1447" s="1181"/>
      <c r="AS1447" s="1181"/>
      <c r="AT1447" s="1181"/>
      <c r="AU1447" s="1181"/>
      <c r="AV1447" s="1181"/>
      <c r="AW1447" s="1181"/>
      <c r="AX1447" s="1181"/>
      <c r="AY1447" s="1181"/>
      <c r="AZ1447" s="1181"/>
      <c r="BA1447" s="1181"/>
      <c r="BB1447" s="1181"/>
      <c r="BC1447" s="1181"/>
      <c r="BD1447" s="1181"/>
      <c r="BE1447" s="1181"/>
      <c r="BF1447" s="1181"/>
      <c r="BG1447" s="1181"/>
      <c r="BH1447" s="1181"/>
      <c r="BI1447" s="1181"/>
      <c r="BJ1447" s="1181"/>
      <c r="BK1447" s="1181"/>
      <c r="BL1447" s="1181"/>
      <c r="BM1447" s="1181"/>
      <c r="BN1447" s="1181"/>
      <c r="BO1447" s="1181"/>
      <c r="BP1447" s="1181"/>
      <c r="BQ1447" s="1181"/>
      <c r="BR1447" s="1181"/>
      <c r="BS1447" s="1181"/>
      <c r="BT1447" s="1181"/>
      <c r="BU1447" s="1181"/>
      <c r="BV1447" s="1181"/>
      <c r="BW1447" s="1181"/>
      <c r="BX1447" s="1181"/>
      <c r="BY1447" s="1181"/>
      <c r="BZ1447" s="1181"/>
      <c r="CA1447" s="1181"/>
      <c r="CB1447" s="1182"/>
    </row>
    <row r="1448" spans="1:80" ht="12.75" customHeight="1">
      <c r="A1448" s="219">
        <v>1384</v>
      </c>
      <c r="B1448" s="7145"/>
      <c r="C1448" s="902"/>
      <c r="D1448" s="57"/>
      <c r="E1448" s="905" t="s">
        <v>1125</v>
      </c>
      <c r="F1448" s="75">
        <v>15</v>
      </c>
      <c r="G1448" s="75">
        <v>20</v>
      </c>
      <c r="H1448" s="75">
        <f>COUNTIF(HabilidadesEsenciales_Adquiridas,Tablas!E1448)</f>
        <v>0</v>
      </c>
      <c r="I1448" s="907">
        <v>1</v>
      </c>
      <c r="J1448" s="173"/>
      <c r="K1448" s="898"/>
      <c r="M1448" s="307"/>
      <c r="N1448" s="21"/>
      <c r="O1448" s="131" t="s">
        <v>7287</v>
      </c>
      <c r="P1448" s="900">
        <v>20</v>
      </c>
      <c r="Q1448" s="173">
        <v>60</v>
      </c>
      <c r="R1448" s="907">
        <f>COUNTIF(PoderesDeCriatura_Adquiridos,Tablas!O1448)</f>
        <v>0</v>
      </c>
      <c r="S1448" s="173"/>
      <c r="T1448" s="898"/>
      <c r="U1448">
        <v>2</v>
      </c>
      <c r="W1448" s="929" t="s">
        <v>27</v>
      </c>
      <c r="X1448" s="925"/>
      <c r="Y1448" s="758" t="str">
        <f t="shared" si="410"/>
        <v/>
      </c>
      <c r="Z1448" s="1177"/>
      <c r="AA1448" s="1183"/>
      <c r="AB1448" s="1183" t="s">
        <v>6506</v>
      </c>
      <c r="AC1448" s="1183" t="s">
        <v>6506</v>
      </c>
      <c r="AD1448" s="1183"/>
      <c r="AE1448" s="1179"/>
      <c r="AF1448" s="1179"/>
      <c r="AG1448" s="1179"/>
      <c r="AH1448" s="1179"/>
      <c r="AI1448" s="1179"/>
      <c r="AJ1448" s="1179"/>
      <c r="AK1448" s="1179"/>
      <c r="AL1448" s="1183" t="s">
        <v>6506</v>
      </c>
      <c r="AM1448" s="1183" t="s">
        <v>6506</v>
      </c>
      <c r="AN1448" s="1183" t="s">
        <v>6506</v>
      </c>
      <c r="AO1448" s="1183" t="s">
        <v>6506</v>
      </c>
      <c r="AP1448" s="1183" t="s">
        <v>6506</v>
      </c>
      <c r="AQ1448" s="1181"/>
      <c r="AR1448" s="1181"/>
      <c r="AS1448" s="1181"/>
      <c r="AT1448" s="1181"/>
      <c r="AU1448" s="1181"/>
      <c r="AV1448" s="1181"/>
      <c r="AW1448" s="1181"/>
      <c r="AX1448" s="1181"/>
      <c r="AY1448" s="1181"/>
      <c r="AZ1448" s="1181"/>
      <c r="BA1448" s="1181"/>
      <c r="BB1448" s="1181"/>
      <c r="BC1448" s="1181"/>
      <c r="BD1448" s="1181"/>
      <c r="BE1448" s="1181"/>
      <c r="BF1448" s="1181"/>
      <c r="BG1448" s="1181"/>
      <c r="BH1448" s="1181"/>
      <c r="BI1448" s="1181"/>
      <c r="BJ1448" s="1181"/>
      <c r="BK1448" s="1181"/>
      <c r="BL1448" s="1181"/>
      <c r="BM1448" s="1181"/>
      <c r="BN1448" s="1181"/>
      <c r="BO1448" s="1181"/>
      <c r="BP1448" s="1181"/>
      <c r="BQ1448" s="1181"/>
      <c r="BR1448" s="1181"/>
      <c r="BS1448" s="1181"/>
      <c r="BT1448" s="1181"/>
      <c r="BU1448" s="1181"/>
      <c r="BV1448" s="1181"/>
      <c r="BW1448" s="1181"/>
      <c r="BX1448" s="1181"/>
      <c r="BY1448" s="1181"/>
      <c r="BZ1448" s="1181"/>
      <c r="CA1448" s="1181"/>
      <c r="CB1448" s="1182"/>
    </row>
    <row r="1449" spans="1:80" ht="12.75" customHeight="1">
      <c r="A1449" s="219">
        <v>1385</v>
      </c>
      <c r="B1449" s="7145"/>
      <c r="C1449" s="902"/>
      <c r="D1449" s="57"/>
      <c r="E1449" s="905" t="s">
        <v>1126</v>
      </c>
      <c r="F1449" s="75">
        <v>15</v>
      </c>
      <c r="G1449" s="75">
        <v>10</v>
      </c>
      <c r="H1449" s="75">
        <f>COUNTIF(HabilidadesEsenciales_Adquiridas,Tablas!E1449)</f>
        <v>0</v>
      </c>
      <c r="I1449" s="907"/>
      <c r="J1449" s="173"/>
      <c r="K1449" s="898"/>
      <c r="M1449" s="307"/>
      <c r="N1449" s="21"/>
      <c r="O1449" s="131" t="s">
        <v>7288</v>
      </c>
      <c r="P1449" s="900">
        <v>25</v>
      </c>
      <c r="Q1449" s="173">
        <v>80</v>
      </c>
      <c r="R1449" s="907">
        <f>COUNTIF(PoderesDeCriatura_Adquiridos,Tablas!O1449)</f>
        <v>0</v>
      </c>
      <c r="S1449" s="173"/>
      <c r="T1449" s="898"/>
      <c r="U1449">
        <v>2</v>
      </c>
      <c r="W1449" s="929" t="s">
        <v>28</v>
      </c>
      <c r="X1449" s="925"/>
      <c r="Y1449" s="758" t="str">
        <f t="shared" si="410"/>
        <v/>
      </c>
      <c r="Z1449" s="1177"/>
      <c r="AA1449" s="1183"/>
      <c r="AB1449" s="1183"/>
      <c r="AC1449" s="1183"/>
      <c r="AD1449" s="1183"/>
      <c r="AE1449" s="1179"/>
      <c r="AF1449" s="1179"/>
      <c r="AG1449" s="1179"/>
      <c r="AH1449" s="1179"/>
      <c r="AI1449" s="1179"/>
      <c r="AJ1449" s="1179"/>
      <c r="AK1449" s="1179"/>
      <c r="AL1449" s="1183"/>
      <c r="AM1449" s="1183"/>
      <c r="AN1449" s="1183"/>
      <c r="AO1449" s="1183"/>
      <c r="AP1449" s="1183"/>
      <c r="AQ1449" s="1181"/>
      <c r="AR1449" s="1181"/>
      <c r="AS1449" s="1181"/>
      <c r="AT1449" s="1181"/>
      <c r="AU1449" s="1181"/>
      <c r="AV1449" s="1181"/>
      <c r="AW1449" s="1181"/>
      <c r="AX1449" s="1181"/>
      <c r="AY1449" s="1181"/>
      <c r="AZ1449" s="1181"/>
      <c r="BA1449" s="1181"/>
      <c r="BB1449" s="1181"/>
      <c r="BC1449" s="1181"/>
      <c r="BD1449" s="1181"/>
      <c r="BE1449" s="1181"/>
      <c r="BF1449" s="1181"/>
      <c r="BG1449" s="1181"/>
      <c r="BH1449" s="1181"/>
      <c r="BI1449" s="1181"/>
      <c r="BJ1449" s="1181"/>
      <c r="BK1449" s="1181"/>
      <c r="BL1449" s="1181"/>
      <c r="BM1449" s="1181"/>
      <c r="BN1449" s="1181"/>
      <c r="BO1449" s="1181"/>
      <c r="BP1449" s="1181"/>
      <c r="BQ1449" s="1181"/>
      <c r="BR1449" s="1181"/>
      <c r="BS1449" s="1181"/>
      <c r="BT1449" s="1181"/>
      <c r="BU1449" s="1181"/>
      <c r="BV1449" s="1181"/>
      <c r="BW1449" s="1181"/>
      <c r="BX1449" s="1181"/>
      <c r="BY1449" s="1181"/>
      <c r="BZ1449" s="1181"/>
      <c r="CA1449" s="1181"/>
      <c r="CB1449" s="1182"/>
    </row>
    <row r="1450" spans="1:80" ht="12.75" customHeight="1">
      <c r="A1450" s="219">
        <v>1386</v>
      </c>
      <c r="B1450" s="7145"/>
      <c r="C1450" s="902"/>
      <c r="D1450" s="57"/>
      <c r="E1450" s="905" t="s">
        <v>1127</v>
      </c>
      <c r="F1450" s="75">
        <v>15</v>
      </c>
      <c r="G1450" s="75">
        <v>10</v>
      </c>
      <c r="H1450" s="75">
        <f>COUNTIF(HabilidadesEsenciales_Adquiridas,Tablas!E1450)</f>
        <v>0</v>
      </c>
      <c r="I1450" s="907"/>
      <c r="J1450" s="173"/>
      <c r="K1450" s="898"/>
      <c r="M1450" s="307"/>
      <c r="N1450" s="21"/>
      <c r="O1450" s="131" t="s">
        <v>7289</v>
      </c>
      <c r="P1450" s="900">
        <v>30</v>
      </c>
      <c r="Q1450" s="173">
        <v>100</v>
      </c>
      <c r="R1450" s="907">
        <f>COUNTIF(PoderesDeCriatura_Adquiridos,Tablas!O1450)</f>
        <v>0</v>
      </c>
      <c r="S1450" s="173"/>
      <c r="T1450" s="898"/>
      <c r="U1450">
        <v>2</v>
      </c>
      <c r="W1450" s="929" t="s">
        <v>6938</v>
      </c>
      <c r="X1450" s="286"/>
      <c r="Y1450" s="758" t="str">
        <f t="shared" si="410"/>
        <v>PodHab_Espaciocerrado</v>
      </c>
      <c r="Z1450" s="1177" t="s">
        <v>7215</v>
      </c>
      <c r="AA1450" s="1183" t="s">
        <v>7216</v>
      </c>
      <c r="AB1450" s="1183" t="s">
        <v>7217</v>
      </c>
      <c r="AC1450" s="1183"/>
      <c r="AD1450" s="1183"/>
      <c r="AE1450" s="1179"/>
      <c r="AF1450" s="1179"/>
      <c r="AG1450" s="1179"/>
      <c r="AH1450" s="1179"/>
      <c r="AI1450" s="1179"/>
      <c r="AJ1450" s="1179"/>
      <c r="AK1450" s="1179"/>
      <c r="AL1450" s="1183"/>
      <c r="AM1450" s="1183"/>
      <c r="AN1450" s="1183"/>
      <c r="AO1450" s="1183"/>
      <c r="AP1450" s="1183"/>
      <c r="AQ1450" s="1181"/>
      <c r="AR1450" s="1181"/>
      <c r="AS1450" s="1181"/>
      <c r="AT1450" s="1181"/>
      <c r="AU1450" s="1181"/>
      <c r="AV1450" s="1181"/>
      <c r="AW1450" s="1181"/>
      <c r="AX1450" s="1181"/>
      <c r="AY1450" s="1181"/>
      <c r="AZ1450" s="1181"/>
      <c r="BA1450" s="1181"/>
      <c r="BB1450" s="1181"/>
      <c r="BC1450" s="1181"/>
      <c r="BD1450" s="1181"/>
      <c r="BE1450" s="1181"/>
      <c r="BF1450" s="1181"/>
      <c r="BG1450" s="1181"/>
      <c r="BH1450" s="1181"/>
      <c r="BI1450" s="1181"/>
      <c r="BJ1450" s="1181"/>
      <c r="BK1450" s="1181"/>
      <c r="BL1450" s="1181"/>
      <c r="BM1450" s="1181"/>
      <c r="BN1450" s="1181"/>
      <c r="BO1450" s="1181"/>
      <c r="BP1450" s="1181"/>
      <c r="BQ1450" s="1181"/>
      <c r="BR1450" s="1181"/>
      <c r="BS1450" s="1181"/>
      <c r="BT1450" s="1181"/>
      <c r="BU1450" s="1181"/>
      <c r="BV1450" s="1181"/>
      <c r="BW1450" s="1181"/>
      <c r="BX1450" s="1181"/>
      <c r="BY1450" s="1181"/>
      <c r="BZ1450" s="1181"/>
      <c r="CA1450" s="1181"/>
      <c r="CB1450" s="1182"/>
    </row>
    <row r="1451" spans="1:80" ht="12.75" customHeight="1">
      <c r="A1451" s="219">
        <v>1387</v>
      </c>
      <c r="B1451" s="7145"/>
      <c r="C1451" s="902"/>
      <c r="D1451" s="57"/>
      <c r="E1451" s="905" t="s">
        <v>1128</v>
      </c>
      <c r="F1451" s="75">
        <v>15</v>
      </c>
      <c r="G1451" s="75">
        <v>10</v>
      </c>
      <c r="H1451" s="75">
        <f>COUNTIF(HabilidadesEsenciales_Adquiridas,Tablas!E1451)</f>
        <v>0</v>
      </c>
      <c r="I1451" s="907"/>
      <c r="J1451" s="173"/>
      <c r="K1451" s="898"/>
      <c r="M1451" s="307"/>
      <c r="N1451" s="21"/>
      <c r="O1451" s="131" t="s">
        <v>7290</v>
      </c>
      <c r="P1451" s="900">
        <v>35</v>
      </c>
      <c r="Q1451" s="173">
        <v>120</v>
      </c>
      <c r="R1451" s="907">
        <f>COUNTIF(PoderesDeCriatura_Adquiridos,Tablas!O1451)</f>
        <v>0</v>
      </c>
      <c r="S1451" s="173"/>
      <c r="T1451" s="898"/>
      <c r="U1451">
        <v>2</v>
      </c>
      <c r="W1451" s="929" t="s">
        <v>6937</v>
      </c>
      <c r="X1451" s="286"/>
      <c r="Y1451" s="758" t="str">
        <f t="shared" si="410"/>
        <v>PodHab_Existenciacompacta</v>
      </c>
      <c r="Z1451" s="1177" t="s">
        <v>1823</v>
      </c>
      <c r="AA1451" s="1183" t="s">
        <v>1824</v>
      </c>
      <c r="AB1451" s="1183"/>
      <c r="AC1451" s="1183"/>
      <c r="AD1451" s="1183"/>
      <c r="AE1451" s="1179"/>
      <c r="AF1451" s="1179"/>
      <c r="AG1451" s="1179"/>
      <c r="AH1451" s="1179"/>
      <c r="AI1451" s="1179"/>
      <c r="AJ1451" s="1179"/>
      <c r="AK1451" s="1179"/>
      <c r="AL1451" s="1183"/>
      <c r="AM1451" s="1183"/>
      <c r="AN1451" s="1183"/>
      <c r="AO1451" s="1183"/>
      <c r="AP1451" s="1183"/>
      <c r="AQ1451" s="1181"/>
      <c r="AR1451" s="1181"/>
      <c r="AS1451" s="1181"/>
      <c r="AT1451" s="1181"/>
      <c r="AU1451" s="1181"/>
      <c r="AV1451" s="1181"/>
      <c r="AW1451" s="1181"/>
      <c r="AX1451" s="1181"/>
      <c r="AY1451" s="1181"/>
      <c r="AZ1451" s="1181"/>
      <c r="BA1451" s="1181"/>
      <c r="BB1451" s="1181"/>
      <c r="BC1451" s="1181"/>
      <c r="BD1451" s="1181"/>
      <c r="BE1451" s="1181"/>
      <c r="BF1451" s="1181"/>
      <c r="BG1451" s="1181"/>
      <c r="BH1451" s="1181"/>
      <c r="BI1451" s="1181"/>
      <c r="BJ1451" s="1181"/>
      <c r="BK1451" s="1181"/>
      <c r="BL1451" s="1181"/>
      <c r="BM1451" s="1181"/>
      <c r="BN1451" s="1181"/>
      <c r="BO1451" s="1181"/>
      <c r="BP1451" s="1181"/>
      <c r="BQ1451" s="1181"/>
      <c r="BR1451" s="1181"/>
      <c r="BS1451" s="1181"/>
      <c r="BT1451" s="1181"/>
      <c r="BU1451" s="1181"/>
      <c r="BV1451" s="1181"/>
      <c r="BW1451" s="1181"/>
      <c r="BX1451" s="1181"/>
      <c r="BY1451" s="1181"/>
      <c r="BZ1451" s="1181"/>
      <c r="CA1451" s="1181"/>
      <c r="CB1451" s="1182"/>
    </row>
    <row r="1452" spans="1:80" ht="12.75" customHeight="1">
      <c r="A1452" s="219">
        <v>1388</v>
      </c>
      <c r="B1452" s="7145"/>
      <c r="C1452" s="902"/>
      <c r="D1452" s="57"/>
      <c r="E1452" s="905" t="s">
        <v>1129</v>
      </c>
      <c r="F1452" s="75">
        <v>20</v>
      </c>
      <c r="G1452" s="75">
        <v>20</v>
      </c>
      <c r="H1452" s="75">
        <f>COUNTIF(HabilidadesEsenciales_Adquiridas,Tablas!E1452)</f>
        <v>0</v>
      </c>
      <c r="I1452" s="907"/>
      <c r="J1452" s="173"/>
      <c r="K1452" s="898"/>
      <c r="M1452" s="307"/>
      <c r="N1452" s="21"/>
      <c r="O1452" s="131" t="s">
        <v>7291</v>
      </c>
      <c r="P1452" s="900">
        <v>40</v>
      </c>
      <c r="Q1452" s="173">
        <v>140</v>
      </c>
      <c r="R1452" s="907">
        <f>COUNTIF(PoderesDeCriatura_Adquiridos,Tablas!O1452)</f>
        <v>0</v>
      </c>
      <c r="S1452" s="173"/>
      <c r="T1452" s="898"/>
      <c r="U1452">
        <v>2</v>
      </c>
      <c r="W1452" s="929" t="s">
        <v>26</v>
      </c>
      <c r="X1452" s="925"/>
      <c r="Y1452" s="758" t="str">
        <f t="shared" si="410"/>
        <v/>
      </c>
      <c r="Z1452" s="1177"/>
      <c r="AA1452" s="1183"/>
      <c r="AB1452" s="1183"/>
      <c r="AC1452" s="1183"/>
      <c r="AD1452" s="1183"/>
      <c r="AE1452" s="1179"/>
      <c r="AF1452" s="1179"/>
      <c r="AG1452" s="1179"/>
      <c r="AH1452" s="1179"/>
      <c r="AI1452" s="1179"/>
      <c r="AJ1452" s="1179"/>
      <c r="AK1452" s="1179"/>
      <c r="AL1452" s="1183"/>
      <c r="AM1452" s="1183"/>
      <c r="AN1452" s="1183"/>
      <c r="AO1452" s="1183"/>
      <c r="AP1452" s="1183"/>
      <c r="AQ1452" s="1181"/>
      <c r="AR1452" s="1181"/>
      <c r="AS1452" s="1181"/>
      <c r="AT1452" s="1181"/>
      <c r="AU1452" s="1181"/>
      <c r="AV1452" s="1181"/>
      <c r="AW1452" s="1181"/>
      <c r="AX1452" s="1181"/>
      <c r="AY1452" s="1181"/>
      <c r="AZ1452" s="1181"/>
      <c r="BA1452" s="1181"/>
      <c r="BB1452" s="1181"/>
      <c r="BC1452" s="1181"/>
      <c r="BD1452" s="1181"/>
      <c r="BE1452" s="1181"/>
      <c r="BF1452" s="1181"/>
      <c r="BG1452" s="1181"/>
      <c r="BH1452" s="1181"/>
      <c r="BI1452" s="1181"/>
      <c r="BJ1452" s="1181"/>
      <c r="BK1452" s="1181"/>
      <c r="BL1452" s="1181"/>
      <c r="BM1452" s="1181"/>
      <c r="BN1452" s="1181"/>
      <c r="BO1452" s="1181"/>
      <c r="BP1452" s="1181"/>
      <c r="BQ1452" s="1181"/>
      <c r="BR1452" s="1181"/>
      <c r="BS1452" s="1181"/>
      <c r="BT1452" s="1181"/>
      <c r="BU1452" s="1181"/>
      <c r="BV1452" s="1181"/>
      <c r="BW1452" s="1181"/>
      <c r="BX1452" s="1181"/>
      <c r="BY1452" s="1181"/>
      <c r="BZ1452" s="1181"/>
      <c r="CA1452" s="1181"/>
      <c r="CB1452" s="1182"/>
    </row>
    <row r="1453" spans="1:80" ht="12.75" customHeight="1">
      <c r="A1453" s="219">
        <v>1389</v>
      </c>
      <c r="B1453" s="7145"/>
      <c r="C1453" s="902"/>
      <c r="D1453" s="57"/>
      <c r="E1453" s="905" t="s">
        <v>1130</v>
      </c>
      <c r="F1453" s="75">
        <v>20</v>
      </c>
      <c r="G1453" s="75">
        <v>10</v>
      </c>
      <c r="H1453" s="75">
        <f>COUNTIF(HabilidadesEsenciales_Adquiridas,Tablas!E1453)</f>
        <v>0</v>
      </c>
      <c r="I1453" s="907"/>
      <c r="J1453" s="173"/>
      <c r="K1453" s="898"/>
      <c r="M1453" s="307"/>
      <c r="N1453" s="21"/>
      <c r="O1453" s="131" t="s">
        <v>7292</v>
      </c>
      <c r="P1453" s="900">
        <v>10</v>
      </c>
      <c r="Q1453" s="173">
        <f>20+IF(OR(TipoDeCriatura="Entre mundos, Elemental",TipoDeCriatura="Ánima, Elemental"),10,0)</f>
        <v>20</v>
      </c>
      <c r="R1453" s="907">
        <f>COUNTIF(PoderesDeCriatura_Adquiridos,Tablas!O1453)</f>
        <v>0</v>
      </c>
      <c r="S1453" s="173"/>
      <c r="T1453" s="898"/>
      <c r="U1453">
        <v>2</v>
      </c>
      <c r="W1453" s="3983" t="s">
        <v>12482</v>
      </c>
      <c r="X1453" s="2613"/>
      <c r="Y1453" s="2615"/>
      <c r="Z1453" s="2615"/>
      <c r="AA1453" s="2615"/>
      <c r="AB1453" s="2615"/>
      <c r="AC1453" s="2615"/>
      <c r="AD1453" s="2615"/>
      <c r="AE1453" s="2615"/>
      <c r="AF1453" s="2615"/>
      <c r="AG1453" s="2615"/>
      <c r="AH1453" s="2615"/>
      <c r="AI1453" s="2615"/>
      <c r="AJ1453" s="2615"/>
      <c r="AK1453" s="2615"/>
      <c r="AL1453" s="2615"/>
      <c r="AM1453" s="2615"/>
      <c r="AN1453" s="2615"/>
      <c r="AO1453" s="2615"/>
      <c r="AP1453" s="2613"/>
      <c r="AQ1453" s="2613"/>
      <c r="AR1453" s="2613"/>
      <c r="AS1453" s="2613"/>
      <c r="AT1453" s="2613"/>
      <c r="AU1453" s="2613"/>
      <c r="AV1453" s="2613"/>
      <c r="AW1453" s="2613"/>
      <c r="AX1453" s="2613"/>
      <c r="AY1453" s="2613"/>
      <c r="AZ1453" s="2613"/>
      <c r="BA1453" s="2613"/>
      <c r="BB1453" s="2613"/>
      <c r="BC1453" s="2613"/>
      <c r="BD1453" s="2613"/>
      <c r="BE1453" s="2613"/>
      <c r="BF1453" s="2613"/>
      <c r="BG1453" s="2613"/>
      <c r="BH1453" s="2613"/>
      <c r="BI1453" s="2613"/>
      <c r="BJ1453" s="2613"/>
      <c r="BK1453" s="2613"/>
      <c r="BL1453" s="2613"/>
      <c r="BM1453" s="2613"/>
      <c r="BN1453" s="2613"/>
      <c r="BO1453" s="2613"/>
      <c r="BP1453" s="2613"/>
      <c r="BQ1453" s="2613"/>
      <c r="BR1453" s="2613"/>
      <c r="BS1453" s="2613"/>
      <c r="BT1453" s="2613"/>
      <c r="BU1453" s="2613"/>
      <c r="BV1453" s="2613"/>
      <c r="BW1453" s="2613"/>
      <c r="BX1453" s="2613"/>
      <c r="BY1453" s="2613"/>
      <c r="BZ1453" s="2613"/>
      <c r="CA1453" s="2613"/>
      <c r="CB1453" s="2613"/>
    </row>
    <row r="1454" spans="1:80" ht="12.75" customHeight="1">
      <c r="A1454" s="219">
        <v>1390</v>
      </c>
      <c r="B1454" s="7145"/>
      <c r="C1454" s="902"/>
      <c r="D1454" s="57"/>
      <c r="E1454" s="905" t="s">
        <v>1131</v>
      </c>
      <c r="F1454" s="75">
        <v>15</v>
      </c>
      <c r="G1454" s="75">
        <v>10</v>
      </c>
      <c r="H1454" s="75">
        <f>COUNTIF(HabilidadesEsenciales_Adquiridas,Tablas!E1454)</f>
        <v>0</v>
      </c>
      <c r="I1454" s="907"/>
      <c r="J1454" s="173"/>
      <c r="K1454" s="898"/>
      <c r="M1454" s="307"/>
      <c r="N1454" s="21"/>
      <c r="O1454" s="131" t="s">
        <v>7293</v>
      </c>
      <c r="P1454" s="900">
        <v>20</v>
      </c>
      <c r="Q1454" s="173">
        <v>60</v>
      </c>
      <c r="R1454" s="907">
        <f>COUNTIF(PoderesDeCriatura_Adquiridos,Tablas!O1454)</f>
        <v>0</v>
      </c>
      <c r="S1454" s="173"/>
      <c r="T1454" s="898"/>
      <c r="U1454">
        <v>2</v>
      </c>
      <c r="W1454" s="3983" t="s">
        <v>12483</v>
      </c>
      <c r="X1454" s="2613"/>
      <c r="Y1454" s="2698" t="str">
        <f>IF(Z1454="","",SUBSTITUTE("PodHab_"&amp;W1454," ",""))</f>
        <v>PodHab_Absorciónelemental</v>
      </c>
      <c r="Z1454" s="2698" t="s">
        <v>3334</v>
      </c>
      <c r="AA1454" s="2698" t="s">
        <v>4479</v>
      </c>
      <c r="AB1454" s="2698" t="s">
        <v>3335</v>
      </c>
      <c r="AC1454" s="2698" t="s">
        <v>5478</v>
      </c>
      <c r="AD1454" s="2698" t="s">
        <v>3336</v>
      </c>
      <c r="AE1454" s="2698" t="s">
        <v>3337</v>
      </c>
      <c r="AF1454" s="2698" t="s">
        <v>5495</v>
      </c>
      <c r="AG1454" s="2698"/>
      <c r="AH1454" s="2698"/>
      <c r="AI1454" s="2698"/>
      <c r="AJ1454" s="2615"/>
      <c r="AK1454" s="2615"/>
      <c r="AL1454" s="2615"/>
      <c r="AM1454" s="2615"/>
      <c r="AN1454" s="2615"/>
      <c r="AO1454" s="2615"/>
      <c r="AP1454" s="2613"/>
      <c r="AQ1454" s="2613"/>
      <c r="AR1454" s="2613"/>
      <c r="AS1454" s="2613"/>
      <c r="AT1454" s="2613"/>
      <c r="AU1454" s="2613"/>
      <c r="AV1454" s="2613"/>
      <c r="AW1454" s="2613"/>
      <c r="AX1454" s="2613"/>
      <c r="AY1454" s="2613"/>
      <c r="AZ1454" s="2613"/>
      <c r="BA1454" s="2613"/>
      <c r="BB1454" s="2613"/>
      <c r="BC1454" s="2613"/>
      <c r="BD1454" s="2613"/>
      <c r="BE1454" s="2613"/>
      <c r="BF1454" s="2613"/>
      <c r="BG1454" s="2613"/>
      <c r="BH1454" s="2613"/>
      <c r="BI1454" s="2613"/>
      <c r="BJ1454" s="2613"/>
      <c r="BK1454" s="2613"/>
      <c r="BL1454" s="2613"/>
      <c r="BM1454" s="2613"/>
      <c r="BN1454" s="2613"/>
      <c r="BO1454" s="2613"/>
      <c r="BP1454" s="2613"/>
      <c r="BQ1454" s="2613"/>
      <c r="BR1454" s="2613"/>
      <c r="BS1454" s="2613"/>
      <c r="BT1454" s="2613"/>
      <c r="BU1454" s="2613"/>
      <c r="BV1454" s="2613"/>
      <c r="BW1454" s="2613"/>
      <c r="BX1454" s="2613"/>
      <c r="BY1454" s="2613"/>
      <c r="BZ1454" s="2613"/>
      <c r="CA1454" s="2613"/>
      <c r="CB1454" s="2613"/>
    </row>
    <row r="1455" spans="1:80" ht="12.75" customHeight="1">
      <c r="A1455" s="219">
        <v>1391</v>
      </c>
      <c r="B1455" s="7145"/>
      <c r="C1455" s="902"/>
      <c r="D1455" s="57"/>
      <c r="E1455" s="905" t="s">
        <v>1132</v>
      </c>
      <c r="F1455" s="75">
        <v>20</v>
      </c>
      <c r="G1455" s="75">
        <v>50</v>
      </c>
      <c r="H1455" s="75">
        <f>COUNTIF(HabilidadesEsenciales_Adquiridas,Tablas!E1455)</f>
        <v>0</v>
      </c>
      <c r="I1455" s="907">
        <v>2</v>
      </c>
      <c r="J1455" s="173"/>
      <c r="K1455" s="898"/>
      <c r="M1455" s="307"/>
      <c r="N1455" s="21"/>
      <c r="O1455" s="131" t="s">
        <v>7294</v>
      </c>
      <c r="P1455" s="900">
        <v>10</v>
      </c>
      <c r="Q1455" s="173">
        <f>20+IF(OR(TipoDeCriatura="Entre mundos, Elemental",TipoDeCriatura="Ánima, Elemental"),10,0)</f>
        <v>20</v>
      </c>
      <c r="R1455" s="907">
        <f>COUNTIF(PoderesDeCriatura_Adquiridos,Tablas!O1455)</f>
        <v>0</v>
      </c>
      <c r="S1455" s="173"/>
      <c r="T1455" s="898"/>
      <c r="U1455">
        <v>2</v>
      </c>
      <c r="W1455" s="3983" t="s">
        <v>12495</v>
      </c>
      <c r="X1455" s="2613"/>
      <c r="Y1455" s="2698" t="str">
        <f t="shared" ref="Y1455:Y1458" si="411">IF(Z1455="","",SUBSTITUTE("PodHab_"&amp;W1455," ",""))</f>
        <v>PodHab_Disrupciónsobrenatural</v>
      </c>
      <c r="Z1455" s="2698" t="s">
        <v>12524</v>
      </c>
      <c r="AA1455" s="2698" t="s">
        <v>12525</v>
      </c>
      <c r="AB1455" s="2698" t="s">
        <v>12526</v>
      </c>
      <c r="AC1455" s="2698" t="s">
        <v>3389</v>
      </c>
      <c r="AD1455" s="2698" t="s">
        <v>3425</v>
      </c>
      <c r="AE1455" s="2698" t="s">
        <v>3390</v>
      </c>
      <c r="AF1455" s="2698" t="s">
        <v>3391</v>
      </c>
      <c r="AG1455" s="2698" t="s">
        <v>3153</v>
      </c>
      <c r="AH1455" s="2698"/>
      <c r="AI1455" s="2698"/>
      <c r="AJ1455" s="2615"/>
      <c r="AK1455" s="2615"/>
      <c r="AL1455" s="2615"/>
      <c r="AM1455" s="2615"/>
      <c r="AN1455" s="2615"/>
      <c r="AO1455" s="2615"/>
      <c r="AP1455" s="2613"/>
      <c r="AQ1455" s="2613"/>
      <c r="AR1455" s="2613"/>
      <c r="AS1455" s="2613"/>
      <c r="AT1455" s="2613"/>
      <c r="AU1455" s="2613"/>
      <c r="AV1455" s="2613"/>
      <c r="AW1455" s="2613"/>
      <c r="AX1455" s="2613"/>
      <c r="AY1455" s="2613"/>
      <c r="AZ1455" s="2613"/>
      <c r="BA1455" s="2613"/>
      <c r="BB1455" s="2613"/>
      <c r="BC1455" s="2613"/>
      <c r="BD1455" s="2613"/>
      <c r="BE1455" s="2613"/>
      <c r="BF1455" s="2613"/>
      <c r="BG1455" s="2613"/>
      <c r="BH1455" s="2613"/>
      <c r="BI1455" s="2613"/>
      <c r="BJ1455" s="2613"/>
      <c r="BK1455" s="2613"/>
      <c r="BL1455" s="2613"/>
      <c r="BM1455" s="2613"/>
      <c r="BN1455" s="2613"/>
      <c r="BO1455" s="2613"/>
      <c r="BP1455" s="2613"/>
      <c r="BQ1455" s="2613"/>
      <c r="BR1455" s="2613"/>
      <c r="BS1455" s="2613"/>
      <c r="BT1455" s="2613"/>
      <c r="BU1455" s="2613"/>
      <c r="BV1455" s="2613"/>
      <c r="BW1455" s="2613"/>
      <c r="BX1455" s="2613"/>
      <c r="BY1455" s="2613"/>
      <c r="BZ1455" s="2613"/>
      <c r="CA1455" s="2613"/>
      <c r="CB1455" s="2613"/>
    </row>
    <row r="1456" spans="1:80" ht="12.75" customHeight="1">
      <c r="A1456" s="219">
        <v>1392</v>
      </c>
      <c r="B1456" s="7145"/>
      <c r="C1456" s="902"/>
      <c r="D1456" s="57"/>
      <c r="E1456" s="905" t="s">
        <v>1133</v>
      </c>
      <c r="F1456" s="75">
        <v>20</v>
      </c>
      <c r="G1456" s="75">
        <v>10</v>
      </c>
      <c r="H1456" s="75">
        <f>COUNTIF(HabilidadesEsenciales_Adquiridas,Tablas!E1456)</f>
        <v>0</v>
      </c>
      <c r="I1456" s="907"/>
      <c r="J1456" s="173"/>
      <c r="K1456" s="898"/>
      <c r="M1456" s="307"/>
      <c r="N1456" s="21"/>
      <c r="O1456" s="131" t="s">
        <v>7295</v>
      </c>
      <c r="P1456" s="900">
        <v>20</v>
      </c>
      <c r="Q1456" s="173">
        <f>40+IF(OR(TipoDeCriatura="Entre mundos, Elemental",TipoDeCriatura="Ánima, Elemental"),10,0)</f>
        <v>40</v>
      </c>
      <c r="R1456" s="907">
        <f>COUNTIF(PoderesDeCriatura_Adquiridos,Tablas!O1456)</f>
        <v>0</v>
      </c>
      <c r="S1456" s="173"/>
      <c r="T1456" s="898"/>
      <c r="U1456">
        <v>2</v>
      </c>
      <c r="W1456" s="3983" t="s">
        <v>12522</v>
      </c>
      <c r="X1456" s="2613"/>
      <c r="Y1456" s="2698" t="str">
        <f t="shared" si="411"/>
        <v>PodHab_Movimientoexistencial</v>
      </c>
      <c r="Z1456" s="2698" t="s">
        <v>12527</v>
      </c>
      <c r="AA1456" s="2698" t="s">
        <v>12528</v>
      </c>
      <c r="AB1456" s="2698" t="s">
        <v>12529</v>
      </c>
      <c r="AC1456" s="2698" t="s">
        <v>12530</v>
      </c>
      <c r="AD1456" s="2698" t="s">
        <v>12531</v>
      </c>
      <c r="AE1456" s="2698" t="s">
        <v>8641</v>
      </c>
      <c r="AF1456" s="2698" t="s">
        <v>4595</v>
      </c>
      <c r="AG1456" s="2698" t="s">
        <v>4596</v>
      </c>
      <c r="AH1456" s="2698"/>
      <c r="AI1456" s="2698"/>
      <c r="AJ1456" s="2615"/>
      <c r="AK1456" s="2615"/>
      <c r="AL1456" s="2615"/>
      <c r="AM1456" s="2615"/>
      <c r="AN1456" s="2615"/>
      <c r="AO1456" s="2615"/>
      <c r="AP1456" s="2613"/>
      <c r="AQ1456" s="2613"/>
      <c r="AR1456" s="2613"/>
      <c r="AS1456" s="2613"/>
      <c r="AT1456" s="2613"/>
      <c r="AU1456" s="2613"/>
      <c r="AV1456" s="2613"/>
      <c r="AW1456" s="2613"/>
      <c r="AX1456" s="2613"/>
      <c r="AY1456" s="2613"/>
      <c r="AZ1456" s="2613"/>
      <c r="BA1456" s="2613"/>
      <c r="BB1456" s="2613"/>
      <c r="BC1456" s="2613"/>
      <c r="BD1456" s="2613"/>
      <c r="BE1456" s="2613"/>
      <c r="BF1456" s="2613"/>
      <c r="BG1456" s="2613"/>
      <c r="BH1456" s="2613"/>
      <c r="BI1456" s="2613"/>
      <c r="BJ1456" s="2613"/>
      <c r="BK1456" s="2613"/>
      <c r="BL1456" s="2613"/>
      <c r="BM1456" s="2613"/>
      <c r="BN1456" s="2613"/>
      <c r="BO1456" s="2613"/>
      <c r="BP1456" s="2613"/>
      <c r="BQ1456" s="2613"/>
      <c r="BR1456" s="2613"/>
      <c r="BS1456" s="2613"/>
      <c r="BT1456" s="2613"/>
      <c r="BU1456" s="2613"/>
      <c r="BV1456" s="2613"/>
      <c r="BW1456" s="2613"/>
      <c r="BX1456" s="2613"/>
      <c r="BY1456" s="2613"/>
      <c r="BZ1456" s="2613"/>
      <c r="CA1456" s="2613"/>
      <c r="CB1456" s="2613"/>
    </row>
    <row r="1457" spans="1:80" ht="12.75" customHeight="1">
      <c r="A1457" s="219">
        <v>1393</v>
      </c>
      <c r="B1457" s="7145"/>
      <c r="C1457" s="902"/>
      <c r="D1457" s="57"/>
      <c r="E1457" s="905" t="s">
        <v>1134</v>
      </c>
      <c r="F1457" s="75">
        <v>25</v>
      </c>
      <c r="G1457" s="75">
        <v>30</v>
      </c>
      <c r="H1457" s="75">
        <f>COUNTIF(HabilidadesEsenciales_Adquiridas,Tablas!E1457)</f>
        <v>0</v>
      </c>
      <c r="I1457" s="907"/>
      <c r="J1457" s="173"/>
      <c r="K1457" s="898"/>
      <c r="M1457" s="307"/>
      <c r="N1457" s="21"/>
      <c r="O1457" s="131" t="s">
        <v>7296</v>
      </c>
      <c r="P1457" s="900">
        <v>10</v>
      </c>
      <c r="Q1457" s="173">
        <f>50+IF(OR(TipoDeCriatura="Entre mundos, Elemental",TipoDeCriatura="Ánima, Elemental"),10,0)</f>
        <v>50</v>
      </c>
      <c r="R1457" s="907">
        <f>COUNTIF(PoderesDeCriatura_Adquiridos,Tablas!O1457)</f>
        <v>0</v>
      </c>
      <c r="S1457" s="173"/>
      <c r="T1457" s="898"/>
      <c r="U1457">
        <v>2</v>
      </c>
      <c r="W1457" s="3983" t="s">
        <v>12523</v>
      </c>
      <c r="X1457" s="2613"/>
      <c r="Y1457" s="2698" t="str">
        <f t="shared" si="411"/>
        <v>PodHab_Mutabilidad</v>
      </c>
      <c r="Z1457" s="2698" t="s">
        <v>12532</v>
      </c>
      <c r="AA1457" s="2698" t="s">
        <v>12533</v>
      </c>
      <c r="AB1457" s="2698" t="s">
        <v>12534</v>
      </c>
      <c r="AC1457" s="2698" t="s">
        <v>12535</v>
      </c>
      <c r="AD1457" s="2698" t="s">
        <v>12536</v>
      </c>
      <c r="AE1457" s="2698"/>
      <c r="AF1457" s="2698"/>
      <c r="AG1457" s="2698"/>
      <c r="AH1457" s="2698"/>
      <c r="AI1457" s="2698"/>
      <c r="AJ1457" s="2615"/>
      <c r="AK1457" s="2615"/>
      <c r="AL1457" s="2615"/>
      <c r="AM1457" s="2615"/>
      <c r="AN1457" s="2615"/>
      <c r="AO1457" s="2615"/>
      <c r="AP1457" s="2613"/>
      <c r="AQ1457" s="2613"/>
      <c r="AR1457" s="2613"/>
      <c r="AS1457" s="2613"/>
      <c r="AT1457" s="2613"/>
      <c r="AU1457" s="2613"/>
      <c r="AV1457" s="2613"/>
      <c r="AW1457" s="2613"/>
      <c r="AX1457" s="2613"/>
      <c r="AY1457" s="2613"/>
      <c r="AZ1457" s="2613"/>
      <c r="BA1457" s="2613"/>
      <c r="BB1457" s="2613"/>
      <c r="BC1457" s="2613"/>
      <c r="BD1457" s="2613"/>
      <c r="BE1457" s="2613"/>
      <c r="BF1457" s="2613"/>
      <c r="BG1457" s="2613"/>
      <c r="BH1457" s="2613"/>
      <c r="BI1457" s="2613"/>
      <c r="BJ1457" s="2613"/>
      <c r="BK1457" s="2613"/>
      <c r="BL1457" s="2613"/>
      <c r="BM1457" s="2613"/>
      <c r="BN1457" s="2613"/>
      <c r="BO1457" s="2613"/>
      <c r="BP1457" s="2613"/>
      <c r="BQ1457" s="2613"/>
      <c r="BR1457" s="2613"/>
      <c r="BS1457" s="2613"/>
      <c r="BT1457" s="2613"/>
      <c r="BU1457" s="2613"/>
      <c r="BV1457" s="2613"/>
      <c r="BW1457" s="2613"/>
      <c r="BX1457" s="2613"/>
      <c r="BY1457" s="2613"/>
      <c r="BZ1457" s="2613"/>
      <c r="CA1457" s="2613"/>
      <c r="CB1457" s="2613"/>
    </row>
    <row r="1458" spans="1:80" ht="12.75" customHeight="1">
      <c r="A1458" s="219">
        <v>1394</v>
      </c>
      <c r="B1458" s="7145"/>
      <c r="C1458" s="902"/>
      <c r="D1458" s="57"/>
      <c r="E1458" s="905" t="s">
        <v>1135</v>
      </c>
      <c r="F1458" s="75">
        <v>10</v>
      </c>
      <c r="G1458" s="75">
        <v>20</v>
      </c>
      <c r="H1458" s="75">
        <f>COUNTIF(HabilidadesEsenciales_Adquiridas,Tablas!E1458)</f>
        <v>0</v>
      </c>
      <c r="I1458" s="907"/>
      <c r="J1458" s="173"/>
      <c r="K1458" s="898"/>
      <c r="M1458" s="307"/>
      <c r="N1458" s="21"/>
      <c r="O1458" s="131" t="s">
        <v>7297</v>
      </c>
      <c r="P1458" s="900">
        <v>20</v>
      </c>
      <c r="Q1458" s="173">
        <f>40+IF(OR(TipoDeCriatura="Entre mundos, Elemental",TipoDeCriatura="Ánima, Elemental"),10,0)</f>
        <v>40</v>
      </c>
      <c r="R1458" s="907">
        <f>COUNTIF(PoderesDeCriatura_Adquiridos,Tablas!O1458)</f>
        <v>0</v>
      </c>
      <c r="S1458" s="173"/>
      <c r="T1458" s="898"/>
      <c r="U1458">
        <v>2</v>
      </c>
      <c r="W1458" s="3983" t="s">
        <v>6139</v>
      </c>
      <c r="X1458" s="2613"/>
      <c r="Y1458" s="2698" t="str">
        <f t="shared" si="411"/>
        <v>PodHab_Vórtice</v>
      </c>
      <c r="Z1458" s="3858" t="s">
        <v>12537</v>
      </c>
      <c r="AA1458" s="3858" t="s">
        <v>12538</v>
      </c>
      <c r="AB1458" s="3858" t="s">
        <v>12539</v>
      </c>
      <c r="AC1458" s="3858" t="s">
        <v>12540</v>
      </c>
      <c r="AD1458" s="3858" t="s">
        <v>12541</v>
      </c>
      <c r="AE1458" s="2698"/>
      <c r="AF1458" s="2698"/>
      <c r="AG1458" s="2698"/>
      <c r="AH1458" s="2698"/>
      <c r="AI1458" s="2698"/>
      <c r="AJ1458" s="2615"/>
      <c r="AK1458" s="2615"/>
      <c r="AL1458" s="2615"/>
      <c r="AM1458" s="2615"/>
      <c r="AN1458" s="2615"/>
      <c r="AO1458" s="2615"/>
      <c r="AP1458" s="2613"/>
      <c r="AQ1458" s="2613"/>
      <c r="AR1458" s="2613"/>
      <c r="AS1458" s="2613"/>
      <c r="AT1458" s="2613"/>
      <c r="AU1458" s="2613"/>
      <c r="AV1458" s="2613"/>
      <c r="AW1458" s="2613"/>
      <c r="AX1458" s="2613"/>
      <c r="AY1458" s="2613"/>
      <c r="AZ1458" s="2613"/>
      <c r="BA1458" s="2613"/>
      <c r="BB1458" s="2613"/>
      <c r="BC1458" s="2613"/>
      <c r="BD1458" s="2613"/>
      <c r="BE1458" s="2613"/>
      <c r="BF1458" s="2613"/>
      <c r="BG1458" s="2613"/>
      <c r="BH1458" s="2613"/>
      <c r="BI1458" s="2613"/>
      <c r="BJ1458" s="2613"/>
      <c r="BK1458" s="2613"/>
      <c r="BL1458" s="2613"/>
      <c r="BM1458" s="2613"/>
      <c r="BN1458" s="2613"/>
      <c r="BO1458" s="2613"/>
      <c r="BP1458" s="2613"/>
      <c r="BQ1458" s="2613"/>
      <c r="BR1458" s="2613"/>
      <c r="BS1458" s="2613"/>
      <c r="BT1458" s="2613"/>
      <c r="BU1458" s="2613"/>
      <c r="BV1458" s="2613"/>
      <c r="BW1458" s="2613"/>
      <c r="BX1458" s="2613"/>
      <c r="BY1458" s="2613"/>
      <c r="BZ1458" s="2613"/>
      <c r="CA1458" s="2613"/>
      <c r="CB1458" s="2613"/>
    </row>
    <row r="1459" spans="1:80" ht="12.75" customHeight="1">
      <c r="A1459" s="219">
        <v>1395</v>
      </c>
      <c r="B1459" s="7145"/>
      <c r="C1459" s="902"/>
      <c r="D1459" s="57"/>
      <c r="E1459" s="905" t="s">
        <v>1136</v>
      </c>
      <c r="F1459" s="75">
        <v>0</v>
      </c>
      <c r="G1459" s="75">
        <v>0</v>
      </c>
      <c r="H1459" s="75"/>
      <c r="I1459" s="907"/>
      <c r="J1459" s="173"/>
      <c r="K1459" s="898"/>
      <c r="M1459" s="307"/>
      <c r="N1459" s="21"/>
      <c r="O1459" s="131" t="s">
        <v>7298</v>
      </c>
      <c r="P1459" s="900">
        <v>20</v>
      </c>
      <c r="Q1459" s="173">
        <f>80+IF(OR(TipoDeCriatura="Entre mundos, Elemental",TipoDeCriatura="Ánima, Elemental"),10,0)</f>
        <v>80</v>
      </c>
      <c r="R1459" s="907">
        <f>COUNTIF(PoderesDeCriatura_Adquiridos,Tablas!O1459)</f>
        <v>0</v>
      </c>
      <c r="S1459" s="173"/>
      <c r="T1459" s="898"/>
      <c r="U1459">
        <v>2</v>
      </c>
      <c r="W1459" s="929" t="s">
        <v>29</v>
      </c>
      <c r="X1459" s="699"/>
      <c r="Y1459" s="921"/>
      <c r="Z1459" s="1177"/>
      <c r="AA1459" s="1183"/>
      <c r="AB1459" s="1183"/>
      <c r="AC1459" s="1183"/>
      <c r="AD1459" s="1183"/>
      <c r="AE1459" s="1183"/>
      <c r="AF1459" s="1183"/>
      <c r="AG1459" s="1183"/>
      <c r="AH1459" s="1183"/>
      <c r="AI1459" s="1183"/>
      <c r="AJ1459" s="1183"/>
      <c r="AK1459" s="1183"/>
      <c r="AL1459" s="1183"/>
      <c r="AM1459" s="1183"/>
      <c r="AN1459" s="1183"/>
      <c r="AO1459" s="1183"/>
      <c r="AP1459" s="1183"/>
      <c r="AQ1459" s="1181"/>
      <c r="AR1459" s="1181"/>
      <c r="AS1459" s="1181"/>
      <c r="AT1459" s="1181"/>
      <c r="AU1459" s="1181"/>
      <c r="AV1459" s="1181"/>
      <c r="AW1459" s="1181"/>
      <c r="AX1459" s="1181"/>
      <c r="AY1459" s="1181"/>
      <c r="AZ1459" s="1181"/>
      <c r="BA1459" s="1181"/>
      <c r="BB1459" s="1181"/>
      <c r="BC1459" s="1181"/>
      <c r="BD1459" s="1181"/>
      <c r="BE1459" s="1181"/>
      <c r="BF1459" s="1181"/>
      <c r="BG1459" s="1181"/>
      <c r="BH1459" s="1181"/>
      <c r="BI1459" s="1181"/>
      <c r="BJ1459" s="1181"/>
      <c r="BK1459" s="1181"/>
      <c r="BL1459" s="1181"/>
      <c r="BM1459" s="1181"/>
      <c r="BN1459" s="1181"/>
      <c r="BO1459" s="1181"/>
      <c r="BP1459" s="1181"/>
      <c r="BQ1459" s="1181"/>
      <c r="BR1459" s="1181"/>
      <c r="BS1459" s="1181"/>
      <c r="BT1459" s="1181"/>
      <c r="BU1459" s="1181"/>
      <c r="BV1459" s="1181"/>
      <c r="BW1459" s="1181"/>
      <c r="BX1459" s="1181"/>
      <c r="BY1459" s="1181"/>
      <c r="BZ1459" s="1181"/>
      <c r="CA1459" s="1181"/>
      <c r="CB1459" s="1182"/>
    </row>
    <row r="1460" spans="1:80" ht="12.75" customHeight="1">
      <c r="A1460" s="219">
        <v>1396</v>
      </c>
      <c r="B1460" s="7145"/>
      <c r="C1460" s="902"/>
      <c r="D1460" s="57"/>
      <c r="E1460" s="905" t="s">
        <v>1137</v>
      </c>
      <c r="F1460" s="75">
        <v>5</v>
      </c>
      <c r="G1460" s="75">
        <v>30</v>
      </c>
      <c r="H1460" s="75">
        <f>COUNTIF(HabilidadesEsenciales_Adquiridas,Tablas!E1460)</f>
        <v>0</v>
      </c>
      <c r="I1460" s="907">
        <v>1</v>
      </c>
      <c r="J1460" s="173"/>
      <c r="K1460" s="898"/>
      <c r="M1460" s="307"/>
      <c r="N1460" s="21"/>
      <c r="O1460" s="131" t="s">
        <v>7299</v>
      </c>
      <c r="P1460" s="900">
        <v>20</v>
      </c>
      <c r="Q1460" s="173">
        <f>20+IF(OR(TipoDeCriatura="Entre mundos, Elemental",TipoDeCriatura="Ánima, Elemental"),10,0)</f>
        <v>20</v>
      </c>
      <c r="R1460" s="907">
        <f>COUNTIF(PoderesDeCriatura_Adquiridos,Tablas!O1460)</f>
        <v>0</v>
      </c>
      <c r="S1460" s="173"/>
      <c r="T1460" s="898"/>
      <c r="U1460">
        <v>2</v>
      </c>
      <c r="W1460" s="929" t="str">
        <f t="shared" ref="W1460:W1469" si="412">O1914</f>
        <v>Poder #1</v>
      </c>
      <c r="X1460" s="286"/>
      <c r="Y1460" s="921"/>
      <c r="Z1460" s="1177"/>
      <c r="AA1460" s="1183"/>
      <c r="AB1460" s="1183"/>
      <c r="AC1460" s="1183"/>
      <c r="AD1460" s="1183"/>
      <c r="AE1460" s="1183"/>
      <c r="AF1460" s="1183"/>
      <c r="AG1460" s="1183"/>
      <c r="AH1460" s="1183"/>
      <c r="AI1460" s="1183"/>
      <c r="AJ1460" s="1183"/>
      <c r="AK1460" s="1183"/>
      <c r="AL1460" s="1183"/>
      <c r="AM1460" s="1183"/>
      <c r="AN1460" s="1183"/>
      <c r="AO1460" s="1183"/>
      <c r="AP1460" s="1183"/>
      <c r="AQ1460" s="1181"/>
      <c r="AR1460" s="1181"/>
      <c r="AS1460" s="1181"/>
      <c r="AT1460" s="1181"/>
      <c r="AU1460" s="1181"/>
      <c r="AV1460" s="1181"/>
      <c r="AW1460" s="1181"/>
      <c r="AX1460" s="1181"/>
      <c r="AY1460" s="1181"/>
      <c r="AZ1460" s="1181"/>
      <c r="BA1460" s="1181"/>
      <c r="BB1460" s="1181"/>
      <c r="BC1460" s="1181"/>
      <c r="BD1460" s="1181"/>
      <c r="BE1460" s="1181"/>
      <c r="BF1460" s="1181"/>
      <c r="BG1460" s="1181"/>
      <c r="BH1460" s="1181"/>
      <c r="BI1460" s="1181"/>
      <c r="BJ1460" s="1181"/>
      <c r="BK1460" s="1181"/>
      <c r="BL1460" s="1181"/>
      <c r="BM1460" s="1181"/>
      <c r="BN1460" s="1181"/>
      <c r="BO1460" s="1181"/>
      <c r="BP1460" s="1181"/>
      <c r="BQ1460" s="1181"/>
      <c r="BR1460" s="1181"/>
      <c r="BS1460" s="1181"/>
      <c r="BT1460" s="1181"/>
      <c r="BU1460" s="1181"/>
      <c r="BV1460" s="1181"/>
      <c r="BW1460" s="1181"/>
      <c r="BX1460" s="1181"/>
      <c r="BY1460" s="1181"/>
      <c r="BZ1460" s="1181"/>
      <c r="CA1460" s="1181"/>
      <c r="CB1460" s="1182"/>
    </row>
    <row r="1461" spans="1:80" ht="12.75" customHeight="1">
      <c r="A1461" s="219">
        <v>1397</v>
      </c>
      <c r="B1461" s="7145"/>
      <c r="C1461" s="902"/>
      <c r="D1461" s="57"/>
      <c r="E1461" s="905" t="s">
        <v>7675</v>
      </c>
      <c r="F1461" s="75">
        <v>10</v>
      </c>
      <c r="G1461" s="75">
        <v>10</v>
      </c>
      <c r="H1461" s="75">
        <f>COUNTIF(HabilidadesEsenciales_Adquiridas,Tablas!E1461)</f>
        <v>0</v>
      </c>
      <c r="I1461" s="907">
        <v>1</v>
      </c>
      <c r="J1461" s="173">
        <f t="array" ref="J1461">MAX($H$1461:$H$1515*IF(ISNUMBER(SEARCH(K1461,$E$1461:$E$1515)),VALUE(RIGHT($E$1461:$E$1515,2)),0))</f>
        <v>0</v>
      </c>
      <c r="K1461" s="898" t="str">
        <f t="array" ref="K1461:K1471">Lista_Vías</f>
        <v>Luz</v>
      </c>
      <c r="M1461" s="307"/>
      <c r="N1461" s="21"/>
      <c r="O1461" s="131" t="s">
        <v>7300</v>
      </c>
      <c r="P1461" s="900">
        <v>10</v>
      </c>
      <c r="Q1461" s="173">
        <f>50+IF(OR(TipoDeCriatura="Entre mundos, Elemental",TipoDeCriatura="Ánima, Elemental"),10,0)</f>
        <v>50</v>
      </c>
      <c r="R1461" s="907">
        <f>COUNTIF(PoderesDeCriatura_Adquiridos,Tablas!O1461)</f>
        <v>0</v>
      </c>
      <c r="S1461" s="173"/>
      <c r="T1461" s="898"/>
      <c r="U1461">
        <v>2</v>
      </c>
      <c r="W1461" s="929" t="str">
        <f t="shared" si="412"/>
        <v>Poder #2</v>
      </c>
      <c r="X1461" s="286"/>
      <c r="Y1461" s="921"/>
      <c r="Z1461" s="1177"/>
      <c r="AA1461" s="1183"/>
      <c r="AB1461" s="1183"/>
      <c r="AC1461" s="1183"/>
      <c r="AD1461" s="1183"/>
      <c r="AE1461" s="1183"/>
      <c r="AF1461" s="1183"/>
      <c r="AG1461" s="1183"/>
      <c r="AH1461" s="1183"/>
      <c r="AI1461" s="1183"/>
      <c r="AJ1461" s="1183"/>
      <c r="AK1461" s="1183"/>
      <c r="AL1461" s="1183"/>
      <c r="AM1461" s="1183"/>
      <c r="AN1461" s="1183"/>
      <c r="AO1461" s="1183"/>
      <c r="AP1461" s="1183"/>
      <c r="AQ1461" s="1181"/>
      <c r="AR1461" s="1181"/>
      <c r="AS1461" s="1181"/>
      <c r="AT1461" s="1181"/>
      <c r="AU1461" s="1181"/>
      <c r="AV1461" s="1181"/>
      <c r="AW1461" s="1181"/>
      <c r="AX1461" s="1181"/>
      <c r="AY1461" s="1181"/>
      <c r="AZ1461" s="1181"/>
      <c r="BA1461" s="1181"/>
      <c r="BB1461" s="1181"/>
      <c r="BC1461" s="1181"/>
      <c r="BD1461" s="1181"/>
      <c r="BE1461" s="1181"/>
      <c r="BF1461" s="1181"/>
      <c r="BG1461" s="1181"/>
      <c r="BH1461" s="1181"/>
      <c r="BI1461" s="1181"/>
      <c r="BJ1461" s="1181"/>
      <c r="BK1461" s="1181"/>
      <c r="BL1461" s="1181"/>
      <c r="BM1461" s="1181"/>
      <c r="BN1461" s="1181"/>
      <c r="BO1461" s="1181"/>
      <c r="BP1461" s="1181"/>
      <c r="BQ1461" s="1181"/>
      <c r="BR1461" s="1181"/>
      <c r="BS1461" s="1181"/>
      <c r="BT1461" s="1181"/>
      <c r="BU1461" s="1181"/>
      <c r="BV1461" s="1181"/>
      <c r="BW1461" s="1181"/>
      <c r="BX1461" s="1181"/>
      <c r="BY1461" s="1181"/>
      <c r="BZ1461" s="1181"/>
      <c r="CA1461" s="1181"/>
      <c r="CB1461" s="1182"/>
    </row>
    <row r="1462" spans="1:80" ht="12.75" customHeight="1">
      <c r="A1462" s="219">
        <v>1398</v>
      </c>
      <c r="B1462" s="7145"/>
      <c r="C1462" s="902"/>
      <c r="D1462" s="57"/>
      <c r="E1462" s="905" t="s">
        <v>7676</v>
      </c>
      <c r="F1462" s="75">
        <v>15</v>
      </c>
      <c r="G1462" s="75">
        <v>20</v>
      </c>
      <c r="H1462" s="75">
        <f>COUNTIF(HabilidadesEsenciales_Adquiridas,Tablas!E1462)</f>
        <v>0</v>
      </c>
      <c r="I1462" s="907">
        <v>1</v>
      </c>
      <c r="J1462" s="173">
        <f t="array" ref="J1462">MAX($H$1461:$H$1515*IF(ISNUMBER(SEARCH(K1462,$E$1461:$E$1515)),VALUE(RIGHT($E$1461:$E$1515,2)),0))</f>
        <v>0</v>
      </c>
      <c r="K1462" s="898" t="str">
        <v>Oscuridad</v>
      </c>
      <c r="M1462" s="307"/>
      <c r="N1462" s="21"/>
      <c r="O1462" s="131" t="s">
        <v>7301</v>
      </c>
      <c r="P1462" s="900">
        <v>10</v>
      </c>
      <c r="Q1462" s="173">
        <f>10+IF(OR(TipoDeCriatura="Entre mundos, Elemental",TipoDeCriatura="Ánima, Elemental"),10,0)</f>
        <v>10</v>
      </c>
      <c r="R1462" s="907">
        <f>COUNTIF(PoderesDeCriatura_Adquiridos,Tablas!O1462)</f>
        <v>0</v>
      </c>
      <c r="S1462" s="173"/>
      <c r="T1462" s="898"/>
      <c r="U1462">
        <v>2</v>
      </c>
      <c r="W1462" s="929" t="str">
        <f t="shared" si="412"/>
        <v>Poder #3</v>
      </c>
      <c r="X1462" s="286"/>
      <c r="Y1462" s="921"/>
      <c r="Z1462" s="1177"/>
      <c r="AA1462" s="1183"/>
      <c r="AB1462" s="1183"/>
      <c r="AC1462" s="1183"/>
      <c r="AD1462" s="1183"/>
      <c r="AE1462" s="1183"/>
      <c r="AF1462" s="1183"/>
      <c r="AG1462" s="1183"/>
      <c r="AH1462" s="1183"/>
      <c r="AI1462" s="1183"/>
      <c r="AJ1462" s="1183"/>
      <c r="AK1462" s="1183"/>
      <c r="AL1462" s="1183"/>
      <c r="AM1462" s="1183"/>
      <c r="AN1462" s="1183"/>
      <c r="AO1462" s="1183"/>
      <c r="AP1462" s="1183"/>
      <c r="AQ1462" s="1181"/>
      <c r="AR1462" s="1181"/>
      <c r="AS1462" s="1181"/>
      <c r="AT1462" s="1181"/>
      <c r="AU1462" s="1181"/>
      <c r="AV1462" s="1181"/>
      <c r="AW1462" s="1181"/>
      <c r="AX1462" s="1181"/>
      <c r="AY1462" s="1181"/>
      <c r="AZ1462" s="1181"/>
      <c r="BA1462" s="1181"/>
      <c r="BB1462" s="1181"/>
      <c r="BC1462" s="1181"/>
      <c r="BD1462" s="1181"/>
      <c r="BE1462" s="1181"/>
      <c r="BF1462" s="1181"/>
      <c r="BG1462" s="1181"/>
      <c r="BH1462" s="1181"/>
      <c r="BI1462" s="1181"/>
      <c r="BJ1462" s="1181"/>
      <c r="BK1462" s="1181"/>
      <c r="BL1462" s="1181"/>
      <c r="BM1462" s="1181"/>
      <c r="BN1462" s="1181"/>
      <c r="BO1462" s="1181"/>
      <c r="BP1462" s="1181"/>
      <c r="BQ1462" s="1181"/>
      <c r="BR1462" s="1181"/>
      <c r="BS1462" s="1181"/>
      <c r="BT1462" s="1181"/>
      <c r="BU1462" s="1181"/>
      <c r="BV1462" s="1181"/>
      <c r="BW1462" s="1181"/>
      <c r="BX1462" s="1181"/>
      <c r="BY1462" s="1181"/>
      <c r="BZ1462" s="1181"/>
      <c r="CA1462" s="1181"/>
      <c r="CB1462" s="1182"/>
    </row>
    <row r="1463" spans="1:80" ht="12.75" customHeight="1">
      <c r="A1463" s="219">
        <v>1399</v>
      </c>
      <c r="B1463" s="7145"/>
      <c r="C1463" s="902"/>
      <c r="D1463" s="57"/>
      <c r="E1463" s="905" t="s">
        <v>7677</v>
      </c>
      <c r="F1463" s="75">
        <v>20</v>
      </c>
      <c r="G1463" s="75">
        <v>30</v>
      </c>
      <c r="H1463" s="75">
        <f>COUNTIF(HabilidadesEsenciales_Adquiridas,Tablas!E1463)</f>
        <v>0</v>
      </c>
      <c r="I1463" s="907">
        <v>1</v>
      </c>
      <c r="J1463" s="173">
        <f t="array" ref="J1463">MAX($H$1461:$H$1515*IF(ISNUMBER(SEARCH(K1463,$E$1461:$E$1515)),VALUE(RIGHT($E$1461:$E$1515,2)),0))</f>
        <v>0</v>
      </c>
      <c r="K1463" s="898" t="str">
        <v>Fuego</v>
      </c>
      <c r="M1463" s="307"/>
      <c r="N1463" s="21"/>
      <c r="O1463" s="131" t="s">
        <v>7302</v>
      </c>
      <c r="P1463" s="900">
        <v>10</v>
      </c>
      <c r="Q1463" s="173">
        <f>10+IF(OR(TipoDeCriatura="Entre mundos, Elemental",TipoDeCriatura="Ánima, Elemental"),10,0)</f>
        <v>10</v>
      </c>
      <c r="R1463" s="907">
        <f>COUNTIF(PoderesDeCriatura_Adquiridos,Tablas!O1463)</f>
        <v>0</v>
      </c>
      <c r="S1463" s="173"/>
      <c r="T1463" s="898"/>
      <c r="U1463">
        <v>2</v>
      </c>
      <c r="W1463" s="929" t="str">
        <f t="shared" si="412"/>
        <v>Poder #4</v>
      </c>
      <c r="X1463" s="286"/>
      <c r="Y1463" s="921"/>
      <c r="Z1463" s="1177"/>
      <c r="AA1463" s="1183"/>
      <c r="AB1463" s="1183"/>
      <c r="AC1463" s="1183"/>
      <c r="AD1463" s="1183"/>
      <c r="AE1463" s="1183"/>
      <c r="AF1463" s="1183"/>
      <c r="AG1463" s="1183"/>
      <c r="AH1463" s="1183"/>
      <c r="AI1463" s="1183"/>
      <c r="AJ1463" s="1183"/>
      <c r="AK1463" s="1183"/>
      <c r="AL1463" s="1183"/>
      <c r="AM1463" s="1183"/>
      <c r="AN1463" s="1183"/>
      <c r="AO1463" s="1183"/>
      <c r="AP1463" s="1183"/>
      <c r="AQ1463" s="1181"/>
      <c r="AR1463" s="1181"/>
      <c r="AS1463" s="1181"/>
      <c r="AT1463" s="1181"/>
      <c r="AU1463" s="1181"/>
      <c r="AV1463" s="1181"/>
      <c r="AW1463" s="1181"/>
      <c r="AX1463" s="1181"/>
      <c r="AY1463" s="1181"/>
      <c r="AZ1463" s="1181"/>
      <c r="BA1463" s="1181"/>
      <c r="BB1463" s="1181"/>
      <c r="BC1463" s="1181"/>
      <c r="BD1463" s="1181"/>
      <c r="BE1463" s="1181"/>
      <c r="BF1463" s="1181"/>
      <c r="BG1463" s="1181"/>
      <c r="BH1463" s="1181"/>
      <c r="BI1463" s="1181"/>
      <c r="BJ1463" s="1181"/>
      <c r="BK1463" s="1181"/>
      <c r="BL1463" s="1181"/>
      <c r="BM1463" s="1181"/>
      <c r="BN1463" s="1181"/>
      <c r="BO1463" s="1181"/>
      <c r="BP1463" s="1181"/>
      <c r="BQ1463" s="1181"/>
      <c r="BR1463" s="1181"/>
      <c r="BS1463" s="1181"/>
      <c r="BT1463" s="1181"/>
      <c r="BU1463" s="1181"/>
      <c r="BV1463" s="1181"/>
      <c r="BW1463" s="1181"/>
      <c r="BX1463" s="1181"/>
      <c r="BY1463" s="1181"/>
      <c r="BZ1463" s="1181"/>
      <c r="CA1463" s="1181"/>
      <c r="CB1463" s="1182"/>
    </row>
    <row r="1464" spans="1:80" ht="12.75" customHeight="1">
      <c r="A1464" s="219">
        <v>1400</v>
      </c>
      <c r="B1464" s="7145"/>
      <c r="C1464" s="902"/>
      <c r="D1464" s="57"/>
      <c r="E1464" s="905" t="s">
        <v>7678</v>
      </c>
      <c r="F1464" s="75">
        <v>25</v>
      </c>
      <c r="G1464" s="75">
        <v>40</v>
      </c>
      <c r="H1464" s="75">
        <f>COUNTIF(HabilidadesEsenciales_Adquiridas,Tablas!E1464)</f>
        <v>0</v>
      </c>
      <c r="I1464" s="907">
        <v>1</v>
      </c>
      <c r="J1464" s="173">
        <f t="array" ref="J1464">MAX($H$1461:$H$1515*IF(ISNUMBER(SEARCH(K1464,$E$1461:$E$1515)),VALUE(RIGHT($E$1461:$E$1515,2)),0))</f>
        <v>0</v>
      </c>
      <c r="K1464" s="898" t="str">
        <v>Agua</v>
      </c>
      <c r="M1464" s="307"/>
      <c r="N1464" s="21"/>
      <c r="O1464" s="131" t="s">
        <v>7303</v>
      </c>
      <c r="P1464" s="900">
        <v>20</v>
      </c>
      <c r="Q1464" s="173">
        <f>20+IF(OR(TipoDeCriatura="Entre mundos, Elemental",TipoDeCriatura="Ánima, Elemental"),10,0)</f>
        <v>20</v>
      </c>
      <c r="R1464" s="907">
        <f>COUNTIF(PoderesDeCriatura_Adquiridos,Tablas!O1464)</f>
        <v>0</v>
      </c>
      <c r="S1464" s="173"/>
      <c r="T1464" s="898"/>
      <c r="U1464">
        <v>2</v>
      </c>
      <c r="W1464" s="929" t="str">
        <f t="shared" si="412"/>
        <v>Poder #5</v>
      </c>
      <c r="X1464" s="286"/>
      <c r="Y1464" s="921"/>
      <c r="Z1464" s="1177"/>
      <c r="AA1464" s="1183"/>
      <c r="AB1464" s="1183"/>
      <c r="AC1464" s="1183"/>
      <c r="AD1464" s="1183"/>
      <c r="AE1464" s="1183"/>
      <c r="AF1464" s="1183"/>
      <c r="AG1464" s="1183"/>
      <c r="AH1464" s="1183"/>
      <c r="AI1464" s="1183"/>
      <c r="AJ1464" s="1183"/>
      <c r="AK1464" s="1183"/>
      <c r="AL1464" s="1183"/>
      <c r="AM1464" s="1183"/>
      <c r="AN1464" s="1183"/>
      <c r="AO1464" s="1183"/>
      <c r="AP1464" s="1183"/>
      <c r="AQ1464" s="1181"/>
      <c r="AR1464" s="1181"/>
      <c r="AS1464" s="1181"/>
      <c r="AT1464" s="1181"/>
      <c r="AU1464" s="1181"/>
      <c r="AV1464" s="1181"/>
      <c r="AW1464" s="1181"/>
      <c r="AX1464" s="1181"/>
      <c r="AY1464" s="1181"/>
      <c r="AZ1464" s="1181"/>
      <c r="BA1464" s="1181"/>
      <c r="BB1464" s="1181"/>
      <c r="BC1464" s="1181"/>
      <c r="BD1464" s="1181"/>
      <c r="BE1464" s="1181"/>
      <c r="BF1464" s="1181"/>
      <c r="BG1464" s="1181"/>
      <c r="BH1464" s="1181"/>
      <c r="BI1464" s="1181"/>
      <c r="BJ1464" s="1181"/>
      <c r="BK1464" s="1181"/>
      <c r="BL1464" s="1181"/>
      <c r="BM1464" s="1181"/>
      <c r="BN1464" s="1181"/>
      <c r="BO1464" s="1181"/>
      <c r="BP1464" s="1181"/>
      <c r="BQ1464" s="1181"/>
      <c r="BR1464" s="1181"/>
      <c r="BS1464" s="1181"/>
      <c r="BT1464" s="1181"/>
      <c r="BU1464" s="1181"/>
      <c r="BV1464" s="1181"/>
      <c r="BW1464" s="1181"/>
      <c r="BX1464" s="1181"/>
      <c r="BY1464" s="1181"/>
      <c r="BZ1464" s="1181"/>
      <c r="CA1464" s="1181"/>
      <c r="CB1464" s="1182"/>
    </row>
    <row r="1465" spans="1:80" ht="12.75" customHeight="1">
      <c r="A1465" s="219">
        <v>1401</v>
      </c>
      <c r="B1465" s="7145"/>
      <c r="C1465" s="902"/>
      <c r="D1465" s="57"/>
      <c r="E1465" s="905" t="s">
        <v>7679</v>
      </c>
      <c r="F1465" s="75">
        <v>30</v>
      </c>
      <c r="G1465" s="75">
        <v>50</v>
      </c>
      <c r="H1465" s="75">
        <f>COUNTIF(HabilidadesEsenciales_Adquiridas,Tablas!E1465)</f>
        <v>0</v>
      </c>
      <c r="I1465" s="907">
        <v>1</v>
      </c>
      <c r="J1465" s="173">
        <f t="array" ref="J1465">MAX($H$1461:$H$1515*IF(ISNUMBER(SEARCH(K1465,$E$1461:$E$1515)),VALUE(RIGHT($E$1461:$E$1515,2)),0))</f>
        <v>0</v>
      </c>
      <c r="K1465" s="898" t="str">
        <v>Aire</v>
      </c>
      <c r="M1465" s="307"/>
      <c r="N1465" s="21"/>
      <c r="O1465" s="131" t="s">
        <v>7304</v>
      </c>
      <c r="P1465" s="900">
        <v>10</v>
      </c>
      <c r="Q1465" s="173">
        <f>30+IF(OR(TipoDeCriatura="Entre mundos, Elemental",TipoDeCriatura="Ánima, Elemental"),10,0)</f>
        <v>30</v>
      </c>
      <c r="R1465" s="907">
        <f>COUNTIF(PoderesDeCriatura_Adquiridos,Tablas!O1465)</f>
        <v>0</v>
      </c>
      <c r="S1465" s="173"/>
      <c r="T1465" s="898"/>
      <c r="U1465">
        <v>2</v>
      </c>
      <c r="W1465" s="929" t="str">
        <f t="shared" si="412"/>
        <v>Poder #6</v>
      </c>
      <c r="X1465" s="286"/>
      <c r="Y1465" s="921"/>
      <c r="Z1465" s="1177"/>
      <c r="AA1465" s="1183"/>
      <c r="AB1465" s="1183"/>
      <c r="AC1465" s="1183"/>
      <c r="AD1465" s="1183"/>
      <c r="AE1465" s="1183"/>
      <c r="AF1465" s="1183"/>
      <c r="AG1465" s="1183"/>
      <c r="AH1465" s="1183"/>
      <c r="AI1465" s="1183"/>
      <c r="AJ1465" s="1183"/>
      <c r="AK1465" s="1183"/>
      <c r="AL1465" s="1183"/>
      <c r="AM1465" s="1183"/>
      <c r="AN1465" s="1183"/>
      <c r="AO1465" s="1183"/>
      <c r="AP1465" s="1183"/>
      <c r="AQ1465" s="1181"/>
      <c r="AR1465" s="1181"/>
      <c r="AS1465" s="1181"/>
      <c r="AT1465" s="1181"/>
      <c r="AU1465" s="1181"/>
      <c r="AV1465" s="1181"/>
      <c r="AW1465" s="1181"/>
      <c r="AX1465" s="1181"/>
      <c r="AY1465" s="1181"/>
      <c r="AZ1465" s="1181"/>
      <c r="BA1465" s="1181"/>
      <c r="BB1465" s="1181"/>
      <c r="BC1465" s="1181"/>
      <c r="BD1465" s="1181"/>
      <c r="BE1465" s="1181"/>
      <c r="BF1465" s="1181"/>
      <c r="BG1465" s="1181"/>
      <c r="BH1465" s="1181"/>
      <c r="BI1465" s="1181"/>
      <c r="BJ1465" s="1181"/>
      <c r="BK1465" s="1181"/>
      <c r="BL1465" s="1181"/>
      <c r="BM1465" s="1181"/>
      <c r="BN1465" s="1181"/>
      <c r="BO1465" s="1181"/>
      <c r="BP1465" s="1181"/>
      <c r="BQ1465" s="1181"/>
      <c r="BR1465" s="1181"/>
      <c r="BS1465" s="1181"/>
      <c r="BT1465" s="1181"/>
      <c r="BU1465" s="1181"/>
      <c r="BV1465" s="1181"/>
      <c r="BW1465" s="1181"/>
      <c r="BX1465" s="1181"/>
      <c r="BY1465" s="1181"/>
      <c r="BZ1465" s="1181"/>
      <c r="CA1465" s="1181"/>
      <c r="CB1465" s="1182"/>
    </row>
    <row r="1466" spans="1:80" ht="12.75" customHeight="1">
      <c r="A1466" s="219">
        <v>1402</v>
      </c>
      <c r="B1466" s="7145"/>
      <c r="C1466" s="902"/>
      <c r="D1466" s="57"/>
      <c r="E1466" s="905" t="s">
        <v>7680</v>
      </c>
      <c r="F1466" s="75">
        <v>10</v>
      </c>
      <c r="G1466" s="75">
        <v>10</v>
      </c>
      <c r="H1466" s="75">
        <f>COUNTIF(HabilidadesEsenciales_Adquiridas,Tablas!E1466)</f>
        <v>0</v>
      </c>
      <c r="I1466" s="907">
        <v>1</v>
      </c>
      <c r="J1466" s="173">
        <f t="array" ref="J1466">MAX($H$1461:$H$1515*IF(ISNUMBER(SEARCH(K1466,$E$1461:$E$1515)),VALUE(RIGHT($E$1461:$E$1515,2)),0))</f>
        <v>0</v>
      </c>
      <c r="K1466" s="898" t="str">
        <v>Tierra</v>
      </c>
      <c r="M1466" s="307"/>
      <c r="N1466" s="21"/>
      <c r="O1466" s="131" t="s">
        <v>7305</v>
      </c>
      <c r="P1466" s="900">
        <v>20</v>
      </c>
      <c r="Q1466" s="173">
        <f>60+IF(OR(TipoDeCriatura="Entre mundos, Elemental",TipoDeCriatura="Ánima, Elemental"),10,0)</f>
        <v>60</v>
      </c>
      <c r="R1466" s="907">
        <f>COUNTIF(PoderesDeCriatura_Adquiridos,Tablas!O1466)</f>
        <v>0</v>
      </c>
      <c r="S1466" s="173"/>
      <c r="T1466" s="898"/>
      <c r="U1466">
        <v>2</v>
      </c>
      <c r="W1466" s="929" t="str">
        <f t="shared" si="412"/>
        <v>Poder #7</v>
      </c>
      <c r="X1466" s="286"/>
      <c r="Y1466" s="921"/>
      <c r="Z1466" s="1177"/>
      <c r="AA1466" s="1183"/>
      <c r="AB1466" s="1183"/>
      <c r="AC1466" s="1183"/>
      <c r="AD1466" s="1183"/>
      <c r="AE1466" s="1183"/>
      <c r="AF1466" s="1183"/>
      <c r="AG1466" s="1183"/>
      <c r="AH1466" s="1183"/>
      <c r="AI1466" s="1183"/>
      <c r="AJ1466" s="1183"/>
      <c r="AK1466" s="1183"/>
      <c r="AL1466" s="1183"/>
      <c r="AM1466" s="1183"/>
      <c r="AN1466" s="1183"/>
      <c r="AO1466" s="1183"/>
      <c r="AP1466" s="1183"/>
      <c r="AQ1466" s="1181"/>
      <c r="AR1466" s="1181"/>
      <c r="AS1466" s="1181"/>
      <c r="AT1466" s="1181"/>
      <c r="AU1466" s="1181"/>
      <c r="AV1466" s="1181"/>
      <c r="AW1466" s="1181"/>
      <c r="AX1466" s="1181"/>
      <c r="AY1466" s="1181"/>
      <c r="AZ1466" s="1181"/>
      <c r="BA1466" s="1181"/>
      <c r="BB1466" s="1181"/>
      <c r="BC1466" s="1181"/>
      <c r="BD1466" s="1181"/>
      <c r="BE1466" s="1181"/>
      <c r="BF1466" s="1181"/>
      <c r="BG1466" s="1181"/>
      <c r="BH1466" s="1181"/>
      <c r="BI1466" s="1181"/>
      <c r="BJ1466" s="1181"/>
      <c r="BK1466" s="1181"/>
      <c r="BL1466" s="1181"/>
      <c r="BM1466" s="1181"/>
      <c r="BN1466" s="1181"/>
      <c r="BO1466" s="1181"/>
      <c r="BP1466" s="1181"/>
      <c r="BQ1466" s="1181"/>
      <c r="BR1466" s="1181"/>
      <c r="BS1466" s="1181"/>
      <c r="BT1466" s="1181"/>
      <c r="BU1466" s="1181"/>
      <c r="BV1466" s="1181"/>
      <c r="BW1466" s="1181"/>
      <c r="BX1466" s="1181"/>
      <c r="BY1466" s="1181"/>
      <c r="BZ1466" s="1181"/>
      <c r="CA1466" s="1181"/>
      <c r="CB1466" s="1182"/>
    </row>
    <row r="1467" spans="1:80" ht="12.75" customHeight="1">
      <c r="A1467" s="219">
        <v>1403</v>
      </c>
      <c r="B1467" s="7145"/>
      <c r="C1467" s="902"/>
      <c r="D1467" s="57"/>
      <c r="E1467" s="905" t="s">
        <v>7681</v>
      </c>
      <c r="F1467" s="75">
        <v>15</v>
      </c>
      <c r="G1467" s="75">
        <v>20</v>
      </c>
      <c r="H1467" s="75">
        <f>COUNTIF(HabilidadesEsenciales_Adquiridas,Tablas!E1467)</f>
        <v>0</v>
      </c>
      <c r="I1467" s="907">
        <v>1</v>
      </c>
      <c r="J1467" s="173">
        <f t="array" ref="J1467">MAX($H$1461:$H$1515*IF(ISNUMBER(SEARCH(K1467,$E$1461:$E$1515)),VALUE(RIGHT($E$1461:$E$1515,2)),0))</f>
        <v>0</v>
      </c>
      <c r="K1467" s="898" t="str">
        <v>Creación</v>
      </c>
      <c r="M1467" s="307"/>
      <c r="N1467" s="21"/>
      <c r="O1467" s="131" t="s">
        <v>7306</v>
      </c>
      <c r="P1467" s="900">
        <v>20</v>
      </c>
      <c r="Q1467" s="173">
        <f>100+IF(OR(TipoDeCriatura="Entre mundos, Elemental",TipoDeCriatura="Ánima, Elemental"),10,0)</f>
        <v>100</v>
      </c>
      <c r="R1467" s="907">
        <f>COUNTIF(PoderesDeCriatura_Adquiridos,Tablas!O1467)</f>
        <v>0</v>
      </c>
      <c r="S1467" s="173"/>
      <c r="T1467" s="898"/>
      <c r="U1467">
        <v>2</v>
      </c>
      <c r="W1467" s="929" t="str">
        <f t="shared" si="412"/>
        <v>Poder #8</v>
      </c>
      <c r="X1467" s="286"/>
      <c r="Y1467" s="921"/>
      <c r="Z1467" s="1177"/>
      <c r="AA1467" s="1183"/>
      <c r="AB1467" s="1183"/>
      <c r="AC1467" s="1183"/>
      <c r="AD1467" s="1183"/>
      <c r="AE1467" s="1183"/>
      <c r="AF1467" s="1183"/>
      <c r="AG1467" s="1183"/>
      <c r="AH1467" s="1183"/>
      <c r="AI1467" s="1183"/>
      <c r="AJ1467" s="1183"/>
      <c r="AK1467" s="1183"/>
      <c r="AL1467" s="1183"/>
      <c r="AM1467" s="1183"/>
      <c r="AN1467" s="1183"/>
      <c r="AO1467" s="1183"/>
      <c r="AP1467" s="1183"/>
      <c r="AQ1467" s="1181"/>
      <c r="AR1467" s="1181"/>
      <c r="AS1467" s="1181"/>
      <c r="AT1467" s="1181"/>
      <c r="AU1467" s="1181"/>
      <c r="AV1467" s="1181"/>
      <c r="AW1467" s="1181"/>
      <c r="AX1467" s="1181"/>
      <c r="AY1467" s="1181"/>
      <c r="AZ1467" s="1181"/>
      <c r="BA1467" s="1181"/>
      <c r="BB1467" s="1181"/>
      <c r="BC1467" s="1181"/>
      <c r="BD1467" s="1181"/>
      <c r="BE1467" s="1181"/>
      <c r="BF1467" s="1181"/>
      <c r="BG1467" s="1181"/>
      <c r="BH1467" s="1181"/>
      <c r="BI1467" s="1181"/>
      <c r="BJ1467" s="1181"/>
      <c r="BK1467" s="1181"/>
      <c r="BL1467" s="1181"/>
      <c r="BM1467" s="1181"/>
      <c r="BN1467" s="1181"/>
      <c r="BO1467" s="1181"/>
      <c r="BP1467" s="1181"/>
      <c r="BQ1467" s="1181"/>
      <c r="BR1467" s="1181"/>
      <c r="BS1467" s="1181"/>
      <c r="BT1467" s="1181"/>
      <c r="BU1467" s="1181"/>
      <c r="BV1467" s="1181"/>
      <c r="BW1467" s="1181"/>
      <c r="BX1467" s="1181"/>
      <c r="BY1467" s="1181"/>
      <c r="BZ1467" s="1181"/>
      <c r="CA1467" s="1181"/>
      <c r="CB1467" s="1182"/>
    </row>
    <row r="1468" spans="1:80" ht="12.75" customHeight="1">
      <c r="A1468" s="219">
        <v>1404</v>
      </c>
      <c r="B1468" s="7145"/>
      <c r="C1468" s="902"/>
      <c r="D1468" s="57"/>
      <c r="E1468" s="905" t="s">
        <v>7682</v>
      </c>
      <c r="F1468" s="75">
        <v>20</v>
      </c>
      <c r="G1468" s="75">
        <v>30</v>
      </c>
      <c r="H1468" s="75">
        <f>COUNTIF(HabilidadesEsenciales_Adquiridas,Tablas!E1468)</f>
        <v>0</v>
      </c>
      <c r="I1468" s="907">
        <v>1</v>
      </c>
      <c r="J1468" s="173">
        <f t="array" ref="J1468">MAX($H$1461:$H$1515*IF(ISNUMBER(SEARCH(K1468,$E$1461:$E$1515)),VALUE(RIGHT($E$1461:$E$1515,2)),0))</f>
        <v>0</v>
      </c>
      <c r="K1468" s="898" t="str">
        <v>Destrucción</v>
      </c>
      <c r="M1468" s="307"/>
      <c r="N1468" s="21"/>
      <c r="O1468" s="131" t="s">
        <v>7307</v>
      </c>
      <c r="P1468" s="900">
        <v>25</v>
      </c>
      <c r="Q1468" s="173">
        <f>120+IF(OR(TipoDeCriatura="Entre mundos, Elemental",TipoDeCriatura="Ánima, Elemental"),10,0)</f>
        <v>120</v>
      </c>
      <c r="R1468" s="907">
        <f>COUNTIF(PoderesDeCriatura_Adquiridos,Tablas!O1468)</f>
        <v>0</v>
      </c>
      <c r="S1468" s="173"/>
      <c r="T1468" s="898"/>
      <c r="U1468">
        <v>2</v>
      </c>
      <c r="W1468" s="929" t="str">
        <f t="shared" si="412"/>
        <v>Poder #9</v>
      </c>
      <c r="X1468" s="286"/>
      <c r="Y1468" s="921"/>
      <c r="Z1468" s="1177"/>
      <c r="AA1468" s="1183"/>
      <c r="AB1468" s="1183"/>
      <c r="AC1468" s="1183"/>
      <c r="AD1468" s="1183"/>
      <c r="AE1468" s="1183"/>
      <c r="AF1468" s="1183"/>
      <c r="AG1468" s="1183"/>
      <c r="AH1468" s="1183"/>
      <c r="AI1468" s="1183"/>
      <c r="AJ1468" s="1183"/>
      <c r="AK1468" s="1183"/>
      <c r="AL1468" s="1183"/>
      <c r="AM1468" s="1183"/>
      <c r="AN1468" s="1183"/>
      <c r="AO1468" s="1183"/>
      <c r="AP1468" s="1183"/>
      <c r="AQ1468" s="1181"/>
      <c r="AR1468" s="1181"/>
      <c r="AS1468" s="1181"/>
      <c r="AT1468" s="1181"/>
      <c r="AU1468" s="1181"/>
      <c r="AV1468" s="1181"/>
      <c r="AW1468" s="1181"/>
      <c r="AX1468" s="1181"/>
      <c r="AY1468" s="1181"/>
      <c r="AZ1468" s="1181"/>
      <c r="BA1468" s="1181"/>
      <c r="BB1468" s="1181"/>
      <c r="BC1468" s="1181"/>
      <c r="BD1468" s="1181"/>
      <c r="BE1468" s="1181"/>
      <c r="BF1468" s="1181"/>
      <c r="BG1468" s="1181"/>
      <c r="BH1468" s="1181"/>
      <c r="BI1468" s="1181"/>
      <c r="BJ1468" s="1181"/>
      <c r="BK1468" s="1181"/>
      <c r="BL1468" s="1181"/>
      <c r="BM1468" s="1181"/>
      <c r="BN1468" s="1181"/>
      <c r="BO1468" s="1181"/>
      <c r="BP1468" s="1181"/>
      <c r="BQ1468" s="1181"/>
      <c r="BR1468" s="1181"/>
      <c r="BS1468" s="1181"/>
      <c r="BT1468" s="1181"/>
      <c r="BU1468" s="1181"/>
      <c r="BV1468" s="1181"/>
      <c r="BW1468" s="1181"/>
      <c r="BX1468" s="1181"/>
      <c r="BY1468" s="1181"/>
      <c r="BZ1468" s="1181"/>
      <c r="CA1468" s="1181"/>
      <c r="CB1468" s="1182"/>
    </row>
    <row r="1469" spans="1:80" ht="12.75" customHeight="1">
      <c r="A1469" s="219">
        <v>1405</v>
      </c>
      <c r="B1469" s="7145"/>
      <c r="C1469" s="902"/>
      <c r="D1469" s="57"/>
      <c r="E1469" s="905" t="s">
        <v>7683</v>
      </c>
      <c r="F1469" s="75">
        <v>25</v>
      </c>
      <c r="G1469" s="75">
        <v>40</v>
      </c>
      <c r="H1469" s="75">
        <f>COUNTIF(HabilidadesEsenciales_Adquiridas,Tablas!E1469)</f>
        <v>0</v>
      </c>
      <c r="I1469" s="907">
        <v>1</v>
      </c>
      <c r="J1469" s="173">
        <f t="array" ref="J1469">MAX($H$1461:$H$1515*IF(ISNUMBER(SEARCH(K1469,$E$1461:$E$1515)),VALUE(RIGHT($E$1461:$E$1515,2)),0))</f>
        <v>0</v>
      </c>
      <c r="K1469" s="898" t="str">
        <v>Esencia</v>
      </c>
      <c r="M1469" s="307"/>
      <c r="N1469" s="21"/>
      <c r="O1469" s="131" t="s">
        <v>7308</v>
      </c>
      <c r="P1469" s="900">
        <v>25</v>
      </c>
      <c r="Q1469" s="173">
        <f>140+IF(OR(TipoDeCriatura="Entre mundos, Elemental",TipoDeCriatura="Ánima, Elemental"),10,0)</f>
        <v>140</v>
      </c>
      <c r="R1469" s="907">
        <f>COUNTIF(PoderesDeCriatura_Adquiridos,Tablas!O1469)</f>
        <v>0</v>
      </c>
      <c r="S1469" s="173"/>
      <c r="T1469" s="898"/>
      <c r="U1469">
        <v>2</v>
      </c>
      <c r="W1469" s="929" t="str">
        <f t="shared" si="412"/>
        <v>Poder #10</v>
      </c>
      <c r="X1469" s="286"/>
      <c r="Y1469" s="921"/>
      <c r="Z1469" s="1177"/>
      <c r="AA1469" s="1183"/>
      <c r="AB1469" s="1183"/>
      <c r="AC1469" s="1183"/>
      <c r="AD1469" s="1183"/>
      <c r="AE1469" s="1183"/>
      <c r="AF1469" s="1183"/>
      <c r="AG1469" s="1183"/>
      <c r="AH1469" s="1183"/>
      <c r="AI1469" s="1183"/>
      <c r="AJ1469" s="1183"/>
      <c r="AK1469" s="1183"/>
      <c r="AL1469" s="1183"/>
      <c r="AM1469" s="1183"/>
      <c r="AN1469" s="1183"/>
      <c r="AO1469" s="1183"/>
      <c r="AP1469" s="1183"/>
      <c r="AQ1469" s="1181"/>
      <c r="AR1469" s="1181"/>
      <c r="AS1469" s="1181"/>
      <c r="AT1469" s="1181"/>
      <c r="AU1469" s="1181"/>
      <c r="AV1469" s="1181"/>
      <c r="AW1469" s="1181"/>
      <c r="AX1469" s="1181"/>
      <c r="AY1469" s="1181"/>
      <c r="AZ1469" s="1181"/>
      <c r="BA1469" s="1181"/>
      <c r="BB1469" s="1181"/>
      <c r="BC1469" s="1181"/>
      <c r="BD1469" s="1181"/>
      <c r="BE1469" s="1181"/>
      <c r="BF1469" s="1181"/>
      <c r="BG1469" s="1181"/>
      <c r="BH1469" s="1181"/>
      <c r="BI1469" s="1181"/>
      <c r="BJ1469" s="1181"/>
      <c r="BK1469" s="1181"/>
      <c r="BL1469" s="1181"/>
      <c r="BM1469" s="1181"/>
      <c r="BN1469" s="1181"/>
      <c r="BO1469" s="1181"/>
      <c r="BP1469" s="1181"/>
      <c r="BQ1469" s="1181"/>
      <c r="BR1469" s="1181"/>
      <c r="BS1469" s="1181"/>
      <c r="BT1469" s="1181"/>
      <c r="BU1469" s="1181"/>
      <c r="BV1469" s="1181"/>
      <c r="BW1469" s="1181"/>
      <c r="BX1469" s="1181"/>
      <c r="BY1469" s="1181"/>
      <c r="BZ1469" s="1181"/>
      <c r="CA1469" s="1181"/>
      <c r="CB1469" s="1182"/>
    </row>
    <row r="1470" spans="1:80" ht="12.75" customHeight="1">
      <c r="A1470" s="219">
        <v>1406</v>
      </c>
      <c r="B1470" s="7145"/>
      <c r="C1470" s="902"/>
      <c r="D1470" s="57"/>
      <c r="E1470" s="905" t="s">
        <v>7684</v>
      </c>
      <c r="F1470" s="75">
        <v>30</v>
      </c>
      <c r="G1470" s="75">
        <v>50</v>
      </c>
      <c r="H1470" s="75">
        <f>COUNTIF(HabilidadesEsenciales_Adquiridas,Tablas!E1470)</f>
        <v>0</v>
      </c>
      <c r="I1470" s="907">
        <v>1</v>
      </c>
      <c r="J1470" s="173">
        <f t="array" ref="J1470">MAX($H$1461:$H$1515*IF(ISNUMBER(SEARCH(K1470,$E$1461:$E$1515)),VALUE(RIGHT($E$1461:$E$1515,2)),0))</f>
        <v>0</v>
      </c>
      <c r="K1470" s="898" t="str">
        <v>Ilusión</v>
      </c>
      <c r="M1470" s="307"/>
      <c r="N1470" s="21"/>
      <c r="O1470" s="131" t="s">
        <v>7309</v>
      </c>
      <c r="P1470" s="900">
        <v>20</v>
      </c>
      <c r="Q1470" s="173">
        <f>20+IF(OR(TipoDeCriatura="Entre mundos, Elemental",TipoDeCriatura="Ánima, Elemental"),10,0)</f>
        <v>20</v>
      </c>
      <c r="R1470" s="907">
        <f>COUNTIF(PoderesDeCriatura_Adquiridos,Tablas!O1470)</f>
        <v>0</v>
      </c>
      <c r="S1470" s="173"/>
      <c r="T1470" s="898"/>
      <c r="U1470">
        <v>2</v>
      </c>
      <c r="W1470" s="1231" t="s">
        <v>6939</v>
      </c>
      <c r="X1470" s="922"/>
      <c r="Y1470" s="922"/>
      <c r="Z1470" s="1163"/>
      <c r="AA1470" s="1163"/>
      <c r="AB1470" s="1163"/>
      <c r="AC1470" s="1163"/>
      <c r="AD1470" s="1163"/>
      <c r="AE1470" s="1163"/>
      <c r="AF1470" s="1163"/>
      <c r="AG1470" s="1163"/>
      <c r="AH1470" s="1163"/>
      <c r="AI1470" s="1163"/>
      <c r="AJ1470" s="1163"/>
      <c r="AK1470" s="1163"/>
      <c r="AL1470" s="1163"/>
      <c r="AM1470" s="1163"/>
      <c r="AN1470" s="1163"/>
      <c r="AO1470" s="1163"/>
      <c r="AP1470" s="1163"/>
      <c r="AQ1470" s="922"/>
      <c r="AR1470" s="922"/>
      <c r="AS1470" s="922"/>
      <c r="AT1470" s="922"/>
      <c r="AU1470" s="922"/>
      <c r="AV1470" s="922"/>
      <c r="AW1470" s="922"/>
      <c r="AX1470" s="922"/>
      <c r="AY1470" s="922"/>
      <c r="AZ1470" s="922"/>
      <c r="BA1470" s="922"/>
      <c r="BB1470" s="922"/>
      <c r="BC1470" s="922"/>
      <c r="BD1470" s="922"/>
      <c r="BE1470" s="922"/>
      <c r="BF1470" s="922"/>
      <c r="BG1470" s="922"/>
      <c r="BH1470" s="922"/>
      <c r="BI1470" s="922"/>
      <c r="BJ1470" s="922"/>
      <c r="BK1470" s="8104"/>
      <c r="BL1470" s="8104"/>
      <c r="BM1470" s="8104"/>
      <c r="BN1470" s="8104"/>
      <c r="BO1470" s="8104"/>
      <c r="BP1470" s="8104"/>
      <c r="BQ1470" s="8104"/>
      <c r="BR1470" s="8104"/>
      <c r="BS1470" s="8104"/>
      <c r="BT1470" s="8104"/>
      <c r="BU1470" s="8104"/>
      <c r="BV1470" s="8104"/>
      <c r="BW1470" s="8104"/>
      <c r="BX1470" s="8104"/>
      <c r="BY1470" s="8104"/>
      <c r="BZ1470" s="8104"/>
      <c r="CA1470" s="8104"/>
      <c r="CB1470" s="8105"/>
    </row>
    <row r="1471" spans="1:80" ht="12.75" customHeight="1">
      <c r="A1471" s="219">
        <v>1407</v>
      </c>
      <c r="B1471" s="7145"/>
      <c r="C1471" s="902"/>
      <c r="D1471" s="57"/>
      <c r="E1471" s="905" t="s">
        <v>7685</v>
      </c>
      <c r="F1471" s="75">
        <v>10</v>
      </c>
      <c r="G1471" s="75">
        <v>10</v>
      </c>
      <c r="H1471" s="75">
        <f>COUNTIF(HabilidadesEsenciales_Adquiridas,Tablas!E1471)</f>
        <v>0</v>
      </c>
      <c r="I1471" s="907">
        <v>1</v>
      </c>
      <c r="J1471" s="173">
        <f t="array" ref="J1471">MAX($H$1461:$H$1515*IF(ISNUMBER(SEARCH(K1471,$E$1461:$E$1515)),VALUE(RIGHT($E$1461:$E$1515,2)),0))</f>
        <v>0</v>
      </c>
      <c r="K1471" s="898" t="str">
        <v>Nigromancia</v>
      </c>
      <c r="M1471" s="307"/>
      <c r="N1471" s="21"/>
      <c r="O1471" s="131" t="s">
        <v>7310</v>
      </c>
      <c r="P1471" s="900">
        <v>20</v>
      </c>
      <c r="Q1471" s="173">
        <f>60+IF(OR(TipoDeCriatura="Entre mundos, Elemental",TipoDeCriatura="Ánima, Elemental"),10,0)</f>
        <v>60</v>
      </c>
      <c r="R1471" s="907">
        <f>COUNTIF(PoderesDeCriatura_Adquiridos,Tablas!O1471)</f>
        <v>0</v>
      </c>
      <c r="S1471" s="173"/>
      <c r="T1471" s="898"/>
      <c r="U1471">
        <v>2</v>
      </c>
      <c r="W1471" s="930" t="s">
        <v>1110</v>
      </c>
      <c r="X1471" s="920"/>
      <c r="Y1471" s="758"/>
      <c r="Z1471" s="924" t="s">
        <v>6506</v>
      </c>
      <c r="AA1471" s="924"/>
      <c r="AB1471" s="924"/>
      <c r="AC1471" s="924"/>
      <c r="AD1471" s="924"/>
      <c r="AE1471" s="924"/>
      <c r="AF1471" s="924"/>
      <c r="AG1471" s="924"/>
      <c r="AH1471" s="924"/>
      <c r="AI1471" s="924"/>
      <c r="AJ1471" s="924"/>
      <c r="AK1471" s="924"/>
      <c r="AL1471" s="924"/>
      <c r="AM1471" s="924"/>
      <c r="AN1471" s="924"/>
      <c r="AO1471" s="924"/>
      <c r="AP1471" s="924"/>
      <c r="AQ1471" s="923"/>
      <c r="AR1471" s="923"/>
      <c r="AS1471" s="923"/>
      <c r="AT1471" s="923"/>
      <c r="AU1471" s="923"/>
      <c r="AV1471" s="923"/>
      <c r="AW1471" s="923"/>
      <c r="AX1471" s="923"/>
      <c r="AY1471" s="923"/>
      <c r="AZ1471" s="923"/>
      <c r="BA1471" s="923"/>
      <c r="BB1471" s="923"/>
      <c r="BC1471" s="923"/>
      <c r="BD1471" s="923"/>
      <c r="BE1471" s="923"/>
      <c r="BF1471" s="923"/>
      <c r="BG1471" s="923"/>
      <c r="BH1471" s="923"/>
      <c r="BI1471" s="923"/>
      <c r="BJ1471" s="923"/>
      <c r="BK1471" s="923"/>
      <c r="BL1471" s="923"/>
      <c r="BM1471" s="923"/>
      <c r="BN1471" s="920"/>
      <c r="BO1471" s="304"/>
      <c r="BP1471" s="304"/>
      <c r="BQ1471" s="304"/>
      <c r="BR1471" s="304"/>
      <c r="BS1471" s="304"/>
      <c r="BT1471" s="304"/>
      <c r="BU1471" s="304"/>
      <c r="BV1471" s="304"/>
      <c r="BW1471" s="304"/>
      <c r="BX1471" s="304"/>
      <c r="BY1471" s="304"/>
      <c r="BZ1471" s="304"/>
      <c r="CA1471" s="304"/>
      <c r="CB1471" s="571"/>
    </row>
    <row r="1472" spans="1:80" ht="12.75" customHeight="1">
      <c r="A1472" s="219">
        <v>1408</v>
      </c>
      <c r="B1472" s="7145"/>
      <c r="C1472" s="902"/>
      <c r="D1472" s="57"/>
      <c r="E1472" s="905" t="s">
        <v>7686</v>
      </c>
      <c r="F1472" s="75">
        <v>15</v>
      </c>
      <c r="G1472" s="75">
        <v>20</v>
      </c>
      <c r="H1472" s="75">
        <f>COUNTIF(HabilidadesEsenciales_Adquiridas,Tablas!E1472)</f>
        <v>0</v>
      </c>
      <c r="I1472" s="907">
        <v>1</v>
      </c>
      <c r="J1472" s="173"/>
      <c r="K1472" s="898"/>
      <c r="M1472" s="307"/>
      <c r="N1472" s="21"/>
      <c r="O1472" s="131" t="s">
        <v>7311</v>
      </c>
      <c r="P1472" s="900">
        <v>20</v>
      </c>
      <c r="Q1472" s="173">
        <f>120+IF(OR(TipoDeCriatura="Entre mundos, Elemental",TipoDeCriatura="Ánima, Elemental"),10,0)</f>
        <v>120</v>
      </c>
      <c r="R1472" s="907">
        <f>COUNTIF(PoderesDeCriatura_Adquiridos,Tablas!O1472)</f>
        <v>0</v>
      </c>
      <c r="S1472" s="173"/>
      <c r="T1472" s="898"/>
      <c r="U1472">
        <v>2</v>
      </c>
      <c r="W1472" s="930" t="s">
        <v>1112</v>
      </c>
      <c r="X1472" s="921"/>
      <c r="Y1472" s="758" t="str">
        <f t="shared" ref="Y1472:Y1482" si="413">IF(Z1472="","",SUBSTITUTE("PodHab_"&amp;W1472," ",""))</f>
        <v/>
      </c>
      <c r="Z1472" s="758" t="s">
        <v>6506</v>
      </c>
      <c r="AA1472" s="924"/>
      <c r="AB1472" s="924"/>
      <c r="AC1472" s="924"/>
      <c r="AD1472" s="924"/>
      <c r="AE1472" s="924"/>
      <c r="AF1472" s="924"/>
      <c r="AG1472" s="924"/>
      <c r="AH1472" s="924"/>
      <c r="AI1472" s="924"/>
      <c r="AJ1472" s="924"/>
      <c r="AK1472" s="924"/>
      <c r="AL1472" s="924"/>
      <c r="AM1472" s="924"/>
      <c r="AN1472" s="924"/>
      <c r="AO1472" s="924"/>
      <c r="AP1472" s="924"/>
      <c r="AQ1472" s="923"/>
      <c r="AR1472" s="923"/>
      <c r="AS1472" s="923"/>
      <c r="AT1472" s="923"/>
      <c r="AU1472" s="923"/>
      <c r="AV1472" s="923"/>
      <c r="AW1472" s="923"/>
      <c r="AX1472" s="923"/>
      <c r="AY1472" s="923"/>
      <c r="AZ1472" s="923"/>
      <c r="BA1472" s="923"/>
      <c r="BB1472" s="923"/>
      <c r="BC1472" s="923"/>
      <c r="BD1472" s="923"/>
      <c r="BE1472" s="923"/>
      <c r="BF1472" s="923"/>
      <c r="BG1472" s="923"/>
      <c r="BH1472" s="923"/>
      <c r="BI1472" s="923"/>
      <c r="BJ1472" s="923"/>
      <c r="BK1472" s="923"/>
      <c r="BL1472" s="923"/>
      <c r="BM1472" s="923"/>
      <c r="BN1472" s="920"/>
      <c r="BO1472" s="304"/>
      <c r="BP1472" s="304"/>
      <c r="BQ1472" s="304"/>
      <c r="BR1472" s="304"/>
      <c r="BS1472" s="304"/>
      <c r="BT1472" s="304"/>
      <c r="BU1472" s="304"/>
      <c r="BV1472" s="304"/>
      <c r="BW1472" s="304"/>
      <c r="BX1472" s="304"/>
      <c r="BY1472" s="304"/>
      <c r="BZ1472" s="304"/>
      <c r="CA1472" s="304"/>
      <c r="CB1472" s="571"/>
    </row>
    <row r="1473" spans="1:80" ht="12.75" customHeight="1">
      <c r="A1473" s="219">
        <v>1409</v>
      </c>
      <c r="B1473" s="7145"/>
      <c r="C1473" s="902"/>
      <c r="D1473" s="57"/>
      <c r="E1473" s="905" t="s">
        <v>7687</v>
      </c>
      <c r="F1473" s="75">
        <v>20</v>
      </c>
      <c r="G1473" s="75">
        <v>30</v>
      </c>
      <c r="H1473" s="75">
        <f>COUNTIF(HabilidadesEsenciales_Adquiridas,Tablas!E1473)</f>
        <v>0</v>
      </c>
      <c r="I1473" s="907">
        <v>1</v>
      </c>
      <c r="J1473" s="173"/>
      <c r="K1473" s="898"/>
      <c r="M1473" s="307"/>
      <c r="N1473" s="21"/>
      <c r="O1473" s="131" t="s">
        <v>9514</v>
      </c>
      <c r="P1473" s="900">
        <v>20</v>
      </c>
      <c r="Q1473" s="173">
        <f>60+IF(OR(TipoDeCriatura="Entre mundos, Elemental",TipoDeCriatura="Ánima, Elemental"),10,0)</f>
        <v>60</v>
      </c>
      <c r="R1473" s="907">
        <f>COUNTIF(PoderesDeCriatura_Adquiridos,Tablas!O1473)</f>
        <v>0</v>
      </c>
      <c r="S1473" s="173"/>
      <c r="T1473" s="898"/>
      <c r="U1473">
        <v>2</v>
      </c>
      <c r="W1473" s="930" t="s">
        <v>1113</v>
      </c>
      <c r="X1473" s="921"/>
      <c r="Y1473" s="758" t="str">
        <f t="shared" si="413"/>
        <v/>
      </c>
      <c r="Z1473" s="758" t="s">
        <v>6506</v>
      </c>
      <c r="AA1473" s="924"/>
      <c r="AB1473" s="924"/>
      <c r="AC1473" s="924"/>
      <c r="AD1473" s="924"/>
      <c r="AE1473" s="924"/>
      <c r="AF1473" s="924"/>
      <c r="AG1473" s="924"/>
      <c r="AH1473" s="924"/>
      <c r="AI1473" s="924"/>
      <c r="AJ1473" s="924"/>
      <c r="AK1473" s="924"/>
      <c r="AL1473" s="924"/>
      <c r="AM1473" s="924"/>
      <c r="AN1473" s="924"/>
      <c r="AO1473" s="924"/>
      <c r="AP1473" s="924"/>
      <c r="AQ1473" s="923"/>
      <c r="AR1473" s="923"/>
      <c r="AS1473" s="923"/>
      <c r="AT1473" s="923"/>
      <c r="AU1473" s="923"/>
      <c r="AV1473" s="923"/>
      <c r="AW1473" s="923"/>
      <c r="AX1473" s="923"/>
      <c r="AY1473" s="923"/>
      <c r="AZ1473" s="923"/>
      <c r="BA1473" s="923"/>
      <c r="BB1473" s="923"/>
      <c r="BC1473" s="923"/>
      <c r="BD1473" s="923"/>
      <c r="BE1473" s="923"/>
      <c r="BF1473" s="923"/>
      <c r="BG1473" s="923"/>
      <c r="BH1473" s="923"/>
      <c r="BI1473" s="923"/>
      <c r="BJ1473" s="923"/>
      <c r="BK1473" s="923"/>
      <c r="BL1473" s="923"/>
      <c r="BM1473" s="923"/>
      <c r="BN1473" s="920"/>
      <c r="BO1473" s="304"/>
      <c r="BP1473" s="304"/>
      <c r="BQ1473" s="304"/>
      <c r="BR1473" s="304"/>
      <c r="BS1473" s="304"/>
      <c r="BT1473" s="304"/>
      <c r="BU1473" s="304"/>
      <c r="BV1473" s="304"/>
      <c r="BW1473" s="304"/>
      <c r="BX1473" s="304"/>
      <c r="BY1473" s="304"/>
      <c r="BZ1473" s="304"/>
      <c r="CA1473" s="304"/>
      <c r="CB1473" s="571"/>
    </row>
    <row r="1474" spans="1:80" ht="12.75" customHeight="1">
      <c r="A1474" s="219">
        <v>1410</v>
      </c>
      <c r="B1474" s="7145"/>
      <c r="C1474" s="902"/>
      <c r="D1474" s="57"/>
      <c r="E1474" s="905" t="s">
        <v>7688</v>
      </c>
      <c r="F1474" s="75">
        <v>25</v>
      </c>
      <c r="G1474" s="75">
        <v>40</v>
      </c>
      <c r="H1474" s="75">
        <f>COUNTIF(HabilidadesEsenciales_Adquiridas,Tablas!E1474)</f>
        <v>0</v>
      </c>
      <c r="I1474" s="907">
        <v>1</v>
      </c>
      <c r="J1474" s="173"/>
      <c r="K1474" s="898"/>
      <c r="M1474" s="307"/>
      <c r="N1474" s="21"/>
      <c r="O1474" s="131" t="s">
        <v>9515</v>
      </c>
      <c r="P1474" s="900">
        <v>20</v>
      </c>
      <c r="Q1474" s="173">
        <f>120+IF(OR(TipoDeCriatura="Entre mundos, Elemental",TipoDeCriatura="Ánima, Elemental"),10,0)</f>
        <v>120</v>
      </c>
      <c r="R1474" s="907">
        <f>COUNTIF(PoderesDeCriatura_Adquiridos,Tablas!O1474)</f>
        <v>0</v>
      </c>
      <c r="S1474" s="173"/>
      <c r="T1474" s="898"/>
      <c r="W1474" s="930" t="s">
        <v>1115</v>
      </c>
      <c r="X1474" s="921"/>
      <c r="Y1474" s="758" t="str">
        <f t="shared" si="413"/>
        <v/>
      </c>
      <c r="Z1474" s="758" t="s">
        <v>6506</v>
      </c>
      <c r="AA1474" s="924"/>
      <c r="AB1474" s="924"/>
      <c r="AC1474" s="924"/>
      <c r="AD1474" s="924"/>
      <c r="AE1474" s="924"/>
      <c r="AF1474" s="924"/>
      <c r="AG1474" s="924"/>
      <c r="AH1474" s="924"/>
      <c r="AI1474" s="924"/>
      <c r="AJ1474" s="924"/>
      <c r="AK1474" s="924"/>
      <c r="AL1474" s="924"/>
      <c r="AM1474" s="924"/>
      <c r="AN1474" s="924"/>
      <c r="AO1474" s="924"/>
      <c r="AP1474" s="924"/>
      <c r="AQ1474" s="923"/>
      <c r="AR1474" s="923"/>
      <c r="AS1474" s="923"/>
      <c r="AT1474" s="923"/>
      <c r="AU1474" s="923"/>
      <c r="AV1474" s="923"/>
      <c r="AW1474" s="923"/>
      <c r="AX1474" s="923"/>
      <c r="AY1474" s="923"/>
      <c r="AZ1474" s="923"/>
      <c r="BA1474" s="923"/>
      <c r="BB1474" s="923"/>
      <c r="BC1474" s="923"/>
      <c r="BD1474" s="923"/>
      <c r="BE1474" s="923"/>
      <c r="BF1474" s="923"/>
      <c r="BG1474" s="923"/>
      <c r="BH1474" s="923"/>
      <c r="BI1474" s="923"/>
      <c r="BJ1474" s="923"/>
      <c r="BK1474" s="923"/>
      <c r="BL1474" s="923"/>
      <c r="BM1474" s="923"/>
      <c r="BN1474" s="920"/>
      <c r="BO1474" s="304"/>
      <c r="BP1474" s="304"/>
      <c r="BQ1474" s="304"/>
      <c r="BR1474" s="304"/>
      <c r="BS1474" s="304"/>
      <c r="BT1474" s="304"/>
      <c r="BU1474" s="304"/>
      <c r="BV1474" s="304"/>
      <c r="BW1474" s="304"/>
      <c r="BX1474" s="304"/>
      <c r="BY1474" s="304"/>
      <c r="BZ1474" s="304"/>
      <c r="CA1474" s="304"/>
      <c r="CB1474" s="571"/>
    </row>
    <row r="1475" spans="1:80" ht="12.75" customHeight="1">
      <c r="A1475" s="219">
        <v>1411</v>
      </c>
      <c r="B1475" s="7145"/>
      <c r="C1475" s="902"/>
      <c r="D1475" s="57"/>
      <c r="E1475" s="905" t="s">
        <v>7689</v>
      </c>
      <c r="F1475" s="75">
        <v>30</v>
      </c>
      <c r="G1475" s="75">
        <v>50</v>
      </c>
      <c r="H1475" s="75">
        <f>COUNTIF(HabilidadesEsenciales_Adquiridas,Tablas!E1475)</f>
        <v>0</v>
      </c>
      <c r="I1475" s="907">
        <v>1</v>
      </c>
      <c r="J1475" s="173"/>
      <c r="K1475" s="898"/>
      <c r="M1475" s="307"/>
      <c r="N1475" s="21"/>
      <c r="O1475" s="131" t="s">
        <v>7312</v>
      </c>
      <c r="P1475" s="900">
        <v>25</v>
      </c>
      <c r="Q1475" s="173">
        <f>120+IF(OR(TipoDeCriatura="Entre mundos, Elemental",TipoDeCriatura="Ánima, Elemental"),10,0)</f>
        <v>120</v>
      </c>
      <c r="R1475" s="907">
        <f>COUNTIF(PoderesDeCriatura_Adquiridos,Tablas!O1475)</f>
        <v>0</v>
      </c>
      <c r="S1475" s="173"/>
      <c r="T1475" s="898"/>
      <c r="W1475" s="930" t="s">
        <v>1122</v>
      </c>
      <c r="X1475" s="921"/>
      <c r="Y1475" s="758" t="str">
        <f t="shared" si="413"/>
        <v/>
      </c>
      <c r="Z1475" s="758" t="s">
        <v>6506</v>
      </c>
      <c r="AA1475" s="924"/>
      <c r="AB1475" s="924"/>
      <c r="AC1475" s="924"/>
      <c r="AD1475" s="924"/>
      <c r="AE1475" s="924"/>
      <c r="AF1475" s="924"/>
      <c r="AG1475" s="924"/>
      <c r="AH1475" s="924"/>
      <c r="AI1475" s="924"/>
      <c r="AJ1475" s="924"/>
      <c r="AK1475" s="924"/>
      <c r="AL1475" s="924"/>
      <c r="AM1475" s="924"/>
      <c r="AN1475" s="924"/>
      <c r="AO1475" s="924"/>
      <c r="AP1475" s="924"/>
      <c r="AQ1475" s="923"/>
      <c r="AR1475" s="923"/>
      <c r="AS1475" s="923"/>
      <c r="AT1475" s="923"/>
      <c r="AU1475" s="923"/>
      <c r="AV1475" s="923"/>
      <c r="AW1475" s="923"/>
      <c r="AX1475" s="923"/>
      <c r="AY1475" s="923"/>
      <c r="AZ1475" s="923"/>
      <c r="BA1475" s="923"/>
      <c r="BB1475" s="923"/>
      <c r="BC1475" s="923"/>
      <c r="BD1475" s="923"/>
      <c r="BE1475" s="923"/>
      <c r="BF1475" s="923"/>
      <c r="BG1475" s="923"/>
      <c r="BH1475" s="923"/>
      <c r="BI1475" s="923"/>
      <c r="BJ1475" s="923"/>
      <c r="BK1475" s="923"/>
      <c r="BL1475" s="923"/>
      <c r="BM1475" s="923"/>
      <c r="BN1475" s="920"/>
      <c r="BO1475" s="304"/>
      <c r="BP1475" s="304"/>
      <c r="BQ1475" s="304"/>
      <c r="BR1475" s="304"/>
      <c r="BS1475" s="304"/>
      <c r="BT1475" s="304"/>
      <c r="BU1475" s="304"/>
      <c r="BV1475" s="304"/>
      <c r="BW1475" s="304"/>
      <c r="BX1475" s="304"/>
      <c r="BY1475" s="304"/>
      <c r="BZ1475" s="304"/>
      <c r="CA1475" s="304"/>
      <c r="CB1475" s="571"/>
    </row>
    <row r="1476" spans="1:80" ht="12.75" customHeight="1">
      <c r="A1476" s="219">
        <v>1412</v>
      </c>
      <c r="B1476" s="7145"/>
      <c r="C1476" s="902"/>
      <c r="D1476" s="57"/>
      <c r="E1476" s="905" t="s">
        <v>7690</v>
      </c>
      <c r="F1476" s="75">
        <v>10</v>
      </c>
      <c r="G1476" s="75">
        <v>10</v>
      </c>
      <c r="H1476" s="75">
        <f>COUNTIF(HabilidadesEsenciales_Adquiridas,Tablas!E1476)</f>
        <v>0</v>
      </c>
      <c r="I1476" s="907">
        <v>1</v>
      </c>
      <c r="J1476" s="173"/>
      <c r="K1476" s="898"/>
      <c r="M1476" s="307"/>
      <c r="N1476" s="21"/>
      <c r="O1476" s="131" t="s">
        <v>7313</v>
      </c>
      <c r="P1476" s="900">
        <v>10</v>
      </c>
      <c r="Q1476" s="173">
        <f>20+IF(OR(TipoDeCriatura="Entre mundos, Elemental",TipoDeCriatura="Ánima, Elemental"),10,0)</f>
        <v>20</v>
      </c>
      <c r="R1476" s="907">
        <f>COUNTIF(PoderesDeCriatura_Adquiridos,Tablas!O1476)</f>
        <v>0</v>
      </c>
      <c r="S1476" s="173"/>
      <c r="T1476" s="898"/>
      <c r="W1476" s="930" t="s">
        <v>1121</v>
      </c>
      <c r="X1476" s="921"/>
      <c r="Y1476" s="758" t="str">
        <f t="shared" si="413"/>
        <v/>
      </c>
      <c r="Z1476" s="758" t="s">
        <v>6506</v>
      </c>
      <c r="AA1476" s="924"/>
      <c r="AB1476" s="924"/>
      <c r="AC1476" s="924"/>
      <c r="AD1476" s="924"/>
      <c r="AE1476" s="924"/>
      <c r="AF1476" s="924"/>
      <c r="AG1476" s="924"/>
      <c r="AH1476" s="924"/>
      <c r="AI1476" s="924"/>
      <c r="AJ1476" s="924"/>
      <c r="AK1476" s="924"/>
      <c r="AL1476" s="924"/>
      <c r="AM1476" s="924"/>
      <c r="AN1476" s="924"/>
      <c r="AO1476" s="924"/>
      <c r="AP1476" s="924"/>
      <c r="AQ1476" s="923"/>
      <c r="AR1476" s="923"/>
      <c r="AS1476" s="923"/>
      <c r="AT1476" s="923"/>
      <c r="AU1476" s="923"/>
      <c r="AV1476" s="923"/>
      <c r="AW1476" s="923"/>
      <c r="AX1476" s="923"/>
      <c r="AY1476" s="923"/>
      <c r="AZ1476" s="923"/>
      <c r="BA1476" s="923"/>
      <c r="BB1476" s="923"/>
      <c r="BC1476" s="923"/>
      <c r="BD1476" s="923"/>
      <c r="BE1476" s="923"/>
      <c r="BF1476" s="923"/>
      <c r="BG1476" s="923"/>
      <c r="BH1476" s="923"/>
      <c r="BI1476" s="923"/>
      <c r="BJ1476" s="923"/>
      <c r="BK1476" s="923"/>
      <c r="BL1476" s="923"/>
      <c r="BM1476" s="923"/>
      <c r="BN1476" s="920"/>
      <c r="BO1476" s="304"/>
      <c r="BP1476" s="304"/>
      <c r="BQ1476" s="304"/>
      <c r="BR1476" s="304"/>
      <c r="BS1476" s="304"/>
      <c r="BT1476" s="304"/>
      <c r="BU1476" s="304"/>
      <c r="BV1476" s="304"/>
      <c r="BW1476" s="304"/>
      <c r="BX1476" s="304"/>
      <c r="BY1476" s="304"/>
      <c r="BZ1476" s="304"/>
      <c r="CA1476" s="304"/>
      <c r="CB1476" s="571"/>
    </row>
    <row r="1477" spans="1:80" ht="12.75" customHeight="1">
      <c r="A1477" s="219">
        <v>1413</v>
      </c>
      <c r="B1477" s="7145"/>
      <c r="C1477" s="902"/>
      <c r="D1477" s="57"/>
      <c r="E1477" s="905" t="s">
        <v>7691</v>
      </c>
      <c r="F1477" s="75">
        <v>15</v>
      </c>
      <c r="G1477" s="75">
        <v>20</v>
      </c>
      <c r="H1477" s="75">
        <f>COUNTIF(HabilidadesEsenciales_Adquiridas,Tablas!E1477)</f>
        <v>0</v>
      </c>
      <c r="I1477" s="907">
        <v>1</v>
      </c>
      <c r="J1477" s="173"/>
      <c r="K1477" s="898"/>
      <c r="M1477" s="307"/>
      <c r="N1477" s="21"/>
      <c r="O1477" s="131" t="s">
        <v>7314</v>
      </c>
      <c r="P1477" s="900">
        <v>15</v>
      </c>
      <c r="Q1477" s="173">
        <f>50+IF(OR(TipoDeCriatura="Entre mundos, Elemental",TipoDeCriatura="Ánima, Elemental"),10,0)</f>
        <v>50</v>
      </c>
      <c r="R1477" s="907">
        <f>COUNTIF(PoderesDeCriatura_Adquiridos,Tablas!O1477)</f>
        <v>0</v>
      </c>
      <c r="S1477" s="173"/>
      <c r="T1477" s="898"/>
      <c r="W1477" s="930" t="s">
        <v>1117</v>
      </c>
      <c r="X1477" s="921"/>
      <c r="Y1477" s="758" t="str">
        <f t="shared" si="413"/>
        <v/>
      </c>
      <c r="Z1477" s="758" t="s">
        <v>6506</v>
      </c>
      <c r="AA1477" s="924"/>
      <c r="AB1477" s="924"/>
      <c r="AC1477" s="924"/>
      <c r="AD1477" s="924"/>
      <c r="AE1477" s="924"/>
      <c r="AF1477" s="924"/>
      <c r="AG1477" s="924"/>
      <c r="AH1477" s="924"/>
      <c r="AI1477" s="924"/>
      <c r="AJ1477" s="924"/>
      <c r="AK1477" s="924"/>
      <c r="AL1477" s="924"/>
      <c r="AM1477" s="924"/>
      <c r="AN1477" s="924"/>
      <c r="AO1477" s="924"/>
      <c r="AP1477" s="924"/>
      <c r="AQ1477" s="923"/>
      <c r="AR1477" s="923"/>
      <c r="AS1477" s="923"/>
      <c r="AT1477" s="923"/>
      <c r="AU1477" s="923"/>
      <c r="AV1477" s="923"/>
      <c r="AW1477" s="923"/>
      <c r="AX1477" s="923"/>
      <c r="AY1477" s="923"/>
      <c r="AZ1477" s="923"/>
      <c r="BA1477" s="923"/>
      <c r="BB1477" s="923"/>
      <c r="BC1477" s="923"/>
      <c r="BD1477" s="923"/>
      <c r="BE1477" s="923"/>
      <c r="BF1477" s="923"/>
      <c r="BG1477" s="923"/>
      <c r="BH1477" s="923"/>
      <c r="BI1477" s="923"/>
      <c r="BJ1477" s="923"/>
      <c r="BK1477" s="923"/>
      <c r="BL1477" s="923"/>
      <c r="BM1477" s="923"/>
      <c r="BN1477" s="920"/>
      <c r="BO1477" s="304"/>
      <c r="BP1477" s="304"/>
      <c r="BQ1477" s="304"/>
      <c r="BR1477" s="304"/>
      <c r="BS1477" s="304"/>
      <c r="BT1477" s="304"/>
      <c r="BU1477" s="304"/>
      <c r="BV1477" s="304"/>
      <c r="BW1477" s="304"/>
      <c r="BX1477" s="304"/>
      <c r="BY1477" s="304"/>
      <c r="BZ1477" s="304"/>
      <c r="CA1477" s="304"/>
      <c r="CB1477" s="571"/>
    </row>
    <row r="1478" spans="1:80" ht="12.75" customHeight="1">
      <c r="A1478" s="219">
        <v>1414</v>
      </c>
      <c r="B1478" s="7145"/>
      <c r="C1478" s="902"/>
      <c r="D1478" s="57"/>
      <c r="E1478" s="905" t="s">
        <v>7692</v>
      </c>
      <c r="F1478" s="75">
        <v>20</v>
      </c>
      <c r="G1478" s="75">
        <v>30</v>
      </c>
      <c r="H1478" s="75">
        <f>COUNTIF(HabilidadesEsenciales_Adquiridas,Tablas!E1478)</f>
        <v>0</v>
      </c>
      <c r="I1478" s="907">
        <v>1</v>
      </c>
      <c r="J1478" s="173"/>
      <c r="K1478" s="898"/>
      <c r="M1478" s="307"/>
      <c r="N1478" s="21"/>
      <c r="O1478" s="131" t="s">
        <v>7315</v>
      </c>
      <c r="P1478" s="900">
        <v>20</v>
      </c>
      <c r="Q1478" s="173">
        <f>100+IF(OR(TipoDeCriatura="Entre mundos, Elemental",TipoDeCriatura="Ánima, Elemental"),10,0)</f>
        <v>100</v>
      </c>
      <c r="R1478" s="907">
        <f>COUNTIF(PoderesDeCriatura_Adquiridos,Tablas!O1478)</f>
        <v>0</v>
      </c>
      <c r="S1478" s="173"/>
      <c r="T1478" s="898"/>
      <c r="W1478" s="930" t="s">
        <v>1119</v>
      </c>
      <c r="X1478" s="921"/>
      <c r="Y1478" s="758" t="str">
        <f t="shared" si="413"/>
        <v/>
      </c>
      <c r="Z1478" s="758" t="s">
        <v>6506</v>
      </c>
      <c r="AA1478" s="924"/>
      <c r="AB1478" s="924"/>
      <c r="AC1478" s="924"/>
      <c r="AD1478" s="924"/>
      <c r="AE1478" s="924"/>
      <c r="AF1478" s="924"/>
      <c r="AG1478" s="924"/>
      <c r="AH1478" s="924"/>
      <c r="AI1478" s="924"/>
      <c r="AJ1478" s="924"/>
      <c r="AK1478" s="924"/>
      <c r="AL1478" s="924"/>
      <c r="AM1478" s="924"/>
      <c r="AN1478" s="924"/>
      <c r="AO1478" s="924"/>
      <c r="AP1478" s="924"/>
      <c r="AQ1478" s="923"/>
      <c r="AR1478" s="923"/>
      <c r="AS1478" s="923"/>
      <c r="AT1478" s="923"/>
      <c r="AU1478" s="923"/>
      <c r="AV1478" s="923"/>
      <c r="AW1478" s="923"/>
      <c r="AX1478" s="923"/>
      <c r="AY1478" s="923"/>
      <c r="AZ1478" s="923"/>
      <c r="BA1478" s="923"/>
      <c r="BB1478" s="923"/>
      <c r="BC1478" s="923"/>
      <c r="BD1478" s="923"/>
      <c r="BE1478" s="923"/>
      <c r="BF1478" s="923"/>
      <c r="BG1478" s="923"/>
      <c r="BH1478" s="923"/>
      <c r="BI1478" s="923"/>
      <c r="BJ1478" s="923"/>
      <c r="BK1478" s="923"/>
      <c r="BL1478" s="923"/>
      <c r="BM1478" s="923"/>
      <c r="BN1478" s="920"/>
      <c r="BO1478" s="304"/>
      <c r="BP1478" s="304"/>
      <c r="BQ1478" s="304"/>
      <c r="BR1478" s="304"/>
      <c r="BS1478" s="304"/>
      <c r="BT1478" s="304"/>
      <c r="BU1478" s="304"/>
      <c r="BV1478" s="304"/>
      <c r="BW1478" s="304"/>
      <c r="BX1478" s="304"/>
      <c r="BY1478" s="304"/>
      <c r="BZ1478" s="304"/>
      <c r="CA1478" s="304"/>
      <c r="CB1478" s="571"/>
    </row>
    <row r="1479" spans="1:80" ht="12.75" customHeight="1">
      <c r="A1479" s="219">
        <v>1415</v>
      </c>
      <c r="B1479" s="7145"/>
      <c r="C1479" s="902"/>
      <c r="D1479" s="57"/>
      <c r="E1479" s="905" t="s">
        <v>7693</v>
      </c>
      <c r="F1479" s="75">
        <v>25</v>
      </c>
      <c r="G1479" s="75">
        <v>40</v>
      </c>
      <c r="H1479" s="75">
        <f>COUNTIF(HabilidadesEsenciales_Adquiridas,Tablas!E1479)</f>
        <v>0</v>
      </c>
      <c r="I1479" s="907">
        <v>1</v>
      </c>
      <c r="J1479" s="173"/>
      <c r="K1479" s="898"/>
      <c r="M1479" s="307"/>
      <c r="N1479" s="21"/>
      <c r="O1479" s="131" t="s">
        <v>7316</v>
      </c>
      <c r="P1479" s="900">
        <v>10</v>
      </c>
      <c r="Q1479" s="173">
        <f>10+IF(OR(TipoDeCriatura="Entre mundos, Elemental",TipoDeCriatura="Ánima, Elemental"),10,0)</f>
        <v>10</v>
      </c>
      <c r="R1479" s="907">
        <f>COUNTIF(PoderesDeCriatura_Adquiridos,Tablas!O1479)</f>
        <v>0</v>
      </c>
      <c r="S1479" s="173"/>
      <c r="T1479" s="898"/>
      <c r="W1479" s="930" t="s">
        <v>1120</v>
      </c>
      <c r="X1479" s="921"/>
      <c r="Y1479" s="758" t="str">
        <f t="shared" si="413"/>
        <v/>
      </c>
      <c r="Z1479" s="758" t="s">
        <v>6506</v>
      </c>
      <c r="AA1479" s="924"/>
      <c r="AB1479" s="924"/>
      <c r="AC1479" s="924"/>
      <c r="AD1479" s="924"/>
      <c r="AE1479" s="924"/>
      <c r="AF1479" s="924"/>
      <c r="AG1479" s="924"/>
      <c r="AH1479" s="924"/>
      <c r="AI1479" s="924"/>
      <c r="AJ1479" s="924"/>
      <c r="AK1479" s="924"/>
      <c r="AL1479" s="924"/>
      <c r="AM1479" s="924"/>
      <c r="AN1479" s="924"/>
      <c r="AO1479" s="924"/>
      <c r="AP1479" s="924"/>
      <c r="AQ1479" s="923"/>
      <c r="AR1479" s="923"/>
      <c r="AS1479" s="923"/>
      <c r="AT1479" s="923"/>
      <c r="AU1479" s="923"/>
      <c r="AV1479" s="923"/>
      <c r="AW1479" s="923"/>
      <c r="AX1479" s="923"/>
      <c r="AY1479" s="923"/>
      <c r="AZ1479" s="923"/>
      <c r="BA1479" s="923"/>
      <c r="BB1479" s="923"/>
      <c r="BC1479" s="923"/>
      <c r="BD1479" s="923"/>
      <c r="BE1479" s="923"/>
      <c r="BF1479" s="923"/>
      <c r="BG1479" s="923"/>
      <c r="BH1479" s="923"/>
      <c r="BI1479" s="923"/>
      <c r="BJ1479" s="923"/>
      <c r="BK1479" s="923"/>
      <c r="BL1479" s="923"/>
      <c r="BM1479" s="923"/>
      <c r="BN1479" s="920"/>
      <c r="BO1479" s="304"/>
      <c r="BP1479" s="304"/>
      <c r="BQ1479" s="304"/>
      <c r="BR1479" s="304"/>
      <c r="BS1479" s="304"/>
      <c r="BT1479" s="304"/>
      <c r="BU1479" s="304"/>
      <c r="BV1479" s="304"/>
      <c r="BW1479" s="304"/>
      <c r="BX1479" s="304"/>
      <c r="BY1479" s="304"/>
      <c r="BZ1479" s="304"/>
      <c r="CA1479" s="304"/>
      <c r="CB1479" s="571"/>
    </row>
    <row r="1480" spans="1:80" ht="12.75" customHeight="1">
      <c r="A1480" s="219">
        <v>1416</v>
      </c>
      <c r="B1480" s="7145"/>
      <c r="C1480" s="902"/>
      <c r="D1480" s="57"/>
      <c r="E1480" s="905" t="s">
        <v>7694</v>
      </c>
      <c r="F1480" s="75">
        <v>30</v>
      </c>
      <c r="G1480" s="75">
        <v>50</v>
      </c>
      <c r="H1480" s="75">
        <f>COUNTIF(HabilidadesEsenciales_Adquiridas,Tablas!E1480)</f>
        <v>0</v>
      </c>
      <c r="I1480" s="907">
        <v>1</v>
      </c>
      <c r="J1480" s="173"/>
      <c r="K1480" s="898"/>
      <c r="M1480" s="307"/>
      <c r="N1480" s="21"/>
      <c r="O1480" s="131" t="s">
        <v>7317</v>
      </c>
      <c r="P1480" s="900">
        <v>10</v>
      </c>
      <c r="Q1480" s="173">
        <v>-20</v>
      </c>
      <c r="R1480" s="907">
        <f>COUNTIF(PoderesDeCriatura_Adquiridos,Tablas!O1480)</f>
        <v>0</v>
      </c>
      <c r="S1480" s="173"/>
      <c r="T1480" s="898"/>
      <c r="W1480" s="930" t="s">
        <v>1116</v>
      </c>
      <c r="X1480" s="921"/>
      <c r="Y1480" s="758" t="str">
        <f t="shared" si="413"/>
        <v/>
      </c>
      <c r="Z1480" s="758" t="s">
        <v>6506</v>
      </c>
      <c r="AA1480" s="924"/>
      <c r="AB1480" s="924"/>
      <c r="AC1480" s="924"/>
      <c r="AD1480" s="924"/>
      <c r="AE1480" s="924"/>
      <c r="AF1480" s="924"/>
      <c r="AG1480" s="924"/>
      <c r="AH1480" s="924"/>
      <c r="AI1480" s="924"/>
      <c r="AJ1480" s="924"/>
      <c r="AK1480" s="924"/>
      <c r="AL1480" s="924"/>
      <c r="AM1480" s="924"/>
      <c r="AN1480" s="924"/>
      <c r="AO1480" s="924"/>
      <c r="AP1480" s="924"/>
      <c r="AQ1480" s="923"/>
      <c r="AR1480" s="923"/>
      <c r="AS1480" s="923"/>
      <c r="AT1480" s="923"/>
      <c r="AU1480" s="923"/>
      <c r="AV1480" s="923"/>
      <c r="AW1480" s="923"/>
      <c r="AX1480" s="923"/>
      <c r="AY1480" s="923"/>
      <c r="AZ1480" s="923"/>
      <c r="BA1480" s="923"/>
      <c r="BB1480" s="923"/>
      <c r="BC1480" s="923"/>
      <c r="BD1480" s="923"/>
      <c r="BE1480" s="923"/>
      <c r="BF1480" s="923"/>
      <c r="BG1480" s="923"/>
      <c r="BH1480" s="923"/>
      <c r="BI1480" s="923"/>
      <c r="BJ1480" s="923"/>
      <c r="BK1480" s="923"/>
      <c r="BL1480" s="923"/>
      <c r="BM1480" s="923"/>
      <c r="BN1480" s="920"/>
      <c r="BO1480" s="304"/>
      <c r="BP1480" s="304"/>
      <c r="BQ1480" s="304"/>
      <c r="BR1480" s="304"/>
      <c r="BS1480" s="304"/>
      <c r="BT1480" s="304"/>
      <c r="BU1480" s="304"/>
      <c r="BV1480" s="304"/>
      <c r="BW1480" s="304"/>
      <c r="BX1480" s="304"/>
      <c r="BY1480" s="304"/>
      <c r="BZ1480" s="304"/>
      <c r="CA1480" s="304"/>
      <c r="CB1480" s="571"/>
    </row>
    <row r="1481" spans="1:80" ht="12.75" customHeight="1">
      <c r="A1481" s="219">
        <v>1417</v>
      </c>
      <c r="B1481" s="7145"/>
      <c r="C1481" s="902"/>
      <c r="D1481" s="57"/>
      <c r="E1481" s="905" t="s">
        <v>7695</v>
      </c>
      <c r="F1481" s="75">
        <v>10</v>
      </c>
      <c r="G1481" s="75">
        <v>10</v>
      </c>
      <c r="H1481" s="75">
        <f>COUNTIF(HabilidadesEsenciales_Adquiridas,Tablas!E1481)</f>
        <v>0</v>
      </c>
      <c r="I1481" s="907">
        <v>1</v>
      </c>
      <c r="J1481" s="173"/>
      <c r="K1481" s="898"/>
      <c r="M1481" s="307"/>
      <c r="N1481" s="21"/>
      <c r="O1481" s="1" t="s">
        <v>7318</v>
      </c>
      <c r="P1481" s="900">
        <v>0</v>
      </c>
      <c r="Q1481" s="173">
        <v>10</v>
      </c>
      <c r="R1481" s="907">
        <f>COUNTIF(PoderesDeCriatura_Adquiridos,Tablas!O1481)</f>
        <v>0</v>
      </c>
      <c r="S1481" s="173"/>
      <c r="T1481" s="898"/>
      <c r="W1481" s="930" t="s">
        <v>1118</v>
      </c>
      <c r="X1481" s="921"/>
      <c r="Y1481" s="758" t="str">
        <f t="shared" si="413"/>
        <v/>
      </c>
      <c r="Z1481" s="758" t="s">
        <v>6506</v>
      </c>
      <c r="AA1481" s="924"/>
      <c r="AB1481" s="924"/>
      <c r="AC1481" s="924"/>
      <c r="AD1481" s="924"/>
      <c r="AE1481" s="924"/>
      <c r="AF1481" s="924"/>
      <c r="AG1481" s="924"/>
      <c r="AH1481" s="924"/>
      <c r="AI1481" s="924"/>
      <c r="AJ1481" s="924"/>
      <c r="AK1481" s="924"/>
      <c r="AL1481" s="924"/>
      <c r="AM1481" s="924"/>
      <c r="AN1481" s="924"/>
      <c r="AO1481" s="924"/>
      <c r="AP1481" s="924"/>
      <c r="AQ1481" s="923"/>
      <c r="AR1481" s="923"/>
      <c r="AS1481" s="923"/>
      <c r="AT1481" s="923"/>
      <c r="AU1481" s="923"/>
      <c r="AV1481" s="923"/>
      <c r="AW1481" s="923"/>
      <c r="AX1481" s="923"/>
      <c r="AY1481" s="923"/>
      <c r="AZ1481" s="923"/>
      <c r="BA1481" s="923"/>
      <c r="BB1481" s="923"/>
      <c r="BC1481" s="923"/>
      <c r="BD1481" s="923"/>
      <c r="BE1481" s="923"/>
      <c r="BF1481" s="923"/>
      <c r="BG1481" s="923"/>
      <c r="BH1481" s="923"/>
      <c r="BI1481" s="923"/>
      <c r="BJ1481" s="923"/>
      <c r="BK1481" s="923"/>
      <c r="BL1481" s="923"/>
      <c r="BM1481" s="923"/>
      <c r="BN1481" s="920"/>
      <c r="BO1481" s="304"/>
      <c r="BP1481" s="304"/>
      <c r="BQ1481" s="304"/>
      <c r="BR1481" s="304"/>
      <c r="BS1481" s="304"/>
      <c r="BT1481" s="304"/>
      <c r="BU1481" s="304"/>
      <c r="BV1481" s="304"/>
      <c r="BW1481" s="304"/>
      <c r="BX1481" s="304"/>
      <c r="BY1481" s="304"/>
      <c r="BZ1481" s="304"/>
      <c r="CA1481" s="304"/>
      <c r="CB1481" s="571"/>
    </row>
    <row r="1482" spans="1:80" ht="12.75" customHeight="1">
      <c r="A1482" s="219">
        <v>1418</v>
      </c>
      <c r="B1482" s="7145"/>
      <c r="C1482" s="902"/>
      <c r="D1482" s="57"/>
      <c r="E1482" s="905" t="s">
        <v>7696</v>
      </c>
      <c r="F1482" s="75">
        <v>15</v>
      </c>
      <c r="G1482" s="75">
        <v>20</v>
      </c>
      <c r="H1482" s="75">
        <f>COUNTIF(HabilidadesEsenciales_Adquiridas,Tablas!E1482)</f>
        <v>0</v>
      </c>
      <c r="I1482" s="907">
        <v>1</v>
      </c>
      <c r="J1482" s="173"/>
      <c r="K1482" s="898"/>
      <c r="M1482" s="307"/>
      <c r="N1482" s="21"/>
      <c r="O1482" s="131" t="s">
        <v>7319</v>
      </c>
      <c r="P1482" s="900">
        <v>0</v>
      </c>
      <c r="Q1482" s="173">
        <v>20</v>
      </c>
      <c r="R1482" s="907">
        <f>COUNTIF(PoderesDeCriatura_Adquiridos,Tablas!O1482)</f>
        <v>0</v>
      </c>
      <c r="S1482" s="173"/>
      <c r="T1482" s="898"/>
      <c r="W1482" s="930" t="s">
        <v>7632</v>
      </c>
      <c r="X1482" s="921"/>
      <c r="Y1482" s="758" t="str">
        <f t="shared" si="413"/>
        <v>PodHab_CaracterísticaIncrementada</v>
      </c>
      <c r="Z1482" s="758" t="s">
        <v>7742</v>
      </c>
      <c r="AA1482" s="758" t="s">
        <v>7743</v>
      </c>
      <c r="AB1482" s="758" t="s">
        <v>7744</v>
      </c>
      <c r="AC1482" s="758" t="s">
        <v>7745</v>
      </c>
      <c r="AD1482" s="758" t="s">
        <v>7746</v>
      </c>
      <c r="AE1482" s="758" t="s">
        <v>7747</v>
      </c>
      <c r="AF1482" s="758" t="s">
        <v>7748</v>
      </c>
      <c r="AG1482" s="758" t="s">
        <v>7749</v>
      </c>
      <c r="AH1482" s="758" t="s">
        <v>7750</v>
      </c>
      <c r="AI1482" s="758" t="s">
        <v>7751</v>
      </c>
      <c r="AJ1482" s="758" t="s">
        <v>7752</v>
      </c>
      <c r="AK1482" s="758" t="s">
        <v>7753</v>
      </c>
      <c r="AL1482" s="758" t="s">
        <v>7754</v>
      </c>
      <c r="AM1482" s="758" t="s">
        <v>7755</v>
      </c>
      <c r="AN1482" s="758" t="s">
        <v>7756</v>
      </c>
      <c r="AO1482" s="758" t="s">
        <v>7757</v>
      </c>
      <c r="AP1482" s="758" t="s">
        <v>7758</v>
      </c>
      <c r="AQ1482" s="925" t="s">
        <v>7759</v>
      </c>
      <c r="AR1482" s="925" t="s">
        <v>7760</v>
      </c>
      <c r="AS1482" s="925" t="s">
        <v>7761</v>
      </c>
      <c r="AT1482" s="925" t="s">
        <v>7762</v>
      </c>
      <c r="AU1482" s="925" t="s">
        <v>7763</v>
      </c>
      <c r="AV1482" s="925" t="s">
        <v>7764</v>
      </c>
      <c r="AW1482" s="925" t="s">
        <v>7765</v>
      </c>
      <c r="AX1482" s="925" t="s">
        <v>7766</v>
      </c>
      <c r="AY1482" s="925" t="s">
        <v>7767</v>
      </c>
      <c r="AZ1482" s="925" t="s">
        <v>7768</v>
      </c>
      <c r="BA1482" s="925" t="s">
        <v>7769</v>
      </c>
      <c r="BB1482" s="925" t="s">
        <v>7770</v>
      </c>
      <c r="BC1482" s="925" t="s">
        <v>7771</v>
      </c>
      <c r="BD1482" s="925" t="s">
        <v>7772</v>
      </c>
      <c r="BE1482" s="925" t="s">
        <v>7773</v>
      </c>
      <c r="BF1482" s="925" t="s">
        <v>7774</v>
      </c>
      <c r="BG1482" s="925" t="s">
        <v>7775</v>
      </c>
      <c r="BH1482" s="925" t="s">
        <v>7776</v>
      </c>
      <c r="BI1482" s="925" t="s">
        <v>7777</v>
      </c>
      <c r="BJ1482" s="925" t="s">
        <v>7778</v>
      </c>
      <c r="BK1482" s="925" t="s">
        <v>7779</v>
      </c>
      <c r="BL1482" s="925" t="s">
        <v>7780</v>
      </c>
      <c r="BM1482" s="925" t="s">
        <v>7781</v>
      </c>
      <c r="BN1482" s="925"/>
      <c r="BO1482" s="304"/>
      <c r="BP1482" s="304"/>
      <c r="BQ1482" s="304"/>
      <c r="BR1482" s="304"/>
      <c r="BS1482" s="304"/>
      <c r="BT1482" s="304"/>
      <c r="BU1482" s="304"/>
      <c r="BV1482" s="304"/>
      <c r="BW1482" s="304"/>
      <c r="BX1482" s="304"/>
      <c r="BY1482" s="304"/>
      <c r="BZ1482" s="304"/>
      <c r="CA1482" s="304"/>
      <c r="CB1482" s="571"/>
    </row>
    <row r="1483" spans="1:80" ht="12.75" customHeight="1">
      <c r="A1483" s="219">
        <v>1419</v>
      </c>
      <c r="B1483" s="7145"/>
      <c r="C1483" s="902"/>
      <c r="D1483" s="57"/>
      <c r="E1483" s="905" t="s">
        <v>7697</v>
      </c>
      <c r="F1483" s="75">
        <v>20</v>
      </c>
      <c r="G1483" s="75">
        <v>30</v>
      </c>
      <c r="H1483" s="75">
        <f>COUNTIF(HabilidadesEsenciales_Adquiridas,Tablas!E1483)</f>
        <v>0</v>
      </c>
      <c r="I1483" s="907">
        <v>1</v>
      </c>
      <c r="J1483" s="173"/>
      <c r="K1483" s="898"/>
      <c r="M1483" s="307"/>
      <c r="N1483" s="21"/>
      <c r="O1483" s="131" t="s">
        <v>7320</v>
      </c>
      <c r="P1483" s="900">
        <v>0</v>
      </c>
      <c r="Q1483" s="173">
        <v>30</v>
      </c>
      <c r="R1483" s="907">
        <f>COUNTIF(PoderesDeCriatura_Adquiridos,Tablas!O1483)</f>
        <v>0</v>
      </c>
      <c r="S1483" s="173"/>
      <c r="T1483" s="898"/>
      <c r="W1483" s="930" t="s">
        <v>2113</v>
      </c>
      <c r="X1483" s="921"/>
      <c r="Y1483" s="758"/>
      <c r="Z1483" s="758"/>
      <c r="AA1483" s="758"/>
      <c r="AB1483" s="758"/>
      <c r="AC1483" s="758"/>
      <c r="AD1483" s="758"/>
      <c r="AE1483" s="758"/>
      <c r="AF1483" s="758"/>
      <c r="AG1483" s="758"/>
      <c r="AH1483" s="758"/>
      <c r="AI1483" s="758"/>
      <c r="AJ1483" s="758"/>
      <c r="AK1483" s="758"/>
      <c r="AL1483" s="758"/>
      <c r="AM1483" s="758"/>
      <c r="AN1483" s="758"/>
      <c r="AO1483" s="758"/>
      <c r="AP1483" s="758"/>
      <c r="AQ1483" s="925"/>
      <c r="AR1483" s="925"/>
      <c r="AS1483" s="925"/>
      <c r="AT1483" s="925"/>
      <c r="AU1483" s="925"/>
      <c r="AV1483" s="925"/>
      <c r="AW1483" s="925"/>
      <c r="AX1483" s="925"/>
      <c r="AY1483" s="925"/>
      <c r="AZ1483" s="925"/>
      <c r="BA1483" s="925"/>
      <c r="BB1483" s="925"/>
      <c r="BC1483" s="925"/>
      <c r="BD1483" s="925"/>
      <c r="BE1483" s="925"/>
      <c r="BF1483" s="925"/>
      <c r="BG1483" s="925"/>
      <c r="BH1483" s="925"/>
      <c r="BI1483" s="925"/>
      <c r="BJ1483" s="925"/>
      <c r="BK1483" s="925"/>
      <c r="BL1483" s="925"/>
      <c r="BM1483" s="925"/>
      <c r="BN1483" s="920"/>
      <c r="BO1483" s="304"/>
      <c r="BP1483" s="304"/>
      <c r="BQ1483" s="304"/>
      <c r="BR1483" s="304"/>
      <c r="BS1483" s="304"/>
      <c r="BT1483" s="304"/>
      <c r="BU1483" s="304"/>
      <c r="BV1483" s="304"/>
      <c r="BW1483" s="304"/>
      <c r="BX1483" s="304"/>
      <c r="BY1483" s="304"/>
      <c r="BZ1483" s="304"/>
      <c r="CA1483" s="304"/>
      <c r="CB1483" s="571"/>
    </row>
    <row r="1484" spans="1:80" ht="12.75" customHeight="1">
      <c r="A1484" s="219">
        <v>1420</v>
      </c>
      <c r="B1484" s="7145"/>
      <c r="C1484" s="902"/>
      <c r="D1484" s="57"/>
      <c r="E1484" s="905" t="s">
        <v>7698</v>
      </c>
      <c r="F1484" s="75">
        <v>25</v>
      </c>
      <c r="G1484" s="75">
        <v>40</v>
      </c>
      <c r="H1484" s="75">
        <f>COUNTIF(HabilidadesEsenciales_Adquiridas,Tablas!E1484)</f>
        <v>0</v>
      </c>
      <c r="I1484" s="907">
        <v>1</v>
      </c>
      <c r="J1484" s="173"/>
      <c r="K1484" s="898"/>
      <c r="M1484" s="307"/>
      <c r="N1484" s="21"/>
      <c r="O1484" s="131" t="s">
        <v>7321</v>
      </c>
      <c r="P1484" s="900">
        <v>5</v>
      </c>
      <c r="Q1484" s="173">
        <v>40</v>
      </c>
      <c r="R1484" s="907">
        <f>COUNTIF(PoderesDeCriatura_Adquiridos,Tablas!O1484)</f>
        <v>0</v>
      </c>
      <c r="S1484" s="173"/>
      <c r="T1484" s="898"/>
      <c r="W1484" s="930" t="s">
        <v>1132</v>
      </c>
      <c r="X1484" s="920"/>
      <c r="Y1484" s="758" t="str">
        <f t="shared" ref="Y1484:Y1500" si="414">IF(Z1484="","",SUBSTITUTE("PodHab_"&amp;W1484," ",""))</f>
        <v/>
      </c>
      <c r="Z1484" s="758" t="s">
        <v>6506</v>
      </c>
      <c r="AA1484" s="924"/>
      <c r="AB1484" s="924"/>
      <c r="AC1484" s="924"/>
      <c r="AD1484" s="924"/>
      <c r="AE1484" s="924"/>
      <c r="AF1484" s="924"/>
      <c r="AG1484" s="924"/>
      <c r="AH1484" s="924"/>
      <c r="AI1484" s="924"/>
      <c r="AJ1484" s="924"/>
      <c r="AK1484" s="924"/>
      <c r="AL1484" s="924"/>
      <c r="AM1484" s="924"/>
      <c r="AN1484" s="924"/>
      <c r="AO1484" s="924"/>
      <c r="AP1484" s="924"/>
      <c r="AQ1484" s="923"/>
      <c r="AR1484" s="923"/>
      <c r="AS1484" s="923"/>
      <c r="AT1484" s="923"/>
      <c r="AU1484" s="923"/>
      <c r="AV1484" s="923"/>
      <c r="AW1484" s="923"/>
      <c r="AX1484" s="923"/>
      <c r="AY1484" s="923"/>
      <c r="AZ1484" s="923"/>
      <c r="BA1484" s="923"/>
      <c r="BB1484" s="923"/>
      <c r="BC1484" s="923"/>
      <c r="BD1484" s="923"/>
      <c r="BE1484" s="923"/>
      <c r="BF1484" s="923"/>
      <c r="BG1484" s="923"/>
      <c r="BH1484" s="923"/>
      <c r="BI1484" s="923"/>
      <c r="BJ1484" s="923"/>
      <c r="BK1484" s="923"/>
      <c r="BL1484" s="923"/>
      <c r="BM1484" s="923"/>
      <c r="BN1484" s="920"/>
      <c r="BO1484" s="304"/>
      <c r="BP1484" s="304"/>
      <c r="BQ1484" s="304"/>
      <c r="BR1484" s="304"/>
      <c r="BS1484" s="304"/>
      <c r="BT1484" s="304"/>
      <c r="BU1484" s="304"/>
      <c r="BV1484" s="304"/>
      <c r="BW1484" s="304"/>
      <c r="BX1484" s="304"/>
      <c r="BY1484" s="304"/>
      <c r="BZ1484" s="304"/>
      <c r="CA1484" s="304"/>
      <c r="CB1484" s="571"/>
    </row>
    <row r="1485" spans="1:80" ht="12.75" customHeight="1">
      <c r="A1485" s="219">
        <v>1421</v>
      </c>
      <c r="B1485" s="7145"/>
      <c r="C1485" s="902"/>
      <c r="D1485" s="57"/>
      <c r="E1485" s="905" t="s">
        <v>7699</v>
      </c>
      <c r="F1485" s="75">
        <v>30</v>
      </c>
      <c r="G1485" s="75">
        <v>50</v>
      </c>
      <c r="H1485" s="75">
        <f>COUNTIF(HabilidadesEsenciales_Adquiridas,Tablas!E1485)</f>
        <v>0</v>
      </c>
      <c r="I1485" s="907">
        <v>1</v>
      </c>
      <c r="J1485" s="173"/>
      <c r="K1485" s="898"/>
      <c r="M1485" s="307"/>
      <c r="N1485" s="21"/>
      <c r="O1485" s="131" t="s">
        <v>7322</v>
      </c>
      <c r="P1485" s="900">
        <v>5</v>
      </c>
      <c r="Q1485" s="173">
        <v>50</v>
      </c>
      <c r="R1485" s="907">
        <f>COUNTIF(PoderesDeCriatura_Adquiridos,Tablas!O1485)</f>
        <v>0</v>
      </c>
      <c r="S1485" s="173"/>
      <c r="T1485" s="898"/>
      <c r="W1485" s="931" t="s">
        <v>1125</v>
      </c>
      <c r="X1485" s="920"/>
      <c r="Y1485" s="758" t="str">
        <f t="shared" si="414"/>
        <v/>
      </c>
      <c r="Z1485" s="758" t="s">
        <v>6506</v>
      </c>
      <c r="AA1485" s="758"/>
      <c r="AB1485" s="758"/>
      <c r="AC1485" s="758"/>
      <c r="AD1485" s="758"/>
      <c r="AE1485" s="758"/>
      <c r="AF1485" s="758"/>
      <c r="AG1485" s="758"/>
      <c r="AH1485" s="758"/>
      <c r="AI1485" s="758"/>
      <c r="AJ1485" s="758"/>
      <c r="AK1485" s="758"/>
      <c r="AL1485" s="758"/>
      <c r="AM1485" s="758"/>
      <c r="AN1485" s="758"/>
      <c r="AO1485" s="758"/>
      <c r="AP1485" s="758"/>
      <c r="AQ1485" s="925"/>
      <c r="AR1485" s="925"/>
      <c r="AS1485" s="925"/>
      <c r="AT1485" s="925"/>
      <c r="AU1485" s="925"/>
      <c r="AV1485" s="925"/>
      <c r="AW1485" s="925"/>
      <c r="AX1485" s="925"/>
      <c r="AY1485" s="925"/>
      <c r="AZ1485" s="925"/>
      <c r="BA1485" s="925"/>
      <c r="BB1485" s="925"/>
      <c r="BC1485" s="925"/>
      <c r="BD1485" s="925"/>
      <c r="BE1485" s="925"/>
      <c r="BF1485" s="925"/>
      <c r="BG1485" s="925"/>
      <c r="BH1485" s="925"/>
      <c r="BI1485" s="925"/>
      <c r="BJ1485" s="925"/>
      <c r="BK1485" s="925"/>
      <c r="BL1485" s="925"/>
      <c r="BM1485" s="925"/>
      <c r="BN1485" s="304"/>
      <c r="BO1485" s="304"/>
      <c r="BP1485" s="304"/>
      <c r="BQ1485" s="304"/>
      <c r="BR1485" s="304"/>
      <c r="BS1485" s="304"/>
      <c r="BT1485" s="304"/>
      <c r="BU1485" s="304"/>
      <c r="BV1485" s="304"/>
      <c r="BW1485" s="304"/>
      <c r="BX1485" s="304"/>
      <c r="BY1485" s="304"/>
      <c r="BZ1485" s="304"/>
      <c r="CA1485" s="304"/>
      <c r="CB1485" s="571"/>
    </row>
    <row r="1486" spans="1:80" ht="12.75" customHeight="1">
      <c r="A1486" s="219">
        <v>1422</v>
      </c>
      <c r="B1486" s="7145"/>
      <c r="C1486" s="902"/>
      <c r="D1486" s="57"/>
      <c r="E1486" s="905" t="s">
        <v>7700</v>
      </c>
      <c r="F1486" s="75">
        <v>10</v>
      </c>
      <c r="G1486" s="75">
        <v>10</v>
      </c>
      <c r="H1486" s="75">
        <f>COUNTIF(HabilidadesEsenciales_Adquiridas,Tablas!E1486)</f>
        <v>0</v>
      </c>
      <c r="I1486" s="907">
        <v>1</v>
      </c>
      <c r="J1486" s="173"/>
      <c r="K1486" s="898"/>
      <c r="M1486" s="307"/>
      <c r="N1486" s="21"/>
      <c r="O1486" s="131" t="s">
        <v>7323</v>
      </c>
      <c r="P1486" s="900">
        <v>10</v>
      </c>
      <c r="Q1486" s="173">
        <v>60</v>
      </c>
      <c r="R1486" s="907">
        <f>COUNTIF(PoderesDeCriatura_Adquiridos,Tablas!O1486)</f>
        <v>0</v>
      </c>
      <c r="S1486" s="173"/>
      <c r="T1486" s="898"/>
      <c r="W1486" s="929" t="s">
        <v>1536</v>
      </c>
      <c r="X1486" s="921"/>
      <c r="Y1486" s="758" t="str">
        <f t="shared" si="414"/>
        <v/>
      </c>
      <c r="Z1486" s="758" t="s">
        <v>6506</v>
      </c>
      <c r="AA1486" s="758"/>
      <c r="AB1486" s="758"/>
      <c r="AC1486" s="758"/>
      <c r="AD1486" s="758"/>
      <c r="AE1486" s="758"/>
      <c r="AF1486" s="758"/>
      <c r="AG1486" s="758"/>
      <c r="AH1486" s="758"/>
      <c r="AI1486" s="758"/>
      <c r="AJ1486" s="758"/>
      <c r="AK1486" s="758"/>
      <c r="AL1486" s="758"/>
      <c r="AM1486" s="758"/>
      <c r="AN1486" s="758"/>
      <c r="AO1486" s="758"/>
      <c r="AP1486" s="758"/>
      <c r="AQ1486" s="925"/>
      <c r="AR1486" s="925"/>
      <c r="AS1486" s="925"/>
      <c r="AT1486" s="925"/>
      <c r="AU1486" s="925"/>
      <c r="AV1486" s="925"/>
      <c r="AW1486" s="925"/>
      <c r="AX1486" s="925"/>
      <c r="AY1486" s="925"/>
      <c r="AZ1486" s="925"/>
      <c r="BA1486" s="925"/>
      <c r="BB1486" s="925"/>
      <c r="BC1486" s="925"/>
      <c r="BD1486" s="925"/>
      <c r="BE1486" s="925"/>
      <c r="BF1486" s="925"/>
      <c r="BG1486" s="925"/>
      <c r="BH1486" s="925"/>
      <c r="BI1486" s="925"/>
      <c r="BJ1486" s="925"/>
      <c r="BK1486" s="925"/>
      <c r="BL1486" s="925"/>
      <c r="BM1486" s="925"/>
      <c r="BN1486" s="304"/>
      <c r="BO1486" s="304"/>
      <c r="BP1486" s="304"/>
      <c r="BQ1486" s="304"/>
      <c r="BR1486" s="304"/>
      <c r="BS1486" s="304"/>
      <c r="BT1486" s="304"/>
      <c r="BU1486" s="304"/>
      <c r="BV1486" s="304"/>
      <c r="BW1486" s="304"/>
      <c r="BX1486" s="304"/>
      <c r="BY1486" s="304"/>
      <c r="BZ1486" s="304"/>
      <c r="CA1486" s="304"/>
      <c r="CB1486" s="571"/>
    </row>
    <row r="1487" spans="1:80" ht="12.75" customHeight="1">
      <c r="A1487" s="219">
        <v>1423</v>
      </c>
      <c r="B1487" s="7145"/>
      <c r="C1487" s="902"/>
      <c r="D1487" s="57"/>
      <c r="E1487" s="905" t="s">
        <v>7701</v>
      </c>
      <c r="F1487" s="75">
        <v>15</v>
      </c>
      <c r="G1487" s="75">
        <v>20</v>
      </c>
      <c r="H1487" s="75">
        <f>COUNTIF(HabilidadesEsenciales_Adquiridas,Tablas!E1487)</f>
        <v>0</v>
      </c>
      <c r="I1487" s="907">
        <v>1</v>
      </c>
      <c r="J1487" s="173"/>
      <c r="K1487" s="898"/>
      <c r="M1487" s="307"/>
      <c r="N1487" s="21"/>
      <c r="O1487" s="131" t="s">
        <v>7324</v>
      </c>
      <c r="P1487" s="900">
        <v>20</v>
      </c>
      <c r="Q1487" s="173">
        <v>70</v>
      </c>
      <c r="R1487" s="907">
        <f>COUNTIF(PoderesDeCriatura_Adquiridos,Tablas!O1487)</f>
        <v>0</v>
      </c>
      <c r="S1487" s="173"/>
      <c r="T1487" s="898"/>
      <c r="W1487" s="929" t="s">
        <v>1134</v>
      </c>
      <c r="X1487" s="921"/>
      <c r="Y1487" s="758" t="str">
        <f t="shared" si="414"/>
        <v/>
      </c>
      <c r="Z1487" s="758" t="s">
        <v>6506</v>
      </c>
      <c r="AA1487" s="758"/>
      <c r="AB1487" s="758"/>
      <c r="AC1487" s="758"/>
      <c r="AD1487" s="758"/>
      <c r="AE1487" s="758"/>
      <c r="AF1487" s="758"/>
      <c r="AG1487" s="758"/>
      <c r="AH1487" s="758"/>
      <c r="AI1487" s="758"/>
      <c r="AJ1487" s="758"/>
      <c r="AK1487" s="758"/>
      <c r="AL1487" s="758"/>
      <c r="AM1487" s="758"/>
      <c r="AN1487" s="758"/>
      <c r="AO1487" s="758"/>
      <c r="AP1487" s="758"/>
      <c r="AQ1487" s="925"/>
      <c r="AR1487" s="925"/>
      <c r="AS1487" s="925"/>
      <c r="AT1487" s="925"/>
      <c r="AU1487" s="925"/>
      <c r="AV1487" s="925"/>
      <c r="AW1487" s="925"/>
      <c r="AX1487" s="925"/>
      <c r="AY1487" s="925"/>
      <c r="AZ1487" s="925"/>
      <c r="BA1487" s="925"/>
      <c r="BB1487" s="925"/>
      <c r="BC1487" s="925"/>
      <c r="BD1487" s="925"/>
      <c r="BE1487" s="925"/>
      <c r="BF1487" s="925"/>
      <c r="BG1487" s="925"/>
      <c r="BH1487" s="925"/>
      <c r="BI1487" s="925"/>
      <c r="BJ1487" s="925"/>
      <c r="BK1487" s="925"/>
      <c r="BL1487" s="925"/>
      <c r="BM1487" s="925"/>
      <c r="BN1487" s="304"/>
      <c r="BO1487" s="304"/>
      <c r="BP1487" s="304"/>
      <c r="BQ1487" s="304"/>
      <c r="BR1487" s="304"/>
      <c r="BS1487" s="304"/>
      <c r="BT1487" s="304"/>
      <c r="BU1487" s="304"/>
      <c r="BV1487" s="304"/>
      <c r="BW1487" s="304"/>
      <c r="BX1487" s="304"/>
      <c r="BY1487" s="304"/>
      <c r="BZ1487" s="304"/>
      <c r="CA1487" s="304"/>
      <c r="CB1487" s="571"/>
    </row>
    <row r="1488" spans="1:80" ht="12.75" customHeight="1">
      <c r="A1488" s="219">
        <v>1424</v>
      </c>
      <c r="B1488" s="7145"/>
      <c r="C1488" s="902"/>
      <c r="D1488" s="57"/>
      <c r="E1488" s="905" t="s">
        <v>7702</v>
      </c>
      <c r="F1488" s="75">
        <v>20</v>
      </c>
      <c r="G1488" s="75">
        <v>30</v>
      </c>
      <c r="H1488" s="75">
        <f>COUNTIF(HabilidadesEsenciales_Adquiridas,Tablas!E1488)</f>
        <v>0</v>
      </c>
      <c r="I1488" s="907">
        <v>1</v>
      </c>
      <c r="J1488" s="173"/>
      <c r="K1488" s="898"/>
      <c r="M1488" s="307"/>
      <c r="N1488" s="21"/>
      <c r="O1488" s="131" t="s">
        <v>7325</v>
      </c>
      <c r="P1488" s="900">
        <v>30</v>
      </c>
      <c r="Q1488" s="173">
        <v>80</v>
      </c>
      <c r="R1488" s="907">
        <f>COUNTIF(PoderesDeCriatura_Adquiridos,Tablas!O1488)</f>
        <v>0</v>
      </c>
      <c r="S1488" s="173"/>
      <c r="T1488" s="898"/>
      <c r="W1488" s="929" t="s">
        <v>1133</v>
      </c>
      <c r="X1488" s="921"/>
      <c r="Y1488" s="758" t="str">
        <f t="shared" si="414"/>
        <v/>
      </c>
      <c r="Z1488" s="758" t="s">
        <v>6506</v>
      </c>
      <c r="AA1488" s="758"/>
      <c r="AB1488" s="758"/>
      <c r="AC1488" s="758"/>
      <c r="AD1488" s="758"/>
      <c r="AE1488" s="758"/>
      <c r="AF1488" s="758"/>
      <c r="AG1488" s="758"/>
      <c r="AH1488" s="758"/>
      <c r="AI1488" s="758"/>
      <c r="AJ1488" s="758"/>
      <c r="AK1488" s="758"/>
      <c r="AL1488" s="758"/>
      <c r="AM1488" s="758"/>
      <c r="AN1488" s="758"/>
      <c r="AO1488" s="758"/>
      <c r="AP1488" s="758"/>
      <c r="AQ1488" s="925"/>
      <c r="AR1488" s="925"/>
      <c r="AS1488" s="925"/>
      <c r="AT1488" s="925"/>
      <c r="AU1488" s="925"/>
      <c r="AV1488" s="925"/>
      <c r="AW1488" s="925"/>
      <c r="AX1488" s="925"/>
      <c r="AY1488" s="925"/>
      <c r="AZ1488" s="925"/>
      <c r="BA1488" s="925"/>
      <c r="BB1488" s="925"/>
      <c r="BC1488" s="925"/>
      <c r="BD1488" s="925"/>
      <c r="BE1488" s="925"/>
      <c r="BF1488" s="925"/>
      <c r="BG1488" s="925"/>
      <c r="BH1488" s="925"/>
      <c r="BI1488" s="925"/>
      <c r="BJ1488" s="925"/>
      <c r="BK1488" s="925"/>
      <c r="BL1488" s="925"/>
      <c r="BM1488" s="925"/>
      <c r="BN1488" s="304"/>
      <c r="BO1488" s="304"/>
      <c r="BP1488" s="304"/>
      <c r="BQ1488" s="304"/>
      <c r="BR1488" s="304"/>
      <c r="BS1488" s="304"/>
      <c r="BT1488" s="304"/>
      <c r="BU1488" s="304"/>
      <c r="BV1488" s="304"/>
      <c r="BW1488" s="304"/>
      <c r="BX1488" s="304"/>
      <c r="BY1488" s="304"/>
      <c r="BZ1488" s="304"/>
      <c r="CA1488" s="304"/>
      <c r="CB1488" s="571"/>
    </row>
    <row r="1489" spans="1:80" ht="12.75" customHeight="1">
      <c r="A1489" s="219">
        <v>1425</v>
      </c>
      <c r="B1489" s="7145"/>
      <c r="C1489" s="902"/>
      <c r="D1489" s="57"/>
      <c r="E1489" s="905" t="s">
        <v>7703</v>
      </c>
      <c r="F1489" s="75">
        <v>25</v>
      </c>
      <c r="G1489" s="75">
        <v>40</v>
      </c>
      <c r="H1489" s="75">
        <f>COUNTIF(HabilidadesEsenciales_Adquiridas,Tablas!E1489)</f>
        <v>0</v>
      </c>
      <c r="I1489" s="907">
        <v>1</v>
      </c>
      <c r="J1489" s="173"/>
      <c r="K1489" s="898"/>
      <c r="M1489" s="307"/>
      <c r="N1489" s="21"/>
      <c r="O1489" s="131" t="s">
        <v>7326</v>
      </c>
      <c r="P1489" s="900">
        <v>30</v>
      </c>
      <c r="Q1489" s="173">
        <v>90</v>
      </c>
      <c r="R1489" s="907">
        <f>COUNTIF(PoderesDeCriatura_Adquiridos,Tablas!O1489)</f>
        <v>0</v>
      </c>
      <c r="S1489" s="173"/>
      <c r="T1489" s="898"/>
      <c r="W1489" s="929" t="s">
        <v>1130</v>
      </c>
      <c r="X1489" s="921"/>
      <c r="Y1489" s="758" t="str">
        <f t="shared" si="414"/>
        <v/>
      </c>
      <c r="Z1489" s="758" t="s">
        <v>6506</v>
      </c>
      <c r="AA1489" s="758"/>
      <c r="AB1489" s="758"/>
      <c r="AC1489" s="758"/>
      <c r="AD1489" s="758"/>
      <c r="AE1489" s="758"/>
      <c r="AF1489" s="758"/>
      <c r="AG1489" s="758"/>
      <c r="AH1489" s="758"/>
      <c r="AI1489" s="758"/>
      <c r="AJ1489" s="758"/>
      <c r="AK1489" s="758"/>
      <c r="AL1489" s="758"/>
      <c r="AM1489" s="758"/>
      <c r="AN1489" s="758"/>
      <c r="AO1489" s="758"/>
      <c r="AP1489" s="758"/>
      <c r="AQ1489" s="925"/>
      <c r="AR1489" s="925"/>
      <c r="AS1489" s="925"/>
      <c r="AT1489" s="925"/>
      <c r="AU1489" s="925"/>
      <c r="AV1489" s="925"/>
      <c r="AW1489" s="925"/>
      <c r="AX1489" s="925"/>
      <c r="AY1489" s="925"/>
      <c r="AZ1489" s="925"/>
      <c r="BA1489" s="925"/>
      <c r="BB1489" s="925"/>
      <c r="BC1489" s="925"/>
      <c r="BD1489" s="925"/>
      <c r="BE1489" s="925"/>
      <c r="BF1489" s="925"/>
      <c r="BG1489" s="925"/>
      <c r="BH1489" s="925"/>
      <c r="BI1489" s="925"/>
      <c r="BJ1489" s="925"/>
      <c r="BK1489" s="925"/>
      <c r="BL1489" s="925"/>
      <c r="BM1489" s="925"/>
      <c r="BN1489" s="304"/>
      <c r="BO1489" s="304"/>
      <c r="BP1489" s="304"/>
      <c r="BQ1489" s="304"/>
      <c r="BR1489" s="304"/>
      <c r="BS1489" s="304"/>
      <c r="BT1489" s="304"/>
      <c r="BU1489" s="304"/>
      <c r="BV1489" s="304"/>
      <c r="BW1489" s="304"/>
      <c r="BX1489" s="304"/>
      <c r="BY1489" s="304"/>
      <c r="BZ1489" s="304"/>
      <c r="CA1489" s="304"/>
      <c r="CB1489" s="571"/>
    </row>
    <row r="1490" spans="1:80" ht="12.75" customHeight="1">
      <c r="A1490" s="219">
        <v>1426</v>
      </c>
      <c r="B1490" s="7145"/>
      <c r="C1490" s="902"/>
      <c r="D1490" s="57"/>
      <c r="E1490" s="905" t="s">
        <v>7704</v>
      </c>
      <c r="F1490" s="75">
        <v>30</v>
      </c>
      <c r="G1490" s="75">
        <v>50</v>
      </c>
      <c r="H1490" s="75">
        <f>COUNTIF(HabilidadesEsenciales_Adquiridas,Tablas!E1490)</f>
        <v>0</v>
      </c>
      <c r="I1490" s="907">
        <v>1</v>
      </c>
      <c r="J1490" s="173"/>
      <c r="K1490" s="898"/>
      <c r="M1490" s="307"/>
      <c r="N1490" s="21"/>
      <c r="O1490" s="131" t="s">
        <v>7327</v>
      </c>
      <c r="P1490" s="900">
        <v>40</v>
      </c>
      <c r="Q1490" s="173">
        <v>100</v>
      </c>
      <c r="R1490" s="907">
        <f>COUNTIF(PoderesDeCriatura_Adquiridos,Tablas!O1490)</f>
        <v>0</v>
      </c>
      <c r="S1490" s="173"/>
      <c r="T1490" s="898"/>
      <c r="W1490" s="929" t="s">
        <v>1131</v>
      </c>
      <c r="X1490" s="921"/>
      <c r="Y1490" s="758" t="str">
        <f t="shared" si="414"/>
        <v/>
      </c>
      <c r="Z1490" s="758" t="s">
        <v>6506</v>
      </c>
      <c r="AA1490" s="758"/>
      <c r="AB1490" s="758"/>
      <c r="AC1490" s="758"/>
      <c r="AD1490" s="758"/>
      <c r="AE1490" s="758"/>
      <c r="AF1490" s="758"/>
      <c r="AG1490" s="758"/>
      <c r="AH1490" s="758"/>
      <c r="AI1490" s="758"/>
      <c r="AJ1490" s="758"/>
      <c r="AK1490" s="758"/>
      <c r="AL1490" s="758"/>
      <c r="AM1490" s="758"/>
      <c r="AN1490" s="758"/>
      <c r="AO1490" s="758"/>
      <c r="AP1490" s="758"/>
      <c r="AQ1490" s="925"/>
      <c r="AR1490" s="925"/>
      <c r="AS1490" s="925"/>
      <c r="AT1490" s="925"/>
      <c r="AU1490" s="925"/>
      <c r="AV1490" s="925"/>
      <c r="AW1490" s="925"/>
      <c r="AX1490" s="925"/>
      <c r="AY1490" s="925"/>
      <c r="AZ1490" s="925"/>
      <c r="BA1490" s="925"/>
      <c r="BB1490" s="925"/>
      <c r="BC1490" s="925"/>
      <c r="BD1490" s="925"/>
      <c r="BE1490" s="925"/>
      <c r="BF1490" s="925"/>
      <c r="BG1490" s="925"/>
      <c r="BH1490" s="925"/>
      <c r="BI1490" s="925"/>
      <c r="BJ1490" s="925"/>
      <c r="BK1490" s="925"/>
      <c r="BL1490" s="925"/>
      <c r="BM1490" s="925"/>
      <c r="BN1490" s="304"/>
      <c r="BO1490" s="304"/>
      <c r="BP1490" s="304"/>
      <c r="BQ1490" s="304"/>
      <c r="BR1490" s="304"/>
      <c r="BS1490" s="304"/>
      <c r="BT1490" s="304"/>
      <c r="BU1490" s="304"/>
      <c r="BV1490" s="304"/>
      <c r="BW1490" s="304"/>
      <c r="BX1490" s="304"/>
      <c r="BY1490" s="304"/>
      <c r="BZ1490" s="304"/>
      <c r="CA1490" s="304"/>
      <c r="CB1490" s="571"/>
    </row>
    <row r="1491" spans="1:80" ht="12.75" customHeight="1">
      <c r="A1491" s="219">
        <v>1427</v>
      </c>
      <c r="B1491" s="7145"/>
      <c r="C1491" s="902"/>
      <c r="D1491" s="57"/>
      <c r="E1491" s="905" t="s">
        <v>7705</v>
      </c>
      <c r="F1491" s="75">
        <v>10</v>
      </c>
      <c r="G1491" s="75">
        <v>10</v>
      </c>
      <c r="H1491" s="75">
        <f>COUNTIF(HabilidadesEsenciales_Adquiridas,Tablas!E1491)</f>
        <v>0</v>
      </c>
      <c r="I1491" s="907">
        <v>1</v>
      </c>
      <c r="J1491" s="173"/>
      <c r="K1491" s="898"/>
      <c r="M1491" s="307"/>
      <c r="N1491" s="21"/>
      <c r="O1491" s="131" t="s">
        <v>7328</v>
      </c>
      <c r="P1491" s="900">
        <v>0</v>
      </c>
      <c r="Q1491" s="173">
        <v>10</v>
      </c>
      <c r="R1491" s="907">
        <f>COUNTIF(PoderesDeCriatura_Adquiridos,Tablas!O1491)</f>
        <v>0</v>
      </c>
      <c r="S1491" s="173"/>
      <c r="T1491" s="898"/>
      <c r="W1491" s="929" t="s">
        <v>1129</v>
      </c>
      <c r="X1491" s="921"/>
      <c r="Y1491" s="758" t="str">
        <f t="shared" si="414"/>
        <v/>
      </c>
      <c r="Z1491" s="758" t="s">
        <v>6506</v>
      </c>
      <c r="AA1491" s="758"/>
      <c r="AB1491" s="758"/>
      <c r="AC1491" s="758"/>
      <c r="AD1491" s="758"/>
      <c r="AE1491" s="758"/>
      <c r="AF1491" s="758"/>
      <c r="AG1491" s="758"/>
      <c r="AH1491" s="758"/>
      <c r="AI1491" s="758"/>
      <c r="AJ1491" s="758"/>
      <c r="AK1491" s="758"/>
      <c r="AL1491" s="758"/>
      <c r="AM1491" s="758"/>
      <c r="AN1491" s="758"/>
      <c r="AO1491" s="758"/>
      <c r="AP1491" s="758"/>
      <c r="AQ1491" s="925"/>
      <c r="AR1491" s="925"/>
      <c r="AS1491" s="925"/>
      <c r="AT1491" s="925"/>
      <c r="AU1491" s="925"/>
      <c r="AV1491" s="925"/>
      <c r="AW1491" s="925"/>
      <c r="AX1491" s="925"/>
      <c r="AY1491" s="925"/>
      <c r="AZ1491" s="925"/>
      <c r="BA1491" s="925"/>
      <c r="BB1491" s="925"/>
      <c r="BC1491" s="925"/>
      <c r="BD1491" s="925"/>
      <c r="BE1491" s="925"/>
      <c r="BF1491" s="925"/>
      <c r="BG1491" s="925"/>
      <c r="BH1491" s="925"/>
      <c r="BI1491" s="925"/>
      <c r="BJ1491" s="925"/>
      <c r="BK1491" s="925"/>
      <c r="BL1491" s="925"/>
      <c r="BM1491" s="925"/>
      <c r="BN1491" s="304"/>
      <c r="BO1491" s="304"/>
      <c r="BP1491" s="304"/>
      <c r="BQ1491" s="304"/>
      <c r="BR1491" s="304"/>
      <c r="BS1491" s="304"/>
      <c r="BT1491" s="304"/>
      <c r="BU1491" s="304"/>
      <c r="BV1491" s="304"/>
      <c r="BW1491" s="304"/>
      <c r="BX1491" s="304"/>
      <c r="BY1491" s="304"/>
      <c r="BZ1491" s="304"/>
      <c r="CA1491" s="304"/>
      <c r="CB1491" s="571"/>
    </row>
    <row r="1492" spans="1:80" ht="12.75" customHeight="1">
      <c r="A1492" s="219">
        <v>1428</v>
      </c>
      <c r="B1492" s="7145"/>
      <c r="C1492" s="902"/>
      <c r="D1492" s="57"/>
      <c r="E1492" s="905" t="s">
        <v>7706</v>
      </c>
      <c r="F1492" s="75">
        <v>15</v>
      </c>
      <c r="G1492" s="75">
        <v>20</v>
      </c>
      <c r="H1492" s="75">
        <f>COUNTIF(HabilidadesEsenciales_Adquiridas,Tablas!E1492)</f>
        <v>0</v>
      </c>
      <c r="I1492" s="907">
        <v>1</v>
      </c>
      <c r="J1492" s="173"/>
      <c r="K1492" s="898"/>
      <c r="M1492" s="307"/>
      <c r="N1492" s="21"/>
      <c r="O1492" s="131" t="s">
        <v>7329</v>
      </c>
      <c r="P1492" s="900">
        <v>0</v>
      </c>
      <c r="Q1492" s="173">
        <v>20</v>
      </c>
      <c r="R1492" s="907">
        <f>COUNTIF(PoderesDeCriatura_Adquiridos,Tablas!O1492)</f>
        <v>0</v>
      </c>
      <c r="S1492" s="173"/>
      <c r="T1492" s="898"/>
      <c r="W1492" s="929" t="s">
        <v>1135</v>
      </c>
      <c r="X1492" s="921"/>
      <c r="Y1492" s="758" t="str">
        <f t="shared" si="414"/>
        <v/>
      </c>
      <c r="Z1492" s="758" t="s">
        <v>6506</v>
      </c>
      <c r="AA1492" s="758"/>
      <c r="AB1492" s="758"/>
      <c r="AC1492" s="758"/>
      <c r="AD1492" s="758"/>
      <c r="AE1492" s="758"/>
      <c r="AF1492" s="758"/>
      <c r="AG1492" s="758"/>
      <c r="AH1492" s="758"/>
      <c r="AI1492" s="758"/>
      <c r="AJ1492" s="758"/>
      <c r="AK1492" s="758"/>
      <c r="AL1492" s="758"/>
      <c r="AM1492" s="758"/>
      <c r="AN1492" s="758"/>
      <c r="AO1492" s="758"/>
      <c r="AP1492" s="758"/>
      <c r="AQ1492" s="925"/>
      <c r="AR1492" s="925"/>
      <c r="AS1492" s="925"/>
      <c r="AT1492" s="925"/>
      <c r="AU1492" s="925"/>
      <c r="AV1492" s="925"/>
      <c r="AW1492" s="925"/>
      <c r="AX1492" s="925"/>
      <c r="AY1492" s="925"/>
      <c r="AZ1492" s="925"/>
      <c r="BA1492" s="925"/>
      <c r="BB1492" s="925"/>
      <c r="BC1492" s="925"/>
      <c r="BD1492" s="925"/>
      <c r="BE1492" s="925"/>
      <c r="BF1492" s="925"/>
      <c r="BG1492" s="925"/>
      <c r="BH1492" s="925"/>
      <c r="BI1492" s="925"/>
      <c r="BJ1492" s="925"/>
      <c r="BK1492" s="925"/>
      <c r="BL1492" s="925"/>
      <c r="BM1492" s="925"/>
      <c r="BN1492" s="304"/>
      <c r="BO1492" s="304"/>
      <c r="BP1492" s="304"/>
      <c r="BQ1492" s="304"/>
      <c r="BR1492" s="304"/>
      <c r="BS1492" s="304"/>
      <c r="BT1492" s="304"/>
      <c r="BU1492" s="304"/>
      <c r="BV1492" s="304"/>
      <c r="BW1492" s="304"/>
      <c r="BX1492" s="304"/>
      <c r="BY1492" s="304"/>
      <c r="BZ1492" s="304"/>
      <c r="CA1492" s="304"/>
      <c r="CB1492" s="571"/>
    </row>
    <row r="1493" spans="1:80" ht="12.75" customHeight="1">
      <c r="A1493" s="219">
        <v>1429</v>
      </c>
      <c r="B1493" s="7145"/>
      <c r="C1493" s="902"/>
      <c r="D1493" s="57"/>
      <c r="E1493" s="905" t="s">
        <v>7707</v>
      </c>
      <c r="F1493" s="75">
        <v>20</v>
      </c>
      <c r="G1493" s="75">
        <v>30</v>
      </c>
      <c r="H1493" s="75">
        <f>COUNTIF(HabilidadesEsenciales_Adquiridas,Tablas!E1493)</f>
        <v>0</v>
      </c>
      <c r="I1493" s="907">
        <v>1</v>
      </c>
      <c r="J1493" s="173"/>
      <c r="K1493" s="898"/>
      <c r="M1493" s="307"/>
      <c r="N1493" s="21"/>
      <c r="O1493" s="131" t="s">
        <v>7330</v>
      </c>
      <c r="P1493" s="900">
        <v>0</v>
      </c>
      <c r="Q1493" s="173">
        <v>30</v>
      </c>
      <c r="R1493" s="907">
        <f>COUNTIF(PoderesDeCriatura_Adquiridos,Tablas!O1493)</f>
        <v>0</v>
      </c>
      <c r="S1493" s="173"/>
      <c r="T1493" s="898"/>
      <c r="W1493" s="929" t="s">
        <v>1128</v>
      </c>
      <c r="X1493" s="921"/>
      <c r="Y1493" s="758" t="str">
        <f t="shared" si="414"/>
        <v/>
      </c>
      <c r="Z1493" s="758" t="s">
        <v>6506</v>
      </c>
      <c r="AA1493" s="758"/>
      <c r="AB1493" s="758"/>
      <c r="AC1493" s="758"/>
      <c r="AD1493" s="758"/>
      <c r="AE1493" s="758"/>
      <c r="AF1493" s="758"/>
      <c r="AG1493" s="758"/>
      <c r="AH1493" s="758"/>
      <c r="AI1493" s="758"/>
      <c r="AJ1493" s="758"/>
      <c r="AK1493" s="758"/>
      <c r="AL1493" s="758"/>
      <c r="AM1493" s="758"/>
      <c r="AN1493" s="758"/>
      <c r="AO1493" s="758"/>
      <c r="AP1493" s="758"/>
      <c r="AQ1493" s="925"/>
      <c r="AR1493" s="925"/>
      <c r="AS1493" s="925"/>
      <c r="AT1493" s="925"/>
      <c r="AU1493" s="925"/>
      <c r="AV1493" s="925"/>
      <c r="AW1493" s="925"/>
      <c r="AX1493" s="925"/>
      <c r="AY1493" s="925"/>
      <c r="AZ1493" s="925"/>
      <c r="BA1493" s="925"/>
      <c r="BB1493" s="925"/>
      <c r="BC1493" s="925"/>
      <c r="BD1493" s="925"/>
      <c r="BE1493" s="925"/>
      <c r="BF1493" s="925"/>
      <c r="BG1493" s="925"/>
      <c r="BH1493" s="925"/>
      <c r="BI1493" s="925"/>
      <c r="BJ1493" s="925"/>
      <c r="BK1493" s="925"/>
      <c r="BL1493" s="925"/>
      <c r="BM1493" s="925"/>
      <c r="BN1493" s="304"/>
      <c r="BO1493" s="304"/>
      <c r="BP1493" s="304"/>
      <c r="BQ1493" s="304"/>
      <c r="BR1493" s="304"/>
      <c r="BS1493" s="304"/>
      <c r="BT1493" s="304"/>
      <c r="BU1493" s="304"/>
      <c r="BV1493" s="304"/>
      <c r="BW1493" s="304"/>
      <c r="BX1493" s="304"/>
      <c r="BY1493" s="304"/>
      <c r="BZ1493" s="304"/>
      <c r="CA1493" s="304"/>
      <c r="CB1493" s="571"/>
    </row>
    <row r="1494" spans="1:80" ht="12.75" customHeight="1">
      <c r="A1494" s="219">
        <v>1430</v>
      </c>
      <c r="B1494" s="7145"/>
      <c r="C1494" s="902"/>
      <c r="D1494" s="57"/>
      <c r="E1494" s="905" t="s">
        <v>7708</v>
      </c>
      <c r="F1494" s="75">
        <v>25</v>
      </c>
      <c r="G1494" s="75">
        <v>40</v>
      </c>
      <c r="H1494" s="75">
        <f>COUNTIF(HabilidadesEsenciales_Adquiridas,Tablas!E1494)</f>
        <v>0</v>
      </c>
      <c r="I1494" s="907">
        <v>1</v>
      </c>
      <c r="J1494" s="173"/>
      <c r="K1494" s="898"/>
      <c r="M1494" s="307"/>
      <c r="N1494" s="21"/>
      <c r="O1494" s="131" t="s">
        <v>7331</v>
      </c>
      <c r="P1494" s="900">
        <v>10</v>
      </c>
      <c r="Q1494" s="173">
        <v>40</v>
      </c>
      <c r="R1494" s="907">
        <f>COUNTIF(PoderesDeCriatura_Adquiridos,Tablas!O1494)</f>
        <v>0</v>
      </c>
      <c r="S1494" s="173"/>
      <c r="T1494" s="898"/>
      <c r="W1494" s="929" t="s">
        <v>1126</v>
      </c>
      <c r="X1494" s="921"/>
      <c r="Y1494" s="758" t="str">
        <f t="shared" si="414"/>
        <v/>
      </c>
      <c r="Z1494" s="758" t="s">
        <v>6506</v>
      </c>
      <c r="AA1494" s="758"/>
      <c r="AB1494" s="758"/>
      <c r="AC1494" s="758"/>
      <c r="AD1494" s="758"/>
      <c r="AE1494" s="758"/>
      <c r="AF1494" s="758"/>
      <c r="AG1494" s="758"/>
      <c r="AH1494" s="758"/>
      <c r="AI1494" s="758"/>
      <c r="AJ1494" s="758"/>
      <c r="AK1494" s="758"/>
      <c r="AL1494" s="758"/>
      <c r="AM1494" s="758"/>
      <c r="AN1494" s="758"/>
      <c r="AO1494" s="758"/>
      <c r="AP1494" s="758"/>
      <c r="AQ1494" s="925"/>
      <c r="AR1494" s="925"/>
      <c r="AS1494" s="925"/>
      <c r="AT1494" s="925"/>
      <c r="AU1494" s="925"/>
      <c r="AV1494" s="925"/>
      <c r="AW1494" s="925"/>
      <c r="AX1494" s="925"/>
      <c r="AY1494" s="925"/>
      <c r="AZ1494" s="925"/>
      <c r="BA1494" s="925"/>
      <c r="BB1494" s="925"/>
      <c r="BC1494" s="925"/>
      <c r="BD1494" s="925"/>
      <c r="BE1494" s="925"/>
      <c r="BF1494" s="925"/>
      <c r="BG1494" s="925"/>
      <c r="BH1494" s="925"/>
      <c r="BI1494" s="925"/>
      <c r="BJ1494" s="925"/>
      <c r="BK1494" s="925"/>
      <c r="BL1494" s="925"/>
      <c r="BM1494" s="925"/>
      <c r="BN1494" s="304"/>
      <c r="BO1494" s="304"/>
      <c r="BP1494" s="304"/>
      <c r="BQ1494" s="304"/>
      <c r="BR1494" s="304"/>
      <c r="BS1494" s="304"/>
      <c r="BT1494" s="304"/>
      <c r="BU1494" s="304"/>
      <c r="BV1494" s="304"/>
      <c r="BW1494" s="304"/>
      <c r="BX1494" s="304"/>
      <c r="BY1494" s="304"/>
      <c r="BZ1494" s="304"/>
      <c r="CA1494" s="304"/>
      <c r="CB1494" s="571"/>
    </row>
    <row r="1495" spans="1:80" ht="12.75" customHeight="1">
      <c r="A1495" s="219">
        <v>1431</v>
      </c>
      <c r="B1495" s="7145"/>
      <c r="C1495" s="902"/>
      <c r="D1495" s="57"/>
      <c r="E1495" s="905" t="s">
        <v>7709</v>
      </c>
      <c r="F1495" s="75">
        <v>30</v>
      </c>
      <c r="G1495" s="75">
        <v>50</v>
      </c>
      <c r="H1495" s="75">
        <f>COUNTIF(HabilidadesEsenciales_Adquiridas,Tablas!E1495)</f>
        <v>0</v>
      </c>
      <c r="I1495" s="907">
        <v>1</v>
      </c>
      <c r="J1495" s="173"/>
      <c r="K1495" s="898"/>
      <c r="M1495" s="307"/>
      <c r="N1495" s="21"/>
      <c r="O1495" s="131" t="s">
        <v>7332</v>
      </c>
      <c r="P1495" s="900">
        <v>20</v>
      </c>
      <c r="Q1495" s="173">
        <v>60</v>
      </c>
      <c r="R1495" s="907">
        <f>COUNTIF(PoderesDeCriatura_Adquiridos,Tablas!O1495)</f>
        <v>0</v>
      </c>
      <c r="S1495" s="173"/>
      <c r="T1495" s="898"/>
      <c r="W1495" s="929" t="s">
        <v>1127</v>
      </c>
      <c r="X1495" s="921"/>
      <c r="Y1495" s="758" t="str">
        <f t="shared" si="414"/>
        <v/>
      </c>
      <c r="Z1495" s="758" t="s">
        <v>6506</v>
      </c>
      <c r="AA1495" s="758"/>
      <c r="AB1495" s="758"/>
      <c r="AC1495" s="758"/>
      <c r="AD1495" s="758"/>
      <c r="AE1495" s="758"/>
      <c r="AF1495" s="758"/>
      <c r="AG1495" s="758"/>
      <c r="AH1495" s="758"/>
      <c r="AI1495" s="758"/>
      <c r="AJ1495" s="758"/>
      <c r="AK1495" s="758"/>
      <c r="AL1495" s="758"/>
      <c r="AM1495" s="758"/>
      <c r="AN1495" s="758"/>
      <c r="AO1495" s="758"/>
      <c r="AP1495" s="758"/>
      <c r="AQ1495" s="925"/>
      <c r="AR1495" s="925"/>
      <c r="AS1495" s="925"/>
      <c r="AT1495" s="925"/>
      <c r="AU1495" s="925"/>
      <c r="AV1495" s="925"/>
      <c r="AW1495" s="925"/>
      <c r="AX1495" s="925"/>
      <c r="AY1495" s="925"/>
      <c r="AZ1495" s="925"/>
      <c r="BA1495" s="925"/>
      <c r="BB1495" s="925"/>
      <c r="BC1495" s="925"/>
      <c r="BD1495" s="925"/>
      <c r="BE1495" s="925"/>
      <c r="BF1495" s="925"/>
      <c r="BG1495" s="925"/>
      <c r="BH1495" s="925"/>
      <c r="BI1495" s="925"/>
      <c r="BJ1495" s="925"/>
      <c r="BK1495" s="925"/>
      <c r="BL1495" s="925"/>
      <c r="BM1495" s="925"/>
      <c r="BN1495" s="304"/>
      <c r="BO1495" s="304"/>
      <c r="BP1495" s="304"/>
      <c r="BQ1495" s="304"/>
      <c r="BR1495" s="304"/>
      <c r="BS1495" s="304"/>
      <c r="BT1495" s="304"/>
      <c r="BU1495" s="304"/>
      <c r="BV1495" s="304"/>
      <c r="BW1495" s="304"/>
      <c r="BX1495" s="304"/>
      <c r="BY1495" s="304"/>
      <c r="BZ1495" s="304"/>
      <c r="CA1495" s="304"/>
      <c r="CB1495" s="571"/>
    </row>
    <row r="1496" spans="1:80" ht="12.75" customHeight="1">
      <c r="A1496" s="219">
        <v>1432</v>
      </c>
      <c r="B1496" s="7145"/>
      <c r="C1496" s="902"/>
      <c r="D1496" s="57"/>
      <c r="E1496" s="905" t="s">
        <v>7710</v>
      </c>
      <c r="F1496" s="75">
        <v>10</v>
      </c>
      <c r="G1496" s="75">
        <v>10</v>
      </c>
      <c r="H1496" s="75">
        <f>COUNTIF(HabilidadesEsenciales_Adquiridas,Tablas!E1496)</f>
        <v>0</v>
      </c>
      <c r="I1496" s="907">
        <v>1</v>
      </c>
      <c r="J1496" s="173"/>
      <c r="K1496" s="898"/>
      <c r="M1496" s="307"/>
      <c r="N1496" s="21"/>
      <c r="O1496" s="131" t="s">
        <v>7333</v>
      </c>
      <c r="P1496" s="900">
        <v>25</v>
      </c>
      <c r="Q1496" s="173">
        <v>80</v>
      </c>
      <c r="R1496" s="907">
        <f>COUNTIF(PoderesDeCriatura_Adquiridos,Tablas!O1496)</f>
        <v>0</v>
      </c>
      <c r="S1496" s="173"/>
      <c r="T1496" s="898"/>
      <c r="W1496" s="929" t="s">
        <v>1111</v>
      </c>
      <c r="X1496" s="921"/>
      <c r="Y1496" s="758" t="str">
        <f t="shared" si="414"/>
        <v/>
      </c>
      <c r="Z1496" s="758" t="s">
        <v>6506</v>
      </c>
      <c r="AA1496" s="758"/>
      <c r="AB1496" s="758"/>
      <c r="AC1496" s="758"/>
      <c r="AD1496" s="758"/>
      <c r="AE1496" s="758"/>
      <c r="AF1496" s="758"/>
      <c r="AG1496" s="758"/>
      <c r="AH1496" s="758"/>
      <c r="AI1496" s="758"/>
      <c r="AJ1496" s="758"/>
      <c r="AK1496" s="758"/>
      <c r="AL1496" s="758"/>
      <c r="AM1496" s="758"/>
      <c r="AN1496" s="758"/>
      <c r="AO1496" s="758"/>
      <c r="AP1496" s="758"/>
      <c r="AQ1496" s="925"/>
      <c r="AR1496" s="925"/>
      <c r="AS1496" s="925"/>
      <c r="AT1496" s="925"/>
      <c r="AU1496" s="925"/>
      <c r="AV1496" s="925"/>
      <c r="AW1496" s="925"/>
      <c r="AX1496" s="925"/>
      <c r="AY1496" s="925"/>
      <c r="AZ1496" s="925"/>
      <c r="BA1496" s="925"/>
      <c r="BB1496" s="925"/>
      <c r="BC1496" s="925"/>
      <c r="BD1496" s="925"/>
      <c r="BE1496" s="925"/>
      <c r="BF1496" s="925"/>
      <c r="BG1496" s="925"/>
      <c r="BH1496" s="925"/>
      <c r="BI1496" s="925"/>
      <c r="BJ1496" s="925"/>
      <c r="BK1496" s="925"/>
      <c r="BL1496" s="925"/>
      <c r="BM1496" s="925"/>
      <c r="BN1496" s="304"/>
      <c r="BO1496" s="304"/>
      <c r="BP1496" s="304"/>
      <c r="BQ1496" s="304"/>
      <c r="BR1496" s="304"/>
      <c r="BS1496" s="304"/>
      <c r="BT1496" s="304"/>
      <c r="BU1496" s="304"/>
      <c r="BV1496" s="304"/>
      <c r="BW1496" s="304"/>
      <c r="BX1496" s="304"/>
      <c r="BY1496" s="304"/>
      <c r="BZ1496" s="304"/>
      <c r="CA1496" s="304"/>
      <c r="CB1496" s="571"/>
    </row>
    <row r="1497" spans="1:80" ht="12.75" customHeight="1">
      <c r="A1497" s="219">
        <v>1433</v>
      </c>
      <c r="B1497" s="7145"/>
      <c r="C1497" s="902"/>
      <c r="D1497" s="57"/>
      <c r="E1497" s="905" t="s">
        <v>7711</v>
      </c>
      <c r="F1497" s="75">
        <v>15</v>
      </c>
      <c r="G1497" s="75">
        <v>20</v>
      </c>
      <c r="H1497" s="75">
        <f>COUNTIF(HabilidadesEsenciales_Adquiridas,Tablas!E1497)</f>
        <v>0</v>
      </c>
      <c r="I1497" s="907">
        <v>1</v>
      </c>
      <c r="J1497" s="173"/>
      <c r="K1497" s="898"/>
      <c r="M1497" s="307"/>
      <c r="N1497" s="21"/>
      <c r="O1497" s="131" t="s">
        <v>1169</v>
      </c>
      <c r="P1497" s="900">
        <v>20</v>
      </c>
      <c r="Q1497" s="173">
        <v>60</v>
      </c>
      <c r="R1497" s="907">
        <f>COUNTIF(PoderesDeCriatura_Adquiridos,Tablas!O1497)</f>
        <v>0</v>
      </c>
      <c r="S1497" s="173"/>
      <c r="T1497" s="898"/>
      <c r="W1497" s="929" t="s">
        <v>1123</v>
      </c>
      <c r="X1497" s="921"/>
      <c r="Y1497" s="758" t="str">
        <f t="shared" si="414"/>
        <v/>
      </c>
      <c r="Z1497" s="758" t="s">
        <v>6506</v>
      </c>
      <c r="AA1497" s="758"/>
      <c r="AB1497" s="758"/>
      <c r="AC1497" s="758"/>
      <c r="AD1497" s="758"/>
      <c r="AE1497" s="758"/>
      <c r="AF1497" s="758"/>
      <c r="AG1497" s="758"/>
      <c r="AH1497" s="758"/>
      <c r="AI1497" s="758"/>
      <c r="AJ1497" s="758"/>
      <c r="AK1497" s="758"/>
      <c r="AL1497" s="758"/>
      <c r="AM1497" s="758"/>
      <c r="AN1497" s="758"/>
      <c r="AO1497" s="758"/>
      <c r="AP1497" s="758"/>
      <c r="AQ1497" s="925"/>
      <c r="AR1497" s="925"/>
      <c r="AS1497" s="925"/>
      <c r="AT1497" s="925"/>
      <c r="AU1497" s="925"/>
      <c r="AV1497" s="925"/>
      <c r="AW1497" s="925"/>
      <c r="AX1497" s="925"/>
      <c r="AY1497" s="925"/>
      <c r="AZ1497" s="925"/>
      <c r="BA1497" s="925"/>
      <c r="BB1497" s="925"/>
      <c r="BC1497" s="925"/>
      <c r="BD1497" s="925"/>
      <c r="BE1497" s="925"/>
      <c r="BF1497" s="925"/>
      <c r="BG1497" s="925"/>
      <c r="BH1497" s="925"/>
      <c r="BI1497" s="925"/>
      <c r="BJ1497" s="925"/>
      <c r="BK1497" s="925"/>
      <c r="BL1497" s="925"/>
      <c r="BM1497" s="925"/>
      <c r="BN1497" s="304"/>
      <c r="BO1497" s="304"/>
      <c r="BP1497" s="304"/>
      <c r="BQ1497" s="304"/>
      <c r="BR1497" s="304"/>
      <c r="BS1497" s="304"/>
      <c r="BT1497" s="304"/>
      <c r="BU1497" s="304"/>
      <c r="BV1497" s="304"/>
      <c r="BW1497" s="304"/>
      <c r="BX1497" s="304"/>
      <c r="BY1497" s="304"/>
      <c r="BZ1497" s="304"/>
      <c r="CA1497" s="304"/>
      <c r="CB1497" s="571"/>
    </row>
    <row r="1498" spans="1:80" ht="12.75" customHeight="1">
      <c r="A1498" s="219">
        <v>1434</v>
      </c>
      <c r="B1498" s="7145"/>
      <c r="C1498" s="902"/>
      <c r="D1498" s="57"/>
      <c r="E1498" s="905" t="s">
        <v>7712</v>
      </c>
      <c r="F1498" s="75">
        <v>20</v>
      </c>
      <c r="G1498" s="75">
        <v>30</v>
      </c>
      <c r="H1498" s="75">
        <f>COUNTIF(HabilidadesEsenciales_Adquiridas,Tablas!E1498)</f>
        <v>0</v>
      </c>
      <c r="I1498" s="907">
        <v>1</v>
      </c>
      <c r="J1498" s="173"/>
      <c r="K1498" s="898"/>
      <c r="M1498" s="307"/>
      <c r="N1498" s="21"/>
      <c r="O1498" s="131" t="s">
        <v>8205</v>
      </c>
      <c r="P1498" s="900">
        <v>10</v>
      </c>
      <c r="Q1498" s="173">
        <v>10</v>
      </c>
      <c r="R1498" s="907">
        <f>COUNTIF(PoderesDeCriatura_Adquiridos,Tablas!O1498)</f>
        <v>0</v>
      </c>
      <c r="S1498" s="173"/>
      <c r="T1498" s="898"/>
      <c r="W1498" s="929" t="s">
        <v>1114</v>
      </c>
      <c r="X1498" s="921"/>
      <c r="Y1498" s="758" t="str">
        <f t="shared" si="414"/>
        <v>PodHab_Sentidoagudizado</v>
      </c>
      <c r="Z1498" s="758" t="s">
        <v>9807</v>
      </c>
      <c r="AA1498" s="758" t="s">
        <v>9808</v>
      </c>
      <c r="AB1498" s="758" t="s">
        <v>9809</v>
      </c>
      <c r="AC1498" s="758" t="s">
        <v>9810</v>
      </c>
      <c r="AD1498" s="758" t="s">
        <v>9811</v>
      </c>
      <c r="AE1498" s="758"/>
      <c r="AF1498" s="758"/>
      <c r="AG1498" s="758"/>
      <c r="AH1498" s="758"/>
      <c r="AI1498" s="758"/>
      <c r="AJ1498" s="758"/>
      <c r="AK1498" s="758"/>
      <c r="AL1498" s="758"/>
      <c r="AM1498" s="758"/>
      <c r="AN1498" s="758"/>
      <c r="AO1498" s="758"/>
      <c r="AP1498" s="758"/>
      <c r="AQ1498" s="925"/>
      <c r="AR1498" s="925"/>
      <c r="AS1498" s="925"/>
      <c r="AT1498" s="925"/>
      <c r="AU1498" s="925"/>
      <c r="AV1498" s="925"/>
      <c r="AW1498" s="925"/>
      <c r="AX1498" s="925"/>
      <c r="AY1498" s="925"/>
      <c r="AZ1498" s="925"/>
      <c r="BA1498" s="925"/>
      <c r="BB1498" s="925"/>
      <c r="BC1498" s="925"/>
      <c r="BD1498" s="925"/>
      <c r="BE1498" s="925"/>
      <c r="BF1498" s="925"/>
      <c r="BG1498" s="925"/>
      <c r="BH1498" s="925"/>
      <c r="BI1498" s="925"/>
      <c r="BJ1498" s="925"/>
      <c r="BK1498" s="925"/>
      <c r="BL1498" s="925"/>
      <c r="BM1498" s="925"/>
      <c r="BN1498" s="304"/>
      <c r="BO1498" s="304"/>
      <c r="BP1498" s="304"/>
      <c r="BQ1498" s="304"/>
      <c r="BR1498" s="304"/>
      <c r="BS1498" s="304"/>
      <c r="BT1498" s="304"/>
      <c r="BU1498" s="304"/>
      <c r="BV1498" s="304"/>
      <c r="BW1498" s="304"/>
      <c r="BX1498" s="304"/>
      <c r="BY1498" s="304"/>
      <c r="BZ1498" s="304"/>
      <c r="CA1498" s="304"/>
      <c r="CB1498" s="571"/>
    </row>
    <row r="1499" spans="1:80" ht="12.75" customHeight="1">
      <c r="A1499" s="219">
        <v>1435</v>
      </c>
      <c r="B1499" s="7145"/>
      <c r="C1499" s="902"/>
      <c r="D1499" s="57"/>
      <c r="E1499" s="905" t="s">
        <v>7713</v>
      </c>
      <c r="F1499" s="75">
        <v>25</v>
      </c>
      <c r="G1499" s="75">
        <v>40</v>
      </c>
      <c r="H1499" s="75">
        <f>COUNTIF(HabilidadesEsenciales_Adquiridas,Tablas!E1499)</f>
        <v>0</v>
      </c>
      <c r="I1499" s="907">
        <v>1</v>
      </c>
      <c r="J1499" s="173"/>
      <c r="K1499" s="898"/>
      <c r="M1499" s="307"/>
      <c r="N1499" s="21"/>
      <c r="O1499" s="131" t="s">
        <v>8206</v>
      </c>
      <c r="P1499" s="900">
        <v>10</v>
      </c>
      <c r="Q1499" s="173">
        <v>10</v>
      </c>
      <c r="R1499" s="907">
        <f>COUNTIF(PoderesDeCriatura_Adquiridos,Tablas!O1499)</f>
        <v>0</v>
      </c>
      <c r="S1499" s="173"/>
      <c r="T1499" s="898"/>
      <c r="W1499" s="929" t="s">
        <v>1124</v>
      </c>
      <c r="X1499" s="921"/>
      <c r="Y1499" s="758" t="str">
        <f t="shared" si="414"/>
        <v/>
      </c>
      <c r="Z1499" s="758" t="s">
        <v>6506</v>
      </c>
      <c r="AA1499" s="758"/>
      <c r="AB1499" s="758"/>
      <c r="AC1499" s="758"/>
      <c r="AD1499" s="758"/>
      <c r="AE1499" s="758"/>
      <c r="AF1499" s="758"/>
      <c r="AG1499" s="758"/>
      <c r="AH1499" s="758"/>
      <c r="AI1499" s="758"/>
      <c r="AJ1499" s="758"/>
      <c r="AK1499" s="758"/>
      <c r="AL1499" s="758"/>
      <c r="AM1499" s="758"/>
      <c r="AN1499" s="758"/>
      <c r="AO1499" s="758"/>
      <c r="AP1499" s="758"/>
      <c r="AQ1499" s="925"/>
      <c r="AR1499" s="925"/>
      <c r="AS1499" s="925"/>
      <c r="AT1499" s="925"/>
      <c r="AU1499" s="925"/>
      <c r="AV1499" s="925"/>
      <c r="AW1499" s="925"/>
      <c r="AX1499" s="925"/>
      <c r="AY1499" s="925"/>
      <c r="AZ1499" s="925"/>
      <c r="BA1499" s="925"/>
      <c r="BB1499" s="925"/>
      <c r="BC1499" s="925"/>
      <c r="BD1499" s="925"/>
      <c r="BE1499" s="925"/>
      <c r="BF1499" s="925"/>
      <c r="BG1499" s="925"/>
      <c r="BH1499" s="925"/>
      <c r="BI1499" s="925"/>
      <c r="BJ1499" s="925"/>
      <c r="BK1499" s="925"/>
      <c r="BL1499" s="925"/>
      <c r="BM1499" s="925"/>
      <c r="BN1499" s="304"/>
      <c r="BO1499" s="304"/>
      <c r="BP1499" s="304"/>
      <c r="BQ1499" s="304"/>
      <c r="BR1499" s="304"/>
      <c r="BS1499" s="304"/>
      <c r="BT1499" s="304"/>
      <c r="BU1499" s="304"/>
      <c r="BV1499" s="304"/>
      <c r="BW1499" s="304"/>
      <c r="BX1499" s="304"/>
      <c r="BY1499" s="304"/>
      <c r="BZ1499" s="304"/>
      <c r="CA1499" s="304"/>
      <c r="CB1499" s="571"/>
    </row>
    <row r="1500" spans="1:80" ht="12.75" customHeight="1">
      <c r="A1500" s="219">
        <v>1436</v>
      </c>
      <c r="B1500" s="7145"/>
      <c r="C1500" s="902"/>
      <c r="D1500" s="57"/>
      <c r="E1500" s="905" t="s">
        <v>7714</v>
      </c>
      <c r="F1500" s="75">
        <v>30</v>
      </c>
      <c r="G1500" s="75">
        <v>50</v>
      </c>
      <c r="H1500" s="75">
        <f>COUNTIF(HabilidadesEsenciales_Adquiridas,Tablas!E1500)</f>
        <v>0</v>
      </c>
      <c r="I1500" s="907">
        <v>1</v>
      </c>
      <c r="J1500" s="173"/>
      <c r="K1500" s="898"/>
      <c r="M1500" s="307"/>
      <c r="N1500" s="21"/>
      <c r="O1500" s="131" t="s">
        <v>8207</v>
      </c>
      <c r="P1500" s="900">
        <v>10</v>
      </c>
      <c r="Q1500" s="173">
        <v>10</v>
      </c>
      <c r="R1500" s="907">
        <f>COUNTIF(PoderesDeCriatura_Adquiridos,Tablas!O1500)</f>
        <v>0</v>
      </c>
      <c r="S1500" s="173"/>
      <c r="T1500" s="898"/>
      <c r="W1500" s="929" t="s">
        <v>6892</v>
      </c>
      <c r="X1500" s="921"/>
      <c r="Y1500" s="758" t="str">
        <f t="shared" si="414"/>
        <v>PodHab_Tamañononatural</v>
      </c>
      <c r="Z1500" s="758" t="s">
        <v>2708</v>
      </c>
      <c r="AA1500" s="758" t="s">
        <v>2669</v>
      </c>
      <c r="AB1500" s="758" t="s">
        <v>2670</v>
      </c>
      <c r="AC1500" s="758" t="s">
        <v>2974</v>
      </c>
      <c r="AD1500" s="758" t="s">
        <v>6459</v>
      </c>
      <c r="AE1500" s="758" t="s">
        <v>7782</v>
      </c>
      <c r="AF1500" s="758" t="s">
        <v>7783</v>
      </c>
      <c r="AG1500" s="758" t="s">
        <v>7784</v>
      </c>
      <c r="AH1500" s="758" t="s">
        <v>7785</v>
      </c>
      <c r="AI1500" s="758" t="s">
        <v>7786</v>
      </c>
      <c r="AJ1500" s="758"/>
      <c r="AK1500" s="758"/>
      <c r="AL1500" s="758"/>
      <c r="AM1500" s="758"/>
      <c r="AN1500" s="758"/>
      <c r="AO1500" s="758"/>
      <c r="AP1500" s="758"/>
      <c r="AQ1500" s="925"/>
      <c r="AR1500" s="925"/>
      <c r="AS1500" s="925"/>
      <c r="AT1500" s="925"/>
      <c r="AU1500" s="925"/>
      <c r="AV1500" s="925"/>
      <c r="AW1500" s="925"/>
      <c r="AX1500" s="925"/>
      <c r="AY1500" s="925"/>
      <c r="AZ1500" s="925"/>
      <c r="BA1500" s="925"/>
      <c r="BB1500" s="925"/>
      <c r="BC1500" s="925"/>
      <c r="BD1500" s="925"/>
      <c r="BE1500" s="925"/>
      <c r="BF1500" s="925"/>
      <c r="BG1500" s="925"/>
      <c r="BH1500" s="925"/>
      <c r="BI1500" s="925"/>
      <c r="BJ1500" s="925"/>
      <c r="BK1500" s="925"/>
      <c r="BL1500" s="925"/>
      <c r="BM1500" s="925"/>
      <c r="BN1500" s="304"/>
      <c r="BO1500" s="304"/>
      <c r="BP1500" s="304"/>
      <c r="BQ1500" s="304"/>
      <c r="BR1500" s="304"/>
      <c r="BS1500" s="304"/>
      <c r="BT1500" s="304"/>
      <c r="BU1500" s="304"/>
      <c r="BV1500" s="304"/>
      <c r="BW1500" s="304"/>
      <c r="BX1500" s="304"/>
      <c r="BY1500" s="304"/>
      <c r="BZ1500" s="304"/>
      <c r="CA1500" s="304"/>
      <c r="CB1500" s="571"/>
    </row>
    <row r="1501" spans="1:80" ht="12.75" customHeight="1">
      <c r="A1501" s="219">
        <v>1437</v>
      </c>
      <c r="B1501" s="7145"/>
      <c r="C1501" s="902"/>
      <c r="D1501" s="57"/>
      <c r="E1501" s="905" t="s">
        <v>7715</v>
      </c>
      <c r="F1501" s="75">
        <v>10</v>
      </c>
      <c r="G1501" s="75">
        <v>10</v>
      </c>
      <c r="H1501" s="75">
        <f>COUNTIF(HabilidadesEsenciales_Adquiridas,Tablas!E1501)</f>
        <v>0</v>
      </c>
      <c r="I1501" s="907">
        <v>1</v>
      </c>
      <c r="J1501" s="173"/>
      <c r="K1501" s="898"/>
      <c r="M1501" s="307"/>
      <c r="N1501" s="21"/>
      <c r="O1501" s="131" t="s">
        <v>8208</v>
      </c>
      <c r="P1501" s="900">
        <v>10</v>
      </c>
      <c r="Q1501" s="173">
        <v>10</v>
      </c>
      <c r="R1501" s="907">
        <f>COUNTIF(PoderesDeCriatura_Adquiridos,Tablas!O1501)</f>
        <v>0</v>
      </c>
      <c r="S1501" s="173"/>
      <c r="T1501" s="898"/>
      <c r="W1501" s="929" t="s">
        <v>1537</v>
      </c>
      <c r="X1501" s="921"/>
      <c r="Y1501" s="758"/>
      <c r="Z1501" s="758"/>
      <c r="AA1501" s="758"/>
      <c r="AB1501" s="758"/>
      <c r="AC1501" s="758"/>
      <c r="AD1501" s="758"/>
      <c r="AE1501" s="758"/>
      <c r="AF1501" s="758"/>
      <c r="AG1501" s="758"/>
      <c r="AH1501" s="758"/>
      <c r="AI1501" s="758"/>
      <c r="AJ1501" s="758"/>
      <c r="AK1501" s="758"/>
      <c r="AL1501" s="758"/>
      <c r="AM1501" s="758"/>
      <c r="AN1501" s="758"/>
      <c r="AO1501" s="758"/>
      <c r="AP1501" s="758"/>
      <c r="AQ1501" s="925"/>
      <c r="AR1501" s="925"/>
      <c r="AS1501" s="925"/>
      <c r="AT1501" s="925"/>
      <c r="AU1501" s="925"/>
      <c r="AV1501" s="925"/>
      <c r="AW1501" s="925"/>
      <c r="AX1501" s="925"/>
      <c r="AY1501" s="925"/>
      <c r="AZ1501" s="925"/>
      <c r="BA1501" s="925"/>
      <c r="BB1501" s="925"/>
      <c r="BC1501" s="925"/>
      <c r="BD1501" s="925"/>
      <c r="BE1501" s="925"/>
      <c r="BF1501" s="925"/>
      <c r="BG1501" s="925"/>
      <c r="BH1501" s="925"/>
      <c r="BI1501" s="925"/>
      <c r="BJ1501" s="925"/>
      <c r="BK1501" s="925"/>
      <c r="BL1501" s="925"/>
      <c r="BM1501" s="925"/>
      <c r="BN1501" s="304"/>
      <c r="BO1501" s="304"/>
      <c r="BP1501" s="304"/>
      <c r="BQ1501" s="304"/>
      <c r="BR1501" s="304"/>
      <c r="BS1501" s="304"/>
      <c r="BT1501" s="304"/>
      <c r="BU1501" s="304"/>
      <c r="BV1501" s="304"/>
      <c r="BW1501" s="304"/>
      <c r="BX1501" s="304"/>
      <c r="BY1501" s="304"/>
      <c r="BZ1501" s="304"/>
      <c r="CA1501" s="304"/>
      <c r="CB1501" s="571"/>
    </row>
    <row r="1502" spans="1:80" ht="12.75" customHeight="1">
      <c r="A1502" s="219">
        <v>1438</v>
      </c>
      <c r="B1502" s="7145"/>
      <c r="C1502" s="902"/>
      <c r="D1502" s="57"/>
      <c r="E1502" s="905" t="s">
        <v>7716</v>
      </c>
      <c r="F1502" s="75">
        <v>15</v>
      </c>
      <c r="G1502" s="75">
        <v>20</v>
      </c>
      <c r="H1502" s="75">
        <f>COUNTIF(HabilidadesEsenciales_Adquiridas,Tablas!E1502)</f>
        <v>0</v>
      </c>
      <c r="I1502" s="907">
        <v>1</v>
      </c>
      <c r="J1502" s="173"/>
      <c r="K1502" s="898"/>
      <c r="M1502" s="307"/>
      <c r="N1502" s="21"/>
      <c r="O1502" s="131" t="s">
        <v>8209</v>
      </c>
      <c r="P1502" s="900">
        <v>10</v>
      </c>
      <c r="Q1502" s="173">
        <v>10</v>
      </c>
      <c r="R1502" s="907">
        <f>COUNTIF(PoderesDeCriatura_Adquiridos,Tablas!O1502)</f>
        <v>0</v>
      </c>
      <c r="S1502" s="173"/>
      <c r="T1502" s="898"/>
      <c r="W1502" s="929" t="s">
        <v>1136</v>
      </c>
      <c r="X1502" s="921"/>
      <c r="Y1502" s="758" t="str">
        <f>IF(Z1502="","",SUBSTITUTE("PodHab_"&amp;W1502," ",""))</f>
        <v/>
      </c>
      <c r="Z1502" s="758" t="s">
        <v>6506</v>
      </c>
      <c r="AA1502" s="758"/>
      <c r="AB1502" s="758"/>
      <c r="AC1502" s="758"/>
      <c r="AD1502" s="758"/>
      <c r="AE1502" s="758"/>
      <c r="AF1502" s="758"/>
      <c r="AG1502" s="758"/>
      <c r="AH1502" s="758"/>
      <c r="AI1502" s="758"/>
      <c r="AJ1502" s="758"/>
      <c r="AK1502" s="758"/>
      <c r="AL1502" s="758"/>
      <c r="AM1502" s="758"/>
      <c r="AN1502" s="758"/>
      <c r="AO1502" s="758"/>
      <c r="AP1502" s="758"/>
      <c r="AQ1502" s="925"/>
      <c r="AR1502" s="925"/>
      <c r="AS1502" s="925"/>
      <c r="AT1502" s="925"/>
      <c r="AU1502" s="925"/>
      <c r="AV1502" s="925"/>
      <c r="AW1502" s="925"/>
      <c r="AX1502" s="925"/>
      <c r="AY1502" s="925"/>
      <c r="AZ1502" s="925"/>
      <c r="BA1502" s="925"/>
      <c r="BB1502" s="925"/>
      <c r="BC1502" s="925"/>
      <c r="BD1502" s="925"/>
      <c r="BE1502" s="925"/>
      <c r="BF1502" s="925"/>
      <c r="BG1502" s="925"/>
      <c r="BH1502" s="925"/>
      <c r="BI1502" s="925"/>
      <c r="BJ1502" s="925"/>
      <c r="BK1502" s="925"/>
      <c r="BL1502" s="925"/>
      <c r="BM1502" s="925"/>
      <c r="BN1502" s="304"/>
      <c r="BO1502" s="304"/>
      <c r="BP1502" s="304"/>
      <c r="BQ1502" s="304"/>
      <c r="BR1502" s="304"/>
      <c r="BS1502" s="304"/>
      <c r="BT1502" s="304"/>
      <c r="BU1502" s="304"/>
      <c r="BV1502" s="304"/>
      <c r="BW1502" s="304"/>
      <c r="BX1502" s="304"/>
      <c r="BY1502" s="304"/>
      <c r="BZ1502" s="304"/>
      <c r="CA1502" s="304"/>
      <c r="CB1502" s="571"/>
    </row>
    <row r="1503" spans="1:80" ht="12.75" customHeight="1">
      <c r="A1503" s="219">
        <v>1439</v>
      </c>
      <c r="B1503" s="7145"/>
      <c r="C1503" s="902"/>
      <c r="D1503" s="57"/>
      <c r="E1503" s="905" t="s">
        <v>7717</v>
      </c>
      <c r="F1503" s="75">
        <v>20</v>
      </c>
      <c r="G1503" s="75">
        <v>30</v>
      </c>
      <c r="H1503" s="75">
        <f>COUNTIF(HabilidadesEsenciales_Adquiridas,Tablas!E1503)</f>
        <v>0</v>
      </c>
      <c r="I1503" s="907">
        <v>1</v>
      </c>
      <c r="J1503" s="173"/>
      <c r="K1503" s="898"/>
      <c r="M1503" s="307"/>
      <c r="N1503" s="21"/>
      <c r="O1503" s="131" t="s">
        <v>8210</v>
      </c>
      <c r="P1503" s="900">
        <v>10</v>
      </c>
      <c r="Q1503" s="173">
        <v>10</v>
      </c>
      <c r="R1503" s="907">
        <f>COUNTIF(PoderesDeCriatura_Adquiridos,Tablas!O1503)</f>
        <v>0</v>
      </c>
      <c r="S1503" s="173"/>
      <c r="T1503" s="898"/>
      <c r="W1503" s="929" t="s">
        <v>6949</v>
      </c>
      <c r="X1503" s="921"/>
      <c r="Y1503" s="758" t="str">
        <f>IF(Z1503="","",SUBSTITUTE("PodHab_"&amp;W1503," ",""))</f>
        <v>PodHab_Con.Naturaldevía</v>
      </c>
      <c r="Z1503" s="758" t="s">
        <v>7787</v>
      </c>
      <c r="AA1503" s="758" t="s">
        <v>7788</v>
      </c>
      <c r="AB1503" s="758" t="s">
        <v>7789</v>
      </c>
      <c r="AC1503" s="758" t="s">
        <v>7790</v>
      </c>
      <c r="AD1503" s="758" t="s">
        <v>7791</v>
      </c>
      <c r="AE1503" s="758" t="s">
        <v>7792</v>
      </c>
      <c r="AF1503" s="758" t="s">
        <v>7793</v>
      </c>
      <c r="AG1503" s="758" t="s">
        <v>7794</v>
      </c>
      <c r="AH1503" s="758" t="s">
        <v>7795</v>
      </c>
      <c r="AI1503" s="758" t="s">
        <v>7796</v>
      </c>
      <c r="AJ1503" s="758" t="s">
        <v>7797</v>
      </c>
      <c r="AK1503" s="758" t="s">
        <v>7798</v>
      </c>
      <c r="AL1503" s="758" t="s">
        <v>7799</v>
      </c>
      <c r="AM1503" s="758" t="s">
        <v>7800</v>
      </c>
      <c r="AN1503" s="758" t="s">
        <v>7801</v>
      </c>
      <c r="AO1503" s="758" t="s">
        <v>7802</v>
      </c>
      <c r="AP1503" s="758" t="s">
        <v>7803</v>
      </c>
      <c r="AQ1503" s="925" t="s">
        <v>7804</v>
      </c>
      <c r="AR1503" s="925" t="s">
        <v>7805</v>
      </c>
      <c r="AS1503" s="925" t="s">
        <v>7806</v>
      </c>
      <c r="AT1503" s="925" t="s">
        <v>7807</v>
      </c>
      <c r="AU1503" s="925" t="s">
        <v>7808</v>
      </c>
      <c r="AV1503" s="925" t="s">
        <v>7809</v>
      </c>
      <c r="AW1503" s="925" t="s">
        <v>7810</v>
      </c>
      <c r="AX1503" s="925" t="s">
        <v>7811</v>
      </c>
      <c r="AY1503" s="925" t="s">
        <v>7812</v>
      </c>
      <c r="AZ1503" s="925" t="s">
        <v>7813</v>
      </c>
      <c r="BA1503" s="925" t="s">
        <v>7814</v>
      </c>
      <c r="BB1503" s="925" t="s">
        <v>7815</v>
      </c>
      <c r="BC1503" s="925" t="s">
        <v>7816</v>
      </c>
      <c r="BD1503" s="925" t="s">
        <v>7817</v>
      </c>
      <c r="BE1503" s="925" t="s">
        <v>7818</v>
      </c>
      <c r="BF1503" s="925" t="s">
        <v>7819</v>
      </c>
      <c r="BG1503" s="925" t="s">
        <v>7820</v>
      </c>
      <c r="BH1503" s="925" t="s">
        <v>7821</v>
      </c>
      <c r="BI1503" s="925" t="s">
        <v>7822</v>
      </c>
      <c r="BJ1503" s="925" t="s">
        <v>7823</v>
      </c>
      <c r="BK1503" s="925" t="s">
        <v>7824</v>
      </c>
      <c r="BL1503" s="925" t="s">
        <v>7825</v>
      </c>
      <c r="BM1503" s="925" t="s">
        <v>7826</v>
      </c>
      <c r="BN1503" s="925" t="s">
        <v>7827</v>
      </c>
      <c r="BO1503" s="925" t="s">
        <v>7828</v>
      </c>
      <c r="BP1503" s="925" t="s">
        <v>7829</v>
      </c>
      <c r="BQ1503" s="925" t="s">
        <v>7830</v>
      </c>
      <c r="BR1503" s="925" t="s">
        <v>7831</v>
      </c>
      <c r="BS1503" s="925" t="s">
        <v>7832</v>
      </c>
      <c r="BT1503" s="925" t="s">
        <v>7833</v>
      </c>
      <c r="BU1503" s="925" t="s">
        <v>7834</v>
      </c>
      <c r="BV1503" s="925" t="s">
        <v>7835</v>
      </c>
      <c r="BW1503" s="925" t="s">
        <v>7836</v>
      </c>
      <c r="BX1503" s="925" t="s">
        <v>7837</v>
      </c>
      <c r="BY1503" s="925" t="s">
        <v>7838</v>
      </c>
      <c r="BZ1503" s="925" t="s">
        <v>7839</v>
      </c>
      <c r="CA1503" s="925" t="s">
        <v>7840</v>
      </c>
      <c r="CB1503" s="932" t="s">
        <v>7841</v>
      </c>
    </row>
    <row r="1504" spans="1:80" ht="12.75" customHeight="1">
      <c r="A1504" s="219">
        <v>1440</v>
      </c>
      <c r="B1504" s="7145"/>
      <c r="C1504" s="902"/>
      <c r="D1504" s="57"/>
      <c r="E1504" s="905" t="s">
        <v>7718</v>
      </c>
      <c r="F1504" s="75">
        <v>25</v>
      </c>
      <c r="G1504" s="75">
        <v>40</v>
      </c>
      <c r="H1504" s="75">
        <f>COUNTIF(HabilidadesEsenciales_Adquiridas,Tablas!E1504)</f>
        <v>0</v>
      </c>
      <c r="I1504" s="907">
        <v>1</v>
      </c>
      <c r="J1504" s="173"/>
      <c r="K1504" s="898"/>
      <c r="M1504" s="307"/>
      <c r="N1504" s="21"/>
      <c r="O1504" s="131" t="s">
        <v>1170</v>
      </c>
      <c r="P1504" s="900"/>
      <c r="Q1504" s="173"/>
      <c r="R1504" s="907"/>
      <c r="S1504" s="173"/>
      <c r="T1504" s="898"/>
      <c r="W1504" s="929" t="s">
        <v>2183</v>
      </c>
      <c r="X1504" s="920"/>
      <c r="Y1504" s="758"/>
      <c r="Z1504" s="758"/>
      <c r="AA1504" s="758"/>
      <c r="AB1504" s="758"/>
      <c r="AC1504" s="758"/>
      <c r="AD1504" s="758"/>
      <c r="AE1504" s="758"/>
      <c r="AF1504" s="758"/>
      <c r="AG1504" s="758"/>
      <c r="AH1504" s="758"/>
      <c r="AI1504" s="758"/>
      <c r="AJ1504" s="758"/>
      <c r="AK1504" s="758"/>
      <c r="AL1504" s="758"/>
      <c r="AM1504" s="758"/>
      <c r="AN1504" s="758"/>
      <c r="AO1504" s="758"/>
      <c r="AP1504" s="758"/>
      <c r="AQ1504" s="925"/>
      <c r="AR1504" s="925"/>
      <c r="AS1504" s="925"/>
      <c r="AT1504" s="925"/>
      <c r="AU1504" s="925"/>
      <c r="AV1504" s="925"/>
      <c r="AW1504" s="925"/>
      <c r="AX1504" s="925"/>
      <c r="AY1504" s="925"/>
      <c r="AZ1504" s="925"/>
      <c r="BA1504" s="925"/>
      <c r="BB1504" s="925"/>
      <c r="BC1504" s="925"/>
      <c r="BD1504" s="925"/>
      <c r="BE1504" s="925"/>
      <c r="BF1504" s="925"/>
      <c r="BG1504" s="925"/>
      <c r="BH1504" s="925"/>
      <c r="BI1504" s="925"/>
      <c r="BJ1504" s="925"/>
      <c r="BK1504" s="925"/>
      <c r="BL1504" s="925"/>
      <c r="BM1504" s="925"/>
      <c r="BN1504" s="925"/>
      <c r="BO1504" s="925"/>
      <c r="BP1504" s="925"/>
      <c r="BQ1504" s="925"/>
      <c r="BR1504" s="925"/>
      <c r="BS1504" s="925"/>
      <c r="BT1504" s="925"/>
      <c r="BU1504" s="925"/>
      <c r="BV1504" s="925"/>
      <c r="BW1504" s="925"/>
      <c r="BX1504" s="925"/>
      <c r="BY1504" s="925"/>
      <c r="BZ1504" s="925"/>
      <c r="CA1504" s="925"/>
      <c r="CB1504" s="925"/>
    </row>
    <row r="1505" spans="1:80" ht="12.75" customHeight="1">
      <c r="A1505" s="219">
        <v>1441</v>
      </c>
      <c r="B1505" s="7145"/>
      <c r="C1505" s="902"/>
      <c r="D1505" s="57"/>
      <c r="E1505" s="905" t="s">
        <v>7719</v>
      </c>
      <c r="F1505" s="75">
        <v>30</v>
      </c>
      <c r="G1505" s="75">
        <v>50</v>
      </c>
      <c r="H1505" s="75">
        <f>COUNTIF(HabilidadesEsenciales_Adquiridas,Tablas!E1505)</f>
        <v>0</v>
      </c>
      <c r="I1505" s="907">
        <v>1</v>
      </c>
      <c r="J1505" s="173"/>
      <c r="K1505" s="898"/>
      <c r="M1505" s="307"/>
      <c r="N1505" s="21"/>
      <c r="O1505" s="131" t="s">
        <v>7334</v>
      </c>
      <c r="P1505" s="900">
        <v>0</v>
      </c>
      <c r="Q1505" s="173">
        <v>20</v>
      </c>
      <c r="R1505" s="907">
        <f>COUNTIF(PoderesDeCriatura_Adquiridos,Tablas!O1505)</f>
        <v>0</v>
      </c>
      <c r="S1505" s="173"/>
      <c r="T1505" s="898"/>
      <c r="W1505" s="929" t="s">
        <v>2182</v>
      </c>
      <c r="X1505" s="921"/>
      <c r="Y1505" s="758"/>
      <c r="Z1505" s="758"/>
      <c r="AA1505" s="758"/>
      <c r="AB1505" s="758"/>
      <c r="AC1505" s="758"/>
      <c r="AD1505" s="758"/>
      <c r="AE1505" s="758"/>
      <c r="AF1505" s="758"/>
      <c r="AG1505" s="758"/>
      <c r="AH1505" s="758"/>
      <c r="AI1505" s="758"/>
      <c r="AJ1505" s="758"/>
      <c r="AK1505" s="758"/>
      <c r="AL1505" s="758"/>
      <c r="AM1505" s="758"/>
      <c r="AN1505" s="758"/>
      <c r="AO1505" s="758"/>
      <c r="AP1505" s="758"/>
      <c r="AQ1505" s="925"/>
      <c r="AR1505" s="925"/>
      <c r="AS1505" s="925"/>
      <c r="AT1505" s="925"/>
      <c r="AU1505" s="925"/>
      <c r="AV1505" s="925"/>
      <c r="AW1505" s="925"/>
      <c r="AX1505" s="925"/>
      <c r="AY1505" s="925"/>
      <c r="AZ1505" s="925"/>
      <c r="BA1505" s="925"/>
      <c r="BB1505" s="925"/>
      <c r="BC1505" s="925"/>
      <c r="BD1505" s="925"/>
      <c r="BE1505" s="925"/>
      <c r="BF1505" s="925"/>
      <c r="BG1505" s="925"/>
      <c r="BH1505" s="925"/>
      <c r="BI1505" s="925"/>
      <c r="BJ1505" s="925"/>
      <c r="BK1505" s="925"/>
      <c r="BL1505" s="925"/>
      <c r="BM1505" s="925"/>
      <c r="BN1505" s="304"/>
      <c r="BO1505" s="304"/>
      <c r="BP1505" s="304"/>
      <c r="BQ1505" s="304"/>
      <c r="BR1505" s="304"/>
      <c r="BS1505" s="304"/>
      <c r="BT1505" s="304"/>
      <c r="BU1505" s="304"/>
      <c r="BV1505" s="304"/>
      <c r="BW1505" s="304"/>
      <c r="BX1505" s="304"/>
      <c r="BY1505" s="304"/>
      <c r="BZ1505" s="304"/>
      <c r="CA1505" s="304"/>
      <c r="CB1505" s="571"/>
    </row>
    <row r="1506" spans="1:80" ht="12.75" customHeight="1">
      <c r="A1506" s="219">
        <v>1442</v>
      </c>
      <c r="B1506" s="7145"/>
      <c r="C1506" s="902"/>
      <c r="D1506" s="57"/>
      <c r="E1506" s="905" t="s">
        <v>7720</v>
      </c>
      <c r="F1506" s="75">
        <v>10</v>
      </c>
      <c r="G1506" s="75">
        <v>10</v>
      </c>
      <c r="H1506" s="75">
        <f>COUNTIF(HabilidadesEsenciales_Adquiridas,Tablas!E1506)</f>
        <v>0</v>
      </c>
      <c r="I1506" s="907">
        <v>1</v>
      </c>
      <c r="J1506" s="173"/>
      <c r="K1506" s="898"/>
      <c r="M1506" s="307"/>
      <c r="N1506" s="21"/>
      <c r="O1506" s="131" t="s">
        <v>7335</v>
      </c>
      <c r="P1506" s="900">
        <v>5</v>
      </c>
      <c r="Q1506" s="173">
        <v>20</v>
      </c>
      <c r="R1506" s="907">
        <f>COUNTIF(PoderesDeCriatura_Adquiridos,Tablas!O1506)</f>
        <v>0</v>
      </c>
      <c r="S1506" s="173"/>
      <c r="T1506" s="898"/>
      <c r="W1506" s="929" t="s">
        <v>1138</v>
      </c>
      <c r="X1506" s="921"/>
      <c r="Y1506" s="758" t="str">
        <f t="shared" ref="Y1506:Y1511" si="415">IF(Z1506="","",SUBSTITUTE("PodHab_"&amp;W1506," ",""))</f>
        <v/>
      </c>
      <c r="Z1506" s="758" t="s">
        <v>6506</v>
      </c>
      <c r="AA1506" s="758"/>
      <c r="AB1506" s="758"/>
      <c r="AC1506" s="758"/>
      <c r="AD1506" s="758"/>
      <c r="AE1506" s="758"/>
      <c r="AF1506" s="758"/>
      <c r="AG1506" s="758"/>
      <c r="AH1506" s="758"/>
      <c r="AI1506" s="758"/>
      <c r="AJ1506" s="758"/>
      <c r="AK1506" s="758"/>
      <c r="AL1506" s="758"/>
      <c r="AM1506" s="758"/>
      <c r="AN1506" s="758"/>
      <c r="AO1506" s="758"/>
      <c r="AP1506" s="758"/>
      <c r="AQ1506" s="925"/>
      <c r="AR1506" s="925"/>
      <c r="AS1506" s="925"/>
      <c r="AT1506" s="925"/>
      <c r="AU1506" s="925"/>
      <c r="AV1506" s="925"/>
      <c r="AW1506" s="925"/>
      <c r="AX1506" s="925"/>
      <c r="AY1506" s="925"/>
      <c r="AZ1506" s="925"/>
      <c r="BA1506" s="925"/>
      <c r="BB1506" s="925"/>
      <c r="BC1506" s="925"/>
      <c r="BD1506" s="925"/>
      <c r="BE1506" s="925"/>
      <c r="BF1506" s="925"/>
      <c r="BG1506" s="925"/>
      <c r="BH1506" s="925"/>
      <c r="BI1506" s="925"/>
      <c r="BJ1506" s="925"/>
      <c r="BK1506" s="925"/>
      <c r="BL1506" s="925"/>
      <c r="BM1506" s="925"/>
      <c r="BN1506" s="304"/>
      <c r="BO1506" s="304"/>
      <c r="BP1506" s="304"/>
      <c r="BQ1506" s="304"/>
      <c r="BR1506" s="304"/>
      <c r="BS1506" s="304"/>
      <c r="BT1506" s="304"/>
      <c r="BU1506" s="304"/>
      <c r="BV1506" s="304"/>
      <c r="BW1506" s="304"/>
      <c r="BX1506" s="304"/>
      <c r="BY1506" s="304"/>
      <c r="BZ1506" s="304"/>
      <c r="CA1506" s="304"/>
      <c r="CB1506" s="571"/>
    </row>
    <row r="1507" spans="1:80" ht="12.75" customHeight="1">
      <c r="A1507" s="219">
        <v>1443</v>
      </c>
      <c r="B1507" s="7145"/>
      <c r="C1507" s="902"/>
      <c r="D1507" s="57"/>
      <c r="E1507" s="905" t="s">
        <v>7721</v>
      </c>
      <c r="F1507" s="75">
        <v>15</v>
      </c>
      <c r="G1507" s="75">
        <v>20</v>
      </c>
      <c r="H1507" s="75">
        <f>COUNTIF(HabilidadesEsenciales_Adquiridas,Tablas!E1507)</f>
        <v>0</v>
      </c>
      <c r="I1507" s="907">
        <v>1</v>
      </c>
      <c r="J1507" s="173"/>
      <c r="K1507" s="898"/>
      <c r="M1507" s="307"/>
      <c r="N1507" s="21"/>
      <c r="O1507" s="131" t="s">
        <v>7336</v>
      </c>
      <c r="P1507" s="900">
        <v>15</v>
      </c>
      <c r="Q1507" s="173">
        <v>10</v>
      </c>
      <c r="R1507" s="907">
        <f>COUNTIF(PoderesDeCriatura_Adquiridos,Tablas!O1507)</f>
        <v>0</v>
      </c>
      <c r="S1507" s="173"/>
      <c r="T1507" s="898"/>
      <c r="W1507" s="929" t="s">
        <v>1137</v>
      </c>
      <c r="X1507" s="921"/>
      <c r="Y1507" s="758" t="str">
        <f t="shared" si="415"/>
        <v/>
      </c>
      <c r="Z1507" s="758" t="s">
        <v>6506</v>
      </c>
      <c r="AA1507" s="758"/>
      <c r="AB1507" s="758"/>
      <c r="AC1507" s="758"/>
      <c r="AD1507" s="758"/>
      <c r="AE1507" s="758"/>
      <c r="AF1507" s="758"/>
      <c r="AG1507" s="758"/>
      <c r="AH1507" s="758"/>
      <c r="AI1507" s="758"/>
      <c r="AJ1507" s="758"/>
      <c r="AK1507" s="758"/>
      <c r="AL1507" s="758"/>
      <c r="AM1507" s="758"/>
      <c r="AN1507" s="758"/>
      <c r="AO1507" s="758"/>
      <c r="AP1507" s="758"/>
      <c r="AQ1507" s="925"/>
      <c r="AR1507" s="925"/>
      <c r="AS1507" s="925"/>
      <c r="AT1507" s="925"/>
      <c r="AU1507" s="925"/>
      <c r="AV1507" s="925"/>
      <c r="AW1507" s="925"/>
      <c r="AX1507" s="925"/>
      <c r="AY1507" s="925"/>
      <c r="AZ1507" s="925"/>
      <c r="BA1507" s="925"/>
      <c r="BB1507" s="925"/>
      <c r="BC1507" s="925"/>
      <c r="BD1507" s="925"/>
      <c r="BE1507" s="925"/>
      <c r="BF1507" s="925"/>
      <c r="BG1507" s="925"/>
      <c r="BH1507" s="925"/>
      <c r="BI1507" s="925"/>
      <c r="BJ1507" s="925"/>
      <c r="BK1507" s="925"/>
      <c r="BL1507" s="925"/>
      <c r="BM1507" s="925"/>
      <c r="BN1507" s="304"/>
      <c r="BO1507" s="304"/>
      <c r="BP1507" s="304"/>
      <c r="BQ1507" s="304"/>
      <c r="BR1507" s="304"/>
      <c r="BS1507" s="304"/>
      <c r="BT1507" s="304"/>
      <c r="BU1507" s="304"/>
      <c r="BV1507" s="304"/>
      <c r="BW1507" s="304"/>
      <c r="BX1507" s="304"/>
      <c r="BY1507" s="304"/>
      <c r="BZ1507" s="304"/>
      <c r="CA1507" s="304"/>
      <c r="CB1507" s="571"/>
    </row>
    <row r="1508" spans="1:80" ht="12.75" customHeight="1">
      <c r="A1508" s="219">
        <v>1444</v>
      </c>
      <c r="B1508" s="7145"/>
      <c r="C1508" s="902"/>
      <c r="D1508" s="57"/>
      <c r="E1508" s="905" t="s">
        <v>7722</v>
      </c>
      <c r="F1508" s="75">
        <v>20</v>
      </c>
      <c r="G1508" s="75">
        <v>30</v>
      </c>
      <c r="H1508" s="75">
        <f>COUNTIF(HabilidadesEsenciales_Adquiridas,Tablas!E1508)</f>
        <v>0</v>
      </c>
      <c r="I1508" s="907">
        <v>1</v>
      </c>
      <c r="J1508" s="173"/>
      <c r="K1508" s="898"/>
      <c r="M1508" s="307"/>
      <c r="N1508" s="21"/>
      <c r="O1508" s="131" t="s">
        <v>7337</v>
      </c>
      <c r="P1508" s="900">
        <v>0</v>
      </c>
      <c r="Q1508" s="173">
        <v>10</v>
      </c>
      <c r="R1508" s="907">
        <f>COUNTIF(PoderesDeCriatura_Adquiridos,Tablas!O1508)</f>
        <v>0</v>
      </c>
      <c r="S1508" s="173"/>
      <c r="T1508" s="898"/>
      <c r="W1508" s="929" t="s">
        <v>1139</v>
      </c>
      <c r="X1508" s="921"/>
      <c r="Y1508" s="758" t="str">
        <f t="shared" si="415"/>
        <v/>
      </c>
      <c r="Z1508" s="758" t="s">
        <v>6506</v>
      </c>
      <c r="AA1508" s="758"/>
      <c r="AB1508" s="758"/>
      <c r="AC1508" s="758"/>
      <c r="AD1508" s="758"/>
      <c r="AE1508" s="758"/>
      <c r="AF1508" s="758"/>
      <c r="AG1508" s="758"/>
      <c r="AH1508" s="758"/>
      <c r="AI1508" s="758"/>
      <c r="AJ1508" s="758"/>
      <c r="AK1508" s="758"/>
      <c r="AL1508" s="758"/>
      <c r="AM1508" s="758"/>
      <c r="AN1508" s="758"/>
      <c r="AO1508" s="758"/>
      <c r="AP1508" s="758"/>
      <c r="AQ1508" s="925"/>
      <c r="AR1508" s="925"/>
      <c r="AS1508" s="925"/>
      <c r="AT1508" s="925"/>
      <c r="AU1508" s="925"/>
      <c r="AV1508" s="925"/>
      <c r="AW1508" s="925"/>
      <c r="AX1508" s="925"/>
      <c r="AY1508" s="925"/>
      <c r="AZ1508" s="925"/>
      <c r="BA1508" s="925"/>
      <c r="BB1508" s="925"/>
      <c r="BC1508" s="925"/>
      <c r="BD1508" s="925"/>
      <c r="BE1508" s="925"/>
      <c r="BF1508" s="925"/>
      <c r="BG1508" s="925"/>
      <c r="BH1508" s="925"/>
      <c r="BI1508" s="925"/>
      <c r="BJ1508" s="925"/>
      <c r="BK1508" s="925"/>
      <c r="BL1508" s="925"/>
      <c r="BM1508" s="925"/>
      <c r="BN1508" s="304"/>
      <c r="BO1508" s="304"/>
      <c r="BP1508" s="304"/>
      <c r="BQ1508" s="304"/>
      <c r="BR1508" s="304"/>
      <c r="BS1508" s="304"/>
      <c r="BT1508" s="304"/>
      <c r="BU1508" s="304"/>
      <c r="BV1508" s="304"/>
      <c r="BW1508" s="304"/>
      <c r="BX1508" s="304"/>
      <c r="BY1508" s="304"/>
      <c r="BZ1508" s="304"/>
      <c r="CA1508" s="304"/>
      <c r="CB1508" s="571"/>
    </row>
    <row r="1509" spans="1:80" ht="12.75" customHeight="1">
      <c r="A1509" s="219">
        <v>1445</v>
      </c>
      <c r="B1509" s="7145"/>
      <c r="C1509" s="902"/>
      <c r="D1509" s="57"/>
      <c r="E1509" s="905" t="s">
        <v>7723</v>
      </c>
      <c r="F1509" s="75">
        <v>25</v>
      </c>
      <c r="G1509" s="75">
        <v>40</v>
      </c>
      <c r="H1509" s="75">
        <f>COUNTIF(HabilidadesEsenciales_Adquiridas,Tablas!E1509)</f>
        <v>0</v>
      </c>
      <c r="I1509" s="907">
        <v>1</v>
      </c>
      <c r="J1509" s="173"/>
      <c r="K1509" s="898"/>
      <c r="M1509" s="307"/>
      <c r="N1509" s="21"/>
      <c r="O1509" s="131" t="s">
        <v>7338</v>
      </c>
      <c r="P1509" s="900">
        <v>20</v>
      </c>
      <c r="Q1509" s="173">
        <v>30</v>
      </c>
      <c r="R1509" s="907">
        <f>COUNTIF(PoderesDeCriatura_Adquiridos,Tablas!O1509)</f>
        <v>0</v>
      </c>
      <c r="S1509" s="173"/>
      <c r="T1509" s="898"/>
      <c r="W1509" s="929" t="s">
        <v>2197</v>
      </c>
      <c r="X1509" s="921"/>
      <c r="Y1509" s="758" t="str">
        <f t="shared" si="415"/>
        <v/>
      </c>
      <c r="Z1509" s="758" t="s">
        <v>6506</v>
      </c>
      <c r="AA1509" s="758"/>
      <c r="AB1509" s="758"/>
      <c r="AC1509" s="758"/>
      <c r="AD1509" s="758"/>
      <c r="AE1509" s="758"/>
      <c r="AF1509" s="758"/>
      <c r="AG1509" s="758"/>
      <c r="AH1509" s="758"/>
      <c r="AI1509" s="758"/>
      <c r="AJ1509" s="758"/>
      <c r="AK1509" s="758"/>
      <c r="AL1509" s="758"/>
      <c r="AM1509" s="758"/>
      <c r="AN1509" s="758"/>
      <c r="AO1509" s="758"/>
      <c r="AP1509" s="758"/>
      <c r="AQ1509" s="925"/>
      <c r="AR1509" s="925"/>
      <c r="AS1509" s="925"/>
      <c r="AT1509" s="925"/>
      <c r="AU1509" s="925"/>
      <c r="AV1509" s="925"/>
      <c r="AW1509" s="925"/>
      <c r="AX1509" s="925"/>
      <c r="AY1509" s="925"/>
      <c r="AZ1509" s="925"/>
      <c r="BA1509" s="925"/>
      <c r="BB1509" s="925"/>
      <c r="BC1509" s="925"/>
      <c r="BD1509" s="925"/>
      <c r="BE1509" s="925"/>
      <c r="BF1509" s="925"/>
      <c r="BG1509" s="925"/>
      <c r="BH1509" s="925"/>
      <c r="BI1509" s="925"/>
      <c r="BJ1509" s="925"/>
      <c r="BK1509" s="925"/>
      <c r="BL1509" s="925"/>
      <c r="BM1509" s="925"/>
      <c r="BN1509" s="304"/>
      <c r="BO1509" s="304"/>
      <c r="BP1509" s="304"/>
      <c r="BQ1509" s="304"/>
      <c r="BR1509" s="304"/>
      <c r="BS1509" s="304"/>
      <c r="BT1509" s="304"/>
      <c r="BU1509" s="304"/>
      <c r="BV1509" s="304"/>
      <c r="BW1509" s="304"/>
      <c r="BX1509" s="304"/>
      <c r="BY1509" s="304"/>
      <c r="BZ1509" s="304"/>
      <c r="CA1509" s="304"/>
      <c r="CB1509" s="571"/>
    </row>
    <row r="1510" spans="1:80" ht="12.75" customHeight="1">
      <c r="A1510" s="219">
        <v>1446</v>
      </c>
      <c r="B1510" s="7145"/>
      <c r="C1510" s="902"/>
      <c r="D1510" s="57"/>
      <c r="E1510" s="905" t="s">
        <v>7724</v>
      </c>
      <c r="F1510" s="75">
        <v>30</v>
      </c>
      <c r="G1510" s="75">
        <v>50</v>
      </c>
      <c r="H1510" s="75">
        <f>COUNTIF(HabilidadesEsenciales_Adquiridas,Tablas!E1510)</f>
        <v>0</v>
      </c>
      <c r="I1510" s="907">
        <v>1</v>
      </c>
      <c r="J1510" s="173"/>
      <c r="K1510" s="898"/>
      <c r="M1510" s="307"/>
      <c r="N1510" s="21"/>
      <c r="O1510" s="131" t="s">
        <v>7339</v>
      </c>
      <c r="P1510" s="900">
        <v>10</v>
      </c>
      <c r="Q1510" s="173">
        <v>10</v>
      </c>
      <c r="R1510" s="907">
        <f>COUNTIF(PoderesDeCriatura_Adquiridos,Tablas!O1510)</f>
        <v>0</v>
      </c>
      <c r="S1510" s="173"/>
      <c r="T1510" s="898"/>
      <c r="W1510" s="929" t="s">
        <v>2196</v>
      </c>
      <c r="X1510" s="921"/>
      <c r="Y1510" s="758" t="str">
        <f t="shared" si="415"/>
        <v/>
      </c>
      <c r="Z1510" s="758" t="s">
        <v>6506</v>
      </c>
      <c r="AA1510" s="758"/>
      <c r="AB1510" s="758"/>
      <c r="AC1510" s="758"/>
      <c r="AD1510" s="758"/>
      <c r="AE1510" s="758"/>
      <c r="AF1510" s="758"/>
      <c r="AG1510" s="758"/>
      <c r="AH1510" s="758"/>
      <c r="AI1510" s="758"/>
      <c r="AJ1510" s="758"/>
      <c r="AK1510" s="758"/>
      <c r="AL1510" s="758"/>
      <c r="AM1510" s="758"/>
      <c r="AN1510" s="758"/>
      <c r="AO1510" s="758"/>
      <c r="AP1510" s="758"/>
      <c r="AQ1510" s="925"/>
      <c r="AR1510" s="925"/>
      <c r="AS1510" s="925"/>
      <c r="AT1510" s="925"/>
      <c r="AU1510" s="925"/>
      <c r="AV1510" s="925"/>
      <c r="AW1510" s="925"/>
      <c r="AX1510" s="925"/>
      <c r="AY1510" s="925"/>
      <c r="AZ1510" s="925"/>
      <c r="BA1510" s="925"/>
      <c r="BB1510" s="925"/>
      <c r="BC1510" s="925"/>
      <c r="BD1510" s="925"/>
      <c r="BE1510" s="925"/>
      <c r="BF1510" s="925"/>
      <c r="BG1510" s="925"/>
      <c r="BH1510" s="925"/>
      <c r="BI1510" s="925"/>
      <c r="BJ1510" s="925"/>
      <c r="BK1510" s="925"/>
      <c r="BL1510" s="925"/>
      <c r="BM1510" s="925"/>
      <c r="BN1510" s="304"/>
      <c r="BO1510" s="304"/>
      <c r="BP1510" s="304"/>
      <c r="BQ1510" s="304"/>
      <c r="BR1510" s="304"/>
      <c r="BS1510" s="304"/>
      <c r="BT1510" s="304"/>
      <c r="BU1510" s="304"/>
      <c r="BV1510" s="304"/>
      <c r="BW1510" s="304"/>
      <c r="BX1510" s="304"/>
      <c r="BY1510" s="304"/>
      <c r="BZ1510" s="304"/>
      <c r="CA1510" s="304"/>
      <c r="CB1510" s="571"/>
    </row>
    <row r="1511" spans="1:80" ht="12.75" customHeight="1">
      <c r="A1511" s="219">
        <v>1447</v>
      </c>
      <c r="B1511" s="7145"/>
      <c r="C1511" s="902"/>
      <c r="D1511" s="57"/>
      <c r="E1511" s="905" t="s">
        <v>7725</v>
      </c>
      <c r="F1511" s="75">
        <v>10</v>
      </c>
      <c r="G1511" s="75">
        <v>10</v>
      </c>
      <c r="H1511" s="75">
        <f>COUNTIF(HabilidadesEsenciales_Adquiridas,Tablas!E1511)</f>
        <v>0</v>
      </c>
      <c r="I1511" s="907">
        <v>1</v>
      </c>
      <c r="J1511" s="173"/>
      <c r="K1511" s="898"/>
      <c r="M1511" s="307"/>
      <c r="N1511" s="21"/>
      <c r="O1511" s="131" t="s">
        <v>7340</v>
      </c>
      <c r="P1511" s="900">
        <v>10</v>
      </c>
      <c r="Q1511" s="173">
        <v>10</v>
      </c>
      <c r="R1511" s="907">
        <f>COUNTIF(PoderesDeCriatura_Adquiridos,Tablas!O1511)</f>
        <v>0</v>
      </c>
      <c r="S1511" s="173"/>
      <c r="T1511" s="898"/>
      <c r="W1511" s="929" t="s">
        <v>2215</v>
      </c>
      <c r="X1511" s="921"/>
      <c r="Y1511" s="758" t="str">
        <f t="shared" si="415"/>
        <v/>
      </c>
      <c r="Z1511" s="758" t="s">
        <v>6506</v>
      </c>
      <c r="AA1511" s="758"/>
      <c r="AB1511" s="758"/>
      <c r="AC1511" s="758"/>
      <c r="AD1511" s="758"/>
      <c r="AE1511" s="758"/>
      <c r="AF1511" s="758"/>
      <c r="AG1511" s="758"/>
      <c r="AH1511" s="758"/>
      <c r="AI1511" s="758"/>
      <c r="AJ1511" s="758"/>
      <c r="AK1511" s="758"/>
      <c r="AL1511" s="758"/>
      <c r="AM1511" s="758"/>
      <c r="AN1511" s="758"/>
      <c r="AO1511" s="758"/>
      <c r="AP1511" s="758"/>
      <c r="AQ1511" s="925"/>
      <c r="AR1511" s="925"/>
      <c r="AS1511" s="925"/>
      <c r="AT1511" s="925"/>
      <c r="AU1511" s="925"/>
      <c r="AV1511" s="925"/>
      <c r="AW1511" s="925"/>
      <c r="AX1511" s="925"/>
      <c r="AY1511" s="925"/>
      <c r="AZ1511" s="925"/>
      <c r="BA1511" s="925"/>
      <c r="BB1511" s="925"/>
      <c r="BC1511" s="925"/>
      <c r="BD1511" s="925"/>
      <c r="BE1511" s="925"/>
      <c r="BF1511" s="925"/>
      <c r="BG1511" s="925"/>
      <c r="BH1511" s="925"/>
      <c r="BI1511" s="925"/>
      <c r="BJ1511" s="925"/>
      <c r="BK1511" s="925"/>
      <c r="BL1511" s="925"/>
      <c r="BM1511" s="925"/>
      <c r="BN1511" s="304"/>
      <c r="BO1511" s="304"/>
      <c r="BP1511" s="304"/>
      <c r="BQ1511" s="304"/>
      <c r="BR1511" s="304"/>
      <c r="BS1511" s="304"/>
      <c r="BT1511" s="304"/>
      <c r="BU1511" s="304"/>
      <c r="BV1511" s="304"/>
      <c r="BW1511" s="304"/>
      <c r="BX1511" s="304"/>
      <c r="BY1511" s="304"/>
      <c r="BZ1511" s="304"/>
      <c r="CA1511" s="304"/>
      <c r="CB1511" s="571"/>
    </row>
    <row r="1512" spans="1:80" ht="12.75" customHeight="1">
      <c r="A1512" s="219">
        <v>1448</v>
      </c>
      <c r="B1512" s="7145"/>
      <c r="C1512" s="902"/>
      <c r="D1512" s="57"/>
      <c r="E1512" s="905" t="s">
        <v>7726</v>
      </c>
      <c r="F1512" s="75">
        <v>15</v>
      </c>
      <c r="G1512" s="75">
        <v>20</v>
      </c>
      <c r="H1512" s="75">
        <f>COUNTIF(HabilidadesEsenciales_Adquiridas,Tablas!E1512)</f>
        <v>0</v>
      </c>
      <c r="I1512" s="907">
        <v>1</v>
      </c>
      <c r="J1512" s="173"/>
      <c r="K1512" s="898"/>
      <c r="M1512" s="307"/>
      <c r="N1512" s="21"/>
      <c r="O1512" s="131" t="s">
        <v>7341</v>
      </c>
      <c r="P1512" s="900">
        <v>10</v>
      </c>
      <c r="Q1512" s="173">
        <v>20</v>
      </c>
      <c r="R1512" s="907">
        <f>COUNTIF(PoderesDeCriatura_Adquiridos,Tablas!O1512)</f>
        <v>0</v>
      </c>
      <c r="S1512" s="173"/>
      <c r="T1512" s="898"/>
      <c r="W1512" s="929" t="s">
        <v>6894</v>
      </c>
      <c r="X1512" s="921"/>
      <c r="Y1512" s="758" t="s">
        <v>6897</v>
      </c>
      <c r="Z1512" s="758" t="s">
        <v>68</v>
      </c>
      <c r="AA1512" s="758" t="s">
        <v>70</v>
      </c>
      <c r="AB1512" s="758" t="s">
        <v>66</v>
      </c>
      <c r="AC1512" s="758" t="s">
        <v>64</v>
      </c>
      <c r="AD1512" s="758" t="s">
        <v>73</v>
      </c>
      <c r="AE1512" s="758" t="s">
        <v>72</v>
      </c>
      <c r="AF1512" s="758" t="s">
        <v>76</v>
      </c>
      <c r="AG1512" s="758" t="s">
        <v>74</v>
      </c>
      <c r="AH1512" s="758" t="s">
        <v>77</v>
      </c>
      <c r="AI1512" s="758" t="s">
        <v>78</v>
      </c>
      <c r="AJ1512" s="758" t="s">
        <v>80</v>
      </c>
      <c r="AK1512" s="758" t="s">
        <v>1553</v>
      </c>
      <c r="AL1512" s="758" t="s">
        <v>10050</v>
      </c>
      <c r="AM1512" s="758" t="s">
        <v>10065</v>
      </c>
      <c r="AN1512" s="758" t="s">
        <v>10053</v>
      </c>
      <c r="AO1512" s="758" t="s">
        <v>10054</v>
      </c>
      <c r="AP1512" s="758" t="s">
        <v>10055</v>
      </c>
      <c r="AQ1512" s="925" t="s">
        <v>10066</v>
      </c>
      <c r="AR1512" s="925" t="s">
        <v>10060</v>
      </c>
      <c r="AS1512" s="925"/>
      <c r="AT1512" s="925" t="s">
        <v>10052</v>
      </c>
      <c r="AU1512" s="925" t="s">
        <v>10062</v>
      </c>
      <c r="AV1512" s="925"/>
      <c r="AW1512" s="925"/>
      <c r="AX1512" s="925"/>
      <c r="AY1512" s="925"/>
      <c r="AZ1512" s="925"/>
      <c r="BA1512" s="925"/>
      <c r="BB1512" s="925"/>
      <c r="BC1512" s="925"/>
      <c r="BD1512" s="925"/>
      <c r="BE1512" s="925"/>
      <c r="BF1512" s="925"/>
      <c r="BG1512" s="925"/>
      <c r="BH1512" s="925"/>
      <c r="BI1512" s="925"/>
      <c r="BJ1512" s="925"/>
      <c r="BK1512" s="925"/>
      <c r="BL1512" s="925"/>
      <c r="BM1512" s="925"/>
      <c r="BN1512" s="304"/>
      <c r="BO1512" s="304"/>
      <c r="BP1512" s="304"/>
      <c r="BQ1512" s="304"/>
      <c r="BR1512" s="304"/>
      <c r="BS1512" s="304"/>
      <c r="BT1512" s="304"/>
      <c r="BU1512" s="304"/>
      <c r="BV1512" s="304"/>
      <c r="BW1512" s="304"/>
      <c r="BX1512" s="304"/>
      <c r="BY1512" s="304"/>
      <c r="BZ1512" s="304"/>
      <c r="CA1512" s="304"/>
      <c r="CB1512" s="571"/>
    </row>
    <row r="1513" spans="1:80" ht="12.75" customHeight="1">
      <c r="A1513" s="219">
        <v>1449</v>
      </c>
      <c r="B1513" s="7145"/>
      <c r="C1513" s="902"/>
      <c r="D1513" s="57"/>
      <c r="E1513" s="905" t="s">
        <v>7727</v>
      </c>
      <c r="F1513" s="75">
        <v>20</v>
      </c>
      <c r="G1513" s="75">
        <v>30</v>
      </c>
      <c r="H1513" s="75">
        <f>COUNTIF(HabilidadesEsenciales_Adquiridas,Tablas!E1513)</f>
        <v>0</v>
      </c>
      <c r="I1513" s="907">
        <v>1</v>
      </c>
      <c r="J1513" s="173"/>
      <c r="K1513" s="898"/>
      <c r="M1513" s="307"/>
      <c r="N1513" s="21"/>
      <c r="O1513" s="131" t="s">
        <v>7342</v>
      </c>
      <c r="P1513" s="900">
        <v>15</v>
      </c>
      <c r="Q1513" s="173">
        <v>40</v>
      </c>
      <c r="R1513" s="907">
        <f>COUNTIF(PoderesDeCriatura_Adquiridos,Tablas!O1513)</f>
        <v>0</v>
      </c>
      <c r="S1513" s="173"/>
      <c r="T1513" s="898"/>
      <c r="W1513" s="929" t="s">
        <v>1619</v>
      </c>
      <c r="X1513" s="921"/>
      <c r="Y1513" s="758"/>
      <c r="Z1513" s="758"/>
      <c r="AA1513" s="758"/>
      <c r="AB1513" s="758"/>
      <c r="AC1513" s="758"/>
      <c r="AD1513" s="758"/>
      <c r="AE1513" s="758"/>
      <c r="AF1513" s="758"/>
      <c r="AG1513" s="758"/>
      <c r="AH1513" s="758"/>
      <c r="AI1513" s="758"/>
      <c r="AJ1513" s="758"/>
      <c r="AK1513" s="758"/>
      <c r="AL1513" s="758"/>
      <c r="AM1513" s="758"/>
      <c r="AN1513" s="758"/>
      <c r="AO1513" s="758"/>
      <c r="AP1513" s="758"/>
      <c r="AQ1513" s="925"/>
      <c r="AR1513" s="925"/>
      <c r="AS1513" s="925"/>
      <c r="AT1513" s="925"/>
      <c r="AU1513" s="925"/>
      <c r="AV1513" s="925"/>
      <c r="AW1513" s="925"/>
      <c r="AX1513" s="925"/>
      <c r="AY1513" s="925"/>
      <c r="AZ1513" s="925"/>
      <c r="BA1513" s="925"/>
      <c r="BB1513" s="925"/>
      <c r="BC1513" s="925"/>
      <c r="BD1513" s="925"/>
      <c r="BE1513" s="925"/>
      <c r="BF1513" s="925"/>
      <c r="BG1513" s="925"/>
      <c r="BH1513" s="925"/>
      <c r="BI1513" s="925"/>
      <c r="BJ1513" s="925"/>
      <c r="BK1513" s="925"/>
      <c r="BL1513" s="925"/>
      <c r="BM1513" s="925"/>
      <c r="BN1513" s="304"/>
      <c r="BO1513" s="304"/>
      <c r="BP1513" s="304"/>
      <c r="BQ1513" s="304"/>
      <c r="BR1513" s="304"/>
      <c r="BS1513" s="304"/>
      <c r="BT1513" s="304"/>
      <c r="BU1513" s="304"/>
      <c r="BV1513" s="304"/>
      <c r="BW1513" s="304"/>
      <c r="BX1513" s="304"/>
      <c r="BY1513" s="304"/>
      <c r="BZ1513" s="304"/>
      <c r="CA1513" s="304"/>
      <c r="CB1513" s="571"/>
    </row>
    <row r="1514" spans="1:80" ht="12.75" customHeight="1">
      <c r="A1514" s="219">
        <v>1450</v>
      </c>
      <c r="B1514" s="7145"/>
      <c r="C1514" s="902"/>
      <c r="D1514" s="57"/>
      <c r="E1514" s="905" t="s">
        <v>7728</v>
      </c>
      <c r="F1514" s="75">
        <v>25</v>
      </c>
      <c r="G1514" s="75">
        <v>40</v>
      </c>
      <c r="H1514" s="75">
        <f>COUNTIF(HabilidadesEsenciales_Adquiridas,Tablas!E1514)</f>
        <v>0</v>
      </c>
      <c r="I1514" s="907">
        <v>1</v>
      </c>
      <c r="J1514" s="173"/>
      <c r="K1514" s="898"/>
      <c r="M1514" s="307"/>
      <c r="N1514" s="21"/>
      <c r="O1514" s="131" t="s">
        <v>7343</v>
      </c>
      <c r="P1514" s="900">
        <v>15</v>
      </c>
      <c r="Q1514" s="173">
        <v>60</v>
      </c>
      <c r="R1514" s="907">
        <f>COUNTIF(PoderesDeCriatura_Adquiridos,Tablas!O1514)</f>
        <v>0</v>
      </c>
      <c r="S1514" s="173"/>
      <c r="T1514" s="898"/>
      <c r="W1514" s="929" t="s">
        <v>1141</v>
      </c>
      <c r="X1514" s="920" t="s">
        <v>6897</v>
      </c>
      <c r="Y1514" s="758"/>
      <c r="Z1514" s="758"/>
      <c r="AA1514" s="758"/>
      <c r="AB1514" s="758"/>
      <c r="AC1514" s="758"/>
      <c r="AD1514" s="758"/>
      <c r="AE1514" s="758"/>
      <c r="AF1514" s="758"/>
      <c r="AG1514" s="758"/>
      <c r="AH1514" s="758"/>
      <c r="AI1514" s="758"/>
      <c r="AJ1514" s="758"/>
      <c r="AK1514" s="758"/>
      <c r="AL1514" s="758"/>
      <c r="AM1514" s="758"/>
      <c r="AN1514" s="758"/>
      <c r="AO1514" s="758"/>
      <c r="AP1514" s="758"/>
      <c r="AQ1514" s="925"/>
      <c r="AR1514" s="925"/>
      <c r="AS1514" s="925"/>
      <c r="AT1514" s="925"/>
      <c r="AU1514" s="925"/>
      <c r="AV1514" s="925"/>
      <c r="AW1514" s="925"/>
      <c r="AX1514" s="925"/>
      <c r="AY1514" s="925"/>
      <c r="AZ1514" s="925"/>
      <c r="BA1514" s="925"/>
      <c r="BB1514" s="925"/>
      <c r="BC1514" s="925"/>
      <c r="BD1514" s="925"/>
      <c r="BE1514" s="925"/>
      <c r="BF1514" s="925"/>
      <c r="BG1514" s="925"/>
      <c r="BH1514" s="925"/>
      <c r="BI1514" s="925"/>
      <c r="BJ1514" s="925"/>
      <c r="BK1514" s="925"/>
      <c r="BL1514" s="925"/>
      <c r="BM1514" s="925"/>
      <c r="BN1514" s="304"/>
      <c r="BO1514" s="304"/>
      <c r="BP1514" s="304"/>
      <c r="BQ1514" s="304"/>
      <c r="BR1514" s="304"/>
      <c r="BS1514" s="304"/>
      <c r="BT1514" s="304"/>
      <c r="BU1514" s="304"/>
      <c r="BV1514" s="304"/>
      <c r="BW1514" s="304"/>
      <c r="BX1514" s="304"/>
      <c r="BY1514" s="304"/>
      <c r="BZ1514" s="304"/>
      <c r="CA1514" s="304"/>
      <c r="CB1514" s="571"/>
    </row>
    <row r="1515" spans="1:80" ht="12.75" customHeight="1">
      <c r="A1515" s="219">
        <v>1451</v>
      </c>
      <c r="B1515" s="7145"/>
      <c r="C1515" s="902"/>
      <c r="D1515" s="57"/>
      <c r="E1515" s="905" t="s">
        <v>7729</v>
      </c>
      <c r="F1515" s="75">
        <v>30</v>
      </c>
      <c r="G1515" s="75">
        <v>50</v>
      </c>
      <c r="H1515" s="75">
        <f>COUNTIF(HabilidadesEsenciales_Adquiridas,Tablas!E1515)</f>
        <v>0</v>
      </c>
      <c r="I1515" s="907">
        <v>1</v>
      </c>
      <c r="J1515" s="173"/>
      <c r="K1515" s="898"/>
      <c r="M1515" s="307"/>
      <c r="N1515" s="21"/>
      <c r="O1515" s="131" t="s">
        <v>7344</v>
      </c>
      <c r="P1515" s="900">
        <v>20</v>
      </c>
      <c r="Q1515" s="173">
        <v>80</v>
      </c>
      <c r="R1515" s="907">
        <f>COUNTIF(PoderesDeCriatura_Adquiridos,Tablas!O1515)</f>
        <v>0</v>
      </c>
      <c r="S1515" s="173"/>
      <c r="T1515" s="898"/>
      <c r="W1515" s="929" t="s">
        <v>1140</v>
      </c>
      <c r="X1515" s="921"/>
      <c r="Y1515" s="758" t="str">
        <f>IF(Z1515="","",SUBSTITUTE("PodHab_"&amp;W1515," ",""))</f>
        <v/>
      </c>
      <c r="Z1515" s="758" t="s">
        <v>6506</v>
      </c>
      <c r="AA1515" s="758"/>
      <c r="AB1515" s="758"/>
      <c r="AC1515" s="758"/>
      <c r="AD1515" s="758"/>
      <c r="AE1515" s="758"/>
      <c r="AF1515" s="758"/>
      <c r="AG1515" s="758"/>
      <c r="AH1515" s="758"/>
      <c r="AI1515" s="758"/>
      <c r="AJ1515" s="758"/>
      <c r="AK1515" s="758"/>
      <c r="AL1515" s="758"/>
      <c r="AM1515" s="758"/>
      <c r="AN1515" s="758"/>
      <c r="AO1515" s="758"/>
      <c r="AP1515" s="758"/>
      <c r="AQ1515" s="925"/>
      <c r="AR1515" s="925"/>
      <c r="AS1515" s="925"/>
      <c r="AT1515" s="925"/>
      <c r="AU1515" s="925"/>
      <c r="AV1515" s="925"/>
      <c r="AW1515" s="925"/>
      <c r="AX1515" s="925"/>
      <c r="AY1515" s="925"/>
      <c r="AZ1515" s="925"/>
      <c r="BA1515" s="925"/>
      <c r="BB1515" s="925"/>
      <c r="BC1515" s="925"/>
      <c r="BD1515" s="925"/>
      <c r="BE1515" s="925"/>
      <c r="BF1515" s="925"/>
      <c r="BG1515" s="925"/>
      <c r="BH1515" s="925"/>
      <c r="BI1515" s="925"/>
      <c r="BJ1515" s="925"/>
      <c r="BK1515" s="925"/>
      <c r="BL1515" s="925"/>
      <c r="BM1515" s="925"/>
      <c r="BN1515" s="304"/>
      <c r="BO1515" s="304"/>
      <c r="BP1515" s="304"/>
      <c r="BQ1515" s="304"/>
      <c r="BR1515" s="304"/>
      <c r="BS1515" s="304"/>
      <c r="BT1515" s="304"/>
      <c r="BU1515" s="304"/>
      <c r="BV1515" s="304"/>
      <c r="BW1515" s="304"/>
      <c r="BX1515" s="304"/>
      <c r="BY1515" s="304"/>
      <c r="BZ1515" s="304"/>
      <c r="CA1515" s="304"/>
      <c r="CB1515" s="571"/>
    </row>
    <row r="1516" spans="1:80" ht="12.75" customHeight="1">
      <c r="A1516" s="219">
        <v>1452</v>
      </c>
      <c r="B1516" s="7145"/>
      <c r="C1516" s="902"/>
      <c r="D1516" s="57"/>
      <c r="E1516" s="905" t="s">
        <v>2182</v>
      </c>
      <c r="F1516" s="75">
        <v>5</v>
      </c>
      <c r="G1516" s="75">
        <v>20</v>
      </c>
      <c r="H1516" s="75">
        <f>COUNTIF(HabilidadesEsenciales_Adquiridas,Tablas!E1516)</f>
        <v>0</v>
      </c>
      <c r="I1516" s="907"/>
      <c r="J1516" s="173"/>
      <c r="K1516" s="898"/>
      <c r="M1516" s="307"/>
      <c r="N1516" s="21"/>
      <c r="O1516" s="131" t="s">
        <v>7345</v>
      </c>
      <c r="P1516" s="900">
        <v>20</v>
      </c>
      <c r="Q1516" s="173">
        <v>100</v>
      </c>
      <c r="R1516" s="907">
        <f>COUNTIF(PoderesDeCriatura_Adquiridos,Tablas!O1516)</f>
        <v>0</v>
      </c>
      <c r="S1516" s="173"/>
      <c r="T1516" s="898"/>
      <c r="W1516" s="3282" t="s">
        <v>10500</v>
      </c>
      <c r="X1516" s="2738"/>
      <c r="Y1516" s="2740"/>
      <c r="Z1516" s="2740"/>
      <c r="AA1516" s="2740"/>
      <c r="AB1516" s="2740"/>
      <c r="AC1516" s="2740"/>
      <c r="AD1516" s="2740"/>
      <c r="AE1516" s="2740"/>
      <c r="AF1516" s="2740"/>
      <c r="AG1516" s="2740"/>
      <c r="AH1516" s="2740"/>
      <c r="AI1516" s="2740"/>
      <c r="AJ1516" s="2740"/>
      <c r="AK1516" s="2740"/>
      <c r="AL1516" s="2740"/>
      <c r="AM1516" s="2740"/>
      <c r="AN1516" s="2740"/>
      <c r="AO1516" s="2740"/>
      <c r="AP1516" s="2738"/>
      <c r="AQ1516" s="2738"/>
      <c r="AR1516" s="2738"/>
      <c r="AS1516" s="2738"/>
      <c r="AT1516" s="2738"/>
      <c r="AU1516" s="2738"/>
      <c r="AV1516" s="2738"/>
      <c r="AW1516" s="2738"/>
      <c r="AX1516" s="2738"/>
      <c r="AY1516" s="2738"/>
      <c r="AZ1516" s="2738"/>
      <c r="BA1516" s="2738"/>
      <c r="BB1516" s="2738"/>
      <c r="BC1516" s="2738"/>
      <c r="BD1516" s="2738"/>
      <c r="BE1516" s="2738"/>
      <c r="BF1516" s="2738"/>
      <c r="BG1516" s="2738"/>
      <c r="BH1516" s="2738"/>
      <c r="BI1516" s="2738"/>
      <c r="BJ1516" s="2738"/>
      <c r="BK1516" s="2738"/>
      <c r="BL1516" s="2738"/>
      <c r="BM1516" s="2738"/>
      <c r="BN1516" s="2738"/>
      <c r="BO1516" s="2738"/>
      <c r="BP1516" s="2738"/>
      <c r="BQ1516" s="2738"/>
      <c r="BR1516" s="2738"/>
      <c r="BS1516" s="2738"/>
      <c r="BT1516" s="2738"/>
      <c r="BU1516" s="2738"/>
      <c r="BV1516" s="2738"/>
      <c r="BW1516" s="2738"/>
      <c r="BX1516" s="2738"/>
      <c r="BY1516" s="2738"/>
      <c r="BZ1516" s="2738"/>
      <c r="CA1516" s="2738"/>
      <c r="CB1516" s="3280"/>
    </row>
    <row r="1517" spans="1:80" ht="12.75" customHeight="1">
      <c r="A1517" s="219">
        <v>1453</v>
      </c>
      <c r="B1517" s="7145"/>
      <c r="C1517" s="902"/>
      <c r="D1517" s="57"/>
      <c r="E1517" s="905" t="s">
        <v>2183</v>
      </c>
      <c r="F1517" s="75">
        <v>5</v>
      </c>
      <c r="G1517" s="75">
        <v>20</v>
      </c>
      <c r="H1517" s="75">
        <f>COUNTIF(HabilidadesEsenciales_Adquiridas,Tablas!E1517)</f>
        <v>0</v>
      </c>
      <c r="I1517" s="907"/>
      <c r="J1517" s="173"/>
      <c r="K1517" s="898"/>
      <c r="M1517" s="307"/>
      <c r="N1517" s="21"/>
      <c r="O1517" s="131" t="s">
        <v>7346</v>
      </c>
      <c r="P1517" s="900">
        <v>25</v>
      </c>
      <c r="Q1517" s="173">
        <v>120</v>
      </c>
      <c r="R1517" s="907">
        <f>COUNTIF(PoderesDeCriatura_Adquiridos,Tablas!O1517)</f>
        <v>0</v>
      </c>
      <c r="S1517" s="173"/>
      <c r="T1517" s="898"/>
      <c r="W1517" s="3282" t="s">
        <v>10501</v>
      </c>
      <c r="X1517" s="2738"/>
      <c r="Y1517" s="2740"/>
      <c r="Z1517" s="2740"/>
      <c r="AA1517" s="2740"/>
      <c r="AB1517" s="2740"/>
      <c r="AC1517" s="2740"/>
      <c r="AD1517" s="2740"/>
      <c r="AE1517" s="2740"/>
      <c r="AF1517" s="2740"/>
      <c r="AG1517" s="2740"/>
      <c r="AH1517" s="2740"/>
      <c r="AI1517" s="2740"/>
      <c r="AJ1517" s="2740"/>
      <c r="AK1517" s="2740"/>
      <c r="AL1517" s="2740"/>
      <c r="AM1517" s="2740"/>
      <c r="AN1517" s="2740"/>
      <c r="AO1517" s="2740"/>
      <c r="AP1517" s="2738"/>
      <c r="AQ1517" s="2738"/>
      <c r="AR1517" s="2738"/>
      <c r="AS1517" s="2738"/>
      <c r="AT1517" s="2738"/>
      <c r="AU1517" s="2738"/>
      <c r="AV1517" s="2738"/>
      <c r="AW1517" s="2738"/>
      <c r="AX1517" s="2738"/>
      <c r="AY1517" s="2738"/>
      <c r="AZ1517" s="2738"/>
      <c r="BA1517" s="2738"/>
      <c r="BB1517" s="2738"/>
      <c r="BC1517" s="2738"/>
      <c r="BD1517" s="2738"/>
      <c r="BE1517" s="2738"/>
      <c r="BF1517" s="2738"/>
      <c r="BG1517" s="2738"/>
      <c r="BH1517" s="2738"/>
      <c r="BI1517" s="2738"/>
      <c r="BJ1517" s="2738"/>
      <c r="BK1517" s="2738"/>
      <c r="BL1517" s="2738"/>
      <c r="BM1517" s="2738"/>
      <c r="BN1517" s="2738"/>
      <c r="BO1517" s="2738"/>
      <c r="BP1517" s="2738"/>
      <c r="BQ1517" s="2738"/>
      <c r="BR1517" s="2738"/>
      <c r="BS1517" s="2738"/>
      <c r="BT1517" s="2738"/>
      <c r="BU1517" s="2738"/>
      <c r="BV1517" s="2738"/>
      <c r="BW1517" s="2738"/>
      <c r="BX1517" s="2738"/>
      <c r="BY1517" s="2738"/>
      <c r="BZ1517" s="2738"/>
      <c r="CA1517" s="2738"/>
      <c r="CB1517" s="3280"/>
    </row>
    <row r="1518" spans="1:80" ht="12.75" customHeight="1">
      <c r="A1518" s="219">
        <v>1454</v>
      </c>
      <c r="B1518" s="7145"/>
      <c r="C1518" s="902"/>
      <c r="D1518" s="57"/>
      <c r="E1518" s="905" t="s">
        <v>1138</v>
      </c>
      <c r="F1518" s="75">
        <v>5</v>
      </c>
      <c r="G1518" s="75">
        <v>20</v>
      </c>
      <c r="H1518" s="75">
        <f>COUNTIF(HabilidadesEsenciales_Adquiridas,Tablas!E1518)</f>
        <v>0</v>
      </c>
      <c r="I1518" s="907">
        <v>1</v>
      </c>
      <c r="J1518" s="173"/>
      <c r="K1518" s="898"/>
      <c r="M1518" s="307"/>
      <c r="N1518" s="21"/>
      <c r="O1518" s="131" t="s">
        <v>7347</v>
      </c>
      <c r="P1518" s="900">
        <v>30</v>
      </c>
      <c r="Q1518" s="173">
        <v>140</v>
      </c>
      <c r="R1518" s="907">
        <f>COUNTIF(PoderesDeCriatura_Adquiridos,Tablas!O1518)</f>
        <v>0</v>
      </c>
      <c r="S1518" s="173"/>
      <c r="T1518" s="898"/>
      <c r="W1518" s="3282" t="s">
        <v>10526</v>
      </c>
      <c r="X1518" s="2738"/>
      <c r="Y1518" s="2740"/>
      <c r="Z1518" s="2740"/>
      <c r="AA1518" s="2740"/>
      <c r="AB1518" s="2740"/>
      <c r="AC1518" s="2740"/>
      <c r="AD1518" s="2740"/>
      <c r="AE1518" s="2740"/>
      <c r="AF1518" s="2740"/>
      <c r="AG1518" s="2740"/>
      <c r="AH1518" s="2740"/>
      <c r="AI1518" s="2740"/>
      <c r="AJ1518" s="2740"/>
      <c r="AK1518" s="2740"/>
      <c r="AL1518" s="2740"/>
      <c r="AM1518" s="2740"/>
      <c r="AN1518" s="2740"/>
      <c r="AO1518" s="2740"/>
      <c r="AP1518" s="2738"/>
      <c r="AQ1518" s="2738"/>
      <c r="AR1518" s="2738"/>
      <c r="AS1518" s="2738"/>
      <c r="AT1518" s="2738"/>
      <c r="AU1518" s="2738"/>
      <c r="AV1518" s="2738"/>
      <c r="AW1518" s="2738"/>
      <c r="AX1518" s="2738"/>
      <c r="AY1518" s="2738"/>
      <c r="AZ1518" s="2738"/>
      <c r="BA1518" s="2738"/>
      <c r="BB1518" s="2738"/>
      <c r="BC1518" s="2738"/>
      <c r="BD1518" s="2738"/>
      <c r="BE1518" s="2738"/>
      <c r="BF1518" s="2738"/>
      <c r="BG1518" s="2738"/>
      <c r="BH1518" s="2738"/>
      <c r="BI1518" s="2738"/>
      <c r="BJ1518" s="2738"/>
      <c r="BK1518" s="2738"/>
      <c r="BL1518" s="2738"/>
      <c r="BM1518" s="2738"/>
      <c r="BN1518" s="2738"/>
      <c r="BO1518" s="2738"/>
      <c r="BP1518" s="2738"/>
      <c r="BQ1518" s="2738"/>
      <c r="BR1518" s="2738"/>
      <c r="BS1518" s="2738"/>
      <c r="BT1518" s="2738"/>
      <c r="BU1518" s="2738"/>
      <c r="BV1518" s="2738"/>
      <c r="BW1518" s="2738"/>
      <c r="BX1518" s="2738"/>
      <c r="BY1518" s="2738"/>
      <c r="BZ1518" s="2738"/>
      <c r="CA1518" s="2738"/>
      <c r="CB1518" s="3280"/>
    </row>
    <row r="1519" spans="1:80" ht="12.75" customHeight="1">
      <c r="A1519" s="219">
        <v>1455</v>
      </c>
      <c r="B1519" s="7145"/>
      <c r="C1519" s="902"/>
      <c r="D1519" s="57"/>
      <c r="E1519" s="905" t="s">
        <v>1139</v>
      </c>
      <c r="F1519" s="75">
        <v>0</v>
      </c>
      <c r="G1519" s="75">
        <v>0</v>
      </c>
      <c r="H1519" s="75"/>
      <c r="I1519" s="907"/>
      <c r="J1519" s="173"/>
      <c r="K1519" s="898"/>
      <c r="M1519" s="307"/>
      <c r="N1519" s="21"/>
      <c r="O1519" s="131" t="s">
        <v>7348</v>
      </c>
      <c r="P1519" s="900">
        <v>35</v>
      </c>
      <c r="Q1519" s="173">
        <v>160</v>
      </c>
      <c r="R1519" s="907">
        <f>COUNTIF(PoderesDeCriatura_Adquiridos,Tablas!O1519)</f>
        <v>0</v>
      </c>
      <c r="S1519" s="173"/>
      <c r="T1519" s="898"/>
      <c r="W1519" s="3282" t="s">
        <v>10527</v>
      </c>
      <c r="X1519" s="2738"/>
      <c r="Y1519" s="2740"/>
      <c r="Z1519" s="2740"/>
      <c r="AA1519" s="2740"/>
      <c r="AB1519" s="2740"/>
      <c r="AC1519" s="2740"/>
      <c r="AD1519" s="2740"/>
      <c r="AE1519" s="2740"/>
      <c r="AF1519" s="2740"/>
      <c r="AG1519" s="2740"/>
      <c r="AH1519" s="2740"/>
      <c r="AI1519" s="2740"/>
      <c r="AJ1519" s="2740"/>
      <c r="AK1519" s="2740"/>
      <c r="AL1519" s="2740"/>
      <c r="AM1519" s="2740"/>
      <c r="AN1519" s="2740"/>
      <c r="AO1519" s="2740"/>
      <c r="AP1519" s="2738"/>
      <c r="AQ1519" s="2738"/>
      <c r="AR1519" s="2738"/>
      <c r="AS1519" s="2738"/>
      <c r="AT1519" s="2738"/>
      <c r="AU1519" s="2738"/>
      <c r="AV1519" s="2738"/>
      <c r="AW1519" s="2738"/>
      <c r="AX1519" s="2738"/>
      <c r="AY1519" s="2738"/>
      <c r="AZ1519" s="2738"/>
      <c r="BA1519" s="2738"/>
      <c r="BB1519" s="2738"/>
      <c r="BC1519" s="2738"/>
      <c r="BD1519" s="2738"/>
      <c r="BE1519" s="2738"/>
      <c r="BF1519" s="2738"/>
      <c r="BG1519" s="2738"/>
      <c r="BH1519" s="2738"/>
      <c r="BI1519" s="2738"/>
      <c r="BJ1519" s="2738"/>
      <c r="BK1519" s="2738"/>
      <c r="BL1519" s="2738"/>
      <c r="BM1519" s="2738"/>
      <c r="BN1519" s="2738"/>
      <c r="BO1519" s="2738"/>
      <c r="BP1519" s="2738"/>
      <c r="BQ1519" s="2738"/>
      <c r="BR1519" s="2738"/>
      <c r="BS1519" s="2738"/>
      <c r="BT1519" s="2738"/>
      <c r="BU1519" s="2738"/>
      <c r="BV1519" s="2738"/>
      <c r="BW1519" s="2738"/>
      <c r="BX1519" s="2738"/>
      <c r="BY1519" s="2738"/>
      <c r="BZ1519" s="2738"/>
      <c r="CA1519" s="2738"/>
      <c r="CB1519" s="3280"/>
    </row>
    <row r="1520" spans="1:80" ht="12.75" customHeight="1">
      <c r="A1520" s="219">
        <v>1456</v>
      </c>
      <c r="B1520" s="7145"/>
      <c r="C1520" s="902"/>
      <c r="D1520" s="57"/>
      <c r="E1520" s="905" t="s">
        <v>1619</v>
      </c>
      <c r="F1520" s="75">
        <v>5</v>
      </c>
      <c r="G1520" s="75">
        <v>30</v>
      </c>
      <c r="H1520" s="75">
        <f>COUNTIF(HabilidadesEsenciales_Adquiridas,Tablas!E1520)</f>
        <v>0</v>
      </c>
      <c r="I1520" s="907"/>
      <c r="J1520" s="173"/>
      <c r="K1520" s="898"/>
      <c r="M1520" s="307"/>
      <c r="N1520" s="21"/>
      <c r="O1520" s="131" t="s">
        <v>7349</v>
      </c>
      <c r="P1520" s="900">
        <v>35</v>
      </c>
      <c r="Q1520" s="173">
        <f>200+IF(OR(TipoDeCriatura="Entre mundos, Elemental",TipoDeCriatura="Ánima, Elemental"),10,0)</f>
        <v>200</v>
      </c>
      <c r="R1520" s="907">
        <f>COUNTIF(PoderesDeCriatura_Adquiridos,Tablas!O1520)</f>
        <v>0</v>
      </c>
      <c r="S1520" s="173"/>
      <c r="T1520" s="898"/>
      <c r="W1520" s="3282" t="s">
        <v>10510</v>
      </c>
      <c r="X1520" s="2738"/>
      <c r="Y1520" s="2740"/>
      <c r="Z1520" s="2740"/>
      <c r="AA1520" s="2740"/>
      <c r="AB1520" s="2740"/>
      <c r="AC1520" s="2740"/>
      <c r="AD1520" s="2740"/>
      <c r="AE1520" s="2740"/>
      <c r="AF1520" s="2740"/>
      <c r="AG1520" s="2740"/>
      <c r="AH1520" s="2740"/>
      <c r="AI1520" s="2740"/>
      <c r="AJ1520" s="2740"/>
      <c r="AK1520" s="2740"/>
      <c r="AL1520" s="2740"/>
      <c r="AM1520" s="2740"/>
      <c r="AN1520" s="2740"/>
      <c r="AO1520" s="2740"/>
      <c r="AP1520" s="2738"/>
      <c r="AQ1520" s="2738"/>
      <c r="AR1520" s="2738"/>
      <c r="AS1520" s="2738"/>
      <c r="AT1520" s="2738"/>
      <c r="AU1520" s="2738"/>
      <c r="AV1520" s="2738"/>
      <c r="AW1520" s="2738"/>
      <c r="AX1520" s="2738"/>
      <c r="AY1520" s="2738"/>
      <c r="AZ1520" s="2738"/>
      <c r="BA1520" s="2738"/>
      <c r="BB1520" s="2738"/>
      <c r="BC1520" s="2738"/>
      <c r="BD1520" s="2738"/>
      <c r="BE1520" s="2738"/>
      <c r="BF1520" s="2738"/>
      <c r="BG1520" s="2738"/>
      <c r="BH1520" s="2738"/>
      <c r="BI1520" s="2738"/>
      <c r="BJ1520" s="2738"/>
      <c r="BK1520" s="2738"/>
      <c r="BL1520" s="2738"/>
      <c r="BM1520" s="2738"/>
      <c r="BN1520" s="2738"/>
      <c r="BO1520" s="2738"/>
      <c r="BP1520" s="2738"/>
      <c r="BQ1520" s="2738"/>
      <c r="BR1520" s="2738"/>
      <c r="BS1520" s="2738"/>
      <c r="BT1520" s="2738"/>
      <c r="BU1520" s="2738"/>
      <c r="BV1520" s="2738"/>
      <c r="BW1520" s="2738"/>
      <c r="BX1520" s="2738"/>
      <c r="BY1520" s="2738"/>
      <c r="BZ1520" s="2738"/>
      <c r="CA1520" s="2738"/>
      <c r="CB1520" s="3280"/>
    </row>
    <row r="1521" spans="1:80" ht="12.75" customHeight="1">
      <c r="A1521" s="219">
        <v>1457</v>
      </c>
      <c r="B1521" s="7145"/>
      <c r="C1521" s="902"/>
      <c r="D1521" s="57"/>
      <c r="E1521" s="905" t="s">
        <v>1140</v>
      </c>
      <c r="F1521" s="75">
        <v>5</v>
      </c>
      <c r="G1521" s="75">
        <v>30</v>
      </c>
      <c r="H1521" s="75">
        <f>COUNTIF(HabilidadesEsenciales_Adquiridas,Tablas!E1521)</f>
        <v>0</v>
      </c>
      <c r="I1521" s="907"/>
      <c r="J1521" s="173"/>
      <c r="K1521" s="898"/>
      <c r="M1521" s="307"/>
      <c r="N1521" s="21"/>
      <c r="O1521" s="131" t="s">
        <v>7350</v>
      </c>
      <c r="P1521" s="900">
        <v>10</v>
      </c>
      <c r="Q1521" s="173">
        <f>10+IF(OR(TipoDeCriatura="Entre mundos, Elemental",TipoDeCriatura="Ánima, Elemental"),10,0)</f>
        <v>10</v>
      </c>
      <c r="R1521" s="907">
        <f>COUNTIF(PoderesDeCriatura_Adquiridos,Tablas!O1521)</f>
        <v>0</v>
      </c>
      <c r="S1521" s="173"/>
      <c r="T1521" s="898"/>
      <c r="W1521" s="929" t="s">
        <v>1142</v>
      </c>
      <c r="X1521" s="921"/>
      <c r="Y1521" s="758" t="str">
        <f t="shared" ref="Y1521:Y1529" si="416">IF(Z1521="","",SUBSTITUTE("PodHab_"&amp;W1521," ",""))</f>
        <v/>
      </c>
      <c r="Z1521" s="758" t="s">
        <v>6506</v>
      </c>
      <c r="AA1521" s="758"/>
      <c r="AB1521" s="758"/>
      <c r="AC1521" s="758"/>
      <c r="AD1521" s="758"/>
      <c r="AE1521" s="758"/>
      <c r="AF1521" s="758"/>
      <c r="AG1521" s="758"/>
      <c r="AH1521" s="758"/>
      <c r="AI1521" s="758"/>
      <c r="AJ1521" s="758"/>
      <c r="AK1521" s="758"/>
      <c r="AL1521" s="758"/>
      <c r="AM1521" s="758"/>
      <c r="AN1521" s="758"/>
      <c r="AO1521" s="758"/>
      <c r="AP1521" s="758"/>
      <c r="AQ1521" s="925"/>
      <c r="AR1521" s="925"/>
      <c r="AS1521" s="925"/>
      <c r="AT1521" s="925"/>
      <c r="AU1521" s="925"/>
      <c r="AV1521" s="925"/>
      <c r="AW1521" s="925"/>
      <c r="AX1521" s="925"/>
      <c r="AY1521" s="925"/>
      <c r="AZ1521" s="925"/>
      <c r="BA1521" s="925"/>
      <c r="BB1521" s="925"/>
      <c r="BC1521" s="925"/>
      <c r="BD1521" s="925"/>
      <c r="BE1521" s="925"/>
      <c r="BF1521" s="925"/>
      <c r="BG1521" s="925"/>
      <c r="BH1521" s="925"/>
      <c r="BI1521" s="925"/>
      <c r="BJ1521" s="925"/>
      <c r="BK1521" s="925"/>
      <c r="BL1521" s="925"/>
      <c r="BM1521" s="925"/>
      <c r="BN1521" s="304"/>
      <c r="BO1521" s="304"/>
      <c r="BP1521" s="304"/>
      <c r="BQ1521" s="304"/>
      <c r="BR1521" s="304"/>
      <c r="BS1521" s="304"/>
      <c r="BT1521" s="304"/>
      <c r="BU1521" s="304"/>
      <c r="BV1521" s="304"/>
      <c r="BW1521" s="304"/>
      <c r="BX1521" s="304"/>
      <c r="BY1521" s="304"/>
      <c r="BZ1521" s="304"/>
      <c r="CA1521" s="304"/>
      <c r="CB1521" s="571"/>
    </row>
    <row r="1522" spans="1:80" ht="12.75" customHeight="1">
      <c r="A1522" s="219">
        <v>1458</v>
      </c>
      <c r="B1522" s="7145"/>
      <c r="C1522" s="902"/>
      <c r="D1522" s="57"/>
      <c r="E1522" s="905" t="s">
        <v>1141</v>
      </c>
      <c r="F1522" s="75">
        <v>5</v>
      </c>
      <c r="G1522" s="75">
        <v>20</v>
      </c>
      <c r="H1522" s="75">
        <f>COUNTIF(HabilidadesEsenciales_Adquiridas,Tablas!E1522)</f>
        <v>0</v>
      </c>
      <c r="I1522" s="907"/>
      <c r="J1522" s="173"/>
      <c r="K1522" s="898"/>
      <c r="M1522" s="307"/>
      <c r="N1522" s="21"/>
      <c r="O1522" s="131" t="s">
        <v>7351</v>
      </c>
      <c r="P1522" s="900">
        <v>35</v>
      </c>
      <c r="Q1522" s="173">
        <f>100+IF(OR(TipoDeCriatura="Entre mundos, Elemental",TipoDeCriatura="Ánima, Elemental"),10,0)</f>
        <v>100</v>
      </c>
      <c r="R1522" s="907">
        <f>COUNTIF(PoderesDeCriatura_Adquiridos,Tablas!O1522)</f>
        <v>0</v>
      </c>
      <c r="S1522" s="173"/>
      <c r="T1522" s="898"/>
      <c r="W1522" s="929" t="s">
        <v>1147</v>
      </c>
      <c r="X1522" s="921"/>
      <c r="Y1522" s="758" t="str">
        <f t="shared" si="416"/>
        <v/>
      </c>
      <c r="Z1522" s="758" t="s">
        <v>6506</v>
      </c>
      <c r="AA1522" s="758"/>
      <c r="AB1522" s="758"/>
      <c r="AC1522" s="758"/>
      <c r="AD1522" s="758"/>
      <c r="AE1522" s="758"/>
      <c r="AF1522" s="758"/>
      <c r="AG1522" s="758"/>
      <c r="AH1522" s="758"/>
      <c r="AI1522" s="758"/>
      <c r="AJ1522" s="758"/>
      <c r="AK1522" s="758"/>
      <c r="AL1522" s="758"/>
      <c r="AM1522" s="758"/>
      <c r="AN1522" s="758"/>
      <c r="AO1522" s="758"/>
      <c r="AP1522" s="758"/>
      <c r="AQ1522" s="925"/>
      <c r="AR1522" s="925"/>
      <c r="AS1522" s="925"/>
      <c r="AT1522" s="925"/>
      <c r="AU1522" s="925"/>
      <c r="AV1522" s="925"/>
      <c r="AW1522" s="925"/>
      <c r="AX1522" s="925"/>
      <c r="AY1522" s="925"/>
      <c r="AZ1522" s="925"/>
      <c r="BA1522" s="925"/>
      <c r="BB1522" s="925"/>
      <c r="BC1522" s="925"/>
      <c r="BD1522" s="925"/>
      <c r="BE1522" s="925"/>
      <c r="BF1522" s="925"/>
      <c r="BG1522" s="925"/>
      <c r="BH1522" s="925"/>
      <c r="BI1522" s="925"/>
      <c r="BJ1522" s="925"/>
      <c r="BK1522" s="925"/>
      <c r="BL1522" s="925"/>
      <c r="BM1522" s="925"/>
      <c r="BN1522" s="304"/>
      <c r="BO1522" s="304"/>
      <c r="BP1522" s="304"/>
      <c r="BQ1522" s="304"/>
      <c r="BR1522" s="304"/>
      <c r="BS1522" s="304"/>
      <c r="BT1522" s="304"/>
      <c r="BU1522" s="304"/>
      <c r="BV1522" s="304"/>
      <c r="BW1522" s="304"/>
      <c r="BX1522" s="304"/>
      <c r="BY1522" s="304"/>
      <c r="BZ1522" s="304"/>
      <c r="CA1522" s="304"/>
      <c r="CB1522" s="571"/>
    </row>
    <row r="1523" spans="1:80" ht="12.75" customHeight="1">
      <c r="A1523" s="219">
        <v>1459</v>
      </c>
      <c r="B1523" s="7145"/>
      <c r="C1523" s="902"/>
      <c r="D1523" s="57"/>
      <c r="E1523" s="905" t="s">
        <v>2196</v>
      </c>
      <c r="F1523" s="75">
        <v>5</v>
      </c>
      <c r="G1523" s="75">
        <v>30</v>
      </c>
      <c r="H1523" s="75">
        <f>COUNTIF(HabilidadesEsenciales_Adquiridas,Tablas!E1523)</f>
        <v>0</v>
      </c>
      <c r="I1523" s="907">
        <v>1</v>
      </c>
      <c r="J1523" s="173"/>
      <c r="K1523" s="898"/>
      <c r="M1523" s="307"/>
      <c r="N1523" s="21"/>
      <c r="O1523" s="131" t="s">
        <v>7352</v>
      </c>
      <c r="P1523" s="900">
        <v>10</v>
      </c>
      <c r="Q1523" s="173">
        <v>-10</v>
      </c>
      <c r="R1523" s="907">
        <f>COUNTIF(PoderesDeCriatura_Adquiridos,Tablas!O1523)</f>
        <v>0</v>
      </c>
      <c r="S1523" s="173"/>
      <c r="T1523" s="898"/>
      <c r="W1523" s="929" t="s">
        <v>2232</v>
      </c>
      <c r="X1523" s="921"/>
      <c r="Y1523" s="758" t="str">
        <f t="shared" si="416"/>
        <v/>
      </c>
      <c r="Z1523" s="758" t="s">
        <v>6506</v>
      </c>
      <c r="AA1523" s="758"/>
      <c r="AB1523" s="758"/>
      <c r="AC1523" s="758"/>
      <c r="AD1523" s="758"/>
      <c r="AE1523" s="758"/>
      <c r="AF1523" s="758"/>
      <c r="AG1523" s="758"/>
      <c r="AH1523" s="758"/>
      <c r="AI1523" s="758"/>
      <c r="AJ1523" s="758"/>
      <c r="AK1523" s="758"/>
      <c r="AL1523" s="758"/>
      <c r="AM1523" s="758"/>
      <c r="AN1523" s="758"/>
      <c r="AO1523" s="758"/>
      <c r="AP1523" s="758"/>
      <c r="AQ1523" s="925"/>
      <c r="AR1523" s="925"/>
      <c r="AS1523" s="925"/>
      <c r="AT1523" s="925"/>
      <c r="AU1523" s="925"/>
      <c r="AV1523" s="925"/>
      <c r="AW1523" s="925"/>
      <c r="AX1523" s="925"/>
      <c r="AY1523" s="925"/>
      <c r="AZ1523" s="925"/>
      <c r="BA1523" s="925"/>
      <c r="BB1523" s="925"/>
      <c r="BC1523" s="925"/>
      <c r="BD1523" s="925"/>
      <c r="BE1523" s="925"/>
      <c r="BF1523" s="925"/>
      <c r="BG1523" s="925"/>
      <c r="BH1523" s="925"/>
      <c r="BI1523" s="925"/>
      <c r="BJ1523" s="925"/>
      <c r="BK1523" s="925"/>
      <c r="BL1523" s="925"/>
      <c r="BM1523" s="925"/>
      <c r="BN1523" s="304"/>
      <c r="BO1523" s="304"/>
      <c r="BP1523" s="304"/>
      <c r="BQ1523" s="304"/>
      <c r="BR1523" s="304"/>
      <c r="BS1523" s="304"/>
      <c r="BT1523" s="304"/>
      <c r="BU1523" s="304"/>
      <c r="BV1523" s="304"/>
      <c r="BW1523" s="304"/>
      <c r="BX1523" s="304"/>
      <c r="BY1523" s="304"/>
      <c r="BZ1523" s="304"/>
      <c r="CA1523" s="304"/>
      <c r="CB1523" s="571"/>
    </row>
    <row r="1524" spans="1:80" ht="12.75" customHeight="1">
      <c r="A1524" s="219">
        <v>1460</v>
      </c>
      <c r="B1524" s="7145"/>
      <c r="C1524" s="902"/>
      <c r="D1524" s="57"/>
      <c r="E1524" s="905" t="s">
        <v>2197</v>
      </c>
      <c r="F1524" s="75">
        <v>5</v>
      </c>
      <c r="G1524" s="75">
        <v>20</v>
      </c>
      <c r="H1524" s="75">
        <f>COUNTIF(HabilidadesEsenciales_Adquiridas,Tablas!E1524)</f>
        <v>0</v>
      </c>
      <c r="I1524" s="907">
        <v>1</v>
      </c>
      <c r="J1524" s="173"/>
      <c r="K1524" s="898"/>
      <c r="M1524" s="307"/>
      <c r="N1524" s="21"/>
      <c r="O1524" s="131" t="s">
        <v>7353</v>
      </c>
      <c r="P1524" s="900">
        <v>10</v>
      </c>
      <c r="Q1524" s="173">
        <v>-30</v>
      </c>
      <c r="R1524" s="907">
        <f>COUNTIF(PoderesDeCriatura_Adquiridos,Tablas!O1524)</f>
        <v>0</v>
      </c>
      <c r="S1524" s="173"/>
      <c r="T1524" s="898"/>
      <c r="W1524" s="929" t="s">
        <v>1145</v>
      </c>
      <c r="X1524" s="921"/>
      <c r="Y1524" s="758" t="str">
        <f t="shared" si="416"/>
        <v/>
      </c>
      <c r="Z1524" s="758" t="s">
        <v>6506</v>
      </c>
      <c r="AA1524" s="758"/>
      <c r="AB1524" s="758"/>
      <c r="AC1524" s="758"/>
      <c r="AD1524" s="758"/>
      <c r="AE1524" s="758"/>
      <c r="AF1524" s="758"/>
      <c r="AG1524" s="758"/>
      <c r="AH1524" s="758"/>
      <c r="AI1524" s="758"/>
      <c r="AJ1524" s="758"/>
      <c r="AK1524" s="758"/>
      <c r="AL1524" s="758"/>
      <c r="AM1524" s="758"/>
      <c r="AN1524" s="758"/>
      <c r="AO1524" s="758"/>
      <c r="AP1524" s="758"/>
      <c r="AQ1524" s="925"/>
      <c r="AR1524" s="925"/>
      <c r="AS1524" s="925"/>
      <c r="AT1524" s="925"/>
      <c r="AU1524" s="925"/>
      <c r="AV1524" s="925"/>
      <c r="AW1524" s="925"/>
      <c r="AX1524" s="925"/>
      <c r="AY1524" s="925"/>
      <c r="AZ1524" s="925"/>
      <c r="BA1524" s="925"/>
      <c r="BB1524" s="925"/>
      <c r="BC1524" s="925"/>
      <c r="BD1524" s="925"/>
      <c r="BE1524" s="925"/>
      <c r="BF1524" s="925"/>
      <c r="BG1524" s="925"/>
      <c r="BH1524" s="925"/>
      <c r="BI1524" s="925"/>
      <c r="BJ1524" s="925"/>
      <c r="BK1524" s="925"/>
      <c r="BL1524" s="925"/>
      <c r="BM1524" s="925"/>
      <c r="BN1524" s="304"/>
      <c r="BO1524" s="304"/>
      <c r="BP1524" s="304"/>
      <c r="BQ1524" s="304"/>
      <c r="BR1524" s="304"/>
      <c r="BS1524" s="304"/>
      <c r="BT1524" s="304"/>
      <c r="BU1524" s="304"/>
      <c r="BV1524" s="304"/>
      <c r="BW1524" s="304"/>
      <c r="BX1524" s="304"/>
      <c r="BY1524" s="304"/>
      <c r="BZ1524" s="304"/>
      <c r="CA1524" s="304"/>
      <c r="CB1524" s="571"/>
    </row>
    <row r="1525" spans="1:80" ht="12.75" customHeight="1">
      <c r="A1525" s="219">
        <v>1461</v>
      </c>
      <c r="B1525" s="7145"/>
      <c r="C1525" s="902"/>
      <c r="D1525" s="57"/>
      <c r="E1525" s="905" t="s">
        <v>7730</v>
      </c>
      <c r="F1525" s="75">
        <v>5</v>
      </c>
      <c r="G1525" s="75">
        <v>20</v>
      </c>
      <c r="H1525" s="75">
        <f>COUNTIF(HabilidadesEsenciales_Adquiridas,Tablas!E1525)</f>
        <v>0</v>
      </c>
      <c r="I1525" s="907">
        <v>1</v>
      </c>
      <c r="J1525" s="173"/>
      <c r="K1525" s="898"/>
      <c r="M1525" s="307"/>
      <c r="N1525" s="21"/>
      <c r="O1525" s="131" t="s">
        <v>7354</v>
      </c>
      <c r="P1525" s="900">
        <v>10</v>
      </c>
      <c r="Q1525" s="173">
        <v>-50</v>
      </c>
      <c r="R1525" s="907">
        <f>COUNTIF(PoderesDeCriatura_Adquiridos,Tablas!O1525)</f>
        <v>0</v>
      </c>
      <c r="S1525" s="173"/>
      <c r="T1525" s="898"/>
      <c r="W1525" s="929" t="s">
        <v>1144</v>
      </c>
      <c r="X1525" s="921"/>
      <c r="Y1525" s="758" t="str">
        <f t="shared" si="416"/>
        <v/>
      </c>
      <c r="Z1525" s="758" t="s">
        <v>6506</v>
      </c>
      <c r="AA1525" s="758"/>
      <c r="AB1525" s="758"/>
      <c r="AC1525" s="758"/>
      <c r="AD1525" s="758"/>
      <c r="AE1525" s="758"/>
      <c r="AF1525" s="758"/>
      <c r="AG1525" s="758"/>
      <c r="AH1525" s="758"/>
      <c r="AI1525" s="758"/>
      <c r="AJ1525" s="758"/>
      <c r="AK1525" s="758"/>
      <c r="AL1525" s="758"/>
      <c r="AM1525" s="758"/>
      <c r="AN1525" s="758"/>
      <c r="AO1525" s="758"/>
      <c r="AP1525" s="758"/>
      <c r="AQ1525" s="925"/>
      <c r="AR1525" s="925"/>
      <c r="AS1525" s="925"/>
      <c r="AT1525" s="925"/>
      <c r="AU1525" s="925"/>
      <c r="AV1525" s="925"/>
      <c r="AW1525" s="925"/>
      <c r="AX1525" s="925"/>
      <c r="AY1525" s="925"/>
      <c r="AZ1525" s="925"/>
      <c r="BA1525" s="925"/>
      <c r="BB1525" s="925"/>
      <c r="BC1525" s="925"/>
      <c r="BD1525" s="925"/>
      <c r="BE1525" s="925"/>
      <c r="BF1525" s="925"/>
      <c r="BG1525" s="925"/>
      <c r="BH1525" s="925"/>
      <c r="BI1525" s="925"/>
      <c r="BJ1525" s="925"/>
      <c r="BK1525" s="925"/>
      <c r="BL1525" s="925"/>
      <c r="BM1525" s="925"/>
      <c r="BN1525" s="304"/>
      <c r="BO1525" s="304"/>
      <c r="BP1525" s="304"/>
      <c r="BQ1525" s="304"/>
      <c r="BR1525" s="304"/>
      <c r="BS1525" s="304"/>
      <c r="BT1525" s="304"/>
      <c r="BU1525" s="304"/>
      <c r="BV1525" s="304"/>
      <c r="BW1525" s="304"/>
      <c r="BX1525" s="304"/>
      <c r="BY1525" s="304"/>
      <c r="BZ1525" s="304"/>
      <c r="CA1525" s="304"/>
      <c r="CB1525" s="571"/>
    </row>
    <row r="1526" spans="1:80" ht="12.75" customHeight="1">
      <c r="A1526" s="219">
        <v>1462</v>
      </c>
      <c r="B1526" s="7145"/>
      <c r="C1526" s="902"/>
      <c r="D1526" s="57"/>
      <c r="E1526" s="905" t="s">
        <v>7731</v>
      </c>
      <c r="F1526" s="75">
        <v>5</v>
      </c>
      <c r="G1526" s="75">
        <v>20</v>
      </c>
      <c r="H1526" s="75">
        <f>COUNTIF(HabilidadesEsenciales_Adquiridas,Tablas!E1526)</f>
        <v>0</v>
      </c>
      <c r="I1526" s="907">
        <v>1</v>
      </c>
      <c r="J1526" s="173"/>
      <c r="K1526" s="898"/>
      <c r="M1526" s="307"/>
      <c r="N1526" s="21"/>
      <c r="O1526" s="131" t="s">
        <v>7355</v>
      </c>
      <c r="P1526" s="900">
        <v>10</v>
      </c>
      <c r="Q1526" s="173">
        <v>-30</v>
      </c>
      <c r="R1526" s="907">
        <f>COUNTIF(PoderesDeCriatura_Adquiridos,Tablas!O1526)</f>
        <v>0</v>
      </c>
      <c r="S1526" s="173"/>
      <c r="T1526" s="898"/>
      <c r="W1526" s="929" t="s">
        <v>1149</v>
      </c>
      <c r="X1526" s="921"/>
      <c r="Y1526" s="758" t="str">
        <f t="shared" si="416"/>
        <v/>
      </c>
      <c r="Z1526" s="758" t="s">
        <v>6506</v>
      </c>
      <c r="AA1526" s="758"/>
      <c r="AB1526" s="758"/>
      <c r="AC1526" s="758"/>
      <c r="AD1526" s="758"/>
      <c r="AE1526" s="758"/>
      <c r="AF1526" s="758"/>
      <c r="AG1526" s="758"/>
      <c r="AH1526" s="758"/>
      <c r="AI1526" s="758"/>
      <c r="AJ1526" s="758"/>
      <c r="AK1526" s="758"/>
      <c r="AL1526" s="758"/>
      <c r="AM1526" s="758"/>
      <c r="AN1526" s="758"/>
      <c r="AO1526" s="758"/>
      <c r="AP1526" s="758"/>
      <c r="AQ1526" s="925"/>
      <c r="AR1526" s="925"/>
      <c r="AS1526" s="925"/>
      <c r="AT1526" s="925"/>
      <c r="AU1526" s="925"/>
      <c r="AV1526" s="925"/>
      <c r="AW1526" s="925"/>
      <c r="AX1526" s="925"/>
      <c r="AY1526" s="925"/>
      <c r="AZ1526" s="925"/>
      <c r="BA1526" s="925"/>
      <c r="BB1526" s="925"/>
      <c r="BC1526" s="925"/>
      <c r="BD1526" s="925"/>
      <c r="BE1526" s="925"/>
      <c r="BF1526" s="925"/>
      <c r="BG1526" s="925"/>
      <c r="BH1526" s="925"/>
      <c r="BI1526" s="925"/>
      <c r="BJ1526" s="925"/>
      <c r="BK1526" s="925"/>
      <c r="BL1526" s="925"/>
      <c r="BM1526" s="925"/>
      <c r="BN1526" s="304"/>
      <c r="BO1526" s="304"/>
      <c r="BP1526" s="304"/>
      <c r="BQ1526" s="304"/>
      <c r="BR1526" s="304"/>
      <c r="BS1526" s="304"/>
      <c r="BT1526" s="304"/>
      <c r="BU1526" s="304"/>
      <c r="BV1526" s="304"/>
      <c r="BW1526" s="304"/>
      <c r="BX1526" s="304"/>
      <c r="BY1526" s="304"/>
      <c r="BZ1526" s="304"/>
      <c r="CA1526" s="304"/>
      <c r="CB1526" s="571"/>
    </row>
    <row r="1527" spans="1:80" ht="12.75" customHeight="1">
      <c r="A1527" s="219">
        <v>1463</v>
      </c>
      <c r="B1527" s="7145"/>
      <c r="C1527" s="902"/>
      <c r="D1527" s="57"/>
      <c r="E1527" s="905" t="s">
        <v>7732</v>
      </c>
      <c r="F1527" s="75">
        <v>5</v>
      </c>
      <c r="G1527" s="75">
        <v>20</v>
      </c>
      <c r="H1527" s="75">
        <f>COUNTIF(HabilidadesEsenciales_Adquiridas,Tablas!E1527)</f>
        <v>0</v>
      </c>
      <c r="I1527" s="907">
        <v>1</v>
      </c>
      <c r="J1527" s="173"/>
      <c r="K1527" s="898"/>
      <c r="M1527" s="307"/>
      <c r="N1527" s="21"/>
      <c r="O1527" s="131" t="s">
        <v>1176</v>
      </c>
      <c r="P1527" s="900">
        <v>0</v>
      </c>
      <c r="Q1527" s="173">
        <v>10</v>
      </c>
      <c r="R1527" s="907">
        <f>COUNTIF(PoderesDeCriatura_Adquiridos,Tablas!O1527)</f>
        <v>0</v>
      </c>
      <c r="S1527" s="173"/>
      <c r="T1527" s="898"/>
      <c r="W1527" s="929" t="s">
        <v>1148</v>
      </c>
      <c r="X1527" s="921"/>
      <c r="Y1527" s="758" t="str">
        <f t="shared" si="416"/>
        <v/>
      </c>
      <c r="Z1527" s="758" t="s">
        <v>6506</v>
      </c>
      <c r="AA1527" s="758"/>
      <c r="AB1527" s="758"/>
      <c r="AC1527" s="758"/>
      <c r="AD1527" s="758"/>
      <c r="AE1527" s="758"/>
      <c r="AF1527" s="758"/>
      <c r="AG1527" s="758"/>
      <c r="AH1527" s="758"/>
      <c r="AI1527" s="758"/>
      <c r="AJ1527" s="758"/>
      <c r="AK1527" s="758"/>
      <c r="AL1527" s="758"/>
      <c r="AM1527" s="758"/>
      <c r="AN1527" s="758"/>
      <c r="AO1527" s="758"/>
      <c r="AP1527" s="758"/>
      <c r="AQ1527" s="925"/>
      <c r="AR1527" s="925"/>
      <c r="AS1527" s="925"/>
      <c r="AT1527" s="925"/>
      <c r="AU1527" s="925"/>
      <c r="AV1527" s="925"/>
      <c r="AW1527" s="925"/>
      <c r="AX1527" s="925"/>
      <c r="AY1527" s="925"/>
      <c r="AZ1527" s="925"/>
      <c r="BA1527" s="925"/>
      <c r="BB1527" s="925"/>
      <c r="BC1527" s="925"/>
      <c r="BD1527" s="925"/>
      <c r="BE1527" s="925"/>
      <c r="BF1527" s="925"/>
      <c r="BG1527" s="925"/>
      <c r="BH1527" s="925"/>
      <c r="BI1527" s="925"/>
      <c r="BJ1527" s="925"/>
      <c r="BK1527" s="925"/>
      <c r="BL1527" s="925"/>
      <c r="BM1527" s="925"/>
      <c r="BN1527" s="304"/>
      <c r="BO1527" s="304"/>
      <c r="BP1527" s="304"/>
      <c r="BQ1527" s="304"/>
      <c r="BR1527" s="304"/>
      <c r="BS1527" s="304"/>
      <c r="BT1527" s="304"/>
      <c r="BU1527" s="304"/>
      <c r="BV1527" s="304"/>
      <c r="BW1527" s="304"/>
      <c r="BX1527" s="304"/>
      <c r="BY1527" s="304"/>
      <c r="BZ1527" s="304"/>
      <c r="CA1527" s="304"/>
      <c r="CB1527" s="571"/>
    </row>
    <row r="1528" spans="1:80" ht="12.75" customHeight="1">
      <c r="A1528" s="219">
        <v>1464</v>
      </c>
      <c r="B1528" s="7145"/>
      <c r="C1528" s="902"/>
      <c r="D1528" s="57"/>
      <c r="E1528" s="905" t="s">
        <v>7733</v>
      </c>
      <c r="F1528" s="75">
        <v>5</v>
      </c>
      <c r="G1528" s="75">
        <v>20</v>
      </c>
      <c r="H1528" s="75">
        <f>COUNTIF(HabilidadesEsenciales_Adquiridas,Tablas!E1528)</f>
        <v>0</v>
      </c>
      <c r="I1528" s="907">
        <v>1</v>
      </c>
      <c r="J1528" s="173"/>
      <c r="K1528" s="898"/>
      <c r="M1528" s="307"/>
      <c r="N1528" s="21"/>
      <c r="O1528" s="131" t="s">
        <v>1177</v>
      </c>
      <c r="P1528" s="900">
        <v>5</v>
      </c>
      <c r="Q1528" s="173">
        <v>20</v>
      </c>
      <c r="R1528" s="907">
        <f>COUNTIF(PoderesDeCriatura_Adquiridos,Tablas!O1528)</f>
        <v>0</v>
      </c>
      <c r="S1528" s="173">
        <f t="array" ref="S1528">MAX({1;2;3;4}*R1527:R1530)</f>
        <v>0</v>
      </c>
      <c r="T1528" s="898" t="s">
        <v>6891</v>
      </c>
      <c r="W1528" s="929" t="s">
        <v>1146</v>
      </c>
      <c r="X1528" s="921"/>
      <c r="Y1528" s="758" t="str">
        <f t="shared" si="416"/>
        <v/>
      </c>
      <c r="Z1528" s="758" t="s">
        <v>6506</v>
      </c>
      <c r="AA1528" s="758"/>
      <c r="AB1528" s="758"/>
      <c r="AC1528" s="758"/>
      <c r="AD1528" s="758"/>
      <c r="AE1528" s="758"/>
      <c r="AF1528" s="758"/>
      <c r="AG1528" s="758"/>
      <c r="AH1528" s="758"/>
      <c r="AI1528" s="758"/>
      <c r="AJ1528" s="758"/>
      <c r="AK1528" s="758"/>
      <c r="AL1528" s="758"/>
      <c r="AM1528" s="758"/>
      <c r="AN1528" s="758"/>
      <c r="AO1528" s="758"/>
      <c r="AP1528" s="758"/>
      <c r="AQ1528" s="925"/>
      <c r="AR1528" s="925"/>
      <c r="AS1528" s="925"/>
      <c r="AT1528" s="925"/>
      <c r="AU1528" s="925"/>
      <c r="AV1528" s="925"/>
      <c r="AW1528" s="925"/>
      <c r="AX1528" s="925"/>
      <c r="AY1528" s="925"/>
      <c r="AZ1528" s="925"/>
      <c r="BA1528" s="925"/>
      <c r="BB1528" s="925"/>
      <c r="BC1528" s="925"/>
      <c r="BD1528" s="925"/>
      <c r="BE1528" s="925"/>
      <c r="BF1528" s="925"/>
      <c r="BG1528" s="925"/>
      <c r="BH1528" s="925"/>
      <c r="BI1528" s="925"/>
      <c r="BJ1528" s="925"/>
      <c r="BK1528" s="925"/>
      <c r="BL1528" s="925"/>
      <c r="BM1528" s="925"/>
      <c r="BN1528" s="304"/>
      <c r="BO1528" s="304"/>
      <c r="BP1528" s="304"/>
      <c r="BQ1528" s="304"/>
      <c r="BR1528" s="304"/>
      <c r="BS1528" s="304"/>
      <c r="BT1528" s="304"/>
      <c r="BU1528" s="304"/>
      <c r="BV1528" s="304"/>
      <c r="BW1528" s="304"/>
      <c r="BX1528" s="304"/>
      <c r="BY1528" s="304"/>
      <c r="BZ1528" s="304"/>
      <c r="CA1528" s="304"/>
      <c r="CB1528" s="571"/>
    </row>
    <row r="1529" spans="1:80" ht="12.75" customHeight="1">
      <c r="A1529" s="219">
        <v>1465</v>
      </c>
      <c r="B1529" s="7145"/>
      <c r="C1529" s="902"/>
      <c r="D1529" s="57"/>
      <c r="E1529" s="905" t="s">
        <v>7734</v>
      </c>
      <c r="F1529" s="75">
        <v>5</v>
      </c>
      <c r="G1529" s="75">
        <v>20</v>
      </c>
      <c r="H1529" s="75">
        <f>COUNTIF(HabilidadesEsenciales_Adquiridas,Tablas!E1529)</f>
        <v>0</v>
      </c>
      <c r="I1529" s="907">
        <v>1</v>
      </c>
      <c r="J1529" s="173"/>
      <c r="K1529" s="898"/>
      <c r="M1529" s="307"/>
      <c r="N1529" s="21"/>
      <c r="O1529" s="131" t="s">
        <v>1178</v>
      </c>
      <c r="P1529" s="900">
        <v>10</v>
      </c>
      <c r="Q1529" s="173">
        <v>30</v>
      </c>
      <c r="R1529" s="907">
        <f>COUNTIF(PoderesDeCriatura_Adquiridos,Tablas!O1529)</f>
        <v>0</v>
      </c>
      <c r="S1529" s="173"/>
      <c r="T1529" s="898"/>
      <c r="W1529" s="929" t="s">
        <v>1143</v>
      </c>
      <c r="X1529" s="921"/>
      <c r="Y1529" s="758" t="str">
        <f t="shared" si="416"/>
        <v/>
      </c>
      <c r="Z1529" s="758" t="s">
        <v>6506</v>
      </c>
      <c r="AA1529" s="758"/>
      <c r="AB1529" s="758"/>
      <c r="AC1529" s="758"/>
      <c r="AD1529" s="758"/>
      <c r="AE1529" s="758"/>
      <c r="AF1529" s="758"/>
      <c r="AG1529" s="758"/>
      <c r="AH1529" s="758"/>
      <c r="AI1529" s="758"/>
      <c r="AJ1529" s="758"/>
      <c r="AK1529" s="758"/>
      <c r="AL1529" s="758"/>
      <c r="AM1529" s="758"/>
      <c r="AN1529" s="758"/>
      <c r="AO1529" s="758"/>
      <c r="AP1529" s="758"/>
      <c r="AQ1529" s="925"/>
      <c r="AR1529" s="925"/>
      <c r="AS1529" s="925"/>
      <c r="AT1529" s="925"/>
      <c r="AU1529" s="925"/>
      <c r="AV1529" s="925"/>
      <c r="AW1529" s="925"/>
      <c r="AX1529" s="925"/>
      <c r="AY1529" s="925"/>
      <c r="AZ1529" s="925"/>
      <c r="BA1529" s="925"/>
      <c r="BB1529" s="925"/>
      <c r="BC1529" s="925"/>
      <c r="BD1529" s="925"/>
      <c r="BE1529" s="925"/>
      <c r="BF1529" s="925"/>
      <c r="BG1529" s="925"/>
      <c r="BH1529" s="925"/>
      <c r="BI1529" s="925"/>
      <c r="BJ1529" s="925"/>
      <c r="BK1529" s="925"/>
      <c r="BL1529" s="925"/>
      <c r="BM1529" s="925"/>
      <c r="BN1529" s="304"/>
      <c r="BO1529" s="304"/>
      <c r="BP1529" s="304"/>
      <c r="BQ1529" s="304"/>
      <c r="BR1529" s="304"/>
      <c r="BS1529" s="304"/>
      <c r="BT1529" s="304"/>
      <c r="BU1529" s="304"/>
      <c r="BV1529" s="304"/>
      <c r="BW1529" s="304"/>
      <c r="BX1529" s="304"/>
      <c r="BY1529" s="304"/>
      <c r="BZ1529" s="304"/>
      <c r="CA1529" s="304"/>
      <c r="CB1529" s="571"/>
    </row>
    <row r="1530" spans="1:80" ht="12.75" customHeight="1">
      <c r="A1530" s="219">
        <v>1466</v>
      </c>
      <c r="B1530" s="7145"/>
      <c r="C1530" s="902"/>
      <c r="D1530" s="57"/>
      <c r="E1530" s="905" t="s">
        <v>7735</v>
      </c>
      <c r="F1530" s="75">
        <v>5</v>
      </c>
      <c r="G1530" s="75">
        <v>20</v>
      </c>
      <c r="H1530" s="75">
        <f>COUNTIF(HabilidadesEsenciales_Adquiridas,Tablas!E1530)</f>
        <v>0</v>
      </c>
      <c r="I1530" s="907">
        <v>1</v>
      </c>
      <c r="J1530" s="173"/>
      <c r="K1530" s="898"/>
      <c r="M1530" s="307"/>
      <c r="N1530" s="21"/>
      <c r="O1530" s="131" t="s">
        <v>1179</v>
      </c>
      <c r="P1530" s="900">
        <v>20</v>
      </c>
      <c r="Q1530" s="173">
        <v>40</v>
      </c>
      <c r="R1530" s="907">
        <f>COUNTIF(PoderesDeCriatura_Adquiridos,Tablas!O1530)</f>
        <v>0</v>
      </c>
      <c r="S1530" s="173"/>
      <c r="T1530" s="898"/>
      <c r="W1530" s="929" t="s">
        <v>6940</v>
      </c>
      <c r="X1530" s="921"/>
      <c r="Y1530" s="758" t="str">
        <f>IF(Z1530="","",SUBSTITUTE(SUBSTITUTE("PodHab_"&amp;W1530," ",""),".",""))</f>
        <v>PodHab_Vulaelemento</v>
      </c>
      <c r="Z1530" s="1164" t="s">
        <v>7842</v>
      </c>
      <c r="AA1530" s="758" t="s">
        <v>1616</v>
      </c>
      <c r="AB1530" s="758"/>
      <c r="AC1530" s="758"/>
      <c r="AD1530" s="758"/>
      <c r="AE1530" s="758"/>
      <c r="AF1530" s="758"/>
      <c r="AG1530" s="758"/>
      <c r="AH1530" s="758"/>
      <c r="AI1530" s="758"/>
      <c r="AJ1530" s="758"/>
      <c r="AK1530" s="758"/>
      <c r="AL1530" s="758"/>
      <c r="AM1530" s="758"/>
      <c r="AN1530" s="758"/>
      <c r="AO1530" s="758"/>
      <c r="AP1530" s="758"/>
      <c r="AQ1530" s="925"/>
      <c r="AR1530" s="925"/>
      <c r="AS1530" s="925"/>
      <c r="AT1530" s="925"/>
      <c r="AU1530" s="925"/>
      <c r="AV1530" s="925"/>
      <c r="AW1530" s="925"/>
      <c r="AX1530" s="925"/>
      <c r="AY1530" s="925"/>
      <c r="AZ1530" s="925"/>
      <c r="BA1530" s="925"/>
      <c r="BB1530" s="925"/>
      <c r="BC1530" s="925"/>
      <c r="BD1530" s="925"/>
      <c r="BE1530" s="925"/>
      <c r="BF1530" s="925"/>
      <c r="BG1530" s="925"/>
      <c r="BH1530" s="925"/>
      <c r="BI1530" s="925"/>
      <c r="BJ1530" s="925"/>
      <c r="BK1530" s="925"/>
      <c r="BL1530" s="925"/>
      <c r="BM1530" s="925"/>
      <c r="BN1530" s="304"/>
      <c r="BO1530" s="304"/>
      <c r="BP1530" s="304"/>
      <c r="BQ1530" s="304"/>
      <c r="BR1530" s="304"/>
      <c r="BS1530" s="304"/>
      <c r="BT1530" s="304"/>
      <c r="BU1530" s="304"/>
      <c r="BV1530" s="304"/>
      <c r="BW1530" s="304"/>
      <c r="BX1530" s="304"/>
      <c r="BY1530" s="304"/>
      <c r="BZ1530" s="304"/>
      <c r="CA1530" s="304"/>
      <c r="CB1530" s="571"/>
    </row>
    <row r="1531" spans="1:80" ht="12.75" customHeight="1">
      <c r="A1531" s="219">
        <v>1467</v>
      </c>
      <c r="B1531" s="7145"/>
      <c r="C1531" s="902"/>
      <c r="D1531" s="57"/>
      <c r="E1531" s="905" t="s">
        <v>7736</v>
      </c>
      <c r="F1531" s="75">
        <v>5</v>
      </c>
      <c r="G1531" s="75">
        <v>20</v>
      </c>
      <c r="H1531" s="75">
        <f>COUNTIF(HabilidadesEsenciales_Adquiridas,Tablas!E1531)</f>
        <v>0</v>
      </c>
      <c r="I1531" s="907">
        <v>1</v>
      </c>
      <c r="J1531" s="173"/>
      <c r="K1531" s="898"/>
      <c r="M1531" s="307"/>
      <c r="N1531" s="21"/>
      <c r="O1531" s="131" t="s">
        <v>7356</v>
      </c>
      <c r="P1531" s="900">
        <v>0</v>
      </c>
      <c r="Q1531" s="173">
        <v>40</v>
      </c>
      <c r="R1531" s="907">
        <f>COUNTIF(PoderesDeCriatura_Adquiridos,Tablas!O1531)</f>
        <v>0</v>
      </c>
      <c r="S1531" s="173">
        <f t="array" ref="S1531">MAX(R1531:R1535*VALUE(RIGHT(O1531:O1535,2)))</f>
        <v>0</v>
      </c>
      <c r="T1531" s="898" t="s">
        <v>8070</v>
      </c>
      <c r="W1531" s="929" t="s">
        <v>1150</v>
      </c>
      <c r="X1531" s="921"/>
      <c r="Y1531" s="758" t="str">
        <f t="shared" ref="Y1531:Y1557" si="417">IF(Z1531="","",SUBSTITUTE("PodHab_"&amp;W1531," ",""))</f>
        <v/>
      </c>
      <c r="Z1531" s="758"/>
      <c r="AA1531" s="758"/>
      <c r="AB1531" s="758"/>
      <c r="AC1531" s="758"/>
      <c r="AD1531" s="758"/>
      <c r="AE1531" s="758"/>
      <c r="AF1531" s="758"/>
      <c r="AG1531" s="758"/>
      <c r="AH1531" s="758"/>
      <c r="AI1531" s="758"/>
      <c r="AJ1531" s="758"/>
      <c r="AK1531" s="758"/>
      <c r="AL1531" s="758"/>
      <c r="AM1531" s="758"/>
      <c r="AN1531" s="758"/>
      <c r="AO1531" s="758"/>
      <c r="AP1531" s="758"/>
      <c r="AQ1531" s="925"/>
      <c r="AR1531" s="925"/>
      <c r="AS1531" s="925"/>
      <c r="AT1531" s="925"/>
      <c r="AU1531" s="925"/>
      <c r="AV1531" s="925"/>
      <c r="AW1531" s="925"/>
      <c r="AX1531" s="925"/>
      <c r="AY1531" s="925"/>
      <c r="AZ1531" s="925"/>
      <c r="BA1531" s="925"/>
      <c r="BB1531" s="925"/>
      <c r="BC1531" s="925"/>
      <c r="BD1531" s="925"/>
      <c r="BE1531" s="925"/>
      <c r="BF1531" s="925"/>
      <c r="BG1531" s="925"/>
      <c r="BH1531" s="925"/>
      <c r="BI1531" s="925"/>
      <c r="BJ1531" s="925"/>
      <c r="BK1531" s="925"/>
      <c r="BL1531" s="925"/>
      <c r="BM1531" s="925"/>
      <c r="BN1531" s="304"/>
      <c r="BO1531" s="304"/>
      <c r="BP1531" s="304"/>
      <c r="BQ1531" s="304"/>
      <c r="BR1531" s="304"/>
      <c r="BS1531" s="304"/>
      <c r="BT1531" s="304"/>
      <c r="BU1531" s="304"/>
      <c r="BV1531" s="304"/>
      <c r="BW1531" s="304"/>
      <c r="BX1531" s="304"/>
      <c r="BY1531" s="304"/>
      <c r="BZ1531" s="304"/>
      <c r="CA1531" s="304"/>
      <c r="CB1531" s="571"/>
    </row>
    <row r="1532" spans="1:80" ht="12.75" customHeight="1">
      <c r="A1532" s="219">
        <v>1468</v>
      </c>
      <c r="B1532" s="7145"/>
      <c r="C1532" s="902"/>
      <c r="D1532" s="57"/>
      <c r="E1532" s="905" t="s">
        <v>7737</v>
      </c>
      <c r="F1532" s="75">
        <v>5</v>
      </c>
      <c r="G1532" s="75">
        <v>20</v>
      </c>
      <c r="H1532" s="75">
        <f>COUNTIF(HabilidadesEsenciales_Adquiridas,Tablas!E1532)</f>
        <v>0</v>
      </c>
      <c r="I1532" s="907">
        <v>1</v>
      </c>
      <c r="J1532" s="173"/>
      <c r="K1532" s="898"/>
      <c r="M1532" s="307"/>
      <c r="N1532" s="21"/>
      <c r="O1532" s="131" t="s">
        <v>7357</v>
      </c>
      <c r="P1532" s="900">
        <v>0</v>
      </c>
      <c r="Q1532" s="173">
        <v>60</v>
      </c>
      <c r="R1532" s="907">
        <f>COUNTIF(PoderesDeCriatura_Adquiridos,Tablas!O1532)</f>
        <v>0</v>
      </c>
      <c r="S1532" s="173"/>
      <c r="T1532" s="898"/>
      <c r="W1532" s="929" t="s">
        <v>1151</v>
      </c>
      <c r="X1532" s="921"/>
      <c r="Y1532" s="758" t="str">
        <f t="shared" si="417"/>
        <v/>
      </c>
      <c r="Z1532" s="758" t="s">
        <v>6506</v>
      </c>
      <c r="AA1532" s="758"/>
      <c r="AB1532" s="758"/>
      <c r="AC1532" s="758"/>
      <c r="AD1532" s="758"/>
      <c r="AE1532" s="758"/>
      <c r="AF1532" s="758"/>
      <c r="AG1532" s="758"/>
      <c r="AH1532" s="758"/>
      <c r="AI1532" s="758"/>
      <c r="AJ1532" s="758"/>
      <c r="AK1532" s="758"/>
      <c r="AL1532" s="758"/>
      <c r="AM1532" s="758"/>
      <c r="AN1532" s="758"/>
      <c r="AO1532" s="758"/>
      <c r="AP1532" s="758"/>
      <c r="AQ1532" s="925"/>
      <c r="AR1532" s="925"/>
      <c r="AS1532" s="925"/>
      <c r="AT1532" s="925"/>
      <c r="AU1532" s="925"/>
      <c r="AV1532" s="925"/>
      <c r="AW1532" s="925"/>
      <c r="AX1532" s="925"/>
      <c r="AY1532" s="925"/>
      <c r="AZ1532" s="925"/>
      <c r="BA1532" s="925"/>
      <c r="BB1532" s="925"/>
      <c r="BC1532" s="925"/>
      <c r="BD1532" s="925"/>
      <c r="BE1532" s="925"/>
      <c r="BF1532" s="925"/>
      <c r="BG1532" s="925"/>
      <c r="BH1532" s="925"/>
      <c r="BI1532" s="925"/>
      <c r="BJ1532" s="925"/>
      <c r="BK1532" s="925"/>
      <c r="BL1532" s="925"/>
      <c r="BM1532" s="925"/>
      <c r="BN1532" s="304"/>
      <c r="BO1532" s="304"/>
      <c r="BP1532" s="304"/>
      <c r="BQ1532" s="304"/>
      <c r="BR1532" s="304"/>
      <c r="BS1532" s="304"/>
      <c r="BT1532" s="304"/>
      <c r="BU1532" s="304"/>
      <c r="BV1532" s="304"/>
      <c r="BW1532" s="304"/>
      <c r="BX1532" s="304"/>
      <c r="BY1532" s="304"/>
      <c r="BZ1532" s="304"/>
      <c r="CA1532" s="304"/>
      <c r="CB1532" s="571"/>
    </row>
    <row r="1533" spans="1:80" ht="12.75" customHeight="1">
      <c r="A1533" s="219">
        <v>1469</v>
      </c>
      <c r="B1533" s="7145"/>
      <c r="C1533" s="902"/>
      <c r="D1533" s="57"/>
      <c r="E1533" s="905" t="s">
        <v>7738</v>
      </c>
      <c r="F1533" s="75">
        <v>5</v>
      </c>
      <c r="G1533" s="75">
        <v>20</v>
      </c>
      <c r="H1533" s="75">
        <f>COUNTIF(HabilidadesEsenciales_Adquiridas,Tablas!E1533)</f>
        <v>0</v>
      </c>
      <c r="I1533" s="907">
        <v>1</v>
      </c>
      <c r="J1533" s="173"/>
      <c r="K1533" s="898"/>
      <c r="M1533" s="307"/>
      <c r="N1533" s="21"/>
      <c r="O1533" s="131" t="s">
        <v>7358</v>
      </c>
      <c r="P1533" s="900">
        <v>0</v>
      </c>
      <c r="Q1533" s="173">
        <v>80</v>
      </c>
      <c r="R1533" s="907">
        <f>COUNTIF(PoderesDeCriatura_Adquiridos,Tablas!O1533)</f>
        <v>0</v>
      </c>
      <c r="S1533" s="173"/>
      <c r="T1533" s="898"/>
      <c r="U1533">
        <v>3</v>
      </c>
      <c r="W1533" s="929" t="s">
        <v>1153</v>
      </c>
      <c r="X1533" s="921"/>
      <c r="Y1533" s="758" t="str">
        <f t="shared" si="417"/>
        <v/>
      </c>
      <c r="Z1533" s="758" t="s">
        <v>6506</v>
      </c>
      <c r="AA1533" s="758"/>
      <c r="AB1533" s="758"/>
      <c r="AC1533" s="758"/>
      <c r="AD1533" s="758"/>
      <c r="AE1533" s="758"/>
      <c r="AF1533" s="758"/>
      <c r="AG1533" s="758"/>
      <c r="AH1533" s="758"/>
      <c r="AI1533" s="758"/>
      <c r="AJ1533" s="758"/>
      <c r="AK1533" s="758"/>
      <c r="AL1533" s="758"/>
      <c r="AM1533" s="758"/>
      <c r="AN1533" s="758"/>
      <c r="AO1533" s="758"/>
      <c r="AP1533" s="758"/>
      <c r="AQ1533" s="925"/>
      <c r="AR1533" s="925"/>
      <c r="AS1533" s="925"/>
      <c r="AT1533" s="925"/>
      <c r="AU1533" s="925"/>
      <c r="AV1533" s="925"/>
      <c r="AW1533" s="925"/>
      <c r="AX1533" s="925"/>
      <c r="AY1533" s="925"/>
      <c r="AZ1533" s="925"/>
      <c r="BA1533" s="925"/>
      <c r="BB1533" s="925"/>
      <c r="BC1533" s="925"/>
      <c r="BD1533" s="925"/>
      <c r="BE1533" s="925"/>
      <c r="BF1533" s="925"/>
      <c r="BG1533" s="925"/>
      <c r="BH1533" s="925"/>
      <c r="BI1533" s="925"/>
      <c r="BJ1533" s="925"/>
      <c r="BK1533" s="925"/>
      <c r="BL1533" s="925"/>
      <c r="BM1533" s="925"/>
      <c r="BN1533" s="304"/>
      <c r="BO1533" s="304"/>
      <c r="BP1533" s="304"/>
      <c r="BQ1533" s="304"/>
      <c r="BR1533" s="304"/>
      <c r="BS1533" s="304"/>
      <c r="BT1533" s="304"/>
      <c r="BU1533" s="304"/>
      <c r="BV1533" s="304"/>
      <c r="BW1533" s="304"/>
      <c r="BX1533" s="304"/>
      <c r="BY1533" s="304"/>
      <c r="BZ1533" s="304"/>
      <c r="CA1533" s="304"/>
      <c r="CB1533" s="571"/>
    </row>
    <row r="1534" spans="1:80" ht="12.75" customHeight="1">
      <c r="A1534" s="219">
        <v>1470</v>
      </c>
      <c r="B1534" s="7145"/>
      <c r="C1534" s="902"/>
      <c r="D1534" s="57"/>
      <c r="E1534" s="905" t="s">
        <v>7739</v>
      </c>
      <c r="F1534" s="75">
        <v>5</v>
      </c>
      <c r="G1534" s="75">
        <v>20</v>
      </c>
      <c r="H1534" s="75">
        <f>COUNTIF(HabilidadesEsenciales_Adquiridas,Tablas!E1534)</f>
        <v>0</v>
      </c>
      <c r="I1534" s="907">
        <v>1</v>
      </c>
      <c r="J1534" s="173"/>
      <c r="K1534" s="898"/>
      <c r="M1534" s="307"/>
      <c r="N1534" s="21"/>
      <c r="O1534" s="131" t="s">
        <v>7359</v>
      </c>
      <c r="P1534" s="900">
        <v>0</v>
      </c>
      <c r="Q1534" s="173">
        <v>100</v>
      </c>
      <c r="R1534" s="907">
        <f>COUNTIF(PoderesDeCriatura_Adquiridos,Tablas!O1534)</f>
        <v>0</v>
      </c>
      <c r="S1534" s="173"/>
      <c r="T1534" s="898"/>
      <c r="U1534">
        <v>3</v>
      </c>
      <c r="W1534" s="929" t="s">
        <v>2244</v>
      </c>
      <c r="X1534" s="921"/>
      <c r="Y1534" s="758" t="str">
        <f t="shared" si="417"/>
        <v/>
      </c>
      <c r="Z1534" s="758" t="s">
        <v>6506</v>
      </c>
      <c r="AA1534" s="758"/>
      <c r="AB1534" s="758"/>
      <c r="AC1534" s="758"/>
      <c r="AD1534" s="758"/>
      <c r="AE1534" s="758"/>
      <c r="AF1534" s="758"/>
      <c r="AG1534" s="758"/>
      <c r="AH1534" s="758"/>
      <c r="AI1534" s="758"/>
      <c r="AJ1534" s="758"/>
      <c r="AK1534" s="758"/>
      <c r="AL1534" s="758"/>
      <c r="AM1534" s="758"/>
      <c r="AN1534" s="758"/>
      <c r="AO1534" s="758"/>
      <c r="AP1534" s="758"/>
      <c r="AQ1534" s="925"/>
      <c r="AR1534" s="925"/>
      <c r="AS1534" s="925"/>
      <c r="AT1534" s="925"/>
      <c r="AU1534" s="925"/>
      <c r="AV1534" s="925"/>
      <c r="AW1534" s="925"/>
      <c r="AX1534" s="925"/>
      <c r="AY1534" s="925"/>
      <c r="AZ1534" s="925"/>
      <c r="BA1534" s="925"/>
      <c r="BB1534" s="925"/>
      <c r="BC1534" s="925"/>
      <c r="BD1534" s="925"/>
      <c r="BE1534" s="925"/>
      <c r="BF1534" s="925"/>
      <c r="BG1534" s="925"/>
      <c r="BH1534" s="925"/>
      <c r="BI1534" s="925"/>
      <c r="BJ1534" s="925"/>
      <c r="BK1534" s="925"/>
      <c r="BL1534" s="925"/>
      <c r="BM1534" s="925"/>
      <c r="BN1534" s="304"/>
      <c r="BO1534" s="304"/>
      <c r="BP1534" s="304"/>
      <c r="BQ1534" s="304"/>
      <c r="BR1534" s="304"/>
      <c r="BS1534" s="304"/>
      <c r="BT1534" s="304"/>
      <c r="BU1534" s="304"/>
      <c r="BV1534" s="304"/>
      <c r="BW1534" s="304"/>
      <c r="BX1534" s="304"/>
      <c r="BY1534" s="304"/>
      <c r="BZ1534" s="304"/>
      <c r="CA1534" s="304"/>
      <c r="CB1534" s="571"/>
    </row>
    <row r="1535" spans="1:80" ht="12.75" customHeight="1">
      <c r="A1535" s="219">
        <v>1471</v>
      </c>
      <c r="B1535" s="7145"/>
      <c r="C1535" s="902"/>
      <c r="D1535" s="57"/>
      <c r="E1535" s="905" t="s">
        <v>7740</v>
      </c>
      <c r="F1535" s="75">
        <v>5</v>
      </c>
      <c r="G1535" s="75">
        <v>20</v>
      </c>
      <c r="H1535" s="75">
        <f>COUNTIF(HabilidadesEsenciales_Adquiridas,Tablas!E1535)</f>
        <v>0</v>
      </c>
      <c r="I1535" s="907">
        <v>1</v>
      </c>
      <c r="J1535" s="173"/>
      <c r="K1535" s="898"/>
      <c r="M1535" s="307"/>
      <c r="N1535" s="21"/>
      <c r="O1535" s="131" t="s">
        <v>7360</v>
      </c>
      <c r="P1535" s="900">
        <v>10</v>
      </c>
      <c r="Q1535" s="173">
        <v>120</v>
      </c>
      <c r="R1535" s="907">
        <f>COUNTIF(PoderesDeCriatura_Adquiridos,Tablas!O1535)</f>
        <v>0</v>
      </c>
      <c r="S1535" s="173"/>
      <c r="T1535" s="898"/>
      <c r="U1535">
        <v>3</v>
      </c>
      <c r="W1535" s="929" t="s">
        <v>1152</v>
      </c>
      <c r="X1535" s="921"/>
      <c r="Y1535" s="758" t="str">
        <f t="shared" si="417"/>
        <v/>
      </c>
      <c r="Z1535" s="758" t="s">
        <v>6506</v>
      </c>
      <c r="AA1535" s="758"/>
      <c r="AB1535" s="758"/>
      <c r="AC1535" s="758"/>
      <c r="AD1535" s="758"/>
      <c r="AE1535" s="758"/>
      <c r="AF1535" s="758"/>
      <c r="AG1535" s="758"/>
      <c r="AH1535" s="758"/>
      <c r="AI1535" s="758"/>
      <c r="AJ1535" s="758"/>
      <c r="AK1535" s="758"/>
      <c r="AL1535" s="758"/>
      <c r="AM1535" s="758"/>
      <c r="AN1535" s="758"/>
      <c r="AO1535" s="758"/>
      <c r="AP1535" s="758"/>
      <c r="AQ1535" s="925"/>
      <c r="AR1535" s="925"/>
      <c r="AS1535" s="925"/>
      <c r="AT1535" s="925"/>
      <c r="AU1535" s="925"/>
      <c r="AV1535" s="925"/>
      <c r="AW1535" s="925"/>
      <c r="AX1535" s="925"/>
      <c r="AY1535" s="925"/>
      <c r="AZ1535" s="925"/>
      <c r="BA1535" s="925"/>
      <c r="BB1535" s="925"/>
      <c r="BC1535" s="925"/>
      <c r="BD1535" s="925"/>
      <c r="BE1535" s="925"/>
      <c r="BF1535" s="925"/>
      <c r="BG1535" s="925"/>
      <c r="BH1535" s="925"/>
      <c r="BI1535" s="925"/>
      <c r="BJ1535" s="925"/>
      <c r="BK1535" s="925"/>
      <c r="BL1535" s="925"/>
      <c r="BM1535" s="925"/>
      <c r="BN1535" s="304"/>
      <c r="BO1535" s="304"/>
      <c r="BP1535" s="304"/>
      <c r="BQ1535" s="304"/>
      <c r="BR1535" s="304"/>
      <c r="BS1535" s="304"/>
      <c r="BT1535" s="304"/>
      <c r="BU1535" s="304"/>
      <c r="BV1535" s="304"/>
      <c r="BW1535" s="304"/>
      <c r="BX1535" s="304"/>
      <c r="BY1535" s="304"/>
      <c r="BZ1535" s="304"/>
      <c r="CA1535" s="304"/>
      <c r="CB1535" s="571"/>
    </row>
    <row r="1536" spans="1:80" ht="12.75" customHeight="1">
      <c r="A1536" s="219">
        <v>1472</v>
      </c>
      <c r="B1536" s="7145"/>
      <c r="C1536" s="902"/>
      <c r="D1536" s="57"/>
      <c r="E1536" s="905" t="s">
        <v>7741</v>
      </c>
      <c r="F1536" s="75">
        <v>5</v>
      </c>
      <c r="G1536" s="75">
        <v>20</v>
      </c>
      <c r="H1536" s="75">
        <f>COUNTIF(HabilidadesEsenciales_Adquiridas,Tablas!E1536)</f>
        <v>0</v>
      </c>
      <c r="I1536" s="907">
        <v>1</v>
      </c>
      <c r="J1536" s="173"/>
      <c r="K1536" s="898"/>
      <c r="M1536" s="307"/>
      <c r="N1536" s="21"/>
      <c r="O1536" s="131" t="s">
        <v>7361</v>
      </c>
      <c r="P1536" s="900">
        <v>10</v>
      </c>
      <c r="Q1536" s="173">
        <v>20</v>
      </c>
      <c r="R1536" s="907">
        <f>COUNTIF(PoderesDeCriatura_Adquiridos,Tablas!O1536)</f>
        <v>0</v>
      </c>
      <c r="S1536" s="173">
        <f t="array" ref="S1536">MAX(R1536:R1542*VALUE(RIGHT(O1536:O1542,2)))</f>
        <v>0</v>
      </c>
      <c r="T1536" s="898" t="s">
        <v>8071</v>
      </c>
      <c r="U1536">
        <v>3</v>
      </c>
      <c r="W1536" s="929" t="s">
        <v>2247</v>
      </c>
      <c r="X1536" s="921"/>
      <c r="Y1536" s="758" t="str">
        <f t="shared" si="417"/>
        <v/>
      </c>
      <c r="Z1536" s="758" t="s">
        <v>6506</v>
      </c>
      <c r="AA1536" s="758"/>
      <c r="AB1536" s="758"/>
      <c r="AC1536" s="758"/>
      <c r="AD1536" s="758"/>
      <c r="AE1536" s="758"/>
      <c r="AF1536" s="758"/>
      <c r="AG1536" s="758"/>
      <c r="AH1536" s="758"/>
      <c r="AI1536" s="758"/>
      <c r="AJ1536" s="758"/>
      <c r="AK1536" s="758"/>
      <c r="AL1536" s="758"/>
      <c r="AM1536" s="758"/>
      <c r="AN1536" s="758"/>
      <c r="AO1536" s="758"/>
      <c r="AP1536" s="758"/>
      <c r="AQ1536" s="925"/>
      <c r="AR1536" s="925"/>
      <c r="AS1536" s="925"/>
      <c r="AT1536" s="925"/>
      <c r="AU1536" s="925"/>
      <c r="AV1536" s="925"/>
      <c r="AW1536" s="925"/>
      <c r="AX1536" s="925"/>
      <c r="AY1536" s="925"/>
      <c r="AZ1536" s="925"/>
      <c r="BA1536" s="925"/>
      <c r="BB1536" s="925"/>
      <c r="BC1536" s="925"/>
      <c r="BD1536" s="925"/>
      <c r="BE1536" s="925"/>
      <c r="BF1536" s="925"/>
      <c r="BG1536" s="925"/>
      <c r="BH1536" s="925"/>
      <c r="BI1536" s="925"/>
      <c r="BJ1536" s="925"/>
      <c r="BK1536" s="925"/>
      <c r="BL1536" s="925"/>
      <c r="BM1536" s="925"/>
      <c r="BN1536" s="304"/>
      <c r="BO1536" s="304"/>
      <c r="BP1536" s="304"/>
      <c r="BQ1536" s="304"/>
      <c r="BR1536" s="304"/>
      <c r="BS1536" s="304"/>
      <c r="BT1536" s="304"/>
      <c r="BU1536" s="304"/>
      <c r="BV1536" s="304"/>
      <c r="BW1536" s="304"/>
      <c r="BX1536" s="304"/>
      <c r="BY1536" s="304"/>
      <c r="BZ1536" s="304"/>
      <c r="CA1536" s="304"/>
      <c r="CB1536" s="571"/>
    </row>
    <row r="1537" spans="1:80" ht="12.75" customHeight="1">
      <c r="A1537" s="219">
        <v>1473</v>
      </c>
      <c r="B1537" s="7145"/>
      <c r="C1537" s="3275"/>
      <c r="D1537" s="3276"/>
      <c r="E1537" s="3277" t="s">
        <v>10517</v>
      </c>
      <c r="F1537" s="2802">
        <v>5</v>
      </c>
      <c r="G1537" s="2802">
        <v>20</v>
      </c>
      <c r="H1537" s="2802">
        <f>COUNTIF(HabilidadesEsenciales_Adquiridas,Tablas!E1537)</f>
        <v>0</v>
      </c>
      <c r="I1537" s="3273">
        <v>1</v>
      </c>
      <c r="J1537" s="3274"/>
      <c r="K1537" s="3279"/>
      <c r="M1537" s="307"/>
      <c r="N1537" s="21"/>
      <c r="O1537" s="131" t="s">
        <v>7362</v>
      </c>
      <c r="P1537" s="900">
        <v>15</v>
      </c>
      <c r="Q1537" s="173">
        <v>40</v>
      </c>
      <c r="R1537" s="907">
        <f>COUNTIF(PoderesDeCriatura_Adquiridos,Tablas!O1537)</f>
        <v>0</v>
      </c>
      <c r="S1537" s="173"/>
      <c r="T1537" s="898"/>
      <c r="U1537">
        <v>3</v>
      </c>
      <c r="W1537" s="929" t="s">
        <v>2242</v>
      </c>
      <c r="X1537" s="921"/>
      <c r="Y1537" s="758" t="str">
        <f t="shared" si="417"/>
        <v/>
      </c>
      <c r="Z1537" s="758" t="s">
        <v>6506</v>
      </c>
      <c r="AA1537" s="758"/>
      <c r="AB1537" s="758"/>
      <c r="AC1537" s="758"/>
      <c r="AD1537" s="758"/>
      <c r="AE1537" s="758"/>
      <c r="AF1537" s="758"/>
      <c r="AG1537" s="758"/>
      <c r="AH1537" s="758"/>
      <c r="AI1537" s="758"/>
      <c r="AJ1537" s="758"/>
      <c r="AK1537" s="758"/>
      <c r="AL1537" s="758"/>
      <c r="AM1537" s="758"/>
      <c r="AN1537" s="758"/>
      <c r="AO1537" s="758"/>
      <c r="AP1537" s="758"/>
      <c r="AQ1537" s="925"/>
      <c r="AR1537" s="925"/>
      <c r="AS1537" s="925"/>
      <c r="AT1537" s="925"/>
      <c r="AU1537" s="925"/>
      <c r="AV1537" s="925"/>
      <c r="AW1537" s="925"/>
      <c r="AX1537" s="925"/>
      <c r="AY1537" s="925"/>
      <c r="AZ1537" s="925"/>
      <c r="BA1537" s="925"/>
      <c r="BB1537" s="925"/>
      <c r="BC1537" s="925"/>
      <c r="BD1537" s="925"/>
      <c r="BE1537" s="925"/>
      <c r="BF1537" s="925"/>
      <c r="BG1537" s="925"/>
      <c r="BH1537" s="925"/>
      <c r="BI1537" s="925"/>
      <c r="BJ1537" s="925"/>
      <c r="BK1537" s="925"/>
      <c r="BL1537" s="925"/>
      <c r="BM1537" s="925"/>
      <c r="BN1537" s="304"/>
      <c r="BO1537" s="304"/>
      <c r="BP1537" s="304"/>
      <c r="BQ1537" s="304"/>
      <c r="BR1537" s="304"/>
      <c r="BS1537" s="304"/>
      <c r="BT1537" s="304"/>
      <c r="BU1537" s="304"/>
      <c r="BV1537" s="304"/>
      <c r="BW1537" s="304"/>
      <c r="BX1537" s="304"/>
      <c r="BY1537" s="304"/>
      <c r="BZ1537" s="304"/>
      <c r="CA1537" s="304"/>
      <c r="CB1537" s="571"/>
    </row>
    <row r="1538" spans="1:80" ht="12.75" customHeight="1">
      <c r="A1538" s="219">
        <v>1474</v>
      </c>
      <c r="B1538" s="7145"/>
      <c r="C1538" s="3278"/>
      <c r="D1538" s="2738"/>
      <c r="E1538" s="3277" t="s">
        <v>10518</v>
      </c>
      <c r="F1538" s="3225">
        <v>5</v>
      </c>
      <c r="G1538" s="3225">
        <v>20</v>
      </c>
      <c r="H1538" s="3225">
        <v>0</v>
      </c>
      <c r="I1538" s="3225">
        <v>1</v>
      </c>
      <c r="J1538" s="3281"/>
      <c r="K1538" s="3280"/>
      <c r="M1538" s="307"/>
      <c r="N1538" s="21"/>
      <c r="O1538" s="131" t="s">
        <v>7363</v>
      </c>
      <c r="P1538" s="900">
        <v>20</v>
      </c>
      <c r="Q1538" s="173">
        <v>60</v>
      </c>
      <c r="R1538" s="907">
        <f>COUNTIF(PoderesDeCriatura_Adquiridos,Tablas!O1538)</f>
        <v>0</v>
      </c>
      <c r="S1538" s="173"/>
      <c r="T1538" s="898"/>
      <c r="U1538">
        <v>3</v>
      </c>
      <c r="W1538" s="929" t="s">
        <v>2243</v>
      </c>
      <c r="X1538" s="921"/>
      <c r="Y1538" s="758" t="str">
        <f t="shared" si="417"/>
        <v/>
      </c>
      <c r="Z1538" s="758" t="s">
        <v>6506</v>
      </c>
      <c r="AA1538" s="758"/>
      <c r="AB1538" s="758"/>
      <c r="AC1538" s="758"/>
      <c r="AD1538" s="758"/>
      <c r="AE1538" s="758"/>
      <c r="AF1538" s="758"/>
      <c r="AG1538" s="758"/>
      <c r="AH1538" s="758"/>
      <c r="AI1538" s="758"/>
      <c r="AJ1538" s="758"/>
      <c r="AK1538" s="758"/>
      <c r="AL1538" s="758"/>
      <c r="AM1538" s="758"/>
      <c r="AN1538" s="758"/>
      <c r="AO1538" s="758"/>
      <c r="AP1538" s="758"/>
      <c r="AQ1538" s="925"/>
      <c r="AR1538" s="925"/>
      <c r="AS1538" s="925"/>
      <c r="AT1538" s="925"/>
      <c r="AU1538" s="925"/>
      <c r="AV1538" s="925"/>
      <c r="AW1538" s="925"/>
      <c r="AX1538" s="925"/>
      <c r="AY1538" s="925"/>
      <c r="AZ1538" s="925"/>
      <c r="BA1538" s="925"/>
      <c r="BB1538" s="925"/>
      <c r="BC1538" s="925"/>
      <c r="BD1538" s="925"/>
      <c r="BE1538" s="925"/>
      <c r="BF1538" s="925"/>
      <c r="BG1538" s="925"/>
      <c r="BH1538" s="925"/>
      <c r="BI1538" s="925"/>
      <c r="BJ1538" s="925"/>
      <c r="BK1538" s="925"/>
      <c r="BL1538" s="925"/>
      <c r="BM1538" s="925"/>
      <c r="BN1538" s="304"/>
      <c r="BO1538" s="304"/>
      <c r="BP1538" s="304"/>
      <c r="BQ1538" s="304"/>
      <c r="BR1538" s="304"/>
      <c r="BS1538" s="304"/>
      <c r="BT1538" s="304"/>
      <c r="BU1538" s="304"/>
      <c r="BV1538" s="304"/>
      <c r="BW1538" s="304"/>
      <c r="BX1538" s="304"/>
      <c r="BY1538" s="304"/>
      <c r="BZ1538" s="304"/>
      <c r="CA1538" s="304"/>
      <c r="CB1538" s="571"/>
    </row>
    <row r="1539" spans="1:80" ht="12.75" customHeight="1">
      <c r="A1539" s="219">
        <v>1475</v>
      </c>
      <c r="B1539" s="7145"/>
      <c r="C1539" s="3278"/>
      <c r="D1539" s="2738"/>
      <c r="E1539" s="3277" t="s">
        <v>10519</v>
      </c>
      <c r="F1539" s="3225">
        <v>5</v>
      </c>
      <c r="G1539" s="3225">
        <v>20</v>
      </c>
      <c r="H1539" s="3225">
        <v>0</v>
      </c>
      <c r="I1539" s="3225">
        <v>1</v>
      </c>
      <c r="J1539" s="3281"/>
      <c r="K1539" s="3280"/>
      <c r="M1539" s="307"/>
      <c r="N1539" s="21"/>
      <c r="O1539" s="131" t="s">
        <v>7364</v>
      </c>
      <c r="P1539" s="900">
        <v>20</v>
      </c>
      <c r="Q1539" s="173">
        <v>80</v>
      </c>
      <c r="R1539" s="907">
        <f>COUNTIF(PoderesDeCriatura_Adquiridos,Tablas!O1539)</f>
        <v>0</v>
      </c>
      <c r="S1539" s="173"/>
      <c r="T1539" s="898"/>
      <c r="U1539">
        <v>3</v>
      </c>
      <c r="W1539" s="929" t="s">
        <v>1154</v>
      </c>
      <c r="X1539" s="921"/>
      <c r="Y1539" s="758" t="str">
        <f t="shared" si="417"/>
        <v/>
      </c>
      <c r="Z1539" s="758" t="s">
        <v>6506</v>
      </c>
      <c r="AA1539" s="758"/>
      <c r="AB1539" s="758"/>
      <c r="AC1539" s="758"/>
      <c r="AD1539" s="758"/>
      <c r="AE1539" s="758"/>
      <c r="AF1539" s="758"/>
      <c r="AG1539" s="758"/>
      <c r="AH1539" s="758"/>
      <c r="AI1539" s="758"/>
      <c r="AJ1539" s="758"/>
      <c r="AK1539" s="758"/>
      <c r="AL1539" s="758"/>
      <c r="AM1539" s="758"/>
      <c r="AN1539" s="758"/>
      <c r="AO1539" s="758"/>
      <c r="AP1539" s="758"/>
      <c r="AQ1539" s="925"/>
      <c r="AR1539" s="925"/>
      <c r="AS1539" s="925"/>
      <c r="AT1539" s="925"/>
      <c r="AU1539" s="925"/>
      <c r="AV1539" s="925"/>
      <c r="AW1539" s="925"/>
      <c r="AX1539" s="925"/>
      <c r="AY1539" s="925"/>
      <c r="AZ1539" s="925"/>
      <c r="BA1539" s="925"/>
      <c r="BB1539" s="925"/>
      <c r="BC1539" s="925"/>
      <c r="BD1539" s="925"/>
      <c r="BE1539" s="925"/>
      <c r="BF1539" s="925"/>
      <c r="BG1539" s="925"/>
      <c r="BH1539" s="925"/>
      <c r="BI1539" s="925"/>
      <c r="BJ1539" s="925"/>
      <c r="BK1539" s="925"/>
      <c r="BL1539" s="925"/>
      <c r="BM1539" s="925"/>
      <c r="BN1539" s="304"/>
      <c r="BO1539" s="304"/>
      <c r="BP1539" s="304"/>
      <c r="BQ1539" s="304"/>
      <c r="BR1539" s="304"/>
      <c r="BS1539" s="304"/>
      <c r="BT1539" s="304"/>
      <c r="BU1539" s="304"/>
      <c r="BV1539" s="304"/>
      <c r="BW1539" s="304"/>
      <c r="BX1539" s="304"/>
      <c r="BY1539" s="304"/>
      <c r="BZ1539" s="304"/>
      <c r="CA1539" s="304"/>
      <c r="CB1539" s="571"/>
    </row>
    <row r="1540" spans="1:80" ht="12.75" customHeight="1">
      <c r="A1540" s="219">
        <v>1476</v>
      </c>
      <c r="B1540" s="7145"/>
      <c r="C1540" s="3278"/>
      <c r="D1540" s="2738"/>
      <c r="E1540" s="3277" t="s">
        <v>10520</v>
      </c>
      <c r="F1540" s="3225">
        <v>5</v>
      </c>
      <c r="G1540" s="3225">
        <v>20</v>
      </c>
      <c r="H1540" s="3225">
        <v>0</v>
      </c>
      <c r="I1540" s="3225">
        <v>1</v>
      </c>
      <c r="J1540" s="3281"/>
      <c r="K1540" s="3280"/>
      <c r="M1540" s="307"/>
      <c r="N1540" s="21"/>
      <c r="O1540" s="131" t="s">
        <v>7365</v>
      </c>
      <c r="P1540" s="900">
        <v>25</v>
      </c>
      <c r="Q1540" s="173">
        <v>100</v>
      </c>
      <c r="R1540" s="907">
        <f>COUNTIF(PoderesDeCriatura_Adquiridos,Tablas!O1540)</f>
        <v>0</v>
      </c>
      <c r="S1540" s="173"/>
      <c r="T1540" s="898"/>
      <c r="U1540">
        <v>3</v>
      </c>
      <c r="W1540" s="929" t="s">
        <v>1155</v>
      </c>
      <c r="X1540" s="921"/>
      <c r="Y1540" s="758" t="str">
        <f t="shared" si="417"/>
        <v/>
      </c>
      <c r="Z1540" s="758" t="s">
        <v>6506</v>
      </c>
      <c r="AA1540" s="758"/>
      <c r="AB1540" s="758"/>
      <c r="AC1540" s="758"/>
      <c r="AD1540" s="758"/>
      <c r="AE1540" s="758"/>
      <c r="AF1540" s="758"/>
      <c r="AG1540" s="758"/>
      <c r="AH1540" s="758"/>
      <c r="AI1540" s="758"/>
      <c r="AJ1540" s="758"/>
      <c r="AK1540" s="758"/>
      <c r="AL1540" s="758"/>
      <c r="AM1540" s="758"/>
      <c r="AN1540" s="758"/>
      <c r="AO1540" s="758"/>
      <c r="AP1540" s="758"/>
      <c r="AQ1540" s="925"/>
      <c r="AR1540" s="925"/>
      <c r="AS1540" s="925"/>
      <c r="AT1540" s="925"/>
      <c r="AU1540" s="925"/>
      <c r="AV1540" s="925"/>
      <c r="AW1540" s="925"/>
      <c r="AX1540" s="925"/>
      <c r="AY1540" s="925"/>
      <c r="AZ1540" s="925"/>
      <c r="BA1540" s="925"/>
      <c r="BB1540" s="925"/>
      <c r="BC1540" s="925"/>
      <c r="BD1540" s="925"/>
      <c r="BE1540" s="925"/>
      <c r="BF1540" s="925"/>
      <c r="BG1540" s="925"/>
      <c r="BH1540" s="925"/>
      <c r="BI1540" s="925"/>
      <c r="BJ1540" s="925"/>
      <c r="BK1540" s="925"/>
      <c r="BL1540" s="925"/>
      <c r="BM1540" s="925"/>
      <c r="BN1540" s="304"/>
      <c r="BO1540" s="304"/>
      <c r="BP1540" s="304"/>
      <c r="BQ1540" s="304"/>
      <c r="BR1540" s="304"/>
      <c r="BS1540" s="304"/>
      <c r="BT1540" s="304"/>
      <c r="BU1540" s="304"/>
      <c r="BV1540" s="304"/>
      <c r="BW1540" s="304"/>
      <c r="BX1540" s="304"/>
      <c r="BY1540" s="304"/>
      <c r="BZ1540" s="304"/>
      <c r="CA1540" s="304"/>
      <c r="CB1540" s="571"/>
    </row>
    <row r="1541" spans="1:80" ht="12.75" customHeight="1">
      <c r="A1541" s="219">
        <v>1477</v>
      </c>
      <c r="B1541" s="7145"/>
      <c r="C1541" s="3278"/>
      <c r="D1541" s="2738"/>
      <c r="E1541" s="3277" t="s">
        <v>10521</v>
      </c>
      <c r="F1541" s="3225">
        <v>5</v>
      </c>
      <c r="G1541" s="3225">
        <v>20</v>
      </c>
      <c r="H1541" s="3225">
        <v>0</v>
      </c>
      <c r="I1541" s="3225">
        <v>1</v>
      </c>
      <c r="J1541" s="3281"/>
      <c r="K1541" s="3280"/>
      <c r="M1541" s="307"/>
      <c r="N1541" s="21"/>
      <c r="O1541" s="131" t="s">
        <v>7366</v>
      </c>
      <c r="P1541" s="900">
        <v>30</v>
      </c>
      <c r="Q1541" s="173">
        <v>120</v>
      </c>
      <c r="R1541" s="907">
        <f>COUNTIF(PoderesDeCriatura_Adquiridos,Tablas!O1541)</f>
        <v>0</v>
      </c>
      <c r="S1541" s="173"/>
      <c r="T1541" s="898"/>
      <c r="U1541">
        <v>4</v>
      </c>
      <c r="W1541" s="929" t="s">
        <v>2251</v>
      </c>
      <c r="X1541" s="921"/>
      <c r="Y1541" s="758" t="str">
        <f t="shared" si="417"/>
        <v/>
      </c>
      <c r="Z1541" s="758" t="s">
        <v>6506</v>
      </c>
      <c r="AA1541" s="758"/>
      <c r="AB1541" s="758"/>
      <c r="AC1541" s="758"/>
      <c r="AD1541" s="758"/>
      <c r="AE1541" s="758"/>
      <c r="AF1541" s="758"/>
      <c r="AG1541" s="758"/>
      <c r="AH1541" s="758"/>
      <c r="AI1541" s="758"/>
      <c r="AJ1541" s="758"/>
      <c r="AK1541" s="758"/>
      <c r="AL1541" s="758"/>
      <c r="AM1541" s="758"/>
      <c r="AN1541" s="758"/>
      <c r="AO1541" s="758"/>
      <c r="AP1541" s="758"/>
      <c r="AQ1541" s="925"/>
      <c r="AR1541" s="925"/>
      <c r="AS1541" s="925"/>
      <c r="AT1541" s="925"/>
      <c r="AU1541" s="925"/>
      <c r="AV1541" s="925"/>
      <c r="AW1541" s="925"/>
      <c r="AX1541" s="925"/>
      <c r="AY1541" s="925"/>
      <c r="AZ1541" s="925"/>
      <c r="BA1541" s="925"/>
      <c r="BB1541" s="925"/>
      <c r="BC1541" s="925"/>
      <c r="BD1541" s="925"/>
      <c r="BE1541" s="925"/>
      <c r="BF1541" s="925"/>
      <c r="BG1541" s="925"/>
      <c r="BH1541" s="925"/>
      <c r="BI1541" s="925"/>
      <c r="BJ1541" s="925"/>
      <c r="BK1541" s="925"/>
      <c r="BL1541" s="925"/>
      <c r="BM1541" s="925"/>
      <c r="BN1541" s="304"/>
      <c r="BO1541" s="304"/>
      <c r="BP1541" s="304"/>
      <c r="BQ1541" s="304"/>
      <c r="BR1541" s="304"/>
      <c r="BS1541" s="304"/>
      <c r="BT1541" s="304"/>
      <c r="BU1541" s="304"/>
      <c r="BV1541" s="304"/>
      <c r="BW1541" s="304"/>
      <c r="BX1541" s="304"/>
      <c r="BY1541" s="304"/>
      <c r="BZ1541" s="304"/>
      <c r="CA1541" s="304"/>
      <c r="CB1541" s="571"/>
    </row>
    <row r="1542" spans="1:80" ht="12.75" customHeight="1">
      <c r="A1542" s="219">
        <v>1478</v>
      </c>
      <c r="B1542" s="7145"/>
      <c r="C1542" s="3278"/>
      <c r="D1542" s="2738"/>
      <c r="E1542" s="3277" t="s">
        <v>10522</v>
      </c>
      <c r="F1542" s="3225">
        <v>5</v>
      </c>
      <c r="G1542" s="3225">
        <v>20</v>
      </c>
      <c r="H1542" s="3225">
        <v>0</v>
      </c>
      <c r="I1542" s="3225">
        <v>1</v>
      </c>
      <c r="J1542" s="3281"/>
      <c r="K1542" s="3280"/>
      <c r="M1542" s="307"/>
      <c r="N1542" s="21"/>
      <c r="O1542" s="131" t="s">
        <v>7367</v>
      </c>
      <c r="P1542" s="900">
        <v>35</v>
      </c>
      <c r="Q1542" s="173">
        <v>140</v>
      </c>
      <c r="R1542" s="907">
        <f>COUNTIF(PoderesDeCriatura_Adquiridos,Tablas!O1542)</f>
        <v>0</v>
      </c>
      <c r="S1542" s="173"/>
      <c r="T1542" s="898"/>
      <c r="U1542">
        <v>4</v>
      </c>
      <c r="W1542" s="929" t="s">
        <v>2250</v>
      </c>
      <c r="X1542" s="921"/>
      <c r="Y1542" s="758" t="str">
        <f t="shared" si="417"/>
        <v/>
      </c>
      <c r="Z1542" s="758" t="s">
        <v>6506</v>
      </c>
      <c r="AA1542" s="758"/>
      <c r="AB1542" s="758"/>
      <c r="AC1542" s="758"/>
      <c r="AD1542" s="758"/>
      <c r="AE1542" s="758"/>
      <c r="AF1542" s="758"/>
      <c r="AG1542" s="758"/>
      <c r="AH1542" s="758"/>
      <c r="AI1542" s="758"/>
      <c r="AJ1542" s="758"/>
      <c r="AK1542" s="758"/>
      <c r="AL1542" s="758"/>
      <c r="AM1542" s="758"/>
      <c r="AN1542" s="758"/>
      <c r="AO1542" s="758"/>
      <c r="AP1542" s="758"/>
      <c r="AQ1542" s="925"/>
      <c r="AR1542" s="925"/>
      <c r="AS1542" s="925"/>
      <c r="AT1542" s="925"/>
      <c r="AU1542" s="925"/>
      <c r="AV1542" s="925"/>
      <c r="AW1542" s="925"/>
      <c r="AX1542" s="925"/>
      <c r="AY1542" s="925"/>
      <c r="AZ1542" s="925"/>
      <c r="BA1542" s="925"/>
      <c r="BB1542" s="925"/>
      <c r="BC1542" s="925"/>
      <c r="BD1542" s="925"/>
      <c r="BE1542" s="925"/>
      <c r="BF1542" s="925"/>
      <c r="BG1542" s="925"/>
      <c r="BH1542" s="925"/>
      <c r="BI1542" s="925"/>
      <c r="BJ1542" s="925"/>
      <c r="BK1542" s="925"/>
      <c r="BL1542" s="925"/>
      <c r="BM1542" s="925"/>
      <c r="BN1542" s="304"/>
      <c r="BO1542" s="304"/>
      <c r="BP1542" s="304"/>
      <c r="BQ1542" s="304"/>
      <c r="BR1542" s="304"/>
      <c r="BS1542" s="304"/>
      <c r="BT1542" s="304"/>
      <c r="BU1542" s="304"/>
      <c r="BV1542" s="304"/>
      <c r="BW1542" s="304"/>
      <c r="BX1542" s="304"/>
      <c r="BY1542" s="304"/>
      <c r="BZ1542" s="304"/>
      <c r="CA1542" s="304"/>
      <c r="CB1542" s="571"/>
    </row>
    <row r="1543" spans="1:80" ht="12.75" customHeight="1">
      <c r="A1543" s="219">
        <v>1479</v>
      </c>
      <c r="B1543" s="7145"/>
      <c r="C1543" s="3278"/>
      <c r="D1543" s="2738"/>
      <c r="E1543" s="3277" t="s">
        <v>10523</v>
      </c>
      <c r="F1543" s="3225">
        <v>5</v>
      </c>
      <c r="G1543" s="3225">
        <v>20</v>
      </c>
      <c r="H1543" s="3225">
        <v>0</v>
      </c>
      <c r="I1543" s="3225">
        <v>1</v>
      </c>
      <c r="J1543" s="3281"/>
      <c r="K1543" s="3280"/>
      <c r="M1543" s="307"/>
      <c r="N1543" s="21"/>
      <c r="O1543" s="131" t="s">
        <v>7368</v>
      </c>
      <c r="P1543" s="900">
        <v>10</v>
      </c>
      <c r="Q1543" s="173">
        <v>-20</v>
      </c>
      <c r="R1543" s="907">
        <f>COUNTIF(PoderesDeCriatura_Adquiridos,Tablas!O1543)</f>
        <v>0</v>
      </c>
      <c r="S1543" s="173"/>
      <c r="T1543" s="898"/>
      <c r="U1543">
        <v>4</v>
      </c>
      <c r="W1543" s="929" t="s">
        <v>1156</v>
      </c>
      <c r="X1543" s="921"/>
      <c r="Y1543" s="758" t="str">
        <f t="shared" si="417"/>
        <v/>
      </c>
      <c r="Z1543" s="758" t="s">
        <v>6506</v>
      </c>
      <c r="AA1543" s="758"/>
      <c r="AB1543" s="758"/>
      <c r="AC1543" s="758"/>
      <c r="AD1543" s="758"/>
      <c r="AE1543" s="758"/>
      <c r="AF1543" s="758"/>
      <c r="AG1543" s="758"/>
      <c r="AH1543" s="758"/>
      <c r="AI1543" s="758"/>
      <c r="AJ1543" s="758"/>
      <c r="AK1543" s="758"/>
      <c r="AL1543" s="758"/>
      <c r="AM1543" s="758"/>
      <c r="AN1543" s="758"/>
      <c r="AO1543" s="758"/>
      <c r="AP1543" s="758"/>
      <c r="AQ1543" s="925"/>
      <c r="AR1543" s="925"/>
      <c r="AS1543" s="925"/>
      <c r="AT1543" s="925"/>
      <c r="AU1543" s="925"/>
      <c r="AV1543" s="925"/>
      <c r="AW1543" s="925"/>
      <c r="AX1543" s="925"/>
      <c r="AY1543" s="925"/>
      <c r="AZ1543" s="925"/>
      <c r="BA1543" s="925"/>
      <c r="BB1543" s="925"/>
      <c r="BC1543" s="925"/>
      <c r="BD1543" s="925"/>
      <c r="BE1543" s="925"/>
      <c r="BF1543" s="925"/>
      <c r="BG1543" s="925"/>
      <c r="BH1543" s="925"/>
      <c r="BI1543" s="925"/>
      <c r="BJ1543" s="925"/>
      <c r="BK1543" s="925"/>
      <c r="BL1543" s="925"/>
      <c r="BM1543" s="925"/>
      <c r="BN1543" s="304"/>
      <c r="BO1543" s="304"/>
      <c r="BP1543" s="304"/>
      <c r="BQ1543" s="304"/>
      <c r="BR1543" s="304"/>
      <c r="BS1543" s="304"/>
      <c r="BT1543" s="304"/>
      <c r="BU1543" s="304"/>
      <c r="BV1543" s="304"/>
      <c r="BW1543" s="304"/>
      <c r="BX1543" s="304"/>
      <c r="BY1543" s="304"/>
      <c r="BZ1543" s="304"/>
      <c r="CA1543" s="304"/>
      <c r="CB1543" s="571"/>
    </row>
    <row r="1544" spans="1:80" ht="12.75" customHeight="1">
      <c r="A1544" s="219">
        <v>1480</v>
      </c>
      <c r="B1544" s="7145"/>
      <c r="C1544" s="3278"/>
      <c r="D1544" s="2738"/>
      <c r="E1544" s="3277" t="s">
        <v>10524</v>
      </c>
      <c r="F1544" s="3225">
        <v>5</v>
      </c>
      <c r="G1544" s="3225">
        <v>20</v>
      </c>
      <c r="H1544" s="3225">
        <v>0</v>
      </c>
      <c r="I1544" s="3225">
        <v>1</v>
      </c>
      <c r="J1544" s="3281"/>
      <c r="K1544" s="3280"/>
      <c r="M1544" s="307"/>
      <c r="N1544" s="21"/>
      <c r="O1544" s="131" t="s">
        <v>1180</v>
      </c>
      <c r="P1544" s="900"/>
      <c r="Q1544" s="173"/>
      <c r="R1544" s="907"/>
      <c r="S1544" s="173"/>
      <c r="T1544" s="898"/>
      <c r="U1544">
        <v>4</v>
      </c>
      <c r="W1544" s="929" t="s">
        <v>2257</v>
      </c>
      <c r="X1544" s="921"/>
      <c r="Y1544" s="758" t="str">
        <f t="shared" si="417"/>
        <v/>
      </c>
      <c r="Z1544" s="758" t="s">
        <v>6506</v>
      </c>
      <c r="AA1544" s="758"/>
      <c r="AB1544" s="758"/>
      <c r="AC1544" s="758"/>
      <c r="AD1544" s="758"/>
      <c r="AE1544" s="758"/>
      <c r="AF1544" s="758"/>
      <c r="AG1544" s="758"/>
      <c r="AH1544" s="758"/>
      <c r="AI1544" s="758"/>
      <c r="AJ1544" s="758"/>
      <c r="AK1544" s="758"/>
      <c r="AL1544" s="758"/>
      <c r="AM1544" s="758"/>
      <c r="AN1544" s="758"/>
      <c r="AO1544" s="758"/>
      <c r="AP1544" s="758"/>
      <c r="AQ1544" s="925"/>
      <c r="AR1544" s="925"/>
      <c r="AS1544" s="925"/>
      <c r="AT1544" s="925"/>
      <c r="AU1544" s="925"/>
      <c r="AV1544" s="925"/>
      <c r="AW1544" s="925"/>
      <c r="AX1544" s="925"/>
      <c r="AY1544" s="925"/>
      <c r="AZ1544" s="925"/>
      <c r="BA1544" s="925"/>
      <c r="BB1544" s="925"/>
      <c r="BC1544" s="925"/>
      <c r="BD1544" s="925"/>
      <c r="BE1544" s="925"/>
      <c r="BF1544" s="925"/>
      <c r="BG1544" s="925"/>
      <c r="BH1544" s="925"/>
      <c r="BI1544" s="925"/>
      <c r="BJ1544" s="925"/>
      <c r="BK1544" s="925"/>
      <c r="BL1544" s="925"/>
      <c r="BM1544" s="925"/>
      <c r="BN1544" s="304"/>
      <c r="BO1544" s="304"/>
      <c r="BP1544" s="304"/>
      <c r="BQ1544" s="304"/>
      <c r="BR1544" s="304"/>
      <c r="BS1544" s="304"/>
      <c r="BT1544" s="304"/>
      <c r="BU1544" s="304"/>
      <c r="BV1544" s="304"/>
      <c r="BW1544" s="304"/>
      <c r="BX1544" s="304"/>
      <c r="BY1544" s="304"/>
      <c r="BZ1544" s="304"/>
      <c r="CA1544" s="304"/>
      <c r="CB1544" s="571"/>
    </row>
    <row r="1545" spans="1:80" ht="12.75" customHeight="1">
      <c r="A1545" s="219">
        <v>1481</v>
      </c>
      <c r="B1545" s="7145"/>
      <c r="C1545" s="3278"/>
      <c r="D1545" s="2738"/>
      <c r="E1545" s="3277" t="s">
        <v>10525</v>
      </c>
      <c r="F1545" s="3225">
        <v>5</v>
      </c>
      <c r="G1545" s="3225">
        <v>20</v>
      </c>
      <c r="H1545" s="3225">
        <v>0</v>
      </c>
      <c r="I1545" s="3225">
        <v>1</v>
      </c>
      <c r="J1545" s="3281"/>
      <c r="K1545" s="3280"/>
      <c r="M1545" s="307"/>
      <c r="N1545" s="21"/>
      <c r="O1545" s="131" t="s">
        <v>7369</v>
      </c>
      <c r="P1545" s="900">
        <v>0</v>
      </c>
      <c r="Q1545" s="173">
        <v>10</v>
      </c>
      <c r="R1545" s="907">
        <f>COUNTIF(PoderesDeCriatura_Adquiridos,Tablas!O1545)</f>
        <v>0</v>
      </c>
      <c r="S1545" s="173">
        <f t="array" ref="S1545">IF(OR(R$1551=1,R$1552=1),0,MAX({10;20;30;40;50}*$R$1545:$R$1549))</f>
        <v>0</v>
      </c>
      <c r="T1545" s="898" t="s">
        <v>1318</v>
      </c>
      <c r="U1545">
        <v>4</v>
      </c>
      <c r="W1545" s="929" t="s">
        <v>2282</v>
      </c>
      <c r="X1545" s="921"/>
      <c r="Y1545" s="758" t="str">
        <f t="shared" si="417"/>
        <v/>
      </c>
      <c r="Z1545" s="758" t="s">
        <v>6506</v>
      </c>
      <c r="AA1545" s="758"/>
      <c r="AB1545" s="758"/>
      <c r="AC1545" s="758"/>
      <c r="AD1545" s="758"/>
      <c r="AE1545" s="758"/>
      <c r="AF1545" s="758"/>
      <c r="AG1545" s="758"/>
      <c r="AH1545" s="758"/>
      <c r="AI1545" s="758"/>
      <c r="AJ1545" s="758"/>
      <c r="AK1545" s="758"/>
      <c r="AL1545" s="758"/>
      <c r="AM1545" s="758"/>
      <c r="AN1545" s="758"/>
      <c r="AO1545" s="758"/>
      <c r="AP1545" s="758"/>
      <c r="AQ1545" s="925"/>
      <c r="AR1545" s="925"/>
      <c r="AS1545" s="925"/>
      <c r="AT1545" s="925"/>
      <c r="AU1545" s="925"/>
      <c r="AV1545" s="925"/>
      <c r="AW1545" s="925"/>
      <c r="AX1545" s="925"/>
      <c r="AY1545" s="925"/>
      <c r="AZ1545" s="925"/>
      <c r="BA1545" s="925"/>
      <c r="BB1545" s="925"/>
      <c r="BC1545" s="925"/>
      <c r="BD1545" s="925"/>
      <c r="BE1545" s="925"/>
      <c r="BF1545" s="925"/>
      <c r="BG1545" s="925"/>
      <c r="BH1545" s="925"/>
      <c r="BI1545" s="925"/>
      <c r="BJ1545" s="925"/>
      <c r="BK1545" s="925"/>
      <c r="BL1545" s="925"/>
      <c r="BM1545" s="925"/>
      <c r="BN1545" s="304"/>
      <c r="BO1545" s="304"/>
      <c r="BP1545" s="304"/>
      <c r="BQ1545" s="304"/>
      <c r="BR1545" s="304"/>
      <c r="BS1545" s="304"/>
      <c r="BT1545" s="304"/>
      <c r="BU1545" s="304"/>
      <c r="BV1545" s="304"/>
      <c r="BW1545" s="304"/>
      <c r="BX1545" s="304"/>
      <c r="BY1545" s="304"/>
      <c r="BZ1545" s="304"/>
      <c r="CA1545" s="304"/>
      <c r="CB1545" s="571"/>
    </row>
    <row r="1546" spans="1:80" ht="12.75" customHeight="1">
      <c r="A1546" s="219">
        <v>1482</v>
      </c>
      <c r="B1546" s="7145"/>
      <c r="C1546" s="3278"/>
      <c r="D1546" s="2738"/>
      <c r="E1546" s="3277" t="s">
        <v>10500</v>
      </c>
      <c r="F1546" s="3225">
        <v>5</v>
      </c>
      <c r="G1546" s="3225">
        <v>20</v>
      </c>
      <c r="H1546" s="3225">
        <v>0</v>
      </c>
      <c r="I1546" s="3225"/>
      <c r="J1546" s="3281"/>
      <c r="K1546" s="3280"/>
      <c r="M1546" s="307"/>
      <c r="N1546" s="21"/>
      <c r="O1546" s="131" t="s">
        <v>7370</v>
      </c>
      <c r="P1546" s="900">
        <v>0</v>
      </c>
      <c r="Q1546" s="173">
        <v>20</v>
      </c>
      <c r="R1546" s="907">
        <f>COUNTIF(PoderesDeCriatura_Adquiridos,Tablas!O1546)</f>
        <v>0</v>
      </c>
      <c r="S1546" s="173">
        <f t="array" ref="S1546">IF(OR(R$1550=1,R$1552=1),0,MAX({10;20;30;40;50}*$R$1545:$R$1549))</f>
        <v>0</v>
      </c>
      <c r="T1546" s="898" t="s">
        <v>1320</v>
      </c>
      <c r="U1546">
        <v>4</v>
      </c>
      <c r="W1546" s="929" t="s">
        <v>1159</v>
      </c>
      <c r="X1546" s="921"/>
      <c r="Y1546" s="758" t="str">
        <f t="shared" si="417"/>
        <v/>
      </c>
      <c r="Z1546" s="758" t="s">
        <v>6506</v>
      </c>
      <c r="AA1546" s="758"/>
      <c r="AB1546" s="758"/>
      <c r="AC1546" s="758"/>
      <c r="AD1546" s="758"/>
      <c r="AE1546" s="758"/>
      <c r="AF1546" s="758"/>
      <c r="AG1546" s="758"/>
      <c r="AH1546" s="758"/>
      <c r="AI1546" s="758"/>
      <c r="AJ1546" s="758"/>
      <c r="AK1546" s="758"/>
      <c r="AL1546" s="758"/>
      <c r="AM1546" s="758"/>
      <c r="AN1546" s="758"/>
      <c r="AO1546" s="758"/>
      <c r="AP1546" s="758"/>
      <c r="AQ1546" s="925"/>
      <c r="AR1546" s="925"/>
      <c r="AS1546" s="925"/>
      <c r="AT1546" s="925"/>
      <c r="AU1546" s="925"/>
      <c r="AV1546" s="925"/>
      <c r="AW1546" s="925"/>
      <c r="AX1546" s="925"/>
      <c r="AY1546" s="925"/>
      <c r="AZ1546" s="925"/>
      <c r="BA1546" s="925"/>
      <c r="BB1546" s="925"/>
      <c r="BC1546" s="925"/>
      <c r="BD1546" s="925"/>
      <c r="BE1546" s="925"/>
      <c r="BF1546" s="925"/>
      <c r="BG1546" s="925"/>
      <c r="BH1546" s="925"/>
      <c r="BI1546" s="925"/>
      <c r="BJ1546" s="925"/>
      <c r="BK1546" s="925"/>
      <c r="BL1546" s="925"/>
      <c r="BM1546" s="925"/>
      <c r="BN1546" s="304"/>
      <c r="BO1546" s="304"/>
      <c r="BP1546" s="304"/>
      <c r="BQ1546" s="304"/>
      <c r="BR1546" s="304"/>
      <c r="BS1546" s="304"/>
      <c r="BT1546" s="304"/>
      <c r="BU1546" s="304"/>
      <c r="BV1546" s="304"/>
      <c r="BW1546" s="304"/>
      <c r="BX1546" s="304"/>
      <c r="BY1546" s="304"/>
      <c r="BZ1546" s="304"/>
      <c r="CA1546" s="304"/>
      <c r="CB1546" s="571"/>
    </row>
    <row r="1547" spans="1:80" ht="12.75" customHeight="1">
      <c r="A1547" s="219">
        <v>1483</v>
      </c>
      <c r="B1547" s="7145"/>
      <c r="C1547" s="3278"/>
      <c r="D1547" s="2738"/>
      <c r="E1547" s="3277" t="s">
        <v>10501</v>
      </c>
      <c r="F1547" s="3225">
        <v>5</v>
      </c>
      <c r="G1547" s="3225">
        <v>20</v>
      </c>
      <c r="H1547" s="3225">
        <v>0</v>
      </c>
      <c r="I1547" s="3225"/>
      <c r="J1547" s="3281"/>
      <c r="K1547" s="3280"/>
      <c r="M1547" s="307"/>
      <c r="N1547" s="21"/>
      <c r="O1547" s="131" t="s">
        <v>7371</v>
      </c>
      <c r="P1547" s="900">
        <v>10</v>
      </c>
      <c r="Q1547" s="173">
        <v>30</v>
      </c>
      <c r="R1547" s="907">
        <f>COUNTIF(PoderesDeCriatura_Adquiridos,Tablas!O1547)</f>
        <v>0</v>
      </c>
      <c r="S1547" s="173">
        <f t="array" ref="S1547">IF(OR(R$1551=1,R$1550=1),0,MAX({10;20;30;40;50}*$R$1545:$R$1549))</f>
        <v>0</v>
      </c>
      <c r="T1547" s="898" t="s">
        <v>1322</v>
      </c>
      <c r="U1547">
        <v>4</v>
      </c>
      <c r="W1547" s="929" t="s">
        <v>2276</v>
      </c>
      <c r="X1547" s="921"/>
      <c r="Y1547" s="758" t="str">
        <f t="shared" si="417"/>
        <v/>
      </c>
      <c r="Z1547" s="758" t="s">
        <v>6506</v>
      </c>
      <c r="AA1547" s="758"/>
      <c r="AB1547" s="758"/>
      <c r="AC1547" s="758"/>
      <c r="AD1547" s="758"/>
      <c r="AE1547" s="758"/>
      <c r="AF1547" s="758"/>
      <c r="AG1547" s="758"/>
      <c r="AH1547" s="758"/>
      <c r="AI1547" s="758"/>
      <c r="AJ1547" s="758"/>
      <c r="AK1547" s="758"/>
      <c r="AL1547" s="758"/>
      <c r="AM1547" s="758"/>
      <c r="AN1547" s="758"/>
      <c r="AO1547" s="758"/>
      <c r="AP1547" s="758"/>
      <c r="AQ1547" s="925"/>
      <c r="AR1547" s="925"/>
      <c r="AS1547" s="925"/>
      <c r="AT1547" s="925"/>
      <c r="AU1547" s="925"/>
      <c r="AV1547" s="925"/>
      <c r="AW1547" s="925"/>
      <c r="AX1547" s="925"/>
      <c r="AY1547" s="925"/>
      <c r="AZ1547" s="925"/>
      <c r="BA1547" s="925"/>
      <c r="BB1547" s="925"/>
      <c r="BC1547" s="925"/>
      <c r="BD1547" s="925"/>
      <c r="BE1547" s="925"/>
      <c r="BF1547" s="925"/>
      <c r="BG1547" s="925"/>
      <c r="BH1547" s="925"/>
      <c r="BI1547" s="925"/>
      <c r="BJ1547" s="925"/>
      <c r="BK1547" s="925"/>
      <c r="BL1547" s="925"/>
      <c r="BM1547" s="925"/>
      <c r="BN1547" s="304"/>
      <c r="BO1547" s="304"/>
      <c r="BP1547" s="304"/>
      <c r="BQ1547" s="304"/>
      <c r="BR1547" s="304"/>
      <c r="BS1547" s="304"/>
      <c r="BT1547" s="304"/>
      <c r="BU1547" s="304"/>
      <c r="BV1547" s="304"/>
      <c r="BW1547" s="304"/>
      <c r="BX1547" s="304"/>
      <c r="BY1547" s="304"/>
      <c r="BZ1547" s="304"/>
      <c r="CA1547" s="304"/>
      <c r="CB1547" s="571"/>
    </row>
    <row r="1548" spans="1:80" ht="12.75" customHeight="1">
      <c r="A1548" s="219">
        <v>1484</v>
      </c>
      <c r="B1548" s="7145"/>
      <c r="C1548" s="3278"/>
      <c r="D1548" s="2738"/>
      <c r="E1548" s="3277" t="s">
        <v>10526</v>
      </c>
      <c r="F1548" s="3225">
        <v>5</v>
      </c>
      <c r="G1548" s="3225">
        <v>20</v>
      </c>
      <c r="H1548" s="3225">
        <v>0</v>
      </c>
      <c r="I1548" s="3225"/>
      <c r="J1548" s="3281"/>
      <c r="K1548" s="3280"/>
      <c r="M1548" s="307"/>
      <c r="N1548" s="21"/>
      <c r="O1548" s="131" t="s">
        <v>7372</v>
      </c>
      <c r="P1548" s="900">
        <v>20</v>
      </c>
      <c r="Q1548" s="173">
        <v>40</v>
      </c>
      <c r="R1548" s="907">
        <f>COUNTIF(PoderesDeCriatura_Adquiridos,Tablas!O1548)</f>
        <v>0</v>
      </c>
      <c r="S1548" s="173"/>
      <c r="T1548" s="898"/>
      <c r="U1548">
        <v>4</v>
      </c>
      <c r="W1548" s="929" t="s">
        <v>1158</v>
      </c>
      <c r="X1548" s="921"/>
      <c r="Y1548" s="758" t="str">
        <f t="shared" si="417"/>
        <v/>
      </c>
      <c r="Z1548" s="758" t="s">
        <v>6506</v>
      </c>
      <c r="AA1548" s="758"/>
      <c r="AB1548" s="758"/>
      <c r="AC1548" s="758"/>
      <c r="AD1548" s="758"/>
      <c r="AE1548" s="758"/>
      <c r="AF1548" s="758"/>
      <c r="AG1548" s="758"/>
      <c r="AH1548" s="758"/>
      <c r="AI1548" s="758"/>
      <c r="AJ1548" s="758"/>
      <c r="AK1548" s="758"/>
      <c r="AL1548" s="758"/>
      <c r="AM1548" s="758"/>
      <c r="AN1548" s="758"/>
      <c r="AO1548" s="758"/>
      <c r="AP1548" s="758"/>
      <c r="AQ1548" s="925"/>
      <c r="AR1548" s="925"/>
      <c r="AS1548" s="925"/>
      <c r="AT1548" s="925"/>
      <c r="AU1548" s="925"/>
      <c r="AV1548" s="925"/>
      <c r="AW1548" s="925"/>
      <c r="AX1548" s="925"/>
      <c r="AY1548" s="925"/>
      <c r="AZ1548" s="925"/>
      <c r="BA1548" s="925"/>
      <c r="BB1548" s="925"/>
      <c r="BC1548" s="925"/>
      <c r="BD1548" s="925"/>
      <c r="BE1548" s="925"/>
      <c r="BF1548" s="925"/>
      <c r="BG1548" s="925"/>
      <c r="BH1548" s="925"/>
      <c r="BI1548" s="925"/>
      <c r="BJ1548" s="925"/>
      <c r="BK1548" s="925"/>
      <c r="BL1548" s="925"/>
      <c r="BM1548" s="925"/>
      <c r="BN1548" s="304"/>
      <c r="BO1548" s="304"/>
      <c r="BP1548" s="304"/>
      <c r="BQ1548" s="304"/>
      <c r="BR1548" s="304"/>
      <c r="BS1548" s="304"/>
      <c r="BT1548" s="304"/>
      <c r="BU1548" s="304"/>
      <c r="BV1548" s="304"/>
      <c r="BW1548" s="304"/>
      <c r="BX1548" s="304"/>
      <c r="BY1548" s="304"/>
      <c r="BZ1548" s="304"/>
      <c r="CA1548" s="304"/>
      <c r="CB1548" s="571"/>
    </row>
    <row r="1549" spans="1:80" ht="12.75" customHeight="1">
      <c r="A1549" s="219">
        <v>1485</v>
      </c>
      <c r="B1549" s="7145"/>
      <c r="C1549" s="3278"/>
      <c r="D1549" s="2738"/>
      <c r="E1549" s="3277" t="s">
        <v>10527</v>
      </c>
      <c r="F1549" s="3225">
        <v>5</v>
      </c>
      <c r="G1549" s="3225">
        <v>20</v>
      </c>
      <c r="H1549" s="3225">
        <v>0</v>
      </c>
      <c r="I1549" s="3225"/>
      <c r="J1549" s="3281"/>
      <c r="K1549" s="3280"/>
      <c r="M1549" s="307"/>
      <c r="N1549" s="21"/>
      <c r="O1549" s="131" t="s">
        <v>7373</v>
      </c>
      <c r="P1549" s="900">
        <v>30</v>
      </c>
      <c r="Q1549" s="173">
        <v>50</v>
      </c>
      <c r="R1549" s="907">
        <f>COUNTIF(PoderesDeCriatura_Adquiridos,Tablas!O1549)</f>
        <v>0</v>
      </c>
      <c r="S1549" s="173"/>
      <c r="T1549" s="898"/>
      <c r="U1549">
        <v>4</v>
      </c>
      <c r="W1549" s="929" t="s">
        <v>2293</v>
      </c>
      <c r="X1549" s="921"/>
      <c r="Y1549" s="758" t="str">
        <f t="shared" si="417"/>
        <v/>
      </c>
      <c r="Z1549" s="758" t="s">
        <v>6506</v>
      </c>
      <c r="AA1549" s="758"/>
      <c r="AB1549" s="758"/>
      <c r="AC1549" s="758"/>
      <c r="AD1549" s="758"/>
      <c r="AE1549" s="758"/>
      <c r="AF1549" s="758"/>
      <c r="AG1549" s="758"/>
      <c r="AH1549" s="758"/>
      <c r="AI1549" s="758"/>
      <c r="AJ1549" s="758"/>
      <c r="AK1549" s="758"/>
      <c r="AL1549" s="758"/>
      <c r="AM1549" s="758"/>
      <c r="AN1549" s="758"/>
      <c r="AO1549" s="758"/>
      <c r="AP1549" s="758"/>
      <c r="AQ1549" s="925"/>
      <c r="AR1549" s="925"/>
      <c r="AS1549" s="925"/>
      <c r="AT1549" s="925"/>
      <c r="AU1549" s="925"/>
      <c r="AV1549" s="925"/>
      <c r="AW1549" s="925"/>
      <c r="AX1549" s="925"/>
      <c r="AY1549" s="925"/>
      <c r="AZ1549" s="925"/>
      <c r="BA1549" s="925"/>
      <c r="BB1549" s="925"/>
      <c r="BC1549" s="925"/>
      <c r="BD1549" s="925"/>
      <c r="BE1549" s="925"/>
      <c r="BF1549" s="925"/>
      <c r="BG1549" s="925"/>
      <c r="BH1549" s="925"/>
      <c r="BI1549" s="925"/>
      <c r="BJ1549" s="925"/>
      <c r="BK1549" s="925"/>
      <c r="BL1549" s="925"/>
      <c r="BM1549" s="925"/>
      <c r="BN1549" s="304"/>
      <c r="BO1549" s="304"/>
      <c r="BP1549" s="304"/>
      <c r="BQ1549" s="304"/>
      <c r="BR1549" s="304"/>
      <c r="BS1549" s="304"/>
      <c r="BT1549" s="304"/>
      <c r="BU1549" s="304"/>
      <c r="BV1549" s="304"/>
      <c r="BW1549" s="304"/>
      <c r="BX1549" s="304"/>
      <c r="BY1549" s="304"/>
      <c r="BZ1549" s="304"/>
      <c r="CA1549" s="304"/>
      <c r="CB1549" s="571"/>
    </row>
    <row r="1550" spans="1:80" ht="12.75" customHeight="1">
      <c r="A1550" s="219">
        <v>1486</v>
      </c>
      <c r="B1550" s="7145"/>
      <c r="C1550" s="3278"/>
      <c r="D1550" s="2738"/>
      <c r="E1550" s="3277" t="s">
        <v>10510</v>
      </c>
      <c r="F1550" s="3225">
        <v>5</v>
      </c>
      <c r="G1550" s="3225">
        <v>20</v>
      </c>
      <c r="H1550" s="3225">
        <v>0</v>
      </c>
      <c r="I1550" s="3225"/>
      <c r="J1550" s="3281"/>
      <c r="K1550" s="3280"/>
      <c r="M1550" s="307"/>
      <c r="N1550" s="21"/>
      <c r="O1550" s="131" t="s">
        <v>7374</v>
      </c>
      <c r="P1550" s="900">
        <v>10</v>
      </c>
      <c r="Q1550" s="173">
        <v>-20</v>
      </c>
      <c r="R1550" s="907">
        <f>COUNTIF(PoderesDeCriatura_Adquiridos,Tablas!O1550)</f>
        <v>0</v>
      </c>
      <c r="S1550" s="173"/>
      <c r="T1550" s="898"/>
      <c r="U1550">
        <v>4</v>
      </c>
      <c r="W1550" s="929" t="s">
        <v>2280</v>
      </c>
      <c r="X1550" s="921"/>
      <c r="Y1550" s="758" t="str">
        <f t="shared" si="417"/>
        <v/>
      </c>
      <c r="Z1550" s="758" t="s">
        <v>6506</v>
      </c>
      <c r="AA1550" s="758"/>
      <c r="AB1550" s="758"/>
      <c r="AC1550" s="758"/>
      <c r="AD1550" s="758"/>
      <c r="AE1550" s="758"/>
      <c r="AF1550" s="758"/>
      <c r="AG1550" s="758"/>
      <c r="AH1550" s="758"/>
      <c r="AI1550" s="758"/>
      <c r="AJ1550" s="758"/>
      <c r="AK1550" s="758"/>
      <c r="AL1550" s="758"/>
      <c r="AM1550" s="758"/>
      <c r="AN1550" s="758"/>
      <c r="AO1550" s="758"/>
      <c r="AP1550" s="758"/>
      <c r="AQ1550" s="925"/>
      <c r="AR1550" s="925"/>
      <c r="AS1550" s="925"/>
      <c r="AT1550" s="925"/>
      <c r="AU1550" s="925"/>
      <c r="AV1550" s="925"/>
      <c r="AW1550" s="925"/>
      <c r="AX1550" s="925"/>
      <c r="AY1550" s="925"/>
      <c r="AZ1550" s="925"/>
      <c r="BA1550" s="925"/>
      <c r="BB1550" s="925"/>
      <c r="BC1550" s="925"/>
      <c r="BD1550" s="925"/>
      <c r="BE1550" s="925"/>
      <c r="BF1550" s="925"/>
      <c r="BG1550" s="925"/>
      <c r="BH1550" s="925"/>
      <c r="BI1550" s="925"/>
      <c r="BJ1550" s="925"/>
      <c r="BK1550" s="925"/>
      <c r="BL1550" s="925"/>
      <c r="BM1550" s="925"/>
      <c r="BN1550" s="304"/>
      <c r="BO1550" s="304"/>
      <c r="BP1550" s="304"/>
      <c r="BQ1550" s="304"/>
      <c r="BR1550" s="304"/>
      <c r="BS1550" s="304"/>
      <c r="BT1550" s="304"/>
      <c r="BU1550" s="304"/>
      <c r="BV1550" s="304"/>
      <c r="BW1550" s="304"/>
      <c r="BX1550" s="304"/>
      <c r="BY1550" s="304"/>
      <c r="BZ1550" s="304"/>
      <c r="CA1550" s="304"/>
      <c r="CB1550" s="571"/>
    </row>
    <row r="1551" spans="1:80" ht="12.75" customHeight="1">
      <c r="A1551" s="219">
        <v>1487</v>
      </c>
      <c r="B1551" s="7145"/>
      <c r="C1551" s="902"/>
      <c r="D1551" s="57"/>
      <c r="E1551" s="905" t="s">
        <v>2215</v>
      </c>
      <c r="F1551" s="75">
        <v>5</v>
      </c>
      <c r="G1551" s="75">
        <v>30</v>
      </c>
      <c r="H1551" s="75">
        <f>COUNTIF(HabilidadesEsenciales_Adquiridas,Tablas!E1551)</f>
        <v>0</v>
      </c>
      <c r="I1551" s="907"/>
      <c r="J1551" s="173"/>
      <c r="K1551" s="898"/>
      <c r="M1551" s="307"/>
      <c r="N1551" s="21"/>
      <c r="O1551" s="131" t="s">
        <v>7375</v>
      </c>
      <c r="P1551" s="900">
        <v>10</v>
      </c>
      <c r="Q1551" s="173">
        <v>-20</v>
      </c>
      <c r="R1551" s="907">
        <f>COUNTIF(PoderesDeCriatura_Adquiridos,Tablas!O1551)</f>
        <v>0</v>
      </c>
      <c r="S1551" s="173"/>
      <c r="T1551" s="898"/>
      <c r="U1551">
        <v>5</v>
      </c>
      <c r="W1551" s="929" t="s">
        <v>2181</v>
      </c>
      <c r="X1551" s="921"/>
      <c r="Y1551" s="758" t="str">
        <f t="shared" si="417"/>
        <v/>
      </c>
      <c r="Z1551" s="758" t="s">
        <v>6506</v>
      </c>
      <c r="AA1551" s="758"/>
      <c r="AB1551" s="758"/>
      <c r="AC1551" s="758"/>
      <c r="AD1551" s="758"/>
      <c r="AE1551" s="758"/>
      <c r="AF1551" s="758"/>
      <c r="AG1551" s="758"/>
      <c r="AH1551" s="758"/>
      <c r="AI1551" s="758"/>
      <c r="AJ1551" s="758"/>
      <c r="AK1551" s="758"/>
      <c r="AL1551" s="758"/>
      <c r="AM1551" s="758"/>
      <c r="AN1551" s="758"/>
      <c r="AO1551" s="758"/>
      <c r="AP1551" s="758"/>
      <c r="AQ1551" s="925"/>
      <c r="AR1551" s="925"/>
      <c r="AS1551" s="925"/>
      <c r="AT1551" s="925"/>
      <c r="AU1551" s="925"/>
      <c r="AV1551" s="925"/>
      <c r="AW1551" s="925"/>
      <c r="AX1551" s="925"/>
      <c r="AY1551" s="925"/>
      <c r="AZ1551" s="925"/>
      <c r="BA1551" s="925"/>
      <c r="BB1551" s="925"/>
      <c r="BC1551" s="925"/>
      <c r="BD1551" s="925"/>
      <c r="BE1551" s="925"/>
      <c r="BF1551" s="925"/>
      <c r="BG1551" s="925"/>
      <c r="BH1551" s="925"/>
      <c r="BI1551" s="925"/>
      <c r="BJ1551" s="925"/>
      <c r="BK1551" s="925"/>
      <c r="BL1551" s="925"/>
      <c r="BM1551" s="925"/>
      <c r="BN1551" s="304"/>
      <c r="BO1551" s="304"/>
      <c r="BP1551" s="304"/>
      <c r="BQ1551" s="304"/>
      <c r="BR1551" s="304"/>
      <c r="BS1551" s="304"/>
      <c r="BT1551" s="304"/>
      <c r="BU1551" s="304"/>
      <c r="BV1551" s="304"/>
      <c r="BW1551" s="304"/>
      <c r="BX1551" s="304"/>
      <c r="BY1551" s="304"/>
      <c r="BZ1551" s="304"/>
      <c r="CA1551" s="304"/>
      <c r="CB1551" s="571"/>
    </row>
    <row r="1552" spans="1:80" ht="12.75" customHeight="1">
      <c r="A1552" s="219">
        <v>1488</v>
      </c>
      <c r="B1552" s="7145"/>
      <c r="C1552" s="902"/>
      <c r="D1552" s="57"/>
      <c r="E1552" s="905" t="s">
        <v>1142</v>
      </c>
      <c r="F1552" s="75">
        <v>0</v>
      </c>
      <c r="G1552" s="75">
        <v>0</v>
      </c>
      <c r="H1552" s="75"/>
      <c r="I1552" s="907"/>
      <c r="J1552" s="173"/>
      <c r="K1552" s="898"/>
      <c r="M1552" s="307"/>
      <c r="N1552" s="21"/>
      <c r="O1552" s="131" t="s">
        <v>7376</v>
      </c>
      <c r="P1552" s="900">
        <v>10</v>
      </c>
      <c r="Q1552" s="173">
        <v>-20</v>
      </c>
      <c r="R1552" s="907">
        <f>COUNTIF(PoderesDeCriatura_Adquiridos,Tablas!O1552)</f>
        <v>0</v>
      </c>
      <c r="S1552" s="173"/>
      <c r="T1552" s="898"/>
      <c r="U1552">
        <v>5</v>
      </c>
      <c r="W1552" s="929" t="s">
        <v>1157</v>
      </c>
      <c r="X1552" s="921"/>
      <c r="Y1552" s="758" t="str">
        <f t="shared" si="417"/>
        <v/>
      </c>
      <c r="Z1552" s="758" t="s">
        <v>6506</v>
      </c>
      <c r="AA1552" s="758"/>
      <c r="AB1552" s="758"/>
      <c r="AC1552" s="758"/>
      <c r="AD1552" s="758"/>
      <c r="AE1552" s="758"/>
      <c r="AF1552" s="758"/>
      <c r="AG1552" s="758"/>
      <c r="AH1552" s="758"/>
      <c r="AI1552" s="758"/>
      <c r="AJ1552" s="758"/>
      <c r="AK1552" s="758"/>
      <c r="AL1552" s="758"/>
      <c r="AM1552" s="758"/>
      <c r="AN1552" s="758"/>
      <c r="AO1552" s="758"/>
      <c r="AP1552" s="758"/>
      <c r="AQ1552" s="925"/>
      <c r="AR1552" s="925"/>
      <c r="AS1552" s="925"/>
      <c r="AT1552" s="925"/>
      <c r="AU1552" s="925"/>
      <c r="AV1552" s="925"/>
      <c r="AW1552" s="925"/>
      <c r="AX1552" s="925"/>
      <c r="AY1552" s="925"/>
      <c r="AZ1552" s="925"/>
      <c r="BA1552" s="925"/>
      <c r="BB1552" s="925"/>
      <c r="BC1552" s="925"/>
      <c r="BD1552" s="925"/>
      <c r="BE1552" s="925"/>
      <c r="BF1552" s="925"/>
      <c r="BG1552" s="925"/>
      <c r="BH1552" s="925"/>
      <c r="BI1552" s="925"/>
      <c r="BJ1552" s="925"/>
      <c r="BK1552" s="925"/>
      <c r="BL1552" s="925"/>
      <c r="BM1552" s="925"/>
      <c r="BN1552" s="304"/>
      <c r="BO1552" s="304"/>
      <c r="BP1552" s="304"/>
      <c r="BQ1552" s="304"/>
      <c r="BR1552" s="304"/>
      <c r="BS1552" s="304"/>
      <c r="BT1552" s="304"/>
      <c r="BU1552" s="304"/>
      <c r="BV1552" s="304"/>
      <c r="BW1552" s="304"/>
      <c r="BX1552" s="304"/>
      <c r="BY1552" s="304"/>
      <c r="BZ1552" s="304"/>
      <c r="CA1552" s="304"/>
      <c r="CB1552" s="571"/>
    </row>
    <row r="1553" spans="1:80" ht="12.75" customHeight="1">
      <c r="A1553" s="219">
        <v>1489</v>
      </c>
      <c r="B1553" s="7145"/>
      <c r="C1553" s="902"/>
      <c r="D1553" s="57"/>
      <c r="E1553" s="905" t="s">
        <v>1143</v>
      </c>
      <c r="F1553" s="75">
        <v>0</v>
      </c>
      <c r="G1553" s="75">
        <v>-10</v>
      </c>
      <c r="H1553" s="75">
        <f>COUNTIF(HabilidadesEsenciales_Adquiridas,Tablas!E1553)</f>
        <v>0</v>
      </c>
      <c r="I1553" s="907"/>
      <c r="J1553" s="173"/>
      <c r="K1553" s="898"/>
      <c r="M1553" s="307"/>
      <c r="N1553" s="21"/>
      <c r="O1553" s="131" t="s">
        <v>7377</v>
      </c>
      <c r="P1553" s="900">
        <v>10</v>
      </c>
      <c r="Q1553" s="173">
        <v>10</v>
      </c>
      <c r="R1553" s="907">
        <f>COUNTIF(PoderesDeCriatura_Adquiridos,Tablas!O1553)</f>
        <v>0</v>
      </c>
      <c r="S1553" s="173">
        <f t="array" ref="S1553">MAX(R1553:R1562*{10;20;30;40;50;-10;-20;-30;-40;-50})</f>
        <v>0</v>
      </c>
      <c r="T1553" s="898" t="s">
        <v>1326</v>
      </c>
      <c r="U1553">
        <v>5</v>
      </c>
      <c r="W1553" s="929" t="s">
        <v>2140</v>
      </c>
      <c r="X1553" s="921"/>
      <c r="Y1553" s="758" t="str">
        <f t="shared" si="417"/>
        <v/>
      </c>
      <c r="Z1553" s="758" t="s">
        <v>6506</v>
      </c>
      <c r="AA1553" s="758"/>
      <c r="AB1553" s="758"/>
      <c r="AC1553" s="758"/>
      <c r="AD1553" s="758"/>
      <c r="AE1553" s="758"/>
      <c r="AF1553" s="758"/>
      <c r="AG1553" s="758"/>
      <c r="AH1553" s="758"/>
      <c r="AI1553" s="758"/>
      <c r="AJ1553" s="758"/>
      <c r="AK1553" s="758"/>
      <c r="AL1553" s="758"/>
      <c r="AM1553" s="758"/>
      <c r="AN1553" s="758"/>
      <c r="AO1553" s="758"/>
      <c r="AP1553" s="758"/>
      <c r="AQ1553" s="925"/>
      <c r="AR1553" s="925"/>
      <c r="AS1553" s="925"/>
      <c r="AT1553" s="925"/>
      <c r="AU1553" s="925"/>
      <c r="AV1553" s="925"/>
      <c r="AW1553" s="925"/>
      <c r="AX1553" s="925"/>
      <c r="AY1553" s="925"/>
      <c r="AZ1553" s="925"/>
      <c r="BA1553" s="925"/>
      <c r="BB1553" s="925"/>
      <c r="BC1553" s="925"/>
      <c r="BD1553" s="925"/>
      <c r="BE1553" s="925"/>
      <c r="BF1553" s="925"/>
      <c r="BG1553" s="925"/>
      <c r="BH1553" s="925"/>
      <c r="BI1553" s="925"/>
      <c r="BJ1553" s="925"/>
      <c r="BK1553" s="925"/>
      <c r="BL1553" s="925"/>
      <c r="BM1553" s="925"/>
      <c r="BN1553" s="304"/>
      <c r="BO1553" s="304"/>
      <c r="BP1553" s="304"/>
      <c r="BQ1553" s="304"/>
      <c r="BR1553" s="304"/>
      <c r="BS1553" s="304"/>
      <c r="BT1553" s="304"/>
      <c r="BU1553" s="304"/>
      <c r="BV1553" s="304"/>
      <c r="BW1553" s="304"/>
      <c r="BX1553" s="304"/>
      <c r="BY1553" s="304"/>
      <c r="BZ1553" s="304"/>
      <c r="CA1553" s="304"/>
      <c r="CB1553" s="571"/>
    </row>
    <row r="1554" spans="1:80" ht="12.75" customHeight="1">
      <c r="A1554" s="219">
        <v>1490</v>
      </c>
      <c r="B1554" s="7145"/>
      <c r="C1554" s="902"/>
      <c r="D1554" s="57"/>
      <c r="E1554" s="905" t="s">
        <v>1144</v>
      </c>
      <c r="F1554" s="75">
        <v>0</v>
      </c>
      <c r="G1554" s="75">
        <v>-20</v>
      </c>
      <c r="H1554" s="75">
        <f>COUNTIF(HabilidadesEsenciales_Adquiridas,Tablas!E1554)</f>
        <v>0</v>
      </c>
      <c r="I1554" s="907"/>
      <c r="J1554" s="173"/>
      <c r="K1554" s="898"/>
      <c r="M1554" s="307"/>
      <c r="N1554" s="21"/>
      <c r="O1554" s="131" t="s">
        <v>7378</v>
      </c>
      <c r="P1554" s="900">
        <v>15</v>
      </c>
      <c r="Q1554" s="173">
        <v>20</v>
      </c>
      <c r="R1554" s="907">
        <f>COUNTIF(PoderesDeCriatura_Adquiridos,Tablas!O1554)</f>
        <v>0</v>
      </c>
      <c r="S1554" s="173"/>
      <c r="T1554" s="898"/>
      <c r="U1554">
        <v>5</v>
      </c>
      <c r="W1554" s="929" t="s">
        <v>2270</v>
      </c>
      <c r="X1554" s="921"/>
      <c r="Y1554" s="758" t="str">
        <f t="shared" si="417"/>
        <v/>
      </c>
      <c r="Z1554" s="758" t="s">
        <v>6506</v>
      </c>
      <c r="AA1554" s="758"/>
      <c r="AB1554" s="758"/>
      <c r="AC1554" s="758"/>
      <c r="AD1554" s="758"/>
      <c r="AE1554" s="758"/>
      <c r="AF1554" s="758"/>
      <c r="AG1554" s="758"/>
      <c r="AH1554" s="758"/>
      <c r="AI1554" s="758"/>
      <c r="AJ1554" s="758"/>
      <c r="AK1554" s="758"/>
      <c r="AL1554" s="758"/>
      <c r="AM1554" s="758"/>
      <c r="AN1554" s="758"/>
      <c r="AO1554" s="758"/>
      <c r="AP1554" s="758"/>
      <c r="AQ1554" s="925"/>
      <c r="AR1554" s="925"/>
      <c r="AS1554" s="925"/>
      <c r="AT1554" s="925"/>
      <c r="AU1554" s="925"/>
      <c r="AV1554" s="925"/>
      <c r="AW1554" s="925"/>
      <c r="AX1554" s="925"/>
      <c r="AY1554" s="925"/>
      <c r="AZ1554" s="925"/>
      <c r="BA1554" s="925"/>
      <c r="BB1554" s="925"/>
      <c r="BC1554" s="925"/>
      <c r="BD1554" s="925"/>
      <c r="BE1554" s="925"/>
      <c r="BF1554" s="925"/>
      <c r="BG1554" s="925"/>
      <c r="BH1554" s="925"/>
      <c r="BI1554" s="925"/>
      <c r="BJ1554" s="925"/>
      <c r="BK1554" s="925"/>
      <c r="BL1554" s="925"/>
      <c r="BM1554" s="925"/>
      <c r="BN1554" s="304"/>
      <c r="BO1554" s="304"/>
      <c r="BP1554" s="304"/>
      <c r="BQ1554" s="304"/>
      <c r="BR1554" s="304"/>
      <c r="BS1554" s="304"/>
      <c r="BT1554" s="304"/>
      <c r="BU1554" s="304"/>
      <c r="BV1554" s="304"/>
      <c r="BW1554" s="304"/>
      <c r="BX1554" s="304"/>
      <c r="BY1554" s="304"/>
      <c r="BZ1554" s="304"/>
      <c r="CA1554" s="304"/>
      <c r="CB1554" s="571"/>
    </row>
    <row r="1555" spans="1:80" ht="12.75" customHeight="1">
      <c r="A1555" s="219">
        <v>1491</v>
      </c>
      <c r="B1555" s="7145"/>
      <c r="C1555" s="902"/>
      <c r="D1555" s="57"/>
      <c r="E1555" s="905" t="s">
        <v>1145</v>
      </c>
      <c r="F1555" s="75">
        <v>10</v>
      </c>
      <c r="G1555" s="75">
        <v>-10</v>
      </c>
      <c r="H1555" s="75">
        <f>COUNTIF(HabilidadesEsenciales_Adquiridas,Tablas!E1555)</f>
        <v>0</v>
      </c>
      <c r="I1555" s="907"/>
      <c r="J1555" s="173"/>
      <c r="K1555" s="898"/>
      <c r="M1555" s="307"/>
      <c r="N1555" s="21"/>
      <c r="O1555" s="131" t="s">
        <v>7379</v>
      </c>
      <c r="P1555" s="900">
        <v>20</v>
      </c>
      <c r="Q1555" s="173">
        <v>30</v>
      </c>
      <c r="R1555" s="907">
        <f>COUNTIF(PoderesDeCriatura_Adquiridos,Tablas!O1555)</f>
        <v>0</v>
      </c>
      <c r="S1555" s="173"/>
      <c r="T1555" s="898"/>
      <c r="U1555">
        <v>5</v>
      </c>
      <c r="W1555" s="929" t="s">
        <v>1160</v>
      </c>
      <c r="X1555" s="921"/>
      <c r="Y1555" s="758" t="str">
        <f t="shared" si="417"/>
        <v/>
      </c>
      <c r="Z1555" s="758" t="s">
        <v>6506</v>
      </c>
      <c r="AA1555" s="758"/>
      <c r="AB1555" s="758"/>
      <c r="AC1555" s="758"/>
      <c r="AD1555" s="758"/>
      <c r="AE1555" s="758"/>
      <c r="AF1555" s="758"/>
      <c r="AG1555" s="758"/>
      <c r="AH1555" s="758"/>
      <c r="AI1555" s="758"/>
      <c r="AJ1555" s="758"/>
      <c r="AK1555" s="758"/>
      <c r="AL1555" s="758"/>
      <c r="AM1555" s="758"/>
      <c r="AN1555" s="758"/>
      <c r="AO1555" s="758"/>
      <c r="AP1555" s="758"/>
      <c r="AQ1555" s="925"/>
      <c r="AR1555" s="925"/>
      <c r="AS1555" s="925"/>
      <c r="AT1555" s="925"/>
      <c r="AU1555" s="925"/>
      <c r="AV1555" s="925"/>
      <c r="AW1555" s="925"/>
      <c r="AX1555" s="925"/>
      <c r="AY1555" s="925"/>
      <c r="AZ1555" s="925"/>
      <c r="BA1555" s="925"/>
      <c r="BB1555" s="925"/>
      <c r="BC1555" s="925"/>
      <c r="BD1555" s="925"/>
      <c r="BE1555" s="925"/>
      <c r="BF1555" s="925"/>
      <c r="BG1555" s="925"/>
      <c r="BH1555" s="925"/>
      <c r="BI1555" s="925"/>
      <c r="BJ1555" s="925"/>
      <c r="BK1555" s="925"/>
      <c r="BL1555" s="925"/>
      <c r="BM1555" s="925"/>
      <c r="BN1555" s="304"/>
      <c r="BO1555" s="304"/>
      <c r="BP1555" s="304"/>
      <c r="BQ1555" s="304"/>
      <c r="BR1555" s="304"/>
      <c r="BS1555" s="304"/>
      <c r="BT1555" s="304"/>
      <c r="BU1555" s="304"/>
      <c r="BV1555" s="304"/>
      <c r="BW1555" s="304"/>
      <c r="BX1555" s="304"/>
      <c r="BY1555" s="304"/>
      <c r="BZ1555" s="304"/>
      <c r="CA1555" s="304"/>
      <c r="CB1555" s="571"/>
    </row>
    <row r="1556" spans="1:80" ht="12.75" customHeight="1">
      <c r="A1556" s="219">
        <v>1492</v>
      </c>
      <c r="B1556" s="7145"/>
      <c r="C1556" s="902"/>
      <c r="D1556" s="57"/>
      <c r="E1556" s="905" t="s">
        <v>1146</v>
      </c>
      <c r="F1556" s="75">
        <v>10</v>
      </c>
      <c r="G1556" s="75">
        <v>-20</v>
      </c>
      <c r="H1556" s="75">
        <f>COUNTIF(HabilidadesEsenciales_Adquiridas,Tablas!E1556)</f>
        <v>0</v>
      </c>
      <c r="I1556" s="907"/>
      <c r="J1556" s="173"/>
      <c r="K1556" s="898"/>
      <c r="M1556" s="307"/>
      <c r="N1556" s="21"/>
      <c r="O1556" s="131" t="s">
        <v>7380</v>
      </c>
      <c r="P1556" s="900">
        <v>25</v>
      </c>
      <c r="Q1556" s="173">
        <v>40</v>
      </c>
      <c r="R1556" s="907">
        <f>COUNTIF(PoderesDeCriatura_Adquiridos,Tablas!O1556)</f>
        <v>0</v>
      </c>
      <c r="S1556" s="173"/>
      <c r="T1556" s="898"/>
      <c r="U1556">
        <v>5</v>
      </c>
      <c r="W1556" s="929" t="s">
        <v>1161</v>
      </c>
      <c r="X1556" s="921"/>
      <c r="Y1556" s="758" t="str">
        <f t="shared" si="417"/>
        <v/>
      </c>
      <c r="Z1556" s="758" t="s">
        <v>6506</v>
      </c>
      <c r="AA1556" s="758"/>
      <c r="AB1556" s="758"/>
      <c r="AC1556" s="758"/>
      <c r="AD1556" s="758"/>
      <c r="AE1556" s="758"/>
      <c r="AF1556" s="758"/>
      <c r="AG1556" s="758"/>
      <c r="AH1556" s="758"/>
      <c r="AI1556" s="758"/>
      <c r="AJ1556" s="758"/>
      <c r="AK1556" s="758"/>
      <c r="AL1556" s="758"/>
      <c r="AM1556" s="758"/>
      <c r="AN1556" s="758"/>
      <c r="AO1556" s="758"/>
      <c r="AP1556" s="758"/>
      <c r="AQ1556" s="925"/>
      <c r="AR1556" s="925"/>
      <c r="AS1556" s="925"/>
      <c r="AT1556" s="925"/>
      <c r="AU1556" s="925"/>
      <c r="AV1556" s="925"/>
      <c r="AW1556" s="925"/>
      <c r="AX1556" s="925"/>
      <c r="AY1556" s="925"/>
      <c r="AZ1556" s="925"/>
      <c r="BA1556" s="925"/>
      <c r="BB1556" s="925"/>
      <c r="BC1556" s="925"/>
      <c r="BD1556" s="925"/>
      <c r="BE1556" s="925"/>
      <c r="BF1556" s="925"/>
      <c r="BG1556" s="925"/>
      <c r="BH1556" s="925"/>
      <c r="BI1556" s="925"/>
      <c r="BJ1556" s="925"/>
      <c r="BK1556" s="925"/>
      <c r="BL1556" s="925"/>
      <c r="BM1556" s="925"/>
      <c r="BN1556" s="304"/>
      <c r="BO1556" s="304"/>
      <c r="BP1556" s="304"/>
      <c r="BQ1556" s="304"/>
      <c r="BR1556" s="304"/>
      <c r="BS1556" s="304"/>
      <c r="BT1556" s="304"/>
      <c r="BU1556" s="304"/>
      <c r="BV1556" s="304"/>
      <c r="BW1556" s="304"/>
      <c r="BX1556" s="304"/>
      <c r="BY1556" s="304"/>
      <c r="BZ1556" s="304"/>
      <c r="CA1556" s="304"/>
      <c r="CB1556" s="571"/>
    </row>
    <row r="1557" spans="1:80" ht="12.75" customHeight="1">
      <c r="A1557" s="219">
        <v>1493</v>
      </c>
      <c r="B1557" s="7145"/>
      <c r="C1557" s="902"/>
      <c r="D1557" s="57"/>
      <c r="E1557" s="905" t="s">
        <v>1147</v>
      </c>
      <c r="F1557" s="75">
        <v>0</v>
      </c>
      <c r="G1557" s="75">
        <v>-10</v>
      </c>
      <c r="H1557" s="75">
        <f>COUNTIF(HabilidadesEsenciales_Adquiridas,Tablas!E1557)</f>
        <v>0</v>
      </c>
      <c r="I1557" s="907"/>
      <c r="J1557" s="173"/>
      <c r="K1557" s="898"/>
      <c r="M1557" s="307"/>
      <c r="N1557" s="21"/>
      <c r="O1557" s="131" t="s">
        <v>7381</v>
      </c>
      <c r="P1557" s="900">
        <v>35</v>
      </c>
      <c r="Q1557" s="173">
        <v>50</v>
      </c>
      <c r="R1557" s="907">
        <f>COUNTIF(PoderesDeCriatura_Adquiridos,Tablas!O1557)</f>
        <v>0</v>
      </c>
      <c r="S1557" s="173"/>
      <c r="T1557" s="898"/>
      <c r="U1557">
        <v>5</v>
      </c>
      <c r="W1557" s="929" t="s">
        <v>1162</v>
      </c>
      <c r="X1557" s="921"/>
      <c r="Y1557" s="758" t="str">
        <f t="shared" si="417"/>
        <v/>
      </c>
      <c r="Z1557" s="758" t="s">
        <v>6506</v>
      </c>
      <c r="AA1557" s="758"/>
      <c r="AB1557" s="758"/>
      <c r="AC1557" s="758"/>
      <c r="AD1557" s="758"/>
      <c r="AE1557" s="758"/>
      <c r="AF1557" s="758"/>
      <c r="AG1557" s="758"/>
      <c r="AH1557" s="758"/>
      <c r="AI1557" s="758"/>
      <c r="AJ1557" s="758"/>
      <c r="AK1557" s="758"/>
      <c r="AL1557" s="758"/>
      <c r="AM1557" s="758"/>
      <c r="AN1557" s="758"/>
      <c r="AO1557" s="758"/>
      <c r="AP1557" s="758"/>
      <c r="AQ1557" s="925"/>
      <c r="AR1557" s="925"/>
      <c r="AS1557" s="925"/>
      <c r="AT1557" s="925"/>
      <c r="AU1557" s="925"/>
      <c r="AV1557" s="925"/>
      <c r="AW1557" s="925"/>
      <c r="AX1557" s="925"/>
      <c r="AY1557" s="925"/>
      <c r="AZ1557" s="925"/>
      <c r="BA1557" s="925"/>
      <c r="BB1557" s="925"/>
      <c r="BC1557" s="925"/>
      <c r="BD1557" s="925"/>
      <c r="BE1557" s="925"/>
      <c r="BF1557" s="925"/>
      <c r="BG1557" s="925"/>
      <c r="BH1557" s="925"/>
      <c r="BI1557" s="925"/>
      <c r="BJ1557" s="925"/>
      <c r="BK1557" s="925"/>
      <c r="BL1557" s="925"/>
      <c r="BM1557" s="925"/>
      <c r="BN1557" s="304"/>
      <c r="BO1557" s="304"/>
      <c r="BP1557" s="304"/>
      <c r="BQ1557" s="304"/>
      <c r="BR1557" s="304"/>
      <c r="BS1557" s="304"/>
      <c r="BT1557" s="304"/>
      <c r="BU1557" s="304"/>
      <c r="BV1557" s="304"/>
      <c r="BW1557" s="304"/>
      <c r="BX1557" s="304"/>
      <c r="BY1557" s="304"/>
      <c r="BZ1557" s="304"/>
      <c r="CA1557" s="304"/>
      <c r="CB1557" s="571"/>
    </row>
    <row r="1558" spans="1:80" ht="12.75" customHeight="1">
      <c r="A1558" s="219">
        <v>1494</v>
      </c>
      <c r="B1558" s="7145"/>
      <c r="C1558" s="902"/>
      <c r="D1558" s="57"/>
      <c r="E1558" s="905" t="s">
        <v>2232</v>
      </c>
      <c r="F1558" s="75">
        <v>0</v>
      </c>
      <c r="G1558" s="75">
        <v>-20</v>
      </c>
      <c r="H1558" s="75">
        <f>COUNTIF(HabilidadesEsenciales_Adquiridas,Tablas!E1558)</f>
        <v>0</v>
      </c>
      <c r="I1558" s="907"/>
      <c r="J1558" s="173"/>
      <c r="K1558" s="898"/>
      <c r="M1558" s="307"/>
      <c r="N1558" s="21"/>
      <c r="O1558" s="131" t="s">
        <v>9509</v>
      </c>
      <c r="P1558" s="900">
        <v>10</v>
      </c>
      <c r="Q1558" s="173">
        <v>-10</v>
      </c>
      <c r="R1558" s="907">
        <f>COUNTIF(PoderesDeCriatura_Adquiridos,Tablas!O1558)</f>
        <v>0</v>
      </c>
      <c r="S1558" s="173"/>
      <c r="T1558" s="898"/>
      <c r="U1558">
        <v>5</v>
      </c>
      <c r="W1558" s="929" t="s">
        <v>1163</v>
      </c>
      <c r="X1558" s="921"/>
      <c r="Y1558" s="758"/>
      <c r="Z1558" s="758" t="s">
        <v>6506</v>
      </c>
      <c r="AA1558" s="758"/>
      <c r="AB1558" s="758"/>
      <c r="AC1558" s="758"/>
      <c r="AD1558" s="758"/>
      <c r="AE1558" s="758"/>
      <c r="AF1558" s="758"/>
      <c r="AG1558" s="758"/>
      <c r="AH1558" s="758"/>
      <c r="AI1558" s="758"/>
      <c r="AJ1558" s="758"/>
      <c r="AK1558" s="758"/>
      <c r="AL1558" s="758"/>
      <c r="AM1558" s="758"/>
      <c r="AN1558" s="758"/>
      <c r="AO1558" s="758"/>
      <c r="AP1558" s="758"/>
      <c r="AQ1558" s="925"/>
      <c r="AR1558" s="925"/>
      <c r="AS1558" s="925"/>
      <c r="AT1558" s="925"/>
      <c r="AU1558" s="925"/>
      <c r="AV1558" s="925"/>
      <c r="AW1558" s="925"/>
      <c r="AX1558" s="925"/>
      <c r="AY1558" s="925"/>
      <c r="AZ1558" s="925"/>
      <c r="BA1558" s="925"/>
      <c r="BB1558" s="925"/>
      <c r="BC1558" s="925"/>
      <c r="BD1558" s="925"/>
      <c r="BE1558" s="925"/>
      <c r="BF1558" s="925"/>
      <c r="BG1558" s="925"/>
      <c r="BH1558" s="925"/>
      <c r="BI1558" s="925"/>
      <c r="BJ1558" s="925"/>
      <c r="BK1558" s="925"/>
      <c r="BL1558" s="925"/>
      <c r="BM1558" s="925"/>
      <c r="BN1558" s="304"/>
      <c r="BO1558" s="304"/>
      <c r="BP1558" s="304"/>
      <c r="BQ1558" s="304"/>
      <c r="BR1558" s="304"/>
      <c r="BS1558" s="304"/>
      <c r="BT1558" s="304"/>
      <c r="BU1558" s="304"/>
      <c r="BV1558" s="304"/>
      <c r="BW1558" s="304"/>
      <c r="BX1558" s="304"/>
      <c r="BY1558" s="304"/>
      <c r="BZ1558" s="304"/>
      <c r="CA1558" s="304"/>
      <c r="CB1558" s="571"/>
    </row>
    <row r="1559" spans="1:80" ht="12.75" customHeight="1">
      <c r="A1559" s="219">
        <v>1495</v>
      </c>
      <c r="B1559" s="7145"/>
      <c r="C1559" s="902"/>
      <c r="D1559" s="57"/>
      <c r="E1559" s="905" t="s">
        <v>1148</v>
      </c>
      <c r="F1559" s="75">
        <v>0</v>
      </c>
      <c r="G1559" s="75">
        <v>-10</v>
      </c>
      <c r="H1559" s="75">
        <f>COUNTIF(HabilidadesEsenciales_Adquiridas,Tablas!E1559)</f>
        <v>0</v>
      </c>
      <c r="I1559" s="907"/>
      <c r="J1559" s="173"/>
      <c r="K1559" s="898"/>
      <c r="M1559" s="307"/>
      <c r="N1559" s="21"/>
      <c r="O1559" s="131" t="s">
        <v>9510</v>
      </c>
      <c r="P1559" s="900">
        <v>10</v>
      </c>
      <c r="Q1559" s="173">
        <v>-15</v>
      </c>
      <c r="R1559" s="907">
        <f>COUNTIF(PoderesDeCriatura_Adquiridos,Tablas!O1559)</f>
        <v>0</v>
      </c>
      <c r="S1559" s="173"/>
      <c r="T1559" s="898"/>
      <c r="U1559">
        <v>5</v>
      </c>
      <c r="W1559" s="929" t="str">
        <f>$E1591</f>
        <v>Habilidad #1</v>
      </c>
      <c r="X1559" s="921"/>
      <c r="Y1559" s="758"/>
      <c r="Z1559" s="758"/>
      <c r="AA1559" s="758"/>
      <c r="AB1559" s="758"/>
      <c r="AC1559" s="758"/>
      <c r="AD1559" s="758"/>
      <c r="AE1559" s="758"/>
      <c r="AF1559" s="758"/>
      <c r="AG1559" s="758"/>
      <c r="AH1559" s="758"/>
      <c r="AI1559" s="758"/>
      <c r="AJ1559" s="758"/>
      <c r="AK1559" s="758"/>
      <c r="AL1559" s="758"/>
      <c r="AM1559" s="758"/>
      <c r="AN1559" s="758"/>
      <c r="AO1559" s="758"/>
      <c r="AP1559" s="758"/>
      <c r="AQ1559" s="925"/>
      <c r="AR1559" s="925"/>
      <c r="AS1559" s="925"/>
      <c r="AT1559" s="925"/>
      <c r="AU1559" s="925"/>
      <c r="AV1559" s="925"/>
      <c r="AW1559" s="925"/>
      <c r="AX1559" s="925"/>
      <c r="AY1559" s="925"/>
      <c r="AZ1559" s="925"/>
      <c r="BA1559" s="925"/>
      <c r="BB1559" s="925"/>
      <c r="BC1559" s="925"/>
      <c r="BD1559" s="925"/>
      <c r="BE1559" s="925"/>
      <c r="BF1559" s="925"/>
      <c r="BG1559" s="925"/>
      <c r="BH1559" s="925"/>
      <c r="BI1559" s="925"/>
      <c r="BJ1559" s="925"/>
      <c r="BK1559" s="925"/>
      <c r="BL1559" s="925"/>
      <c r="BM1559" s="925"/>
      <c r="BN1559" s="304"/>
      <c r="BO1559" s="304"/>
      <c r="BP1559" s="304"/>
      <c r="BQ1559" s="304"/>
      <c r="BR1559" s="304"/>
      <c r="BS1559" s="304"/>
      <c r="BT1559" s="304"/>
      <c r="BU1559" s="304"/>
      <c r="BV1559" s="304"/>
      <c r="BW1559" s="304"/>
      <c r="BX1559" s="304"/>
      <c r="BY1559" s="304"/>
      <c r="BZ1559" s="304"/>
      <c r="CA1559" s="304"/>
      <c r="CB1559" s="571"/>
    </row>
    <row r="1560" spans="1:80" ht="12.75" customHeight="1">
      <c r="A1560" s="219">
        <v>1496</v>
      </c>
      <c r="B1560" s="7145"/>
      <c r="C1560" s="902"/>
      <c r="D1560" s="57"/>
      <c r="E1560" s="905" t="s">
        <v>1149</v>
      </c>
      <c r="F1560" s="75">
        <v>10</v>
      </c>
      <c r="G1560" s="75">
        <v>-20</v>
      </c>
      <c r="H1560" s="75">
        <f>COUNTIF(HabilidadesEsenciales_Adquiridas,Tablas!E1560)</f>
        <v>0</v>
      </c>
      <c r="I1560" s="907"/>
      <c r="J1560" s="173"/>
      <c r="K1560" s="898"/>
      <c r="M1560" s="307"/>
      <c r="N1560" s="21"/>
      <c r="O1560" s="131" t="s">
        <v>9511</v>
      </c>
      <c r="P1560" s="900">
        <v>10</v>
      </c>
      <c r="Q1560" s="173">
        <v>-20</v>
      </c>
      <c r="R1560" s="907">
        <f>COUNTIF(PoderesDeCriatura_Adquiridos,Tablas!O1560)</f>
        <v>0</v>
      </c>
      <c r="S1560" s="173"/>
      <c r="T1560" s="898"/>
      <c r="U1560">
        <v>5</v>
      </c>
      <c r="W1560" s="929" t="str">
        <f>$E$1592</f>
        <v>Habilidad #2</v>
      </c>
      <c r="X1560" s="921"/>
      <c r="Y1560" s="758"/>
      <c r="Z1560" s="758"/>
      <c r="AA1560" s="758"/>
      <c r="AB1560" s="758"/>
      <c r="AC1560" s="758"/>
      <c r="AD1560" s="758"/>
      <c r="AE1560" s="758"/>
      <c r="AF1560" s="758"/>
      <c r="AG1560" s="758"/>
      <c r="AH1560" s="758"/>
      <c r="AI1560" s="758"/>
      <c r="AJ1560" s="758"/>
      <c r="AK1560" s="758"/>
      <c r="AL1560" s="758"/>
      <c r="AM1560" s="758"/>
      <c r="AN1560" s="758"/>
      <c r="AO1560" s="758"/>
      <c r="AP1560" s="758"/>
      <c r="AQ1560" s="925"/>
      <c r="AR1560" s="925"/>
      <c r="AS1560" s="925"/>
      <c r="AT1560" s="925"/>
      <c r="AU1560" s="925"/>
      <c r="AV1560" s="925"/>
      <c r="AW1560" s="925"/>
      <c r="AX1560" s="925"/>
      <c r="AY1560" s="925"/>
      <c r="AZ1560" s="925"/>
      <c r="BA1560" s="925"/>
      <c r="BB1560" s="925"/>
      <c r="BC1560" s="925"/>
      <c r="BD1560" s="925"/>
      <c r="BE1560" s="925"/>
      <c r="BF1560" s="925"/>
      <c r="BG1560" s="925"/>
      <c r="BH1560" s="925"/>
      <c r="BI1560" s="925"/>
      <c r="BJ1560" s="925"/>
      <c r="BK1560" s="925"/>
      <c r="BL1560" s="925"/>
      <c r="BM1560" s="925"/>
      <c r="BN1560" s="304"/>
      <c r="BO1560" s="304"/>
      <c r="BP1560" s="304"/>
      <c r="BQ1560" s="304"/>
      <c r="BR1560" s="304"/>
      <c r="BS1560" s="304"/>
      <c r="BT1560" s="304"/>
      <c r="BU1560" s="304"/>
      <c r="BV1560" s="304"/>
      <c r="BW1560" s="304"/>
      <c r="BX1560" s="304"/>
      <c r="BY1560" s="304"/>
      <c r="BZ1560" s="304"/>
      <c r="CA1560" s="304"/>
      <c r="CB1560" s="571"/>
    </row>
    <row r="1561" spans="1:80" ht="12.75" customHeight="1">
      <c r="A1561" s="219">
        <v>1497</v>
      </c>
      <c r="B1561" s="7145"/>
      <c r="C1561" s="902"/>
      <c r="D1561" s="57"/>
      <c r="E1561" s="905" t="s">
        <v>6895</v>
      </c>
      <c r="F1561" s="75">
        <v>20</v>
      </c>
      <c r="G1561" s="75">
        <v>-10</v>
      </c>
      <c r="H1561" s="75">
        <f>COUNTIF(HabilidadesEsenciales_Adquiridas,Tablas!E1561)</f>
        <v>0</v>
      </c>
      <c r="I1561" s="907"/>
      <c r="J1561" s="173"/>
      <c r="K1561" s="898"/>
      <c r="M1561" s="307"/>
      <c r="N1561" s="21"/>
      <c r="O1561" s="131" t="s">
        <v>9512</v>
      </c>
      <c r="P1561" s="900">
        <v>20</v>
      </c>
      <c r="Q1561" s="173">
        <v>-25</v>
      </c>
      <c r="R1561" s="907">
        <f>COUNTIF(PoderesDeCriatura_Adquiridos,Tablas!O1561)</f>
        <v>0</v>
      </c>
      <c r="S1561" s="173"/>
      <c r="T1561" s="898"/>
      <c r="U1561">
        <v>6</v>
      </c>
      <c r="W1561" s="929" t="str">
        <f>$E$1593</f>
        <v>Habilidad #3</v>
      </c>
      <c r="X1561" s="921"/>
      <c r="Y1561" s="758"/>
      <c r="Z1561" s="758"/>
      <c r="AA1561" s="758"/>
      <c r="AB1561" s="758"/>
      <c r="AC1561" s="758"/>
      <c r="AD1561" s="758"/>
      <c r="AE1561" s="758"/>
      <c r="AF1561" s="758"/>
      <c r="AG1561" s="758"/>
      <c r="AH1561" s="758"/>
      <c r="AI1561" s="758"/>
      <c r="AJ1561" s="758"/>
      <c r="AK1561" s="758"/>
      <c r="AL1561" s="758"/>
      <c r="AM1561" s="758"/>
      <c r="AN1561" s="758"/>
      <c r="AO1561" s="758"/>
      <c r="AP1561" s="758"/>
      <c r="AQ1561" s="925"/>
      <c r="AR1561" s="925"/>
      <c r="AS1561" s="925"/>
      <c r="AT1561" s="925"/>
      <c r="AU1561" s="925"/>
      <c r="AV1561" s="925"/>
      <c r="AW1561" s="925"/>
      <c r="AX1561" s="925"/>
      <c r="AY1561" s="925"/>
      <c r="AZ1561" s="925"/>
      <c r="BA1561" s="925"/>
      <c r="BB1561" s="925"/>
      <c r="BC1561" s="925"/>
      <c r="BD1561" s="925"/>
      <c r="BE1561" s="925"/>
      <c r="BF1561" s="925"/>
      <c r="BG1561" s="925"/>
      <c r="BH1561" s="925"/>
      <c r="BI1561" s="925"/>
      <c r="BJ1561" s="925"/>
      <c r="BK1561" s="925"/>
      <c r="BL1561" s="925"/>
      <c r="BM1561" s="925"/>
      <c r="BN1561" s="304"/>
      <c r="BO1561" s="304"/>
      <c r="BP1561" s="304"/>
      <c r="BQ1561" s="304"/>
      <c r="BR1561" s="304"/>
      <c r="BS1561" s="304"/>
      <c r="BT1561" s="304"/>
      <c r="BU1561" s="304"/>
      <c r="BV1561" s="304"/>
      <c r="BW1561" s="304"/>
      <c r="BX1561" s="304"/>
      <c r="BY1561" s="304"/>
      <c r="BZ1561" s="304"/>
      <c r="CA1561" s="304"/>
      <c r="CB1561" s="571"/>
    </row>
    <row r="1562" spans="1:80" ht="12.75" customHeight="1">
      <c r="A1562" s="219">
        <v>1498</v>
      </c>
      <c r="B1562" s="7145"/>
      <c r="C1562" s="902"/>
      <c r="D1562" s="21"/>
      <c r="E1562" s="905" t="s">
        <v>6896</v>
      </c>
      <c r="F1562" s="75">
        <v>20</v>
      </c>
      <c r="G1562" s="75">
        <v>-20</v>
      </c>
      <c r="H1562" s="75">
        <f>COUNTIF(HabilidadesEsenciales_Adquiridas,Tablas!E1562)</f>
        <v>0</v>
      </c>
      <c r="I1562" s="907"/>
      <c r="J1562" s="173"/>
      <c r="K1562" s="898"/>
      <c r="M1562" s="307"/>
      <c r="N1562" s="21"/>
      <c r="O1562" s="131" t="s">
        <v>9513</v>
      </c>
      <c r="P1562" s="900">
        <v>20</v>
      </c>
      <c r="Q1562" s="173">
        <v>-30</v>
      </c>
      <c r="R1562" s="907">
        <f>COUNTIF(PoderesDeCriatura_Adquiridos,Tablas!O1562)</f>
        <v>0</v>
      </c>
      <c r="S1562" s="173"/>
      <c r="T1562" s="898"/>
      <c r="U1562">
        <v>6</v>
      </c>
      <c r="W1562" s="929" t="str">
        <f>$E$1594</f>
        <v>Habilidad #4</v>
      </c>
      <c r="X1562" s="921"/>
      <c r="Y1562" s="758"/>
      <c r="Z1562" s="758"/>
      <c r="AA1562" s="758"/>
      <c r="AB1562" s="758"/>
      <c r="AC1562" s="758"/>
      <c r="AD1562" s="758"/>
      <c r="AE1562" s="758"/>
      <c r="AF1562" s="758"/>
      <c r="AG1562" s="758"/>
      <c r="AH1562" s="758"/>
      <c r="AI1562" s="758"/>
      <c r="AJ1562" s="758"/>
      <c r="AK1562" s="758"/>
      <c r="AL1562" s="758"/>
      <c r="AM1562" s="758"/>
      <c r="AN1562" s="758"/>
      <c r="AO1562" s="758"/>
      <c r="AP1562" s="758"/>
      <c r="AQ1562" s="925"/>
      <c r="AR1562" s="925"/>
      <c r="AS1562" s="925"/>
      <c r="AT1562" s="925"/>
      <c r="AU1562" s="925"/>
      <c r="AV1562" s="925"/>
      <c r="AW1562" s="925"/>
      <c r="AX1562" s="925"/>
      <c r="AY1562" s="925"/>
      <c r="AZ1562" s="925"/>
      <c r="BA1562" s="925"/>
      <c r="BB1562" s="925"/>
      <c r="BC1562" s="925"/>
      <c r="BD1562" s="925"/>
      <c r="BE1562" s="925"/>
      <c r="BF1562" s="925"/>
      <c r="BG1562" s="925"/>
      <c r="BH1562" s="925"/>
      <c r="BI1562" s="925"/>
      <c r="BJ1562" s="925"/>
      <c r="BK1562" s="925"/>
      <c r="BL1562" s="925"/>
      <c r="BM1562" s="925"/>
      <c r="BN1562" s="304"/>
      <c r="BO1562" s="304"/>
      <c r="BP1562" s="304"/>
      <c r="BQ1562" s="304"/>
      <c r="BR1562" s="304"/>
      <c r="BS1562" s="304"/>
      <c r="BT1562" s="304"/>
      <c r="BU1562" s="304"/>
      <c r="BV1562" s="304"/>
      <c r="BW1562" s="304"/>
      <c r="BX1562" s="304"/>
      <c r="BY1562" s="304"/>
      <c r="BZ1562" s="304"/>
      <c r="CA1562" s="304"/>
      <c r="CB1562" s="571"/>
    </row>
    <row r="1563" spans="1:80" ht="12.75" customHeight="1">
      <c r="A1563" s="219">
        <v>1499</v>
      </c>
      <c r="B1563" s="7145"/>
      <c r="C1563" s="902"/>
      <c r="D1563" s="57"/>
      <c r="E1563" s="905" t="s">
        <v>1150</v>
      </c>
      <c r="F1563" s="75">
        <v>10</v>
      </c>
      <c r="G1563" s="75">
        <v>-20</v>
      </c>
      <c r="H1563" s="75">
        <f>COUNTIF(HabilidadesEsenciales_Adquiridas,Tablas!E1563)</f>
        <v>0</v>
      </c>
      <c r="I1563" s="907"/>
      <c r="J1563" s="173"/>
      <c r="K1563" s="898"/>
      <c r="M1563" s="307"/>
      <c r="N1563" s="21"/>
      <c r="O1563" s="131" t="s">
        <v>7382</v>
      </c>
      <c r="P1563" s="900">
        <v>10</v>
      </c>
      <c r="Q1563" s="173">
        <v>10</v>
      </c>
      <c r="R1563" s="907">
        <f>COUNTIF(PoderesDeCriatura_Adquiridos,Tablas!O1563)</f>
        <v>0</v>
      </c>
      <c r="S1563" s="173">
        <f t="array" ref="S1563">MAX(R1563:R1572*{10;20;30;40;50;-10;-20;-30;-40;-50})</f>
        <v>0</v>
      </c>
      <c r="T1563" s="898" t="s">
        <v>1324</v>
      </c>
      <c r="U1563">
        <v>6</v>
      </c>
      <c r="W1563" s="929" t="str">
        <f>$E$1595</f>
        <v>Habilidad #5</v>
      </c>
      <c r="X1563" s="921"/>
      <c r="Y1563" s="758"/>
      <c r="Z1563" s="758"/>
      <c r="AA1563" s="758"/>
      <c r="AB1563" s="758"/>
      <c r="AC1563" s="758"/>
      <c r="AD1563" s="758"/>
      <c r="AE1563" s="758"/>
      <c r="AF1563" s="758"/>
      <c r="AG1563" s="758"/>
      <c r="AH1563" s="758"/>
      <c r="AI1563" s="758"/>
      <c r="AJ1563" s="758"/>
      <c r="AK1563" s="758"/>
      <c r="AL1563" s="758"/>
      <c r="AM1563" s="758"/>
      <c r="AN1563" s="758"/>
      <c r="AO1563" s="758"/>
      <c r="AP1563" s="758"/>
      <c r="AQ1563" s="925"/>
      <c r="AR1563" s="925"/>
      <c r="AS1563" s="925"/>
      <c r="AT1563" s="925"/>
      <c r="AU1563" s="925"/>
      <c r="AV1563" s="925"/>
      <c r="AW1563" s="925"/>
      <c r="AX1563" s="925"/>
      <c r="AY1563" s="925"/>
      <c r="AZ1563" s="925"/>
      <c r="BA1563" s="925"/>
      <c r="BB1563" s="925"/>
      <c r="BC1563" s="925"/>
      <c r="BD1563" s="925"/>
      <c r="BE1563" s="925"/>
      <c r="BF1563" s="925"/>
      <c r="BG1563" s="925"/>
      <c r="BH1563" s="925"/>
      <c r="BI1563" s="925"/>
      <c r="BJ1563" s="925"/>
      <c r="BK1563" s="925"/>
      <c r="BL1563" s="925"/>
      <c r="BM1563" s="925"/>
      <c r="BN1563" s="304"/>
      <c r="BO1563" s="304"/>
      <c r="BP1563" s="304"/>
      <c r="BQ1563" s="304"/>
      <c r="BR1563" s="304"/>
      <c r="BS1563" s="304"/>
      <c r="BT1563" s="304"/>
      <c r="BU1563" s="304"/>
      <c r="BV1563" s="304"/>
      <c r="BW1563" s="304"/>
      <c r="BX1563" s="304"/>
      <c r="BY1563" s="304"/>
      <c r="BZ1563" s="304"/>
      <c r="CA1563" s="304"/>
      <c r="CB1563" s="571"/>
    </row>
    <row r="1564" spans="1:80" ht="12.75" customHeight="1" thickBot="1">
      <c r="A1564" s="219">
        <v>1500</v>
      </c>
      <c r="B1564" s="7145"/>
      <c r="C1564" s="902"/>
      <c r="D1564" s="57"/>
      <c r="E1564" s="905" t="s">
        <v>1151</v>
      </c>
      <c r="F1564" s="75">
        <v>0</v>
      </c>
      <c r="G1564" s="75">
        <v>0</v>
      </c>
      <c r="H1564" s="75"/>
      <c r="I1564" s="907"/>
      <c r="J1564" s="173"/>
      <c r="K1564" s="898"/>
      <c r="M1564" s="307"/>
      <c r="N1564" s="21"/>
      <c r="O1564" s="131" t="s">
        <v>7383</v>
      </c>
      <c r="P1564" s="900">
        <v>15</v>
      </c>
      <c r="Q1564" s="173">
        <v>20</v>
      </c>
      <c r="R1564" s="907">
        <f>COUNTIF(PoderesDeCriatura_Adquiridos,Tablas!O1564)</f>
        <v>0</v>
      </c>
      <c r="S1564" s="173"/>
      <c r="T1564" s="898"/>
      <c r="U1564">
        <v>6</v>
      </c>
      <c r="W1564" s="933" t="s">
        <v>7634</v>
      </c>
      <c r="X1564" s="934"/>
      <c r="Y1564" s="935"/>
      <c r="Z1564" s="935"/>
      <c r="AA1564" s="935"/>
      <c r="AB1564" s="935"/>
      <c r="AC1564" s="935" t="s">
        <v>7633</v>
      </c>
      <c r="AD1564" s="935"/>
      <c r="AE1564" s="935"/>
      <c r="AF1564" s="935"/>
      <c r="AG1564" s="935"/>
      <c r="AH1564" s="935"/>
      <c r="AI1564" s="935"/>
      <c r="AJ1564" s="935"/>
      <c r="AK1564" s="935"/>
      <c r="AL1564" s="935"/>
      <c r="AM1564" s="935"/>
      <c r="AN1564" s="935"/>
      <c r="AO1564" s="935"/>
      <c r="AP1564" s="935"/>
      <c r="AQ1564" s="934"/>
      <c r="AR1564" s="934"/>
      <c r="AS1564" s="934"/>
      <c r="AT1564" s="934"/>
      <c r="AU1564" s="934"/>
      <c r="AV1564" s="934"/>
      <c r="AW1564" s="934"/>
      <c r="AX1564" s="934"/>
      <c r="AY1564" s="934"/>
      <c r="AZ1564" s="934"/>
      <c r="BA1564" s="934"/>
      <c r="BB1564" s="934"/>
      <c r="BC1564" s="934"/>
      <c r="BD1564" s="934"/>
      <c r="BE1564" s="934"/>
      <c r="BF1564" s="934"/>
      <c r="BG1564" s="934"/>
      <c r="BH1564" s="934"/>
      <c r="BI1564" s="934"/>
      <c r="BJ1564" s="934"/>
      <c r="BK1564" s="934"/>
      <c r="BL1564" s="934"/>
      <c r="BM1564" s="934"/>
      <c r="BN1564" s="934"/>
      <c r="BO1564" s="934"/>
      <c r="BP1564" s="934"/>
      <c r="BQ1564" s="934"/>
      <c r="BR1564" s="934"/>
      <c r="BS1564" s="934"/>
      <c r="BT1564" s="934"/>
      <c r="BU1564" s="934"/>
      <c r="BV1564" s="934"/>
      <c r="BW1564" s="934"/>
      <c r="BX1564" s="934"/>
      <c r="BY1564" s="934"/>
      <c r="BZ1564" s="934"/>
      <c r="CA1564" s="934"/>
      <c r="CB1564" s="936"/>
    </row>
    <row r="1565" spans="1:80" ht="12.75" customHeight="1">
      <c r="A1565" s="219">
        <v>1501</v>
      </c>
      <c r="B1565" s="7145"/>
      <c r="C1565" s="902"/>
      <c r="D1565" s="57"/>
      <c r="E1565" s="905" t="s">
        <v>2242</v>
      </c>
      <c r="F1565" s="75">
        <v>5</v>
      </c>
      <c r="G1565" s="75">
        <v>-10</v>
      </c>
      <c r="H1565" s="75">
        <f>COUNTIF(HabilidadesEsenciales_Adquiridas,Tablas!E1565)</f>
        <v>0</v>
      </c>
      <c r="I1565" s="907"/>
      <c r="J1565" s="173"/>
      <c r="K1565" s="898"/>
      <c r="M1565" s="307"/>
      <c r="N1565" s="21"/>
      <c r="O1565" s="131" t="s">
        <v>7384</v>
      </c>
      <c r="P1565" s="900">
        <v>20</v>
      </c>
      <c r="Q1565" s="173">
        <v>30</v>
      </c>
      <c r="R1565" s="907">
        <f>COUNTIF(PoderesDeCriatura_Adquiridos,Tablas!O1565)</f>
        <v>0</v>
      </c>
      <c r="S1565" s="173"/>
      <c r="T1565" s="898"/>
      <c r="U1565">
        <v>6</v>
      </c>
    </row>
    <row r="1566" spans="1:80" ht="12.75" customHeight="1">
      <c r="A1566" s="219">
        <v>1502</v>
      </c>
      <c r="B1566" s="7145"/>
      <c r="C1566" s="902"/>
      <c r="D1566" s="57"/>
      <c r="E1566" s="905" t="s">
        <v>2243</v>
      </c>
      <c r="F1566" s="75">
        <v>5</v>
      </c>
      <c r="G1566" s="75">
        <v>-10</v>
      </c>
      <c r="H1566" s="75">
        <f>COUNTIF(HabilidadesEsenciales_Adquiridas,Tablas!E1566)</f>
        <v>0</v>
      </c>
      <c r="I1566" s="907"/>
      <c r="J1566" s="173"/>
      <c r="K1566" s="898"/>
      <c r="M1566" s="307"/>
      <c r="N1566" s="21"/>
      <c r="O1566" s="131" t="s">
        <v>7385</v>
      </c>
      <c r="P1566" s="900">
        <v>25</v>
      </c>
      <c r="Q1566" s="173">
        <v>40</v>
      </c>
      <c r="R1566" s="907">
        <f>COUNTIF(PoderesDeCriatura_Adquiridos,Tablas!O1566)</f>
        <v>0</v>
      </c>
      <c r="S1566" s="173"/>
      <c r="T1566" s="898"/>
      <c r="U1566">
        <v>6</v>
      </c>
    </row>
    <row r="1567" spans="1:80" ht="12.75" customHeight="1">
      <c r="A1567" s="219">
        <v>1503</v>
      </c>
      <c r="B1567" s="7145"/>
      <c r="C1567" s="902"/>
      <c r="D1567" s="57"/>
      <c r="E1567" s="905" t="s">
        <v>1152</v>
      </c>
      <c r="F1567" s="75">
        <v>5</v>
      </c>
      <c r="G1567" s="75">
        <v>-10</v>
      </c>
      <c r="H1567" s="75">
        <f>COUNTIF(HabilidadesEsenciales_Adquiridas,Tablas!E1567)</f>
        <v>0</v>
      </c>
      <c r="I1567" s="907">
        <v>1</v>
      </c>
      <c r="J1567" s="173"/>
      <c r="K1567" s="898"/>
      <c r="M1567" s="307"/>
      <c r="N1567" s="21"/>
      <c r="O1567" s="131" t="s">
        <v>7386</v>
      </c>
      <c r="P1567" s="900">
        <v>35</v>
      </c>
      <c r="Q1567" s="173">
        <v>50</v>
      </c>
      <c r="R1567" s="907">
        <f>COUNTIF(PoderesDeCriatura_Adquiridos,Tablas!O1567)</f>
        <v>0</v>
      </c>
      <c r="S1567" s="173"/>
      <c r="T1567" s="898"/>
      <c r="U1567">
        <v>6</v>
      </c>
    </row>
    <row r="1568" spans="1:80" ht="12.75" customHeight="1">
      <c r="A1568" s="219">
        <v>1504</v>
      </c>
      <c r="B1568" s="7145"/>
      <c r="C1568" s="902"/>
      <c r="D1568" s="57"/>
      <c r="E1568" s="905" t="s">
        <v>2247</v>
      </c>
      <c r="F1568" s="75">
        <v>5</v>
      </c>
      <c r="G1568" s="75">
        <v>-30</v>
      </c>
      <c r="H1568" s="75">
        <f>COUNTIF(HabilidadesEsenciales_Adquiridas,Tablas!E1568)</f>
        <v>0</v>
      </c>
      <c r="I1568" s="907">
        <v>1</v>
      </c>
      <c r="J1568" s="173"/>
      <c r="K1568" s="898"/>
      <c r="M1568" s="307"/>
      <c r="N1568" s="21"/>
      <c r="O1568" s="131" t="s">
        <v>9504</v>
      </c>
      <c r="P1568" s="900">
        <v>10</v>
      </c>
      <c r="Q1568" s="173">
        <v>-10</v>
      </c>
      <c r="R1568" s="907">
        <f>COUNTIF(PoderesDeCriatura_Adquiridos,Tablas!O1568)</f>
        <v>0</v>
      </c>
      <c r="S1568" s="173"/>
      <c r="T1568" s="898"/>
      <c r="U1568">
        <v>6</v>
      </c>
    </row>
    <row r="1569" spans="1:21" ht="12.75" customHeight="1">
      <c r="A1569" s="219">
        <v>1505</v>
      </c>
      <c r="B1569" s="7145"/>
      <c r="C1569" s="902"/>
      <c r="D1569" s="57"/>
      <c r="E1569" s="905" t="s">
        <v>2244</v>
      </c>
      <c r="F1569" s="75">
        <v>5</v>
      </c>
      <c r="G1569" s="75">
        <v>-10</v>
      </c>
      <c r="H1569" s="75">
        <f>COUNTIF(HabilidadesEsenciales_Adquiridas,Tablas!E1569)</f>
        <v>0</v>
      </c>
      <c r="I1569" s="907"/>
      <c r="J1569" s="173"/>
      <c r="K1569" s="898"/>
      <c r="M1569" s="307"/>
      <c r="N1569" s="21"/>
      <c r="O1569" s="131" t="s">
        <v>9505</v>
      </c>
      <c r="P1569" s="900">
        <v>10</v>
      </c>
      <c r="Q1569" s="173">
        <v>-15</v>
      </c>
      <c r="R1569" s="907">
        <f>COUNTIF(PoderesDeCriatura_Adquiridos,Tablas!O1569)</f>
        <v>0</v>
      </c>
      <c r="S1569" s="173"/>
      <c r="T1569" s="898"/>
      <c r="U1569">
        <v>6</v>
      </c>
    </row>
    <row r="1570" spans="1:21" ht="12.75" customHeight="1">
      <c r="A1570" s="219">
        <v>1506</v>
      </c>
      <c r="B1570" s="7145"/>
      <c r="C1570" s="902"/>
      <c r="D1570" s="57"/>
      <c r="E1570" s="905" t="s">
        <v>1153</v>
      </c>
      <c r="F1570" s="75">
        <v>5</v>
      </c>
      <c r="G1570" s="75">
        <v>-20</v>
      </c>
      <c r="H1570" s="75">
        <f>COUNTIF(HabilidadesEsenciales_Adquiridas,Tablas!E1570)</f>
        <v>0</v>
      </c>
      <c r="I1570" s="907"/>
      <c r="J1570" s="173"/>
      <c r="K1570" s="898"/>
      <c r="M1570" s="307"/>
      <c r="N1570" s="21"/>
      <c r="O1570" s="131" t="s">
        <v>9506</v>
      </c>
      <c r="P1570" s="900">
        <v>10</v>
      </c>
      <c r="Q1570" s="173">
        <v>-20</v>
      </c>
      <c r="R1570" s="907">
        <f>COUNTIF(PoderesDeCriatura_Adquiridos,Tablas!O1570)</f>
        <v>0</v>
      </c>
      <c r="S1570" s="173"/>
      <c r="T1570" s="898"/>
      <c r="U1570">
        <v>6</v>
      </c>
    </row>
    <row r="1571" spans="1:21" ht="12.75" customHeight="1">
      <c r="A1571" s="219">
        <v>1507</v>
      </c>
      <c r="B1571" s="7145"/>
      <c r="C1571" s="902"/>
      <c r="D1571" s="57"/>
      <c r="E1571" s="905" t="s">
        <v>1154</v>
      </c>
      <c r="F1571" s="75">
        <v>0</v>
      </c>
      <c r="G1571" s="75">
        <v>0</v>
      </c>
      <c r="H1571" s="75"/>
      <c r="I1571" s="907"/>
      <c r="J1571" s="173"/>
      <c r="K1571" s="898"/>
      <c r="M1571" s="307"/>
      <c r="N1571" s="21"/>
      <c r="O1571" s="131" t="s">
        <v>9507</v>
      </c>
      <c r="P1571" s="900">
        <v>20</v>
      </c>
      <c r="Q1571" s="173">
        <v>-25</v>
      </c>
      <c r="R1571" s="907">
        <f>COUNTIF(PoderesDeCriatura_Adquiridos,Tablas!O1571)</f>
        <v>0</v>
      </c>
      <c r="S1571" s="173"/>
      <c r="T1571" s="898"/>
      <c r="U1571">
        <v>6</v>
      </c>
    </row>
    <row r="1572" spans="1:21" ht="12.75" customHeight="1">
      <c r="A1572" s="219">
        <v>1508</v>
      </c>
      <c r="B1572" s="7145"/>
      <c r="C1572" s="902"/>
      <c r="D1572" s="57"/>
      <c r="E1572" s="905" t="s">
        <v>2250</v>
      </c>
      <c r="F1572" s="75">
        <v>5</v>
      </c>
      <c r="G1572" s="75">
        <v>-10</v>
      </c>
      <c r="H1572" s="75">
        <f>COUNTIF(HabilidadesEsenciales_Adquiridas,Tablas!E1572)</f>
        <v>0</v>
      </c>
      <c r="I1572" s="907">
        <v>1</v>
      </c>
      <c r="J1572" s="173"/>
      <c r="K1572" s="898"/>
      <c r="M1572" s="307"/>
      <c r="N1572" s="21"/>
      <c r="O1572" s="131" t="s">
        <v>9508</v>
      </c>
      <c r="P1572" s="900">
        <v>20</v>
      </c>
      <c r="Q1572" s="173">
        <v>-30</v>
      </c>
      <c r="R1572" s="907">
        <f>COUNTIF(PoderesDeCriatura_Adquiridos,Tablas!O1572)</f>
        <v>0</v>
      </c>
      <c r="S1572" s="173"/>
      <c r="T1572" s="898"/>
      <c r="U1572">
        <v>6</v>
      </c>
    </row>
    <row r="1573" spans="1:21" ht="12.75" customHeight="1">
      <c r="A1573" s="219">
        <v>1509</v>
      </c>
      <c r="B1573" s="7145"/>
      <c r="C1573" s="902"/>
      <c r="D1573" s="57"/>
      <c r="E1573" s="905" t="s">
        <v>2251</v>
      </c>
      <c r="F1573" s="75">
        <v>5</v>
      </c>
      <c r="G1573" s="75">
        <v>-10</v>
      </c>
      <c r="H1573" s="75">
        <f>COUNTIF(HabilidadesEsenciales_Adquiridas,Tablas!E1573)</f>
        <v>0</v>
      </c>
      <c r="I1573" s="907"/>
      <c r="J1573" s="173"/>
      <c r="K1573" s="898"/>
      <c r="M1573" s="307"/>
      <c r="N1573" s="21"/>
      <c r="O1573" s="131" t="s">
        <v>7387</v>
      </c>
      <c r="P1573" s="900">
        <v>0</v>
      </c>
      <c r="Q1573" s="173">
        <v>10</v>
      </c>
      <c r="R1573" s="907">
        <f>COUNTIF(PoderesDeCriatura_Adquiridos,Tablas!O1573)</f>
        <v>0</v>
      </c>
      <c r="S1573" s="173">
        <f>IF(SUM(R1586:R1590)&gt;0,0,SUMPRODUCT(R1573:R1583,VALUE(RIGHT(O1573:O1583,2))))</f>
        <v>0</v>
      </c>
      <c r="T1573" s="898" t="s">
        <v>1228</v>
      </c>
      <c r="U1573">
        <v>6</v>
      </c>
    </row>
    <row r="1574" spans="1:21" ht="12.75" customHeight="1">
      <c r="A1574" s="219">
        <v>1510</v>
      </c>
      <c r="B1574" s="7145"/>
      <c r="C1574" s="902"/>
      <c r="D1574" s="57"/>
      <c r="E1574" s="905" t="s">
        <v>1155</v>
      </c>
      <c r="F1574" s="75">
        <v>5</v>
      </c>
      <c r="G1574" s="75">
        <v>-20</v>
      </c>
      <c r="H1574" s="75">
        <f>COUNTIF(HabilidadesEsenciales_Adquiridas,Tablas!E1574)</f>
        <v>0</v>
      </c>
      <c r="I1574" s="907"/>
      <c r="J1574" s="173"/>
      <c r="K1574" s="898"/>
      <c r="M1574" s="307"/>
      <c r="N1574" s="21"/>
      <c r="O1574" s="131" t="s">
        <v>7388</v>
      </c>
      <c r="P1574" s="900">
        <v>0</v>
      </c>
      <c r="Q1574" s="173">
        <v>20</v>
      </c>
      <c r="R1574" s="907">
        <f>COUNTIF(PoderesDeCriatura_Adquiridos,Tablas!O1574)</f>
        <v>0</v>
      </c>
      <c r="S1574" s="173"/>
      <c r="T1574" s="898"/>
    </row>
    <row r="1575" spans="1:21" ht="12.75" customHeight="1">
      <c r="A1575" s="219">
        <v>1511</v>
      </c>
      <c r="B1575" s="7145"/>
      <c r="C1575" s="902"/>
      <c r="D1575" s="57"/>
      <c r="E1575" s="905" t="s">
        <v>1156</v>
      </c>
      <c r="F1575" s="75">
        <v>0</v>
      </c>
      <c r="G1575" s="75">
        <v>0</v>
      </c>
      <c r="H1575" s="75"/>
      <c r="I1575" s="907"/>
      <c r="J1575" s="173"/>
      <c r="K1575" s="898"/>
      <c r="M1575" s="307"/>
      <c r="N1575" s="21"/>
      <c r="O1575" s="131" t="s">
        <v>7389</v>
      </c>
      <c r="P1575" s="900">
        <v>0</v>
      </c>
      <c r="Q1575" s="173">
        <v>30</v>
      </c>
      <c r="R1575" s="907">
        <f>COUNTIF(PoderesDeCriatura_Adquiridos,Tablas!O1575)</f>
        <v>0</v>
      </c>
      <c r="S1575" s="173"/>
      <c r="T1575" s="898"/>
    </row>
    <row r="1576" spans="1:21" ht="12.75" customHeight="1">
      <c r="A1576" s="219">
        <v>1512</v>
      </c>
      <c r="B1576" s="7145"/>
      <c r="C1576" s="902"/>
      <c r="D1576" s="57"/>
      <c r="E1576" s="905" t="s">
        <v>2140</v>
      </c>
      <c r="F1576" s="75">
        <v>20</v>
      </c>
      <c r="G1576" s="75">
        <v>40</v>
      </c>
      <c r="H1576" s="75">
        <f>COUNTIF(HabilidadesEsenciales_Adquiridas,Tablas!E1576)</f>
        <v>0</v>
      </c>
      <c r="I1576" s="907"/>
      <c r="J1576" s="173"/>
      <c r="K1576" s="898"/>
      <c r="M1576" s="307"/>
      <c r="N1576" s="21"/>
      <c r="O1576" s="131" t="s">
        <v>7390</v>
      </c>
      <c r="P1576" s="900">
        <v>5</v>
      </c>
      <c r="Q1576" s="173">
        <v>40</v>
      </c>
      <c r="R1576" s="907">
        <f>COUNTIF(PoderesDeCriatura_Adquiridos,Tablas!O1576)</f>
        <v>0</v>
      </c>
      <c r="S1576" s="173"/>
      <c r="T1576" s="898"/>
      <c r="U1576" s="249"/>
    </row>
    <row r="1577" spans="1:21" ht="12.75" customHeight="1">
      <c r="A1577" s="219">
        <v>1513</v>
      </c>
      <c r="B1577" s="7145"/>
      <c r="C1577" s="902"/>
      <c r="D1577" s="57"/>
      <c r="E1577" s="905" t="s">
        <v>1157</v>
      </c>
      <c r="F1577" s="75">
        <v>20</v>
      </c>
      <c r="G1577" s="75">
        <v>20</v>
      </c>
      <c r="H1577" s="75">
        <f>COUNTIF(HabilidadesEsenciales_Adquiridas,Tablas!E1577)</f>
        <v>0</v>
      </c>
      <c r="I1577" s="907"/>
      <c r="J1577" s="173"/>
      <c r="K1577" s="898"/>
      <c r="M1577" s="307"/>
      <c r="N1577" s="21"/>
      <c r="O1577" s="131" t="s">
        <v>7391</v>
      </c>
      <c r="P1577" s="900">
        <v>10</v>
      </c>
      <c r="Q1577" s="173">
        <v>60</v>
      </c>
      <c r="R1577" s="907">
        <f>COUNTIF(PoderesDeCriatura_Adquiridos,Tablas!O1577)</f>
        <v>0</v>
      </c>
      <c r="S1577" s="173"/>
      <c r="T1577" s="898"/>
      <c r="U1577" s="249"/>
    </row>
    <row r="1578" spans="1:21" ht="12.75" customHeight="1">
      <c r="A1578" s="219">
        <v>1514</v>
      </c>
      <c r="B1578" s="7145"/>
      <c r="C1578" s="902"/>
      <c r="D1578" s="57"/>
      <c r="E1578" s="905" t="s">
        <v>2181</v>
      </c>
      <c r="F1578" s="75">
        <v>10</v>
      </c>
      <c r="G1578" s="75">
        <v>10</v>
      </c>
      <c r="H1578" s="75">
        <f>COUNTIF(HabilidadesEsenciales_Adquiridas,Tablas!E1578)</f>
        <v>0</v>
      </c>
      <c r="I1578" s="907"/>
      <c r="J1578" s="173"/>
      <c r="K1578" s="898"/>
      <c r="M1578" s="307"/>
      <c r="N1578" s="21"/>
      <c r="O1578" s="131" t="s">
        <v>7392</v>
      </c>
      <c r="P1578" s="900">
        <v>15</v>
      </c>
      <c r="Q1578" s="173">
        <v>100</v>
      </c>
      <c r="R1578" s="907">
        <f>COUNTIF(PoderesDeCriatura_Adquiridos,Tablas!O1578)</f>
        <v>0</v>
      </c>
      <c r="S1578" s="173"/>
      <c r="T1578" s="898"/>
      <c r="U1578" s="249"/>
    </row>
    <row r="1579" spans="1:21" ht="12.75" customHeight="1">
      <c r="A1579" s="219">
        <v>1515</v>
      </c>
      <c r="B1579" s="7145"/>
      <c r="C1579" s="902"/>
      <c r="D1579" s="57"/>
      <c r="E1579" s="905" t="s">
        <v>2257</v>
      </c>
      <c r="F1579" s="75">
        <v>5</v>
      </c>
      <c r="G1579" s="75">
        <v>20</v>
      </c>
      <c r="H1579" s="75">
        <f>COUNTIF(HabilidadesEsenciales_Adquiridas,Tablas!E1579)</f>
        <v>0</v>
      </c>
      <c r="I1579" s="907"/>
      <c r="J1579" s="173"/>
      <c r="K1579" s="898"/>
      <c r="M1579" s="307"/>
      <c r="N1579" s="21"/>
      <c r="O1579" s="131" t="s">
        <v>7393</v>
      </c>
      <c r="P1579" s="900">
        <v>20</v>
      </c>
      <c r="Q1579" s="173">
        <v>140</v>
      </c>
      <c r="R1579" s="907">
        <f>COUNTIF(PoderesDeCriatura_Adquiridos,Tablas!O1579)</f>
        <v>0</v>
      </c>
      <c r="S1579" s="173"/>
      <c r="T1579" s="898"/>
      <c r="U1579" s="249"/>
    </row>
    <row r="1580" spans="1:21" ht="12.75" customHeight="1">
      <c r="A1580" s="219">
        <v>1516</v>
      </c>
      <c r="B1580" s="7145"/>
      <c r="C1580" s="902"/>
      <c r="D1580" s="57"/>
      <c r="E1580" s="905" t="s">
        <v>2270</v>
      </c>
      <c r="F1580" s="75">
        <v>0</v>
      </c>
      <c r="G1580" s="75">
        <v>10</v>
      </c>
      <c r="H1580" s="75">
        <f>COUNTIF(HabilidadesEsenciales_Adquiridas,Tablas!E1580)</f>
        <v>0</v>
      </c>
      <c r="I1580" s="907"/>
      <c r="J1580" s="173"/>
      <c r="K1580" s="898"/>
      <c r="M1580" s="307"/>
      <c r="N1580" s="21"/>
      <c r="O1580" s="131" t="s">
        <v>7394</v>
      </c>
      <c r="P1580" s="900">
        <v>25</v>
      </c>
      <c r="Q1580" s="173">
        <v>160</v>
      </c>
      <c r="R1580" s="907">
        <f>COUNTIF(PoderesDeCriatura_Adquiridos,Tablas!O1580)</f>
        <v>0</v>
      </c>
      <c r="S1580" s="173"/>
      <c r="T1580" s="898"/>
      <c r="U1580" s="249"/>
    </row>
    <row r="1581" spans="1:21" ht="12.75" customHeight="1">
      <c r="A1581" s="219">
        <v>1517</v>
      </c>
      <c r="B1581" s="7145"/>
      <c r="C1581" s="902"/>
      <c r="D1581" s="57"/>
      <c r="E1581" s="905" t="s">
        <v>2276</v>
      </c>
      <c r="F1581" s="75">
        <v>10</v>
      </c>
      <c r="G1581" s="75">
        <v>20</v>
      </c>
      <c r="H1581" s="75">
        <f>COUNTIF(HabilidadesEsenciales_Adquiridas,Tablas!E1581)</f>
        <v>0</v>
      </c>
      <c r="I1581" s="907">
        <v>1</v>
      </c>
      <c r="J1581" s="173"/>
      <c r="K1581" s="898"/>
      <c r="M1581" s="307"/>
      <c r="N1581" s="21"/>
      <c r="O1581" s="131" t="s">
        <v>7395</v>
      </c>
      <c r="P1581" s="900">
        <v>35</v>
      </c>
      <c r="Q1581" s="173">
        <v>180</v>
      </c>
      <c r="R1581" s="907">
        <f>COUNTIF(PoderesDeCriatura_Adquiridos,Tablas!O1581)</f>
        <v>0</v>
      </c>
      <c r="S1581" s="173"/>
      <c r="T1581" s="898"/>
      <c r="U1581" s="249"/>
    </row>
    <row r="1582" spans="1:21" ht="12.75" customHeight="1">
      <c r="A1582" s="219">
        <v>1518</v>
      </c>
      <c r="B1582" s="7145"/>
      <c r="C1582" s="902"/>
      <c r="D1582" s="57"/>
      <c r="E1582" s="905" t="s">
        <v>2280</v>
      </c>
      <c r="F1582" s="75">
        <v>10</v>
      </c>
      <c r="G1582" s="75">
        <v>20</v>
      </c>
      <c r="H1582" s="75">
        <f>COUNTIF(HabilidadesEsenciales_Adquiridas,Tablas!E1582)</f>
        <v>0</v>
      </c>
      <c r="I1582" s="907"/>
      <c r="J1582" s="173"/>
      <c r="K1582" s="898"/>
      <c r="M1582" s="307"/>
      <c r="N1582" s="21"/>
      <c r="O1582" s="131" t="s">
        <v>7396</v>
      </c>
      <c r="P1582" s="900">
        <v>45</v>
      </c>
      <c r="Q1582" s="173">
        <v>200</v>
      </c>
      <c r="R1582" s="907">
        <f>COUNTIF(PoderesDeCriatura_Adquiridos,Tablas!O1582)</f>
        <v>0</v>
      </c>
      <c r="S1582" s="173"/>
      <c r="T1582" s="898"/>
      <c r="U1582" s="249"/>
    </row>
    <row r="1583" spans="1:21" ht="12.75" customHeight="1">
      <c r="A1583" s="219">
        <v>1519</v>
      </c>
      <c r="B1583" s="7145"/>
      <c r="C1583" s="902"/>
      <c r="D1583" s="57"/>
      <c r="E1583" s="905" t="s">
        <v>2282</v>
      </c>
      <c r="F1583" s="75">
        <v>15</v>
      </c>
      <c r="G1583" s="75">
        <v>30</v>
      </c>
      <c r="H1583" s="75">
        <f>COUNTIF(HabilidadesEsenciales_Adquiridas,Tablas!E1583)</f>
        <v>0</v>
      </c>
      <c r="I1583" s="907"/>
      <c r="J1583" s="173"/>
      <c r="K1583" s="898"/>
      <c r="M1583" s="307"/>
      <c r="N1583" s="21"/>
      <c r="O1583" s="131" t="s">
        <v>7397</v>
      </c>
      <c r="P1583" s="900">
        <v>50</v>
      </c>
      <c r="Q1583" s="173">
        <v>220</v>
      </c>
      <c r="R1583" s="907">
        <f>COUNTIF(PoderesDeCriatura_Adquiridos,Tablas!O1583)</f>
        <v>0</v>
      </c>
      <c r="S1583" s="173"/>
      <c r="T1583" s="898"/>
      <c r="U1583" s="249"/>
    </row>
    <row r="1584" spans="1:21" ht="12.75" customHeight="1">
      <c r="A1584" s="219">
        <v>1520</v>
      </c>
      <c r="B1584" s="7145"/>
      <c r="C1584" s="902"/>
      <c r="D1584" s="57"/>
      <c r="E1584" s="905" t="s">
        <v>1158</v>
      </c>
      <c r="F1584" s="75">
        <v>10</v>
      </c>
      <c r="G1584" s="75">
        <v>20</v>
      </c>
      <c r="H1584" s="75">
        <f>COUNTIF(HabilidadesEsenciales_Adquiridas,Tablas!E1584)</f>
        <v>0</v>
      </c>
      <c r="I1584" s="907"/>
      <c r="J1584" s="173"/>
      <c r="K1584" s="898"/>
      <c r="M1584" s="307"/>
      <c r="N1584" s="21"/>
      <c r="O1584" s="131" t="s">
        <v>7398</v>
      </c>
      <c r="P1584" s="900">
        <v>0</v>
      </c>
      <c r="Q1584" s="173">
        <v>-10</v>
      </c>
      <c r="R1584" s="907">
        <f>COUNTIF(PoderesDeCriatura_Adquiridos,Tablas!O1584)</f>
        <v>0</v>
      </c>
      <c r="S1584" s="173"/>
      <c r="T1584" s="898"/>
      <c r="U1584" s="249"/>
    </row>
    <row r="1585" spans="1:21" ht="12.75" customHeight="1">
      <c r="A1585" s="219">
        <v>1521</v>
      </c>
      <c r="B1585" s="7145"/>
      <c r="C1585" s="902"/>
      <c r="D1585" s="57"/>
      <c r="E1585" s="905" t="s">
        <v>2293</v>
      </c>
      <c r="F1585" s="75">
        <v>5</v>
      </c>
      <c r="G1585" s="75">
        <v>20</v>
      </c>
      <c r="H1585" s="75">
        <f>COUNTIF(HabilidadesEsenciales_Adquiridas,Tablas!E1585)</f>
        <v>0</v>
      </c>
      <c r="I1585" s="907">
        <v>1</v>
      </c>
      <c r="J1585" s="173"/>
      <c r="K1585" s="898"/>
      <c r="M1585" s="307"/>
      <c r="N1585" s="21"/>
      <c r="O1585" s="131" t="s">
        <v>7399</v>
      </c>
      <c r="P1585" s="900">
        <v>10</v>
      </c>
      <c r="Q1585" s="173">
        <v>-40</v>
      </c>
      <c r="R1585" s="907">
        <f>COUNTIF(PoderesDeCriatura_Adquiridos,Tablas!O1585)</f>
        <v>0</v>
      </c>
      <c r="S1585" s="173"/>
      <c r="T1585" s="898"/>
      <c r="U1585" s="249"/>
    </row>
    <row r="1586" spans="1:21" ht="12.75" customHeight="1">
      <c r="A1586" s="219">
        <v>1522</v>
      </c>
      <c r="B1586" s="7145"/>
      <c r="C1586" s="902"/>
      <c r="D1586" s="57"/>
      <c r="E1586" s="905" t="s">
        <v>1159</v>
      </c>
      <c r="F1586" s="75">
        <v>0</v>
      </c>
      <c r="G1586" s="75">
        <v>20</v>
      </c>
      <c r="H1586" s="75">
        <f>COUNTIF(HabilidadesEsenciales_Adquiridas,Tablas!E1586)</f>
        <v>0</v>
      </c>
      <c r="I1586" s="907">
        <v>1</v>
      </c>
      <c r="J1586" s="173"/>
      <c r="K1586" s="898"/>
      <c r="M1586" s="307"/>
      <c r="N1586" s="21"/>
      <c r="O1586" s="131" t="s">
        <v>7400</v>
      </c>
      <c r="P1586" s="900">
        <v>10</v>
      </c>
      <c r="Q1586" s="173">
        <v>-30</v>
      </c>
      <c r="R1586" s="907">
        <f>COUNTIF(PoderesDeCriatura_Adquiridos,Tablas!O1586)</f>
        <v>0</v>
      </c>
      <c r="S1586" s="173"/>
      <c r="T1586" s="898"/>
      <c r="U1586" s="249"/>
    </row>
    <row r="1587" spans="1:21" ht="12.75" customHeight="1">
      <c r="A1587" s="219">
        <v>1523</v>
      </c>
      <c r="B1587" s="7145"/>
      <c r="C1587" s="902"/>
      <c r="D1587" s="57"/>
      <c r="E1587" s="905" t="s">
        <v>1160</v>
      </c>
      <c r="F1587" s="75">
        <v>0</v>
      </c>
      <c r="G1587" s="75">
        <v>0</v>
      </c>
      <c r="H1587" s="75"/>
      <c r="I1587" s="907"/>
      <c r="J1587" s="173"/>
      <c r="K1587" s="898"/>
      <c r="M1587" s="307"/>
      <c r="N1587" s="21"/>
      <c r="O1587" s="131" t="s">
        <v>7401</v>
      </c>
      <c r="P1587" s="900">
        <v>10</v>
      </c>
      <c r="Q1587" s="173">
        <v>-40</v>
      </c>
      <c r="R1587" s="907">
        <f>COUNTIF(PoderesDeCriatura_Adquiridos,Tablas!O1587)</f>
        <v>0</v>
      </c>
      <c r="S1587" s="173">
        <f t="array" ref="S1587">MIN(R1587:R1590*{-10;-25;-50;-100})</f>
        <v>0</v>
      </c>
      <c r="T1587" s="898" t="s">
        <v>6637</v>
      </c>
      <c r="U1587" s="249"/>
    </row>
    <row r="1588" spans="1:21" ht="12.75" customHeight="1">
      <c r="A1588" s="219">
        <v>1524</v>
      </c>
      <c r="B1588" s="7145"/>
      <c r="C1588" s="902"/>
      <c r="D1588" s="57"/>
      <c r="E1588" s="905" t="s">
        <v>1161</v>
      </c>
      <c r="F1588" s="75">
        <v>0</v>
      </c>
      <c r="G1588" s="75">
        <v>-30</v>
      </c>
      <c r="H1588" s="75">
        <f>COUNTIF(HabilidadesEsenciales_Adquiridas,Tablas!E1588)</f>
        <v>0</v>
      </c>
      <c r="I1588" s="907"/>
      <c r="J1588" s="173"/>
      <c r="K1588" s="898"/>
      <c r="M1588" s="307"/>
      <c r="N1588" s="21"/>
      <c r="O1588" s="131" t="s">
        <v>7402</v>
      </c>
      <c r="P1588" s="900">
        <v>10</v>
      </c>
      <c r="Q1588" s="173">
        <v>-45</v>
      </c>
      <c r="R1588" s="907">
        <f>COUNTIF(PoderesDeCriatura_Adquiridos,Tablas!O1588)</f>
        <v>0</v>
      </c>
      <c r="S1588" s="173"/>
      <c r="T1588" s="898"/>
      <c r="U1588" s="249"/>
    </row>
    <row r="1589" spans="1:21" ht="12.75" customHeight="1">
      <c r="A1589" s="219">
        <v>1525</v>
      </c>
      <c r="B1589" s="7145"/>
      <c r="C1589" s="902"/>
      <c r="D1589" s="57"/>
      <c r="E1589" s="905" t="s">
        <v>1162</v>
      </c>
      <c r="F1589" s="75">
        <v>0</v>
      </c>
      <c r="G1589" s="75">
        <v>-20</v>
      </c>
      <c r="H1589" s="75">
        <f>COUNTIF(HabilidadesEsenciales_Adquiridas,Tablas!E1589)</f>
        <v>0</v>
      </c>
      <c r="I1589" s="907"/>
      <c r="J1589" s="173"/>
      <c r="K1589" s="898"/>
      <c r="M1589" s="307"/>
      <c r="N1589" s="21"/>
      <c r="O1589" s="131" t="s">
        <v>7403</v>
      </c>
      <c r="P1589" s="900">
        <v>10</v>
      </c>
      <c r="Q1589" s="173">
        <v>-50</v>
      </c>
      <c r="R1589" s="907">
        <f>COUNTIF(PoderesDeCriatura_Adquiridos,Tablas!O1589)</f>
        <v>0</v>
      </c>
      <c r="S1589" s="173"/>
      <c r="T1589" s="898"/>
      <c r="U1589" s="249"/>
    </row>
    <row r="1590" spans="1:21" ht="12.75" customHeight="1">
      <c r="A1590" s="219">
        <v>1526</v>
      </c>
      <c r="B1590" s="7145"/>
      <c r="C1590" s="902"/>
      <c r="D1590" s="57"/>
      <c r="E1590" s="905" t="s">
        <v>6899</v>
      </c>
      <c r="F1590" s="75"/>
      <c r="G1590" s="75"/>
      <c r="H1590" s="75"/>
      <c r="I1590" s="907"/>
      <c r="J1590" s="173"/>
      <c r="K1590" s="898"/>
      <c r="M1590" s="307"/>
      <c r="N1590" s="21"/>
      <c r="O1590" s="131" t="s">
        <v>7404</v>
      </c>
      <c r="P1590" s="900">
        <v>10</v>
      </c>
      <c r="Q1590" s="173">
        <v>-60</v>
      </c>
      <c r="R1590" s="907">
        <f>COUNTIF(PoderesDeCriatura_Adquiridos,Tablas!O1590)</f>
        <v>0</v>
      </c>
      <c r="S1590" s="173"/>
      <c r="T1590" s="898"/>
      <c r="U1590" s="249"/>
    </row>
    <row r="1591" spans="1:21" ht="12.75" customHeight="1">
      <c r="A1591" s="219">
        <v>1527</v>
      </c>
      <c r="B1591" s="7145"/>
      <c r="C1591" s="902"/>
      <c r="D1591" s="57"/>
      <c r="E1591" s="905" t="str">
        <f>IF(Personalización!$I30="","Habilidad #1",Personalización!$I30)</f>
        <v>Habilidad #1</v>
      </c>
      <c r="F1591" s="75">
        <f>Personalización!P30</f>
        <v>0</v>
      </c>
      <c r="G1591" s="75">
        <f>Personalización!Q30</f>
        <v>0</v>
      </c>
      <c r="H1591" s="75">
        <f>COUNTIF(HabilidadesEsenciales_Adquiridas,Tablas!E1591)</f>
        <v>0</v>
      </c>
      <c r="I1591" s="907"/>
      <c r="J1591" s="173"/>
      <c r="K1591" s="898"/>
      <c r="M1591" s="307"/>
      <c r="N1591" s="21"/>
      <c r="O1591" s="131" t="s">
        <v>1181</v>
      </c>
      <c r="P1591" s="900"/>
      <c r="Q1591" s="173"/>
      <c r="R1591" s="907"/>
      <c r="S1591" s="173"/>
      <c r="T1591" s="898"/>
      <c r="U1591" s="249"/>
    </row>
    <row r="1592" spans="1:21" ht="12.75" customHeight="1">
      <c r="A1592" s="219">
        <v>1528</v>
      </c>
      <c r="B1592" s="7145"/>
      <c r="C1592" s="902"/>
      <c r="D1592" s="57"/>
      <c r="E1592" s="905" t="str">
        <f>IF(Personalización!$I31="","Habilidad #2",Personalización!$I31)</f>
        <v>Habilidad #2</v>
      </c>
      <c r="F1592" s="75">
        <f>Personalización!P31</f>
        <v>0</v>
      </c>
      <c r="G1592" s="75">
        <f>Personalización!Q31</f>
        <v>0</v>
      </c>
      <c r="H1592" s="75">
        <f>COUNTIF(HabilidadesEsenciales_Adquiridas,Tablas!E1592)</f>
        <v>0</v>
      </c>
      <c r="I1592" s="907"/>
      <c r="J1592" s="173"/>
      <c r="K1592" s="898"/>
      <c r="M1592" s="307"/>
      <c r="N1592" s="21"/>
      <c r="O1592" s="131" t="s">
        <v>7991</v>
      </c>
      <c r="P1592" s="900">
        <v>15</v>
      </c>
      <c r="Q1592" s="173">
        <v>40</v>
      </c>
      <c r="R1592" s="907">
        <f>COUNTIF(PoderesDeCriatura_Adquiridos,Tablas!O1592)</f>
        <v>0</v>
      </c>
      <c r="S1592" s="173"/>
      <c r="T1592" s="898"/>
      <c r="U1592" s="249"/>
    </row>
    <row r="1593" spans="1:21" ht="12.75" customHeight="1">
      <c r="A1593" s="219">
        <v>1529</v>
      </c>
      <c r="B1593" s="7145"/>
      <c r="C1593" s="902"/>
      <c r="D1593" s="57"/>
      <c r="E1593" s="905" t="str">
        <f>IF(Personalización!$I32="","Habilidad #3",Personalización!$I32)</f>
        <v>Habilidad #3</v>
      </c>
      <c r="F1593" s="75">
        <f>Personalización!P32</f>
        <v>0</v>
      </c>
      <c r="G1593" s="75">
        <f>Personalización!Q32</f>
        <v>0</v>
      </c>
      <c r="H1593" s="75">
        <f>COUNTIF(HabilidadesEsenciales_Adquiridas,Tablas!E1593)</f>
        <v>0</v>
      </c>
      <c r="I1593" s="907"/>
      <c r="J1593" s="173"/>
      <c r="K1593" s="898"/>
      <c r="M1593" s="307"/>
      <c r="N1593" s="21"/>
      <c r="O1593" s="131" t="s">
        <v>7992</v>
      </c>
      <c r="P1593" s="900">
        <v>20</v>
      </c>
      <c r="Q1593" s="173">
        <v>60</v>
      </c>
      <c r="R1593" s="907">
        <f>COUNTIF(PoderesDeCriatura_Adquiridos,Tablas!O1593)</f>
        <v>0</v>
      </c>
      <c r="S1593" s="173"/>
      <c r="T1593" s="898"/>
      <c r="U1593" s="249"/>
    </row>
    <row r="1594" spans="1:21" ht="12.75" customHeight="1">
      <c r="A1594" s="219">
        <v>1530</v>
      </c>
      <c r="B1594" s="7145"/>
      <c r="C1594" s="902"/>
      <c r="D1594" s="57"/>
      <c r="E1594" s="905" t="str">
        <f>IF(Personalización!$I33="","Habilidad #4",Personalización!$I33)</f>
        <v>Habilidad #4</v>
      </c>
      <c r="F1594" s="75">
        <f>Personalización!P33</f>
        <v>0</v>
      </c>
      <c r="G1594" s="75">
        <f>Personalización!Q33</f>
        <v>0</v>
      </c>
      <c r="H1594" s="75">
        <f>COUNTIF(HabilidadesEsenciales_Adquiridas,Tablas!E1594)</f>
        <v>0</v>
      </c>
      <c r="I1594" s="907"/>
      <c r="J1594" s="173"/>
      <c r="K1594" s="898"/>
      <c r="M1594" s="307"/>
      <c r="N1594" s="21"/>
      <c r="O1594" s="131" t="s">
        <v>7993</v>
      </c>
      <c r="P1594" s="900">
        <v>20</v>
      </c>
      <c r="Q1594" s="173">
        <v>80</v>
      </c>
      <c r="R1594" s="907">
        <f>COUNTIF(PoderesDeCriatura_Adquiridos,Tablas!O1594)</f>
        <v>0</v>
      </c>
      <c r="S1594" s="173"/>
      <c r="T1594" s="898"/>
      <c r="U1594" s="249"/>
    </row>
    <row r="1595" spans="1:21" ht="12.75" customHeight="1" thickBot="1">
      <c r="A1595" s="219">
        <v>1531</v>
      </c>
      <c r="B1595" s="7145"/>
      <c r="C1595" s="903"/>
      <c r="D1595" s="904"/>
      <c r="E1595" s="906" t="str">
        <f>IF(Personalización!$I34="","Habilidad #5",Personalización!$I34)</f>
        <v>Habilidad #5</v>
      </c>
      <c r="F1595" s="887">
        <f>Personalización!P34</f>
        <v>0</v>
      </c>
      <c r="G1595" s="887">
        <f>Personalización!Q34</f>
        <v>0</v>
      </c>
      <c r="H1595" s="887">
        <f>COUNTIF(HabilidadesEsenciales_Adquiridas,Tablas!E1595)</f>
        <v>0</v>
      </c>
      <c r="I1595" s="908"/>
      <c r="J1595" s="744"/>
      <c r="K1595" s="899"/>
      <c r="M1595" s="307"/>
      <c r="N1595" s="21"/>
      <c r="O1595" s="131" t="s">
        <v>7994</v>
      </c>
      <c r="P1595" s="900">
        <v>25</v>
      </c>
      <c r="Q1595" s="173">
        <v>100</v>
      </c>
      <c r="R1595" s="907">
        <f>COUNTIF(PoderesDeCriatura_Adquiridos,Tablas!O1595)</f>
        <v>0</v>
      </c>
      <c r="S1595" s="173"/>
      <c r="T1595" s="898"/>
      <c r="U1595" s="249"/>
    </row>
    <row r="1596" spans="1:21" ht="12.75" customHeight="1">
      <c r="A1596" s="219">
        <v>1532</v>
      </c>
      <c r="B1596" s="7145"/>
      <c r="M1596" s="307"/>
      <c r="N1596" s="21"/>
      <c r="O1596" s="131" t="s">
        <v>7995</v>
      </c>
      <c r="P1596" s="900">
        <v>30</v>
      </c>
      <c r="Q1596" s="173">
        <v>140</v>
      </c>
      <c r="R1596" s="907">
        <f>COUNTIF(PoderesDeCriatura_Adquiridos,Tablas!O1596)</f>
        <v>0</v>
      </c>
      <c r="S1596" s="173"/>
      <c r="T1596" s="898"/>
      <c r="U1596" s="249"/>
    </row>
    <row r="1597" spans="1:21" ht="12.75" customHeight="1">
      <c r="A1597" s="219">
        <v>1533</v>
      </c>
      <c r="B1597" s="7145"/>
      <c r="M1597" s="307"/>
      <c r="N1597" s="21"/>
      <c r="O1597" s="131" t="s">
        <v>7996</v>
      </c>
      <c r="P1597" s="900">
        <v>35</v>
      </c>
      <c r="Q1597" s="173">
        <v>180</v>
      </c>
      <c r="R1597" s="907">
        <f>COUNTIF(PoderesDeCriatura_Adquiridos,Tablas!O1597)</f>
        <v>0</v>
      </c>
      <c r="S1597" s="173"/>
      <c r="T1597" s="898"/>
      <c r="U1597" s="249"/>
    </row>
    <row r="1598" spans="1:21" ht="12.75" customHeight="1">
      <c r="A1598" s="219">
        <v>1534</v>
      </c>
      <c r="B1598" s="7145"/>
      <c r="M1598" s="307"/>
      <c r="N1598" s="21"/>
      <c r="O1598" s="131" t="s">
        <v>7997</v>
      </c>
      <c r="P1598" s="900">
        <v>15</v>
      </c>
      <c r="Q1598" s="173">
        <v>30</v>
      </c>
      <c r="R1598" s="907">
        <f>COUNTIF(PoderesDeCriatura_Adquiridos,Tablas!O1598)</f>
        <v>0</v>
      </c>
      <c r="S1598" s="173"/>
      <c r="T1598" s="898"/>
      <c r="U1598" s="249"/>
    </row>
    <row r="1599" spans="1:21" ht="12.75" customHeight="1">
      <c r="A1599" s="219">
        <v>1535</v>
      </c>
      <c r="B1599" s="7145"/>
      <c r="C1599" s="510"/>
      <c r="H1599"/>
      <c r="M1599" s="307"/>
      <c r="N1599" s="21"/>
      <c r="O1599" s="131" t="s">
        <v>7998</v>
      </c>
      <c r="P1599" s="900">
        <v>15</v>
      </c>
      <c r="Q1599" s="173">
        <v>40</v>
      </c>
      <c r="R1599" s="907">
        <f>COUNTIF(PoderesDeCriatura_Adquiridos,Tablas!O1599)</f>
        <v>0</v>
      </c>
      <c r="S1599" s="173"/>
      <c r="T1599" s="898"/>
      <c r="U1599" s="249"/>
    </row>
    <row r="1600" spans="1:21" ht="12.75" customHeight="1">
      <c r="A1600" s="219">
        <v>1536</v>
      </c>
      <c r="B1600" s="7145"/>
      <c r="C1600" s="510"/>
      <c r="H1600"/>
      <c r="M1600" s="307"/>
      <c r="N1600" s="21"/>
      <c r="O1600" s="131" t="s">
        <v>7999</v>
      </c>
      <c r="P1600" s="900">
        <v>20</v>
      </c>
      <c r="Q1600" s="173">
        <v>50</v>
      </c>
      <c r="R1600" s="907">
        <f>COUNTIF(PoderesDeCriatura_Adquiridos,Tablas!O1600)</f>
        <v>0</v>
      </c>
      <c r="S1600" s="173"/>
      <c r="T1600" s="898"/>
      <c r="U1600" s="249"/>
    </row>
    <row r="1601" spans="1:21" ht="12.75" customHeight="1">
      <c r="A1601" s="219">
        <v>1537</v>
      </c>
      <c r="B1601" s="7145"/>
      <c r="C1601" s="510"/>
      <c r="H1601"/>
      <c r="M1601" s="307"/>
      <c r="N1601" s="21"/>
      <c r="O1601" s="131" t="s">
        <v>8000</v>
      </c>
      <c r="P1601" s="900">
        <v>20</v>
      </c>
      <c r="Q1601" s="173">
        <v>75</v>
      </c>
      <c r="R1601" s="907">
        <f>COUNTIF(PoderesDeCriatura_Adquiridos,Tablas!O1601)</f>
        <v>0</v>
      </c>
      <c r="S1601" s="173"/>
      <c r="T1601" s="898"/>
      <c r="U1601" s="249"/>
    </row>
    <row r="1602" spans="1:21" ht="12.75" customHeight="1">
      <c r="A1602" s="219">
        <v>1538</v>
      </c>
      <c r="B1602" s="7145"/>
      <c r="C1602" s="510"/>
      <c r="H1602"/>
      <c r="M1602" s="307"/>
      <c r="N1602" s="21"/>
      <c r="O1602" s="131" t="s">
        <v>8001</v>
      </c>
      <c r="P1602" s="900">
        <v>25</v>
      </c>
      <c r="Q1602" s="173">
        <v>100</v>
      </c>
      <c r="R1602" s="907">
        <f>COUNTIF(PoderesDeCriatura_Adquiridos,Tablas!O1602)</f>
        <v>0</v>
      </c>
      <c r="S1602" s="173"/>
      <c r="T1602" s="898"/>
      <c r="U1602" s="249"/>
    </row>
    <row r="1603" spans="1:21" ht="12.75" customHeight="1">
      <c r="A1603" s="219">
        <v>1539</v>
      </c>
      <c r="B1603" s="7145"/>
      <c r="C1603" s="510"/>
      <c r="H1603"/>
      <c r="M1603" s="307"/>
      <c r="N1603" s="21"/>
      <c r="O1603" s="131" t="s">
        <v>8002</v>
      </c>
      <c r="P1603" s="900">
        <v>30</v>
      </c>
      <c r="Q1603" s="173">
        <v>125</v>
      </c>
      <c r="R1603" s="907">
        <f>COUNTIF(PoderesDeCriatura_Adquiridos,Tablas!O1603)</f>
        <v>0</v>
      </c>
      <c r="S1603" s="173"/>
      <c r="T1603" s="898"/>
      <c r="U1603" s="249"/>
    </row>
    <row r="1604" spans="1:21" ht="12.75" customHeight="1">
      <c r="A1604" s="219">
        <v>1540</v>
      </c>
      <c r="B1604" s="7145"/>
      <c r="C1604" s="510"/>
      <c r="H1604"/>
      <c r="M1604" s="307"/>
      <c r="N1604" s="21"/>
      <c r="O1604" s="131" t="s">
        <v>8003</v>
      </c>
      <c r="P1604" s="900">
        <v>35</v>
      </c>
      <c r="Q1604" s="173">
        <v>150</v>
      </c>
      <c r="R1604" s="907">
        <f>COUNTIF(PoderesDeCriatura_Adquiridos,Tablas!O1604)</f>
        <v>0</v>
      </c>
      <c r="S1604" s="173"/>
      <c r="T1604" s="898"/>
      <c r="U1604" s="249"/>
    </row>
    <row r="1605" spans="1:21" ht="12.75" customHeight="1">
      <c r="A1605" s="219">
        <v>1541</v>
      </c>
      <c r="B1605" s="7145"/>
      <c r="C1605" s="510"/>
      <c r="H1605"/>
      <c r="M1605" s="307"/>
      <c r="N1605" s="21"/>
      <c r="O1605" s="131" t="s">
        <v>8004</v>
      </c>
      <c r="P1605" s="900">
        <v>15</v>
      </c>
      <c r="Q1605" s="173">
        <v>60</v>
      </c>
      <c r="R1605" s="907">
        <f>COUNTIF(PoderesDeCriatura_Adquiridos,Tablas!O1605)</f>
        <v>0</v>
      </c>
      <c r="S1605" s="173"/>
      <c r="T1605" s="898"/>
      <c r="U1605" s="249"/>
    </row>
    <row r="1606" spans="1:21" ht="12.75" customHeight="1">
      <c r="A1606" s="219">
        <v>1542</v>
      </c>
      <c r="B1606" s="7145"/>
      <c r="C1606" s="510"/>
      <c r="H1606"/>
      <c r="M1606" s="307"/>
      <c r="N1606" s="21"/>
      <c r="O1606" s="131" t="s">
        <v>8005</v>
      </c>
      <c r="P1606" s="900">
        <v>20</v>
      </c>
      <c r="Q1606" s="173">
        <v>80</v>
      </c>
      <c r="R1606" s="907">
        <f>COUNTIF(PoderesDeCriatura_Adquiridos,Tablas!O1606)</f>
        <v>0</v>
      </c>
      <c r="S1606" s="173"/>
      <c r="T1606" s="898"/>
      <c r="U1606" s="249"/>
    </row>
    <row r="1607" spans="1:21" ht="12.75" customHeight="1">
      <c r="A1607" s="219">
        <v>1543</v>
      </c>
      <c r="B1607" s="7145"/>
      <c r="C1607" s="510"/>
      <c r="H1607"/>
      <c r="M1607" s="307"/>
      <c r="N1607" s="21"/>
      <c r="O1607" s="131" t="s">
        <v>8006</v>
      </c>
      <c r="P1607" s="900">
        <v>25</v>
      </c>
      <c r="Q1607" s="173">
        <v>120</v>
      </c>
      <c r="R1607" s="907">
        <f>COUNTIF(PoderesDeCriatura_Adquiridos,Tablas!O1607)</f>
        <v>0</v>
      </c>
      <c r="S1607" s="173"/>
      <c r="T1607" s="898"/>
      <c r="U1607" s="249"/>
    </row>
    <row r="1608" spans="1:21" ht="12.75" customHeight="1">
      <c r="A1608" s="219">
        <v>1544</v>
      </c>
      <c r="B1608" s="7145"/>
      <c r="C1608" s="510"/>
      <c r="H1608"/>
      <c r="M1608" s="307"/>
      <c r="N1608" s="21"/>
      <c r="O1608" s="131" t="s">
        <v>8007</v>
      </c>
      <c r="P1608" s="900">
        <v>30</v>
      </c>
      <c r="Q1608" s="173">
        <v>140</v>
      </c>
      <c r="R1608" s="907">
        <f>COUNTIF(PoderesDeCriatura_Adquiridos,Tablas!O1608)</f>
        <v>0</v>
      </c>
      <c r="S1608" s="173"/>
      <c r="T1608" s="898"/>
      <c r="U1608" s="249"/>
    </row>
    <row r="1609" spans="1:21" ht="12.75" customHeight="1">
      <c r="A1609" s="219">
        <v>1545</v>
      </c>
      <c r="B1609" s="7145"/>
      <c r="C1609" s="510"/>
      <c r="H1609"/>
      <c r="M1609" s="307"/>
      <c r="N1609" s="21"/>
      <c r="O1609" s="131" t="s">
        <v>7405</v>
      </c>
      <c r="P1609" s="900">
        <v>15</v>
      </c>
      <c r="Q1609" s="173">
        <v>-30</v>
      </c>
      <c r="R1609" s="907">
        <f>COUNTIF(PoderesDeCriatura_Adquiridos,Tablas!O1609)</f>
        <v>0</v>
      </c>
      <c r="S1609" s="173"/>
      <c r="T1609" s="898"/>
      <c r="U1609" s="249"/>
    </row>
    <row r="1610" spans="1:21" ht="12.75" customHeight="1">
      <c r="A1610" s="219">
        <v>1546</v>
      </c>
      <c r="B1610" s="7145"/>
      <c r="C1610" s="510"/>
      <c r="H1610"/>
      <c r="M1610" s="307"/>
      <c r="N1610" s="21"/>
      <c r="O1610" s="131" t="s">
        <v>7406</v>
      </c>
      <c r="P1610" s="900">
        <v>15</v>
      </c>
      <c r="Q1610" s="173">
        <v>-20</v>
      </c>
      <c r="R1610" s="907">
        <f>COUNTIF(PoderesDeCriatura_Adquiridos,Tablas!O1610)</f>
        <v>0</v>
      </c>
      <c r="S1610" s="173"/>
      <c r="T1610" s="898"/>
      <c r="U1610" s="249"/>
    </row>
    <row r="1611" spans="1:21" ht="12.75" customHeight="1">
      <c r="A1611" s="219">
        <v>1547</v>
      </c>
      <c r="B1611" s="7145"/>
      <c r="C1611" s="510"/>
      <c r="H1611"/>
      <c r="M1611" s="307"/>
      <c r="N1611" s="21"/>
      <c r="O1611" s="131" t="s">
        <v>7407</v>
      </c>
      <c r="P1611" s="900">
        <v>15</v>
      </c>
      <c r="Q1611" s="173">
        <v>-10</v>
      </c>
      <c r="R1611" s="907">
        <f>COUNTIF(PoderesDeCriatura_Adquiridos,Tablas!O1611)</f>
        <v>0</v>
      </c>
      <c r="S1611" s="173"/>
      <c r="T1611" s="898"/>
      <c r="U1611" s="249"/>
    </row>
    <row r="1612" spans="1:21" ht="12.75" customHeight="1">
      <c r="A1612" s="219">
        <v>1548</v>
      </c>
      <c r="B1612" s="7145"/>
      <c r="C1612" s="510"/>
      <c r="H1612"/>
      <c r="M1612" s="307"/>
      <c r="N1612" s="21"/>
      <c r="O1612" s="131" t="s">
        <v>7408</v>
      </c>
      <c r="P1612" s="900">
        <v>15</v>
      </c>
      <c r="Q1612" s="173">
        <v>-10</v>
      </c>
      <c r="R1612" s="907">
        <f>COUNTIF(PoderesDeCriatura_Adquiridos,Tablas!O1612)</f>
        <v>0</v>
      </c>
      <c r="S1612" s="173"/>
      <c r="T1612" s="898"/>
      <c r="U1612" s="249"/>
    </row>
    <row r="1613" spans="1:21" ht="12.75" customHeight="1">
      <c r="A1613" s="219">
        <v>1549</v>
      </c>
      <c r="B1613" s="7145"/>
      <c r="C1613" s="510"/>
      <c r="H1613"/>
      <c r="M1613" s="307"/>
      <c r="N1613" s="21"/>
      <c r="O1613" s="131" t="s">
        <v>7409</v>
      </c>
      <c r="P1613" s="900">
        <v>15</v>
      </c>
      <c r="Q1613" s="173">
        <v>-20</v>
      </c>
      <c r="R1613" s="907">
        <f>COUNTIF(PoderesDeCriatura_Adquiridos,Tablas!O1613)</f>
        <v>0</v>
      </c>
      <c r="S1613" s="173"/>
      <c r="T1613" s="898"/>
      <c r="U1613" s="249"/>
    </row>
    <row r="1614" spans="1:21" ht="12.75" customHeight="1">
      <c r="A1614" s="219">
        <v>1550</v>
      </c>
      <c r="B1614" s="7145"/>
      <c r="C1614" s="510"/>
      <c r="H1614"/>
      <c r="M1614" s="307"/>
      <c r="N1614" s="21"/>
      <c r="O1614" s="131" t="s">
        <v>7410</v>
      </c>
      <c r="P1614" s="900">
        <v>15</v>
      </c>
      <c r="Q1614" s="173">
        <v>-10</v>
      </c>
      <c r="R1614" s="907">
        <f>COUNTIF(PoderesDeCriatura_Adquiridos,Tablas!O1614)</f>
        <v>0</v>
      </c>
      <c r="S1614" s="173"/>
      <c r="T1614" s="898"/>
      <c r="U1614" s="249"/>
    </row>
    <row r="1615" spans="1:21" ht="12.75" customHeight="1">
      <c r="A1615" s="219">
        <v>1551</v>
      </c>
      <c r="B1615" s="7145"/>
      <c r="C1615" s="510"/>
      <c r="H1615"/>
      <c r="M1615" s="307"/>
      <c r="N1615" s="21"/>
      <c r="O1615" s="131" t="s">
        <v>7411</v>
      </c>
      <c r="P1615" s="900">
        <v>20</v>
      </c>
      <c r="Q1615" s="173">
        <v>-10</v>
      </c>
      <c r="R1615" s="907">
        <f>COUNTIF(PoderesDeCriatura_Adquiridos,Tablas!O1615)</f>
        <v>0</v>
      </c>
      <c r="S1615" s="173"/>
      <c r="T1615" s="898"/>
      <c r="U1615" s="249"/>
    </row>
    <row r="1616" spans="1:21" ht="12.75" customHeight="1">
      <c r="A1616" s="219">
        <v>1552</v>
      </c>
      <c r="B1616" s="7145"/>
      <c r="C1616" s="510"/>
      <c r="H1616"/>
      <c r="M1616" s="307"/>
      <c r="N1616" s="21"/>
      <c r="O1616" s="131" t="s">
        <v>7412</v>
      </c>
      <c r="P1616" s="900">
        <v>25</v>
      </c>
      <c r="Q1616" s="173">
        <v>-10</v>
      </c>
      <c r="R1616" s="907">
        <f>COUNTIF(PoderesDeCriatura_Adquiridos,Tablas!O1616)</f>
        <v>0</v>
      </c>
      <c r="S1616" s="173"/>
      <c r="T1616" s="898"/>
      <c r="U1616" s="249"/>
    </row>
    <row r="1617" spans="1:21" ht="12.75" customHeight="1">
      <c r="A1617" s="219">
        <v>1553</v>
      </c>
      <c r="B1617" s="7145"/>
      <c r="C1617" s="510"/>
      <c r="H1617"/>
      <c r="M1617" s="307"/>
      <c r="N1617" s="21"/>
      <c r="O1617" s="131" t="s">
        <v>7901</v>
      </c>
      <c r="P1617" s="900">
        <v>20</v>
      </c>
      <c r="Q1617" s="173">
        <v>-10</v>
      </c>
      <c r="R1617" s="907">
        <f>COUNTIF(PoderesDeCriatura_Adquiridos,Tablas!O1617)</f>
        <v>0</v>
      </c>
      <c r="S1617" s="173"/>
      <c r="T1617" s="898"/>
      <c r="U1617" s="249"/>
    </row>
    <row r="1618" spans="1:21" ht="12.75" customHeight="1">
      <c r="A1618" s="219">
        <v>1554</v>
      </c>
      <c r="B1618" s="7145"/>
      <c r="C1618" s="510"/>
      <c r="H1618"/>
      <c r="M1618" s="307"/>
      <c r="N1618" s="21"/>
      <c r="O1618" s="131" t="s">
        <v>9516</v>
      </c>
      <c r="P1618" s="900">
        <v>20</v>
      </c>
      <c r="Q1618" s="173">
        <v>-10</v>
      </c>
      <c r="R1618" s="907">
        <f>COUNTIF(PoderesDeCriatura_Adquiridos,Tablas!O1618)</f>
        <v>0</v>
      </c>
      <c r="S1618" s="173"/>
      <c r="T1618" s="898"/>
      <c r="U1618" s="249"/>
    </row>
    <row r="1619" spans="1:21" ht="12.75" customHeight="1">
      <c r="A1619" s="219">
        <v>1555</v>
      </c>
      <c r="B1619" s="7145"/>
      <c r="C1619" s="510"/>
      <c r="H1619"/>
      <c r="M1619" s="307"/>
      <c r="N1619" s="21"/>
      <c r="O1619" s="1" t="s">
        <v>7413</v>
      </c>
      <c r="P1619" s="900">
        <v>20</v>
      </c>
      <c r="Q1619" s="173">
        <v>-20</v>
      </c>
      <c r="R1619" s="907">
        <f>COUNTIF(PoderesDeCriatura_Adquiridos,Tablas!O1619)</f>
        <v>0</v>
      </c>
      <c r="S1619" s="173"/>
      <c r="T1619" s="898"/>
      <c r="U1619" s="249"/>
    </row>
    <row r="1620" spans="1:21" ht="12.75" customHeight="1">
      <c r="A1620" s="219">
        <v>1556</v>
      </c>
      <c r="B1620" s="7145"/>
      <c r="C1620" s="510"/>
      <c r="H1620"/>
      <c r="M1620" s="307"/>
      <c r="N1620" s="21"/>
      <c r="O1620" s="131" t="s">
        <v>7414</v>
      </c>
      <c r="P1620" s="900">
        <v>20</v>
      </c>
      <c r="Q1620" s="173">
        <v>-15</v>
      </c>
      <c r="R1620" s="907">
        <f>COUNTIF(PoderesDeCriatura_Adquiridos,Tablas!O1620)</f>
        <v>0</v>
      </c>
      <c r="S1620" s="173"/>
      <c r="T1620" s="898"/>
      <c r="U1620" s="249"/>
    </row>
    <row r="1621" spans="1:21" ht="12.75" customHeight="1">
      <c r="A1621" s="219">
        <v>1557</v>
      </c>
      <c r="B1621" s="7145"/>
      <c r="C1621" s="510"/>
      <c r="H1621"/>
      <c r="M1621" s="307"/>
      <c r="N1621" s="21"/>
      <c r="O1621" s="131" t="s">
        <v>7415</v>
      </c>
      <c r="P1621" s="900">
        <v>20</v>
      </c>
      <c r="Q1621" s="173">
        <v>-10</v>
      </c>
      <c r="R1621" s="907">
        <f>COUNTIF(PoderesDeCriatura_Adquiridos,Tablas!O1621)</f>
        <v>0</v>
      </c>
      <c r="S1621" s="173"/>
      <c r="T1621" s="898"/>
      <c r="U1621" s="249"/>
    </row>
    <row r="1622" spans="1:21" ht="12.75" customHeight="1">
      <c r="A1622" s="219">
        <v>1558</v>
      </c>
      <c r="B1622" s="7145"/>
      <c r="C1622" s="510"/>
      <c r="H1622"/>
      <c r="M1622" s="307"/>
      <c r="N1622" s="21"/>
      <c r="O1622" s="131" t="s">
        <v>7416</v>
      </c>
      <c r="P1622" s="900">
        <v>20</v>
      </c>
      <c r="Q1622" s="173">
        <v>-30</v>
      </c>
      <c r="R1622" s="907">
        <f>COUNTIF(PoderesDeCriatura_Adquiridos,Tablas!O1622)</f>
        <v>0</v>
      </c>
      <c r="S1622" s="173"/>
      <c r="T1622" s="898"/>
    </row>
    <row r="1623" spans="1:21" ht="12.75" customHeight="1">
      <c r="A1623" s="219">
        <v>1559</v>
      </c>
      <c r="B1623" s="7145"/>
      <c r="C1623" s="510"/>
      <c r="H1623"/>
      <c r="M1623" s="307"/>
      <c r="N1623" s="21"/>
      <c r="O1623" s="131" t="s">
        <v>7417</v>
      </c>
      <c r="P1623" s="900">
        <v>20</v>
      </c>
      <c r="Q1623" s="173">
        <v>-10</v>
      </c>
      <c r="R1623" s="907">
        <f>COUNTIF(PoderesDeCriatura_Adquiridos,Tablas!O1623)</f>
        <v>0</v>
      </c>
      <c r="S1623" s="173"/>
      <c r="T1623" s="898"/>
    </row>
    <row r="1624" spans="1:21" ht="12.75" customHeight="1">
      <c r="A1624" s="219">
        <v>1560</v>
      </c>
      <c r="B1624" s="7145"/>
      <c r="C1624" s="510"/>
      <c r="H1624"/>
      <c r="M1624" s="307"/>
      <c r="N1624" s="21"/>
      <c r="O1624" s="131" t="s">
        <v>7418</v>
      </c>
      <c r="P1624" s="900">
        <v>20</v>
      </c>
      <c r="Q1624" s="173">
        <v>-15</v>
      </c>
      <c r="R1624" s="907">
        <f>COUNTIF(PoderesDeCriatura_Adquiridos,Tablas!O1624)</f>
        <v>0</v>
      </c>
      <c r="S1624" s="173"/>
      <c r="T1624" s="898"/>
    </row>
    <row r="1625" spans="1:21" ht="12.75" customHeight="1">
      <c r="A1625" s="219">
        <v>1561</v>
      </c>
      <c r="B1625" s="7145"/>
      <c r="C1625" s="510"/>
      <c r="H1625"/>
      <c r="M1625" s="307"/>
      <c r="N1625" s="21"/>
      <c r="O1625" s="131" t="s">
        <v>7419</v>
      </c>
      <c r="P1625" s="900">
        <v>20</v>
      </c>
      <c r="Q1625" s="173">
        <v>-20</v>
      </c>
      <c r="R1625" s="907">
        <f>COUNTIF(PoderesDeCriatura_Adquiridos,Tablas!O1625)</f>
        <v>0</v>
      </c>
      <c r="S1625" s="173"/>
      <c r="T1625" s="898"/>
    </row>
    <row r="1626" spans="1:21" ht="12.75" customHeight="1">
      <c r="A1626" s="219">
        <v>1562</v>
      </c>
      <c r="B1626" s="7145"/>
      <c r="C1626" s="510"/>
      <c r="H1626"/>
      <c r="M1626" s="307"/>
      <c r="N1626" s="21"/>
      <c r="O1626" s="131" t="s">
        <v>7420</v>
      </c>
      <c r="P1626" s="900">
        <v>20</v>
      </c>
      <c r="Q1626" s="173">
        <v>-25</v>
      </c>
      <c r="R1626" s="907">
        <f>COUNTIF(PoderesDeCriatura_Adquiridos,Tablas!O1626)</f>
        <v>0</v>
      </c>
      <c r="S1626" s="173"/>
      <c r="T1626" s="898"/>
    </row>
    <row r="1627" spans="1:21" ht="12.75" customHeight="1">
      <c r="A1627" s="219">
        <v>1563</v>
      </c>
      <c r="B1627" s="7145"/>
      <c r="C1627" s="510"/>
      <c r="H1627"/>
      <c r="M1627" s="3977"/>
      <c r="N1627" s="3814"/>
      <c r="O1627" s="3915" t="s">
        <v>7421</v>
      </c>
      <c r="P1627" s="3978">
        <f>IF(General!T65="Xavi",10,0)</f>
        <v>0</v>
      </c>
      <c r="Q1627" s="3979">
        <v>10</v>
      </c>
      <c r="R1627" s="3980">
        <f>COUNTIF(PoderesDeCriatura_Adquiridos,Tablas!O1627)</f>
        <v>0</v>
      </c>
      <c r="S1627" s="3979"/>
      <c r="T1627" s="3981"/>
    </row>
    <row r="1628" spans="1:21" ht="12.75" customHeight="1">
      <c r="A1628" s="219">
        <v>1564</v>
      </c>
      <c r="B1628" s="7145"/>
      <c r="C1628" s="510"/>
      <c r="H1628"/>
      <c r="M1628" s="3977"/>
      <c r="N1628" s="3814"/>
      <c r="O1628" s="3915" t="s">
        <v>7422</v>
      </c>
      <c r="P1628" s="3978">
        <f>IF(General!T65="Xavi",20,0)</f>
        <v>0</v>
      </c>
      <c r="Q1628" s="3979">
        <v>15</v>
      </c>
      <c r="R1628" s="3980">
        <f>COUNTIF(PoderesDeCriatura_Adquiridos,Tablas!O1628)</f>
        <v>0</v>
      </c>
      <c r="S1628" s="3979"/>
      <c r="T1628" s="3981"/>
    </row>
    <row r="1629" spans="1:21" ht="12.75" customHeight="1">
      <c r="A1629" s="219">
        <v>1565</v>
      </c>
      <c r="B1629" s="7145"/>
      <c r="C1629" s="510"/>
      <c r="H1629"/>
      <c r="M1629" s="3977"/>
      <c r="N1629" s="3814"/>
      <c r="O1629" s="3915" t="s">
        <v>7423</v>
      </c>
      <c r="P1629" s="3978">
        <f>IF(General!T65="Xavi",20,5)</f>
        <v>5</v>
      </c>
      <c r="Q1629" s="3979">
        <v>20</v>
      </c>
      <c r="R1629" s="3980">
        <f>COUNTIF(PoderesDeCriatura_Adquiridos,Tablas!O1629)</f>
        <v>0</v>
      </c>
      <c r="S1629" s="3979"/>
      <c r="T1629" s="3981"/>
    </row>
    <row r="1630" spans="1:21" ht="12.75" customHeight="1">
      <c r="A1630" s="219">
        <v>1566</v>
      </c>
      <c r="B1630" s="7145"/>
      <c r="C1630" s="510"/>
      <c r="H1630"/>
      <c r="M1630" s="3977"/>
      <c r="N1630" s="3814"/>
      <c r="O1630" s="3915" t="s">
        <v>7424</v>
      </c>
      <c r="P1630" s="3978">
        <f>IF(General!T65="Xavi",25,5)</f>
        <v>5</v>
      </c>
      <c r="Q1630" s="3979">
        <v>30</v>
      </c>
      <c r="R1630" s="3980">
        <f>COUNTIF(PoderesDeCriatura_Adquiridos,Tablas!O1630)</f>
        <v>0</v>
      </c>
      <c r="S1630" s="3979"/>
      <c r="T1630" s="3981"/>
    </row>
    <row r="1631" spans="1:21" ht="12.75" customHeight="1">
      <c r="A1631" s="219">
        <v>1567</v>
      </c>
      <c r="B1631" s="7145"/>
      <c r="C1631" s="510"/>
      <c r="H1631"/>
      <c r="M1631" s="3977"/>
      <c r="N1631" s="3814"/>
      <c r="O1631" s="3915" t="s">
        <v>7425</v>
      </c>
      <c r="P1631" s="3978">
        <f>IF(General!T65="Xavi",25,10)</f>
        <v>10</v>
      </c>
      <c r="Q1631" s="3979">
        <v>40</v>
      </c>
      <c r="R1631" s="3980">
        <f>COUNTIF(PoderesDeCriatura_Adquiridos,Tablas!O1631)</f>
        <v>0</v>
      </c>
      <c r="S1631" s="3979"/>
      <c r="T1631" s="3981"/>
    </row>
    <row r="1632" spans="1:21" ht="12.75" customHeight="1">
      <c r="A1632" s="219">
        <v>1568</v>
      </c>
      <c r="B1632" s="7145"/>
      <c r="C1632" s="510"/>
      <c r="H1632"/>
      <c r="M1632" s="3977"/>
      <c r="N1632" s="3814"/>
      <c r="O1632" s="3915" t="s">
        <v>7426</v>
      </c>
      <c r="P1632" s="3978">
        <v>15</v>
      </c>
      <c r="Q1632" s="3979">
        <v>50</v>
      </c>
      <c r="R1632" s="3980">
        <f>COUNTIF(PoderesDeCriatura_Adquiridos,Tablas!O1632)</f>
        <v>0</v>
      </c>
      <c r="S1632" s="3979"/>
      <c r="T1632" s="3981"/>
    </row>
    <row r="1633" spans="1:21" ht="12.75" customHeight="1">
      <c r="A1633" s="219">
        <v>1569</v>
      </c>
      <c r="B1633" s="7145"/>
      <c r="C1633" s="510"/>
      <c r="H1633"/>
      <c r="M1633" s="3977"/>
      <c r="N1633" s="3814"/>
      <c r="O1633" s="3915" t="s">
        <v>7427</v>
      </c>
      <c r="P1633" s="3978">
        <v>20</v>
      </c>
      <c r="Q1633" s="3979">
        <v>60</v>
      </c>
      <c r="R1633" s="3980">
        <f>COUNTIF(PoderesDeCriatura_Adquiridos,Tablas!O1633)</f>
        <v>0</v>
      </c>
      <c r="S1633" s="3979"/>
      <c r="T1633" s="3981"/>
    </row>
    <row r="1634" spans="1:21" ht="12.75" customHeight="1">
      <c r="A1634" s="219">
        <v>1570</v>
      </c>
      <c r="B1634" s="7145"/>
      <c r="C1634" s="510"/>
      <c r="H1634"/>
      <c r="M1634" s="307"/>
      <c r="N1634" s="21"/>
      <c r="O1634" s="131" t="s">
        <v>1182</v>
      </c>
      <c r="P1634" s="900"/>
      <c r="Q1634" s="173"/>
      <c r="R1634" s="907"/>
      <c r="S1634" s="173"/>
      <c r="T1634" s="898"/>
      <c r="U1634" s="249"/>
    </row>
    <row r="1635" spans="1:21" ht="12.75" customHeight="1">
      <c r="A1635" s="219">
        <v>1571</v>
      </c>
      <c r="B1635" s="7145"/>
      <c r="C1635" s="510"/>
      <c r="H1635"/>
      <c r="M1635" s="307"/>
      <c r="N1635" s="21"/>
      <c r="O1635" s="131" t="s">
        <v>7428</v>
      </c>
      <c r="P1635" s="900">
        <v>0</v>
      </c>
      <c r="Q1635" s="173">
        <v>10</v>
      </c>
      <c r="R1635" s="907">
        <f>COUNTIF(PoderesDeCriatura_Adquiridos,Tablas!O1635)</f>
        <v>0</v>
      </c>
      <c r="S1635" s="173">
        <f t="array" ref="S1635">IF(R1646&gt;0,0,MAX($R$1635:$R$1645*VALUE(RIGHT($O$1635:$O$1645,2))))</f>
        <v>0</v>
      </c>
      <c r="T1635" s="898" t="s">
        <v>1410</v>
      </c>
      <c r="U1635" s="249"/>
    </row>
    <row r="1636" spans="1:21" ht="12.75" customHeight="1">
      <c r="A1636" s="219">
        <v>1572</v>
      </c>
      <c r="B1636" s="7145"/>
      <c r="C1636" s="510"/>
      <c r="H1636"/>
      <c r="M1636" s="307"/>
      <c r="N1636" s="21"/>
      <c r="O1636" s="131" t="s">
        <v>7429</v>
      </c>
      <c r="P1636" s="900">
        <v>0</v>
      </c>
      <c r="Q1636" s="173">
        <v>20</v>
      </c>
      <c r="R1636" s="907">
        <f>COUNTIF(PoderesDeCriatura_Adquiridos,Tablas!O1636)</f>
        <v>0</v>
      </c>
      <c r="S1636" s="173">
        <f t="array" ref="S1636">IF(R1647&gt;0,0,MAX($R$1635:$R$1645*VALUE(RIGHT($O$1635:$O$1645,2))))</f>
        <v>0</v>
      </c>
      <c r="T1636" s="898" t="s">
        <v>1357</v>
      </c>
      <c r="U1636" s="249"/>
    </row>
    <row r="1637" spans="1:21" ht="12.75" customHeight="1">
      <c r="A1637" s="219">
        <v>1573</v>
      </c>
      <c r="B1637" s="7145"/>
      <c r="C1637" s="510"/>
      <c r="H1637"/>
      <c r="M1637" s="307"/>
      <c r="N1637" s="21"/>
      <c r="O1637" s="131" t="s">
        <v>7430</v>
      </c>
      <c r="P1637" s="900">
        <v>0</v>
      </c>
      <c r="Q1637" s="173">
        <v>30</v>
      </c>
      <c r="R1637" s="907">
        <f>COUNTIF(PoderesDeCriatura_Adquiridos,Tablas!O1637)</f>
        <v>0</v>
      </c>
      <c r="S1637" s="173">
        <f t="array" ref="S1637">IF(R1648&gt;0,0,MAX($R$1635:$R$1645*VALUE(RIGHT($O$1635:$O$1645,2))))</f>
        <v>0</v>
      </c>
      <c r="T1637" s="898" t="s">
        <v>1411</v>
      </c>
      <c r="U1637" s="249"/>
    </row>
    <row r="1638" spans="1:21" ht="12.75" customHeight="1">
      <c r="A1638" s="219">
        <v>1574</v>
      </c>
      <c r="B1638" s="7145"/>
      <c r="C1638" s="510"/>
      <c r="H1638"/>
      <c r="M1638" s="307"/>
      <c r="N1638" s="21"/>
      <c r="O1638" s="131" t="s">
        <v>7431</v>
      </c>
      <c r="P1638" s="900">
        <v>5</v>
      </c>
      <c r="Q1638" s="173">
        <v>40</v>
      </c>
      <c r="R1638" s="907">
        <f>COUNTIF(PoderesDeCriatura_Adquiridos,Tablas!O1638)</f>
        <v>0</v>
      </c>
      <c r="S1638" s="173">
        <f t="array" ref="S1638">IF(R1649&gt;0,0,MAX($R$1635:$R$1645*VALUE(RIGHT($O$1635:$O$1645,2))))</f>
        <v>0</v>
      </c>
      <c r="T1638" s="898" t="s">
        <v>1412</v>
      </c>
      <c r="U1638" s="249"/>
    </row>
    <row r="1639" spans="1:21" ht="12.75" customHeight="1">
      <c r="A1639" s="219">
        <v>1575</v>
      </c>
      <c r="B1639" s="7145"/>
      <c r="C1639" s="510"/>
      <c r="H1639"/>
      <c r="M1639" s="307"/>
      <c r="N1639" s="21"/>
      <c r="O1639" s="131" t="s">
        <v>7432</v>
      </c>
      <c r="P1639" s="900">
        <v>10</v>
      </c>
      <c r="Q1639" s="173">
        <v>50</v>
      </c>
      <c r="R1639" s="907">
        <f>COUNTIF(PoderesDeCriatura_Adquiridos,Tablas!O1639)</f>
        <v>0</v>
      </c>
      <c r="S1639" s="173">
        <f t="array" ref="S1639">IF(R1650&gt;0,0,MAX($R$1635:$R$1645*VALUE(RIGHT($O$1635:$O$1645,2))))</f>
        <v>0</v>
      </c>
      <c r="T1639" s="898" t="s">
        <v>1413</v>
      </c>
      <c r="U1639" s="249"/>
    </row>
    <row r="1640" spans="1:21" ht="12.75" customHeight="1">
      <c r="A1640" s="219">
        <v>1576</v>
      </c>
      <c r="B1640" s="7145"/>
      <c r="C1640" s="510"/>
      <c r="H1640"/>
      <c r="M1640" s="307"/>
      <c r="N1640" s="21"/>
      <c r="O1640" s="131" t="s">
        <v>7433</v>
      </c>
      <c r="P1640" s="900">
        <v>15</v>
      </c>
      <c r="Q1640" s="173">
        <v>60</v>
      </c>
      <c r="R1640" s="907">
        <f>COUNTIF(PoderesDeCriatura_Adquiridos,Tablas!O1640)</f>
        <v>0</v>
      </c>
      <c r="S1640" s="173">
        <f t="array" ref="S1640">IF(R1651&gt;0,0,MAX($R$1635:$R$1645*VALUE(RIGHT($O$1635:$O$1645,2))))</f>
        <v>0</v>
      </c>
      <c r="T1640" s="898" t="s">
        <v>1414</v>
      </c>
      <c r="U1640" s="249"/>
    </row>
    <row r="1641" spans="1:21" ht="12.75" customHeight="1">
      <c r="A1641" s="219">
        <v>1577</v>
      </c>
      <c r="B1641" s="7145"/>
      <c r="C1641" s="510"/>
      <c r="H1641"/>
      <c r="M1641" s="307"/>
      <c r="N1641" s="21"/>
      <c r="O1641" s="131" t="s">
        <v>7434</v>
      </c>
      <c r="P1641" s="900">
        <v>20</v>
      </c>
      <c r="Q1641" s="173">
        <v>80</v>
      </c>
      <c r="R1641" s="907">
        <f>COUNTIF(PoderesDeCriatura_Adquiridos,Tablas!O1641)</f>
        <v>0</v>
      </c>
      <c r="S1641" s="173">
        <f t="array" ref="S1641">MAX($R$1653:$R$1660*VALUE(RIGHT($O$1653:$O$1660,2)))</f>
        <v>0</v>
      </c>
      <c r="T1641" s="898" t="s">
        <v>1415</v>
      </c>
      <c r="U1641" s="249"/>
    </row>
    <row r="1642" spans="1:21" ht="12.75" customHeight="1">
      <c r="A1642" s="219">
        <v>1578</v>
      </c>
      <c r="B1642" s="7145"/>
      <c r="C1642" s="510"/>
      <c r="H1642"/>
      <c r="M1642" s="307"/>
      <c r="N1642" s="21"/>
      <c r="O1642" s="131" t="s">
        <v>7435</v>
      </c>
      <c r="P1642" s="900">
        <v>25</v>
      </c>
      <c r="Q1642" s="173">
        <v>100</v>
      </c>
      <c r="R1642" s="907">
        <f>COUNTIF(PoderesDeCriatura_Adquiridos,Tablas!O1642)</f>
        <v>0</v>
      </c>
      <c r="S1642" s="173"/>
      <c r="T1642" s="898"/>
      <c r="U1642" s="249"/>
    </row>
    <row r="1643" spans="1:21" ht="12.75" customHeight="1">
      <c r="A1643" s="219">
        <v>1579</v>
      </c>
      <c r="B1643" s="7145"/>
      <c r="C1643" s="510"/>
      <c r="H1643"/>
      <c r="M1643" s="307"/>
      <c r="N1643" s="21"/>
      <c r="O1643" s="131" t="s">
        <v>7436</v>
      </c>
      <c r="P1643" s="900">
        <v>30</v>
      </c>
      <c r="Q1643" s="173">
        <v>120</v>
      </c>
      <c r="R1643" s="907">
        <f>COUNTIF(PoderesDeCriatura_Adquiridos,Tablas!O1643)</f>
        <v>0</v>
      </c>
      <c r="S1643" s="173"/>
      <c r="T1643" s="898"/>
      <c r="U1643" s="249"/>
    </row>
    <row r="1644" spans="1:21" ht="12.75" customHeight="1">
      <c r="A1644" s="219">
        <v>1580</v>
      </c>
      <c r="B1644" s="7145"/>
      <c r="C1644" s="510"/>
      <c r="H1644"/>
      <c r="M1644" s="307"/>
      <c r="N1644" s="21"/>
      <c r="O1644" s="131" t="s">
        <v>7437</v>
      </c>
      <c r="P1644" s="900">
        <v>35</v>
      </c>
      <c r="Q1644" s="173">
        <v>140</v>
      </c>
      <c r="R1644" s="907">
        <f>COUNTIF(PoderesDeCriatura_Adquiridos,Tablas!O1644)</f>
        <v>0</v>
      </c>
      <c r="S1644" s="173"/>
      <c r="T1644" s="898"/>
      <c r="U1644" s="249"/>
    </row>
    <row r="1645" spans="1:21" ht="12.75" customHeight="1">
      <c r="A1645" s="219">
        <v>1581</v>
      </c>
      <c r="B1645" s="7145"/>
      <c r="C1645" s="510"/>
      <c r="H1645"/>
      <c r="M1645" s="307"/>
      <c r="N1645" s="21"/>
      <c r="O1645" s="131" t="s">
        <v>7438</v>
      </c>
      <c r="P1645" s="900">
        <v>40</v>
      </c>
      <c r="Q1645" s="173">
        <v>180</v>
      </c>
      <c r="R1645" s="907">
        <f>COUNTIF(PoderesDeCriatura_Adquiridos,Tablas!O1645)</f>
        <v>0</v>
      </c>
      <c r="S1645" s="173"/>
      <c r="T1645" s="898"/>
      <c r="U1645" s="249"/>
    </row>
    <row r="1646" spans="1:21" ht="12.75" customHeight="1">
      <c r="A1646" s="219">
        <v>1582</v>
      </c>
      <c r="B1646" s="7145"/>
      <c r="C1646" s="510"/>
      <c r="H1646"/>
      <c r="M1646" s="307"/>
      <c r="N1646" s="21"/>
      <c r="O1646" s="131" t="s">
        <v>7439</v>
      </c>
      <c r="P1646" s="900">
        <v>0</v>
      </c>
      <c r="Q1646" s="173">
        <v>-10</v>
      </c>
      <c r="R1646" s="907">
        <f>COUNTIF(PoderesDeCriatura_Adquiridos,Tablas!O1646)</f>
        <v>0</v>
      </c>
      <c r="S1646" s="173"/>
      <c r="T1646" s="898"/>
      <c r="U1646" s="249"/>
    </row>
    <row r="1647" spans="1:21" ht="12.75" customHeight="1">
      <c r="A1647" s="219">
        <v>1583</v>
      </c>
      <c r="B1647" s="7145"/>
      <c r="C1647" s="510"/>
      <c r="H1647"/>
      <c r="M1647" s="307"/>
      <c r="N1647" s="21"/>
      <c r="O1647" s="131" t="s">
        <v>7440</v>
      </c>
      <c r="P1647" s="900">
        <v>0</v>
      </c>
      <c r="Q1647" s="173">
        <v>-10</v>
      </c>
      <c r="R1647" s="907">
        <f>COUNTIF(PoderesDeCriatura_Adquiridos,Tablas!O1647)</f>
        <v>0</v>
      </c>
      <c r="S1647" s="173"/>
      <c r="T1647" s="898"/>
      <c r="U1647" s="249"/>
    </row>
    <row r="1648" spans="1:21" ht="12.75" customHeight="1">
      <c r="A1648" s="219">
        <v>1584</v>
      </c>
      <c r="B1648" s="7145"/>
      <c r="C1648" s="510"/>
      <c r="H1648"/>
      <c r="M1648" s="307"/>
      <c r="N1648" s="21"/>
      <c r="O1648" s="131" t="s">
        <v>7441</v>
      </c>
      <c r="P1648" s="900">
        <v>0</v>
      </c>
      <c r="Q1648" s="173">
        <v>-10</v>
      </c>
      <c r="R1648" s="907">
        <f>COUNTIF(PoderesDeCriatura_Adquiridos,Tablas!O1648)</f>
        <v>0</v>
      </c>
      <c r="S1648" s="173"/>
      <c r="T1648" s="898"/>
      <c r="U1648" s="249"/>
    </row>
    <row r="1649" spans="1:21" ht="12.75" customHeight="1">
      <c r="A1649" s="219">
        <v>1585</v>
      </c>
      <c r="B1649" s="7145"/>
      <c r="C1649" s="510"/>
      <c r="H1649"/>
      <c r="M1649" s="307"/>
      <c r="N1649" s="21"/>
      <c r="O1649" s="131" t="s">
        <v>7442</v>
      </c>
      <c r="P1649" s="900">
        <v>0</v>
      </c>
      <c r="Q1649" s="173">
        <v>-10</v>
      </c>
      <c r="R1649" s="907">
        <f>COUNTIF(PoderesDeCriatura_Adquiridos,Tablas!O1649)</f>
        <v>0</v>
      </c>
      <c r="S1649" s="173"/>
      <c r="T1649" s="898"/>
      <c r="U1649" s="249"/>
    </row>
    <row r="1650" spans="1:21" ht="12.75" customHeight="1">
      <c r="A1650" s="219">
        <v>1586</v>
      </c>
      <c r="B1650" s="7145"/>
      <c r="C1650" s="510"/>
      <c r="H1650"/>
      <c r="M1650" s="307"/>
      <c r="N1650" s="21"/>
      <c r="O1650" s="131" t="s">
        <v>7443</v>
      </c>
      <c r="P1650" s="900">
        <v>0</v>
      </c>
      <c r="Q1650" s="173">
        <v>-10</v>
      </c>
      <c r="R1650" s="907">
        <f>COUNTIF(PoderesDeCriatura_Adquiridos,Tablas!O1650)</f>
        <v>0</v>
      </c>
      <c r="S1650" s="173"/>
      <c r="T1650" s="898"/>
      <c r="U1650" s="249"/>
    </row>
    <row r="1651" spans="1:21" ht="12.75" customHeight="1">
      <c r="A1651" s="219">
        <v>1587</v>
      </c>
      <c r="B1651" s="7145"/>
      <c r="C1651" s="510"/>
      <c r="H1651"/>
      <c r="M1651" s="307"/>
      <c r="N1651" s="21"/>
      <c r="O1651" s="131" t="s">
        <v>7444</v>
      </c>
      <c r="P1651" s="900">
        <v>0</v>
      </c>
      <c r="Q1651" s="173">
        <v>-10</v>
      </c>
      <c r="R1651" s="907">
        <f>COUNTIF(PoderesDeCriatura_Adquiridos,Tablas!O1651)</f>
        <v>0</v>
      </c>
      <c r="S1651" s="173"/>
      <c r="T1651" s="898"/>
      <c r="U1651" s="249"/>
    </row>
    <row r="1652" spans="1:21" ht="12.75" customHeight="1">
      <c r="A1652" s="219">
        <v>1588</v>
      </c>
      <c r="B1652" s="7145"/>
      <c r="C1652" s="510"/>
      <c r="H1652"/>
      <c r="M1652" s="307"/>
      <c r="N1652" s="21"/>
      <c r="O1652" s="131" t="s">
        <v>7445</v>
      </c>
      <c r="P1652" s="900">
        <v>0</v>
      </c>
      <c r="Q1652" s="173">
        <v>-10</v>
      </c>
      <c r="R1652" s="907">
        <f>COUNTIF(PoderesDeCriatura_Adquiridos,Tablas!O1652)</f>
        <v>0</v>
      </c>
      <c r="S1652" s="173"/>
      <c r="T1652" s="898"/>
      <c r="U1652" s="249"/>
    </row>
    <row r="1653" spans="1:21" ht="12.75" customHeight="1">
      <c r="A1653" s="219">
        <v>1589</v>
      </c>
      <c r="B1653" s="7145"/>
      <c r="C1653" s="510"/>
      <c r="H1653"/>
      <c r="M1653" s="307"/>
      <c r="N1653" s="21"/>
      <c r="O1653" s="131" t="s">
        <v>7446</v>
      </c>
      <c r="P1653" s="900">
        <v>5</v>
      </c>
      <c r="Q1653" s="173">
        <v>10</v>
      </c>
      <c r="R1653" s="907">
        <f>COUNTIF(PoderesDeCriatura_Adquiridos,Tablas!O1653)</f>
        <v>0</v>
      </c>
      <c r="S1653" s="173"/>
      <c r="T1653" s="898"/>
      <c r="U1653" s="249"/>
    </row>
    <row r="1654" spans="1:21" ht="12.75" customHeight="1">
      <c r="A1654" s="219">
        <v>1590</v>
      </c>
      <c r="B1654" s="7145"/>
      <c r="C1654" s="510"/>
      <c r="H1654"/>
      <c r="M1654" s="307"/>
      <c r="N1654" s="21"/>
      <c r="O1654" s="131" t="s">
        <v>7447</v>
      </c>
      <c r="P1654" s="900">
        <v>10</v>
      </c>
      <c r="Q1654" s="173">
        <v>20</v>
      </c>
      <c r="R1654" s="907">
        <f>COUNTIF(PoderesDeCriatura_Adquiridos,Tablas!O1654)</f>
        <v>0</v>
      </c>
      <c r="S1654" s="173"/>
      <c r="T1654" s="898"/>
      <c r="U1654" s="249"/>
    </row>
    <row r="1655" spans="1:21" ht="12.75" customHeight="1">
      <c r="A1655" s="219">
        <v>1591</v>
      </c>
      <c r="B1655" s="7145"/>
      <c r="C1655" s="510"/>
      <c r="H1655"/>
      <c r="M1655" s="307"/>
      <c r="N1655" s="21"/>
      <c r="O1655" s="131" t="s">
        <v>7448</v>
      </c>
      <c r="P1655" s="900">
        <v>15</v>
      </c>
      <c r="Q1655" s="173">
        <v>30</v>
      </c>
      <c r="R1655" s="907">
        <f>COUNTIF(PoderesDeCriatura_Adquiridos,Tablas!O1655)</f>
        <v>0</v>
      </c>
      <c r="S1655" s="173"/>
      <c r="T1655" s="898"/>
      <c r="U1655" s="249"/>
    </row>
    <row r="1656" spans="1:21" ht="12.75" customHeight="1">
      <c r="A1656" s="219">
        <v>1592</v>
      </c>
      <c r="B1656" s="7145"/>
      <c r="C1656" s="510"/>
      <c r="H1656"/>
      <c r="M1656" s="307"/>
      <c r="N1656" s="21"/>
      <c r="O1656" s="131" t="s">
        <v>7449</v>
      </c>
      <c r="P1656" s="900">
        <v>20</v>
      </c>
      <c r="Q1656" s="173">
        <v>40</v>
      </c>
      <c r="R1656" s="907">
        <f>COUNTIF(PoderesDeCriatura_Adquiridos,Tablas!O1656)</f>
        <v>0</v>
      </c>
      <c r="S1656" s="173"/>
      <c r="T1656" s="898"/>
      <c r="U1656" s="249"/>
    </row>
    <row r="1657" spans="1:21" ht="12.75" customHeight="1">
      <c r="A1657" s="219">
        <v>1593</v>
      </c>
      <c r="B1657" s="7145"/>
      <c r="C1657" s="510"/>
      <c r="H1657"/>
      <c r="M1657" s="307"/>
      <c r="N1657" s="21"/>
      <c r="O1657" s="131" t="s">
        <v>7450</v>
      </c>
      <c r="P1657" s="900">
        <v>25</v>
      </c>
      <c r="Q1657" s="173">
        <v>50</v>
      </c>
      <c r="R1657" s="907">
        <f>COUNTIF(PoderesDeCriatura_Adquiridos,Tablas!O1657)</f>
        <v>0</v>
      </c>
      <c r="S1657" s="173"/>
      <c r="T1657" s="898"/>
      <c r="U1657" s="249"/>
    </row>
    <row r="1658" spans="1:21" ht="12.75" customHeight="1">
      <c r="A1658" s="219">
        <v>1594</v>
      </c>
      <c r="B1658" s="7145"/>
      <c r="C1658" s="510"/>
      <c r="H1658"/>
      <c r="M1658" s="307"/>
      <c r="N1658" s="21"/>
      <c r="O1658" s="131" t="s">
        <v>7451</v>
      </c>
      <c r="P1658" s="900">
        <v>30</v>
      </c>
      <c r="Q1658" s="173">
        <v>60</v>
      </c>
      <c r="R1658" s="907">
        <f>COUNTIF(PoderesDeCriatura_Adquiridos,Tablas!O1658)</f>
        <v>0</v>
      </c>
      <c r="S1658" s="173"/>
      <c r="T1658" s="898"/>
      <c r="U1658" s="249"/>
    </row>
    <row r="1659" spans="1:21" ht="12.75" customHeight="1">
      <c r="A1659" s="219">
        <v>1595</v>
      </c>
      <c r="B1659" s="7145"/>
      <c r="C1659" s="510"/>
      <c r="H1659"/>
      <c r="M1659" s="307"/>
      <c r="N1659" s="21"/>
      <c r="O1659" s="131" t="s">
        <v>7452</v>
      </c>
      <c r="P1659" s="900">
        <v>35</v>
      </c>
      <c r="Q1659" s="173">
        <v>70</v>
      </c>
      <c r="R1659" s="907">
        <f>COUNTIF(PoderesDeCriatura_Adquiridos,Tablas!O1659)</f>
        <v>0</v>
      </c>
      <c r="S1659" s="173"/>
      <c r="T1659" s="898"/>
      <c r="U1659" s="249"/>
    </row>
    <row r="1660" spans="1:21" ht="12.75" customHeight="1">
      <c r="A1660" s="219">
        <v>1596</v>
      </c>
      <c r="B1660" s="7145"/>
      <c r="C1660" s="510"/>
      <c r="H1660"/>
      <c r="M1660" s="307"/>
      <c r="N1660" s="21"/>
      <c r="O1660" s="131" t="s">
        <v>7453</v>
      </c>
      <c r="P1660" s="900">
        <v>40</v>
      </c>
      <c r="Q1660" s="173">
        <v>80</v>
      </c>
      <c r="R1660" s="907">
        <f>COUNTIF(PoderesDeCriatura_Adquiridos,Tablas!O1660)</f>
        <v>0</v>
      </c>
      <c r="S1660" s="173"/>
      <c r="T1660" s="898"/>
      <c r="U1660" s="249"/>
    </row>
    <row r="1661" spans="1:21" ht="12.75" customHeight="1">
      <c r="A1661" s="219">
        <v>1597</v>
      </c>
      <c r="B1661" s="7145"/>
      <c r="C1661" s="510"/>
      <c r="H1661"/>
      <c r="M1661" s="307"/>
      <c r="N1661" s="21"/>
      <c r="O1661" s="131" t="s">
        <v>1183</v>
      </c>
      <c r="P1661" s="900"/>
      <c r="Q1661" s="173"/>
      <c r="R1661" s="907"/>
      <c r="S1661" s="173"/>
      <c r="T1661" s="898"/>
      <c r="U1661" s="249"/>
    </row>
    <row r="1662" spans="1:21" ht="12.75" customHeight="1">
      <c r="A1662" s="219">
        <v>1598</v>
      </c>
      <c r="B1662" s="7145"/>
      <c r="C1662" s="510"/>
      <c r="H1662"/>
      <c r="M1662" s="307"/>
      <c r="N1662" s="21"/>
      <c r="O1662" s="131" t="s">
        <v>7454</v>
      </c>
      <c r="P1662" s="900">
        <v>30</v>
      </c>
      <c r="Q1662" s="173">
        <v>30</v>
      </c>
      <c r="R1662" s="907">
        <f>COUNTIF(PoderesDeCriatura_Adquiridos,Tablas!O1662)</f>
        <v>0</v>
      </c>
      <c r="S1662" s="173"/>
      <c r="T1662" s="898"/>
      <c r="U1662" s="249"/>
    </row>
    <row r="1663" spans="1:21" ht="12.75" customHeight="1">
      <c r="A1663" s="219">
        <v>1599</v>
      </c>
      <c r="B1663" s="7145"/>
      <c r="C1663" s="510"/>
      <c r="H1663"/>
      <c r="M1663" s="307"/>
      <c r="N1663" s="21"/>
      <c r="O1663" s="131" t="s">
        <v>7455</v>
      </c>
      <c r="P1663" s="900">
        <v>20</v>
      </c>
      <c r="Q1663" s="173">
        <v>20</v>
      </c>
      <c r="R1663" s="907">
        <f>COUNTIF(PoderesDeCriatura_Adquiridos,Tablas!O1663)</f>
        <v>0</v>
      </c>
      <c r="S1663" s="173"/>
      <c r="T1663" s="898"/>
      <c r="U1663" s="249"/>
    </row>
    <row r="1664" spans="1:21" ht="12.75" customHeight="1">
      <c r="A1664" s="219">
        <v>1600</v>
      </c>
      <c r="B1664" s="7145"/>
      <c r="C1664" s="510"/>
      <c r="H1664"/>
      <c r="M1664" s="307"/>
      <c r="N1664" s="21"/>
      <c r="O1664" s="131" t="s">
        <v>7456</v>
      </c>
      <c r="P1664" s="900">
        <v>30</v>
      </c>
      <c r="Q1664" s="173">
        <v>60</v>
      </c>
      <c r="R1664" s="907">
        <f>COUNTIF(PoderesDeCriatura_Adquiridos,Tablas!O1664)</f>
        <v>0</v>
      </c>
      <c r="S1664" s="173"/>
      <c r="T1664" s="898"/>
      <c r="U1664" s="249"/>
    </row>
    <row r="1665" spans="1:21" ht="12.75" customHeight="1">
      <c r="A1665" s="219">
        <v>1601</v>
      </c>
      <c r="B1665" s="7145"/>
      <c r="C1665" s="510"/>
      <c r="H1665"/>
      <c r="M1665" s="307"/>
      <c r="N1665" s="21"/>
      <c r="O1665" s="131" t="s">
        <v>0</v>
      </c>
      <c r="P1665" s="900"/>
      <c r="Q1665" s="173"/>
      <c r="R1665" s="907"/>
      <c r="S1665" s="173"/>
      <c r="T1665" s="898"/>
      <c r="U1665" s="249"/>
    </row>
    <row r="1666" spans="1:21" ht="12.75" customHeight="1">
      <c r="A1666" s="219">
        <v>1602</v>
      </c>
      <c r="B1666" s="7145"/>
      <c r="C1666" s="510"/>
      <c r="H1666"/>
      <c r="M1666" s="307"/>
      <c r="N1666" s="21"/>
      <c r="O1666" s="131" t="s">
        <v>7457</v>
      </c>
      <c r="P1666" s="900">
        <v>20</v>
      </c>
      <c r="Q1666" s="173">
        <v>80</v>
      </c>
      <c r="R1666" s="907">
        <f>COUNTIF(PoderesDeCriatura_Adquiridos,Tablas!O1666)</f>
        <v>0</v>
      </c>
      <c r="S1666" s="173"/>
      <c r="T1666" s="898"/>
      <c r="U1666" s="249"/>
    </row>
    <row r="1667" spans="1:21" ht="12.75" customHeight="1">
      <c r="A1667" s="219">
        <v>1603</v>
      </c>
      <c r="B1667" s="7145"/>
      <c r="C1667" s="510"/>
      <c r="H1667"/>
      <c r="M1667" s="307"/>
      <c r="N1667" s="21"/>
      <c r="O1667" s="131" t="s">
        <v>7458</v>
      </c>
      <c r="P1667" s="900">
        <v>20</v>
      </c>
      <c r="Q1667" s="173">
        <v>100</v>
      </c>
      <c r="R1667" s="907">
        <f>COUNTIF(PoderesDeCriatura_Adquiridos,Tablas!O1667)</f>
        <v>0</v>
      </c>
      <c r="S1667" s="173"/>
      <c r="T1667" s="898"/>
      <c r="U1667" s="249"/>
    </row>
    <row r="1668" spans="1:21" ht="12.75" customHeight="1">
      <c r="A1668" s="219">
        <v>1604</v>
      </c>
      <c r="B1668" s="7145"/>
      <c r="C1668" s="510"/>
      <c r="H1668"/>
      <c r="M1668" s="307"/>
      <c r="N1668" s="21"/>
      <c r="O1668" s="131" t="s">
        <v>7459</v>
      </c>
      <c r="P1668" s="900">
        <v>20</v>
      </c>
      <c r="Q1668" s="173">
        <f>IF(TipoDeCriatura="No muerto, Espectro",25,100)</f>
        <v>100</v>
      </c>
      <c r="R1668" s="907">
        <f>COUNTIF(PoderesDeCriatura_Adquiridos,Tablas!O1668)</f>
        <v>0</v>
      </c>
      <c r="S1668" s="173"/>
      <c r="T1668" s="898"/>
      <c r="U1668" s="249"/>
    </row>
    <row r="1669" spans="1:21" ht="12.75" customHeight="1">
      <c r="A1669" s="219">
        <v>1605</v>
      </c>
      <c r="B1669" s="7145"/>
      <c r="C1669" s="510"/>
      <c r="H1669"/>
      <c r="M1669" s="307"/>
      <c r="N1669" s="21"/>
      <c r="O1669" s="131" t="s">
        <v>7460</v>
      </c>
      <c r="P1669" s="900">
        <v>20</v>
      </c>
      <c r="Q1669" s="173">
        <v>10</v>
      </c>
      <c r="R1669" s="907">
        <f>COUNTIF(PoderesDeCriatura_Adquiridos,Tablas!O1669)</f>
        <v>0</v>
      </c>
      <c r="S1669" s="173"/>
      <c r="T1669" s="898"/>
      <c r="U1669" s="249"/>
    </row>
    <row r="1670" spans="1:21" ht="12.75" customHeight="1">
      <c r="A1670" s="219">
        <v>1606</v>
      </c>
      <c r="B1670" s="7145"/>
      <c r="C1670" s="510"/>
      <c r="H1670"/>
      <c r="M1670" s="307"/>
      <c r="N1670" s="21"/>
      <c r="O1670" s="131" t="s">
        <v>9611</v>
      </c>
      <c r="P1670" s="2259">
        <v>30</v>
      </c>
      <c r="Q1670" s="173">
        <f>20+IF(OR(TipoDeCriatura="Entre mundos, Elemental",TipoDeCriatura="Ánima, Elemental"),10,0)</f>
        <v>20</v>
      </c>
      <c r="R1670" s="907">
        <f>COUNTIF(PoderesDeCriatura_Adquiridos,Tablas!O1670)</f>
        <v>0</v>
      </c>
      <c r="S1670" s="173"/>
      <c r="T1670" s="898"/>
      <c r="U1670" s="249"/>
    </row>
    <row r="1671" spans="1:21" ht="12.75" customHeight="1">
      <c r="A1671" s="219">
        <v>1607</v>
      </c>
      <c r="B1671" s="7145"/>
      <c r="C1671" s="510"/>
      <c r="H1671"/>
      <c r="M1671" s="307"/>
      <c r="N1671" s="21"/>
      <c r="O1671" s="131" t="s">
        <v>7461</v>
      </c>
      <c r="P1671" s="900">
        <v>20</v>
      </c>
      <c r="Q1671" s="173">
        <v>-20</v>
      </c>
      <c r="R1671" s="907">
        <f>COUNTIF(PoderesDeCriatura_Adquiridos,Tablas!O1671)</f>
        <v>0</v>
      </c>
      <c r="S1671" s="173"/>
      <c r="T1671" s="898"/>
      <c r="U1671" s="249"/>
    </row>
    <row r="1672" spans="1:21" ht="12.75" customHeight="1">
      <c r="A1672" s="219">
        <v>1608</v>
      </c>
      <c r="B1672" s="7145"/>
      <c r="C1672" s="510"/>
      <c r="H1672"/>
      <c r="M1672" s="307"/>
      <c r="N1672" s="21"/>
      <c r="O1672" s="131" t="s">
        <v>7462</v>
      </c>
      <c r="P1672" s="895">
        <v>0</v>
      </c>
      <c r="Q1672" s="84">
        <v>0</v>
      </c>
      <c r="R1672" s="907">
        <f>COUNTIF(PoderesDeCriatura_Adquiridos,Tablas!O1672)</f>
        <v>0</v>
      </c>
      <c r="S1672" s="173"/>
      <c r="T1672" s="898"/>
      <c r="U1672" s="249"/>
    </row>
    <row r="1673" spans="1:21" ht="12.75" customHeight="1">
      <c r="A1673" s="219">
        <v>1609</v>
      </c>
      <c r="B1673" s="7145"/>
      <c r="C1673" s="510"/>
      <c r="H1673"/>
      <c r="M1673" s="307"/>
      <c r="N1673" s="21"/>
      <c r="O1673" s="131" t="s">
        <v>7463</v>
      </c>
      <c r="P1673" s="895">
        <v>10</v>
      </c>
      <c r="Q1673" s="84">
        <f>5+IF(OR(TipoDeCriatura="Entre mundos, Elemental",TipoDeCriatura="Ánima, Elemental"),5,0)</f>
        <v>5</v>
      </c>
      <c r="R1673" s="907">
        <f>COUNTIF(PoderesDeCriatura_Adquiridos,Tablas!O1673)</f>
        <v>0</v>
      </c>
      <c r="S1673" s="173"/>
      <c r="T1673" s="898"/>
      <c r="U1673" s="249"/>
    </row>
    <row r="1674" spans="1:21" ht="12.75" customHeight="1">
      <c r="A1674" s="219">
        <v>1610</v>
      </c>
      <c r="B1674" s="7145"/>
      <c r="C1674" s="510"/>
      <c r="H1674"/>
      <c r="M1674" s="307"/>
      <c r="N1674" s="21"/>
      <c r="O1674" s="131" t="s">
        <v>7464</v>
      </c>
      <c r="P1674" s="895">
        <v>30</v>
      </c>
      <c r="Q1674" s="84">
        <f>100+IF(OR(TipoDeCriatura="Entre mundos, Elemental",TipoDeCriatura="Ánima, Elemental"),10,0)</f>
        <v>100</v>
      </c>
      <c r="R1674" s="907">
        <f>COUNTIF(PoderesDeCriatura_Adquiridos,Tablas!O1674)</f>
        <v>0</v>
      </c>
      <c r="S1674" s="173"/>
      <c r="T1674" s="898"/>
      <c r="U1674" s="249"/>
    </row>
    <row r="1675" spans="1:21" ht="12.75" customHeight="1">
      <c r="A1675" s="219">
        <v>1611</v>
      </c>
      <c r="B1675" s="7145"/>
      <c r="C1675" s="510"/>
      <c r="H1675"/>
      <c r="M1675" s="307"/>
      <c r="N1675" s="21"/>
      <c r="O1675" s="131" t="s">
        <v>7465</v>
      </c>
      <c r="P1675" s="900">
        <v>10</v>
      </c>
      <c r="Q1675" s="173">
        <v>-30</v>
      </c>
      <c r="R1675" s="907">
        <f>COUNTIF(PoderesDeCriatura_Adquiridos,Tablas!O1675)</f>
        <v>0</v>
      </c>
      <c r="S1675" s="173"/>
      <c r="T1675" s="898"/>
      <c r="U1675" s="249"/>
    </row>
    <row r="1676" spans="1:21" ht="12.75" customHeight="1">
      <c r="A1676" s="219">
        <v>1612</v>
      </c>
      <c r="B1676" s="7145"/>
      <c r="C1676" s="510"/>
      <c r="H1676"/>
      <c r="M1676" s="307"/>
      <c r="N1676" s="21"/>
      <c r="O1676" s="131" t="s">
        <v>7466</v>
      </c>
      <c r="P1676" s="900">
        <v>10</v>
      </c>
      <c r="Q1676" s="173">
        <v>-10</v>
      </c>
      <c r="R1676" s="907">
        <f>COUNTIF(PoderesDeCriatura_Adquiridos,Tablas!O1676)</f>
        <v>0</v>
      </c>
      <c r="S1676" s="173"/>
      <c r="T1676" s="898"/>
      <c r="U1676" s="249"/>
    </row>
    <row r="1677" spans="1:21" ht="12.75" customHeight="1">
      <c r="A1677" s="219">
        <v>1613</v>
      </c>
      <c r="B1677" s="7145"/>
      <c r="C1677" s="510"/>
      <c r="H1677"/>
      <c r="M1677" s="307"/>
      <c r="N1677" s="21"/>
      <c r="O1677" s="131" t="s">
        <v>7467</v>
      </c>
      <c r="P1677" s="900">
        <v>10</v>
      </c>
      <c r="Q1677" s="173">
        <v>-20</v>
      </c>
      <c r="R1677" s="907">
        <f>COUNTIF(PoderesDeCriatura_Adquiridos,Tablas!O1677)</f>
        <v>0</v>
      </c>
      <c r="S1677" s="173"/>
      <c r="T1677" s="898"/>
      <c r="U1677" s="249"/>
    </row>
    <row r="1678" spans="1:21" ht="12.75" customHeight="1">
      <c r="A1678" s="219">
        <v>1614</v>
      </c>
      <c r="B1678" s="7145"/>
      <c r="C1678" s="510"/>
      <c r="H1678"/>
      <c r="M1678" s="307"/>
      <c r="N1678" s="21"/>
      <c r="O1678" s="131" t="s">
        <v>7468</v>
      </c>
      <c r="P1678" s="900">
        <v>10</v>
      </c>
      <c r="Q1678" s="173">
        <v>-30</v>
      </c>
      <c r="R1678" s="907">
        <f>COUNTIF(PoderesDeCriatura_Adquiridos,Tablas!O1678)</f>
        <v>0</v>
      </c>
      <c r="S1678" s="173"/>
      <c r="T1678" s="898"/>
      <c r="U1678" s="249"/>
    </row>
    <row r="1679" spans="1:21" ht="12.75" customHeight="1">
      <c r="A1679" s="219">
        <v>1615</v>
      </c>
      <c r="B1679" s="7145"/>
      <c r="C1679" s="510"/>
      <c r="H1679"/>
      <c r="M1679" s="307"/>
      <c r="N1679" s="21"/>
      <c r="O1679" s="131" t="s">
        <v>7469</v>
      </c>
      <c r="P1679" s="900">
        <v>10</v>
      </c>
      <c r="Q1679" s="173">
        <v>-40</v>
      </c>
      <c r="R1679" s="907">
        <f>COUNTIF(PoderesDeCriatura_Adquiridos,Tablas!O1679)</f>
        <v>0</v>
      </c>
      <c r="S1679" s="173"/>
      <c r="T1679" s="898"/>
      <c r="U1679" s="249"/>
    </row>
    <row r="1680" spans="1:21" ht="12.75" customHeight="1">
      <c r="A1680" s="219">
        <v>1616</v>
      </c>
      <c r="B1680" s="7145"/>
      <c r="C1680" s="510"/>
      <c r="H1680"/>
      <c r="M1680" s="307"/>
      <c r="N1680" s="21"/>
      <c r="O1680" s="131" t="s">
        <v>7470</v>
      </c>
      <c r="P1680" s="900">
        <v>10</v>
      </c>
      <c r="Q1680" s="173">
        <v>-50</v>
      </c>
      <c r="R1680" s="907">
        <f>COUNTIF(PoderesDeCriatura_Adquiridos,Tablas!O1680)</f>
        <v>0</v>
      </c>
      <c r="S1680" s="173"/>
      <c r="T1680" s="898"/>
      <c r="U1680" s="249"/>
    </row>
    <row r="1681" spans="1:21" ht="12.75" customHeight="1">
      <c r="A1681" s="219">
        <v>1617</v>
      </c>
      <c r="B1681" s="7145"/>
      <c r="C1681" s="510"/>
      <c r="H1681"/>
      <c r="M1681" s="307"/>
      <c r="N1681" s="21"/>
      <c r="O1681" s="131" t="s">
        <v>7471</v>
      </c>
      <c r="P1681" s="895">
        <v>0</v>
      </c>
      <c r="Q1681" s="84">
        <v>0</v>
      </c>
      <c r="R1681" s="907">
        <f>COUNTIF(PoderesDeCriatura_Adquiridos,Tablas!O1681)</f>
        <v>0</v>
      </c>
      <c r="S1681" s="173"/>
      <c r="T1681" s="898"/>
      <c r="U1681" s="249"/>
    </row>
    <row r="1682" spans="1:21" ht="12.75" customHeight="1">
      <c r="A1682" s="219">
        <v>1618</v>
      </c>
      <c r="B1682" s="7145"/>
      <c r="C1682" s="510"/>
      <c r="H1682"/>
      <c r="M1682" s="307"/>
      <c r="N1682" s="21"/>
      <c r="O1682" s="131" t="s">
        <v>7472</v>
      </c>
      <c r="P1682" s="895">
        <v>10</v>
      </c>
      <c r="Q1682" s="84">
        <f>5+IF(OR(TipoDeCriatura="Entre mundos, Elemental",TipoDeCriatura="Ánima, Elemental"),5,0)</f>
        <v>5</v>
      </c>
      <c r="R1682" s="907">
        <f>COUNTIF(PoderesDeCriatura_Adquiridos,Tablas!O1682)</f>
        <v>0</v>
      </c>
      <c r="S1682" s="173"/>
      <c r="T1682" s="898"/>
      <c r="U1682" s="249"/>
    </row>
    <row r="1683" spans="1:21" ht="12.75" customHeight="1">
      <c r="A1683" s="219">
        <v>1619</v>
      </c>
      <c r="B1683" s="7145"/>
      <c r="C1683" s="510"/>
      <c r="H1683"/>
      <c r="M1683" s="307"/>
      <c r="N1683" s="21"/>
      <c r="O1683" s="131" t="s">
        <v>7473</v>
      </c>
      <c r="P1683" s="895">
        <v>25</v>
      </c>
      <c r="Q1683" s="84">
        <f>80+IF(OR(TipoDeCriatura="Entre mundos, Elemental",TipoDeCriatura="Ánima, Elemental"),10,0)</f>
        <v>80</v>
      </c>
      <c r="R1683" s="907">
        <f>COUNTIF(PoderesDeCriatura_Adquiridos,Tablas!O1683)</f>
        <v>0</v>
      </c>
      <c r="S1683" s="173"/>
      <c r="T1683" s="898"/>
      <c r="U1683" s="249"/>
    </row>
    <row r="1684" spans="1:21" ht="12.75" customHeight="1">
      <c r="A1684" s="219">
        <v>1620</v>
      </c>
      <c r="B1684" s="7145"/>
      <c r="C1684" s="510"/>
      <c r="H1684"/>
      <c r="M1684" s="307"/>
      <c r="N1684" s="21"/>
      <c r="O1684" s="131" t="s">
        <v>7474</v>
      </c>
      <c r="P1684" s="900">
        <v>10</v>
      </c>
      <c r="Q1684" s="173">
        <v>-30</v>
      </c>
      <c r="R1684" s="907">
        <f>COUNTIF(PoderesDeCriatura_Adquiridos,Tablas!O1684)</f>
        <v>0</v>
      </c>
      <c r="S1684" s="173"/>
      <c r="T1684" s="898"/>
      <c r="U1684" s="249"/>
    </row>
    <row r="1685" spans="1:21" ht="12.75" customHeight="1">
      <c r="A1685" s="219">
        <v>1621</v>
      </c>
      <c r="B1685" s="7145"/>
      <c r="C1685" s="510"/>
      <c r="H1685"/>
      <c r="M1685" s="307"/>
      <c r="N1685" s="21"/>
      <c r="O1685" s="131" t="s">
        <v>7475</v>
      </c>
      <c r="P1685" s="900">
        <v>10</v>
      </c>
      <c r="Q1685" s="173">
        <v>-10</v>
      </c>
      <c r="R1685" s="907">
        <f>COUNTIF(PoderesDeCriatura_Adquiridos,Tablas!O1685)</f>
        <v>0</v>
      </c>
      <c r="S1685" s="173"/>
      <c r="T1685" s="898"/>
      <c r="U1685" s="249"/>
    </row>
    <row r="1686" spans="1:21" ht="12.75" customHeight="1">
      <c r="A1686" s="219">
        <v>1622</v>
      </c>
      <c r="B1686" s="7145"/>
      <c r="C1686" s="510"/>
      <c r="H1686"/>
      <c r="M1686" s="307"/>
      <c r="N1686" s="21"/>
      <c r="O1686" s="131" t="s">
        <v>7476</v>
      </c>
      <c r="P1686" s="900">
        <v>10</v>
      </c>
      <c r="Q1686" s="173">
        <v>-20</v>
      </c>
      <c r="R1686" s="907">
        <f>COUNTIF(PoderesDeCriatura_Adquiridos,Tablas!O1686)</f>
        <v>0</v>
      </c>
      <c r="S1686" s="173"/>
      <c r="T1686" s="898"/>
      <c r="U1686" s="249"/>
    </row>
    <row r="1687" spans="1:21" ht="12.75" customHeight="1">
      <c r="A1687" s="219">
        <v>1623</v>
      </c>
      <c r="B1687" s="7145"/>
      <c r="C1687" s="510"/>
      <c r="H1687"/>
      <c r="M1687" s="307"/>
      <c r="N1687" s="21"/>
      <c r="O1687" s="131" t="s">
        <v>7477</v>
      </c>
      <c r="P1687" s="900">
        <v>10</v>
      </c>
      <c r="Q1687" s="173">
        <v>-30</v>
      </c>
      <c r="R1687" s="907">
        <f>COUNTIF(PoderesDeCriatura_Adquiridos,Tablas!O1687)</f>
        <v>0</v>
      </c>
      <c r="S1687" s="173"/>
      <c r="T1687" s="898"/>
      <c r="U1687" s="249"/>
    </row>
    <row r="1688" spans="1:21" ht="12.75" customHeight="1">
      <c r="A1688" s="219">
        <v>1624</v>
      </c>
      <c r="B1688" s="7145"/>
      <c r="C1688" s="510"/>
      <c r="H1688"/>
      <c r="M1688" s="307"/>
      <c r="N1688" s="21"/>
      <c r="O1688" s="131" t="s">
        <v>7478</v>
      </c>
      <c r="P1688" s="900">
        <v>10</v>
      </c>
      <c r="Q1688" s="173">
        <v>-40</v>
      </c>
      <c r="R1688" s="907">
        <f>COUNTIF(PoderesDeCriatura_Adquiridos,Tablas!O1688)</f>
        <v>0</v>
      </c>
      <c r="S1688" s="173"/>
      <c r="T1688" s="898"/>
      <c r="U1688" s="249"/>
    </row>
    <row r="1689" spans="1:21" ht="12.75" customHeight="1">
      <c r="A1689" s="219">
        <v>1625</v>
      </c>
      <c r="B1689" s="7145"/>
      <c r="C1689" s="510"/>
      <c r="H1689"/>
      <c r="M1689" s="307"/>
      <c r="N1689" s="21"/>
      <c r="O1689" s="131" t="s">
        <v>7479</v>
      </c>
      <c r="P1689" s="900">
        <v>10</v>
      </c>
      <c r="Q1689" s="173">
        <v>-50</v>
      </c>
      <c r="R1689" s="907">
        <f>COUNTIF(PoderesDeCriatura_Adquiridos,Tablas!O1689)</f>
        <v>0</v>
      </c>
      <c r="S1689" s="173"/>
      <c r="T1689" s="898"/>
      <c r="U1689" s="249"/>
    </row>
    <row r="1690" spans="1:21" ht="12.75" customHeight="1">
      <c r="A1690" s="219">
        <v>1626</v>
      </c>
      <c r="B1690" s="7145"/>
      <c r="C1690" s="510"/>
      <c r="H1690"/>
      <c r="M1690" s="307"/>
      <c r="N1690" s="21"/>
      <c r="O1690" s="131" t="s">
        <v>7480</v>
      </c>
      <c r="P1690" s="900">
        <v>15</v>
      </c>
      <c r="Q1690" s="173">
        <v>40</v>
      </c>
      <c r="R1690" s="907">
        <f>COUNTIF(PoderesDeCriatura_Adquiridos,Tablas!O1690)</f>
        <v>0</v>
      </c>
      <c r="S1690" s="173"/>
      <c r="T1690" s="898"/>
      <c r="U1690" s="249"/>
    </row>
    <row r="1691" spans="1:21" ht="12.75" customHeight="1">
      <c r="A1691" s="219">
        <v>1627</v>
      </c>
      <c r="B1691" s="7145"/>
      <c r="C1691" s="510"/>
      <c r="H1691"/>
      <c r="M1691" s="307"/>
      <c r="N1691" s="21"/>
      <c r="O1691" s="131" t="s">
        <v>7481</v>
      </c>
      <c r="P1691" s="900">
        <v>20</v>
      </c>
      <c r="Q1691" s="173">
        <v>60</v>
      </c>
      <c r="R1691" s="907">
        <f>COUNTIF(PoderesDeCriatura_Adquiridos,Tablas!O1691)</f>
        <v>0</v>
      </c>
      <c r="S1691" s="173"/>
      <c r="T1691" s="898"/>
      <c r="U1691" s="249"/>
    </row>
    <row r="1692" spans="1:21" ht="12.75" customHeight="1">
      <c r="A1692" s="219">
        <v>1628</v>
      </c>
      <c r="B1692" s="7145"/>
      <c r="C1692" s="510"/>
      <c r="H1692"/>
      <c r="M1692" s="307"/>
      <c r="N1692" s="21"/>
      <c r="O1692" s="131" t="s">
        <v>7482</v>
      </c>
      <c r="P1692" s="900">
        <v>25</v>
      </c>
      <c r="Q1692" s="173">
        <v>100</v>
      </c>
      <c r="R1692" s="907">
        <f>COUNTIF(PoderesDeCriatura_Adquiridos,Tablas!O1692)</f>
        <v>0</v>
      </c>
      <c r="S1692" s="173"/>
      <c r="T1692" s="898"/>
      <c r="U1692" s="249"/>
    </row>
    <row r="1693" spans="1:21" ht="12.75" customHeight="1">
      <c r="A1693" s="219">
        <v>1629</v>
      </c>
      <c r="B1693" s="7145"/>
      <c r="C1693" s="510"/>
      <c r="H1693"/>
      <c r="M1693" s="307"/>
      <c r="N1693" s="21"/>
      <c r="O1693" s="131" t="s">
        <v>7483</v>
      </c>
      <c r="P1693" s="900">
        <v>20</v>
      </c>
      <c r="Q1693" s="173">
        <v>-20</v>
      </c>
      <c r="R1693" s="907">
        <f>COUNTIF(PoderesDeCriatura_Adquiridos,Tablas!O1693)</f>
        <v>0</v>
      </c>
      <c r="S1693" s="173"/>
      <c r="T1693" s="898"/>
      <c r="U1693" s="249"/>
    </row>
    <row r="1694" spans="1:21" ht="12.75" customHeight="1">
      <c r="A1694" s="219">
        <v>1630</v>
      </c>
      <c r="B1694" s="7145"/>
      <c r="C1694" s="510"/>
      <c r="H1694"/>
      <c r="M1694" s="307"/>
      <c r="N1694" s="21"/>
      <c r="O1694" s="131" t="s">
        <v>7484</v>
      </c>
      <c r="P1694" s="900">
        <v>10</v>
      </c>
      <c r="Q1694" s="173">
        <v>10</v>
      </c>
      <c r="R1694" s="907">
        <f>COUNTIF(PoderesDeCriatura_Adquiridos,Tablas!O1694)</f>
        <v>0</v>
      </c>
      <c r="S1694" s="173"/>
      <c r="T1694" s="898"/>
      <c r="U1694" s="249"/>
    </row>
    <row r="1695" spans="1:21" ht="12.75" customHeight="1">
      <c r="A1695" s="219">
        <v>1631</v>
      </c>
      <c r="B1695" s="7145"/>
      <c r="C1695" s="510"/>
      <c r="H1695"/>
      <c r="M1695" s="307"/>
      <c r="N1695" s="21"/>
      <c r="O1695" s="131" t="s">
        <v>7485</v>
      </c>
      <c r="P1695" s="900">
        <v>20</v>
      </c>
      <c r="Q1695" s="173">
        <v>20</v>
      </c>
      <c r="R1695" s="907">
        <f>COUNTIF(PoderesDeCriatura_Adquiridos,Tablas!O1695)</f>
        <v>0</v>
      </c>
      <c r="S1695" s="173"/>
      <c r="T1695" s="898"/>
      <c r="U1695" s="249"/>
    </row>
    <row r="1696" spans="1:21" ht="12.75" customHeight="1">
      <c r="A1696" s="219">
        <v>1632</v>
      </c>
      <c r="B1696" s="7145"/>
      <c r="C1696" s="510"/>
      <c r="H1696"/>
      <c r="M1696" s="307"/>
      <c r="N1696" s="21"/>
      <c r="O1696" s="131" t="s">
        <v>7486</v>
      </c>
      <c r="P1696" s="900">
        <v>20</v>
      </c>
      <c r="Q1696" s="173">
        <v>40</v>
      </c>
      <c r="R1696" s="907">
        <f>COUNTIF(PoderesDeCriatura_Adquiridos,Tablas!O1696)</f>
        <v>0</v>
      </c>
      <c r="S1696" s="173"/>
      <c r="T1696" s="898"/>
      <c r="U1696" s="249"/>
    </row>
    <row r="1697" spans="1:21" ht="12.75" customHeight="1">
      <c r="A1697" s="219">
        <v>1633</v>
      </c>
      <c r="B1697" s="7145"/>
      <c r="C1697" s="510"/>
      <c r="H1697"/>
      <c r="M1697" s="307"/>
      <c r="N1697" s="21"/>
      <c r="O1697" s="131" t="s">
        <v>7487</v>
      </c>
      <c r="P1697" s="900">
        <v>25</v>
      </c>
      <c r="Q1697" s="173">
        <v>80</v>
      </c>
      <c r="R1697" s="907">
        <f>COUNTIF(PoderesDeCriatura_Adquiridos,Tablas!O1697)</f>
        <v>0</v>
      </c>
      <c r="S1697" s="173"/>
      <c r="T1697" s="898"/>
      <c r="U1697" s="249"/>
    </row>
    <row r="1698" spans="1:21" ht="12.75" customHeight="1">
      <c r="A1698" s="219">
        <v>1634</v>
      </c>
      <c r="B1698" s="7145"/>
      <c r="C1698" s="510"/>
      <c r="H1698"/>
      <c r="M1698" s="307"/>
      <c r="N1698" s="21"/>
      <c r="O1698" s="131" t="s">
        <v>7488</v>
      </c>
      <c r="P1698" s="900">
        <v>10</v>
      </c>
      <c r="Q1698" s="173">
        <v>50</v>
      </c>
      <c r="R1698" s="907">
        <f>COUNTIF(PoderesDeCriatura_Adquiridos,Tablas!O1698)</f>
        <v>0</v>
      </c>
      <c r="S1698" s="173"/>
      <c r="T1698" s="898"/>
      <c r="U1698" s="249"/>
    </row>
    <row r="1699" spans="1:21" ht="12.75" customHeight="1">
      <c r="A1699" s="219">
        <v>1635</v>
      </c>
      <c r="B1699" s="7145"/>
      <c r="C1699" s="510"/>
      <c r="H1699"/>
      <c r="M1699" s="307"/>
      <c r="N1699" s="21"/>
      <c r="O1699" s="131" t="s">
        <v>7489</v>
      </c>
      <c r="P1699" s="900">
        <v>20</v>
      </c>
      <c r="Q1699" s="173">
        <v>80</v>
      </c>
      <c r="R1699" s="907">
        <f>COUNTIF(PoderesDeCriatura_Adquiridos,Tablas!O1699)</f>
        <v>0</v>
      </c>
      <c r="S1699" s="173"/>
      <c r="T1699" s="898"/>
      <c r="U1699" s="249"/>
    </row>
    <row r="1700" spans="1:21" ht="12.75" customHeight="1">
      <c r="A1700" s="219">
        <v>1636</v>
      </c>
      <c r="B1700" s="7145"/>
      <c r="C1700" s="510"/>
      <c r="H1700"/>
      <c r="M1700" s="307"/>
      <c r="N1700" s="21"/>
      <c r="O1700" s="131" t="s">
        <v>7490</v>
      </c>
      <c r="P1700" s="900">
        <v>25</v>
      </c>
      <c r="Q1700" s="173">
        <v>100</v>
      </c>
      <c r="R1700" s="907">
        <f>COUNTIF(PoderesDeCriatura_Adquiridos,Tablas!O1700)</f>
        <v>0</v>
      </c>
      <c r="S1700" s="173"/>
      <c r="T1700" s="898"/>
      <c r="U1700" s="249"/>
    </row>
    <row r="1701" spans="1:21" ht="12.75" customHeight="1">
      <c r="A1701" s="219">
        <v>1637</v>
      </c>
      <c r="B1701" s="7145"/>
      <c r="C1701" s="510"/>
      <c r="H1701"/>
      <c r="M1701" s="307"/>
      <c r="N1701" s="21"/>
      <c r="O1701" s="131" t="s">
        <v>7491</v>
      </c>
      <c r="P1701" s="900">
        <v>30</v>
      </c>
      <c r="Q1701" s="173">
        <v>150</v>
      </c>
      <c r="R1701" s="907">
        <f>COUNTIF(PoderesDeCriatura_Adquiridos,Tablas!O1701)</f>
        <v>0</v>
      </c>
      <c r="S1701" s="173"/>
      <c r="T1701" s="898"/>
      <c r="U1701" s="249"/>
    </row>
    <row r="1702" spans="1:21" ht="12.75" customHeight="1">
      <c r="A1702" s="219">
        <v>1638</v>
      </c>
      <c r="B1702" s="7145"/>
      <c r="C1702" s="510"/>
      <c r="H1702"/>
      <c r="M1702" s="307"/>
      <c r="N1702" s="21"/>
      <c r="O1702" s="131" t="s">
        <v>7492</v>
      </c>
      <c r="P1702" s="900">
        <v>10</v>
      </c>
      <c r="Q1702" s="173">
        <v>50</v>
      </c>
      <c r="R1702" s="907">
        <f>COUNTIF(PoderesDeCriatura_Adquiridos,Tablas!O1702)</f>
        <v>0</v>
      </c>
      <c r="S1702" s="173"/>
      <c r="T1702" s="898"/>
      <c r="U1702" s="249"/>
    </row>
    <row r="1703" spans="1:21" ht="12.75" customHeight="1">
      <c r="A1703" s="219">
        <v>1639</v>
      </c>
      <c r="B1703" s="7145"/>
      <c r="C1703" s="510"/>
      <c r="H1703"/>
      <c r="M1703" s="307"/>
      <c r="N1703" s="21"/>
      <c r="O1703" s="131" t="s">
        <v>7493</v>
      </c>
      <c r="P1703" s="900">
        <v>20</v>
      </c>
      <c r="Q1703" s="173">
        <v>-30</v>
      </c>
      <c r="R1703" s="907">
        <f>COUNTIF(PoderesDeCriatura_Adquiridos,Tablas!O1703)</f>
        <v>0</v>
      </c>
      <c r="S1703" s="173"/>
      <c r="T1703" s="898"/>
      <c r="U1703" s="249"/>
    </row>
    <row r="1704" spans="1:21" ht="12.75" customHeight="1">
      <c r="A1704" s="219">
        <v>1640</v>
      </c>
      <c r="B1704" s="7145"/>
      <c r="C1704" s="510"/>
      <c r="H1704"/>
      <c r="M1704" s="307"/>
      <c r="N1704" s="21"/>
      <c r="O1704" s="131" t="s">
        <v>7494</v>
      </c>
      <c r="P1704" s="895">
        <v>20</v>
      </c>
      <c r="Q1704" s="84">
        <v>40</v>
      </c>
      <c r="R1704" s="907">
        <f>COUNTIF(PoderesDeCriatura_Adquiridos,Tablas!O1704)</f>
        <v>0</v>
      </c>
      <c r="S1704" s="173"/>
      <c r="T1704" s="898"/>
      <c r="U1704" s="249"/>
    </row>
    <row r="1705" spans="1:21" ht="12.75" customHeight="1">
      <c r="A1705" s="219">
        <v>1641</v>
      </c>
      <c r="B1705" s="7145"/>
      <c r="C1705" s="510"/>
      <c r="H1705"/>
      <c r="M1705" s="307"/>
      <c r="N1705" s="21"/>
      <c r="O1705" s="131" t="s">
        <v>7495</v>
      </c>
      <c r="P1705" s="895">
        <v>20</v>
      </c>
      <c r="Q1705" s="84">
        <v>60</v>
      </c>
      <c r="R1705" s="907">
        <f>COUNTIF(PoderesDeCriatura_Adquiridos,Tablas!O1705)</f>
        <v>0</v>
      </c>
      <c r="S1705" s="173"/>
      <c r="T1705" s="898"/>
      <c r="U1705" s="249"/>
    </row>
    <row r="1706" spans="1:21" ht="12.75" customHeight="1">
      <c r="A1706" s="219">
        <v>1642</v>
      </c>
      <c r="B1706" s="7145"/>
      <c r="C1706" s="510"/>
      <c r="H1706"/>
      <c r="M1706" s="307"/>
      <c r="N1706" s="21"/>
      <c r="O1706" s="131" t="s">
        <v>7496</v>
      </c>
      <c r="P1706" s="895">
        <v>25</v>
      </c>
      <c r="Q1706" s="84">
        <v>80</v>
      </c>
      <c r="R1706" s="907">
        <f>COUNTIF(PoderesDeCriatura_Adquiridos,Tablas!O1706)</f>
        <v>0</v>
      </c>
      <c r="S1706" s="173"/>
      <c r="T1706" s="898"/>
      <c r="U1706" s="249"/>
    </row>
    <row r="1707" spans="1:21" ht="12.75" customHeight="1">
      <c r="A1707" s="219">
        <v>1643</v>
      </c>
      <c r="B1707" s="7145"/>
      <c r="C1707" s="510"/>
      <c r="H1707"/>
      <c r="M1707" s="307"/>
      <c r="N1707" s="21"/>
      <c r="O1707" s="131" t="s">
        <v>7497</v>
      </c>
      <c r="P1707" s="895">
        <v>25</v>
      </c>
      <c r="Q1707" s="84">
        <v>100</v>
      </c>
      <c r="R1707" s="907">
        <f>COUNTIF(PoderesDeCriatura_Adquiridos,Tablas!O1707)</f>
        <v>0</v>
      </c>
      <c r="S1707" s="173"/>
      <c r="T1707" s="898"/>
      <c r="U1707" s="249"/>
    </row>
    <row r="1708" spans="1:21" ht="12.75" customHeight="1">
      <c r="A1708" s="219">
        <v>1644</v>
      </c>
      <c r="B1708" s="7145"/>
      <c r="C1708" s="510"/>
      <c r="H1708"/>
      <c r="M1708" s="307"/>
      <c r="N1708" s="21"/>
      <c r="O1708" s="131" t="s">
        <v>7498</v>
      </c>
      <c r="P1708" s="895">
        <v>30</v>
      </c>
      <c r="Q1708" s="84">
        <v>120</v>
      </c>
      <c r="R1708" s="907">
        <f>COUNTIF(PoderesDeCriatura_Adquiridos,Tablas!O1708)</f>
        <v>0</v>
      </c>
      <c r="S1708" s="173"/>
      <c r="T1708" s="898"/>
      <c r="U1708" s="249"/>
    </row>
    <row r="1709" spans="1:21" ht="12.75" customHeight="1">
      <c r="A1709" s="219">
        <v>1645</v>
      </c>
      <c r="B1709" s="7145"/>
      <c r="C1709" s="510"/>
      <c r="H1709"/>
      <c r="M1709" s="307"/>
      <c r="N1709" s="21"/>
      <c r="O1709" s="131" t="s">
        <v>7499</v>
      </c>
      <c r="P1709" s="895">
        <v>35</v>
      </c>
      <c r="Q1709" s="84">
        <v>140</v>
      </c>
      <c r="R1709" s="907">
        <f>COUNTIF(PoderesDeCriatura_Adquiridos,Tablas!O1709)</f>
        <v>0</v>
      </c>
      <c r="S1709" s="173"/>
      <c r="T1709" s="898"/>
      <c r="U1709" s="249"/>
    </row>
    <row r="1710" spans="1:21" ht="12.75" customHeight="1">
      <c r="A1710" s="219">
        <v>1646</v>
      </c>
      <c r="B1710" s="7145"/>
      <c r="C1710" s="510"/>
      <c r="H1710"/>
      <c r="M1710" s="307"/>
      <c r="N1710" s="21"/>
      <c r="O1710" s="131" t="s">
        <v>7500</v>
      </c>
      <c r="P1710" s="895">
        <v>20</v>
      </c>
      <c r="Q1710" s="84">
        <f>20+IF(OR(TipoDeCriatura="Entre mundos, Elemental",TipoDeCriatura="Ánima, Elemental"),10,0)</f>
        <v>20</v>
      </c>
      <c r="R1710" s="907">
        <f>COUNTIF(PoderesDeCriatura_Adquiridos,Tablas!O1710)</f>
        <v>0</v>
      </c>
      <c r="S1710" s="173"/>
      <c r="T1710" s="898"/>
      <c r="U1710" s="249"/>
    </row>
    <row r="1711" spans="1:21" ht="12.75" customHeight="1">
      <c r="A1711" s="219">
        <v>1647</v>
      </c>
      <c r="B1711" s="7145"/>
      <c r="C1711" s="510"/>
      <c r="H1711"/>
      <c r="M1711" s="307"/>
      <c r="N1711" s="21"/>
      <c r="O1711" s="131" t="s">
        <v>7501</v>
      </c>
      <c r="P1711" s="895">
        <v>20</v>
      </c>
      <c r="Q1711" s="84">
        <f>30+IF(OR(TipoDeCriatura="Entre mundos, Elemental",TipoDeCriatura="Ánima, Elemental"),10,0)</f>
        <v>30</v>
      </c>
      <c r="R1711" s="907">
        <f>COUNTIF(PoderesDeCriatura_Adquiridos,Tablas!O1711)</f>
        <v>0</v>
      </c>
      <c r="S1711" s="173"/>
      <c r="T1711" s="898"/>
      <c r="U1711" s="249"/>
    </row>
    <row r="1712" spans="1:21" ht="12.75" customHeight="1">
      <c r="A1712" s="219">
        <v>1648</v>
      </c>
      <c r="B1712" s="7145"/>
      <c r="C1712" s="510"/>
      <c r="H1712"/>
      <c r="M1712" s="307"/>
      <c r="N1712" s="21"/>
      <c r="O1712" s="131" t="s">
        <v>7502</v>
      </c>
      <c r="P1712" s="895">
        <v>25</v>
      </c>
      <c r="Q1712" s="84">
        <f>40+IF(OR(TipoDeCriatura="Entre mundos, Elemental",TipoDeCriatura="Ánima, Elemental"),10,0)</f>
        <v>40</v>
      </c>
      <c r="R1712" s="907">
        <f>COUNTIF(PoderesDeCriatura_Adquiridos,Tablas!O1712)</f>
        <v>0</v>
      </c>
      <c r="S1712" s="173"/>
      <c r="T1712" s="898"/>
      <c r="U1712" s="249"/>
    </row>
    <row r="1713" spans="1:21" ht="12.75" customHeight="1">
      <c r="A1713" s="219">
        <v>1649</v>
      </c>
      <c r="B1713" s="7145"/>
      <c r="C1713" s="510"/>
      <c r="H1713"/>
      <c r="M1713" s="307"/>
      <c r="N1713" s="21"/>
      <c r="O1713" s="131" t="s">
        <v>7503</v>
      </c>
      <c r="P1713" s="895">
        <v>25</v>
      </c>
      <c r="Q1713" s="84">
        <f>50+IF(OR(TipoDeCriatura="Entre mundos, Elemental",TipoDeCriatura="Ánima, Elemental"),10,0)</f>
        <v>50</v>
      </c>
      <c r="R1713" s="907">
        <f>COUNTIF(PoderesDeCriatura_Adquiridos,Tablas!O1713)</f>
        <v>0</v>
      </c>
      <c r="S1713" s="173"/>
      <c r="T1713" s="898"/>
      <c r="U1713" s="249"/>
    </row>
    <row r="1714" spans="1:21" ht="12.75" customHeight="1">
      <c r="A1714" s="219">
        <v>1650</v>
      </c>
      <c r="B1714" s="7145"/>
      <c r="C1714" s="510"/>
      <c r="H1714"/>
      <c r="M1714" s="307"/>
      <c r="N1714" s="21"/>
      <c r="O1714" s="131" t="s">
        <v>7504</v>
      </c>
      <c r="P1714" s="895">
        <v>30</v>
      </c>
      <c r="Q1714" s="84">
        <f>60+IF(OR(TipoDeCriatura="Entre mundos, Elemental",TipoDeCriatura="Ánima, Elemental"),10,0)</f>
        <v>60</v>
      </c>
      <c r="R1714" s="907">
        <f>COUNTIF(PoderesDeCriatura_Adquiridos,Tablas!O1714)</f>
        <v>0</v>
      </c>
      <c r="S1714" s="173"/>
      <c r="T1714" s="898"/>
      <c r="U1714" s="249"/>
    </row>
    <row r="1715" spans="1:21" ht="12.75" customHeight="1">
      <c r="A1715" s="219">
        <v>1651</v>
      </c>
      <c r="B1715" s="7145"/>
      <c r="C1715" s="510"/>
      <c r="H1715"/>
      <c r="M1715" s="307"/>
      <c r="N1715" s="21"/>
      <c r="O1715" s="131" t="s">
        <v>7505</v>
      </c>
      <c r="P1715" s="900">
        <v>35</v>
      </c>
      <c r="Q1715" s="84">
        <f>80+IF(OR(TipoDeCriatura="Entre mundos, Elemental",TipoDeCriatura="Ánima, Elemental"),10,0)</f>
        <v>80</v>
      </c>
      <c r="R1715" s="907">
        <f>COUNTIF(PoderesDeCriatura_Adquiridos,Tablas!O1715)</f>
        <v>0</v>
      </c>
      <c r="S1715" s="173"/>
      <c r="T1715" s="898"/>
      <c r="U1715" s="249"/>
    </row>
    <row r="1716" spans="1:21" ht="12.75" customHeight="1">
      <c r="A1716" s="219">
        <v>1652</v>
      </c>
      <c r="B1716" s="7145"/>
      <c r="C1716" s="510"/>
      <c r="H1716"/>
      <c r="M1716" s="307"/>
      <c r="N1716" s="21"/>
      <c r="O1716" s="131" t="s">
        <v>7506</v>
      </c>
      <c r="P1716" s="895">
        <v>20</v>
      </c>
      <c r="Q1716" s="84">
        <f>60+IF(OR(TipoDeCriatura="Entre mundos, Elemental",TipoDeCriatura="Ánima, Elemental"),10,0)</f>
        <v>60</v>
      </c>
      <c r="R1716" s="907">
        <f>COUNTIF(PoderesDeCriatura_Adquiridos,Tablas!O1716)</f>
        <v>0</v>
      </c>
      <c r="S1716" s="173"/>
      <c r="T1716" s="898"/>
      <c r="U1716" s="249"/>
    </row>
    <row r="1717" spans="1:21" ht="12.75" customHeight="1">
      <c r="A1717" s="219">
        <v>1653</v>
      </c>
      <c r="B1717" s="7145"/>
      <c r="C1717" s="510"/>
      <c r="H1717"/>
      <c r="M1717" s="307"/>
      <c r="N1717" s="21"/>
      <c r="O1717" s="131" t="s">
        <v>7507</v>
      </c>
      <c r="P1717" s="895">
        <v>30</v>
      </c>
      <c r="Q1717" s="84">
        <f>80+IF(OR(TipoDeCriatura="Entre mundos, Elemental",TipoDeCriatura="Ánima, Elemental"),10,0)</f>
        <v>80</v>
      </c>
      <c r="R1717" s="907">
        <f>COUNTIF(PoderesDeCriatura_Adquiridos,Tablas!O1717)</f>
        <v>0</v>
      </c>
      <c r="S1717" s="173"/>
      <c r="T1717" s="898"/>
      <c r="U1717" s="249"/>
    </row>
    <row r="1718" spans="1:21" ht="12.75" customHeight="1">
      <c r="A1718" s="219">
        <v>1654</v>
      </c>
      <c r="B1718" s="7145"/>
      <c r="C1718" s="510"/>
      <c r="H1718"/>
      <c r="M1718" s="307"/>
      <c r="N1718" s="21"/>
      <c r="O1718" s="131" t="s">
        <v>7508</v>
      </c>
      <c r="P1718" s="895">
        <v>20</v>
      </c>
      <c r="Q1718" s="84">
        <f>60+IF(OR(TipoDeCriatura="Entre mundos, Elemental",TipoDeCriatura="Ánima, Elemental"),10,0)</f>
        <v>60</v>
      </c>
      <c r="R1718" s="907">
        <f>COUNTIF(PoderesDeCriatura_Adquiridos,Tablas!O1718)</f>
        <v>0</v>
      </c>
      <c r="S1718" s="173"/>
      <c r="T1718" s="898"/>
      <c r="U1718" s="249"/>
    </row>
    <row r="1719" spans="1:21" ht="12.75" customHeight="1">
      <c r="A1719" s="219">
        <v>1655</v>
      </c>
      <c r="B1719" s="7145"/>
      <c r="C1719" s="510"/>
      <c r="H1719"/>
      <c r="M1719" s="307"/>
      <c r="N1719" s="21"/>
      <c r="O1719" s="131" t="s">
        <v>7509</v>
      </c>
      <c r="P1719" s="895">
        <v>25</v>
      </c>
      <c r="Q1719" s="84">
        <f>80+IF(OR(TipoDeCriatura="Entre mundos, Elemental",TipoDeCriatura="Ánima, Elemental"),10,0)</f>
        <v>80</v>
      </c>
      <c r="R1719" s="907">
        <f>COUNTIF(PoderesDeCriatura_Adquiridos,Tablas!O1719)</f>
        <v>0</v>
      </c>
      <c r="S1719" s="173"/>
      <c r="T1719" s="898"/>
      <c r="U1719" s="249"/>
    </row>
    <row r="1720" spans="1:21" ht="12.75" customHeight="1">
      <c r="A1720" s="219">
        <v>1656</v>
      </c>
      <c r="B1720" s="7145"/>
      <c r="C1720" s="510"/>
      <c r="H1720"/>
      <c r="M1720" s="307"/>
      <c r="N1720" s="21"/>
      <c r="O1720" s="131" t="s">
        <v>7510</v>
      </c>
      <c r="P1720" s="895">
        <v>20</v>
      </c>
      <c r="Q1720" s="84">
        <f>100+IF(OR(TipoDeCriatura="Entre mundos, Elemental",TipoDeCriatura="Ánima, Elemental"),10,0)</f>
        <v>100</v>
      </c>
      <c r="R1720" s="907">
        <f>COUNTIF(PoderesDeCriatura_Adquiridos,Tablas!O1720)</f>
        <v>0</v>
      </c>
      <c r="S1720" s="173"/>
      <c r="T1720" s="898"/>
      <c r="U1720" s="249"/>
    </row>
    <row r="1721" spans="1:21" ht="12.75" customHeight="1">
      <c r="A1721" s="219">
        <v>1657</v>
      </c>
      <c r="B1721" s="7145"/>
      <c r="C1721" s="510"/>
      <c r="H1721"/>
      <c r="M1721" s="307"/>
      <c r="N1721" s="21"/>
      <c r="O1721" s="131" t="s">
        <v>7511</v>
      </c>
      <c r="P1721" s="895">
        <v>20</v>
      </c>
      <c r="Q1721" s="84">
        <f>80+IF(OR(TipoDeCriatura="Entre mundos, Elemental",TipoDeCriatura="Ánima, Elemental"),10,0)</f>
        <v>80</v>
      </c>
      <c r="R1721" s="907">
        <f>COUNTIF(PoderesDeCriatura_Adquiridos,Tablas!O1721)</f>
        <v>0</v>
      </c>
      <c r="S1721" s="173"/>
      <c r="T1721" s="898"/>
      <c r="U1721" s="249"/>
    </row>
    <row r="1722" spans="1:21" ht="12.75" customHeight="1">
      <c r="A1722" s="219">
        <v>1658</v>
      </c>
      <c r="B1722" s="7145"/>
      <c r="C1722" s="510"/>
      <c r="H1722"/>
      <c r="M1722" s="307"/>
      <c r="N1722" s="21"/>
      <c r="O1722" s="131" t="s">
        <v>7512</v>
      </c>
      <c r="P1722" s="895">
        <v>30</v>
      </c>
      <c r="Q1722" s="84">
        <f>120+IF(OR(TipoDeCriatura="Entre mundos, Elemental",TipoDeCriatura="Ánima, Elemental"),10,0)</f>
        <v>120</v>
      </c>
      <c r="R1722" s="907">
        <f>COUNTIF(PoderesDeCriatura_Adquiridos,Tablas!O1722)</f>
        <v>0</v>
      </c>
      <c r="S1722" s="173"/>
      <c r="T1722" s="898"/>
      <c r="U1722" s="249"/>
    </row>
    <row r="1723" spans="1:21" ht="12.75" customHeight="1">
      <c r="A1723" s="219">
        <v>1659</v>
      </c>
      <c r="B1723" s="7145"/>
      <c r="C1723" s="510"/>
      <c r="H1723"/>
      <c r="M1723" s="307"/>
      <c r="N1723" s="21"/>
      <c r="O1723" s="131" t="s">
        <v>7513</v>
      </c>
      <c r="P1723" s="895">
        <v>20</v>
      </c>
      <c r="Q1723" s="84">
        <f>60+IF(OR(TipoDeCriatura="Entre mundos, Elemental",TipoDeCriatura="Ánima, Elemental"),10,0)</f>
        <v>60</v>
      </c>
      <c r="R1723" s="907">
        <f>COUNTIF(PoderesDeCriatura_Adquiridos,Tablas!O1723)</f>
        <v>0</v>
      </c>
      <c r="S1723" s="173"/>
      <c r="T1723" s="898"/>
      <c r="U1723" s="249"/>
    </row>
    <row r="1724" spans="1:21" ht="12.75" customHeight="1">
      <c r="A1724" s="219">
        <v>1660</v>
      </c>
      <c r="B1724" s="7145"/>
      <c r="C1724" s="510"/>
      <c r="H1724"/>
      <c r="M1724" s="307"/>
      <c r="N1724" s="21"/>
      <c r="O1724" s="131" t="s">
        <v>7514</v>
      </c>
      <c r="P1724" s="895">
        <v>20</v>
      </c>
      <c r="Q1724" s="84">
        <f>80+IF(OR(TipoDeCriatura="Entre mundos, Elemental",TipoDeCriatura="Ánima, Elemental"),10,0)</f>
        <v>80</v>
      </c>
      <c r="R1724" s="907">
        <f>COUNTIF(PoderesDeCriatura_Adquiridos,Tablas!O1724)</f>
        <v>0</v>
      </c>
      <c r="S1724" s="173"/>
      <c r="T1724" s="898"/>
      <c r="U1724" s="249"/>
    </row>
    <row r="1725" spans="1:21" ht="12.75" customHeight="1">
      <c r="A1725" s="219">
        <v>1661</v>
      </c>
      <c r="B1725" s="7145"/>
      <c r="C1725" s="510"/>
      <c r="H1725"/>
      <c r="M1725" s="307"/>
      <c r="N1725" s="21"/>
      <c r="O1725" s="131" t="s">
        <v>7515</v>
      </c>
      <c r="P1725" s="895">
        <v>20</v>
      </c>
      <c r="Q1725" s="84">
        <f>40+IF(OR(TipoDeCriatura="Entre mundos, Elemental",TipoDeCriatura="Ánima, Elemental"),10,0)</f>
        <v>40</v>
      </c>
      <c r="R1725" s="907">
        <f>COUNTIF(PoderesDeCriatura_Adquiridos,Tablas!O1725)</f>
        <v>0</v>
      </c>
      <c r="S1725" s="173"/>
      <c r="T1725" s="898"/>
      <c r="U1725" s="249"/>
    </row>
    <row r="1726" spans="1:21" ht="12.75" customHeight="1">
      <c r="A1726" s="219">
        <v>1662</v>
      </c>
      <c r="B1726" s="7145"/>
      <c r="C1726" s="510"/>
      <c r="H1726"/>
      <c r="M1726" s="307"/>
      <c r="N1726" s="21"/>
      <c r="O1726" s="131" t="s">
        <v>7516</v>
      </c>
      <c r="P1726" s="895">
        <v>20</v>
      </c>
      <c r="Q1726" s="84">
        <f>40+IF(OR(TipoDeCriatura="Entre mundos, Elemental",TipoDeCriatura="Ánima, Elemental"),10,0)</f>
        <v>40</v>
      </c>
      <c r="R1726" s="907">
        <f>COUNTIF(PoderesDeCriatura_Adquiridos,Tablas!O1726)</f>
        <v>0</v>
      </c>
      <c r="S1726" s="173"/>
      <c r="T1726" s="898"/>
      <c r="U1726" s="249"/>
    </row>
    <row r="1727" spans="1:21" ht="12.75" customHeight="1">
      <c r="A1727" s="219">
        <v>1663</v>
      </c>
      <c r="B1727" s="7145"/>
      <c r="C1727" s="510"/>
      <c r="H1727"/>
      <c r="M1727" s="307"/>
      <c r="N1727" s="21"/>
      <c r="O1727" s="131" t="s">
        <v>7517</v>
      </c>
      <c r="P1727" s="895">
        <v>20</v>
      </c>
      <c r="Q1727" s="84">
        <f>40+IF(OR(TipoDeCriatura="Entre mundos, Elemental",TipoDeCriatura="Ánima, Elemental"),10,0)</f>
        <v>40</v>
      </c>
      <c r="R1727" s="907">
        <f>COUNTIF(PoderesDeCriatura_Adquiridos,Tablas!O1727)</f>
        <v>0</v>
      </c>
      <c r="S1727" s="173"/>
      <c r="T1727" s="898"/>
      <c r="U1727" s="249"/>
    </row>
    <row r="1728" spans="1:21" ht="12.75" customHeight="1">
      <c r="A1728" s="219">
        <v>1664</v>
      </c>
      <c r="B1728" s="7145"/>
      <c r="C1728" s="510"/>
      <c r="H1728"/>
      <c r="M1728" s="307"/>
      <c r="N1728" s="21"/>
      <c r="O1728" s="131" t="s">
        <v>7518</v>
      </c>
      <c r="P1728" s="895">
        <v>20</v>
      </c>
      <c r="Q1728" s="84">
        <f>60+IF(OR(TipoDeCriatura="Entre mundos, Elemental",TipoDeCriatura="Ánima, Elemental"),10,0)</f>
        <v>60</v>
      </c>
      <c r="R1728" s="907">
        <f>COUNTIF(PoderesDeCriatura_Adquiridos,Tablas!O1728)</f>
        <v>0</v>
      </c>
      <c r="S1728" s="173"/>
      <c r="T1728" s="898"/>
      <c r="U1728" s="249"/>
    </row>
    <row r="1729" spans="1:21" ht="12.75" customHeight="1">
      <c r="A1729" s="219">
        <v>1665</v>
      </c>
      <c r="B1729" s="7145"/>
      <c r="C1729" s="510"/>
      <c r="H1729"/>
      <c r="M1729" s="307"/>
      <c r="N1729" s="21"/>
      <c r="O1729" s="131" t="s">
        <v>7519</v>
      </c>
      <c r="P1729" s="895">
        <v>30</v>
      </c>
      <c r="Q1729" s="84">
        <f>100+IF(OR(TipoDeCriatura="Entre mundos, Elemental",TipoDeCriatura="Ánima, Elemental"),10,0)</f>
        <v>100</v>
      </c>
      <c r="R1729" s="907">
        <f>COUNTIF(PoderesDeCriatura_Adquiridos,Tablas!O1729)</f>
        <v>0</v>
      </c>
      <c r="S1729" s="173"/>
      <c r="T1729" s="898"/>
      <c r="U1729" s="249"/>
    </row>
    <row r="1730" spans="1:21" ht="12.75" customHeight="1">
      <c r="A1730" s="219">
        <v>1666</v>
      </c>
      <c r="B1730" s="7145"/>
      <c r="C1730" s="510"/>
      <c r="H1730"/>
      <c r="M1730" s="307"/>
      <c r="N1730" s="21"/>
      <c r="O1730" s="131" t="s">
        <v>7520</v>
      </c>
      <c r="P1730" s="895">
        <v>20</v>
      </c>
      <c r="Q1730" s="84">
        <f>120+IF(OR(TipoDeCriatura="Entre mundos, Elemental",TipoDeCriatura="Ánima, Elemental"),10,0)</f>
        <v>120</v>
      </c>
      <c r="R1730" s="907">
        <f>COUNTIF(PoderesDeCriatura_Adquiridos,Tablas!O1730)</f>
        <v>0</v>
      </c>
      <c r="S1730" s="173"/>
      <c r="T1730" s="898"/>
      <c r="U1730" s="249"/>
    </row>
    <row r="1731" spans="1:21" ht="12.75" customHeight="1">
      <c r="A1731" s="219">
        <v>1667</v>
      </c>
      <c r="B1731" s="7145"/>
      <c r="C1731" s="510"/>
      <c r="H1731"/>
      <c r="M1731" s="307"/>
      <c r="N1731" s="21"/>
      <c r="O1731" s="131" t="s">
        <v>7521</v>
      </c>
      <c r="P1731" s="895">
        <v>30</v>
      </c>
      <c r="Q1731" s="84">
        <f>140+IF(OR(TipoDeCriatura="Entre mundos, Elemental",TipoDeCriatura="Ánima, Elemental"),10,0)</f>
        <v>140</v>
      </c>
      <c r="R1731" s="907">
        <f>COUNTIF(PoderesDeCriatura_Adquiridos,Tablas!O1731)</f>
        <v>0</v>
      </c>
      <c r="S1731" s="173"/>
      <c r="T1731" s="898"/>
      <c r="U1731" s="249"/>
    </row>
    <row r="1732" spans="1:21" ht="12.75" customHeight="1">
      <c r="A1732" s="219">
        <v>1668</v>
      </c>
      <c r="B1732" s="7145"/>
      <c r="C1732" s="510"/>
      <c r="H1732"/>
      <c r="M1732" s="307"/>
      <c r="N1732" s="21"/>
      <c r="O1732" s="131" t="s">
        <v>7522</v>
      </c>
      <c r="P1732" s="895">
        <v>35</v>
      </c>
      <c r="Q1732" s="84">
        <f>160+IF(OR(TipoDeCriatura="Entre mundos, Elemental",TipoDeCriatura="Ánima, Elemental"),10,0)</f>
        <v>160</v>
      </c>
      <c r="R1732" s="907">
        <f>COUNTIF(PoderesDeCriatura_Adquiridos,Tablas!O1732)</f>
        <v>0</v>
      </c>
      <c r="S1732" s="173"/>
      <c r="T1732" s="898"/>
      <c r="U1732" s="249"/>
    </row>
    <row r="1733" spans="1:21" ht="12.75" customHeight="1">
      <c r="A1733" s="219">
        <v>1669</v>
      </c>
      <c r="B1733" s="7145"/>
      <c r="C1733" s="510"/>
      <c r="H1733"/>
      <c r="M1733" s="307"/>
      <c r="N1733" s="21"/>
      <c r="O1733" s="131" t="s">
        <v>7523</v>
      </c>
      <c r="P1733" s="895">
        <v>20</v>
      </c>
      <c r="Q1733" s="84">
        <f>40+IF(OR(TipoDeCriatura="Entre mundos, Elemental",TipoDeCriatura="Ánima, Elemental"),10,0)</f>
        <v>40</v>
      </c>
      <c r="R1733" s="907">
        <f>COUNTIF(PoderesDeCriatura_Adquiridos,Tablas!O1733)</f>
        <v>0</v>
      </c>
      <c r="S1733" s="173"/>
      <c r="T1733" s="898"/>
      <c r="U1733" s="249"/>
    </row>
    <row r="1734" spans="1:21" ht="12.75" customHeight="1">
      <c r="A1734" s="219">
        <v>1670</v>
      </c>
      <c r="B1734" s="7145"/>
      <c r="C1734" s="510"/>
      <c r="H1734"/>
      <c r="M1734" s="307"/>
      <c r="N1734" s="21"/>
      <c r="O1734" s="131" t="s">
        <v>7524</v>
      </c>
      <c r="P1734" s="895">
        <v>25</v>
      </c>
      <c r="Q1734" s="84">
        <f>80+IF(OR(TipoDeCriatura="Entre mundos, Elemental",TipoDeCriatura="Ánima, Elemental"),10,0)</f>
        <v>80</v>
      </c>
      <c r="R1734" s="907">
        <f>COUNTIF(PoderesDeCriatura_Adquiridos,Tablas!O1734)</f>
        <v>0</v>
      </c>
      <c r="S1734" s="173"/>
      <c r="T1734" s="898"/>
      <c r="U1734" s="249"/>
    </row>
    <row r="1735" spans="1:21" ht="12.75" customHeight="1">
      <c r="A1735" s="219">
        <v>1671</v>
      </c>
      <c r="B1735" s="7145"/>
      <c r="C1735" s="510"/>
      <c r="H1735"/>
      <c r="M1735" s="307"/>
      <c r="N1735" s="21"/>
      <c r="O1735" s="131" t="s">
        <v>7525</v>
      </c>
      <c r="P1735" s="895">
        <v>30</v>
      </c>
      <c r="Q1735" s="84">
        <f>140+IF(OR(TipoDeCriatura="Entre mundos, Elemental",TipoDeCriatura="Ánima, Elemental"),10,0)</f>
        <v>140</v>
      </c>
      <c r="R1735" s="907">
        <f>COUNTIF(PoderesDeCriatura_Adquiridos,Tablas!O1735)</f>
        <v>0</v>
      </c>
      <c r="S1735" s="173"/>
      <c r="T1735" s="898"/>
      <c r="U1735" s="249"/>
    </row>
    <row r="1736" spans="1:21" ht="12.75" customHeight="1">
      <c r="A1736" s="219">
        <v>1672</v>
      </c>
      <c r="B1736" s="7145"/>
      <c r="C1736" s="510"/>
      <c r="H1736"/>
      <c r="M1736" s="307"/>
      <c r="N1736" s="21"/>
      <c r="O1736" s="131" t="s">
        <v>7526</v>
      </c>
      <c r="P1736" s="895">
        <v>20</v>
      </c>
      <c r="Q1736" s="84">
        <f>100+IF(OR(TipoDeCriatura="Entre mundos, Elemental",TipoDeCriatura="Ánima, Elemental"),10,0)</f>
        <v>100</v>
      </c>
      <c r="R1736" s="907">
        <f>COUNTIF(PoderesDeCriatura_Adquiridos,Tablas!O1736)</f>
        <v>0</v>
      </c>
      <c r="S1736" s="173"/>
      <c r="T1736" s="898"/>
      <c r="U1736" s="249"/>
    </row>
    <row r="1737" spans="1:21" ht="12.75" customHeight="1">
      <c r="A1737" s="219">
        <v>1673</v>
      </c>
      <c r="B1737" s="7145"/>
      <c r="C1737" s="510"/>
      <c r="H1737"/>
      <c r="M1737" s="307"/>
      <c r="N1737" s="21"/>
      <c r="O1737" s="131" t="s">
        <v>7527</v>
      </c>
      <c r="P1737" s="895">
        <v>20</v>
      </c>
      <c r="Q1737" s="84">
        <f>10+IF(OR(TipoDeCriatura="Entre mundos, Elemental",TipoDeCriatura="Ánima, Elemental"),10,0)</f>
        <v>10</v>
      </c>
      <c r="R1737" s="907">
        <f>COUNTIF(PoderesDeCriatura_Adquiridos,Tablas!O1737)</f>
        <v>0</v>
      </c>
      <c r="S1737" s="173"/>
      <c r="T1737" s="898"/>
      <c r="U1737" s="249"/>
    </row>
    <row r="1738" spans="1:21" ht="12.75" customHeight="1">
      <c r="A1738" s="219">
        <v>1674</v>
      </c>
      <c r="B1738" s="7145"/>
      <c r="C1738" s="510"/>
      <c r="H1738"/>
      <c r="M1738" s="307"/>
      <c r="N1738" s="21"/>
      <c r="O1738" s="131" t="s">
        <v>7528</v>
      </c>
      <c r="P1738" s="895">
        <v>20</v>
      </c>
      <c r="Q1738" s="84">
        <v>-30</v>
      </c>
      <c r="R1738" s="907">
        <f>COUNTIF(PoderesDeCriatura_Adquiridos,Tablas!O1738)</f>
        <v>0</v>
      </c>
      <c r="S1738" s="173"/>
      <c r="T1738" s="898"/>
      <c r="U1738" s="249"/>
    </row>
    <row r="1739" spans="1:21" ht="12.75" customHeight="1">
      <c r="A1739" s="219">
        <v>1675</v>
      </c>
      <c r="B1739" s="7145"/>
      <c r="C1739" s="510"/>
      <c r="H1739"/>
      <c r="M1739" s="307"/>
      <c r="N1739" s="21"/>
      <c r="O1739" s="131" t="s">
        <v>5</v>
      </c>
      <c r="P1739" s="895"/>
      <c r="Q1739" s="84"/>
      <c r="R1739" s="907">
        <f>COUNTIF(PoderesDeCriatura_Adquiridos,Tablas!O1739)</f>
        <v>0</v>
      </c>
      <c r="S1739" s="173"/>
      <c r="T1739" s="898"/>
      <c r="U1739" s="249"/>
    </row>
    <row r="1740" spans="1:21" ht="12.75" customHeight="1">
      <c r="A1740" s="219">
        <v>1676</v>
      </c>
      <c r="B1740" s="7145"/>
      <c r="C1740" s="510"/>
      <c r="H1740"/>
      <c r="M1740" s="307"/>
      <c r="N1740" s="21"/>
      <c r="O1740" s="131" t="s">
        <v>7529</v>
      </c>
      <c r="P1740" s="900">
        <v>0</v>
      </c>
      <c r="Q1740" s="173">
        <v>10</v>
      </c>
      <c r="R1740" s="907">
        <f>COUNTIF(PoderesDeCriatura_Adquiridos,Tablas!O1740)</f>
        <v>0</v>
      </c>
      <c r="S1740" s="173"/>
      <c r="T1740" s="898"/>
      <c r="U1740" s="249"/>
    </row>
    <row r="1741" spans="1:21" ht="12.75" customHeight="1">
      <c r="A1741" s="219">
        <v>1677</v>
      </c>
      <c r="B1741" s="7145"/>
      <c r="C1741" s="510"/>
      <c r="H1741"/>
      <c r="M1741" s="307"/>
      <c r="N1741" s="21"/>
      <c r="O1741" s="131" t="s">
        <v>7530</v>
      </c>
      <c r="P1741" s="900">
        <v>10</v>
      </c>
      <c r="Q1741" s="173">
        <v>20</v>
      </c>
      <c r="R1741" s="907">
        <f>COUNTIF(PoderesDeCriatura_Adquiridos,Tablas!O1741)</f>
        <v>0</v>
      </c>
      <c r="S1741" s="173"/>
      <c r="T1741" s="898"/>
      <c r="U1741" s="249"/>
    </row>
    <row r="1742" spans="1:21" ht="12.75" customHeight="1">
      <c r="A1742" s="219">
        <v>1678</v>
      </c>
      <c r="B1742" s="7145"/>
      <c r="C1742" s="510" t="str">
        <f>C1737&amp;" "&amp;D1737</f>
        <v xml:space="preserve"> </v>
      </c>
      <c r="H1742"/>
      <c r="M1742" s="307"/>
      <c r="N1742" s="21"/>
      <c r="O1742" s="131" t="s">
        <v>7531</v>
      </c>
      <c r="P1742" s="900">
        <v>10</v>
      </c>
      <c r="Q1742" s="173">
        <v>30</v>
      </c>
      <c r="R1742" s="907">
        <f>COUNTIF(PoderesDeCriatura_Adquiridos,Tablas!O1742)</f>
        <v>0</v>
      </c>
      <c r="S1742" s="173"/>
      <c r="T1742" s="898"/>
      <c r="U1742" s="249"/>
    </row>
    <row r="1743" spans="1:21" ht="12.75" customHeight="1">
      <c r="A1743" s="219">
        <v>1679</v>
      </c>
      <c r="B1743" s="7145"/>
      <c r="C1743" s="510"/>
      <c r="H1743"/>
      <c r="M1743" s="2613"/>
      <c r="N1743" s="2615"/>
      <c r="O1743" s="3915" t="s">
        <v>12542</v>
      </c>
      <c r="P1743" s="3620">
        <v>0</v>
      </c>
      <c r="Q1743" s="3620">
        <v>10</v>
      </c>
      <c r="R1743" s="3980">
        <f>COUNTIF(PoderesDeCriatura_Adquiridos,Tablas!O1743)</f>
        <v>0</v>
      </c>
      <c r="S1743" s="2613"/>
      <c r="T1743" s="2613"/>
      <c r="U1743" s="249"/>
    </row>
    <row r="1744" spans="1:21" ht="12.75" customHeight="1">
      <c r="A1744" s="219">
        <v>1680</v>
      </c>
      <c r="B1744" s="7145"/>
      <c r="C1744" s="510"/>
      <c r="H1744"/>
      <c r="M1744" s="2613"/>
      <c r="N1744" s="2615"/>
      <c r="O1744" s="3915" t="s">
        <v>12543</v>
      </c>
      <c r="P1744" s="3620">
        <v>0</v>
      </c>
      <c r="Q1744" s="3620">
        <v>20</v>
      </c>
      <c r="R1744" s="3980">
        <f>COUNTIF(PoderesDeCriatura_Adquiridos,Tablas!O1744)</f>
        <v>0</v>
      </c>
      <c r="S1744" s="2613"/>
      <c r="T1744" s="2613"/>
      <c r="U1744" s="249"/>
    </row>
    <row r="1745" spans="1:21" ht="12.75" customHeight="1">
      <c r="A1745" s="219">
        <v>1681</v>
      </c>
      <c r="B1745" s="7145"/>
      <c r="C1745" s="510"/>
      <c r="H1745"/>
      <c r="M1745" s="2613"/>
      <c r="N1745" s="2615"/>
      <c r="O1745" s="3915" t="s">
        <v>12544</v>
      </c>
      <c r="P1745" s="3620">
        <v>0</v>
      </c>
      <c r="Q1745" s="3620">
        <v>10</v>
      </c>
      <c r="R1745" s="3980">
        <f>COUNTIF(PoderesDeCriatura_Adquiridos,Tablas!O1745)</f>
        <v>0</v>
      </c>
      <c r="S1745" s="2613"/>
      <c r="T1745" s="2613"/>
      <c r="U1745" s="249"/>
    </row>
    <row r="1746" spans="1:21" ht="12.75" customHeight="1">
      <c r="A1746" s="219">
        <v>1682</v>
      </c>
      <c r="B1746" s="7145"/>
      <c r="H1746"/>
      <c r="M1746" s="2613"/>
      <c r="N1746" s="2615"/>
      <c r="O1746" s="3915" t="s">
        <v>12545</v>
      </c>
      <c r="P1746" s="3620">
        <v>10</v>
      </c>
      <c r="Q1746" s="3620">
        <v>10</v>
      </c>
      <c r="R1746" s="3980">
        <f>COUNTIF(PoderesDeCriatura_Adquiridos,Tablas!O1746)</f>
        <v>0</v>
      </c>
      <c r="S1746" s="2613"/>
      <c r="T1746" s="2613"/>
      <c r="U1746" s="249"/>
    </row>
    <row r="1747" spans="1:21" ht="12.75" customHeight="1">
      <c r="A1747" s="219">
        <v>1683</v>
      </c>
      <c r="B1747" s="7145"/>
      <c r="H1747"/>
      <c r="M1747" s="307"/>
      <c r="N1747" s="21"/>
      <c r="O1747" s="131" t="s">
        <v>7532</v>
      </c>
      <c r="P1747" s="900">
        <v>10</v>
      </c>
      <c r="Q1747" s="173">
        <v>10</v>
      </c>
      <c r="R1747" s="907">
        <f>COUNTIF(PoderesDeCriatura_Adquiridos,Tablas!O1747)</f>
        <v>0</v>
      </c>
      <c r="S1747" s="173"/>
      <c r="T1747" s="898"/>
      <c r="U1747" s="249"/>
    </row>
    <row r="1748" spans="1:21" ht="12.75" customHeight="1">
      <c r="A1748" s="219">
        <v>1684</v>
      </c>
      <c r="B1748" s="7145"/>
      <c r="H1748"/>
      <c r="M1748" s="307"/>
      <c r="N1748" s="21"/>
      <c r="O1748" s="131" t="s">
        <v>7533</v>
      </c>
      <c r="P1748" s="900">
        <v>10</v>
      </c>
      <c r="Q1748" s="173">
        <v>10</v>
      </c>
      <c r="R1748" s="907">
        <f>COUNTIF(PoderesDeCriatura_Adquiridos,Tablas!O1748)</f>
        <v>0</v>
      </c>
      <c r="S1748" s="173"/>
      <c r="T1748" s="898"/>
      <c r="U1748" s="249"/>
    </row>
    <row r="1749" spans="1:21" ht="12.75" customHeight="1">
      <c r="A1749" s="219">
        <v>1685</v>
      </c>
      <c r="B1749" s="7145"/>
      <c r="H1749"/>
      <c r="M1749" s="307"/>
      <c r="N1749" s="21"/>
      <c r="O1749" s="131" t="s">
        <v>7534</v>
      </c>
      <c r="P1749" s="900">
        <v>10</v>
      </c>
      <c r="Q1749" s="173">
        <v>10</v>
      </c>
      <c r="R1749" s="907">
        <f>COUNTIF(PoderesDeCriatura_Adquiridos,Tablas!O1749)</f>
        <v>0</v>
      </c>
      <c r="S1749" s="173"/>
      <c r="T1749" s="898"/>
      <c r="U1749" s="249"/>
    </row>
    <row r="1750" spans="1:21" ht="12.75" customHeight="1">
      <c r="A1750" s="219">
        <v>1686</v>
      </c>
      <c r="B1750" s="7145"/>
      <c r="H1750"/>
      <c r="M1750" s="307"/>
      <c r="N1750" s="21"/>
      <c r="O1750" s="131" t="s">
        <v>7535</v>
      </c>
      <c r="P1750" s="900">
        <v>20</v>
      </c>
      <c r="Q1750" s="173">
        <v>30</v>
      </c>
      <c r="R1750" s="907">
        <f>COUNTIF(PoderesDeCriatura_Adquiridos,Tablas!O1750)</f>
        <v>0</v>
      </c>
      <c r="S1750" s="173"/>
      <c r="T1750" s="898"/>
      <c r="U1750" s="249"/>
    </row>
    <row r="1751" spans="1:21" ht="12.75" customHeight="1">
      <c r="A1751" s="219">
        <v>1687</v>
      </c>
      <c r="B1751" s="7145"/>
      <c r="H1751"/>
      <c r="M1751" s="307"/>
      <c r="N1751" s="21"/>
      <c r="O1751" s="131" t="s">
        <v>7536</v>
      </c>
      <c r="P1751" s="900">
        <v>10</v>
      </c>
      <c r="Q1751" s="173">
        <v>10</v>
      </c>
      <c r="R1751" s="907">
        <f>COUNTIF(PoderesDeCriatura_Adquiridos,Tablas!O1751)</f>
        <v>0</v>
      </c>
      <c r="S1751" s="173"/>
      <c r="T1751" s="898"/>
      <c r="U1751" s="249"/>
    </row>
    <row r="1752" spans="1:21" ht="12.75" customHeight="1">
      <c r="A1752" s="219">
        <v>1688</v>
      </c>
      <c r="B1752" s="7145"/>
      <c r="H1752"/>
      <c r="M1752" s="307"/>
      <c r="N1752" s="21"/>
      <c r="O1752" s="131" t="s">
        <v>7537</v>
      </c>
      <c r="P1752" s="900">
        <v>10</v>
      </c>
      <c r="Q1752" s="173">
        <v>20</v>
      </c>
      <c r="R1752" s="907">
        <f>COUNTIF(PoderesDeCriatura_Adquiridos,Tablas!O1752)</f>
        <v>0</v>
      </c>
      <c r="S1752" s="173"/>
      <c r="T1752" s="898"/>
      <c r="U1752" s="249"/>
    </row>
    <row r="1753" spans="1:21" ht="12.75" customHeight="1">
      <c r="A1753" s="219">
        <v>1689</v>
      </c>
      <c r="B1753" s="7145"/>
      <c r="H1753"/>
      <c r="M1753" s="307"/>
      <c r="N1753" s="21"/>
      <c r="O1753" s="131" t="s">
        <v>7538</v>
      </c>
      <c r="P1753" s="900">
        <v>15</v>
      </c>
      <c r="Q1753" s="173">
        <v>30</v>
      </c>
      <c r="R1753" s="907">
        <f>COUNTIF(PoderesDeCriatura_Adquiridos,Tablas!O1753)</f>
        <v>0</v>
      </c>
      <c r="S1753" s="173"/>
      <c r="T1753" s="898"/>
      <c r="U1753" s="249"/>
    </row>
    <row r="1754" spans="1:21" ht="12.75" customHeight="1">
      <c r="A1754" s="219">
        <v>1690</v>
      </c>
      <c r="B1754" s="7145"/>
      <c r="H1754"/>
      <c r="M1754" s="307"/>
      <c r="N1754" s="21"/>
      <c r="O1754" s="131" t="s">
        <v>7539</v>
      </c>
      <c r="P1754" s="900">
        <v>15</v>
      </c>
      <c r="Q1754" s="173">
        <v>40</v>
      </c>
      <c r="R1754" s="907">
        <f>COUNTIF(PoderesDeCriatura_Adquiridos,Tablas!O1754)</f>
        <v>0</v>
      </c>
      <c r="S1754" s="173"/>
      <c r="T1754" s="898"/>
      <c r="U1754" s="249"/>
    </row>
    <row r="1755" spans="1:21" ht="12.75" customHeight="1">
      <c r="A1755" s="219">
        <v>1691</v>
      </c>
      <c r="B1755" s="7145"/>
      <c r="H1755"/>
      <c r="M1755" s="307"/>
      <c r="N1755" s="21"/>
      <c r="O1755" s="131" t="s">
        <v>7540</v>
      </c>
      <c r="P1755" s="900">
        <v>20</v>
      </c>
      <c r="Q1755" s="173">
        <v>50</v>
      </c>
      <c r="R1755" s="907">
        <f>COUNTIF(PoderesDeCriatura_Adquiridos,Tablas!O1755)</f>
        <v>0</v>
      </c>
      <c r="S1755" s="173"/>
      <c r="T1755" s="898"/>
      <c r="U1755" s="249"/>
    </row>
    <row r="1756" spans="1:21" ht="12.75" customHeight="1">
      <c r="A1756" s="219">
        <v>1692</v>
      </c>
      <c r="B1756" s="7145"/>
      <c r="H1756"/>
      <c r="M1756" s="307"/>
      <c r="N1756" s="21"/>
      <c r="O1756" s="131" t="s">
        <v>7541</v>
      </c>
      <c r="P1756" s="900">
        <v>20</v>
      </c>
      <c r="Q1756" s="173">
        <v>60</v>
      </c>
      <c r="R1756" s="907">
        <f>COUNTIF(PoderesDeCriatura_Adquiridos,Tablas!O1756)</f>
        <v>0</v>
      </c>
      <c r="S1756" s="173"/>
      <c r="T1756" s="898"/>
      <c r="U1756" s="249"/>
    </row>
    <row r="1757" spans="1:21" ht="12.75" customHeight="1">
      <c r="A1757" s="219">
        <v>1693</v>
      </c>
      <c r="B1757" s="7145"/>
      <c r="H1757"/>
      <c r="M1757" s="307"/>
      <c r="N1757" s="21"/>
      <c r="O1757" s="131" t="s">
        <v>7542</v>
      </c>
      <c r="P1757" s="900">
        <v>25</v>
      </c>
      <c r="Q1757" s="173">
        <v>80</v>
      </c>
      <c r="R1757" s="907">
        <f>COUNTIF(PoderesDeCriatura_Adquiridos,Tablas!O1757)</f>
        <v>0</v>
      </c>
      <c r="S1757" s="173"/>
      <c r="T1757" s="898"/>
      <c r="U1757" s="249"/>
    </row>
    <row r="1758" spans="1:21" ht="12.75" customHeight="1">
      <c r="A1758" s="219">
        <v>1694</v>
      </c>
      <c r="B1758" s="7145"/>
      <c r="H1758"/>
      <c r="M1758" s="307"/>
      <c r="N1758" s="21"/>
      <c r="O1758" s="131" t="s">
        <v>7543</v>
      </c>
      <c r="P1758" s="900">
        <v>10</v>
      </c>
      <c r="Q1758" s="173">
        <f>10+IF(OR(TipoDeCriatura="Entre mundos, Elemental",TipoDeCriatura="Ánima, Elemental"),10,0)</f>
        <v>10</v>
      </c>
      <c r="R1758" s="907">
        <f>COUNTIF(PoderesDeCriatura_Adquiridos,Tablas!O1758)</f>
        <v>0</v>
      </c>
      <c r="S1758" s="173"/>
      <c r="T1758" s="898"/>
      <c r="U1758" s="249"/>
    </row>
    <row r="1759" spans="1:21" ht="12.75" customHeight="1">
      <c r="A1759" s="219">
        <v>1695</v>
      </c>
      <c r="B1759" s="7145"/>
      <c r="H1759"/>
      <c r="M1759" s="307"/>
      <c r="N1759" s="21"/>
      <c r="O1759" s="131" t="s">
        <v>7544</v>
      </c>
      <c r="P1759" s="900">
        <v>10</v>
      </c>
      <c r="Q1759" s="173">
        <f>20+IF(OR(TipoDeCriatura="Entre mundos, Elemental",TipoDeCriatura="Ánima, Elemental"),10,0)</f>
        <v>20</v>
      </c>
      <c r="R1759" s="907">
        <f>COUNTIF(PoderesDeCriatura_Adquiridos,Tablas!O1759)</f>
        <v>0</v>
      </c>
      <c r="S1759" s="173"/>
      <c r="T1759" s="898"/>
      <c r="U1759" s="249"/>
    </row>
    <row r="1760" spans="1:21" ht="12.75" customHeight="1">
      <c r="A1760" s="219">
        <v>1696</v>
      </c>
      <c r="B1760" s="7145"/>
      <c r="H1760"/>
      <c r="M1760" s="307"/>
      <c r="N1760" s="21"/>
      <c r="O1760" s="131" t="s">
        <v>7545</v>
      </c>
      <c r="P1760" s="900">
        <v>15</v>
      </c>
      <c r="Q1760" s="173">
        <f>40+IF(OR(TipoDeCriatura="Entre mundos, Elemental",TipoDeCriatura="Ánima, Elemental"),10,0)</f>
        <v>40</v>
      </c>
      <c r="R1760" s="907">
        <f>COUNTIF(PoderesDeCriatura_Adquiridos,Tablas!O1760)</f>
        <v>0</v>
      </c>
      <c r="S1760" s="173"/>
      <c r="T1760" s="898"/>
      <c r="U1760" s="249"/>
    </row>
    <row r="1761" spans="1:21" ht="12.75" customHeight="1">
      <c r="A1761" s="219">
        <v>1697</v>
      </c>
      <c r="B1761" s="7145"/>
      <c r="C1761" s="510"/>
      <c r="H1761"/>
      <c r="M1761" s="307"/>
      <c r="N1761" s="21"/>
      <c r="O1761" s="131" t="s">
        <v>7546</v>
      </c>
      <c r="P1761" s="900">
        <v>20</v>
      </c>
      <c r="Q1761" s="173">
        <f>80+IF(OR(TipoDeCriatura="Entre mundos, Elemental",TipoDeCriatura="Ánima, Elemental"),10,0)</f>
        <v>80</v>
      </c>
      <c r="R1761" s="907">
        <f>COUNTIF(PoderesDeCriatura_Adquiridos,Tablas!O1761)</f>
        <v>0</v>
      </c>
      <c r="S1761" s="173"/>
      <c r="T1761" s="898"/>
      <c r="U1761" s="249"/>
    </row>
    <row r="1762" spans="1:21" ht="12.75" customHeight="1">
      <c r="A1762" s="219">
        <v>1698</v>
      </c>
      <c r="B1762" s="7145"/>
      <c r="C1762" s="510"/>
      <c r="H1762"/>
      <c r="M1762" s="307"/>
      <c r="N1762" s="21"/>
      <c r="O1762" s="131" t="s">
        <v>7547</v>
      </c>
      <c r="P1762" s="900">
        <v>25</v>
      </c>
      <c r="Q1762" s="173">
        <f>120+IF(OR(TipoDeCriatura="Entre mundos, Elemental",TipoDeCriatura="Ánima, Elemental"),10,0)</f>
        <v>120</v>
      </c>
      <c r="R1762" s="907">
        <f>COUNTIF(PoderesDeCriatura_Adquiridos,Tablas!O1762)</f>
        <v>0</v>
      </c>
      <c r="S1762" s="173"/>
      <c r="T1762" s="898"/>
      <c r="U1762" s="249"/>
    </row>
    <row r="1763" spans="1:21" ht="12.75" customHeight="1">
      <c r="A1763" s="219">
        <v>1699</v>
      </c>
      <c r="B1763" s="7145"/>
      <c r="C1763" s="510"/>
      <c r="H1763"/>
      <c r="M1763" s="307"/>
      <c r="N1763" s="21"/>
      <c r="O1763" s="131" t="s">
        <v>7548</v>
      </c>
      <c r="P1763" s="900">
        <v>10</v>
      </c>
      <c r="Q1763" s="173">
        <f>20+IF(OR(TipoDeCriatura="Entre mundos, Elemental",TipoDeCriatura="Ánima, Elemental"),10,0)</f>
        <v>20</v>
      </c>
      <c r="R1763" s="907">
        <f>COUNTIF(PoderesDeCriatura_Adquiridos,Tablas!O1763)</f>
        <v>0</v>
      </c>
      <c r="S1763" s="173"/>
      <c r="T1763" s="898"/>
      <c r="U1763" s="249"/>
    </row>
    <row r="1764" spans="1:21" ht="12.75" customHeight="1">
      <c r="A1764" s="219">
        <v>1700</v>
      </c>
      <c r="B1764" s="7145"/>
      <c r="C1764" s="510"/>
      <c r="H1764"/>
      <c r="M1764" s="307"/>
      <c r="N1764" s="21"/>
      <c r="O1764" s="131" t="s">
        <v>7549</v>
      </c>
      <c r="P1764" s="900">
        <v>20</v>
      </c>
      <c r="Q1764" s="173">
        <f>30+IF(OR(TipoDeCriatura="Entre mundos, Elemental",TipoDeCriatura="Ánima, Elemental"),10,0)</f>
        <v>30</v>
      </c>
      <c r="R1764" s="907">
        <f>COUNTIF(PoderesDeCriatura_Adquiridos,Tablas!O1764)</f>
        <v>0</v>
      </c>
      <c r="S1764" s="173"/>
      <c r="T1764" s="898"/>
      <c r="U1764" s="249"/>
    </row>
    <row r="1765" spans="1:21" ht="12.75" customHeight="1">
      <c r="A1765" s="219">
        <v>1701</v>
      </c>
      <c r="B1765" s="7145"/>
      <c r="C1765" s="510"/>
      <c r="H1765"/>
      <c r="M1765" s="307"/>
      <c r="N1765" s="21"/>
      <c r="O1765" s="131" t="s">
        <v>11</v>
      </c>
      <c r="P1765" s="895"/>
      <c r="Q1765" s="84"/>
      <c r="R1765" s="907"/>
      <c r="S1765" s="173"/>
      <c r="T1765" s="898"/>
      <c r="U1765" s="249"/>
    </row>
    <row r="1766" spans="1:21" ht="12.75" customHeight="1">
      <c r="A1766" s="219">
        <v>1702</v>
      </c>
      <c r="B1766" s="7145"/>
      <c r="C1766" s="510"/>
      <c r="H1766"/>
      <c r="M1766" s="307"/>
      <c r="N1766" s="21"/>
      <c r="O1766" s="1" t="s">
        <v>12</v>
      </c>
      <c r="P1766" s="900">
        <v>5</v>
      </c>
      <c r="Q1766" s="173">
        <v>20</v>
      </c>
      <c r="R1766" s="907">
        <f>COUNTIF(PoderesDeCriatura_Adquiridos,Tablas!O1766)</f>
        <v>0</v>
      </c>
      <c r="S1766" s="173"/>
      <c r="T1766" s="898"/>
      <c r="U1766" s="249"/>
    </row>
    <row r="1767" spans="1:21" ht="12.75" customHeight="1">
      <c r="A1767" s="219">
        <v>1703</v>
      </c>
      <c r="B1767" s="7145"/>
      <c r="C1767" s="510"/>
      <c r="H1767"/>
      <c r="M1767" s="307"/>
      <c r="N1767" s="21"/>
      <c r="O1767" s="131" t="s">
        <v>7550</v>
      </c>
      <c r="P1767" s="900">
        <v>10</v>
      </c>
      <c r="Q1767" s="173">
        <v>10</v>
      </c>
      <c r="R1767" s="907">
        <f>COUNTIF(PoderesDeCriatura_Adquiridos,Tablas!O1767)</f>
        <v>0</v>
      </c>
      <c r="S1767" s="173"/>
      <c r="T1767" s="898"/>
      <c r="U1767" s="249"/>
    </row>
    <row r="1768" spans="1:21" ht="12.75" customHeight="1">
      <c r="A1768" s="219">
        <v>1704</v>
      </c>
      <c r="B1768" s="7145"/>
      <c r="C1768" s="510"/>
      <c r="H1768"/>
      <c r="M1768" s="307"/>
      <c r="N1768" s="21"/>
      <c r="O1768" s="131" t="s">
        <v>7551</v>
      </c>
      <c r="P1768" s="900">
        <v>20</v>
      </c>
      <c r="Q1768" s="173">
        <v>20</v>
      </c>
      <c r="R1768" s="907">
        <f>COUNTIF(PoderesDeCriatura_Adquiridos,Tablas!O1768)</f>
        <v>0</v>
      </c>
      <c r="S1768" s="173"/>
      <c r="T1768" s="898"/>
      <c r="U1768" s="249"/>
    </row>
    <row r="1769" spans="1:21" ht="12.75" customHeight="1">
      <c r="A1769" s="219">
        <v>1705</v>
      </c>
      <c r="B1769" s="7145"/>
      <c r="C1769" s="510"/>
      <c r="H1769"/>
      <c r="M1769" s="307"/>
      <c r="N1769" s="21"/>
      <c r="O1769" s="131" t="s">
        <v>7552</v>
      </c>
      <c r="P1769" s="900">
        <v>25</v>
      </c>
      <c r="Q1769" s="173">
        <v>30</v>
      </c>
      <c r="R1769" s="907">
        <f>COUNTIF(PoderesDeCriatura_Adquiridos,Tablas!O1769)</f>
        <v>0</v>
      </c>
      <c r="S1769" s="173"/>
      <c r="T1769" s="898"/>
      <c r="U1769" s="249"/>
    </row>
    <row r="1770" spans="1:21" ht="12.75" customHeight="1">
      <c r="A1770" s="219">
        <v>1706</v>
      </c>
      <c r="B1770" s="7145"/>
      <c r="C1770" s="510"/>
      <c r="H1770"/>
      <c r="M1770" s="307"/>
      <c r="N1770" s="21"/>
      <c r="O1770" s="131" t="s">
        <v>7553</v>
      </c>
      <c r="P1770" s="900">
        <v>30</v>
      </c>
      <c r="Q1770" s="173">
        <v>40</v>
      </c>
      <c r="R1770" s="907">
        <f>COUNTIF(PoderesDeCriatura_Adquiridos,Tablas!O1770)</f>
        <v>0</v>
      </c>
      <c r="S1770" s="173"/>
      <c r="T1770" s="898"/>
      <c r="U1770" s="249"/>
    </row>
    <row r="1771" spans="1:21" ht="12.75" customHeight="1">
      <c r="A1771" s="219">
        <v>1707</v>
      </c>
      <c r="B1771" s="7145"/>
      <c r="C1771" s="510"/>
      <c r="H1771"/>
      <c r="M1771" s="307"/>
      <c r="N1771" s="21"/>
      <c r="O1771" s="131" t="s">
        <v>7554</v>
      </c>
      <c r="P1771" s="900">
        <v>5</v>
      </c>
      <c r="Q1771" s="173">
        <v>20</v>
      </c>
      <c r="R1771" s="907">
        <f>COUNTIF(PoderesDeCriatura_Adquiridos,Tablas!O1771)</f>
        <v>0</v>
      </c>
      <c r="S1771" s="173"/>
      <c r="T1771" s="898"/>
      <c r="U1771" s="249"/>
    </row>
    <row r="1772" spans="1:21" ht="12.75" customHeight="1">
      <c r="A1772" s="219">
        <v>1708</v>
      </c>
      <c r="B1772" s="7145"/>
      <c r="C1772" s="510"/>
      <c r="H1772"/>
      <c r="M1772" s="307"/>
      <c r="N1772" s="21"/>
      <c r="O1772" s="131" t="s">
        <v>7555</v>
      </c>
      <c r="P1772" s="900">
        <v>10</v>
      </c>
      <c r="Q1772" s="173">
        <v>30</v>
      </c>
      <c r="R1772" s="907">
        <f>COUNTIF(PoderesDeCriatura_Adquiridos,Tablas!O1772)</f>
        <v>0</v>
      </c>
      <c r="S1772" s="173"/>
      <c r="T1772" s="898"/>
      <c r="U1772" s="249"/>
    </row>
    <row r="1773" spans="1:21" ht="12.75" customHeight="1">
      <c r="A1773" s="219">
        <v>1709</v>
      </c>
      <c r="B1773" s="7145"/>
      <c r="C1773" s="510"/>
      <c r="H1773"/>
      <c r="M1773" s="307"/>
      <c r="N1773" s="21"/>
      <c r="O1773" s="131" t="s">
        <v>7556</v>
      </c>
      <c r="P1773" s="900">
        <v>15</v>
      </c>
      <c r="Q1773" s="173">
        <v>40</v>
      </c>
      <c r="R1773" s="907">
        <f>COUNTIF(PoderesDeCriatura_Adquiridos,Tablas!O1773)</f>
        <v>0</v>
      </c>
      <c r="S1773" s="173"/>
      <c r="T1773" s="898"/>
      <c r="U1773" s="249"/>
    </row>
    <row r="1774" spans="1:21" ht="12.75" customHeight="1">
      <c r="A1774" s="219">
        <v>1710</v>
      </c>
      <c r="B1774" s="7145"/>
      <c r="C1774" s="510"/>
      <c r="H1774"/>
      <c r="M1774" s="307"/>
      <c r="N1774" s="21"/>
      <c r="O1774" s="131" t="s">
        <v>7557</v>
      </c>
      <c r="P1774" s="900">
        <v>25</v>
      </c>
      <c r="Q1774" s="173">
        <v>60</v>
      </c>
      <c r="R1774" s="907">
        <f>COUNTIF(PoderesDeCriatura_Adquiridos,Tablas!O1774)</f>
        <v>0</v>
      </c>
      <c r="S1774" s="173"/>
      <c r="T1774" s="898"/>
      <c r="U1774" s="249"/>
    </row>
    <row r="1775" spans="1:21" ht="12.75" customHeight="1">
      <c r="A1775" s="219">
        <v>1711</v>
      </c>
      <c r="B1775" s="7145"/>
      <c r="C1775" s="510"/>
      <c r="H1775"/>
      <c r="M1775" s="307"/>
      <c r="N1775" s="21"/>
      <c r="O1775" s="131" t="s">
        <v>7558</v>
      </c>
      <c r="P1775" s="900">
        <v>30</v>
      </c>
      <c r="Q1775" s="173">
        <v>80</v>
      </c>
      <c r="R1775" s="907">
        <f>COUNTIF(PoderesDeCriatura_Adquiridos,Tablas!O1775)</f>
        <v>0</v>
      </c>
      <c r="S1775" s="173"/>
      <c r="T1775" s="898"/>
      <c r="U1775" s="249"/>
    </row>
    <row r="1776" spans="1:21" ht="12.75" customHeight="1">
      <c r="A1776" s="219">
        <v>1712</v>
      </c>
      <c r="B1776" s="7145"/>
      <c r="C1776" s="510"/>
      <c r="H1776"/>
      <c r="M1776" s="307"/>
      <c r="N1776" s="21"/>
      <c r="O1776" s="131" t="s">
        <v>7559</v>
      </c>
      <c r="P1776" s="900">
        <v>10</v>
      </c>
      <c r="Q1776" s="173">
        <v>50</v>
      </c>
      <c r="R1776" s="907">
        <f>COUNTIF(PoderesDeCriatura_Adquiridos,Tablas!O1776)</f>
        <v>0</v>
      </c>
      <c r="S1776" s="173"/>
      <c r="T1776" s="898"/>
      <c r="U1776" s="249"/>
    </row>
    <row r="1777" spans="1:21" ht="12.75" customHeight="1">
      <c r="A1777" s="219">
        <v>1713</v>
      </c>
      <c r="B1777" s="7145"/>
      <c r="C1777" s="510"/>
      <c r="H1777"/>
      <c r="M1777" s="307"/>
      <c r="N1777" s="21"/>
      <c r="O1777" s="131" t="s">
        <v>7560</v>
      </c>
      <c r="P1777" s="900">
        <v>15</v>
      </c>
      <c r="Q1777" s="173">
        <v>60</v>
      </c>
      <c r="R1777" s="907">
        <f>COUNTIF(PoderesDeCriatura_Adquiridos,Tablas!O1777)</f>
        <v>0</v>
      </c>
      <c r="S1777" s="173"/>
      <c r="T1777" s="898"/>
      <c r="U1777" s="249">
        <f>SUM(R1789:R1792)</f>
        <v>0</v>
      </c>
    </row>
    <row r="1778" spans="1:21" ht="12.75" customHeight="1">
      <c r="A1778" s="219">
        <v>1714</v>
      </c>
      <c r="B1778" s="7145"/>
      <c r="C1778" s="510"/>
      <c r="H1778"/>
      <c r="M1778" s="307"/>
      <c r="N1778" s="21"/>
      <c r="O1778" s="131" t="s">
        <v>7561</v>
      </c>
      <c r="P1778" s="900">
        <v>20</v>
      </c>
      <c r="Q1778" s="173">
        <v>80</v>
      </c>
      <c r="R1778" s="907">
        <f>COUNTIF(PoderesDeCriatura_Adquiridos,Tablas!O1778)</f>
        <v>0</v>
      </c>
      <c r="S1778" s="173"/>
      <c r="T1778" s="898"/>
      <c r="U1778" s="249"/>
    </row>
    <row r="1779" spans="1:21" ht="12.75" customHeight="1">
      <c r="A1779" s="219">
        <v>1715</v>
      </c>
      <c r="B1779" s="7145"/>
      <c r="C1779" s="510"/>
      <c r="H1779"/>
      <c r="M1779" s="307"/>
      <c r="N1779" s="21"/>
      <c r="O1779" s="131" t="s">
        <v>7562</v>
      </c>
      <c r="P1779" s="895">
        <v>25</v>
      </c>
      <c r="Q1779" s="84">
        <v>100</v>
      </c>
      <c r="R1779" s="907">
        <f>COUNTIF(PoderesDeCriatura_Adquiridos,Tablas!O1779)</f>
        <v>0</v>
      </c>
      <c r="S1779" s="173"/>
      <c r="T1779" s="898"/>
      <c r="U1779" s="249"/>
    </row>
    <row r="1780" spans="1:21" ht="12.75" customHeight="1">
      <c r="A1780" s="219">
        <v>1716</v>
      </c>
      <c r="B1780" s="7145"/>
      <c r="C1780" s="510"/>
      <c r="H1780"/>
      <c r="M1780" s="307"/>
      <c r="N1780" s="21"/>
      <c r="O1780" s="131" t="s">
        <v>7563</v>
      </c>
      <c r="P1780" s="895">
        <v>30</v>
      </c>
      <c r="Q1780" s="84">
        <v>120</v>
      </c>
      <c r="R1780" s="907">
        <f>COUNTIF(PoderesDeCriatura_Adquiridos,Tablas!O1780)</f>
        <v>0</v>
      </c>
      <c r="S1780" s="173"/>
      <c r="T1780" s="898"/>
      <c r="U1780" s="249"/>
    </row>
    <row r="1781" spans="1:21" ht="12.75" customHeight="1">
      <c r="A1781" s="219">
        <v>1717</v>
      </c>
      <c r="B1781" s="7145"/>
      <c r="C1781" s="510"/>
      <c r="H1781"/>
      <c r="M1781" s="307"/>
      <c r="N1781" s="21"/>
      <c r="O1781" s="131" t="s">
        <v>12479</v>
      </c>
      <c r="P1781" s="900">
        <v>0</v>
      </c>
      <c r="Q1781" s="173">
        <v>20</v>
      </c>
      <c r="R1781" s="907">
        <f>COUNTIF(PoderesDeCriatura_Adquiridos,Tablas!O1781)</f>
        <v>0</v>
      </c>
      <c r="S1781" s="173"/>
      <c r="T1781" s="898"/>
      <c r="U1781" s="249"/>
    </row>
    <row r="1782" spans="1:21" ht="12.75" customHeight="1">
      <c r="A1782" s="219">
        <v>1718</v>
      </c>
      <c r="B1782" s="7145"/>
      <c r="C1782" s="510"/>
      <c r="H1782"/>
      <c r="M1782" s="307"/>
      <c r="N1782" s="21"/>
      <c r="O1782" s="131" t="s">
        <v>12480</v>
      </c>
      <c r="P1782" s="900">
        <v>10</v>
      </c>
      <c r="Q1782" s="173">
        <v>40</v>
      </c>
      <c r="R1782" s="907">
        <f>COUNTIF(PoderesDeCriatura_Adquiridos,Tablas!O1782)</f>
        <v>0</v>
      </c>
      <c r="S1782" s="173"/>
      <c r="T1782" s="898"/>
      <c r="U1782" s="249"/>
    </row>
    <row r="1783" spans="1:21" ht="12.75" customHeight="1">
      <c r="A1783" s="219">
        <v>1719</v>
      </c>
      <c r="B1783" s="7145"/>
      <c r="C1783" s="510"/>
      <c r="H1783"/>
      <c r="M1783" s="307"/>
      <c r="N1783" s="21"/>
      <c r="O1783" s="131" t="s">
        <v>12481</v>
      </c>
      <c r="P1783" s="900">
        <v>30</v>
      </c>
      <c r="Q1783" s="173">
        <v>60</v>
      </c>
      <c r="R1783" s="907">
        <f>COUNTIF(PoderesDeCriatura_Adquiridos,Tablas!O1783)</f>
        <v>0</v>
      </c>
      <c r="S1783" s="173"/>
      <c r="T1783" s="898"/>
      <c r="U1783" s="249"/>
    </row>
    <row r="1784" spans="1:21" ht="12.75" customHeight="1">
      <c r="A1784" s="219">
        <v>1720</v>
      </c>
      <c r="B1784" s="7145"/>
      <c r="C1784" s="510"/>
      <c r="H1784"/>
      <c r="M1784" s="307"/>
      <c r="N1784" s="21"/>
      <c r="O1784" s="131" t="s">
        <v>7564</v>
      </c>
      <c r="P1784" s="900">
        <v>10</v>
      </c>
      <c r="Q1784" s="173">
        <v>30</v>
      </c>
      <c r="R1784" s="907">
        <f>COUNTIF(PoderesDeCriatura_Adquiridos,Tablas!O1784)</f>
        <v>0</v>
      </c>
      <c r="S1784" s="173"/>
      <c r="T1784" s="898"/>
      <c r="U1784" s="249"/>
    </row>
    <row r="1785" spans="1:21" ht="12.75" customHeight="1">
      <c r="A1785" s="219">
        <v>1721</v>
      </c>
      <c r="B1785" s="7145"/>
      <c r="C1785" s="510"/>
      <c r="H1785"/>
      <c r="M1785" s="307"/>
      <c r="N1785" s="21"/>
      <c r="O1785" s="131" t="s">
        <v>7565</v>
      </c>
      <c r="P1785" s="900">
        <v>15</v>
      </c>
      <c r="Q1785" s="173">
        <v>40</v>
      </c>
      <c r="R1785" s="907">
        <f>COUNTIF(PoderesDeCriatura_Adquiridos,Tablas!O1785)</f>
        <v>0</v>
      </c>
      <c r="S1785" s="173"/>
      <c r="T1785" s="898"/>
      <c r="U1785" s="249"/>
    </row>
    <row r="1786" spans="1:21" ht="12.75" customHeight="1">
      <c r="A1786" s="219">
        <v>1722</v>
      </c>
      <c r="B1786" s="7145"/>
      <c r="C1786" s="510"/>
      <c r="H1786"/>
      <c r="M1786" s="307"/>
      <c r="N1786" s="21"/>
      <c r="O1786" s="131" t="s">
        <v>7566</v>
      </c>
      <c r="P1786" s="900">
        <v>15</v>
      </c>
      <c r="Q1786" s="173">
        <f>20+IF(OR(TipoDeCriatura="Entre mundos, Elemental",TipoDeCriatura="Ánima, Elemental"),10,0)</f>
        <v>20</v>
      </c>
      <c r="R1786" s="907">
        <f>COUNTIF(PoderesDeCriatura_Adquiridos,Tablas!O1786)</f>
        <v>0</v>
      </c>
      <c r="S1786" s="173"/>
      <c r="T1786" s="898"/>
      <c r="U1786" s="249"/>
    </row>
    <row r="1787" spans="1:21" ht="12.75" customHeight="1">
      <c r="A1787" s="219">
        <v>1723</v>
      </c>
      <c r="B1787" s="7145"/>
      <c r="C1787" s="510"/>
      <c r="H1787"/>
      <c r="M1787" s="307"/>
      <c r="N1787" s="21"/>
      <c r="O1787" s="131" t="s">
        <v>7567</v>
      </c>
      <c r="P1787" s="900">
        <v>30</v>
      </c>
      <c r="Q1787" s="173">
        <f>40+IF(OR(TipoDeCriatura="Entre mundos, Elemental",TipoDeCriatura="Ánima, Elemental"),10,0)</f>
        <v>40</v>
      </c>
      <c r="R1787" s="907">
        <f>COUNTIF(PoderesDeCriatura_Adquiridos,Tablas!O1787)</f>
        <v>0</v>
      </c>
      <c r="S1787" s="173"/>
      <c r="T1787" s="898"/>
      <c r="U1787" s="249"/>
    </row>
    <row r="1788" spans="1:21" ht="12.75" customHeight="1">
      <c r="A1788" s="219">
        <v>1724</v>
      </c>
      <c r="B1788" s="7145"/>
      <c r="C1788" s="510"/>
      <c r="H1788"/>
      <c r="M1788" s="307"/>
      <c r="N1788" s="21"/>
      <c r="O1788" s="131" t="s">
        <v>13</v>
      </c>
      <c r="P1788" s="900">
        <v>5</v>
      </c>
      <c r="Q1788" s="173">
        <v>20</v>
      </c>
      <c r="R1788" s="907">
        <f>COUNTIF(PoderesDeCriatura_Adquiridos,Tablas!O1788)</f>
        <v>0</v>
      </c>
      <c r="S1788" s="173"/>
      <c r="T1788" s="898"/>
      <c r="U1788" s="249"/>
    </row>
    <row r="1789" spans="1:21" ht="12.75" customHeight="1">
      <c r="A1789" s="219">
        <v>1725</v>
      </c>
      <c r="B1789" s="7145"/>
      <c r="C1789" s="510"/>
      <c r="H1789"/>
      <c r="M1789" s="307"/>
      <c r="N1789" s="21"/>
      <c r="O1789" s="131" t="s">
        <v>7568</v>
      </c>
      <c r="P1789" s="900">
        <v>10</v>
      </c>
      <c r="Q1789" s="173">
        <f>20+IF(OR(TipoDeCriatura="Entre mundos, Elemental",TipoDeCriatura="Ánima, Elemental"),10,0)</f>
        <v>20</v>
      </c>
      <c r="R1789" s="907">
        <f>COUNTIF(PoderesDeCriatura_Adquiridos,Tablas!O1789)</f>
        <v>0</v>
      </c>
      <c r="S1789" s="173"/>
      <c r="T1789" s="898"/>
      <c r="U1789" s="249"/>
    </row>
    <row r="1790" spans="1:21" ht="12.75" customHeight="1">
      <c r="A1790" s="219">
        <v>1726</v>
      </c>
      <c r="B1790" s="7145"/>
      <c r="C1790" s="510"/>
      <c r="H1790"/>
      <c r="M1790" s="307"/>
      <c r="N1790" s="21"/>
      <c r="O1790" s="131" t="s">
        <v>7569</v>
      </c>
      <c r="P1790" s="900">
        <v>20</v>
      </c>
      <c r="Q1790" s="173">
        <f>40+IF(OR(TipoDeCriatura="Entre mundos, Elemental",TipoDeCriatura="Ánima, Elemental"),10,0)</f>
        <v>40</v>
      </c>
      <c r="R1790" s="907">
        <f>COUNTIF(PoderesDeCriatura_Adquiridos,Tablas!O1790)</f>
        <v>0</v>
      </c>
      <c r="S1790" s="173"/>
      <c r="T1790" s="898"/>
      <c r="U1790" s="249"/>
    </row>
    <row r="1791" spans="1:21" ht="12.75" customHeight="1">
      <c r="A1791" s="219">
        <v>1727</v>
      </c>
      <c r="B1791" s="7145"/>
      <c r="C1791" s="510"/>
      <c r="H1791"/>
      <c r="M1791" s="307"/>
      <c r="N1791" s="21"/>
      <c r="O1791" s="131" t="s">
        <v>7570</v>
      </c>
      <c r="P1791" s="900">
        <v>10</v>
      </c>
      <c r="Q1791" s="173">
        <f>30+IF(OR(TipoDeCriatura="Entre mundos, Elemental",TipoDeCriatura="Ánima, Elemental"),10,0)</f>
        <v>30</v>
      </c>
      <c r="R1791" s="907">
        <f>COUNTIF(PoderesDeCriatura_Adquiridos,Tablas!O1791)</f>
        <v>0</v>
      </c>
      <c r="S1791" s="173"/>
      <c r="T1791" s="898"/>
      <c r="U1791" s="249"/>
    </row>
    <row r="1792" spans="1:21" ht="12.75" customHeight="1">
      <c r="A1792" s="219">
        <v>1728</v>
      </c>
      <c r="B1792" s="7145"/>
      <c r="C1792" s="510"/>
      <c r="H1792"/>
      <c r="M1792" s="307"/>
      <c r="N1792" s="21"/>
      <c r="O1792" s="131" t="s">
        <v>7571</v>
      </c>
      <c r="P1792" s="900">
        <v>10</v>
      </c>
      <c r="Q1792" s="173">
        <f>20+IF(OR(TipoDeCriatura="Entre mundos, Elemental",TipoDeCriatura="Ánima, Elemental"),10,0)</f>
        <v>20</v>
      </c>
      <c r="R1792" s="907">
        <f>COUNTIF(PoderesDeCriatura_Adquiridos,Tablas!O1792)</f>
        <v>0</v>
      </c>
      <c r="S1792" s="173"/>
      <c r="T1792" s="898"/>
      <c r="U1792" s="249"/>
    </row>
    <row r="1793" spans="1:21" ht="12.75" customHeight="1">
      <c r="A1793" s="219">
        <v>1729</v>
      </c>
      <c r="B1793" s="7145"/>
      <c r="C1793" s="510"/>
      <c r="H1793"/>
      <c r="M1793" s="307"/>
      <c r="N1793" s="21"/>
      <c r="O1793" s="1" t="s">
        <v>14</v>
      </c>
      <c r="P1793" s="900">
        <v>15</v>
      </c>
      <c r="Q1793" s="173">
        <v>50</v>
      </c>
      <c r="R1793" s="907">
        <f>COUNTIF(PoderesDeCriatura_Adquiridos,Tablas!O1793)</f>
        <v>0</v>
      </c>
      <c r="S1793" s="173"/>
      <c r="T1793" s="898"/>
      <c r="U1793" s="249"/>
    </row>
    <row r="1794" spans="1:21" ht="12.75" customHeight="1">
      <c r="A1794" s="219">
        <v>1730</v>
      </c>
      <c r="B1794" s="7145"/>
      <c r="C1794" s="510"/>
      <c r="H1794"/>
      <c r="M1794" s="307"/>
      <c r="N1794" s="21"/>
      <c r="O1794" s="131" t="s">
        <v>9486</v>
      </c>
      <c r="P1794" s="900">
        <v>5</v>
      </c>
      <c r="Q1794" s="173">
        <v>10</v>
      </c>
      <c r="R1794" s="907">
        <f>COUNTIF(PoderesDeCriatura_Adquiridos,Tablas!O1794)</f>
        <v>0</v>
      </c>
      <c r="S1794" s="173"/>
      <c r="T1794" s="898"/>
      <c r="U1794" s="249"/>
    </row>
    <row r="1795" spans="1:21" ht="12.75" customHeight="1">
      <c r="A1795" s="219">
        <v>1731</v>
      </c>
      <c r="B1795" s="7145"/>
      <c r="C1795" s="510"/>
      <c r="H1795"/>
      <c r="M1795" s="307"/>
      <c r="N1795" s="21"/>
      <c r="O1795" s="131" t="s">
        <v>9487</v>
      </c>
      <c r="P1795" s="900">
        <v>10</v>
      </c>
      <c r="Q1795" s="173">
        <v>20</v>
      </c>
      <c r="R1795" s="907">
        <f>COUNTIF(PoderesDeCriatura_Adquiridos,Tablas!O1795)</f>
        <v>0</v>
      </c>
      <c r="S1795" s="173"/>
      <c r="T1795" s="898"/>
      <c r="U1795" s="249"/>
    </row>
    <row r="1796" spans="1:21" ht="12.75" customHeight="1">
      <c r="A1796" s="219">
        <v>1732</v>
      </c>
      <c r="B1796" s="7145"/>
      <c r="C1796" s="510"/>
      <c r="H1796"/>
      <c r="M1796" s="307"/>
      <c r="N1796" s="21"/>
      <c r="O1796" s="131" t="s">
        <v>9488</v>
      </c>
      <c r="P1796" s="900">
        <v>20</v>
      </c>
      <c r="Q1796" s="173">
        <v>30</v>
      </c>
      <c r="R1796" s="907">
        <f>COUNTIF(PoderesDeCriatura_Adquiridos,Tablas!O1796)</f>
        <v>0</v>
      </c>
      <c r="S1796" s="173"/>
      <c r="T1796" s="898"/>
      <c r="U1796" s="249"/>
    </row>
    <row r="1797" spans="1:21" ht="12.75" customHeight="1">
      <c r="A1797" s="219">
        <v>1733</v>
      </c>
      <c r="B1797" s="7145"/>
      <c r="C1797" s="510"/>
      <c r="H1797"/>
      <c r="M1797" s="307"/>
      <c r="N1797" s="21"/>
      <c r="O1797" s="131" t="s">
        <v>9489</v>
      </c>
      <c r="P1797" s="900">
        <v>30</v>
      </c>
      <c r="Q1797" s="173">
        <v>40</v>
      </c>
      <c r="R1797" s="907">
        <f>COUNTIF(PoderesDeCriatura_Adquiridos,Tablas!O1797)</f>
        <v>0</v>
      </c>
      <c r="S1797" s="173"/>
      <c r="T1797" s="898"/>
      <c r="U1797" s="249"/>
    </row>
    <row r="1798" spans="1:21" ht="12.75" customHeight="1">
      <c r="A1798" s="219">
        <v>1734</v>
      </c>
      <c r="B1798" s="7145"/>
      <c r="C1798" s="510"/>
      <c r="H1798"/>
      <c r="M1798" s="307"/>
      <c r="N1798" s="21"/>
      <c r="O1798" s="131" t="s">
        <v>9490</v>
      </c>
      <c r="P1798" s="900">
        <v>20</v>
      </c>
      <c r="Q1798" s="173">
        <f>40+IF(OR(TipoDeCriatura="Entre mundos, Elemental",TipoDeCriatura="Ánima, Elemental"),10,0)</f>
        <v>40</v>
      </c>
      <c r="R1798" s="907">
        <f>COUNTIF(PoderesDeCriatura_Adquiridos,Tablas!O1798)</f>
        <v>0</v>
      </c>
      <c r="S1798" s="173"/>
      <c r="T1798" s="898"/>
      <c r="U1798" s="249"/>
    </row>
    <row r="1799" spans="1:21" ht="12.75" customHeight="1">
      <c r="A1799" s="219">
        <v>1735</v>
      </c>
      <c r="B1799" s="7145"/>
      <c r="C1799" s="510"/>
      <c r="H1799"/>
      <c r="M1799" s="307"/>
      <c r="N1799" s="21"/>
      <c r="O1799" s="131" t="s">
        <v>9491</v>
      </c>
      <c r="P1799" s="900">
        <v>10</v>
      </c>
      <c r="Q1799" s="173">
        <f>20+IF(OR(TipoDeCriatura="Entre mundos, Elemental",TipoDeCriatura="Ánima, Elemental"),10,0)</f>
        <v>20</v>
      </c>
      <c r="R1799" s="907">
        <f>COUNTIF(PoderesDeCriatura_Adquiridos,Tablas!O1799)</f>
        <v>0</v>
      </c>
      <c r="S1799" s="173"/>
      <c r="T1799" s="898"/>
      <c r="U1799" s="249"/>
    </row>
    <row r="1800" spans="1:21" ht="12.75" customHeight="1">
      <c r="A1800" s="219">
        <v>1736</v>
      </c>
      <c r="B1800" s="7145"/>
      <c r="C1800" s="510"/>
      <c r="H1800"/>
      <c r="M1800" s="307"/>
      <c r="N1800" s="21"/>
      <c r="O1800" s="131" t="s">
        <v>9492</v>
      </c>
      <c r="P1800" s="900">
        <v>15</v>
      </c>
      <c r="Q1800" s="173">
        <f>30+IF(OR(TipoDeCriatura="Entre mundos, Elemental",TipoDeCriatura="Ánima, Elemental"),10,0)</f>
        <v>30</v>
      </c>
      <c r="R1800" s="907">
        <f>COUNTIF(PoderesDeCriatura_Adquiridos,Tablas!O1800)</f>
        <v>0</v>
      </c>
      <c r="S1800" s="173"/>
      <c r="T1800" s="898"/>
      <c r="U1800" s="249"/>
    </row>
    <row r="1801" spans="1:21" ht="12.75" customHeight="1">
      <c r="A1801" s="219">
        <v>1737</v>
      </c>
      <c r="B1801" s="7145"/>
      <c r="C1801" s="510"/>
      <c r="H1801"/>
      <c r="M1801" s="307"/>
      <c r="N1801" s="21"/>
      <c r="O1801" s="131" t="s">
        <v>9493</v>
      </c>
      <c r="P1801" s="900">
        <v>5</v>
      </c>
      <c r="Q1801" s="173">
        <f>10+IF(OR(TipoDeCriatura="Entre mundos, Elemental",TipoDeCriatura="Ánima, Elemental"),10,0)</f>
        <v>10</v>
      </c>
      <c r="R1801" s="907">
        <f>COUNTIF(PoderesDeCriatura_Adquiridos,Tablas!O1801)</f>
        <v>0</v>
      </c>
      <c r="S1801" s="173"/>
      <c r="T1801" s="898"/>
      <c r="U1801" s="249"/>
    </row>
    <row r="1802" spans="1:21" ht="12.75" customHeight="1">
      <c r="A1802" s="219">
        <v>1738</v>
      </c>
      <c r="B1802" s="7145"/>
      <c r="C1802" s="510"/>
      <c r="H1802"/>
      <c r="M1802" s="307"/>
      <c r="N1802" s="21"/>
      <c r="O1802" s="131" t="s">
        <v>9494</v>
      </c>
      <c r="P1802" s="900">
        <v>10</v>
      </c>
      <c r="Q1802" s="173">
        <f>10+IF(OR(TipoDeCriatura="Entre mundos, Elemental",TipoDeCriatura="Ánima, Elemental"),10,0)</f>
        <v>10</v>
      </c>
      <c r="R1802" s="907">
        <f>COUNTIF(PoderesDeCriatura_Adquiridos,Tablas!O1802)</f>
        <v>0</v>
      </c>
      <c r="S1802" s="173"/>
      <c r="T1802" s="898"/>
      <c r="U1802" s="249"/>
    </row>
    <row r="1803" spans="1:21" ht="12.75" customHeight="1">
      <c r="A1803" s="219">
        <v>1739</v>
      </c>
      <c r="B1803" s="7145"/>
      <c r="C1803" s="510"/>
      <c r="H1803"/>
      <c r="M1803" s="307"/>
      <c r="N1803" s="21"/>
      <c r="O1803" s="131" t="s">
        <v>9495</v>
      </c>
      <c r="P1803" s="900">
        <v>20</v>
      </c>
      <c r="Q1803" s="173">
        <f>40+IF(OR(TipoDeCriatura="Entre mundos, Elemental",TipoDeCriatura="Ánima, Elemental"),10,0)</f>
        <v>40</v>
      </c>
      <c r="R1803" s="907">
        <f>COUNTIF(PoderesDeCriatura_Adquiridos,Tablas!O1803)</f>
        <v>0</v>
      </c>
      <c r="S1803" s="173"/>
      <c r="T1803" s="898"/>
      <c r="U1803" s="249"/>
    </row>
    <row r="1804" spans="1:21" ht="12.75" customHeight="1">
      <c r="A1804" s="219">
        <v>1740</v>
      </c>
      <c r="B1804" s="7145"/>
      <c r="C1804" s="510"/>
      <c r="H1804"/>
      <c r="M1804" s="307"/>
      <c r="N1804" s="21"/>
      <c r="O1804" s="131" t="s">
        <v>7572</v>
      </c>
      <c r="P1804" s="900">
        <v>5</v>
      </c>
      <c r="Q1804" s="173">
        <v>10</v>
      </c>
      <c r="R1804" s="907">
        <f>COUNTIF(PoderesDeCriatura_Adquiridos,Tablas!O1804)</f>
        <v>0</v>
      </c>
      <c r="S1804" s="173">
        <f t="array" ref="S1804">MAX(R1804:R1808*{5;10;15;20;25})</f>
        <v>0</v>
      </c>
      <c r="T1804" s="898" t="s">
        <v>1429</v>
      </c>
      <c r="U1804" s="249"/>
    </row>
    <row r="1805" spans="1:21" ht="12.75" customHeight="1">
      <c r="A1805" s="219">
        <v>1741</v>
      </c>
      <c r="B1805" s="7145"/>
      <c r="C1805" s="510"/>
      <c r="H1805"/>
      <c r="M1805" s="307"/>
      <c r="N1805" s="21"/>
      <c r="O1805" s="131" t="s">
        <v>7573</v>
      </c>
      <c r="P1805" s="900">
        <v>10</v>
      </c>
      <c r="Q1805" s="173">
        <v>20</v>
      </c>
      <c r="R1805" s="907">
        <f>COUNTIF(PoderesDeCriatura_Adquiridos,Tablas!O1805)</f>
        <v>0</v>
      </c>
      <c r="S1805" s="173"/>
      <c r="T1805" s="898"/>
      <c r="U1805" s="249"/>
    </row>
    <row r="1806" spans="1:21" ht="12.75" customHeight="1">
      <c r="A1806" s="219">
        <v>1742</v>
      </c>
      <c r="B1806" s="7145"/>
      <c r="C1806" s="510"/>
      <c r="H1806"/>
      <c r="M1806" s="307"/>
      <c r="N1806" s="21"/>
      <c r="O1806" s="131" t="s">
        <v>4071</v>
      </c>
      <c r="P1806" s="900">
        <v>15</v>
      </c>
      <c r="Q1806" s="173">
        <v>40</v>
      </c>
      <c r="R1806" s="907">
        <f>COUNTIF(PoderesDeCriatura_Adquiridos,Tablas!O1806)</f>
        <v>0</v>
      </c>
      <c r="S1806" s="173"/>
      <c r="T1806" s="898"/>
      <c r="U1806" s="249"/>
    </row>
    <row r="1807" spans="1:21" ht="12.75" customHeight="1">
      <c r="A1807" s="219">
        <v>1743</v>
      </c>
      <c r="B1807" s="7145"/>
      <c r="C1807" s="510"/>
      <c r="H1807"/>
      <c r="M1807" s="307"/>
      <c r="N1807" s="21"/>
      <c r="O1807" s="131" t="s">
        <v>7574</v>
      </c>
      <c r="P1807" s="900">
        <v>30</v>
      </c>
      <c r="Q1807" s="173">
        <v>60</v>
      </c>
      <c r="R1807" s="907">
        <f>COUNTIF(PoderesDeCriatura_Adquiridos,Tablas!O1807)</f>
        <v>0</v>
      </c>
      <c r="S1807" s="173"/>
      <c r="T1807" s="898"/>
    </row>
    <row r="1808" spans="1:21" ht="12.75" customHeight="1">
      <c r="A1808" s="219">
        <v>1744</v>
      </c>
      <c r="B1808" s="7145"/>
      <c r="C1808" s="510"/>
      <c r="H1808"/>
      <c r="M1808" s="307"/>
      <c r="N1808" s="21"/>
      <c r="O1808" s="131" t="s">
        <v>7575</v>
      </c>
      <c r="P1808" s="900">
        <v>35</v>
      </c>
      <c r="Q1808" s="173">
        <v>80</v>
      </c>
      <c r="R1808" s="907">
        <f>COUNTIF(PoderesDeCriatura_Adquiridos,Tablas!O1808)</f>
        <v>0</v>
      </c>
      <c r="S1808" s="173"/>
      <c r="T1808" s="898"/>
    </row>
    <row r="1809" spans="1:20" ht="12.75" customHeight="1">
      <c r="A1809" s="219">
        <v>1745</v>
      </c>
      <c r="B1809" s="7145"/>
      <c r="C1809" s="510"/>
      <c r="H1809"/>
      <c r="M1809" s="307"/>
      <c r="N1809" s="21"/>
      <c r="O1809" s="1" t="s">
        <v>15</v>
      </c>
      <c r="P1809" s="900">
        <v>30</v>
      </c>
      <c r="Q1809" s="173">
        <v>100</v>
      </c>
      <c r="R1809" s="907">
        <f>COUNTIF(PoderesDeCriatura_Adquiridos,Tablas!O1809)</f>
        <v>0</v>
      </c>
      <c r="S1809" s="173"/>
      <c r="T1809" s="898"/>
    </row>
    <row r="1810" spans="1:20" ht="12.75" customHeight="1">
      <c r="A1810" s="219">
        <v>1746</v>
      </c>
      <c r="B1810" s="7145"/>
      <c r="C1810" s="510"/>
      <c r="H1810"/>
      <c r="M1810" s="307"/>
      <c r="N1810" s="21"/>
      <c r="O1810" s="131" t="s">
        <v>7576</v>
      </c>
      <c r="P1810" s="900">
        <v>10</v>
      </c>
      <c r="Q1810" s="173">
        <v>10</v>
      </c>
      <c r="R1810" s="907">
        <f>COUNTIF(PoderesDeCriatura_Adquiridos,Tablas!O1810)</f>
        <v>0</v>
      </c>
      <c r="S1810" s="173"/>
      <c r="T1810" s="898"/>
    </row>
    <row r="1811" spans="1:20" ht="12.75" customHeight="1">
      <c r="A1811" s="219">
        <v>1747</v>
      </c>
      <c r="B1811" s="7145"/>
      <c r="C1811" s="510"/>
      <c r="H1811"/>
      <c r="M1811" s="307"/>
      <c r="N1811" s="21"/>
      <c r="O1811" s="131" t="s">
        <v>7577</v>
      </c>
      <c r="P1811" s="900">
        <v>20</v>
      </c>
      <c r="Q1811" s="173">
        <v>20</v>
      </c>
      <c r="R1811" s="907">
        <f>COUNTIF(PoderesDeCriatura_Adquiridos,Tablas!O1811)</f>
        <v>0</v>
      </c>
      <c r="S1811" s="173"/>
      <c r="T1811" s="898"/>
    </row>
    <row r="1812" spans="1:20" ht="12.75" customHeight="1">
      <c r="A1812" s="219">
        <v>1748</v>
      </c>
      <c r="B1812" s="7145"/>
      <c r="C1812" s="510"/>
      <c r="H1812"/>
      <c r="M1812" s="307"/>
      <c r="N1812" s="21"/>
      <c r="O1812" s="131" t="s">
        <v>7578</v>
      </c>
      <c r="P1812" s="900">
        <v>15</v>
      </c>
      <c r="Q1812" s="173">
        <v>20</v>
      </c>
      <c r="R1812" s="907">
        <f>COUNTIF(PoderesDeCriatura_Adquiridos,Tablas!O1812)</f>
        <v>0</v>
      </c>
      <c r="S1812" s="173"/>
      <c r="T1812" s="898"/>
    </row>
    <row r="1813" spans="1:20" ht="12.75" customHeight="1">
      <c r="A1813" s="219">
        <v>1749</v>
      </c>
      <c r="B1813" s="7145"/>
      <c r="C1813" s="510"/>
      <c r="H1813"/>
      <c r="M1813" s="307"/>
      <c r="N1813" s="21"/>
      <c r="O1813" s="131" t="s">
        <v>7579</v>
      </c>
      <c r="P1813" s="900">
        <v>25</v>
      </c>
      <c r="Q1813" s="173">
        <v>40</v>
      </c>
      <c r="R1813" s="907">
        <f>COUNTIF(PoderesDeCriatura_Adquiridos,Tablas!O1813)</f>
        <v>0</v>
      </c>
      <c r="S1813" s="173"/>
      <c r="T1813" s="898"/>
    </row>
    <row r="1814" spans="1:20" ht="12.75" customHeight="1">
      <c r="A1814" s="219">
        <v>1750</v>
      </c>
      <c r="B1814" s="7145"/>
      <c r="C1814" s="510"/>
      <c r="H1814"/>
      <c r="M1814" s="307"/>
      <c r="N1814" s="21"/>
      <c r="O1814" s="131" t="s">
        <v>7580</v>
      </c>
      <c r="P1814" s="900">
        <v>15</v>
      </c>
      <c r="Q1814" s="173">
        <f>10+IF(OR(TipoDeCriatura="Entre mundos, Elemental",TipoDeCriatura="Ánima, Elemental"),10,0)</f>
        <v>10</v>
      </c>
      <c r="R1814" s="907">
        <f>COUNTIF(PoderesDeCriatura_Adquiridos,Tablas!O1814)</f>
        <v>0</v>
      </c>
      <c r="S1814" s="173"/>
      <c r="T1814" s="898"/>
    </row>
    <row r="1815" spans="1:20" ht="12.75" customHeight="1">
      <c r="A1815" s="219">
        <v>1751</v>
      </c>
      <c r="B1815" s="7145"/>
      <c r="C1815" s="510"/>
      <c r="H1815"/>
      <c r="M1815" s="307"/>
      <c r="N1815" s="21"/>
      <c r="O1815" s="131" t="s">
        <v>7581</v>
      </c>
      <c r="P1815" s="900">
        <v>20</v>
      </c>
      <c r="Q1815" s="173">
        <f>10+IF(OR(TipoDeCriatura="Entre mundos, Elemental",TipoDeCriatura="Ánima, Elemental"),10,0)</f>
        <v>10</v>
      </c>
      <c r="R1815" s="907">
        <f>COUNTIF(PoderesDeCriatura_Adquiridos,Tablas!O1815)</f>
        <v>0</v>
      </c>
      <c r="S1815" s="173"/>
      <c r="T1815" s="898"/>
    </row>
    <row r="1816" spans="1:20" ht="12.75" customHeight="1">
      <c r="A1816" s="219">
        <v>1752</v>
      </c>
      <c r="B1816" s="7145"/>
      <c r="C1816" s="510"/>
      <c r="H1816"/>
      <c r="M1816" s="307"/>
      <c r="N1816" s="21"/>
      <c r="O1816" s="131" t="s">
        <v>7582</v>
      </c>
      <c r="P1816" s="900">
        <v>30</v>
      </c>
      <c r="Q1816" s="173">
        <f>20+IF(OR(TipoDeCriatura="Entre mundos, Elemental",TipoDeCriatura="Ánima, Elemental"),10,0)</f>
        <v>20</v>
      </c>
      <c r="R1816" s="907">
        <f>COUNTIF(PoderesDeCriatura_Adquiridos,Tablas!O1816)</f>
        <v>0</v>
      </c>
      <c r="S1816" s="173"/>
      <c r="T1816" s="898"/>
    </row>
    <row r="1817" spans="1:20" ht="12.75" customHeight="1">
      <c r="A1817" s="219">
        <v>1753</v>
      </c>
      <c r="B1817" s="7145"/>
      <c r="C1817" s="510"/>
      <c r="H1817"/>
      <c r="M1817" s="307"/>
      <c r="N1817" s="21"/>
      <c r="O1817" s="131" t="s">
        <v>7583</v>
      </c>
      <c r="P1817" s="900">
        <v>20</v>
      </c>
      <c r="Q1817" s="173">
        <v>120</v>
      </c>
      <c r="R1817" s="907">
        <f>COUNTIF(PoderesDeCriatura_Adquiridos,Tablas!O1817)</f>
        <v>0</v>
      </c>
      <c r="S1817" s="173"/>
      <c r="T1817" s="898"/>
    </row>
    <row r="1818" spans="1:20" ht="12.75" customHeight="1">
      <c r="A1818" s="219">
        <v>1754</v>
      </c>
      <c r="B1818" s="7145"/>
      <c r="C1818" s="510"/>
      <c r="H1818"/>
      <c r="M1818" s="307"/>
      <c r="N1818" s="21"/>
      <c r="O1818" s="131" t="s">
        <v>7584</v>
      </c>
      <c r="P1818" s="900">
        <v>30</v>
      </c>
      <c r="Q1818" s="173">
        <v>220</v>
      </c>
      <c r="R1818" s="907">
        <f>COUNTIF(PoderesDeCriatura_Adquiridos,Tablas!O1818)</f>
        <v>0</v>
      </c>
      <c r="S1818" s="173"/>
      <c r="T1818" s="898"/>
    </row>
    <row r="1819" spans="1:20" ht="12.75" customHeight="1">
      <c r="A1819" s="219">
        <v>1755</v>
      </c>
      <c r="B1819" s="7145"/>
      <c r="C1819" s="510"/>
      <c r="H1819"/>
      <c r="M1819" s="307"/>
      <c r="N1819" s="21"/>
      <c r="O1819" s="131" t="s">
        <v>7585</v>
      </c>
      <c r="P1819" s="900">
        <v>20</v>
      </c>
      <c r="Q1819" s="173">
        <f>30+IF(OR(TipoDeCriatura="Entre mundos, Elemental",TipoDeCriatura="Ánima, Elemental"),10,0)</f>
        <v>30</v>
      </c>
      <c r="R1819" s="907">
        <f>COUNTIF(PoderesDeCriatura_Adquiridos,Tablas!O1819)</f>
        <v>0</v>
      </c>
      <c r="S1819" s="173"/>
      <c r="T1819" s="898"/>
    </row>
    <row r="1820" spans="1:20" ht="12.75" customHeight="1">
      <c r="A1820" s="219">
        <v>1756</v>
      </c>
      <c r="B1820" s="7145"/>
      <c r="C1820" s="510"/>
      <c r="H1820"/>
      <c r="M1820" s="307"/>
      <c r="N1820" s="21"/>
      <c r="O1820" s="131" t="s">
        <v>7586</v>
      </c>
      <c r="P1820" s="900">
        <v>20</v>
      </c>
      <c r="Q1820" s="173">
        <f>40+IF(OR(TipoDeCriatura="Entre mundos, Elemental",TipoDeCriatura="Ánima, Elemental"),10,0)</f>
        <v>40</v>
      </c>
      <c r="R1820" s="907">
        <f>COUNTIF(PoderesDeCriatura_Adquiridos,Tablas!O1820)</f>
        <v>0</v>
      </c>
      <c r="S1820" s="173"/>
      <c r="T1820" s="898"/>
    </row>
    <row r="1821" spans="1:20" ht="12.75" customHeight="1">
      <c r="A1821" s="219">
        <v>1757</v>
      </c>
      <c r="B1821" s="7145"/>
      <c r="C1821" s="510"/>
      <c r="H1821"/>
      <c r="M1821" s="307"/>
      <c r="N1821" s="21"/>
      <c r="O1821" s="131" t="s">
        <v>7587</v>
      </c>
      <c r="P1821" s="900">
        <v>20</v>
      </c>
      <c r="Q1821" s="173">
        <f>50+IF(OR(TipoDeCriatura="Entre mundos, Elemental",TipoDeCriatura="Ánima, Elemental"),10,0)</f>
        <v>50</v>
      </c>
      <c r="R1821" s="907">
        <f>COUNTIF(PoderesDeCriatura_Adquiridos,Tablas!O1821)</f>
        <v>0</v>
      </c>
      <c r="S1821" s="173"/>
      <c r="T1821" s="898"/>
    </row>
    <row r="1822" spans="1:20" ht="12.75" customHeight="1">
      <c r="A1822" s="219">
        <v>1758</v>
      </c>
      <c r="B1822" s="7145"/>
      <c r="C1822" s="510"/>
      <c r="H1822"/>
      <c r="M1822" s="307"/>
      <c r="N1822" s="21"/>
      <c r="O1822" s="131" t="s">
        <v>7588</v>
      </c>
      <c r="P1822" s="900">
        <v>20</v>
      </c>
      <c r="Q1822" s="173">
        <f>60+IF(OR(TipoDeCriatura="Entre mundos, Elemental",TipoDeCriatura="Ánima, Elemental"),10,0)</f>
        <v>60</v>
      </c>
      <c r="R1822" s="907">
        <f>COUNTIF(PoderesDeCriatura_Adquiridos,Tablas!O1822)</f>
        <v>0</v>
      </c>
      <c r="S1822" s="173"/>
      <c r="T1822" s="898"/>
    </row>
    <row r="1823" spans="1:20" ht="12.75" customHeight="1">
      <c r="A1823" s="219">
        <v>1759</v>
      </c>
      <c r="B1823" s="7145"/>
      <c r="C1823" s="510"/>
      <c r="H1823"/>
      <c r="M1823" s="307"/>
      <c r="N1823" s="21"/>
      <c r="O1823" s="131" t="s">
        <v>7589</v>
      </c>
      <c r="P1823" s="900">
        <v>20</v>
      </c>
      <c r="Q1823" s="173">
        <f>80+IF(OR(TipoDeCriatura="Entre mundos, Elemental",TipoDeCriatura="Ánima, Elemental"),10,0)</f>
        <v>80</v>
      </c>
      <c r="R1823" s="907">
        <f>COUNTIF(PoderesDeCriatura_Adquiridos,Tablas!O1823)</f>
        <v>0</v>
      </c>
      <c r="S1823" s="173"/>
      <c r="T1823" s="898"/>
    </row>
    <row r="1824" spans="1:20" ht="12.75" customHeight="1">
      <c r="A1824" s="219">
        <v>1760</v>
      </c>
      <c r="B1824" s="7145"/>
      <c r="C1824" s="510"/>
      <c r="H1824"/>
      <c r="M1824" s="307"/>
      <c r="N1824" s="21"/>
      <c r="O1824" s="1" t="s">
        <v>16</v>
      </c>
      <c r="P1824" s="900">
        <v>0</v>
      </c>
      <c r="Q1824" s="173">
        <v>20</v>
      </c>
      <c r="R1824" s="907">
        <f>COUNTIF(PoderesDeCriatura_Adquiridos,Tablas!O1824)</f>
        <v>0</v>
      </c>
      <c r="S1824" s="173"/>
      <c r="T1824" s="898"/>
    </row>
    <row r="1825" spans="1:20" ht="12.75" customHeight="1">
      <c r="A1825" s="219">
        <v>1761</v>
      </c>
      <c r="B1825" s="7145"/>
      <c r="C1825" s="510"/>
      <c r="H1825"/>
      <c r="M1825" s="307"/>
      <c r="N1825" s="21"/>
      <c r="O1825" s="131" t="s">
        <v>7590</v>
      </c>
      <c r="P1825" s="900">
        <v>10</v>
      </c>
      <c r="Q1825" s="173">
        <v>30</v>
      </c>
      <c r="R1825" s="907">
        <f>COUNTIF(PoderesDeCriatura_Adquiridos,Tablas!O1825)</f>
        <v>0</v>
      </c>
      <c r="S1825" s="173"/>
      <c r="T1825" s="898"/>
    </row>
    <row r="1826" spans="1:20" ht="12.75" customHeight="1">
      <c r="A1826" s="219">
        <v>1762</v>
      </c>
      <c r="B1826" s="7145"/>
      <c r="C1826" s="510"/>
      <c r="H1826"/>
      <c r="M1826" s="307"/>
      <c r="N1826" s="21"/>
      <c r="O1826" s="131" t="s">
        <v>7591</v>
      </c>
      <c r="P1826" s="900">
        <v>20</v>
      </c>
      <c r="Q1826" s="173">
        <v>50</v>
      </c>
      <c r="R1826" s="907">
        <f>COUNTIF(PoderesDeCriatura_Adquiridos,Tablas!O1826)</f>
        <v>0</v>
      </c>
      <c r="S1826" s="173"/>
      <c r="T1826" s="898"/>
    </row>
    <row r="1827" spans="1:20" ht="12.75" customHeight="1">
      <c r="A1827" s="219">
        <v>1763</v>
      </c>
      <c r="B1827" s="7145"/>
      <c r="C1827" s="510"/>
      <c r="H1827"/>
      <c r="M1827" s="307"/>
      <c r="N1827" s="21"/>
      <c r="O1827" s="131" t="s">
        <v>7592</v>
      </c>
      <c r="P1827" s="900">
        <v>25</v>
      </c>
      <c r="Q1827" s="173">
        <v>80</v>
      </c>
      <c r="R1827" s="907">
        <f>COUNTIF(PoderesDeCriatura_Adquiridos,Tablas!O1827)</f>
        <v>0</v>
      </c>
      <c r="S1827" s="173"/>
      <c r="T1827" s="898"/>
    </row>
    <row r="1828" spans="1:20" ht="12.75" customHeight="1">
      <c r="A1828" s="219">
        <v>1764</v>
      </c>
      <c r="B1828" s="7145"/>
      <c r="C1828" s="510"/>
      <c r="H1828"/>
      <c r="M1828" s="307"/>
      <c r="N1828" s="21"/>
      <c r="O1828" s="131" t="s">
        <v>7593</v>
      </c>
      <c r="P1828" s="900">
        <v>30</v>
      </c>
      <c r="Q1828" s="173">
        <v>110</v>
      </c>
      <c r="R1828" s="907">
        <f>COUNTIF(PoderesDeCriatura_Adquiridos,Tablas!O1828)</f>
        <v>0</v>
      </c>
      <c r="S1828" s="173"/>
      <c r="T1828" s="898"/>
    </row>
    <row r="1829" spans="1:20" ht="12.75" customHeight="1">
      <c r="A1829" s="219">
        <v>1765</v>
      </c>
      <c r="B1829" s="7145"/>
      <c r="C1829" s="510"/>
      <c r="H1829"/>
      <c r="M1829" s="307"/>
      <c r="N1829" s="21"/>
      <c r="O1829" s="131" t="s">
        <v>7594</v>
      </c>
      <c r="P1829" s="900">
        <v>35</v>
      </c>
      <c r="Q1829" s="173">
        <v>140</v>
      </c>
      <c r="R1829" s="907">
        <f>COUNTIF(PoderesDeCriatura_Adquiridos,Tablas!O1829)</f>
        <v>0</v>
      </c>
      <c r="S1829" s="173"/>
      <c r="T1829" s="898"/>
    </row>
    <row r="1830" spans="1:20" ht="12.75" customHeight="1">
      <c r="A1830" s="219">
        <v>1766</v>
      </c>
      <c r="B1830" s="7145"/>
      <c r="C1830" s="510"/>
      <c r="H1830"/>
      <c r="M1830" s="307"/>
      <c r="N1830" s="21"/>
      <c r="O1830" s="131" t="s">
        <v>7595</v>
      </c>
      <c r="P1830" s="900">
        <v>10</v>
      </c>
      <c r="Q1830" s="173">
        <v>-15</v>
      </c>
      <c r="R1830" s="907">
        <f>COUNTIF(PoderesDeCriatura_Adquiridos,Tablas!O1830)</f>
        <v>0</v>
      </c>
      <c r="S1830" s="173"/>
      <c r="T1830" s="898"/>
    </row>
    <row r="1831" spans="1:20" ht="12.75" customHeight="1">
      <c r="A1831" s="219">
        <v>1767</v>
      </c>
      <c r="B1831" s="7145"/>
      <c r="C1831" s="510"/>
      <c r="H1831"/>
      <c r="M1831" s="307"/>
      <c r="N1831" s="21"/>
      <c r="O1831" s="1" t="s">
        <v>17</v>
      </c>
      <c r="P1831" s="900">
        <v>5</v>
      </c>
      <c r="Q1831" s="173">
        <v>20</v>
      </c>
      <c r="R1831" s="907">
        <f>COUNTIF(PoderesDeCriatura_Adquiridos,Tablas!O1831)</f>
        <v>0</v>
      </c>
      <c r="S1831" s="173"/>
      <c r="T1831" s="898"/>
    </row>
    <row r="1832" spans="1:20" ht="12.75" customHeight="1">
      <c r="A1832" s="219">
        <v>1768</v>
      </c>
      <c r="B1832" s="7145"/>
      <c r="C1832" s="510"/>
      <c r="H1832"/>
      <c r="M1832" s="307"/>
      <c r="N1832" s="21"/>
      <c r="O1832" s="131" t="s">
        <v>7596</v>
      </c>
      <c r="P1832" s="900">
        <v>0</v>
      </c>
      <c r="Q1832" s="173">
        <v>10</v>
      </c>
      <c r="R1832" s="907">
        <f>COUNTIF(PoderesDeCriatura_Adquiridos,Tablas!O1832)</f>
        <v>0</v>
      </c>
      <c r="S1832" s="173"/>
      <c r="T1832" s="898"/>
    </row>
    <row r="1833" spans="1:20" ht="12.75" customHeight="1">
      <c r="A1833" s="219">
        <v>1769</v>
      </c>
      <c r="B1833" s="7145"/>
      <c r="C1833" s="510"/>
      <c r="H1833"/>
      <c r="M1833" s="307"/>
      <c r="N1833" s="21"/>
      <c r="O1833" s="131" t="s">
        <v>7597</v>
      </c>
      <c r="P1833" s="900">
        <v>0</v>
      </c>
      <c r="Q1833" s="173">
        <v>20</v>
      </c>
      <c r="R1833" s="907">
        <f>COUNTIF(PoderesDeCriatura_Adquiridos,Tablas!O1833)</f>
        <v>0</v>
      </c>
      <c r="S1833" s="173"/>
      <c r="T1833" s="898"/>
    </row>
    <row r="1834" spans="1:20" ht="12.75" customHeight="1">
      <c r="A1834" s="219">
        <v>1770</v>
      </c>
      <c r="B1834" s="7145"/>
      <c r="C1834" s="510"/>
      <c r="H1834"/>
      <c r="M1834" s="307"/>
      <c r="N1834" s="21"/>
      <c r="O1834" s="131" t="s">
        <v>7598</v>
      </c>
      <c r="P1834" s="900">
        <v>0</v>
      </c>
      <c r="Q1834" s="173">
        <v>30</v>
      </c>
      <c r="R1834" s="907">
        <f>COUNTIF(PoderesDeCriatura_Adquiridos,Tablas!O1834)</f>
        <v>0</v>
      </c>
      <c r="S1834" s="173"/>
      <c r="T1834" s="898"/>
    </row>
    <row r="1835" spans="1:20" ht="12.75" customHeight="1">
      <c r="A1835" s="219">
        <v>1771</v>
      </c>
      <c r="B1835" s="7145"/>
      <c r="C1835" s="510"/>
      <c r="H1835"/>
      <c r="M1835" s="307"/>
      <c r="N1835" s="21"/>
      <c r="O1835" s="131" t="s">
        <v>7599</v>
      </c>
      <c r="P1835" s="900">
        <v>10</v>
      </c>
      <c r="Q1835" s="173">
        <v>20</v>
      </c>
      <c r="R1835" s="907">
        <f>COUNTIF(PoderesDeCriatura_Adquiridos,Tablas!O1835)</f>
        <v>0</v>
      </c>
      <c r="S1835" s="173"/>
      <c r="T1835" s="898"/>
    </row>
    <row r="1836" spans="1:20" ht="12.75" customHeight="1">
      <c r="A1836" s="219">
        <v>1772</v>
      </c>
      <c r="B1836" s="7145"/>
      <c r="C1836" s="510"/>
      <c r="H1836"/>
      <c r="M1836" s="307"/>
      <c r="N1836" s="21"/>
      <c r="O1836" s="131" t="s">
        <v>7600</v>
      </c>
      <c r="P1836" s="900">
        <v>15</v>
      </c>
      <c r="Q1836" s="173">
        <v>40</v>
      </c>
      <c r="R1836" s="907">
        <f>COUNTIF(PoderesDeCriatura_Adquiridos,Tablas!O1836)</f>
        <v>0</v>
      </c>
      <c r="S1836" s="173"/>
      <c r="T1836" s="898"/>
    </row>
    <row r="1837" spans="1:20" ht="12.75" customHeight="1">
      <c r="A1837" s="219">
        <v>1773</v>
      </c>
      <c r="B1837" s="7145"/>
      <c r="C1837" s="510"/>
      <c r="H1837"/>
      <c r="M1837" s="307"/>
      <c r="N1837" s="21"/>
      <c r="O1837" s="131" t="s">
        <v>7601</v>
      </c>
      <c r="P1837" s="900">
        <v>20</v>
      </c>
      <c r="Q1837" s="173">
        <v>60</v>
      </c>
      <c r="R1837" s="907">
        <f>COUNTIF(PoderesDeCriatura_Adquiridos,Tablas!O1837)</f>
        <v>0</v>
      </c>
      <c r="S1837" s="173"/>
      <c r="T1837" s="898"/>
    </row>
    <row r="1838" spans="1:20" ht="12.75" customHeight="1">
      <c r="A1838" s="219">
        <v>1774</v>
      </c>
      <c r="B1838" s="7145"/>
      <c r="C1838" s="510"/>
      <c r="H1838"/>
      <c r="M1838" s="307"/>
      <c r="N1838" s="21"/>
      <c r="O1838" s="131" t="s">
        <v>7602</v>
      </c>
      <c r="P1838" s="900">
        <v>25</v>
      </c>
      <c r="Q1838" s="173">
        <v>80</v>
      </c>
      <c r="R1838" s="907">
        <f>COUNTIF(PoderesDeCriatura_Adquiridos,Tablas!O1838)</f>
        <v>0</v>
      </c>
      <c r="S1838" s="173"/>
      <c r="T1838" s="898"/>
    </row>
    <row r="1839" spans="1:20" ht="12.75" customHeight="1">
      <c r="A1839" s="219">
        <v>1775</v>
      </c>
      <c r="B1839" s="7145"/>
      <c r="C1839" s="510"/>
      <c r="H1839"/>
      <c r="M1839" s="307"/>
      <c r="N1839" s="21"/>
      <c r="O1839" s="131" t="s">
        <v>7603</v>
      </c>
      <c r="P1839" s="900">
        <v>35</v>
      </c>
      <c r="Q1839" s="173">
        <v>120</v>
      </c>
      <c r="R1839" s="907">
        <f>COUNTIF(PoderesDeCriatura_Adquiridos,Tablas!O1839)</f>
        <v>0</v>
      </c>
      <c r="S1839" s="173"/>
      <c r="T1839" s="898"/>
    </row>
    <row r="1840" spans="1:20" ht="12.75" customHeight="1">
      <c r="A1840" s="219">
        <v>1776</v>
      </c>
      <c r="B1840" s="7145"/>
      <c r="C1840" s="510"/>
      <c r="H1840"/>
      <c r="M1840" s="3977"/>
      <c r="N1840" s="3814"/>
      <c r="O1840" s="3915" t="s">
        <v>12476</v>
      </c>
      <c r="P1840" s="3978">
        <v>10</v>
      </c>
      <c r="Q1840" s="3979">
        <v>30</v>
      </c>
      <c r="R1840" s="3980">
        <f>COUNTIF(PoderesDeCriatura_Adquiridos,Tablas!O1840)</f>
        <v>0</v>
      </c>
      <c r="S1840" s="3979"/>
      <c r="T1840" s="3981"/>
    </row>
    <row r="1841" spans="1:20" ht="12.75" customHeight="1">
      <c r="A1841" s="219">
        <v>1777</v>
      </c>
      <c r="B1841" s="7145"/>
      <c r="C1841" s="510"/>
      <c r="H1841"/>
      <c r="M1841" s="3977"/>
      <c r="N1841" s="3814"/>
      <c r="O1841" s="3915" t="s">
        <v>12477</v>
      </c>
      <c r="P1841" s="3978">
        <v>15</v>
      </c>
      <c r="Q1841" s="3979">
        <v>40</v>
      </c>
      <c r="R1841" s="3980">
        <f>COUNTIF(PoderesDeCriatura_Adquiridos,Tablas!O1841)</f>
        <v>0</v>
      </c>
      <c r="S1841" s="3979"/>
      <c r="T1841" s="3981"/>
    </row>
    <row r="1842" spans="1:20" ht="12.75" customHeight="1">
      <c r="A1842" s="219">
        <v>1778</v>
      </c>
      <c r="B1842" s="7145"/>
      <c r="C1842" s="510"/>
      <c r="H1842"/>
      <c r="M1842" s="3977"/>
      <c r="N1842" s="3814"/>
      <c r="O1842" s="3915" t="s">
        <v>12478</v>
      </c>
      <c r="P1842" s="3978">
        <v>20</v>
      </c>
      <c r="Q1842" s="3979">
        <v>50</v>
      </c>
      <c r="R1842" s="3980">
        <f>COUNTIF(PoderesDeCriatura_Adquiridos,Tablas!O1842)</f>
        <v>0</v>
      </c>
      <c r="S1842" s="3979"/>
      <c r="T1842" s="3981"/>
    </row>
    <row r="1843" spans="1:20" ht="12.75" customHeight="1">
      <c r="A1843" s="219">
        <v>1779</v>
      </c>
      <c r="B1843" s="7145"/>
      <c r="C1843" s="510"/>
      <c r="H1843"/>
      <c r="M1843" s="307"/>
      <c r="N1843" s="21"/>
      <c r="O1843" s="131" t="s">
        <v>7604</v>
      </c>
      <c r="P1843" s="900">
        <v>5</v>
      </c>
      <c r="Q1843" s="173">
        <v>10</v>
      </c>
      <c r="R1843" s="907">
        <f>COUNTIF(PoderesDeCriatura_Adquiridos,Tablas!O1843)</f>
        <v>0</v>
      </c>
      <c r="S1843" s="173"/>
      <c r="T1843" s="898"/>
    </row>
    <row r="1844" spans="1:20" ht="12.75" customHeight="1">
      <c r="A1844" s="219">
        <v>1780</v>
      </c>
      <c r="B1844" s="7145"/>
      <c r="C1844" s="510"/>
      <c r="H1844"/>
      <c r="M1844" s="307"/>
      <c r="N1844" s="21"/>
      <c r="O1844" s="131" t="s">
        <v>7605</v>
      </c>
      <c r="P1844" s="900">
        <v>5</v>
      </c>
      <c r="Q1844" s="173">
        <v>20</v>
      </c>
      <c r="R1844" s="907">
        <f>COUNTIF(PoderesDeCriatura_Adquiridos,Tablas!O1844)</f>
        <v>0</v>
      </c>
      <c r="S1844" s="173"/>
      <c r="T1844" s="898"/>
    </row>
    <row r="1845" spans="1:20" ht="12.75" customHeight="1">
      <c r="A1845" s="219">
        <v>1781</v>
      </c>
      <c r="B1845" s="7145"/>
      <c r="C1845" s="510"/>
      <c r="H1845"/>
      <c r="M1845" s="307"/>
      <c r="N1845" s="21"/>
      <c r="O1845" s="131" t="s">
        <v>7606</v>
      </c>
      <c r="P1845" s="900">
        <v>10</v>
      </c>
      <c r="Q1845" s="173">
        <v>30</v>
      </c>
      <c r="R1845" s="907">
        <f>COUNTIF(PoderesDeCriatura_Adquiridos,Tablas!O1845)</f>
        <v>0</v>
      </c>
      <c r="S1845" s="173"/>
      <c r="T1845" s="898"/>
    </row>
    <row r="1846" spans="1:20" ht="12.75" customHeight="1">
      <c r="A1846" s="219">
        <v>1782</v>
      </c>
      <c r="B1846" s="7145"/>
      <c r="C1846" s="510"/>
      <c r="H1846"/>
      <c r="M1846" s="307"/>
      <c r="N1846" s="21"/>
      <c r="O1846" s="131" t="s">
        <v>7607</v>
      </c>
      <c r="P1846" s="900">
        <v>15</v>
      </c>
      <c r="Q1846" s="173">
        <v>40</v>
      </c>
      <c r="R1846" s="907">
        <f>COUNTIF(PoderesDeCriatura_Adquiridos,Tablas!O1846)</f>
        <v>0</v>
      </c>
      <c r="S1846" s="173"/>
      <c r="T1846" s="898"/>
    </row>
    <row r="1847" spans="1:20" ht="12.75" customHeight="1">
      <c r="A1847" s="219">
        <v>1783</v>
      </c>
      <c r="B1847" s="7145"/>
      <c r="C1847" s="510"/>
      <c r="H1847"/>
      <c r="M1847" s="307"/>
      <c r="N1847" s="21"/>
      <c r="O1847" s="131" t="s">
        <v>7608</v>
      </c>
      <c r="P1847" s="900">
        <v>25</v>
      </c>
      <c r="Q1847" s="173">
        <v>50</v>
      </c>
      <c r="R1847" s="907">
        <f>COUNTIF(PoderesDeCriatura_Adquiridos,Tablas!O1847)</f>
        <v>0</v>
      </c>
      <c r="S1847" s="173"/>
      <c r="T1847" s="898"/>
    </row>
    <row r="1848" spans="1:20" ht="12.75" customHeight="1">
      <c r="A1848" s="219">
        <v>1784</v>
      </c>
      <c r="B1848" s="7145"/>
      <c r="C1848" s="510"/>
      <c r="H1848"/>
      <c r="M1848" s="307"/>
      <c r="N1848" s="21"/>
      <c r="O1848" s="1" t="s">
        <v>18</v>
      </c>
      <c r="P1848" s="900"/>
      <c r="Q1848" s="173"/>
      <c r="R1848" s="907"/>
      <c r="S1848" s="173"/>
      <c r="T1848" s="898"/>
    </row>
    <row r="1849" spans="1:20" ht="12.75" customHeight="1">
      <c r="A1849" s="219">
        <v>1785</v>
      </c>
      <c r="B1849" s="7145"/>
      <c r="C1849" s="510"/>
      <c r="H1849"/>
      <c r="M1849" s="307"/>
      <c r="N1849" s="21"/>
      <c r="O1849" s="131" t="s">
        <v>7609</v>
      </c>
      <c r="P1849" s="900">
        <v>5</v>
      </c>
      <c r="Q1849" s="173">
        <v>20</v>
      </c>
      <c r="R1849" s="907">
        <f>COUNTIF(PoderesDeCriatura_Adquiridos,Tablas!O1849)</f>
        <v>0</v>
      </c>
      <c r="S1849" s="173"/>
      <c r="T1849" s="898"/>
    </row>
    <row r="1850" spans="1:20" ht="12.75" customHeight="1">
      <c r="A1850" s="219">
        <v>1786</v>
      </c>
      <c r="B1850" s="7145"/>
      <c r="C1850" s="510"/>
      <c r="H1850"/>
      <c r="M1850" s="307"/>
      <c r="N1850" s="21"/>
      <c r="O1850" s="131" t="s">
        <v>7610</v>
      </c>
      <c r="P1850" s="900">
        <v>20</v>
      </c>
      <c r="Q1850" s="173">
        <v>30</v>
      </c>
      <c r="R1850" s="907">
        <f>COUNTIF(PoderesDeCriatura_Adquiridos,Tablas!O1850)</f>
        <v>0</v>
      </c>
      <c r="S1850" s="173"/>
      <c r="T1850" s="898"/>
    </row>
    <row r="1851" spans="1:20" ht="12.75" customHeight="1">
      <c r="A1851" s="219">
        <v>1787</v>
      </c>
      <c r="B1851" s="7145"/>
      <c r="C1851" s="510"/>
      <c r="H1851"/>
      <c r="M1851" s="307"/>
      <c r="N1851" s="21"/>
      <c r="O1851" s="131" t="s">
        <v>7611</v>
      </c>
      <c r="P1851" s="900">
        <v>15</v>
      </c>
      <c r="Q1851" s="173">
        <v>10</v>
      </c>
      <c r="R1851" s="907">
        <f>COUNTIF(PoderesDeCriatura_Adquiridos,Tablas!O1851)</f>
        <v>0</v>
      </c>
      <c r="S1851" s="173"/>
      <c r="T1851" s="898"/>
    </row>
    <row r="1852" spans="1:20" ht="12.75" customHeight="1">
      <c r="A1852" s="219">
        <v>1788</v>
      </c>
      <c r="B1852" s="7145"/>
      <c r="C1852" s="510"/>
      <c r="H1852"/>
      <c r="M1852" s="307"/>
      <c r="N1852" s="21"/>
      <c r="O1852" s="1" t="s">
        <v>22</v>
      </c>
      <c r="P1852" s="900">
        <v>0</v>
      </c>
      <c r="Q1852" s="173">
        <v>20</v>
      </c>
      <c r="R1852" s="907">
        <f>COUNTIF(PoderesDeCriatura_Adquiridos,Tablas!O1852)</f>
        <v>0</v>
      </c>
      <c r="S1852" s="173"/>
      <c r="T1852" s="898"/>
    </row>
    <row r="1853" spans="1:20" ht="12.75" customHeight="1">
      <c r="A1853" s="219">
        <v>1789</v>
      </c>
      <c r="B1853" s="7145"/>
      <c r="C1853" s="510"/>
      <c r="H1853"/>
      <c r="M1853" s="307"/>
      <c r="N1853" s="21"/>
      <c r="O1853" s="131" t="s">
        <v>7612</v>
      </c>
      <c r="P1853" s="900">
        <v>15</v>
      </c>
      <c r="Q1853" s="173">
        <v>30</v>
      </c>
      <c r="R1853" s="907">
        <f>COUNTIF(PoderesDeCriatura_Adquiridos,Tablas!O1853)</f>
        <v>0</v>
      </c>
      <c r="S1853" s="173"/>
      <c r="T1853" s="898"/>
    </row>
    <row r="1854" spans="1:20" ht="12.75" customHeight="1">
      <c r="A1854" s="219">
        <v>1790</v>
      </c>
      <c r="B1854" s="7145"/>
      <c r="C1854" s="510"/>
      <c r="H1854"/>
      <c r="M1854" s="307"/>
      <c r="N1854" s="21"/>
      <c r="O1854" s="131" t="s">
        <v>7613</v>
      </c>
      <c r="P1854" s="900">
        <v>30</v>
      </c>
      <c r="Q1854" s="173">
        <v>60</v>
      </c>
      <c r="R1854" s="907">
        <f>COUNTIF(PoderesDeCriatura_Adquiridos,Tablas!O1854)</f>
        <v>0</v>
      </c>
      <c r="S1854" s="173"/>
      <c r="T1854" s="898"/>
    </row>
    <row r="1855" spans="1:20" ht="12.75" customHeight="1">
      <c r="A1855" s="219">
        <v>1791</v>
      </c>
      <c r="B1855" s="7145"/>
      <c r="C1855" s="510"/>
      <c r="H1855"/>
      <c r="M1855" s="307"/>
      <c r="N1855" s="21"/>
      <c r="O1855" s="131" t="s">
        <v>7627</v>
      </c>
      <c r="P1855" s="900">
        <v>20</v>
      </c>
      <c r="Q1855" s="173">
        <v>40</v>
      </c>
      <c r="R1855" s="907">
        <f>COUNTIF(PoderesDeCriatura_Adquiridos,Tablas!O1855)</f>
        <v>0</v>
      </c>
      <c r="S1855" s="173"/>
      <c r="T1855" s="898"/>
    </row>
    <row r="1856" spans="1:20" ht="12.75" customHeight="1">
      <c r="A1856" s="219">
        <v>1792</v>
      </c>
      <c r="B1856" s="7145"/>
      <c r="C1856" s="510"/>
      <c r="H1856"/>
      <c r="M1856" s="307"/>
      <c r="N1856" s="21"/>
      <c r="O1856" s="131" t="s">
        <v>7628</v>
      </c>
      <c r="P1856" s="900">
        <v>25</v>
      </c>
      <c r="Q1856" s="173">
        <v>60</v>
      </c>
      <c r="R1856" s="907">
        <f>COUNTIF(PoderesDeCriatura_Adquiridos,Tablas!O1856)</f>
        <v>0</v>
      </c>
      <c r="S1856" s="173"/>
      <c r="T1856" s="898"/>
    </row>
    <row r="1857" spans="1:20" ht="12.75" customHeight="1">
      <c r="A1857" s="219">
        <v>1793</v>
      </c>
      <c r="B1857" s="7145"/>
      <c r="C1857" s="510"/>
      <c r="H1857"/>
      <c r="M1857" s="307"/>
      <c r="N1857" s="21"/>
      <c r="O1857" s="131" t="s">
        <v>7629</v>
      </c>
      <c r="P1857" s="900">
        <v>30</v>
      </c>
      <c r="Q1857" s="173">
        <v>50</v>
      </c>
      <c r="R1857" s="907">
        <f>COUNTIF(PoderesDeCriatura_Adquiridos,Tablas!O1857)</f>
        <v>0</v>
      </c>
      <c r="S1857" s="173"/>
      <c r="T1857" s="898"/>
    </row>
    <row r="1858" spans="1:20" ht="12.75" customHeight="1">
      <c r="A1858" s="219">
        <v>1794</v>
      </c>
      <c r="B1858" s="7145"/>
      <c r="C1858" s="510"/>
      <c r="H1858"/>
      <c r="M1858" s="307"/>
      <c r="N1858" s="21"/>
      <c r="O1858" s="131" t="s">
        <v>7630</v>
      </c>
      <c r="P1858" s="900">
        <v>20</v>
      </c>
      <c r="Q1858" s="173">
        <v>-20</v>
      </c>
      <c r="R1858" s="907">
        <f>COUNTIF(PoderesDeCriatura_Adquiridos,Tablas!O1858)</f>
        <v>0</v>
      </c>
      <c r="S1858" s="173"/>
      <c r="T1858" s="898"/>
    </row>
    <row r="1859" spans="1:20" ht="12.75" customHeight="1">
      <c r="A1859" s="219">
        <v>1795</v>
      </c>
      <c r="B1859" s="7145"/>
      <c r="C1859" s="510"/>
      <c r="H1859"/>
      <c r="M1859" s="307"/>
      <c r="N1859" s="21"/>
      <c r="O1859" s="131" t="s">
        <v>7631</v>
      </c>
      <c r="P1859" s="900">
        <v>20</v>
      </c>
      <c r="Q1859" s="173">
        <v>-20</v>
      </c>
      <c r="R1859" s="907">
        <f>COUNTIF(PoderesDeCriatura_Adquiridos,Tablas!O1859)</f>
        <v>0</v>
      </c>
      <c r="S1859" s="173"/>
      <c r="T1859" s="898"/>
    </row>
    <row r="1860" spans="1:20" ht="12.75" customHeight="1">
      <c r="A1860" s="219">
        <v>1796</v>
      </c>
      <c r="B1860" s="7145"/>
      <c r="C1860" s="510"/>
      <c r="H1860"/>
      <c r="M1860" s="307"/>
      <c r="N1860" s="21"/>
      <c r="O1860" s="1" t="s">
        <v>23</v>
      </c>
      <c r="P1860" s="900"/>
      <c r="Q1860" s="173"/>
      <c r="R1860" s="907"/>
      <c r="S1860" s="173"/>
      <c r="T1860" s="898"/>
    </row>
    <row r="1861" spans="1:20" ht="12.75" customHeight="1">
      <c r="A1861" s="219">
        <v>1797</v>
      </c>
      <c r="B1861" s="7145"/>
      <c r="C1861" s="510"/>
      <c r="H1861"/>
      <c r="M1861" s="307"/>
      <c r="N1861" s="21"/>
      <c r="O1861" s="131" t="s">
        <v>7614</v>
      </c>
      <c r="P1861" s="900">
        <v>10</v>
      </c>
      <c r="Q1861" s="173">
        <v>20</v>
      </c>
      <c r="R1861" s="907">
        <f>COUNTIF(PoderesDeCriatura_Adquiridos,Tablas!O1861)</f>
        <v>0</v>
      </c>
      <c r="S1861" s="173"/>
      <c r="T1861" s="898"/>
    </row>
    <row r="1862" spans="1:20" ht="12.75" customHeight="1">
      <c r="A1862" s="219">
        <v>1798</v>
      </c>
      <c r="B1862" s="7145"/>
      <c r="C1862" s="510"/>
      <c r="H1862"/>
      <c r="M1862" s="307"/>
      <c r="N1862" s="21"/>
      <c r="O1862" s="131" t="s">
        <v>7615</v>
      </c>
      <c r="P1862" s="900">
        <v>20</v>
      </c>
      <c r="Q1862" s="173">
        <v>30</v>
      </c>
      <c r="R1862" s="907">
        <f>COUNTIF(PoderesDeCriatura_Adquiridos,Tablas!O1862)</f>
        <v>0</v>
      </c>
      <c r="S1862" s="173"/>
      <c r="T1862" s="898"/>
    </row>
    <row r="1863" spans="1:20" ht="12.75" customHeight="1">
      <c r="A1863" s="219">
        <v>1799</v>
      </c>
      <c r="B1863" s="7145"/>
      <c r="C1863" s="510"/>
      <c r="H1863"/>
      <c r="M1863" s="307"/>
      <c r="N1863" s="21"/>
      <c r="O1863" s="131" t="s">
        <v>7616</v>
      </c>
      <c r="P1863" s="900">
        <v>25</v>
      </c>
      <c r="Q1863" s="173">
        <v>40</v>
      </c>
      <c r="R1863" s="907">
        <f>COUNTIF(PoderesDeCriatura_Adquiridos,Tablas!O1863)</f>
        <v>0</v>
      </c>
      <c r="S1863" s="173"/>
      <c r="T1863" s="898"/>
    </row>
    <row r="1864" spans="1:20" ht="12.75" customHeight="1">
      <c r="A1864" s="219">
        <v>1800</v>
      </c>
      <c r="B1864" s="7145"/>
      <c r="C1864" s="510"/>
      <c r="H1864"/>
      <c r="M1864" s="307"/>
      <c r="N1864" s="21"/>
      <c r="O1864" s="131" t="s">
        <v>7617</v>
      </c>
      <c r="P1864" s="900">
        <v>30</v>
      </c>
      <c r="Q1864" s="173">
        <v>60</v>
      </c>
      <c r="R1864" s="907">
        <f>COUNTIF(PoderesDeCriatura_Adquiridos,Tablas!O1864)</f>
        <v>0</v>
      </c>
      <c r="S1864" s="173"/>
      <c r="T1864" s="898"/>
    </row>
    <row r="1865" spans="1:20" ht="12.75" customHeight="1">
      <c r="A1865" s="219">
        <v>1801</v>
      </c>
      <c r="B1865" s="7145"/>
      <c r="C1865" s="510"/>
      <c r="H1865"/>
      <c r="M1865" s="307"/>
      <c r="N1865" s="21"/>
      <c r="O1865" s="131" t="s">
        <v>7618</v>
      </c>
      <c r="P1865" s="900">
        <v>35</v>
      </c>
      <c r="Q1865" s="173">
        <v>80</v>
      </c>
      <c r="R1865" s="907">
        <f>COUNTIF(PoderesDeCriatura_Adquiridos,Tablas!O1865)</f>
        <v>0</v>
      </c>
      <c r="S1865" s="173"/>
      <c r="T1865" s="898"/>
    </row>
    <row r="1866" spans="1:20" ht="12.75" customHeight="1">
      <c r="A1866" s="219">
        <v>1802</v>
      </c>
      <c r="B1866" s="7145"/>
      <c r="C1866" s="510"/>
      <c r="H1866"/>
      <c r="M1866" s="307"/>
      <c r="N1866" s="21"/>
      <c r="O1866" s="131" t="s">
        <v>7619</v>
      </c>
      <c r="P1866" s="900">
        <v>10</v>
      </c>
      <c r="Q1866" s="173">
        <v>-20</v>
      </c>
      <c r="R1866" s="907">
        <f>COUNTIF(PoderesDeCriatura_Adquiridos,Tablas!O1866)</f>
        <v>0</v>
      </c>
      <c r="S1866" s="173"/>
      <c r="T1866" s="898"/>
    </row>
    <row r="1867" spans="1:20" ht="12.75" customHeight="1">
      <c r="A1867" s="219">
        <v>1803</v>
      </c>
      <c r="B1867" s="7145"/>
      <c r="C1867" s="510"/>
      <c r="H1867"/>
      <c r="M1867" s="307"/>
      <c r="N1867" s="21"/>
      <c r="O1867" s="131" t="s">
        <v>7620</v>
      </c>
      <c r="P1867" s="900">
        <v>30</v>
      </c>
      <c r="Q1867" s="173">
        <v>100</v>
      </c>
      <c r="R1867" s="907">
        <f>COUNTIF(PoderesDeCriatura_Adquiridos,Tablas!O1867)</f>
        <v>0</v>
      </c>
      <c r="S1867" s="173"/>
      <c r="T1867" s="898"/>
    </row>
    <row r="1868" spans="1:20" ht="12.75" customHeight="1">
      <c r="A1868" s="219">
        <v>1804</v>
      </c>
      <c r="B1868" s="7145"/>
      <c r="H1868"/>
      <c r="M1868" s="307"/>
      <c r="N1868" s="21"/>
      <c r="O1868" s="131" t="s">
        <v>7621</v>
      </c>
      <c r="P1868" s="900">
        <v>35</v>
      </c>
      <c r="Q1868" s="173">
        <v>150</v>
      </c>
      <c r="R1868" s="907">
        <f>COUNTIF(PoderesDeCriatura_Adquiridos,Tablas!O1868)</f>
        <v>0</v>
      </c>
      <c r="S1868" s="173"/>
      <c r="T1868" s="898"/>
    </row>
    <row r="1869" spans="1:20" ht="12.75" customHeight="1">
      <c r="A1869" s="219">
        <v>1805</v>
      </c>
      <c r="B1869" s="7145"/>
      <c r="H1869"/>
      <c r="M1869" s="307"/>
      <c r="N1869" s="21"/>
      <c r="O1869" s="1" t="s">
        <v>24</v>
      </c>
      <c r="P1869" s="900">
        <v>30</v>
      </c>
      <c r="Q1869" s="173">
        <v>150</v>
      </c>
      <c r="R1869" s="907">
        <f>COUNTIF(PoderesDeCriatura_Adquiridos,Tablas!O1869)</f>
        <v>0</v>
      </c>
      <c r="S1869" s="173"/>
      <c r="T1869" s="898"/>
    </row>
    <row r="1870" spans="1:20" ht="12.75" customHeight="1">
      <c r="A1870" s="219">
        <v>1806</v>
      </c>
      <c r="B1870" s="7145"/>
      <c r="H1870"/>
      <c r="M1870" s="307"/>
      <c r="N1870" s="21"/>
      <c r="O1870" s="131" t="s">
        <v>25</v>
      </c>
      <c r="P1870" s="900"/>
      <c r="Q1870" s="173"/>
      <c r="R1870" s="907"/>
      <c r="S1870" s="173"/>
      <c r="T1870" s="898"/>
    </row>
    <row r="1871" spans="1:20" ht="12.75" customHeight="1">
      <c r="A1871" s="219">
        <v>1807</v>
      </c>
      <c r="B1871" s="7145"/>
      <c r="H1871"/>
      <c r="M1871" s="307"/>
      <c r="N1871" s="21"/>
      <c r="O1871" s="1" t="s">
        <v>26</v>
      </c>
      <c r="P1871" s="900">
        <v>35</v>
      </c>
      <c r="Q1871" s="173">
        <v>40</v>
      </c>
      <c r="R1871" s="907">
        <f>COUNTIF(PoderesDeCriatura_Adquiridos,Tablas!O1871)</f>
        <v>0</v>
      </c>
      <c r="S1871" s="173"/>
      <c r="T1871" s="898"/>
    </row>
    <row r="1872" spans="1:20" ht="12.75" customHeight="1">
      <c r="A1872" s="219">
        <v>1808</v>
      </c>
      <c r="B1872" s="7145"/>
      <c r="H1872"/>
      <c r="M1872" s="307"/>
      <c r="N1872" s="21"/>
      <c r="O1872" s="131" t="s">
        <v>7622</v>
      </c>
      <c r="P1872" s="900">
        <v>35</v>
      </c>
      <c r="Q1872" s="173">
        <v>40</v>
      </c>
      <c r="R1872" s="907">
        <f>COUNTIF(PoderesDeCriatura_Adquiridos,Tablas!O1872)</f>
        <v>0</v>
      </c>
      <c r="S1872" s="173"/>
      <c r="T1872" s="898"/>
    </row>
    <row r="1873" spans="1:20" ht="12.75" customHeight="1">
      <c r="A1873" s="219">
        <v>1809</v>
      </c>
      <c r="B1873" s="7145"/>
      <c r="H1873"/>
      <c r="M1873" s="307"/>
      <c r="N1873" s="21"/>
      <c r="O1873" s="131" t="s">
        <v>7623</v>
      </c>
      <c r="P1873" s="900">
        <v>40</v>
      </c>
      <c r="Q1873" s="173">
        <v>60</v>
      </c>
      <c r="R1873" s="907">
        <f>COUNTIF(PoderesDeCriatura_Adquiridos,Tablas!O1873)</f>
        <v>0</v>
      </c>
      <c r="S1873" s="173">
        <f>IF(R1872,15,IF(R1873,20,0))</f>
        <v>0</v>
      </c>
      <c r="T1873" s="898" t="s">
        <v>1815</v>
      </c>
    </row>
    <row r="1874" spans="1:20" ht="12.75" customHeight="1">
      <c r="A1874" s="219">
        <v>1810</v>
      </c>
      <c r="B1874" s="7145"/>
      <c r="H1874"/>
      <c r="M1874" s="307"/>
      <c r="N1874" s="21"/>
      <c r="O1874" s="131" t="s">
        <v>7624</v>
      </c>
      <c r="P1874" s="900">
        <v>35</v>
      </c>
      <c r="Q1874" s="173">
        <v>40</v>
      </c>
      <c r="R1874" s="907">
        <f>COUNTIF(PoderesDeCriatura_Adquiridos,Tablas!O1874)</f>
        <v>0</v>
      </c>
      <c r="S1874" s="173"/>
      <c r="T1874" s="898"/>
    </row>
    <row r="1875" spans="1:20" ht="12.75" customHeight="1">
      <c r="A1875" s="219">
        <v>1811</v>
      </c>
      <c r="B1875" s="7145"/>
      <c r="H1875"/>
      <c r="M1875" s="307"/>
      <c r="N1875" s="21"/>
      <c r="O1875" s="131" t="s">
        <v>7625</v>
      </c>
      <c r="P1875" s="900">
        <v>35</v>
      </c>
      <c r="Q1875" s="173">
        <v>40</v>
      </c>
      <c r="R1875" s="907">
        <f>COUNTIF(PoderesDeCriatura_Adquiridos,Tablas!O1875)</f>
        <v>0</v>
      </c>
      <c r="S1875" s="173"/>
      <c r="T1875" s="898"/>
    </row>
    <row r="1876" spans="1:20" ht="12.75" customHeight="1">
      <c r="A1876" s="219">
        <v>1812</v>
      </c>
      <c r="B1876" s="7145"/>
      <c r="H1876"/>
      <c r="M1876" s="307"/>
      <c r="N1876" s="21"/>
      <c r="O1876" s="131" t="s">
        <v>7626</v>
      </c>
      <c r="P1876" s="900">
        <v>40</v>
      </c>
      <c r="Q1876" s="173">
        <v>20</v>
      </c>
      <c r="R1876" s="907">
        <f>COUNTIF(PoderesDeCriatura_Adquiridos,Tablas!O1876)</f>
        <v>0</v>
      </c>
      <c r="S1876" s="173"/>
      <c r="T1876" s="898"/>
    </row>
    <row r="1877" spans="1:20" ht="12.75" customHeight="1">
      <c r="A1877" s="219">
        <v>1813</v>
      </c>
      <c r="B1877" s="7145"/>
      <c r="H1877"/>
      <c r="M1877" s="307"/>
      <c r="N1877" s="21"/>
      <c r="O1877" s="1" t="s">
        <v>27</v>
      </c>
      <c r="P1877" s="900">
        <v>35</v>
      </c>
      <c r="Q1877" s="173">
        <v>50</v>
      </c>
      <c r="R1877" s="907">
        <f>COUNTIF(PoderesDeCriatura_Adquiridos,Tablas!O1877)</f>
        <v>0</v>
      </c>
      <c r="S1877" s="173"/>
      <c r="T1877" s="898"/>
    </row>
    <row r="1878" spans="1:20" ht="12.75" customHeight="1">
      <c r="A1878" s="219">
        <v>1814</v>
      </c>
      <c r="B1878" s="7145"/>
      <c r="H1878"/>
      <c r="M1878" s="307"/>
      <c r="N1878" s="21"/>
      <c r="O1878" s="1" t="s">
        <v>28</v>
      </c>
      <c r="P1878" s="900">
        <v>30</v>
      </c>
      <c r="Q1878" s="173">
        <v>40</v>
      </c>
      <c r="R1878" s="907">
        <f>COUNTIF(PoderesDeCriatura_Adquiridos,Tablas!O1878)</f>
        <v>0</v>
      </c>
      <c r="S1878" s="173"/>
      <c r="T1878" s="898"/>
    </row>
    <row r="1879" spans="1:20" ht="12.75" customHeight="1">
      <c r="A1879" s="219">
        <v>1815</v>
      </c>
      <c r="B1879" s="7145"/>
      <c r="H1879"/>
      <c r="M1879" s="2613"/>
      <c r="N1879" s="2615"/>
      <c r="O1879" s="3915" t="s">
        <v>12482</v>
      </c>
      <c r="P1879" s="2613"/>
      <c r="Q1879" s="2613"/>
      <c r="R1879" s="2613"/>
      <c r="S1879" s="2613"/>
      <c r="T1879" s="2613"/>
    </row>
    <row r="1880" spans="1:20" ht="12.75" customHeight="1">
      <c r="A1880" s="219">
        <v>1816</v>
      </c>
      <c r="B1880" s="7145"/>
      <c r="H1880"/>
      <c r="M1880" s="2613"/>
      <c r="N1880" s="2615"/>
      <c r="O1880" s="3915" t="s">
        <v>12484</v>
      </c>
      <c r="P1880" s="2613">
        <v>10</v>
      </c>
      <c r="Q1880" s="2613">
        <v>5</v>
      </c>
      <c r="R1880" s="3980">
        <f>COUNTIF(PoderesDeCriatura_Adquiridos,Tablas!O1880)</f>
        <v>0</v>
      </c>
      <c r="S1880" s="2613"/>
      <c r="T1880" s="2613"/>
    </row>
    <row r="1881" spans="1:20" ht="12.75" customHeight="1">
      <c r="A1881" s="219">
        <v>1817</v>
      </c>
      <c r="B1881" s="7145"/>
      <c r="H1881"/>
      <c r="M1881" s="2613"/>
      <c r="N1881" s="2615"/>
      <c r="O1881" s="3915" t="s">
        <v>12485</v>
      </c>
      <c r="P1881" s="2613">
        <v>20</v>
      </c>
      <c r="Q1881" s="2613">
        <v>5</v>
      </c>
      <c r="R1881" s="3980">
        <f>COUNTIF(PoderesDeCriatura_Adquiridos,Tablas!O1881)</f>
        <v>0</v>
      </c>
      <c r="S1881" s="2613"/>
      <c r="T1881" s="2613"/>
    </row>
    <row r="1882" spans="1:20" ht="12.75" customHeight="1">
      <c r="A1882" s="219">
        <v>1818</v>
      </c>
      <c r="B1882" s="7145"/>
      <c r="H1882"/>
      <c r="M1882" s="2613"/>
      <c r="N1882" s="2615"/>
      <c r="O1882" s="3915" t="s">
        <v>12486</v>
      </c>
      <c r="P1882" s="2613">
        <v>30</v>
      </c>
      <c r="Q1882" s="2613">
        <v>10</v>
      </c>
      <c r="R1882" s="3980">
        <f>COUNTIF(PoderesDeCriatura_Adquiridos,Tablas!O1882)</f>
        <v>0</v>
      </c>
      <c r="S1882" s="2613"/>
      <c r="T1882" s="2613"/>
    </row>
    <row r="1883" spans="1:20" ht="12.75" customHeight="1">
      <c r="B1883" s="7145"/>
      <c r="H1883"/>
      <c r="M1883" s="2613"/>
      <c r="N1883" s="2615"/>
      <c r="O1883" s="3915" t="s">
        <v>12487</v>
      </c>
      <c r="P1883" s="2613">
        <v>40</v>
      </c>
      <c r="Q1883" s="2613">
        <v>10</v>
      </c>
      <c r="R1883" s="3980">
        <f>COUNTIF(PoderesDeCriatura_Adquiridos,Tablas!O1883)</f>
        <v>0</v>
      </c>
      <c r="S1883" s="2613"/>
      <c r="T1883" s="2613"/>
    </row>
    <row r="1884" spans="1:20" ht="12.75" customHeight="1">
      <c r="B1884" s="7145"/>
      <c r="H1884"/>
      <c r="M1884" s="2613"/>
      <c r="N1884" s="2615"/>
      <c r="O1884" s="3915" t="s">
        <v>12488</v>
      </c>
      <c r="P1884" s="2613">
        <v>50</v>
      </c>
      <c r="Q1884" s="2613">
        <v>15</v>
      </c>
      <c r="R1884" s="3980">
        <f>COUNTIF(PoderesDeCriatura_Adquiridos,Tablas!O1884)</f>
        <v>0</v>
      </c>
      <c r="S1884" s="2613"/>
      <c r="T1884" s="2613"/>
    </row>
    <row r="1885" spans="1:20" ht="12.75" customHeight="1">
      <c r="B1885" s="7145"/>
      <c r="H1885"/>
      <c r="M1885" s="2613"/>
      <c r="N1885" s="2615"/>
      <c r="O1885" s="3915" t="s">
        <v>12489</v>
      </c>
      <c r="P1885" s="2613">
        <v>60</v>
      </c>
      <c r="Q1885" s="2613">
        <v>20</v>
      </c>
      <c r="R1885" s="3980">
        <f>COUNTIF(PoderesDeCriatura_Adquiridos,Tablas!O1885)</f>
        <v>0</v>
      </c>
      <c r="S1885" s="2613"/>
      <c r="T1885" s="2613"/>
    </row>
    <row r="1886" spans="1:20" ht="12.75" customHeight="1">
      <c r="B1886" s="7145"/>
      <c r="H1886"/>
      <c r="M1886" s="2613"/>
      <c r="N1886" s="2615"/>
      <c r="O1886" s="3915" t="s">
        <v>12490</v>
      </c>
      <c r="P1886" s="2613">
        <v>80</v>
      </c>
      <c r="Q1886" s="2613">
        <v>35</v>
      </c>
      <c r="R1886" s="3980">
        <f>COUNTIF(PoderesDeCriatura_Adquiridos,Tablas!O1886)</f>
        <v>0</v>
      </c>
      <c r="S1886" s="2613"/>
      <c r="T1886" s="2613"/>
    </row>
    <row r="1887" spans="1:20" ht="12.75" customHeight="1">
      <c r="B1887" s="7145"/>
      <c r="H1887"/>
      <c r="M1887" s="2613"/>
      <c r="N1887" s="2615"/>
      <c r="O1887" s="3915" t="s">
        <v>12496</v>
      </c>
      <c r="P1887" s="2613">
        <v>10</v>
      </c>
      <c r="Q1887" s="2613">
        <v>5</v>
      </c>
      <c r="R1887" s="3980">
        <f>COUNTIF(PoderesDeCriatura_Adquiridos,Tablas!O1887)</f>
        <v>0</v>
      </c>
      <c r="S1887" s="2613"/>
      <c r="T1887" s="2613"/>
    </row>
    <row r="1888" spans="1:20" ht="12.75" customHeight="1">
      <c r="B1888" s="7145"/>
      <c r="H1888"/>
      <c r="M1888" s="2613"/>
      <c r="N1888" s="2615"/>
      <c r="O1888" s="3915" t="s">
        <v>12497</v>
      </c>
      <c r="P1888" s="2613">
        <v>20</v>
      </c>
      <c r="Q1888" s="2613">
        <v>10</v>
      </c>
      <c r="R1888" s="3980">
        <f>COUNTIF(PoderesDeCriatura_Adquiridos,Tablas!O1888)</f>
        <v>0</v>
      </c>
      <c r="S1888" s="2613"/>
      <c r="T1888" s="2613"/>
    </row>
    <row r="1889" spans="2:20" ht="12.75" customHeight="1">
      <c r="B1889" s="7145"/>
      <c r="H1889"/>
      <c r="M1889" s="2613"/>
      <c r="N1889" s="2615"/>
      <c r="O1889" s="3915" t="s">
        <v>12498</v>
      </c>
      <c r="P1889" s="2613">
        <v>40</v>
      </c>
      <c r="Q1889" s="2613">
        <v>15</v>
      </c>
      <c r="R1889" s="3980">
        <f>COUNTIF(PoderesDeCriatura_Adquiridos,Tablas!O1889)</f>
        <v>0</v>
      </c>
      <c r="S1889" s="2613"/>
      <c r="T1889" s="2613"/>
    </row>
    <row r="1890" spans="2:20" ht="12.75" customHeight="1">
      <c r="B1890" s="7145"/>
      <c r="H1890"/>
      <c r="M1890" s="2613"/>
      <c r="N1890" s="2615"/>
      <c r="O1890" s="3915" t="s">
        <v>12499</v>
      </c>
      <c r="P1890" s="2613">
        <v>10</v>
      </c>
      <c r="Q1890" s="2613">
        <v>5</v>
      </c>
      <c r="R1890" s="3980">
        <f>COUNTIF(PoderesDeCriatura_Adquiridos,Tablas!O1890)</f>
        <v>0</v>
      </c>
      <c r="S1890" s="2613"/>
      <c r="T1890" s="2613"/>
    </row>
    <row r="1891" spans="2:20" ht="12.75" customHeight="1">
      <c r="B1891" s="7145"/>
      <c r="H1891"/>
      <c r="M1891" s="2613"/>
      <c r="N1891" s="2615"/>
      <c r="O1891" s="3915" t="s">
        <v>12500</v>
      </c>
      <c r="P1891" s="2613">
        <v>15</v>
      </c>
      <c r="Q1891" s="2613">
        <v>10</v>
      </c>
      <c r="R1891" s="3980">
        <f>COUNTIF(PoderesDeCriatura_Adquiridos,Tablas!O1891)</f>
        <v>0</v>
      </c>
      <c r="S1891" s="2613"/>
      <c r="T1891" s="2613"/>
    </row>
    <row r="1892" spans="2:20" ht="12.75" customHeight="1">
      <c r="B1892" s="7145"/>
      <c r="H1892"/>
      <c r="M1892" s="2613"/>
      <c r="N1892" s="2615"/>
      <c r="O1892" s="3915" t="s">
        <v>12501</v>
      </c>
      <c r="P1892" s="2613">
        <v>20</v>
      </c>
      <c r="Q1892" s="2613">
        <v>15</v>
      </c>
      <c r="R1892" s="3980">
        <f>COUNTIF(PoderesDeCriatura_Adquiridos,Tablas!O1892)</f>
        <v>0</v>
      </c>
      <c r="S1892" s="2613"/>
      <c r="T1892" s="2613"/>
    </row>
    <row r="1893" spans="2:20" ht="12.75" customHeight="1">
      <c r="B1893" s="7145"/>
      <c r="H1893"/>
      <c r="M1893" s="2613"/>
      <c r="N1893" s="2615"/>
      <c r="O1893" s="3915" t="s">
        <v>12502</v>
      </c>
      <c r="P1893" s="2613">
        <v>25</v>
      </c>
      <c r="Q1893" s="2613">
        <v>20</v>
      </c>
      <c r="R1893" s="3980">
        <f>COUNTIF(PoderesDeCriatura_Adquiridos,Tablas!O1893)</f>
        <v>0</v>
      </c>
      <c r="S1893" s="2613"/>
      <c r="T1893" s="2613"/>
    </row>
    <row r="1894" spans="2:20" ht="12.75" customHeight="1">
      <c r="B1894" s="7145"/>
      <c r="H1894"/>
      <c r="M1894" s="2613"/>
      <c r="N1894" s="2615"/>
      <c r="O1894" s="3915" t="s">
        <v>12503</v>
      </c>
      <c r="P1894" s="2613">
        <v>30</v>
      </c>
      <c r="Q1894" s="2613">
        <v>30</v>
      </c>
      <c r="R1894" s="3980">
        <f>COUNTIF(PoderesDeCriatura_Adquiridos,Tablas!O1894)</f>
        <v>0</v>
      </c>
      <c r="S1894" s="2613"/>
      <c r="T1894" s="2613"/>
    </row>
    <row r="1895" spans="2:20" ht="12.75" customHeight="1">
      <c r="B1895" s="7145"/>
      <c r="H1895"/>
      <c r="M1895" s="2613"/>
      <c r="N1895" s="2615"/>
      <c r="O1895" s="3915" t="s">
        <v>12504</v>
      </c>
      <c r="P1895" s="2613">
        <v>10</v>
      </c>
      <c r="Q1895" s="2613">
        <v>20</v>
      </c>
      <c r="R1895" s="3980">
        <f>COUNTIF(PoderesDeCriatura_Adquiridos,Tablas!O1895)</f>
        <v>0</v>
      </c>
      <c r="S1895" s="2613"/>
      <c r="T1895" s="2613"/>
    </row>
    <row r="1896" spans="2:20" ht="12.75" customHeight="1">
      <c r="B1896" s="7145"/>
      <c r="H1896"/>
      <c r="M1896" s="2613"/>
      <c r="N1896" s="2615"/>
      <c r="O1896" s="3915" t="s">
        <v>12505</v>
      </c>
      <c r="P1896" s="2613">
        <v>20</v>
      </c>
      <c r="Q1896" s="2613">
        <v>25</v>
      </c>
      <c r="R1896" s="3980">
        <f>COUNTIF(PoderesDeCriatura_Adquiridos,Tablas!O1896)</f>
        <v>0</v>
      </c>
      <c r="S1896" s="2613"/>
      <c r="T1896" s="2613"/>
    </row>
    <row r="1897" spans="2:20" ht="12.75" customHeight="1">
      <c r="B1897" s="7145"/>
      <c r="H1897"/>
      <c r="M1897" s="2613"/>
      <c r="N1897" s="2615"/>
      <c r="O1897" s="3915" t="s">
        <v>12506</v>
      </c>
      <c r="P1897" s="2613">
        <v>40</v>
      </c>
      <c r="Q1897" s="2613">
        <v>30</v>
      </c>
      <c r="R1897" s="3980">
        <f>COUNTIF(PoderesDeCriatura_Adquiridos,Tablas!O1897)</f>
        <v>0</v>
      </c>
      <c r="S1897" s="2613"/>
      <c r="T1897" s="2613"/>
    </row>
    <row r="1898" spans="2:20" ht="12.75" customHeight="1">
      <c r="B1898" s="7145"/>
      <c r="H1898"/>
      <c r="M1898" s="2613"/>
      <c r="N1898" s="2615"/>
      <c r="O1898" s="3915" t="s">
        <v>12507</v>
      </c>
      <c r="P1898" s="2613">
        <v>60</v>
      </c>
      <c r="Q1898" s="2613">
        <v>35</v>
      </c>
      <c r="R1898" s="3980">
        <f>COUNTIF(PoderesDeCriatura_Adquiridos,Tablas!O1898)</f>
        <v>0</v>
      </c>
      <c r="S1898" s="2613"/>
      <c r="T1898" s="2613"/>
    </row>
    <row r="1899" spans="2:20" ht="12.75" customHeight="1">
      <c r="B1899" s="7145"/>
      <c r="H1899"/>
      <c r="M1899" s="2613"/>
      <c r="N1899" s="2615"/>
      <c r="O1899" s="3915" t="s">
        <v>12508</v>
      </c>
      <c r="P1899" s="2613">
        <v>80</v>
      </c>
      <c r="Q1899" s="2613">
        <v>40</v>
      </c>
      <c r="R1899" s="3980">
        <f>COUNTIF(PoderesDeCriatura_Adquiridos,Tablas!O1899)</f>
        <v>0</v>
      </c>
      <c r="S1899" s="2613"/>
      <c r="T1899" s="2613"/>
    </row>
    <row r="1900" spans="2:20" ht="12.75" customHeight="1">
      <c r="B1900" s="7145"/>
      <c r="H1900"/>
      <c r="M1900" s="2613"/>
      <c r="N1900" s="2615"/>
      <c r="O1900" s="3915" t="s">
        <v>12509</v>
      </c>
      <c r="P1900" s="2613">
        <v>10</v>
      </c>
      <c r="Q1900" s="2613">
        <v>10</v>
      </c>
      <c r="R1900" s="3980">
        <f>COUNTIF(PoderesDeCriatura_Adquiridos,Tablas!O1900)</f>
        <v>0</v>
      </c>
      <c r="S1900" s="2613"/>
      <c r="T1900" s="2613"/>
    </row>
    <row r="1901" spans="2:20" ht="12.75" customHeight="1">
      <c r="B1901" s="7145"/>
      <c r="H1901"/>
      <c r="M1901" s="2613"/>
      <c r="N1901" s="2615"/>
      <c r="O1901" s="3915" t="s">
        <v>12510</v>
      </c>
      <c r="P1901" s="2613">
        <v>20</v>
      </c>
      <c r="Q1901" s="2613">
        <v>15</v>
      </c>
      <c r="R1901" s="3980">
        <f>COUNTIF(PoderesDeCriatura_Adquiridos,Tablas!O1901)</f>
        <v>0</v>
      </c>
      <c r="S1901" s="2613"/>
      <c r="T1901" s="2613"/>
    </row>
    <row r="1902" spans="2:20" ht="12.75" customHeight="1">
      <c r="B1902" s="7145"/>
      <c r="H1902"/>
      <c r="M1902" s="2613"/>
      <c r="N1902" s="2615"/>
      <c r="O1902" s="3915" t="s">
        <v>12511</v>
      </c>
      <c r="P1902" s="2613">
        <v>30</v>
      </c>
      <c r="Q1902" s="2613">
        <v>25</v>
      </c>
      <c r="R1902" s="3980">
        <f>COUNTIF(PoderesDeCriatura_Adquiridos,Tablas!O1902)</f>
        <v>0</v>
      </c>
      <c r="S1902" s="2613"/>
      <c r="T1902" s="2613"/>
    </row>
    <row r="1903" spans="2:20" ht="12.75" customHeight="1">
      <c r="B1903" s="7145"/>
      <c r="H1903"/>
      <c r="M1903" s="2613"/>
      <c r="N1903" s="2615"/>
      <c r="O1903" s="3915" t="s">
        <v>12512</v>
      </c>
      <c r="P1903" s="2613">
        <v>10</v>
      </c>
      <c r="Q1903" s="2613">
        <v>10</v>
      </c>
      <c r="R1903" s="3980">
        <f>COUNTIF(PoderesDeCriatura_Adquiridos,Tablas!O1903)</f>
        <v>0</v>
      </c>
      <c r="S1903" s="2613"/>
      <c r="T1903" s="2613"/>
    </row>
    <row r="1904" spans="2:20" ht="12.75" customHeight="1">
      <c r="B1904" s="7145"/>
      <c r="H1904"/>
      <c r="M1904" s="2613"/>
      <c r="N1904" s="2615"/>
      <c r="O1904" s="3915" t="s">
        <v>12513</v>
      </c>
      <c r="P1904" s="2613">
        <v>15</v>
      </c>
      <c r="Q1904" s="2613">
        <v>20</v>
      </c>
      <c r="R1904" s="3980">
        <f>COUNTIF(PoderesDeCriatura_Adquiridos,Tablas!O1904)</f>
        <v>0</v>
      </c>
      <c r="S1904" s="2613"/>
      <c r="T1904" s="2613"/>
    </row>
    <row r="1905" spans="2:20" ht="12.75" customHeight="1">
      <c r="B1905" s="7145"/>
      <c r="H1905"/>
      <c r="M1905" s="2613"/>
      <c r="N1905" s="2615"/>
      <c r="O1905" s="3915" t="s">
        <v>12514</v>
      </c>
      <c r="P1905" s="2613">
        <v>20</v>
      </c>
      <c r="Q1905" s="2613">
        <v>30</v>
      </c>
      <c r="R1905" s="3980">
        <f>COUNTIF(PoderesDeCriatura_Adquiridos,Tablas!O1905)</f>
        <v>0</v>
      </c>
      <c r="S1905" s="2613"/>
      <c r="T1905" s="2613"/>
    </row>
    <row r="1906" spans="2:20" ht="12.75" customHeight="1">
      <c r="B1906" s="7145"/>
      <c r="H1906"/>
      <c r="M1906" s="2613"/>
      <c r="N1906" s="2615"/>
      <c r="O1906" s="3915" t="s">
        <v>12515</v>
      </c>
      <c r="P1906" s="2613">
        <v>25</v>
      </c>
      <c r="Q1906" s="2613">
        <v>40</v>
      </c>
      <c r="R1906" s="3980">
        <f>COUNTIF(PoderesDeCriatura_Adquiridos,Tablas!O1906)</f>
        <v>0</v>
      </c>
      <c r="S1906" s="2613"/>
      <c r="T1906" s="2613"/>
    </row>
    <row r="1907" spans="2:20" ht="12.75" customHeight="1">
      <c r="B1907" s="7145"/>
      <c r="H1907"/>
      <c r="M1907" s="2613"/>
      <c r="N1907" s="2615"/>
      <c r="O1907" s="3915" t="s">
        <v>12516</v>
      </c>
      <c r="P1907" s="2613">
        <v>30</v>
      </c>
      <c r="Q1907" s="2613">
        <v>45</v>
      </c>
      <c r="R1907" s="3980">
        <f>COUNTIF(PoderesDeCriatura_Adquiridos,Tablas!O1907)</f>
        <v>0</v>
      </c>
      <c r="S1907" s="2613"/>
      <c r="T1907" s="2613"/>
    </row>
    <row r="1908" spans="2:20" ht="12.75" customHeight="1">
      <c r="B1908" s="7145"/>
      <c r="H1908"/>
      <c r="M1908" s="2613"/>
      <c r="N1908" s="2615"/>
      <c r="O1908" s="3915" t="s">
        <v>12517</v>
      </c>
      <c r="P1908" s="2613">
        <v>20</v>
      </c>
      <c r="Q1908" s="2613">
        <v>20</v>
      </c>
      <c r="R1908" s="3980">
        <f>COUNTIF(PoderesDeCriatura_Adquiridos,Tablas!O1908)</f>
        <v>0</v>
      </c>
      <c r="S1908" s="2613"/>
      <c r="T1908" s="2613"/>
    </row>
    <row r="1909" spans="2:20" ht="12.75" customHeight="1">
      <c r="B1909" s="7145"/>
      <c r="H1909"/>
      <c r="M1909" s="2613"/>
      <c r="N1909" s="2615"/>
      <c r="O1909" s="3915" t="s">
        <v>12518</v>
      </c>
      <c r="P1909" s="2613">
        <v>40</v>
      </c>
      <c r="Q1909" s="2613">
        <v>25</v>
      </c>
      <c r="R1909" s="3980">
        <f>COUNTIF(PoderesDeCriatura_Adquiridos,Tablas!O1909)</f>
        <v>0</v>
      </c>
      <c r="S1909" s="2613"/>
      <c r="T1909" s="2613"/>
    </row>
    <row r="1910" spans="2:20" ht="12.75" customHeight="1">
      <c r="B1910" s="7145"/>
      <c r="H1910"/>
      <c r="M1910" s="2613"/>
      <c r="N1910" s="2615"/>
      <c r="O1910" s="3915" t="s">
        <v>12519</v>
      </c>
      <c r="P1910" s="2613">
        <v>60</v>
      </c>
      <c r="Q1910" s="2613">
        <v>30</v>
      </c>
      <c r="R1910" s="3980">
        <f>COUNTIF(PoderesDeCriatura_Adquiridos,Tablas!O1910)</f>
        <v>0</v>
      </c>
      <c r="S1910" s="2613"/>
      <c r="T1910" s="2613"/>
    </row>
    <row r="1911" spans="2:20" ht="12.75" customHeight="1">
      <c r="B1911" s="7145"/>
      <c r="H1911"/>
      <c r="M1911" s="2613"/>
      <c r="N1911" s="2615"/>
      <c r="O1911" s="3915" t="s">
        <v>12520</v>
      </c>
      <c r="P1911" s="2613">
        <v>80</v>
      </c>
      <c r="Q1911" s="2613">
        <v>35</v>
      </c>
      <c r="R1911" s="3980">
        <f>COUNTIF(PoderesDeCriatura_Adquiridos,Tablas!O1911)</f>
        <v>0</v>
      </c>
      <c r="S1911" s="2613"/>
      <c r="T1911" s="2613"/>
    </row>
    <row r="1912" spans="2:20" ht="12.75" customHeight="1">
      <c r="B1912" s="7145"/>
      <c r="H1912"/>
      <c r="M1912" s="2613"/>
      <c r="N1912" s="2615"/>
      <c r="O1912" s="3915" t="s">
        <v>12521</v>
      </c>
      <c r="P1912" s="2613">
        <v>100</v>
      </c>
      <c r="Q1912" s="2613">
        <v>40</v>
      </c>
      <c r="R1912" s="3980">
        <f>COUNTIF(PoderesDeCriatura_Adquiridos,Tablas!O1912)</f>
        <v>0</v>
      </c>
      <c r="S1912" s="2613"/>
      <c r="T1912" s="2613"/>
    </row>
    <row r="1913" spans="2:20" ht="12.75" customHeight="1">
      <c r="B1913" s="7145"/>
      <c r="H1913"/>
      <c r="M1913" s="307"/>
      <c r="N1913" s="21"/>
      <c r="O1913" s="1" t="s">
        <v>29</v>
      </c>
      <c r="P1913" s="900"/>
      <c r="Q1913" s="173"/>
      <c r="R1913" s="907"/>
      <c r="S1913" s="173"/>
      <c r="T1913" s="898"/>
    </row>
    <row r="1914" spans="2:20" ht="12.75" customHeight="1">
      <c r="B1914" s="7145"/>
      <c r="H1914"/>
      <c r="M1914" s="307"/>
      <c r="N1914" s="21"/>
      <c r="O1914" s="1" t="str">
        <f>IF(Personalización!I38=0,"Poder #1",Personalización!I38)</f>
        <v>Poder #1</v>
      </c>
      <c r="P1914" s="900">
        <f>Personalización!P38</f>
        <v>0</v>
      </c>
      <c r="Q1914" s="173">
        <f>Personalización!Q38</f>
        <v>0</v>
      </c>
      <c r="R1914" s="907">
        <f>COUNTIF(PoderesDeCriatura_Adquiridos,Tablas!O1914)</f>
        <v>0</v>
      </c>
      <c r="S1914" s="173"/>
      <c r="T1914" s="898"/>
    </row>
    <row r="1915" spans="2:20" ht="12.75" customHeight="1">
      <c r="B1915" s="7145"/>
      <c r="H1915"/>
      <c r="M1915" s="307"/>
      <c r="N1915" s="21"/>
      <c r="O1915" s="1" t="str">
        <f>IF(Personalización!I39=0,"Poder #2",Personalización!I39)</f>
        <v>Poder #2</v>
      </c>
      <c r="P1915" s="900">
        <f>Personalización!P39</f>
        <v>0</v>
      </c>
      <c r="Q1915" s="173">
        <f>Personalización!Q39</f>
        <v>0</v>
      </c>
      <c r="R1915" s="907">
        <f>COUNTIF(PoderesDeCriatura_Adquiridos,Tablas!O1915)</f>
        <v>0</v>
      </c>
      <c r="S1915" s="173"/>
      <c r="T1915" s="898"/>
    </row>
    <row r="1916" spans="2:20" ht="12.75" customHeight="1">
      <c r="B1916" s="7145"/>
      <c r="H1916"/>
      <c r="M1916" s="307"/>
      <c r="N1916" s="21"/>
      <c r="O1916" s="1" t="str">
        <f>IF(Personalización!I40=0,"Poder #3",Personalización!I40)</f>
        <v>Poder #3</v>
      </c>
      <c r="P1916" s="900">
        <f>Personalización!P40</f>
        <v>0</v>
      </c>
      <c r="Q1916" s="173">
        <f>Personalización!Q40</f>
        <v>0</v>
      </c>
      <c r="R1916" s="907">
        <f>COUNTIF(PoderesDeCriatura_Adquiridos,Tablas!O1916)</f>
        <v>0</v>
      </c>
      <c r="S1916" s="173"/>
      <c r="T1916" s="898"/>
    </row>
    <row r="1917" spans="2:20" ht="12.75" customHeight="1">
      <c r="B1917" s="7145"/>
      <c r="H1917"/>
      <c r="M1917" s="307"/>
      <c r="N1917" s="21"/>
      <c r="O1917" s="1" t="str">
        <f>IF(Personalización!I41=0,"Poder #4",Personalización!I41)</f>
        <v>Poder #4</v>
      </c>
      <c r="P1917" s="900">
        <f>Personalización!P41</f>
        <v>0</v>
      </c>
      <c r="Q1917" s="173">
        <f>Personalización!Q41</f>
        <v>0</v>
      </c>
      <c r="R1917" s="907">
        <f>COUNTIF(PoderesDeCriatura_Adquiridos,Tablas!O1917)</f>
        <v>0</v>
      </c>
      <c r="S1917" s="173"/>
      <c r="T1917" s="898"/>
    </row>
    <row r="1918" spans="2:20" ht="12.75" customHeight="1">
      <c r="B1918" s="7145"/>
      <c r="H1918"/>
      <c r="M1918" s="307"/>
      <c r="N1918" s="21"/>
      <c r="O1918" s="1" t="str">
        <f>IF(Personalización!I42=0,"Poder #5",Personalización!I42)</f>
        <v>Poder #5</v>
      </c>
      <c r="P1918" s="900">
        <f>Personalización!P42</f>
        <v>0</v>
      </c>
      <c r="Q1918" s="173">
        <f>Personalización!Q42</f>
        <v>0</v>
      </c>
      <c r="R1918" s="907">
        <f>COUNTIF(PoderesDeCriatura_Adquiridos,Tablas!O1918)</f>
        <v>0</v>
      </c>
      <c r="S1918" s="173"/>
      <c r="T1918" s="898"/>
    </row>
    <row r="1919" spans="2:20" ht="12.75" customHeight="1">
      <c r="B1919" s="7145"/>
      <c r="H1919"/>
      <c r="M1919" s="307"/>
      <c r="N1919" s="21"/>
      <c r="O1919" s="1" t="str">
        <f>IF(Personalización!I43=0,"Poder #6",Personalización!I43)</f>
        <v>Poder #6</v>
      </c>
      <c r="P1919" s="900">
        <f>Personalización!P43</f>
        <v>0</v>
      </c>
      <c r="Q1919" s="173">
        <f>Personalización!Q43</f>
        <v>0</v>
      </c>
      <c r="R1919" s="907">
        <f>COUNTIF(PoderesDeCriatura_Adquiridos,Tablas!O1919)</f>
        <v>0</v>
      </c>
      <c r="S1919" s="173"/>
      <c r="T1919" s="898"/>
    </row>
    <row r="1920" spans="2:20" ht="12.75" customHeight="1">
      <c r="B1920" s="7145"/>
      <c r="H1920"/>
      <c r="M1920" s="307"/>
      <c r="N1920" s="21"/>
      <c r="O1920" s="1" t="str">
        <f>IF(Personalización!I44=0,"Poder #7",Personalización!I44)</f>
        <v>Poder #7</v>
      </c>
      <c r="P1920" s="900">
        <f>Personalización!P44</f>
        <v>0</v>
      </c>
      <c r="Q1920" s="173">
        <f>Personalización!Q44</f>
        <v>0</v>
      </c>
      <c r="R1920" s="907">
        <f>COUNTIF(PoderesDeCriatura_Adquiridos,Tablas!O1920)</f>
        <v>0</v>
      </c>
      <c r="S1920" s="173"/>
      <c r="T1920" s="898"/>
    </row>
    <row r="1921" spans="1:25" ht="12.75" customHeight="1">
      <c r="B1921" s="7145"/>
      <c r="H1921"/>
      <c r="M1921" s="307"/>
      <c r="N1921" s="21"/>
      <c r="O1921" s="1" t="str">
        <f>IF(Personalización!I45=0,"Poder #8",Personalización!I45)</f>
        <v>Poder #8</v>
      </c>
      <c r="P1921" s="900">
        <f>Personalización!P45</f>
        <v>0</v>
      </c>
      <c r="Q1921" s="173">
        <f>Personalización!Q45</f>
        <v>0</v>
      </c>
      <c r="R1921" s="907">
        <f>COUNTIF(PoderesDeCriatura_Adquiridos,Tablas!O1921)</f>
        <v>0</v>
      </c>
      <c r="S1921" s="173"/>
      <c r="T1921" s="898"/>
    </row>
    <row r="1922" spans="1:25" ht="12.75" customHeight="1">
      <c r="B1922" s="7145"/>
      <c r="H1922"/>
      <c r="M1922" s="307"/>
      <c r="N1922" s="21"/>
      <c r="O1922" s="1" t="str">
        <f>IF(Personalización!I46=0,"Poder #9",Personalización!I46)</f>
        <v>Poder #9</v>
      </c>
      <c r="P1922" s="900">
        <f>Personalización!P46</f>
        <v>0</v>
      </c>
      <c r="Q1922" s="173">
        <f>Personalización!Q46</f>
        <v>0</v>
      </c>
      <c r="R1922" s="907">
        <f>COUNTIF(PoderesDeCriatura_Adquiridos,Tablas!O1922)</f>
        <v>0</v>
      </c>
      <c r="S1922" s="173"/>
      <c r="T1922" s="898"/>
    </row>
    <row r="1923" spans="1:25" ht="12.75" customHeight="1" thickBot="1">
      <c r="B1923" s="7145"/>
      <c r="H1923"/>
      <c r="M1923" s="610"/>
      <c r="N1923" s="528"/>
      <c r="O1923" s="914" t="str">
        <f>IF(Personalización!I47=0,"Poder #10",Personalización!I47)</f>
        <v>Poder #10</v>
      </c>
      <c r="P1923" s="901">
        <f>Personalización!P47</f>
        <v>0</v>
      </c>
      <c r="Q1923" s="744">
        <f>Personalización!Q47</f>
        <v>0</v>
      </c>
      <c r="R1923" s="908">
        <f>COUNTIF(PoderesDeCriatura_Adquiridos,Tablas!O1923)</f>
        <v>0</v>
      </c>
      <c r="S1923" s="744"/>
      <c r="T1923" s="899"/>
    </row>
    <row r="1924" spans="1:25" ht="12.75" customHeight="1">
      <c r="B1924" s="7145"/>
      <c r="H1924"/>
    </row>
    <row r="1925" spans="1:25" ht="12.75" customHeight="1">
      <c r="A1925" s="219">
        <v>1819</v>
      </c>
      <c r="B1925" s="7145"/>
      <c r="H1925"/>
    </row>
    <row r="1926" spans="1:25" ht="12.75" customHeight="1">
      <c r="A1926" s="219">
        <v>1820</v>
      </c>
      <c r="B1926" s="7145"/>
      <c r="C1926" s="7146" t="s">
        <v>6884</v>
      </c>
      <c r="D1926" s="7146"/>
      <c r="E1926" s="7146"/>
      <c r="F1926" s="7146"/>
      <c r="G1926" s="7146"/>
      <c r="H1926" s="7146"/>
      <c r="I1926" s="7146"/>
      <c r="J1926" s="7146"/>
      <c r="K1926" s="7146"/>
      <c r="L1926" s="7146"/>
      <c r="M1926" s="7146"/>
      <c r="N1926" s="7146"/>
      <c r="O1926" s="7146"/>
      <c r="P1926" s="7146"/>
      <c r="Q1926" s="7146"/>
      <c r="R1926" s="7146"/>
      <c r="S1926" s="7146"/>
      <c r="T1926" s="7146"/>
      <c r="U1926" s="7146"/>
      <c r="V1926" s="7146"/>
      <c r="W1926" s="7146"/>
      <c r="X1926" s="7146"/>
      <c r="Y1926" s="7146"/>
    </row>
    <row r="1927" spans="1:25" ht="12.75" customHeight="1">
      <c r="A1927" s="219">
        <v>1821</v>
      </c>
      <c r="B1927" s="7145"/>
      <c r="C1927" s="7146"/>
      <c r="D1927" s="7146"/>
      <c r="E1927" s="7146"/>
      <c r="F1927" s="7146"/>
      <c r="G1927" s="7146"/>
      <c r="H1927" s="7146"/>
      <c r="I1927" s="7146"/>
      <c r="J1927" s="7146"/>
      <c r="K1927" s="7146"/>
      <c r="L1927" s="7146"/>
      <c r="M1927" s="7146"/>
      <c r="N1927" s="7146"/>
      <c r="O1927" s="7146"/>
      <c r="P1927" s="7146"/>
      <c r="Q1927" s="7146"/>
      <c r="R1927" s="7146"/>
      <c r="S1927" s="7146"/>
      <c r="T1927" s="7146"/>
      <c r="U1927" s="7146"/>
      <c r="V1927" s="7146"/>
      <c r="W1927" s="7146"/>
      <c r="X1927" s="7146"/>
      <c r="Y1927" s="7146"/>
    </row>
    <row r="1928" spans="1:25" ht="12.75" customHeight="1">
      <c r="A1928" s="219">
        <v>1822</v>
      </c>
      <c r="B1928" s="7145"/>
      <c r="C1928" s="7146"/>
      <c r="D1928" s="7146"/>
      <c r="E1928" s="7146"/>
      <c r="F1928" s="7146"/>
      <c r="G1928" s="7146"/>
      <c r="H1928" s="7146"/>
      <c r="I1928" s="7146"/>
      <c r="J1928" s="7146"/>
      <c r="K1928" s="7146"/>
      <c r="L1928" s="7146"/>
      <c r="M1928" s="7146"/>
      <c r="N1928" s="7146"/>
      <c r="O1928" s="7146"/>
      <c r="P1928" s="7146"/>
      <c r="Q1928" s="7146"/>
      <c r="R1928" s="7146"/>
      <c r="S1928" s="7146"/>
      <c r="T1928" s="7146"/>
      <c r="U1928" s="7146"/>
      <c r="V1928" s="7146"/>
      <c r="W1928" s="7146"/>
      <c r="X1928" s="7146"/>
      <c r="Y1928" s="7146"/>
    </row>
    <row r="1929" spans="1:25" ht="12.75" customHeight="1" thickBot="1">
      <c r="A1929" s="219">
        <v>1823</v>
      </c>
      <c r="B1929" s="7145"/>
      <c r="H1929"/>
      <c r="I1929" s="510"/>
      <c r="N1929"/>
      <c r="O1929" s="510"/>
    </row>
    <row r="1930" spans="1:25" ht="12.75" customHeight="1">
      <c r="A1930" s="219">
        <v>1824</v>
      </c>
      <c r="B1930" s="7145"/>
      <c r="C1930" s="8022" t="s">
        <v>5984</v>
      </c>
      <c r="D1930" s="8100"/>
      <c r="E1930" s="8022" t="s">
        <v>1674</v>
      </c>
      <c r="F1930" s="8023"/>
      <c r="G1930" s="8023"/>
      <c r="H1930" s="8023"/>
      <c r="I1930" s="8023"/>
      <c r="J1930" s="8023"/>
      <c r="K1930" s="8023"/>
      <c r="L1930" s="8023"/>
      <c r="M1930" s="8023"/>
      <c r="N1930" s="8023"/>
      <c r="O1930" s="868"/>
      <c r="P1930" s="868"/>
      <c r="Q1930" s="870"/>
      <c r="R1930" s="869"/>
      <c r="T1930" s="7984" t="s">
        <v>6872</v>
      </c>
      <c r="U1930" s="7985"/>
      <c r="V1930" s="7985"/>
      <c r="W1930" s="7985"/>
      <c r="X1930" s="7985"/>
      <c r="Y1930" s="7986"/>
    </row>
    <row r="1931" spans="1:25" ht="12.75" customHeight="1">
      <c r="A1931" s="219">
        <v>1825</v>
      </c>
      <c r="B1931" s="7145"/>
      <c r="C1931" s="8024"/>
      <c r="D1931" s="8101"/>
      <c r="E1931" s="8024"/>
      <c r="F1931" s="8025"/>
      <c r="G1931" s="8025"/>
      <c r="H1931" s="8025"/>
      <c r="I1931" s="8025"/>
      <c r="J1931" s="8025"/>
      <c r="K1931" s="8025"/>
      <c r="L1931" s="8025"/>
      <c r="M1931" s="8025"/>
      <c r="N1931" s="8025"/>
      <c r="O1931" s="8043" t="s">
        <v>6868</v>
      </c>
      <c r="P1931" s="8064">
        <f>COUNTIF(J1934:J2126,"&gt;0")</f>
        <v>0</v>
      </c>
      <c r="Q1931" s="871"/>
      <c r="R1931" s="546"/>
      <c r="T1931" s="7987"/>
      <c r="U1931" s="7988"/>
      <c r="V1931" s="7988"/>
      <c r="W1931" s="7988"/>
      <c r="X1931" s="7988"/>
      <c r="Y1931" s="7989"/>
    </row>
    <row r="1932" spans="1:25" ht="12.75" customHeight="1">
      <c r="A1932" s="219">
        <v>1826</v>
      </c>
      <c r="B1932" s="7145"/>
      <c r="C1932" s="566" t="s">
        <v>5985</v>
      </c>
      <c r="D1932" s="542"/>
      <c r="E1932" s="872"/>
      <c r="F1932" s="867" t="s">
        <v>6869</v>
      </c>
      <c r="G1932" s="545">
        <v>3</v>
      </c>
      <c r="H1932" s="545">
        <v>4</v>
      </c>
      <c r="I1932" s="545">
        <v>5</v>
      </c>
      <c r="J1932" s="545">
        <v>6</v>
      </c>
      <c r="K1932" s="545">
        <v>7</v>
      </c>
      <c r="L1932" s="545">
        <v>8</v>
      </c>
      <c r="M1932" s="545">
        <v>9</v>
      </c>
      <c r="N1932" s="545">
        <v>10</v>
      </c>
      <c r="O1932" s="8043"/>
      <c r="P1932" s="8064"/>
      <c r="Q1932" s="871">
        <v>13</v>
      </c>
      <c r="R1932" s="546">
        <v>14</v>
      </c>
      <c r="T1932" s="8063" t="s">
        <v>6870</v>
      </c>
      <c r="U1932" s="8041"/>
      <c r="V1932" s="8041" t="s">
        <v>6871</v>
      </c>
      <c r="W1932" s="8041"/>
      <c r="X1932" s="8041" t="s">
        <v>1068</v>
      </c>
      <c r="Y1932" s="8042"/>
    </row>
    <row r="1933" spans="1:25" ht="12.75" customHeight="1">
      <c r="A1933" s="219">
        <v>1827</v>
      </c>
      <c r="B1933" s="7145"/>
      <c r="C1933" s="566" t="s">
        <v>5986</v>
      </c>
      <c r="D1933" s="542"/>
      <c r="E1933" s="873" t="s">
        <v>5985</v>
      </c>
      <c r="F1933" s="1253">
        <f>IF(Elan!$C$11=Tablas!$E1933,Elan!$G$11,IF(Elan!$U$11=Tablas!$E1933,Elan!$Y$11,0))</f>
        <v>0</v>
      </c>
      <c r="G1933" s="866" t="s">
        <v>1674</v>
      </c>
      <c r="H1933" s="866" t="s">
        <v>7873</v>
      </c>
      <c r="I1933" s="866" t="s">
        <v>1349</v>
      </c>
      <c r="J1933" s="866" t="s">
        <v>5998</v>
      </c>
      <c r="K1933" s="866" t="s">
        <v>6646</v>
      </c>
      <c r="L1933" s="866" t="s">
        <v>1408</v>
      </c>
      <c r="M1933" s="545"/>
      <c r="N1933" s="545"/>
      <c r="O1933" s="545"/>
      <c r="P1933" s="545"/>
      <c r="Q1933" s="871"/>
      <c r="R1933" s="661" t="s">
        <v>2475</v>
      </c>
      <c r="T1933" s="983" t="s">
        <v>5985</v>
      </c>
      <c r="U1933" s="984">
        <v>2</v>
      </c>
      <c r="V1933" s="984">
        <v>3</v>
      </c>
      <c r="W1933" s="984">
        <v>4</v>
      </c>
      <c r="X1933" s="984">
        <v>5</v>
      </c>
      <c r="Y1933" s="1165">
        <v>6</v>
      </c>
    </row>
    <row r="1934" spans="1:25" ht="12.75" customHeight="1">
      <c r="A1934" s="219">
        <v>1828</v>
      </c>
      <c r="B1934" s="7145"/>
      <c r="C1934" s="566" t="s">
        <v>5987</v>
      </c>
      <c r="D1934" s="542"/>
      <c r="E1934" s="874" t="s">
        <v>5999</v>
      </c>
      <c r="F1934" s="544"/>
      <c r="G1934" s="544">
        <v>10</v>
      </c>
      <c r="H1934" s="544">
        <v>1</v>
      </c>
      <c r="I1934" s="544">
        <v>5</v>
      </c>
      <c r="J1934" s="544">
        <f>COUNTIF(Elan!$C$13:$F$25,Tablas!E1934)+COUNTIF(Elan!$U$13:$X$25,Tablas!E1934)</f>
        <v>0</v>
      </c>
      <c r="K1934" s="544"/>
      <c r="L1934" s="7875" t="s">
        <v>6187</v>
      </c>
      <c r="M1934" s="7875"/>
      <c r="N1934" s="7875"/>
      <c r="O1934" s="7875"/>
      <c r="P1934" s="7875"/>
      <c r="Q1934" s="7876"/>
      <c r="R1934" s="877">
        <f>IF(OR($J1934=0,$J1934="Aprendida"),0,SUM($J$1934:$J1934))</f>
        <v>0</v>
      </c>
      <c r="T1934" s="985" t="s">
        <v>6188</v>
      </c>
      <c r="U1934" s="986">
        <v>1</v>
      </c>
      <c r="V1934" s="987" t="s">
        <v>6189</v>
      </c>
      <c r="W1934" s="986">
        <v>1</v>
      </c>
      <c r="X1934" s="986" t="s">
        <v>6190</v>
      </c>
      <c r="Y1934" s="1166">
        <v>-5</v>
      </c>
    </row>
    <row r="1935" spans="1:25" ht="12.75" customHeight="1">
      <c r="A1935" s="219">
        <v>1829</v>
      </c>
      <c r="B1935" s="7145"/>
      <c r="C1935" s="566" t="s">
        <v>5988</v>
      </c>
      <c r="D1935" s="542"/>
      <c r="E1935" s="874" t="s">
        <v>6000</v>
      </c>
      <c r="F1935" s="544"/>
      <c r="G1935" s="544">
        <v>20</v>
      </c>
      <c r="H1935" s="544">
        <v>1</v>
      </c>
      <c r="I1935" s="544">
        <v>10</v>
      </c>
      <c r="J1935" s="544">
        <f>COUNTIF(Elan!$C$13:$F$25,Tablas!E1935)+COUNTIF(Elan!$U$13:$X$25,Tablas!E1935)</f>
        <v>0</v>
      </c>
      <c r="K1935" s="544"/>
      <c r="L1935" s="7875" t="str">
        <f>"Permite extripar cualquier enfermedad de nivel igual o inferior a "&amp;F1933&amp;"."</f>
        <v>Permite extripar cualquier enfermedad de nivel igual o inferior a 0.</v>
      </c>
      <c r="M1935" s="7875"/>
      <c r="N1935" s="7875"/>
      <c r="O1935" s="7875"/>
      <c r="P1935" s="7875"/>
      <c r="Q1935" s="7876"/>
      <c r="R1935" s="877">
        <f>IF(OR($J1935=0,$J1935="Aprendida"),0,SUM($J$1934:$J1935))</f>
        <v>0</v>
      </c>
      <c r="T1935" s="985" t="s">
        <v>6191</v>
      </c>
      <c r="U1935" s="986">
        <v>5</v>
      </c>
      <c r="V1935" s="987" t="s">
        <v>6192</v>
      </c>
      <c r="W1935" s="986">
        <v>3</v>
      </c>
      <c r="X1935" s="986" t="s">
        <v>6193</v>
      </c>
      <c r="Y1935" s="1166">
        <v>-3</v>
      </c>
    </row>
    <row r="1936" spans="1:25" ht="12.75" customHeight="1">
      <c r="A1936" s="219">
        <v>1830</v>
      </c>
      <c r="B1936" s="7145"/>
      <c r="C1936" s="566" t="s">
        <v>5896</v>
      </c>
      <c r="D1936" s="542"/>
      <c r="E1936" s="874" t="s">
        <v>6001</v>
      </c>
      <c r="F1936" s="544"/>
      <c r="G1936" s="544">
        <v>30</v>
      </c>
      <c r="H1936" s="544">
        <v>1</v>
      </c>
      <c r="I1936" s="544">
        <v>5</v>
      </c>
      <c r="J1936" s="544">
        <f>COUNTIF(Elan!$C$13:$F$25,Tablas!E1936)+COUNTIF(Elan!$U$13:$X$25,Tablas!E1936)</f>
        <v>0</v>
      </c>
      <c r="K1936" s="544"/>
      <c r="L1936" s="7875" t="s">
        <v>6194</v>
      </c>
      <c r="M1936" s="7875"/>
      <c r="N1936" s="7875"/>
      <c r="O1936" s="7875"/>
      <c r="P1936" s="7875"/>
      <c r="Q1936" s="7876"/>
      <c r="R1936" s="877">
        <f>IF(OR($J1936=0,$J1936="Aprendida"),0,SUM($J$1934:$J1936))</f>
        <v>0</v>
      </c>
      <c r="T1936" s="985" t="s">
        <v>6195</v>
      </c>
      <c r="U1936" s="986">
        <v>3</v>
      </c>
      <c r="V1936" s="987" t="s">
        <v>6196</v>
      </c>
      <c r="W1936" s="986">
        <v>1</v>
      </c>
      <c r="X1936" s="986" t="s">
        <v>6197</v>
      </c>
      <c r="Y1936" s="1166">
        <v>-10</v>
      </c>
    </row>
    <row r="1937" spans="1:25" ht="12.75" customHeight="1">
      <c r="A1937" s="219">
        <v>1831</v>
      </c>
      <c r="B1937" s="7145"/>
      <c r="C1937" s="566" t="s">
        <v>5989</v>
      </c>
      <c r="D1937" s="542"/>
      <c r="E1937" s="874" t="s">
        <v>6002</v>
      </c>
      <c r="F1937" s="544"/>
      <c r="G1937" s="544">
        <v>40</v>
      </c>
      <c r="H1937" s="544">
        <v>1</v>
      </c>
      <c r="I1937" s="544">
        <v>20</v>
      </c>
      <c r="J1937" s="544">
        <f>COUNTIF(Elan!$C$13:$F$25,Tablas!E1937)+COUNTIF(Elan!$U$13:$X$25,Tablas!E1937)</f>
        <v>0</v>
      </c>
      <c r="K1937" s="544">
        <f>FLOOR($F$1933/2*J1937,1)</f>
        <v>0</v>
      </c>
      <c r="L1937" s="7875" t="str">
        <f>"Otorga un bonificador especial a todas las resistencias de "&amp;K1937&amp;"."</f>
        <v>Otorga un bonificador especial a todas las resistencias de 0.</v>
      </c>
      <c r="M1937" s="7875"/>
      <c r="N1937" s="7875"/>
      <c r="O1937" s="7875"/>
      <c r="P1937" s="7875"/>
      <c r="Q1937" s="7876"/>
      <c r="R1937" s="877">
        <f>IF(OR($J1937=0,$J1937="Aprendida"),0,SUM($J$1934:$J1937))</f>
        <v>0</v>
      </c>
      <c r="T1937" s="985" t="s">
        <v>6198</v>
      </c>
      <c r="U1937" s="986">
        <v>3</v>
      </c>
      <c r="V1937" s="987" t="s">
        <v>6199</v>
      </c>
      <c r="W1937" s="986">
        <v>1</v>
      </c>
      <c r="X1937" s="986"/>
      <c r="Y1937" s="1166"/>
    </row>
    <row r="1938" spans="1:25" ht="12.75" customHeight="1">
      <c r="A1938" s="219">
        <v>1832</v>
      </c>
      <c r="B1938" s="7145"/>
      <c r="C1938" s="566" t="s">
        <v>5990</v>
      </c>
      <c r="D1938" s="542"/>
      <c r="E1938" s="874" t="s">
        <v>6003</v>
      </c>
      <c r="F1938" s="544"/>
      <c r="G1938" s="544">
        <v>50</v>
      </c>
      <c r="H1938" s="544">
        <v>1</v>
      </c>
      <c r="I1938" s="544">
        <v>15</v>
      </c>
      <c r="J1938" s="544">
        <f>COUNTIF(Elan!$C$13:$F$25,Tablas!E1938)+COUNTIF(Elan!$U$13:$X$25,Tablas!E1938)</f>
        <v>0</v>
      </c>
      <c r="K1938" s="544"/>
      <c r="L1938" s="7875" t="str">
        <f>"Permite desconvocar a un ser sobrenatural maligno si no supera un control de RM de "&amp;F1933*2&amp;"."</f>
        <v>Permite desconvocar a un ser sobrenatural maligno si no supera un control de RM de 0.</v>
      </c>
      <c r="M1938" s="7875"/>
      <c r="N1938" s="7875"/>
      <c r="O1938" s="7875"/>
      <c r="P1938" s="7875"/>
      <c r="Q1938" s="7876"/>
      <c r="R1938" s="877">
        <f>IF(OR($J1938=0,$J1938="Aprendida"),0,SUM($J$1934:$J1938))</f>
        <v>0</v>
      </c>
      <c r="T1938" s="985" t="s">
        <v>6200</v>
      </c>
      <c r="U1938" s="986">
        <v>1</v>
      </c>
      <c r="V1938" s="987"/>
      <c r="W1938" s="986"/>
      <c r="X1938" s="986"/>
      <c r="Y1938" s="1166"/>
    </row>
    <row r="1939" spans="1:25" ht="12.75" customHeight="1">
      <c r="A1939" s="219">
        <v>1833</v>
      </c>
      <c r="B1939" s="7145"/>
      <c r="C1939" s="566" t="s">
        <v>5991</v>
      </c>
      <c r="D1939" s="542"/>
      <c r="E1939" s="874" t="s">
        <v>2558</v>
      </c>
      <c r="F1939" s="544"/>
      <c r="G1939" s="544">
        <v>50</v>
      </c>
      <c r="H1939" s="544">
        <f>IF(J1937=1,1,0)</f>
        <v>0</v>
      </c>
      <c r="I1939" s="544">
        <v>10</v>
      </c>
      <c r="J1939" s="544">
        <f>COUNTIF(Elan!$C$13:$F$25,Tablas!E1939)+COUNTIF(Elan!$U$13:$X$25,Tablas!E1939)</f>
        <v>0</v>
      </c>
      <c r="K1939" s="544"/>
      <c r="L1939" s="7875" t="str">
        <f>"Extiende el bono a las resistencias de Resistencia Celestial en un radio de "&amp;F1933/2&amp;" metros."</f>
        <v>Extiende el bono a las resistencias de Resistencia Celestial en un radio de 0 metros.</v>
      </c>
      <c r="M1939" s="7875"/>
      <c r="N1939" s="7875"/>
      <c r="O1939" s="7875"/>
      <c r="P1939" s="7875"/>
      <c r="Q1939" s="7876"/>
      <c r="R1939" s="877">
        <f>IF(OR($J1939=0,$J1939="Aprendida"),0,SUM($J$1934:$J1939))</f>
        <v>0</v>
      </c>
      <c r="T1939" s="985" t="s">
        <v>6192</v>
      </c>
      <c r="U1939" s="986">
        <v>5</v>
      </c>
      <c r="V1939" s="987"/>
      <c r="W1939" s="986"/>
      <c r="X1939" s="986"/>
      <c r="Y1939" s="1166"/>
    </row>
    <row r="1940" spans="1:25" ht="12.75" customHeight="1">
      <c r="A1940" s="219">
        <v>1834</v>
      </c>
      <c r="B1940" s="7145"/>
      <c r="C1940" s="566" t="s">
        <v>5992</v>
      </c>
      <c r="D1940" s="542"/>
      <c r="E1940" s="874" t="s">
        <v>6004</v>
      </c>
      <c r="F1940" s="544"/>
      <c r="G1940" s="544">
        <v>60</v>
      </c>
      <c r="H1940" s="544">
        <v>1</v>
      </c>
      <c r="I1940" s="544">
        <v>10</v>
      </c>
      <c r="J1940" s="544">
        <f>COUNTIF(Elan!$C$13:$F$25,Tablas!E1940)+COUNTIF(Elan!$U$13:$X$25,Tablas!E1940)</f>
        <v>0</v>
      </c>
      <c r="K1940" s="544"/>
      <c r="L1940" s="7875" t="s">
        <v>6201</v>
      </c>
      <c r="M1940" s="7875"/>
      <c r="N1940" s="7875"/>
      <c r="O1940" s="7875"/>
      <c r="P1940" s="7875"/>
      <c r="Q1940" s="7876"/>
      <c r="R1940" s="877">
        <f>IF(OR($J1940=0,$J1940="Aprendida"),0,SUM($J$1934:$J1940))</f>
        <v>0</v>
      </c>
      <c r="T1940" s="988"/>
      <c r="U1940" s="989"/>
      <c r="V1940" s="989"/>
      <c r="W1940" s="989"/>
      <c r="X1940" s="989"/>
      <c r="Y1940" s="1167"/>
    </row>
    <row r="1941" spans="1:25" ht="12.75" customHeight="1">
      <c r="A1941" s="219">
        <v>1835</v>
      </c>
      <c r="B1941" s="7145"/>
      <c r="C1941" s="566" t="s">
        <v>5993</v>
      </c>
      <c r="D1941" s="542"/>
      <c r="E1941" s="874" t="s">
        <v>6005</v>
      </c>
      <c r="F1941" s="544"/>
      <c r="G1941" s="544">
        <v>70</v>
      </c>
      <c r="H1941" s="544">
        <v>1</v>
      </c>
      <c r="I1941" s="544">
        <v>10</v>
      </c>
      <c r="J1941" s="544">
        <f>COUNTIF(Elan!$C$13:$F$25,Tablas!E1941)+COUNTIF(Elan!$U$13:$X$25,Tablas!E1941)</f>
        <v>0</v>
      </c>
      <c r="K1941" s="544"/>
      <c r="L1941" s="7875" t="s">
        <v>6202</v>
      </c>
      <c r="M1941" s="7875"/>
      <c r="N1941" s="7875"/>
      <c r="O1941" s="7875"/>
      <c r="P1941" s="7875"/>
      <c r="Q1941" s="7876"/>
      <c r="R1941" s="877">
        <f>IF(OR($J1941=0,$J1941="Aprendida"),0,SUM($J$1934:$J1941))</f>
        <v>0</v>
      </c>
      <c r="T1941" s="983" t="str">
        <f>E1946</f>
        <v>Zemial</v>
      </c>
      <c r="U1941" s="984"/>
      <c r="V1941" s="990"/>
      <c r="W1941" s="984"/>
      <c r="X1941" s="984"/>
      <c r="Y1941" s="1165"/>
    </row>
    <row r="1942" spans="1:25" ht="12.75" customHeight="1">
      <c r="A1942" s="219">
        <v>1836</v>
      </c>
      <c r="B1942" s="7145"/>
      <c r="C1942" s="566" t="s">
        <v>5994</v>
      </c>
      <c r="D1942" s="542"/>
      <c r="E1942" s="874" t="s">
        <v>6006</v>
      </c>
      <c r="F1942" s="544"/>
      <c r="G1942" s="544">
        <v>70</v>
      </c>
      <c r="H1942" s="544">
        <v>1</v>
      </c>
      <c r="I1942" s="544">
        <v>10</v>
      </c>
      <c r="J1942" s="544">
        <f>COUNTIF(Elan!$C$13:$F$25,Tablas!E1942)+COUNTIF(Elan!$U$13:$X$25,Tablas!E1942)</f>
        <v>0</v>
      </c>
      <c r="K1942" s="544"/>
      <c r="L1942" s="7875" t="s">
        <v>9886</v>
      </c>
      <c r="M1942" s="7875"/>
      <c r="N1942" s="7875"/>
      <c r="O1942" s="7875"/>
      <c r="P1942" s="7875"/>
      <c r="Q1942" s="7876"/>
      <c r="R1942" s="877">
        <f>IF(OR($J1942=0,$J1942="Aprendida"),0,SUM($J$1934:$J1942))</f>
        <v>0</v>
      </c>
      <c r="T1942" s="985" t="s">
        <v>6206</v>
      </c>
      <c r="U1942" s="986">
        <v>1</v>
      </c>
      <c r="V1942" s="987" t="s">
        <v>6207</v>
      </c>
      <c r="W1942" s="986">
        <v>5</v>
      </c>
      <c r="X1942" s="986" t="s">
        <v>6208</v>
      </c>
      <c r="Y1942" s="1166">
        <v>-3</v>
      </c>
    </row>
    <row r="1943" spans="1:25" ht="12.75" customHeight="1">
      <c r="A1943" s="219">
        <v>1837</v>
      </c>
      <c r="B1943" s="7145"/>
      <c r="C1943" s="566" t="s">
        <v>5995</v>
      </c>
      <c r="D1943" s="542"/>
      <c r="E1943" s="874" t="s">
        <v>6007</v>
      </c>
      <c r="F1943" s="544"/>
      <c r="G1943" s="544">
        <v>80</v>
      </c>
      <c r="H1943" s="544">
        <v>1</v>
      </c>
      <c r="I1943" s="544">
        <v>15</v>
      </c>
      <c r="J1943" s="544">
        <f>COUNTIF(Elan!$C$13:$F$25,Tablas!E1943)+COUNTIF(Elan!$U$13:$X$25,Tablas!E1943)</f>
        <v>0</v>
      </c>
      <c r="K1943" s="544"/>
      <c r="L1943" s="7875" t="s">
        <v>9887</v>
      </c>
      <c r="M1943" s="7875"/>
      <c r="N1943" s="7875"/>
      <c r="O1943" s="7875"/>
      <c r="P1943" s="7875"/>
      <c r="Q1943" s="7876"/>
      <c r="R1943" s="877">
        <f>IF(OR($J1943=0,$J1943="Aprendida"),0,SUM($J$1934:$J1943))</f>
        <v>0</v>
      </c>
      <c r="T1943" s="985" t="s">
        <v>6426</v>
      </c>
      <c r="U1943" s="986">
        <v>5</v>
      </c>
      <c r="V1943" s="987" t="s">
        <v>6210</v>
      </c>
      <c r="W1943" s="986">
        <v>2</v>
      </c>
      <c r="X1943" s="986" t="s">
        <v>6211</v>
      </c>
      <c r="Y1943" s="1166">
        <v>-5</v>
      </c>
    </row>
    <row r="1944" spans="1:25" ht="12.75" customHeight="1">
      <c r="A1944" s="219">
        <v>1838</v>
      </c>
      <c r="B1944" s="7145"/>
      <c r="C1944" s="566" t="s">
        <v>5996</v>
      </c>
      <c r="D1944" s="542"/>
      <c r="E1944" s="874" t="s">
        <v>6008</v>
      </c>
      <c r="F1944" s="544"/>
      <c r="G1944" s="544">
        <v>90</v>
      </c>
      <c r="H1944" s="544">
        <v>1</v>
      </c>
      <c r="I1944" s="544">
        <v>20</v>
      </c>
      <c r="J1944" s="544">
        <f>COUNTIF(Elan!$C$13:$F$25,Tablas!E1944)+COUNTIF(Elan!$U$13:$X$25,Tablas!E1944)</f>
        <v>0</v>
      </c>
      <c r="K1944" s="544"/>
      <c r="L1944" s="7875" t="s">
        <v>6203</v>
      </c>
      <c r="M1944" s="7875"/>
      <c r="N1944" s="7875"/>
      <c r="O1944" s="7875"/>
      <c r="P1944" s="7875"/>
      <c r="Q1944" s="7876"/>
      <c r="R1944" s="877">
        <f>IF(OR($J1944=0,$J1944="Aprendida"),0,SUM($J$1934:$J1944))</f>
        <v>0</v>
      </c>
      <c r="T1944" s="985" t="s">
        <v>6424</v>
      </c>
      <c r="U1944" s="986">
        <v>2</v>
      </c>
      <c r="V1944" s="987" t="s">
        <v>6212</v>
      </c>
      <c r="W1944" s="986">
        <v>3</v>
      </c>
      <c r="X1944" s="986" t="s">
        <v>6213</v>
      </c>
      <c r="Y1944" s="1166">
        <v>-2</v>
      </c>
    </row>
    <row r="1945" spans="1:25" ht="12.75" customHeight="1" thickBot="1">
      <c r="A1945" s="219">
        <v>1839</v>
      </c>
      <c r="B1945" s="7145"/>
      <c r="C1945" s="567" t="s">
        <v>5997</v>
      </c>
      <c r="D1945" s="543"/>
      <c r="E1945" s="874" t="s">
        <v>6009</v>
      </c>
      <c r="F1945" s="544"/>
      <c r="G1945" s="544">
        <v>100</v>
      </c>
      <c r="H1945" s="544">
        <v>1</v>
      </c>
      <c r="I1945" s="544">
        <v>10</v>
      </c>
      <c r="J1945" s="544">
        <f>COUNTIF(Elan!$C$13:$F$25,Tablas!E1945)+COUNTIF(Elan!$U$13:$X$25,Tablas!E1945)</f>
        <v>0</v>
      </c>
      <c r="K1945" s="544"/>
      <c r="L1945" s="7875" t="s">
        <v>6204</v>
      </c>
      <c r="M1945" s="7875"/>
      <c r="N1945" s="7875"/>
      <c r="O1945" s="7875"/>
      <c r="P1945" s="7875"/>
      <c r="Q1945" s="7876"/>
      <c r="R1945" s="877">
        <f>IF(OR($J1945=0,$J1945="Aprendida"),0,SUM($J$1934:$J1945))</f>
        <v>0</v>
      </c>
      <c r="T1945" s="985" t="s">
        <v>6425</v>
      </c>
      <c r="U1945" s="986">
        <v>5</v>
      </c>
      <c r="V1945" s="987" t="s">
        <v>6215</v>
      </c>
      <c r="W1945" s="986">
        <v>1</v>
      </c>
      <c r="X1945" s="986"/>
      <c r="Y1945" s="1166"/>
    </row>
    <row r="1946" spans="1:25" ht="12.75" customHeight="1" thickBot="1">
      <c r="A1946" s="219">
        <v>1840</v>
      </c>
      <c r="B1946" s="7145"/>
      <c r="C1946" s="567" t="str">
        <f>$E$2116</f>
        <v>Elan Personalizado</v>
      </c>
      <c r="D1946" s="543"/>
      <c r="E1946" s="873" t="s">
        <v>5986</v>
      </c>
      <c r="F1946" s="1253">
        <f>IF(Elan!$C$11=Tablas!$E1946,Elan!$G$11,IF(Elan!$U$11=Tablas!$E1946,Elan!$Y$11,0))</f>
        <v>0</v>
      </c>
      <c r="G1946" s="866" t="s">
        <v>1674</v>
      </c>
      <c r="H1946" s="866" t="s">
        <v>7873</v>
      </c>
      <c r="I1946" s="866" t="s">
        <v>1349</v>
      </c>
      <c r="J1946" s="866" t="s">
        <v>5998</v>
      </c>
      <c r="K1946" s="866" t="s">
        <v>6646</v>
      </c>
      <c r="L1946" s="866" t="s">
        <v>1408</v>
      </c>
      <c r="M1946" s="545"/>
      <c r="N1946" s="545"/>
      <c r="O1946" s="545"/>
      <c r="P1946" s="545"/>
      <c r="Q1946" s="871"/>
      <c r="R1946" s="877">
        <f>IF(OR($J1946=0,$J1946="Aprendida"),0,SUM($J$1934:$J1946))</f>
        <v>0</v>
      </c>
      <c r="T1946" s="985" t="s">
        <v>6216</v>
      </c>
      <c r="U1946" s="986">
        <v>1</v>
      </c>
      <c r="V1946" s="987"/>
      <c r="W1946" s="986"/>
      <c r="X1946" s="986"/>
      <c r="Y1946" s="1166"/>
    </row>
    <row r="1947" spans="1:25" ht="12.75" customHeight="1">
      <c r="A1947" s="219">
        <v>1841</v>
      </c>
      <c r="B1947" s="7145"/>
      <c r="E1947" s="874" t="s">
        <v>6010</v>
      </c>
      <c r="F1947" s="544"/>
      <c r="G1947" s="544">
        <v>10</v>
      </c>
      <c r="H1947" s="544">
        <v>1</v>
      </c>
      <c r="I1947" s="544">
        <v>5</v>
      </c>
      <c r="J1947" s="544">
        <f>COUNTIF(Elan!$C$13:$F$25,Tablas!E1947)+COUNTIF(Elan!$U$13:$X$25,Tablas!E1947)</f>
        <v>0</v>
      </c>
      <c r="K1947" s="544"/>
      <c r="L1947" s="7875" t="s">
        <v>6205</v>
      </c>
      <c r="M1947" s="7875"/>
      <c r="N1947" s="7875"/>
      <c r="O1947" s="7875"/>
      <c r="P1947" s="7875"/>
      <c r="Q1947" s="7876"/>
      <c r="R1947" s="877">
        <f>IF(OR($J1947=0,$J1947="Aprendida"),0,SUM($J$1934:$J1947))</f>
        <v>0</v>
      </c>
      <c r="T1947" s="985" t="s">
        <v>6217</v>
      </c>
      <c r="U1947" s="986">
        <v>2</v>
      </c>
      <c r="V1947" s="987"/>
      <c r="W1947" s="986"/>
      <c r="X1947" s="986"/>
      <c r="Y1947" s="1166"/>
    </row>
    <row r="1948" spans="1:25" ht="12.75" customHeight="1">
      <c r="A1948" s="219">
        <v>1842</v>
      </c>
      <c r="B1948" s="7145"/>
      <c r="E1948" s="874" t="s">
        <v>6011</v>
      </c>
      <c r="F1948" s="544"/>
      <c r="G1948" s="544">
        <v>20</v>
      </c>
      <c r="H1948" s="544">
        <v>1</v>
      </c>
      <c r="I1948" s="544">
        <v>5</v>
      </c>
      <c r="J1948" s="544">
        <f>COUNTIF(Elan!$C$13:$F$25,Tablas!E1948)+COUNTIF(Elan!$U$13:$X$25,Tablas!E1948)</f>
        <v>0</v>
      </c>
      <c r="K1948" s="544"/>
      <c r="L1948" s="7875" t="s">
        <v>6209</v>
      </c>
      <c r="M1948" s="7875"/>
      <c r="N1948" s="7875"/>
      <c r="O1948" s="7875"/>
      <c r="P1948" s="7875"/>
      <c r="Q1948" s="7876"/>
      <c r="R1948" s="877">
        <f>IF(OR($J1948=0,$J1948="Aprendida"),0,SUM($J$1934:$J1948))</f>
        <v>0</v>
      </c>
      <c r="T1948" s="988"/>
      <c r="U1948" s="989"/>
      <c r="V1948" s="989"/>
      <c r="W1948" s="989"/>
      <c r="X1948" s="989"/>
      <c r="Y1948" s="1167"/>
    </row>
    <row r="1949" spans="1:25" ht="12.75" customHeight="1">
      <c r="A1949" s="219">
        <v>1843</v>
      </c>
      <c r="B1949" s="7145"/>
      <c r="E1949" s="874" t="s">
        <v>1491</v>
      </c>
      <c r="F1949" s="544"/>
      <c r="G1949" s="544">
        <v>30</v>
      </c>
      <c r="H1949" s="544">
        <v>1</v>
      </c>
      <c r="I1949" s="544">
        <v>10</v>
      </c>
      <c r="J1949" s="544">
        <f>COUNTIF(Elan!$C$13:$F$25,Tablas!E1949)+COUNTIF(Elan!$U$13:$X$25,Tablas!E1949)</f>
        <v>0</v>
      </c>
      <c r="K1949" s="544">
        <f>FLOOR($F$1946/2,5)*J1949</f>
        <v>0</v>
      </c>
      <c r="L1949" s="7875" t="str">
        <f>"Incrementa el daño base de sus ataques en "&amp;K1949&amp;"."</f>
        <v>Incrementa el daño base de sus ataques en 0.</v>
      </c>
      <c r="M1949" s="7875"/>
      <c r="N1949" s="7875"/>
      <c r="O1949" s="7875"/>
      <c r="P1949" s="7875"/>
      <c r="Q1949" s="7876"/>
      <c r="R1949" s="877">
        <f>IF(OR($J1949=0,$J1949="Aprendida"),0,SUM($J$1934:$J1949))</f>
        <v>0</v>
      </c>
      <c r="T1949" s="983" t="str">
        <f>E1959</f>
        <v>Uriel</v>
      </c>
      <c r="U1949" s="984"/>
      <c r="V1949" s="990"/>
      <c r="W1949" s="984"/>
      <c r="X1949" s="984"/>
      <c r="Y1949" s="1165"/>
    </row>
    <row r="1950" spans="1:25" ht="12.75" customHeight="1">
      <c r="A1950" s="219">
        <v>1844</v>
      </c>
      <c r="B1950" s="7145"/>
      <c r="E1950" s="874" t="s">
        <v>6012</v>
      </c>
      <c r="F1950" s="544"/>
      <c r="G1950" s="544">
        <v>40</v>
      </c>
      <c r="H1950" s="544">
        <f>IF(J1947,1,0)</f>
        <v>0</v>
      </c>
      <c r="I1950" s="544">
        <v>10</v>
      </c>
      <c r="J1950" s="544">
        <f>COUNTIF(Elan!$C$13:$F$25,Tablas!E1950)+COUNTIF(Elan!$U$13:$X$25,Tablas!E1950)</f>
        <v>0</v>
      </c>
      <c r="K1950" s="544"/>
      <c r="L1950" s="7875" t="s">
        <v>6214</v>
      </c>
      <c r="M1950" s="7875"/>
      <c r="N1950" s="7875"/>
      <c r="O1950" s="7875"/>
      <c r="P1950" s="7875"/>
      <c r="Q1950" s="7876"/>
      <c r="R1950" s="877">
        <f>IF(OR($J1950=0,$J1950="Aprendida"),0,SUM($J$1934:$J1950))</f>
        <v>0</v>
      </c>
      <c r="T1950" s="985" t="s">
        <v>6222</v>
      </c>
      <c r="U1950" s="986">
        <v>2</v>
      </c>
      <c r="V1950" s="987" t="s">
        <v>6223</v>
      </c>
      <c r="W1950" s="986">
        <v>3</v>
      </c>
      <c r="X1950" s="986" t="s">
        <v>6224</v>
      </c>
      <c r="Y1950" s="1166">
        <v>-1</v>
      </c>
    </row>
    <row r="1951" spans="1:25" ht="12.75" customHeight="1">
      <c r="A1951" s="219">
        <v>1845</v>
      </c>
      <c r="B1951" s="7145"/>
      <c r="E1951" s="874" t="s">
        <v>6013</v>
      </c>
      <c r="F1951" s="544"/>
      <c r="G1951" s="544">
        <v>50</v>
      </c>
      <c r="H1951" s="544">
        <v>1</v>
      </c>
      <c r="I1951" s="544">
        <v>15</v>
      </c>
      <c r="J1951" s="544">
        <f>COUNTIF(Elan!$C$13:$F$25,Tablas!E1951)+COUNTIF(Elan!$U$13:$X$25,Tablas!E1951)</f>
        <v>0</v>
      </c>
      <c r="K1951" s="544"/>
      <c r="L1951" s="7875" t="str">
        <f>"Desintegra cualquier objeto que toque cuya presencia sea inferior a "&amp;FLOOR(F1946/2,1)+10&amp;"."</f>
        <v>Desintegra cualquier objeto que toque cuya presencia sea inferior a 10.</v>
      </c>
      <c r="M1951" s="7875"/>
      <c r="N1951" s="7875"/>
      <c r="O1951" s="7875"/>
      <c r="P1951" s="7875"/>
      <c r="Q1951" s="7876"/>
      <c r="R1951" s="877">
        <f>IF(OR($J1951=0,$J1951="Aprendida"),0,SUM($J$1934:$J1951))</f>
        <v>0</v>
      </c>
      <c r="T1951" s="985" t="s">
        <v>6226</v>
      </c>
      <c r="U1951" s="986">
        <v>5</v>
      </c>
      <c r="V1951" s="987" t="s">
        <v>6227</v>
      </c>
      <c r="W1951" s="986">
        <v>2</v>
      </c>
      <c r="X1951" s="986" t="s">
        <v>6228</v>
      </c>
      <c r="Y1951" s="1166">
        <v>-2</v>
      </c>
    </row>
    <row r="1952" spans="1:25" ht="12.75" customHeight="1">
      <c r="A1952" s="219">
        <v>1846</v>
      </c>
      <c r="B1952" s="7145"/>
      <c r="E1952" s="874" t="s">
        <v>6014</v>
      </c>
      <c r="F1952" s="544"/>
      <c r="G1952" s="544">
        <v>50</v>
      </c>
      <c r="H1952" s="544">
        <v>1</v>
      </c>
      <c r="I1952" s="544">
        <v>10</v>
      </c>
      <c r="J1952" s="544">
        <f>COUNTIF(Elan!$C$13:$F$25,Tablas!E1952)+COUNTIF(Elan!$U$13:$X$25,Tablas!E1952)</f>
        <v>0</v>
      </c>
      <c r="K1952" s="544"/>
      <c r="L1952" s="7875" t="str">
        <f>"A quien toque debe superar un control de RM o RF contra "&amp;F1946+80&amp;", o sufrir una pérdida de puntos de vida equivalente a su nivel de fracaso."</f>
        <v>A quien toque debe superar un control de RM o RF contra 80, o sufrir una pérdida de puntos de vida equivalente a su nivel de fracaso.</v>
      </c>
      <c r="M1952" s="7875"/>
      <c r="N1952" s="7875"/>
      <c r="O1952" s="7875"/>
      <c r="P1952" s="7875"/>
      <c r="Q1952" s="7876"/>
      <c r="R1952" s="877">
        <f>IF(OR($J1952=0,$J1952="Aprendida"),0,SUM($J$1934:$J1952))</f>
        <v>0</v>
      </c>
      <c r="T1952" s="985" t="s">
        <v>6229</v>
      </c>
      <c r="U1952" s="986">
        <v>2</v>
      </c>
      <c r="V1952" s="987" t="s">
        <v>6230</v>
      </c>
      <c r="W1952" s="986">
        <v>1</v>
      </c>
      <c r="X1952" s="986" t="s">
        <v>6231</v>
      </c>
      <c r="Y1952" s="1166">
        <v>-1</v>
      </c>
    </row>
    <row r="1953" spans="1:25" ht="12.75" customHeight="1">
      <c r="A1953" s="219">
        <v>1847</v>
      </c>
      <c r="B1953" s="7145"/>
      <c r="E1953" s="874" t="s">
        <v>6015</v>
      </c>
      <c r="F1953" s="544"/>
      <c r="G1953" s="544">
        <v>60</v>
      </c>
      <c r="H1953" s="544">
        <v>1</v>
      </c>
      <c r="I1953" s="544">
        <v>10</v>
      </c>
      <c r="J1953" s="544">
        <f>COUNTIF(Elan!$C$13:$F$25,Tablas!E1953)+COUNTIF(Elan!$U$13:$X$25,Tablas!E1953)</f>
        <v>0</v>
      </c>
      <c r="K1953" s="544"/>
      <c r="L1953" s="7875" t="s">
        <v>9888</v>
      </c>
      <c r="M1953" s="7875"/>
      <c r="N1953" s="7875"/>
      <c r="O1953" s="7875"/>
      <c r="P1953" s="7875"/>
      <c r="Q1953" s="7876"/>
      <c r="R1953" s="877">
        <f>IF(OR($J1953=0,$J1953="Aprendida"),0,SUM($J$1934:$J1953))</f>
        <v>0</v>
      </c>
      <c r="T1953" s="985" t="s">
        <v>6232</v>
      </c>
      <c r="U1953" s="986">
        <v>2</v>
      </c>
      <c r="V1953" s="987"/>
      <c r="W1953" s="986"/>
      <c r="X1953" s="986" t="s">
        <v>6233</v>
      </c>
      <c r="Y1953" s="1166">
        <v>-2</v>
      </c>
    </row>
    <row r="1954" spans="1:25" ht="12.75" customHeight="1">
      <c r="A1954" s="219">
        <v>1848</v>
      </c>
      <c r="B1954" s="7145"/>
      <c r="E1954" s="874" t="s">
        <v>6016</v>
      </c>
      <c r="F1954" s="544"/>
      <c r="G1954" s="544">
        <v>60</v>
      </c>
      <c r="H1954" s="544">
        <f>IF(J1952,1,0)</f>
        <v>0</v>
      </c>
      <c r="I1954" s="544">
        <v>10</v>
      </c>
      <c r="J1954" s="544">
        <f>COUNTIF(Elan!$C$13:$F$25,Tablas!E1954)+COUNTIF(Elan!$U$13:$X$25,Tablas!E1954)</f>
        <v>0</v>
      </c>
      <c r="K1954" s="544"/>
      <c r="L1954" s="7875" t="str">
        <f>"A quien mire debe superar un control de RM o RF contra "&amp;F1946+60&amp;", o sufrir una pérdida de puntos de vida equivalente a su nivel de fracaso."</f>
        <v>A quien mire debe superar un control de RM o RF contra 60, o sufrir una pérdida de puntos de vida equivalente a su nivel de fracaso.</v>
      </c>
      <c r="M1954" s="7875"/>
      <c r="N1954" s="7875"/>
      <c r="O1954" s="7875"/>
      <c r="P1954" s="7875"/>
      <c r="Q1954" s="7876"/>
      <c r="R1954" s="877">
        <f>IF(OR($J1954=0,$J1954="Aprendida"),0,SUM($J$1934:$J1954))</f>
        <v>0</v>
      </c>
      <c r="T1954" s="985" t="s">
        <v>6235</v>
      </c>
      <c r="U1954" s="986">
        <v>1</v>
      </c>
      <c r="V1954" s="987"/>
      <c r="W1954" s="986"/>
      <c r="X1954" s="986" t="s">
        <v>6236</v>
      </c>
      <c r="Y1954" s="1166">
        <v>-10</v>
      </c>
    </row>
    <row r="1955" spans="1:25" ht="12.75" customHeight="1">
      <c r="A1955" s="219">
        <v>1849</v>
      </c>
      <c r="B1955" s="7145"/>
      <c r="E1955" s="874" t="s">
        <v>6017</v>
      </c>
      <c r="F1955" s="544"/>
      <c r="G1955" s="544">
        <v>70</v>
      </c>
      <c r="H1955" s="544">
        <f>IF(J1954,1,0)</f>
        <v>0</v>
      </c>
      <c r="I1955" s="544">
        <v>10</v>
      </c>
      <c r="J1955" s="544">
        <f>COUNTIF(Elan!$C$13:$F$25,Tablas!E1955)+COUNTIF(Elan!$U$13:$X$25,Tablas!E1955)</f>
        <v>0</v>
      </c>
      <c r="K1955" s="544"/>
      <c r="L1955" s="7875" t="str">
        <f>"Quien se encuentre a menos de 10 metros debe superar un control de RM o RF contra "&amp;F1946+40&amp;", o sufrir una pérdida de puntos de vida equivalente a su nivel de fracaso."</f>
        <v>Quien se encuentre a menos de 10 metros debe superar un control de RM o RF contra 40, o sufrir una pérdida de puntos de vida equivalente a su nivel de fracaso.</v>
      </c>
      <c r="M1955" s="7875"/>
      <c r="N1955" s="7875"/>
      <c r="O1955" s="7875"/>
      <c r="P1955" s="7875"/>
      <c r="Q1955" s="7876"/>
      <c r="R1955" s="877">
        <f>IF(OR($J1955=0,$J1955="Aprendida"),0,SUM($J$1934:$J1955))</f>
        <v>0</v>
      </c>
      <c r="T1955" s="985" t="s">
        <v>6237</v>
      </c>
      <c r="U1955" s="986">
        <v>2</v>
      </c>
      <c r="V1955" s="987"/>
      <c r="W1955" s="986"/>
      <c r="X1955" s="986"/>
      <c r="Y1955" s="1166"/>
    </row>
    <row r="1956" spans="1:25" ht="12.75" customHeight="1">
      <c r="A1956" s="219">
        <v>1850</v>
      </c>
      <c r="B1956" s="7145"/>
      <c r="E1956" s="874" t="s">
        <v>6018</v>
      </c>
      <c r="F1956" s="544"/>
      <c r="G1956" s="544">
        <v>80</v>
      </c>
      <c r="H1956" s="544">
        <v>1</v>
      </c>
      <c r="I1956" s="544">
        <v>15</v>
      </c>
      <c r="J1956" s="544">
        <f>COUNTIF(Elan!$C$13:$F$25,Tablas!E1956)+COUNTIF(Elan!$U$13:$X$25,Tablas!E1956)</f>
        <v>0</v>
      </c>
      <c r="K1956" s="544"/>
      <c r="L1956" s="7875" t="s">
        <v>6218</v>
      </c>
      <c r="M1956" s="7875"/>
      <c r="N1956" s="7875"/>
      <c r="O1956" s="7875"/>
      <c r="P1956" s="7875"/>
      <c r="Q1956" s="7876"/>
      <c r="R1956" s="877">
        <f>IF(OR($J1956=0,$J1956="Aprendida"),0,SUM($J$1934:$J1956))</f>
        <v>0</v>
      </c>
      <c r="T1956" s="988"/>
      <c r="U1956" s="989"/>
      <c r="V1956" s="989"/>
      <c r="W1956" s="989"/>
      <c r="X1956" s="989"/>
      <c r="Y1956" s="1167"/>
    </row>
    <row r="1957" spans="1:25" ht="12.75" customHeight="1">
      <c r="A1957" s="219">
        <v>1851</v>
      </c>
      <c r="B1957" s="7145"/>
      <c r="E1957" s="874" t="s">
        <v>6019</v>
      </c>
      <c r="F1957" s="544"/>
      <c r="G1957" s="544">
        <v>90</v>
      </c>
      <c r="H1957" s="544">
        <v>1</v>
      </c>
      <c r="I1957" s="544">
        <v>20</v>
      </c>
      <c r="J1957" s="544">
        <f>COUNTIF(Elan!$C$13:$F$25,Tablas!E1957)+COUNTIF(Elan!$U$13:$X$25,Tablas!E1957)</f>
        <v>0</v>
      </c>
      <c r="K1957" s="544"/>
      <c r="L1957" s="7875" t="s">
        <v>6219</v>
      </c>
      <c r="M1957" s="7875"/>
      <c r="N1957" s="7875"/>
      <c r="O1957" s="7875"/>
      <c r="P1957" s="7875"/>
      <c r="Q1957" s="7876"/>
      <c r="R1957" s="877">
        <f>IF(OR($J1957=0,$J1957="Aprendida"),0,SUM($J$1934:$J1957))</f>
        <v>0</v>
      </c>
      <c r="T1957" s="983" t="str">
        <f>E1973</f>
        <v>Jedah</v>
      </c>
      <c r="U1957" s="984"/>
      <c r="V1957" s="990"/>
      <c r="W1957" s="984"/>
      <c r="X1957" s="984"/>
      <c r="Y1957" s="1165"/>
    </row>
    <row r="1958" spans="1:25" ht="12.75" customHeight="1">
      <c r="A1958" s="219">
        <v>1852</v>
      </c>
      <c r="B1958" s="7145"/>
      <c r="E1958" s="874" t="s">
        <v>6020</v>
      </c>
      <c r="F1958" s="544"/>
      <c r="G1958" s="544">
        <v>100</v>
      </c>
      <c r="H1958" s="544">
        <v>1</v>
      </c>
      <c r="I1958" s="544">
        <v>10</v>
      </c>
      <c r="J1958" s="544">
        <f>COUNTIF(Elan!$C$13:$F$25,Tablas!E1958)+COUNTIF(Elan!$U$13:$X$25,Tablas!E1958)</f>
        <v>0</v>
      </c>
      <c r="K1958" s="544"/>
      <c r="L1958" s="7875" t="s">
        <v>6220</v>
      </c>
      <c r="M1958" s="7875"/>
      <c r="N1958" s="7875"/>
      <c r="O1958" s="7875"/>
      <c r="P1958" s="7875"/>
      <c r="Q1958" s="7876"/>
      <c r="R1958" s="877">
        <f>IF(OR($J1958=0,$J1958="Aprendida"),0,SUM($J$1934:$J1958))</f>
        <v>0</v>
      </c>
      <c r="T1958" s="985" t="s">
        <v>6427</v>
      </c>
      <c r="U1958" s="986">
        <v>1</v>
      </c>
      <c r="V1958" s="987" t="s">
        <v>6242</v>
      </c>
      <c r="W1958" s="986">
        <v>1</v>
      </c>
      <c r="X1958" s="986" t="s">
        <v>6243</v>
      </c>
      <c r="Y1958" s="1166">
        <v>-2</v>
      </c>
    </row>
    <row r="1959" spans="1:25" ht="12.75" customHeight="1">
      <c r="A1959" s="219">
        <v>1853</v>
      </c>
      <c r="B1959" s="7145"/>
      <c r="E1959" s="873" t="s">
        <v>5987</v>
      </c>
      <c r="F1959" s="1253">
        <f>IF(Elan!$C$11=Tablas!$E1959,Elan!$G$11,IF(Elan!$U$11=Tablas!$E1959,Elan!$Y$11,0))</f>
        <v>0</v>
      </c>
      <c r="G1959" s="866" t="s">
        <v>1674</v>
      </c>
      <c r="H1959" s="866" t="s">
        <v>7873</v>
      </c>
      <c r="I1959" s="866" t="s">
        <v>1349</v>
      </c>
      <c r="J1959" s="866" t="s">
        <v>5998</v>
      </c>
      <c r="K1959" s="866" t="s">
        <v>6646</v>
      </c>
      <c r="L1959" s="866" t="s">
        <v>1408</v>
      </c>
      <c r="M1959" s="545"/>
      <c r="N1959" s="545"/>
      <c r="O1959" s="545"/>
      <c r="P1959" s="545"/>
      <c r="Q1959" s="871"/>
      <c r="R1959" s="877">
        <f>IF(OR($J1959=0,$J1959="Aprendida"),0,SUM($J$1934:$J1959))</f>
        <v>0</v>
      </c>
      <c r="T1959" s="985" t="s">
        <v>6244</v>
      </c>
      <c r="U1959" s="986">
        <v>3</v>
      </c>
      <c r="V1959" s="987" t="s">
        <v>6245</v>
      </c>
      <c r="W1959" s="986">
        <v>3</v>
      </c>
      <c r="X1959" s="986" t="s">
        <v>6246</v>
      </c>
      <c r="Y1959" s="1166">
        <v>-3</v>
      </c>
    </row>
    <row r="1960" spans="1:25" ht="12.75" customHeight="1">
      <c r="A1960" s="219">
        <v>1854</v>
      </c>
      <c r="B1960" s="7145"/>
      <c r="E1960" s="874" t="s">
        <v>6021</v>
      </c>
      <c r="F1960" s="544"/>
      <c r="G1960" s="544">
        <v>10</v>
      </c>
      <c r="H1960" s="544">
        <v>1</v>
      </c>
      <c r="I1960" s="544">
        <v>5</v>
      </c>
      <c r="J1960" s="544">
        <f>COUNTIF(Elan!$C$13:$F$25,Tablas!E1960)+COUNTIF(Elan!$U$13:$X$25,Tablas!E1960)</f>
        <v>0</v>
      </c>
      <c r="K1960" s="544"/>
      <c r="L1960" s="7875" t="s">
        <v>6221</v>
      </c>
      <c r="M1960" s="7875"/>
      <c r="N1960" s="7875"/>
      <c r="O1960" s="7875"/>
      <c r="P1960" s="7875"/>
      <c r="Q1960" s="7876"/>
      <c r="R1960" s="877">
        <f>IF(OR($J1960=0,$J1960="Aprendida"),0,SUM($J$1934:$J1960))</f>
        <v>0</v>
      </c>
      <c r="T1960" s="985" t="s">
        <v>6248</v>
      </c>
      <c r="U1960" s="986">
        <v>2</v>
      </c>
      <c r="V1960" s="987" t="s">
        <v>6249</v>
      </c>
      <c r="W1960" s="986">
        <v>3</v>
      </c>
      <c r="X1960" s="986" t="s">
        <v>6250</v>
      </c>
      <c r="Y1960" s="1166">
        <v>-2</v>
      </c>
    </row>
    <row r="1961" spans="1:25" ht="12.75" customHeight="1">
      <c r="A1961" s="219">
        <v>1855</v>
      </c>
      <c r="B1961" s="7145"/>
      <c r="E1961" s="874" t="s">
        <v>6022</v>
      </c>
      <c r="F1961" s="544"/>
      <c r="G1961" s="544">
        <v>20</v>
      </c>
      <c r="H1961" s="544">
        <v>1</v>
      </c>
      <c r="I1961" s="544">
        <v>5</v>
      </c>
      <c r="J1961" s="544">
        <f>COUNTIF(Elan!$C$13:$F$25,Tablas!E1961)+COUNTIF(Elan!$U$13:$X$25,Tablas!E1961)</f>
        <v>0</v>
      </c>
      <c r="K1961" s="544"/>
      <c r="L1961" s="7875" t="s">
        <v>6225</v>
      </c>
      <c r="M1961" s="7875"/>
      <c r="N1961" s="7875"/>
      <c r="O1961" s="7875"/>
      <c r="P1961" s="7875"/>
      <c r="Q1961" s="7876"/>
      <c r="R1961" s="877">
        <f>IF(OR($J1961=0,$J1961="Aprendida"),0,SUM($J$1934:$J1961))</f>
        <v>0</v>
      </c>
      <c r="T1961" s="985" t="s">
        <v>6252</v>
      </c>
      <c r="U1961" s="986">
        <v>3</v>
      </c>
      <c r="V1961" s="987"/>
      <c r="W1961" s="986"/>
      <c r="X1961" s="986" t="s">
        <v>6253</v>
      </c>
      <c r="Y1961" s="1166">
        <v>-4</v>
      </c>
    </row>
    <row r="1962" spans="1:25" ht="12.75" customHeight="1">
      <c r="A1962" s="219">
        <v>1856</v>
      </c>
      <c r="B1962" s="7145"/>
      <c r="E1962" s="874" t="s">
        <v>6023</v>
      </c>
      <c r="F1962" s="544"/>
      <c r="G1962" s="544">
        <v>20</v>
      </c>
      <c r="H1962" s="544">
        <v>1</v>
      </c>
      <c r="I1962" s="544">
        <v>10</v>
      </c>
      <c r="J1962" s="544">
        <f>COUNTIF(Elan!$C$13:$F$25,Tablas!E1962)+COUNTIF(Elan!$U$13:$X$25,Tablas!E1962)</f>
        <v>0</v>
      </c>
      <c r="K1962" s="544"/>
      <c r="L1962" s="7875" t="str">
        <f>"El PJ añade un bono especial a sus controles de Resistencias contra cualquier clase de dominación de +"&amp;F1959&amp;"."</f>
        <v>El PJ añade un bono especial a sus controles de Resistencias contra cualquier clase de dominación de +0.</v>
      </c>
      <c r="M1962" s="7875"/>
      <c r="N1962" s="7875"/>
      <c r="O1962" s="7875"/>
      <c r="P1962" s="7875"/>
      <c r="Q1962" s="7876"/>
      <c r="R1962" s="877">
        <f>IF(OR($J1962=0,$J1962="Aprendida"),0,SUM($J$1934:$J1962))</f>
        <v>0</v>
      </c>
      <c r="T1962" s="985" t="s">
        <v>6254</v>
      </c>
      <c r="U1962" s="986">
        <v>3</v>
      </c>
      <c r="V1962" s="987"/>
      <c r="W1962" s="986"/>
      <c r="X1962" s="986"/>
      <c r="Y1962" s="1166"/>
    </row>
    <row r="1963" spans="1:25" ht="12.75" customHeight="1">
      <c r="A1963" s="219">
        <v>1857</v>
      </c>
      <c r="B1963" s="7145"/>
      <c r="E1963" s="874" t="s">
        <v>6024</v>
      </c>
      <c r="F1963" s="544"/>
      <c r="G1963" s="544">
        <v>30</v>
      </c>
      <c r="H1963" s="544">
        <v>1</v>
      </c>
      <c r="I1963" s="544">
        <v>5</v>
      </c>
      <c r="J1963" s="544">
        <f>COUNTIF(Elan!$C$13:$F$25,Tablas!E1963)+COUNTIF(Elan!$U$13:$X$25,Tablas!E1963)</f>
        <v>0</v>
      </c>
      <c r="K1963" s="544"/>
      <c r="L1963" s="7875" t="s">
        <v>9889</v>
      </c>
      <c r="M1963" s="7875"/>
      <c r="N1963" s="7875"/>
      <c r="O1963" s="7875"/>
      <c r="P1963" s="7875"/>
      <c r="Q1963" s="7876"/>
      <c r="R1963" s="877">
        <f>IF(OR($J1963=0,$J1963="Aprendida"),0,SUM($J$1934:$J1963))</f>
        <v>0</v>
      </c>
      <c r="T1963" s="985" t="s">
        <v>6255</v>
      </c>
      <c r="U1963" s="986">
        <v>2</v>
      </c>
      <c r="V1963" s="987"/>
      <c r="W1963" s="986"/>
      <c r="X1963" s="986"/>
      <c r="Y1963" s="1166"/>
    </row>
    <row r="1964" spans="1:25" ht="12.75" customHeight="1">
      <c r="A1964" s="219">
        <v>1858</v>
      </c>
      <c r="B1964" s="7145"/>
      <c r="E1964" s="874" t="s">
        <v>6025</v>
      </c>
      <c r="F1964" s="544"/>
      <c r="G1964" s="544">
        <v>40</v>
      </c>
      <c r="H1964" s="544">
        <v>1</v>
      </c>
      <c r="I1964" s="544">
        <v>10</v>
      </c>
      <c r="J1964" s="544">
        <f>COUNTIF(Elan!$C$13:$F$25,Tablas!E1964)+COUNTIF(Elan!$U$13:$X$25,Tablas!E1964)</f>
        <v>0</v>
      </c>
      <c r="K1964" s="544"/>
      <c r="L1964" s="7875" t="s">
        <v>6234</v>
      </c>
      <c r="M1964" s="7875"/>
      <c r="N1964" s="7875"/>
      <c r="O1964" s="7875"/>
      <c r="P1964" s="7875"/>
      <c r="Q1964" s="7876"/>
      <c r="R1964" s="877">
        <f>IF(OR($J1964=0,$J1964="Aprendida"),0,SUM($J$1934:$J1964))</f>
        <v>0</v>
      </c>
      <c r="T1964" s="988"/>
      <c r="U1964" s="989"/>
      <c r="V1964" s="989"/>
      <c r="W1964" s="989"/>
      <c r="X1964" s="989"/>
      <c r="Y1964" s="1167"/>
    </row>
    <row r="1965" spans="1:25" ht="12.75" customHeight="1">
      <c r="A1965" s="219">
        <v>1859</v>
      </c>
      <c r="B1965" s="7145"/>
      <c r="E1965" s="874" t="s">
        <v>6026</v>
      </c>
      <c r="F1965" s="544"/>
      <c r="G1965" s="544">
        <v>40</v>
      </c>
      <c r="H1965" s="544">
        <v>1</v>
      </c>
      <c r="I1965" s="544">
        <v>5</v>
      </c>
      <c r="J1965" s="544">
        <f>COUNTIF(Elan!$C$13:$F$25,Tablas!E1965)+COUNTIF(Elan!$U$13:$X$25,Tablas!E1965)</f>
        <v>0</v>
      </c>
      <c r="K1965" s="544"/>
      <c r="L1965" s="7875" t="s">
        <v>8197</v>
      </c>
      <c r="M1965" s="7875"/>
      <c r="N1965" s="7875"/>
      <c r="O1965" s="7875"/>
      <c r="P1965" s="7875"/>
      <c r="Q1965" s="7876"/>
      <c r="R1965" s="877">
        <f>IF(OR($J1965=0,$J1965="Aprendida"),0,SUM($J$1934:$J1965))</f>
        <v>0</v>
      </c>
      <c r="T1965" s="988"/>
      <c r="U1965" s="989"/>
      <c r="V1965" s="989"/>
      <c r="W1965" s="989"/>
      <c r="X1965" s="989"/>
      <c r="Y1965" s="1167"/>
    </row>
    <row r="1966" spans="1:25" ht="12.75" customHeight="1">
      <c r="A1966" s="219">
        <v>1860</v>
      </c>
      <c r="B1966" s="7145"/>
      <c r="E1966" s="874" t="s">
        <v>6027</v>
      </c>
      <c r="F1966" s="544"/>
      <c r="G1966" s="544">
        <v>50</v>
      </c>
      <c r="H1966" s="544">
        <v>1</v>
      </c>
      <c r="I1966" s="544">
        <v>10</v>
      </c>
      <c r="J1966" s="544">
        <f>COUNTIF(Elan!$C$13:$F$25,Tablas!E1966)+COUNTIF(Elan!$U$13:$X$25,Tablas!E1966)</f>
        <v>0</v>
      </c>
      <c r="K1966" s="544"/>
      <c r="L1966" s="7875" t="str">
        <f>"Permite obligar una vez por individuo a liberar los esclavos que tenga bajo su control si no supera una RM de "&amp;F1959*2&amp;"."</f>
        <v>Permite obligar una vez por individuo a liberar los esclavos que tenga bajo su control si no supera una RM de 0.</v>
      </c>
      <c r="M1966" s="7875"/>
      <c r="N1966" s="7875"/>
      <c r="O1966" s="7875"/>
      <c r="P1966" s="7875"/>
      <c r="Q1966" s="7876"/>
      <c r="R1966" s="877">
        <f>IF(OR($J1966=0,$J1966="Aprendida"),0,SUM($J$1934:$J1966))</f>
        <v>0</v>
      </c>
      <c r="T1966" s="983" t="str">
        <f>E1987</f>
        <v>Gabriel</v>
      </c>
      <c r="U1966" s="984"/>
      <c r="V1966" s="990"/>
      <c r="W1966" s="984"/>
      <c r="X1966" s="984"/>
      <c r="Y1966" s="1165"/>
    </row>
    <row r="1967" spans="1:25" ht="12.75" customHeight="1">
      <c r="A1967" s="219">
        <v>1861</v>
      </c>
      <c r="B1967" s="7145"/>
      <c r="E1967" s="874" t="s">
        <v>6028</v>
      </c>
      <c r="F1967" s="544"/>
      <c r="G1967" s="544">
        <v>60</v>
      </c>
      <c r="H1967" s="544">
        <f>IF(J1964,1,0)</f>
        <v>0</v>
      </c>
      <c r="I1967" s="544">
        <v>20</v>
      </c>
      <c r="J1967" s="544">
        <f>COUNTIF(Elan!$C$13:$F$25,Tablas!E1967)+COUNTIF(Elan!$U$13:$X$25,Tablas!E1967)</f>
        <v>0</v>
      </c>
      <c r="K1967" s="544"/>
      <c r="L1967" s="7875" t="str">
        <f>"Obtiene un bono de +30 en un control enfrentado que puede usarse "&amp;IF(F1959&lt;20,"1 vez",FLOOR(F1959/10,1)&amp;" veces")&amp;" al día. Se puede utilizar para eliminar una sorpresa pero cuenta como dos usos."</f>
        <v>Obtiene un bono de +30 en un control enfrentado que puede usarse 1 vez al día. Se puede utilizar para eliminar una sorpresa pero cuenta como dos usos.</v>
      </c>
      <c r="M1967" s="7875"/>
      <c r="N1967" s="7875"/>
      <c r="O1967" s="7875"/>
      <c r="P1967" s="7875"/>
      <c r="Q1967" s="7876"/>
      <c r="R1967" s="877">
        <f>IF(OR($J1967=0,$J1967="Aprendida"),0,SUM($J$1934:$J1967))</f>
        <v>0</v>
      </c>
      <c r="T1967" s="985" t="s">
        <v>6258</v>
      </c>
      <c r="U1967" s="986">
        <v>3</v>
      </c>
      <c r="V1967" s="987" t="s">
        <v>6259</v>
      </c>
      <c r="W1967" s="986">
        <v>3</v>
      </c>
      <c r="X1967" s="986" t="s">
        <v>6260</v>
      </c>
      <c r="Y1967" s="1166">
        <v>-2</v>
      </c>
    </row>
    <row r="1968" spans="1:25" ht="12.75" customHeight="1">
      <c r="A1968" s="219">
        <v>1862</v>
      </c>
      <c r="B1968" s="7145"/>
      <c r="E1968" s="874" t="s">
        <v>6029</v>
      </c>
      <c r="F1968" s="544"/>
      <c r="G1968" s="544">
        <v>60</v>
      </c>
      <c r="H1968" s="544">
        <v>1</v>
      </c>
      <c r="I1968" s="544">
        <v>15</v>
      </c>
      <c r="J1968" s="544">
        <f>COUNTIF(Elan!$C$13:$F$25,Tablas!E1968)+COUNTIF(Elan!$U$13:$X$25,Tablas!E1968)</f>
        <v>0</v>
      </c>
      <c r="K1968" s="544"/>
      <c r="L1968" s="7875" t="s">
        <v>9936</v>
      </c>
      <c r="M1968" s="7875"/>
      <c r="N1968" s="7875"/>
      <c r="O1968" s="7875"/>
      <c r="P1968" s="7875"/>
      <c r="Q1968" s="7876"/>
      <c r="R1968" s="877">
        <f>IF(OR($J1968=0,$J1968="Aprendida"),0,SUM($J$1934:$J1968))</f>
        <v>0</v>
      </c>
      <c r="T1968" s="985" t="s">
        <v>6262</v>
      </c>
      <c r="U1968" s="986">
        <v>1</v>
      </c>
      <c r="V1968" s="987" t="s">
        <v>6263</v>
      </c>
      <c r="W1968" s="986">
        <v>2</v>
      </c>
      <c r="X1968" s="986" t="s">
        <v>6264</v>
      </c>
      <c r="Y1968" s="1166">
        <v>-3</v>
      </c>
    </row>
    <row r="1969" spans="1:25" ht="12.75" customHeight="1">
      <c r="A1969" s="219">
        <v>1863</v>
      </c>
      <c r="B1969" s="7145"/>
      <c r="E1969" s="874" t="s">
        <v>6030</v>
      </c>
      <c r="F1969" s="544"/>
      <c r="G1969" s="544">
        <v>70</v>
      </c>
      <c r="H1969" s="544">
        <v>1</v>
      </c>
      <c r="I1969" s="544">
        <v>10</v>
      </c>
      <c r="J1969" s="544">
        <f>COUNTIF(Elan!$C$13:$F$25,Tablas!E1969)+COUNTIF(Elan!$U$13:$X$25,Tablas!E1969)</f>
        <v>0</v>
      </c>
      <c r="K1969" s="544">
        <f>IF(J1969&gt;0,1,0)</f>
        <v>0</v>
      </c>
      <c r="L1969" s="7875" t="s">
        <v>6238</v>
      </c>
      <c r="M1969" s="7875"/>
      <c r="N1969" s="7875"/>
      <c r="O1969" s="7875"/>
      <c r="P1969" s="7875"/>
      <c r="Q1969" s="7876"/>
      <c r="R1969" s="877">
        <f>IF(OR($J1969=0,$J1969="Aprendida"),0,SUM($J$1934:$J1969))</f>
        <v>0</v>
      </c>
      <c r="T1969" s="985" t="s">
        <v>6195</v>
      </c>
      <c r="U1969" s="986">
        <v>2</v>
      </c>
      <c r="V1969" s="987" t="s">
        <v>6266</v>
      </c>
      <c r="W1969" s="986">
        <v>1</v>
      </c>
      <c r="X1969" s="986" t="s">
        <v>6267</v>
      </c>
      <c r="Y1969" s="1166">
        <v>-2</v>
      </c>
    </row>
    <row r="1970" spans="1:25" ht="12.75" customHeight="1">
      <c r="A1970" s="219">
        <v>1864</v>
      </c>
      <c r="B1970" s="7145"/>
      <c r="E1970" s="874" t="s">
        <v>9890</v>
      </c>
      <c r="F1970" s="544"/>
      <c r="G1970" s="544">
        <v>80</v>
      </c>
      <c r="H1970" s="544">
        <v>1</v>
      </c>
      <c r="I1970" s="544">
        <v>10</v>
      </c>
      <c r="J1970" s="544">
        <f>COUNTIF(Elan!$C$13:$F$25,Tablas!E1970)+COUNTIF(Elan!$U$13:$X$25,Tablas!E1970)</f>
        <v>0</v>
      </c>
      <c r="K1970" s="544"/>
      <c r="L1970" s="7875" t="s">
        <v>6239</v>
      </c>
      <c r="M1970" s="7875"/>
      <c r="N1970" s="7875"/>
      <c r="O1970" s="7875"/>
      <c r="P1970" s="7875"/>
      <c r="Q1970" s="7876"/>
      <c r="R1970" s="877">
        <f>IF(OR($J1970=0,$J1970="Aprendida"),0,SUM($J$1934:$J1970))</f>
        <v>0</v>
      </c>
      <c r="T1970" s="985" t="s">
        <v>6269</v>
      </c>
      <c r="U1970" s="986">
        <v>3</v>
      </c>
      <c r="V1970" s="987" t="s">
        <v>6270</v>
      </c>
      <c r="W1970" s="986">
        <v>2</v>
      </c>
      <c r="X1970" s="986" t="s">
        <v>6271</v>
      </c>
      <c r="Y1970" s="1166">
        <v>-1</v>
      </c>
    </row>
    <row r="1971" spans="1:25" ht="12.75" customHeight="1">
      <c r="A1971" s="219">
        <v>1865</v>
      </c>
      <c r="B1971" s="7145"/>
      <c r="E1971" s="874" t="s">
        <v>6031</v>
      </c>
      <c r="F1971" s="544"/>
      <c r="G1971" s="544">
        <v>90</v>
      </c>
      <c r="H1971" s="544">
        <v>1</v>
      </c>
      <c r="I1971" s="544">
        <v>20</v>
      </c>
      <c r="J1971" s="544">
        <f>COUNTIF(Elan!$C$13:$F$25,Tablas!E1971)+COUNTIF(Elan!$U$13:$X$25,Tablas!E1971)</f>
        <v>0</v>
      </c>
      <c r="K1971" s="544"/>
      <c r="L1971" s="7875" t="s">
        <v>6240</v>
      </c>
      <c r="M1971" s="7875"/>
      <c r="N1971" s="7875"/>
      <c r="O1971" s="7875"/>
      <c r="P1971" s="7875"/>
      <c r="Q1971" s="7876"/>
      <c r="R1971" s="877">
        <f>IF(OR($J1971=0,$J1971="Aprendida"),0,SUM($J$1934:$J1971))</f>
        <v>0</v>
      </c>
      <c r="T1971" s="985" t="s">
        <v>6272</v>
      </c>
      <c r="U1971" s="986">
        <v>1</v>
      </c>
      <c r="V1971" s="987"/>
      <c r="W1971" s="986"/>
      <c r="X1971" s="986" t="s">
        <v>6273</v>
      </c>
      <c r="Y1971" s="1166">
        <v>-5</v>
      </c>
    </row>
    <row r="1972" spans="1:25" ht="12.75" customHeight="1">
      <c r="A1972" s="219">
        <v>1866</v>
      </c>
      <c r="B1972" s="7145"/>
      <c r="E1972" s="874" t="s">
        <v>6032</v>
      </c>
      <c r="F1972" s="544"/>
      <c r="G1972" s="544">
        <v>100</v>
      </c>
      <c r="H1972" s="544">
        <v>1</v>
      </c>
      <c r="I1972" s="544">
        <v>10</v>
      </c>
      <c r="J1972" s="544">
        <f>COUNTIF(Elan!$C$13:$F$25,Tablas!E1972)+COUNTIF(Elan!$U$13:$X$25,Tablas!E1972)</f>
        <v>0</v>
      </c>
      <c r="K1972" s="544"/>
      <c r="L1972" s="7875" t="s">
        <v>6241</v>
      </c>
      <c r="M1972" s="7875"/>
      <c r="N1972" s="7875"/>
      <c r="O1972" s="7875"/>
      <c r="P1972" s="7875"/>
      <c r="Q1972" s="7876"/>
      <c r="R1972" s="877">
        <f>IF(OR($J1972=0,$J1972="Aprendida"),0,SUM($J$1934:$J1972))</f>
        <v>0</v>
      </c>
      <c r="T1972" s="988"/>
      <c r="U1972" s="989"/>
      <c r="V1972" s="989"/>
      <c r="W1972" s="989"/>
      <c r="X1972" s="989"/>
      <c r="Y1972" s="1167"/>
    </row>
    <row r="1973" spans="1:25" ht="12.75" customHeight="1">
      <c r="A1973" s="219">
        <v>1867</v>
      </c>
      <c r="B1973" s="7145"/>
      <c r="E1973" s="873" t="s">
        <v>5988</v>
      </c>
      <c r="F1973" s="1253">
        <f>IF(Elan!$C$11=Tablas!$E1973,Elan!$G$11,IF(Elan!$U$11=Tablas!$E1973,Elan!$Y$11,0))</f>
        <v>0</v>
      </c>
      <c r="G1973" s="866" t="s">
        <v>1674</v>
      </c>
      <c r="H1973" s="866" t="s">
        <v>7873</v>
      </c>
      <c r="I1973" s="866" t="s">
        <v>1349</v>
      </c>
      <c r="J1973" s="866" t="s">
        <v>5998</v>
      </c>
      <c r="K1973" s="866" t="s">
        <v>6646</v>
      </c>
      <c r="L1973" s="866" t="s">
        <v>1408</v>
      </c>
      <c r="M1973" s="545"/>
      <c r="N1973" s="545"/>
      <c r="O1973" s="545"/>
      <c r="P1973" s="545"/>
      <c r="Q1973" s="871"/>
      <c r="R1973" s="877">
        <f>IF(OR($J1973=0,$J1973="Aprendida"),0,SUM($J$1934:$J1973))</f>
        <v>0</v>
      </c>
      <c r="T1973" s="988"/>
      <c r="U1973" s="989"/>
      <c r="V1973" s="989"/>
      <c r="W1973" s="989"/>
      <c r="X1973" s="989"/>
      <c r="Y1973" s="1167"/>
    </row>
    <row r="1974" spans="1:25" ht="12.75" customHeight="1">
      <c r="A1974" s="219">
        <v>1868</v>
      </c>
      <c r="B1974" s="7145"/>
      <c r="E1974" s="874" t="s">
        <v>6033</v>
      </c>
      <c r="F1974" s="544"/>
      <c r="G1974" s="544">
        <v>10</v>
      </c>
      <c r="H1974" s="544">
        <v>1</v>
      </c>
      <c r="I1974" s="544">
        <v>5</v>
      </c>
      <c r="J1974" s="544">
        <f>COUNTIF(Elan!$C$13:$F$25,Tablas!E1974)+COUNTIF(Elan!$U$13:$X$25,Tablas!E1974)</f>
        <v>0</v>
      </c>
      <c r="K1974" s="544">
        <f>F$1973*J1974</f>
        <v>0</v>
      </c>
      <c r="L1974" s="7875" t="str">
        <f>"Otorga un bono especial a Persuasión y Liderazgo de +"&amp;K1974&amp;"."</f>
        <v>Otorga un bono especial a Persuasión y Liderazgo de +0.</v>
      </c>
      <c r="M1974" s="7875"/>
      <c r="N1974" s="7875"/>
      <c r="O1974" s="7875"/>
      <c r="P1974" s="7875"/>
      <c r="Q1974" s="7876"/>
      <c r="R1974" s="877">
        <f>IF(OR($J1974=0,$J1974="Aprendida"),0,SUM($J$1934:$J1974))</f>
        <v>0</v>
      </c>
      <c r="T1974" s="983" t="str">
        <f>E2000</f>
        <v>Noah</v>
      </c>
      <c r="U1974" s="984"/>
      <c r="V1974" s="990"/>
      <c r="W1974" s="984"/>
      <c r="X1974" s="984"/>
      <c r="Y1974" s="1165"/>
    </row>
    <row r="1975" spans="1:25" ht="12.75" customHeight="1">
      <c r="A1975" s="219">
        <v>1869</v>
      </c>
      <c r="B1975" s="7145"/>
      <c r="E1975" s="874" t="s">
        <v>6034</v>
      </c>
      <c r="F1975" s="544"/>
      <c r="G1975" s="544">
        <v>20</v>
      </c>
      <c r="H1975" s="544">
        <v>1</v>
      </c>
      <c r="I1975" s="544">
        <v>10</v>
      </c>
      <c r="J1975" s="544">
        <f>COUNTIF(Elan!$C$13:$F$25,Tablas!E1975)+COUNTIF(Elan!$U$13:$X$25,Tablas!E1975)</f>
        <v>0</v>
      </c>
      <c r="K1975" s="544">
        <f>ROUNDDOWN(F$1973/2,0)*J1975</f>
        <v>0</v>
      </c>
      <c r="L1975" s="7875" t="str">
        <f>"Aplica un bono especial a su habilidad de convocatoria Dominación de +"&amp;K1975&amp;". Este don no funciona contra seres basados en luz."</f>
        <v>Aplica un bono especial a su habilidad de convocatoria Dominación de +0. Este don no funciona contra seres basados en luz.</v>
      </c>
      <c r="M1975" s="7875"/>
      <c r="N1975" s="7875"/>
      <c r="O1975" s="7875"/>
      <c r="P1975" s="7875"/>
      <c r="Q1975" s="7876"/>
      <c r="R1975" s="877">
        <f>IF(OR($J1975=0,$J1975="Aprendida"),0,SUM($J$1934:$J1975))</f>
        <v>0</v>
      </c>
      <c r="T1975" s="985" t="s">
        <v>6277</v>
      </c>
      <c r="U1975" s="986">
        <v>2</v>
      </c>
      <c r="V1975" s="987" t="s">
        <v>6278</v>
      </c>
      <c r="W1975" s="986">
        <v>1</v>
      </c>
      <c r="X1975" s="986" t="s">
        <v>6279</v>
      </c>
      <c r="Y1975" s="1166">
        <v>-2</v>
      </c>
    </row>
    <row r="1976" spans="1:25" ht="12.75" customHeight="1">
      <c r="A1976" s="219">
        <v>1870</v>
      </c>
      <c r="B1976" s="7145"/>
      <c r="E1976" s="874" t="s">
        <v>1914</v>
      </c>
      <c r="F1976" s="544"/>
      <c r="G1976" s="544">
        <v>30</v>
      </c>
      <c r="H1976" s="544">
        <v>1</v>
      </c>
      <c r="I1976" s="544">
        <v>5</v>
      </c>
      <c r="J1976" s="544">
        <f>COUNTIF(Elan!$C$13:$F$25,Tablas!E1976)+COUNTIF(Elan!$U$13:$X$25,Tablas!E1976)</f>
        <v>0</v>
      </c>
      <c r="K1976" s="544"/>
      <c r="L1976" s="7875" t="s">
        <v>6247</v>
      </c>
      <c r="M1976" s="7875"/>
      <c r="N1976" s="7875"/>
      <c r="O1976" s="7875"/>
      <c r="P1976" s="7875"/>
      <c r="Q1976" s="7876"/>
      <c r="R1976" s="877">
        <f>IF(OR($J1976=0,$J1976="Aprendida"),0,SUM($J$1934:$J1976))</f>
        <v>0</v>
      </c>
      <c r="T1976" s="985" t="s">
        <v>6281</v>
      </c>
      <c r="U1976" s="986">
        <v>3</v>
      </c>
      <c r="V1976" s="987" t="s">
        <v>6282</v>
      </c>
      <c r="W1976" s="986">
        <v>2</v>
      </c>
      <c r="X1976" s="986" t="s">
        <v>6283</v>
      </c>
      <c r="Y1976" s="1166">
        <v>-5</v>
      </c>
    </row>
    <row r="1977" spans="1:25" ht="12.75" customHeight="1">
      <c r="A1977" s="219">
        <v>1871</v>
      </c>
      <c r="B1977" s="7145"/>
      <c r="E1977" s="874" t="s">
        <v>6035</v>
      </c>
      <c r="F1977" s="544"/>
      <c r="G1977" s="544">
        <v>40</v>
      </c>
      <c r="H1977" s="544">
        <v>1</v>
      </c>
      <c r="I1977" s="544">
        <v>5</v>
      </c>
      <c r="J1977" s="544">
        <f>COUNTIF(Elan!$C$13:$F$25,Tablas!E1977)+COUNTIF(Elan!$U$13:$X$25,Tablas!E1977)</f>
        <v>0</v>
      </c>
      <c r="K1977" s="544"/>
      <c r="L1977" s="7875" t="s">
        <v>6251</v>
      </c>
      <c r="M1977" s="7875"/>
      <c r="N1977" s="7875"/>
      <c r="O1977" s="7875"/>
      <c r="P1977" s="7875"/>
      <c r="Q1977" s="7876"/>
      <c r="R1977" s="877">
        <f>IF(OR($J1977=0,$J1977="Aprendida"),0,SUM($J$1934:$J1977))</f>
        <v>0</v>
      </c>
      <c r="T1977" s="985" t="s">
        <v>6284</v>
      </c>
      <c r="U1977" s="986">
        <v>3</v>
      </c>
      <c r="V1977" s="987" t="s">
        <v>6285</v>
      </c>
      <c r="W1977" s="986">
        <v>4</v>
      </c>
      <c r="X1977" s="986" t="s">
        <v>6286</v>
      </c>
      <c r="Y1977" s="1166">
        <v>-10</v>
      </c>
    </row>
    <row r="1978" spans="1:25" ht="12.75" customHeight="1">
      <c r="A1978" s="219">
        <v>1872</v>
      </c>
      <c r="B1978" s="7145"/>
      <c r="E1978" s="874" t="s">
        <v>6036</v>
      </c>
      <c r="F1978" s="544"/>
      <c r="G1978" s="544">
        <v>50</v>
      </c>
      <c r="H1978" s="544">
        <v>1</v>
      </c>
      <c r="I1978" s="544">
        <v>10</v>
      </c>
      <c r="J1978" s="544">
        <f>COUNTIF(Elan!$C$13:$F$25,Tablas!E1978)+COUNTIF(Elan!$U$13:$X$25,Tablas!E1978)</f>
        <v>0</v>
      </c>
      <c r="K1978" s="544">
        <f>ROUNDDOWN(F$1973/2,0)*J1978</f>
        <v>0</v>
      </c>
      <c r="L1978" s="7875" t="str">
        <f>"Obtiene un bono especial en todas las habilidades secundarias intelecuales de +"&amp;K1978&amp;"."</f>
        <v>Obtiene un bono especial en todas las habilidades secundarias intelecuales de +0.</v>
      </c>
      <c r="M1978" s="7875"/>
      <c r="N1978" s="7875"/>
      <c r="O1978" s="7875"/>
      <c r="P1978" s="7875"/>
      <c r="Q1978" s="7876"/>
      <c r="R1978" s="877">
        <f>IF(OR($J1978=0,$J1978="Aprendida"),0,SUM($J$1934:$J1978))</f>
        <v>0</v>
      </c>
      <c r="T1978" s="985" t="s">
        <v>6288</v>
      </c>
      <c r="U1978" s="986">
        <v>3</v>
      </c>
      <c r="V1978" s="987"/>
      <c r="W1978" s="986"/>
      <c r="X1978" s="986" t="s">
        <v>6289</v>
      </c>
      <c r="Y1978" s="1166">
        <v>-2</v>
      </c>
    </row>
    <row r="1979" spans="1:25" ht="12.75" customHeight="1">
      <c r="A1979" s="219">
        <v>1873</v>
      </c>
      <c r="B1979" s="7145"/>
      <c r="E1979" s="874" t="s">
        <v>6037</v>
      </c>
      <c r="F1979" s="544"/>
      <c r="G1979" s="544">
        <v>50</v>
      </c>
      <c r="H1979" s="544">
        <v>1</v>
      </c>
      <c r="I1979" s="544">
        <v>10</v>
      </c>
      <c r="J1979" s="544">
        <f>COUNTIF(Elan!$C$13:$F$25,Tablas!E1979)+COUNTIF(Elan!$U$13:$X$25,Tablas!E1979)</f>
        <v>0</v>
      </c>
      <c r="K1979" s="544"/>
      <c r="L1979" s="7875" t="str">
        <f>"Todo aquel que le escuche hablar durante más de cinco asaltos debe de realizar un control de RM o RP contra "&amp;F1973+60&amp;", o será controlado."</f>
        <v>Todo aquel que le escuche hablar durante más de cinco asaltos debe de realizar un control de RM o RP contra 60, o será controlado.</v>
      </c>
      <c r="M1979" s="7875"/>
      <c r="N1979" s="7875"/>
      <c r="O1979" s="7875"/>
      <c r="P1979" s="7875"/>
      <c r="Q1979" s="7876"/>
      <c r="R1979" s="877">
        <f>IF(OR($J1979=0,$J1979="Aprendida"),0,SUM($J$1934:$J1979))</f>
        <v>0</v>
      </c>
      <c r="T1979" s="985" t="s">
        <v>6290</v>
      </c>
      <c r="U1979" s="986">
        <v>2</v>
      </c>
      <c r="V1979" s="987"/>
      <c r="W1979" s="986"/>
      <c r="X1979" s="986"/>
      <c r="Y1979" s="1166"/>
    </row>
    <row r="1980" spans="1:25" ht="12.75" customHeight="1">
      <c r="A1980" s="219">
        <v>1874</v>
      </c>
      <c r="B1980" s="7145"/>
      <c r="E1980" s="874" t="s">
        <v>6038</v>
      </c>
      <c r="F1980" s="544"/>
      <c r="G1980" s="544">
        <v>60</v>
      </c>
      <c r="H1980" s="544">
        <v>1</v>
      </c>
      <c r="I1980" s="544">
        <v>10</v>
      </c>
      <c r="J1980" s="544">
        <f>COUNTIF(Elan!$C$13:$F$25,Tablas!E1980)+COUNTIF(Elan!$U$13:$X$25,Tablas!E1980)</f>
        <v>0</v>
      </c>
      <c r="K1980" s="544"/>
      <c r="L1980" s="7875" t="str">
        <f>"Permite conferir parte de su poder a un solo subordinado, quien actúa como si tuviese "&amp;F1973-20&amp;" puntos de Elan."</f>
        <v>Permite conferir parte de su poder a un solo subordinado, quien actúa como si tuviese -20 puntos de Elan.</v>
      </c>
      <c r="M1980" s="7875"/>
      <c r="N1980" s="7875"/>
      <c r="O1980" s="7875"/>
      <c r="P1980" s="7875"/>
      <c r="Q1980" s="7876"/>
      <c r="R1980" s="877">
        <f>IF(OR($J1980=0,$J1980="Aprendida"),0,SUM($J$1934:$J1980))</f>
        <v>0</v>
      </c>
      <c r="T1980" s="988"/>
      <c r="U1980" s="989"/>
      <c r="V1980" s="989"/>
      <c r="W1980" s="989"/>
      <c r="X1980" s="989"/>
      <c r="Y1980" s="1167"/>
    </row>
    <row r="1981" spans="1:25" ht="12.75" customHeight="1">
      <c r="A1981" s="219">
        <v>1875</v>
      </c>
      <c r="B1981" s="7145"/>
      <c r="E1981" s="874" t="s">
        <v>6039</v>
      </c>
      <c r="F1981" s="544"/>
      <c r="G1981" s="544">
        <v>65</v>
      </c>
      <c r="H1981" s="544">
        <f>IF(J1977,1,0)</f>
        <v>0</v>
      </c>
      <c r="I1981" s="544">
        <v>15</v>
      </c>
      <c r="J1981" s="544">
        <f>COUNTIF(Elan!$C$13:$F$25,Tablas!E1981)+COUNTIF(Elan!$U$13:$X$25,Tablas!E1981)</f>
        <v>0</v>
      </c>
      <c r="K1981" s="544"/>
      <c r="L1981" s="7875" t="str">
        <f>"Permite invocar y mantener el control sobre hasta "&amp;FLOOR(F1973/2,1)&amp;" criaturas oscuras. Si alguna de ellas es destruida debe esperar un día para que aparezca otra."</f>
        <v>Permite invocar y mantener el control sobre hasta 0 criaturas oscuras. Si alguna de ellas es destruida debe esperar un día para que aparezca otra.</v>
      </c>
      <c r="M1981" s="7875"/>
      <c r="N1981" s="7875"/>
      <c r="O1981" s="7875"/>
      <c r="P1981" s="7875"/>
      <c r="Q1981" s="7876"/>
      <c r="R1981" s="877">
        <f>IF(OR($J1981=0,$J1981="Aprendida"),0,SUM($J$1934:$J1981))</f>
        <v>0</v>
      </c>
      <c r="T1981" s="988"/>
      <c r="U1981" s="989"/>
      <c r="V1981" s="989"/>
      <c r="W1981" s="989"/>
      <c r="X1981" s="989"/>
      <c r="Y1981" s="1167"/>
    </row>
    <row r="1982" spans="1:25" ht="12.75" customHeight="1">
      <c r="A1982" s="219">
        <v>1876</v>
      </c>
      <c r="B1982" s="7145"/>
      <c r="E1982" s="874" t="s">
        <v>6040</v>
      </c>
      <c r="F1982" s="544"/>
      <c r="G1982" s="544">
        <v>70</v>
      </c>
      <c r="H1982" s="544">
        <v>1</v>
      </c>
      <c r="I1982" s="544">
        <v>15</v>
      </c>
      <c r="J1982" s="544">
        <f>COUNTIF(Elan!$C$13:$F$25,Tablas!E1982)+COUNTIF(Elan!$U$13:$X$25,Tablas!E1982)</f>
        <v>0</v>
      </c>
      <c r="K1982" s="544">
        <f>IF(J1982&gt;0,1,0)</f>
        <v>0</v>
      </c>
      <c r="L1982" s="7875" t="s">
        <v>6256</v>
      </c>
      <c r="M1982" s="7875"/>
      <c r="N1982" s="7875"/>
      <c r="O1982" s="7875"/>
      <c r="P1982" s="7875"/>
      <c r="Q1982" s="7876"/>
      <c r="R1982" s="877">
        <f>IF(OR($J1982=0,$J1982="Aprendida"),0,SUM($J$1934:$J1982))</f>
        <v>0</v>
      </c>
      <c r="T1982" s="983" t="str">
        <f>E2013</f>
        <v>Rafael</v>
      </c>
      <c r="U1982" s="984"/>
      <c r="V1982" s="990"/>
      <c r="W1982" s="984"/>
      <c r="X1982" s="984"/>
      <c r="Y1982" s="1165"/>
    </row>
    <row r="1983" spans="1:25" ht="12.75" customHeight="1">
      <c r="A1983" s="219">
        <v>1877</v>
      </c>
      <c r="B1983" s="7145"/>
      <c r="E1983" s="874" t="s">
        <v>6041</v>
      </c>
      <c r="F1983" s="544"/>
      <c r="G1983" s="544">
        <v>70</v>
      </c>
      <c r="H1983" s="544">
        <f>IF(J1979,1,0)</f>
        <v>0</v>
      </c>
      <c r="I1983" s="544">
        <v>10</v>
      </c>
      <c r="J1983" s="544">
        <f>COUNTIF(Elan!$C$13:$F$25,Tablas!E1983)+COUNTIF(Elan!$U$13:$X$25,Tablas!E1983)</f>
        <v>0</v>
      </c>
      <c r="K1983" s="544"/>
      <c r="L1983" s="7875" t="str">
        <f>"Todo aquel a quien mire a los ojos durante más de dos asaltos debe de realizar un control de RM o RP contra "&amp;F1973+40&amp;", o será controlado."</f>
        <v>Todo aquel a quien mire a los ojos durante más de dos asaltos debe de realizar un control de RM o RP contra 40, o será controlado.</v>
      </c>
      <c r="M1983" s="7875"/>
      <c r="N1983" s="7875"/>
      <c r="O1983" s="7875"/>
      <c r="P1983" s="7875"/>
      <c r="Q1983" s="7876"/>
      <c r="R1983" s="877">
        <f>IF(OR($J1983=0,$J1983="Aprendida"),0,SUM($J$1934:$J1983))</f>
        <v>0</v>
      </c>
      <c r="T1983" s="985" t="s">
        <v>6295</v>
      </c>
      <c r="U1983" s="986">
        <v>1</v>
      </c>
      <c r="V1983" s="987" t="s">
        <v>6296</v>
      </c>
      <c r="W1983" s="986">
        <v>2</v>
      </c>
      <c r="X1983" s="986" t="s">
        <v>6297</v>
      </c>
      <c r="Y1983" s="1166">
        <v>-5</v>
      </c>
    </row>
    <row r="1984" spans="1:25" ht="12.75" customHeight="1">
      <c r="A1984" s="219">
        <v>1878</v>
      </c>
      <c r="B1984" s="7145"/>
      <c r="E1984" s="874" t="s">
        <v>9891</v>
      </c>
      <c r="F1984" s="544"/>
      <c r="G1984" s="544">
        <v>80</v>
      </c>
      <c r="H1984" s="544">
        <v>1</v>
      </c>
      <c r="I1984" s="544">
        <v>15</v>
      </c>
      <c r="J1984" s="544">
        <f>COUNTIF(Elan!$C$13:$F$25,Tablas!E1984)+COUNTIF(Elan!$U$13:$X$25,Tablas!E1984)</f>
        <v>0</v>
      </c>
      <c r="K1984" s="544"/>
      <c r="L1984" s="7875" t="s">
        <v>6239</v>
      </c>
      <c r="M1984" s="7875"/>
      <c r="N1984" s="7875"/>
      <c r="O1984" s="7875"/>
      <c r="P1984" s="7875"/>
      <c r="Q1984" s="7876"/>
      <c r="R1984" s="877">
        <f>IF(OR($J1984=0,$J1984="Aprendida"),0,SUM($J$1934:$J1984))</f>
        <v>0</v>
      </c>
      <c r="T1984" s="985" t="s">
        <v>6298</v>
      </c>
      <c r="U1984" s="986">
        <v>5</v>
      </c>
      <c r="V1984" s="987" t="s">
        <v>6298</v>
      </c>
      <c r="W1984" s="986">
        <v>1</v>
      </c>
      <c r="X1984" s="986" t="s">
        <v>6299</v>
      </c>
      <c r="Y1984" s="1166">
        <v>-3</v>
      </c>
    </row>
    <row r="1985" spans="1:25" ht="12.75" customHeight="1">
      <c r="A1985" s="219">
        <v>1879</v>
      </c>
      <c r="B1985" s="7145"/>
      <c r="E1985" s="874" t="s">
        <v>6042</v>
      </c>
      <c r="F1985" s="544"/>
      <c r="G1985" s="544">
        <v>90</v>
      </c>
      <c r="H1985" s="544">
        <f>IF(J1983,1,0)</f>
        <v>0</v>
      </c>
      <c r="I1985" s="544">
        <v>10</v>
      </c>
      <c r="J1985" s="544">
        <f>COUNTIF(Elan!$C$13:$F$25,Tablas!E1985)+COUNTIF(Elan!$U$13:$X$25,Tablas!E1985)</f>
        <v>0</v>
      </c>
      <c r="K1985" s="544"/>
      <c r="L1985" s="7875" t="str">
        <f>"Todo aquel que se encuentre a menos de 10 metros del PJ debe de realizar un control de RM o RP contra "&amp;F1973+20&amp;", o será controlado."</f>
        <v>Todo aquel que se encuentre a menos de 10 metros del PJ debe de realizar un control de RM o RP contra 20, o será controlado.</v>
      </c>
      <c r="M1985" s="7875"/>
      <c r="N1985" s="7875"/>
      <c r="O1985" s="7875"/>
      <c r="P1985" s="7875"/>
      <c r="Q1985" s="7876"/>
      <c r="R1985" s="877">
        <f>IF(OR($J1985=0,$J1985="Aprendida"),0,SUM($J$1934:$J1985))</f>
        <v>0</v>
      </c>
      <c r="T1985" s="985" t="s">
        <v>6300</v>
      </c>
      <c r="U1985" s="986">
        <v>3</v>
      </c>
      <c r="V1985" s="987" t="s">
        <v>6301</v>
      </c>
      <c r="W1985" s="986">
        <v>2</v>
      </c>
      <c r="X1985" s="986" t="s">
        <v>6302</v>
      </c>
      <c r="Y1985" s="1166">
        <v>-10</v>
      </c>
    </row>
    <row r="1986" spans="1:25" ht="12.75" customHeight="1">
      <c r="A1986" s="219">
        <v>1880</v>
      </c>
      <c r="B1986" s="7145"/>
      <c r="E1986" s="874" t="s">
        <v>6043</v>
      </c>
      <c r="F1986" s="544"/>
      <c r="G1986" s="544">
        <v>100</v>
      </c>
      <c r="H1986" s="544">
        <v>1</v>
      </c>
      <c r="I1986" s="544">
        <v>10</v>
      </c>
      <c r="J1986" s="544">
        <f>COUNTIF(Elan!$C$13:$F$25,Tablas!E1986)+COUNTIF(Elan!$U$13:$X$25,Tablas!E1986)</f>
        <v>0</v>
      </c>
      <c r="K1986" s="544"/>
      <c r="L1986" s="7875" t="s">
        <v>6257</v>
      </c>
      <c r="M1986" s="7875"/>
      <c r="N1986" s="7875"/>
      <c r="O1986" s="7875"/>
      <c r="P1986" s="7875"/>
      <c r="Q1986" s="7876"/>
      <c r="R1986" s="877">
        <f>IF(OR($J1986=0,$J1986="Aprendida"),0,SUM($J$1934:$J1986))</f>
        <v>0</v>
      </c>
      <c r="T1986" s="985" t="s">
        <v>6304</v>
      </c>
      <c r="U1986" s="986">
        <v>1</v>
      </c>
      <c r="V1986" s="987"/>
      <c r="W1986" s="986"/>
      <c r="X1986" s="986"/>
      <c r="Y1986" s="1166"/>
    </row>
    <row r="1987" spans="1:25" ht="12.75" customHeight="1">
      <c r="A1987" s="219">
        <v>1881</v>
      </c>
      <c r="B1987" s="7145"/>
      <c r="E1987" s="873" t="s">
        <v>5896</v>
      </c>
      <c r="F1987" s="1253">
        <f>IF(Elan!$C$11=Tablas!$E1987,Elan!$G$11,IF(Elan!$U$11=Tablas!$E1987,Elan!$Y$11,0))</f>
        <v>0</v>
      </c>
      <c r="G1987" s="866" t="s">
        <v>1674</v>
      </c>
      <c r="H1987" s="866" t="s">
        <v>7873</v>
      </c>
      <c r="I1987" s="866" t="s">
        <v>1349</v>
      </c>
      <c r="J1987" s="866" t="s">
        <v>5998</v>
      </c>
      <c r="K1987" s="866" t="s">
        <v>6646</v>
      </c>
      <c r="L1987" s="866" t="s">
        <v>1408</v>
      </c>
      <c r="M1987" s="545"/>
      <c r="N1987" s="545"/>
      <c r="O1987" s="545"/>
      <c r="P1987" s="545"/>
      <c r="Q1987" s="871"/>
      <c r="R1987" s="877">
        <f>IF(OR($J1987=0,$J1987="Aprendida"),0,SUM($J$1934:$J1987))</f>
        <v>0</v>
      </c>
      <c r="T1987" s="985" t="s">
        <v>6305</v>
      </c>
      <c r="U1987" s="986">
        <v>5</v>
      </c>
      <c r="V1987" s="987"/>
      <c r="W1987" s="986"/>
      <c r="X1987" s="986"/>
      <c r="Y1987" s="1166"/>
    </row>
    <row r="1988" spans="1:25" ht="12.75" customHeight="1">
      <c r="A1988" s="219">
        <v>1882</v>
      </c>
      <c r="B1988" s="7145"/>
      <c r="E1988" s="874" t="s">
        <v>6044</v>
      </c>
      <c r="F1988" s="544"/>
      <c r="G1988" s="544">
        <v>10</v>
      </c>
      <c r="H1988" s="544">
        <v>1</v>
      </c>
      <c r="I1988" s="544">
        <v>5</v>
      </c>
      <c r="J1988" s="544">
        <f>COUNTIF(Elan!$C$13:$F$25,Tablas!E1988)+COUNTIF(Elan!$U$13:$X$25,Tablas!E1988)</f>
        <v>0</v>
      </c>
      <c r="K1988" s="544">
        <f>F$1987*J1988</f>
        <v>0</v>
      </c>
      <c r="L1988" s="7875" t="str">
        <f>"Otorga un bono especial a sus habilidades secundarias Arte y Música de +"&amp;K1988&amp;"."</f>
        <v>Otorga un bono especial a sus habilidades secundarias Arte y Música de +0.</v>
      </c>
      <c r="M1988" s="7875"/>
      <c r="N1988" s="7875"/>
      <c r="O1988" s="7875"/>
      <c r="P1988" s="7875"/>
      <c r="Q1988" s="7876"/>
      <c r="R1988" s="877">
        <f>IF(OR($J1988=0,$J1988="Aprendida"),0,SUM($J$1934:$J1988))</f>
        <v>0</v>
      </c>
      <c r="T1988" s="988"/>
      <c r="U1988" s="989"/>
      <c r="V1988" s="989"/>
      <c r="W1988" s="989"/>
      <c r="X1988" s="989"/>
      <c r="Y1988" s="1167"/>
    </row>
    <row r="1989" spans="1:25" ht="12.75" customHeight="1">
      <c r="A1989" s="219">
        <v>1883</v>
      </c>
      <c r="B1989" s="7145"/>
      <c r="E1989" s="874" t="s">
        <v>6045</v>
      </c>
      <c r="F1989" s="544"/>
      <c r="G1989" s="544">
        <v>20</v>
      </c>
      <c r="H1989" s="544">
        <v>1</v>
      </c>
      <c r="I1989" s="544">
        <v>5</v>
      </c>
      <c r="J1989" s="544">
        <f>COUNTIF(Elan!$C$13:$F$25,Tablas!E1989)+COUNTIF(Elan!$U$13:$X$25,Tablas!E1989)</f>
        <v>0</v>
      </c>
      <c r="K1989" s="544"/>
      <c r="L1989" s="7875" t="s">
        <v>6261</v>
      </c>
      <c r="M1989" s="7875"/>
      <c r="N1989" s="7875"/>
      <c r="O1989" s="7875"/>
      <c r="P1989" s="7875"/>
      <c r="Q1989" s="7876"/>
      <c r="R1989" s="877">
        <f>IF(OR($J1989=0,$J1989="Aprendida"),0,SUM($J$1934:$J1989))</f>
        <v>0</v>
      </c>
      <c r="T1989" s="988"/>
      <c r="U1989" s="989"/>
      <c r="V1989" s="989"/>
      <c r="W1989" s="989"/>
      <c r="X1989" s="989"/>
      <c r="Y1989" s="1167"/>
    </row>
    <row r="1990" spans="1:25" ht="12.75" customHeight="1">
      <c r="A1990" s="219">
        <v>1884</v>
      </c>
      <c r="B1990" s="7145"/>
      <c r="E1990" s="874" t="s">
        <v>6046</v>
      </c>
      <c r="F1990" s="544"/>
      <c r="G1990" s="544">
        <v>30</v>
      </c>
      <c r="H1990" s="544">
        <v>1</v>
      </c>
      <c r="I1990" s="544">
        <v>10</v>
      </c>
      <c r="J1990" s="544">
        <f>COUNTIF(Elan!$C$13:$F$25,Tablas!E1990)+COUNTIF(Elan!$U$13:$X$25,Tablas!E1990)</f>
        <v>0</v>
      </c>
      <c r="K1990" s="544"/>
      <c r="L1990" s="7875" t="s">
        <v>6265</v>
      </c>
      <c r="M1990" s="7875"/>
      <c r="N1990" s="7875"/>
      <c r="O1990" s="7875"/>
      <c r="P1990" s="7875"/>
      <c r="Q1990" s="7876"/>
      <c r="R1990" s="877">
        <f>IF(OR($J1990=0,$J1990="Aprendida"),0,SUM($J$1934:$J1990))</f>
        <v>0</v>
      </c>
      <c r="T1990" s="983" t="str">
        <f>E2027</f>
        <v>Erebus</v>
      </c>
      <c r="U1990" s="984"/>
      <c r="V1990" s="990"/>
      <c r="W1990" s="984"/>
      <c r="X1990" s="984"/>
      <c r="Y1990" s="1165"/>
    </row>
    <row r="1991" spans="1:25" ht="12.75" customHeight="1">
      <c r="A1991" s="219">
        <v>1885</v>
      </c>
      <c r="B1991" s="7145"/>
      <c r="E1991" s="874" t="s">
        <v>6047</v>
      </c>
      <c r="F1991" s="544"/>
      <c r="G1991" s="544">
        <v>40</v>
      </c>
      <c r="H1991" s="544">
        <v>1</v>
      </c>
      <c r="I1991" s="544">
        <v>10</v>
      </c>
      <c r="J1991" s="544">
        <f>COUNTIF(Elan!$C$13:$F$25,Tablas!E1991)+COUNTIF(Elan!$U$13:$X$25,Tablas!E1991)</f>
        <v>0</v>
      </c>
      <c r="K1991" s="544"/>
      <c r="L1991" s="7875" t="s">
        <v>6268</v>
      </c>
      <c r="M1991" s="7875"/>
      <c r="N1991" s="7875"/>
      <c r="O1991" s="7875"/>
      <c r="P1991" s="7875"/>
      <c r="Q1991" s="7876"/>
      <c r="R1991" s="877">
        <f>IF(OR($J1991=0,$J1991="Aprendida"),0,SUM($J$1934:$J1991))</f>
        <v>0</v>
      </c>
      <c r="T1991" s="985" t="s">
        <v>6306</v>
      </c>
      <c r="U1991" s="986">
        <v>2</v>
      </c>
      <c r="V1991" s="987" t="s">
        <v>6307</v>
      </c>
      <c r="W1991" s="986">
        <v>2</v>
      </c>
      <c r="X1991" s="986" t="s">
        <v>6308</v>
      </c>
      <c r="Y1991" s="1166">
        <v>-3</v>
      </c>
    </row>
    <row r="1992" spans="1:25" ht="12.75" customHeight="1">
      <c r="A1992" s="219">
        <v>1886</v>
      </c>
      <c r="B1992" s="7145"/>
      <c r="E1992" s="874" t="s">
        <v>1135</v>
      </c>
      <c r="F1992" s="544"/>
      <c r="G1992" s="544">
        <v>40</v>
      </c>
      <c r="H1992" s="544">
        <v>1</v>
      </c>
      <c r="I1992" s="544">
        <v>10</v>
      </c>
      <c r="J1992" s="544">
        <f>COUNTIF(Elan!$C$13:$F$25,Tablas!E1992)+COUNTIF(Elan!$U$13:$X$25,Tablas!E1992)</f>
        <v>0</v>
      </c>
      <c r="K1992" s="544"/>
      <c r="L1992" s="7875" t="str">
        <f>"El PJ se vuelve inmune a cualquier estado psicológico negativo, como miedo, rabia o tristeza. Si se le inducen sobrenaturalmente suma +"&amp;F1987&amp;" a su RM."</f>
        <v>El PJ se vuelve inmune a cualquier estado psicológico negativo, como miedo, rabia o tristeza. Si se le inducen sobrenaturalmente suma +0 a su RM.</v>
      </c>
      <c r="M1992" s="7875"/>
      <c r="N1992" s="7875"/>
      <c r="O1992" s="7875"/>
      <c r="P1992" s="7875"/>
      <c r="Q1992" s="7876"/>
      <c r="R1992" s="877">
        <f>IF(OR($J1992=0,$J1992="Aprendida"),0,SUM($J$1934:$J1992))</f>
        <v>0</v>
      </c>
      <c r="T1992" s="985" t="s">
        <v>6309</v>
      </c>
      <c r="U1992" s="986">
        <v>3</v>
      </c>
      <c r="V1992" s="987" t="s">
        <v>6310</v>
      </c>
      <c r="W1992" s="986">
        <v>2</v>
      </c>
      <c r="X1992" s="986" t="s">
        <v>6311</v>
      </c>
      <c r="Y1992" s="1166">
        <v>-2</v>
      </c>
    </row>
    <row r="1993" spans="1:25" ht="12.75" customHeight="1">
      <c r="A1993" s="219">
        <v>1887</v>
      </c>
      <c r="B1993" s="7145"/>
      <c r="E1993" s="874" t="s">
        <v>6048</v>
      </c>
      <c r="F1993" s="544"/>
      <c r="G1993" s="544">
        <v>50</v>
      </c>
      <c r="H1993" s="544">
        <v>1</v>
      </c>
      <c r="I1993" s="544">
        <v>10</v>
      </c>
      <c r="J1993" s="544">
        <f>COUNTIF(Elan!$C$13:$F$25,Tablas!E1993)+COUNTIF(Elan!$U$13:$X$25,Tablas!E1993)</f>
        <v>0</v>
      </c>
      <c r="K1993" s="544"/>
      <c r="L1993" s="7875" t="s">
        <v>6274</v>
      </c>
      <c r="M1993" s="7875"/>
      <c r="N1993" s="7875"/>
      <c r="O1993" s="7875"/>
      <c r="P1993" s="7875"/>
      <c r="Q1993" s="7876"/>
      <c r="R1993" s="877">
        <f>IF(OR($J1993=0,$J1993="Aprendida"),0,SUM($J$1934:$J1993))</f>
        <v>0</v>
      </c>
      <c r="T1993" s="985" t="s">
        <v>6313</v>
      </c>
      <c r="U1993" s="986">
        <v>2</v>
      </c>
      <c r="V1993" s="987" t="s">
        <v>6314</v>
      </c>
      <c r="W1993" s="986">
        <v>2</v>
      </c>
      <c r="X1993" s="986"/>
      <c r="Y1993" s="1166"/>
    </row>
    <row r="1994" spans="1:25" ht="12.75" customHeight="1">
      <c r="A1994" s="219">
        <v>1888</v>
      </c>
      <c r="B1994" s="7145"/>
      <c r="E1994" s="874" t="s">
        <v>6049</v>
      </c>
      <c r="F1994" s="544"/>
      <c r="G1994" s="544">
        <v>50</v>
      </c>
      <c r="H1994" s="544">
        <v>1</v>
      </c>
      <c r="I1994" s="544">
        <v>15</v>
      </c>
      <c r="J1994" s="544">
        <f>COUNTIF(Elan!$C$13:$F$25,Tablas!E1994)+COUNTIF(Elan!$U$13:$X$25,Tablas!E1994)</f>
        <v>0</v>
      </c>
      <c r="K1994" s="544"/>
      <c r="L1994" s="7875" t="str">
        <f>"Permite inducir un sentimiento positivo si el objetivo no supera una RM contra "&amp;F1987*2&amp;"."</f>
        <v>Permite inducir un sentimiento positivo si el objetivo no supera una RM contra 0.</v>
      </c>
      <c r="M1994" s="7875"/>
      <c r="N1994" s="7875"/>
      <c r="O1994" s="7875"/>
      <c r="P1994" s="7875"/>
      <c r="Q1994" s="7876"/>
      <c r="R1994" s="877">
        <f>IF(OR($J1994=0,$J1994="Aprendida"),0,SUM($J$1934:$J1994))</f>
        <v>0</v>
      </c>
      <c r="T1994" s="985" t="s">
        <v>6316</v>
      </c>
      <c r="U1994" s="986">
        <v>3</v>
      </c>
      <c r="V1994" s="987"/>
      <c r="W1994" s="986"/>
      <c r="X1994" s="986"/>
      <c r="Y1994" s="1166"/>
    </row>
    <row r="1995" spans="1:25" ht="12.75" customHeight="1">
      <c r="A1995" s="219">
        <v>1889</v>
      </c>
      <c r="B1995" s="7145"/>
      <c r="E1995" s="874" t="s">
        <v>2002</v>
      </c>
      <c r="F1995" s="544"/>
      <c r="G1995" s="544">
        <v>60</v>
      </c>
      <c r="H1995" s="544">
        <v>1</v>
      </c>
      <c r="I1995" s="544">
        <v>15</v>
      </c>
      <c r="J1995" s="544">
        <f>COUNTIF(Elan!$C$13:$F$25,Tablas!E1995)+COUNTIF(Elan!$U$13:$X$25,Tablas!E1995)</f>
        <v>0</v>
      </c>
      <c r="K1995" s="544"/>
      <c r="L1995" s="7875" t="s">
        <v>6275</v>
      </c>
      <c r="M1995" s="7875"/>
      <c r="N1995" s="7875"/>
      <c r="O1995" s="7875"/>
      <c r="P1995" s="7875"/>
      <c r="Q1995" s="7876"/>
      <c r="R1995" s="877">
        <f>IF(OR($J1995=0,$J1995="Aprendida"),0,SUM($J$1934:$J1995))</f>
        <v>0</v>
      </c>
      <c r="T1995" s="985" t="s">
        <v>6317</v>
      </c>
      <c r="U1995" s="986">
        <v>2</v>
      </c>
      <c r="V1995" s="987"/>
      <c r="W1995" s="986"/>
      <c r="X1995" s="986"/>
      <c r="Y1995" s="1166"/>
    </row>
    <row r="1996" spans="1:25" ht="12.75" customHeight="1">
      <c r="A1996" s="219">
        <v>1890</v>
      </c>
      <c r="B1996" s="7145"/>
      <c r="E1996" s="874" t="s">
        <v>6050</v>
      </c>
      <c r="F1996" s="544"/>
      <c r="G1996" s="544">
        <v>70</v>
      </c>
      <c r="H1996" s="544">
        <v>1</v>
      </c>
      <c r="I1996" s="544">
        <v>10</v>
      </c>
      <c r="J1996" s="544">
        <f>COUNTIF(Elan!$C$13:$F$25,Tablas!E1996)+COUNTIF(Elan!$U$13:$X$25,Tablas!E1996)</f>
        <v>0</v>
      </c>
      <c r="K1996" s="544"/>
      <c r="L1996" s="7875" t="s">
        <v>9892</v>
      </c>
      <c r="M1996" s="7875"/>
      <c r="N1996" s="7875"/>
      <c r="O1996" s="7875"/>
      <c r="P1996" s="7875"/>
      <c r="Q1996" s="7876"/>
      <c r="R1996" s="877">
        <f>IF(OR($J1996=0,$J1996="Aprendida"),0,SUM($J$1934:$J1996))</f>
        <v>0</v>
      </c>
      <c r="T1996" s="985" t="s">
        <v>6318</v>
      </c>
      <c r="U1996" s="986">
        <v>2</v>
      </c>
      <c r="V1996" s="987"/>
      <c r="W1996" s="986"/>
      <c r="X1996" s="986"/>
      <c r="Y1996" s="1166"/>
    </row>
    <row r="1997" spans="1:25" ht="12.75" customHeight="1">
      <c r="A1997" s="219">
        <v>1891</v>
      </c>
      <c r="B1997" s="7145"/>
      <c r="E1997" s="874" t="s">
        <v>6051</v>
      </c>
      <c r="F1997" s="544"/>
      <c r="G1997" s="544">
        <v>80</v>
      </c>
      <c r="H1997" s="544">
        <v>1</v>
      </c>
      <c r="I1997" s="544">
        <v>15</v>
      </c>
      <c r="J1997" s="544">
        <f>COUNTIF(Elan!$C$13:$F$25,Tablas!E1997)+COUNTIF(Elan!$U$13:$X$25,Tablas!E1997)</f>
        <v>0</v>
      </c>
      <c r="K1997" s="544"/>
      <c r="L1997" s="7875" t="str">
        <f>"La canción se oye en un radio de "&amp;F1987*100&amp;" metros. Quien la escuche por más de medio minuto deberá superar una RM contra "&amp;F1987*2&amp;"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997" s="7875"/>
      <c r="N1997" s="7875"/>
      <c r="O1997" s="7875"/>
      <c r="P1997" s="7875"/>
      <c r="Q1997" s="7876"/>
      <c r="R1997" s="877">
        <f>IF(OR($J1997=0,$J1997="Aprendida"),0,SUM($J$1934:$J1997))</f>
        <v>0</v>
      </c>
      <c r="T1997" s="988"/>
      <c r="U1997" s="989"/>
      <c r="V1997" s="989"/>
      <c r="W1997" s="989"/>
      <c r="X1997" s="989"/>
      <c r="Y1997" s="1167"/>
    </row>
    <row r="1998" spans="1:25" ht="12.75" customHeight="1">
      <c r="A1998" s="219">
        <v>1892</v>
      </c>
      <c r="B1998" s="7145"/>
      <c r="E1998" s="874" t="s">
        <v>6052</v>
      </c>
      <c r="F1998" s="544"/>
      <c r="G1998" s="544">
        <v>90</v>
      </c>
      <c r="H1998" s="544">
        <v>1</v>
      </c>
      <c r="I1998" s="544">
        <v>20</v>
      </c>
      <c r="J1998" s="544">
        <f>COUNTIF(Elan!$C$13:$F$25,Tablas!E1998)+COUNTIF(Elan!$U$13:$X$25,Tablas!E1998)</f>
        <v>0</v>
      </c>
      <c r="K1998" s="544"/>
      <c r="L1998" s="7875" t="str">
        <f>"Todo ser capaz de albergar sentimientos se ve obligado a realizar una RM contra "&amp;F1987*2&amp;" o, de lo contrario, se sentirá incapaz de perjudicarle."</f>
        <v>Todo ser capaz de albergar sentimientos se ve obligado a realizar una RM contra 0 o, de lo contrario, se sentirá incapaz de perjudicarle.</v>
      </c>
      <c r="M1998" s="7875"/>
      <c r="N1998" s="7875"/>
      <c r="O1998" s="7875"/>
      <c r="P1998" s="7875"/>
      <c r="Q1998" s="7876"/>
      <c r="R1998" s="877">
        <f>IF(OR($J1998=0,$J1998="Aprendida"),0,SUM($J$1934:$J1998))</f>
        <v>0</v>
      </c>
      <c r="T1998" s="983" t="str">
        <f>E2039</f>
        <v>Azrael</v>
      </c>
      <c r="U1998" s="984"/>
      <c r="V1998" s="990"/>
      <c r="W1998" s="984"/>
      <c r="X1998" s="984"/>
      <c r="Y1998" s="1165"/>
    </row>
    <row r="1999" spans="1:25" ht="12.75" customHeight="1">
      <c r="A1999" s="219">
        <v>1893</v>
      </c>
      <c r="B1999" s="7145"/>
      <c r="E1999" s="874" t="s">
        <v>6053</v>
      </c>
      <c r="F1999" s="544"/>
      <c r="G1999" s="544">
        <v>100</v>
      </c>
      <c r="H1999" s="544">
        <v>1</v>
      </c>
      <c r="I1999" s="544">
        <v>10</v>
      </c>
      <c r="J1999" s="544">
        <f>COUNTIF(Elan!$C$13:$F$25,Tablas!E1999)+COUNTIF(Elan!$U$13:$X$25,Tablas!E1999)</f>
        <v>0</v>
      </c>
      <c r="K1999" s="544"/>
      <c r="L1999" s="7875" t="s">
        <v>9893</v>
      </c>
      <c r="M1999" s="7875"/>
      <c r="N1999" s="7875"/>
      <c r="O1999" s="7875"/>
      <c r="P1999" s="7875"/>
      <c r="Q1999" s="7876"/>
      <c r="R1999" s="877">
        <f>IF(OR($J1999=0,$J1999="Aprendida"),0,SUM($J$1934:$J1999))</f>
        <v>0</v>
      </c>
      <c r="T1999" s="985" t="s">
        <v>6322</v>
      </c>
      <c r="U1999" s="986">
        <v>3</v>
      </c>
      <c r="V1999" s="987" t="s">
        <v>6323</v>
      </c>
      <c r="W1999" s="986">
        <v>1</v>
      </c>
      <c r="X1999" s="986" t="s">
        <v>6324</v>
      </c>
      <c r="Y1999" s="1166">
        <v>-2</v>
      </c>
    </row>
    <row r="2000" spans="1:25" ht="12.75" customHeight="1">
      <c r="A2000" s="219">
        <v>1894</v>
      </c>
      <c r="B2000" s="7145"/>
      <c r="E2000" s="873" t="s">
        <v>5989</v>
      </c>
      <c r="F2000" s="1253">
        <f>IF(Elan!$C$11=Tablas!$E2000,Elan!$G$11,IF(Elan!$U$11=Tablas!$E2000,Elan!$Y$11,0))</f>
        <v>0</v>
      </c>
      <c r="G2000" s="866" t="s">
        <v>1674</v>
      </c>
      <c r="H2000" s="866" t="s">
        <v>7873</v>
      </c>
      <c r="I2000" s="866" t="s">
        <v>1349</v>
      </c>
      <c r="J2000" s="866" t="s">
        <v>5998</v>
      </c>
      <c r="K2000" s="866" t="s">
        <v>6646</v>
      </c>
      <c r="L2000" s="866" t="s">
        <v>1408</v>
      </c>
      <c r="M2000" s="545"/>
      <c r="N2000" s="545"/>
      <c r="O2000" s="545"/>
      <c r="P2000" s="545"/>
      <c r="Q2000" s="871"/>
      <c r="R2000" s="877">
        <f>IF(OR($J2000=0,$J2000="Aprendida"),0,SUM($J$1934:$J2000))</f>
        <v>0</v>
      </c>
      <c r="T2000" s="985" t="s">
        <v>6325</v>
      </c>
      <c r="U2000" s="986">
        <v>2</v>
      </c>
      <c r="V2000" s="987" t="s">
        <v>6326</v>
      </c>
      <c r="W2000" s="986">
        <v>2</v>
      </c>
      <c r="X2000" s="986" t="s">
        <v>6327</v>
      </c>
      <c r="Y2000" s="1166">
        <v>-8</v>
      </c>
    </row>
    <row r="2001" spans="1:25" ht="12.75" customHeight="1">
      <c r="A2001" s="219">
        <v>1895</v>
      </c>
      <c r="B2001" s="7145"/>
      <c r="E2001" s="874" t="s">
        <v>6054</v>
      </c>
      <c r="F2001" s="544"/>
      <c r="G2001" s="544">
        <v>10</v>
      </c>
      <c r="H2001" s="544">
        <v>1</v>
      </c>
      <c r="I2001" s="544">
        <v>5</v>
      </c>
      <c r="J2001" s="544">
        <f>COUNTIF(Elan!$C$13:$F$25,Tablas!E2001)+COUNTIF(Elan!$U$13:$X$25,Tablas!E2001)</f>
        <v>0</v>
      </c>
      <c r="K2001" s="544"/>
      <c r="L2001" s="7875" t="s">
        <v>6276</v>
      </c>
      <c r="M2001" s="7875"/>
      <c r="N2001" s="7875"/>
      <c r="O2001" s="7875"/>
      <c r="P2001" s="7875"/>
      <c r="Q2001" s="7876"/>
      <c r="R2001" s="877">
        <f>IF(OR($J2001=0,$J2001="Aprendida"),0,SUM($J$1934:$J2001))</f>
        <v>0</v>
      </c>
      <c r="T2001" s="985" t="s">
        <v>6329</v>
      </c>
      <c r="U2001" s="986">
        <v>5</v>
      </c>
      <c r="V2001" s="987" t="s">
        <v>6330</v>
      </c>
      <c r="W2001" s="986">
        <v>2</v>
      </c>
      <c r="X2001" s="986" t="s">
        <v>6331</v>
      </c>
      <c r="Y2001" s="1166">
        <v>-2</v>
      </c>
    </row>
    <row r="2002" spans="1:25" ht="12.75" customHeight="1">
      <c r="A2002" s="219">
        <v>1896</v>
      </c>
      <c r="B2002" s="7145"/>
      <c r="E2002" s="874" t="s">
        <v>6055</v>
      </c>
      <c r="F2002" s="544"/>
      <c r="G2002" s="544">
        <v>20</v>
      </c>
      <c r="H2002" s="544">
        <v>1</v>
      </c>
      <c r="I2002" s="544">
        <v>10</v>
      </c>
      <c r="J2002" s="544">
        <f>COUNTIF(Elan!$C$13:$F$25,Tablas!E2002)+COUNTIF(Elan!$U$13:$X$25,Tablas!E2002)</f>
        <v>0</v>
      </c>
      <c r="K2002" s="544"/>
      <c r="L2002" s="7875" t="s">
        <v>6280</v>
      </c>
      <c r="M2002" s="7875"/>
      <c r="N2002" s="7875"/>
      <c r="O2002" s="7875"/>
      <c r="P2002" s="7875"/>
      <c r="Q2002" s="7876"/>
      <c r="R2002" s="877">
        <f>IF(OR($J2002=0,$J2002="Aprendida"),0,SUM($J$1934:$J2002))</f>
        <v>0</v>
      </c>
      <c r="T2002" s="985" t="s">
        <v>6332</v>
      </c>
      <c r="U2002" s="986">
        <v>2</v>
      </c>
      <c r="V2002" s="987" t="s">
        <v>6333</v>
      </c>
      <c r="W2002" s="986">
        <v>3</v>
      </c>
      <c r="X2002" s="986"/>
      <c r="Y2002" s="1166"/>
    </row>
    <row r="2003" spans="1:25" ht="12.75" customHeight="1">
      <c r="A2003" s="219">
        <v>1897</v>
      </c>
      <c r="B2003" s="7145"/>
      <c r="E2003" s="874" t="s">
        <v>6056</v>
      </c>
      <c r="F2003" s="544"/>
      <c r="G2003" s="544">
        <v>20</v>
      </c>
      <c r="H2003" s="544">
        <v>1</v>
      </c>
      <c r="I2003" s="544">
        <v>5</v>
      </c>
      <c r="J2003" s="544">
        <f>COUNTIF(Elan!$C$13:$F$25,Tablas!E2003)+COUNTIF(Elan!$U$13:$X$25,Tablas!E2003)</f>
        <v>0</v>
      </c>
      <c r="K2003" s="544">
        <f>ROUNDDOWN(F$2000/2,0)*J2003</f>
        <v>0</v>
      </c>
      <c r="L2003" s="7875" t="str">
        <f>"El PJ obtiene un bono a su RF de +"&amp;K2003&amp;"."</f>
        <v>El PJ obtiene un bono a su RF de +0.</v>
      </c>
      <c r="M2003" s="7875"/>
      <c r="N2003" s="7875"/>
      <c r="O2003" s="7875"/>
      <c r="P2003" s="7875"/>
      <c r="Q2003" s="7876"/>
      <c r="R2003" s="877">
        <f>IF(OR($J2003=0,$J2003="Aprendida"),0,SUM($J$1934:$J2003))</f>
        <v>0</v>
      </c>
      <c r="T2003" s="985" t="s">
        <v>6335</v>
      </c>
      <c r="U2003" s="986">
        <v>2</v>
      </c>
      <c r="V2003" s="987"/>
      <c r="W2003" s="986"/>
      <c r="X2003" s="986"/>
      <c r="Y2003" s="1166"/>
    </row>
    <row r="2004" spans="1:25" ht="12.75" customHeight="1">
      <c r="A2004" s="219">
        <v>1898</v>
      </c>
      <c r="B2004" s="7145"/>
      <c r="E2004" s="874" t="s">
        <v>1594</v>
      </c>
      <c r="F2004" s="544"/>
      <c r="G2004" s="544">
        <v>30</v>
      </c>
      <c r="H2004" s="544">
        <v>1</v>
      </c>
      <c r="I2004" s="544">
        <v>5</v>
      </c>
      <c r="J2004" s="544">
        <f>COUNTIF(Elan!$C$13:$F$25,Tablas!E2004)+COUNTIF(Elan!$U$13:$X$25,Tablas!E2004)</f>
        <v>0</v>
      </c>
      <c r="K2004" s="544"/>
      <c r="L2004" s="7875" t="s">
        <v>6287</v>
      </c>
      <c r="M2004" s="7875"/>
      <c r="N2004" s="7875"/>
      <c r="O2004" s="7875"/>
      <c r="P2004" s="7875"/>
      <c r="Q2004" s="7876"/>
      <c r="R2004" s="877">
        <f>IF(OR($J2004=0,$J2004="Aprendida"),0,SUM($J$1934:$J2004))</f>
        <v>0</v>
      </c>
      <c r="T2004" s="985" t="s">
        <v>6336</v>
      </c>
      <c r="U2004" s="986">
        <v>3</v>
      </c>
      <c r="V2004" s="987"/>
      <c r="W2004" s="986"/>
      <c r="X2004" s="986"/>
      <c r="Y2004" s="1166"/>
    </row>
    <row r="2005" spans="1:25" ht="12.75" customHeight="1">
      <c r="A2005" s="219">
        <v>1899</v>
      </c>
      <c r="B2005" s="7145"/>
      <c r="E2005" s="874" t="s">
        <v>6057</v>
      </c>
      <c r="F2005" s="544"/>
      <c r="G2005" s="544">
        <v>40</v>
      </c>
      <c r="H2005" s="544">
        <v>1</v>
      </c>
      <c r="I2005" s="544">
        <v>10</v>
      </c>
      <c r="J2005" s="544">
        <f>COUNTIF(Elan!$C$13:$F$25,Tablas!E2005)+COUNTIF(Elan!$U$13:$X$25,Tablas!E2005)</f>
        <v>0</v>
      </c>
      <c r="K2005" s="544"/>
      <c r="L2005" s="7875" t="str">
        <f>"El PJ puede anular, automáticamente, una cantidad de negativos a la acción de -"&amp;FLOOR(F2000/2,1)&amp;"."</f>
        <v>El PJ puede anular, automáticamente, una cantidad de negativos a la acción de -0.</v>
      </c>
      <c r="M2005" s="7875"/>
      <c r="N2005" s="7875"/>
      <c r="O2005" s="7875"/>
      <c r="P2005" s="7875"/>
      <c r="Q2005" s="7876"/>
      <c r="R2005" s="877">
        <f>IF(OR($J2005=0,$J2005="Aprendida"),0,SUM($J$1934:$J2005))</f>
        <v>0</v>
      </c>
      <c r="T2005" s="985" t="s">
        <v>6337</v>
      </c>
      <c r="U2005" s="986">
        <v>5</v>
      </c>
      <c r="V2005" s="987"/>
      <c r="W2005" s="986"/>
      <c r="X2005" s="986"/>
      <c r="Y2005" s="1166"/>
    </row>
    <row r="2006" spans="1:25" ht="12.75" customHeight="1">
      <c r="A2006" s="219">
        <v>1900</v>
      </c>
      <c r="B2006" s="7145"/>
      <c r="E2006" s="874" t="s">
        <v>6058</v>
      </c>
      <c r="F2006" s="544"/>
      <c r="G2006" s="544">
        <v>50</v>
      </c>
      <c r="H2006" s="544">
        <v>1</v>
      </c>
      <c r="I2006" s="544">
        <v>15</v>
      </c>
      <c r="J2006" s="544">
        <f>COUNTIF(Elan!$C$13:$F$25,Tablas!E2006)+COUNTIF(Elan!$U$13:$X$25,Tablas!E2006)</f>
        <v>0</v>
      </c>
      <c r="K2006" s="544"/>
      <c r="L2006" s="7875" t="str">
        <f>"El PJ obtiene "&amp;F2000*2&amp;"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2006" s="7875"/>
      <c r="N2006" s="7875"/>
      <c r="O2006" s="7875"/>
      <c r="P2006" s="7875"/>
      <c r="Q2006" s="7876"/>
      <c r="R2006" s="877">
        <f>IF(OR($J2006=0,$J2006="Aprendida"),0,SUM($J$1934:$J2006))</f>
        <v>0</v>
      </c>
      <c r="T2006" s="983" t="str">
        <f>E2052</f>
        <v>Abbadon</v>
      </c>
      <c r="U2006" s="984"/>
      <c r="V2006" s="990"/>
      <c r="W2006" s="984"/>
      <c r="X2006" s="984"/>
      <c r="Y2006" s="1165"/>
    </row>
    <row r="2007" spans="1:25" ht="12.75" customHeight="1">
      <c r="A2007" s="219">
        <v>1901</v>
      </c>
      <c r="B2007" s="7145"/>
      <c r="E2007" s="874" t="s">
        <v>6059</v>
      </c>
      <c r="F2007" s="544"/>
      <c r="G2007" s="544">
        <v>60</v>
      </c>
      <c r="H2007" s="544">
        <v>1</v>
      </c>
      <c r="I2007" s="544">
        <v>10</v>
      </c>
      <c r="J2007" s="544">
        <f>COUNTIF(Elan!$C$13:$F$25,Tablas!E2007)+COUNTIF(Elan!$U$13:$X$25,Tablas!E2007)</f>
        <v>0</v>
      </c>
      <c r="K2007" s="544"/>
      <c r="L2007" s="7875" t="s">
        <v>6291</v>
      </c>
      <c r="M2007" s="7875"/>
      <c r="N2007" s="7875"/>
      <c r="O2007" s="7875"/>
      <c r="P2007" s="7875"/>
      <c r="Q2007" s="7876"/>
      <c r="R2007" s="877">
        <f>IF(OR($J2007=0,$J2007="Aprendida"),0,SUM($J$1934:$J2007))</f>
        <v>0</v>
      </c>
      <c r="T2007" s="985" t="s">
        <v>6267</v>
      </c>
      <c r="U2007" s="986">
        <v>1</v>
      </c>
      <c r="V2007" s="987" t="s">
        <v>6342</v>
      </c>
      <c r="W2007" s="986">
        <v>2</v>
      </c>
      <c r="X2007" s="986" t="s">
        <v>6343</v>
      </c>
      <c r="Y2007" s="1166">
        <v>-1</v>
      </c>
    </row>
    <row r="2008" spans="1:25" ht="12.75" customHeight="1">
      <c r="A2008" s="219">
        <v>1902</v>
      </c>
      <c r="B2008" s="7145"/>
      <c r="E2008" s="874" t="s">
        <v>6060</v>
      </c>
      <c r="F2008" s="544"/>
      <c r="G2008" s="544">
        <v>70</v>
      </c>
      <c r="H2008" s="544">
        <v>1</v>
      </c>
      <c r="I2008" s="544">
        <v>15</v>
      </c>
      <c r="J2008" s="544">
        <f>COUNTIF(Elan!$C$13:$F$25,Tablas!E2008)+COUNTIF(Elan!$U$13:$X$25,Tablas!E2008)</f>
        <v>0</v>
      </c>
      <c r="K2008" s="544"/>
      <c r="L2008" s="7875" t="s">
        <v>6292</v>
      </c>
      <c r="M2008" s="7875"/>
      <c r="N2008" s="7875"/>
      <c r="O2008" s="7875"/>
      <c r="P2008" s="7875"/>
      <c r="Q2008" s="7876"/>
      <c r="R2008" s="877">
        <f>IF(OR($J2008=0,$J2008="Aprendida"),0,SUM($J$1934:$J2008))</f>
        <v>0</v>
      </c>
      <c r="T2008" s="985" t="s">
        <v>6345</v>
      </c>
      <c r="U2008" s="986">
        <v>4</v>
      </c>
      <c r="V2008" s="987" t="s">
        <v>6346</v>
      </c>
      <c r="W2008" s="986">
        <v>3</v>
      </c>
      <c r="X2008" s="986" t="s">
        <v>6347</v>
      </c>
      <c r="Y2008" s="1166">
        <v>-6</v>
      </c>
    </row>
    <row r="2009" spans="1:25" ht="12.75" customHeight="1">
      <c r="A2009" s="219">
        <v>1903</v>
      </c>
      <c r="B2009" s="7145"/>
      <c r="E2009" s="874" t="s">
        <v>6061</v>
      </c>
      <c r="F2009" s="544"/>
      <c r="G2009" s="544">
        <v>70</v>
      </c>
      <c r="H2009" s="544">
        <v>1</v>
      </c>
      <c r="I2009" s="544">
        <v>10</v>
      </c>
      <c r="J2009" s="544">
        <f>COUNTIF(Elan!$C$13:$F$25,Tablas!E2009)+COUNTIF(Elan!$U$13:$X$25,Tablas!E2009)</f>
        <v>0</v>
      </c>
      <c r="K2009" s="544"/>
      <c r="L2009" s="7875" t="str">
        <f>"En un radio de "&amp;F2000&amp;" metros todos los subordinados al PJ reciben un bono de +10 a su ataque y defensa, siempre que no superen al PJ."</f>
        <v>En un radio de 0 metros todos los subordinados al PJ reciben un bono de +10 a su ataque y defensa, siempre que no superen al PJ.</v>
      </c>
      <c r="M2009" s="7875"/>
      <c r="N2009" s="7875"/>
      <c r="O2009" s="7875"/>
      <c r="P2009" s="7875"/>
      <c r="Q2009" s="7876"/>
      <c r="R2009" s="877">
        <f>IF(OR($J2009=0,$J2009="Aprendida"),0,SUM($J$1934:$J2009))</f>
        <v>0</v>
      </c>
      <c r="T2009" s="985" t="s">
        <v>6348</v>
      </c>
      <c r="U2009" s="986">
        <v>3</v>
      </c>
      <c r="V2009" s="987"/>
      <c r="W2009" s="986"/>
      <c r="X2009" s="986"/>
      <c r="Y2009" s="1166"/>
    </row>
    <row r="2010" spans="1:25" ht="12.75" customHeight="1">
      <c r="A2010" s="219">
        <v>1904</v>
      </c>
      <c r="B2010" s="7145"/>
      <c r="E2010" s="874" t="s">
        <v>6062</v>
      </c>
      <c r="F2010" s="544"/>
      <c r="G2010" s="544">
        <v>80</v>
      </c>
      <c r="H2010" s="544">
        <f>IF(J2004,1,0)</f>
        <v>0</v>
      </c>
      <c r="I2010" s="544">
        <v>20</v>
      </c>
      <c r="J2010" s="544">
        <f>COUNTIF(Elan!$C$13:$F$25,Tablas!E2010)+COUNTIF(Elan!$U$13:$X$25,Tablas!E2010)</f>
        <v>0</v>
      </c>
      <c r="K2010" s="544"/>
      <c r="L2010" s="7875" t="str">
        <f>"El PJ obtiene armas naturales, un bono de +30 a toda acción así como un +3 a sus características y Zen durante "&amp;F2000&amp;"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2010" s="7875"/>
      <c r="N2010" s="7875"/>
      <c r="O2010" s="7875"/>
      <c r="P2010" s="7875"/>
      <c r="Q2010" s="7876"/>
      <c r="R2010" s="877">
        <f>IF(OR($J2010=0,$J2010="Aprendida"),0,SUM($J$1934:$J2010))</f>
        <v>0</v>
      </c>
      <c r="T2010" s="985" t="s">
        <v>6350</v>
      </c>
      <c r="U2010" s="986">
        <v>2</v>
      </c>
      <c r="V2010" s="987"/>
      <c r="W2010" s="986"/>
      <c r="X2010" s="986"/>
      <c r="Y2010" s="1166"/>
    </row>
    <row r="2011" spans="1:25" ht="12.75" customHeight="1">
      <c r="A2011" s="219">
        <v>1905</v>
      </c>
      <c r="B2011" s="7145"/>
      <c r="E2011" s="874" t="s">
        <v>6063</v>
      </c>
      <c r="F2011" s="544"/>
      <c r="G2011" s="544">
        <v>90</v>
      </c>
      <c r="H2011" s="544">
        <v>1</v>
      </c>
      <c r="I2011" s="544">
        <v>15</v>
      </c>
      <c r="J2011" s="544">
        <f>COUNTIF(Elan!$C$13:$F$25,Tablas!E2011)+COUNTIF(Elan!$U$13:$X$25,Tablas!E2011)</f>
        <v>0</v>
      </c>
      <c r="K2011" s="544"/>
      <c r="L2011" s="7875" t="s">
        <v>6293</v>
      </c>
      <c r="M2011" s="7875"/>
      <c r="N2011" s="7875"/>
      <c r="O2011" s="7875"/>
      <c r="P2011" s="7875"/>
      <c r="Q2011" s="7876"/>
      <c r="R2011" s="877">
        <f>IF(OR($J2011=0,$J2011="Aprendida"),0,SUM($J$1934:$J2011))</f>
        <v>0</v>
      </c>
      <c r="T2011" s="985" t="s">
        <v>6351</v>
      </c>
      <c r="U2011" s="986">
        <v>2</v>
      </c>
      <c r="V2011" s="987"/>
      <c r="W2011" s="986"/>
      <c r="X2011" s="986"/>
      <c r="Y2011" s="1166"/>
    </row>
    <row r="2012" spans="1:25" ht="12.75" customHeight="1">
      <c r="A2012" s="219">
        <v>1906</v>
      </c>
      <c r="B2012" s="7145"/>
      <c r="E2012" s="874" t="s">
        <v>6064</v>
      </c>
      <c r="F2012" s="544"/>
      <c r="G2012" s="544">
        <v>100</v>
      </c>
      <c r="H2012" s="544">
        <v>1</v>
      </c>
      <c r="I2012" s="544">
        <v>10</v>
      </c>
      <c r="J2012" s="544">
        <f>COUNTIF(Elan!$C$13:$F$25,Tablas!E2012)+COUNTIF(Elan!$U$13:$X$25,Tablas!E2012)</f>
        <v>0</v>
      </c>
      <c r="K2012" s="544"/>
      <c r="L2012" s="7875" t="s">
        <v>6294</v>
      </c>
      <c r="M2012" s="7875"/>
      <c r="N2012" s="7875"/>
      <c r="O2012" s="7875"/>
      <c r="P2012" s="7875"/>
      <c r="Q2012" s="7876"/>
      <c r="R2012" s="877">
        <f>IF(OR($J2012=0,$J2012="Aprendida"),0,SUM($J$1934:$J2012))</f>
        <v>0</v>
      </c>
      <c r="T2012" s="988"/>
      <c r="U2012" s="989"/>
      <c r="V2012" s="989"/>
      <c r="W2012" s="989"/>
      <c r="X2012" s="989"/>
      <c r="Y2012" s="1167"/>
    </row>
    <row r="2013" spans="1:25" ht="12.75" customHeight="1">
      <c r="A2013" s="219">
        <v>1907</v>
      </c>
      <c r="B2013" s="7145"/>
      <c r="E2013" s="873" t="s">
        <v>5990</v>
      </c>
      <c r="F2013" s="1253">
        <f>IF(Elan!$C$11=Tablas!$E2013,Elan!$G$11,IF(Elan!$U$11=Tablas!$E2013,Elan!$Y$11,0))</f>
        <v>0</v>
      </c>
      <c r="G2013" s="866" t="s">
        <v>1674</v>
      </c>
      <c r="H2013" s="866" t="s">
        <v>7873</v>
      </c>
      <c r="I2013" s="866" t="s">
        <v>1349</v>
      </c>
      <c r="J2013" s="866" t="s">
        <v>5998</v>
      </c>
      <c r="K2013" s="866" t="s">
        <v>6646</v>
      </c>
      <c r="L2013" s="866" t="s">
        <v>1408</v>
      </c>
      <c r="M2013" s="545"/>
      <c r="N2013" s="545"/>
      <c r="O2013" s="545"/>
      <c r="P2013" s="545"/>
      <c r="Q2013" s="871"/>
      <c r="R2013" s="877">
        <f>IF(OR($J2013=0,$J2013="Aprendida"),0,SUM($J$1934:$J2013))</f>
        <v>0</v>
      </c>
      <c r="T2013" s="988"/>
      <c r="U2013" s="989"/>
      <c r="V2013" s="989"/>
      <c r="W2013" s="989"/>
      <c r="X2013" s="989"/>
      <c r="Y2013" s="1167"/>
    </row>
    <row r="2014" spans="1:25" ht="12.75" customHeight="1">
      <c r="A2014" s="219">
        <v>1908</v>
      </c>
      <c r="B2014" s="7145"/>
      <c r="E2014" s="874" t="s">
        <v>6065</v>
      </c>
      <c r="F2014" s="544"/>
      <c r="G2014" s="544">
        <v>10</v>
      </c>
      <c r="H2014" s="544">
        <v>1</v>
      </c>
      <c r="I2014" s="544">
        <v>5</v>
      </c>
      <c r="J2014" s="544">
        <f>COUNTIF(Elan!$C$13:$F$25,Tablas!E2014)+COUNTIF(Elan!$U$13:$X$25,Tablas!E2014)</f>
        <v>0</v>
      </c>
      <c r="K2014" s="544">
        <f>F$2013*J2014</f>
        <v>0</v>
      </c>
      <c r="L2014" s="7875" t="str">
        <f>"Obtiene un bonificador especial a la habilidad secundaria Herbolaria de +"&amp;F2013&amp;"."</f>
        <v>Obtiene un bonificador especial a la habilidad secundaria Herbolaria de +0.</v>
      </c>
      <c r="M2014" s="7875"/>
      <c r="N2014" s="7875"/>
      <c r="O2014" s="7875"/>
      <c r="P2014" s="7875"/>
      <c r="Q2014" s="7876"/>
      <c r="R2014" s="877">
        <f>IF(OR($J2014=0,$J2014="Aprendida"),0,SUM($J$1934:$J2014))</f>
        <v>0</v>
      </c>
      <c r="T2014" s="983" t="str">
        <f>E2064</f>
        <v>Barakiel</v>
      </c>
      <c r="U2014" s="984"/>
      <c r="V2014" s="990"/>
      <c r="W2014" s="984"/>
      <c r="X2014" s="984"/>
      <c r="Y2014" s="1165"/>
    </row>
    <row r="2015" spans="1:25" ht="12.75" customHeight="1">
      <c r="A2015" s="219">
        <v>1909</v>
      </c>
      <c r="B2015" s="7145"/>
      <c r="E2015" s="874" t="s">
        <v>6066</v>
      </c>
      <c r="F2015" s="544"/>
      <c r="G2015" s="544">
        <v>20</v>
      </c>
      <c r="H2015" s="544">
        <v>1</v>
      </c>
      <c r="I2015" s="544">
        <v>5</v>
      </c>
      <c r="J2015" s="544">
        <f>COUNTIF(Elan!$C$13:$F$25,Tablas!E2015)+COUNTIF(Elan!$U$13:$X$25,Tablas!E2015)</f>
        <v>0</v>
      </c>
      <c r="K2015" s="544">
        <f>F$2013*J2015</f>
        <v>0</v>
      </c>
      <c r="L2015" s="7875" t="str">
        <f>"Obtiene un bonificador especial a la habilidad secundaria Animales de +"&amp;F2013&amp;"."</f>
        <v>Obtiene un bonificador especial a la habilidad secundaria Animales de +0.</v>
      </c>
      <c r="M2015" s="7875"/>
      <c r="N2015" s="7875"/>
      <c r="O2015" s="7875"/>
      <c r="P2015" s="7875"/>
      <c r="Q2015" s="7876"/>
      <c r="R2015" s="877">
        <f>IF(OR($J2015=0,$J2015="Aprendida"),0,SUM($J$1934:$J2015))</f>
        <v>0</v>
      </c>
      <c r="T2015" s="985" t="s">
        <v>6355</v>
      </c>
      <c r="U2015" s="986">
        <v>1</v>
      </c>
      <c r="V2015" s="987" t="s">
        <v>6356</v>
      </c>
      <c r="W2015" s="986">
        <v>2</v>
      </c>
      <c r="X2015" s="986" t="s">
        <v>6357</v>
      </c>
      <c r="Y2015" s="1166">
        <v>-2</v>
      </c>
    </row>
    <row r="2016" spans="1:25" ht="12.75" customHeight="1">
      <c r="A2016" s="219">
        <v>1910</v>
      </c>
      <c r="B2016" s="7145"/>
      <c r="E2016" s="874" t="s">
        <v>6067</v>
      </c>
      <c r="F2016" s="544"/>
      <c r="G2016" s="544">
        <v>20</v>
      </c>
      <c r="H2016" s="544">
        <v>1</v>
      </c>
      <c r="I2016" s="544">
        <v>10</v>
      </c>
      <c r="J2016" s="544">
        <f>COUNTIF(Elan!$C$13:$F$25,Tablas!E2016)+COUNTIF(Elan!$U$13:$X$25,Tablas!E2016)</f>
        <v>0</v>
      </c>
      <c r="K2016" s="544"/>
      <c r="L2016" s="7875" t="str">
        <f>"Puede curar una cantidad de "&amp;F2013&amp;" PVs, a ritmo de 5 PV por asalto. Contra seres no muertos, estos deben superar una RM contra "&amp;F2013*2&amp;" o recibir un daño equivalente al nivel de fracaso."</f>
        <v>Puede curar una cantidad de 0 PVs, a ritmo de 5 PV por asalto. Contra seres no muertos, estos deben superar una RM contra 0 o recibir un daño equivalente al nivel de fracaso.</v>
      </c>
      <c r="M2016" s="7875"/>
      <c r="N2016" s="7875"/>
      <c r="O2016" s="7875"/>
      <c r="P2016" s="7875"/>
      <c r="Q2016" s="7876"/>
      <c r="R2016" s="877">
        <f>IF(OR($J2016=0,$J2016="Aprendida"),0,SUM($J$1934:$J2016))</f>
        <v>0</v>
      </c>
      <c r="T2016" s="985" t="s">
        <v>6359</v>
      </c>
      <c r="U2016" s="986">
        <v>2</v>
      </c>
      <c r="V2016" s="987" t="s">
        <v>6360</v>
      </c>
      <c r="W2016" s="986">
        <v>3</v>
      </c>
      <c r="X2016" s="986" t="s">
        <v>6361</v>
      </c>
      <c r="Y2016" s="1166">
        <v>-2</v>
      </c>
    </row>
    <row r="2017" spans="1:25" ht="12.75" customHeight="1">
      <c r="A2017" s="219">
        <v>1911</v>
      </c>
      <c r="B2017" s="7145"/>
      <c r="E2017" s="874" t="s">
        <v>6068</v>
      </c>
      <c r="F2017" s="544"/>
      <c r="G2017" s="544">
        <v>30</v>
      </c>
      <c r="H2017" s="544">
        <v>1</v>
      </c>
      <c r="I2017" s="544">
        <v>5</v>
      </c>
      <c r="J2017" s="544">
        <f>COUNTIF(Elan!$C$13:$F$25,Tablas!E2017)+COUNTIF(Elan!$U$13:$X$25,Tablas!E2017)</f>
        <v>0</v>
      </c>
      <c r="K2017" s="544"/>
      <c r="L2017" s="7875" t="s">
        <v>6303</v>
      </c>
      <c r="M2017" s="7875"/>
      <c r="N2017" s="7875"/>
      <c r="O2017" s="7875"/>
      <c r="P2017" s="7875"/>
      <c r="Q2017" s="7876"/>
      <c r="R2017" s="877">
        <f>IF(OR($J2017=0,$J2017="Aprendida"),0,SUM($J$1934:$J2017))</f>
        <v>0</v>
      </c>
      <c r="T2017" s="985" t="s">
        <v>6362</v>
      </c>
      <c r="U2017" s="986">
        <v>2</v>
      </c>
      <c r="V2017" s="987" t="s">
        <v>6363</v>
      </c>
      <c r="W2017" s="986">
        <v>1</v>
      </c>
      <c r="X2017" s="986" t="s">
        <v>6364</v>
      </c>
      <c r="Y2017" s="1166">
        <v>-5</v>
      </c>
    </row>
    <row r="2018" spans="1:25" ht="12.75" customHeight="1">
      <c r="A2018" s="219">
        <v>1912</v>
      </c>
      <c r="B2018" s="7145"/>
      <c r="E2018" s="874" t="s">
        <v>6069</v>
      </c>
      <c r="F2018" s="544"/>
      <c r="G2018" s="544">
        <v>40</v>
      </c>
      <c r="H2018" s="544">
        <v>1</v>
      </c>
      <c r="I2018" s="544">
        <v>10</v>
      </c>
      <c r="J2018" s="544">
        <f>COUNTIF(Elan!$C$13:$F$25,Tablas!E2018)+COUNTIF(Elan!$U$13:$X$25,Tablas!E2018)</f>
        <v>0</v>
      </c>
      <c r="K2018" s="544"/>
      <c r="L2018" s="7875" t="str">
        <f>"Permite extripar cualquier veneno de nivel igual o inferior a "&amp;F2013&amp;"."</f>
        <v>Permite extripar cualquier veneno de nivel igual o inferior a 0.</v>
      </c>
      <c r="M2018" s="7875"/>
      <c r="N2018" s="7875"/>
      <c r="O2018" s="7875"/>
      <c r="P2018" s="7875"/>
      <c r="Q2018" s="7876"/>
      <c r="R2018" s="877">
        <f>IF(OR($J2018=0,$J2018="Aprendida"),0,SUM($J$1934:$J2018))</f>
        <v>0</v>
      </c>
      <c r="T2018" s="985" t="s">
        <v>6366</v>
      </c>
      <c r="U2018" s="986">
        <v>3</v>
      </c>
      <c r="V2018" s="987"/>
      <c r="W2018" s="986"/>
      <c r="X2018" s="986" t="s">
        <v>6367</v>
      </c>
      <c r="Y2018" s="1166">
        <v>-10</v>
      </c>
    </row>
    <row r="2019" spans="1:25" ht="12.75" customHeight="1">
      <c r="A2019" s="219">
        <v>1913</v>
      </c>
      <c r="B2019" s="7145"/>
      <c r="E2019" s="874" t="s">
        <v>6070</v>
      </c>
      <c r="F2019" s="544"/>
      <c r="G2019" s="544">
        <v>50</v>
      </c>
      <c r="H2019" s="544">
        <v>1</v>
      </c>
      <c r="I2019" s="544">
        <v>20</v>
      </c>
      <c r="J2019" s="544">
        <f>COUNTIF(Elan!$C$13:$F$25,Tablas!E2019)+COUNTIF(Elan!$U$13:$X$25,Tablas!E2019)</f>
        <v>0</v>
      </c>
      <c r="K2019" s="544"/>
      <c r="L2019" s="7875" t="s">
        <v>9895</v>
      </c>
      <c r="M2019" s="7875"/>
      <c r="N2019" s="7875"/>
      <c r="O2019" s="7875"/>
      <c r="P2019" s="7875"/>
      <c r="Q2019" s="7876"/>
      <c r="R2019" s="877">
        <f>IF(OR($J2019=0,$J2019="Aprendida"),0,SUM($J$1934:$J2019))</f>
        <v>0</v>
      </c>
      <c r="T2019" s="985" t="s">
        <v>6369</v>
      </c>
      <c r="U2019" s="986">
        <v>5</v>
      </c>
      <c r="V2019" s="987"/>
      <c r="W2019" s="986"/>
      <c r="X2019" s="986"/>
      <c r="Y2019" s="1166"/>
    </row>
    <row r="2020" spans="1:25" ht="12.75" customHeight="1">
      <c r="A2020" s="219">
        <v>1914</v>
      </c>
      <c r="B2020" s="7145"/>
      <c r="E2020" s="874" t="s">
        <v>6071</v>
      </c>
      <c r="F2020" s="544"/>
      <c r="G2020" s="544">
        <v>50</v>
      </c>
      <c r="H2020" s="544">
        <f>IF(J2016,1,0)</f>
        <v>0</v>
      </c>
      <c r="I2020" s="544">
        <v>15</v>
      </c>
      <c r="J2020" s="544">
        <f>COUNTIF(Elan!$C$13:$F$25,Tablas!E2020)+COUNTIF(Elan!$U$13:$X$25,Tablas!E2020)</f>
        <v>0</v>
      </c>
      <c r="K2020" s="544"/>
      <c r="L2020" s="7875" t="str">
        <f>"Puede curar una cantidad de "&amp;F2013*10&amp;" PV al día, a ritmo de 5 PV por asalto. Contra seres no muertos, estos deben superar una RM contra "&amp;F2013*2&amp;" o recibir un daño equivalente al nivel de fracaso."</f>
        <v>Puede curar una cantidad de 0 PV al día, a ritmo de 5 PV por asalto. Contra seres no muertos, estos deben superar una RM contra 0 o recibir un daño equivalente al nivel de fracaso.</v>
      </c>
      <c r="M2020" s="7875"/>
      <c r="N2020" s="7875"/>
      <c r="O2020" s="7875"/>
      <c r="P2020" s="7875"/>
      <c r="Q2020" s="7876"/>
      <c r="R2020" s="877">
        <f>IF(OR($J2020=0,$J2020="Aprendida"),0,SUM($J$1934:$J2020))</f>
        <v>0</v>
      </c>
      <c r="T2020" s="985" t="s">
        <v>6371</v>
      </c>
      <c r="U2020" s="986">
        <v>2</v>
      </c>
      <c r="V2020" s="987"/>
      <c r="W2020" s="986"/>
      <c r="X2020" s="986"/>
      <c r="Y2020" s="1166"/>
    </row>
    <row r="2021" spans="1:25" ht="12.75" customHeight="1">
      <c r="A2021" s="219">
        <v>1915</v>
      </c>
      <c r="B2021" s="7145"/>
      <c r="E2021" s="874" t="s">
        <v>6072</v>
      </c>
      <c r="F2021" s="544"/>
      <c r="G2021" s="544">
        <v>60</v>
      </c>
      <c r="H2021" s="544">
        <v>1</v>
      </c>
      <c r="I2021" s="544">
        <v>10</v>
      </c>
      <c r="J2021" s="544">
        <f>COUNTIF(Elan!$C$13:$F$25,Tablas!E2021)+COUNTIF(Elan!$U$13:$X$25,Tablas!E2021)</f>
        <v>0</v>
      </c>
      <c r="K2021" s="544"/>
      <c r="L2021" s="7875" t="str">
        <f>"El PJ puede unir sus sentidos con un animal, obteniendo la capacidad de ver y oír a través de él. Este poder puede usarse "&amp;FLOOR(F2013/10,1)&amp;" veces al día."</f>
        <v>El PJ puede unir sus sentidos con un animal, obteniendo la capacidad de ver y oír a través de él. Este poder puede usarse 0 veces al día.</v>
      </c>
      <c r="M2021" s="7875"/>
      <c r="N2021" s="7875"/>
      <c r="O2021" s="7875"/>
      <c r="P2021" s="7875"/>
      <c r="Q2021" s="7876"/>
      <c r="R2021" s="877">
        <f>IF(OR($J2021=0,$J2021="Aprendida"),0,SUM($J$1934:$J2021))</f>
        <v>0</v>
      </c>
      <c r="T2021" s="988"/>
      <c r="U2021" s="989"/>
      <c r="V2021" s="989"/>
      <c r="W2021" s="989"/>
      <c r="X2021" s="989"/>
      <c r="Y2021" s="1167"/>
    </row>
    <row r="2022" spans="1:25" ht="12.75" customHeight="1">
      <c r="A2022" s="219">
        <v>1916</v>
      </c>
      <c r="B2022" s="7145"/>
      <c r="E2022" s="874" t="s">
        <v>6073</v>
      </c>
      <c r="F2022" s="544"/>
      <c r="G2022" s="544">
        <v>60</v>
      </c>
      <c r="H2022" s="544">
        <v>1</v>
      </c>
      <c r="I2022" s="544">
        <v>10</v>
      </c>
      <c r="J2022" s="544">
        <f>COUNTIF(Elan!$C$13:$F$25,Tablas!E2022)+COUNTIF(Elan!$U$13:$X$25,Tablas!E2022)</f>
        <v>0</v>
      </c>
      <c r="K2022" s="544"/>
      <c r="L2022" s="7875" t="str">
        <f>"El PJ puede invocar una vez al día hasta "&amp;F2013&amp;" seres si son pequeños, o "&amp;FLOOR(F2013/5,1)&amp;" si son grandes. Sólo es posible invocar animales de una determinada especie."</f>
        <v>El PJ puede invocar una vez al día hasta 0 seres si son pequeños, o 0 si son grandes. Sólo es posible invocar animales de una determinada especie.</v>
      </c>
      <c r="M2022" s="7875"/>
      <c r="N2022" s="7875"/>
      <c r="O2022" s="7875"/>
      <c r="P2022" s="7875"/>
      <c r="Q2022" s="7876"/>
      <c r="R2022" s="877">
        <f>IF(OR($J2022=0,$J2022="Aprendida"),0,SUM($J$1934:$J2022))</f>
        <v>0</v>
      </c>
      <c r="T2022" s="983" t="str">
        <f>E2078</f>
        <v>Eriol</v>
      </c>
      <c r="U2022" s="984"/>
      <c r="V2022" s="990"/>
      <c r="W2022" s="984"/>
      <c r="X2022" s="984"/>
      <c r="Y2022" s="1165"/>
    </row>
    <row r="2023" spans="1:25" ht="12.75" customHeight="1">
      <c r="A2023" s="219">
        <v>1917</v>
      </c>
      <c r="B2023" s="7145"/>
      <c r="E2023" s="874" t="s">
        <v>6074</v>
      </c>
      <c r="F2023" s="544"/>
      <c r="G2023" s="544">
        <v>70</v>
      </c>
      <c r="H2023" s="544">
        <v>1</v>
      </c>
      <c r="I2023" s="544">
        <v>10</v>
      </c>
      <c r="J2023" s="544">
        <f>COUNTIF(Elan!$C$13:$F$25,Tablas!E2023)+COUNTIF(Elan!$U$13:$X$25,Tablas!E2023)</f>
        <v>0</v>
      </c>
      <c r="K2023" s="544"/>
      <c r="L2023" s="7875" t="str">
        <f>"El PJ puede transformarse en un animal natural, obteniendo todas las características y habilidades físicas de este, si son mayores a las suyas. Puede elegir hasta "&amp;FLOOR(F2013/10,1)&amp;" especies distintas."</f>
        <v>El PJ puede transformarse en un animal natural, obteniendo todas las características y habilidades físicas de este, si son mayores a las suyas. Puede elegir hasta 0 especies distintas.</v>
      </c>
      <c r="M2023" s="7875"/>
      <c r="N2023" s="7875"/>
      <c r="O2023" s="7875"/>
      <c r="P2023" s="7875"/>
      <c r="Q2023" s="7876"/>
      <c r="R2023" s="877">
        <f>IF(OR($J2023=0,$J2023="Aprendida"),0,SUM($J$1934:$J2023))</f>
        <v>0</v>
      </c>
      <c r="T2023" s="985" t="s">
        <v>6378</v>
      </c>
      <c r="U2023" s="986">
        <v>2</v>
      </c>
      <c r="V2023" s="987" t="s">
        <v>6379</v>
      </c>
      <c r="W2023" s="986">
        <v>2</v>
      </c>
      <c r="X2023" s="986" t="s">
        <v>6380</v>
      </c>
      <c r="Y2023" s="1166">
        <v>-2</v>
      </c>
    </row>
    <row r="2024" spans="1:25" ht="12.75" customHeight="1">
      <c r="A2024" s="219">
        <v>1918</v>
      </c>
      <c r="B2024" s="7145"/>
      <c r="E2024" s="874" t="s">
        <v>6075</v>
      </c>
      <c r="F2024" s="544"/>
      <c r="G2024" s="544">
        <v>80</v>
      </c>
      <c r="H2024" s="544">
        <f>IF(J2023,1,0)</f>
        <v>0</v>
      </c>
      <c r="I2024" s="544">
        <v>10</v>
      </c>
      <c r="J2024" s="544">
        <f>COUNTIF(Elan!$C$13:$F$25,Tablas!E2024)+COUNTIF(Elan!$U$13:$X$25,Tablas!E2024)</f>
        <v>0</v>
      </c>
      <c r="K2024" s="544"/>
      <c r="L2024" s="7875" t="str">
        <f>"El PJ puede elegir invocar "&amp;FLOOR(F2013/5,1)&amp;" razas adicionales o, en su defecto, multiplicar por diez el número de la especie por la que optó originariamente."</f>
        <v>El PJ puede elegir invocar 0 razas adicionales o, en su defecto, multiplicar por diez el número de la especie por la que optó originariamente.</v>
      </c>
      <c r="M2024" s="7875"/>
      <c r="N2024" s="7875"/>
      <c r="O2024" s="7875"/>
      <c r="P2024" s="7875"/>
      <c r="Q2024" s="7876"/>
      <c r="R2024" s="877">
        <f>IF(OR($J2024=0,$J2024="Aprendida"),0,SUM($J$1934:$J2024))</f>
        <v>0</v>
      </c>
      <c r="T2024" s="985" t="s">
        <v>6381</v>
      </c>
      <c r="U2024" s="986">
        <v>2</v>
      </c>
      <c r="V2024" s="987" t="s">
        <v>6382</v>
      </c>
      <c r="W2024" s="986">
        <v>2</v>
      </c>
      <c r="X2024" s="986" t="s">
        <v>6383</v>
      </c>
      <c r="Y2024" s="1166">
        <v>-3</v>
      </c>
    </row>
    <row r="2025" spans="1:25" ht="12.75" customHeight="1">
      <c r="A2025" s="219">
        <v>1919</v>
      </c>
      <c r="B2025" s="7145"/>
      <c r="E2025" s="874" t="s">
        <v>6076</v>
      </c>
      <c r="F2025" s="544"/>
      <c r="G2025" s="544">
        <v>90</v>
      </c>
      <c r="H2025" s="544">
        <f>IF(J2020,1,0)</f>
        <v>0</v>
      </c>
      <c r="I2025" s="544">
        <v>20</v>
      </c>
      <c r="J2025" s="544">
        <f>COUNTIF(Elan!$C$13:$F$25,Tablas!E2025)+COUNTIF(Elan!$U$13:$X$25,Tablas!E2025)</f>
        <v>0</v>
      </c>
      <c r="K2025" s="544"/>
      <c r="L2025" s="7875" t="str">
        <f>"Puede curar una cantidad de PV ilimitada al día, a ritmo de 5 PV por asalto. Contra seres no muertos, estos deben superar una RM contra "&amp;F2013*2&amp;" o recibir un daño equivalente al nivel de fracaso."</f>
        <v>Puede curar una cantidad de PV ilimitada al día, a ritmo de 5 PV por asalto. Contra seres no muertos, estos deben superar una RM contra 0 o recibir un daño equivalente al nivel de fracaso.</v>
      </c>
      <c r="M2025" s="7875"/>
      <c r="N2025" s="7875"/>
      <c r="O2025" s="7875"/>
      <c r="P2025" s="7875"/>
      <c r="Q2025" s="7876"/>
      <c r="R2025" s="877">
        <f>IF(OR($J2025=0,$J2025="Aprendida"),0,SUM($J$1934:$J2025))</f>
        <v>0</v>
      </c>
      <c r="T2025" s="985" t="s">
        <v>6385</v>
      </c>
      <c r="U2025" s="986">
        <v>5</v>
      </c>
      <c r="V2025" s="987" t="s">
        <v>6386</v>
      </c>
      <c r="W2025" s="986">
        <v>1</v>
      </c>
      <c r="X2025" s="986" t="s">
        <v>6387</v>
      </c>
      <c r="Y2025" s="1166">
        <v>-2</v>
      </c>
    </row>
    <row r="2026" spans="1:25" ht="12.75" customHeight="1">
      <c r="A2026" s="219">
        <v>1920</v>
      </c>
      <c r="B2026" s="7145"/>
      <c r="E2026" s="874" t="s">
        <v>6077</v>
      </c>
      <c r="F2026" s="544"/>
      <c r="G2026" s="544">
        <v>100</v>
      </c>
      <c r="H2026" s="544">
        <v>1</v>
      </c>
      <c r="I2026" s="544">
        <v>10</v>
      </c>
      <c r="J2026" s="544">
        <f>COUNTIF(Elan!$C$13:$F$25,Tablas!E2026)+COUNTIF(Elan!$U$13:$X$25,Tablas!E2026)</f>
        <v>0</v>
      </c>
      <c r="K2026" s="544"/>
      <c r="L2026" s="7875" t="s">
        <v>9894</v>
      </c>
      <c r="M2026" s="7875"/>
      <c r="N2026" s="7875"/>
      <c r="O2026" s="7875"/>
      <c r="P2026" s="7875"/>
      <c r="Q2026" s="7876"/>
      <c r="R2026" s="877">
        <f>IF(OR($J2026=0,$J2026="Aprendida"),0,SUM($J$1934:$J2026))</f>
        <v>0</v>
      </c>
      <c r="T2026" s="985" t="s">
        <v>6388</v>
      </c>
      <c r="U2026" s="986">
        <v>1</v>
      </c>
      <c r="V2026" s="987"/>
      <c r="W2026" s="986"/>
      <c r="X2026" s="986"/>
      <c r="Y2026" s="1166"/>
    </row>
    <row r="2027" spans="1:25" ht="12.75" customHeight="1">
      <c r="A2027" s="219">
        <v>1921</v>
      </c>
      <c r="B2027" s="7145"/>
      <c r="E2027" s="873" t="s">
        <v>5991</v>
      </c>
      <c r="F2027" s="1253">
        <f>IF(Elan!$C$11=Tablas!$E2027,Elan!$G$11,IF(Elan!$U$11=Tablas!$E2027,Elan!$Y$11,0))</f>
        <v>0</v>
      </c>
      <c r="G2027" s="866" t="s">
        <v>1674</v>
      </c>
      <c r="H2027" s="866" t="s">
        <v>7873</v>
      </c>
      <c r="I2027" s="866" t="s">
        <v>1349</v>
      </c>
      <c r="J2027" s="866" t="s">
        <v>5998</v>
      </c>
      <c r="K2027" s="866" t="s">
        <v>6646</v>
      </c>
      <c r="L2027" s="866" t="s">
        <v>1408</v>
      </c>
      <c r="M2027" s="545"/>
      <c r="N2027" s="545"/>
      <c r="O2027" s="545"/>
      <c r="P2027" s="545"/>
      <c r="Q2027" s="871"/>
      <c r="R2027" s="877">
        <f>IF(OR($J2027=0,$J2027="Aprendida"),0,SUM($J$1934:$J2027))</f>
        <v>0</v>
      </c>
      <c r="T2027" s="985" t="s">
        <v>6389</v>
      </c>
      <c r="U2027" s="986">
        <v>2</v>
      </c>
      <c r="V2027" s="987"/>
      <c r="W2027" s="986"/>
      <c r="X2027" s="986"/>
      <c r="Y2027" s="1166"/>
    </row>
    <row r="2028" spans="1:25" ht="12.75" customHeight="1">
      <c r="A2028" s="219">
        <v>1922</v>
      </c>
      <c r="B2028" s="7145"/>
      <c r="E2028" s="874" t="s">
        <v>6078</v>
      </c>
      <c r="F2028" s="544"/>
      <c r="G2028" s="544">
        <v>10</v>
      </c>
      <c r="H2028" s="544">
        <v>1</v>
      </c>
      <c r="I2028" s="544">
        <v>5</v>
      </c>
      <c r="J2028" s="544">
        <f>COUNTIF(Elan!$C$13:$F$25,Tablas!E2028)+COUNTIF(Elan!$U$13:$X$25,Tablas!E2028)</f>
        <v>0</v>
      </c>
      <c r="K2028" s="544">
        <f>F$2027*J2028</f>
        <v>0</v>
      </c>
      <c r="L2028" s="7875" t="str">
        <f>"Obtiene un bonificador especial a la habilidad secundaria Ocultismo de +"&amp;K2028&amp;"."</f>
        <v>Obtiene un bonificador especial a la habilidad secundaria Ocultismo de +0.</v>
      </c>
      <c r="M2028" s="7875"/>
      <c r="N2028" s="7875"/>
      <c r="O2028" s="7875"/>
      <c r="P2028" s="7875"/>
      <c r="Q2028" s="7876"/>
      <c r="R2028" s="877">
        <f>IF(OR($J2028=0,$J2028="Aprendida"),0,SUM($J$1934:$J2028))</f>
        <v>0</v>
      </c>
      <c r="T2028" s="988"/>
      <c r="U2028" s="989"/>
      <c r="V2028" s="989"/>
      <c r="W2028" s="989"/>
      <c r="X2028" s="989"/>
      <c r="Y2028" s="1167"/>
    </row>
    <row r="2029" spans="1:25" ht="12.75" customHeight="1">
      <c r="A2029" s="219">
        <v>1923</v>
      </c>
      <c r="B2029" s="7145"/>
      <c r="E2029" s="874" t="s">
        <v>6079</v>
      </c>
      <c r="F2029" s="544"/>
      <c r="G2029" s="544">
        <v>20</v>
      </c>
      <c r="H2029" s="544">
        <v>1</v>
      </c>
      <c r="I2029" s="544">
        <v>5</v>
      </c>
      <c r="J2029" s="544">
        <f>COUNTIF(Elan!$C$13:$F$25,Tablas!E2029)+COUNTIF(Elan!$U$13:$X$25,Tablas!E2029)</f>
        <v>0</v>
      </c>
      <c r="K2029" s="544">
        <f>F$2027*J2029</f>
        <v>0</v>
      </c>
      <c r="L2029" s="7875" t="str">
        <f>"Obtiene un bonificador especial a la habilidad secundaria Intimidar de +"&amp;K2029&amp;"."</f>
        <v>Obtiene un bonificador especial a la habilidad secundaria Intimidar de +0.</v>
      </c>
      <c r="M2029" s="7875"/>
      <c r="N2029" s="7875"/>
      <c r="O2029" s="7875"/>
      <c r="P2029" s="7875"/>
      <c r="Q2029" s="7876"/>
      <c r="R2029" s="877">
        <f>IF(OR($J2029=0,$J2029="Aprendida"),0,SUM($J$1934:$J2029))</f>
        <v>0</v>
      </c>
      <c r="T2029" s="988"/>
      <c r="U2029" s="989"/>
      <c r="V2029" s="989"/>
      <c r="W2029" s="989"/>
      <c r="X2029" s="989"/>
      <c r="Y2029" s="1167"/>
    </row>
    <row r="2030" spans="1:25" ht="12.75" customHeight="1">
      <c r="A2030" s="219">
        <v>1924</v>
      </c>
      <c r="B2030" s="7145"/>
      <c r="E2030" s="874" t="s">
        <v>6080</v>
      </c>
      <c r="F2030" s="544"/>
      <c r="G2030" s="544">
        <v>30</v>
      </c>
      <c r="H2030" s="544">
        <v>1</v>
      </c>
      <c r="I2030" s="544">
        <v>5</v>
      </c>
      <c r="J2030" s="544">
        <f>COUNTIF(Elan!$C$13:$F$25,Tablas!E2030)+COUNTIF(Elan!$U$13:$X$25,Tablas!E2030)</f>
        <v>0</v>
      </c>
      <c r="K2030" s="544"/>
      <c r="L2030" s="7875" t="s">
        <v>6312</v>
      </c>
      <c r="M2030" s="7875"/>
      <c r="N2030" s="7875"/>
      <c r="O2030" s="7875"/>
      <c r="P2030" s="7875"/>
      <c r="Q2030" s="7876"/>
      <c r="R2030" s="877">
        <f>IF(OR($J2030=0,$J2030="Aprendida"),0,SUM($J$1934:$J2030))</f>
        <v>0</v>
      </c>
      <c r="T2030" s="983" t="str">
        <f>E2090</f>
        <v>Edamiel</v>
      </c>
      <c r="U2030" s="984"/>
      <c r="V2030" s="990"/>
      <c r="W2030" s="984"/>
      <c r="X2030" s="984"/>
      <c r="Y2030" s="1165"/>
    </row>
    <row r="2031" spans="1:25" ht="12.75" customHeight="1">
      <c r="A2031" s="219">
        <v>1925</v>
      </c>
      <c r="B2031" s="7145"/>
      <c r="E2031" s="874" t="s">
        <v>6081</v>
      </c>
      <c r="F2031" s="544"/>
      <c r="G2031" s="544">
        <v>40</v>
      </c>
      <c r="H2031" s="544">
        <v>1</v>
      </c>
      <c r="I2031" s="544">
        <v>10</v>
      </c>
      <c r="J2031" s="544">
        <f>COUNTIF(Elan!$C$13:$F$25,Tablas!E2031)+COUNTIF(Elan!$U$13:$X$25,Tablas!E2031)</f>
        <v>0</v>
      </c>
      <c r="K2031" s="544"/>
      <c r="L2031" s="7875" t="s">
        <v>6315</v>
      </c>
      <c r="M2031" s="7875"/>
      <c r="N2031" s="7875"/>
      <c r="O2031" s="7875"/>
      <c r="P2031" s="7875"/>
      <c r="Q2031" s="7876"/>
      <c r="R2031" s="877">
        <f>IF(OR($J2031=0,$J2031="Aprendida"),0,SUM($J$1934:$J2031))</f>
        <v>0</v>
      </c>
      <c r="T2031" s="985" t="s">
        <v>6394</v>
      </c>
      <c r="U2031" s="986">
        <v>3</v>
      </c>
      <c r="V2031" s="987" t="s">
        <v>6395</v>
      </c>
      <c r="W2031" s="986">
        <v>2</v>
      </c>
      <c r="X2031" s="986" t="s">
        <v>6396</v>
      </c>
      <c r="Y2031" s="1166">
        <v>-2</v>
      </c>
    </row>
    <row r="2032" spans="1:25" ht="12.75" customHeight="1">
      <c r="A2032" s="219">
        <v>1926</v>
      </c>
      <c r="B2032" s="7145"/>
      <c r="E2032" s="874" t="s">
        <v>6082</v>
      </c>
      <c r="F2032" s="544"/>
      <c r="G2032" s="544">
        <v>50</v>
      </c>
      <c r="H2032" s="544">
        <v>1</v>
      </c>
      <c r="I2032" s="544">
        <v>15</v>
      </c>
      <c r="J2032" s="544">
        <f>COUNTIF(Elan!$C$13:$F$25,Tablas!E2032)+COUNTIF(Elan!$U$13:$X$25,Tablas!E2032)</f>
        <v>0</v>
      </c>
      <c r="K2032" s="544"/>
      <c r="L2032" s="7875" t="str">
        <f>"Cada día el PJ dispondrá de "&amp;F2027*2&amp;" puntos de Zeon para lanzar cualquier hechizo de libre acceso que desee. El nivel máximo de los sortilegios es "&amp;F2027&amp;"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2032" s="7875"/>
      <c r="N2032" s="7875"/>
      <c r="O2032" s="7875"/>
      <c r="P2032" s="7875"/>
      <c r="Q2032" s="7876"/>
      <c r="R2032" s="877">
        <f>IF(OR($J2032=0,$J2032="Aprendida"),0,SUM($J$1934:$J2032))</f>
        <v>0</v>
      </c>
      <c r="T2032" s="985" t="s">
        <v>6398</v>
      </c>
      <c r="U2032" s="986">
        <v>3</v>
      </c>
      <c r="V2032" s="987" t="s">
        <v>6399</v>
      </c>
      <c r="W2032" s="986">
        <v>3</v>
      </c>
      <c r="X2032" s="986" t="s">
        <v>6400</v>
      </c>
      <c r="Y2032" s="1166">
        <v>-2</v>
      </c>
    </row>
    <row r="2033" spans="1:25" ht="12.75" customHeight="1">
      <c r="A2033" s="219">
        <v>1927</v>
      </c>
      <c r="B2033" s="7145"/>
      <c r="E2033" s="874" t="s">
        <v>6083</v>
      </c>
      <c r="F2033" s="544"/>
      <c r="G2033" s="544">
        <v>60</v>
      </c>
      <c r="H2033" s="544">
        <v>1</v>
      </c>
      <c r="I2033" s="544">
        <v>10</v>
      </c>
      <c r="J2033" s="544">
        <f>COUNTIF(Elan!$C$13:$F$25,Tablas!E2033)+COUNTIF(Elan!$U$13:$X$25,Tablas!E2033)</f>
        <v>0</v>
      </c>
      <c r="K2033" s="544"/>
      <c r="L2033" s="7875" t="s">
        <v>9896</v>
      </c>
      <c r="M2033" s="7875"/>
      <c r="N2033" s="7875"/>
      <c r="O2033" s="7875"/>
      <c r="P2033" s="7875"/>
      <c r="Q2033" s="7876"/>
      <c r="R2033" s="877">
        <f>IF(OR($J2033=0,$J2033="Aprendida"),0,SUM($J$1934:$J2033))</f>
        <v>0</v>
      </c>
      <c r="T2033" s="985" t="s">
        <v>6401</v>
      </c>
      <c r="U2033" s="986">
        <v>2</v>
      </c>
      <c r="V2033" s="987" t="s">
        <v>6402</v>
      </c>
      <c r="W2033" s="986">
        <v>1</v>
      </c>
      <c r="X2033" s="986"/>
      <c r="Y2033" s="1166"/>
    </row>
    <row r="2034" spans="1:25" ht="12.75" customHeight="1">
      <c r="A2034" s="219">
        <v>1928</v>
      </c>
      <c r="B2034" s="7145"/>
      <c r="E2034" s="874" t="s">
        <v>6084</v>
      </c>
      <c r="F2034" s="544"/>
      <c r="G2034" s="544">
        <v>60</v>
      </c>
      <c r="H2034" s="544">
        <v>1</v>
      </c>
      <c r="I2034" s="544">
        <v>10</v>
      </c>
      <c r="J2034" s="544">
        <f>COUNTIF(Elan!$C$13:$F$25,Tablas!E2034)+COUNTIF(Elan!$U$13:$X$25,Tablas!E2034)</f>
        <v>0</v>
      </c>
      <c r="K2034" s="544"/>
      <c r="L2034" s="7875" t="s">
        <v>6319</v>
      </c>
      <c r="M2034" s="7875"/>
      <c r="N2034" s="7875"/>
      <c r="O2034" s="7875"/>
      <c r="P2034" s="7875"/>
      <c r="Q2034" s="7876"/>
      <c r="R2034" s="877">
        <f>IF(OR($J2034=0,$J2034="Aprendida"),0,SUM($J$1934:$J2034))</f>
        <v>0</v>
      </c>
      <c r="T2034" s="985" t="s">
        <v>6404</v>
      </c>
      <c r="U2034" s="986">
        <v>5</v>
      </c>
      <c r="V2034" s="987" t="s">
        <v>6405</v>
      </c>
      <c r="W2034" s="986">
        <v>4</v>
      </c>
      <c r="X2034" s="986"/>
      <c r="Y2034" s="1166"/>
    </row>
    <row r="2035" spans="1:25" ht="12.75" customHeight="1">
      <c r="A2035" s="219">
        <v>1929</v>
      </c>
      <c r="B2035" s="7145"/>
      <c r="E2035" s="874" t="s">
        <v>6085</v>
      </c>
      <c r="F2035" s="544"/>
      <c r="G2035" s="544">
        <v>70</v>
      </c>
      <c r="H2035" s="544">
        <v>1</v>
      </c>
      <c r="I2035" s="544">
        <v>20</v>
      </c>
      <c r="J2035" s="544">
        <f>COUNTIF(Elan!$C$13:$F$25,Tablas!E2035)+COUNTIF(Elan!$U$13:$X$25,Tablas!E2035)</f>
        <v>0</v>
      </c>
      <c r="K2035" s="544"/>
      <c r="L2035" s="7875" t="s">
        <v>9897</v>
      </c>
      <c r="M2035" s="7875"/>
      <c r="N2035" s="7875"/>
      <c r="O2035" s="7875"/>
      <c r="P2035" s="7875"/>
      <c r="Q2035" s="7876"/>
      <c r="R2035" s="877">
        <f>IF(OR($J2035=0,$J2035="Aprendida"),0,SUM($J$1934:$J2035))</f>
        <v>0</v>
      </c>
      <c r="T2035" s="985" t="s">
        <v>6406</v>
      </c>
      <c r="U2035" s="986">
        <v>4</v>
      </c>
      <c r="V2035" s="987"/>
      <c r="W2035" s="986"/>
      <c r="X2035" s="986"/>
      <c r="Y2035" s="1166"/>
    </row>
    <row r="2036" spans="1:25" ht="12.75" customHeight="1">
      <c r="A2036" s="219">
        <v>1930</v>
      </c>
      <c r="B2036" s="7145"/>
      <c r="E2036" s="874" t="s">
        <v>6086</v>
      </c>
      <c r="F2036" s="544"/>
      <c r="G2036" s="544">
        <v>80</v>
      </c>
      <c r="H2036" s="544">
        <v>1</v>
      </c>
      <c r="I2036" s="544">
        <v>15</v>
      </c>
      <c r="J2036" s="544">
        <f>COUNTIF(Elan!$C$13:$F$25,Tablas!E2036)+COUNTIF(Elan!$U$13:$X$25,Tablas!E2036)</f>
        <v>0</v>
      </c>
      <c r="K2036" s="544"/>
      <c r="L2036" s="7875" t="s">
        <v>6320</v>
      </c>
      <c r="M2036" s="7875"/>
      <c r="N2036" s="7875"/>
      <c r="O2036" s="7875"/>
      <c r="P2036" s="7875"/>
      <c r="Q2036" s="7876"/>
      <c r="R2036" s="877">
        <f>IF(OR($J2036=0,$J2036="Aprendida"),0,SUM($J$1934:$J2036))</f>
        <v>0</v>
      </c>
      <c r="T2036" s="988"/>
      <c r="U2036" s="989"/>
      <c r="V2036" s="989"/>
      <c r="W2036" s="989"/>
      <c r="X2036" s="989"/>
      <c r="Y2036" s="1167"/>
    </row>
    <row r="2037" spans="1:25" ht="12.75" customHeight="1">
      <c r="A2037" s="219">
        <v>1931</v>
      </c>
      <c r="B2037" s="7145"/>
      <c r="E2037" s="874" t="s">
        <v>6087</v>
      </c>
      <c r="F2037" s="544"/>
      <c r="G2037" s="544">
        <v>90</v>
      </c>
      <c r="H2037" s="544">
        <f>IF(J2035,1,0)</f>
        <v>0</v>
      </c>
      <c r="I2037" s="544">
        <v>10</v>
      </c>
      <c r="J2037" s="544">
        <f>COUNTIF(Elan!$C$13:$F$25,Tablas!E2037)+COUNTIF(Elan!$U$13:$X$25,Tablas!E2037)</f>
        <v>0</v>
      </c>
      <c r="K2037" s="544"/>
      <c r="L2037" s="7875" t="s">
        <v>6321</v>
      </c>
      <c r="M2037" s="7875"/>
      <c r="N2037" s="7875"/>
      <c r="O2037" s="7875"/>
      <c r="P2037" s="7875"/>
      <c r="Q2037" s="7876"/>
      <c r="R2037" s="877">
        <f>IF(OR($J2037=0,$J2037="Aprendida"),0,SUM($J$1934:$J2037))</f>
        <v>0</v>
      </c>
      <c r="T2037" s="988"/>
      <c r="U2037" s="989"/>
      <c r="V2037" s="989"/>
      <c r="W2037" s="989"/>
      <c r="X2037" s="989"/>
      <c r="Y2037" s="1167"/>
    </row>
    <row r="2038" spans="1:25" ht="12.75" customHeight="1">
      <c r="A2038" s="219">
        <v>1932</v>
      </c>
      <c r="B2038" s="7145"/>
      <c r="E2038" s="874" t="s">
        <v>6088</v>
      </c>
      <c r="F2038" s="544"/>
      <c r="G2038" s="544">
        <v>100</v>
      </c>
      <c r="H2038" s="544">
        <v>1</v>
      </c>
      <c r="I2038" s="544">
        <v>10</v>
      </c>
      <c r="J2038" s="544">
        <f>COUNTIF(Elan!$C$13:$F$25,Tablas!E2038)+COUNTIF(Elan!$U$13:$X$25,Tablas!E2038)</f>
        <v>0</v>
      </c>
      <c r="K2038" s="544"/>
      <c r="L2038" s="7875" t="s">
        <v>9898</v>
      </c>
      <c r="M2038" s="7875"/>
      <c r="N2038" s="7875"/>
      <c r="O2038" s="7875"/>
      <c r="P2038" s="7875"/>
      <c r="Q2038" s="7876"/>
      <c r="R2038" s="877">
        <f>IF(OR($J2038=0,$J2038="Aprendida"),0,SUM($J$1934:$J2038))</f>
        <v>0</v>
      </c>
      <c r="T2038" s="983" t="str">
        <f>E2102</f>
        <v>Meseguis</v>
      </c>
      <c r="U2038" s="984"/>
      <c r="V2038" s="990"/>
      <c r="W2038" s="984"/>
      <c r="X2038" s="984"/>
      <c r="Y2038" s="1165"/>
    </row>
    <row r="2039" spans="1:25" ht="12.75" customHeight="1">
      <c r="A2039" s="219">
        <v>1933</v>
      </c>
      <c r="B2039" s="7145"/>
      <c r="E2039" s="873" t="s">
        <v>5992</v>
      </c>
      <c r="F2039" s="1253">
        <f>IF(Elan!$C$11=Tablas!$E2039,Elan!$G$11,IF(Elan!$U$11=Tablas!$E2039,Elan!$Y$11,0))</f>
        <v>0</v>
      </c>
      <c r="G2039" s="866" t="s">
        <v>1674</v>
      </c>
      <c r="H2039" s="866" t="s">
        <v>7873</v>
      </c>
      <c r="I2039" s="866" t="s">
        <v>1349</v>
      </c>
      <c r="J2039" s="866" t="s">
        <v>5998</v>
      </c>
      <c r="K2039" s="866" t="s">
        <v>6646</v>
      </c>
      <c r="L2039" s="866" t="s">
        <v>1408</v>
      </c>
      <c r="M2039" s="545"/>
      <c r="N2039" s="545"/>
      <c r="O2039" s="545"/>
      <c r="P2039" s="545"/>
      <c r="Q2039" s="871"/>
      <c r="R2039" s="877">
        <f>IF(OR($J2039=0,$J2039="Aprendida"),0,SUM($J$1934:$J2039))</f>
        <v>0</v>
      </c>
      <c r="T2039" s="985" t="s">
        <v>6410</v>
      </c>
      <c r="U2039" s="986">
        <v>8</v>
      </c>
      <c r="V2039" s="987" t="s">
        <v>6411</v>
      </c>
      <c r="W2039" s="986">
        <v>2</v>
      </c>
      <c r="X2039" s="986" t="s">
        <v>6412</v>
      </c>
      <c r="Y2039" s="1166">
        <v>-3</v>
      </c>
    </row>
    <row r="2040" spans="1:25" ht="12.75" customHeight="1">
      <c r="A2040" s="219">
        <v>1934</v>
      </c>
      <c r="B2040" s="7145"/>
      <c r="E2040" s="874" t="s">
        <v>6089</v>
      </c>
      <c r="F2040" s="544"/>
      <c r="G2040" s="544">
        <v>10</v>
      </c>
      <c r="H2040" s="544">
        <v>1</v>
      </c>
      <c r="I2040" s="544">
        <v>5</v>
      </c>
      <c r="J2040" s="544">
        <f>COUNTIF(Elan!$C$13:$F$25,Tablas!E2040)+COUNTIF(Elan!$U$13:$X$25,Tablas!E2040)</f>
        <v>0</v>
      </c>
      <c r="K2040" s="544">
        <f>F$2039*J2040</f>
        <v>0</v>
      </c>
      <c r="L2040" s="7875" t="str">
        <f>"Obtiene un bonificador especial a la habilidad secundaria Liderazgo de +"&amp;K2040&amp;"."</f>
        <v>Obtiene un bonificador especial a la habilidad secundaria Liderazgo de +0.</v>
      </c>
      <c r="M2040" s="7875"/>
      <c r="N2040" s="7875"/>
      <c r="O2040" s="7875"/>
      <c r="P2040" s="7875"/>
      <c r="Q2040" s="7876"/>
      <c r="R2040" s="877">
        <f>IF(OR($J2040=0,$J2040="Aprendida"),0,SUM($J$1934:$J2040))</f>
        <v>0</v>
      </c>
      <c r="T2040" s="985" t="s">
        <v>6414</v>
      </c>
      <c r="U2040" s="986">
        <v>8</v>
      </c>
      <c r="V2040" s="987" t="s">
        <v>6415</v>
      </c>
      <c r="W2040" s="986">
        <v>1</v>
      </c>
      <c r="X2040" s="986" t="s">
        <v>6416</v>
      </c>
      <c r="Y2040" s="1166">
        <v>-4</v>
      </c>
    </row>
    <row r="2041" spans="1:25" ht="12.75" customHeight="1">
      <c r="A2041" s="219">
        <v>1935</v>
      </c>
      <c r="B2041" s="7145"/>
      <c r="E2041" s="874" t="s">
        <v>6090</v>
      </c>
      <c r="F2041" s="544"/>
      <c r="G2041" s="544">
        <v>20</v>
      </c>
      <c r="H2041" s="544">
        <v>1</v>
      </c>
      <c r="I2041" s="544">
        <v>5</v>
      </c>
      <c r="J2041" s="544">
        <f>COUNTIF(Elan!$C$13:$F$25,Tablas!E2041)+COUNTIF(Elan!$U$13:$X$25,Tablas!E2041)</f>
        <v>0</v>
      </c>
      <c r="K2041" s="544">
        <f>F$2039*J2041</f>
        <v>0</v>
      </c>
      <c r="L2041" s="7875" t="str">
        <f>"Obtiene un bonificador especial a la habilidad secundaria Frialdad de +"&amp;K2041&amp;"."</f>
        <v>Obtiene un bonificador especial a la habilidad secundaria Frialdad de +0.</v>
      </c>
      <c r="M2041" s="7875"/>
      <c r="N2041" s="7875"/>
      <c r="O2041" s="7875"/>
      <c r="P2041" s="7875"/>
      <c r="Q2041" s="7876"/>
      <c r="R2041" s="877">
        <f>IF(OR($J2041=0,$J2041="Aprendida"),0,SUM($J$1934:$J2041))</f>
        <v>0</v>
      </c>
      <c r="T2041" s="985"/>
      <c r="U2041" s="986"/>
      <c r="V2041" s="987" t="s">
        <v>6418</v>
      </c>
      <c r="W2041" s="986">
        <v>4</v>
      </c>
      <c r="X2041" s="986"/>
      <c r="Y2041" s="1166"/>
    </row>
    <row r="2042" spans="1:25" ht="12.75" customHeight="1">
      <c r="A2042" s="219">
        <v>1936</v>
      </c>
      <c r="B2042" s="7145"/>
      <c r="E2042" s="874" t="s">
        <v>6091</v>
      </c>
      <c r="F2042" s="544"/>
      <c r="G2042" s="544">
        <v>30</v>
      </c>
      <c r="H2042" s="544">
        <v>1</v>
      </c>
      <c r="I2042" s="544">
        <v>10</v>
      </c>
      <c r="J2042" s="544">
        <f>COUNTIF(Elan!$C$13:$F$25,Tablas!E2042)+COUNTIF(Elan!$U$13:$X$25,Tablas!E2042)</f>
        <v>0</v>
      </c>
      <c r="K2042" s="544"/>
      <c r="L2042" s="7875" t="s">
        <v>6328</v>
      </c>
      <c r="M2042" s="7875"/>
      <c r="N2042" s="7875"/>
      <c r="O2042" s="7875"/>
      <c r="P2042" s="7875"/>
      <c r="Q2042" s="7876"/>
      <c r="R2042" s="877">
        <f>IF(OR($J2042=0,$J2042="Aprendida"),0,SUM($J$1934:$J2042))</f>
        <v>0</v>
      </c>
      <c r="T2042" s="988"/>
      <c r="U2042" s="989"/>
      <c r="V2042" s="989"/>
      <c r="W2042" s="989"/>
      <c r="X2042" s="989"/>
      <c r="Y2042" s="1167"/>
    </row>
    <row r="2043" spans="1:25" ht="12.75" customHeight="1">
      <c r="A2043" s="219">
        <v>1937</v>
      </c>
      <c r="B2043" s="7145"/>
      <c r="E2043" s="874" t="s">
        <v>6092</v>
      </c>
      <c r="F2043" s="544"/>
      <c r="G2043" s="544">
        <v>40</v>
      </c>
      <c r="H2043" s="544">
        <v>1</v>
      </c>
      <c r="I2043" s="544">
        <v>10</v>
      </c>
      <c r="J2043" s="544">
        <f>COUNTIF(Elan!$C$13:$F$25,Tablas!E2043)+COUNTIF(Elan!$U$13:$X$25,Tablas!E2043)</f>
        <v>0</v>
      </c>
      <c r="K2043" s="544"/>
      <c r="L2043" s="7875" t="s">
        <v>9899</v>
      </c>
      <c r="M2043" s="7875"/>
      <c r="N2043" s="7875"/>
      <c r="O2043" s="7875"/>
      <c r="P2043" s="7875"/>
      <c r="Q2043" s="7876"/>
      <c r="R2043" s="877">
        <f>IF(OR($J2043=0,$J2043="Aprendida"),0,SUM($J$1934:$J2043))</f>
        <v>0</v>
      </c>
      <c r="T2043" s="988"/>
      <c r="U2043" s="989"/>
      <c r="V2043" s="989"/>
      <c r="W2043" s="989"/>
      <c r="X2043" s="989"/>
      <c r="Y2043" s="1167"/>
    </row>
    <row r="2044" spans="1:25" ht="12.75" customHeight="1">
      <c r="A2044" s="219">
        <v>1938</v>
      </c>
      <c r="B2044" s="7145"/>
      <c r="E2044" s="874" t="s">
        <v>6093</v>
      </c>
      <c r="F2044" s="544"/>
      <c r="G2044" s="544">
        <v>50</v>
      </c>
      <c r="H2044" s="544">
        <v>1</v>
      </c>
      <c r="I2044" s="544">
        <v>5</v>
      </c>
      <c r="J2044" s="544">
        <f>COUNTIF(Elan!$C$13:$F$25,Tablas!E2044)+COUNTIF(Elan!$U$13:$X$25,Tablas!E2044)</f>
        <v>0</v>
      </c>
      <c r="K2044" s="544"/>
      <c r="L2044" s="7875" t="s">
        <v>6334</v>
      </c>
      <c r="M2044" s="7875"/>
      <c r="N2044" s="7875"/>
      <c r="O2044" s="7875"/>
      <c r="P2044" s="7875"/>
      <c r="Q2044" s="7876"/>
      <c r="R2044" s="877">
        <f>IF(OR($J2044=0,$J2044="Aprendida"),0,SUM($J$1934:$J2044))</f>
        <v>0</v>
      </c>
      <c r="T2044" s="988"/>
      <c r="U2044" s="989"/>
      <c r="V2044" s="989"/>
      <c r="W2044" s="989"/>
      <c r="X2044" s="989"/>
      <c r="Y2044" s="1167"/>
    </row>
    <row r="2045" spans="1:25" ht="12.75" customHeight="1">
      <c r="A2045" s="219">
        <v>1939</v>
      </c>
      <c r="B2045" s="7145"/>
      <c r="E2045" s="874" t="s">
        <v>6094</v>
      </c>
      <c r="F2045" s="544"/>
      <c r="G2045" s="544">
        <v>60</v>
      </c>
      <c r="H2045" s="544">
        <f>IF(J2044,1,0)</f>
        <v>0</v>
      </c>
      <c r="I2045" s="544">
        <v>10</v>
      </c>
      <c r="J2045" s="544">
        <f>COUNTIF(Elan!$C$13:$F$25,Tablas!E2045)+COUNTIF(Elan!$U$13:$X$25,Tablas!E2045)</f>
        <v>0</v>
      </c>
      <c r="K2045" s="544"/>
      <c r="L2045" s="7875" t="str">
        <f>"En un radio de "&amp;F2039/2&amp;" metros todo ser de naturaleza negativa está obligado a superar automáticamente, cada cinco asaltos, un control de RM o RF contra "&amp;F2039*2&amp;"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2045" s="7875"/>
      <c r="N2045" s="7875"/>
      <c r="O2045" s="7875"/>
      <c r="P2045" s="7875"/>
      <c r="Q2045" s="7876"/>
      <c r="R2045" s="877">
        <f>IF(OR($J2045=0,$J2045="Aprendida"),0,SUM($J$1934:$J2045))</f>
        <v>0</v>
      </c>
      <c r="T2045" s="988"/>
      <c r="U2045" s="989"/>
      <c r="V2045" s="989"/>
      <c r="W2045" s="989"/>
      <c r="X2045" s="989"/>
      <c r="Y2045" s="1167"/>
    </row>
    <row r="2046" spans="1:25" ht="12.75" customHeight="1">
      <c r="A2046" s="219">
        <v>1940</v>
      </c>
      <c r="B2046" s="7145"/>
      <c r="E2046" s="874" t="s">
        <v>157</v>
      </c>
      <c r="F2046" s="544"/>
      <c r="G2046" s="544">
        <v>60</v>
      </c>
      <c r="H2046" s="544">
        <v>1</v>
      </c>
      <c r="I2046" s="544">
        <v>15</v>
      </c>
      <c r="J2046" s="544">
        <f>COUNTIF(Elan!$C$13:$F$25,Tablas!E2046)+COUNTIF(Elan!$U$13:$X$25,Tablas!E2046)</f>
        <v>0</v>
      </c>
      <c r="K2046" s="544"/>
      <c r="L2046" s="7875" t="str">
        <f>"El PJ ignora cualquier habilidad mística o psíquica que le obligue a realizar un control de Resistencia inferior a "&amp;F2039+40&amp;"."</f>
        <v>El PJ ignora cualquier habilidad mística o psíquica que le obligue a realizar un control de Resistencia inferior a 40.</v>
      </c>
      <c r="M2046" s="7875"/>
      <c r="N2046" s="7875"/>
      <c r="O2046" s="7875"/>
      <c r="P2046" s="7875"/>
      <c r="Q2046" s="7876"/>
      <c r="R2046" s="877">
        <f>IF(OR($J2046=0,$J2046="Aprendida"),0,SUM($J$1934:$J2046))</f>
        <v>0</v>
      </c>
      <c r="T2046" s="991" t="str">
        <f>E2116</f>
        <v>Elan Personalizado</v>
      </c>
      <c r="U2046" s="984"/>
      <c r="V2046" s="990"/>
      <c r="W2046" s="984"/>
      <c r="X2046" s="984"/>
      <c r="Y2046" s="1165"/>
    </row>
    <row r="2047" spans="1:25" ht="12.75" customHeight="1">
      <c r="A2047" s="219">
        <v>1941</v>
      </c>
      <c r="B2047" s="7145"/>
      <c r="E2047" s="874" t="s">
        <v>6095</v>
      </c>
      <c r="F2047" s="544"/>
      <c r="G2047" s="544">
        <v>70</v>
      </c>
      <c r="H2047" s="544">
        <v>1</v>
      </c>
      <c r="I2047" s="544">
        <v>15</v>
      </c>
      <c r="J2047" s="544">
        <f>COUNTIF(Elan!$C$13:$F$25,Tablas!E2047)+COUNTIF(Elan!$U$13:$X$25,Tablas!E2047)</f>
        <v>0</v>
      </c>
      <c r="K2047" s="544"/>
      <c r="L2047" s="7875" t="s">
        <v>6338</v>
      </c>
      <c r="M2047" s="7875"/>
      <c r="N2047" s="7875"/>
      <c r="O2047" s="7875"/>
      <c r="P2047" s="7875"/>
      <c r="Q2047" s="7876"/>
      <c r="R2047" s="877">
        <f>IF(OR($J2047=0,$J2047="Aprendida"),0,SUM($J$1934:$J2047))</f>
        <v>0</v>
      </c>
      <c r="T2047" s="985">
        <f>Personalización!E113</f>
        <v>0</v>
      </c>
      <c r="U2047" s="986">
        <f>Personalización!K113</f>
        <v>0</v>
      </c>
      <c r="V2047" s="987">
        <f>Personalización!E121</f>
        <v>0</v>
      </c>
      <c r="W2047" s="986">
        <f>Personalización!K121</f>
        <v>0</v>
      </c>
      <c r="X2047" s="986">
        <f>Personalización!L113</f>
        <v>0</v>
      </c>
      <c r="Y2047" s="1166">
        <f>Personalización!O113</f>
        <v>0</v>
      </c>
    </row>
    <row r="2048" spans="1:25" ht="12.75" customHeight="1">
      <c r="A2048" s="219">
        <v>1942</v>
      </c>
      <c r="B2048" s="7145"/>
      <c r="E2048" s="874" t="s">
        <v>6096</v>
      </c>
      <c r="F2048" s="544"/>
      <c r="G2048" s="544">
        <v>70</v>
      </c>
      <c r="H2048" s="544">
        <v>1</v>
      </c>
      <c r="I2048" s="544">
        <v>20</v>
      </c>
      <c r="J2048" s="544">
        <f>COUNTIF(Elan!$C$13:$F$25,Tablas!E2048)+COUNTIF(Elan!$U$13:$X$25,Tablas!E2048)</f>
        <v>0</v>
      </c>
      <c r="K2048" s="544"/>
      <c r="L2048" s="7875" t="s">
        <v>6339</v>
      </c>
      <c r="M2048" s="7875"/>
      <c r="N2048" s="7875"/>
      <c r="O2048" s="7875"/>
      <c r="P2048" s="7875"/>
      <c r="Q2048" s="7876"/>
      <c r="R2048" s="877">
        <f>IF(OR($J2048=0,$J2048="Aprendida"),0,SUM($J$1934:$J2048))</f>
        <v>0</v>
      </c>
      <c r="T2048" s="985">
        <f>Personalización!E114</f>
        <v>0</v>
      </c>
      <c r="U2048" s="986">
        <f>Personalización!K114</f>
        <v>0</v>
      </c>
      <c r="V2048" s="987">
        <f>Personalización!E122</f>
        <v>0</v>
      </c>
      <c r="W2048" s="986">
        <f>Personalización!K122</f>
        <v>0</v>
      </c>
      <c r="X2048" s="986">
        <f>Personalización!L116</f>
        <v>0</v>
      </c>
      <c r="Y2048" s="1166">
        <f>Personalización!O116</f>
        <v>0</v>
      </c>
    </row>
    <row r="2049" spans="1:25" ht="12.75" customHeight="1">
      <c r="A2049" s="219">
        <v>1943</v>
      </c>
      <c r="B2049" s="7145"/>
      <c r="E2049" s="874" t="s">
        <v>9900</v>
      </c>
      <c r="F2049" s="544"/>
      <c r="G2049" s="544">
        <v>80</v>
      </c>
      <c r="H2049" s="544">
        <v>1</v>
      </c>
      <c r="I2049" s="544">
        <v>10</v>
      </c>
      <c r="J2049" s="544">
        <f>COUNTIF(Elan!$C$13:$F$25,Tablas!E2049)+COUNTIF(Elan!$U$13:$X$25,Tablas!E2049)</f>
        <v>0</v>
      </c>
      <c r="K2049" s="544">
        <f>IF(J2049&gt;0,1,0)</f>
        <v>0</v>
      </c>
      <c r="L2049" s="7875" t="s">
        <v>6340</v>
      </c>
      <c r="M2049" s="7875"/>
      <c r="N2049" s="7875"/>
      <c r="O2049" s="7875"/>
      <c r="P2049" s="7875"/>
      <c r="Q2049" s="7876"/>
      <c r="R2049" s="877">
        <f>IF(OR($J2049=0,$J2049="Aprendida"),0,SUM($J$1934:$J2049))</f>
        <v>0</v>
      </c>
      <c r="T2049" s="985">
        <f>Personalización!E115</f>
        <v>0</v>
      </c>
      <c r="U2049" s="986">
        <f>Personalización!K115</f>
        <v>0</v>
      </c>
      <c r="V2049" s="987">
        <f>Personalización!E123</f>
        <v>0</v>
      </c>
      <c r="W2049" s="986">
        <f>Personalización!K123</f>
        <v>0</v>
      </c>
      <c r="X2049" s="986">
        <f>Personalización!L119</f>
        <v>0</v>
      </c>
      <c r="Y2049" s="1166">
        <f>Personalización!O119</f>
        <v>0</v>
      </c>
    </row>
    <row r="2050" spans="1:25" ht="12.75" customHeight="1">
      <c r="A2050" s="219">
        <v>1944</v>
      </c>
      <c r="B2050" s="7145"/>
      <c r="E2050" s="874" t="s">
        <v>6097</v>
      </c>
      <c r="F2050" s="544"/>
      <c r="G2050" s="544">
        <v>90</v>
      </c>
      <c r="H2050" s="544">
        <f>IF(J2045,1,0)</f>
        <v>0</v>
      </c>
      <c r="I2050" s="544">
        <v>15</v>
      </c>
      <c r="J2050" s="544">
        <f>COUNTIF(Elan!$C$13:$F$25,Tablas!E2050)+COUNTIF(Elan!$U$13:$X$25,Tablas!E2050)</f>
        <v>0</v>
      </c>
      <c r="K2050" s="544"/>
      <c r="L2050" s="7875" t="str">
        <f>"El PJ bendice contra criaturas oscuras o malignas, durante "&amp;FLOOR(F2039/10,1)&amp;"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2050" s="7875"/>
      <c r="N2050" s="7875"/>
      <c r="O2050" s="7875"/>
      <c r="P2050" s="7875"/>
      <c r="Q2050" s="7876"/>
      <c r="R2050" s="877">
        <f>IF(OR($J2050=0,$J2050="Aprendida"),0,SUM($J$1934:$J2050))</f>
        <v>0</v>
      </c>
      <c r="T2050" s="985">
        <f>Personalización!E116</f>
        <v>0</v>
      </c>
      <c r="U2050" s="986">
        <f>Personalización!K116</f>
        <v>0</v>
      </c>
      <c r="V2050" s="987">
        <f>Personalización!E124</f>
        <v>0</v>
      </c>
      <c r="W2050" s="986">
        <f>Personalización!K124</f>
        <v>0</v>
      </c>
      <c r="X2050" s="986">
        <f>Personalización!L122</f>
        <v>0</v>
      </c>
      <c r="Y2050" s="1166">
        <f>Personalización!O122</f>
        <v>0</v>
      </c>
    </row>
    <row r="2051" spans="1:25" ht="12.75" customHeight="1">
      <c r="A2051" s="219">
        <v>1945</v>
      </c>
      <c r="B2051" s="7145"/>
      <c r="E2051" s="874" t="s">
        <v>6098</v>
      </c>
      <c r="F2051" s="544"/>
      <c r="G2051" s="544">
        <v>100</v>
      </c>
      <c r="H2051" s="544">
        <v>1</v>
      </c>
      <c r="I2051" s="544">
        <v>10</v>
      </c>
      <c r="J2051" s="544">
        <f>COUNTIF(Elan!$C$13:$F$25,Tablas!E2051)+COUNTIF(Elan!$U$13:$X$25,Tablas!E2051)</f>
        <v>0</v>
      </c>
      <c r="K2051" s="544"/>
      <c r="L2051" s="7875" t="s">
        <v>9901</v>
      </c>
      <c r="M2051" s="7875"/>
      <c r="N2051" s="7875"/>
      <c r="O2051" s="7875"/>
      <c r="P2051" s="7875"/>
      <c r="Q2051" s="7876"/>
      <c r="R2051" s="877">
        <f>IF(OR($J2051=0,$J2051="Aprendida"),0,SUM($J$1934:$J2051))</f>
        <v>0</v>
      </c>
      <c r="T2051" s="985">
        <f>Personalización!E117</f>
        <v>0</v>
      </c>
      <c r="U2051" s="986">
        <f>Personalización!K117</f>
        <v>0</v>
      </c>
      <c r="V2051" s="987">
        <f>Personalización!E125</f>
        <v>0</v>
      </c>
      <c r="W2051" s="986">
        <f>Personalización!K125</f>
        <v>0</v>
      </c>
      <c r="X2051" s="986">
        <f>Personalización!L125</f>
        <v>0</v>
      </c>
      <c r="Y2051" s="1166">
        <f>Personalización!O125</f>
        <v>0</v>
      </c>
    </row>
    <row r="2052" spans="1:25" ht="12.75" customHeight="1">
      <c r="A2052" s="219">
        <v>1946</v>
      </c>
      <c r="B2052" s="7145"/>
      <c r="E2052" s="873" t="s">
        <v>5993</v>
      </c>
      <c r="F2052" s="1253">
        <f>IF(Elan!$C$11=Tablas!$E2052,Elan!$G$11,IF(Elan!$U$11=Tablas!$E2052,Elan!$Y$11,0))</f>
        <v>0</v>
      </c>
      <c r="G2052" s="866" t="s">
        <v>1674</v>
      </c>
      <c r="H2052" s="866" t="s">
        <v>7873</v>
      </c>
      <c r="I2052" s="866" t="s">
        <v>1349</v>
      </c>
      <c r="J2052" s="866" t="s">
        <v>5998</v>
      </c>
      <c r="K2052" s="866" t="s">
        <v>6646</v>
      </c>
      <c r="L2052" s="866" t="s">
        <v>1408</v>
      </c>
      <c r="M2052" s="545"/>
      <c r="N2052" s="545"/>
      <c r="O2052" s="545"/>
      <c r="P2052" s="545"/>
      <c r="Q2052" s="871"/>
      <c r="R2052" s="877">
        <f>IF(OR($J2052=0,$J2052="Aprendida"),0,SUM($J$1934:$J2052))</f>
        <v>0</v>
      </c>
      <c r="T2052" s="985">
        <f>Personalización!E118</f>
        <v>0</v>
      </c>
      <c r="U2052" s="986">
        <f>Personalización!K118</f>
        <v>0</v>
      </c>
      <c r="V2052" s="987">
        <f>Personalización!E126</f>
        <v>0</v>
      </c>
      <c r="W2052" s="986">
        <f>Personalización!K126</f>
        <v>0</v>
      </c>
      <c r="X2052" s="986"/>
      <c r="Y2052" s="1166"/>
    </row>
    <row r="2053" spans="1:25" ht="12.75" customHeight="1" thickBot="1">
      <c r="A2053" s="219">
        <v>1947</v>
      </c>
      <c r="B2053" s="7145"/>
      <c r="E2053" s="874" t="s">
        <v>6099</v>
      </c>
      <c r="F2053" s="544"/>
      <c r="G2053" s="544">
        <v>10</v>
      </c>
      <c r="H2053" s="544">
        <v>1</v>
      </c>
      <c r="I2053" s="544">
        <v>10</v>
      </c>
      <c r="J2053" s="544">
        <f>COUNTIF(Elan!$C$13:$F$25,Tablas!E2053)+COUNTIF(Elan!$U$13:$X$25,Tablas!E2053)</f>
        <v>0</v>
      </c>
      <c r="K2053" s="544"/>
      <c r="L2053" s="7875" t="s">
        <v>6341</v>
      </c>
      <c r="M2053" s="7875"/>
      <c r="N2053" s="7875"/>
      <c r="O2053" s="7875"/>
      <c r="P2053" s="7875"/>
      <c r="Q2053" s="7876"/>
      <c r="R2053" s="877">
        <f>IF(OR($J2053=0,$J2053="Aprendida"),0,SUM($J$1934:$J2053))</f>
        <v>0</v>
      </c>
      <c r="T2053" s="992">
        <f>Personalización!E119</f>
        <v>0</v>
      </c>
      <c r="U2053" s="993">
        <f>Personalización!K119</f>
        <v>0</v>
      </c>
      <c r="V2053" s="994">
        <f>Personalización!E127</f>
        <v>0</v>
      </c>
      <c r="W2053" s="993">
        <f>Personalización!K127</f>
        <v>0</v>
      </c>
      <c r="X2053" s="993"/>
      <c r="Y2053" s="1168"/>
    </row>
    <row r="2054" spans="1:25" ht="12.75" customHeight="1">
      <c r="A2054" s="219">
        <v>1948</v>
      </c>
      <c r="B2054" s="7145"/>
      <c r="E2054" s="874" t="s">
        <v>6100</v>
      </c>
      <c r="F2054" s="544"/>
      <c r="G2054" s="544">
        <v>20</v>
      </c>
      <c r="H2054" s="544">
        <v>1</v>
      </c>
      <c r="I2054" s="544">
        <v>5</v>
      </c>
      <c r="J2054" s="544">
        <f>COUNTIF(Elan!$C$13:$F$25,Tablas!E2054)+COUNTIF(Elan!$U$13:$X$25,Tablas!E2054)</f>
        <v>0</v>
      </c>
      <c r="K2054" s="544"/>
      <c r="L2054" s="7875" t="s">
        <v>6344</v>
      </c>
      <c r="M2054" s="7875"/>
      <c r="N2054" s="7875"/>
      <c r="O2054" s="7875"/>
      <c r="P2054" s="7875"/>
      <c r="Q2054" s="7876"/>
      <c r="R2054" s="877">
        <f>IF(OR($J2054=0,$J2054="Aprendida"),0,SUM($J$1934:$J2054))</f>
        <v>0</v>
      </c>
    </row>
    <row r="2055" spans="1:25" ht="12.75" customHeight="1">
      <c r="A2055" s="219">
        <v>1949</v>
      </c>
      <c r="B2055" s="7145"/>
      <c r="E2055" s="874" t="s">
        <v>6101</v>
      </c>
      <c r="F2055" s="544"/>
      <c r="G2055" s="544">
        <v>30</v>
      </c>
      <c r="H2055" s="544">
        <v>1</v>
      </c>
      <c r="I2055" s="544">
        <v>10</v>
      </c>
      <c r="J2055" s="544">
        <f>COUNTIF(Elan!$C$13:$F$25,Tablas!E2055)+COUNTIF(Elan!$U$13:$X$25,Tablas!E2055)</f>
        <v>0</v>
      </c>
      <c r="K2055" s="544"/>
      <c r="L2055" s="7875" t="str">
        <f>"El PJ aviva el pecado capital que más profundamente se halle arraigado en el interior de un individuo, si este no supera un control de RM o RP contra "&amp;F2052*2&amp;"."</f>
        <v>El PJ aviva el pecado capital que más profundamente se halle arraigado en el interior de un individuo, si este no supera un control de RM o RP contra 0.</v>
      </c>
      <c r="M2055" s="7875"/>
      <c r="N2055" s="7875"/>
      <c r="O2055" s="7875"/>
      <c r="P2055" s="7875"/>
      <c r="Q2055" s="7876"/>
      <c r="R2055" s="877">
        <f>IF(OR($J2055=0,$J2055="Aprendida"),0,SUM($J$1934:$J2055))</f>
        <v>0</v>
      </c>
    </row>
    <row r="2056" spans="1:25" ht="12.75" customHeight="1">
      <c r="A2056" s="219">
        <v>1950</v>
      </c>
      <c r="B2056" s="7145"/>
      <c r="E2056" s="874" t="s">
        <v>6102</v>
      </c>
      <c r="F2056" s="544"/>
      <c r="G2056" s="544">
        <v>40</v>
      </c>
      <c r="H2056" s="544">
        <v>1</v>
      </c>
      <c r="I2056" s="544">
        <v>5</v>
      </c>
      <c r="J2056" s="544">
        <f>COUNTIF(Elan!$C$13:$F$25,Tablas!E2056)+COUNTIF(Elan!$U$13:$X$25,Tablas!E2056)</f>
        <v>0</v>
      </c>
      <c r="K2056" s="544"/>
      <c r="L2056" s="7875" t="s">
        <v>6349</v>
      </c>
      <c r="M2056" s="7875"/>
      <c r="N2056" s="7875"/>
      <c r="O2056" s="7875"/>
      <c r="P2056" s="7875"/>
      <c r="Q2056" s="7876"/>
      <c r="R2056" s="877">
        <f>IF(OR($J2056=0,$J2056="Aprendida"),0,SUM($J$1934:$J2056))</f>
        <v>0</v>
      </c>
    </row>
    <row r="2057" spans="1:25" ht="12.75" customHeight="1">
      <c r="A2057" s="219">
        <v>1951</v>
      </c>
      <c r="B2057" s="7145"/>
      <c r="E2057" s="874" t="s">
        <v>6103</v>
      </c>
      <c r="F2057" s="544"/>
      <c r="G2057" s="544">
        <v>50</v>
      </c>
      <c r="H2057" s="544">
        <v>1</v>
      </c>
      <c r="I2057" s="544">
        <v>15</v>
      </c>
      <c r="J2057" s="544">
        <f>COUNTIF(Elan!$C$13:$F$25,Tablas!E2057)+COUNTIF(Elan!$U$13:$X$25,Tablas!E2057)</f>
        <v>0</v>
      </c>
      <c r="K2057" s="544"/>
      <c r="L2057" s="7875" t="str">
        <f>"El PJ puede obligar a alguien a superar un control de RM contra "&amp;F2052+60&amp;"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2057" s="7875"/>
      <c r="N2057" s="7875"/>
      <c r="O2057" s="7875"/>
      <c r="P2057" s="7875"/>
      <c r="Q2057" s="7876"/>
      <c r="R2057" s="877">
        <f>IF(OR($J2057=0,$J2057="Aprendida"),0,SUM($J$1934:$J2057))</f>
        <v>0</v>
      </c>
    </row>
    <row r="2058" spans="1:25" ht="12.75" customHeight="1">
      <c r="A2058" s="219">
        <v>1952</v>
      </c>
      <c r="B2058" s="7145"/>
      <c r="E2058" s="874" t="s">
        <v>6104</v>
      </c>
      <c r="F2058" s="544"/>
      <c r="G2058" s="544">
        <v>60</v>
      </c>
      <c r="H2058" s="544">
        <f>IF(J2056,1,0)</f>
        <v>0</v>
      </c>
      <c r="I2058" s="544">
        <v>10</v>
      </c>
      <c r="J2058" s="544">
        <f>COUNTIF(Elan!$C$13:$F$25,Tablas!E2058)+COUNTIF(Elan!$U$13:$X$25,Tablas!E2058)</f>
        <v>0</v>
      </c>
      <c r="K2058" s="544">
        <f>2*J2058*F2052</f>
        <v>0</v>
      </c>
      <c r="L2058" s="7875" t="str">
        <f>"El PJ recibe "&amp;K2058&amp;" PDs para gastar en cualquier poder sobrenatural como si tuviera Gnosis 25."</f>
        <v>El PJ recibe 0 PDs para gastar en cualquier poder sobrenatural como si tuviera Gnosis 25.</v>
      </c>
      <c r="M2058" s="7875"/>
      <c r="N2058" s="7875"/>
      <c r="O2058" s="7875"/>
      <c r="P2058" s="7875"/>
      <c r="Q2058" s="7876"/>
      <c r="R2058" s="877">
        <f>IF(OR($J2058=0,$J2058="Aprendida"),0,SUM($J$1934:$J2058))</f>
        <v>0</v>
      </c>
    </row>
    <row r="2059" spans="1:25" ht="12.75" customHeight="1">
      <c r="A2059" s="219">
        <v>1953</v>
      </c>
      <c r="B2059" s="7145"/>
      <c r="E2059" s="874" t="s">
        <v>6105</v>
      </c>
      <c r="F2059" s="544"/>
      <c r="G2059" s="544">
        <v>70</v>
      </c>
      <c r="H2059" s="544">
        <v>1</v>
      </c>
      <c r="I2059" s="544">
        <v>15</v>
      </c>
      <c r="J2059" s="544">
        <f>COUNTIF(Elan!$C$13:$F$25,Tablas!E2059)+COUNTIF(Elan!$U$13:$X$25,Tablas!E2059)</f>
        <v>0</v>
      </c>
      <c r="K2059" s="544"/>
      <c r="L2059" s="7875" t="s">
        <v>6352</v>
      </c>
      <c r="M2059" s="7875"/>
      <c r="N2059" s="7875"/>
      <c r="O2059" s="7875"/>
      <c r="P2059" s="7875"/>
      <c r="Q2059" s="7876"/>
      <c r="R2059" s="877">
        <f>IF(OR($J2059=0,$J2059="Aprendida"),0,SUM($J$1934:$J2059))</f>
        <v>0</v>
      </c>
    </row>
    <row r="2060" spans="1:25" ht="12.75" customHeight="1">
      <c r="A2060" s="219">
        <v>1954</v>
      </c>
      <c r="B2060" s="7145"/>
      <c r="E2060" s="874" t="s">
        <v>6106</v>
      </c>
      <c r="F2060" s="544"/>
      <c r="G2060" s="544">
        <v>80</v>
      </c>
      <c r="H2060" s="544">
        <f>IF(J2056,1,0)</f>
        <v>0</v>
      </c>
      <c r="I2060" s="544">
        <v>10</v>
      </c>
      <c r="J2060" s="544">
        <f>COUNTIF(Elan!$C$13:$F$25,Tablas!E2060)+COUNTIF(Elan!$U$13:$X$25,Tablas!E2060)</f>
        <v>0</v>
      </c>
      <c r="K2060" s="544"/>
      <c r="L2060" s="7875" t="s">
        <v>6353</v>
      </c>
      <c r="M2060" s="7875"/>
      <c r="N2060" s="7875"/>
      <c r="O2060" s="7875"/>
      <c r="P2060" s="7875"/>
      <c r="Q2060" s="7876"/>
      <c r="R2060" s="877">
        <f>IF(OR($J2060=0,$J2060="Aprendida"),0,SUM($J$1934:$J2060))</f>
        <v>0</v>
      </c>
    </row>
    <row r="2061" spans="1:25" ht="12.75" customHeight="1">
      <c r="A2061" s="219">
        <v>1955</v>
      </c>
      <c r="B2061" s="7145"/>
      <c r="E2061" s="874" t="s">
        <v>6107</v>
      </c>
      <c r="F2061" s="544"/>
      <c r="G2061" s="544">
        <v>80</v>
      </c>
      <c r="H2061" s="544">
        <v>1</v>
      </c>
      <c r="I2061" s="544">
        <v>15</v>
      </c>
      <c r="J2061" s="544">
        <f>COUNTIF(Elan!$C$13:$F$25,Tablas!E2061)+COUNTIF(Elan!$U$13:$X$25,Tablas!E2061)</f>
        <v>0</v>
      </c>
      <c r="K2061" s="544"/>
      <c r="L2061" s="7875" t="s">
        <v>6354</v>
      </c>
      <c r="M2061" s="7875"/>
      <c r="N2061" s="7875"/>
      <c r="O2061" s="7875"/>
      <c r="P2061" s="7875"/>
      <c r="Q2061" s="7876"/>
      <c r="R2061" s="877">
        <f>IF(OR($J2061=0,$J2061="Aprendida"),0,SUM($J$1934:$J2061))</f>
        <v>0</v>
      </c>
    </row>
    <row r="2062" spans="1:25" ht="12.75" customHeight="1">
      <c r="A2062" s="219">
        <v>1956</v>
      </c>
      <c r="B2062" s="7145"/>
      <c r="E2062" s="874" t="s">
        <v>6108</v>
      </c>
      <c r="F2062" s="544"/>
      <c r="G2062" s="544">
        <v>90</v>
      </c>
      <c r="H2062" s="544">
        <v>1</v>
      </c>
      <c r="I2062" s="544">
        <v>15</v>
      </c>
      <c r="J2062" s="544">
        <f>COUNTIF(Elan!$C$13:$F$25,Tablas!E2062)+COUNTIF(Elan!$U$13:$X$25,Tablas!E2062)</f>
        <v>0</v>
      </c>
      <c r="K2062" s="544"/>
      <c r="L2062" s="7875" t="s">
        <v>9902</v>
      </c>
      <c r="M2062" s="7875"/>
      <c r="N2062" s="7875"/>
      <c r="O2062" s="7875"/>
      <c r="P2062" s="7875"/>
      <c r="Q2062" s="7876"/>
      <c r="R2062" s="877">
        <f>IF(OR($J2062=0,$J2062="Aprendida"),0,SUM($J$1934:$J2062))</f>
        <v>0</v>
      </c>
    </row>
    <row r="2063" spans="1:25" ht="12.75" customHeight="1">
      <c r="A2063" s="219">
        <v>1957</v>
      </c>
      <c r="B2063" s="7145"/>
      <c r="E2063" s="874" t="s">
        <v>6109</v>
      </c>
      <c r="F2063" s="544"/>
      <c r="G2063" s="544">
        <v>100</v>
      </c>
      <c r="H2063" s="544">
        <v>1</v>
      </c>
      <c r="I2063" s="544">
        <v>10</v>
      </c>
      <c r="J2063" s="544">
        <f>COUNTIF(Elan!$C$13:$F$25,Tablas!E2063)+COUNTIF(Elan!$U$13:$X$25,Tablas!E2063)</f>
        <v>0</v>
      </c>
      <c r="K2063" s="544"/>
      <c r="L2063" s="7875" t="s">
        <v>9903</v>
      </c>
      <c r="M2063" s="7875"/>
      <c r="N2063" s="7875"/>
      <c r="O2063" s="7875"/>
      <c r="P2063" s="7875"/>
      <c r="Q2063" s="7876"/>
      <c r="R2063" s="877">
        <f>IF(OR($J2063=0,$J2063="Aprendida"),0,SUM($J$1934:$J2063))</f>
        <v>0</v>
      </c>
    </row>
    <row r="2064" spans="1:25" ht="12.75" customHeight="1">
      <c r="A2064" s="219">
        <v>1958</v>
      </c>
      <c r="B2064" s="7145"/>
      <c r="E2064" s="873" t="s">
        <v>5994</v>
      </c>
      <c r="F2064" s="1253">
        <f>IF(Elan!$C$11=Tablas!$E2064,Elan!$G$11,IF(Elan!$U$11=Tablas!$E2064,Elan!$Y$11,0))</f>
        <v>0</v>
      </c>
      <c r="G2064" s="866" t="s">
        <v>1674</v>
      </c>
      <c r="H2064" s="866" t="s">
        <v>7873</v>
      </c>
      <c r="I2064" s="866" t="s">
        <v>1349</v>
      </c>
      <c r="J2064" s="866" t="s">
        <v>5998</v>
      </c>
      <c r="K2064" s="866" t="s">
        <v>6646</v>
      </c>
      <c r="L2064" s="866" t="s">
        <v>1408</v>
      </c>
      <c r="M2064" s="545"/>
      <c r="N2064" s="545"/>
      <c r="O2064" s="545"/>
      <c r="P2064" s="545"/>
      <c r="Q2064" s="871"/>
      <c r="R2064" s="877">
        <f>IF(OR($J2064=0,$J2064="Aprendida"),0,SUM($J$1934:$J2064))</f>
        <v>0</v>
      </c>
    </row>
    <row r="2065" spans="1:18" ht="12.75" customHeight="1">
      <c r="A2065" s="219">
        <v>1959</v>
      </c>
      <c r="B2065" s="7145"/>
      <c r="E2065" s="874" t="s">
        <v>6110</v>
      </c>
      <c r="F2065" s="544"/>
      <c r="G2065" s="544">
        <v>10</v>
      </c>
      <c r="H2065" s="544">
        <v>1</v>
      </c>
      <c r="I2065" s="544">
        <v>5</v>
      </c>
      <c r="J2065" s="544">
        <f>COUNTIF(Elan!$C$13:$F$25,Tablas!E2065)+COUNTIF(Elan!$U$13:$X$25,Tablas!E2065)</f>
        <v>0</v>
      </c>
      <c r="K2065" s="544">
        <f>F$2064*J2065</f>
        <v>0</v>
      </c>
      <c r="L2065" s="7875" t="str">
        <f>"Obtiene un bonificador especial a la habilidad secundaria Estilo de +"&amp;K2065&amp;"."</f>
        <v>Obtiene un bonificador especial a la habilidad secundaria Estilo de +0.</v>
      </c>
      <c r="M2065" s="7875"/>
      <c r="N2065" s="7875"/>
      <c r="O2065" s="7875"/>
      <c r="P2065" s="7875"/>
      <c r="Q2065" s="7876"/>
      <c r="R2065" s="877">
        <f>IF(OR($J2065=0,$J2065="Aprendida"),0,SUM($J$1934:$J2065))</f>
        <v>0</v>
      </c>
    </row>
    <row r="2066" spans="1:18" ht="12.75" customHeight="1">
      <c r="A2066" s="219">
        <v>1960</v>
      </c>
      <c r="B2066" s="7145"/>
      <c r="E2066" s="874" t="s">
        <v>6111</v>
      </c>
      <c r="F2066" s="544"/>
      <c r="G2066" s="544">
        <v>20</v>
      </c>
      <c r="H2066" s="544">
        <v>1</v>
      </c>
      <c r="I2066" s="544">
        <v>10</v>
      </c>
      <c r="J2066" s="544">
        <f>COUNTIF(Elan!$C$13:$F$25,Tablas!E2066)+COUNTIF(Elan!$U$13:$X$25,Tablas!E2066)</f>
        <v>0</v>
      </c>
      <c r="K2066" s="544"/>
      <c r="L2066" s="7875" t="s">
        <v>6358</v>
      </c>
      <c r="M2066" s="7875"/>
      <c r="N2066" s="7875"/>
      <c r="O2066" s="7875"/>
      <c r="P2066" s="7875"/>
      <c r="Q2066" s="7876"/>
      <c r="R2066" s="877">
        <f>IF(OR($J2066=0,$J2066="Aprendida"),0,SUM($J$1934:$J2066))</f>
        <v>0</v>
      </c>
    </row>
    <row r="2067" spans="1:18" ht="12.75" customHeight="1">
      <c r="A2067" s="219">
        <v>1961</v>
      </c>
      <c r="B2067" s="7145"/>
      <c r="E2067" s="874" t="s">
        <v>6112</v>
      </c>
      <c r="F2067" s="544"/>
      <c r="G2067" s="544">
        <v>30</v>
      </c>
      <c r="H2067" s="544">
        <v>1</v>
      </c>
      <c r="I2067" s="544">
        <v>10</v>
      </c>
      <c r="J2067" s="544">
        <f>COUNTIF(Elan!$C$13:$F$25,Tablas!E2067)+COUNTIF(Elan!$U$13:$X$25,Tablas!E2067)</f>
        <v>0</v>
      </c>
      <c r="K2067" s="544">
        <f>F$2064*J2067</f>
        <v>0</v>
      </c>
      <c r="L2067" s="7875" t="str">
        <f>"Obtiene un bonificador especial a la habilidad secundaria Ciencia de +"&amp;K2067&amp;"."</f>
        <v>Obtiene un bonificador especial a la habilidad secundaria Ciencia de +0.</v>
      </c>
      <c r="M2067" s="7875"/>
      <c r="N2067" s="7875"/>
      <c r="O2067" s="7875"/>
      <c r="P2067" s="7875"/>
      <c r="Q2067" s="7876"/>
      <c r="R2067" s="877">
        <f>IF(OR($J2067=0,$J2067="Aprendida"),0,SUM($J$1934:$J2067))</f>
        <v>0</v>
      </c>
    </row>
    <row r="2068" spans="1:18" ht="12.75" customHeight="1">
      <c r="A2068" s="219">
        <v>1962</v>
      </c>
      <c r="B2068" s="7145"/>
      <c r="E2068" s="874" t="s">
        <v>6113</v>
      </c>
      <c r="F2068" s="544"/>
      <c r="G2068" s="544">
        <v>40</v>
      </c>
      <c r="H2068" s="544">
        <v>1</v>
      </c>
      <c r="I2068" s="544">
        <v>10</v>
      </c>
      <c r="J2068" s="544">
        <f>COUNTIF(Elan!$C$13:$F$25,Tablas!E2068)+COUNTIF(Elan!$U$13:$X$25,Tablas!E2068)</f>
        <v>0</v>
      </c>
      <c r="K2068" s="544"/>
      <c r="L2068" s="7875" t="s">
        <v>6365</v>
      </c>
      <c r="M2068" s="7875"/>
      <c r="N2068" s="7875"/>
      <c r="O2068" s="7875"/>
      <c r="P2068" s="7875"/>
      <c r="Q2068" s="7876"/>
      <c r="R2068" s="877">
        <f>IF(OR($J2068=0,$J2068="Aprendida"),0,SUM($J$1934:$J2068))</f>
        <v>0</v>
      </c>
    </row>
    <row r="2069" spans="1:18" ht="12.75" customHeight="1">
      <c r="A2069" s="219">
        <v>1963</v>
      </c>
      <c r="B2069" s="7145"/>
      <c r="E2069" s="874" t="s">
        <v>6114</v>
      </c>
      <c r="F2069" s="544"/>
      <c r="G2069" s="544">
        <v>40</v>
      </c>
      <c r="H2069" s="544">
        <v>1</v>
      </c>
      <c r="I2069" s="544">
        <v>5</v>
      </c>
      <c r="J2069" s="544">
        <f>COUNTIF(Elan!$C$13:$F$25,Tablas!E2069)+COUNTIF(Elan!$U$13:$X$25,Tablas!E2069)</f>
        <v>0</v>
      </c>
      <c r="K2069" s="544"/>
      <c r="L2069" s="7875" t="s">
        <v>6368</v>
      </c>
      <c r="M2069" s="7875"/>
      <c r="N2069" s="7875"/>
      <c r="O2069" s="7875"/>
      <c r="P2069" s="7875"/>
      <c r="Q2069" s="7876"/>
      <c r="R2069" s="877">
        <f>IF(OR($J2069=0,$J2069="Aprendida"),0,SUM($J$1934:$J2069))</f>
        <v>0</v>
      </c>
    </row>
    <row r="2070" spans="1:18" ht="12.75" customHeight="1">
      <c r="A2070" s="219">
        <v>1964</v>
      </c>
      <c r="B2070" s="7145"/>
      <c r="D2070" s="701"/>
      <c r="E2070" s="874" t="s">
        <v>6115</v>
      </c>
      <c r="F2070" s="544"/>
      <c r="G2070" s="544">
        <v>50</v>
      </c>
      <c r="H2070" s="544">
        <f>IF(J2071,1,0)</f>
        <v>0</v>
      </c>
      <c r="I2070" s="544">
        <v>15</v>
      </c>
      <c r="J2070" s="544">
        <f>COUNTIF(Elan!$C$13:$F$25,Tablas!E2070)+COUNTIF(Elan!$U$13:$X$25,Tablas!E2070)</f>
        <v>0</v>
      </c>
      <c r="K2070" s="544"/>
      <c r="L2070" s="7875" t="s">
        <v>6370</v>
      </c>
      <c r="M2070" s="7875"/>
      <c r="N2070" s="7875"/>
      <c r="O2070" s="7875"/>
      <c r="P2070" s="7875"/>
      <c r="Q2070" s="7876"/>
      <c r="R2070" s="877">
        <f>IF(OR($J2070=0,$J2070="Aprendida"),0,SUM($J$1934:$J2070))</f>
        <v>0</v>
      </c>
    </row>
    <row r="2071" spans="1:18" ht="12.75" customHeight="1">
      <c r="A2071" s="219">
        <v>1965</v>
      </c>
      <c r="B2071" s="7145"/>
      <c r="E2071" s="874" t="s">
        <v>6116</v>
      </c>
      <c r="F2071" s="544"/>
      <c r="G2071" s="544">
        <v>50</v>
      </c>
      <c r="H2071" s="544">
        <v>1</v>
      </c>
      <c r="I2071" s="544">
        <v>5</v>
      </c>
      <c r="J2071" s="544">
        <f>COUNTIF(Elan!$C$13:$F$25,Tablas!E2071)+COUNTIF(Elan!$U$13:$X$25,Tablas!E2071)</f>
        <v>0</v>
      </c>
      <c r="K2071" s="544"/>
      <c r="L2071" s="7875" t="s">
        <v>6372</v>
      </c>
      <c r="M2071" s="7875"/>
      <c r="N2071" s="7875"/>
      <c r="O2071" s="7875"/>
      <c r="P2071" s="7875"/>
      <c r="Q2071" s="7876"/>
      <c r="R2071" s="877">
        <f>IF(OR($J2071=0,$J2071="Aprendida"),0,SUM($J$1934:$J2071))</f>
        <v>0</v>
      </c>
    </row>
    <row r="2072" spans="1:18" ht="12.75" customHeight="1">
      <c r="A2072" s="219">
        <v>1966</v>
      </c>
      <c r="B2072" s="7145"/>
      <c r="E2072" s="874" t="s">
        <v>6117</v>
      </c>
      <c r="F2072" s="544"/>
      <c r="G2072" s="544">
        <v>60</v>
      </c>
      <c r="H2072" s="544">
        <v>1</v>
      </c>
      <c r="I2072" s="544">
        <v>10</v>
      </c>
      <c r="J2072" s="544">
        <f>COUNTIF(Elan!$C$13:$F$25,Tablas!E2072)+COUNTIF(Elan!$U$13:$X$25,Tablas!E2072)</f>
        <v>0</v>
      </c>
      <c r="K2072" s="544"/>
      <c r="L2072" s="7875" t="s">
        <v>9904</v>
      </c>
      <c r="M2072" s="7875"/>
      <c r="N2072" s="7875"/>
      <c r="O2072" s="7875"/>
      <c r="P2072" s="7875"/>
      <c r="Q2072" s="7876"/>
      <c r="R2072" s="877">
        <f>IF(OR($J2072=0,$J2072="Aprendida"),0,SUM($J$1934:$J2072))</f>
        <v>0</v>
      </c>
    </row>
    <row r="2073" spans="1:18" ht="12.75" customHeight="1">
      <c r="A2073" s="219">
        <v>1967</v>
      </c>
      <c r="B2073" s="7145"/>
      <c r="E2073" s="874" t="s">
        <v>6118</v>
      </c>
      <c r="F2073" s="544"/>
      <c r="G2073" s="544">
        <v>70</v>
      </c>
      <c r="H2073" s="544">
        <v>1</v>
      </c>
      <c r="I2073" s="544">
        <v>20</v>
      </c>
      <c r="J2073" s="544">
        <f>COUNTIF(Elan!$C$13:$F$25,Tablas!E2073)+COUNTIF(Elan!$U$13:$X$25,Tablas!E2073)</f>
        <v>0</v>
      </c>
      <c r="K2073" s="544"/>
      <c r="L2073" s="7875" t="s">
        <v>6373</v>
      </c>
      <c r="M2073" s="7875"/>
      <c r="N2073" s="7875"/>
      <c r="O2073" s="7875"/>
      <c r="P2073" s="7875"/>
      <c r="Q2073" s="7876"/>
      <c r="R2073" s="877">
        <f>IF(OR($J2073=0,$J2073="Aprendida"),0,SUM($J$1934:$J2073))</f>
        <v>0</v>
      </c>
    </row>
    <row r="2074" spans="1:18" ht="12.75" customHeight="1">
      <c r="A2074" s="219">
        <v>1968</v>
      </c>
      <c r="B2074" s="7145"/>
      <c r="E2074" s="874" t="s">
        <v>6119</v>
      </c>
      <c r="F2074" s="544"/>
      <c r="G2074" s="544">
        <v>70</v>
      </c>
      <c r="H2074" s="544">
        <v>1</v>
      </c>
      <c r="I2074" s="544">
        <v>10</v>
      </c>
      <c r="J2074" s="544">
        <f>COUNTIF(Elan!$C$13:$F$25,Tablas!E2074)+COUNTIF(Elan!$U$13:$X$25,Tablas!E2074)</f>
        <v>0</v>
      </c>
      <c r="K2074" s="544"/>
      <c r="L2074" s="7875" t="s">
        <v>9905</v>
      </c>
      <c r="M2074" s="7875"/>
      <c r="N2074" s="7875"/>
      <c r="O2074" s="7875"/>
      <c r="P2074" s="7875"/>
      <c r="Q2074" s="7876"/>
      <c r="R2074" s="877">
        <f>IF(OR($J2074=0,$J2074="Aprendida"),0,SUM($J$1934:$J2074))</f>
        <v>0</v>
      </c>
    </row>
    <row r="2075" spans="1:18" ht="12.75" customHeight="1">
      <c r="A2075" s="219">
        <v>1969</v>
      </c>
      <c r="B2075" s="7145"/>
      <c r="E2075" s="874" t="s">
        <v>6120</v>
      </c>
      <c r="F2075" s="544"/>
      <c r="G2075" s="544">
        <v>80</v>
      </c>
      <c r="H2075" s="544">
        <f>IF(J2070,1,0)</f>
        <v>0</v>
      </c>
      <c r="I2075" s="544">
        <v>20</v>
      </c>
      <c r="J2075" s="544">
        <f>COUNTIF(Elan!$C$13:$F$25,Tablas!E2075)+COUNTIF(Elan!$U$13:$X$25,Tablas!E2075)</f>
        <v>0</v>
      </c>
      <c r="K2075" s="544"/>
      <c r="L2075" s="7875" t="s">
        <v>6374</v>
      </c>
      <c r="M2075" s="7875"/>
      <c r="N2075" s="7875"/>
      <c r="O2075" s="7875"/>
      <c r="P2075" s="7875"/>
      <c r="Q2075" s="7876"/>
      <c r="R2075" s="877">
        <f>IF(OR($J2075=0,$J2075="Aprendida"),0,SUM($J$1934:$J2075))</f>
        <v>0</v>
      </c>
    </row>
    <row r="2076" spans="1:18" ht="12.75" customHeight="1">
      <c r="A2076" s="219">
        <v>1970</v>
      </c>
      <c r="B2076" s="7145"/>
      <c r="E2076" s="874" t="s">
        <v>430</v>
      </c>
      <c r="F2076" s="544"/>
      <c r="G2076" s="544">
        <v>90</v>
      </c>
      <c r="H2076" s="544">
        <f>IF(J2070,1,0)</f>
        <v>0</v>
      </c>
      <c r="I2076" s="544">
        <v>10</v>
      </c>
      <c r="J2076" s="544">
        <f>COUNTIF(Elan!$C$13:$F$25,Tablas!E2076)+COUNTIF(Elan!$U$13:$X$25,Tablas!E2076)</f>
        <v>0</v>
      </c>
      <c r="K2076" s="544"/>
      <c r="L2076" s="7875" t="s">
        <v>6375</v>
      </c>
      <c r="M2076" s="7875"/>
      <c r="N2076" s="7875"/>
      <c r="O2076" s="7875"/>
      <c r="P2076" s="7875"/>
      <c r="Q2076" s="7876"/>
      <c r="R2076" s="877">
        <f>IF(OR($J2076=0,$J2076="Aprendida"),0,SUM($J$1934:$J2076))</f>
        <v>0</v>
      </c>
    </row>
    <row r="2077" spans="1:18" ht="12.75" customHeight="1">
      <c r="A2077" s="219">
        <v>1971</v>
      </c>
      <c r="B2077" s="7145"/>
      <c r="E2077" s="874" t="s">
        <v>6121</v>
      </c>
      <c r="F2077" s="544"/>
      <c r="G2077" s="544">
        <v>100</v>
      </c>
      <c r="H2077" s="544">
        <v>1</v>
      </c>
      <c r="I2077" s="544">
        <v>10</v>
      </c>
      <c r="J2077" s="544">
        <f>COUNTIF(Elan!$C$13:$F$25,Tablas!E2077)+COUNTIF(Elan!$U$13:$X$25,Tablas!E2077)</f>
        <v>0</v>
      </c>
      <c r="K2077" s="544"/>
      <c r="L2077" s="7875" t="s">
        <v>6376</v>
      </c>
      <c r="M2077" s="7875"/>
      <c r="N2077" s="7875"/>
      <c r="O2077" s="7875"/>
      <c r="P2077" s="7875"/>
      <c r="Q2077" s="7876"/>
      <c r="R2077" s="877">
        <f>IF(OR($J2077=0,$J2077="Aprendida"),0,SUM($J$1934:$J2077))</f>
        <v>0</v>
      </c>
    </row>
    <row r="2078" spans="1:18" ht="12.75" customHeight="1">
      <c r="A2078" s="219">
        <v>1972</v>
      </c>
      <c r="B2078" s="7145"/>
      <c r="E2078" s="873" t="s">
        <v>5995</v>
      </c>
      <c r="F2078" s="1253">
        <f>IF(Elan!$C$11=Tablas!$E2078,Elan!$G$11,IF(Elan!$U$11=Tablas!$E2078,Elan!$Y$11,0))</f>
        <v>0</v>
      </c>
      <c r="G2078" s="866" t="s">
        <v>1674</v>
      </c>
      <c r="H2078" s="866" t="s">
        <v>7873</v>
      </c>
      <c r="I2078" s="866" t="s">
        <v>1349</v>
      </c>
      <c r="J2078" s="866" t="s">
        <v>5998</v>
      </c>
      <c r="K2078" s="866" t="s">
        <v>6646</v>
      </c>
      <c r="L2078" s="866" t="s">
        <v>1408</v>
      </c>
      <c r="M2078" s="545"/>
      <c r="N2078" s="545"/>
      <c r="O2078" s="545"/>
      <c r="P2078" s="545"/>
      <c r="Q2078" s="871"/>
      <c r="R2078" s="877">
        <f>IF(OR($J2078=0,$J2078="Aprendida"),0,SUM($J$1934:$J2078))</f>
        <v>0</v>
      </c>
    </row>
    <row r="2079" spans="1:18" ht="12.75" customHeight="1">
      <c r="A2079" s="219">
        <v>1973</v>
      </c>
      <c r="B2079" s="7145"/>
      <c r="E2079" s="874" t="s">
        <v>6122</v>
      </c>
      <c r="F2079" s="544"/>
      <c r="G2079" s="544">
        <v>10</v>
      </c>
      <c r="H2079" s="544">
        <v>1</v>
      </c>
      <c r="I2079" s="544">
        <v>10</v>
      </c>
      <c r="J2079" s="544">
        <f>COUNTIF(Elan!$C$13:$F$25,Tablas!E2079)+COUNTIF(Elan!$U$13:$X$25,Tablas!E2079)</f>
        <v>0</v>
      </c>
      <c r="K2079" s="544"/>
      <c r="L2079" s="7875" t="s">
        <v>6377</v>
      </c>
      <c r="M2079" s="7875"/>
      <c r="N2079" s="7875"/>
      <c r="O2079" s="7875"/>
      <c r="P2079" s="7875"/>
      <c r="Q2079" s="7876"/>
      <c r="R2079" s="877">
        <f>IF(OR($J2079=0,$J2079="Aprendida"),0,SUM($J$1934:$J2079))</f>
        <v>0</v>
      </c>
    </row>
    <row r="2080" spans="1:18" ht="12.75" customHeight="1">
      <c r="A2080" s="219">
        <v>1974</v>
      </c>
      <c r="B2080" s="7145"/>
      <c r="E2080" s="874" t="s">
        <v>6123</v>
      </c>
      <c r="F2080" s="544"/>
      <c r="G2080" s="544">
        <v>20</v>
      </c>
      <c r="H2080" s="544">
        <v>1</v>
      </c>
      <c r="I2080" s="544">
        <v>5</v>
      </c>
      <c r="J2080" s="544">
        <f>COUNTIF(Elan!$C$13:$F$25,Tablas!E2080)+COUNTIF(Elan!$U$13:$X$25,Tablas!E2080)</f>
        <v>0</v>
      </c>
      <c r="K2080" s="544"/>
      <c r="L2080" s="7875" t="str">
        <f>"Baja "&amp;FLOOR(F2078/20,1)*2&amp;" grados el resultado necesario para obtener una Tirada Abierta, a la vez que amplía en "&amp;FLOOR(F2078/20,1)&amp;"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2080" s="7875"/>
      <c r="N2080" s="7875"/>
      <c r="O2080" s="7875"/>
      <c r="P2080" s="7875"/>
      <c r="Q2080" s="7876"/>
      <c r="R2080" s="877">
        <f>IF(OR($J2080=0,$J2080="Aprendida"),0,SUM($J$1934:$J2080))</f>
        <v>0</v>
      </c>
    </row>
    <row r="2081" spans="1:18" ht="12.75" customHeight="1">
      <c r="A2081" s="219">
        <v>1975</v>
      </c>
      <c r="B2081" s="7145"/>
      <c r="E2081" s="874" t="s">
        <v>454</v>
      </c>
      <c r="F2081" s="544"/>
      <c r="G2081" s="544">
        <v>30</v>
      </c>
      <c r="H2081" s="544">
        <v>1</v>
      </c>
      <c r="I2081" s="544">
        <v>5</v>
      </c>
      <c r="J2081" s="544">
        <f>COUNTIF(Elan!$C$13:$F$25,Tablas!E2081)+COUNTIF(Elan!$U$13:$X$25,Tablas!E2081)</f>
        <v>0</v>
      </c>
      <c r="K2081" s="544"/>
      <c r="L2081" s="7875" t="s">
        <v>6384</v>
      </c>
      <c r="M2081" s="7875"/>
      <c r="N2081" s="7875"/>
      <c r="O2081" s="7875"/>
      <c r="P2081" s="7875"/>
      <c r="Q2081" s="7876"/>
      <c r="R2081" s="877">
        <f>IF(OR($J2081=0,$J2081="Aprendida"),0,SUM($J$1934:$J2081))</f>
        <v>0</v>
      </c>
    </row>
    <row r="2082" spans="1:18" ht="12.75" customHeight="1">
      <c r="A2082" s="219">
        <v>1976</v>
      </c>
      <c r="B2082" s="7145"/>
      <c r="E2082" s="874" t="s">
        <v>6124</v>
      </c>
      <c r="F2082" s="544"/>
      <c r="G2082" s="544">
        <v>40</v>
      </c>
      <c r="H2082" s="544">
        <v>1</v>
      </c>
      <c r="I2082" s="544">
        <v>10</v>
      </c>
      <c r="J2082" s="544">
        <f>COUNTIF(Elan!$C$13:$F$25,Tablas!E2082)+COUNTIF(Elan!$U$13:$X$25,Tablas!E2082)</f>
        <v>0</v>
      </c>
      <c r="K2082" s="544"/>
      <c r="L2082" s="7875" t="str">
        <f>"El PJ tiene el poder de robar la fortuna de otros individuos, obteniendo temporalmente la buena suerte de los demás si estos no superan un control de RM contra "&amp;F2078*2&amp;"."</f>
        <v>El PJ tiene el poder de robar la fortuna de otros individuos, obteniendo temporalmente la buena suerte de los demás si estos no superan un control de RM contra 0.</v>
      </c>
      <c r="M2082" s="7875"/>
      <c r="N2082" s="7875"/>
      <c r="O2082" s="7875"/>
      <c r="P2082" s="7875"/>
      <c r="Q2082" s="7876"/>
      <c r="R2082" s="877">
        <f>IF(OR($J2082=0,$J2082="Aprendida"),0,SUM($J$1934:$J2082))</f>
        <v>0</v>
      </c>
    </row>
    <row r="2083" spans="1:18" ht="12.75" customHeight="1">
      <c r="A2083" s="219">
        <v>1977</v>
      </c>
      <c r="B2083" s="7145"/>
      <c r="E2083" s="874" t="s">
        <v>6125</v>
      </c>
      <c r="F2083" s="544"/>
      <c r="G2083" s="544">
        <v>50</v>
      </c>
      <c r="H2083" s="544">
        <v>1</v>
      </c>
      <c r="I2083" s="544">
        <v>10</v>
      </c>
      <c r="J2083" s="544">
        <f>COUNTIF(Elan!$C$13:$F$25,Tablas!E2083)+COUNTIF(Elan!$U$13:$X$25,Tablas!E2083)</f>
        <v>0</v>
      </c>
      <c r="K2083" s="544"/>
      <c r="L2083" s="7875" t="str">
        <f>"El PJ obtiene la capacidad de repetir una de sus tiradas de dados y quedarse con este nuevo resultado, aunque este sea inferior al primero. Puede usarse "&amp;FLOOR(F2078/10,1)&amp;" veces por sesión de juego."</f>
        <v>El PJ obtiene la capacidad de repetir una de sus tiradas de dados y quedarse con este nuevo resultado, aunque este sea inferior al primero. Puede usarse 0 veces por sesión de juego.</v>
      </c>
      <c r="M2083" s="7875"/>
      <c r="N2083" s="7875"/>
      <c r="O2083" s="7875"/>
      <c r="P2083" s="7875"/>
      <c r="Q2083" s="7876"/>
      <c r="R2083" s="877">
        <f>IF(OR($J2083=0,$J2083="Aprendida"),0,SUM($J$1934:$J2083))</f>
        <v>0</v>
      </c>
    </row>
    <row r="2084" spans="1:18" ht="12.75" customHeight="1">
      <c r="A2084" s="219">
        <v>1978</v>
      </c>
      <c r="B2084" s="7145"/>
      <c r="E2084" s="874" t="s">
        <v>6126</v>
      </c>
      <c r="F2084" s="544"/>
      <c r="G2084" s="544">
        <v>50</v>
      </c>
      <c r="H2084" s="544">
        <v>1</v>
      </c>
      <c r="I2084" s="544">
        <v>15</v>
      </c>
      <c r="J2084" s="544">
        <f>COUNTIF(Elan!$C$13:$F$25,Tablas!E2084)+COUNTIF(Elan!$U$13:$X$25,Tablas!E2084)</f>
        <v>0</v>
      </c>
      <c r="K2084" s="544"/>
      <c r="L2084" s="7875" t="str">
        <f>"El PJ obtiene "&amp;F2078*2&amp;" PDs con los que podrá elegir cualquier poder sobrenatural como si tuviera Gnosis 25."</f>
        <v>El PJ obtiene 0 PDs con los que podrá elegir cualquier poder sobrenatural como si tuviera Gnosis 25.</v>
      </c>
      <c r="M2084" s="7875"/>
      <c r="N2084" s="7875"/>
      <c r="O2084" s="7875"/>
      <c r="P2084" s="7875"/>
      <c r="Q2084" s="7876"/>
      <c r="R2084" s="877">
        <f>IF(OR($J2084=0,$J2084="Aprendida"),0,SUM($J$1934:$J2084))</f>
        <v>0</v>
      </c>
    </row>
    <row r="2085" spans="1:18" ht="12.75" customHeight="1">
      <c r="A2085" s="219">
        <v>1979</v>
      </c>
      <c r="B2085" s="7145"/>
      <c r="E2085" s="874" t="s">
        <v>455</v>
      </c>
      <c r="F2085" s="544"/>
      <c r="G2085" s="544">
        <v>60</v>
      </c>
      <c r="H2085" s="544">
        <v>1</v>
      </c>
      <c r="I2085" s="544">
        <v>10</v>
      </c>
      <c r="J2085" s="544">
        <f>COUNTIF(Elan!$C$13:$F$25,Tablas!E2085)+COUNTIF(Elan!$U$13:$X$25,Tablas!E2085)</f>
        <v>0</v>
      </c>
      <c r="K2085" s="544"/>
      <c r="L2085" s="7875" t="s">
        <v>6390</v>
      </c>
      <c r="M2085" s="7875"/>
      <c r="N2085" s="7875"/>
      <c r="O2085" s="7875"/>
      <c r="P2085" s="7875"/>
      <c r="Q2085" s="7876"/>
      <c r="R2085" s="877">
        <f>IF(OR($J2085=0,$J2085="Aprendida"),0,SUM($J$1934:$J2085))</f>
        <v>0</v>
      </c>
    </row>
    <row r="2086" spans="1:18" ht="12.75" customHeight="1">
      <c r="A2086" s="219">
        <v>1980</v>
      </c>
      <c r="B2086" s="7145"/>
      <c r="E2086" s="874" t="s">
        <v>6127</v>
      </c>
      <c r="F2086" s="544"/>
      <c r="G2086" s="544">
        <v>70</v>
      </c>
      <c r="H2086" s="544">
        <f>IF(J2083,1,0)</f>
        <v>0</v>
      </c>
      <c r="I2086" s="544">
        <v>15</v>
      </c>
      <c r="J2086" s="544">
        <f>COUNTIF(Elan!$C$13:$F$25,Tablas!E2086)+COUNTIF(Elan!$U$13:$X$25,Tablas!E2086)</f>
        <v>0</v>
      </c>
      <c r="K2086" s="544"/>
      <c r="L2086" s="7875" t="s">
        <v>6391</v>
      </c>
      <c r="M2086" s="7875"/>
      <c r="N2086" s="7875"/>
      <c r="O2086" s="7875"/>
      <c r="P2086" s="7875"/>
      <c r="Q2086" s="7876"/>
      <c r="R2086" s="877">
        <f>IF(OR($J2086=0,$J2086="Aprendida"),0,SUM($J$1934:$J2086))</f>
        <v>0</v>
      </c>
    </row>
    <row r="2087" spans="1:18" ht="12.75" customHeight="1">
      <c r="A2087" s="219">
        <v>1981</v>
      </c>
      <c r="B2087" s="7145"/>
      <c r="E2087" s="874" t="s">
        <v>6128</v>
      </c>
      <c r="F2087" s="544"/>
      <c r="G2087" s="544">
        <v>80</v>
      </c>
      <c r="H2087" s="544">
        <v>1</v>
      </c>
      <c r="I2087" s="544">
        <v>15</v>
      </c>
      <c r="J2087" s="544">
        <f>COUNTIF(Elan!$C$13:$F$25,Tablas!E2087)+COUNTIF(Elan!$U$13:$X$25,Tablas!E2087)</f>
        <v>0</v>
      </c>
      <c r="K2087" s="544"/>
      <c r="L2087" s="7875" t="str">
        <f>"El PJ puede provocar que una de sus tiradas sea automáticamente abierta sin importar el resultado obtenido. Puede usarse "&amp;FLOOR(F2078/20,1)&amp;" veces por sesión de juego."</f>
        <v>El PJ puede provocar que una de sus tiradas sea automáticamente abierta sin importar el resultado obtenido. Puede usarse 0 veces por sesión de juego.</v>
      </c>
      <c r="M2087" s="7875"/>
      <c r="N2087" s="7875"/>
      <c r="O2087" s="7875"/>
      <c r="P2087" s="7875"/>
      <c r="Q2087" s="7876"/>
      <c r="R2087" s="877">
        <f>IF(OR($J2087=0,$J2087="Aprendida"),0,SUM($J$1934:$J2087))</f>
        <v>0</v>
      </c>
    </row>
    <row r="2088" spans="1:18" ht="12.75" customHeight="1">
      <c r="A2088" s="219">
        <v>1982</v>
      </c>
      <c r="B2088" s="7145"/>
      <c r="E2088" s="874" t="s">
        <v>6129</v>
      </c>
      <c r="F2088" s="544"/>
      <c r="G2088" s="544">
        <v>90</v>
      </c>
      <c r="H2088" s="544">
        <v>1</v>
      </c>
      <c r="I2088" s="544">
        <v>15</v>
      </c>
      <c r="J2088" s="544">
        <f>COUNTIF(Elan!$C$13:$F$25,Tablas!E2088)+COUNTIF(Elan!$U$13:$X$25,Tablas!E2088)</f>
        <v>0</v>
      </c>
      <c r="K2088" s="544"/>
      <c r="L2088" s="7875" t="str">
        <f>"Una vez al día el PJ puede obligar a un ser a superar un control de RM contra "&amp;F2078*2&amp;"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2088" s="7875"/>
      <c r="N2088" s="7875"/>
      <c r="O2088" s="7875"/>
      <c r="P2088" s="7875"/>
      <c r="Q2088" s="7876"/>
      <c r="R2088" s="877">
        <f>IF(OR($J2088=0,$J2088="Aprendida"),0,SUM($J$1934:$J2088))</f>
        <v>0</v>
      </c>
    </row>
    <row r="2089" spans="1:18" ht="12.75" customHeight="1">
      <c r="A2089" s="219">
        <v>1983</v>
      </c>
      <c r="B2089" s="7145"/>
      <c r="E2089" s="874" t="s">
        <v>6130</v>
      </c>
      <c r="F2089" s="544"/>
      <c r="G2089" s="544">
        <v>100</v>
      </c>
      <c r="H2089" s="544">
        <f>IF(J2085,1,0)</f>
        <v>0</v>
      </c>
      <c r="I2089" s="544">
        <v>10</v>
      </c>
      <c r="J2089" s="544">
        <f>COUNTIF(Elan!$C$13:$F$25,Tablas!E2089)+COUNTIF(Elan!$U$13:$X$25,Tablas!E2089)</f>
        <v>0</v>
      </c>
      <c r="K2089" s="544"/>
      <c r="L2089" s="7875" t="s">
        <v>6392</v>
      </c>
      <c r="M2089" s="7875"/>
      <c r="N2089" s="7875"/>
      <c r="O2089" s="7875"/>
      <c r="P2089" s="7875"/>
      <c r="Q2089" s="7876"/>
      <c r="R2089" s="877">
        <f>IF(OR($J2089=0,$J2089="Aprendida"),0,SUM($J$1934:$J2089))</f>
        <v>0</v>
      </c>
    </row>
    <row r="2090" spans="1:18" ht="12.75" customHeight="1">
      <c r="A2090" s="219">
        <v>1984</v>
      </c>
      <c r="B2090" s="7145"/>
      <c r="E2090" s="873" t="s">
        <v>5996</v>
      </c>
      <c r="F2090" s="1253">
        <f>IF(Elan!$C$11=Tablas!$E2090,Elan!$G$11,IF(Elan!$U$11=Tablas!$E2090,Elan!$Y$11,0))</f>
        <v>0</v>
      </c>
      <c r="G2090" s="866" t="s">
        <v>1674</v>
      </c>
      <c r="H2090" s="866" t="s">
        <v>7873</v>
      </c>
      <c r="I2090" s="866" t="s">
        <v>1349</v>
      </c>
      <c r="J2090" s="866" t="s">
        <v>5998</v>
      </c>
      <c r="K2090" s="866" t="s">
        <v>6646</v>
      </c>
      <c r="L2090" s="866" t="s">
        <v>1408</v>
      </c>
      <c r="M2090" s="545"/>
      <c r="N2090" s="545"/>
      <c r="O2090" s="545"/>
      <c r="P2090" s="545"/>
      <c r="Q2090" s="871"/>
      <c r="R2090" s="877">
        <f>IF(OR($J2090=0,$J2090="Aprendida"),0,SUM($J$1934:$J2090))</f>
        <v>0</v>
      </c>
    </row>
    <row r="2091" spans="1:18" ht="12.75" customHeight="1">
      <c r="A2091" s="219">
        <v>1985</v>
      </c>
      <c r="B2091" s="7145"/>
      <c r="E2091" s="874" t="s">
        <v>6131</v>
      </c>
      <c r="F2091" s="544"/>
      <c r="G2091" s="544">
        <v>10</v>
      </c>
      <c r="H2091" s="544">
        <v>1</v>
      </c>
      <c r="I2091" s="544">
        <v>5</v>
      </c>
      <c r="J2091" s="544">
        <f>COUNTIF(Elan!$C$13:$F$25,Tablas!E2091)+COUNTIF(Elan!$U$13:$X$25,Tablas!E2091)</f>
        <v>0</v>
      </c>
      <c r="K2091" s="544"/>
      <c r="L2091" s="7875" t="s">
        <v>6393</v>
      </c>
      <c r="M2091" s="7875"/>
      <c r="N2091" s="7875"/>
      <c r="O2091" s="7875"/>
      <c r="P2091" s="7875"/>
      <c r="Q2091" s="7876"/>
      <c r="R2091" s="877">
        <f>IF(OR($J2091=0,$J2091="Aprendida"),0,SUM($J$1934:$J2091))</f>
        <v>0</v>
      </c>
    </row>
    <row r="2092" spans="1:18" ht="12.75" customHeight="1">
      <c r="A2092" s="219">
        <v>1986</v>
      </c>
      <c r="B2092" s="7145"/>
      <c r="E2092" s="874" t="s">
        <v>6132</v>
      </c>
      <c r="F2092" s="544"/>
      <c r="G2092" s="544">
        <v>20</v>
      </c>
      <c r="H2092" s="544">
        <v>1</v>
      </c>
      <c r="I2092" s="544">
        <v>5</v>
      </c>
      <c r="J2092" s="544">
        <f>COUNTIF(Elan!$C$13:$F$25,Tablas!E2092)+COUNTIF(Elan!$U$13:$X$25,Tablas!E2092)</f>
        <v>0</v>
      </c>
      <c r="K2092" s="544"/>
      <c r="L2092" s="7875" t="s">
        <v>6397</v>
      </c>
      <c r="M2092" s="7875"/>
      <c r="N2092" s="7875"/>
      <c r="O2092" s="7875"/>
      <c r="P2092" s="7875"/>
      <c r="Q2092" s="7876"/>
      <c r="R2092" s="877">
        <f>IF(OR($J2092=0,$J2092="Aprendida"),0,SUM($J$1934:$J2092))</f>
        <v>0</v>
      </c>
    </row>
    <row r="2093" spans="1:18" ht="12.75" customHeight="1">
      <c r="A2093" s="219">
        <v>1987</v>
      </c>
      <c r="B2093" s="7145"/>
      <c r="E2093" s="874" t="s">
        <v>6133</v>
      </c>
      <c r="F2093" s="544"/>
      <c r="G2093" s="544">
        <v>30</v>
      </c>
      <c r="H2093" s="544">
        <v>1</v>
      </c>
      <c r="I2093" s="544">
        <v>5</v>
      </c>
      <c r="J2093" s="544">
        <f>COUNTIF(Elan!$C$13:$F$25,Tablas!E2093)+COUNTIF(Elan!$U$13:$X$25,Tablas!E2093)</f>
        <v>0</v>
      </c>
      <c r="K2093" s="544">
        <f>F2090*J2093</f>
        <v>0</v>
      </c>
      <c r="L2093" s="7875" t="str">
        <f>"Obtiene un bonificador especial a la habilidad secundaria Persuasión (Seducción) de +"&amp;F2090&amp;"."</f>
        <v>Obtiene un bonificador especial a la habilidad secundaria Persuasión (Seducción) de +0.</v>
      </c>
      <c r="M2093" s="7875"/>
      <c r="N2093" s="7875"/>
      <c r="O2093" s="7875"/>
      <c r="P2093" s="7875"/>
      <c r="Q2093" s="7876"/>
      <c r="R2093" s="877">
        <f>IF(OR($J2093=0,$J2093="Aprendida"),0,SUM($J$1934:$J2093))</f>
        <v>0</v>
      </c>
    </row>
    <row r="2094" spans="1:18" ht="12.75" customHeight="1">
      <c r="A2094" s="219">
        <v>1988</v>
      </c>
      <c r="B2094" s="7145"/>
      <c r="E2094" s="874" t="s">
        <v>6134</v>
      </c>
      <c r="F2094" s="544"/>
      <c r="G2094" s="544">
        <v>40</v>
      </c>
      <c r="H2094" s="544">
        <v>1</v>
      </c>
      <c r="I2094" s="544">
        <v>10</v>
      </c>
      <c r="J2094" s="544">
        <f>COUNTIF(Elan!$C$13:$F$25,Tablas!E2094)+COUNTIF(Elan!$U$13:$X$25,Tablas!E2094)</f>
        <v>0</v>
      </c>
      <c r="K2094" s="544"/>
      <c r="L2094" s="7875" t="s">
        <v>6403</v>
      </c>
      <c r="M2094" s="7875"/>
      <c r="N2094" s="7875"/>
      <c r="O2094" s="7875"/>
      <c r="P2094" s="7875"/>
      <c r="Q2094" s="7876"/>
      <c r="R2094" s="877">
        <f>IF(OR($J2094=0,$J2094="Aprendida"),0,SUM($J$1934:$J2094))</f>
        <v>0</v>
      </c>
    </row>
    <row r="2095" spans="1:18" ht="12.75" customHeight="1">
      <c r="A2095" s="219">
        <v>1989</v>
      </c>
      <c r="B2095" s="7145"/>
      <c r="E2095" s="874" t="s">
        <v>7874</v>
      </c>
      <c r="F2095" s="544"/>
      <c r="G2095" s="544">
        <v>50</v>
      </c>
      <c r="H2095" s="544">
        <v>1</v>
      </c>
      <c r="I2095" s="544">
        <v>10</v>
      </c>
      <c r="J2095" s="544">
        <f>COUNTIF(Elan!$C$13:$F$25,Tablas!E2095)+COUNTIF(Elan!$U$13:$X$25,Tablas!E2095)</f>
        <v>0</v>
      </c>
      <c r="K2095" s="544"/>
      <c r="L2095" s="7875" t="str">
        <f>"El PJ se vuelve inmune a los efectos de cualquier estado psicológico. Si se le inducen sobrenaturalmente aplica un bono de +"&amp;F2090&amp;" a su RM."</f>
        <v>El PJ se vuelve inmune a los efectos de cualquier estado psicológico. Si se le inducen sobrenaturalmente aplica un bono de +0 a su RM.</v>
      </c>
      <c r="M2095" s="7875"/>
      <c r="N2095" s="7875"/>
      <c r="O2095" s="7875"/>
      <c r="P2095" s="7875"/>
      <c r="Q2095" s="7876"/>
      <c r="R2095" s="877">
        <f>IF(OR($J2095=0,$J2095="Aprendida"),0,SUM($J$1934:$J2095))</f>
        <v>0</v>
      </c>
    </row>
    <row r="2096" spans="1:18" ht="12.75" customHeight="1">
      <c r="A2096" s="219">
        <v>1990</v>
      </c>
      <c r="B2096" s="7145"/>
      <c r="E2096" s="874" t="s">
        <v>6135</v>
      </c>
      <c r="F2096" s="544"/>
      <c r="G2096" s="544">
        <v>60</v>
      </c>
      <c r="H2096" s="544">
        <v>1</v>
      </c>
      <c r="I2096" s="544">
        <v>10</v>
      </c>
      <c r="J2096" s="544">
        <f>COUNTIF(Elan!$C$13:$F$25,Tablas!E2096)+COUNTIF(Elan!$U$13:$X$25,Tablas!E2096)</f>
        <v>0</v>
      </c>
      <c r="K2096" s="544"/>
      <c r="L2096" s="7875" t="s">
        <v>6407</v>
      </c>
      <c r="M2096" s="7875"/>
      <c r="N2096" s="7875"/>
      <c r="O2096" s="7875"/>
      <c r="P2096" s="7875"/>
      <c r="Q2096" s="7876"/>
      <c r="R2096" s="877">
        <f>IF(OR($J2096=0,$J2096="Aprendida"),0,SUM($J$1934:$J2096))</f>
        <v>0</v>
      </c>
    </row>
    <row r="2097" spans="1:18" ht="12.75" customHeight="1">
      <c r="A2097" s="219">
        <v>1991</v>
      </c>
      <c r="B2097" s="7145"/>
      <c r="E2097" s="874" t="s">
        <v>6136</v>
      </c>
      <c r="F2097" s="544"/>
      <c r="G2097" s="544">
        <v>60</v>
      </c>
      <c r="H2097" s="544">
        <v>1</v>
      </c>
      <c r="I2097" s="544">
        <v>15</v>
      </c>
      <c r="J2097" s="544">
        <f>COUNTIF(Elan!$C$13:$F$25,Tablas!E2097)+COUNTIF(Elan!$U$13:$X$25,Tablas!E2097)</f>
        <v>0</v>
      </c>
      <c r="K2097" s="544"/>
      <c r="L2097" s="7875" t="str">
        <f>"Si algún ser mira o habla con el PJ y no supera un control de RM contra "&amp;F2090*2&amp;",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2097" s="7875"/>
      <c r="N2097" s="7875"/>
      <c r="O2097" s="7875"/>
      <c r="P2097" s="7875"/>
      <c r="Q2097" s="7876"/>
      <c r="R2097" s="877">
        <f>IF(OR($J2097=0,$J2097="Aprendida"),0,SUM($J$1934:$J2097))</f>
        <v>0</v>
      </c>
    </row>
    <row r="2098" spans="1:18" ht="12.75" customHeight="1">
      <c r="A2098" s="219">
        <v>1992</v>
      </c>
      <c r="B2098" s="7145"/>
      <c r="E2098" s="874" t="s">
        <v>6137</v>
      </c>
      <c r="F2098" s="544"/>
      <c r="G2098" s="544">
        <v>70</v>
      </c>
      <c r="H2098" s="544">
        <f>IF(J2096,1,0)</f>
        <v>0</v>
      </c>
      <c r="I2098" s="544">
        <v>15</v>
      </c>
      <c r="J2098" s="544">
        <f>COUNTIF(Elan!$C$13:$F$25,Tablas!E2098)+COUNTIF(Elan!$U$13:$X$25,Tablas!E2098)</f>
        <v>0</v>
      </c>
      <c r="K2098" s="544"/>
      <c r="L2098" s="7875" t="str">
        <f>"El PJ puede revocar una acción activa realizada por otro individuo durante ese mismo asalto si este no supera una RM contra 140. Puede usarse "&amp;FLOOR(F2090/10,1)&amp;" veces por semana."</f>
        <v>El PJ puede revocar una acción activa realizada por otro individuo durante ese mismo asalto si este no supera una RM contra 140. Puede usarse 0 veces por semana.</v>
      </c>
      <c r="M2098" s="7875"/>
      <c r="N2098" s="7875"/>
      <c r="O2098" s="7875"/>
      <c r="P2098" s="7875"/>
      <c r="Q2098" s="7876"/>
      <c r="R2098" s="877">
        <f>IF(OR($J2098=0,$J2098="Aprendida"),0,SUM($J$1934:$J2098))</f>
        <v>0</v>
      </c>
    </row>
    <row r="2099" spans="1:18" ht="12.75" customHeight="1">
      <c r="A2099" s="219">
        <v>1993</v>
      </c>
      <c r="B2099" s="7145"/>
      <c r="E2099" s="874" t="s">
        <v>6138</v>
      </c>
      <c r="F2099" s="544"/>
      <c r="G2099" s="544">
        <v>80</v>
      </c>
      <c r="H2099" s="544">
        <v>1</v>
      </c>
      <c r="I2099" s="544">
        <v>15</v>
      </c>
      <c r="J2099" s="544">
        <f>COUNTIF(Elan!$C$13:$F$25,Tablas!E2099)+COUNTIF(Elan!$U$13:$X$25,Tablas!E2099)</f>
        <v>0</v>
      </c>
      <c r="K2099" s="544"/>
      <c r="L2099" s="7875" t="s">
        <v>6408</v>
      </c>
      <c r="M2099" s="7875"/>
      <c r="N2099" s="7875"/>
      <c r="O2099" s="7875"/>
      <c r="P2099" s="7875"/>
      <c r="Q2099" s="7876"/>
      <c r="R2099" s="877">
        <f>IF(OR($J2099=0,$J2099="Aprendida"),0,SUM($J$1934:$J2099))</f>
        <v>0</v>
      </c>
    </row>
    <row r="2100" spans="1:18" ht="12.75" customHeight="1">
      <c r="A2100" s="219">
        <v>1994</v>
      </c>
      <c r="B2100" s="7145"/>
      <c r="E2100" s="874" t="s">
        <v>6139</v>
      </c>
      <c r="F2100" s="544"/>
      <c r="G2100" s="544">
        <v>90</v>
      </c>
      <c r="H2100" s="544">
        <v>1</v>
      </c>
      <c r="I2100" s="544">
        <v>25</v>
      </c>
      <c r="J2100" s="544">
        <f>COUNTIF(Elan!$C$13:$F$25,Tablas!E2100)+COUNTIF(Elan!$U$13:$X$25,Tablas!E2100)</f>
        <v>0</v>
      </c>
      <c r="K2100" s="544"/>
      <c r="L2100" s="7875" t="str">
        <f>"Durante 5 asaltos el PJ lanza innatamente el conjuro ""Vacío"" de nivel 90 de la vía de Destrucción en grado base pero, al contrario de lo que indica el sortilegio, el PJ no será tragado por la apertura. Puede usarse "&amp;FLOOR(F2090/10,1)&amp;" veces al día."</f>
        <v>Durante 5 asaltos el PJ lanza innatamente el conjuro "Vacío" de nivel 90 de la vía de Destrucción en grado base pero, al contrario de lo que indica el sortilegio, el PJ no será tragado por la apertura. Puede usarse 0 veces al día.</v>
      </c>
      <c r="M2100" s="7875"/>
      <c r="N2100" s="7875"/>
      <c r="O2100" s="7875"/>
      <c r="P2100" s="7875"/>
      <c r="Q2100" s="7876"/>
      <c r="R2100" s="877">
        <f>IF(OR($J2100=0,$J2100="Aprendida"),0,SUM($J$1934:$J2100))</f>
        <v>0</v>
      </c>
    </row>
    <row r="2101" spans="1:18" ht="12.75" customHeight="1">
      <c r="A2101" s="219">
        <v>1995</v>
      </c>
      <c r="B2101" s="7145"/>
      <c r="E2101" s="874" t="s">
        <v>6140</v>
      </c>
      <c r="F2101" s="544"/>
      <c r="G2101" s="544">
        <v>100</v>
      </c>
      <c r="H2101" s="544">
        <v>1</v>
      </c>
      <c r="I2101" s="544">
        <v>10</v>
      </c>
      <c r="J2101" s="544">
        <f>COUNTIF(Elan!$C$13:$F$25,Tablas!E2101)+COUNTIF(Elan!$U$13:$X$25,Tablas!E2101)</f>
        <v>0</v>
      </c>
      <c r="K2101" s="544"/>
      <c r="L2101" s="7875" t="s">
        <v>6409</v>
      </c>
      <c r="M2101" s="7875"/>
      <c r="N2101" s="7875"/>
      <c r="O2101" s="7875"/>
      <c r="P2101" s="7875"/>
      <c r="Q2101" s="7876"/>
      <c r="R2101" s="877">
        <f>IF(OR($J2101=0,$J2101="Aprendida"),0,SUM($J$1934:$J2101))</f>
        <v>0</v>
      </c>
    </row>
    <row r="2102" spans="1:18" ht="12.75" customHeight="1">
      <c r="A2102" s="219">
        <v>1996</v>
      </c>
      <c r="B2102" s="7145"/>
      <c r="E2102" s="880" t="s">
        <v>5997</v>
      </c>
      <c r="F2102" s="1253">
        <f>IF(Elan!$C$11=Tablas!$E2102,Elan!$G$11,IF(Elan!$U$11=Tablas!$E2102,Elan!$Y$11,0))</f>
        <v>0</v>
      </c>
      <c r="G2102" s="866" t="s">
        <v>1674</v>
      </c>
      <c r="H2102" s="866" t="s">
        <v>7873</v>
      </c>
      <c r="I2102" s="866" t="s">
        <v>1349</v>
      </c>
      <c r="J2102" s="866" t="s">
        <v>5998</v>
      </c>
      <c r="K2102" s="866" t="s">
        <v>6646</v>
      </c>
      <c r="L2102" s="866" t="s">
        <v>1408</v>
      </c>
      <c r="M2102" s="545"/>
      <c r="N2102" s="545"/>
      <c r="O2102" s="545"/>
      <c r="P2102" s="545"/>
      <c r="Q2102" s="871"/>
      <c r="R2102" s="877">
        <f>IF(OR($J2102=0,$J2102="Aprendida"),0,SUM($J$1934:$J2102))</f>
        <v>0</v>
      </c>
    </row>
    <row r="2103" spans="1:18" ht="12.75" customHeight="1">
      <c r="A2103" s="219">
        <v>1997</v>
      </c>
      <c r="B2103" s="7145"/>
      <c r="E2103" s="874" t="s">
        <v>6141</v>
      </c>
      <c r="F2103" s="544"/>
      <c r="G2103" s="544">
        <v>10</v>
      </c>
      <c r="H2103" s="544">
        <v>1</v>
      </c>
      <c r="I2103" s="544">
        <v>5</v>
      </c>
      <c r="J2103" s="544">
        <f>COUNTIF(Elan!$C$13:$F$25,Tablas!E2103)+COUNTIF(Elan!$U$13:$X$25,Tablas!E2103)</f>
        <v>0</v>
      </c>
      <c r="K2103" s="544">
        <f>F2102*J2103</f>
        <v>0</v>
      </c>
      <c r="L2103" s="7875" t="str">
        <f>"Obtiene un bonificador especial a las habilidades secundarias Frialdad y Resistir el dolor de +"&amp;K2103&amp;"."</f>
        <v>Obtiene un bonificador especial a las habilidades secundarias Frialdad y Resistir el dolor de +0.</v>
      </c>
      <c r="M2103" s="7875"/>
      <c r="N2103" s="7875"/>
      <c r="O2103" s="7875"/>
      <c r="P2103" s="7875"/>
      <c r="Q2103" s="7876"/>
      <c r="R2103" s="877">
        <f>IF(OR($J2103=0,$J2103="Aprendida"),0,SUM($J$1934:$J2103))</f>
        <v>0</v>
      </c>
    </row>
    <row r="2104" spans="1:18" ht="12.75" customHeight="1">
      <c r="A2104" s="219">
        <v>1998</v>
      </c>
      <c r="B2104" s="7145"/>
      <c r="E2104" s="874" t="s">
        <v>6142</v>
      </c>
      <c r="F2104" s="544"/>
      <c r="G2104" s="544">
        <v>20</v>
      </c>
      <c r="H2104" s="544">
        <v>1</v>
      </c>
      <c r="I2104" s="544">
        <v>5</v>
      </c>
      <c r="J2104" s="544">
        <f>COUNTIF(Elan!$C$13:$F$25,Tablas!E2104)+COUNTIF(Elan!$U$13:$X$25,Tablas!E2104)</f>
        <v>0</v>
      </c>
      <c r="K2104" s="544"/>
      <c r="L2104" s="7875" t="s">
        <v>6413</v>
      </c>
      <c r="M2104" s="7875"/>
      <c r="N2104" s="7875"/>
      <c r="O2104" s="7875"/>
      <c r="P2104" s="7875"/>
      <c r="Q2104" s="7876"/>
      <c r="R2104" s="877">
        <f>IF(OR($J2104=0,$J2104="Aprendida"),0,SUM($J$1934:$J2104))</f>
        <v>0</v>
      </c>
    </row>
    <row r="2105" spans="1:18" ht="12.75" customHeight="1">
      <c r="A2105" s="219">
        <v>1999</v>
      </c>
      <c r="B2105" s="7145"/>
      <c r="E2105" s="874" t="s">
        <v>6143</v>
      </c>
      <c r="F2105" s="544"/>
      <c r="G2105" s="544">
        <v>30</v>
      </c>
      <c r="H2105" s="544">
        <v>1</v>
      </c>
      <c r="I2105" s="544">
        <v>10</v>
      </c>
      <c r="J2105" s="544">
        <f>COUNTIF(Elan!$C$13:$F$25,Tablas!E2105)+COUNTIF(Elan!$U$13:$X$25,Tablas!E2105)</f>
        <v>0</v>
      </c>
      <c r="K2105" s="544"/>
      <c r="L2105" s="7875" t="s">
        <v>6417</v>
      </c>
      <c r="M2105" s="7875"/>
      <c r="N2105" s="7875"/>
      <c r="O2105" s="7875"/>
      <c r="P2105" s="7875"/>
      <c r="Q2105" s="7876"/>
      <c r="R2105" s="877">
        <f>IF(OR($J2105=0,$J2105="Aprendida"),0,SUM($J$1934:$J2105))</f>
        <v>0</v>
      </c>
    </row>
    <row r="2106" spans="1:18" ht="12.75" customHeight="1">
      <c r="A2106" s="219">
        <v>2000</v>
      </c>
      <c r="B2106" s="7145"/>
      <c r="E2106" s="874" t="s">
        <v>6144</v>
      </c>
      <c r="F2106" s="544"/>
      <c r="G2106" s="544">
        <v>30</v>
      </c>
      <c r="H2106" s="544">
        <v>1</v>
      </c>
      <c r="I2106" s="544">
        <v>5</v>
      </c>
      <c r="J2106" s="544">
        <f>COUNTIF(Elan!$C$13:$F$25,Tablas!E2106)+COUNTIF(Elan!$U$13:$X$25,Tablas!E2106)</f>
        <v>0</v>
      </c>
      <c r="K2106" s="544"/>
      <c r="L2106" s="7875" t="s">
        <v>6419</v>
      </c>
      <c r="M2106" s="7875"/>
      <c r="N2106" s="7875"/>
      <c r="O2106" s="7875"/>
      <c r="P2106" s="7875"/>
      <c r="Q2106" s="7876"/>
      <c r="R2106" s="877">
        <f>IF(OR($J2106=0,$J2106="Aprendida"),0,SUM($J$1934:$J2106))</f>
        <v>0</v>
      </c>
    </row>
    <row r="2107" spans="1:18" ht="12.75" customHeight="1">
      <c r="A2107" s="219">
        <v>2001</v>
      </c>
      <c r="B2107" s="7145"/>
      <c r="E2107" s="874" t="s">
        <v>6145</v>
      </c>
      <c r="F2107" s="544"/>
      <c r="G2107" s="544">
        <v>40</v>
      </c>
      <c r="H2107" s="544">
        <v>1</v>
      </c>
      <c r="I2107" s="544">
        <v>10</v>
      </c>
      <c r="J2107" s="544">
        <f>COUNTIF(Elan!$C$13:$F$25,Tablas!E2107)+COUNTIF(Elan!$U$13:$X$25,Tablas!E2107)</f>
        <v>0</v>
      </c>
      <c r="K2107" s="544"/>
      <c r="L2107" s="7875" t="str">
        <f>"Permite al PJ transmitir sus propios sentimientos de dolor y pesadumbre a un tercero si este no supera una RM o RP contra "&amp;F2102*2&amp;"."</f>
        <v>Permite al PJ transmitir sus propios sentimientos de dolor y pesadumbre a un tercero si este no supera una RM o RP contra 0.</v>
      </c>
      <c r="M2107" s="7875"/>
      <c r="N2107" s="7875"/>
      <c r="O2107" s="7875"/>
      <c r="P2107" s="7875"/>
      <c r="Q2107" s="7876"/>
      <c r="R2107" s="877">
        <f>IF(OR($J2107=0,$J2107="Aprendida"),0,SUM($J$1934:$J2107))</f>
        <v>0</v>
      </c>
    </row>
    <row r="2108" spans="1:18" ht="12.75" customHeight="1">
      <c r="A2108" s="219">
        <v>2002</v>
      </c>
      <c r="B2108" s="7145"/>
      <c r="E2108" s="874" t="s">
        <v>6146</v>
      </c>
      <c r="F2108" s="544"/>
      <c r="G2108" s="544">
        <v>40</v>
      </c>
      <c r="H2108" s="544">
        <v>1</v>
      </c>
      <c r="I2108" s="544">
        <v>10</v>
      </c>
      <c r="J2108" s="544">
        <f>COUNTIF(Elan!$C$13:$F$25,Tablas!E2108)+COUNTIF(Elan!$U$13:$X$25,Tablas!E2108)</f>
        <v>0</v>
      </c>
      <c r="K2108" s="544"/>
      <c r="L2108" s="7875" t="str">
        <f>"La naturaleza del PJ se extiende como un aura, influyendo en las personas con las que conviva durante un tiempo prolongado."&amp;IF(F2102&gt;60," Además, puede intesificar el deseo de venganza en una persona en concreto.","")</f>
        <v>La naturaleza del PJ se extiende como un aura, influyendo en las personas con las que conviva durante un tiempo prolongado.</v>
      </c>
      <c r="M2108" s="7875"/>
      <c r="N2108" s="7875"/>
      <c r="O2108" s="7875"/>
      <c r="P2108" s="7875"/>
      <c r="Q2108" s="7876"/>
      <c r="R2108" s="877">
        <f>IF(OR($J2108=0,$J2108="Aprendida"),0,SUM($J$1934:$J2108))</f>
        <v>0</v>
      </c>
    </row>
    <row r="2109" spans="1:18" ht="12.75" customHeight="1">
      <c r="A2109" s="219">
        <v>2003</v>
      </c>
      <c r="B2109" s="7145"/>
      <c r="E2109" s="874" t="s">
        <v>6147</v>
      </c>
      <c r="F2109" s="544"/>
      <c r="G2109" s="544">
        <v>50</v>
      </c>
      <c r="H2109" s="544">
        <v>1</v>
      </c>
      <c r="I2109" s="544">
        <v>10</v>
      </c>
      <c r="J2109" s="544">
        <f>COUNTIF(Elan!$C$13:$F$25,Tablas!E2109)+COUNTIF(Elan!$U$13:$X$25,Tablas!E2109)</f>
        <v>0</v>
      </c>
      <c r="K2109" s="544"/>
      <c r="L2109" s="7875" t="s">
        <v>9906</v>
      </c>
      <c r="M2109" s="7875"/>
      <c r="N2109" s="7875"/>
      <c r="O2109" s="7875"/>
      <c r="P2109" s="7875"/>
      <c r="Q2109" s="7876"/>
      <c r="R2109" s="877">
        <f>IF(OR($J2109=0,$J2109="Aprendida"),0,SUM($J$1934:$J2109))</f>
        <v>0</v>
      </c>
    </row>
    <row r="2110" spans="1:18" ht="12.75" customHeight="1">
      <c r="A2110" s="219">
        <v>2004</v>
      </c>
      <c r="B2110" s="7145"/>
      <c r="E2110" s="874" t="s">
        <v>6148</v>
      </c>
      <c r="F2110" s="544"/>
      <c r="G2110" s="544">
        <v>60</v>
      </c>
      <c r="H2110" s="544">
        <v>1</v>
      </c>
      <c r="I2110" s="544">
        <v>10</v>
      </c>
      <c r="J2110" s="544">
        <f>COUNTIF(Elan!$C$13:$F$25,Tablas!E2110)+COUNTIF(Elan!$U$13:$X$25,Tablas!E2110)</f>
        <v>0</v>
      </c>
      <c r="K2110" s="544"/>
      <c r="L2110" s="7875" t="s">
        <v>6420</v>
      </c>
      <c r="M2110" s="7875"/>
      <c r="N2110" s="7875"/>
      <c r="O2110" s="7875"/>
      <c r="P2110" s="7875"/>
      <c r="Q2110" s="7876"/>
      <c r="R2110" s="877">
        <f>IF(OR($J2110=0,$J2110="Aprendida"),0,SUM($J$1934:$J2110))</f>
        <v>0</v>
      </c>
    </row>
    <row r="2111" spans="1:18" ht="12.75" customHeight="1">
      <c r="A2111" s="219">
        <v>2005</v>
      </c>
      <c r="B2111" s="7145"/>
      <c r="E2111" s="874" t="s">
        <v>6149</v>
      </c>
      <c r="F2111" s="544"/>
      <c r="G2111" s="544">
        <v>60</v>
      </c>
      <c r="H2111" s="544">
        <f>IF(J2107,1,0)</f>
        <v>0</v>
      </c>
      <c r="I2111" s="544">
        <v>15</v>
      </c>
      <c r="J2111" s="544">
        <f>COUNTIF(Elan!$C$13:$F$25,Tablas!E2111)+COUNTIF(Elan!$U$13:$X$25,Tablas!E2111)</f>
        <v>0</v>
      </c>
      <c r="K2111" s="544"/>
      <c r="L2111" s="7875" t="str">
        <f>"El PJ es capaz de obligar a cualquier oyente a superar un control automático de RM contra "&amp;F2102+60&amp;"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2111" s="7875"/>
      <c r="N2111" s="7875"/>
      <c r="O2111" s="7875"/>
      <c r="P2111" s="7875"/>
      <c r="Q2111" s="7876"/>
      <c r="R2111" s="877">
        <f>IF(OR($J2111=0,$J2111="Aprendida"),0,SUM($J$1934:$J2111))</f>
        <v>0</v>
      </c>
    </row>
    <row r="2112" spans="1:18" ht="12.75" customHeight="1">
      <c r="A2112" s="219">
        <v>2006</v>
      </c>
      <c r="B2112" s="7145"/>
      <c r="E2112" s="874" t="s">
        <v>6150</v>
      </c>
      <c r="F2112" s="544"/>
      <c r="G2112" s="544">
        <v>70</v>
      </c>
      <c r="H2112" s="544">
        <v>1</v>
      </c>
      <c r="I2112" s="544">
        <v>10</v>
      </c>
      <c r="J2112" s="544">
        <f>COUNTIF(Elan!$C$13:$F$25,Tablas!E2112)+COUNTIF(Elan!$U$13:$X$25,Tablas!E2112)</f>
        <v>0</v>
      </c>
      <c r="K2112" s="544"/>
      <c r="L2112" s="7875" t="s">
        <v>9907</v>
      </c>
      <c r="M2112" s="7875"/>
      <c r="N2112" s="7875"/>
      <c r="O2112" s="7875"/>
      <c r="P2112" s="7875"/>
      <c r="Q2112" s="7876"/>
      <c r="R2112" s="877">
        <f>IF(OR($J2112=0,$J2112="Aprendida"),0,SUM($J$1934:$J2112))</f>
        <v>0</v>
      </c>
    </row>
    <row r="2113" spans="1:18" ht="12.75" customHeight="1">
      <c r="A2113" s="219">
        <v>2007</v>
      </c>
      <c r="B2113" s="7145"/>
      <c r="E2113" s="874" t="s">
        <v>6151</v>
      </c>
      <c r="F2113" s="544"/>
      <c r="G2113" s="544">
        <v>80</v>
      </c>
      <c r="H2113" s="544">
        <f>IF(J2110,1,0)</f>
        <v>0</v>
      </c>
      <c r="I2113" s="544">
        <v>10</v>
      </c>
      <c r="J2113" s="544">
        <f>COUNTIF(Elan!$C$13:$F$25,Tablas!E2113)+COUNTIF(Elan!$U$13:$X$25,Tablas!E2113)</f>
        <v>0</v>
      </c>
      <c r="K2113" s="544"/>
      <c r="L2113" s="7875" t="s">
        <v>6421</v>
      </c>
      <c r="M2113" s="7875"/>
      <c r="N2113" s="7875"/>
      <c r="O2113" s="7875"/>
      <c r="P2113" s="7875"/>
      <c r="Q2113" s="7876"/>
      <c r="R2113" s="877">
        <f>IF(OR($J2113=0,$J2113="Aprendida"),0,SUM($J$1934:$J2113))</f>
        <v>0</v>
      </c>
    </row>
    <row r="2114" spans="1:18" ht="12.75" customHeight="1">
      <c r="A2114" s="219">
        <v>2008</v>
      </c>
      <c r="B2114" s="7145"/>
      <c r="E2114" s="874" t="s">
        <v>6152</v>
      </c>
      <c r="F2114" s="544"/>
      <c r="G2114" s="544">
        <v>90</v>
      </c>
      <c r="H2114" s="544">
        <v>1</v>
      </c>
      <c r="I2114" s="544">
        <v>15</v>
      </c>
      <c r="J2114" s="544">
        <f>COUNTIF(Elan!$C$13:$F$25,Tablas!E2114)+COUNTIF(Elan!$U$13:$X$25,Tablas!E2114)</f>
        <v>0</v>
      </c>
      <c r="K2114" s="544"/>
      <c r="L2114" s="7875" t="s">
        <v>9908</v>
      </c>
      <c r="M2114" s="7875"/>
      <c r="N2114" s="7875"/>
      <c r="O2114" s="7875"/>
      <c r="P2114" s="7875"/>
      <c r="Q2114" s="7876"/>
      <c r="R2114" s="877">
        <f>IF(OR($J2114=0,$J2114="Aprendida"),0,SUM($J$1934:$J2114))</f>
        <v>0</v>
      </c>
    </row>
    <row r="2115" spans="1:18" ht="12.75" customHeight="1" thickBot="1">
      <c r="A2115" s="219">
        <v>2009</v>
      </c>
      <c r="B2115" s="7145"/>
      <c r="E2115" s="874" t="s">
        <v>6153</v>
      </c>
      <c r="F2115" s="547"/>
      <c r="G2115" s="547">
        <v>100</v>
      </c>
      <c r="H2115" s="547">
        <f>IF(J2109,1,0)</f>
        <v>0</v>
      </c>
      <c r="I2115" s="547">
        <v>10</v>
      </c>
      <c r="J2115" s="547">
        <f>COUNTIF(Elan!$C$13:$F$25,Tablas!E2115)+COUNTIF(Elan!$U$13:$X$25,Tablas!E2115)</f>
        <v>0</v>
      </c>
      <c r="K2115" s="547"/>
      <c r="L2115" s="7875" t="s">
        <v>6422</v>
      </c>
      <c r="M2115" s="7875"/>
      <c r="N2115" s="7875"/>
      <c r="O2115" s="7875"/>
      <c r="P2115" s="7875"/>
      <c r="Q2115" s="7876"/>
      <c r="R2115" s="877">
        <f>IF(OR($J2115=0,$J2115="Aprendida"),0,SUM($J$1934:$J2115))</f>
        <v>0</v>
      </c>
    </row>
    <row r="2116" spans="1:18" ht="12.75" customHeight="1">
      <c r="A2116" s="219">
        <v>2010</v>
      </c>
      <c r="B2116" s="7145"/>
      <c r="E2116" s="875" t="str">
        <f>IF(Personalización!$F$93=0,"Elan Personalizado",Personalización!$F$93)</f>
        <v>Elan Personalizado</v>
      </c>
      <c r="F2116" s="1253">
        <f>IF(Elan!$C$11=Tablas!$E2116,Elan!$G$11,IF(Elan!$U$11=Tablas!$E2116,Elan!$Y$11,0))</f>
        <v>0</v>
      </c>
      <c r="G2116" s="866" t="s">
        <v>1674</v>
      </c>
      <c r="H2116" s="866" t="s">
        <v>7873</v>
      </c>
      <c r="I2116" s="866" t="s">
        <v>1349</v>
      </c>
      <c r="J2116" s="866" t="s">
        <v>5998</v>
      </c>
      <c r="K2116" s="866" t="s">
        <v>6646</v>
      </c>
      <c r="L2116" s="866" t="s">
        <v>1408</v>
      </c>
      <c r="M2116" s="545"/>
      <c r="N2116" s="545"/>
      <c r="O2116" s="545"/>
      <c r="P2116" s="545"/>
      <c r="Q2116" s="871"/>
      <c r="R2116" s="877">
        <f>IF(OR($J2116=0,$J2116="Aprendida"),0,SUM($J$1934:$J2116))</f>
        <v>0</v>
      </c>
    </row>
    <row r="2117" spans="1:18" ht="12.75" customHeight="1">
      <c r="A2117" s="219">
        <v>2011</v>
      </c>
      <c r="B2117" s="7145"/>
      <c r="E2117" s="874" t="str">
        <f>IF(Personalización!D95="","Poder no definido",Personalización!D95)</f>
        <v>Poder no definido</v>
      </c>
      <c r="F2117" s="544"/>
      <c r="G2117" s="544">
        <f>IF(E2117="Poder no definido",0,VLOOKUP(E2117,Personalización!$D$95:$Q$110,4,FALSE))</f>
        <v>0</v>
      </c>
      <c r="H2117" s="544" t="s">
        <v>1315</v>
      </c>
      <c r="I2117" s="544">
        <f>IF(E2117="Poder no definido",0,VLOOKUP(E2117,Personalización!$D$95:$Q$110,5,FALSE))</f>
        <v>0</v>
      </c>
      <c r="J2117" s="544">
        <f>COUNTIF(Elan!$C$13:$F$25,Tablas!E2117)+COUNTIF(Elan!$U$13:$X$25,Tablas!E2117)</f>
        <v>0</v>
      </c>
      <c r="K2117" s="544"/>
      <c r="L2117" s="7875">
        <f>IF(E2117="Poder no definido",0,VLOOKUP(E2117,Personalización!$D$95:$Q$110,6,FALSE))</f>
        <v>0</v>
      </c>
      <c r="M2117" s="7875"/>
      <c r="N2117" s="7875"/>
      <c r="O2117" s="7875"/>
      <c r="P2117" s="7875"/>
      <c r="Q2117" s="7876"/>
      <c r="R2117" s="877">
        <f>IF(OR($J2117=0,$J2117="Aprendida"),0,SUM($J$1934:$J2117))</f>
        <v>0</v>
      </c>
    </row>
    <row r="2118" spans="1:18" ht="12.75" customHeight="1">
      <c r="A2118" s="219">
        <v>2012</v>
      </c>
      <c r="B2118" s="7145"/>
      <c r="E2118" s="874" t="str">
        <f>IF(Personalización!D96="","Poder no definido",Personalización!D96)</f>
        <v>Poder no definido</v>
      </c>
      <c r="F2118" s="544"/>
      <c r="G2118" s="544">
        <f>IF(E2118="Poder no definido",0,VLOOKUP(E2118,Personalización!$D$95:$Q$110,4,FALSE))</f>
        <v>0</v>
      </c>
      <c r="H2118" s="544" t="s">
        <v>1315</v>
      </c>
      <c r="I2118" s="544">
        <f>IF(E2118="Poder no definido",0,VLOOKUP(E2118,Personalización!$D$95:$Q$110,5,FALSE))</f>
        <v>0</v>
      </c>
      <c r="J2118" s="544">
        <f>COUNTIF(Elan!$C$13:$F$25,Tablas!E2118)+COUNTIF(Elan!$U$13:$X$25,Tablas!E2118)</f>
        <v>0</v>
      </c>
      <c r="K2118" s="544"/>
      <c r="L2118" s="7875">
        <f>IF(E2118="Poder no definido",0,VLOOKUP(E2118,Personalización!$D$95:$Q$110,6,FALSE))</f>
        <v>0</v>
      </c>
      <c r="M2118" s="7875"/>
      <c r="N2118" s="7875"/>
      <c r="O2118" s="7875"/>
      <c r="P2118" s="7875"/>
      <c r="Q2118" s="7876"/>
      <c r="R2118" s="877">
        <f>IF(OR($J2118=0,$J2118="Aprendida"),0,SUM($J$1934:$J2118))</f>
        <v>0</v>
      </c>
    </row>
    <row r="2119" spans="1:18" ht="12.75" customHeight="1">
      <c r="A2119" s="219">
        <v>2013</v>
      </c>
      <c r="B2119" s="7145"/>
      <c r="E2119" s="874" t="str">
        <f>IF(Personalización!D97="","Poder no definido",Personalización!D97)</f>
        <v>Poder no definido</v>
      </c>
      <c r="F2119" s="544"/>
      <c r="G2119" s="544">
        <f>IF(E2119="Poder no definido",0,VLOOKUP(E2119,Personalización!$D$95:$Q$110,4,FALSE))</f>
        <v>0</v>
      </c>
      <c r="H2119" s="544" t="s">
        <v>1315</v>
      </c>
      <c r="I2119" s="544">
        <f>IF(E2119="Poder no definido",0,VLOOKUP(E2119,Personalización!$D$95:$Q$110,5,FALSE))</f>
        <v>0</v>
      </c>
      <c r="J2119" s="544">
        <f>COUNTIF(Elan!$C$13:$F$25,Tablas!E2119)+COUNTIF(Elan!$U$13:$X$25,Tablas!E2119)</f>
        <v>0</v>
      </c>
      <c r="K2119" s="544"/>
      <c r="L2119" s="7875">
        <f>IF(E2119="Poder no definido",0,VLOOKUP(E2119,Personalización!$D$95:$Q$110,6,FALSE))</f>
        <v>0</v>
      </c>
      <c r="M2119" s="7875"/>
      <c r="N2119" s="7875"/>
      <c r="O2119" s="7875"/>
      <c r="P2119" s="7875"/>
      <c r="Q2119" s="7876"/>
      <c r="R2119" s="877">
        <f>IF(OR($J2119=0,$J2119="Aprendida"),0,SUM($J$1934:$J2119))</f>
        <v>0</v>
      </c>
    </row>
    <row r="2120" spans="1:18" ht="12.75" customHeight="1">
      <c r="A2120" s="219">
        <v>2014</v>
      </c>
      <c r="B2120" s="7145"/>
      <c r="E2120" s="874" t="str">
        <f>IF(Personalización!D98="","Poder no definido",Personalización!D98)</f>
        <v>Poder no definido</v>
      </c>
      <c r="F2120" s="544"/>
      <c r="G2120" s="544">
        <f>IF(E2120="Poder no definido",0,VLOOKUP(E2120,Personalización!$D$95:$Q$110,4,FALSE))</f>
        <v>0</v>
      </c>
      <c r="H2120" s="544" t="s">
        <v>1315</v>
      </c>
      <c r="I2120" s="544">
        <f>IF(E2120="Poder no definido",0,VLOOKUP(E2120,Personalización!$D$95:$Q$110,5,FALSE))</f>
        <v>0</v>
      </c>
      <c r="J2120" s="544">
        <f>COUNTIF(Elan!$C$13:$F$25,Tablas!E2120)+COUNTIF(Elan!$U$13:$X$25,Tablas!E2120)</f>
        <v>0</v>
      </c>
      <c r="K2120" s="544"/>
      <c r="L2120" s="7875">
        <f>IF(E2120="Poder no definido",0,VLOOKUP(E2120,Personalización!$D$95:$Q$110,6,FALSE))</f>
        <v>0</v>
      </c>
      <c r="M2120" s="7875"/>
      <c r="N2120" s="7875"/>
      <c r="O2120" s="7875"/>
      <c r="P2120" s="7875"/>
      <c r="Q2120" s="7876"/>
      <c r="R2120" s="877">
        <f>IF(OR($J2120=0,$J2120="Aprendida"),0,SUM($J$1934:$J2120))</f>
        <v>0</v>
      </c>
    </row>
    <row r="2121" spans="1:18" ht="12.75" customHeight="1">
      <c r="A2121" s="219">
        <v>2015</v>
      </c>
      <c r="B2121" s="7145"/>
      <c r="E2121" s="874" t="str">
        <f>IF(Personalización!D99="","Poder no definido",Personalización!D99)</f>
        <v>Poder no definido</v>
      </c>
      <c r="F2121" s="544"/>
      <c r="G2121" s="544">
        <f>IF(E2121="Poder no definido",0,VLOOKUP(E2121,Personalización!$D$95:$Q$110,4,FALSE))</f>
        <v>0</v>
      </c>
      <c r="H2121" s="544" t="s">
        <v>1315</v>
      </c>
      <c r="I2121" s="544">
        <f>IF(E2121="Poder no definido",0,VLOOKUP(E2121,Personalización!$D$95:$Q$110,5,FALSE))</f>
        <v>0</v>
      </c>
      <c r="J2121" s="544">
        <f>COUNTIF(Elan!$C$13:$F$25,Tablas!E2121)+COUNTIF(Elan!$U$13:$X$25,Tablas!E2121)</f>
        <v>0</v>
      </c>
      <c r="K2121" s="544"/>
      <c r="L2121" s="7875">
        <f>IF(E2121="Poder no definido",0,VLOOKUP(E2121,Personalización!$D$95:$Q$110,6,FALSE))</f>
        <v>0</v>
      </c>
      <c r="M2121" s="7875"/>
      <c r="N2121" s="7875"/>
      <c r="O2121" s="7875"/>
      <c r="P2121" s="7875"/>
      <c r="Q2121" s="7876"/>
      <c r="R2121" s="877">
        <f>IF(OR($J2121=0,$J2121="Aprendida"),0,SUM($J$1934:$J2121))</f>
        <v>0</v>
      </c>
    </row>
    <row r="2122" spans="1:18" ht="12.75" customHeight="1">
      <c r="A2122" s="219">
        <v>2016</v>
      </c>
      <c r="B2122" s="7145"/>
      <c r="E2122" s="874" t="str">
        <f>IF(Personalización!D100="","Poder no definido",Personalización!D100)</f>
        <v>Poder no definido</v>
      </c>
      <c r="F2122" s="544"/>
      <c r="G2122" s="544">
        <f>IF(E2122="Poder no definido",0,VLOOKUP(E2122,Personalización!$D$95:$Q$110,4,FALSE))</f>
        <v>0</v>
      </c>
      <c r="H2122" s="544" t="s">
        <v>1315</v>
      </c>
      <c r="I2122" s="544">
        <f>IF(E2122="Poder no definido",0,VLOOKUP(E2122,Personalización!$D$95:$Q$110,5,FALSE))</f>
        <v>0</v>
      </c>
      <c r="J2122" s="544">
        <f>COUNTIF(Elan!$C$13:$F$25,Tablas!E2122)+COUNTIF(Elan!$U$13:$X$25,Tablas!E2122)</f>
        <v>0</v>
      </c>
      <c r="K2122" s="544"/>
      <c r="L2122" s="7875">
        <f>IF(E2122="Poder no definido",0,VLOOKUP(E2122,Personalización!$D$95:$Q$110,6,FALSE))</f>
        <v>0</v>
      </c>
      <c r="M2122" s="7875"/>
      <c r="N2122" s="7875"/>
      <c r="O2122" s="7875"/>
      <c r="P2122" s="7875"/>
      <c r="Q2122" s="7876"/>
      <c r="R2122" s="877">
        <f>IF(OR($J2122=0,$J2122="Aprendida"),0,SUM($J$1934:$J2122))</f>
        <v>0</v>
      </c>
    </row>
    <row r="2123" spans="1:18" ht="12.75" customHeight="1">
      <c r="A2123" s="219">
        <v>2017</v>
      </c>
      <c r="B2123" s="7145"/>
      <c r="E2123" s="874" t="str">
        <f>IF(Personalización!D101="","Poder no definido",Personalización!D101)</f>
        <v>Poder no definido</v>
      </c>
      <c r="F2123" s="544"/>
      <c r="G2123" s="544">
        <f>IF(E2123="Poder no definido",0,VLOOKUP(E2123,Personalización!$D$95:$Q$110,4,FALSE))</f>
        <v>0</v>
      </c>
      <c r="H2123" s="544" t="s">
        <v>1315</v>
      </c>
      <c r="I2123" s="544">
        <f>IF(E2123="Poder no definido",0,VLOOKUP(E2123,Personalización!$D$95:$Q$110,5,FALSE))</f>
        <v>0</v>
      </c>
      <c r="J2123" s="544">
        <f>COUNTIF(Elan!$C$13:$F$25,Tablas!E2123)+COUNTIF(Elan!$U$13:$X$25,Tablas!E2123)</f>
        <v>0</v>
      </c>
      <c r="K2123" s="544"/>
      <c r="L2123" s="7875">
        <f>IF(E2123="Poder no definido",0,VLOOKUP(E2123,Personalización!$D$95:$Q$110,6,FALSE))</f>
        <v>0</v>
      </c>
      <c r="M2123" s="7875"/>
      <c r="N2123" s="7875"/>
      <c r="O2123" s="7875"/>
      <c r="P2123" s="7875"/>
      <c r="Q2123" s="7876"/>
      <c r="R2123" s="877">
        <f>IF(OR($J2123=0,$J2123="Aprendida"),0,SUM($J$1934:$J2123))</f>
        <v>0</v>
      </c>
    </row>
    <row r="2124" spans="1:18" ht="12.75" customHeight="1">
      <c r="A2124" s="219">
        <v>2018</v>
      </c>
      <c r="B2124" s="7145"/>
      <c r="E2124" s="874" t="str">
        <f>IF(Personalización!D102="","Poder no definido",Personalización!D102)</f>
        <v>Poder no definido</v>
      </c>
      <c r="F2124" s="544"/>
      <c r="G2124" s="544">
        <f>IF(E2124="Poder no definido",0,VLOOKUP(E2124,Personalización!$D$95:$Q$110,4,FALSE))</f>
        <v>0</v>
      </c>
      <c r="H2124" s="544" t="s">
        <v>1315</v>
      </c>
      <c r="I2124" s="544">
        <f>IF(E2124="Poder no definido",0,VLOOKUP(E2124,Personalización!$D$95:$Q$110,5,FALSE))</f>
        <v>0</v>
      </c>
      <c r="J2124" s="544">
        <f>COUNTIF(Elan!$C$13:$F$25,Tablas!E2124)+COUNTIF(Elan!$U$13:$X$25,Tablas!E2124)</f>
        <v>0</v>
      </c>
      <c r="K2124" s="544"/>
      <c r="L2124" s="7875">
        <f>IF(E2124="Poder no definido",0,VLOOKUP(E2124,Personalización!$D$95:$Q$110,6,FALSE))</f>
        <v>0</v>
      </c>
      <c r="M2124" s="7875"/>
      <c r="N2124" s="7875"/>
      <c r="O2124" s="7875"/>
      <c r="P2124" s="7875"/>
      <c r="Q2124" s="7876"/>
      <c r="R2124" s="877">
        <f>IF(OR($J2124=0,$J2124="Aprendida"),0,SUM($J$1934:$J2124))</f>
        <v>0</v>
      </c>
    </row>
    <row r="2125" spans="1:18" ht="12.75" customHeight="1">
      <c r="A2125" s="219">
        <v>2019</v>
      </c>
      <c r="B2125" s="7145"/>
      <c r="E2125" s="874" t="str">
        <f>IF(Personalización!D103="","Poder no definido",Personalización!D103)</f>
        <v>Poder no definido</v>
      </c>
      <c r="F2125" s="544"/>
      <c r="G2125" s="544">
        <f>IF(E2125="Poder no definido",0,VLOOKUP(E2125,Personalización!$D$95:$Q$110,4,FALSE))</f>
        <v>0</v>
      </c>
      <c r="H2125" s="544" t="s">
        <v>1315</v>
      </c>
      <c r="I2125" s="544">
        <f>IF(E2125="Poder no definido",0,VLOOKUP(E2125,Personalización!$D$95:$Q$110,5,FALSE))</f>
        <v>0</v>
      </c>
      <c r="J2125" s="544">
        <f>COUNTIF(Elan!$C$13:$F$25,Tablas!E2125)+COUNTIF(Elan!$U$13:$X$25,Tablas!E2125)</f>
        <v>0</v>
      </c>
      <c r="K2125" s="544"/>
      <c r="L2125" s="7875">
        <f>IF(E2125="Poder no definido",0,VLOOKUP(E2125,Personalización!$D$95:$Q$110,6,FALSE))</f>
        <v>0</v>
      </c>
      <c r="M2125" s="7875"/>
      <c r="N2125" s="7875"/>
      <c r="O2125" s="7875"/>
      <c r="P2125" s="7875"/>
      <c r="Q2125" s="7876"/>
      <c r="R2125" s="877">
        <f>IF(OR($J2125=0,$J2125="Aprendida"),0,SUM($J$1934:$J2125))</f>
        <v>0</v>
      </c>
    </row>
    <row r="2126" spans="1:18" ht="12.75" customHeight="1">
      <c r="A2126" s="219">
        <v>2020</v>
      </c>
      <c r="B2126" s="7145"/>
      <c r="E2126" s="874" t="str">
        <f>IF(Personalización!D104="","Poder no definido",Personalización!D104)</f>
        <v>Poder no definido</v>
      </c>
      <c r="F2126" s="544"/>
      <c r="G2126" s="544">
        <f>IF(E2126="Poder no definido",0,VLOOKUP(E2126,Personalización!$D$95:$Q$110,4,FALSE))</f>
        <v>0</v>
      </c>
      <c r="H2126" s="544" t="s">
        <v>1315</v>
      </c>
      <c r="I2126" s="544">
        <f>IF(E2126="Poder no definido",0,VLOOKUP(E2126,Personalización!$D$95:$Q$110,5,FALSE))</f>
        <v>0</v>
      </c>
      <c r="J2126" s="544">
        <f>COUNTIF(Elan!$C$13:$F$25,Tablas!E2126)+COUNTIF(Elan!$U$13:$X$25,Tablas!E2126)</f>
        <v>0</v>
      </c>
      <c r="K2126" s="544"/>
      <c r="L2126" s="7875">
        <f>IF(E2126="Poder no definido",0,VLOOKUP(E2126,Personalización!$D$95:$Q$110,6,FALSE))</f>
        <v>0</v>
      </c>
      <c r="M2126" s="7875"/>
      <c r="N2126" s="7875"/>
      <c r="O2126" s="7875"/>
      <c r="P2126" s="7875"/>
      <c r="Q2126" s="7876"/>
      <c r="R2126" s="877">
        <f>IF(OR($J2126=0,$J2126="Aprendida"),0,SUM($J$1934:$J2126))</f>
        <v>0</v>
      </c>
    </row>
    <row r="2127" spans="1:18" ht="12.75" customHeight="1">
      <c r="A2127" s="219">
        <v>2021</v>
      </c>
      <c r="B2127" s="7145"/>
      <c r="E2127" s="874" t="str">
        <f>IF(Personalización!D105="","Poder no definido",Personalización!D105)</f>
        <v>Poder no definido</v>
      </c>
      <c r="F2127" s="544"/>
      <c r="G2127" s="544">
        <f>IF(E2127="Poder no definido",0,VLOOKUP(E2127,Personalización!$D$95:$Q$110,4,FALSE))</f>
        <v>0</v>
      </c>
      <c r="H2127" s="544" t="s">
        <v>1315</v>
      </c>
      <c r="I2127" s="544">
        <f>IF(E2127="Poder no definido",0,VLOOKUP(E2127,Personalización!$D$95:$Q$110,5,FALSE))</f>
        <v>0</v>
      </c>
      <c r="J2127" s="544">
        <f>COUNTIF(Elan!$C$13:$F$25,Tablas!E2127)+COUNTIF(Elan!$U$13:$X$25,Tablas!E2127)</f>
        <v>0</v>
      </c>
      <c r="K2127" s="544"/>
      <c r="L2127" s="7875">
        <f>IF(E2127="Poder no definido",0,VLOOKUP(E2127,Personalización!$D$95:$Q$110,6,FALSE))</f>
        <v>0</v>
      </c>
      <c r="M2127" s="7875"/>
      <c r="N2127" s="7875"/>
      <c r="O2127" s="7875"/>
      <c r="P2127" s="7875"/>
      <c r="Q2127" s="7876"/>
      <c r="R2127" s="877">
        <f>IF(OR($J2127=0,$J2127="Aprendida"),0,SUM($J$1934:$J2127))</f>
        <v>0</v>
      </c>
    </row>
    <row r="2128" spans="1:18" ht="12.75" customHeight="1">
      <c r="A2128" s="219">
        <v>2022</v>
      </c>
      <c r="B2128" s="7145"/>
      <c r="E2128" s="874" t="str">
        <f>IF(Personalización!D106="","Poder no definido",Personalización!D106)</f>
        <v>Poder no definido</v>
      </c>
      <c r="F2128" s="544"/>
      <c r="G2128" s="544">
        <f>IF(E2128="Poder no definido",0,VLOOKUP(E2128,Personalización!$D$95:$Q$110,4,FALSE))</f>
        <v>0</v>
      </c>
      <c r="H2128" s="544" t="s">
        <v>1315</v>
      </c>
      <c r="I2128" s="544">
        <f>IF(E2128="Poder no definido",0,VLOOKUP(E2128,Personalización!$D$95:$Q$110,5,FALSE))</f>
        <v>0</v>
      </c>
      <c r="J2128" s="544">
        <f>COUNTIF(Elan!$C$13:$F$25,Tablas!E2128)+COUNTIF(Elan!$U$13:$X$25,Tablas!E2128)</f>
        <v>0</v>
      </c>
      <c r="K2128" s="544"/>
      <c r="L2128" s="7875">
        <f>IF(E2128="Poder no definido",0,VLOOKUP(E2128,Personalización!$D$95:$Q$110,6,FALSE))</f>
        <v>0</v>
      </c>
      <c r="M2128" s="7875"/>
      <c r="N2128" s="7875"/>
      <c r="O2128" s="7875"/>
      <c r="P2128" s="7875"/>
      <c r="Q2128" s="7876"/>
      <c r="R2128" s="877">
        <f>IF(OR($J2128=0,$J2128="Aprendida"),0,SUM($J$1934:$J2128))</f>
        <v>0</v>
      </c>
    </row>
    <row r="2129" spans="1:33" ht="12.75" customHeight="1">
      <c r="A2129" s="219">
        <v>2023</v>
      </c>
      <c r="B2129" s="7145"/>
      <c r="E2129" s="874" t="str">
        <f>IF(Personalización!D107="","Poder no definido",Personalización!D107)</f>
        <v>Poder no definido</v>
      </c>
      <c r="F2129" s="544"/>
      <c r="G2129" s="544">
        <f>IF(E2129="Poder no definido",0,VLOOKUP(E2129,Personalización!$D$95:$Q$110,4,FALSE))</f>
        <v>0</v>
      </c>
      <c r="H2129" s="544" t="s">
        <v>1315</v>
      </c>
      <c r="I2129" s="544">
        <f>IF(E2129="Poder no definido",0,VLOOKUP(E2129,Personalización!$D$95:$Q$110,5,FALSE))</f>
        <v>0</v>
      </c>
      <c r="J2129" s="544">
        <f>COUNTIF(Elan!$C$13:$F$25,Tablas!E2129)+COUNTIF(Elan!$U$13:$X$25,Tablas!E2129)</f>
        <v>0</v>
      </c>
      <c r="K2129" s="544"/>
      <c r="L2129" s="7875">
        <f>IF(E2129="Poder no definido",0,VLOOKUP(E2129,Personalización!$D$95:$Q$110,6,FALSE))</f>
        <v>0</v>
      </c>
      <c r="M2129" s="7875"/>
      <c r="N2129" s="7875"/>
      <c r="O2129" s="7875"/>
      <c r="P2129" s="7875"/>
      <c r="Q2129" s="7876"/>
      <c r="R2129" s="877">
        <f>IF(OR($J2129=0,$J2129="Aprendida"),0,SUM($J$1934:$J2129))</f>
        <v>0</v>
      </c>
    </row>
    <row r="2130" spans="1:33" ht="12.75" customHeight="1">
      <c r="A2130" s="219">
        <v>2024</v>
      </c>
      <c r="B2130" s="7145"/>
      <c r="E2130" s="874" t="str">
        <f>IF(Personalización!D108="","Poder no definido",Personalización!D108)</f>
        <v>Poder no definido</v>
      </c>
      <c r="F2130" s="544"/>
      <c r="G2130" s="544">
        <f>IF(E2130="Poder no definido",0,VLOOKUP(E2130,Personalización!$D$95:$Q$110,4,FALSE))</f>
        <v>0</v>
      </c>
      <c r="H2130" s="544" t="s">
        <v>1315</v>
      </c>
      <c r="I2130" s="544">
        <f>IF(E2130="Poder no definido",0,VLOOKUP(E2130,Personalización!$D$95:$Q$110,5,FALSE))</f>
        <v>0</v>
      </c>
      <c r="J2130" s="544">
        <f>COUNTIF(Elan!$C$13:$F$25,Tablas!E2130)+COUNTIF(Elan!$U$13:$X$25,Tablas!E2130)</f>
        <v>0</v>
      </c>
      <c r="K2130" s="544"/>
      <c r="L2130" s="7875">
        <f>IF(E2130="Poder no definido",0,VLOOKUP(E2130,Personalización!$D$95:$Q$110,6,FALSE))</f>
        <v>0</v>
      </c>
      <c r="M2130" s="7875"/>
      <c r="N2130" s="7875"/>
      <c r="O2130" s="7875"/>
      <c r="P2130" s="7875"/>
      <c r="Q2130" s="7876"/>
      <c r="R2130" s="877">
        <f>IF(OR($J2130=0,$J2130="Aprendida"),0,SUM($J$1934:$J2130))</f>
        <v>0</v>
      </c>
    </row>
    <row r="2131" spans="1:33" ht="12.75" customHeight="1">
      <c r="A2131" s="219">
        <v>2025</v>
      </c>
      <c r="B2131" s="7145"/>
      <c r="E2131" s="874" t="str">
        <f>IF(Personalización!D109="","Poder no definido",Personalización!D109)</f>
        <v>Poder no definido</v>
      </c>
      <c r="F2131" s="544"/>
      <c r="G2131" s="544">
        <f>IF(E2131="Poder no definido",0,VLOOKUP(E2131,Personalización!$D$95:$Q$110,4,FALSE))</f>
        <v>0</v>
      </c>
      <c r="H2131" s="544" t="s">
        <v>1315</v>
      </c>
      <c r="I2131" s="544">
        <f>IF(E2131="Poder no definido",0,VLOOKUP(E2131,Personalización!$D$95:$Q$110,5,FALSE))</f>
        <v>0</v>
      </c>
      <c r="J2131" s="544">
        <f>COUNTIF(Elan!$C$13:$F$25,Tablas!E2131)+COUNTIF(Elan!$U$13:$X$25,Tablas!E2131)</f>
        <v>0</v>
      </c>
      <c r="K2131" s="544"/>
      <c r="L2131" s="7875">
        <f>IF(E2131="Poder no definido",0,VLOOKUP(E2131,Personalización!$D$95:$Q$110,6,FALSE))</f>
        <v>0</v>
      </c>
      <c r="M2131" s="7875"/>
      <c r="N2131" s="7875"/>
      <c r="O2131" s="7875"/>
      <c r="P2131" s="7875"/>
      <c r="Q2131" s="7876"/>
      <c r="R2131" s="877">
        <f>IF(OR($J2131=0,$J2131="Aprendida"),0,SUM($J$1934:$J2131))</f>
        <v>0</v>
      </c>
    </row>
    <row r="2132" spans="1:33" ht="12.75" customHeight="1" thickBot="1">
      <c r="A2132" s="219">
        <v>2026</v>
      </c>
      <c r="B2132" s="7145"/>
      <c r="E2132" s="876" t="str">
        <f>IF(Personalización!D110="","Poder no definido",Personalización!D110)</f>
        <v>Poder no definido</v>
      </c>
      <c r="F2132" s="547"/>
      <c r="G2132" s="547">
        <f>IF(E2132="Poder no definido",0,VLOOKUP(E2132,Personalización!$D$95:$Q$110,4,FALSE))</f>
        <v>0</v>
      </c>
      <c r="H2132" s="547" t="s">
        <v>1315</v>
      </c>
      <c r="I2132" s="547">
        <f>IF(E2132="Poder no definido",0,VLOOKUP(E2132,Personalización!$D$95:$Q$110,5,FALSE))</f>
        <v>0</v>
      </c>
      <c r="J2132" s="547">
        <f>COUNTIF(Elan!$C$13:$F$25,Tablas!E2132)+COUNTIF(Elan!$U$13:$X$25,Tablas!E2132)</f>
        <v>0</v>
      </c>
      <c r="K2132" s="547"/>
      <c r="L2132" s="7937">
        <f>IF(E2132="Poder no definido",0,VLOOKUP(E2132,Personalización!$D$95:$Q$110,6,FALSE))</f>
        <v>0</v>
      </c>
      <c r="M2132" s="7937"/>
      <c r="N2132" s="7937"/>
      <c r="O2132" s="7937"/>
      <c r="P2132" s="7937"/>
      <c r="Q2132" s="7938"/>
      <c r="R2132" s="1254">
        <f>IF(OR($J2132=0,$J2132="Aprendida"),0,SUM($J$1934:$J2132))</f>
        <v>0</v>
      </c>
    </row>
    <row r="2133" spans="1:33" ht="12.75" customHeight="1">
      <c r="A2133" s="219">
        <v>2027</v>
      </c>
      <c r="B2133" s="7145"/>
      <c r="H2133"/>
      <c r="I2133" s="510"/>
      <c r="N2133"/>
      <c r="O2133" s="510"/>
    </row>
    <row r="2134" spans="1:33" ht="12.75" customHeight="1">
      <c r="A2134" s="219">
        <v>2028</v>
      </c>
      <c r="B2134" s="7145"/>
      <c r="C2134" s="7146" t="s">
        <v>6885</v>
      </c>
      <c r="D2134" s="7146"/>
      <c r="E2134" s="7146"/>
      <c r="F2134" s="7146"/>
      <c r="G2134" s="7146"/>
      <c r="H2134" s="7146"/>
      <c r="I2134" s="7146"/>
      <c r="J2134" s="7146"/>
      <c r="K2134" s="7146"/>
      <c r="L2134" s="7146"/>
      <c r="M2134" s="7146"/>
      <c r="N2134" s="7146"/>
      <c r="O2134" s="7146"/>
      <c r="P2134" s="7146"/>
      <c r="Q2134" s="7146"/>
      <c r="R2134" s="7146"/>
      <c r="S2134" s="7146"/>
      <c r="T2134" s="7146"/>
      <c r="U2134" s="7146"/>
      <c r="V2134" s="7146"/>
      <c r="W2134" s="7146"/>
      <c r="X2134" s="7146"/>
      <c r="Y2134" s="7146"/>
      <c r="Z2134" s="7146"/>
      <c r="AA2134" s="7146"/>
      <c r="AB2134" s="7146"/>
      <c r="AC2134" s="7146"/>
      <c r="AD2134" s="7146"/>
      <c r="AE2134" s="7146"/>
      <c r="AF2134" s="7146"/>
      <c r="AG2134" s="7146"/>
    </row>
    <row r="2135" spans="1:33" ht="12.75" customHeight="1">
      <c r="A2135" s="219">
        <v>2029</v>
      </c>
      <c r="B2135" s="7145"/>
      <c r="C2135" s="7146"/>
      <c r="D2135" s="7146"/>
      <c r="E2135" s="7146"/>
      <c r="F2135" s="7146"/>
      <c r="G2135" s="7146"/>
      <c r="H2135" s="7146"/>
      <c r="I2135" s="7146"/>
      <c r="J2135" s="7146"/>
      <c r="K2135" s="7146"/>
      <c r="L2135" s="7146"/>
      <c r="M2135" s="7146"/>
      <c r="N2135" s="7146"/>
      <c r="O2135" s="7146"/>
      <c r="P2135" s="7146"/>
      <c r="Q2135" s="7146"/>
      <c r="R2135" s="7146"/>
      <c r="S2135" s="7146"/>
      <c r="T2135" s="7146"/>
      <c r="U2135" s="7146"/>
      <c r="V2135" s="7146"/>
      <c r="W2135" s="7146"/>
      <c r="X2135" s="7146"/>
      <c r="Y2135" s="7146"/>
      <c r="Z2135" s="7146"/>
      <c r="AA2135" s="7146"/>
      <c r="AB2135" s="7146"/>
      <c r="AC2135" s="7146"/>
      <c r="AD2135" s="7146"/>
      <c r="AE2135" s="7146"/>
      <c r="AF2135" s="7146"/>
      <c r="AG2135" s="7146"/>
    </row>
    <row r="2136" spans="1:33" ht="12.75" customHeight="1">
      <c r="A2136" s="219">
        <v>2030</v>
      </c>
      <c r="B2136" s="7145"/>
      <c r="C2136" s="7146"/>
      <c r="D2136" s="7146"/>
      <c r="E2136" s="7146"/>
      <c r="F2136" s="7146"/>
      <c r="G2136" s="7146"/>
      <c r="H2136" s="7146"/>
      <c r="I2136" s="7146"/>
      <c r="J2136" s="7146"/>
      <c r="K2136" s="7146"/>
      <c r="L2136" s="7146"/>
      <c r="M2136" s="7146"/>
      <c r="N2136" s="7146"/>
      <c r="O2136" s="7146"/>
      <c r="P2136" s="7146"/>
      <c r="Q2136" s="7146"/>
      <c r="R2136" s="7146"/>
      <c r="S2136" s="7146"/>
      <c r="T2136" s="7146"/>
      <c r="U2136" s="7146"/>
      <c r="V2136" s="7146"/>
      <c r="W2136" s="7146"/>
      <c r="X2136" s="7146"/>
      <c r="Y2136" s="7146"/>
      <c r="Z2136" s="7146"/>
      <c r="AA2136" s="7146"/>
      <c r="AB2136" s="7146"/>
      <c r="AC2136" s="7146"/>
      <c r="AD2136" s="7146"/>
      <c r="AE2136" s="7146"/>
      <c r="AF2136" s="7146"/>
      <c r="AG2136" s="7146"/>
    </row>
    <row r="2137" spans="1:33" ht="12.75" customHeight="1" thickBot="1">
      <c r="A2137" s="219">
        <v>2031</v>
      </c>
      <c r="B2137" s="7145"/>
      <c r="H2137"/>
      <c r="I2137" s="510"/>
      <c r="N2137"/>
      <c r="O2137" s="510"/>
    </row>
    <row r="2138" spans="1:33" ht="12.75" customHeight="1" thickBot="1">
      <c r="A2138" s="219">
        <v>2032</v>
      </c>
      <c r="B2138" s="7145"/>
      <c r="C2138" s="7877" t="s">
        <v>597</v>
      </c>
      <c r="D2138" s="7878"/>
      <c r="E2138" s="7879"/>
      <c r="F2138" s="259"/>
      <c r="G2138" s="7890" t="s">
        <v>9207</v>
      </c>
      <c r="H2138" s="7891"/>
      <c r="I2138" s="7892"/>
      <c r="K2138" s="5433" t="s">
        <v>599</v>
      </c>
      <c r="L2138" s="5434"/>
      <c r="M2138" s="5434"/>
      <c r="N2138" s="5435"/>
      <c r="O2138" s="7887" t="s">
        <v>8014</v>
      </c>
      <c r="P2138" s="7883" t="b">
        <f>PDs!AF141</f>
        <v>0</v>
      </c>
      <c r="Q2138" s="7884"/>
      <c r="R2138" s="7887" t="s">
        <v>9592</v>
      </c>
      <c r="S2138" s="7883" t="b">
        <f>Resumen!$AN$105="Sí"</f>
        <v>0</v>
      </c>
      <c r="T2138" s="7884"/>
      <c r="Y2138"/>
      <c r="Z2138"/>
      <c r="AA2138"/>
      <c r="AB2138"/>
    </row>
    <row r="2139" spans="1:33" ht="12.75" customHeight="1" thickBot="1">
      <c r="A2139" s="219">
        <v>2033</v>
      </c>
      <c r="B2139" s="7145"/>
      <c r="C2139" s="7880"/>
      <c r="D2139" s="7881"/>
      <c r="E2139" s="7882"/>
      <c r="F2139" s="259"/>
      <c r="G2139" s="2068" t="s">
        <v>9210</v>
      </c>
      <c r="H2139" s="2069" t="s">
        <v>9208</v>
      </c>
      <c r="I2139" s="2070" t="s">
        <v>9209</v>
      </c>
      <c r="K2139" s="7893"/>
      <c r="L2139" s="7894"/>
      <c r="M2139" s="7894"/>
      <c r="N2139" s="7895"/>
      <c r="O2139" s="7888"/>
      <c r="P2139" s="7885"/>
      <c r="Q2139" s="7886"/>
      <c r="R2139" s="7888"/>
      <c r="S2139" s="7885"/>
      <c r="T2139" s="7886"/>
      <c r="Y2139"/>
      <c r="Z2139"/>
      <c r="AA2139"/>
      <c r="AB2139"/>
    </row>
    <row r="2140" spans="1:33" ht="12.75" customHeight="1">
      <c r="A2140" s="219">
        <v>2034</v>
      </c>
      <c r="B2140" s="7145"/>
      <c r="C2140" s="4293" t="str">
        <f>IF(UsodelKi,", "&amp;Ki!$K$10,"")</f>
        <v/>
      </c>
      <c r="D2140" s="4294"/>
      <c r="E2140" s="4295"/>
      <c r="F2140" s="259"/>
      <c r="G2140" s="307">
        <f>COUNTIF($H$2140:H2140,H2140)</f>
        <v>1</v>
      </c>
      <c r="H2140" s="304" t="str">
        <f>IF(Principal!C35&lt;&gt;"",Principal!C35,"")</f>
        <v/>
      </c>
      <c r="I2140" s="571" t="str">
        <f>IFERROR(VLOOKUP(H2140,$G$2202:$J$2207,G2140+1,0),H2140)</f>
        <v/>
      </c>
      <c r="K2140" s="7883" t="s">
        <v>5966</v>
      </c>
      <c r="L2140" s="7927"/>
      <c r="M2140" s="7930" t="s">
        <v>9134</v>
      </c>
      <c r="N2140" s="7884"/>
      <c r="O2140" s="7887" t="s">
        <v>5981</v>
      </c>
      <c r="P2140" s="7887" t="s">
        <v>1300</v>
      </c>
      <c r="Q2140" s="7887" t="s">
        <v>8011</v>
      </c>
      <c r="R2140" s="7887" t="s">
        <v>5964</v>
      </c>
      <c r="S2140" s="7887" t="s">
        <v>8020</v>
      </c>
      <c r="T2140" s="7887" t="s">
        <v>8016</v>
      </c>
      <c r="U2140" s="7887" t="s">
        <v>8017</v>
      </c>
      <c r="V2140" s="7887" t="s">
        <v>8015</v>
      </c>
      <c r="W2140" s="7887" t="s">
        <v>8012</v>
      </c>
      <c r="X2140" s="7887" t="s">
        <v>8019</v>
      </c>
      <c r="Y2140" s="7887" t="s">
        <v>8022</v>
      </c>
      <c r="Z2140" s="7887" t="s">
        <v>8018</v>
      </c>
      <c r="AA2140" s="7887" t="s">
        <v>8021</v>
      </c>
      <c r="AB2140" s="7887" t="s">
        <v>8013</v>
      </c>
      <c r="AC2140" s="7925" t="s">
        <v>5966</v>
      </c>
      <c r="AD2140" s="7926"/>
      <c r="AE2140" s="7923" t="s">
        <v>5983</v>
      </c>
      <c r="AF2140" s="7923" t="s">
        <v>1068</v>
      </c>
    </row>
    <row r="2141" spans="1:33" ht="12.75" customHeight="1" thickBot="1">
      <c r="A2141" s="219">
        <v>2035</v>
      </c>
      <c r="B2141" s="7145"/>
      <c r="C2141" s="262" t="str">
        <f>IF(Ki!$P$12="-",", "&amp;Ki!$K$12,"")</f>
        <v/>
      </c>
      <c r="D2141" s="21"/>
      <c r="E2141" s="3613"/>
      <c r="F2141" s="259"/>
      <c r="G2141" s="307">
        <f>COUNTIF($H$2140:H2141,H2141)</f>
        <v>2</v>
      </c>
      <c r="H2141" s="304" t="str">
        <f>IF(Principal!C36&lt;&gt;"",Principal!C36,"")</f>
        <v/>
      </c>
      <c r="I2141" s="571" t="str">
        <f t="shared" ref="I2141:I2170" si="418">IFERROR(VLOOKUP(H2141,$G$2202:$J$2207,G2141+1,0),H2141)</f>
        <v/>
      </c>
      <c r="K2141" s="7928"/>
      <c r="L2141" s="7929"/>
      <c r="M2141" s="7931"/>
      <c r="N2141" s="7932"/>
      <c r="O2141" s="7888"/>
      <c r="P2141" s="7888"/>
      <c r="Q2141" s="7888"/>
      <c r="R2141" s="7888"/>
      <c r="S2141" s="7888"/>
      <c r="T2141" s="7888"/>
      <c r="U2141" s="7888"/>
      <c r="V2141" s="7888"/>
      <c r="W2141" s="7888"/>
      <c r="X2141" s="7888"/>
      <c r="Y2141" s="7888"/>
      <c r="Z2141" s="7888"/>
      <c r="AA2141" s="7888"/>
      <c r="AB2141" s="7888"/>
      <c r="AC2141" s="1169" t="s">
        <v>5978</v>
      </c>
      <c r="AD2141" s="1170" t="s">
        <v>5979</v>
      </c>
      <c r="AE2141" s="7924"/>
      <c r="AF2141" s="7924"/>
    </row>
    <row r="2142" spans="1:33" ht="12.75" customHeight="1">
      <c r="A2142" s="219">
        <v>2036</v>
      </c>
      <c r="B2142" s="7145"/>
      <c r="C2142" s="262" t="str">
        <f>IF(Ki!$P$13="-",", "&amp;Ki!$L$13&amp;" "&amp;Ki!$F$35,"")</f>
        <v/>
      </c>
      <c r="D2142" s="21"/>
      <c r="E2142" s="3613"/>
      <c r="F2142" s="259"/>
      <c r="G2142" s="307">
        <f>COUNTIF($H$2140:H2142,H2142)</f>
        <v>3</v>
      </c>
      <c r="H2142" s="304" t="str">
        <f>IF(Principal!C37&lt;&gt;"",Principal!C37,"")</f>
        <v/>
      </c>
      <c r="I2142" s="571" t="str">
        <f t="shared" si="418"/>
        <v/>
      </c>
      <c r="K2142" s="3433" t="str">
        <f t="shared" ref="K2142:K2179" si="419">IF(AD2142&lt;&gt;"",", "&amp;AD2142,"")</f>
        <v/>
      </c>
      <c r="L2142" s="21"/>
      <c r="M2142" s="3478"/>
      <c r="N2142" s="3479" t="str">
        <f>IF($O2142,", "&amp;AB2142,"")</f>
        <v/>
      </c>
      <c r="O2142" s="762" t="b">
        <f>OR($S$2138,AND(NOT(Acrobacias_final="-"),OR(PDs!T144&gt;4,PDs!W144&gt;0,PDs!X144&gt;0,$G$315&gt;0)))</f>
        <v>0</v>
      </c>
      <c r="P2142" s="536" t="s">
        <v>1264</v>
      </c>
      <c r="Q2142" s="1643">
        <f>PDs!AA144</f>
        <v>-30</v>
      </c>
      <c r="R2142" s="534" t="str">
        <f>IF(PDs!I144=0,"",P2142&amp;" ("&amp;PDs!I144&amp;")")</f>
        <v/>
      </c>
      <c r="S2142" s="534">
        <f>LEFT(PDs!AG144,2)+LEFT(PDs!AH144,2)</f>
        <v>0</v>
      </c>
      <c r="T2142" s="534" t="str">
        <f>IF(PDs!AI144,MID(PDs!AH144,4,25)&amp;MID(PDs!AG144,4,25),"")</f>
        <v/>
      </c>
      <c r="U2142" s="1093"/>
      <c r="V2142" s="1093"/>
      <c r="W2142" s="534">
        <f t="shared" ref="W2142:W2162" si="420">IFERROR(Q2142+AF2142+IF(R2142="",0,-80)+IF(T2142="",0,IF(R2142=T2142,-S2142,0)),"-")</f>
        <v>-30</v>
      </c>
      <c r="X2142" s="534" t="str">
        <f>IFERROR(IF(AND(NOT(R2142=""),R2142=T2142,$P$2138),W2142+S2142+80,""),"-")</f>
        <v/>
      </c>
      <c r="Y2142" s="534" t="str">
        <f t="shared" ref="Y2142:Y2162" si="421">IFERROR(IF(AND(X2142="",NOT(T2142=""),$P$2138),W2142+S2142,""),"")</f>
        <v/>
      </c>
      <c r="Z2142" s="1093" t="str">
        <f t="shared" ref="Z2142:Z2169" si="422">IFERROR(IF(AND(X2142="",NOT(V2142="")),W2142+U2142,""),"")</f>
        <v/>
      </c>
      <c r="AA2142" s="534" t="str">
        <f t="shared" ref="AA2142:AA2169" si="423">IFERROR(IF(AND(X2142="",NOT(R2142="")),W2142+80,""),"-")</f>
        <v/>
      </c>
      <c r="AB2142" s="534" t="str">
        <f>P2142&amp;" "&amp;W2142&amp;IF(AF2142&lt;0," ("&amp;W2142-AF2142&amp;")","")&amp;IF(X2142="","",", "&amp;T2142&amp;" "&amp;X2142&amp;IF(AF2142&lt;0," ("&amp;X2142-AF2142&amp;")",""))&amp;IF(Y2142="","",", "&amp;T2142&amp;" "&amp;Y2142&amp;IF(AF2142&lt;0," ("&amp;Y2142-AF2142&amp;")",""))&amp;IF(Z2142="","",", "&amp;V2142&amp;" "&amp;Z2142&amp;IF(AF2142&lt;0," ("&amp;Z2142-AF2142&amp;")",""))&amp;IF(AA2142="","",", "&amp;R2142&amp;" "&amp;AA2142&amp;IF(AF2142&lt;0," ("&amp;AA2142-AF2142&amp;")",""))</f>
        <v>Acrobacias -30</v>
      </c>
      <c r="AC2142" s="536">
        <f t="shared" ref="AC2142:AC2173" si="424">COUNTIF($P$2142:$P$2198,"&lt;="&amp;P2142)</f>
        <v>1</v>
      </c>
      <c r="AD2142" s="536" t="str">
        <f t="shared" ref="AD2142:AD2171" si="425">IF(INDEX($O$2142:$O$2198,MATCH($A1,$AC$2142:$AC$2198,0)),INDEX($AB$2142:$AB$2198,MATCH($A1,$AC$2142:$AC$2198,0)),"")</f>
        <v/>
      </c>
      <c r="AE2142" s="8187" t="s">
        <v>6688</v>
      </c>
      <c r="AF2142" s="1171">
        <f>Principal!O22</f>
        <v>0</v>
      </c>
    </row>
    <row r="2143" spans="1:33" ht="12.75" customHeight="1">
      <c r="A2143" s="219">
        <v>2037</v>
      </c>
      <c r="B2143" s="7145"/>
      <c r="C2143" s="262" t="str">
        <f>IF(Erudición,", "&amp;Ki!$M$14,"")</f>
        <v/>
      </c>
      <c r="D2143" s="21"/>
      <c r="E2143" s="3613"/>
      <c r="F2143" s="259"/>
      <c r="G2143" s="307">
        <f>COUNTIF($H$2140:H2143,H2143)</f>
        <v>4</v>
      </c>
      <c r="H2143" s="304" t="str">
        <f>IF(Principal!C38&lt;&gt;"",Principal!C38,"")</f>
        <v/>
      </c>
      <c r="I2143" s="571" t="str">
        <f t="shared" si="418"/>
        <v/>
      </c>
      <c r="K2143" s="3433" t="str">
        <f t="shared" si="419"/>
        <v/>
      </c>
      <c r="L2143" s="21"/>
      <c r="M2143" s="1923"/>
      <c r="N2143" s="3479" t="str">
        <f t="shared" ref="N2143:N2199" si="426">IF(O2143,", "&amp;AB2143,"")</f>
        <v/>
      </c>
      <c r="O2143" s="762" t="b">
        <f>OR($S$2138,AND(NOT(Atletismo_final="-"),OR(PDs!T145&gt;4,PDs!W145&gt;0,PDs!X145&gt;0,$G$315&gt;0)))</f>
        <v>0</v>
      </c>
      <c r="P2143" s="536" t="s">
        <v>1265</v>
      </c>
      <c r="Q2143" s="535">
        <f>PDs!AA145</f>
        <v>-30</v>
      </c>
      <c r="R2143" s="534" t="str">
        <f>IF(PDs!I145=0,"",P2143&amp;" ("&amp;PDs!I145&amp;")")</f>
        <v/>
      </c>
      <c r="S2143" s="534">
        <f>LEFT(PDs!AG145,2)+LEFT(PDs!AH145,2)</f>
        <v>0</v>
      </c>
      <c r="T2143" s="534" t="str">
        <f>IF(PDs!AI145,MID(PDs!AH145,4,25)&amp;MID(PDs!AG145,4,25),"")</f>
        <v/>
      </c>
      <c r="U2143" s="1093"/>
      <c r="V2143" s="1093"/>
      <c r="W2143" s="534">
        <f t="shared" si="420"/>
        <v>-30</v>
      </c>
      <c r="X2143" s="534" t="str">
        <f t="shared" ref="X2143:X2162" si="427">IFERROR(IF(AND(NOT(R2143=""),R2143=T2143,$P$2138),W2143+S2143+80,""),"-")</f>
        <v/>
      </c>
      <c r="Y2143" s="534" t="str">
        <f t="shared" si="421"/>
        <v/>
      </c>
      <c r="Z2143" s="1093" t="str">
        <f t="shared" si="422"/>
        <v/>
      </c>
      <c r="AA2143" s="534" t="str">
        <f t="shared" si="423"/>
        <v/>
      </c>
      <c r="AB2143" s="534" t="str">
        <f t="shared" ref="AB2143:AB2169" si="428">P2143&amp;" "&amp;W2143&amp;IF(AF2143&lt;0," ("&amp;W2143-AF2143&amp;")","")&amp;IF(X2143="","",", "&amp;T2143&amp;" "&amp;X2143&amp;IF(AF2143&lt;0," ("&amp;X2143-AF2143&amp;")",""))&amp;IF(Y2143="","",", "&amp;T2143&amp;" "&amp;Y2143&amp;IF(AF2143&lt;0," ("&amp;Y2143-AF2143&amp;")",""))&amp;IF(Z2143="","",", "&amp;V2143&amp;" "&amp;Z2143&amp;IF(AF2143&lt;0," ("&amp;Z2143-AF2143&amp;")",""))&amp;IF(AA2143="","",", "&amp;R2143&amp;" "&amp;AA2143&amp;IF(AF2143&lt;0," ("&amp;AA2143-AF2143&amp;")",""))</f>
        <v>Atletismo -30</v>
      </c>
      <c r="AC2143" s="536">
        <f t="shared" si="424"/>
        <v>7</v>
      </c>
      <c r="AD2143" s="536" t="str">
        <f t="shared" si="425"/>
        <v/>
      </c>
      <c r="AE2143" s="8188"/>
      <c r="AF2143" s="1171">
        <f>Principal!O23</f>
        <v>0</v>
      </c>
    </row>
    <row r="2144" spans="1:33" ht="12.75" customHeight="1">
      <c r="A2144" s="219">
        <v>2038</v>
      </c>
      <c r="B2144" s="7145"/>
      <c r="C2144" s="262" t="str">
        <f>IF(Ki!$P$15="-",", "&amp;Ki!$L$15,"")</f>
        <v/>
      </c>
      <c r="D2144" s="21"/>
      <c r="E2144" s="3613"/>
      <c r="F2144" s="259"/>
      <c r="G2144" s="307">
        <f>COUNTIF($H$2140:H2144,H2144)</f>
        <v>5</v>
      </c>
      <c r="H2144" s="304" t="str">
        <f>IF(Principal!C39&lt;&gt;"",Principal!C39,"")</f>
        <v/>
      </c>
      <c r="I2144" s="571" t="str">
        <f t="shared" si="418"/>
        <v/>
      </c>
      <c r="K2144" s="3433" t="str">
        <f t="shared" si="419"/>
        <v/>
      </c>
      <c r="L2144" s="21"/>
      <c r="M2144" s="1923"/>
      <c r="N2144" s="3479" t="str">
        <f t="shared" si="426"/>
        <v/>
      </c>
      <c r="O2144" s="762" t="b">
        <f>OR($S$2138,AND(NOT(Montar_final="-"),OR(PDs!T146&gt;4,PDs!W146&gt;0,PDs!X146&gt;0,$G$315&gt;0)))</f>
        <v>0</v>
      </c>
      <c r="P2144" s="536" t="s">
        <v>1268</v>
      </c>
      <c r="Q2144" s="535">
        <f>PDs!AA146</f>
        <v>-30</v>
      </c>
      <c r="R2144" s="534" t="str">
        <f>IF(PDs!I146=0,"",P2144&amp;" ("&amp;PDs!I146&amp;")")</f>
        <v/>
      </c>
      <c r="S2144" s="534">
        <f>LEFT(PDs!AG146,2)+LEFT(PDs!AH146,2)</f>
        <v>0</v>
      </c>
      <c r="T2144" s="534" t="str">
        <f>IF(PDs!AI146,MID(PDs!AH146,4,25)&amp;MID(PDs!AG146,4,25),"")</f>
        <v/>
      </c>
      <c r="U2144" s="1093"/>
      <c r="V2144" s="1093"/>
      <c r="W2144" s="534">
        <f t="shared" si="420"/>
        <v>-30</v>
      </c>
      <c r="X2144" s="534" t="str">
        <f t="shared" si="427"/>
        <v/>
      </c>
      <c r="Y2144" s="534" t="str">
        <f t="shared" si="421"/>
        <v/>
      </c>
      <c r="Z2144" s="1093" t="str">
        <f t="shared" si="422"/>
        <v/>
      </c>
      <c r="AA2144" s="534" t="str">
        <f t="shared" si="423"/>
        <v/>
      </c>
      <c r="AB2144" s="534" t="str">
        <f t="shared" si="428"/>
        <v>Montar -30</v>
      </c>
      <c r="AC2144" s="536">
        <f t="shared" si="424"/>
        <v>30</v>
      </c>
      <c r="AD2144" s="536" t="str">
        <f t="shared" si="425"/>
        <v/>
      </c>
      <c r="AE2144" s="8188"/>
      <c r="AF2144" s="1171">
        <f>Principal!O24</f>
        <v>0</v>
      </c>
    </row>
    <row r="2145" spans="1:32" ht="12.75" customHeight="1">
      <c r="A2145" s="219">
        <v>2039</v>
      </c>
      <c r="B2145" s="7145"/>
      <c r="C2145" s="262" t="str">
        <f>IF(Ki!$P$16="-",", "&amp;Ki!$L$16,"")</f>
        <v/>
      </c>
      <c r="D2145" s="21"/>
      <c r="E2145" s="3613"/>
      <c r="F2145" s="259"/>
      <c r="G2145" s="307">
        <f>COUNTIF($H$2140:H2145,H2145)</f>
        <v>6</v>
      </c>
      <c r="H2145" s="304" t="str">
        <f>IF(Principal!C40&lt;&gt;"",Principal!C40,"")</f>
        <v/>
      </c>
      <c r="I2145" s="571" t="str">
        <f t="shared" si="418"/>
        <v/>
      </c>
      <c r="K2145" s="3433" t="str">
        <f t="shared" si="419"/>
        <v/>
      </c>
      <c r="L2145" s="21"/>
      <c r="M2145" s="1923"/>
      <c r="N2145" s="3479" t="str">
        <f t="shared" si="426"/>
        <v/>
      </c>
      <c r="O2145" s="762" t="b">
        <f>OR($S$2138,AND(NOT(Nadar_final="-"),OR(PDs!T147&gt;4,PDs!W147&gt;0,PDs!X147&gt;0,$G$315&gt;0)))</f>
        <v>0</v>
      </c>
      <c r="P2145" s="536" t="s">
        <v>1272</v>
      </c>
      <c r="Q2145" s="535">
        <f>PDs!AA147</f>
        <v>-30</v>
      </c>
      <c r="R2145" s="534" t="str">
        <f>IF(PDs!I147=0,"",P2145&amp;" ("&amp;PDs!I147&amp;")")</f>
        <v/>
      </c>
      <c r="S2145" s="534">
        <f>LEFT(PDs!AG147,2)+LEFT(PDs!AH147,2)</f>
        <v>0</v>
      </c>
      <c r="T2145" s="534" t="str">
        <f>IF(PDs!AI147,MID(PDs!AH147,4,25)&amp;MID(PDs!AG147,4,25),"")</f>
        <v/>
      </c>
      <c r="U2145" s="1093"/>
      <c r="V2145" s="1093"/>
      <c r="W2145" s="534">
        <f t="shared" si="420"/>
        <v>-30</v>
      </c>
      <c r="X2145" s="534" t="str">
        <f t="shared" si="427"/>
        <v/>
      </c>
      <c r="Y2145" s="534" t="str">
        <f t="shared" si="421"/>
        <v/>
      </c>
      <c r="Z2145" s="1093" t="str">
        <f t="shared" si="422"/>
        <v/>
      </c>
      <c r="AA2145" s="534" t="str">
        <f t="shared" si="423"/>
        <v/>
      </c>
      <c r="AB2145" s="534" t="str">
        <f t="shared" si="428"/>
        <v>Nadar -30</v>
      </c>
      <c r="AC2145" s="536">
        <f t="shared" si="424"/>
        <v>32</v>
      </c>
      <c r="AD2145" s="536" t="str">
        <f t="shared" si="425"/>
        <v/>
      </c>
      <c r="AE2145" s="8188"/>
      <c r="AF2145" s="1171">
        <f>Principal!O25</f>
        <v>0</v>
      </c>
    </row>
    <row r="2146" spans="1:32" ht="12.75" customHeight="1">
      <c r="A2146" s="219">
        <v>2040</v>
      </c>
      <c r="B2146" s="7145"/>
      <c r="C2146" s="262" t="str">
        <f>IF(Ki!$P$17="-",", "&amp;Ki!$M$17,"")</f>
        <v/>
      </c>
      <c r="D2146" s="21"/>
      <c r="E2146" s="3613"/>
      <c r="F2146" s="259"/>
      <c r="G2146" s="307">
        <f>COUNTIF($H$2140:H2146,H2146)</f>
        <v>7</v>
      </c>
      <c r="H2146" s="304" t="str">
        <f>IF(Principal!C41&lt;&gt;"",Principal!C41,"")</f>
        <v/>
      </c>
      <c r="I2146" s="571" t="str">
        <f t="shared" si="418"/>
        <v/>
      </c>
      <c r="K2146" s="3433" t="str">
        <f t="shared" si="419"/>
        <v/>
      </c>
      <c r="L2146" s="21"/>
      <c r="M2146" s="1923"/>
      <c r="N2146" s="3479" t="str">
        <f t="shared" si="426"/>
        <v/>
      </c>
      <c r="O2146" s="762" t="b">
        <f>OR($S$2138,OR($S$2138,AND(NOT(Trepar_final="-"),OR(PDs!T148&gt;4,PDs!W148&gt;0,PDs!X148&gt;0,$G$315&gt;0))))</f>
        <v>0</v>
      </c>
      <c r="P2146" s="536" t="s">
        <v>1275</v>
      </c>
      <c r="Q2146" s="535">
        <f>PDs!AA148</f>
        <v>-30</v>
      </c>
      <c r="R2146" s="534" t="str">
        <f>IF(PDs!I148=0,"",P2146&amp;" ("&amp;PDs!I148&amp;")")</f>
        <v/>
      </c>
      <c r="S2146" s="534">
        <f>LEFT(PDs!AG148,2)+LEFT(PDs!AH148,2)</f>
        <v>0</v>
      </c>
      <c r="T2146" s="534" t="str">
        <f>IF(PDs!AI148,MID(PDs!AH148,4,25)&amp;MID(PDs!AG148,4,25),"")</f>
        <v/>
      </c>
      <c r="U2146" s="1093"/>
      <c r="V2146" s="1093"/>
      <c r="W2146" s="534">
        <f t="shared" si="420"/>
        <v>-30</v>
      </c>
      <c r="X2146" s="534" t="str">
        <f t="shared" si="427"/>
        <v/>
      </c>
      <c r="Y2146" s="534" t="str">
        <f t="shared" si="421"/>
        <v/>
      </c>
      <c r="Z2146" s="1093" t="str">
        <f t="shared" si="422"/>
        <v/>
      </c>
      <c r="AA2146" s="534" t="str">
        <f t="shared" si="423"/>
        <v/>
      </c>
      <c r="AB2146" s="534" t="str">
        <f t="shared" si="428"/>
        <v>Trepar -30</v>
      </c>
      <c r="AC2146" s="536">
        <f t="shared" si="424"/>
        <v>55</v>
      </c>
      <c r="AD2146" s="536" t="str">
        <f t="shared" si="425"/>
        <v/>
      </c>
      <c r="AE2146" s="8188"/>
      <c r="AF2146" s="1171">
        <f>Principal!O26</f>
        <v>0</v>
      </c>
    </row>
    <row r="2147" spans="1:32" ht="12.75" customHeight="1">
      <c r="A2147" s="219">
        <v>2041</v>
      </c>
      <c r="B2147" s="7145"/>
      <c r="C2147" s="262" t="str">
        <f>IF(Ki!$P$18="-",", "&amp;Ki!$M$18,"")</f>
        <v/>
      </c>
      <c r="D2147" s="21"/>
      <c r="E2147" s="3613"/>
      <c r="F2147" s="259"/>
      <c r="G2147" s="307">
        <f>COUNTIF($H$2140:H2147,H2147)</f>
        <v>8</v>
      </c>
      <c r="H2147" s="304" t="str">
        <f>IF(Principal!C42&lt;&gt;"",Principal!C42,"")</f>
        <v/>
      </c>
      <c r="I2147" s="571" t="str">
        <f t="shared" si="418"/>
        <v/>
      </c>
      <c r="K2147" s="3433" t="str">
        <f t="shared" si="419"/>
        <v/>
      </c>
      <c r="L2147" s="21"/>
      <c r="M2147" s="1923"/>
      <c r="N2147" s="3479" t="str">
        <f t="shared" si="426"/>
        <v/>
      </c>
      <c r="O2147" s="762" t="b">
        <f>OR($S$2138,AND(NOT(Saltar_final="-"),OR(PDs!T149&gt;4,PDs!W149&gt;0,PDs!X149&gt;0,$G$315&gt;0)))</f>
        <v>0</v>
      </c>
      <c r="P2147" s="536" t="s">
        <v>1278</v>
      </c>
      <c r="Q2147" s="535">
        <f>PDs!AA149</f>
        <v>-30</v>
      </c>
      <c r="R2147" s="534" t="str">
        <f>IF(PDs!I149=0,"",P2147&amp;" ("&amp;PDs!I149&amp;")")</f>
        <v/>
      </c>
      <c r="S2147" s="534">
        <f>LEFT(PDs!AG149,2)+LEFT(PDs!AH149,2)</f>
        <v>0</v>
      </c>
      <c r="T2147" s="534" t="str">
        <f>IF(PDs!AI149,MID(PDs!AH149,4,25)&amp;MID(PDs!AG149,4,25),"")</f>
        <v/>
      </c>
      <c r="U2147" s="1093"/>
      <c r="V2147" s="1093"/>
      <c r="W2147" s="534">
        <f t="shared" si="420"/>
        <v>-30</v>
      </c>
      <c r="X2147" s="534" t="str">
        <f t="shared" si="427"/>
        <v/>
      </c>
      <c r="Y2147" s="534" t="str">
        <f t="shared" si="421"/>
        <v/>
      </c>
      <c r="Z2147" s="1093" t="str">
        <f t="shared" si="422"/>
        <v/>
      </c>
      <c r="AA2147" s="534" t="str">
        <f t="shared" si="423"/>
        <v/>
      </c>
      <c r="AB2147" s="534" t="str">
        <f t="shared" si="428"/>
        <v>Saltar -30</v>
      </c>
      <c r="AC2147" s="536">
        <f t="shared" si="424"/>
        <v>44</v>
      </c>
      <c r="AD2147" s="536" t="str">
        <f t="shared" si="425"/>
        <v/>
      </c>
      <c r="AE2147" s="8188"/>
      <c r="AF2147" s="1171">
        <f>Principal!O27</f>
        <v>0</v>
      </c>
    </row>
    <row r="2148" spans="1:32" ht="12.75" customHeight="1">
      <c r="A2148" s="219">
        <v>2042</v>
      </c>
      <c r="B2148" s="7145"/>
      <c r="C2148" s="262" t="str">
        <f>IF(Ki!$P$19="-",", "&amp;Ki!$N$19,"")</f>
        <v/>
      </c>
      <c r="D2148" s="21"/>
      <c r="E2148" s="3613"/>
      <c r="G2148" s="307">
        <f>COUNTIF($H$2140:H2148,H2148)</f>
        <v>9</v>
      </c>
      <c r="H2148" s="304" t="str">
        <f>IF(Principal!C43&lt;&gt;"",Principal!C43,"")</f>
        <v/>
      </c>
      <c r="I2148" s="571" t="str">
        <f t="shared" si="418"/>
        <v/>
      </c>
      <c r="K2148" s="3433" t="str">
        <f t="shared" si="419"/>
        <v/>
      </c>
      <c r="L2148" s="21"/>
      <c r="M2148" s="1923"/>
      <c r="N2148" s="3479" t="str">
        <f t="shared" si="426"/>
        <v/>
      </c>
      <c r="O2148" s="762" t="b">
        <f>OR($S$2138,AND(NOT(Pilotar_final="-"),OR(PDs!T150&gt;4,PDs!W150&gt;0,PDs!X150&gt;0,$G$315&gt;0)))</f>
        <v>0</v>
      </c>
      <c r="P2148" s="536" t="s">
        <v>5858</v>
      </c>
      <c r="Q2148" s="535">
        <f>PDs!AA150</f>
        <v>-30</v>
      </c>
      <c r="R2148" s="534" t="str">
        <f>IF(PDs!I150=0,"",P2148&amp;" ("&amp;PDs!I150&amp;")")</f>
        <v/>
      </c>
      <c r="S2148" s="534">
        <f>LEFT(PDs!AG150,2)+LEFT(PDs!AH150,2)</f>
        <v>0</v>
      </c>
      <c r="T2148" s="534" t="str">
        <f>IF(PDs!AI150,MID(PDs!AH150,4,25)&amp;MID(PDs!AG150,4,25),"")</f>
        <v/>
      </c>
      <c r="U2148" s="1093"/>
      <c r="V2148" s="1093"/>
      <c r="W2148" s="534">
        <f t="shared" si="420"/>
        <v>-30</v>
      </c>
      <c r="X2148" s="534" t="str">
        <f t="shared" si="427"/>
        <v/>
      </c>
      <c r="Y2148" s="534" t="str">
        <f t="shared" si="421"/>
        <v/>
      </c>
      <c r="Z2148" s="1093" t="str">
        <f t="shared" si="422"/>
        <v/>
      </c>
      <c r="AA2148" s="534" t="str">
        <f t="shared" si="423"/>
        <v/>
      </c>
      <c r="AB2148" s="534" t="str">
        <f t="shared" si="428"/>
        <v>Pilotar -30</v>
      </c>
      <c r="AC2148" s="536">
        <f t="shared" si="424"/>
        <v>39</v>
      </c>
      <c r="AD2148" s="536" t="str">
        <f t="shared" si="425"/>
        <v/>
      </c>
      <c r="AE2148" s="8188"/>
      <c r="AF2148" s="1171">
        <f>Principal!O28</f>
        <v>0</v>
      </c>
    </row>
    <row r="2149" spans="1:32" ht="12.75" customHeight="1">
      <c r="A2149" s="219">
        <v>2043</v>
      </c>
      <c r="B2149" s="7145"/>
      <c r="C2149" s="262" t="str">
        <f>IF(Ki!$P$20="-",", "&amp;Ki!$M$20,"")</f>
        <v/>
      </c>
      <c r="D2149" s="21"/>
      <c r="E2149" s="3613"/>
      <c r="G2149" s="307">
        <f>COUNTIF($H$2140:H2149,H2149)</f>
        <v>10</v>
      </c>
      <c r="H2149" s="304" t="str">
        <f>IF(Principal!C44&lt;&gt;"",Principal!C44,"")</f>
        <v/>
      </c>
      <c r="I2149" s="571" t="str">
        <f t="shared" si="418"/>
        <v/>
      </c>
      <c r="K2149" s="3433" t="str">
        <f t="shared" si="419"/>
        <v/>
      </c>
      <c r="L2149" s="21"/>
      <c r="M2149" s="1923"/>
      <c r="N2149" s="3479" t="str">
        <f t="shared" si="426"/>
        <v/>
      </c>
      <c r="O2149" s="762" t="b">
        <f>OR($S$2138,AND(NOT(Estilo_final="-"),OR(PDs!T151&gt;4,PDs!W151&gt;0,PDs!X151&gt;0,$G$315&gt;0)))</f>
        <v>0</v>
      </c>
      <c r="P2149" s="536" t="s">
        <v>1282</v>
      </c>
      <c r="Q2149" s="535">
        <f>PDs!AA151</f>
        <v>-30</v>
      </c>
      <c r="R2149" s="534" t="str">
        <f>IF(PDs!I151=0,"",P2149&amp;" ("&amp;PDs!I151&amp;")")</f>
        <v/>
      </c>
      <c r="S2149" s="534">
        <f>LEFT(PDs!AG151,2)+LEFT(PDs!AH151,2)</f>
        <v>0</v>
      </c>
      <c r="T2149" s="534" t="str">
        <f>IF(PDs!AI151,MID(PDs!AH151,4,25)&amp;MID(PDs!AG151,4,25),"")</f>
        <v/>
      </c>
      <c r="U2149" s="1093"/>
      <c r="V2149" s="1093"/>
      <c r="W2149" s="534">
        <f t="shared" si="420"/>
        <v>-30</v>
      </c>
      <c r="X2149" s="534" t="str">
        <f t="shared" si="427"/>
        <v/>
      </c>
      <c r="Y2149" s="534" t="str">
        <f t="shared" si="421"/>
        <v/>
      </c>
      <c r="Z2149" s="1093" t="str">
        <f t="shared" si="422"/>
        <v/>
      </c>
      <c r="AA2149" s="534" t="str">
        <f t="shared" si="423"/>
        <v/>
      </c>
      <c r="AB2149" s="534" t="str">
        <f t="shared" si="428"/>
        <v>Estilo -30</v>
      </c>
      <c r="AC2149" s="536">
        <f t="shared" si="424"/>
        <v>18</v>
      </c>
      <c r="AD2149" s="536" t="str">
        <f t="shared" si="425"/>
        <v/>
      </c>
      <c r="AE2149" s="8188"/>
      <c r="AF2149" s="1171">
        <f>Principal!O29</f>
        <v>0</v>
      </c>
    </row>
    <row r="2150" spans="1:32" ht="12.75" customHeight="1">
      <c r="A2150" s="219">
        <v>2044</v>
      </c>
      <c r="B2150" s="7145"/>
      <c r="C2150" s="262" t="str">
        <f>IF(Ki!$P$21="-",", "&amp;"Mult. mayor","")</f>
        <v/>
      </c>
      <c r="D2150" s="21"/>
      <c r="E2150" s="3613"/>
      <c r="G2150" s="307">
        <f>COUNTIF($H$2140:H2150,H2150)</f>
        <v>11</v>
      </c>
      <c r="H2150" s="304" t="str">
        <f>IF(Principal!C45&lt;&gt;"",Principal!C45,"")</f>
        <v/>
      </c>
      <c r="I2150" s="571" t="str">
        <f t="shared" si="418"/>
        <v/>
      </c>
      <c r="K2150" s="3433" t="str">
        <f t="shared" si="419"/>
        <v/>
      </c>
      <c r="L2150" s="21"/>
      <c r="M2150" s="1923"/>
      <c r="N2150" s="3479" t="str">
        <f t="shared" si="426"/>
        <v/>
      </c>
      <c r="O2150" s="762" t="b">
        <f>OR($S$2138,AND(NOT(Intimidar_final="-"),OR(PDs!T152&gt;4,PDs!W152&gt;0,PDs!X152&gt;0,$G$315&gt;0)))</f>
        <v>0</v>
      </c>
      <c r="P2150" s="536" t="s">
        <v>1284</v>
      </c>
      <c r="Q2150" s="535">
        <f>PDs!AA152</f>
        <v>-30</v>
      </c>
      <c r="R2150" s="534" t="str">
        <f>IF(PDs!I152=0,"",P2150&amp;" ("&amp;PDs!I152&amp;")")</f>
        <v/>
      </c>
      <c r="S2150" s="534">
        <f>LEFT(PDs!AG152,2)+LEFT(PDs!AH152,2)</f>
        <v>0</v>
      </c>
      <c r="T2150" s="534" t="str">
        <f>IF(PDs!AI152,MID(PDs!AH152,4,25)&amp;MID(PDs!AG152,4,25),"")</f>
        <v/>
      </c>
      <c r="U2150" s="1093"/>
      <c r="V2150" s="1093"/>
      <c r="W2150" s="534">
        <f t="shared" si="420"/>
        <v>-30</v>
      </c>
      <c r="X2150" s="534" t="str">
        <f t="shared" si="427"/>
        <v/>
      </c>
      <c r="Y2150" s="534" t="str">
        <f t="shared" si="421"/>
        <v/>
      </c>
      <c r="Z2150" s="1093" t="str">
        <f t="shared" si="422"/>
        <v/>
      </c>
      <c r="AA2150" s="534" t="str">
        <f t="shared" si="423"/>
        <v/>
      </c>
      <c r="AB2150" s="534" t="str">
        <f t="shared" si="428"/>
        <v>Intimidar -30</v>
      </c>
      <c r="AC2150" s="536">
        <f t="shared" si="424"/>
        <v>24</v>
      </c>
      <c r="AD2150" s="536" t="str">
        <f t="shared" si="425"/>
        <v/>
      </c>
      <c r="AE2150" s="8188"/>
      <c r="AF2150" s="1171">
        <f>Principal!O30</f>
        <v>0</v>
      </c>
    </row>
    <row r="2151" spans="1:32" ht="12.75" customHeight="1">
      <c r="A2151" s="219">
        <v>2045</v>
      </c>
      <c r="B2151" s="7145"/>
      <c r="C2151" s="262" t="str">
        <f>IF(Ki!$P$22="-",", "&amp;Ki!$O$22,"")</f>
        <v/>
      </c>
      <c r="D2151" s="21"/>
      <c r="E2151" s="3613"/>
      <c r="G2151" s="307">
        <f>COUNTIF($H$2140:H2151,H2151)</f>
        <v>12</v>
      </c>
      <c r="H2151" s="304" t="str">
        <f>IF(Principal!C46&lt;&gt;"",Principal!C46,"")</f>
        <v/>
      </c>
      <c r="I2151" s="571" t="str">
        <f t="shared" si="418"/>
        <v/>
      </c>
      <c r="K2151" s="3433" t="str">
        <f t="shared" si="419"/>
        <v/>
      </c>
      <c r="L2151" s="21"/>
      <c r="M2151" s="1923"/>
      <c r="N2151" s="3479" t="str">
        <f t="shared" si="426"/>
        <v/>
      </c>
      <c r="O2151" s="762" t="b">
        <f>OR($S$2138,AND(NOT(Liderazgo_final="-"),OR(PDs!T153&gt;4,PDs!W153&gt;0,PDs!X153&gt;0,$G$315&gt;0)))</f>
        <v>0</v>
      </c>
      <c r="P2151" s="536" t="s">
        <v>1287</v>
      </c>
      <c r="Q2151" s="535">
        <f>PDs!AA153</f>
        <v>-30</v>
      </c>
      <c r="R2151" s="534" t="str">
        <f>IF(PDs!I153=0,"",P2151&amp;" ("&amp;PDs!I153&amp;")")</f>
        <v/>
      </c>
      <c r="S2151" s="534">
        <f>LEFT(PDs!AG153,2)+LEFT(PDs!AH153,2)</f>
        <v>0</v>
      </c>
      <c r="T2151" s="534" t="str">
        <f>IF(PDs!AI153,MID(PDs!AH153,4,25)&amp;MID(PDs!AG153,4,25),"")</f>
        <v/>
      </c>
      <c r="U2151" s="1093"/>
      <c r="V2151" s="1093"/>
      <c r="W2151" s="534">
        <f t="shared" si="420"/>
        <v>-30</v>
      </c>
      <c r="X2151" s="534" t="str">
        <f t="shared" si="427"/>
        <v/>
      </c>
      <c r="Y2151" s="534" t="str">
        <f t="shared" si="421"/>
        <v/>
      </c>
      <c r="Z2151" s="1093" t="str">
        <f t="shared" si="422"/>
        <v/>
      </c>
      <c r="AA2151" s="534" t="str">
        <f t="shared" si="423"/>
        <v/>
      </c>
      <c r="AB2151" s="534" t="str">
        <f t="shared" si="428"/>
        <v>Liderazgo -30</v>
      </c>
      <c r="AC2151" s="536">
        <f t="shared" si="424"/>
        <v>27</v>
      </c>
      <c r="AD2151" s="536" t="str">
        <f t="shared" si="425"/>
        <v/>
      </c>
      <c r="AE2151" s="8188"/>
      <c r="AF2151" s="1171">
        <f>Principal!O31</f>
        <v>0</v>
      </c>
    </row>
    <row r="2152" spans="1:32" ht="12.75" customHeight="1">
      <c r="A2152" s="219">
        <v>2046</v>
      </c>
      <c r="B2152" s="7145"/>
      <c r="C2152" s="262" t="str">
        <f>IF(Ki!$P$23="-",", "&amp;Ki!$N$23,"")</f>
        <v/>
      </c>
      <c r="D2152" s="21"/>
      <c r="E2152" s="3613"/>
      <c r="G2152" s="307">
        <f>COUNTIF($H$2140:H2152,H2152)</f>
        <v>13</v>
      </c>
      <c r="H2152" s="304" t="str">
        <f>IF(Principal!C47&lt;&gt;"",Principal!C47,"")</f>
        <v/>
      </c>
      <c r="I2152" s="571" t="str">
        <f t="shared" si="418"/>
        <v/>
      </c>
      <c r="K2152" s="3433" t="str">
        <f t="shared" si="419"/>
        <v/>
      </c>
      <c r="L2152" s="21"/>
      <c r="M2152" s="1923"/>
      <c r="N2152" s="3479" t="str">
        <f t="shared" si="426"/>
        <v/>
      </c>
      <c r="O2152" s="763" t="b">
        <f>OR($S$2138,AND(NOT(Persuasión_final="-"),OR(PDs!T154&gt;4,PDs!W154&gt;0,PDs!X154&gt;0,$G$315&gt;0)))</f>
        <v>0</v>
      </c>
      <c r="P2152" s="539" t="s">
        <v>1289</v>
      </c>
      <c r="Q2152" s="539">
        <f>PDs!AA154</f>
        <v>-30</v>
      </c>
      <c r="R2152" s="537" t="str">
        <f>IF(PDs!I154=0,"",P2152&amp;" ("&amp;PDs!I154&amp;")")</f>
        <v/>
      </c>
      <c r="S2152" s="537">
        <f>LEFT(PDs!AG154,2)+LEFT(PDs!AH154,2)</f>
        <v>0</v>
      </c>
      <c r="T2152" s="537" t="str">
        <f>IF(PDs!AI154,MID(PDs!AH154,4,25)&amp;MID(PDs!AG154,4,25),"")</f>
        <v/>
      </c>
      <c r="U2152" s="1094">
        <f>IF($G$382&gt;0,60,0)+IF($J$2093&gt;0,$K$2093,0)</f>
        <v>0</v>
      </c>
      <c r="V2152" s="1094" t="str">
        <f>IF(PDs!AI154,MID(PDs!AH154,4,25)&amp;MID(PDs!AG154,4,25),IF(OR($G$382&gt;0,$J$2093&gt;0),"Persuasión (Seducción)",""))</f>
        <v/>
      </c>
      <c r="W2152" s="537">
        <f t="shared" si="420"/>
        <v>-30</v>
      </c>
      <c r="X2152" s="537" t="str">
        <f t="shared" si="427"/>
        <v/>
      </c>
      <c r="Y2152" s="537" t="str">
        <f t="shared" si="421"/>
        <v/>
      </c>
      <c r="Z2152" s="1094" t="str">
        <f t="shared" si="422"/>
        <v/>
      </c>
      <c r="AA2152" s="537" t="str">
        <f t="shared" si="423"/>
        <v/>
      </c>
      <c r="AB2152" s="537" t="str">
        <f t="shared" si="428"/>
        <v>Persuasión -30</v>
      </c>
      <c r="AC2152" s="539">
        <f t="shared" si="424"/>
        <v>38</v>
      </c>
      <c r="AD2152" s="536" t="str">
        <f t="shared" si="425"/>
        <v/>
      </c>
      <c r="AE2152" s="8188"/>
      <c r="AF2152" s="1171">
        <f>Principal!O32</f>
        <v>0</v>
      </c>
    </row>
    <row r="2153" spans="1:32" ht="12.75" customHeight="1">
      <c r="A2153" s="219">
        <v>2047</v>
      </c>
      <c r="B2153" s="7145"/>
      <c r="C2153" s="262" t="str">
        <f>IF(Ki!$P$24="-",", "&amp;Ki!$O$24,"")</f>
        <v/>
      </c>
      <c r="D2153" s="21"/>
      <c r="E2153" s="3613"/>
      <c r="G2153" s="307">
        <f>COUNTIF($H$2140:H2153,H2153)</f>
        <v>14</v>
      </c>
      <c r="H2153" s="304" t="str">
        <f>IF(Principal!C48&lt;&gt;"",Principal!C48,"")</f>
        <v/>
      </c>
      <c r="I2153" s="571" t="str">
        <f t="shared" si="418"/>
        <v/>
      </c>
      <c r="K2153" s="3433" t="str">
        <f t="shared" si="419"/>
        <v/>
      </c>
      <c r="L2153" s="21"/>
      <c r="M2153" s="1923"/>
      <c r="N2153" s="3479" t="str">
        <f t="shared" si="426"/>
        <v/>
      </c>
      <c r="O2153" s="762" t="b">
        <f>OR($S$2138,AND(NOT(Comercio_final="-"),OR(PDs!T155&gt;4,PDs!W155&gt;0,PDs!X155&gt;0,$G$315&gt;0)))</f>
        <v>0</v>
      </c>
      <c r="P2153" s="536" t="s">
        <v>685</v>
      </c>
      <c r="Q2153" s="535">
        <f>PDs!AA155</f>
        <v>-30</v>
      </c>
      <c r="R2153" s="534" t="str">
        <f>IF(PDs!I155=0,"",P2153&amp;" ("&amp;PDs!I155&amp;")")</f>
        <v/>
      </c>
      <c r="S2153" s="534">
        <f>LEFT(PDs!AG155,2)+LEFT(PDs!AH155,2)</f>
        <v>0</v>
      </c>
      <c r="T2153" s="534" t="str">
        <f>IF(PDs!AI155,MID(PDs!AH155,4,25)&amp;MID(PDs!AG155,4,25),"")</f>
        <v/>
      </c>
      <c r="U2153" s="1093"/>
      <c r="V2153" s="1093"/>
      <c r="W2153" s="534">
        <f t="shared" si="420"/>
        <v>-30</v>
      </c>
      <c r="X2153" s="534" t="str">
        <f t="shared" si="427"/>
        <v/>
      </c>
      <c r="Y2153" s="534" t="str">
        <f t="shared" si="421"/>
        <v/>
      </c>
      <c r="Z2153" s="1093" t="str">
        <f t="shared" si="422"/>
        <v/>
      </c>
      <c r="AA2153" s="534" t="str">
        <f t="shared" si="423"/>
        <v/>
      </c>
      <c r="AB2153" s="534" t="str">
        <f t="shared" si="428"/>
        <v>Comercio -30</v>
      </c>
      <c r="AC2153" s="536">
        <f t="shared" si="424"/>
        <v>14</v>
      </c>
      <c r="AD2153" s="536" t="str">
        <f t="shared" si="425"/>
        <v/>
      </c>
      <c r="AE2153" s="8188"/>
      <c r="AF2153" s="1171">
        <f>Principal!O33</f>
        <v>0</v>
      </c>
    </row>
    <row r="2154" spans="1:32" ht="12.75" customHeight="1">
      <c r="A2154" s="219">
        <v>2048</v>
      </c>
      <c r="B2154" s="7145"/>
      <c r="C2154" s="262" t="str">
        <f>IF(Ki!$P$25="-",", "&amp;Ki!$L$25,"")</f>
        <v/>
      </c>
      <c r="D2154" s="21"/>
      <c r="E2154" s="3613"/>
      <c r="G2154" s="307">
        <f>COUNTIF($H$2140:H2154,H2154)</f>
        <v>15</v>
      </c>
      <c r="H2154" s="304" t="str">
        <f>IF(Principal!C49&lt;&gt;"",Principal!C49,"")</f>
        <v/>
      </c>
      <c r="I2154" s="571" t="str">
        <f t="shared" si="418"/>
        <v/>
      </c>
      <c r="K2154" s="3433" t="str">
        <f t="shared" si="419"/>
        <v/>
      </c>
      <c r="L2154" s="21"/>
      <c r="M2154" s="1923"/>
      <c r="N2154" s="3479" t="str">
        <f t="shared" si="426"/>
        <v/>
      </c>
      <c r="O2154" s="763" t="b">
        <f>OR($S$2138,AND(NOT(Callejeo_final="-"),OR(PDs!T156&gt;4,PDs!W156&gt;0,PDs!X156&gt;0,$G$315&gt;0)))</f>
        <v>0</v>
      </c>
      <c r="P2154" s="539" t="s">
        <v>686</v>
      </c>
      <c r="Q2154" s="539">
        <f>PDs!AA156</f>
        <v>-30</v>
      </c>
      <c r="R2154" s="537" t="str">
        <f>IF(PDs!I156=0,"",P2154&amp;" ("&amp;PDs!I156&amp;")")</f>
        <v/>
      </c>
      <c r="S2154" s="537">
        <f>LEFT(PDs!AG156,2)+LEFT(PDs!AH156,2)</f>
        <v>0</v>
      </c>
      <c r="T2154" s="537" t="str">
        <f>IF(PDs!AI156,MID(PDs!AH156,4,25)&amp;MID(PDs!AG156,4,25),"")</f>
        <v/>
      </c>
      <c r="U2154" s="1094">
        <v>40</v>
      </c>
      <c r="V2154" s="539" t="s">
        <v>5982</v>
      </c>
      <c r="W2154" s="537">
        <f t="shared" si="420"/>
        <v>-30</v>
      </c>
      <c r="X2154" s="537" t="str">
        <f t="shared" si="427"/>
        <v/>
      </c>
      <c r="Y2154" s="537" t="str">
        <f t="shared" si="421"/>
        <v/>
      </c>
      <c r="Z2154" s="1094">
        <f t="shared" si="422"/>
        <v>10</v>
      </c>
      <c r="AA2154" s="537" t="str">
        <f t="shared" si="423"/>
        <v/>
      </c>
      <c r="AB2154" s="537" t="str">
        <f t="shared" si="428"/>
        <v>Callejeo -30, Callejeo (Ciudad natal) 10</v>
      </c>
      <c r="AC2154" s="539">
        <f t="shared" si="424"/>
        <v>11</v>
      </c>
      <c r="AD2154" s="536" t="str">
        <f t="shared" si="425"/>
        <v/>
      </c>
      <c r="AE2154" s="8188"/>
      <c r="AF2154" s="1171">
        <f>Principal!O34</f>
        <v>0</v>
      </c>
    </row>
    <row r="2155" spans="1:32" ht="12.75" customHeight="1">
      <c r="A2155" s="219">
        <v>2049</v>
      </c>
      <c r="B2155" s="7145"/>
      <c r="C2155" s="262" t="str">
        <f>IF(Ki!$P$26="-",", "&amp;Ki!$L$26,"")</f>
        <v/>
      </c>
      <c r="D2155" s="21"/>
      <c r="E2155" s="3613"/>
      <c r="G2155" s="307">
        <f>COUNTIF($H$2140:H2155,H2155)</f>
        <v>16</v>
      </c>
      <c r="H2155" s="304" t="str">
        <f>IF(Principal!G35&lt;&gt;"",Principal!G35,"")</f>
        <v/>
      </c>
      <c r="I2155" s="571" t="str">
        <f t="shared" si="418"/>
        <v/>
      </c>
      <c r="K2155" s="3433" t="str">
        <f t="shared" si="419"/>
        <v/>
      </c>
      <c r="L2155" s="21"/>
      <c r="M2155" s="1923"/>
      <c r="N2155" s="3479" t="str">
        <f t="shared" si="426"/>
        <v/>
      </c>
      <c r="O2155" s="762" t="b">
        <f>OR($S$2138,AND(NOT(Etiqueta_final="-"),OR(PDs!T157&gt;4,PDs!W157&gt;0,PDs!X157&gt;0,$G$315&gt;0)))</f>
        <v>0</v>
      </c>
      <c r="P2155" s="536" t="s">
        <v>687</v>
      </c>
      <c r="Q2155" s="535">
        <f>PDs!AA157</f>
        <v>-30</v>
      </c>
      <c r="R2155" s="534" t="str">
        <f>IF(PDs!I157=0,"",P2155&amp;" ("&amp;PDs!I157&amp;")")</f>
        <v/>
      </c>
      <c r="S2155" s="534">
        <f>LEFT(PDs!AG157,2)+LEFT(PDs!AH157,2)</f>
        <v>0</v>
      </c>
      <c r="T2155" s="534" t="str">
        <f>IF(PDs!AI157,MID(PDs!AH157,4,25)&amp;MID(PDs!AG157,4,25),"")</f>
        <v/>
      </c>
      <c r="U2155" s="1093"/>
      <c r="V2155" s="1093"/>
      <c r="W2155" s="534">
        <f t="shared" si="420"/>
        <v>-30</v>
      </c>
      <c r="X2155" s="534" t="str">
        <f t="shared" si="427"/>
        <v/>
      </c>
      <c r="Y2155" s="534" t="str">
        <f t="shared" si="421"/>
        <v/>
      </c>
      <c r="Z2155" s="1093" t="str">
        <f t="shared" si="422"/>
        <v/>
      </c>
      <c r="AA2155" s="534" t="str">
        <f t="shared" si="423"/>
        <v/>
      </c>
      <c r="AB2155" s="534" t="str">
        <f t="shared" si="428"/>
        <v>Etiqueta -30</v>
      </c>
      <c r="AC2155" s="536">
        <f t="shared" si="424"/>
        <v>19</v>
      </c>
      <c r="AD2155" s="536" t="str">
        <f t="shared" si="425"/>
        <v/>
      </c>
      <c r="AE2155" s="8188"/>
      <c r="AF2155" s="1171">
        <f>Principal!O35</f>
        <v>0</v>
      </c>
    </row>
    <row r="2156" spans="1:32" ht="12.75" customHeight="1">
      <c r="A2156" s="219">
        <v>2050</v>
      </c>
      <c r="B2156" s="7145"/>
      <c r="C2156" s="262" t="str">
        <f>IF(Ki!$P$27="-",", "&amp;Ki!$K$27,"")</f>
        <v/>
      </c>
      <c r="D2156" s="21"/>
      <c r="E2156" s="3613"/>
      <c r="G2156" s="307">
        <f>COUNTIF($H$2140:H2156,H2156)</f>
        <v>17</v>
      </c>
      <c r="H2156" s="304" t="str">
        <f>IF(Principal!G36&lt;&gt;"",Principal!G36,"")</f>
        <v/>
      </c>
      <c r="I2156" s="571" t="str">
        <f t="shared" si="418"/>
        <v/>
      </c>
      <c r="K2156" s="3433" t="str">
        <f t="shared" si="419"/>
        <v/>
      </c>
      <c r="L2156" s="21"/>
      <c r="M2156" s="1923"/>
      <c r="N2156" s="3479" t="str">
        <f t="shared" si="426"/>
        <v/>
      </c>
      <c r="O2156" s="763" t="b">
        <f>OR($S$2138,AND(NOT(Advertir_final="-"),OR(PDs!T158&gt;4,PDs!W158&gt;0,PDs!X158&gt;0,$G$315&gt;0)))</f>
        <v>0</v>
      </c>
      <c r="P2156" s="539" t="s">
        <v>1291</v>
      </c>
      <c r="Q2156" s="538">
        <f>PDs!AA158</f>
        <v>-30</v>
      </c>
      <c r="R2156" s="537" t="str">
        <f>IF(PDs!I158=0,"",P2156&amp;" ("&amp;PDs!I158&amp;")")</f>
        <v/>
      </c>
      <c r="S2156" s="537">
        <f>LEFT(PDs!AG158,2)+LEFT(PDs!AH158,2)</f>
        <v>0</v>
      </c>
      <c r="T2156" s="537" t="str">
        <f>IF(PDs!AI158,MID(PDs!AH158,4,25)&amp;MID(PDs!AG158,4,25),"")</f>
        <v/>
      </c>
      <c r="U2156" s="1094">
        <f>IF($J$1381,30,0)</f>
        <v>0</v>
      </c>
      <c r="V2156" s="1094" t="str">
        <f>IF($J$1381,P2156&amp;" ("&amp;$K$1381&amp;")","")</f>
        <v/>
      </c>
      <c r="W2156" s="537">
        <f t="shared" si="420"/>
        <v>-30</v>
      </c>
      <c r="X2156" s="537" t="str">
        <f t="shared" si="427"/>
        <v/>
      </c>
      <c r="Y2156" s="537" t="str">
        <f t="shared" si="421"/>
        <v/>
      </c>
      <c r="Z2156" s="1094" t="str">
        <f t="shared" si="422"/>
        <v/>
      </c>
      <c r="AA2156" s="537" t="str">
        <f t="shared" si="423"/>
        <v/>
      </c>
      <c r="AB2156" s="537" t="str">
        <f t="shared" si="428"/>
        <v>Advertir -30</v>
      </c>
      <c r="AC2156" s="539">
        <f t="shared" si="424"/>
        <v>2</v>
      </c>
      <c r="AD2156" s="536" t="str">
        <f t="shared" si="425"/>
        <v/>
      </c>
      <c r="AE2156" s="8188"/>
      <c r="AF2156" s="1171">
        <f>Principal!O36</f>
        <v>0</v>
      </c>
    </row>
    <row r="2157" spans="1:32" ht="12.75" customHeight="1">
      <c r="A2157" s="219">
        <v>2051</v>
      </c>
      <c r="B2157" s="7145"/>
      <c r="C2157" s="262" t="str">
        <f>IF(Ki!$P$28="-",", "&amp;Ki!$L$28,"")</f>
        <v/>
      </c>
      <c r="D2157" s="21"/>
      <c r="E2157" s="3613"/>
      <c r="G2157" s="307">
        <f>COUNTIF($H$2140:H2157,H2157)</f>
        <v>18</v>
      </c>
      <c r="H2157" s="304" t="str">
        <f>IF(Principal!G37&lt;&gt;"",Principal!G37,"")</f>
        <v/>
      </c>
      <c r="I2157" s="571" t="str">
        <f t="shared" si="418"/>
        <v/>
      </c>
      <c r="K2157" s="3433" t="str">
        <f t="shared" si="419"/>
        <v/>
      </c>
      <c r="L2157" s="21"/>
      <c r="M2157" s="1923"/>
      <c r="N2157" s="3479" t="str">
        <f t="shared" si="426"/>
        <v/>
      </c>
      <c r="O2157" s="763" t="b">
        <f>OR($S$2138,AND(NOT(Buscar_final="-"),OR(PDs!T159&gt;4,PDs!W159&gt;0,PDs!X159&gt;0,$G$315&gt;0)))</f>
        <v>0</v>
      </c>
      <c r="P2157" s="539" t="s">
        <v>1292</v>
      </c>
      <c r="Q2157" s="538">
        <f>PDs!AA159</f>
        <v>-30</v>
      </c>
      <c r="R2157" s="537" t="str">
        <f>IF(PDs!I159=0,"",P2157&amp;" ("&amp;PDs!I159&amp;")")</f>
        <v/>
      </c>
      <c r="S2157" s="537">
        <f>LEFT(PDs!AG159,2)+LEFT(PDs!AH159,2)</f>
        <v>0</v>
      </c>
      <c r="T2157" s="537" t="str">
        <f>IF(PDs!AI159,MID(PDs!AH159,4,25)&amp;MID(PDs!AG159,4,25),"")</f>
        <v/>
      </c>
      <c r="U2157" s="1094">
        <f>IF($J$1381,30,0)</f>
        <v>0</v>
      </c>
      <c r="V2157" s="1094" t="str">
        <f>IF($J$1381,P2157&amp;" ("&amp;$K$1381&amp;")","")</f>
        <v/>
      </c>
      <c r="W2157" s="537">
        <f t="shared" si="420"/>
        <v>-30</v>
      </c>
      <c r="X2157" s="537" t="str">
        <f t="shared" si="427"/>
        <v/>
      </c>
      <c r="Y2157" s="537" t="str">
        <f t="shared" si="421"/>
        <v/>
      </c>
      <c r="Z2157" s="1094" t="str">
        <f t="shared" si="422"/>
        <v/>
      </c>
      <c r="AA2157" s="537" t="str">
        <f t="shared" si="423"/>
        <v/>
      </c>
      <c r="AB2157" s="537" t="str">
        <f t="shared" si="428"/>
        <v>Buscar -30</v>
      </c>
      <c r="AC2157" s="539">
        <f t="shared" si="424"/>
        <v>9</v>
      </c>
      <c r="AD2157" s="536" t="str">
        <f t="shared" si="425"/>
        <v/>
      </c>
      <c r="AE2157" s="8188"/>
      <c r="AF2157" s="1171">
        <f>Principal!O37</f>
        <v>0</v>
      </c>
    </row>
    <row r="2158" spans="1:32" ht="12.75" customHeight="1">
      <c r="A2158" s="219">
        <v>2052</v>
      </c>
      <c r="B2158" s="7145"/>
      <c r="C2158" s="262" t="str">
        <f>IF(Ki!$P$29="-",", "&amp;Ki!$M$29,"")</f>
        <v/>
      </c>
      <c r="D2158" s="21"/>
      <c r="E2158" s="3613"/>
      <c r="G2158" s="307">
        <f>COUNTIF($H$2140:H2158,H2158)</f>
        <v>19</v>
      </c>
      <c r="H2158" s="304" t="str">
        <f>IF(Principal!G38&lt;&gt;"",Principal!G38,"")</f>
        <v/>
      </c>
      <c r="I2158" s="571" t="str">
        <f t="shared" si="418"/>
        <v/>
      </c>
      <c r="K2158" s="3433" t="str">
        <f t="shared" si="419"/>
        <v/>
      </c>
      <c r="L2158" s="21"/>
      <c r="M2158" s="1923"/>
      <c r="N2158" s="3479" t="str">
        <f t="shared" si="426"/>
        <v/>
      </c>
      <c r="O2158" s="763" t="b">
        <f>OR($S$2138,AND(NOT(Rastrear_final="-"),OR(PDs!T160&gt;4,PDs!W160&gt;0,PDs!X160&gt;0,$G$315&gt;0)))</f>
        <v>0</v>
      </c>
      <c r="P2158" s="539" t="s">
        <v>1293</v>
      </c>
      <c r="Q2158" s="538">
        <f>PDs!AA160</f>
        <v>-30</v>
      </c>
      <c r="R2158" s="537" t="str">
        <f>IF(PDs!I160=0,"",P2158&amp;" ("&amp;PDs!I160&amp;")")</f>
        <v/>
      </c>
      <c r="S2158" s="537">
        <f>LEFT(PDs!AG160,2)+LEFT(PDs!AH160,2)</f>
        <v>0</v>
      </c>
      <c r="T2158" s="537" t="str">
        <f>IF(PDs!AI160,MID(PDs!AH160,4,25)&amp;MID(PDs!AG160,4,25),"")</f>
        <v/>
      </c>
      <c r="U2158" s="1094">
        <f>IF($J$1381,30,0)</f>
        <v>0</v>
      </c>
      <c r="V2158" s="1094" t="str">
        <f>IF($J$1381,P2158&amp;" ("&amp;$K$1381&amp;")","")</f>
        <v/>
      </c>
      <c r="W2158" s="537">
        <f t="shared" si="420"/>
        <v>-30</v>
      </c>
      <c r="X2158" s="537" t="str">
        <f t="shared" si="427"/>
        <v/>
      </c>
      <c r="Y2158" s="537" t="str">
        <f t="shared" si="421"/>
        <v/>
      </c>
      <c r="Z2158" s="1094" t="str">
        <f t="shared" si="422"/>
        <v/>
      </c>
      <c r="AA2158" s="537" t="str">
        <f t="shared" si="423"/>
        <v/>
      </c>
      <c r="AB2158" s="537" t="str">
        <f t="shared" si="428"/>
        <v>Rastrear -30</v>
      </c>
      <c r="AC2158" s="539">
        <f t="shared" si="424"/>
        <v>40</v>
      </c>
      <c r="AD2158" s="536" t="str">
        <f t="shared" si="425"/>
        <v/>
      </c>
      <c r="AE2158" s="8188"/>
      <c r="AF2158" s="1171">
        <f>Principal!O38</f>
        <v>0</v>
      </c>
    </row>
    <row r="2159" spans="1:32" ht="12.75" customHeight="1">
      <c r="A2159" s="219">
        <v>2053</v>
      </c>
      <c r="B2159" s="7145"/>
      <c r="C2159" s="262" t="str">
        <f>IF(Ki!$P$30="-",", "&amp;Ki!$N$30,"")</f>
        <v/>
      </c>
      <c r="D2159" s="21"/>
      <c r="E2159" s="3613"/>
      <c r="G2159" s="307">
        <f>COUNTIF($H$2140:H2159,H2159)</f>
        <v>20</v>
      </c>
      <c r="H2159" s="304" t="str">
        <f>IF(Principal!G39&lt;&gt;"",Principal!G39,"")</f>
        <v/>
      </c>
      <c r="I2159" s="571" t="str">
        <f t="shared" si="418"/>
        <v/>
      </c>
      <c r="K2159" s="3433" t="str">
        <f t="shared" si="419"/>
        <v/>
      </c>
      <c r="L2159" s="21"/>
      <c r="M2159" s="1923"/>
      <c r="N2159" s="3479" t="str">
        <f t="shared" si="426"/>
        <v/>
      </c>
      <c r="O2159" s="762" t="b">
        <f>OR($S$2138,AND(NOT(Animales_final="-"),OR(PDs!T161&gt;4,PDs!W161&gt;0,PDs!X161&gt;0,$G$315&gt;0)))</f>
        <v>0</v>
      </c>
      <c r="P2159" s="536" t="s">
        <v>1295</v>
      </c>
      <c r="Q2159" s="535">
        <f>PDs!AA161</f>
        <v>-30</v>
      </c>
      <c r="R2159" s="534" t="str">
        <f>IF(PDs!I161=0,"",P2159&amp;" ("&amp;PDs!I161&amp;")")</f>
        <v/>
      </c>
      <c r="S2159" s="534">
        <f>LEFT(PDs!AG161,2)+LEFT(PDs!AH161,2)</f>
        <v>0</v>
      </c>
      <c r="T2159" s="534" t="str">
        <f>IF(PDs!AI161,MID(PDs!AH161,4,25)&amp;MID(PDs!AG161,4,25),"")</f>
        <v/>
      </c>
      <c r="U2159" s="1093"/>
      <c r="V2159" s="1093"/>
      <c r="W2159" s="534">
        <f t="shared" si="420"/>
        <v>-30</v>
      </c>
      <c r="X2159" s="534" t="str">
        <f t="shared" si="427"/>
        <v/>
      </c>
      <c r="Y2159" s="534" t="str">
        <f t="shared" si="421"/>
        <v/>
      </c>
      <c r="Z2159" s="1093" t="str">
        <f t="shared" si="422"/>
        <v/>
      </c>
      <c r="AA2159" s="534" t="str">
        <f t="shared" si="423"/>
        <v/>
      </c>
      <c r="AB2159" s="534" t="str">
        <f t="shared" si="428"/>
        <v>Animales -30</v>
      </c>
      <c r="AC2159" s="536">
        <f t="shared" si="424"/>
        <v>4</v>
      </c>
      <c r="AD2159" s="536" t="str">
        <f t="shared" si="425"/>
        <v/>
      </c>
      <c r="AE2159" s="8188"/>
      <c r="AF2159" s="1171">
        <f>Principal!O39</f>
        <v>0</v>
      </c>
    </row>
    <row r="2160" spans="1:32" ht="12.75" customHeight="1">
      <c r="A2160" s="219">
        <v>2054</v>
      </c>
      <c r="B2160" s="7145"/>
      <c r="C2160" s="262" t="str">
        <f>IF(Ki!$P$31="-",", "&amp;Ki!$M$31,"")</f>
        <v/>
      </c>
      <c r="D2160" s="21"/>
      <c r="E2160" s="3613"/>
      <c r="G2160" s="307">
        <f>COUNTIF($H$2140:H2160,H2160)</f>
        <v>21</v>
      </c>
      <c r="H2160" s="304" t="str">
        <f>IF(Principal!G40&lt;&gt;"",Principal!G40,"")</f>
        <v/>
      </c>
      <c r="I2160" s="571" t="str">
        <f t="shared" si="418"/>
        <v/>
      </c>
      <c r="K2160" s="3433" t="str">
        <f t="shared" si="419"/>
        <v/>
      </c>
      <c r="L2160" s="21"/>
      <c r="M2160" s="1923"/>
      <c r="N2160" s="3479" t="str">
        <f t="shared" si="426"/>
        <v/>
      </c>
      <c r="O2160" s="762" t="b">
        <f>AND(NOT(Ciencia_final="-"),OR(PDs!T162&gt;4,PDs!W162&gt;0,PDs!X162&gt;0,$G$315&gt;0))</f>
        <v>0</v>
      </c>
      <c r="P2160" s="536" t="s">
        <v>1296</v>
      </c>
      <c r="Q2160" s="535" t="str">
        <f>PDs!AA162</f>
        <v>-</v>
      </c>
      <c r="R2160" s="534" t="str">
        <f>IF(PDs!I162=0,"",P2160&amp;" ("&amp;PDs!I162&amp;")")</f>
        <v/>
      </c>
      <c r="S2160" s="534">
        <f>LEFT(PDs!AG162,2)+LEFT(PDs!AH162,2)</f>
        <v>0</v>
      </c>
      <c r="T2160" s="534" t="str">
        <f>IF(PDs!AI162,MID(PDs!AH162,4,25)&amp;MID(PDs!AG162,4,25),"")</f>
        <v/>
      </c>
      <c r="U2160" s="1093"/>
      <c r="V2160" s="1093"/>
      <c r="W2160" s="534" t="str">
        <f t="shared" si="420"/>
        <v>-</v>
      </c>
      <c r="X2160" s="534" t="str">
        <f t="shared" si="427"/>
        <v/>
      </c>
      <c r="Y2160" s="534" t="str">
        <f t="shared" si="421"/>
        <v/>
      </c>
      <c r="Z2160" s="1093" t="str">
        <f t="shared" si="422"/>
        <v/>
      </c>
      <c r="AA2160" s="534" t="str">
        <f t="shared" si="423"/>
        <v/>
      </c>
      <c r="AB2160" s="534" t="str">
        <f t="shared" si="428"/>
        <v>Ciencia -</v>
      </c>
      <c r="AC2160" s="536">
        <f t="shared" si="424"/>
        <v>13</v>
      </c>
      <c r="AD2160" s="536" t="str">
        <f t="shared" si="425"/>
        <v/>
      </c>
      <c r="AE2160" s="8188"/>
      <c r="AF2160" s="1171">
        <f>Principal!O40</f>
        <v>0</v>
      </c>
    </row>
    <row r="2161" spans="1:32" ht="12.75" customHeight="1">
      <c r="A2161" s="219">
        <v>2055</v>
      </c>
      <c r="B2161" s="7145"/>
      <c r="C2161" s="262" t="str">
        <f>IF(Ki!$P$32="-",", "&amp;Ki!$K$32,"")</f>
        <v/>
      </c>
      <c r="D2161" s="21"/>
      <c r="E2161" s="3613"/>
      <c r="G2161" s="307">
        <f>COUNTIF($H$2140:H2161,H2161)</f>
        <v>22</v>
      </c>
      <c r="H2161" s="304" t="str">
        <f>IF(Principal!G41&lt;&gt;"",Principal!G41,"")</f>
        <v/>
      </c>
      <c r="I2161" s="571" t="str">
        <f t="shared" si="418"/>
        <v/>
      </c>
      <c r="K2161" s="3433" t="str">
        <f t="shared" si="419"/>
        <v/>
      </c>
      <c r="L2161" s="21"/>
      <c r="M2161" s="1923"/>
      <c r="N2161" s="3479" t="str">
        <f t="shared" si="426"/>
        <v/>
      </c>
      <c r="O2161" s="762" t="b">
        <f>OR($S$2138,AND(NOT(Ley_final="-"),OR(PDs!T163&gt;4,PDs!W163&gt;0,PDs!X163&gt;0,$G$315&gt;0)))</f>
        <v>0</v>
      </c>
      <c r="P2161" s="536" t="s">
        <v>2405</v>
      </c>
      <c r="Q2161" s="535">
        <f>PDs!AA163</f>
        <v>-30</v>
      </c>
      <c r="R2161" s="534" t="str">
        <f>IF(PDs!I163=0,"",P2161&amp;" ("&amp;PDs!I163&amp;")")</f>
        <v/>
      </c>
      <c r="S2161" s="534">
        <f>LEFT(PDs!AG163,2)+LEFT(PDs!AH163,2)</f>
        <v>0</v>
      </c>
      <c r="T2161" s="534" t="str">
        <f>IF(PDs!AI163,MID(PDs!AH163,4,25)&amp;MID(PDs!AG163,4,25),"")</f>
        <v/>
      </c>
      <c r="U2161" s="1093"/>
      <c r="V2161" s="1093"/>
      <c r="W2161" s="534">
        <f t="shared" si="420"/>
        <v>-30</v>
      </c>
      <c r="X2161" s="534" t="str">
        <f t="shared" si="427"/>
        <v/>
      </c>
      <c r="Y2161" s="534" t="str">
        <f t="shared" si="421"/>
        <v/>
      </c>
      <c r="Z2161" s="1093" t="str">
        <f t="shared" si="422"/>
        <v/>
      </c>
      <c r="AA2161" s="534" t="str">
        <f t="shared" si="423"/>
        <v/>
      </c>
      <c r="AB2161" s="534" t="str">
        <f t="shared" si="428"/>
        <v>Ley -30</v>
      </c>
      <c r="AC2161" s="536">
        <f t="shared" si="424"/>
        <v>26</v>
      </c>
      <c r="AD2161" s="536" t="str">
        <f t="shared" si="425"/>
        <v/>
      </c>
      <c r="AE2161" s="8188"/>
      <c r="AF2161" s="1171">
        <f>Principal!O41</f>
        <v>0</v>
      </c>
    </row>
    <row r="2162" spans="1:32" ht="12.75" customHeight="1">
      <c r="A2162" s="219">
        <v>2056</v>
      </c>
      <c r="B2162" s="7145"/>
      <c r="C2162" s="262" t="str">
        <f>IF(Ki!$P$33="-",", "&amp;Ki!$L$33,"")</f>
        <v/>
      </c>
      <c r="D2162" s="21"/>
      <c r="E2162" s="3613"/>
      <c r="G2162" s="307">
        <f>COUNTIF($H$2140:H2162,H2162)</f>
        <v>23</v>
      </c>
      <c r="H2162" s="304" t="str">
        <f>IF(Principal!G42&lt;&gt;"",Principal!G42,"")</f>
        <v/>
      </c>
      <c r="I2162" s="571" t="str">
        <f t="shared" si="418"/>
        <v/>
      </c>
      <c r="K2162" s="3433" t="str">
        <f t="shared" si="419"/>
        <v/>
      </c>
      <c r="L2162" s="21"/>
      <c r="M2162" s="1923"/>
      <c r="N2162" s="3479" t="str">
        <f t="shared" si="426"/>
        <v/>
      </c>
      <c r="O2162" s="762" t="b">
        <f>OR($S$2138,AND(NOT(Herbolaria_final="-"),OR(PDs!T164&gt;4,PDs!W164&gt;0,PDs!X164&gt;0,$G$315&gt;0)))</f>
        <v>0</v>
      </c>
      <c r="P2162" s="536" t="s">
        <v>1297</v>
      </c>
      <c r="Q2162" s="535">
        <f>PDs!AA164</f>
        <v>-30</v>
      </c>
      <c r="R2162" s="534" t="str">
        <f>IF(PDs!I164=0,"",P2162&amp;" ("&amp;PDs!I164&amp;")")</f>
        <v/>
      </c>
      <c r="S2162" s="534">
        <f>LEFT(PDs!AG164,2)+LEFT(PDs!AH164,2)</f>
        <v>0</v>
      </c>
      <c r="T2162" s="534" t="str">
        <f>IF(PDs!AI164,MID(PDs!AH164,4,25)&amp;MID(PDs!AG164,4,25),"")</f>
        <v/>
      </c>
      <c r="U2162" s="1093"/>
      <c r="V2162" s="1093"/>
      <c r="W2162" s="534">
        <f t="shared" si="420"/>
        <v>-30</v>
      </c>
      <c r="X2162" s="534" t="str">
        <f t="shared" si="427"/>
        <v/>
      </c>
      <c r="Y2162" s="534" t="str">
        <f t="shared" si="421"/>
        <v/>
      </c>
      <c r="Z2162" s="1093" t="str">
        <f t="shared" si="422"/>
        <v/>
      </c>
      <c r="AA2162" s="534" t="str">
        <f t="shared" si="423"/>
        <v/>
      </c>
      <c r="AB2162" s="534" t="str">
        <f t="shared" si="428"/>
        <v>Herbolaria -30</v>
      </c>
      <c r="AC2162" s="536">
        <f t="shared" si="424"/>
        <v>22</v>
      </c>
      <c r="AD2162" s="536" t="str">
        <f t="shared" si="425"/>
        <v/>
      </c>
      <c r="AE2162" s="8188"/>
      <c r="AF2162" s="1171">
        <f>Principal!O42</f>
        <v>0</v>
      </c>
    </row>
    <row r="2163" spans="1:32" ht="12.75" customHeight="1">
      <c r="A2163" s="219">
        <v>2057</v>
      </c>
      <c r="B2163" s="7145"/>
      <c r="C2163" s="262" t="str">
        <f>IF(Ki!$P$34="-",", "&amp;Ki!$M$34,"")</f>
        <v/>
      </c>
      <c r="D2163" s="21"/>
      <c r="E2163" s="3613"/>
      <c r="G2163" s="307">
        <f>COUNTIF($H$2140:H2163,H2163)</f>
        <v>24</v>
      </c>
      <c r="H2163" s="304" t="str">
        <f>IF(Principal!G43&lt;&gt;"",Principal!G43,"")</f>
        <v/>
      </c>
      <c r="I2163" s="571" t="str">
        <f t="shared" si="418"/>
        <v/>
      </c>
      <c r="K2163" s="3433" t="str">
        <f t="shared" si="419"/>
        <v/>
      </c>
      <c r="L2163" s="21"/>
      <c r="M2163" s="1923"/>
      <c r="N2163" s="3479" t="str">
        <f t="shared" si="426"/>
        <v/>
      </c>
      <c r="O2163" s="763" t="b">
        <f>AND(NOT(Historia_final="-"),OR(PDs!T165&gt;4,PDs!W165&gt;0,PDs!X165&gt;0,$G$315&gt;0))</f>
        <v>0</v>
      </c>
      <c r="P2163" s="539" t="s">
        <v>1299</v>
      </c>
      <c r="Q2163" s="538" t="str">
        <f>PDs!AA165</f>
        <v>-</v>
      </c>
      <c r="R2163" s="537" t="str">
        <f>IF(PDs!I165=0,"",P2163&amp;" ("&amp;PDs!I165&amp;")")</f>
        <v/>
      </c>
      <c r="S2163" s="537">
        <f>LEFT(PDs!AG165,2)+LEFT(PDs!AH165,2)</f>
        <v>0</v>
      </c>
      <c r="T2163" s="537" t="str">
        <f>IF(PDs!AI165,MID(PDs!AH165,4,25)&amp;MID(PDs!AG165,4,25),"")</f>
        <v/>
      </c>
      <c r="U2163" s="1094"/>
      <c r="V2163" s="1094"/>
      <c r="W2163" s="537" t="str">
        <f>IFERROR(Q2163+AF2163+IF(R2163="",0,-80)+IF(T2163="",0,IF(R2163=T2163,IF(AND(Region="Elcia",S2163=50),-20,-S2163),0)),"-")</f>
        <v>-</v>
      </c>
      <c r="X2163" s="537" t="str">
        <f>IFERROR(IF(AND(NOT(R2163=""),R2163=T2163,$P$2138),W2163+S2163+80+IF(AND(Region="Elcia",S2163=50),-30,0),""),"-")</f>
        <v/>
      </c>
      <c r="Y2163" s="537" t="str">
        <f>IFERROR(IF(AND(X2163="",NOT(T2163=""),$P$2138),W2163+S2163+IF(AND(Region="Elcia",S2163=50),-30,0),""),"")</f>
        <v/>
      </c>
      <c r="Z2163" s="1094" t="str">
        <f t="shared" si="422"/>
        <v/>
      </c>
      <c r="AA2163" s="537" t="str">
        <f t="shared" si="423"/>
        <v/>
      </c>
      <c r="AB2163" s="537" t="str">
        <f t="shared" si="428"/>
        <v>Historia -</v>
      </c>
      <c r="AC2163" s="539">
        <f t="shared" si="424"/>
        <v>23</v>
      </c>
      <c r="AD2163" s="536" t="str">
        <f t="shared" si="425"/>
        <v/>
      </c>
      <c r="AE2163" s="8188"/>
      <c r="AF2163" s="1171">
        <f>Principal!O43</f>
        <v>0</v>
      </c>
    </row>
    <row r="2164" spans="1:32" ht="12.75" customHeight="1">
      <c r="A2164" s="219">
        <v>2058</v>
      </c>
      <c r="B2164" s="7145"/>
      <c r="C2164" s="262" t="str">
        <f>IF(Ki!$P$35="-",", "&amp;Ki!$N$35,"")</f>
        <v/>
      </c>
      <c r="D2164" s="21"/>
      <c r="E2164" s="3613"/>
      <c r="G2164" s="307">
        <f>COUNTIF($H$2140:H2164,H2164)</f>
        <v>25</v>
      </c>
      <c r="H2164" s="304" t="str">
        <f>IF(Principal!G44&lt;&gt;"",Principal!G44,"")</f>
        <v/>
      </c>
      <c r="I2164" s="571" t="str">
        <f t="shared" si="418"/>
        <v/>
      </c>
      <c r="K2164" s="3433" t="str">
        <f t="shared" si="419"/>
        <v/>
      </c>
      <c r="L2164" s="21"/>
      <c r="M2164" s="1923"/>
      <c r="N2164" s="3479" t="str">
        <f t="shared" si="426"/>
        <v/>
      </c>
      <c r="O2164" s="762" t="b">
        <f>OR($S$2138,AND(NOT(Tactica_final="-"),OR(PDs!T166&gt;4,PDs!W166&gt;0,PDs!X166&gt;0,$G$315&gt;0)))</f>
        <v>0</v>
      </c>
      <c r="P2164" s="536" t="s">
        <v>688</v>
      </c>
      <c r="Q2164" s="535">
        <f>PDs!AA166</f>
        <v>-30</v>
      </c>
      <c r="R2164" s="534" t="str">
        <f>IF(PDs!I166=0,"",P2164&amp;" ("&amp;PDs!I166&amp;")")</f>
        <v/>
      </c>
      <c r="S2164" s="534">
        <f>LEFT(PDs!AG166,2)+LEFT(PDs!AH166,2)</f>
        <v>0</v>
      </c>
      <c r="T2164" s="534" t="str">
        <f>IF(PDs!AI166,MID(PDs!AH166,4,25)&amp;MID(PDs!AG166,4,25),"")</f>
        <v/>
      </c>
      <c r="U2164" s="1093"/>
      <c r="V2164" s="1093"/>
      <c r="W2164" s="534">
        <f t="shared" ref="W2164:W2169" si="429">IFERROR(Q2164+AF2164+IF(R2164="",0,-80)+IF(T2164="",0,IF(R2164=T2164,-S2164,0)),"-")</f>
        <v>-30</v>
      </c>
      <c r="X2164" s="534" t="str">
        <f t="shared" ref="X2164:X2169" si="430">IFERROR(IF(AND(NOT(R2164=""),R2164=T2164,$P$2138),W2164+S2164+80,""),"-")</f>
        <v/>
      </c>
      <c r="Y2164" s="534" t="str">
        <f t="shared" ref="Y2164:Y2169" si="431">IFERROR(IF(AND(X2164="",NOT(T2164=""),$P$2138),W2164+S2164,""),"")</f>
        <v/>
      </c>
      <c r="Z2164" s="1093" t="str">
        <f t="shared" si="422"/>
        <v/>
      </c>
      <c r="AA2164" s="534" t="str">
        <f t="shared" si="423"/>
        <v/>
      </c>
      <c r="AB2164" s="534" t="str">
        <f t="shared" si="428"/>
        <v>Tactica -30</v>
      </c>
      <c r="AC2164" s="536">
        <f t="shared" si="424"/>
        <v>52</v>
      </c>
      <c r="AD2164" s="536" t="str">
        <f t="shared" si="425"/>
        <v/>
      </c>
      <c r="AE2164" s="8188"/>
      <c r="AF2164" s="1171">
        <f>Principal!O44</f>
        <v>0</v>
      </c>
    </row>
    <row r="2165" spans="1:32" ht="12.75" customHeight="1">
      <c r="A2165" s="219">
        <v>2059</v>
      </c>
      <c r="B2165" s="7145"/>
      <c r="C2165" s="262" t="str">
        <f>IF(Extensióndelauraalarma,", "&amp;Ki!$L$36,"")</f>
        <v/>
      </c>
      <c r="D2165" s="21"/>
      <c r="E2165" s="3613"/>
      <c r="G2165" s="307">
        <f>COUNTIF($H$2140:H2165,H2165)</f>
        <v>26</v>
      </c>
      <c r="H2165" s="304" t="str">
        <f>IF(Principal!G45&lt;&gt;"",Principal!G45,"")</f>
        <v/>
      </c>
      <c r="I2165" s="571" t="str">
        <f t="shared" si="418"/>
        <v/>
      </c>
      <c r="K2165" s="3433" t="str">
        <f t="shared" si="419"/>
        <v/>
      </c>
      <c r="L2165" s="21"/>
      <c r="M2165" s="1923"/>
      <c r="N2165" s="3479" t="str">
        <f t="shared" si="426"/>
        <v/>
      </c>
      <c r="O2165" s="762" t="b">
        <f>AND(NOT(Medicina_final="-"),OR(PDs!T167&gt;4,PDs!W167&gt;0,PDs!X167&gt;0,$G$315&gt;0))</f>
        <v>0</v>
      </c>
      <c r="P2165" s="536" t="s">
        <v>1302</v>
      </c>
      <c r="Q2165" s="535" t="str">
        <f>PDs!AA167</f>
        <v>-</v>
      </c>
      <c r="R2165" s="534" t="str">
        <f>IF(PDs!I167=0,"",P2165&amp;" ("&amp;PDs!I167&amp;")")</f>
        <v/>
      </c>
      <c r="S2165" s="534">
        <f>LEFT(PDs!AG167,2)+LEFT(PDs!AH167,2)</f>
        <v>0</v>
      </c>
      <c r="T2165" s="534" t="str">
        <f>IF(PDs!AI167,MID(PDs!AH167,4,25)&amp;MID(PDs!AG167,4,25),"")</f>
        <v/>
      </c>
      <c r="U2165" s="1093"/>
      <c r="V2165" s="1093"/>
      <c r="W2165" s="534" t="str">
        <f t="shared" si="429"/>
        <v>-</v>
      </c>
      <c r="X2165" s="534" t="str">
        <f t="shared" si="430"/>
        <v/>
      </c>
      <c r="Y2165" s="534" t="str">
        <f t="shared" si="431"/>
        <v/>
      </c>
      <c r="Z2165" s="1093" t="str">
        <f t="shared" si="422"/>
        <v/>
      </c>
      <c r="AA2165" s="534" t="str">
        <f t="shared" si="423"/>
        <v/>
      </c>
      <c r="AB2165" s="534" t="str">
        <f t="shared" si="428"/>
        <v>Medicina -</v>
      </c>
      <c r="AC2165" s="536">
        <f t="shared" si="424"/>
        <v>28</v>
      </c>
      <c r="AD2165" s="536" t="str">
        <f t="shared" si="425"/>
        <v/>
      </c>
      <c r="AE2165" s="8188"/>
      <c r="AF2165" s="1171">
        <f>Principal!O45</f>
        <v>0</v>
      </c>
    </row>
    <row r="2166" spans="1:32" ht="12.75" customHeight="1">
      <c r="A2166" s="219">
        <v>2060</v>
      </c>
      <c r="B2166" s="7145"/>
      <c r="C2166" s="262" t="str">
        <f>IF(Ki!$P$37="-",", "&amp;Ki!$M$37&amp;IF(COUNTA(Ki!$Y$32:$AJ$32)=0,""," ("&amp;Ki!Y$32&amp;IF(Ki!AA$32="","",", "&amp;Ki!AA$32)&amp;IF(Ki!AC$32="","",", "&amp;Ki!AC$32)&amp;IF(Ki!AE$32="","",", "&amp;Ki!AE$32)&amp;IF(Ki!AG$32="","",", "&amp;Ki!AG$32)&amp;IF(Ki!AI$32="","",", "&amp;Ki!AI$32)&amp;")"),"")</f>
        <v/>
      </c>
      <c r="D2166" s="21"/>
      <c r="E2166" s="3613"/>
      <c r="G2166" s="307">
        <f>COUNTIF($H$2140:H2166,H2166)</f>
        <v>27</v>
      </c>
      <c r="H2166" s="304" t="str">
        <f>IF(Principal!G46&lt;&gt;"",Principal!G46,"")</f>
        <v/>
      </c>
      <c r="I2166" s="571" t="str">
        <f t="shared" si="418"/>
        <v/>
      </c>
      <c r="K2166" s="3433" t="str">
        <f t="shared" si="419"/>
        <v/>
      </c>
      <c r="L2166" s="21"/>
      <c r="M2166" s="1923"/>
      <c r="N2166" s="3479" t="str">
        <f t="shared" si="426"/>
        <v/>
      </c>
      <c r="O2166" s="762" t="b">
        <f>OR($S$2138,AND(NOT(Memorizar_final="-"),OR(PDs!T168&gt;4,PDs!W168&gt;0,PDs!X168&gt;0,$G$315&gt;0)))</f>
        <v>0</v>
      </c>
      <c r="P2166" s="536" t="s">
        <v>1303</v>
      </c>
      <c r="Q2166" s="535">
        <f>PDs!AA168</f>
        <v>-30</v>
      </c>
      <c r="R2166" s="534" t="str">
        <f>IF(PDs!I168=0,"",P2166&amp;" ("&amp;PDs!I168&amp;")")</f>
        <v/>
      </c>
      <c r="S2166" s="534">
        <f>LEFT(PDs!AG168,2)+LEFT(PDs!AH168,2)</f>
        <v>0</v>
      </c>
      <c r="T2166" s="534" t="str">
        <f>IF(PDs!AI168,MID(PDs!AH168,4,25)&amp;MID(PDs!AG168,4,25),"")</f>
        <v/>
      </c>
      <c r="U2166" s="1093"/>
      <c r="V2166" s="1093"/>
      <c r="W2166" s="534">
        <f t="shared" si="429"/>
        <v>-30</v>
      </c>
      <c r="X2166" s="534" t="str">
        <f t="shared" si="430"/>
        <v/>
      </c>
      <c r="Y2166" s="534" t="str">
        <f t="shared" si="431"/>
        <v/>
      </c>
      <c r="Z2166" s="1093" t="str">
        <f t="shared" si="422"/>
        <v/>
      </c>
      <c r="AA2166" s="534" t="str">
        <f t="shared" si="423"/>
        <v/>
      </c>
      <c r="AB2166" s="534" t="str">
        <f t="shared" si="428"/>
        <v>Memorizar -30</v>
      </c>
      <c r="AC2166" s="536">
        <f t="shared" si="424"/>
        <v>29</v>
      </c>
      <c r="AD2166" s="536" t="str">
        <f t="shared" si="425"/>
        <v/>
      </c>
      <c r="AE2166" s="8188"/>
      <c r="AF2166" s="1171">
        <f>Principal!O46</f>
        <v>0</v>
      </c>
    </row>
    <row r="2167" spans="1:32" ht="12.75" customHeight="1">
      <c r="A2167" s="219">
        <v>2061</v>
      </c>
      <c r="B2167" s="7145"/>
      <c r="C2167" s="262" t="str">
        <f>IF(Ki!$P$38="-",", "&amp;Ki!$M$38,"")</f>
        <v/>
      </c>
      <c r="D2167" s="21"/>
      <c r="E2167" s="3613"/>
      <c r="G2167" s="307">
        <f>COUNTIF($H$2140:H2167,H2167)</f>
        <v>28</v>
      </c>
      <c r="H2167" s="304" t="str">
        <f>IF(Principal!G47&lt;&gt;"",Principal!G47,"")</f>
        <v/>
      </c>
      <c r="I2167" s="571" t="str">
        <f t="shared" si="418"/>
        <v/>
      </c>
      <c r="K2167" s="3433" t="str">
        <f t="shared" si="419"/>
        <v/>
      </c>
      <c r="L2167" s="21"/>
      <c r="M2167" s="1923"/>
      <c r="N2167" s="3479" t="str">
        <f t="shared" si="426"/>
        <v/>
      </c>
      <c r="O2167" s="762" t="b">
        <f>OR($S$2138,AND(NOT(Navegación_final="-"),OR(PDs!T169&gt;4,PDs!W169&gt;0,PDs!X169&gt;0,$G$315&gt;0)))</f>
        <v>0</v>
      </c>
      <c r="P2167" s="536" t="s">
        <v>1304</v>
      </c>
      <c r="Q2167" s="535">
        <f>PDs!AA169</f>
        <v>-30</v>
      </c>
      <c r="R2167" s="534" t="str">
        <f>IF(PDs!I169=0,"",P2167&amp;" ("&amp;PDs!I169&amp;")")</f>
        <v/>
      </c>
      <c r="S2167" s="534">
        <f>LEFT(PDs!AG169,2)+LEFT(PDs!AH169,2)</f>
        <v>0</v>
      </c>
      <c r="T2167" s="534" t="str">
        <f>IF(PDs!AI169,MID(PDs!AH169,4,25)&amp;MID(PDs!AG169,4,25),"")</f>
        <v/>
      </c>
      <c r="U2167" s="1093"/>
      <c r="V2167" s="1093"/>
      <c r="W2167" s="534">
        <f t="shared" si="429"/>
        <v>-30</v>
      </c>
      <c r="X2167" s="534" t="str">
        <f t="shared" si="430"/>
        <v/>
      </c>
      <c r="Y2167" s="534" t="str">
        <f t="shared" si="431"/>
        <v/>
      </c>
      <c r="Z2167" s="1093" t="str">
        <f t="shared" si="422"/>
        <v/>
      </c>
      <c r="AA2167" s="534" t="str">
        <f t="shared" si="423"/>
        <v/>
      </c>
      <c r="AB2167" s="534" t="str">
        <f t="shared" si="428"/>
        <v>Navegación -30</v>
      </c>
      <c r="AC2167" s="536">
        <f t="shared" si="424"/>
        <v>33</v>
      </c>
      <c r="AD2167" s="536" t="str">
        <f t="shared" si="425"/>
        <v/>
      </c>
      <c r="AE2167" s="8188"/>
      <c r="AF2167" s="1171">
        <f>Principal!O47</f>
        <v>0</v>
      </c>
    </row>
    <row r="2168" spans="1:32" ht="12.75" customHeight="1">
      <c r="A2168" s="219">
        <v>2062</v>
      </c>
      <c r="B2168" s="7145"/>
      <c r="C2168" s="262" t="str">
        <f>IF(Ki!$P$39="-",", "&amp;Ki!$M$39,"")</f>
        <v/>
      </c>
      <c r="D2168" s="21"/>
      <c r="E2168" s="3613"/>
      <c r="G2168" s="307">
        <f>COUNTIF($H$2140:H2168,H2168)</f>
        <v>29</v>
      </c>
      <c r="H2168" s="304" t="str">
        <f>IF(Principal!C51&lt;&gt;"",Principal!C51,"")</f>
        <v/>
      </c>
      <c r="I2168" s="571" t="str">
        <f t="shared" si="418"/>
        <v/>
      </c>
      <c r="K2168" s="3433" t="str">
        <f t="shared" si="419"/>
        <v/>
      </c>
      <c r="L2168" s="21"/>
      <c r="M2168" s="1923"/>
      <c r="N2168" s="3479" t="str">
        <f t="shared" si="426"/>
        <v/>
      </c>
      <c r="O2168" s="762" t="b">
        <f>OR($S$2138,AND(NOT(Ocultismo_final="-"),OR(PDs!T170&gt;4,PDs!W170&gt;0,PDs!X170&gt;0,$G$315&gt;0)))</f>
        <v>0</v>
      </c>
      <c r="P2168" s="536" t="s">
        <v>1305</v>
      </c>
      <c r="Q2168" s="535">
        <f>PDs!AA170</f>
        <v>-30</v>
      </c>
      <c r="R2168" s="534" t="str">
        <f>IF(PDs!I170=0,"",P2168&amp;" ("&amp;PDs!I170&amp;")")</f>
        <v/>
      </c>
      <c r="S2168" s="534">
        <f>LEFT(PDs!AG170,2)+LEFT(PDs!AH170,2)</f>
        <v>0</v>
      </c>
      <c r="T2168" s="534" t="str">
        <f>IF(PDs!AI170,MID(PDs!AH170,4,25)&amp;MID(PDs!AG170,4,25),"")</f>
        <v/>
      </c>
      <c r="U2168" s="1093"/>
      <c r="V2168" s="1093"/>
      <c r="W2168" s="534">
        <f t="shared" si="429"/>
        <v>-30</v>
      </c>
      <c r="X2168" s="534" t="str">
        <f t="shared" si="430"/>
        <v/>
      </c>
      <c r="Y2168" s="534" t="str">
        <f t="shared" si="431"/>
        <v/>
      </c>
      <c r="Z2168" s="1093" t="str">
        <f t="shared" si="422"/>
        <v/>
      </c>
      <c r="AA2168" s="534" t="str">
        <f t="shared" si="423"/>
        <v/>
      </c>
      <c r="AB2168" s="534" t="str">
        <f t="shared" si="428"/>
        <v>Ocultismo -30</v>
      </c>
      <c r="AC2168" s="536">
        <f t="shared" si="424"/>
        <v>35</v>
      </c>
      <c r="AD2168" s="536" t="str">
        <f t="shared" si="425"/>
        <v/>
      </c>
      <c r="AE2168" s="8188"/>
      <c r="AF2168" s="1171">
        <f>Principal!O48</f>
        <v>0</v>
      </c>
    </row>
    <row r="2169" spans="1:32" ht="12.75" customHeight="1">
      <c r="A2169" s="219">
        <v>2063</v>
      </c>
      <c r="B2169" s="7145"/>
      <c r="C2169" s="262" t="str">
        <f>IF(Ki!$P$40="-",", "&amp;Ki!$M$40,"")</f>
        <v/>
      </c>
      <c r="D2169" s="21"/>
      <c r="E2169" s="3613"/>
      <c r="G2169" s="307">
        <f>COUNTIF($H$2140:H2169,H2169)</f>
        <v>30</v>
      </c>
      <c r="H2169" s="304" t="str">
        <f>IF(Principal!C52&lt;&gt;"",Principal!C52,"")</f>
        <v/>
      </c>
      <c r="I2169" s="571" t="str">
        <f t="shared" si="418"/>
        <v/>
      </c>
      <c r="K2169" s="3433" t="str">
        <f t="shared" si="419"/>
        <v/>
      </c>
      <c r="L2169" s="21"/>
      <c r="M2169" s="1923"/>
      <c r="N2169" s="3479" t="str">
        <f t="shared" si="426"/>
        <v/>
      </c>
      <c r="O2169" s="762" t="b">
        <f>AND(NOT(Tasación_final="-"),OR(PDs!T171&gt;4,PDs!W171&gt;0,PDs!X171&gt;0,$G$315&gt;0))</f>
        <v>0</v>
      </c>
      <c r="P2169" s="536" t="s">
        <v>1306</v>
      </c>
      <c r="Q2169" s="535" t="str">
        <f>PDs!AA171</f>
        <v>-</v>
      </c>
      <c r="R2169" s="534" t="str">
        <f>IF(PDs!I171=0,"",P2169&amp;" ("&amp;PDs!I171&amp;")")</f>
        <v/>
      </c>
      <c r="S2169" s="534">
        <f>LEFT(PDs!AG171,2)+LEFT(PDs!AH171,2)</f>
        <v>0</v>
      </c>
      <c r="T2169" s="534" t="str">
        <f>IF(PDs!AI171,MID(PDs!AH171,4,25)&amp;MID(PDs!AG171,4,25),"")</f>
        <v/>
      </c>
      <c r="U2169" s="1093"/>
      <c r="V2169" s="1093"/>
      <c r="W2169" s="534" t="str">
        <f t="shared" si="429"/>
        <v>-</v>
      </c>
      <c r="X2169" s="534" t="str">
        <f t="shared" si="430"/>
        <v/>
      </c>
      <c r="Y2169" s="534" t="str">
        <f t="shared" si="431"/>
        <v/>
      </c>
      <c r="Z2169" s="1093" t="str">
        <f t="shared" si="422"/>
        <v/>
      </c>
      <c r="AA2169" s="534" t="str">
        <f t="shared" si="423"/>
        <v/>
      </c>
      <c r="AB2169" s="534" t="str">
        <f t="shared" si="428"/>
        <v>Tasación -</v>
      </c>
      <c r="AC2169" s="536">
        <f t="shared" si="424"/>
        <v>53</v>
      </c>
      <c r="AD2169" s="536" t="str">
        <f t="shared" si="425"/>
        <v/>
      </c>
      <c r="AE2169" s="8188"/>
      <c r="AF2169" s="1171">
        <f>Principal!O49</f>
        <v>0</v>
      </c>
    </row>
    <row r="2170" spans="1:32" ht="12.75" customHeight="1" thickBot="1">
      <c r="A2170" s="219">
        <v>2064</v>
      </c>
      <c r="B2170" s="7145"/>
      <c r="C2170" s="262" t="str">
        <f>IF(Ki!$P$41="-",", "&amp;Ki!$L$41,"")</f>
        <v/>
      </c>
      <c r="D2170" s="21"/>
      <c r="E2170" s="3613"/>
      <c r="G2170" s="610">
        <f>COUNTIF($H$2140:H2170,H2170)</f>
        <v>31</v>
      </c>
      <c r="H2170" s="309" t="str">
        <f>IF(Principal!C53&lt;&gt;"",Principal!C53,"")</f>
        <v/>
      </c>
      <c r="I2170" s="572" t="str">
        <f t="shared" si="418"/>
        <v/>
      </c>
      <c r="K2170" s="3433" t="str">
        <f t="shared" si="419"/>
        <v/>
      </c>
      <c r="L2170" s="21"/>
      <c r="M2170" s="1923"/>
      <c r="N2170" s="3479" t="str">
        <f t="shared" si="426"/>
        <v/>
      </c>
      <c r="O2170" s="762" t="b">
        <f>AND(NOT(V.Mágica_final="-"),OR(PDs!T172&gt;4,PDs!W172&gt;0,PDs!X172&gt;0,$G$315&gt;0))</f>
        <v>0</v>
      </c>
      <c r="P2170" s="536" t="s">
        <v>1307</v>
      </c>
      <c r="Q2170" s="535" t="str">
        <f>PDs!AA172</f>
        <v>-</v>
      </c>
      <c r="R2170" s="534" t="str">
        <f>IF(PDs!I172=0,"",P2170&amp;" ("&amp;PDs!I172&amp;")")</f>
        <v/>
      </c>
      <c r="S2170" s="534">
        <f>LEFT(PDs!AG172,2)+LEFT(PDs!AH172,2)</f>
        <v>0</v>
      </c>
      <c r="T2170" s="534" t="str">
        <f>IF(PDs!AI172,MID(PDs!AH172,4,25)&amp;MID(PDs!AG172,4,25),"")</f>
        <v/>
      </c>
      <c r="U2170" s="1093"/>
      <c r="V2170" s="1093"/>
      <c r="W2170" s="534" t="str">
        <f>IFERROR(Q2170+AF2171+IF(R2170="",0,-80)+IF(T2170="",0,IF(R2170=T2170,-S2170,0)),"-")</f>
        <v>-</v>
      </c>
      <c r="X2170" s="534" t="str">
        <f t="shared" ref="X2170:X2190" si="432">IFERROR(IF(AND(NOT(R2170=""),R2170=T2170,$P$2138),W2170+S2170+80,""),"-")</f>
        <v/>
      </c>
      <c r="Y2170" s="534" t="str">
        <f t="shared" ref="Y2170:Y2198" si="433">IFERROR(IF(AND(X2170="",NOT(T2170=""),$P$2138),W2170+S2170,""),"")</f>
        <v/>
      </c>
      <c r="Z2170" s="1093" t="str">
        <f t="shared" ref="Z2170:Z2198" si="434">IFERROR(IF(AND(X2170="",NOT(V2170="")),W2170+U2170,""),"")</f>
        <v/>
      </c>
      <c r="AA2170" s="534" t="str">
        <f t="shared" ref="AA2170:AA2190" si="435">IFERROR(IF(AND(X2170="",NOT(R2170="")),W2170+80,""),"-")</f>
        <v/>
      </c>
      <c r="AB2170" s="534" t="str">
        <f>P2170&amp;" "&amp;W2170&amp;IF(AF2171&lt;0," ("&amp;W2170-AF2171&amp;")","")&amp;IF(X2170="","",", "&amp;T2170&amp;" "&amp;X2170&amp;IF(AF2171&lt;0," ("&amp;X2170-AF2171&amp;")",""))&amp;IF(Y2170="","",", "&amp;T2170&amp;" "&amp;Y2170&amp;IF(AF2171&lt;0," ("&amp;Y2170-AF2171&amp;")",""))&amp;IF(Z2170="","",", "&amp;V2170&amp;" "&amp;Z2170&amp;IF(AF2171&lt;0," ("&amp;Z2170-AF2171&amp;")",""))&amp;IF(AA2170="","",", "&amp;R2170&amp;" "&amp;AA2170&amp;IF(AF2171&lt;0," ("&amp;AA2170-AF2171&amp;")",""))</f>
        <v>V. Mágica -</v>
      </c>
      <c r="AC2170" s="536">
        <f t="shared" si="424"/>
        <v>56</v>
      </c>
      <c r="AD2170" s="536" t="str">
        <f t="shared" si="425"/>
        <v/>
      </c>
      <c r="AE2170" s="8188"/>
      <c r="AF2170" s="1171">
        <f>Principal!O50</f>
        <v>0</v>
      </c>
    </row>
    <row r="2171" spans="1:32" ht="12.75" customHeight="1" thickBot="1">
      <c r="A2171" s="219">
        <v>2065</v>
      </c>
      <c r="B2171" s="7145"/>
      <c r="C2171" s="262" t="str">
        <f>IF(Ki!$P$42="-",", "&amp;Ki!$L$42,"")</f>
        <v/>
      </c>
      <c r="D2171" s="21"/>
      <c r="E2171" s="3613"/>
      <c r="H2171"/>
      <c r="K2171" s="3433" t="str">
        <f t="shared" si="419"/>
        <v/>
      </c>
      <c r="L2171" s="21"/>
      <c r="M2171" s="1923"/>
      <c r="N2171" s="3479" t="str">
        <f t="shared" si="426"/>
        <v/>
      </c>
      <c r="O2171" s="762" t="b">
        <f>AND(NOT(InvestigacionPsi_Final="-"),OR(PDs!T173&gt;4,PDs!T172&gt;0,PDs!T173&gt;0,$G$318&gt;0))</f>
        <v>0</v>
      </c>
      <c r="P2171" s="536" t="s">
        <v>10029</v>
      </c>
      <c r="Q2171" s="1093" t="str">
        <f>PDs!AA173</f>
        <v>-</v>
      </c>
      <c r="R2171" s="1093" t="str">
        <f>IF(PDs!I173=0,"",P2171&amp;" ("&amp;PDs!I173&amp;")")</f>
        <v/>
      </c>
      <c r="S2171" s="3606">
        <f>LEFT(PDs!AG173,2)+LEFT(PDs!AH173,2)</f>
        <v>0</v>
      </c>
      <c r="T2171" s="1093" t="str">
        <f>IF(PDs!AI173,MID(PDs!AH173,4,25)&amp;MID(PDs!AG173,4,25),"")</f>
        <v/>
      </c>
      <c r="U2171" s="1093"/>
      <c r="V2171" s="1093"/>
      <c r="W2171" s="534" t="str">
        <f>IFERROR(Q2171+AF2172+IF(R2171="",0,-80)+IF(T2171="",0,IF(R2171=T2171,-S2171,0)),"-")</f>
        <v>-</v>
      </c>
      <c r="X2171" s="534" t="str">
        <f t="shared" si="432"/>
        <v/>
      </c>
      <c r="Y2171" s="534" t="str">
        <f t="shared" si="433"/>
        <v/>
      </c>
      <c r="Z2171" s="1093" t="str">
        <f t="shared" si="434"/>
        <v/>
      </c>
      <c r="AA2171" s="534" t="str">
        <f t="shared" si="435"/>
        <v/>
      </c>
      <c r="AB2171" s="534" t="str">
        <f>P2171&amp;" "&amp;W2171&amp;IF(AF2172&lt;0," ("&amp;W2171-AF2172&amp;")","")&amp;IF(X2171="","",", "&amp;T2171&amp;" "&amp;X2171&amp;IF(AF2172&lt;0," ("&amp;X2171-AF2172&amp;")",""))&amp;IF(Y2171="","",", "&amp;T2171&amp;" "&amp;Y2171&amp;IF(AF2172&lt;0," ("&amp;Y2171-AF2172&amp;")",""))&amp;IF(Z2171="","",", "&amp;V2171&amp;" "&amp;Z2171&amp;IF(AF2172&lt;0," ("&amp;Z2171-AF2172&amp;")",""))&amp;IF(AA2171="","",", "&amp;R2171&amp;" "&amp;AA2171&amp;IF(AF2172&lt;0," ("&amp;AA2171-AF2172&amp;")",""))</f>
        <v>Investigación Psi -</v>
      </c>
      <c r="AC2171" s="536">
        <f t="shared" si="424"/>
        <v>25</v>
      </c>
      <c r="AD2171" s="536" t="str">
        <f t="shared" si="425"/>
        <v/>
      </c>
      <c r="AE2171" s="8188"/>
      <c r="AF2171" s="1171">
        <f>Principal!O51</f>
        <v>0</v>
      </c>
    </row>
    <row r="2172" spans="1:32" ht="12.75" customHeight="1" thickBot="1">
      <c r="A2172" s="219">
        <v>2066</v>
      </c>
      <c r="B2172" s="7145"/>
      <c r="C2172" s="262" t="str">
        <f>IF(Ki!$P$43="-",", "&amp;Ki!$L$43,"")</f>
        <v/>
      </c>
      <c r="D2172" s="21"/>
      <c r="E2172" s="3613"/>
      <c r="G2172" s="7877" t="s">
        <v>9212</v>
      </c>
      <c r="H2172" s="7878"/>
      <c r="I2172" s="7879"/>
      <c r="K2172" s="3433" t="str">
        <f t="shared" si="419"/>
        <v/>
      </c>
      <c r="L2172" s="21"/>
      <c r="M2172" s="1923"/>
      <c r="N2172" s="3479" t="str">
        <f t="shared" si="426"/>
        <v/>
      </c>
      <c r="O2172" s="762" t="b">
        <f>OR($S$2138,AND(NOT(Frialdad_final="-"),OR(PDs!T174&gt;4,PDs!W174&gt;0,PDs!X174&gt;0,$G$315&gt;0)))</f>
        <v>0</v>
      </c>
      <c r="P2172" s="536" t="s">
        <v>1309</v>
      </c>
      <c r="Q2172" s="535">
        <f>PDs!AA174</f>
        <v>-30</v>
      </c>
      <c r="R2172" s="534" t="str">
        <f>IF(PDs!I174=0,"",P2172&amp;" ("&amp;PDs!I174&amp;")")</f>
        <v/>
      </c>
      <c r="S2172" s="534">
        <f>LEFT(PDs!AG174,2)+LEFT(PDs!AH174,2)</f>
        <v>0</v>
      </c>
      <c r="T2172" s="534" t="str">
        <f>IF(PDs!AI174,MID(PDs!AH174,4,25)&amp;MID(PDs!AG174,4,25),"")</f>
        <v/>
      </c>
      <c r="U2172" s="1093"/>
      <c r="V2172" s="1093"/>
      <c r="W2172" s="534">
        <f t="shared" ref="W2172:W2190" si="436">IFERROR(Q2172+AF2172+IF(R2172="",0,-80)+IF(T2172="",0,IF(R2172=T2172,-S2172,0)),"-")</f>
        <v>-30</v>
      </c>
      <c r="X2172" s="534" t="str">
        <f t="shared" si="432"/>
        <v/>
      </c>
      <c r="Y2172" s="534" t="str">
        <f t="shared" si="433"/>
        <v/>
      </c>
      <c r="Z2172" s="1093" t="str">
        <f t="shared" si="434"/>
        <v/>
      </c>
      <c r="AA2172" s="534" t="str">
        <f t="shared" si="435"/>
        <v/>
      </c>
      <c r="AB2172" s="534" t="str">
        <f t="shared" ref="AB2172:AB2198" si="437">P2172&amp;" "&amp;W2172&amp;IF(AF2172&lt;0," ("&amp;W2172-AF2172&amp;")","")&amp;IF(X2172="","",", "&amp;T2172&amp;" "&amp;X2172&amp;IF(AF2172&lt;0," ("&amp;X2172-AF2172&amp;")",""))&amp;IF(Y2172="","",", "&amp;T2172&amp;" "&amp;Y2172&amp;IF(AF2172&lt;0," ("&amp;Y2172-AF2172&amp;")",""))&amp;IF(Z2172="","",", "&amp;V2172&amp;" "&amp;Z2172&amp;IF(AF2172&lt;0," ("&amp;Z2172-AF2172&amp;")",""))&amp;IF(AA2172="","",", "&amp;R2172&amp;" "&amp;AA2172&amp;IF(AF2172&lt;0," ("&amp;AA2172-AF2172&amp;")",""))</f>
        <v>Frialdad -30</v>
      </c>
      <c r="AC2172" s="536">
        <f t="shared" si="424"/>
        <v>21</v>
      </c>
      <c r="AD2172" s="536" t="str">
        <f t="shared" ref="AD2172:AD2198" si="438">IF(INDEX($O$2142:$O$2198,MATCH($A30,$AC$2142:$AC$2198,0)),INDEX($AB$2142:$AB$2198,MATCH($A30,$AC$2142:$AC$2198,0)),"")</f>
        <v/>
      </c>
      <c r="AE2172" s="8188"/>
      <c r="AF2172" s="1171">
        <f>Principal!O52</f>
        <v>0</v>
      </c>
    </row>
    <row r="2173" spans="1:32" ht="12.75" customHeight="1" thickBot="1">
      <c r="A2173" s="219">
        <v>2067</v>
      </c>
      <c r="B2173" s="7145"/>
      <c r="C2173" s="262" t="str">
        <f>IF(Ki!$P$44="-",", "&amp;Ki!$M$44,"")</f>
        <v/>
      </c>
      <c r="D2173" s="21"/>
      <c r="E2173" s="3613"/>
      <c r="G2173" s="610" t="str">
        <f>IF(Tablas!I2140&lt;&gt;"",", "&amp;Tablas!I2140,"")&amp;IF(Tablas!I2141&lt;&gt;"",", "&amp;Tablas!I2141,"")&amp;IF(Tablas!I2142&lt;&gt;"",", "&amp;Tablas!I2142,"")&amp;IF(Tablas!I2143&lt;&gt;"",", "&amp;Tablas!I2143,"")&amp;IF(Tablas!I2144&lt;&gt;"",", "&amp;Tablas!I2144,"")&amp;IF(Tablas!I2145&lt;&gt;"",", "&amp;Tablas!I2145,"")&amp;IF(Tablas!I2146&lt;&gt;"",", "&amp;Tablas!I2146,"")&amp;IF(Tablas!I2147&lt;&gt;"",", "&amp;Tablas!I2147,"")&amp;IF(Tablas!I2148&lt;&gt;"",", "&amp;Tablas!I2148,"")&amp;IF(Tablas!I2149&lt;&gt;"",", "&amp;Tablas!I2149,"")&amp;IF(Tablas!I2150&lt;&gt;"",", "&amp;Tablas!I2150,"")&amp;IF(Tablas!I2151&lt;&gt;"",", "&amp;Tablas!I2151,"")&amp;IF(Tablas!I2152&lt;&gt;"",", "&amp;Tablas!I2152,"")&amp;IF(Tablas!I2153&lt;&gt;"",", "&amp;Tablas!I2153,"")&amp;IF(Tablas!I2154&lt;&gt;"",", "&amp;Tablas!I2154,"")&amp;IF(Tablas!I2155&lt;&gt;"",", "&amp;Tablas!I2155,"")&amp;IF(Tablas!I2156&lt;&gt;"",", "&amp;Tablas!I2156,"")&amp;IF(Tablas!I2157&lt;&gt;"",", "&amp;Tablas!I2157,"")&amp;IF(Tablas!I2158&lt;&gt;"",", "&amp;Tablas!I2158,"")&amp;IF(Tablas!I2159&lt;&gt;"",", "&amp;Tablas!I2159,"")&amp;IF(Tablas!I2160&lt;&gt;"",", "&amp;Tablas!I2160,"")&amp;IF(Tablas!I2161&lt;&gt;"",", "&amp;Tablas!I2161,"")&amp;IF(Tablas!I2162&lt;&gt;"",", "&amp;Tablas!I2162,"")&amp;IF(Tablas!I2163&lt;&gt;"",", "&amp;Tablas!I2163,"")&amp;IF(Tablas!I2164&lt;&gt;"",", "&amp;Tablas!I2164,"")&amp;IF(Tablas!I2165&lt;&gt;"",", "&amp;Tablas!I2165,"")&amp;IF(Tablas!I2166&lt;&gt;"",", "&amp;Tablas!I2166,"")&amp;IF(Tablas!I2167&lt;&gt;"",", "&amp;Tablas!I2167,"")&amp;IF(Tablas!I2168&lt;&gt;"",", "&amp;Tablas!I2168,"")&amp;IF(Tablas!I2169&lt;&gt;"",", "&amp;Tablas!I2169,"")&amp;IF(Tablas!I2170&lt;&gt;"",", "&amp;Tablas!I2170,"")</f>
        <v/>
      </c>
      <c r="H2173" s="1122"/>
      <c r="I2173" s="572"/>
      <c r="K2173" s="3433" t="str">
        <f t="shared" si="419"/>
        <v/>
      </c>
      <c r="L2173" s="21"/>
      <c r="M2173" s="1923"/>
      <c r="N2173" s="3479" t="str">
        <f t="shared" si="426"/>
        <v/>
      </c>
      <c r="O2173" s="762" t="b">
        <f>OR($S$2138,AND(NOT(P.Fuerza_final="-"),OR(PDs!T175&gt;4,PDs!W175&gt;0,PDs!X175&gt;0,$G$315&gt;0)))</f>
        <v>0</v>
      </c>
      <c r="P2173" s="536" t="s">
        <v>1310</v>
      </c>
      <c r="Q2173" s="535">
        <f>PDs!AA175</f>
        <v>-30</v>
      </c>
      <c r="R2173" s="534" t="str">
        <f>IF(PDs!I175=0,"",P2173&amp;" ("&amp;PDs!I175&amp;")")</f>
        <v/>
      </c>
      <c r="S2173" s="534">
        <f>LEFT(PDs!AG175,2)+LEFT(PDs!AH175,2)</f>
        <v>0</v>
      </c>
      <c r="T2173" s="534" t="str">
        <f>IF(PDs!AI175,MID(PDs!AH175,4,25)&amp;MID(PDs!AG175,4,25),"")</f>
        <v/>
      </c>
      <c r="U2173" s="1093"/>
      <c r="V2173" s="1093"/>
      <c r="W2173" s="534">
        <f t="shared" si="436"/>
        <v>-30</v>
      </c>
      <c r="X2173" s="534" t="str">
        <f t="shared" si="432"/>
        <v/>
      </c>
      <c r="Y2173" s="534" t="str">
        <f t="shared" si="433"/>
        <v/>
      </c>
      <c r="Z2173" s="1093" t="str">
        <f t="shared" si="434"/>
        <v/>
      </c>
      <c r="AA2173" s="534" t="str">
        <f t="shared" si="435"/>
        <v/>
      </c>
      <c r="AB2173" s="534" t="str">
        <f t="shared" si="437"/>
        <v>P. Fuerza -30</v>
      </c>
      <c r="AC2173" s="536">
        <f t="shared" si="424"/>
        <v>37</v>
      </c>
      <c r="AD2173" s="536" t="str">
        <f t="shared" si="438"/>
        <v/>
      </c>
      <c r="AE2173" s="8188"/>
      <c r="AF2173" s="1171">
        <f>Principal!O53</f>
        <v>0</v>
      </c>
    </row>
    <row r="2174" spans="1:32" ht="12.75" customHeight="1" thickBot="1">
      <c r="A2174" s="219">
        <v>2068</v>
      </c>
      <c r="B2174" s="7145"/>
      <c r="C2174" s="262" t="str">
        <f>IF(Ki!$P$45="-",", "&amp;Ki!$K$45,"")</f>
        <v/>
      </c>
      <c r="D2174" s="21"/>
      <c r="E2174" s="3613"/>
      <c r="K2174" s="3433" t="str">
        <f t="shared" si="419"/>
        <v/>
      </c>
      <c r="L2174" s="21"/>
      <c r="M2174" s="1923"/>
      <c r="N2174" s="3479" t="str">
        <f t="shared" si="426"/>
        <v/>
      </c>
      <c r="O2174" s="762" t="b">
        <f>OR($S$2138,AND(NOT(Res.Dolor_final="-"),OR(PDs!T176&gt;4,PDs!W176&gt;0,PDs!X176&gt;0,$G$315&gt;0)))</f>
        <v>0</v>
      </c>
      <c r="P2174" s="536" t="s">
        <v>1313</v>
      </c>
      <c r="Q2174" s="535">
        <f>PDs!AA176</f>
        <v>-30</v>
      </c>
      <c r="R2174" s="534" t="str">
        <f>IF(PDs!I176=0,"",P2174&amp;" ("&amp;PDs!I176&amp;")")</f>
        <v/>
      </c>
      <c r="S2174" s="534">
        <f>LEFT(PDs!AG176,2)+LEFT(PDs!AH176,2)</f>
        <v>0</v>
      </c>
      <c r="T2174" s="534" t="str">
        <f>IF(PDs!AI176,MID(PDs!AH176,4,25)&amp;MID(PDs!AG176,4,25),"")</f>
        <v/>
      </c>
      <c r="U2174" s="1093"/>
      <c r="V2174" s="1093"/>
      <c r="W2174" s="534">
        <f t="shared" si="436"/>
        <v>-30</v>
      </c>
      <c r="X2174" s="534" t="str">
        <f t="shared" si="432"/>
        <v/>
      </c>
      <c r="Y2174" s="534" t="str">
        <f t="shared" si="433"/>
        <v/>
      </c>
      <c r="Z2174" s="1093" t="str">
        <f t="shared" si="434"/>
        <v/>
      </c>
      <c r="AA2174" s="534" t="str">
        <f t="shared" si="435"/>
        <v/>
      </c>
      <c r="AB2174" s="534" t="str">
        <f t="shared" si="437"/>
        <v>Res. Dolor -30</v>
      </c>
      <c r="AC2174" s="536">
        <f t="shared" ref="AC2174:AC2198" si="439">COUNTIF($P$2142:$P$2198,"&lt;="&amp;P2174)</f>
        <v>41</v>
      </c>
      <c r="AD2174" s="536" t="str">
        <f t="shared" si="438"/>
        <v/>
      </c>
      <c r="AE2174" s="8188"/>
      <c r="AF2174" s="1171">
        <f>Principal!O54</f>
        <v>0</v>
      </c>
    </row>
    <row r="2175" spans="1:32" ht="12.75" customHeight="1" thickBot="1">
      <c r="A2175" s="219">
        <v>2069</v>
      </c>
      <c r="B2175" s="7145"/>
      <c r="C2175" s="262" t="str">
        <f>IF(Ki!$P$46="-",", "&amp;Ki!$L$46,"")</f>
        <v/>
      </c>
      <c r="D2175" s="21"/>
      <c r="E2175" s="3613"/>
      <c r="G2175" s="4338" t="s">
        <v>8288</v>
      </c>
      <c r="H2175" s="4339"/>
      <c r="K2175" s="3433" t="str">
        <f t="shared" si="419"/>
        <v/>
      </c>
      <c r="L2175" s="21"/>
      <c r="M2175" s="1923"/>
      <c r="N2175" s="3479" t="str">
        <f t="shared" si="426"/>
        <v/>
      </c>
      <c r="O2175" s="762" t="b">
        <f>OR($S$2138,AND(NOT(Cerrajería_final="-"),OR(PDs!T177&gt;4,PDs!W177&gt;0,PDs!X177&gt;0,$G$315&gt;0)))</f>
        <v>0</v>
      </c>
      <c r="P2175" s="536" t="s">
        <v>1317</v>
      </c>
      <c r="Q2175" s="535">
        <f>PDs!AA177</f>
        <v>-30</v>
      </c>
      <c r="R2175" s="534" t="str">
        <f>IF(PDs!I177=0,"",P2175&amp;" ("&amp;PDs!I177&amp;")")</f>
        <v/>
      </c>
      <c r="S2175" s="534">
        <f>LEFT(PDs!AG177,2)+LEFT(PDs!AH177,2)</f>
        <v>0</v>
      </c>
      <c r="T2175" s="534" t="str">
        <f>IF(PDs!AI177,MID(PDs!AH177,4,25)&amp;MID(PDs!AG177,4,25),"")</f>
        <v/>
      </c>
      <c r="U2175" s="1093"/>
      <c r="V2175" s="1093"/>
      <c r="W2175" s="534">
        <f t="shared" si="436"/>
        <v>-30</v>
      </c>
      <c r="X2175" s="534" t="str">
        <f t="shared" si="432"/>
        <v/>
      </c>
      <c r="Y2175" s="534" t="str">
        <f t="shared" si="433"/>
        <v/>
      </c>
      <c r="Z2175" s="1093" t="str">
        <f t="shared" si="434"/>
        <v/>
      </c>
      <c r="AA2175" s="534" t="str">
        <f t="shared" si="435"/>
        <v/>
      </c>
      <c r="AB2175" s="534" t="str">
        <f t="shared" si="437"/>
        <v>Cerrajería -30</v>
      </c>
      <c r="AC2175" s="536">
        <f t="shared" si="439"/>
        <v>12</v>
      </c>
      <c r="AD2175" s="536" t="str">
        <f t="shared" si="438"/>
        <v/>
      </c>
      <c r="AE2175" s="8188"/>
      <c r="AF2175" s="1171">
        <f>Principal!O55</f>
        <v>0</v>
      </c>
    </row>
    <row r="2176" spans="1:32" ht="12.75" customHeight="1" thickBot="1">
      <c r="A2176" s="219">
        <v>2070</v>
      </c>
      <c r="B2176" s="7145"/>
      <c r="C2176" s="262" t="str">
        <f>IF(Ki!$P$47="-",", "&amp;Ki!$M$47,"")</f>
        <v/>
      </c>
      <c r="D2176" s="21"/>
      <c r="E2176" s="3613"/>
      <c r="G2176" s="7898"/>
      <c r="H2176" s="7655"/>
      <c r="K2176" s="3433" t="str">
        <f t="shared" si="419"/>
        <v/>
      </c>
      <c r="L2176" s="21"/>
      <c r="M2176" s="1923"/>
      <c r="N2176" s="3479" t="str">
        <f t="shared" si="426"/>
        <v/>
      </c>
      <c r="O2176" s="762" t="b">
        <f>OR($S$2138,AND(NOT(Disfraz_final="-"),OR(PDs!T178&gt;4,PDs!W178&gt;0,PDs!X178&gt;0,$G$315&gt;0)))</f>
        <v>0</v>
      </c>
      <c r="P2176" s="536" t="s">
        <v>1319</v>
      </c>
      <c r="Q2176" s="535">
        <f>PDs!AA178</f>
        <v>-30</v>
      </c>
      <c r="R2176" s="534" t="str">
        <f>IF(PDs!I178=0,"",P2176&amp;" ("&amp;PDs!I178&amp;")")</f>
        <v/>
      </c>
      <c r="S2176" s="534">
        <f>LEFT(PDs!AG178,2)+LEFT(PDs!AH178,2)</f>
        <v>0</v>
      </c>
      <c r="T2176" s="534" t="str">
        <f>IF(PDs!AI178,MID(PDs!AH178,4,25)&amp;MID(PDs!AG178,4,25),"")</f>
        <v/>
      </c>
      <c r="U2176" s="1093"/>
      <c r="V2176" s="1093"/>
      <c r="W2176" s="534">
        <f t="shared" si="436"/>
        <v>-30</v>
      </c>
      <c r="X2176" s="534" t="str">
        <f t="shared" si="432"/>
        <v/>
      </c>
      <c r="Y2176" s="534" t="str">
        <f t="shared" si="433"/>
        <v/>
      </c>
      <c r="Z2176" s="1093" t="str">
        <f t="shared" si="434"/>
        <v/>
      </c>
      <c r="AA2176" s="534" t="str">
        <f t="shared" si="435"/>
        <v/>
      </c>
      <c r="AB2176" s="534" t="str">
        <f t="shared" si="437"/>
        <v>Disfraz -30</v>
      </c>
      <c r="AC2176" s="536">
        <f t="shared" si="439"/>
        <v>17</v>
      </c>
      <c r="AD2176" s="536" t="str">
        <f t="shared" si="438"/>
        <v/>
      </c>
      <c r="AE2176" s="8188"/>
      <c r="AF2176" s="1171">
        <f>Principal!O56</f>
        <v>0</v>
      </c>
    </row>
    <row r="2177" spans="1:32" ht="12.75" customHeight="1" thickBot="1">
      <c r="A2177" s="219">
        <v>2071</v>
      </c>
      <c r="B2177" s="7145"/>
      <c r="C2177" s="262" t="str">
        <f>IF(Ki!$P$48="-",", "&amp;Ki!$M$48,"")</f>
        <v/>
      </c>
      <c r="D2177" s="21"/>
      <c r="E2177" s="3613"/>
      <c r="G2177" s="1621"/>
      <c r="H2177" s="1624" t="s">
        <v>8294</v>
      </c>
      <c r="K2177" s="3433" t="str">
        <f t="shared" si="419"/>
        <v/>
      </c>
      <c r="L2177" s="21"/>
      <c r="M2177" s="1923"/>
      <c r="N2177" s="3479" t="str">
        <f t="shared" si="426"/>
        <v/>
      </c>
      <c r="O2177" s="762" t="b">
        <f>OR($S$2138,AND(NOT(Ocultarse_final="-"),OR(PDs!T179&gt;4,PDs!W179&gt;0,PDs!X179&gt;0,$G$315&gt;0)))</f>
        <v>0</v>
      </c>
      <c r="P2177" s="536" t="s">
        <v>1321</v>
      </c>
      <c r="Q2177" s="535">
        <f>PDs!AA179</f>
        <v>-30</v>
      </c>
      <c r="R2177" s="534" t="str">
        <f>IF(PDs!I179=0,"",P2177&amp;" ("&amp;PDs!I179&amp;")")</f>
        <v/>
      </c>
      <c r="S2177" s="534">
        <f>LEFT(PDs!AG179,2)+LEFT(PDs!AH179,2)</f>
        <v>0</v>
      </c>
      <c r="T2177" s="534" t="str">
        <f>IF(PDs!AI179,MID(PDs!AH179,4,25)&amp;MID(PDs!AG179,4,25),"")</f>
        <v/>
      </c>
      <c r="U2177" s="1093"/>
      <c r="V2177" s="1093"/>
      <c r="W2177" s="534">
        <f t="shared" si="436"/>
        <v>-30</v>
      </c>
      <c r="X2177" s="534" t="str">
        <f t="shared" si="432"/>
        <v/>
      </c>
      <c r="Y2177" s="534" t="str">
        <f t="shared" si="433"/>
        <v/>
      </c>
      <c r="Z2177" s="1093" t="str">
        <f t="shared" si="434"/>
        <v/>
      </c>
      <c r="AA2177" s="534" t="str">
        <f t="shared" si="435"/>
        <v/>
      </c>
      <c r="AB2177" s="534" t="str">
        <f t="shared" si="437"/>
        <v>Ocultarse -30</v>
      </c>
      <c r="AC2177" s="536">
        <f t="shared" si="439"/>
        <v>34</v>
      </c>
      <c r="AD2177" s="536" t="str">
        <f t="shared" si="438"/>
        <v/>
      </c>
      <c r="AE2177" s="8188"/>
      <c r="AF2177" s="1171">
        <f>Principal!O57</f>
        <v>0</v>
      </c>
    </row>
    <row r="2178" spans="1:32" ht="12.75" customHeight="1" thickBot="1">
      <c r="A2178" s="219">
        <v>2072</v>
      </c>
      <c r="B2178" s="7145"/>
      <c r="C2178" s="262" t="str">
        <f>IF(Usodelaenergíanecesaria,", "&amp;Ki!$L$49,"")</f>
        <v/>
      </c>
      <c r="D2178" s="21"/>
      <c r="E2178" s="3613"/>
      <c r="G2178" s="162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178" s="1623" t="str">
        <f>IFERROR(RIGHT(G2178,LEN(G2178)-2),"")</f>
        <v/>
      </c>
      <c r="K2178" s="3433" t="str">
        <f t="shared" si="419"/>
        <v/>
      </c>
      <c r="L2178" s="21"/>
      <c r="M2178" s="1923"/>
      <c r="N2178" s="3479" t="str">
        <f t="shared" si="426"/>
        <v/>
      </c>
      <c r="O2178" s="762" t="b">
        <f>OR($S$2138,AND(NOT(Robo_final="-"),OR(PDs!T180&gt;4,PDs!W180&gt;0,PDs!X180&gt;0,$G$315&gt;0)))</f>
        <v>0</v>
      </c>
      <c r="P2178" s="536" t="s">
        <v>1323</v>
      </c>
      <c r="Q2178" s="535">
        <f>PDs!AA180</f>
        <v>-30</v>
      </c>
      <c r="R2178" s="534" t="str">
        <f>IF(PDs!I180=0,"",P2178&amp;" ("&amp;PDs!I180&amp;")")</f>
        <v/>
      </c>
      <c r="S2178" s="534">
        <f>LEFT(PDs!AG180,2)+LEFT(PDs!AH180,2)</f>
        <v>0</v>
      </c>
      <c r="T2178" s="534" t="str">
        <f>IF(PDs!AI180,MID(PDs!AH180,4,25)&amp;MID(PDs!AG180,4,25),"")</f>
        <v/>
      </c>
      <c r="U2178" s="1093"/>
      <c r="V2178" s="1093"/>
      <c r="W2178" s="534">
        <f t="shared" si="436"/>
        <v>-30</v>
      </c>
      <c r="X2178" s="534" t="str">
        <f t="shared" si="432"/>
        <v/>
      </c>
      <c r="Y2178" s="534" t="str">
        <f t="shared" si="433"/>
        <v/>
      </c>
      <c r="Z2178" s="1093" t="str">
        <f t="shared" si="434"/>
        <v/>
      </c>
      <c r="AA2178" s="534" t="str">
        <f t="shared" si="435"/>
        <v/>
      </c>
      <c r="AB2178" s="534" t="str">
        <f t="shared" si="437"/>
        <v>Robo -30</v>
      </c>
      <c r="AC2178" s="536">
        <f t="shared" si="439"/>
        <v>42</v>
      </c>
      <c r="AD2178" s="536" t="str">
        <f t="shared" si="438"/>
        <v/>
      </c>
      <c r="AE2178" s="8188"/>
      <c r="AF2178" s="1171">
        <f>Principal!O58</f>
        <v>0</v>
      </c>
    </row>
    <row r="2179" spans="1:32" ht="12.75" customHeight="1" thickBot="1">
      <c r="A2179" s="219">
        <v>2073</v>
      </c>
      <c r="B2179" s="7145"/>
      <c r="C2179" s="262" t="str">
        <f>IF(Ki!$P$50="-",", "&amp;Ki!$L$50,"")</f>
        <v/>
      </c>
      <c r="D2179" s="21"/>
      <c r="E2179" s="3613"/>
      <c r="K2179" s="3433" t="str">
        <f t="shared" si="419"/>
        <v/>
      </c>
      <c r="L2179" s="21"/>
      <c r="M2179" s="1923"/>
      <c r="N2179" s="3479" t="str">
        <f t="shared" si="426"/>
        <v/>
      </c>
      <c r="O2179" s="762" t="b">
        <f>OR($S$2138,AND(NOT(Sigilo_final="-"),OR(PDs!T181&gt;4,PDs!W181&gt;0,PDs!X181&gt;0,$G$315&gt;0)))</f>
        <v>0</v>
      </c>
      <c r="P2179" s="536" t="s">
        <v>1325</v>
      </c>
      <c r="Q2179" s="535">
        <f>PDs!AA181</f>
        <v>-30</v>
      </c>
      <c r="R2179" s="534" t="str">
        <f>IF(PDs!I181=0,"",P2179&amp;" ("&amp;PDs!I181&amp;")")</f>
        <v/>
      </c>
      <c r="S2179" s="534">
        <f>LEFT(PDs!AG181,2)+LEFT(PDs!AH181,2)</f>
        <v>0</v>
      </c>
      <c r="T2179" s="534" t="str">
        <f>IF(PDs!AI181,MID(PDs!AH181,4,25)&amp;MID(PDs!AG181,4,25),"")</f>
        <v/>
      </c>
      <c r="U2179" s="1093"/>
      <c r="V2179" s="1093"/>
      <c r="W2179" s="534">
        <f t="shared" si="436"/>
        <v>-30</v>
      </c>
      <c r="X2179" s="534" t="str">
        <f t="shared" si="432"/>
        <v/>
      </c>
      <c r="Y2179" s="534" t="str">
        <f t="shared" si="433"/>
        <v/>
      </c>
      <c r="Z2179" s="1093" t="str">
        <f t="shared" si="434"/>
        <v/>
      </c>
      <c r="AA2179" s="534" t="str">
        <f t="shared" si="435"/>
        <v/>
      </c>
      <c r="AB2179" s="534" t="str">
        <f t="shared" si="437"/>
        <v>Sigilo -30</v>
      </c>
      <c r="AC2179" s="536">
        <f t="shared" si="439"/>
        <v>50</v>
      </c>
      <c r="AD2179" s="536" t="str">
        <f t="shared" si="438"/>
        <v/>
      </c>
      <c r="AE2179" s="8188"/>
      <c r="AF2179" s="1171">
        <f>Principal!O59</f>
        <v>0</v>
      </c>
    </row>
    <row r="2180" spans="1:32" ht="12.75" customHeight="1" thickBot="1">
      <c r="A2180" s="219">
        <v>2074</v>
      </c>
      <c r="B2180" s="7145"/>
      <c r="C2180" s="262" t="str">
        <f>IF(Ki!$P$51="-",", "&amp;Ki!$K$51,"")</f>
        <v/>
      </c>
      <c r="D2180" s="21"/>
      <c r="E2180" s="3613"/>
      <c r="G2180" s="4338" t="s">
        <v>9167</v>
      </c>
      <c r="H2180" s="4339"/>
      <c r="K2180" s="3433" t="str">
        <f>IF(AD2180&gt;"",", "&amp;AD2180,"")</f>
        <v/>
      </c>
      <c r="L2180" s="21"/>
      <c r="M2180" s="1923"/>
      <c r="N2180" s="3479" t="str">
        <f t="shared" si="426"/>
        <v/>
      </c>
      <c r="O2180" s="762" t="b">
        <f>OR($S$2138,AND(NOT(Trampería_final="-"),OR(PDs!T182&gt;4,PDs!W182&gt;0,PDs!X182&gt;0,$G$315&gt;0)))</f>
        <v>0</v>
      </c>
      <c r="P2180" s="536" t="s">
        <v>1327</v>
      </c>
      <c r="Q2180" s="535">
        <f>PDs!AA182</f>
        <v>-30</v>
      </c>
      <c r="R2180" s="534" t="str">
        <f>IF(PDs!I182=0,"",P2180&amp;" ("&amp;PDs!I182&amp;")")</f>
        <v/>
      </c>
      <c r="S2180" s="534">
        <f>LEFT(PDs!AG182,2)+LEFT(PDs!AH182,2)</f>
        <v>0</v>
      </c>
      <c r="T2180" s="534" t="str">
        <f>IF(PDs!AI182,MID(PDs!AH182,4,25)&amp;MID(PDs!AG182,4,25),"")</f>
        <v/>
      </c>
      <c r="U2180" s="1093"/>
      <c r="V2180" s="1093"/>
      <c r="W2180" s="534">
        <f t="shared" si="436"/>
        <v>-30</v>
      </c>
      <c r="X2180" s="534" t="str">
        <f t="shared" si="432"/>
        <v/>
      </c>
      <c r="Y2180" s="534" t="str">
        <f t="shared" si="433"/>
        <v/>
      </c>
      <c r="Z2180" s="1093" t="str">
        <f t="shared" si="434"/>
        <v/>
      </c>
      <c r="AA2180" s="534" t="str">
        <f t="shared" si="435"/>
        <v/>
      </c>
      <c r="AB2180" s="534" t="str">
        <f t="shared" si="437"/>
        <v>Trampería -30</v>
      </c>
      <c r="AC2180" s="536">
        <f t="shared" si="439"/>
        <v>54</v>
      </c>
      <c r="AD2180" s="536" t="str">
        <f t="shared" si="438"/>
        <v/>
      </c>
      <c r="AE2180" s="8188"/>
      <c r="AF2180" s="1171">
        <f>Principal!O60</f>
        <v>0</v>
      </c>
    </row>
    <row r="2181" spans="1:32" ht="12.75" customHeight="1" thickBot="1">
      <c r="A2181" s="219">
        <v>2075</v>
      </c>
      <c r="B2181" s="7145"/>
      <c r="C2181" s="262" t="str">
        <f>IF(Ki!$P$52="-",", "&amp;Ki!$L$52&amp;" "&amp;Ki!$F$36,"")</f>
        <v/>
      </c>
      <c r="D2181" s="21"/>
      <c r="E2181" s="3613"/>
      <c r="G2181" s="7898"/>
      <c r="H2181" s="7655"/>
      <c r="K2181" s="3433" t="str">
        <f t="shared" ref="K2181:K2199" si="440">IF(AD2181&lt;&gt;"",", "&amp;AD2181,"")</f>
        <v/>
      </c>
      <c r="L2181" s="21"/>
      <c r="M2181" s="1923"/>
      <c r="N2181" s="3479" t="str">
        <f t="shared" si="426"/>
        <v/>
      </c>
      <c r="O2181" s="762" t="b">
        <f>AND(NOT(Venenos_final="-"),OR(PDs!T183&gt;4,PDs!W183&gt;0,PDs!X183&gt;0,$G$315&gt;0))</f>
        <v>0</v>
      </c>
      <c r="P2181" s="536" t="s">
        <v>1328</v>
      </c>
      <c r="Q2181" s="535" t="str">
        <f>PDs!AA183</f>
        <v>-</v>
      </c>
      <c r="R2181" s="534" t="str">
        <f>IF(PDs!I183=0,"",P2181&amp;" ("&amp;PDs!I183&amp;")")</f>
        <v/>
      </c>
      <c r="S2181" s="534">
        <f>LEFT(PDs!AG183,2)+LEFT(PDs!AH183,2)</f>
        <v>0</v>
      </c>
      <c r="T2181" s="534" t="str">
        <f>IF(PDs!AI183,MID(PDs!AH183,4,25)&amp;MID(PDs!AG183,4,25),"")</f>
        <v/>
      </c>
      <c r="U2181" s="1093"/>
      <c r="V2181" s="1093"/>
      <c r="W2181" s="534" t="str">
        <f t="shared" si="436"/>
        <v>-</v>
      </c>
      <c r="X2181" s="534" t="str">
        <f t="shared" si="432"/>
        <v/>
      </c>
      <c r="Y2181" s="534" t="str">
        <f t="shared" si="433"/>
        <v/>
      </c>
      <c r="Z2181" s="1093" t="str">
        <f t="shared" si="434"/>
        <v/>
      </c>
      <c r="AA2181" s="534" t="str">
        <f t="shared" si="435"/>
        <v/>
      </c>
      <c r="AB2181" s="534" t="str">
        <f t="shared" si="437"/>
        <v>Venenos -</v>
      </c>
      <c r="AC2181" s="536">
        <f t="shared" si="439"/>
        <v>57</v>
      </c>
      <c r="AD2181" s="536" t="str">
        <f t="shared" si="438"/>
        <v/>
      </c>
      <c r="AE2181" s="8188"/>
      <c r="AF2181" s="1171">
        <f>Principal!O61</f>
        <v>0</v>
      </c>
    </row>
    <row r="2182" spans="1:32" ht="12.75" customHeight="1" thickBot="1">
      <c r="A2182" s="219">
        <v>2076</v>
      </c>
      <c r="B2182" s="7145"/>
      <c r="C2182" s="262" t="str">
        <f>IF(Ki!$P$53="-",", "&amp;Ki!$M$53,"")</f>
        <v/>
      </c>
      <c r="D2182" s="21"/>
      <c r="E2182" s="3613"/>
      <c r="G2182" s="2054" t="str">
        <f>Tablas!G2186&amp;Tablas!G2187&amp;Tablas!G2188&amp;Tablas!G2189&amp;Tablas!G2190&amp;Tablas!G2191&amp;Tablas!G2192&amp;Tablas!G2193&amp;Tablas!G2194&amp;Tablas!G2195&amp;Tablas!G2196&amp;Tablas!G2197&amp;Tablas!G2198</f>
        <v/>
      </c>
      <c r="H2182" s="533"/>
      <c r="K2182" s="3433" t="str">
        <f t="shared" si="440"/>
        <v/>
      </c>
      <c r="L2182" s="21"/>
      <c r="M2182" s="1923"/>
      <c r="N2182" s="3479" t="str">
        <f t="shared" si="426"/>
        <v/>
      </c>
      <c r="O2182" s="762" t="b">
        <f>OR($S$2138,AND(NOT(Arte_final="-"),OR(PDs!T184&gt;4,PDs!W184&gt;0,PDs!X184&gt;0,$G$315&gt;0)))</f>
        <v>0</v>
      </c>
      <c r="P2182" s="536" t="s">
        <v>1330</v>
      </c>
      <c r="Q2182" s="535">
        <f>PDs!AA184</f>
        <v>-30</v>
      </c>
      <c r="R2182" s="534" t="str">
        <f>IF(PDs!I184=0,"",P2182&amp;" ("&amp;PDs!I184&amp;")")</f>
        <v/>
      </c>
      <c r="S2182" s="534">
        <f>LEFT(PDs!AG184,2)+LEFT(PDs!AH184,2)</f>
        <v>0</v>
      </c>
      <c r="T2182" s="534" t="str">
        <f>IF(PDs!AI184,MID(PDs!AH184,4,25)&amp;MID(PDs!AG184,4,25),"")</f>
        <v/>
      </c>
      <c r="U2182" s="1093"/>
      <c r="V2182" s="1093"/>
      <c r="W2182" s="534">
        <f t="shared" si="436"/>
        <v>-30</v>
      </c>
      <c r="X2182" s="534" t="str">
        <f t="shared" si="432"/>
        <v/>
      </c>
      <c r="Y2182" s="534" t="str">
        <f t="shared" si="433"/>
        <v/>
      </c>
      <c r="Z2182" s="1093" t="str">
        <f t="shared" si="434"/>
        <v/>
      </c>
      <c r="AA2182" s="534" t="str">
        <f t="shared" si="435"/>
        <v/>
      </c>
      <c r="AB2182" s="534" t="str">
        <f t="shared" si="437"/>
        <v>Arte -30</v>
      </c>
      <c r="AC2182" s="536">
        <f t="shared" si="439"/>
        <v>6</v>
      </c>
      <c r="AD2182" s="536" t="str">
        <f t="shared" si="438"/>
        <v/>
      </c>
      <c r="AE2182" s="8188"/>
      <c r="AF2182" s="1171">
        <f>Principal!O62</f>
        <v>0</v>
      </c>
    </row>
    <row r="2183" spans="1:32" ht="12.75" customHeight="1" thickBot="1">
      <c r="A2183" s="219">
        <v>2077</v>
      </c>
      <c r="B2183" s="7145"/>
      <c r="C2183" s="262" t="str">
        <f>IF(Ki!$P$54="-",", "&amp;Ki!$M$54,"")</f>
        <v/>
      </c>
      <c r="D2183" s="21"/>
      <c r="E2183" s="3613"/>
      <c r="K2183" s="3433" t="str">
        <f t="shared" si="440"/>
        <v/>
      </c>
      <c r="L2183" s="21"/>
      <c r="M2183" s="1923"/>
      <c r="N2183" s="3479" t="str">
        <f t="shared" si="426"/>
        <v/>
      </c>
      <c r="O2183" s="762" t="b">
        <f>AND(NOT(Baile_final="-"),OR(PDs!T185&gt;4,PDs!W185&gt;0,PDs!X185&gt;0,$G$315&gt;0))</f>
        <v>0</v>
      </c>
      <c r="P2183" s="536" t="s">
        <v>1331</v>
      </c>
      <c r="Q2183" s="535" t="str">
        <f>PDs!AA185</f>
        <v>-</v>
      </c>
      <c r="R2183" s="534" t="str">
        <f>IF(PDs!I185=0,"",P2183&amp;" ("&amp;PDs!I185&amp;")")</f>
        <v/>
      </c>
      <c r="S2183" s="534">
        <f>LEFT(PDs!AG185,2)+LEFT(PDs!AH185,2)</f>
        <v>0</v>
      </c>
      <c r="T2183" s="534" t="str">
        <f>IF(PDs!AI185,MID(PDs!AH185,4,25)&amp;MID(PDs!AG185,4,25),"")</f>
        <v/>
      </c>
      <c r="U2183" s="1093"/>
      <c r="V2183" s="1093"/>
      <c r="W2183" s="534" t="str">
        <f t="shared" si="436"/>
        <v>-</v>
      </c>
      <c r="X2183" s="534" t="str">
        <f t="shared" si="432"/>
        <v/>
      </c>
      <c r="Y2183" s="534" t="str">
        <f t="shared" si="433"/>
        <v/>
      </c>
      <c r="Z2183" s="1093" t="str">
        <f t="shared" si="434"/>
        <v/>
      </c>
      <c r="AA2183" s="534" t="str">
        <f t="shared" si="435"/>
        <v/>
      </c>
      <c r="AB2183" s="534" t="str">
        <f t="shared" si="437"/>
        <v>Baile -</v>
      </c>
      <c r="AC2183" s="536">
        <f t="shared" si="439"/>
        <v>8</v>
      </c>
      <c r="AD2183" s="536" t="str">
        <f t="shared" si="438"/>
        <v/>
      </c>
      <c r="AE2183" s="8188"/>
      <c r="AF2183" s="1171">
        <f>Principal!O63</f>
        <v>0</v>
      </c>
    </row>
    <row r="2184" spans="1:32" ht="12.75" customHeight="1">
      <c r="A2184" s="219">
        <v>2078</v>
      </c>
      <c r="B2184" s="7145"/>
      <c r="C2184" s="262" t="str">
        <f>IF(Ki!$P$55="-",", "&amp;Ki!$L$55,"")</f>
        <v/>
      </c>
      <c r="D2184" s="21"/>
      <c r="E2184" s="3613"/>
      <c r="G2184" s="4352" t="s">
        <v>598</v>
      </c>
      <c r="H2184" s="4317"/>
      <c r="I2184" s="4318"/>
      <c r="K2184" s="3433" t="str">
        <f t="shared" si="440"/>
        <v/>
      </c>
      <c r="L2184" s="21"/>
      <c r="M2184" s="1923"/>
      <c r="N2184" s="3479" t="str">
        <f t="shared" si="426"/>
        <v/>
      </c>
      <c r="O2184" s="762" t="b">
        <f>AND(NOT(Forja_final="-"),OR(PDs!T186&gt;4,PDs!W186&gt;0,PDs!X186&gt;0,$G$315&gt;0))</f>
        <v>0</v>
      </c>
      <c r="P2184" s="536" t="s">
        <v>1332</v>
      </c>
      <c r="Q2184" s="535" t="str">
        <f>PDs!AA186</f>
        <v>-</v>
      </c>
      <c r="R2184" s="534" t="str">
        <f>IF(PDs!I186=0,"",P2184&amp;" ("&amp;PDs!I186&amp;")")</f>
        <v/>
      </c>
      <c r="S2184" s="534">
        <f>LEFT(PDs!AG186,2)+LEFT(PDs!AH186,2)</f>
        <v>0</v>
      </c>
      <c r="T2184" s="534" t="str">
        <f>IF(PDs!AI186,MID(PDs!AH186,4,25)&amp;MID(PDs!AG186,4,25),"")</f>
        <v/>
      </c>
      <c r="U2184" s="1093"/>
      <c r="V2184" s="1093"/>
      <c r="W2184" s="534" t="str">
        <f t="shared" si="436"/>
        <v>-</v>
      </c>
      <c r="X2184" s="534" t="str">
        <f t="shared" si="432"/>
        <v/>
      </c>
      <c r="Y2184" s="534" t="str">
        <f t="shared" si="433"/>
        <v/>
      </c>
      <c r="Z2184" s="1093" t="str">
        <f t="shared" si="434"/>
        <v/>
      </c>
      <c r="AA2184" s="534" t="str">
        <f t="shared" si="435"/>
        <v/>
      </c>
      <c r="AB2184" s="534" t="str">
        <f t="shared" si="437"/>
        <v>Forja -</v>
      </c>
      <c r="AC2184" s="536">
        <f t="shared" si="439"/>
        <v>20</v>
      </c>
      <c r="AD2184" s="536" t="str">
        <f t="shared" si="438"/>
        <v/>
      </c>
      <c r="AE2184" s="8188"/>
      <c r="AF2184" s="1171">
        <f>Principal!O64</f>
        <v>0</v>
      </c>
    </row>
    <row r="2185" spans="1:32" ht="12.75" customHeight="1">
      <c r="A2185" s="219">
        <v>2079</v>
      </c>
      <c r="B2185" s="7145"/>
      <c r="C2185" s="262" t="str">
        <f>IF(Ki!$P$56="-",", "&amp;Ki!$M$56,"")</f>
        <v/>
      </c>
      <c r="D2185" s="21"/>
      <c r="E2185" s="3613"/>
      <c r="G2185" s="4653"/>
      <c r="H2185" s="4654"/>
      <c r="I2185" s="4655"/>
      <c r="K2185" s="3433" t="str">
        <f t="shared" si="440"/>
        <v/>
      </c>
      <c r="L2185" s="21"/>
      <c r="M2185" s="1923"/>
      <c r="N2185" s="3479" t="str">
        <f t="shared" si="426"/>
        <v/>
      </c>
      <c r="O2185" s="762" t="b">
        <f>OR($S$2138,AND(NOT(Runas_final="-"),OR(PDs!T187&gt;4,PDs!W187&gt;0,PDs!X187&gt;0,$G$315&gt;0)))</f>
        <v>0</v>
      </c>
      <c r="P2185" s="536" t="s">
        <v>682</v>
      </c>
      <c r="Q2185" s="535">
        <f>PDs!AA187</f>
        <v>-30</v>
      </c>
      <c r="R2185" s="534" t="str">
        <f>IF(PDs!I187=0,"",P2185&amp;" ("&amp;PDs!I187&amp;")")</f>
        <v/>
      </c>
      <c r="S2185" s="534">
        <f>LEFT(PDs!AG187,2)+LEFT(PDs!AH187,2)</f>
        <v>0</v>
      </c>
      <c r="T2185" s="534" t="str">
        <f>IF(PDs!AI187,MID(PDs!AH187,4,25)&amp;MID(PDs!AG187,4,25),"")</f>
        <v/>
      </c>
      <c r="U2185" s="1093"/>
      <c r="V2185" s="1093"/>
      <c r="W2185" s="534">
        <f t="shared" si="436"/>
        <v>-30</v>
      </c>
      <c r="X2185" s="534" t="str">
        <f t="shared" si="432"/>
        <v/>
      </c>
      <c r="Y2185" s="534" t="str">
        <f t="shared" si="433"/>
        <v/>
      </c>
      <c r="Z2185" s="1093" t="str">
        <f t="shared" si="434"/>
        <v/>
      </c>
      <c r="AA2185" s="534" t="str">
        <f t="shared" si="435"/>
        <v/>
      </c>
      <c r="AB2185" s="534" t="str">
        <f t="shared" si="437"/>
        <v>Runas -30</v>
      </c>
      <c r="AC2185" s="536">
        <f t="shared" si="439"/>
        <v>43</v>
      </c>
      <c r="AD2185" s="536" t="str">
        <f t="shared" si="438"/>
        <v/>
      </c>
      <c r="AE2185" s="8188"/>
      <c r="AF2185" s="1171">
        <f>Principal!O65</f>
        <v>0</v>
      </c>
    </row>
    <row r="2186" spans="1:32" ht="12.75" customHeight="1">
      <c r="A2186" s="219">
        <v>2080</v>
      </c>
      <c r="B2186" s="7145"/>
      <c r="C2186" s="262" t="str">
        <f>IF(Ki!$P$57="-",", "&amp;Ki!$M$57,"")</f>
        <v/>
      </c>
      <c r="D2186" s="21"/>
      <c r="E2186" s="3613"/>
      <c r="G2186" s="443" t="str">
        <f>IF(Místicos!H15&gt;0,", "&amp;Místicos!H15&amp;" "&amp;Místicos!C15&amp;IF(I2186="",""," ("&amp;LEFT(I2186,LEN(I2186)-2)&amp;")"),"")</f>
        <v/>
      </c>
      <c r="H2186" s="21"/>
      <c r="I2186" s="532" t="str">
        <f>IFERROR(HLOOKUP(Místicos!C15,Tablas!$C$1265:$M$1287,23,0),"")</f>
        <v/>
      </c>
      <c r="K2186" s="3433" t="str">
        <f t="shared" si="440"/>
        <v/>
      </c>
      <c r="L2186" s="21"/>
      <c r="M2186" s="1923"/>
      <c r="N2186" s="3479" t="str">
        <f t="shared" si="426"/>
        <v/>
      </c>
      <c r="O2186" s="762" t="b">
        <f>OR($S$2138,AND(NOT(Alquimia_final="-"),OR(PDs!T188&gt;4,PDs!W188&gt;0,PDs!X188&gt;0,$G$315&gt;0)))</f>
        <v>0</v>
      </c>
      <c r="P2186" s="536" t="s">
        <v>683</v>
      </c>
      <c r="Q2186" s="535">
        <f>PDs!AA188</f>
        <v>-30</v>
      </c>
      <c r="R2186" s="534" t="str">
        <f>IF(PDs!I188=0,"",P2186&amp;" ("&amp;PDs!I188&amp;")")</f>
        <v/>
      </c>
      <c r="S2186" s="534">
        <f>LEFT(PDs!AG188,2)+LEFT(PDs!AH188,2)</f>
        <v>0</v>
      </c>
      <c r="T2186" s="534" t="str">
        <f>IF(PDs!AI188,MID(PDs!AH188,4,25)&amp;MID(PDs!AG188,4,25),"")</f>
        <v/>
      </c>
      <c r="U2186" s="1093"/>
      <c r="V2186" s="1093"/>
      <c r="W2186" s="534">
        <f t="shared" si="436"/>
        <v>-30</v>
      </c>
      <c r="X2186" s="534" t="str">
        <f t="shared" si="432"/>
        <v/>
      </c>
      <c r="Y2186" s="534" t="str">
        <f t="shared" si="433"/>
        <v/>
      </c>
      <c r="Z2186" s="1093" t="str">
        <f t="shared" si="434"/>
        <v/>
      </c>
      <c r="AA2186" s="534" t="str">
        <f t="shared" si="435"/>
        <v/>
      </c>
      <c r="AB2186" s="534" t="str">
        <f t="shared" si="437"/>
        <v>Alquimia -30</v>
      </c>
      <c r="AC2186" s="536">
        <f t="shared" si="439"/>
        <v>3</v>
      </c>
      <c r="AD2186" s="536" t="str">
        <f t="shared" si="438"/>
        <v/>
      </c>
      <c r="AE2186" s="8188"/>
      <c r="AF2186" s="1171">
        <f>Principal!O66</f>
        <v>0</v>
      </c>
    </row>
    <row r="2187" spans="1:32" ht="12.75" customHeight="1">
      <c r="A2187" s="219">
        <v>2081</v>
      </c>
      <c r="B2187" s="7145"/>
      <c r="C2187" s="262" t="str">
        <f>IF(Ki!$P$58="-",", "&amp;Ki!$M$58,"")</f>
        <v/>
      </c>
      <c r="D2187" s="21"/>
      <c r="E2187" s="3613"/>
      <c r="G2187" s="443" t="str">
        <f>IF(Místicos!H16&gt;0,", "&amp;Místicos!H16&amp;" "&amp;Místicos!C16&amp;IF(I2187="",""," ("&amp;LEFT(I2187,LEN(I2187)-2)&amp;")"),"")</f>
        <v/>
      </c>
      <c r="H2187" s="21"/>
      <c r="I2187" s="532" t="str">
        <f>IFERROR(HLOOKUP(Místicos!C16,Tablas!$C$1265:$M$1287,23,0),"")</f>
        <v/>
      </c>
      <c r="K2187" s="3433" t="str">
        <f t="shared" si="440"/>
        <v/>
      </c>
      <c r="L2187" s="21"/>
      <c r="M2187" s="1923"/>
      <c r="N2187" s="3479" t="str">
        <f t="shared" si="426"/>
        <v/>
      </c>
      <c r="O2187" s="762" t="b">
        <f>OR($S$2138,AND(NOT(Animismo_final="-"),OR(PDs!T189&gt;4,PDs!W189&gt;0,PDs!X189&gt;0,$G$315&gt;0)))</f>
        <v>0</v>
      </c>
      <c r="P2187" s="536" t="s">
        <v>684</v>
      </c>
      <c r="Q2187" s="535">
        <f>PDs!AA189</f>
        <v>-30</v>
      </c>
      <c r="R2187" s="534" t="str">
        <f>IF(PDs!I189=0,"",P2187&amp;" ("&amp;PDs!I189&amp;")")</f>
        <v/>
      </c>
      <c r="S2187" s="534">
        <f>LEFT(PDs!AG189,2)+LEFT(PDs!AH189,2)</f>
        <v>0</v>
      </c>
      <c r="T2187" s="534" t="str">
        <f>IF(PDs!AI189,MID(PDs!AH189,4,25)&amp;MID(PDs!AG189,4,25),"")</f>
        <v/>
      </c>
      <c r="U2187" s="1093"/>
      <c r="V2187" s="1093"/>
      <c r="W2187" s="534">
        <f t="shared" si="436"/>
        <v>-30</v>
      </c>
      <c r="X2187" s="534" t="str">
        <f t="shared" si="432"/>
        <v/>
      </c>
      <c r="Y2187" s="534" t="str">
        <f t="shared" si="433"/>
        <v/>
      </c>
      <c r="Z2187" s="1093" t="str">
        <f t="shared" si="434"/>
        <v/>
      </c>
      <c r="AA2187" s="534" t="str">
        <f t="shared" si="435"/>
        <v/>
      </c>
      <c r="AB2187" s="534" t="str">
        <f t="shared" si="437"/>
        <v>Animismo -30</v>
      </c>
      <c r="AC2187" s="536">
        <f t="shared" si="439"/>
        <v>5</v>
      </c>
      <c r="AD2187" s="536" t="str">
        <f t="shared" si="438"/>
        <v/>
      </c>
      <c r="AE2187" s="8188"/>
      <c r="AF2187" s="1171">
        <f>Principal!O67</f>
        <v>0</v>
      </c>
    </row>
    <row r="2188" spans="1:32" ht="12.75" customHeight="1">
      <c r="A2188" s="219">
        <v>2082</v>
      </c>
      <c r="B2188" s="7145"/>
      <c r="C2188" s="262" t="str">
        <f>IF(Ki!$P$59="-",", "&amp;Ki!$L$59,"")</f>
        <v/>
      </c>
      <c r="D2188" s="21"/>
      <c r="E2188" s="3613"/>
      <c r="G2188" s="443" t="str">
        <f>IF(Místicos!H17&gt;0,", "&amp;Místicos!H17&amp;" "&amp;Místicos!C17&amp;IF(I2188="",""," ("&amp;LEFT(I2188,LEN(I2188)-2)&amp;")"),"")</f>
        <v/>
      </c>
      <c r="H2188" s="21"/>
      <c r="I2188" s="532" t="str">
        <f>IFERROR(HLOOKUP(Místicos!C17,Tablas!$C$1265:$M$1287,23,0),"")</f>
        <v/>
      </c>
      <c r="K2188" s="3433" t="str">
        <f t="shared" si="440"/>
        <v/>
      </c>
      <c r="L2188" s="21"/>
      <c r="M2188" s="1923"/>
      <c r="N2188" s="3479" t="str">
        <f t="shared" si="426"/>
        <v/>
      </c>
      <c r="O2188" s="762" t="b">
        <f>AND(NOT(Música_final="-"),OR(PDs!T190&gt;4,PDs!W190&gt;0,PDs!X190&gt;0,$G$315&gt;0))</f>
        <v>0</v>
      </c>
      <c r="P2188" s="536" t="s">
        <v>1333</v>
      </c>
      <c r="Q2188" s="535" t="str">
        <f>PDs!AA190</f>
        <v>-</v>
      </c>
      <c r="R2188" s="534" t="str">
        <f>IF(PDs!I190=0,"",P2188&amp;" ("&amp;PDs!I190&amp;")")</f>
        <v/>
      </c>
      <c r="S2188" s="534">
        <f>LEFT(PDs!AG190,2)+LEFT(PDs!AH190,2)</f>
        <v>0</v>
      </c>
      <c r="T2188" s="534" t="str">
        <f>IF(PDs!AI190,MID(PDs!AH190,4,25)&amp;MID(PDs!AG190,4,25),"")</f>
        <v/>
      </c>
      <c r="U2188" s="1093"/>
      <c r="V2188" s="1093"/>
      <c r="W2188" s="534" t="str">
        <f t="shared" si="436"/>
        <v>-</v>
      </c>
      <c r="X2188" s="534" t="str">
        <f t="shared" si="432"/>
        <v/>
      </c>
      <c r="Y2188" s="534" t="str">
        <f t="shared" si="433"/>
        <v/>
      </c>
      <c r="Z2188" s="1093" t="str">
        <f t="shared" si="434"/>
        <v/>
      </c>
      <c r="AA2188" s="534" t="str">
        <f t="shared" si="435"/>
        <v/>
      </c>
      <c r="AB2188" s="534" t="str">
        <f t="shared" si="437"/>
        <v>Música -</v>
      </c>
      <c r="AC2188" s="536">
        <f t="shared" si="439"/>
        <v>31</v>
      </c>
      <c r="AD2188" s="536" t="str">
        <f t="shared" si="438"/>
        <v/>
      </c>
      <c r="AE2188" s="8188"/>
      <c r="AF2188" s="1171">
        <f>Principal!O68</f>
        <v>0</v>
      </c>
    </row>
    <row r="2189" spans="1:32" ht="12.75" customHeight="1">
      <c r="A2189" s="219">
        <v>2083</v>
      </c>
      <c r="B2189" s="7145"/>
      <c r="C2189" s="262" t="str">
        <f>IF(Ki!$P$60="-",", "&amp;Ki!$M$60,"")</f>
        <v/>
      </c>
      <c r="D2189" s="21"/>
      <c r="E2189" s="3613"/>
      <c r="G2189" s="443" t="str">
        <f>IF(Místicos!H18&gt;0,", "&amp;Místicos!H18&amp;" "&amp;Místicos!C18&amp;IF(I2189="",""," ("&amp;LEFT(I2189,LEN(I2189)-2)&amp;")"),"")</f>
        <v/>
      </c>
      <c r="H2189" s="21"/>
      <c r="I2189" s="532" t="str">
        <f>IFERROR(HLOOKUP(Místicos!C18,Tablas!$C$1265:$M$1287,23,0),"")</f>
        <v/>
      </c>
      <c r="K2189" s="3433" t="str">
        <f t="shared" si="440"/>
        <v/>
      </c>
      <c r="L2189" s="21"/>
      <c r="M2189" s="1923"/>
      <c r="N2189" s="3479" t="str">
        <f t="shared" si="426"/>
        <v/>
      </c>
      <c r="O2189" s="762" t="b">
        <f>OR($S$2138,AND(NOT(T.Manos_final="-"),OR(PDs!T191&gt;4,PDs!W191&gt;0,PDs!X191&gt;0,$G$315&gt;0)))</f>
        <v>0</v>
      </c>
      <c r="P2189" s="536" t="s">
        <v>1335</v>
      </c>
      <c r="Q2189" s="535">
        <f>PDs!AA191</f>
        <v>-30</v>
      </c>
      <c r="R2189" s="534" t="str">
        <f>IF(PDs!I191=0,"",P2189&amp;" ("&amp;PDs!I191&amp;")")</f>
        <v/>
      </c>
      <c r="S2189" s="534">
        <f>LEFT(PDs!AG191,2)+LEFT(PDs!AH191,2)</f>
        <v>0</v>
      </c>
      <c r="T2189" s="534" t="str">
        <f>IF(PDs!AI191,MID(PDs!AH191,4,25)&amp;MID(PDs!AG191,4,25),"")</f>
        <v/>
      </c>
      <c r="U2189" s="1093"/>
      <c r="V2189" s="1093"/>
      <c r="W2189" s="534">
        <f t="shared" si="436"/>
        <v>-30</v>
      </c>
      <c r="X2189" s="534" t="str">
        <f t="shared" si="432"/>
        <v/>
      </c>
      <c r="Y2189" s="534" t="str">
        <f t="shared" si="433"/>
        <v/>
      </c>
      <c r="Z2189" s="1093" t="str">
        <f t="shared" si="434"/>
        <v/>
      </c>
      <c r="AA2189" s="534" t="str">
        <f t="shared" si="435"/>
        <v/>
      </c>
      <c r="AB2189" s="534" t="str">
        <f t="shared" si="437"/>
        <v>T. Manos -30</v>
      </c>
      <c r="AC2189" s="536">
        <f t="shared" si="439"/>
        <v>51</v>
      </c>
      <c r="AD2189" s="536" t="str">
        <f t="shared" si="438"/>
        <v/>
      </c>
      <c r="AE2189" s="8188"/>
      <c r="AF2189" s="1171">
        <f>Principal!O69</f>
        <v>0</v>
      </c>
    </row>
    <row r="2190" spans="1:32" ht="12.75" customHeight="1">
      <c r="A2190" s="219">
        <v>2084</v>
      </c>
      <c r="B2190" s="7145"/>
      <c r="C2190" s="262" t="str">
        <f>IF(Ki!$P$61="-",", "&amp;Ki!$N$61,"")</f>
        <v/>
      </c>
      <c r="D2190" s="21"/>
      <c r="E2190" s="3613"/>
      <c r="G2190" s="443" t="str">
        <f>IF(Místicos!H19&gt;0,", "&amp;Místicos!H19&amp;" "&amp;Místicos!C19&amp;IF(I2190="",""," ("&amp;LEFT(I2190,LEN(I2190)-2)&amp;")"),"")</f>
        <v/>
      </c>
      <c r="H2190" s="21"/>
      <c r="I2190" s="532" t="str">
        <f>IFERROR(HLOOKUP(Místicos!C19,Tablas!$C$1265:$M$1287,23,0),"")</f>
        <v/>
      </c>
      <c r="K2190" s="3433" t="str">
        <f t="shared" si="440"/>
        <v/>
      </c>
      <c r="L2190" s="21"/>
      <c r="M2190" s="1923"/>
      <c r="N2190" s="3479" t="str">
        <f t="shared" si="426"/>
        <v/>
      </c>
      <c r="O2190" s="762" t="b">
        <f>OR($S$2138,AND(NOT(Caligrafíaritual_final="-"),OR(PDs!T192&gt;4,PDs!W192&gt;0,PDs!X192&gt;0,$G$315&gt;0)))</f>
        <v>0</v>
      </c>
      <c r="P2190" s="536" t="s">
        <v>5859</v>
      </c>
      <c r="Q2190" s="535">
        <f>PDs!AA192</f>
        <v>-30</v>
      </c>
      <c r="R2190" s="534" t="str">
        <f>IF(PDs!I192=0,"",P2190&amp;" ("&amp;PDs!I192&amp;")")</f>
        <v/>
      </c>
      <c r="S2190" s="534">
        <f>LEFT(PDs!AG192,2)+LEFT(PDs!AH192,2)</f>
        <v>0</v>
      </c>
      <c r="T2190" s="534" t="str">
        <f>IF(PDs!AI192,MID(PDs!AH192,4,25)&amp;MID(PDs!AG192,4,25),"")</f>
        <v/>
      </c>
      <c r="U2190" s="1093"/>
      <c r="V2190" s="1093"/>
      <c r="W2190" s="534">
        <f t="shared" si="436"/>
        <v>-30</v>
      </c>
      <c r="X2190" s="534" t="str">
        <f t="shared" si="432"/>
        <v/>
      </c>
      <c r="Y2190" s="534" t="str">
        <f t="shared" si="433"/>
        <v/>
      </c>
      <c r="Z2190" s="1093" t="str">
        <f t="shared" si="434"/>
        <v/>
      </c>
      <c r="AA2190" s="534" t="str">
        <f t="shared" si="435"/>
        <v/>
      </c>
      <c r="AB2190" s="534" t="str">
        <f t="shared" si="437"/>
        <v>Caligrafía ritual -30</v>
      </c>
      <c r="AC2190" s="536">
        <f t="shared" si="439"/>
        <v>10</v>
      </c>
      <c r="AD2190" s="536" t="str">
        <f t="shared" si="438"/>
        <v/>
      </c>
      <c r="AE2190" s="8188"/>
      <c r="AF2190" s="1171">
        <f>Principal!O70</f>
        <v>0</v>
      </c>
    </row>
    <row r="2191" spans="1:32" ht="12.75" customHeight="1">
      <c r="A2191" s="219">
        <v>2085</v>
      </c>
      <c r="B2191" s="7145"/>
      <c r="C2191" s="262" t="str">
        <f>IF(Ki!$P$62="-",", "&amp;Ki!$L$62,"")</f>
        <v/>
      </c>
      <c r="D2191" s="21"/>
      <c r="E2191" s="3613"/>
      <c r="G2191" s="443" t="str">
        <f>IF(Místicos!H20&gt;0,", "&amp;Místicos!H20&amp;" "&amp;Místicos!C20&amp;IF(I2191="",""," ("&amp;LEFT(I2191,LEN(I2191)-2)&amp;")"),"")</f>
        <v/>
      </c>
      <c r="H2191" s="21"/>
      <c r="I2191" s="532" t="str">
        <f>IFERROR(HLOOKUP(Místicos!C20,Tablas!$C$1265:$M$1287,23,0),"")</f>
        <v/>
      </c>
      <c r="K2191" s="3433" t="str">
        <f t="shared" si="440"/>
        <v/>
      </c>
      <c r="L2191" s="21"/>
      <c r="M2191" s="1923"/>
      <c r="N2191" s="3479" t="str">
        <f t="shared" si="426"/>
        <v/>
      </c>
      <c r="O2191" s="763" t="b">
        <f>OR($S$2138,AND(NOT(Orfebrería_final="-"),OR(PDs!T193&gt;4,PDs!W193&gt;0,PDs!X193&gt;0,$G$315&gt;0)))</f>
        <v>0</v>
      </c>
      <c r="P2191" s="539" t="s">
        <v>5860</v>
      </c>
      <c r="Q2191" s="538">
        <f>PDs!AA193</f>
        <v>-30</v>
      </c>
      <c r="R2191" s="537" t="str">
        <f>IF(PDs!I193=0,"",P2191&amp;" ("&amp;PDs!I193&amp;")")</f>
        <v/>
      </c>
      <c r="S2191" s="537">
        <f>LEFT(PDs!AG193,2)+LEFT(PDs!AH193,2)</f>
        <v>0</v>
      </c>
      <c r="T2191" s="537" t="str">
        <f>IF(PDs!AI193,MID(PDs!AH193,4,25)&amp;MID(PDs!AG193,4,25),"")</f>
        <v/>
      </c>
      <c r="U2191" s="1094"/>
      <c r="V2191" s="1094"/>
      <c r="W2191" s="537">
        <f>IFERROR(Q2191+AF2191+IF(R2191="",0,-120)+IF(T2191="",0,IF(R2191=T2191,-S2191,0)),"-")</f>
        <v>-30</v>
      </c>
      <c r="X2191" s="537" t="str">
        <f>IFERROR(IF(AND(NOT(R2191=""),R2191=T2191,$P$2138),W2191+S2191+120,""),"-")</f>
        <v/>
      </c>
      <c r="Y2191" s="537" t="str">
        <f t="shared" si="433"/>
        <v/>
      </c>
      <c r="Z2191" s="1094" t="str">
        <f t="shared" si="434"/>
        <v/>
      </c>
      <c r="AA2191" s="537" t="str">
        <f>IFERROR(IF(AND(X2191="",NOT(R2191="")),W2191+120,""),"-")</f>
        <v/>
      </c>
      <c r="AB2191" s="537" t="str">
        <f t="shared" si="437"/>
        <v>Orfebrería -30</v>
      </c>
      <c r="AC2191" s="539">
        <f t="shared" si="439"/>
        <v>36</v>
      </c>
      <c r="AD2191" s="536" t="str">
        <f t="shared" si="438"/>
        <v/>
      </c>
      <c r="AE2191" s="8188"/>
      <c r="AF2191" s="1171">
        <f>Principal!O71</f>
        <v>0</v>
      </c>
    </row>
    <row r="2192" spans="1:32" ht="12.75" customHeight="1">
      <c r="A2192" s="219">
        <v>2086</v>
      </c>
      <c r="B2192" s="7145"/>
      <c r="C2192" s="262" t="str">
        <f>IF(Ki!$P$63="-",", "&amp;Ki!$M$63,"")</f>
        <v/>
      </c>
      <c r="D2192" s="21"/>
      <c r="E2192" s="3613"/>
      <c r="G2192" s="443" t="str">
        <f>IF(Místicos!H21&gt;0,", "&amp;Místicos!H21&amp;" "&amp;Místicos!C21&amp;IF(I2192="",""," ("&amp;LEFT(I2192,LEN(I2192)-2)&amp;")"),"")</f>
        <v/>
      </c>
      <c r="H2192" s="21"/>
      <c r="I2192" s="532" t="str">
        <f>IFERROR(HLOOKUP(Místicos!C21,Tablas!$C$1265:$M$1287,23,0),"")</f>
        <v/>
      </c>
      <c r="K2192" s="3433" t="str">
        <f t="shared" si="440"/>
        <v/>
      </c>
      <c r="L2192" s="21"/>
      <c r="M2192" s="1923"/>
      <c r="N2192" s="3479" t="str">
        <f t="shared" si="426"/>
        <v/>
      </c>
      <c r="O2192" s="762" t="b">
        <f>OR($S$2138,AND(NOT(Confección_final="-"),OR(PDs!T194&gt;4,PDs!W194&gt;0,PDs!X194&gt;0,$G$315&gt;0)))</f>
        <v>0</v>
      </c>
      <c r="P2192" s="536" t="s">
        <v>5861</v>
      </c>
      <c r="Q2192" s="535">
        <f>PDs!AA194</f>
        <v>-30</v>
      </c>
      <c r="R2192" s="534" t="str">
        <f>IF(PDs!I194=0,"",P2192&amp;" ("&amp;PDs!I194&amp;")")</f>
        <v/>
      </c>
      <c r="S2192" s="534">
        <f>LEFT(PDs!AG194,2)+LEFT(PDs!AH194,2)</f>
        <v>0</v>
      </c>
      <c r="T2192" s="534" t="str">
        <f>IF(PDs!AI194,MID(PDs!AH194,4,25)&amp;MID(PDs!AG194,4,25),"")</f>
        <v/>
      </c>
      <c r="U2192" s="1093"/>
      <c r="V2192" s="1093"/>
      <c r="W2192" s="534">
        <f t="shared" ref="W2192:W2198" si="441">IFERROR(Q2192+AF2192+IF(R2192="",0,-80)+IF(T2192="",0,IF(R2192=T2192,-S2192,0)),"-")</f>
        <v>-30</v>
      </c>
      <c r="X2192" s="534" t="str">
        <f t="shared" ref="X2192:X2198" si="442">IFERROR(IF(AND(NOT(R2192=""),R2192=T2192,$P$2138),W2192+S2192+80,""),"-")</f>
        <v/>
      </c>
      <c r="Y2192" s="534" t="str">
        <f t="shared" si="433"/>
        <v/>
      </c>
      <c r="Z2192" s="1093" t="str">
        <f t="shared" si="434"/>
        <v/>
      </c>
      <c r="AA2192" s="534" t="str">
        <f t="shared" ref="AA2192:AA2198" si="443">IFERROR(IF(AND(X2192="",NOT(R2192="")),W2192+80,""),"-")</f>
        <v/>
      </c>
      <c r="AB2192" s="534" t="str">
        <f t="shared" si="437"/>
        <v>Confección -30</v>
      </c>
      <c r="AC2192" s="536">
        <f t="shared" si="439"/>
        <v>16</v>
      </c>
      <c r="AD2192" s="536" t="str">
        <f t="shared" si="438"/>
        <v/>
      </c>
      <c r="AE2192" s="8188"/>
      <c r="AF2192" s="1171">
        <f>Principal!O72</f>
        <v>0</v>
      </c>
    </row>
    <row r="2193" spans="1:32" ht="12.75" customHeight="1">
      <c r="A2193" s="219">
        <v>2087</v>
      </c>
      <c r="B2193" s="7145"/>
      <c r="C2193" s="262" t="str">
        <f>IF(Ki!$P$64="-",", "&amp;Ki!$K$64,"")</f>
        <v/>
      </c>
      <c r="D2193" s="21"/>
      <c r="E2193" s="3613"/>
      <c r="G2193" s="443" t="str">
        <f>IF(Místicos!H22&gt;0,", "&amp;Místicos!H22&amp;" "&amp;Místicos!C22&amp;IF(I2193="",""," ("&amp;LEFT(I2193,LEN(I2193)-2)&amp;")"),"")</f>
        <v/>
      </c>
      <c r="H2193" s="21"/>
      <c r="I2193" s="532" t="str">
        <f>IFERROR(HLOOKUP(Místicos!C22,Tablas!$C$1265:$M$1287,23,0),"")</f>
        <v/>
      </c>
      <c r="K2193" s="3433" t="str">
        <f t="shared" si="440"/>
        <v/>
      </c>
      <c r="L2193" s="21"/>
      <c r="M2193" s="1923"/>
      <c r="N2193" s="3479" t="str">
        <f t="shared" si="426"/>
        <v/>
      </c>
      <c r="O2193" s="762" t="b">
        <f>OR($S$2138,AND(NOT(Conf.marionetas_final="-"),OR(PDs!T195&gt;4,PDs!W195&gt;0,PDs!X195&gt;0,$G$315&gt;0)))</f>
        <v>0</v>
      </c>
      <c r="P2193" s="536" t="s">
        <v>5862</v>
      </c>
      <c r="Q2193" s="535">
        <f>PDs!AA195</f>
        <v>-30</v>
      </c>
      <c r="R2193" s="534" t="str">
        <f>IF(PDs!I195=0,"",P2193&amp;" ("&amp;PDs!I195&amp;")")</f>
        <v/>
      </c>
      <c r="S2193" s="534">
        <f>LEFT(PDs!AG195,2)+LEFT(PDs!AH195,2)</f>
        <v>0</v>
      </c>
      <c r="T2193" s="534" t="str">
        <f>IF(PDs!AI195,MID(PDs!AH195,4,25)&amp;MID(PDs!AG195,4,25),"")</f>
        <v/>
      </c>
      <c r="U2193" s="1093"/>
      <c r="V2193" s="1093"/>
      <c r="W2193" s="534">
        <f t="shared" si="441"/>
        <v>-30</v>
      </c>
      <c r="X2193" s="534" t="str">
        <f t="shared" si="442"/>
        <v/>
      </c>
      <c r="Y2193" s="534" t="str">
        <f t="shared" si="433"/>
        <v/>
      </c>
      <c r="Z2193" s="1093" t="str">
        <f t="shared" si="434"/>
        <v/>
      </c>
      <c r="AA2193" s="534" t="str">
        <f t="shared" si="443"/>
        <v/>
      </c>
      <c r="AB2193" s="534" t="str">
        <f t="shared" si="437"/>
        <v>Conf. marionetas -30</v>
      </c>
      <c r="AC2193" s="536">
        <f t="shared" si="439"/>
        <v>15</v>
      </c>
      <c r="AD2193" s="536" t="str">
        <f t="shared" si="438"/>
        <v/>
      </c>
      <c r="AE2193" s="8188"/>
      <c r="AF2193" s="1171">
        <f>Principal!O73</f>
        <v>0</v>
      </c>
    </row>
    <row r="2194" spans="1:32" ht="12.75" customHeight="1">
      <c r="A2194" s="219">
        <v>2088</v>
      </c>
      <c r="B2194" s="7145"/>
      <c r="C2194" s="262" t="str">
        <f>IF(Ki!$H$43="-",", "&amp;Ki!$C$43,"")</f>
        <v/>
      </c>
      <c r="D2194" s="21"/>
      <c r="E2194" s="3613"/>
      <c r="G2194" s="443" t="str">
        <f>IF(Místicos!H23&gt;0,", "&amp;Místicos!H23&amp;" "&amp;Místicos!C23&amp;IF(I2194="",""," ("&amp;LEFT(I2194,LEN(I2194)-2)&amp;")"),"")</f>
        <v/>
      </c>
      <c r="H2194" s="21"/>
      <c r="I2194" s="532" t="str">
        <f>IFERROR(HLOOKUP(Místicos!C23,Tablas!$C$1265:$M$1287,23,0),"")</f>
        <v/>
      </c>
      <c r="K2194" s="3433" t="str">
        <f t="shared" si="440"/>
        <v/>
      </c>
      <c r="L2194" s="21"/>
      <c r="M2194" s="1923"/>
      <c r="N2194" s="3479" t="str">
        <f t="shared" si="426"/>
        <v/>
      </c>
      <c r="O2194" s="763" t="b">
        <f>OR(AND($S$2138,PDs!E196&lt;&gt;""),AND(NOT(PDs!$AA$196="-"),OR(PDs!T196&gt;4,PDs!W196&gt;0,PDs!X196&gt;0,$G$315&gt;0)))</f>
        <v>0</v>
      </c>
      <c r="P2194" s="539" t="str">
        <f>IF(PDs!E196="","Secundaria Personal 1",PDs!E196)</f>
        <v>Secundaria Personal 1</v>
      </c>
      <c r="Q2194" s="538" t="str">
        <f>PDs!AA196</f>
        <v>-</v>
      </c>
      <c r="R2194" s="537" t="str">
        <f>IF(PDs!I196=0,"",P2194&amp;" ("&amp;PDs!I196&amp;")")</f>
        <v/>
      </c>
      <c r="S2194" s="537">
        <f>PDs!AF196</f>
        <v>0</v>
      </c>
      <c r="T2194" s="537"/>
      <c r="U2194" s="1094"/>
      <c r="V2194" s="1094"/>
      <c r="W2194" s="537" t="str">
        <f t="shared" si="441"/>
        <v>-</v>
      </c>
      <c r="X2194" s="537" t="str">
        <f t="shared" si="442"/>
        <v/>
      </c>
      <c r="Y2194" s="537" t="str">
        <f t="shared" si="433"/>
        <v/>
      </c>
      <c r="Z2194" s="1094" t="str">
        <f t="shared" si="434"/>
        <v/>
      </c>
      <c r="AA2194" s="537" t="str">
        <f t="shared" si="443"/>
        <v/>
      </c>
      <c r="AB2194" s="537" t="str">
        <f t="shared" si="437"/>
        <v>Secundaria Personal 1 -</v>
      </c>
      <c r="AC2194" s="539">
        <f t="shared" si="439"/>
        <v>45</v>
      </c>
      <c r="AD2194" s="536" t="str">
        <f t="shared" si="438"/>
        <v/>
      </c>
      <c r="AE2194" s="8188"/>
      <c r="AF2194" s="1171">
        <f>Principal!O74</f>
        <v>0</v>
      </c>
    </row>
    <row r="2195" spans="1:32" ht="12.75" customHeight="1">
      <c r="A2195" s="219">
        <v>2089</v>
      </c>
      <c r="B2195" s="7145"/>
      <c r="C2195" s="262" t="str">
        <f>IF(Ki!$H$45="-",", "&amp;Ki!$C$45,"")</f>
        <v/>
      </c>
      <c r="D2195" s="21"/>
      <c r="E2195" s="3613"/>
      <c r="G2195" s="443" t="str">
        <f>IF(Místicos!H24&gt;0,", "&amp;Místicos!H24&amp;" "&amp;Místicos!C24&amp;IF(I2195="",""," ("&amp;LEFT(I2195,LEN(I2195)-2)&amp;")"),"")</f>
        <v/>
      </c>
      <c r="H2195" s="21"/>
      <c r="I2195" s="532" t="str">
        <f>IFERROR(HLOOKUP(Místicos!C24,Tablas!$C$1265:$M$1287,23,0),"")</f>
        <v/>
      </c>
      <c r="K2195" s="3433" t="str">
        <f t="shared" si="440"/>
        <v/>
      </c>
      <c r="L2195" s="21"/>
      <c r="M2195" s="1923"/>
      <c r="N2195" s="3479" t="str">
        <f t="shared" si="426"/>
        <v/>
      </c>
      <c r="O2195" s="763" t="b">
        <f>OR(AND($S$2138,PDs!E197&lt;&gt;""),AND(NOT(PDs!$AA$197="-"),OR(PDs!T197&gt;4,PDs!W197&gt;0,PDs!X197&gt;0,$G$315&gt;0)))</f>
        <v>0</v>
      </c>
      <c r="P2195" s="539" t="str">
        <f>IF(PDs!E197="","Secundaria Personal 2",PDs!E197)</f>
        <v>Secundaria Personal 2</v>
      </c>
      <c r="Q2195" s="538" t="str">
        <f>PDs!AA197</f>
        <v>-</v>
      </c>
      <c r="R2195" s="537" t="str">
        <f>IF(PDs!I197=0,"",P2195&amp;" ("&amp;PDs!I197&amp;")")</f>
        <v/>
      </c>
      <c r="S2195" s="537">
        <f>PDs!AF197</f>
        <v>0</v>
      </c>
      <c r="T2195" s="537"/>
      <c r="U2195" s="1094"/>
      <c r="V2195" s="1094"/>
      <c r="W2195" s="537" t="str">
        <f t="shared" si="441"/>
        <v>-</v>
      </c>
      <c r="X2195" s="537" t="str">
        <f t="shared" si="442"/>
        <v/>
      </c>
      <c r="Y2195" s="537" t="str">
        <f t="shared" si="433"/>
        <v/>
      </c>
      <c r="Z2195" s="1094" t="str">
        <f t="shared" si="434"/>
        <v/>
      </c>
      <c r="AA2195" s="537" t="str">
        <f t="shared" si="443"/>
        <v/>
      </c>
      <c r="AB2195" s="537" t="str">
        <f t="shared" si="437"/>
        <v>Secundaria Personal 2 -</v>
      </c>
      <c r="AC2195" s="539">
        <f t="shared" si="439"/>
        <v>46</v>
      </c>
      <c r="AD2195" s="536" t="str">
        <f t="shared" si="438"/>
        <v/>
      </c>
      <c r="AE2195" s="8188"/>
      <c r="AF2195" s="1171">
        <f>Principal!O75</f>
        <v>0</v>
      </c>
    </row>
    <row r="2196" spans="1:32" ht="12.75" customHeight="1">
      <c r="A2196" s="219">
        <v>2090</v>
      </c>
      <c r="B2196" s="7145"/>
      <c r="C2196" s="262" t="str">
        <f>IF(Ki!$H$46="-",", "&amp;Ki!$D$46,"")</f>
        <v/>
      </c>
      <c r="D2196" s="21"/>
      <c r="E2196" s="3613"/>
      <c r="G2196" s="443" t="str">
        <f>IF(Místicos!H25&gt;0,", "&amp;Místicos!H25&amp;" "&amp;Místicos!C25&amp;IF(I2196="",""," ("&amp;LEFT(I2196,LEN(I2196)-2)&amp;")"),"")</f>
        <v/>
      </c>
      <c r="H2196" s="21"/>
      <c r="I2196" s="532" t="str">
        <f>IFERROR(HLOOKUP(Místicos!C25,Tablas!$C$1265:$M$1287,23,0),"")</f>
        <v/>
      </c>
      <c r="K2196" s="3433" t="str">
        <f t="shared" si="440"/>
        <v/>
      </c>
      <c r="L2196" s="21"/>
      <c r="M2196" s="1923"/>
      <c r="N2196" s="3479" t="str">
        <f t="shared" si="426"/>
        <v/>
      </c>
      <c r="O2196" s="763" t="b">
        <f>OR(AND($S$2138,PDs!E198&lt;&gt;""),AND(NOT(PDs!$AA$198="-"),OR(PDs!T198&gt;4,PDs!W198&gt;0,PDs!X198&gt;0,$G$315&gt;0)))</f>
        <v>0</v>
      </c>
      <c r="P2196" s="539" t="str">
        <f>IF(PDs!E198="","Secundaria Personal 3",PDs!E198)</f>
        <v>Secundaria Personal 3</v>
      </c>
      <c r="Q2196" s="538" t="str">
        <f>PDs!AA198</f>
        <v>-</v>
      </c>
      <c r="R2196" s="537" t="str">
        <f>IF(PDs!I198=0,"",P2196&amp;" ("&amp;PDs!I198&amp;")")</f>
        <v/>
      </c>
      <c r="S2196" s="537">
        <f>PDs!AF198</f>
        <v>0</v>
      </c>
      <c r="T2196" s="537"/>
      <c r="U2196" s="1094"/>
      <c r="V2196" s="1094"/>
      <c r="W2196" s="537" t="str">
        <f t="shared" si="441"/>
        <v>-</v>
      </c>
      <c r="X2196" s="537" t="str">
        <f t="shared" si="442"/>
        <v/>
      </c>
      <c r="Y2196" s="537" t="str">
        <f t="shared" si="433"/>
        <v/>
      </c>
      <c r="Z2196" s="1094" t="str">
        <f t="shared" si="434"/>
        <v/>
      </c>
      <c r="AA2196" s="537" t="str">
        <f t="shared" si="443"/>
        <v/>
      </c>
      <c r="AB2196" s="537" t="str">
        <f t="shared" si="437"/>
        <v>Secundaria Personal 3 -</v>
      </c>
      <c r="AC2196" s="539">
        <f t="shared" si="439"/>
        <v>47</v>
      </c>
      <c r="AD2196" s="536" t="str">
        <f t="shared" si="438"/>
        <v/>
      </c>
      <c r="AE2196" s="8188"/>
      <c r="AF2196" s="1171">
        <f>Principal!O76</f>
        <v>0</v>
      </c>
    </row>
    <row r="2197" spans="1:32" ht="12.75" customHeight="1" thickBot="1">
      <c r="A2197" s="219">
        <v>2091</v>
      </c>
      <c r="B2197" s="7145"/>
      <c r="C2197" s="262" t="str">
        <f>IF(Ki!$H$47="-",", "&amp;Ki!$D$47,"")</f>
        <v/>
      </c>
      <c r="D2197" s="21"/>
      <c r="E2197" s="3613"/>
      <c r="G2197" s="2522" t="str">
        <f>IF(Místicos!H26&gt;0,", "&amp;Místicos!H26&amp;" "&amp;Místicos!C26&amp;IF(AND(I2197&lt;&gt;"",Resumen!$AP$54="Sí")," ("&amp;LEFT(I2197,LEN(I2197)-2)&amp;")",""),"")</f>
        <v/>
      </c>
      <c r="H2197" s="2521"/>
      <c r="I2197" s="2523" t="str">
        <f>Místicos!$BA$6</f>
        <v/>
      </c>
      <c r="K2197" s="445" t="str">
        <f t="shared" si="440"/>
        <v/>
      </c>
      <c r="L2197" s="3464"/>
      <c r="M2197" s="3480"/>
      <c r="N2197" s="3481" t="str">
        <f t="shared" si="426"/>
        <v/>
      </c>
      <c r="O2197" s="763" t="b">
        <f>OR(AND($S$2138,PDs!E199&lt;&gt;""),AND(NOT(PDs!$AA$199="-"),OR(PDs!T199&gt;4,PDs!W199&gt;0,PDs!X199&gt;0,$G$315&gt;0)))</f>
        <v>0</v>
      </c>
      <c r="P2197" s="539" t="str">
        <f>IF(PDs!E199="","Secundaria Personal 4",PDs!E199)</f>
        <v>Secundaria Personal 4</v>
      </c>
      <c r="Q2197" s="538" t="str">
        <f>PDs!AA199</f>
        <v>-</v>
      </c>
      <c r="R2197" s="537" t="str">
        <f>IF(PDs!I199=0,"",P2197&amp;" ("&amp;PDs!I199&amp;")")</f>
        <v/>
      </c>
      <c r="S2197" s="537">
        <f>PDs!AF199</f>
        <v>0</v>
      </c>
      <c r="T2197" s="537"/>
      <c r="U2197" s="1094"/>
      <c r="V2197" s="1094"/>
      <c r="W2197" s="537" t="str">
        <f t="shared" si="441"/>
        <v>-</v>
      </c>
      <c r="X2197" s="537" t="str">
        <f t="shared" si="442"/>
        <v/>
      </c>
      <c r="Y2197" s="537" t="str">
        <f t="shared" si="433"/>
        <v/>
      </c>
      <c r="Z2197" s="1094" t="str">
        <f t="shared" si="434"/>
        <v/>
      </c>
      <c r="AA2197" s="537" t="str">
        <f t="shared" si="443"/>
        <v/>
      </c>
      <c r="AB2197" s="537" t="str">
        <f t="shared" si="437"/>
        <v>Secundaria Personal 4 -</v>
      </c>
      <c r="AC2197" s="539">
        <f t="shared" si="439"/>
        <v>48</v>
      </c>
      <c r="AD2197" s="536" t="str">
        <f t="shared" si="438"/>
        <v/>
      </c>
      <c r="AE2197" s="8189"/>
      <c r="AF2197" s="1171">
        <f>Principal!O77</f>
        <v>0</v>
      </c>
    </row>
    <row r="2198" spans="1:32" ht="12.75" customHeight="1" thickBot="1">
      <c r="A2198" s="219">
        <v>2092</v>
      </c>
      <c r="B2198" s="7145"/>
      <c r="C2198" s="262" t="str">
        <f>IF(Ki!$H$48="-",", "&amp;Ki!$C$48,"")</f>
        <v/>
      </c>
      <c r="D2198" s="21"/>
      <c r="E2198" s="3613"/>
      <c r="G2198" s="2524" t="str">
        <f>IF(Metamagia!$T$37&gt;0,", "&amp;Metamagia!$T$37&amp;" Metamagia"&amp;IF(Resumen!$AP$56="Sí"," ("&amp;RIGHT(I2198,LEN(I2198)-2)&amp;")",""),"")</f>
        <v/>
      </c>
      <c r="H2198" s="2525"/>
      <c r="I2198" s="2526"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198" s="445" t="str">
        <f t="shared" si="440"/>
        <v/>
      </c>
      <c r="L2198" s="3464"/>
      <c r="M2198" s="3480"/>
      <c r="N2198" s="3481" t="str">
        <f t="shared" si="426"/>
        <v/>
      </c>
      <c r="O2198" s="1090" t="b">
        <f>OR(AND($S$2138,PDs!E200&lt;&gt;""),AND(NOT(PDs!$AA$200="-"),OR(PDs!T200&gt;4,PDs!W200&gt;0,PDs!X200&gt;0,$G$315&gt;0)))</f>
        <v>0</v>
      </c>
      <c r="P2198" s="1091" t="str">
        <f>IF(PDs!E200="","Secundaria Personal 5",PDs!E200)</f>
        <v>Secundaria Personal 5</v>
      </c>
      <c r="Q2198" s="1092" t="str">
        <f>PDs!AA200</f>
        <v>-</v>
      </c>
      <c r="R2198" s="1005" t="str">
        <f>IF(PDs!I200=0,"",P2198&amp;" ("&amp;PDs!I200&amp;")")</f>
        <v/>
      </c>
      <c r="S2198" s="1005">
        <f>PDs!AF200</f>
        <v>0</v>
      </c>
      <c r="T2198" s="1005"/>
      <c r="U2198" s="1095"/>
      <c r="V2198" s="1095"/>
      <c r="W2198" s="1005" t="str">
        <f t="shared" si="441"/>
        <v>-</v>
      </c>
      <c r="X2198" s="1005" t="str">
        <f t="shared" si="442"/>
        <v/>
      </c>
      <c r="Y2198" s="1005" t="str">
        <f t="shared" si="433"/>
        <v/>
      </c>
      <c r="Z2198" s="1095" t="str">
        <f t="shared" si="434"/>
        <v/>
      </c>
      <c r="AA2198" s="1005" t="str">
        <f t="shared" si="443"/>
        <v/>
      </c>
      <c r="AB2198" s="1005" t="str">
        <f t="shared" si="437"/>
        <v>Secundaria Personal 5 -</v>
      </c>
      <c r="AC2198" s="1091">
        <f t="shared" si="439"/>
        <v>49</v>
      </c>
      <c r="AD2198" s="1001" t="str">
        <f t="shared" si="438"/>
        <v/>
      </c>
      <c r="AF2198" s="1171">
        <f>Principal!O78</f>
        <v>0</v>
      </c>
    </row>
    <row r="2199" spans="1:32" ht="12.75" customHeight="1" thickBot="1">
      <c r="A2199" s="219">
        <v>2093</v>
      </c>
      <c r="B2199" s="7145"/>
      <c r="C2199" s="262" t="str">
        <f>IF(Ki!$H$49="-",", "&amp;Ki!$D$49,"")</f>
        <v/>
      </c>
      <c r="D2199" s="21"/>
      <c r="E2199" s="3613"/>
      <c r="K2199" s="445" t="str">
        <f t="shared" si="440"/>
        <v/>
      </c>
      <c r="L2199" s="3464"/>
      <c r="M2199" s="3480"/>
      <c r="N2199" s="3481" t="str">
        <f t="shared" si="426"/>
        <v/>
      </c>
    </row>
    <row r="2200" spans="1:32" ht="12.75" customHeight="1" thickBot="1">
      <c r="A2200" s="219">
        <v>2094</v>
      </c>
      <c r="B2200" s="7145"/>
      <c r="C2200" s="262" t="str">
        <f>IF(Ki!$H$50="-",", "&amp;Ki!$C$50,"")</f>
        <v/>
      </c>
      <c r="D2200" s="21"/>
      <c r="E2200" s="3613"/>
      <c r="G2200" s="6341" t="s">
        <v>9211</v>
      </c>
      <c r="H2200" s="6342"/>
      <c r="I2200" s="6342"/>
      <c r="J2200" s="6343"/>
      <c r="K2200" s="7919" t="str">
        <f>MID(K2142&amp;K2143&amp;K2144&amp;K2145&amp;K2146&amp;K2147&amp;K2148&amp;K2149&amp;K2150&amp;K2151&amp;K2152&amp;K2153&amp;K2154&amp;K2155&amp;K2156&amp;K2157&amp;K2158&amp;K2159&amp;K2160&amp;K2161&amp;K2162&amp;K2163&amp;K2164&amp;K2165&amp;K2166&amp;K2167&amp;K2168&amp;K2169&amp;K2170&amp;K2171&amp;K2172&amp;K2173&amp;K2174&amp;K2175&amp;K2176&amp;K2177&amp;K2178&amp;K2179&amp;K2180&amp;K2181&amp;K2182&amp;K2183&amp;K2184&amp;K2185&amp;K2186&amp;K2187&amp;K2188&amp;K2189&amp;K2190&amp;K2191&amp;K2192&amp;K2193&amp;K2194&amp;K2195&amp;K2196&amp;K2197,3,1000)</f>
        <v/>
      </c>
      <c r="L2200" s="7920"/>
      <c r="M2200" s="1922"/>
      <c r="N2200" s="1924" t="str">
        <f>MID(N2142&amp;N2143&amp;N2144&amp;N2145&amp;N2146&amp;N2147&amp;N2148&amp;N2149&amp;N2150&amp;N2151&amp;N2152&amp;N2153&amp;N2154&amp;N2155&amp;N2156&amp;N2157&amp;N2158&amp;N2159&amp;N2160&amp;N2161&amp;N2162&amp;N2163&amp;N2164&amp;N2165&amp;N2166&amp;N2167&amp;N2168&amp;N2169&amp;N2170&amp;N2171&amp;N2172&amp;N2173&amp;N2174&amp;N2175&amp;N2176&amp;N2177&amp;N2178&amp;N2179&amp;N2180&amp;N2181&amp;N2182&amp;N2183&amp;N2184&amp;N2185&amp;N2186&amp;N2187&amp;N2188&amp;N2189&amp;N2190&amp;N2191&amp;N2192&amp;N2193&amp;N2194&amp;N2195&amp;N2196&amp;N2197,3,1000)</f>
        <v/>
      </c>
    </row>
    <row r="2201" spans="1:32" ht="12.75" customHeight="1">
      <c r="A2201" s="219">
        <v>2095</v>
      </c>
      <c r="B2201" s="7145"/>
      <c r="C2201" s="262" t="str">
        <f>IF(Ki!$H$51="-",", "&amp;Ki!$D$51,"")</f>
        <v/>
      </c>
      <c r="D2201" s="21"/>
      <c r="E2201" s="3613"/>
      <c r="G2201" s="2068" t="s">
        <v>1300</v>
      </c>
      <c r="H2201" s="2501">
        <v>1</v>
      </c>
      <c r="I2201" s="2500">
        <v>2</v>
      </c>
      <c r="J2201" s="2502">
        <v>3</v>
      </c>
    </row>
    <row r="2202" spans="1:32" ht="12.75" customHeight="1">
      <c r="A2202" s="219">
        <v>2096</v>
      </c>
      <c r="B2202" s="7145"/>
      <c r="C2202" s="262" t="str">
        <f>IF(Ki!$H$52="-",", "&amp;Ki!$C$52,"")</f>
        <v/>
      </c>
      <c r="D2202" s="21"/>
      <c r="E2202" s="3613"/>
      <c r="G2202" s="1640" t="s">
        <v>1390</v>
      </c>
      <c r="H2202" s="2066" t="str">
        <f>IF($G289&gt;0,$G2202&amp;IF(Personalización!L11&lt;&gt;"",": "&amp;Personalización!L11,IF(Personalización!N11&lt;&gt;"",": "&amp;Personalización!N11,IF(Personalización!P11&lt;&gt;"",": "&amp;Personalización!P11,""))),"")</f>
        <v/>
      </c>
      <c r="I2202" s="2066" t="str">
        <f>IF($G289&gt;1,$G2202&amp;IF(Personalización!N11&lt;&gt;"",": "&amp;Personalización!N11,IF(Personalización!P11&lt;&gt;"",": "&amp;Personalización!P11,"")),"")</f>
        <v/>
      </c>
      <c r="J2202" s="2067" t="str">
        <f>IF($G289&gt;2,$G2202&amp;IF(Personalización!P11&lt;&gt;"",": "&amp;Personalización!P11,""),"")</f>
        <v/>
      </c>
    </row>
    <row r="2203" spans="1:32" ht="12.75" customHeight="1">
      <c r="A2203" s="219">
        <v>2097</v>
      </c>
      <c r="B2203" s="7145"/>
      <c r="C2203" s="262" t="str">
        <f>IF(Ki!$H$53="-",", "&amp;Ki!$D$53,"")</f>
        <v/>
      </c>
      <c r="D2203" s="21"/>
      <c r="E2203" s="3613"/>
      <c r="G2203" s="1640" t="s">
        <v>1392</v>
      </c>
      <c r="H2203" s="2066" t="str">
        <f>IF($G290&gt;0,$G2203&amp;IF(Personalización!L12&lt;&gt;"",": "&amp;Personalización!L12,IF(Personalización!N12&lt;&gt;"",": "&amp;Personalización!N12,IF(Personalización!P12&lt;&gt;"",": "&amp;Personalización!P12,""))),"")</f>
        <v/>
      </c>
      <c r="I2203" s="2066" t="str">
        <f>IF($G290&gt;1,$G2203&amp;IF(Personalización!N12&lt;&gt;"",": "&amp;Personalización!N12,IF(Personalización!P12&lt;&gt;"",": "&amp;Personalización!P12,"")),"")</f>
        <v/>
      </c>
      <c r="J2203" s="2067" t="str">
        <f>IF($G290&gt;2,$G2203&amp;IF(Personalización!P12&lt;&gt;"",": "&amp;Personalización!P12,""),"")</f>
        <v/>
      </c>
    </row>
    <row r="2204" spans="1:32" ht="12.75" customHeight="1">
      <c r="A2204" s="219">
        <v>2098</v>
      </c>
      <c r="B2204" s="7145"/>
      <c r="C2204" s="262" t="str">
        <f>IF(Ki!$H$54="-",", "&amp;Ki!$C$54,"")</f>
        <v/>
      </c>
      <c r="D2204" s="21"/>
      <c r="E2204" s="3613"/>
      <c r="G2204" s="1640" t="s">
        <v>9651</v>
      </c>
      <c r="H2204" s="2066" t="str">
        <f>IF($G298&gt;0,$G2204&amp;IF(Personalización!L13&lt;&gt;"",": "&amp;Personalización!L13,IF(Personalización!N13&lt;&gt;"",": "&amp;Personalización!N13,IF(Personalización!P13&lt;&gt;"",": "&amp;Personalización!P13,""))),"")</f>
        <v/>
      </c>
      <c r="I2204" s="2066" t="str">
        <f>IF($G298&gt;1,$G2204&amp;IF(Personalización!N13&lt;&gt;"",": "&amp;Personalización!N13,IF(Personalización!P13&lt;&gt;"",": "&amp;Personalización!P13,"")),"")</f>
        <v/>
      </c>
      <c r="J2204" s="2067" t="str">
        <f>IF($G298&gt;2,$G2204&amp;IF(Personalización!P13&lt;&gt;"",": "&amp;Personalización!P13,""),"")</f>
        <v/>
      </c>
    </row>
    <row r="2205" spans="1:32" ht="12.75" customHeight="1">
      <c r="A2205" s="219">
        <v>2099</v>
      </c>
      <c r="B2205" s="7145"/>
      <c r="C2205" s="262" t="str">
        <f>IF(Ki!$H$55="-",", "&amp;Ki!$C$55,"")</f>
        <v/>
      </c>
      <c r="D2205" s="21"/>
      <c r="E2205" s="3613"/>
      <c r="G2205" s="1640" t="s">
        <v>9652</v>
      </c>
      <c r="H2205" s="2066" t="str">
        <f>IF($G299&gt;0,$G2205&amp;IF(Personalización!L14&lt;&gt;"",": "&amp;Personalización!L14,IF(Personalización!N14&lt;&gt;"",": "&amp;Personalización!N14,IF(Personalización!P14&lt;&gt;"",": "&amp;Personalización!P14,""))),"")</f>
        <v/>
      </c>
      <c r="I2205" s="2066" t="str">
        <f>IF($G299&gt;1,$G2205&amp;IF(Personalización!N14&lt;&gt;"",": "&amp;Personalización!N14,IF(Personalización!P14&lt;&gt;"",": "&amp;Personalización!P14,"")),"")</f>
        <v/>
      </c>
      <c r="J2205" s="2067" t="str">
        <f>IF($G299&gt;2,$G2205&amp;IF(Personalización!P14&lt;&gt;"",": "&amp;Personalización!P14,""),"")</f>
        <v/>
      </c>
    </row>
    <row r="2206" spans="1:32" ht="12.75" customHeight="1">
      <c r="A2206" s="219">
        <v>2100</v>
      </c>
      <c r="B2206" s="7145"/>
      <c r="C2206" s="262" t="str">
        <f>IF(Ki!$H$56="-",", "&amp;Ki!$D$56,"")</f>
        <v/>
      </c>
      <c r="D2206" s="21"/>
      <c r="E2206" s="3613"/>
      <c r="G2206" s="1640" t="s">
        <v>9653</v>
      </c>
      <c r="H2206" s="2066" t="str">
        <f>IF($G300&gt;0,$G2206&amp;IF(Personalización!L15&lt;&gt;"",": "&amp;Personalización!L15,IF(Personalización!N15&lt;&gt;"",": "&amp;Personalización!N15,IF(Personalización!P15&lt;&gt;"",": "&amp;Personalización!P15,""))),"")</f>
        <v/>
      </c>
      <c r="I2206" s="2066" t="str">
        <f>IF($G300&gt;1,$G2206&amp;IF(Personalización!N15&lt;&gt;"",": "&amp;Personalización!N15,IF(Personalización!P15&lt;&gt;"",": "&amp;Personalización!P15,"")),"")</f>
        <v/>
      </c>
      <c r="J2206" s="2067" t="str">
        <f>IF($G300&gt;2,$G2206&amp;IF(Personalización!P15&lt;&gt;"",": "&amp;Personalización!P15,""),"")</f>
        <v/>
      </c>
    </row>
    <row r="2207" spans="1:32" ht="12.75" customHeight="1" thickBot="1">
      <c r="A2207" s="219">
        <v>2101</v>
      </c>
      <c r="B2207" s="7145"/>
      <c r="C2207" s="262" t="str">
        <f>IF(Ki!$H$57="-",", "&amp;Ki!$D$57,"")</f>
        <v/>
      </c>
      <c r="D2207" s="21"/>
      <c r="E2207" s="3613"/>
      <c r="G2207" s="1641" t="s">
        <v>2360</v>
      </c>
      <c r="H2207" s="309" t="str">
        <f>IF($P$273&gt;0,G2207&amp;IF(Personalización!Z104&lt;&gt;"",": "&amp;Personalización!Z104,""),"")</f>
        <v/>
      </c>
      <c r="I2207" s="309"/>
      <c r="J2207" s="572"/>
    </row>
    <row r="2208" spans="1:32" ht="12.75" customHeight="1">
      <c r="A2208" s="219">
        <v>2102</v>
      </c>
      <c r="B2208" s="7145"/>
      <c r="C2208" s="262" t="str">
        <f>IF(CuerpodeVacío,", "&amp;Ki!$C$58,"")</f>
        <v/>
      </c>
      <c r="D2208" s="21"/>
      <c r="E2208" s="3613"/>
    </row>
    <row r="2209" spans="1:8" ht="12.75" customHeight="1" thickBot="1">
      <c r="A2209" s="219">
        <v>2103</v>
      </c>
      <c r="B2209" s="7145"/>
      <c r="C2209" s="262" t="str">
        <f>IF(Ki!$H$59="-",", "&amp;Ki!$D$59,"")</f>
        <v/>
      </c>
      <c r="D2209" s="21"/>
      <c r="E2209" s="3613"/>
    </row>
    <row r="2210" spans="1:8" ht="12.75" customHeight="1" thickBot="1">
      <c r="A2210" s="219">
        <v>2104</v>
      </c>
      <c r="B2210" s="7145"/>
      <c r="C2210" s="262" t="str">
        <f>IF(Ki!$H$60="-",", "&amp;Ki!$D$60,"")</f>
        <v/>
      </c>
      <c r="D2210" s="21"/>
      <c r="E2210" s="3613"/>
      <c r="G2210" s="4372" t="s">
        <v>601</v>
      </c>
      <c r="H2210" s="4372"/>
    </row>
    <row r="2211" spans="1:8" ht="12.75" customHeight="1" thickBot="1">
      <c r="A2211" s="219">
        <v>2105</v>
      </c>
      <c r="B2211" s="7145"/>
      <c r="C2211" s="262" t="str">
        <f>IF(Ki!$H$61="-",", "&amp;Ki!$D$61,"")</f>
        <v/>
      </c>
      <c r="D2211" s="21"/>
      <c r="E2211" s="3613"/>
      <c r="G2211" s="4372"/>
      <c r="H2211" s="4372"/>
    </row>
    <row r="2212" spans="1:8" ht="12.75" customHeight="1">
      <c r="A2212" s="219">
        <v>2106</v>
      </c>
      <c r="B2212" s="7145"/>
      <c r="C2212" s="262" t="str">
        <f>IF(Ki!$H$62="-",", "&amp;Ki!$D$62,"")</f>
        <v/>
      </c>
      <c r="D2212" s="21"/>
      <c r="E2212" s="3613"/>
      <c r="G2212" s="35" t="str">
        <f>IF(Combate!AB55="","",IF(SUM(Ki!U23:U37)=0,"Magnus ("&amp;Combate!AB55&amp;")",", Magnus ("&amp;Combate!AB55&amp;")"))</f>
        <v/>
      </c>
      <c r="H2212" s="36"/>
    </row>
    <row r="2213" spans="1:8" ht="12.75" customHeight="1">
      <c r="A2213" s="219">
        <v>2107</v>
      </c>
      <c r="B2213" s="7145"/>
      <c r="C2213" s="262" t="str">
        <f>IF(Ki!$H$63="-",", "&amp;Ki!$E$63,"")</f>
        <v/>
      </c>
      <c r="D2213" s="21"/>
      <c r="E2213" s="3613"/>
      <c r="G2213" s="35" t="str">
        <f>IF(Combate!AB57="","",", Magnus ("&amp;Combate!AB57&amp;")")</f>
        <v/>
      </c>
      <c r="H2213" s="36"/>
    </row>
    <row r="2214" spans="1:8" ht="12.75" customHeight="1">
      <c r="A2214" s="219">
        <v>2108</v>
      </c>
      <c r="B2214" s="7145"/>
      <c r="C2214" s="262" t="str">
        <f>IF(Ki!$H$64="-",", "&amp;Ki!$D$64,"")</f>
        <v/>
      </c>
      <c r="D2214" s="21"/>
      <c r="E2214" s="3613"/>
      <c r="G2214" s="35" t="str">
        <f>IF(Combate!AB59="","",", Magnus ("&amp;Combate!AB59&amp;")")</f>
        <v/>
      </c>
      <c r="H2214" s="36"/>
    </row>
    <row r="2215" spans="1:8" ht="12.75" customHeight="1">
      <c r="A2215" s="219">
        <v>2109</v>
      </c>
      <c r="B2215" s="7145"/>
      <c r="C2215" s="262" t="str">
        <f>IF(Ki!$H$65="-",", "&amp;Ki!$C$65,"")</f>
        <v/>
      </c>
      <c r="D2215" s="21"/>
      <c r="E2215" s="3613"/>
      <c r="G2215" s="35" t="str">
        <f>IF(Combate!AB61="","",", Magnus ("&amp;Combate!AB61&amp;")")</f>
        <v/>
      </c>
      <c r="H2215" s="36"/>
    </row>
    <row r="2216" spans="1:8" ht="12.75" customHeight="1" thickBot="1">
      <c r="A2216" s="219">
        <v>2110</v>
      </c>
      <c r="B2216" s="7145"/>
      <c r="C2216" s="262" t="str">
        <f>IF(Ki!$H$66="-",", "&amp;Ki!$D$66,"")</f>
        <v/>
      </c>
      <c r="D2216" s="21"/>
      <c r="E2216" s="3613"/>
      <c r="G2216" s="65" t="str">
        <f>IF(Combate!AB63="","",", Magnus ("&amp;Combate!AB63&amp;")")</f>
        <v/>
      </c>
      <c r="H2216" s="67"/>
    </row>
    <row r="2217" spans="1:8" ht="12.75" customHeight="1">
      <c r="A2217" s="219">
        <v>2111</v>
      </c>
      <c r="B2217" s="7145"/>
      <c r="C2217" s="262" t="str">
        <f>IF(Ki!$H$67="-",", "&amp;Ki!$C$67,"")</f>
        <v/>
      </c>
      <c r="D2217" s="21"/>
      <c r="E2217" s="3613"/>
      <c r="H2217"/>
    </row>
    <row r="2218" spans="1:8" ht="12.75" customHeight="1">
      <c r="A2218" s="219">
        <v>2112</v>
      </c>
      <c r="B2218" s="7145"/>
      <c r="C2218" s="262" t="str">
        <f>IF(Ki!$H$68="-",", "&amp;Ki!$D$68,"")</f>
        <v/>
      </c>
      <c r="D2218" s="21"/>
      <c r="E2218" s="3613"/>
      <c r="G2218" s="310"/>
      <c r="H2218" s="310"/>
    </row>
    <row r="2219" spans="1:8" ht="12.75" customHeight="1">
      <c r="A2219" s="219">
        <v>2113</v>
      </c>
      <c r="B2219" s="7145"/>
      <c r="C2219" s="262" t="str">
        <f>IF(Ki!$H$69="-",", "&amp;Ki!$E$69,"")</f>
        <v/>
      </c>
      <c r="D2219" s="21"/>
      <c r="E2219" s="3613"/>
      <c r="G2219" s="310"/>
      <c r="H2219" s="310"/>
    </row>
    <row r="2220" spans="1:8" ht="12.75" customHeight="1">
      <c r="A2220" s="219">
        <v>2114</v>
      </c>
      <c r="B2220" s="7145"/>
      <c r="C2220" s="262" t="str">
        <f>IF(Tablas!$AI$50,", "&amp;"Inhumanidad","")</f>
        <v/>
      </c>
      <c r="D2220" s="21"/>
      <c r="E2220" s="3613"/>
      <c r="G2220" s="310"/>
      <c r="H2220" s="310"/>
    </row>
    <row r="2221" spans="1:8" ht="12.75" customHeight="1">
      <c r="A2221" s="219">
        <v>2115</v>
      </c>
      <c r="B2221" s="7145"/>
      <c r="C2221" s="262" t="str">
        <f>IF(Tablas!$AJ$50,", "&amp;"Zen","")</f>
        <v/>
      </c>
      <c r="D2221" s="21"/>
      <c r="E2221" s="3613"/>
      <c r="G2221" s="310"/>
      <c r="H2221" s="310"/>
    </row>
    <row r="2222" spans="1:8" ht="12.75" customHeight="1">
      <c r="A2222" s="219">
        <v>2116</v>
      </c>
      <c r="B2222" s="7145"/>
      <c r="C2222" s="262" t="str">
        <f>IF(Ki!$C$40="","",", "&amp;Ki!$C$40)</f>
        <v/>
      </c>
      <c r="D2222" s="21"/>
      <c r="E2222" s="3613"/>
      <c r="G2222" s="310"/>
      <c r="H2222" s="310"/>
    </row>
    <row r="2223" spans="1:8" ht="12.75" customHeight="1">
      <c r="A2223" s="219">
        <v>2117</v>
      </c>
      <c r="B2223" s="7145"/>
      <c r="C2223" s="262" t="str">
        <f>IF(Ki!$C$41="","",", "&amp;Ki!$C$41)</f>
        <v/>
      </c>
      <c r="D2223" s="21"/>
      <c r="E2223" s="3613"/>
      <c r="G2223" s="310"/>
      <c r="H2223" s="310"/>
    </row>
    <row r="2224" spans="1:8" ht="12.75" customHeight="1">
      <c r="A2224" s="219">
        <v>2118</v>
      </c>
      <c r="B2224" s="7145"/>
      <c r="C2224" s="262" t="str">
        <f>IF(COUNTIF($C$2263:$C$2280,"&gt;*")&gt;0,", Sellos: "&amp;IFERROR(RIGHT($C$2263&amp;$C$2264&amp;$C$2265&amp;$C$2266&amp;$C$2267&amp;$C$2268&amp;$C$2269&amp;$C$2270&amp;$C$2271&amp;$C$2272&amp;$C$2272&amp;$C$2273&amp;$C$2274&amp;$C$2275&amp;$C$2276&amp;$C$2277&amp;$C$2278&amp;$C$2279&amp;$C$2280,LEN($C$2263&amp;$C$2264&amp;$C$2265&amp;$C$2266&amp;$C$2267&amp;$C$2268&amp;$C$2269&amp;$C$2270&amp;$C$2271&amp;$C$2272&amp;$C$2273&amp;$C$2274&amp;$C$2275&amp;$C$2276&amp;$C$2277&amp;$C$2278&amp;$C$2279&amp;$C$2280)-2),""),"")</f>
        <v/>
      </c>
      <c r="D2224" s="21"/>
      <c r="E2224" s="3613"/>
      <c r="G2224" s="310"/>
      <c r="H2224" s="310"/>
    </row>
    <row r="2225" spans="1:43" ht="12.75" customHeight="1">
      <c r="A2225" s="219">
        <v>2119</v>
      </c>
      <c r="B2225" s="7145"/>
      <c r="C2225" s="262" t="str">
        <f>IF(Ki!$X$11="","",", "&amp;Ki!$V$11&amp;" menor")</f>
        <v/>
      </c>
      <c r="D2225" s="21"/>
      <c r="E2225" s="3613"/>
      <c r="G2225" s="310"/>
      <c r="H2225" s="310"/>
    </row>
    <row r="2226" spans="1:43" ht="12.75" customHeight="1">
      <c r="A2226" s="219">
        <v>2120</v>
      </c>
      <c r="B2226" s="7145"/>
      <c r="C2226" s="262" t="str">
        <f>IF(Ki!$Y$11="","",", "&amp;Ki!$V$11&amp;" mayor")</f>
        <v/>
      </c>
      <c r="D2226" s="21"/>
      <c r="E2226" s="3613"/>
      <c r="G2226" s="310"/>
      <c r="H2226" s="310"/>
    </row>
    <row r="2227" spans="1:43" ht="12.75" customHeight="1">
      <c r="A2227" s="219">
        <v>2121</v>
      </c>
      <c r="B2227" s="7145"/>
      <c r="C2227" s="262" t="str">
        <f>IF(Ki!$X$13="","",", "&amp;Ki!$V$13&amp;" menor")</f>
        <v/>
      </c>
      <c r="D2227" s="21"/>
      <c r="E2227" s="3613"/>
      <c r="G2227" s="310"/>
      <c r="H2227" s="310"/>
    </row>
    <row r="2228" spans="1:43" ht="12.75" customHeight="1">
      <c r="A2228" s="219">
        <v>2122</v>
      </c>
      <c r="B2228" s="7145"/>
      <c r="C2228" s="262" t="str">
        <f>IF(Ki!$Y$13="","",", "&amp;Ki!$V$13&amp;" mayor")</f>
        <v/>
      </c>
      <c r="D2228" s="21"/>
      <c r="E2228" s="3613"/>
      <c r="H2228"/>
      <c r="I2228" s="510"/>
    </row>
    <row r="2229" spans="1:43" ht="12.75" customHeight="1">
      <c r="A2229" s="219">
        <v>2123</v>
      </c>
      <c r="B2229" s="7145"/>
      <c r="C2229" s="262" t="str">
        <f>IF(Ki!$X$15="","",", "&amp;Ki!$V$15&amp;" menor")</f>
        <v/>
      </c>
      <c r="D2229" s="21"/>
      <c r="E2229" s="3613"/>
    </row>
    <row r="2230" spans="1:43" ht="12.75" customHeight="1">
      <c r="A2230" s="219">
        <v>2124</v>
      </c>
      <c r="B2230" s="7145"/>
      <c r="C2230" s="262" t="str">
        <f>IF(Ki!$Y$15="","",", "&amp;Ki!$V$15&amp;" mayor")</f>
        <v/>
      </c>
      <c r="D2230" s="21"/>
      <c r="E2230" s="3613"/>
    </row>
    <row r="2231" spans="1:43" ht="12.75" customHeight="1">
      <c r="A2231" s="219">
        <v>2125</v>
      </c>
      <c r="B2231" s="7145"/>
      <c r="C2231" s="262" t="str">
        <f>IF(Ki!$X$17="","",", "&amp;Ki!$V$17&amp;" menor")</f>
        <v/>
      </c>
      <c r="D2231" s="21"/>
      <c r="E2231" s="3613"/>
    </row>
    <row r="2232" spans="1:43" ht="12.75" customHeight="1">
      <c r="A2232" s="219">
        <v>2126</v>
      </c>
      <c r="B2232" s="7145"/>
      <c r="C2232" s="262" t="str">
        <f>IF(Ki!$Y$17="","",", "&amp;Ki!$V$17&amp;" mayor")</f>
        <v/>
      </c>
      <c r="D2232" s="21"/>
      <c r="E2232" s="3613"/>
      <c r="N2232"/>
      <c r="O2232" s="510"/>
    </row>
    <row r="2233" spans="1:43" ht="12.75" customHeight="1" thickBot="1">
      <c r="A2233" s="219">
        <v>2127</v>
      </c>
      <c r="B2233" s="7145"/>
      <c r="C2233" s="262" t="str">
        <f>IF(Ki!$X$19="","",", "&amp;Ki!$V$19&amp;" menor")</f>
        <v/>
      </c>
      <c r="D2233" s="21"/>
      <c r="E2233" s="3613"/>
      <c r="N2233"/>
      <c r="O2233" s="510"/>
    </row>
    <row r="2234" spans="1:43" ht="12.75" customHeight="1">
      <c r="A2234" s="219">
        <v>2128</v>
      </c>
      <c r="B2234" s="7145"/>
      <c r="C2234" s="262" t="str">
        <f>IF(Ki!$Y$19="","",", "&amp;Ki!$V$19&amp;" mayor")</f>
        <v/>
      </c>
      <c r="D2234" s="21"/>
      <c r="E2234" s="3613"/>
      <c r="J2234" s="4352" t="s">
        <v>6649</v>
      </c>
      <c r="K2234" s="4317"/>
      <c r="L2234" s="4317"/>
      <c r="M2234" s="4317"/>
      <c r="N2234" s="4317"/>
      <c r="O2234" s="4317"/>
      <c r="P2234" s="4317"/>
      <c r="Q2234" s="4317"/>
      <c r="R2234" s="4317"/>
      <c r="S2234" s="4317"/>
      <c r="T2234" s="4317"/>
      <c r="U2234" s="4317"/>
      <c r="V2234" s="4317"/>
      <c r="W2234" s="4317"/>
      <c r="X2234" s="4317"/>
      <c r="Y2234" s="4317"/>
      <c r="Z2234" s="4317"/>
      <c r="AA2234" s="4317"/>
      <c r="AB2234" s="4317"/>
      <c r="AC2234" s="4317"/>
      <c r="AD2234" s="4317"/>
      <c r="AE2234" s="4317"/>
      <c r="AF2234" s="4317"/>
      <c r="AG2234" s="4317"/>
      <c r="AH2234" s="4317"/>
      <c r="AI2234" s="4317"/>
      <c r="AJ2234" s="4317"/>
      <c r="AK2234" s="4317"/>
      <c r="AL2234" s="4317"/>
      <c r="AM2234" s="4317"/>
      <c r="AN2234" s="4317"/>
      <c r="AO2234" s="4318"/>
    </row>
    <row r="2235" spans="1:43" ht="12.75" customHeight="1">
      <c r="A2235" s="219">
        <v>2129</v>
      </c>
      <c r="B2235" s="7145"/>
      <c r="C2235" s="307" t="str">
        <f>IF(Ki!$X$23="","",", "&amp;Ki!$V$23&amp;" menor")</f>
        <v/>
      </c>
      <c r="D2235" s="304"/>
      <c r="E2235" s="3592"/>
      <c r="J2235" s="7904" t="s">
        <v>6648</v>
      </c>
      <c r="K2235" s="7889"/>
      <c r="L2235" s="7889" t="s">
        <v>6647</v>
      </c>
      <c r="M2235" s="7889"/>
      <c r="N2235" s="7889"/>
      <c r="O2235" s="7889"/>
      <c r="P2235" s="7889"/>
      <c r="Q2235" s="7889"/>
      <c r="R2235" s="7889"/>
      <c r="S2235" s="7889"/>
      <c r="T2235" s="7889"/>
      <c r="U2235" s="7889"/>
      <c r="V2235" s="7889"/>
      <c r="W2235" s="7889"/>
      <c r="X2235" s="7889"/>
      <c r="Y2235" s="7889"/>
      <c r="Z2235" s="7889"/>
      <c r="AA2235" s="7889"/>
      <c r="AB2235" s="7889"/>
      <c r="AC2235" s="7889"/>
      <c r="AD2235" s="7889"/>
      <c r="AE2235" s="7889"/>
      <c r="AF2235" s="7889"/>
      <c r="AG2235" s="7889"/>
      <c r="AH2235" s="7889"/>
      <c r="AI2235" s="7889"/>
      <c r="AJ2235" s="7889"/>
      <c r="AK2235" s="7889"/>
      <c r="AL2235" s="7889"/>
      <c r="AM2235" s="7889"/>
      <c r="AN2235" s="7889"/>
      <c r="AO2235" s="7918"/>
    </row>
    <row r="2236" spans="1:43" ht="12.75" customHeight="1">
      <c r="A2236" s="219">
        <v>2130</v>
      </c>
      <c r="B2236" s="7145"/>
      <c r="C2236" s="307" t="str">
        <f>IF(Ki!$Y$23="","",", "&amp;Ki!$V$23&amp;" mayor")</f>
        <v/>
      </c>
      <c r="D2236" s="304"/>
      <c r="E2236" s="3592"/>
      <c r="J2236" s="2426" t="s">
        <v>1225</v>
      </c>
      <c r="K2236" s="2427" t="s">
        <v>6655</v>
      </c>
      <c r="L2236" s="7896" t="str">
        <f>IF(ISNA(VLOOKUP(A1,$AP$2239:$AQ$2266,2,FALSE)),"",VLOOKUP(A1,$AP$2239:$AQ$2266,2,FALSE))</f>
        <v/>
      </c>
      <c r="M2236" s="7897"/>
      <c r="N2236" s="7897"/>
      <c r="O2236" s="7896" t="str">
        <f>IF(ISNA(VLOOKUP(B1,$AP$2239:$AQ$2266,2,FALSE)),"",VLOOKUP(B1,$AP$2239:$AQ$2266,2,FALSE))</f>
        <v/>
      </c>
      <c r="P2236" s="7897"/>
      <c r="Q2236" s="7897"/>
      <c r="R2236" s="7896" t="str">
        <f>IF(ISNA(VLOOKUP(C1,$AP$2239:$AQ$2266,2,FALSE)),"",VLOOKUP(C1,$AP$2239:$AQ$2266,2,FALSE))</f>
        <v/>
      </c>
      <c r="S2236" s="7897"/>
      <c r="T2236" s="7897"/>
      <c r="U2236" s="7896" t="str">
        <f>IF(ISNA(VLOOKUP(D1,$AP$2239:$AQ$2266,2,FALSE)),"",VLOOKUP(D1,$AP$2239:$AQ$2266,2,FALSE))</f>
        <v/>
      </c>
      <c r="V2236" s="7897"/>
      <c r="W2236" s="7897"/>
      <c r="X2236" s="7896" t="str">
        <f>IF(ISNA(VLOOKUP(E1,$AP$2239:$AQ$2266,2,FALSE)),"",VLOOKUP(E1,$AP$2239:$AQ$2266,2,FALSE))</f>
        <v/>
      </c>
      <c r="Y2236" s="7897"/>
      <c r="Z2236" s="7897"/>
      <c r="AA2236" s="7896" t="str">
        <f>IF(ISNA(VLOOKUP(F1,$AP$2239:$AQ$2266,2,FALSE)),"",VLOOKUP(F1,$AP$2239:$AQ$2266,2,FALSE))</f>
        <v/>
      </c>
      <c r="AB2236" s="7897"/>
      <c r="AC2236" s="7897"/>
      <c r="AD2236" s="7896" t="str">
        <f>IF(ISNA(VLOOKUP(G1,$AP$2239:$AQ$2266,2,FALSE)),"",VLOOKUP(G1,$AP$2239:$AQ$2266,2,FALSE))</f>
        <v/>
      </c>
      <c r="AE2236" s="7897"/>
      <c r="AF2236" s="7897"/>
      <c r="AG2236" s="7896" t="str">
        <f>IF(ISNA(VLOOKUP(H1,$AP$2239:$AQ$2266,2,FALSE)),"",VLOOKUP(H1,$AP$2239:$AQ$2266,2,FALSE))</f>
        <v/>
      </c>
      <c r="AH2236" s="7897"/>
      <c r="AI2236" s="7897"/>
      <c r="AJ2236" s="7896" t="str">
        <f>IF(ISNA(VLOOKUP(I1,$AP$2239:$AQ$2266,2,FALSE)),"",VLOOKUP(I1,$AP$2239:$AQ$2266,2,FALSE))</f>
        <v/>
      </c>
      <c r="AK2236" s="7897"/>
      <c r="AL2236" s="7897"/>
      <c r="AM2236" s="7896" t="str">
        <f>IF(ISNA(VLOOKUP(J1,$AP$2239:$AQ$2266,2,FALSE)),"",VLOOKUP(J1,$AP$2239:$AQ$2266,2,FALSE))</f>
        <v/>
      </c>
      <c r="AN2236" s="7897"/>
      <c r="AO2236" s="7933"/>
    </row>
    <row r="2237" spans="1:43" ht="12.75" customHeight="1">
      <c r="A2237" s="219">
        <v>2131</v>
      </c>
      <c r="B2237" s="7145"/>
      <c r="C2237" s="307" t="str">
        <f>IF(Ki!$X$25="","",", "&amp;Ki!$V$25&amp;" menor")</f>
        <v/>
      </c>
      <c r="D2237" s="304"/>
      <c r="E2237" s="3592"/>
      <c r="J2237" s="750" t="str">
        <f>IF(ISNA(VLOOKUP(A1,Principal!$S$42:$AH$69,10,FALSE)),"",IF(VLOOKUP(A1,Principal!$S$42:$AH$69,10,FALSE)=0,"",INDEX(PoderesDeCriatura_Adquiridos,MATCH(A1,Principal!$S$42:$S$69,0))))</f>
        <v/>
      </c>
      <c r="K2237" s="218" t="str">
        <f>J2237</f>
        <v/>
      </c>
      <c r="L2237" s="2428" t="s">
        <v>1300</v>
      </c>
      <c r="M2237" s="2429" t="s">
        <v>1225</v>
      </c>
      <c r="N2237" s="2429" t="s">
        <v>6655</v>
      </c>
      <c r="O2237" s="2428" t="s">
        <v>1300</v>
      </c>
      <c r="P2237" s="2429" t="s">
        <v>1225</v>
      </c>
      <c r="Q2237" s="2429" t="s">
        <v>6655</v>
      </c>
      <c r="R2237" s="2428" t="s">
        <v>1300</v>
      </c>
      <c r="S2237" s="2429" t="s">
        <v>1225</v>
      </c>
      <c r="T2237" s="2429" t="s">
        <v>6655</v>
      </c>
      <c r="U2237" s="2428" t="s">
        <v>1300</v>
      </c>
      <c r="V2237" s="2429" t="s">
        <v>1225</v>
      </c>
      <c r="W2237" s="2429" t="s">
        <v>6655</v>
      </c>
      <c r="X2237" s="2428" t="s">
        <v>1300</v>
      </c>
      <c r="Y2237" s="2429" t="s">
        <v>1225</v>
      </c>
      <c r="Z2237" s="2429" t="s">
        <v>6655</v>
      </c>
      <c r="AA2237" s="2428" t="s">
        <v>1300</v>
      </c>
      <c r="AB2237" s="2429" t="s">
        <v>1225</v>
      </c>
      <c r="AC2237" s="2429" t="s">
        <v>6655</v>
      </c>
      <c r="AD2237" s="2428" t="s">
        <v>1300</v>
      </c>
      <c r="AE2237" s="2429" t="s">
        <v>1225</v>
      </c>
      <c r="AF2237" s="2429" t="s">
        <v>6655</v>
      </c>
      <c r="AG2237" s="2428" t="s">
        <v>1300</v>
      </c>
      <c r="AH2237" s="2429" t="s">
        <v>1225</v>
      </c>
      <c r="AI2237" s="2430" t="s">
        <v>6655</v>
      </c>
      <c r="AJ2237" s="2428" t="s">
        <v>1300</v>
      </c>
      <c r="AK2237" s="2430" t="s">
        <v>1225</v>
      </c>
      <c r="AL2237" s="2430" t="s">
        <v>6655</v>
      </c>
      <c r="AM2237" s="2428" t="s">
        <v>1300</v>
      </c>
      <c r="AN2237" s="2430" t="s">
        <v>1225</v>
      </c>
      <c r="AO2237" s="2431" t="s">
        <v>6655</v>
      </c>
      <c r="AP2237" s="7921" t="s">
        <v>6650</v>
      </c>
      <c r="AQ2237" s="7922"/>
    </row>
    <row r="2238" spans="1:43" ht="12.75" customHeight="1">
      <c r="A2238" s="219">
        <v>2132</v>
      </c>
      <c r="B2238" s="7145"/>
      <c r="C2238" s="307" t="str">
        <f>IF(Ki!$Y$25="","",", "&amp;Ki!$V$25&amp;" mayor")</f>
        <v/>
      </c>
      <c r="D2238" s="304"/>
      <c r="E2238" s="3592"/>
      <c r="J2238" s="750" t="str">
        <f>IF(ISNA(VLOOKUP(A2,Principal!$S$42:$AH$69,10,FALSE)),"",IF(VLOOKUP(A2,Principal!$S$42:$AH$69,10,FALSE)=0,"",INDEX(PoderesDeCriatura_Adquiridos,MATCH(A2,Principal!$S$42:$S$69,0))))</f>
        <v/>
      </c>
      <c r="K2238" s="218" t="str">
        <f>IF(AND(COUNTA($K$2237:K2237)-COUNTBLANK($K$2237:K2237)&gt;0,J2238&lt;&gt;""),", ","")&amp;J2238</f>
        <v/>
      </c>
      <c r="L2238" s="2421" t="str">
        <f>IF(ISNA(INDEX(PoderesDeCriatura_AdquiridosNombres,MATCH(L$2236&amp;$A1,Principal!$U$42:$U$69,0))),"",INDEX(PoderesDeCriatura_AdquiridosNombres,MATCH(L$2236&amp;$A1,Principal!$U$42:$U$69,0)))</f>
        <v/>
      </c>
      <c r="M2238" s="2422" t="str">
        <f>IF(ISNA(INDEX(PoderesDeCriatura_Adquiridos,MATCH(L$2236&amp;$A1,Principal!$U$42:$U$69,0))),"",IF(INDEX(Principal!$AP$42:$AP$69,MATCH(L$2236&amp;$A1,Principal!$U$42:$U$69,0))&gt;0,INDEX(Principal!$AF$42:$AF$69,MATCH(L$2236&amp;$A1,Principal!$U$42:$U$69,0)),INDEX(PoderesDeCriatura_Adquiridos,MATCH(L$2236&amp;$A1,Principal!$U$42:$U$69,0))))</f>
        <v/>
      </c>
      <c r="N2238" s="758" t="str">
        <f>M2238</f>
        <v/>
      </c>
      <c r="O2238" s="2421" t="str">
        <f>IF(ISNA(INDEX(PoderesDeCriatura_AdquiridosNombres,MATCH(O$2236&amp;$A1,Principal!$U$42:$U$69,0))),"",INDEX(PoderesDeCriatura_AdquiridosNombres,MATCH(O$2236&amp;$A1,Principal!$U$42:$U$69,0)))</f>
        <v/>
      </c>
      <c r="P2238" s="2422" t="str">
        <f>IF(ISNA(INDEX(PoderesDeCriatura_Adquiridos,MATCH(O$2236&amp;$A1,Principal!$U$42:$U$69,0))),"",IF(INDEX(Principal!$AP$42:$AP$69,MATCH(O$2236&amp;$A1,Principal!$U$42:$U$69,0))&gt;0,INDEX(Principal!$AF$42:$AF$69,MATCH(O$2236&amp;$A1,Principal!$U$42:$U$69,0)),INDEX(PoderesDeCriatura_Adquiridos,MATCH(O$2236&amp;$A1,Principal!$U$42:$U$69,0))))</f>
        <v/>
      </c>
      <c r="Q2238" s="758" t="str">
        <f>P2238</f>
        <v/>
      </c>
      <c r="R2238" s="2421" t="str">
        <f>IF(ISNA(INDEX(PoderesDeCriatura_AdquiridosNombres,MATCH(R$2236&amp;$A1,Principal!$U$42:$U$69,0))),"",INDEX(PoderesDeCriatura_AdquiridosNombres,MATCH(R$2236&amp;$A1,Principal!$U$42:$U$69,0)))</f>
        <v/>
      </c>
      <c r="S2238" s="2422" t="str">
        <f>IF(ISNA(INDEX(PoderesDeCriatura_Adquiridos,MATCH(R$2236&amp;$A1,Principal!$U$42:$U$69,0))),"",IF(INDEX(Principal!$AP$42:$AP$69,MATCH(R$2236&amp;$A1,Principal!$U$42:$U$69,0))&gt;0,INDEX(Principal!$AF$42:$AF$69,MATCH(R$2236&amp;$A1,Principal!$U$42:$U$69,0)),INDEX(PoderesDeCriatura_Adquiridos,MATCH(R$2236&amp;$A1,Principal!$U$42:$U$69,0))))</f>
        <v/>
      </c>
      <c r="T2238" s="758" t="str">
        <f>S2238</f>
        <v/>
      </c>
      <c r="U2238" s="2421" t="str">
        <f>IF(ISNA(INDEX(PoderesDeCriatura_AdquiridosNombres,MATCH(U$2236&amp;$A1,Principal!$U$42:$U$69,0))),"",INDEX(PoderesDeCriatura_AdquiridosNombres,MATCH(U$2236&amp;$A1,Principal!$U$42:$U$69,0)))</f>
        <v/>
      </c>
      <c r="V2238" s="2422" t="str">
        <f>IF(ISNA(INDEX(PoderesDeCriatura_Adquiridos,MATCH(U$2236&amp;$A1,Principal!$U$42:$U$69,0))),"",IF(INDEX(Principal!$AP$42:$AP$69,MATCH(U$2236&amp;$A1,Principal!$U$42:$U$69,0))&gt;0,INDEX(Principal!$AF$42:$AF$69,MATCH(U$2236&amp;$A1,Principal!$U$42:$U$69,0)),INDEX(PoderesDeCriatura_Adquiridos,MATCH(U$2236&amp;$A1,Principal!$U$42:$U$69,0))))</f>
        <v/>
      </c>
      <c r="W2238" s="758" t="str">
        <f>V2238</f>
        <v/>
      </c>
      <c r="X2238" s="2421" t="str">
        <f>IF(ISNA(INDEX(PoderesDeCriatura_AdquiridosNombres,MATCH(X$2236&amp;$A1,Principal!$U$42:$U$69,0))),"",INDEX(PoderesDeCriatura_AdquiridosNombres,MATCH(X$2236&amp;$A1,Principal!$U$42:$U$69,0)))</f>
        <v/>
      </c>
      <c r="Y2238" s="2422" t="str">
        <f>IF(ISNA(INDEX(PoderesDeCriatura_Adquiridos,MATCH(X$2236&amp;$A1,Principal!$U$42:$U$69,0))),"",IF(INDEX(Principal!$AP$42:$AP$69,MATCH(X$2236&amp;$A1,Principal!$U$42:$U$69,0))&gt;0,INDEX(Principal!$AF$42:$AF$69,MATCH(X$2236&amp;$A1,Principal!$U$42:$U$69,0)),INDEX(PoderesDeCriatura_Adquiridos,MATCH(X$2236&amp;$A1,Principal!$U$42:$U$69,0))))</f>
        <v/>
      </c>
      <c r="Z2238" s="758" t="str">
        <f>Y2238</f>
        <v/>
      </c>
      <c r="AA2238" s="2421" t="str">
        <f>IF(ISNA(INDEX(PoderesDeCriatura_AdquiridosNombres,MATCH(AA$2236&amp;$A1,Principal!$U$42:$U$69,0))),"",INDEX(PoderesDeCriatura_AdquiridosNombres,MATCH(AA$2236&amp;$A1,Principal!$U$42:$U$69,0)))</f>
        <v/>
      </c>
      <c r="AB2238" s="2422" t="str">
        <f>IF(ISNA(INDEX(PoderesDeCriatura_Adquiridos,MATCH(AA$2236&amp;$A1,Principal!$U$42:$U$69,0))),"",IF(INDEX(Principal!$AP$42:$AP$69,MATCH(AA$2236&amp;$A1,Principal!$U$42:$U$69,0))&gt;0,INDEX(Principal!$AF$42:$AF$69,MATCH(AA$2236&amp;$A1,Principal!$U$42:$U$69,0)),INDEX(PoderesDeCriatura_Adquiridos,MATCH(AA$2236&amp;$A1,Principal!$U$42:$U$69,0))))</f>
        <v/>
      </c>
      <c r="AC2238" s="758" t="str">
        <f>AB2238</f>
        <v/>
      </c>
      <c r="AD2238" s="2421" t="str">
        <f>IF(ISNA(INDEX(PoderesDeCriatura_AdquiridosNombres,MATCH(AD$2236&amp;$A1,Principal!$U$42:$U$69,0))),"",INDEX(PoderesDeCriatura_AdquiridosNombres,MATCH(AD$2236&amp;$A1,Principal!$U$42:$U$69,0)))</f>
        <v/>
      </c>
      <c r="AE2238" s="2422" t="str">
        <f>IF(ISNA(INDEX(PoderesDeCriatura_Adquiridos,MATCH(AD$2236&amp;$A1,Principal!$U$42:$U$69,0))),"",IF(INDEX(Principal!$AP$42:$AP$69,MATCH(AD$2236&amp;$A1,Principal!$U$42:$U$69,0))&gt;0,INDEX(Principal!$AF$42:$AF$69,MATCH(AD$2236&amp;$A1,Principal!$U$42:$U$69,0)),INDEX(PoderesDeCriatura_Adquiridos,MATCH(AD$2236&amp;$A1,Principal!$U$42:$U$69,0))))</f>
        <v/>
      </c>
      <c r="AF2238" s="758" t="str">
        <f>AE2238</f>
        <v/>
      </c>
      <c r="AG2238" s="2421" t="str">
        <f>IF(ISNA(INDEX(PoderesDeCriatura_AdquiridosNombres,MATCH(AG$2236&amp;$A1,Principal!$U$42:$U$69,0))),"",INDEX(PoderesDeCriatura_AdquiridosNombres,MATCH(AG$2236&amp;$A1,Principal!$U$42:$U$69,0)))</f>
        <v/>
      </c>
      <c r="AH2238" s="2422" t="str">
        <f>IF(ISNA(INDEX(PoderesDeCriatura_Adquiridos,MATCH(AG$2236&amp;$A1,Principal!$U$42:$U$69,0))),"",IF(INDEX(Principal!$AP$42:$AP$69,MATCH(AG$2236&amp;$A1,Principal!$U$42:$U$69,0))&gt;0,INDEX(Principal!$AF$42:$AF$69,MATCH(AG$2236&amp;$A1,Principal!$U$42:$U$69,0)),INDEX(PoderesDeCriatura_Adquiridos,MATCH(AG$2236&amp;$A1,Principal!$U$42:$U$69,0))))</f>
        <v/>
      </c>
      <c r="AI2238" s="758" t="str">
        <f>AH2238</f>
        <v/>
      </c>
      <c r="AJ2238" s="2421" t="str">
        <f>IF(ISNA(INDEX(PoderesDeCriatura_AdquiridosNombres,MATCH(AJ$2236&amp;$A1,Principal!$U$42:$U$69,0))),"",INDEX(PoderesDeCriatura_AdquiridosNombres,MATCH(AJ$2236&amp;$A1,Principal!$U$42:$U$69,0)))</f>
        <v/>
      </c>
      <c r="AK2238" s="2422" t="str">
        <f>IF(ISNA(INDEX(PoderesDeCriatura_Adquiridos,MATCH(AJ$2236&amp;$A1,Principal!$U$42:$U$69,0))),"",IF(INDEX(Principal!$AP$42:$AP$69,MATCH(AJ$2236&amp;$A1,Principal!$U$42:$U$69,0))&gt;0,INDEX(Principal!$AF$42:$AF$69,MATCH(AJ$2236&amp;$A1,Principal!$U$42:$U$69,0)),INDEX(PoderesDeCriatura_Adquiridos,MATCH(AJ$2236&amp;$A1,Principal!$U$42:$U$69,0))))</f>
        <v/>
      </c>
      <c r="AL2238" s="758" t="str">
        <f>AK2238</f>
        <v/>
      </c>
      <c r="AM2238" s="2421" t="str">
        <f>IF(ISNA(INDEX(PoderesDeCriatura_AdquiridosNombres,MATCH(AM$2236&amp;$A1,Principal!$U$42:$U$69,0))),"",INDEX(PoderesDeCriatura_AdquiridosNombres,MATCH(AM$2236&amp;$A1,Principal!$U$42:$U$69,0)))</f>
        <v/>
      </c>
      <c r="AN2238" s="2422" t="str">
        <f>IF(ISNA(INDEX(PoderesDeCriatura_Adquiridos,MATCH(AM$2236&amp;$A1,Principal!$U$42:$U$69,0))),"",IF(INDEX(Principal!$AP$42:$AP$69,MATCH(AM$2236&amp;$A1,Principal!$U$42:$U$69,0))&gt;0,INDEX(Principal!$AF$42:$AF$69,MATCH(AM$2236&amp;$A1,Principal!$U$42:$U$69,0)),INDEX(PoderesDeCriatura_Adquiridos,MATCH(AM$2236&amp;$A1,Principal!$U$42:$U$69,0))))</f>
        <v/>
      </c>
      <c r="AO2238" s="760" t="str">
        <f>AN2238</f>
        <v/>
      </c>
      <c r="AP2238" s="1172" t="s">
        <v>2475</v>
      </c>
      <c r="AQ2238" s="1173" t="s">
        <v>6651</v>
      </c>
    </row>
    <row r="2239" spans="1:43" ht="12.75" customHeight="1">
      <c r="A2239" s="219">
        <v>2133</v>
      </c>
      <c r="B2239" s="7145"/>
      <c r="C2239" s="307" t="str">
        <f>IF(Ki!$X$27="","",", "&amp;Ki!$V$27&amp;" menor")</f>
        <v/>
      </c>
      <c r="D2239" s="304"/>
      <c r="E2239" s="3592"/>
      <c r="J2239" s="750" t="str">
        <f>IF(ISNA(VLOOKUP(A3,Principal!$S$42:$AH$69,10,FALSE)),"",IF(VLOOKUP(A3,Principal!$S$42:$AH$69,10,FALSE)=0,"",INDEX(PoderesDeCriatura_Adquiridos,MATCH(A3,Principal!$S$42:$S$69,0))))</f>
        <v/>
      </c>
      <c r="K2239" s="218" t="str">
        <f>IF(AND(COUNTA($K$2237:K2238)-COUNTBLANK($K$2237:K2238)&gt;0,J2239&lt;&gt;""),", ","")&amp;J2239</f>
        <v/>
      </c>
      <c r="L2239" s="2421" t="str">
        <f>IF(ISNA(INDEX(PoderesDeCriatura_AdquiridosNombres,MATCH(L$2236&amp;$A2,Principal!$U$42:$U$69,0))),"",INDEX(PoderesDeCriatura_AdquiridosNombres,MATCH(L$2236&amp;$A2,Principal!$U$42:$U$69,0)))</f>
        <v/>
      </c>
      <c r="M2239" s="2422" t="str">
        <f>IF(ISNA(INDEX(PoderesDeCriatura_Adquiridos,MATCH(L$2236&amp;$A2,Principal!$U$42:$U$69,0))),"",IF(INDEX(Principal!$AP$42:$AP$69,MATCH(L$2236&amp;$A2,Principal!$U$42:$U$69,0))&gt;0,INDEX(Principal!$AF$42:$AF$69,MATCH(L$2236&amp;$A2,Principal!$U$42:$U$69,0)),INDEX(PoderesDeCriatura_Adquiridos,MATCH(L$2236&amp;$A2,Principal!$U$42:$U$69,0))))</f>
        <v/>
      </c>
      <c r="N2239" s="218" t="str">
        <f t="shared" ref="N2239:N2266" si="444">IF(M2239="","",", "&amp;M2239)</f>
        <v/>
      </c>
      <c r="O2239" s="2421" t="str">
        <f>IF(ISNA(INDEX(PoderesDeCriatura_AdquiridosNombres,MATCH(O$2236&amp;$A2,Principal!$U$42:$U$69,0))),"",INDEX(PoderesDeCriatura_AdquiridosNombres,MATCH(O$2236&amp;$A2,Principal!$U$42:$U$69,0)))</f>
        <v/>
      </c>
      <c r="P2239" s="2422" t="str">
        <f>IF(ISNA(INDEX(PoderesDeCriatura_Adquiridos,MATCH(O$2236&amp;$A2,Principal!$U$42:$U$69,0))),"",IF(INDEX(Principal!$AP$42:$AP$69,MATCH(O$2236&amp;$A2,Principal!$U$42:$U$69,0))&gt;0,INDEX(Principal!$AF$42:$AF$69,MATCH(O$2236&amp;$A2,Principal!$U$42:$U$69,0)),INDEX(PoderesDeCriatura_Adquiridos,MATCH(O$2236&amp;$A2,Principal!$U$42:$U$69,0))))</f>
        <v/>
      </c>
      <c r="Q2239" s="218" t="str">
        <f t="shared" ref="Q2239:Q2266" si="445">IF(P2239="","",", "&amp;P2239)</f>
        <v/>
      </c>
      <c r="R2239" s="2421" t="str">
        <f>IF(ISNA(INDEX(PoderesDeCriatura_AdquiridosNombres,MATCH(R$2236&amp;$A2,Principal!$U$42:$U$69,0))),"",INDEX(PoderesDeCriatura_AdquiridosNombres,MATCH(R$2236&amp;$A2,Principal!$U$42:$U$69,0)))</f>
        <v/>
      </c>
      <c r="S2239" s="2422" t="str">
        <f>IF(ISNA(INDEX(PoderesDeCriatura_Adquiridos,MATCH(R$2236&amp;$A2,Principal!$U$42:$U$69,0))),"",IF(INDEX(Principal!$AP$42:$AP$69,MATCH(R$2236&amp;$A2,Principal!$U$42:$U$69,0))&gt;0,INDEX(Principal!$AF$42:$AF$69,MATCH(R$2236&amp;$A2,Principal!$U$42:$U$69,0)),INDEX(PoderesDeCriatura_Adquiridos,MATCH(R$2236&amp;$A2,Principal!$U$42:$U$69,0))))</f>
        <v/>
      </c>
      <c r="T2239" s="218" t="str">
        <f t="shared" ref="T2239:T2266" si="446">IF(S2239="","",", "&amp;S2239)</f>
        <v/>
      </c>
      <c r="U2239" s="2421" t="str">
        <f>IF(ISNA(INDEX(PoderesDeCriatura_AdquiridosNombres,MATCH(U$2236&amp;$A2,Principal!$U$42:$U$69,0))),"",INDEX(PoderesDeCriatura_AdquiridosNombres,MATCH(U$2236&amp;$A2,Principal!$U$42:$U$69,0)))</f>
        <v/>
      </c>
      <c r="V2239" s="2422" t="str">
        <f>IF(ISNA(INDEX(PoderesDeCriatura_Adquiridos,MATCH(U$2236&amp;$A2,Principal!$U$42:$U$69,0))),"",IF(INDEX(Principal!$AP$42:$AP$69,MATCH(U$2236&amp;$A2,Principal!$U$42:$U$69,0))&gt;0,INDEX(Principal!$AF$42:$AF$69,MATCH(U$2236&amp;$A2,Principal!$U$42:$U$69,0)),INDEX(PoderesDeCriatura_Adquiridos,MATCH(U$2236&amp;$A2,Principal!$U$42:$U$69,0))))</f>
        <v/>
      </c>
      <c r="W2239" s="218" t="str">
        <f t="shared" ref="W2239:W2266" si="447">IF(V2239="","",", "&amp;V2239)</f>
        <v/>
      </c>
      <c r="X2239" s="2421" t="str">
        <f>IF(ISNA(INDEX(PoderesDeCriatura_AdquiridosNombres,MATCH(X$2236&amp;$A2,Principal!$U$42:$U$69,0))),"",INDEX(PoderesDeCriatura_AdquiridosNombres,MATCH(X$2236&amp;$A2,Principal!$U$42:$U$69,0)))</f>
        <v/>
      </c>
      <c r="Y2239" s="2422" t="str">
        <f>IF(ISNA(INDEX(PoderesDeCriatura_Adquiridos,MATCH(X$2236&amp;$A2,Principal!$U$42:$U$69,0))),"",IF(INDEX(Principal!$AP$42:$AP$69,MATCH(X$2236&amp;$A2,Principal!$U$42:$U$69,0))&gt;0,INDEX(Principal!$AF$42:$AF$69,MATCH(X$2236&amp;$A2,Principal!$U$42:$U$69,0)),INDEX(PoderesDeCriatura_Adquiridos,MATCH(X$2236&amp;$A2,Principal!$U$42:$U$69,0))))</f>
        <v/>
      </c>
      <c r="Z2239" s="218" t="str">
        <f t="shared" ref="Z2239:Z2266" si="448">IF(Y2239="","",", "&amp;Y2239)</f>
        <v/>
      </c>
      <c r="AA2239" s="2421" t="str">
        <f>IF(ISNA(INDEX(PoderesDeCriatura_AdquiridosNombres,MATCH(AA$2236&amp;$A2,Principal!$U$42:$U$69,0))),"",INDEX(PoderesDeCriatura_AdquiridosNombres,MATCH(AA$2236&amp;$A2,Principal!$U$42:$U$69,0)))</f>
        <v/>
      </c>
      <c r="AB2239" s="2422" t="str">
        <f>IF(ISNA(INDEX(PoderesDeCriatura_Adquiridos,MATCH(AA$2236&amp;$A2,Principal!$U$42:$U$69,0))),"",IF(INDEX(Principal!$AP$42:$AP$69,MATCH(AA$2236&amp;$A2,Principal!$U$42:$U$69,0))&gt;0,INDEX(Principal!$AF$42:$AF$69,MATCH(AA$2236&amp;$A2,Principal!$U$42:$U$69,0)),INDEX(PoderesDeCriatura_Adquiridos,MATCH(AA$2236&amp;$A2,Principal!$U$42:$U$69,0))))</f>
        <v/>
      </c>
      <c r="AC2239" s="218" t="str">
        <f t="shared" ref="AC2239:AC2266" si="449">IF(AB2239="","",", "&amp;AB2239)</f>
        <v/>
      </c>
      <c r="AD2239" s="2421" t="str">
        <f>IF(ISNA(INDEX(PoderesDeCriatura_AdquiridosNombres,MATCH(AD$2236&amp;$A2,Principal!$U$42:$U$69,0))),"",INDEX(PoderesDeCriatura_AdquiridosNombres,MATCH(AD$2236&amp;$A2,Principal!$U$42:$U$69,0)))</f>
        <v/>
      </c>
      <c r="AE2239" s="2422" t="str">
        <f>IF(ISNA(INDEX(PoderesDeCriatura_Adquiridos,MATCH(AD$2236&amp;$A2,Principal!$U$42:$U$69,0))),"",IF(INDEX(Principal!$AP$42:$AP$69,MATCH(AD$2236&amp;$A2,Principal!$U$42:$U$69,0))&gt;0,INDEX(Principal!$AF$42:$AF$69,MATCH(AD$2236&amp;$A2,Principal!$U$42:$U$69,0)),INDEX(PoderesDeCriatura_Adquiridos,MATCH(AD$2236&amp;$A2,Principal!$U$42:$U$69,0))))</f>
        <v/>
      </c>
      <c r="AF2239" s="218" t="str">
        <f t="shared" ref="AF2239:AF2266" si="450">IF(AE2239="","",", "&amp;AE2239)</f>
        <v/>
      </c>
      <c r="AG2239" s="2421" t="str">
        <f>IF(ISNA(INDEX(PoderesDeCriatura_AdquiridosNombres,MATCH(AG$2236&amp;$A2,Principal!$U$42:$U$69,0))),"",INDEX(PoderesDeCriatura_AdquiridosNombres,MATCH(AG$2236&amp;$A2,Principal!$U$42:$U$69,0)))</f>
        <v/>
      </c>
      <c r="AH2239" s="2422" t="str">
        <f>IF(ISNA(INDEX(PoderesDeCriatura_Adquiridos,MATCH(AG$2236&amp;$A2,Principal!$U$42:$U$69,0))),"",IF(INDEX(Principal!$AP$42:$AP$69,MATCH(AG$2236&amp;$A2,Principal!$U$42:$U$69,0))&gt;0,INDEX(Principal!$AF$42:$AF$69,MATCH(AG$2236&amp;$A2,Principal!$U$42:$U$69,0)),INDEX(PoderesDeCriatura_Adquiridos,MATCH(AG$2236&amp;$A2,Principal!$U$42:$U$69,0))))</f>
        <v/>
      </c>
      <c r="AI2239" s="218" t="str">
        <f t="shared" ref="AI2239:AI2266" si="451">IF(AH2239="","",", "&amp;AH2239)</f>
        <v/>
      </c>
      <c r="AJ2239" s="2421" t="str">
        <f>IF(ISNA(INDEX(PoderesDeCriatura_AdquiridosNombres,MATCH(AJ$2236&amp;$A2,Principal!$U$42:$U$69,0))),"",INDEX(PoderesDeCriatura_AdquiridosNombres,MATCH(AJ$2236&amp;$A2,Principal!$U$42:$U$69,0)))</f>
        <v/>
      </c>
      <c r="AK2239" s="2422" t="str">
        <f>IF(ISNA(INDEX(PoderesDeCriatura_Adquiridos,MATCH(AJ$2236&amp;$A2,Principal!$U$42:$U$69,0))),"",IF(INDEX(Principal!$AP$42:$AP$69,MATCH(AJ$2236&amp;$A2,Principal!$U$42:$U$69,0))&gt;0,INDEX(Principal!$AF$42:$AF$69,MATCH(AJ$2236&amp;$A2,Principal!$U$42:$U$69,0)),INDEX(PoderesDeCriatura_Adquiridos,MATCH(AJ$2236&amp;$A2,Principal!$U$42:$U$69,0))))</f>
        <v/>
      </c>
      <c r="AL2239" s="218" t="str">
        <f t="shared" ref="AL2239:AL2266" si="452">IF(AK2239="","",", "&amp;AK2239)</f>
        <v/>
      </c>
      <c r="AM2239" s="2421" t="str">
        <f>IF(ISNA(INDEX(PoderesDeCriatura_AdquiridosNombres,MATCH(AM$2236&amp;$A2,Principal!$U$42:$U$69,0))),"",INDEX(PoderesDeCriatura_AdquiridosNombres,MATCH(AM$2236&amp;$A2,Principal!$U$42:$U$69,0)))</f>
        <v/>
      </c>
      <c r="AN2239" s="2422" t="str">
        <f>IF(ISNA(INDEX(PoderesDeCriatura_Adquiridos,MATCH(AM$2236&amp;$A2,Principal!$U$42:$U$69,0))),"",IF(INDEX(Principal!$AP$42:$AP$69,MATCH(AM$2236&amp;$A2,Principal!$U$42:$U$69,0))&gt;0,INDEX(Principal!$AF$42:$AF$69,MATCH(AM$2236&amp;$A2,Principal!$U$42:$U$69,0)),INDEX(PoderesDeCriatura_Adquiridos,MATCH(AM$2236&amp;$A2,Principal!$U$42:$U$69,0))))</f>
        <v/>
      </c>
      <c r="AO2239" s="761" t="str">
        <f t="shared" ref="AO2239:AO2266" si="453">IF(AN2239="","",", "&amp;AN2239)</f>
        <v/>
      </c>
      <c r="AP2239" s="758" t="str">
        <f>IF(AQ2239=0,"",MAX($AP$2238:AP2238)+1)</f>
        <v/>
      </c>
      <c r="AQ2239" s="1174">
        <f>Principal!V42</f>
        <v>0</v>
      </c>
    </row>
    <row r="2240" spans="1:43" ht="12.75" customHeight="1">
      <c r="A2240" s="219">
        <v>2134</v>
      </c>
      <c r="B2240" s="7145"/>
      <c r="C2240" s="307" t="str">
        <f>IF(Ki!$Y$27="","",", "&amp;Ki!$V$27&amp;" mayor")</f>
        <v/>
      </c>
      <c r="D2240" s="304"/>
      <c r="E2240" s="3592"/>
      <c r="J2240" s="750" t="str">
        <f>IF(ISNA(VLOOKUP(A4,Principal!$S$42:$AH$69,10,FALSE)),"",IF(VLOOKUP(A4,Principal!$S$42:$AH$69,10,FALSE)=0,"",INDEX(PoderesDeCriatura_Adquiridos,MATCH(A4,Principal!$S$42:$S$69,0))))</f>
        <v/>
      </c>
      <c r="K2240" s="218" t="str">
        <f>IF(AND(COUNTA($K$2237:K2239)-COUNTBLANK($K$2237:K2239)&gt;0,J2240&lt;&gt;""),", ","")&amp;J2240</f>
        <v/>
      </c>
      <c r="L2240" s="2421" t="str">
        <f>IF(ISNA(INDEX(PoderesDeCriatura_AdquiridosNombres,MATCH(L$2236&amp;$A3,Principal!$U$42:$U$69,0))),"",INDEX(PoderesDeCriatura_AdquiridosNombres,MATCH(L$2236&amp;$A3,Principal!$U$42:$U$69,0)))</f>
        <v/>
      </c>
      <c r="M2240" s="2422" t="str">
        <f>IF(ISNA(INDEX(PoderesDeCriatura_Adquiridos,MATCH(L$2236&amp;$A3,Principal!$U$42:$U$69,0))),"",IF(INDEX(Principal!$AP$42:$AP$69,MATCH(L$2236&amp;$A3,Principal!$U$42:$U$69,0))&gt;0,INDEX(Principal!$AF$42:$AF$69,MATCH(L$2236&amp;$A3,Principal!$U$42:$U$69,0)),INDEX(PoderesDeCriatura_Adquiridos,MATCH(L$2236&amp;$A3,Principal!$U$42:$U$69,0))))</f>
        <v/>
      </c>
      <c r="N2240" s="218" t="str">
        <f t="shared" si="444"/>
        <v/>
      </c>
      <c r="O2240" s="2421" t="str">
        <f>IF(ISNA(INDEX(PoderesDeCriatura_AdquiridosNombres,MATCH(O$2236&amp;$A3,Principal!$U$42:$U$69,0))),"",INDEX(PoderesDeCriatura_AdquiridosNombres,MATCH(O$2236&amp;$A3,Principal!$U$42:$U$69,0)))</f>
        <v/>
      </c>
      <c r="P2240" s="2422" t="str">
        <f>IF(ISNA(INDEX(PoderesDeCriatura_Adquiridos,MATCH(O$2236&amp;$A3,Principal!$U$42:$U$69,0))),"",IF(INDEX(Principal!$AP$42:$AP$69,MATCH(O$2236&amp;$A3,Principal!$U$42:$U$69,0))&gt;0,INDEX(Principal!$AF$42:$AF$69,MATCH(O$2236&amp;$A3,Principal!$U$42:$U$69,0)),INDEX(PoderesDeCriatura_Adquiridos,MATCH(O$2236&amp;$A3,Principal!$U$42:$U$69,0))))</f>
        <v/>
      </c>
      <c r="Q2240" s="218" t="str">
        <f t="shared" si="445"/>
        <v/>
      </c>
      <c r="R2240" s="2421" t="str">
        <f>IF(ISNA(INDEX(PoderesDeCriatura_AdquiridosNombres,MATCH(R$2236&amp;$A3,Principal!$U$42:$U$69,0))),"",INDEX(PoderesDeCriatura_AdquiridosNombres,MATCH(R$2236&amp;$A3,Principal!$U$42:$U$69,0)))</f>
        <v/>
      </c>
      <c r="S2240" s="2422" t="str">
        <f>IF(ISNA(INDEX(PoderesDeCriatura_Adquiridos,MATCH(R$2236&amp;$A3,Principal!$U$42:$U$69,0))),"",IF(INDEX(Principal!$AP$42:$AP$69,MATCH(R$2236&amp;$A3,Principal!$U$42:$U$69,0))&gt;0,INDEX(Principal!$AF$42:$AF$69,MATCH(R$2236&amp;$A3,Principal!$U$42:$U$69,0)),INDEX(PoderesDeCriatura_Adquiridos,MATCH(R$2236&amp;$A3,Principal!$U$42:$U$69,0))))</f>
        <v/>
      </c>
      <c r="T2240" s="218" t="str">
        <f t="shared" si="446"/>
        <v/>
      </c>
      <c r="U2240" s="2421" t="str">
        <f>IF(ISNA(INDEX(PoderesDeCriatura_AdquiridosNombres,MATCH(U$2236&amp;$A3,Principal!$U$42:$U$69,0))),"",INDEX(PoderesDeCriatura_AdquiridosNombres,MATCH(U$2236&amp;$A3,Principal!$U$42:$U$69,0)))</f>
        <v/>
      </c>
      <c r="V2240" s="2422" t="str">
        <f>IF(ISNA(INDEX(PoderesDeCriatura_Adquiridos,MATCH(U$2236&amp;$A3,Principal!$U$42:$U$69,0))),"",IF(INDEX(Principal!$AP$42:$AP$69,MATCH(U$2236&amp;$A3,Principal!$U$42:$U$69,0))&gt;0,INDEX(Principal!$AF$42:$AF$69,MATCH(U$2236&amp;$A3,Principal!$U$42:$U$69,0)),INDEX(PoderesDeCriatura_Adquiridos,MATCH(U$2236&amp;$A3,Principal!$U$42:$U$69,0))))</f>
        <v/>
      </c>
      <c r="W2240" s="218" t="str">
        <f t="shared" si="447"/>
        <v/>
      </c>
      <c r="X2240" s="2421" t="str">
        <f>IF(ISNA(INDEX(PoderesDeCriatura_AdquiridosNombres,MATCH(X$2236&amp;$A3,Principal!$U$42:$U$69,0))),"",INDEX(PoderesDeCriatura_AdquiridosNombres,MATCH(X$2236&amp;$A3,Principal!$U$42:$U$69,0)))</f>
        <v/>
      </c>
      <c r="Y2240" s="2422" t="str">
        <f>IF(ISNA(INDEX(PoderesDeCriatura_Adquiridos,MATCH(X$2236&amp;$A3,Principal!$U$42:$U$69,0))),"",IF(INDEX(Principal!$AP$42:$AP$69,MATCH(X$2236&amp;$A3,Principal!$U$42:$U$69,0))&gt;0,INDEX(Principal!$AF$42:$AF$69,MATCH(X$2236&amp;$A3,Principal!$U$42:$U$69,0)),INDEX(PoderesDeCriatura_Adquiridos,MATCH(X$2236&amp;$A3,Principal!$U$42:$U$69,0))))</f>
        <v/>
      </c>
      <c r="Z2240" s="218" t="str">
        <f t="shared" si="448"/>
        <v/>
      </c>
      <c r="AA2240" s="2421" t="str">
        <f>IF(ISNA(INDEX(PoderesDeCriatura_AdquiridosNombres,MATCH(AA$2236&amp;$A3,Principal!$U$42:$U$69,0))),"",INDEX(PoderesDeCriatura_AdquiridosNombres,MATCH(AA$2236&amp;$A3,Principal!$U$42:$U$69,0)))</f>
        <v/>
      </c>
      <c r="AB2240" s="2422" t="str">
        <f>IF(ISNA(INDEX(PoderesDeCriatura_Adquiridos,MATCH(AA$2236&amp;$A3,Principal!$U$42:$U$69,0))),"",IF(INDEX(Principal!$AP$42:$AP$69,MATCH(AA$2236&amp;$A3,Principal!$U$42:$U$69,0))&gt;0,INDEX(Principal!$AF$42:$AF$69,MATCH(AA$2236&amp;$A3,Principal!$U$42:$U$69,0)),INDEX(PoderesDeCriatura_Adquiridos,MATCH(AA$2236&amp;$A3,Principal!$U$42:$U$69,0))))</f>
        <v/>
      </c>
      <c r="AC2240" s="218" t="str">
        <f t="shared" si="449"/>
        <v/>
      </c>
      <c r="AD2240" s="2421" t="str">
        <f>IF(ISNA(INDEX(PoderesDeCriatura_AdquiridosNombres,MATCH(AD$2236&amp;$A3,Principal!$U$42:$U$69,0))),"",INDEX(PoderesDeCriatura_AdquiridosNombres,MATCH(AD$2236&amp;$A3,Principal!$U$42:$U$69,0)))</f>
        <v/>
      </c>
      <c r="AE2240" s="2422" t="str">
        <f>IF(ISNA(INDEX(PoderesDeCriatura_Adquiridos,MATCH(AD$2236&amp;$A3,Principal!$U$42:$U$69,0))),"",IF(INDEX(Principal!$AP$42:$AP$69,MATCH(AD$2236&amp;$A3,Principal!$U$42:$U$69,0))&gt;0,INDEX(Principal!$AF$42:$AF$69,MATCH(AD$2236&amp;$A3,Principal!$U$42:$U$69,0)),INDEX(PoderesDeCriatura_Adquiridos,MATCH(AD$2236&amp;$A3,Principal!$U$42:$U$69,0))))</f>
        <v/>
      </c>
      <c r="AF2240" s="218" t="str">
        <f t="shared" si="450"/>
        <v/>
      </c>
      <c r="AG2240" s="2421" t="str">
        <f>IF(ISNA(INDEX(PoderesDeCriatura_AdquiridosNombres,MATCH(AG$2236&amp;$A3,Principal!$U$42:$U$69,0))),"",INDEX(PoderesDeCriatura_AdquiridosNombres,MATCH(AG$2236&amp;$A3,Principal!$U$42:$U$69,0)))</f>
        <v/>
      </c>
      <c r="AH2240" s="2422" t="str">
        <f>IF(ISNA(INDEX(PoderesDeCriatura_Adquiridos,MATCH(AG$2236&amp;$A3,Principal!$U$42:$U$69,0))),"",IF(INDEX(Principal!$AP$42:$AP$69,MATCH(AG$2236&amp;$A3,Principal!$U$42:$U$69,0))&gt;0,INDEX(Principal!$AF$42:$AF$69,MATCH(AG$2236&amp;$A3,Principal!$U$42:$U$69,0)),INDEX(PoderesDeCriatura_Adquiridos,MATCH(AG$2236&amp;$A3,Principal!$U$42:$U$69,0))))</f>
        <v/>
      </c>
      <c r="AI2240" s="218" t="str">
        <f t="shared" si="451"/>
        <v/>
      </c>
      <c r="AJ2240" s="2421" t="str">
        <f>IF(ISNA(INDEX(PoderesDeCriatura_AdquiridosNombres,MATCH(AJ$2236&amp;$A3,Principal!$U$42:$U$69,0))),"",INDEX(PoderesDeCriatura_AdquiridosNombres,MATCH(AJ$2236&amp;$A3,Principal!$U$42:$U$69,0)))</f>
        <v/>
      </c>
      <c r="AK2240" s="2422" t="str">
        <f>IF(ISNA(INDEX(PoderesDeCriatura_Adquiridos,MATCH(AJ$2236&amp;$A3,Principal!$U$42:$U$69,0))),"",IF(INDEX(Principal!$AP$42:$AP$69,MATCH(AJ$2236&amp;$A3,Principal!$U$42:$U$69,0))&gt;0,INDEX(Principal!$AF$42:$AF$69,MATCH(AJ$2236&amp;$A3,Principal!$U$42:$U$69,0)),INDEX(PoderesDeCriatura_Adquiridos,MATCH(AJ$2236&amp;$A3,Principal!$U$42:$U$69,0))))</f>
        <v/>
      </c>
      <c r="AL2240" s="218" t="str">
        <f t="shared" si="452"/>
        <v/>
      </c>
      <c r="AM2240" s="2421" t="str">
        <f>IF(ISNA(INDEX(PoderesDeCriatura_AdquiridosNombres,MATCH(AM$2236&amp;$A3,Principal!$U$42:$U$69,0))),"",INDEX(PoderesDeCriatura_AdquiridosNombres,MATCH(AM$2236&amp;$A3,Principal!$U$42:$U$69,0)))</f>
        <v/>
      </c>
      <c r="AN2240" s="2422" t="str">
        <f>IF(ISNA(INDEX(PoderesDeCriatura_Adquiridos,MATCH(AM$2236&amp;$A3,Principal!$U$42:$U$69,0))),"",IF(INDEX(Principal!$AP$42:$AP$69,MATCH(AM$2236&amp;$A3,Principal!$U$42:$U$69,0))&gt;0,INDEX(Principal!$AF$42:$AF$69,MATCH(AM$2236&amp;$A3,Principal!$U$42:$U$69,0)),INDEX(PoderesDeCriatura_Adquiridos,MATCH(AM$2236&amp;$A3,Principal!$U$42:$U$69,0))))</f>
        <v/>
      </c>
      <c r="AO2240" s="761" t="str">
        <f t="shared" si="453"/>
        <v/>
      </c>
      <c r="AP2240" s="758" t="str">
        <f>IF(OR(AQ2240=0,ISNUMBER(MATCH(AQ2240,$AQ$2239:$AQ2239,0))),"",MAX($AP$2238:AP2239)+1)</f>
        <v/>
      </c>
      <c r="AQ2240" s="1174">
        <f>Principal!V43</f>
        <v>0</v>
      </c>
    </row>
    <row r="2241" spans="1:43" ht="12.75" customHeight="1">
      <c r="A2241" s="219">
        <v>2135</v>
      </c>
      <c r="B2241" s="7145"/>
      <c r="C2241" s="307" t="str">
        <f>IF(Ki!$X$29="","",", "&amp;Ki!$V$29&amp;" menor")</f>
        <v/>
      </c>
      <c r="D2241" s="304"/>
      <c r="E2241" s="3592"/>
      <c r="J2241" s="750" t="str">
        <f>IF(ISNA(VLOOKUP(A5,Principal!$S$42:$AH$69,10,FALSE)),"",IF(VLOOKUP(A5,Principal!$S$42:$AH$69,10,FALSE)=0,"",INDEX(PoderesDeCriatura_Adquiridos,MATCH(A5,Principal!$S$42:$S$69,0))))</f>
        <v/>
      </c>
      <c r="K2241" s="218" t="str">
        <f>IF(AND(COUNTA($K$2237:K2240)-COUNTBLANK($K$2237:K2240)&gt;0,J2241&lt;&gt;""),", ","")&amp;J2241</f>
        <v/>
      </c>
      <c r="L2241" s="2421" t="str">
        <f>IF(ISNA(INDEX(PoderesDeCriatura_AdquiridosNombres,MATCH(L$2236&amp;$A4,Principal!$U$42:$U$69,0))),"",INDEX(PoderesDeCriatura_AdquiridosNombres,MATCH(L$2236&amp;$A4,Principal!$U$42:$U$69,0)))</f>
        <v/>
      </c>
      <c r="M2241" s="2422" t="str">
        <f>IF(ISNA(INDEX(PoderesDeCriatura_Adquiridos,MATCH(L$2236&amp;$A4,Principal!$U$42:$U$69,0))),"",IF(INDEX(Principal!$AP$42:$AP$69,MATCH(L$2236&amp;$A4,Principal!$U$42:$U$69,0))&gt;0,INDEX(Principal!$AF$42:$AF$69,MATCH(L$2236&amp;$A4,Principal!$U$42:$U$69,0)),INDEX(PoderesDeCriatura_Adquiridos,MATCH(L$2236&amp;$A4,Principal!$U$42:$U$69,0))))</f>
        <v/>
      </c>
      <c r="N2241" s="218" t="str">
        <f t="shared" si="444"/>
        <v/>
      </c>
      <c r="O2241" s="2421" t="str">
        <f>IF(ISNA(INDEX(PoderesDeCriatura_AdquiridosNombres,MATCH(O$2236&amp;$A4,Principal!$U$42:$U$69,0))),"",INDEX(PoderesDeCriatura_AdquiridosNombres,MATCH(O$2236&amp;$A4,Principal!$U$42:$U$69,0)))</f>
        <v/>
      </c>
      <c r="P2241" s="2422" t="str">
        <f>IF(ISNA(INDEX(PoderesDeCriatura_Adquiridos,MATCH(O$2236&amp;$A4,Principal!$U$42:$U$69,0))),"",IF(INDEX(Principal!$AP$42:$AP$69,MATCH(O$2236&amp;$A4,Principal!$U$42:$U$69,0))&gt;0,INDEX(Principal!$AF$42:$AF$69,MATCH(O$2236&amp;$A4,Principal!$U$42:$U$69,0)),INDEX(PoderesDeCriatura_Adquiridos,MATCH(O$2236&amp;$A4,Principal!$U$42:$U$69,0))))</f>
        <v/>
      </c>
      <c r="Q2241" s="218" t="str">
        <f t="shared" si="445"/>
        <v/>
      </c>
      <c r="R2241" s="2421" t="str">
        <f>IF(ISNA(INDEX(PoderesDeCriatura_AdquiridosNombres,MATCH(R$2236&amp;$A4,Principal!$U$42:$U$69,0))),"",INDEX(PoderesDeCriatura_AdquiridosNombres,MATCH(R$2236&amp;$A4,Principal!$U$42:$U$69,0)))</f>
        <v/>
      </c>
      <c r="S2241" s="2422" t="str">
        <f>IF(ISNA(INDEX(PoderesDeCriatura_Adquiridos,MATCH(R$2236&amp;$A4,Principal!$U$42:$U$69,0))),"",IF(INDEX(Principal!$AP$42:$AP$69,MATCH(R$2236&amp;$A4,Principal!$U$42:$U$69,0))&gt;0,INDEX(Principal!$AF$42:$AF$69,MATCH(R$2236&amp;$A4,Principal!$U$42:$U$69,0)),INDEX(PoderesDeCriatura_Adquiridos,MATCH(R$2236&amp;$A4,Principal!$U$42:$U$69,0))))</f>
        <v/>
      </c>
      <c r="T2241" s="218" t="str">
        <f t="shared" si="446"/>
        <v/>
      </c>
      <c r="U2241" s="2421" t="str">
        <f>IF(ISNA(INDEX(PoderesDeCriatura_AdquiridosNombres,MATCH(U$2236&amp;$A4,Principal!$U$42:$U$69,0))),"",INDEX(PoderesDeCriatura_AdquiridosNombres,MATCH(U$2236&amp;$A4,Principal!$U$42:$U$69,0)))</f>
        <v/>
      </c>
      <c r="V2241" s="2422" t="str">
        <f>IF(ISNA(INDEX(PoderesDeCriatura_Adquiridos,MATCH(U$2236&amp;$A4,Principal!$U$42:$U$69,0))),"",IF(INDEX(Principal!$AP$42:$AP$69,MATCH(U$2236&amp;$A4,Principal!$U$42:$U$69,0))&gt;0,INDEX(Principal!$AF$42:$AF$69,MATCH(U$2236&amp;$A4,Principal!$U$42:$U$69,0)),INDEX(PoderesDeCriatura_Adquiridos,MATCH(U$2236&amp;$A4,Principal!$U$42:$U$69,0))))</f>
        <v/>
      </c>
      <c r="W2241" s="218" t="str">
        <f t="shared" si="447"/>
        <v/>
      </c>
      <c r="X2241" s="2421" t="str">
        <f>IF(ISNA(INDEX(PoderesDeCriatura_AdquiridosNombres,MATCH(X$2236&amp;$A4,Principal!$U$42:$U$69,0))),"",INDEX(PoderesDeCriatura_AdquiridosNombres,MATCH(X$2236&amp;$A4,Principal!$U$42:$U$69,0)))</f>
        <v/>
      </c>
      <c r="Y2241" s="2422" t="str">
        <f>IF(ISNA(INDEX(PoderesDeCriatura_Adquiridos,MATCH(X$2236&amp;$A4,Principal!$U$42:$U$69,0))),"",IF(INDEX(Principal!$AP$42:$AP$69,MATCH(X$2236&amp;$A4,Principal!$U$42:$U$69,0))&gt;0,INDEX(Principal!$AF$42:$AF$69,MATCH(X$2236&amp;$A4,Principal!$U$42:$U$69,0)),INDEX(PoderesDeCriatura_Adquiridos,MATCH(X$2236&amp;$A4,Principal!$U$42:$U$69,0))))</f>
        <v/>
      </c>
      <c r="Z2241" s="218" t="str">
        <f t="shared" si="448"/>
        <v/>
      </c>
      <c r="AA2241" s="2421" t="str">
        <f>IF(ISNA(INDEX(PoderesDeCriatura_AdquiridosNombres,MATCH(AA$2236&amp;$A4,Principal!$U$42:$U$69,0))),"",INDEX(PoderesDeCriatura_AdquiridosNombres,MATCH(AA$2236&amp;$A4,Principal!$U$42:$U$69,0)))</f>
        <v/>
      </c>
      <c r="AB2241" s="2422" t="str">
        <f>IF(ISNA(INDEX(PoderesDeCriatura_Adquiridos,MATCH(AA$2236&amp;$A4,Principal!$U$42:$U$69,0))),"",IF(INDEX(Principal!$AP$42:$AP$69,MATCH(AA$2236&amp;$A4,Principal!$U$42:$U$69,0))&gt;0,INDEX(Principal!$AF$42:$AF$69,MATCH(AA$2236&amp;$A4,Principal!$U$42:$U$69,0)),INDEX(PoderesDeCriatura_Adquiridos,MATCH(AA$2236&amp;$A4,Principal!$U$42:$U$69,0))))</f>
        <v/>
      </c>
      <c r="AC2241" s="218" t="str">
        <f t="shared" si="449"/>
        <v/>
      </c>
      <c r="AD2241" s="2421" t="str">
        <f>IF(ISNA(INDEX(PoderesDeCriatura_AdquiridosNombres,MATCH(AD$2236&amp;$A4,Principal!$U$42:$U$69,0))),"",INDEX(PoderesDeCriatura_AdquiridosNombres,MATCH(AD$2236&amp;$A4,Principal!$U$42:$U$69,0)))</f>
        <v/>
      </c>
      <c r="AE2241" s="2422" t="str">
        <f>IF(ISNA(INDEX(PoderesDeCriatura_Adquiridos,MATCH(AD$2236&amp;$A4,Principal!$U$42:$U$69,0))),"",IF(INDEX(Principal!$AP$42:$AP$69,MATCH(AD$2236&amp;$A4,Principal!$U$42:$U$69,0))&gt;0,INDEX(Principal!$AF$42:$AF$69,MATCH(AD$2236&amp;$A4,Principal!$U$42:$U$69,0)),INDEX(PoderesDeCriatura_Adquiridos,MATCH(AD$2236&amp;$A4,Principal!$U$42:$U$69,0))))</f>
        <v/>
      </c>
      <c r="AF2241" s="218" t="str">
        <f t="shared" si="450"/>
        <v/>
      </c>
      <c r="AG2241" s="2421" t="str">
        <f>IF(ISNA(INDEX(PoderesDeCriatura_AdquiridosNombres,MATCH(AG$2236&amp;$A4,Principal!$U$42:$U$69,0))),"",INDEX(PoderesDeCriatura_AdquiridosNombres,MATCH(AG$2236&amp;$A4,Principal!$U$42:$U$69,0)))</f>
        <v/>
      </c>
      <c r="AH2241" s="2422" t="str">
        <f>IF(ISNA(INDEX(PoderesDeCriatura_Adquiridos,MATCH(AG$2236&amp;$A4,Principal!$U$42:$U$69,0))),"",IF(INDEX(Principal!$AP$42:$AP$69,MATCH(AG$2236&amp;$A4,Principal!$U$42:$U$69,0))&gt;0,INDEX(Principal!$AF$42:$AF$69,MATCH(AG$2236&amp;$A4,Principal!$U$42:$U$69,0)),INDEX(PoderesDeCriatura_Adquiridos,MATCH(AG$2236&amp;$A4,Principal!$U$42:$U$69,0))))</f>
        <v/>
      </c>
      <c r="AI2241" s="218" t="str">
        <f t="shared" si="451"/>
        <v/>
      </c>
      <c r="AJ2241" s="2421" t="str">
        <f>IF(ISNA(INDEX(PoderesDeCriatura_AdquiridosNombres,MATCH(AJ$2236&amp;$A4,Principal!$U$42:$U$69,0))),"",INDEX(PoderesDeCriatura_AdquiridosNombres,MATCH(AJ$2236&amp;$A4,Principal!$U$42:$U$69,0)))</f>
        <v/>
      </c>
      <c r="AK2241" s="2422" t="str">
        <f>IF(ISNA(INDEX(PoderesDeCriatura_Adquiridos,MATCH(AJ$2236&amp;$A4,Principal!$U$42:$U$69,0))),"",IF(INDEX(Principal!$AP$42:$AP$69,MATCH(AJ$2236&amp;$A4,Principal!$U$42:$U$69,0))&gt;0,INDEX(Principal!$AF$42:$AF$69,MATCH(AJ$2236&amp;$A4,Principal!$U$42:$U$69,0)),INDEX(PoderesDeCriatura_Adquiridos,MATCH(AJ$2236&amp;$A4,Principal!$U$42:$U$69,0))))</f>
        <v/>
      </c>
      <c r="AL2241" s="218" t="str">
        <f t="shared" si="452"/>
        <v/>
      </c>
      <c r="AM2241" s="2421" t="str">
        <f>IF(ISNA(INDEX(PoderesDeCriatura_AdquiridosNombres,MATCH(AM$2236&amp;$A4,Principal!$U$42:$U$69,0))),"",INDEX(PoderesDeCriatura_AdquiridosNombres,MATCH(AM$2236&amp;$A4,Principal!$U$42:$U$69,0)))</f>
        <v/>
      </c>
      <c r="AN2241" s="2422" t="str">
        <f>IF(ISNA(INDEX(PoderesDeCriatura_Adquiridos,MATCH(AM$2236&amp;$A4,Principal!$U$42:$U$69,0))),"",IF(INDEX(Principal!$AP$42:$AP$69,MATCH(AM$2236&amp;$A4,Principal!$U$42:$U$69,0))&gt;0,INDEX(Principal!$AF$42:$AF$69,MATCH(AM$2236&amp;$A4,Principal!$U$42:$U$69,0)),INDEX(PoderesDeCriatura_Adquiridos,MATCH(AM$2236&amp;$A4,Principal!$U$42:$U$69,0))))</f>
        <v/>
      </c>
      <c r="AO2241" s="761" t="str">
        <f t="shared" si="453"/>
        <v/>
      </c>
      <c r="AP2241" s="758" t="str">
        <f>IF(OR(AQ2241=0,ISNUMBER(MATCH(AQ2241,$AQ$2239:$AQ2240,0))),"",MAX($AP$2238:AP2240)+1)</f>
        <v/>
      </c>
      <c r="AQ2241" s="1174">
        <f>Principal!V44</f>
        <v>0</v>
      </c>
    </row>
    <row r="2242" spans="1:43" ht="12.75" customHeight="1" thickBot="1">
      <c r="A2242" s="219">
        <v>2136</v>
      </c>
      <c r="B2242" s="7145"/>
      <c r="C2242" s="4296" t="str">
        <f>IF(Ki!$Y$29="","",", "&amp;Ki!$V$29&amp;" mayor")</f>
        <v/>
      </c>
      <c r="D2242" s="4297"/>
      <c r="E2242" s="4298"/>
      <c r="J2242" s="750" t="str">
        <f>IF(ISNA(VLOOKUP(A6,Principal!$S$42:$AH$69,10,FALSE)),"",IF(VLOOKUP(A6,Principal!$S$42:$AH$69,10,FALSE)=0,"",INDEX(PoderesDeCriatura_Adquiridos,MATCH(A6,Principal!$S$42:$S$69,0))))</f>
        <v/>
      </c>
      <c r="K2242" s="218" t="str">
        <f>IF(AND(COUNTA($K$2237:K2241)-COUNTBLANK($K$2237:K2241)&gt;0,J2242&lt;&gt;""),", ","")&amp;J2242</f>
        <v/>
      </c>
      <c r="L2242" s="2421" t="str">
        <f>IF(ISNA(INDEX(PoderesDeCriatura_AdquiridosNombres,MATCH(L$2236&amp;$A5,Principal!$U$42:$U$69,0))),"",INDEX(PoderesDeCriatura_AdquiridosNombres,MATCH(L$2236&amp;$A5,Principal!$U$42:$U$69,0)))</f>
        <v/>
      </c>
      <c r="M2242" s="2422" t="str">
        <f>IF(ISNA(INDEX(PoderesDeCriatura_Adquiridos,MATCH(L$2236&amp;$A5,Principal!$U$42:$U$69,0))),"",IF(INDEX(Principal!$AP$42:$AP$69,MATCH(L$2236&amp;$A5,Principal!$U$42:$U$69,0))&gt;0,INDEX(Principal!$AF$42:$AF$69,MATCH(L$2236&amp;$A5,Principal!$U$42:$U$69,0)),INDEX(PoderesDeCriatura_Adquiridos,MATCH(L$2236&amp;$A5,Principal!$U$42:$U$69,0))))</f>
        <v/>
      </c>
      <c r="N2242" s="218" t="str">
        <f t="shared" si="444"/>
        <v/>
      </c>
      <c r="O2242" s="2421" t="str">
        <f>IF(ISNA(INDEX(PoderesDeCriatura_AdquiridosNombres,MATCH(O$2236&amp;$A5,Principal!$U$42:$U$69,0))),"",INDEX(PoderesDeCriatura_AdquiridosNombres,MATCH(O$2236&amp;$A5,Principal!$U$42:$U$69,0)))</f>
        <v/>
      </c>
      <c r="P2242" s="2422" t="str">
        <f>IF(ISNA(INDEX(PoderesDeCriatura_Adquiridos,MATCH(O$2236&amp;$A5,Principal!$U$42:$U$69,0))),"",IF(INDEX(Principal!$AP$42:$AP$69,MATCH(O$2236&amp;$A5,Principal!$U$42:$U$69,0))&gt;0,INDEX(Principal!$AF$42:$AF$69,MATCH(O$2236&amp;$A5,Principal!$U$42:$U$69,0)),INDEX(PoderesDeCriatura_Adquiridos,MATCH(O$2236&amp;$A5,Principal!$U$42:$U$69,0))))</f>
        <v/>
      </c>
      <c r="Q2242" s="218" t="str">
        <f t="shared" si="445"/>
        <v/>
      </c>
      <c r="R2242" s="2421" t="str">
        <f>IF(ISNA(INDEX(PoderesDeCriatura_AdquiridosNombres,MATCH(R$2236&amp;$A5,Principal!$U$42:$U$69,0))),"",INDEX(PoderesDeCriatura_AdquiridosNombres,MATCH(R$2236&amp;$A5,Principal!$U$42:$U$69,0)))</f>
        <v/>
      </c>
      <c r="S2242" s="2422" t="str">
        <f>IF(ISNA(INDEX(PoderesDeCriatura_Adquiridos,MATCH(R$2236&amp;$A5,Principal!$U$42:$U$69,0))),"",IF(INDEX(Principal!$AP$42:$AP$69,MATCH(R$2236&amp;$A5,Principal!$U$42:$U$69,0))&gt;0,INDEX(Principal!$AF$42:$AF$69,MATCH(R$2236&amp;$A5,Principal!$U$42:$U$69,0)),INDEX(PoderesDeCriatura_Adquiridos,MATCH(R$2236&amp;$A5,Principal!$U$42:$U$69,0))))</f>
        <v/>
      </c>
      <c r="T2242" s="218" t="str">
        <f t="shared" si="446"/>
        <v/>
      </c>
      <c r="U2242" s="2421" t="str">
        <f>IF(ISNA(INDEX(PoderesDeCriatura_AdquiridosNombres,MATCH(U$2236&amp;$A5,Principal!$U$42:$U$69,0))),"",INDEX(PoderesDeCriatura_AdquiridosNombres,MATCH(U$2236&amp;$A5,Principal!$U$42:$U$69,0)))</f>
        <v/>
      </c>
      <c r="V2242" s="2422" t="str">
        <f>IF(ISNA(INDEX(PoderesDeCriatura_Adquiridos,MATCH(U$2236&amp;$A5,Principal!$U$42:$U$69,0))),"",IF(INDEX(Principal!$AP$42:$AP$69,MATCH(U$2236&amp;$A5,Principal!$U$42:$U$69,0))&gt;0,INDEX(Principal!$AF$42:$AF$69,MATCH(U$2236&amp;$A5,Principal!$U$42:$U$69,0)),INDEX(PoderesDeCriatura_Adquiridos,MATCH(U$2236&amp;$A5,Principal!$U$42:$U$69,0))))</f>
        <v/>
      </c>
      <c r="W2242" s="218" t="str">
        <f t="shared" si="447"/>
        <v/>
      </c>
      <c r="X2242" s="2421" t="str">
        <f>IF(ISNA(INDEX(PoderesDeCriatura_AdquiridosNombres,MATCH(X$2236&amp;$A5,Principal!$U$42:$U$69,0))),"",INDEX(PoderesDeCriatura_AdquiridosNombres,MATCH(X$2236&amp;$A5,Principal!$U$42:$U$69,0)))</f>
        <v/>
      </c>
      <c r="Y2242" s="2422" t="str">
        <f>IF(ISNA(INDEX(PoderesDeCriatura_Adquiridos,MATCH(X$2236&amp;$A5,Principal!$U$42:$U$69,0))),"",IF(INDEX(Principal!$AP$42:$AP$69,MATCH(X$2236&amp;$A5,Principal!$U$42:$U$69,0))&gt;0,INDEX(Principal!$AF$42:$AF$69,MATCH(X$2236&amp;$A5,Principal!$U$42:$U$69,0)),INDEX(PoderesDeCriatura_Adquiridos,MATCH(X$2236&amp;$A5,Principal!$U$42:$U$69,0))))</f>
        <v/>
      </c>
      <c r="Z2242" s="218" t="str">
        <f t="shared" si="448"/>
        <v/>
      </c>
      <c r="AA2242" s="2421" t="str">
        <f>IF(ISNA(INDEX(PoderesDeCriatura_AdquiridosNombres,MATCH(AA$2236&amp;$A5,Principal!$U$42:$U$69,0))),"",INDEX(PoderesDeCriatura_AdquiridosNombres,MATCH(AA$2236&amp;$A5,Principal!$U$42:$U$69,0)))</f>
        <v/>
      </c>
      <c r="AB2242" s="2422" t="str">
        <f>IF(ISNA(INDEX(PoderesDeCriatura_Adquiridos,MATCH(AA$2236&amp;$A5,Principal!$U$42:$U$69,0))),"",IF(INDEX(Principal!$AP$42:$AP$69,MATCH(AA$2236&amp;$A5,Principal!$U$42:$U$69,0))&gt;0,INDEX(Principal!$AF$42:$AF$69,MATCH(AA$2236&amp;$A5,Principal!$U$42:$U$69,0)),INDEX(PoderesDeCriatura_Adquiridos,MATCH(AA$2236&amp;$A5,Principal!$U$42:$U$69,0))))</f>
        <v/>
      </c>
      <c r="AC2242" s="218" t="str">
        <f t="shared" si="449"/>
        <v/>
      </c>
      <c r="AD2242" s="2421" t="str">
        <f>IF(ISNA(INDEX(PoderesDeCriatura_AdquiridosNombres,MATCH(AD$2236&amp;$A5,Principal!$U$42:$U$69,0))),"",INDEX(PoderesDeCriatura_AdquiridosNombres,MATCH(AD$2236&amp;$A5,Principal!$U$42:$U$69,0)))</f>
        <v/>
      </c>
      <c r="AE2242" s="2422" t="str">
        <f>IF(ISNA(INDEX(PoderesDeCriatura_Adquiridos,MATCH(AD$2236&amp;$A5,Principal!$U$42:$U$69,0))),"",IF(INDEX(Principal!$AP$42:$AP$69,MATCH(AD$2236&amp;$A5,Principal!$U$42:$U$69,0))&gt;0,INDEX(Principal!$AF$42:$AF$69,MATCH(AD$2236&amp;$A5,Principal!$U$42:$U$69,0)),INDEX(PoderesDeCriatura_Adquiridos,MATCH(AD$2236&amp;$A5,Principal!$U$42:$U$69,0))))</f>
        <v/>
      </c>
      <c r="AF2242" s="218" t="str">
        <f t="shared" si="450"/>
        <v/>
      </c>
      <c r="AG2242" s="2421" t="str">
        <f>IF(ISNA(INDEX(PoderesDeCriatura_AdquiridosNombres,MATCH(AG$2236&amp;$A5,Principal!$U$42:$U$69,0))),"",INDEX(PoderesDeCriatura_AdquiridosNombres,MATCH(AG$2236&amp;$A5,Principal!$U$42:$U$69,0)))</f>
        <v/>
      </c>
      <c r="AH2242" s="2422" t="str">
        <f>IF(ISNA(INDEX(PoderesDeCriatura_Adquiridos,MATCH(AG$2236&amp;$A5,Principal!$U$42:$U$69,0))),"",IF(INDEX(Principal!$AP$42:$AP$69,MATCH(AG$2236&amp;$A5,Principal!$U$42:$U$69,0))&gt;0,INDEX(Principal!$AF$42:$AF$69,MATCH(AG$2236&amp;$A5,Principal!$U$42:$U$69,0)),INDEX(PoderesDeCriatura_Adquiridos,MATCH(AG$2236&amp;$A5,Principal!$U$42:$U$69,0))))</f>
        <v/>
      </c>
      <c r="AI2242" s="218" t="str">
        <f t="shared" si="451"/>
        <v/>
      </c>
      <c r="AJ2242" s="2421" t="str">
        <f>IF(ISNA(INDEX(PoderesDeCriatura_AdquiridosNombres,MATCH(AJ$2236&amp;$A5,Principal!$U$42:$U$69,0))),"",INDEX(PoderesDeCriatura_AdquiridosNombres,MATCH(AJ$2236&amp;$A5,Principal!$U$42:$U$69,0)))</f>
        <v/>
      </c>
      <c r="AK2242" s="2422" t="str">
        <f>IF(ISNA(INDEX(PoderesDeCriatura_Adquiridos,MATCH(AJ$2236&amp;$A5,Principal!$U$42:$U$69,0))),"",IF(INDEX(Principal!$AP$42:$AP$69,MATCH(AJ$2236&amp;$A5,Principal!$U$42:$U$69,0))&gt;0,INDEX(Principal!$AF$42:$AF$69,MATCH(AJ$2236&amp;$A5,Principal!$U$42:$U$69,0)),INDEX(PoderesDeCriatura_Adquiridos,MATCH(AJ$2236&amp;$A5,Principal!$U$42:$U$69,0))))</f>
        <v/>
      </c>
      <c r="AL2242" s="218" t="str">
        <f t="shared" si="452"/>
        <v/>
      </c>
      <c r="AM2242" s="2421" t="str">
        <f>IF(ISNA(INDEX(PoderesDeCriatura_AdquiridosNombres,MATCH(AM$2236&amp;$A5,Principal!$U$42:$U$69,0))),"",INDEX(PoderesDeCriatura_AdquiridosNombres,MATCH(AM$2236&amp;$A5,Principal!$U$42:$U$69,0)))</f>
        <v/>
      </c>
      <c r="AN2242" s="2422" t="str">
        <f>IF(ISNA(INDEX(PoderesDeCriatura_Adquiridos,MATCH(AM$2236&amp;$A5,Principal!$U$42:$U$69,0))),"",IF(INDEX(Principal!$AP$42:$AP$69,MATCH(AM$2236&amp;$A5,Principal!$U$42:$U$69,0))&gt;0,INDEX(Principal!$AF$42:$AF$69,MATCH(AM$2236&amp;$A5,Principal!$U$42:$U$69,0)),INDEX(PoderesDeCriatura_Adquiridos,MATCH(AM$2236&amp;$A5,Principal!$U$42:$U$69,0))))</f>
        <v/>
      </c>
      <c r="AO2242" s="761" t="str">
        <f t="shared" si="453"/>
        <v/>
      </c>
      <c r="AP2242" s="758" t="str">
        <f>IF(OR(AQ2242=0,ISNUMBER(MATCH(AQ2242,$AQ$2239:$AQ2241,0))),"",MAX($AP$2238:AP2241)+1)</f>
        <v/>
      </c>
      <c r="AQ2242" s="1174">
        <f>Principal!V45</f>
        <v>0</v>
      </c>
    </row>
    <row r="2243" spans="1:43" ht="12.75" customHeight="1">
      <c r="A2243" s="219">
        <v>2137</v>
      </c>
      <c r="B2243" s="7145"/>
      <c r="J2243" s="750" t="str">
        <f>IF(ISNA(VLOOKUP(A7,Principal!$S$42:$AH$69,10,FALSE)),"",IF(VLOOKUP(A7,Principal!$S$42:$AH$69,10,FALSE)=0,"",INDEX(PoderesDeCriatura_Adquiridos,MATCH(A7,Principal!$S$42:$S$69,0))))</f>
        <v/>
      </c>
      <c r="K2243" s="218" t="str">
        <f>IF(AND(COUNTA($K$2237:K2242)-COUNTBLANK($K$2237:K2242)&gt;0,J2243&lt;&gt;""),", ","")&amp;J2243</f>
        <v/>
      </c>
      <c r="L2243" s="2421" t="str">
        <f>IF(ISNA(INDEX(PoderesDeCriatura_AdquiridosNombres,MATCH(L$2236&amp;$A6,Principal!$U$42:$U$69,0))),"",INDEX(PoderesDeCriatura_AdquiridosNombres,MATCH(L$2236&amp;$A6,Principal!$U$42:$U$69,0)))</f>
        <v/>
      </c>
      <c r="M2243" s="2422" t="str">
        <f>IF(ISNA(INDEX(PoderesDeCriatura_Adquiridos,MATCH(L$2236&amp;$A6,Principal!$U$42:$U$69,0))),"",IF(INDEX(Principal!$AP$42:$AP$69,MATCH(L$2236&amp;$A6,Principal!$U$42:$U$69,0))&gt;0,INDEX(Principal!$AF$42:$AF$69,MATCH(L$2236&amp;$A6,Principal!$U$42:$U$69,0)),INDEX(PoderesDeCriatura_Adquiridos,MATCH(L$2236&amp;$A6,Principal!$U$42:$U$69,0))))</f>
        <v/>
      </c>
      <c r="N2243" s="218" t="str">
        <f t="shared" si="444"/>
        <v/>
      </c>
      <c r="O2243" s="2421" t="str">
        <f>IF(ISNA(INDEX(PoderesDeCriatura_AdquiridosNombres,MATCH(O$2236&amp;$A6,Principal!$U$42:$U$69,0))),"",INDEX(PoderesDeCriatura_AdquiridosNombres,MATCH(O$2236&amp;$A6,Principal!$U$42:$U$69,0)))</f>
        <v/>
      </c>
      <c r="P2243" s="2422" t="str">
        <f>IF(ISNA(INDEX(PoderesDeCriatura_Adquiridos,MATCH(O$2236&amp;$A6,Principal!$U$42:$U$69,0))),"",IF(INDEX(Principal!$AP$42:$AP$69,MATCH(O$2236&amp;$A6,Principal!$U$42:$U$69,0))&gt;0,INDEX(Principal!$AF$42:$AF$69,MATCH(O$2236&amp;$A6,Principal!$U$42:$U$69,0)),INDEX(PoderesDeCriatura_Adquiridos,MATCH(O$2236&amp;$A6,Principal!$U$42:$U$69,0))))</f>
        <v/>
      </c>
      <c r="Q2243" s="218" t="str">
        <f t="shared" si="445"/>
        <v/>
      </c>
      <c r="R2243" s="2421" t="str">
        <f>IF(ISNA(INDEX(PoderesDeCriatura_AdquiridosNombres,MATCH(R$2236&amp;$A6,Principal!$U$42:$U$69,0))),"",INDEX(PoderesDeCriatura_AdquiridosNombres,MATCH(R$2236&amp;$A6,Principal!$U$42:$U$69,0)))</f>
        <v/>
      </c>
      <c r="S2243" s="2422" t="str">
        <f>IF(ISNA(INDEX(PoderesDeCriatura_Adquiridos,MATCH(R$2236&amp;$A6,Principal!$U$42:$U$69,0))),"",IF(INDEX(Principal!$AP$42:$AP$69,MATCH(R$2236&amp;$A6,Principal!$U$42:$U$69,0))&gt;0,INDEX(Principal!$AF$42:$AF$69,MATCH(R$2236&amp;$A6,Principal!$U$42:$U$69,0)),INDEX(PoderesDeCriatura_Adquiridos,MATCH(R$2236&amp;$A6,Principal!$U$42:$U$69,0))))</f>
        <v/>
      </c>
      <c r="T2243" s="218" t="str">
        <f t="shared" si="446"/>
        <v/>
      </c>
      <c r="U2243" s="2421" t="str">
        <f>IF(ISNA(INDEX(PoderesDeCriatura_AdquiridosNombres,MATCH(U$2236&amp;$A6,Principal!$U$42:$U$69,0))),"",INDEX(PoderesDeCriatura_AdquiridosNombres,MATCH(U$2236&amp;$A6,Principal!$U$42:$U$69,0)))</f>
        <v/>
      </c>
      <c r="V2243" s="2422" t="str">
        <f>IF(ISNA(INDEX(PoderesDeCriatura_Adquiridos,MATCH(U$2236&amp;$A6,Principal!$U$42:$U$69,0))),"",IF(INDEX(Principal!$AP$42:$AP$69,MATCH(U$2236&amp;$A6,Principal!$U$42:$U$69,0))&gt;0,INDEX(Principal!$AF$42:$AF$69,MATCH(U$2236&amp;$A6,Principal!$U$42:$U$69,0)),INDEX(PoderesDeCriatura_Adquiridos,MATCH(U$2236&amp;$A6,Principal!$U$42:$U$69,0))))</f>
        <v/>
      </c>
      <c r="W2243" s="218" t="str">
        <f t="shared" si="447"/>
        <v/>
      </c>
      <c r="X2243" s="2421" t="str">
        <f>IF(ISNA(INDEX(PoderesDeCriatura_AdquiridosNombres,MATCH(X$2236&amp;$A6,Principal!$U$42:$U$69,0))),"",INDEX(PoderesDeCriatura_AdquiridosNombres,MATCH(X$2236&amp;$A6,Principal!$U$42:$U$69,0)))</f>
        <v/>
      </c>
      <c r="Y2243" s="2422" t="str">
        <f>IF(ISNA(INDEX(PoderesDeCriatura_Adquiridos,MATCH(X$2236&amp;$A6,Principal!$U$42:$U$69,0))),"",IF(INDEX(Principal!$AP$42:$AP$69,MATCH(X$2236&amp;$A6,Principal!$U$42:$U$69,0))&gt;0,INDEX(Principal!$AF$42:$AF$69,MATCH(X$2236&amp;$A6,Principal!$U$42:$U$69,0)),INDEX(PoderesDeCriatura_Adquiridos,MATCH(X$2236&amp;$A6,Principal!$U$42:$U$69,0))))</f>
        <v/>
      </c>
      <c r="Z2243" s="218" t="str">
        <f t="shared" si="448"/>
        <v/>
      </c>
      <c r="AA2243" s="2421" t="str">
        <f>IF(ISNA(INDEX(PoderesDeCriatura_AdquiridosNombres,MATCH(AA$2236&amp;$A6,Principal!$U$42:$U$69,0))),"",INDEX(PoderesDeCriatura_AdquiridosNombres,MATCH(AA$2236&amp;$A6,Principal!$U$42:$U$69,0)))</f>
        <v/>
      </c>
      <c r="AB2243" s="2422" t="str">
        <f>IF(ISNA(INDEX(PoderesDeCriatura_Adquiridos,MATCH(AA$2236&amp;$A6,Principal!$U$42:$U$69,0))),"",IF(INDEX(Principal!$AP$42:$AP$69,MATCH(AA$2236&amp;$A6,Principal!$U$42:$U$69,0))&gt;0,INDEX(Principal!$AF$42:$AF$69,MATCH(AA$2236&amp;$A6,Principal!$U$42:$U$69,0)),INDEX(PoderesDeCriatura_Adquiridos,MATCH(AA$2236&amp;$A6,Principal!$U$42:$U$69,0))))</f>
        <v/>
      </c>
      <c r="AC2243" s="218" t="str">
        <f t="shared" si="449"/>
        <v/>
      </c>
      <c r="AD2243" s="2421" t="str">
        <f>IF(ISNA(INDEX(PoderesDeCriatura_AdquiridosNombres,MATCH(AD$2236&amp;$A6,Principal!$U$42:$U$69,0))),"",INDEX(PoderesDeCriatura_AdquiridosNombres,MATCH(AD$2236&amp;$A6,Principal!$U$42:$U$69,0)))</f>
        <v/>
      </c>
      <c r="AE2243" s="2422" t="str">
        <f>IF(ISNA(INDEX(PoderesDeCriatura_Adquiridos,MATCH(AD$2236&amp;$A6,Principal!$U$42:$U$69,0))),"",IF(INDEX(Principal!$AP$42:$AP$69,MATCH(AD$2236&amp;$A6,Principal!$U$42:$U$69,0))&gt;0,INDEX(Principal!$AF$42:$AF$69,MATCH(AD$2236&amp;$A6,Principal!$U$42:$U$69,0)),INDEX(PoderesDeCriatura_Adquiridos,MATCH(AD$2236&amp;$A6,Principal!$U$42:$U$69,0))))</f>
        <v/>
      </c>
      <c r="AF2243" s="218" t="str">
        <f t="shared" si="450"/>
        <v/>
      </c>
      <c r="AG2243" s="2421" t="str">
        <f>IF(ISNA(INDEX(PoderesDeCriatura_AdquiridosNombres,MATCH(AG$2236&amp;$A6,Principal!$U$42:$U$69,0))),"",INDEX(PoderesDeCriatura_AdquiridosNombres,MATCH(AG$2236&amp;$A6,Principal!$U$42:$U$69,0)))</f>
        <v/>
      </c>
      <c r="AH2243" s="2422" t="str">
        <f>IF(ISNA(INDEX(PoderesDeCriatura_Adquiridos,MATCH(AG$2236&amp;$A6,Principal!$U$42:$U$69,0))),"",IF(INDEX(Principal!$AP$42:$AP$69,MATCH(AG$2236&amp;$A6,Principal!$U$42:$U$69,0))&gt;0,INDEX(Principal!$AF$42:$AF$69,MATCH(AG$2236&amp;$A6,Principal!$U$42:$U$69,0)),INDEX(PoderesDeCriatura_Adquiridos,MATCH(AG$2236&amp;$A6,Principal!$U$42:$U$69,0))))</f>
        <v/>
      </c>
      <c r="AI2243" s="218" t="str">
        <f t="shared" si="451"/>
        <v/>
      </c>
      <c r="AJ2243" s="2421" t="str">
        <f>IF(ISNA(INDEX(PoderesDeCriatura_AdquiridosNombres,MATCH(AJ$2236&amp;$A6,Principal!$U$42:$U$69,0))),"",INDEX(PoderesDeCriatura_AdquiridosNombres,MATCH(AJ$2236&amp;$A6,Principal!$U$42:$U$69,0)))</f>
        <v/>
      </c>
      <c r="AK2243" s="2422" t="str">
        <f>IF(ISNA(INDEX(PoderesDeCriatura_Adquiridos,MATCH(AJ$2236&amp;$A6,Principal!$U$42:$U$69,0))),"",IF(INDEX(Principal!$AP$42:$AP$69,MATCH(AJ$2236&amp;$A6,Principal!$U$42:$U$69,0))&gt;0,INDEX(Principal!$AF$42:$AF$69,MATCH(AJ$2236&amp;$A6,Principal!$U$42:$U$69,0)),INDEX(PoderesDeCriatura_Adquiridos,MATCH(AJ$2236&amp;$A6,Principal!$U$42:$U$69,0))))</f>
        <v/>
      </c>
      <c r="AL2243" s="218" t="str">
        <f t="shared" si="452"/>
        <v/>
      </c>
      <c r="AM2243" s="2421" t="str">
        <f>IF(ISNA(INDEX(PoderesDeCriatura_AdquiridosNombres,MATCH(AM$2236&amp;$A6,Principal!$U$42:$U$69,0))),"",INDEX(PoderesDeCriatura_AdquiridosNombres,MATCH(AM$2236&amp;$A6,Principal!$U$42:$U$69,0)))</f>
        <v/>
      </c>
      <c r="AN2243" s="2422" t="str">
        <f>IF(ISNA(INDEX(PoderesDeCriatura_Adquiridos,MATCH(AM$2236&amp;$A6,Principal!$U$42:$U$69,0))),"",IF(INDEX(Principal!$AP$42:$AP$69,MATCH(AM$2236&amp;$A6,Principal!$U$42:$U$69,0))&gt;0,INDEX(Principal!$AF$42:$AF$69,MATCH(AM$2236&amp;$A6,Principal!$U$42:$U$69,0)),INDEX(PoderesDeCriatura_Adquiridos,MATCH(AM$2236&amp;$A6,Principal!$U$42:$U$69,0))))</f>
        <v/>
      </c>
      <c r="AO2243" s="761" t="str">
        <f t="shared" si="453"/>
        <v/>
      </c>
      <c r="AP2243" s="758" t="str">
        <f>IF(OR(AQ2243=0,ISNUMBER(MATCH(AQ2243,$AQ$2239:$AQ2242,0))),"",MAX($AP$2238:AP2242)+1)</f>
        <v/>
      </c>
      <c r="AQ2243" s="1174">
        <f>Principal!V46</f>
        <v>0</v>
      </c>
    </row>
    <row r="2244" spans="1:43" ht="12.75" customHeight="1">
      <c r="A2244" s="219">
        <v>2138</v>
      </c>
      <c r="B2244" s="7145"/>
      <c r="J2244" s="750" t="str">
        <f>IF(ISNA(VLOOKUP(A8,Principal!$S$42:$AH$69,10,FALSE)),"",IF(VLOOKUP(A8,Principal!$S$42:$AH$69,10,FALSE)=0,"",INDEX(PoderesDeCriatura_Adquiridos,MATCH(A8,Principal!$S$42:$S$69,0))))</f>
        <v/>
      </c>
      <c r="K2244" s="218" t="str">
        <f>IF(AND(COUNTA($K$2237:K2243)-COUNTBLANK($K$2237:K2243)&gt;0,J2244&lt;&gt;""),", ","")&amp;J2244</f>
        <v/>
      </c>
      <c r="L2244" s="2421" t="str">
        <f>IF(ISNA(INDEX(PoderesDeCriatura_AdquiridosNombres,MATCH(L$2236&amp;$A7,Principal!$U$42:$U$69,0))),"",INDEX(PoderesDeCriatura_AdquiridosNombres,MATCH(L$2236&amp;$A7,Principal!$U$42:$U$69,0)))</f>
        <v/>
      </c>
      <c r="M2244" s="2422" t="str">
        <f>IF(ISNA(INDEX(PoderesDeCriatura_Adquiridos,MATCH(L$2236&amp;$A7,Principal!$U$42:$U$69,0))),"",IF(INDEX(Principal!$AP$42:$AP$69,MATCH(L$2236&amp;$A7,Principal!$U$42:$U$69,0))&gt;0,INDEX(Principal!$AF$42:$AF$69,MATCH(L$2236&amp;$A7,Principal!$U$42:$U$69,0)),INDEX(PoderesDeCriatura_Adquiridos,MATCH(L$2236&amp;$A7,Principal!$U$42:$U$69,0))))</f>
        <v/>
      </c>
      <c r="N2244" s="218" t="str">
        <f t="shared" si="444"/>
        <v/>
      </c>
      <c r="O2244" s="2421" t="str">
        <f>IF(ISNA(INDEX(PoderesDeCriatura_AdquiridosNombres,MATCH(O$2236&amp;$A7,Principal!$U$42:$U$69,0))),"",INDEX(PoderesDeCriatura_AdquiridosNombres,MATCH(O$2236&amp;$A7,Principal!$U$42:$U$69,0)))</f>
        <v/>
      </c>
      <c r="P2244" s="2422" t="str">
        <f>IF(ISNA(INDEX(PoderesDeCriatura_Adquiridos,MATCH(O$2236&amp;$A7,Principal!$U$42:$U$69,0))),"",IF(INDEX(Principal!$AP$42:$AP$69,MATCH(O$2236&amp;$A7,Principal!$U$42:$U$69,0))&gt;0,INDEX(Principal!$AF$42:$AF$69,MATCH(O$2236&amp;$A7,Principal!$U$42:$U$69,0)),INDEX(PoderesDeCriatura_Adquiridos,MATCH(O$2236&amp;$A7,Principal!$U$42:$U$69,0))))</f>
        <v/>
      </c>
      <c r="Q2244" s="218" t="str">
        <f t="shared" si="445"/>
        <v/>
      </c>
      <c r="R2244" s="2421" t="str">
        <f>IF(ISNA(INDEX(PoderesDeCriatura_AdquiridosNombres,MATCH(R$2236&amp;$A7,Principal!$U$42:$U$69,0))),"",INDEX(PoderesDeCriatura_AdquiridosNombres,MATCH(R$2236&amp;$A7,Principal!$U$42:$U$69,0)))</f>
        <v/>
      </c>
      <c r="S2244" s="2422" t="str">
        <f>IF(ISNA(INDEX(PoderesDeCriatura_Adquiridos,MATCH(R$2236&amp;$A7,Principal!$U$42:$U$69,0))),"",IF(INDEX(Principal!$AP$42:$AP$69,MATCH(R$2236&amp;$A7,Principal!$U$42:$U$69,0))&gt;0,INDEX(Principal!$AF$42:$AF$69,MATCH(R$2236&amp;$A7,Principal!$U$42:$U$69,0)),INDEX(PoderesDeCriatura_Adquiridos,MATCH(R$2236&amp;$A7,Principal!$U$42:$U$69,0))))</f>
        <v/>
      </c>
      <c r="T2244" s="218" t="str">
        <f t="shared" si="446"/>
        <v/>
      </c>
      <c r="U2244" s="2421" t="str">
        <f>IF(ISNA(INDEX(PoderesDeCriatura_AdquiridosNombres,MATCH(U$2236&amp;$A7,Principal!$U$42:$U$69,0))),"",INDEX(PoderesDeCriatura_AdquiridosNombres,MATCH(U$2236&amp;$A7,Principal!$U$42:$U$69,0)))</f>
        <v/>
      </c>
      <c r="V2244" s="2422" t="str">
        <f>IF(ISNA(INDEX(PoderesDeCriatura_Adquiridos,MATCH(U$2236&amp;$A7,Principal!$U$42:$U$69,0))),"",IF(INDEX(Principal!$AP$42:$AP$69,MATCH(U$2236&amp;$A7,Principal!$U$42:$U$69,0))&gt;0,INDEX(Principal!$AF$42:$AF$69,MATCH(U$2236&amp;$A7,Principal!$U$42:$U$69,0)),INDEX(PoderesDeCriatura_Adquiridos,MATCH(U$2236&amp;$A7,Principal!$U$42:$U$69,0))))</f>
        <v/>
      </c>
      <c r="W2244" s="218" t="str">
        <f t="shared" si="447"/>
        <v/>
      </c>
      <c r="X2244" s="2421" t="str">
        <f>IF(ISNA(INDEX(PoderesDeCriatura_AdquiridosNombres,MATCH(X$2236&amp;$A7,Principal!$U$42:$U$69,0))),"",INDEX(PoderesDeCriatura_AdquiridosNombres,MATCH(X$2236&amp;$A7,Principal!$U$42:$U$69,0)))</f>
        <v/>
      </c>
      <c r="Y2244" s="2422" t="str">
        <f>IF(ISNA(INDEX(PoderesDeCriatura_Adquiridos,MATCH(X$2236&amp;$A7,Principal!$U$42:$U$69,0))),"",IF(INDEX(Principal!$AP$42:$AP$69,MATCH(X$2236&amp;$A7,Principal!$U$42:$U$69,0))&gt;0,INDEX(Principal!$AF$42:$AF$69,MATCH(X$2236&amp;$A7,Principal!$U$42:$U$69,0)),INDEX(PoderesDeCriatura_Adquiridos,MATCH(X$2236&amp;$A7,Principal!$U$42:$U$69,0))))</f>
        <v/>
      </c>
      <c r="Z2244" s="218" t="str">
        <f t="shared" si="448"/>
        <v/>
      </c>
      <c r="AA2244" s="2421" t="str">
        <f>IF(ISNA(INDEX(PoderesDeCriatura_AdquiridosNombres,MATCH(AA$2236&amp;$A7,Principal!$U$42:$U$69,0))),"",INDEX(PoderesDeCriatura_AdquiridosNombres,MATCH(AA$2236&amp;$A7,Principal!$U$42:$U$69,0)))</f>
        <v/>
      </c>
      <c r="AB2244" s="2422" t="str">
        <f>IF(ISNA(INDEX(PoderesDeCriatura_Adquiridos,MATCH(AA$2236&amp;$A7,Principal!$U$42:$U$69,0))),"",IF(INDEX(Principal!$AP$42:$AP$69,MATCH(AA$2236&amp;$A7,Principal!$U$42:$U$69,0))&gt;0,INDEX(Principal!$AF$42:$AF$69,MATCH(AA$2236&amp;$A7,Principal!$U$42:$U$69,0)),INDEX(PoderesDeCriatura_Adquiridos,MATCH(AA$2236&amp;$A7,Principal!$U$42:$U$69,0))))</f>
        <v/>
      </c>
      <c r="AC2244" s="218" t="str">
        <f t="shared" si="449"/>
        <v/>
      </c>
      <c r="AD2244" s="2421" t="str">
        <f>IF(ISNA(INDEX(PoderesDeCriatura_AdquiridosNombres,MATCH(AD$2236&amp;$A7,Principal!$U$42:$U$69,0))),"",INDEX(PoderesDeCriatura_AdquiridosNombres,MATCH(AD$2236&amp;$A7,Principal!$U$42:$U$69,0)))</f>
        <v/>
      </c>
      <c r="AE2244" s="2422" t="str">
        <f>IF(ISNA(INDEX(PoderesDeCriatura_Adquiridos,MATCH(AD$2236&amp;$A7,Principal!$U$42:$U$69,0))),"",IF(INDEX(Principal!$AP$42:$AP$69,MATCH(AD$2236&amp;$A7,Principal!$U$42:$U$69,0))&gt;0,INDEX(Principal!$AF$42:$AF$69,MATCH(AD$2236&amp;$A7,Principal!$U$42:$U$69,0)),INDEX(PoderesDeCriatura_Adquiridos,MATCH(AD$2236&amp;$A7,Principal!$U$42:$U$69,0))))</f>
        <v/>
      </c>
      <c r="AF2244" s="218" t="str">
        <f t="shared" si="450"/>
        <v/>
      </c>
      <c r="AG2244" s="2421" t="str">
        <f>IF(ISNA(INDEX(PoderesDeCriatura_AdquiridosNombres,MATCH(AG$2236&amp;$A7,Principal!$U$42:$U$69,0))),"",INDEX(PoderesDeCriatura_AdquiridosNombres,MATCH(AG$2236&amp;$A7,Principal!$U$42:$U$69,0)))</f>
        <v/>
      </c>
      <c r="AH2244" s="2422" t="str">
        <f>IF(ISNA(INDEX(PoderesDeCriatura_Adquiridos,MATCH(AG$2236&amp;$A7,Principal!$U$42:$U$69,0))),"",IF(INDEX(Principal!$AP$42:$AP$69,MATCH(AG$2236&amp;$A7,Principal!$U$42:$U$69,0))&gt;0,INDEX(Principal!$AF$42:$AF$69,MATCH(AG$2236&amp;$A7,Principal!$U$42:$U$69,0)),INDEX(PoderesDeCriatura_Adquiridos,MATCH(AG$2236&amp;$A7,Principal!$U$42:$U$69,0))))</f>
        <v/>
      </c>
      <c r="AI2244" s="218" t="str">
        <f t="shared" si="451"/>
        <v/>
      </c>
      <c r="AJ2244" s="2421" t="str">
        <f>IF(ISNA(INDEX(PoderesDeCriatura_AdquiridosNombres,MATCH(AJ$2236&amp;$A7,Principal!$U$42:$U$69,0))),"",INDEX(PoderesDeCriatura_AdquiridosNombres,MATCH(AJ$2236&amp;$A7,Principal!$U$42:$U$69,0)))</f>
        <v/>
      </c>
      <c r="AK2244" s="2422" t="str">
        <f>IF(ISNA(INDEX(PoderesDeCriatura_Adquiridos,MATCH(AJ$2236&amp;$A7,Principal!$U$42:$U$69,0))),"",IF(INDEX(Principal!$AP$42:$AP$69,MATCH(AJ$2236&amp;$A7,Principal!$U$42:$U$69,0))&gt;0,INDEX(Principal!$AF$42:$AF$69,MATCH(AJ$2236&amp;$A7,Principal!$U$42:$U$69,0)),INDEX(PoderesDeCriatura_Adquiridos,MATCH(AJ$2236&amp;$A7,Principal!$U$42:$U$69,0))))</f>
        <v/>
      </c>
      <c r="AL2244" s="218" t="str">
        <f t="shared" si="452"/>
        <v/>
      </c>
      <c r="AM2244" s="2421" t="str">
        <f>IF(ISNA(INDEX(PoderesDeCriatura_AdquiridosNombres,MATCH(AM$2236&amp;$A7,Principal!$U$42:$U$69,0))),"",INDEX(PoderesDeCriatura_AdquiridosNombres,MATCH(AM$2236&amp;$A7,Principal!$U$42:$U$69,0)))</f>
        <v/>
      </c>
      <c r="AN2244" s="2422" t="str">
        <f>IF(ISNA(INDEX(PoderesDeCriatura_Adquiridos,MATCH(AM$2236&amp;$A7,Principal!$U$42:$U$69,0))),"",IF(INDEX(Principal!$AP$42:$AP$69,MATCH(AM$2236&amp;$A7,Principal!$U$42:$U$69,0))&gt;0,INDEX(Principal!$AF$42:$AF$69,MATCH(AM$2236&amp;$A7,Principal!$U$42:$U$69,0)),INDEX(PoderesDeCriatura_Adquiridos,MATCH(AM$2236&amp;$A7,Principal!$U$42:$U$69,0))))</f>
        <v/>
      </c>
      <c r="AO2244" s="761" t="str">
        <f t="shared" si="453"/>
        <v/>
      </c>
      <c r="AP2244" s="758" t="str">
        <f>IF(OR(AQ2244=0,ISNUMBER(MATCH(AQ2244,$AQ$2239:$AQ2243,0))),"",MAX($AP$2238:AP2243)+1)</f>
        <v/>
      </c>
      <c r="AQ2244" s="1174">
        <f>Principal!V47</f>
        <v>0</v>
      </c>
    </row>
    <row r="2245" spans="1:43" ht="12.75" customHeight="1">
      <c r="A2245" s="219">
        <v>2139</v>
      </c>
      <c r="B2245" s="7145"/>
      <c r="J2245" s="750" t="str">
        <f>IF(ISNA(VLOOKUP(A9,Principal!$S$42:$AH$69,10,FALSE)),"",IF(VLOOKUP(A9,Principal!$S$42:$AH$69,10,FALSE)=0,"",INDEX(PoderesDeCriatura_Adquiridos,MATCH(A9,Principal!$S$42:$S$69,0))))</f>
        <v/>
      </c>
      <c r="K2245" s="218" t="str">
        <f>IF(AND(COUNTA($K$2237:K2244)-COUNTBLANK($K$2237:K2244)&gt;0,J2245&lt;&gt;""),", ","")&amp;J2245</f>
        <v/>
      </c>
      <c r="L2245" s="2421" t="str">
        <f>IF(ISNA(INDEX(PoderesDeCriatura_AdquiridosNombres,MATCH(L$2236&amp;$A8,Principal!$U$42:$U$69,0))),"",INDEX(PoderesDeCriatura_AdquiridosNombres,MATCH(L$2236&amp;$A8,Principal!$U$42:$U$69,0)))</f>
        <v/>
      </c>
      <c r="M2245" s="2422" t="str">
        <f>IF(ISNA(INDEX(PoderesDeCriatura_Adquiridos,MATCH(L$2236&amp;$A8,Principal!$U$42:$U$69,0))),"",IF(INDEX(Principal!$AP$42:$AP$69,MATCH(L$2236&amp;$A8,Principal!$U$42:$U$69,0))&gt;0,INDEX(Principal!$AF$42:$AF$69,MATCH(L$2236&amp;$A8,Principal!$U$42:$U$69,0)),INDEX(PoderesDeCriatura_Adquiridos,MATCH(L$2236&amp;$A8,Principal!$U$42:$U$69,0))))</f>
        <v/>
      </c>
      <c r="N2245" s="218" t="str">
        <f t="shared" si="444"/>
        <v/>
      </c>
      <c r="O2245" s="2421" t="str">
        <f>IF(ISNA(INDEX(PoderesDeCriatura_AdquiridosNombres,MATCH(O$2236&amp;$A8,Principal!$U$42:$U$69,0))),"",INDEX(PoderesDeCriatura_AdquiridosNombres,MATCH(O$2236&amp;$A8,Principal!$U$42:$U$69,0)))</f>
        <v/>
      </c>
      <c r="P2245" s="2422" t="str">
        <f>IF(ISNA(INDEX(PoderesDeCriatura_Adquiridos,MATCH(O$2236&amp;$A8,Principal!$U$42:$U$69,0))),"",IF(INDEX(Principal!$AP$42:$AP$69,MATCH(O$2236&amp;$A8,Principal!$U$42:$U$69,0))&gt;0,INDEX(Principal!$AF$42:$AF$69,MATCH(O$2236&amp;$A8,Principal!$U$42:$U$69,0)),INDEX(PoderesDeCriatura_Adquiridos,MATCH(O$2236&amp;$A8,Principal!$U$42:$U$69,0))))</f>
        <v/>
      </c>
      <c r="Q2245" s="218" t="str">
        <f t="shared" si="445"/>
        <v/>
      </c>
      <c r="R2245" s="2421" t="str">
        <f>IF(ISNA(INDEX(PoderesDeCriatura_AdquiridosNombres,MATCH(R$2236&amp;$A8,Principal!$U$42:$U$69,0))),"",INDEX(PoderesDeCriatura_AdquiridosNombres,MATCH(R$2236&amp;$A8,Principal!$U$42:$U$69,0)))</f>
        <v/>
      </c>
      <c r="S2245" s="2422" t="str">
        <f>IF(ISNA(INDEX(PoderesDeCriatura_Adquiridos,MATCH(R$2236&amp;$A8,Principal!$U$42:$U$69,0))),"",IF(INDEX(Principal!$AP$42:$AP$69,MATCH(R$2236&amp;$A8,Principal!$U$42:$U$69,0))&gt;0,INDEX(Principal!$AF$42:$AF$69,MATCH(R$2236&amp;$A8,Principal!$U$42:$U$69,0)),INDEX(PoderesDeCriatura_Adquiridos,MATCH(R$2236&amp;$A8,Principal!$U$42:$U$69,0))))</f>
        <v/>
      </c>
      <c r="T2245" s="218" t="str">
        <f t="shared" si="446"/>
        <v/>
      </c>
      <c r="U2245" s="2421" t="str">
        <f>IF(ISNA(INDEX(PoderesDeCriatura_AdquiridosNombres,MATCH(U$2236&amp;$A8,Principal!$U$42:$U$69,0))),"",INDEX(PoderesDeCriatura_AdquiridosNombres,MATCH(U$2236&amp;$A8,Principal!$U$42:$U$69,0)))</f>
        <v/>
      </c>
      <c r="V2245" s="2422" t="str">
        <f>IF(ISNA(INDEX(PoderesDeCriatura_Adquiridos,MATCH(U$2236&amp;$A8,Principal!$U$42:$U$69,0))),"",IF(INDEX(Principal!$AP$42:$AP$69,MATCH(U$2236&amp;$A8,Principal!$U$42:$U$69,0))&gt;0,INDEX(Principal!$AF$42:$AF$69,MATCH(U$2236&amp;$A8,Principal!$U$42:$U$69,0)),INDEX(PoderesDeCriatura_Adquiridos,MATCH(U$2236&amp;$A8,Principal!$U$42:$U$69,0))))</f>
        <v/>
      </c>
      <c r="W2245" s="218" t="str">
        <f t="shared" si="447"/>
        <v/>
      </c>
      <c r="X2245" s="2421" t="str">
        <f>IF(ISNA(INDEX(PoderesDeCriatura_AdquiridosNombres,MATCH(X$2236&amp;$A8,Principal!$U$42:$U$69,0))),"",INDEX(PoderesDeCriatura_AdquiridosNombres,MATCH(X$2236&amp;$A8,Principal!$U$42:$U$69,0)))</f>
        <v/>
      </c>
      <c r="Y2245" s="2422" t="str">
        <f>IF(ISNA(INDEX(PoderesDeCriatura_Adquiridos,MATCH(X$2236&amp;$A8,Principal!$U$42:$U$69,0))),"",IF(INDEX(Principal!$AP$42:$AP$69,MATCH(X$2236&amp;$A8,Principal!$U$42:$U$69,0))&gt;0,INDEX(Principal!$AF$42:$AF$69,MATCH(X$2236&amp;$A8,Principal!$U$42:$U$69,0)),INDEX(PoderesDeCriatura_Adquiridos,MATCH(X$2236&amp;$A8,Principal!$U$42:$U$69,0))))</f>
        <v/>
      </c>
      <c r="Z2245" s="218" t="str">
        <f t="shared" si="448"/>
        <v/>
      </c>
      <c r="AA2245" s="2421" t="str">
        <f>IF(ISNA(INDEX(PoderesDeCriatura_AdquiridosNombres,MATCH(AA$2236&amp;$A8,Principal!$U$42:$U$69,0))),"",INDEX(PoderesDeCriatura_AdquiridosNombres,MATCH(AA$2236&amp;$A8,Principal!$U$42:$U$69,0)))</f>
        <v/>
      </c>
      <c r="AB2245" s="2422" t="str">
        <f>IF(ISNA(INDEX(PoderesDeCriatura_Adquiridos,MATCH(AA$2236&amp;$A8,Principal!$U$42:$U$69,0))),"",IF(INDEX(Principal!$AP$42:$AP$69,MATCH(AA$2236&amp;$A8,Principal!$U$42:$U$69,0))&gt;0,INDEX(Principal!$AF$42:$AF$69,MATCH(AA$2236&amp;$A8,Principal!$U$42:$U$69,0)),INDEX(PoderesDeCriatura_Adquiridos,MATCH(AA$2236&amp;$A8,Principal!$U$42:$U$69,0))))</f>
        <v/>
      </c>
      <c r="AC2245" s="218" t="str">
        <f t="shared" si="449"/>
        <v/>
      </c>
      <c r="AD2245" s="2421" t="str">
        <f>IF(ISNA(INDEX(PoderesDeCriatura_AdquiridosNombres,MATCH(AD$2236&amp;$A8,Principal!$U$42:$U$69,0))),"",INDEX(PoderesDeCriatura_AdquiridosNombres,MATCH(AD$2236&amp;$A8,Principal!$U$42:$U$69,0)))</f>
        <v/>
      </c>
      <c r="AE2245" s="2422" t="str">
        <f>IF(ISNA(INDEX(PoderesDeCriatura_Adquiridos,MATCH(AD$2236&amp;$A8,Principal!$U$42:$U$69,0))),"",IF(INDEX(Principal!$AP$42:$AP$69,MATCH(AD$2236&amp;$A8,Principal!$U$42:$U$69,0))&gt;0,INDEX(Principal!$AF$42:$AF$69,MATCH(AD$2236&amp;$A8,Principal!$U$42:$U$69,0)),INDEX(PoderesDeCriatura_Adquiridos,MATCH(AD$2236&amp;$A8,Principal!$U$42:$U$69,0))))</f>
        <v/>
      </c>
      <c r="AF2245" s="218" t="str">
        <f t="shared" si="450"/>
        <v/>
      </c>
      <c r="AG2245" s="2421" t="str">
        <f>IF(ISNA(INDEX(PoderesDeCriatura_AdquiridosNombres,MATCH(AG$2236&amp;$A8,Principal!$U$42:$U$69,0))),"",INDEX(PoderesDeCriatura_AdquiridosNombres,MATCH(AG$2236&amp;$A8,Principal!$U$42:$U$69,0)))</f>
        <v/>
      </c>
      <c r="AH2245" s="2422" t="str">
        <f>IF(ISNA(INDEX(PoderesDeCriatura_Adquiridos,MATCH(AG$2236&amp;$A8,Principal!$U$42:$U$69,0))),"",IF(INDEX(Principal!$AP$42:$AP$69,MATCH(AG$2236&amp;$A8,Principal!$U$42:$U$69,0))&gt;0,INDEX(Principal!$AF$42:$AF$69,MATCH(AG$2236&amp;$A8,Principal!$U$42:$U$69,0)),INDEX(PoderesDeCriatura_Adquiridos,MATCH(AG$2236&amp;$A8,Principal!$U$42:$U$69,0))))</f>
        <v/>
      </c>
      <c r="AI2245" s="218" t="str">
        <f t="shared" si="451"/>
        <v/>
      </c>
      <c r="AJ2245" s="2421" t="str">
        <f>IF(ISNA(INDEX(PoderesDeCriatura_AdquiridosNombres,MATCH(AJ$2236&amp;$A8,Principal!$U$42:$U$69,0))),"",INDEX(PoderesDeCriatura_AdquiridosNombres,MATCH(AJ$2236&amp;$A8,Principal!$U$42:$U$69,0)))</f>
        <v/>
      </c>
      <c r="AK2245" s="2422" t="str">
        <f>IF(ISNA(INDEX(PoderesDeCriatura_Adquiridos,MATCH(AJ$2236&amp;$A8,Principal!$U$42:$U$69,0))),"",IF(INDEX(Principal!$AP$42:$AP$69,MATCH(AJ$2236&amp;$A8,Principal!$U$42:$U$69,0))&gt;0,INDEX(Principal!$AF$42:$AF$69,MATCH(AJ$2236&amp;$A8,Principal!$U$42:$U$69,0)),INDEX(PoderesDeCriatura_Adquiridos,MATCH(AJ$2236&amp;$A8,Principal!$U$42:$U$69,0))))</f>
        <v/>
      </c>
      <c r="AL2245" s="218" t="str">
        <f t="shared" si="452"/>
        <v/>
      </c>
      <c r="AM2245" s="2421" t="str">
        <f>IF(ISNA(INDEX(PoderesDeCriatura_AdquiridosNombres,MATCH(AM$2236&amp;$A8,Principal!$U$42:$U$69,0))),"",INDEX(PoderesDeCriatura_AdquiridosNombres,MATCH(AM$2236&amp;$A8,Principal!$U$42:$U$69,0)))</f>
        <v/>
      </c>
      <c r="AN2245" s="2422" t="str">
        <f>IF(ISNA(INDEX(PoderesDeCriatura_Adquiridos,MATCH(AM$2236&amp;$A8,Principal!$U$42:$U$69,0))),"",IF(INDEX(Principal!$AP$42:$AP$69,MATCH(AM$2236&amp;$A8,Principal!$U$42:$U$69,0))&gt;0,INDEX(Principal!$AF$42:$AF$69,MATCH(AM$2236&amp;$A8,Principal!$U$42:$U$69,0)),INDEX(PoderesDeCriatura_Adquiridos,MATCH(AM$2236&amp;$A8,Principal!$U$42:$U$69,0))))</f>
        <v/>
      </c>
      <c r="AO2245" s="761" t="str">
        <f t="shared" si="453"/>
        <v/>
      </c>
      <c r="AP2245" s="758" t="str">
        <f>IF(OR(AQ2245=0,ISNUMBER(MATCH(AQ2245,$AQ$2239:$AQ2244,0))),"",MAX($AP$2238:AP2244)+1)</f>
        <v/>
      </c>
      <c r="AQ2245" s="1174">
        <f>Principal!V48</f>
        <v>0</v>
      </c>
    </row>
    <row r="2246" spans="1:43" ht="12.75" customHeight="1">
      <c r="A2246" s="219">
        <v>2140</v>
      </c>
      <c r="B2246" s="7145"/>
      <c r="J2246" s="750" t="str">
        <f>IF(ISNA(VLOOKUP(A10,Principal!$S$42:$AH$69,10,FALSE)),"",IF(VLOOKUP(A10,Principal!$S$42:$AH$69,10,FALSE)=0,"",INDEX(PoderesDeCriatura_Adquiridos,MATCH(A10,Principal!$S$42:$S$69,0))))</f>
        <v/>
      </c>
      <c r="K2246" s="218" t="str">
        <f>IF(AND(COUNTA($K$2237:K2245)-COUNTBLANK($K$2237:K2245)&gt;0,J2246&lt;&gt;""),", ","")&amp;J2246</f>
        <v/>
      </c>
      <c r="L2246" s="2421" t="str">
        <f>IF(ISNA(INDEX(PoderesDeCriatura_AdquiridosNombres,MATCH(L$2236&amp;$A9,Principal!$U$42:$U$69,0))),"",INDEX(PoderesDeCriatura_AdquiridosNombres,MATCH(L$2236&amp;$A9,Principal!$U$42:$U$69,0)))</f>
        <v/>
      </c>
      <c r="M2246" s="2422" t="str">
        <f>IF(ISNA(INDEX(PoderesDeCriatura_Adquiridos,MATCH(L$2236&amp;$A9,Principal!$U$42:$U$69,0))),"",IF(INDEX(Principal!$AP$42:$AP$69,MATCH(L$2236&amp;$A9,Principal!$U$42:$U$69,0))&gt;0,INDEX(Principal!$AF$42:$AF$69,MATCH(L$2236&amp;$A9,Principal!$U$42:$U$69,0)),INDEX(PoderesDeCriatura_Adquiridos,MATCH(L$2236&amp;$A9,Principal!$U$42:$U$69,0))))</f>
        <v/>
      </c>
      <c r="N2246" s="218" t="str">
        <f t="shared" si="444"/>
        <v/>
      </c>
      <c r="O2246" s="2421" t="str">
        <f>IF(ISNA(INDEX(PoderesDeCriatura_AdquiridosNombres,MATCH(O$2236&amp;$A9,Principal!$U$42:$U$69,0))),"",INDEX(PoderesDeCriatura_AdquiridosNombres,MATCH(O$2236&amp;$A9,Principal!$U$42:$U$69,0)))</f>
        <v/>
      </c>
      <c r="P2246" s="2422" t="str">
        <f>IF(ISNA(INDEX(PoderesDeCriatura_Adquiridos,MATCH(O$2236&amp;$A9,Principal!$U$42:$U$69,0))),"",IF(INDEX(Principal!$AP$42:$AP$69,MATCH(O$2236&amp;$A9,Principal!$U$42:$U$69,0))&gt;0,INDEX(Principal!$AF$42:$AF$69,MATCH(O$2236&amp;$A9,Principal!$U$42:$U$69,0)),INDEX(PoderesDeCriatura_Adquiridos,MATCH(O$2236&amp;$A9,Principal!$U$42:$U$69,0))))</f>
        <v/>
      </c>
      <c r="Q2246" s="218" t="str">
        <f t="shared" si="445"/>
        <v/>
      </c>
      <c r="R2246" s="2421" t="str">
        <f>IF(ISNA(INDEX(PoderesDeCriatura_AdquiridosNombres,MATCH(R$2236&amp;$A9,Principal!$U$42:$U$69,0))),"",INDEX(PoderesDeCriatura_AdquiridosNombres,MATCH(R$2236&amp;$A9,Principal!$U$42:$U$69,0)))</f>
        <v/>
      </c>
      <c r="S2246" s="2422" t="str">
        <f>IF(ISNA(INDEX(PoderesDeCriatura_Adquiridos,MATCH(R$2236&amp;$A9,Principal!$U$42:$U$69,0))),"",IF(INDEX(Principal!$AP$42:$AP$69,MATCH(R$2236&amp;$A9,Principal!$U$42:$U$69,0))&gt;0,INDEX(Principal!$AF$42:$AF$69,MATCH(R$2236&amp;$A9,Principal!$U$42:$U$69,0)),INDEX(PoderesDeCriatura_Adquiridos,MATCH(R$2236&amp;$A9,Principal!$U$42:$U$69,0))))</f>
        <v/>
      </c>
      <c r="T2246" s="218" t="str">
        <f t="shared" si="446"/>
        <v/>
      </c>
      <c r="U2246" s="2421" t="str">
        <f>IF(ISNA(INDEX(PoderesDeCriatura_AdquiridosNombres,MATCH(U$2236&amp;$A9,Principal!$U$42:$U$69,0))),"",INDEX(PoderesDeCriatura_AdquiridosNombres,MATCH(U$2236&amp;$A9,Principal!$U$42:$U$69,0)))</f>
        <v/>
      </c>
      <c r="V2246" s="2422" t="str">
        <f>IF(ISNA(INDEX(PoderesDeCriatura_Adquiridos,MATCH(U$2236&amp;$A9,Principal!$U$42:$U$69,0))),"",IF(INDEX(Principal!$AP$42:$AP$69,MATCH(U$2236&amp;$A9,Principal!$U$42:$U$69,0))&gt;0,INDEX(Principal!$AF$42:$AF$69,MATCH(U$2236&amp;$A9,Principal!$U$42:$U$69,0)),INDEX(PoderesDeCriatura_Adquiridos,MATCH(U$2236&amp;$A9,Principal!$U$42:$U$69,0))))</f>
        <v/>
      </c>
      <c r="W2246" s="218" t="str">
        <f t="shared" si="447"/>
        <v/>
      </c>
      <c r="X2246" s="2421" t="str">
        <f>IF(ISNA(INDEX(PoderesDeCriatura_AdquiridosNombres,MATCH(X$2236&amp;$A9,Principal!$U$42:$U$69,0))),"",INDEX(PoderesDeCriatura_AdquiridosNombres,MATCH(X$2236&amp;$A9,Principal!$U$42:$U$69,0)))</f>
        <v/>
      </c>
      <c r="Y2246" s="2422" t="str">
        <f>IF(ISNA(INDEX(PoderesDeCriatura_Adquiridos,MATCH(X$2236&amp;$A9,Principal!$U$42:$U$69,0))),"",IF(INDEX(Principal!$AP$42:$AP$69,MATCH(X$2236&amp;$A9,Principal!$U$42:$U$69,0))&gt;0,INDEX(Principal!$AF$42:$AF$69,MATCH(X$2236&amp;$A9,Principal!$U$42:$U$69,0)),INDEX(PoderesDeCriatura_Adquiridos,MATCH(X$2236&amp;$A9,Principal!$U$42:$U$69,0))))</f>
        <v/>
      </c>
      <c r="Z2246" s="218" t="str">
        <f t="shared" si="448"/>
        <v/>
      </c>
      <c r="AA2246" s="2421" t="str">
        <f>IF(ISNA(INDEX(PoderesDeCriatura_AdquiridosNombres,MATCH(AA$2236&amp;$A9,Principal!$U$42:$U$69,0))),"",INDEX(PoderesDeCriatura_AdquiridosNombres,MATCH(AA$2236&amp;$A9,Principal!$U$42:$U$69,0)))</f>
        <v/>
      </c>
      <c r="AB2246" s="2422" t="str">
        <f>IF(ISNA(INDEX(PoderesDeCriatura_Adquiridos,MATCH(AA$2236&amp;$A9,Principal!$U$42:$U$69,0))),"",IF(INDEX(Principal!$AP$42:$AP$69,MATCH(AA$2236&amp;$A9,Principal!$U$42:$U$69,0))&gt;0,INDEX(Principal!$AF$42:$AF$69,MATCH(AA$2236&amp;$A9,Principal!$U$42:$U$69,0)),INDEX(PoderesDeCriatura_Adquiridos,MATCH(AA$2236&amp;$A9,Principal!$U$42:$U$69,0))))</f>
        <v/>
      </c>
      <c r="AC2246" s="218" t="str">
        <f t="shared" si="449"/>
        <v/>
      </c>
      <c r="AD2246" s="2421" t="str">
        <f>IF(ISNA(INDEX(PoderesDeCriatura_AdquiridosNombres,MATCH(AD$2236&amp;$A9,Principal!$U$42:$U$69,0))),"",INDEX(PoderesDeCriatura_AdquiridosNombres,MATCH(AD$2236&amp;$A9,Principal!$U$42:$U$69,0)))</f>
        <v/>
      </c>
      <c r="AE2246" s="2422" t="str">
        <f>IF(ISNA(INDEX(PoderesDeCriatura_Adquiridos,MATCH(AD$2236&amp;$A9,Principal!$U$42:$U$69,0))),"",IF(INDEX(Principal!$AP$42:$AP$69,MATCH(AD$2236&amp;$A9,Principal!$U$42:$U$69,0))&gt;0,INDEX(Principal!$AF$42:$AF$69,MATCH(AD$2236&amp;$A9,Principal!$U$42:$U$69,0)),INDEX(PoderesDeCriatura_Adquiridos,MATCH(AD$2236&amp;$A9,Principal!$U$42:$U$69,0))))</f>
        <v/>
      </c>
      <c r="AF2246" s="218" t="str">
        <f t="shared" si="450"/>
        <v/>
      </c>
      <c r="AG2246" s="2421" t="str">
        <f>IF(ISNA(INDEX(PoderesDeCriatura_AdquiridosNombres,MATCH(AG$2236&amp;$A9,Principal!$U$42:$U$69,0))),"",INDEX(PoderesDeCriatura_AdquiridosNombres,MATCH(AG$2236&amp;$A9,Principal!$U$42:$U$69,0)))</f>
        <v/>
      </c>
      <c r="AH2246" s="2422" t="str">
        <f>IF(ISNA(INDEX(PoderesDeCriatura_Adquiridos,MATCH(AG$2236&amp;$A9,Principal!$U$42:$U$69,0))),"",IF(INDEX(Principal!$AP$42:$AP$69,MATCH(AG$2236&amp;$A9,Principal!$U$42:$U$69,0))&gt;0,INDEX(Principal!$AF$42:$AF$69,MATCH(AG$2236&amp;$A9,Principal!$U$42:$U$69,0)),INDEX(PoderesDeCriatura_Adquiridos,MATCH(AG$2236&amp;$A9,Principal!$U$42:$U$69,0))))</f>
        <v/>
      </c>
      <c r="AI2246" s="218" t="str">
        <f t="shared" si="451"/>
        <v/>
      </c>
      <c r="AJ2246" s="2421" t="str">
        <f>IF(ISNA(INDEX(PoderesDeCriatura_AdquiridosNombres,MATCH(AJ$2236&amp;$A9,Principal!$U$42:$U$69,0))),"",INDEX(PoderesDeCriatura_AdquiridosNombres,MATCH(AJ$2236&amp;$A9,Principal!$U$42:$U$69,0)))</f>
        <v/>
      </c>
      <c r="AK2246" s="2422" t="str">
        <f>IF(ISNA(INDEX(PoderesDeCriatura_Adquiridos,MATCH(AJ$2236&amp;$A9,Principal!$U$42:$U$69,0))),"",IF(INDEX(Principal!$AP$42:$AP$69,MATCH(AJ$2236&amp;$A9,Principal!$U$42:$U$69,0))&gt;0,INDEX(Principal!$AF$42:$AF$69,MATCH(AJ$2236&amp;$A9,Principal!$U$42:$U$69,0)),INDEX(PoderesDeCriatura_Adquiridos,MATCH(AJ$2236&amp;$A9,Principal!$U$42:$U$69,0))))</f>
        <v/>
      </c>
      <c r="AL2246" s="218" t="str">
        <f t="shared" si="452"/>
        <v/>
      </c>
      <c r="AM2246" s="2421" t="str">
        <f>IF(ISNA(INDEX(PoderesDeCriatura_AdquiridosNombres,MATCH(AM$2236&amp;$A9,Principal!$U$42:$U$69,0))),"",INDEX(PoderesDeCriatura_AdquiridosNombres,MATCH(AM$2236&amp;$A9,Principal!$U$42:$U$69,0)))</f>
        <v/>
      </c>
      <c r="AN2246" s="2422" t="str">
        <f>IF(ISNA(INDEX(PoderesDeCriatura_Adquiridos,MATCH(AM$2236&amp;$A9,Principal!$U$42:$U$69,0))),"",IF(INDEX(Principal!$AP$42:$AP$69,MATCH(AM$2236&amp;$A9,Principal!$U$42:$U$69,0))&gt;0,INDEX(Principal!$AF$42:$AF$69,MATCH(AM$2236&amp;$A9,Principal!$U$42:$U$69,0)),INDEX(PoderesDeCriatura_Adquiridos,MATCH(AM$2236&amp;$A9,Principal!$U$42:$U$69,0))))</f>
        <v/>
      </c>
      <c r="AO2246" s="761" t="str">
        <f t="shared" si="453"/>
        <v/>
      </c>
      <c r="AP2246" s="758" t="str">
        <f>IF(OR(AQ2246=0,ISNUMBER(MATCH(AQ2246,$AQ$2239:$AQ2245,0))),"",MAX($AP$2238:AP2245)+1)</f>
        <v/>
      </c>
      <c r="AQ2246" s="1174">
        <f>Principal!V49</f>
        <v>0</v>
      </c>
    </row>
    <row r="2247" spans="1:43" ht="12.75" customHeight="1">
      <c r="A2247" s="219">
        <v>2141</v>
      </c>
      <c r="B2247" s="7145"/>
      <c r="J2247" s="750" t="str">
        <f>IF(ISNA(VLOOKUP(A11,Principal!$S$42:$AH$69,10,FALSE)),"",IF(VLOOKUP(A11,Principal!$S$42:$AH$69,10,FALSE)=0,"",INDEX(PoderesDeCriatura_Adquiridos,MATCH(A11,Principal!$S$42:$S$69,0))))</f>
        <v/>
      </c>
      <c r="K2247" s="218" t="str">
        <f>IF(AND(COUNTA($K$2237:K2246)-COUNTBLANK($K$2237:K2246)&gt;0,J2247&lt;&gt;""),", ","")&amp;J2247</f>
        <v/>
      </c>
      <c r="L2247" s="2421" t="str">
        <f>IF(ISNA(INDEX(PoderesDeCriatura_AdquiridosNombres,MATCH(L$2236&amp;$A10,Principal!$U$42:$U$69,0))),"",INDEX(PoderesDeCriatura_AdquiridosNombres,MATCH(L$2236&amp;$A10,Principal!$U$42:$U$69,0)))</f>
        <v/>
      </c>
      <c r="M2247" s="2422" t="str">
        <f>IF(ISNA(INDEX(PoderesDeCriatura_Adquiridos,MATCH(L$2236&amp;$A10,Principal!$U$42:$U$69,0))),"",IF(INDEX(Principal!$AP$42:$AP$69,MATCH(L$2236&amp;$A10,Principal!$U$42:$U$69,0))&gt;0,INDEX(Principal!$AF$42:$AF$69,MATCH(L$2236&amp;$A10,Principal!$U$42:$U$69,0)),INDEX(PoderesDeCriatura_Adquiridos,MATCH(L$2236&amp;$A10,Principal!$U$42:$U$69,0))))</f>
        <v/>
      </c>
      <c r="N2247" s="218" t="str">
        <f t="shared" si="444"/>
        <v/>
      </c>
      <c r="O2247" s="2421" t="str">
        <f>IF(ISNA(INDEX(PoderesDeCriatura_AdquiridosNombres,MATCH(O$2236&amp;$A10,Principal!$U$42:$U$69,0))),"",INDEX(PoderesDeCriatura_AdquiridosNombres,MATCH(O$2236&amp;$A10,Principal!$U$42:$U$69,0)))</f>
        <v/>
      </c>
      <c r="P2247" s="2422" t="str">
        <f>IF(ISNA(INDEX(PoderesDeCriatura_Adquiridos,MATCH(O$2236&amp;$A10,Principal!$U$42:$U$69,0))),"",IF(INDEX(Principal!$AP$42:$AP$69,MATCH(O$2236&amp;$A10,Principal!$U$42:$U$69,0))&gt;0,INDEX(Principal!$AF$42:$AF$69,MATCH(O$2236&amp;$A10,Principal!$U$42:$U$69,0)),INDEX(PoderesDeCriatura_Adquiridos,MATCH(O$2236&amp;$A10,Principal!$U$42:$U$69,0))))</f>
        <v/>
      </c>
      <c r="Q2247" s="218" t="str">
        <f t="shared" si="445"/>
        <v/>
      </c>
      <c r="R2247" s="2421" t="str">
        <f>IF(ISNA(INDEX(PoderesDeCriatura_AdquiridosNombres,MATCH(R$2236&amp;$A10,Principal!$U$42:$U$69,0))),"",INDEX(PoderesDeCriatura_AdquiridosNombres,MATCH(R$2236&amp;$A10,Principal!$U$42:$U$69,0)))</f>
        <v/>
      </c>
      <c r="S2247" s="2422" t="str">
        <f>IF(ISNA(INDEX(PoderesDeCriatura_Adquiridos,MATCH(R$2236&amp;$A10,Principal!$U$42:$U$69,0))),"",IF(INDEX(Principal!$AP$42:$AP$69,MATCH(R$2236&amp;$A10,Principal!$U$42:$U$69,0))&gt;0,INDEX(Principal!$AF$42:$AF$69,MATCH(R$2236&amp;$A10,Principal!$U$42:$U$69,0)),INDEX(PoderesDeCriatura_Adquiridos,MATCH(R$2236&amp;$A10,Principal!$U$42:$U$69,0))))</f>
        <v/>
      </c>
      <c r="T2247" s="218" t="str">
        <f t="shared" si="446"/>
        <v/>
      </c>
      <c r="U2247" s="2421" t="str">
        <f>IF(ISNA(INDEX(PoderesDeCriatura_AdquiridosNombres,MATCH(U$2236&amp;$A10,Principal!$U$42:$U$69,0))),"",INDEX(PoderesDeCriatura_AdquiridosNombres,MATCH(U$2236&amp;$A10,Principal!$U$42:$U$69,0)))</f>
        <v/>
      </c>
      <c r="V2247" s="2422" t="str">
        <f>IF(ISNA(INDEX(PoderesDeCriatura_Adquiridos,MATCH(U$2236&amp;$A10,Principal!$U$42:$U$69,0))),"",IF(INDEX(Principal!$AP$42:$AP$69,MATCH(U$2236&amp;$A10,Principal!$U$42:$U$69,0))&gt;0,INDEX(Principal!$AF$42:$AF$69,MATCH(U$2236&amp;$A10,Principal!$U$42:$U$69,0)),INDEX(PoderesDeCriatura_Adquiridos,MATCH(U$2236&amp;$A10,Principal!$U$42:$U$69,0))))</f>
        <v/>
      </c>
      <c r="W2247" s="218" t="str">
        <f t="shared" si="447"/>
        <v/>
      </c>
      <c r="X2247" s="2421" t="str">
        <f>IF(ISNA(INDEX(PoderesDeCriatura_AdquiridosNombres,MATCH(X$2236&amp;$A10,Principal!$U$42:$U$69,0))),"",INDEX(PoderesDeCriatura_AdquiridosNombres,MATCH(X$2236&amp;$A10,Principal!$U$42:$U$69,0)))</f>
        <v/>
      </c>
      <c r="Y2247" s="2422" t="str">
        <f>IF(ISNA(INDEX(PoderesDeCriatura_Adquiridos,MATCH(X$2236&amp;$A10,Principal!$U$42:$U$69,0))),"",IF(INDEX(Principal!$AP$42:$AP$69,MATCH(X$2236&amp;$A10,Principal!$U$42:$U$69,0))&gt;0,INDEX(Principal!$AF$42:$AF$69,MATCH(X$2236&amp;$A10,Principal!$U$42:$U$69,0)),INDEX(PoderesDeCriatura_Adquiridos,MATCH(X$2236&amp;$A10,Principal!$U$42:$U$69,0))))</f>
        <v/>
      </c>
      <c r="Z2247" s="218" t="str">
        <f t="shared" si="448"/>
        <v/>
      </c>
      <c r="AA2247" s="2421" t="str">
        <f>IF(ISNA(INDEX(PoderesDeCriatura_AdquiridosNombres,MATCH(AA$2236&amp;$A10,Principal!$U$42:$U$69,0))),"",INDEX(PoderesDeCriatura_AdquiridosNombres,MATCH(AA$2236&amp;$A10,Principal!$U$42:$U$69,0)))</f>
        <v/>
      </c>
      <c r="AB2247" s="2422" t="str">
        <f>IF(ISNA(INDEX(PoderesDeCriatura_Adquiridos,MATCH(AA$2236&amp;$A10,Principal!$U$42:$U$69,0))),"",IF(INDEX(Principal!$AP$42:$AP$69,MATCH(AA$2236&amp;$A10,Principal!$U$42:$U$69,0))&gt;0,INDEX(Principal!$AF$42:$AF$69,MATCH(AA$2236&amp;$A10,Principal!$U$42:$U$69,0)),INDEX(PoderesDeCriatura_Adquiridos,MATCH(AA$2236&amp;$A10,Principal!$U$42:$U$69,0))))</f>
        <v/>
      </c>
      <c r="AC2247" s="218" t="str">
        <f t="shared" si="449"/>
        <v/>
      </c>
      <c r="AD2247" s="2421" t="str">
        <f>IF(ISNA(INDEX(PoderesDeCriatura_AdquiridosNombres,MATCH(AD$2236&amp;$A10,Principal!$U$42:$U$69,0))),"",INDEX(PoderesDeCriatura_AdquiridosNombres,MATCH(AD$2236&amp;$A10,Principal!$U$42:$U$69,0)))</f>
        <v/>
      </c>
      <c r="AE2247" s="2422" t="str">
        <f>IF(ISNA(INDEX(PoderesDeCriatura_Adquiridos,MATCH(AD$2236&amp;$A10,Principal!$U$42:$U$69,0))),"",IF(INDEX(Principal!$AP$42:$AP$69,MATCH(AD$2236&amp;$A10,Principal!$U$42:$U$69,0))&gt;0,INDEX(Principal!$AF$42:$AF$69,MATCH(AD$2236&amp;$A10,Principal!$U$42:$U$69,0)),INDEX(PoderesDeCriatura_Adquiridos,MATCH(AD$2236&amp;$A10,Principal!$U$42:$U$69,0))))</f>
        <v/>
      </c>
      <c r="AF2247" s="218" t="str">
        <f t="shared" si="450"/>
        <v/>
      </c>
      <c r="AG2247" s="2421" t="str">
        <f>IF(ISNA(INDEX(PoderesDeCriatura_AdquiridosNombres,MATCH(AG$2236&amp;$A10,Principal!$U$42:$U$69,0))),"",INDEX(PoderesDeCriatura_AdquiridosNombres,MATCH(AG$2236&amp;$A10,Principal!$U$42:$U$69,0)))</f>
        <v/>
      </c>
      <c r="AH2247" s="2422" t="str">
        <f>IF(ISNA(INDEX(PoderesDeCriatura_Adquiridos,MATCH(AG$2236&amp;$A10,Principal!$U$42:$U$69,0))),"",IF(INDEX(Principal!$AP$42:$AP$69,MATCH(AG$2236&amp;$A10,Principal!$U$42:$U$69,0))&gt;0,INDEX(Principal!$AF$42:$AF$69,MATCH(AG$2236&amp;$A10,Principal!$U$42:$U$69,0)),INDEX(PoderesDeCriatura_Adquiridos,MATCH(AG$2236&amp;$A10,Principal!$U$42:$U$69,0))))</f>
        <v/>
      </c>
      <c r="AI2247" s="218" t="str">
        <f t="shared" si="451"/>
        <v/>
      </c>
      <c r="AJ2247" s="2421" t="str">
        <f>IF(ISNA(INDEX(PoderesDeCriatura_AdquiridosNombres,MATCH(AJ$2236&amp;$A10,Principal!$U$42:$U$69,0))),"",INDEX(PoderesDeCriatura_AdquiridosNombres,MATCH(AJ$2236&amp;$A10,Principal!$U$42:$U$69,0)))</f>
        <v/>
      </c>
      <c r="AK2247" s="2422" t="str">
        <f>IF(ISNA(INDEX(PoderesDeCriatura_Adquiridos,MATCH(AJ$2236&amp;$A10,Principal!$U$42:$U$69,0))),"",IF(INDEX(Principal!$AP$42:$AP$69,MATCH(AJ$2236&amp;$A10,Principal!$U$42:$U$69,0))&gt;0,INDEX(Principal!$AF$42:$AF$69,MATCH(AJ$2236&amp;$A10,Principal!$U$42:$U$69,0)),INDEX(PoderesDeCriatura_Adquiridos,MATCH(AJ$2236&amp;$A10,Principal!$U$42:$U$69,0))))</f>
        <v/>
      </c>
      <c r="AL2247" s="218" t="str">
        <f t="shared" si="452"/>
        <v/>
      </c>
      <c r="AM2247" s="2421" t="str">
        <f>IF(ISNA(INDEX(PoderesDeCriatura_AdquiridosNombres,MATCH(AM$2236&amp;$A10,Principal!$U$42:$U$69,0))),"",INDEX(PoderesDeCriatura_AdquiridosNombres,MATCH(AM$2236&amp;$A10,Principal!$U$42:$U$69,0)))</f>
        <v/>
      </c>
      <c r="AN2247" s="2422" t="str">
        <f>IF(ISNA(INDEX(PoderesDeCriatura_Adquiridos,MATCH(AM$2236&amp;$A10,Principal!$U$42:$U$69,0))),"",IF(INDEX(Principal!$AP$42:$AP$69,MATCH(AM$2236&amp;$A10,Principal!$U$42:$U$69,0))&gt;0,INDEX(Principal!$AF$42:$AF$69,MATCH(AM$2236&amp;$A10,Principal!$U$42:$U$69,0)),INDEX(PoderesDeCriatura_Adquiridos,MATCH(AM$2236&amp;$A10,Principal!$U$42:$U$69,0))))</f>
        <v/>
      </c>
      <c r="AO2247" s="761" t="str">
        <f t="shared" si="453"/>
        <v/>
      </c>
      <c r="AP2247" s="758" t="str">
        <f>IF(OR(AQ2247=0,ISNUMBER(MATCH(AQ2247,$AQ$2239:$AQ2246,0))),"",MAX($AP$2238:AP2246)+1)</f>
        <v/>
      </c>
      <c r="AQ2247" s="1174">
        <f>Principal!V50</f>
        <v>0</v>
      </c>
    </row>
    <row r="2248" spans="1:43" ht="12.75" customHeight="1">
      <c r="A2248" s="219">
        <v>2142</v>
      </c>
      <c r="B2248" s="7145"/>
      <c r="J2248" s="750" t="str">
        <f>IF(ISNA(VLOOKUP(A12,Principal!$S$42:$AH$69,10,FALSE)),"",IF(VLOOKUP(A12,Principal!$S$42:$AH$69,10,FALSE)=0,"",INDEX(PoderesDeCriatura_Adquiridos,MATCH(A12,Principal!$S$42:$S$69,0))))</f>
        <v/>
      </c>
      <c r="K2248" s="218" t="str">
        <f>IF(AND(COUNTA($K$2237:K2247)-COUNTBLANK($K$2237:K2247)&gt;0,J2248&lt;&gt;""),", ","")&amp;J2248</f>
        <v/>
      </c>
      <c r="L2248" s="2421" t="str">
        <f>IF(ISNA(INDEX(PoderesDeCriatura_AdquiridosNombres,MATCH(L$2236&amp;$A11,Principal!$U$42:$U$69,0))),"",INDEX(PoderesDeCriatura_AdquiridosNombres,MATCH(L$2236&amp;$A11,Principal!$U$42:$U$69,0)))</f>
        <v/>
      </c>
      <c r="M2248" s="2422" t="str">
        <f>IF(ISNA(INDEX(PoderesDeCriatura_Adquiridos,MATCH(L$2236&amp;$A11,Principal!$U$42:$U$69,0))),"",IF(INDEX(Principal!$AP$42:$AP$69,MATCH(L$2236&amp;$A11,Principal!$U$42:$U$69,0))&gt;0,INDEX(Principal!$AF$42:$AF$69,MATCH(L$2236&amp;$A11,Principal!$U$42:$U$69,0)),INDEX(PoderesDeCriatura_Adquiridos,MATCH(L$2236&amp;$A11,Principal!$U$42:$U$69,0))))</f>
        <v/>
      </c>
      <c r="N2248" s="218" t="str">
        <f t="shared" si="444"/>
        <v/>
      </c>
      <c r="O2248" s="2421" t="str">
        <f>IF(ISNA(INDEX(PoderesDeCriatura_AdquiridosNombres,MATCH(O$2236&amp;$A11,Principal!$U$42:$U$69,0))),"",INDEX(PoderesDeCriatura_AdquiridosNombres,MATCH(O$2236&amp;$A11,Principal!$U$42:$U$69,0)))</f>
        <v/>
      </c>
      <c r="P2248" s="2422" t="str">
        <f>IF(ISNA(INDEX(PoderesDeCriatura_Adquiridos,MATCH(O$2236&amp;$A11,Principal!$U$42:$U$69,0))),"",IF(INDEX(Principal!$AP$42:$AP$69,MATCH(O$2236&amp;$A11,Principal!$U$42:$U$69,0))&gt;0,INDEX(Principal!$AF$42:$AF$69,MATCH(O$2236&amp;$A11,Principal!$U$42:$U$69,0)),INDEX(PoderesDeCriatura_Adquiridos,MATCH(O$2236&amp;$A11,Principal!$U$42:$U$69,0))))</f>
        <v/>
      </c>
      <c r="Q2248" s="218" t="str">
        <f t="shared" si="445"/>
        <v/>
      </c>
      <c r="R2248" s="2421" t="str">
        <f>IF(ISNA(INDEX(PoderesDeCriatura_AdquiridosNombres,MATCH(R$2236&amp;$A11,Principal!$U$42:$U$69,0))),"",INDEX(PoderesDeCriatura_AdquiridosNombres,MATCH(R$2236&amp;$A11,Principal!$U$42:$U$69,0)))</f>
        <v/>
      </c>
      <c r="S2248" s="2422" t="str">
        <f>IF(ISNA(INDEX(PoderesDeCriatura_Adquiridos,MATCH(R$2236&amp;$A11,Principal!$U$42:$U$69,0))),"",IF(INDEX(Principal!$AP$42:$AP$69,MATCH(R$2236&amp;$A11,Principal!$U$42:$U$69,0))&gt;0,INDEX(Principal!$AF$42:$AF$69,MATCH(R$2236&amp;$A11,Principal!$U$42:$U$69,0)),INDEX(PoderesDeCriatura_Adquiridos,MATCH(R$2236&amp;$A11,Principal!$U$42:$U$69,0))))</f>
        <v/>
      </c>
      <c r="T2248" s="218" t="str">
        <f t="shared" si="446"/>
        <v/>
      </c>
      <c r="U2248" s="2421" t="str">
        <f>IF(ISNA(INDEX(PoderesDeCriatura_AdquiridosNombres,MATCH(U$2236&amp;$A11,Principal!$U$42:$U$69,0))),"",INDEX(PoderesDeCriatura_AdquiridosNombres,MATCH(U$2236&amp;$A11,Principal!$U$42:$U$69,0)))</f>
        <v/>
      </c>
      <c r="V2248" s="2422" t="str">
        <f>IF(ISNA(INDEX(PoderesDeCriatura_Adquiridos,MATCH(U$2236&amp;$A11,Principal!$U$42:$U$69,0))),"",IF(INDEX(Principal!$AP$42:$AP$69,MATCH(U$2236&amp;$A11,Principal!$U$42:$U$69,0))&gt;0,INDEX(Principal!$AF$42:$AF$69,MATCH(U$2236&amp;$A11,Principal!$U$42:$U$69,0)),INDEX(PoderesDeCriatura_Adquiridos,MATCH(U$2236&amp;$A11,Principal!$U$42:$U$69,0))))</f>
        <v/>
      </c>
      <c r="W2248" s="218" t="str">
        <f t="shared" si="447"/>
        <v/>
      </c>
      <c r="X2248" s="2421" t="str">
        <f>IF(ISNA(INDEX(PoderesDeCriatura_AdquiridosNombres,MATCH(X$2236&amp;$A11,Principal!$U$42:$U$69,0))),"",INDEX(PoderesDeCriatura_AdquiridosNombres,MATCH(X$2236&amp;$A11,Principal!$U$42:$U$69,0)))</f>
        <v/>
      </c>
      <c r="Y2248" s="2422" t="str">
        <f>IF(ISNA(INDEX(PoderesDeCriatura_Adquiridos,MATCH(X$2236&amp;$A11,Principal!$U$42:$U$69,0))),"",IF(INDEX(Principal!$AP$42:$AP$69,MATCH(X$2236&amp;$A11,Principal!$U$42:$U$69,0))&gt;0,INDEX(Principal!$AF$42:$AF$69,MATCH(X$2236&amp;$A11,Principal!$U$42:$U$69,0)),INDEX(PoderesDeCriatura_Adquiridos,MATCH(X$2236&amp;$A11,Principal!$U$42:$U$69,0))))</f>
        <v/>
      </c>
      <c r="Z2248" s="218" t="str">
        <f t="shared" si="448"/>
        <v/>
      </c>
      <c r="AA2248" s="2421" t="str">
        <f>IF(ISNA(INDEX(PoderesDeCriatura_AdquiridosNombres,MATCH(AA$2236&amp;$A11,Principal!$U$42:$U$69,0))),"",INDEX(PoderesDeCriatura_AdquiridosNombres,MATCH(AA$2236&amp;$A11,Principal!$U$42:$U$69,0)))</f>
        <v/>
      </c>
      <c r="AB2248" s="2422" t="str">
        <f>IF(ISNA(INDEX(PoderesDeCriatura_Adquiridos,MATCH(AA$2236&amp;$A11,Principal!$U$42:$U$69,0))),"",IF(INDEX(Principal!$AP$42:$AP$69,MATCH(AA$2236&amp;$A11,Principal!$U$42:$U$69,0))&gt;0,INDEX(Principal!$AF$42:$AF$69,MATCH(AA$2236&amp;$A11,Principal!$U$42:$U$69,0)),INDEX(PoderesDeCriatura_Adquiridos,MATCH(AA$2236&amp;$A11,Principal!$U$42:$U$69,0))))</f>
        <v/>
      </c>
      <c r="AC2248" s="218" t="str">
        <f t="shared" si="449"/>
        <v/>
      </c>
      <c r="AD2248" s="2421" t="str">
        <f>IF(ISNA(INDEX(PoderesDeCriatura_AdquiridosNombres,MATCH(AD$2236&amp;$A11,Principal!$U$42:$U$69,0))),"",INDEX(PoderesDeCriatura_AdquiridosNombres,MATCH(AD$2236&amp;$A11,Principal!$U$42:$U$69,0)))</f>
        <v/>
      </c>
      <c r="AE2248" s="2422" t="str">
        <f>IF(ISNA(INDEX(PoderesDeCriatura_Adquiridos,MATCH(AD$2236&amp;$A11,Principal!$U$42:$U$69,0))),"",IF(INDEX(Principal!$AP$42:$AP$69,MATCH(AD$2236&amp;$A11,Principal!$U$42:$U$69,0))&gt;0,INDEX(Principal!$AF$42:$AF$69,MATCH(AD$2236&amp;$A11,Principal!$U$42:$U$69,0)),INDEX(PoderesDeCriatura_Adquiridos,MATCH(AD$2236&amp;$A11,Principal!$U$42:$U$69,0))))</f>
        <v/>
      </c>
      <c r="AF2248" s="218" t="str">
        <f t="shared" si="450"/>
        <v/>
      </c>
      <c r="AG2248" s="2421" t="str">
        <f>IF(ISNA(INDEX(PoderesDeCriatura_AdquiridosNombres,MATCH(AG$2236&amp;$A11,Principal!$U$42:$U$69,0))),"",INDEX(PoderesDeCriatura_AdquiridosNombres,MATCH(AG$2236&amp;$A11,Principal!$U$42:$U$69,0)))</f>
        <v/>
      </c>
      <c r="AH2248" s="2422" t="str">
        <f>IF(ISNA(INDEX(PoderesDeCriatura_Adquiridos,MATCH(AG$2236&amp;$A11,Principal!$U$42:$U$69,0))),"",IF(INDEX(Principal!$AP$42:$AP$69,MATCH(AG$2236&amp;$A11,Principal!$U$42:$U$69,0))&gt;0,INDEX(Principal!$AF$42:$AF$69,MATCH(AG$2236&amp;$A11,Principal!$U$42:$U$69,0)),INDEX(PoderesDeCriatura_Adquiridos,MATCH(AG$2236&amp;$A11,Principal!$U$42:$U$69,0))))</f>
        <v/>
      </c>
      <c r="AI2248" s="218" t="str">
        <f t="shared" si="451"/>
        <v/>
      </c>
      <c r="AJ2248" s="2421" t="str">
        <f>IF(ISNA(INDEX(PoderesDeCriatura_AdquiridosNombres,MATCH(AJ$2236&amp;$A11,Principal!$U$42:$U$69,0))),"",INDEX(PoderesDeCriatura_AdquiridosNombres,MATCH(AJ$2236&amp;$A11,Principal!$U$42:$U$69,0)))</f>
        <v/>
      </c>
      <c r="AK2248" s="2422" t="str">
        <f>IF(ISNA(INDEX(PoderesDeCriatura_Adquiridos,MATCH(AJ$2236&amp;$A11,Principal!$U$42:$U$69,0))),"",IF(INDEX(Principal!$AP$42:$AP$69,MATCH(AJ$2236&amp;$A11,Principal!$U$42:$U$69,0))&gt;0,INDEX(Principal!$AF$42:$AF$69,MATCH(AJ$2236&amp;$A11,Principal!$U$42:$U$69,0)),INDEX(PoderesDeCriatura_Adquiridos,MATCH(AJ$2236&amp;$A11,Principal!$U$42:$U$69,0))))</f>
        <v/>
      </c>
      <c r="AL2248" s="218" t="str">
        <f t="shared" si="452"/>
        <v/>
      </c>
      <c r="AM2248" s="2421" t="str">
        <f>IF(ISNA(INDEX(PoderesDeCriatura_AdquiridosNombres,MATCH(AM$2236&amp;$A11,Principal!$U$42:$U$69,0))),"",INDEX(PoderesDeCriatura_AdquiridosNombres,MATCH(AM$2236&amp;$A11,Principal!$U$42:$U$69,0)))</f>
        <v/>
      </c>
      <c r="AN2248" s="2422" t="str">
        <f>IF(ISNA(INDEX(PoderesDeCriatura_Adquiridos,MATCH(AM$2236&amp;$A11,Principal!$U$42:$U$69,0))),"",IF(INDEX(Principal!$AP$42:$AP$69,MATCH(AM$2236&amp;$A11,Principal!$U$42:$U$69,0))&gt;0,INDEX(Principal!$AF$42:$AF$69,MATCH(AM$2236&amp;$A11,Principal!$U$42:$U$69,0)),INDEX(PoderesDeCriatura_Adquiridos,MATCH(AM$2236&amp;$A11,Principal!$U$42:$U$69,0))))</f>
        <v/>
      </c>
      <c r="AO2248" s="761" t="str">
        <f t="shared" si="453"/>
        <v/>
      </c>
      <c r="AP2248" s="758" t="str">
        <f>IF(OR(AQ2248=0,ISNUMBER(MATCH(AQ2248,$AQ$2239:$AQ2247,0))),"",MAX($AP$2238:AP2247)+1)</f>
        <v/>
      </c>
      <c r="AQ2248" s="1174">
        <f>Principal!V51</f>
        <v>0</v>
      </c>
    </row>
    <row r="2249" spans="1:43" ht="12.75" customHeight="1">
      <c r="A2249" s="219">
        <v>2143</v>
      </c>
      <c r="B2249" s="7145"/>
      <c r="J2249" s="750" t="str">
        <f>IF(ISNA(VLOOKUP(A13,Principal!$S$42:$AH$69,10,FALSE)),"",IF(VLOOKUP(A13,Principal!$S$42:$AH$69,10,FALSE)=0,"",INDEX(PoderesDeCriatura_Adquiridos,MATCH(A13,Principal!$S$42:$S$69,0))))</f>
        <v/>
      </c>
      <c r="K2249" s="218" t="str">
        <f>IF(AND(COUNTA($K$2237:K2248)-COUNTBLANK($K$2237:K2248)&gt;0,J2249&lt;&gt;""),", ","")&amp;J2249</f>
        <v/>
      </c>
      <c r="L2249" s="2421" t="str">
        <f>IF(ISNA(INDEX(PoderesDeCriatura_AdquiridosNombres,MATCH(L$2236&amp;$A12,Principal!$U$42:$U$69,0))),"",INDEX(PoderesDeCriatura_AdquiridosNombres,MATCH(L$2236&amp;$A12,Principal!$U$42:$U$69,0)))</f>
        <v/>
      </c>
      <c r="M2249" s="2422" t="str">
        <f>IF(ISNA(INDEX(PoderesDeCriatura_Adquiridos,MATCH(L$2236&amp;$A12,Principal!$U$42:$U$69,0))),"",IF(INDEX(Principal!$AP$42:$AP$69,MATCH(L$2236&amp;$A12,Principal!$U$42:$U$69,0))&gt;0,INDEX(Principal!$AF$42:$AF$69,MATCH(L$2236&amp;$A12,Principal!$U$42:$U$69,0)),INDEX(PoderesDeCriatura_Adquiridos,MATCH(L$2236&amp;$A12,Principal!$U$42:$U$69,0))))</f>
        <v/>
      </c>
      <c r="N2249" s="218" t="str">
        <f t="shared" si="444"/>
        <v/>
      </c>
      <c r="O2249" s="2421" t="str">
        <f>IF(ISNA(INDEX(PoderesDeCriatura_AdquiridosNombres,MATCH(O$2236&amp;$A12,Principal!$U$42:$U$69,0))),"",INDEX(PoderesDeCriatura_AdquiridosNombres,MATCH(O$2236&amp;$A12,Principal!$U$42:$U$69,0)))</f>
        <v/>
      </c>
      <c r="P2249" s="2422" t="str">
        <f>IF(ISNA(INDEX(PoderesDeCriatura_Adquiridos,MATCH(O$2236&amp;$A12,Principal!$U$42:$U$69,0))),"",IF(INDEX(Principal!$AP$42:$AP$69,MATCH(O$2236&amp;$A12,Principal!$U$42:$U$69,0))&gt;0,INDEX(Principal!$AF$42:$AF$69,MATCH(O$2236&amp;$A12,Principal!$U$42:$U$69,0)),INDEX(PoderesDeCriatura_Adquiridos,MATCH(O$2236&amp;$A12,Principal!$U$42:$U$69,0))))</f>
        <v/>
      </c>
      <c r="Q2249" s="218" t="str">
        <f t="shared" si="445"/>
        <v/>
      </c>
      <c r="R2249" s="2421" t="str">
        <f>IF(ISNA(INDEX(PoderesDeCriatura_AdquiridosNombres,MATCH(R$2236&amp;$A12,Principal!$U$42:$U$69,0))),"",INDEX(PoderesDeCriatura_AdquiridosNombres,MATCH(R$2236&amp;$A12,Principal!$U$42:$U$69,0)))</f>
        <v/>
      </c>
      <c r="S2249" s="2422" t="str">
        <f>IF(ISNA(INDEX(PoderesDeCriatura_Adquiridos,MATCH(R$2236&amp;$A12,Principal!$U$42:$U$69,0))),"",IF(INDEX(Principal!$AP$42:$AP$69,MATCH(R$2236&amp;$A12,Principal!$U$42:$U$69,0))&gt;0,INDEX(Principal!$AF$42:$AF$69,MATCH(R$2236&amp;$A12,Principal!$U$42:$U$69,0)),INDEX(PoderesDeCriatura_Adquiridos,MATCH(R$2236&amp;$A12,Principal!$U$42:$U$69,0))))</f>
        <v/>
      </c>
      <c r="T2249" s="218" t="str">
        <f t="shared" si="446"/>
        <v/>
      </c>
      <c r="U2249" s="2421" t="str">
        <f>IF(ISNA(INDEX(PoderesDeCriatura_AdquiridosNombres,MATCH(U$2236&amp;$A12,Principal!$U$42:$U$69,0))),"",INDEX(PoderesDeCriatura_AdquiridosNombres,MATCH(U$2236&amp;$A12,Principal!$U$42:$U$69,0)))</f>
        <v/>
      </c>
      <c r="V2249" s="2422" t="str">
        <f>IF(ISNA(INDEX(PoderesDeCriatura_Adquiridos,MATCH(U$2236&amp;$A12,Principal!$U$42:$U$69,0))),"",IF(INDEX(Principal!$AP$42:$AP$69,MATCH(U$2236&amp;$A12,Principal!$U$42:$U$69,0))&gt;0,INDEX(Principal!$AF$42:$AF$69,MATCH(U$2236&amp;$A12,Principal!$U$42:$U$69,0)),INDEX(PoderesDeCriatura_Adquiridos,MATCH(U$2236&amp;$A12,Principal!$U$42:$U$69,0))))</f>
        <v/>
      </c>
      <c r="W2249" s="218" t="str">
        <f t="shared" si="447"/>
        <v/>
      </c>
      <c r="X2249" s="2421" t="str">
        <f>IF(ISNA(INDEX(PoderesDeCriatura_AdquiridosNombres,MATCH(X$2236&amp;$A12,Principal!$U$42:$U$69,0))),"",INDEX(PoderesDeCriatura_AdquiridosNombres,MATCH(X$2236&amp;$A12,Principal!$U$42:$U$69,0)))</f>
        <v/>
      </c>
      <c r="Y2249" s="2422" t="str">
        <f>IF(ISNA(INDEX(PoderesDeCriatura_Adquiridos,MATCH(X$2236&amp;$A12,Principal!$U$42:$U$69,0))),"",IF(INDEX(Principal!$AP$42:$AP$69,MATCH(X$2236&amp;$A12,Principal!$U$42:$U$69,0))&gt;0,INDEX(Principal!$AF$42:$AF$69,MATCH(X$2236&amp;$A12,Principal!$U$42:$U$69,0)),INDEX(PoderesDeCriatura_Adquiridos,MATCH(X$2236&amp;$A12,Principal!$U$42:$U$69,0))))</f>
        <v/>
      </c>
      <c r="Z2249" s="218" t="str">
        <f t="shared" si="448"/>
        <v/>
      </c>
      <c r="AA2249" s="2421" t="str">
        <f>IF(ISNA(INDEX(PoderesDeCriatura_AdquiridosNombres,MATCH(AA$2236&amp;$A12,Principal!$U$42:$U$69,0))),"",INDEX(PoderesDeCriatura_AdquiridosNombres,MATCH(AA$2236&amp;$A12,Principal!$U$42:$U$69,0)))</f>
        <v/>
      </c>
      <c r="AB2249" s="2422" t="str">
        <f>IF(ISNA(INDEX(PoderesDeCriatura_Adquiridos,MATCH(AA$2236&amp;$A12,Principal!$U$42:$U$69,0))),"",IF(INDEX(Principal!$AP$42:$AP$69,MATCH(AA$2236&amp;$A12,Principal!$U$42:$U$69,0))&gt;0,INDEX(Principal!$AF$42:$AF$69,MATCH(AA$2236&amp;$A12,Principal!$U$42:$U$69,0)),INDEX(PoderesDeCriatura_Adquiridos,MATCH(AA$2236&amp;$A12,Principal!$U$42:$U$69,0))))</f>
        <v/>
      </c>
      <c r="AC2249" s="218" t="str">
        <f t="shared" si="449"/>
        <v/>
      </c>
      <c r="AD2249" s="2421" t="str">
        <f>IF(ISNA(INDEX(PoderesDeCriatura_AdquiridosNombres,MATCH(AD$2236&amp;$A12,Principal!$U$42:$U$69,0))),"",INDEX(PoderesDeCriatura_AdquiridosNombres,MATCH(AD$2236&amp;$A12,Principal!$U$42:$U$69,0)))</f>
        <v/>
      </c>
      <c r="AE2249" s="2422" t="str">
        <f>IF(ISNA(INDEX(PoderesDeCriatura_Adquiridos,MATCH(AD$2236&amp;$A12,Principal!$U$42:$U$69,0))),"",IF(INDEX(Principal!$AP$42:$AP$69,MATCH(AD$2236&amp;$A12,Principal!$U$42:$U$69,0))&gt;0,INDEX(Principal!$AF$42:$AF$69,MATCH(AD$2236&amp;$A12,Principal!$U$42:$U$69,0)),INDEX(PoderesDeCriatura_Adquiridos,MATCH(AD$2236&amp;$A12,Principal!$U$42:$U$69,0))))</f>
        <v/>
      </c>
      <c r="AF2249" s="218" t="str">
        <f t="shared" si="450"/>
        <v/>
      </c>
      <c r="AG2249" s="2421" t="str">
        <f>IF(ISNA(INDEX(PoderesDeCriatura_AdquiridosNombres,MATCH(AG$2236&amp;$A12,Principal!$U$42:$U$69,0))),"",INDEX(PoderesDeCriatura_AdquiridosNombres,MATCH(AG$2236&amp;$A12,Principal!$U$42:$U$69,0)))</f>
        <v/>
      </c>
      <c r="AH2249" s="2422" t="str">
        <f>IF(ISNA(INDEX(PoderesDeCriatura_Adquiridos,MATCH(AG$2236&amp;$A12,Principal!$U$42:$U$69,0))),"",IF(INDEX(Principal!$AP$42:$AP$69,MATCH(AG$2236&amp;$A12,Principal!$U$42:$U$69,0))&gt;0,INDEX(Principal!$AF$42:$AF$69,MATCH(AG$2236&amp;$A12,Principal!$U$42:$U$69,0)),INDEX(PoderesDeCriatura_Adquiridos,MATCH(AG$2236&amp;$A12,Principal!$U$42:$U$69,0))))</f>
        <v/>
      </c>
      <c r="AI2249" s="218" t="str">
        <f t="shared" si="451"/>
        <v/>
      </c>
      <c r="AJ2249" s="2421" t="str">
        <f>IF(ISNA(INDEX(PoderesDeCriatura_AdquiridosNombres,MATCH(AJ$2236&amp;$A12,Principal!$U$42:$U$69,0))),"",INDEX(PoderesDeCriatura_AdquiridosNombres,MATCH(AJ$2236&amp;$A12,Principal!$U$42:$U$69,0)))</f>
        <v/>
      </c>
      <c r="AK2249" s="2422" t="str">
        <f>IF(ISNA(INDEX(PoderesDeCriatura_Adquiridos,MATCH(AJ$2236&amp;$A12,Principal!$U$42:$U$69,0))),"",IF(INDEX(Principal!$AP$42:$AP$69,MATCH(AJ$2236&amp;$A12,Principal!$U$42:$U$69,0))&gt;0,INDEX(Principal!$AF$42:$AF$69,MATCH(AJ$2236&amp;$A12,Principal!$U$42:$U$69,0)),INDEX(PoderesDeCriatura_Adquiridos,MATCH(AJ$2236&amp;$A12,Principal!$U$42:$U$69,0))))</f>
        <v/>
      </c>
      <c r="AL2249" s="218" t="str">
        <f t="shared" si="452"/>
        <v/>
      </c>
      <c r="AM2249" s="2421" t="str">
        <f>IF(ISNA(INDEX(PoderesDeCriatura_AdquiridosNombres,MATCH(AM$2236&amp;$A12,Principal!$U$42:$U$69,0))),"",INDEX(PoderesDeCriatura_AdquiridosNombres,MATCH(AM$2236&amp;$A12,Principal!$U$42:$U$69,0)))</f>
        <v/>
      </c>
      <c r="AN2249" s="2422" t="str">
        <f>IF(ISNA(INDEX(PoderesDeCriatura_Adquiridos,MATCH(AM$2236&amp;$A12,Principal!$U$42:$U$69,0))),"",IF(INDEX(Principal!$AP$42:$AP$69,MATCH(AM$2236&amp;$A12,Principal!$U$42:$U$69,0))&gt;0,INDEX(Principal!$AF$42:$AF$69,MATCH(AM$2236&amp;$A12,Principal!$U$42:$U$69,0)),INDEX(PoderesDeCriatura_Adquiridos,MATCH(AM$2236&amp;$A12,Principal!$U$42:$U$69,0))))</f>
        <v/>
      </c>
      <c r="AO2249" s="761" t="str">
        <f t="shared" si="453"/>
        <v/>
      </c>
      <c r="AP2249" s="758" t="str">
        <f>IF(OR(AQ2249=0,ISNUMBER(MATCH(AQ2249,$AQ$2239:$AQ2248,0))),"",MAX($AP$2238:AP2248)+1)</f>
        <v/>
      </c>
      <c r="AQ2249" s="1174">
        <f>Principal!V52</f>
        <v>0</v>
      </c>
    </row>
    <row r="2250" spans="1:43" ht="12.75" customHeight="1">
      <c r="A2250" s="219">
        <v>2144</v>
      </c>
      <c r="B2250" s="7145"/>
      <c r="J2250" s="750" t="str">
        <f>IF(ISNA(VLOOKUP(A14,Principal!$S$42:$AH$69,10,FALSE)),"",IF(VLOOKUP(A14,Principal!$S$42:$AH$69,10,FALSE)=0,"",INDEX(PoderesDeCriatura_Adquiridos,MATCH(A14,Principal!$S$42:$S$69,0))))</f>
        <v/>
      </c>
      <c r="K2250" s="218" t="str">
        <f>IF(AND(COUNTA($K$2237:K2249)-COUNTBLANK($K$2237:K2249)&gt;0,J2250&lt;&gt;""),", ","")&amp;J2250</f>
        <v/>
      </c>
      <c r="L2250" s="2421" t="str">
        <f>IF(ISNA(INDEX(PoderesDeCriatura_AdquiridosNombres,MATCH(L$2236&amp;$A13,Principal!$U$42:$U$69,0))),"",INDEX(PoderesDeCriatura_AdquiridosNombres,MATCH(L$2236&amp;$A13,Principal!$U$42:$U$69,0)))</f>
        <v/>
      </c>
      <c r="M2250" s="2422" t="str">
        <f>IF(ISNA(INDEX(PoderesDeCriatura_Adquiridos,MATCH(L$2236&amp;$A13,Principal!$U$42:$U$69,0))),"",IF(INDEX(Principal!$AP$42:$AP$69,MATCH(L$2236&amp;$A13,Principal!$U$42:$U$69,0))&gt;0,INDEX(Principal!$AF$42:$AF$69,MATCH(L$2236&amp;$A13,Principal!$U$42:$U$69,0)),INDEX(PoderesDeCriatura_Adquiridos,MATCH(L$2236&amp;$A13,Principal!$U$42:$U$69,0))))</f>
        <v/>
      </c>
      <c r="N2250" s="218" t="str">
        <f t="shared" si="444"/>
        <v/>
      </c>
      <c r="O2250" s="2421" t="str">
        <f>IF(ISNA(INDEX(PoderesDeCriatura_AdquiridosNombres,MATCH(O$2236&amp;$A13,Principal!$U$42:$U$69,0))),"",INDEX(PoderesDeCriatura_AdquiridosNombres,MATCH(O$2236&amp;$A13,Principal!$U$42:$U$69,0)))</f>
        <v/>
      </c>
      <c r="P2250" s="2422" t="str">
        <f>IF(ISNA(INDEX(PoderesDeCriatura_Adquiridos,MATCH(O$2236&amp;$A13,Principal!$U$42:$U$69,0))),"",IF(INDEX(Principal!$AP$42:$AP$69,MATCH(O$2236&amp;$A13,Principal!$U$42:$U$69,0))&gt;0,INDEX(Principal!$AF$42:$AF$69,MATCH(O$2236&amp;$A13,Principal!$U$42:$U$69,0)),INDEX(PoderesDeCriatura_Adquiridos,MATCH(O$2236&amp;$A13,Principal!$U$42:$U$69,0))))</f>
        <v/>
      </c>
      <c r="Q2250" s="218" t="str">
        <f t="shared" si="445"/>
        <v/>
      </c>
      <c r="R2250" s="2421" t="str">
        <f>IF(ISNA(INDEX(PoderesDeCriatura_AdquiridosNombres,MATCH(R$2236&amp;$A13,Principal!$U$42:$U$69,0))),"",INDEX(PoderesDeCriatura_AdquiridosNombres,MATCH(R$2236&amp;$A13,Principal!$U$42:$U$69,0)))</f>
        <v/>
      </c>
      <c r="S2250" s="2422" t="str">
        <f>IF(ISNA(INDEX(PoderesDeCriatura_Adquiridos,MATCH(R$2236&amp;$A13,Principal!$U$42:$U$69,0))),"",IF(INDEX(Principal!$AP$42:$AP$69,MATCH(R$2236&amp;$A13,Principal!$U$42:$U$69,0))&gt;0,INDEX(Principal!$AF$42:$AF$69,MATCH(R$2236&amp;$A13,Principal!$U$42:$U$69,0)),INDEX(PoderesDeCriatura_Adquiridos,MATCH(R$2236&amp;$A13,Principal!$U$42:$U$69,0))))</f>
        <v/>
      </c>
      <c r="T2250" s="218" t="str">
        <f t="shared" si="446"/>
        <v/>
      </c>
      <c r="U2250" s="2421" t="str">
        <f>IF(ISNA(INDEX(PoderesDeCriatura_AdquiridosNombres,MATCH(U$2236&amp;$A13,Principal!$U$42:$U$69,0))),"",INDEX(PoderesDeCriatura_AdquiridosNombres,MATCH(U$2236&amp;$A13,Principal!$U$42:$U$69,0)))</f>
        <v/>
      </c>
      <c r="V2250" s="2422" t="str">
        <f>IF(ISNA(INDEX(PoderesDeCriatura_Adquiridos,MATCH(U$2236&amp;$A13,Principal!$U$42:$U$69,0))),"",IF(INDEX(Principal!$AP$42:$AP$69,MATCH(U$2236&amp;$A13,Principal!$U$42:$U$69,0))&gt;0,INDEX(Principal!$AF$42:$AF$69,MATCH(U$2236&amp;$A13,Principal!$U$42:$U$69,0)),INDEX(PoderesDeCriatura_Adquiridos,MATCH(U$2236&amp;$A13,Principal!$U$42:$U$69,0))))</f>
        <v/>
      </c>
      <c r="W2250" s="218" t="str">
        <f t="shared" si="447"/>
        <v/>
      </c>
      <c r="X2250" s="2421" t="str">
        <f>IF(ISNA(INDEX(PoderesDeCriatura_AdquiridosNombres,MATCH(X$2236&amp;$A13,Principal!$U$42:$U$69,0))),"",INDEX(PoderesDeCriatura_AdquiridosNombres,MATCH(X$2236&amp;$A13,Principal!$U$42:$U$69,0)))</f>
        <v/>
      </c>
      <c r="Y2250" s="2422" t="str">
        <f>IF(ISNA(INDEX(PoderesDeCriatura_Adquiridos,MATCH(X$2236&amp;$A13,Principal!$U$42:$U$69,0))),"",IF(INDEX(Principal!$AP$42:$AP$69,MATCH(X$2236&amp;$A13,Principal!$U$42:$U$69,0))&gt;0,INDEX(Principal!$AF$42:$AF$69,MATCH(X$2236&amp;$A13,Principal!$U$42:$U$69,0)),INDEX(PoderesDeCriatura_Adquiridos,MATCH(X$2236&amp;$A13,Principal!$U$42:$U$69,0))))</f>
        <v/>
      </c>
      <c r="Z2250" s="218" t="str">
        <f t="shared" si="448"/>
        <v/>
      </c>
      <c r="AA2250" s="2421" t="str">
        <f>IF(ISNA(INDEX(PoderesDeCriatura_AdquiridosNombres,MATCH(AA$2236&amp;$A13,Principal!$U$42:$U$69,0))),"",INDEX(PoderesDeCriatura_AdquiridosNombres,MATCH(AA$2236&amp;$A13,Principal!$U$42:$U$69,0)))</f>
        <v/>
      </c>
      <c r="AB2250" s="2422" t="str">
        <f>IF(ISNA(INDEX(PoderesDeCriatura_Adquiridos,MATCH(AA$2236&amp;$A13,Principal!$U$42:$U$69,0))),"",IF(INDEX(Principal!$AP$42:$AP$69,MATCH(AA$2236&amp;$A13,Principal!$U$42:$U$69,0))&gt;0,INDEX(Principal!$AF$42:$AF$69,MATCH(AA$2236&amp;$A13,Principal!$U$42:$U$69,0)),INDEX(PoderesDeCriatura_Adquiridos,MATCH(AA$2236&amp;$A13,Principal!$U$42:$U$69,0))))</f>
        <v/>
      </c>
      <c r="AC2250" s="218" t="str">
        <f t="shared" si="449"/>
        <v/>
      </c>
      <c r="AD2250" s="2421" t="str">
        <f>IF(ISNA(INDEX(PoderesDeCriatura_AdquiridosNombres,MATCH(AD$2236&amp;$A13,Principal!$U$42:$U$69,0))),"",INDEX(PoderesDeCriatura_AdquiridosNombres,MATCH(AD$2236&amp;$A13,Principal!$U$42:$U$69,0)))</f>
        <v/>
      </c>
      <c r="AE2250" s="2422" t="str">
        <f>IF(ISNA(INDEX(PoderesDeCriatura_Adquiridos,MATCH(AD$2236&amp;$A13,Principal!$U$42:$U$69,0))),"",IF(INDEX(Principal!$AP$42:$AP$69,MATCH(AD$2236&amp;$A13,Principal!$U$42:$U$69,0))&gt;0,INDEX(Principal!$AF$42:$AF$69,MATCH(AD$2236&amp;$A13,Principal!$U$42:$U$69,0)),INDEX(PoderesDeCriatura_Adquiridos,MATCH(AD$2236&amp;$A13,Principal!$U$42:$U$69,0))))</f>
        <v/>
      </c>
      <c r="AF2250" s="218" t="str">
        <f t="shared" si="450"/>
        <v/>
      </c>
      <c r="AG2250" s="2421" t="str">
        <f>IF(ISNA(INDEX(PoderesDeCriatura_AdquiridosNombres,MATCH(AG$2236&amp;$A13,Principal!$U$42:$U$69,0))),"",INDEX(PoderesDeCriatura_AdquiridosNombres,MATCH(AG$2236&amp;$A13,Principal!$U$42:$U$69,0)))</f>
        <v/>
      </c>
      <c r="AH2250" s="2422" t="str">
        <f>IF(ISNA(INDEX(PoderesDeCriatura_Adquiridos,MATCH(AG$2236&amp;$A13,Principal!$U$42:$U$69,0))),"",IF(INDEX(Principal!$AP$42:$AP$69,MATCH(AG$2236&amp;$A13,Principal!$U$42:$U$69,0))&gt;0,INDEX(Principal!$AF$42:$AF$69,MATCH(AG$2236&amp;$A13,Principal!$U$42:$U$69,0)),INDEX(PoderesDeCriatura_Adquiridos,MATCH(AG$2236&amp;$A13,Principal!$U$42:$U$69,0))))</f>
        <v/>
      </c>
      <c r="AI2250" s="218" t="str">
        <f t="shared" si="451"/>
        <v/>
      </c>
      <c r="AJ2250" s="2421" t="str">
        <f>IF(ISNA(INDEX(PoderesDeCriatura_AdquiridosNombres,MATCH(AJ$2236&amp;$A13,Principal!$U$42:$U$69,0))),"",INDEX(PoderesDeCriatura_AdquiridosNombres,MATCH(AJ$2236&amp;$A13,Principal!$U$42:$U$69,0)))</f>
        <v/>
      </c>
      <c r="AK2250" s="2422" t="str">
        <f>IF(ISNA(INDEX(PoderesDeCriatura_Adquiridos,MATCH(AJ$2236&amp;$A13,Principal!$U$42:$U$69,0))),"",IF(INDEX(Principal!$AP$42:$AP$69,MATCH(AJ$2236&amp;$A13,Principal!$U$42:$U$69,0))&gt;0,INDEX(Principal!$AF$42:$AF$69,MATCH(AJ$2236&amp;$A13,Principal!$U$42:$U$69,0)),INDEX(PoderesDeCriatura_Adquiridos,MATCH(AJ$2236&amp;$A13,Principal!$U$42:$U$69,0))))</f>
        <v/>
      </c>
      <c r="AL2250" s="218" t="str">
        <f t="shared" si="452"/>
        <v/>
      </c>
      <c r="AM2250" s="2421" t="str">
        <f>IF(ISNA(INDEX(PoderesDeCriatura_AdquiridosNombres,MATCH(AM$2236&amp;$A13,Principal!$U$42:$U$69,0))),"",INDEX(PoderesDeCriatura_AdquiridosNombres,MATCH(AM$2236&amp;$A13,Principal!$U$42:$U$69,0)))</f>
        <v/>
      </c>
      <c r="AN2250" s="2422" t="str">
        <f>IF(ISNA(INDEX(PoderesDeCriatura_Adquiridos,MATCH(AM$2236&amp;$A13,Principal!$U$42:$U$69,0))),"",IF(INDEX(Principal!$AP$42:$AP$69,MATCH(AM$2236&amp;$A13,Principal!$U$42:$U$69,0))&gt;0,INDEX(Principal!$AF$42:$AF$69,MATCH(AM$2236&amp;$A13,Principal!$U$42:$U$69,0)),INDEX(PoderesDeCriatura_Adquiridos,MATCH(AM$2236&amp;$A13,Principal!$U$42:$U$69,0))))</f>
        <v/>
      </c>
      <c r="AO2250" s="761" t="str">
        <f t="shared" si="453"/>
        <v/>
      </c>
      <c r="AP2250" s="758" t="str">
        <f>IF(OR(AQ2250=0,ISNUMBER(MATCH(AQ2250,$AQ$2239:$AQ2249,0))),"",MAX($AP$2238:AP2249)+1)</f>
        <v/>
      </c>
      <c r="AQ2250" s="1174">
        <f>Principal!V53</f>
        <v>0</v>
      </c>
    </row>
    <row r="2251" spans="1:43" ht="12.75" customHeight="1">
      <c r="A2251" s="219">
        <v>2145</v>
      </c>
      <c r="B2251" s="7145"/>
      <c r="J2251" s="750" t="str">
        <f>IF(ISNA(VLOOKUP(A15,Principal!$S$42:$AH$69,10,FALSE)),"",IF(VLOOKUP(A15,Principal!$S$42:$AH$69,10,FALSE)=0,"",INDEX(PoderesDeCriatura_Adquiridos,MATCH(A15,Principal!$S$42:$S$69,0))))</f>
        <v/>
      </c>
      <c r="K2251" s="218" t="str">
        <f>IF(AND(COUNTA($K$2237:K2250)-COUNTBLANK($K$2237:K2250)&gt;0,J2251&lt;&gt;""),", ","")&amp;J2251</f>
        <v/>
      </c>
      <c r="L2251" s="2421" t="str">
        <f>IF(ISNA(INDEX(PoderesDeCriatura_AdquiridosNombres,MATCH(L$2236&amp;$A14,Principal!$U$42:$U$69,0))),"",INDEX(PoderesDeCriatura_AdquiridosNombres,MATCH(L$2236&amp;$A14,Principal!$U$42:$U$69,0)))</f>
        <v/>
      </c>
      <c r="M2251" s="2422" t="str">
        <f>IF(ISNA(INDEX(PoderesDeCriatura_Adquiridos,MATCH(L$2236&amp;$A14,Principal!$U$42:$U$69,0))),"",IF(INDEX(Principal!$AP$42:$AP$69,MATCH(L$2236&amp;$A14,Principal!$U$42:$U$69,0))&gt;0,INDEX(Principal!$AF$42:$AF$69,MATCH(L$2236&amp;$A14,Principal!$U$42:$U$69,0)),INDEX(PoderesDeCriatura_Adquiridos,MATCH(L$2236&amp;$A14,Principal!$U$42:$U$69,0))))</f>
        <v/>
      </c>
      <c r="N2251" s="218" t="str">
        <f t="shared" si="444"/>
        <v/>
      </c>
      <c r="O2251" s="2421" t="str">
        <f>IF(ISNA(INDEX(PoderesDeCriatura_AdquiridosNombres,MATCH(O$2236&amp;$A14,Principal!$U$42:$U$69,0))),"",INDEX(PoderesDeCriatura_AdquiridosNombres,MATCH(O$2236&amp;$A14,Principal!$U$42:$U$69,0)))</f>
        <v/>
      </c>
      <c r="P2251" s="2422" t="str">
        <f>IF(ISNA(INDEX(PoderesDeCriatura_Adquiridos,MATCH(O$2236&amp;$A14,Principal!$U$42:$U$69,0))),"",IF(INDEX(Principal!$AP$42:$AP$69,MATCH(O$2236&amp;$A14,Principal!$U$42:$U$69,0))&gt;0,INDEX(Principal!$AF$42:$AF$69,MATCH(O$2236&amp;$A14,Principal!$U$42:$U$69,0)),INDEX(PoderesDeCriatura_Adquiridos,MATCH(O$2236&amp;$A14,Principal!$U$42:$U$69,0))))</f>
        <v/>
      </c>
      <c r="Q2251" s="218" t="str">
        <f t="shared" si="445"/>
        <v/>
      </c>
      <c r="R2251" s="2421" t="str">
        <f>IF(ISNA(INDEX(PoderesDeCriatura_AdquiridosNombres,MATCH(R$2236&amp;$A14,Principal!$U$42:$U$69,0))),"",INDEX(PoderesDeCriatura_AdquiridosNombres,MATCH(R$2236&amp;$A14,Principal!$U$42:$U$69,0)))</f>
        <v/>
      </c>
      <c r="S2251" s="2422" t="str">
        <f>IF(ISNA(INDEX(PoderesDeCriatura_Adquiridos,MATCH(R$2236&amp;$A14,Principal!$U$42:$U$69,0))),"",IF(INDEX(Principal!$AP$42:$AP$69,MATCH(R$2236&amp;$A14,Principal!$U$42:$U$69,0))&gt;0,INDEX(Principal!$AF$42:$AF$69,MATCH(R$2236&amp;$A14,Principal!$U$42:$U$69,0)),INDEX(PoderesDeCriatura_Adquiridos,MATCH(R$2236&amp;$A14,Principal!$U$42:$U$69,0))))</f>
        <v/>
      </c>
      <c r="T2251" s="218" t="str">
        <f t="shared" si="446"/>
        <v/>
      </c>
      <c r="U2251" s="2421" t="str">
        <f>IF(ISNA(INDEX(PoderesDeCriatura_AdquiridosNombres,MATCH(U$2236&amp;$A14,Principal!$U$42:$U$69,0))),"",INDEX(PoderesDeCriatura_AdquiridosNombres,MATCH(U$2236&amp;$A14,Principal!$U$42:$U$69,0)))</f>
        <v/>
      </c>
      <c r="V2251" s="2422" t="str">
        <f>IF(ISNA(INDEX(PoderesDeCriatura_Adquiridos,MATCH(U$2236&amp;$A14,Principal!$U$42:$U$69,0))),"",IF(INDEX(Principal!$AP$42:$AP$69,MATCH(U$2236&amp;$A14,Principal!$U$42:$U$69,0))&gt;0,INDEX(Principal!$AF$42:$AF$69,MATCH(U$2236&amp;$A14,Principal!$U$42:$U$69,0)),INDEX(PoderesDeCriatura_Adquiridos,MATCH(U$2236&amp;$A14,Principal!$U$42:$U$69,0))))</f>
        <v/>
      </c>
      <c r="W2251" s="218" t="str">
        <f t="shared" si="447"/>
        <v/>
      </c>
      <c r="X2251" s="2421" t="str">
        <f>IF(ISNA(INDEX(PoderesDeCriatura_AdquiridosNombres,MATCH(X$2236&amp;$A14,Principal!$U$42:$U$69,0))),"",INDEX(PoderesDeCriatura_AdquiridosNombres,MATCH(X$2236&amp;$A14,Principal!$U$42:$U$69,0)))</f>
        <v/>
      </c>
      <c r="Y2251" s="2422" t="str">
        <f>IF(ISNA(INDEX(PoderesDeCriatura_Adquiridos,MATCH(X$2236&amp;$A14,Principal!$U$42:$U$69,0))),"",IF(INDEX(Principal!$AP$42:$AP$69,MATCH(X$2236&amp;$A14,Principal!$U$42:$U$69,0))&gt;0,INDEX(Principal!$AF$42:$AF$69,MATCH(X$2236&amp;$A14,Principal!$U$42:$U$69,0)),INDEX(PoderesDeCriatura_Adquiridos,MATCH(X$2236&amp;$A14,Principal!$U$42:$U$69,0))))</f>
        <v/>
      </c>
      <c r="Z2251" s="218" t="str">
        <f t="shared" si="448"/>
        <v/>
      </c>
      <c r="AA2251" s="2421" t="str">
        <f>IF(ISNA(INDEX(PoderesDeCriatura_AdquiridosNombres,MATCH(AA$2236&amp;$A14,Principal!$U$42:$U$69,0))),"",INDEX(PoderesDeCriatura_AdquiridosNombres,MATCH(AA$2236&amp;$A14,Principal!$U$42:$U$69,0)))</f>
        <v/>
      </c>
      <c r="AB2251" s="2422" t="str">
        <f>IF(ISNA(INDEX(PoderesDeCriatura_Adquiridos,MATCH(AA$2236&amp;$A14,Principal!$U$42:$U$69,0))),"",IF(INDEX(Principal!$AP$42:$AP$69,MATCH(AA$2236&amp;$A14,Principal!$U$42:$U$69,0))&gt;0,INDEX(Principal!$AF$42:$AF$69,MATCH(AA$2236&amp;$A14,Principal!$U$42:$U$69,0)),INDEX(PoderesDeCriatura_Adquiridos,MATCH(AA$2236&amp;$A14,Principal!$U$42:$U$69,0))))</f>
        <v/>
      </c>
      <c r="AC2251" s="218" t="str">
        <f t="shared" si="449"/>
        <v/>
      </c>
      <c r="AD2251" s="2421" t="str">
        <f>IF(ISNA(INDEX(PoderesDeCriatura_AdquiridosNombres,MATCH(AD$2236&amp;$A14,Principal!$U$42:$U$69,0))),"",INDEX(PoderesDeCriatura_AdquiridosNombres,MATCH(AD$2236&amp;$A14,Principal!$U$42:$U$69,0)))</f>
        <v/>
      </c>
      <c r="AE2251" s="2422" t="str">
        <f>IF(ISNA(INDEX(PoderesDeCriatura_Adquiridos,MATCH(AD$2236&amp;$A14,Principal!$U$42:$U$69,0))),"",IF(INDEX(Principal!$AP$42:$AP$69,MATCH(AD$2236&amp;$A14,Principal!$U$42:$U$69,0))&gt;0,INDEX(Principal!$AF$42:$AF$69,MATCH(AD$2236&amp;$A14,Principal!$U$42:$U$69,0)),INDEX(PoderesDeCriatura_Adquiridos,MATCH(AD$2236&amp;$A14,Principal!$U$42:$U$69,0))))</f>
        <v/>
      </c>
      <c r="AF2251" s="218" t="str">
        <f t="shared" si="450"/>
        <v/>
      </c>
      <c r="AG2251" s="2421" t="str">
        <f>IF(ISNA(INDEX(PoderesDeCriatura_AdquiridosNombres,MATCH(AG$2236&amp;$A14,Principal!$U$42:$U$69,0))),"",INDEX(PoderesDeCriatura_AdquiridosNombres,MATCH(AG$2236&amp;$A14,Principal!$U$42:$U$69,0)))</f>
        <v/>
      </c>
      <c r="AH2251" s="2422" t="str">
        <f>IF(ISNA(INDEX(PoderesDeCriatura_Adquiridos,MATCH(AG$2236&amp;$A14,Principal!$U$42:$U$69,0))),"",IF(INDEX(Principal!$AP$42:$AP$69,MATCH(AG$2236&amp;$A14,Principal!$U$42:$U$69,0))&gt;0,INDEX(Principal!$AF$42:$AF$69,MATCH(AG$2236&amp;$A14,Principal!$U$42:$U$69,0)),INDEX(PoderesDeCriatura_Adquiridos,MATCH(AG$2236&amp;$A14,Principal!$U$42:$U$69,0))))</f>
        <v/>
      </c>
      <c r="AI2251" s="218" t="str">
        <f t="shared" si="451"/>
        <v/>
      </c>
      <c r="AJ2251" s="2421" t="str">
        <f>IF(ISNA(INDEX(PoderesDeCriatura_AdquiridosNombres,MATCH(AJ$2236&amp;$A14,Principal!$U$42:$U$69,0))),"",INDEX(PoderesDeCriatura_AdquiridosNombres,MATCH(AJ$2236&amp;$A14,Principal!$U$42:$U$69,0)))</f>
        <v/>
      </c>
      <c r="AK2251" s="2422" t="str">
        <f>IF(ISNA(INDEX(PoderesDeCriatura_Adquiridos,MATCH(AJ$2236&amp;$A14,Principal!$U$42:$U$69,0))),"",IF(INDEX(Principal!$AP$42:$AP$69,MATCH(AJ$2236&amp;$A14,Principal!$U$42:$U$69,0))&gt;0,INDEX(Principal!$AF$42:$AF$69,MATCH(AJ$2236&amp;$A14,Principal!$U$42:$U$69,0)),INDEX(PoderesDeCriatura_Adquiridos,MATCH(AJ$2236&amp;$A14,Principal!$U$42:$U$69,0))))</f>
        <v/>
      </c>
      <c r="AL2251" s="218" t="str">
        <f t="shared" si="452"/>
        <v/>
      </c>
      <c r="AM2251" s="2421" t="str">
        <f>IF(ISNA(INDEX(PoderesDeCriatura_AdquiridosNombres,MATCH(AM$2236&amp;$A14,Principal!$U$42:$U$69,0))),"",INDEX(PoderesDeCriatura_AdquiridosNombres,MATCH(AM$2236&amp;$A14,Principal!$U$42:$U$69,0)))</f>
        <v/>
      </c>
      <c r="AN2251" s="2422" t="str">
        <f>IF(ISNA(INDEX(PoderesDeCriatura_Adquiridos,MATCH(AM$2236&amp;$A14,Principal!$U$42:$U$69,0))),"",IF(INDEX(Principal!$AP$42:$AP$69,MATCH(AM$2236&amp;$A14,Principal!$U$42:$U$69,0))&gt;0,INDEX(Principal!$AF$42:$AF$69,MATCH(AM$2236&amp;$A14,Principal!$U$42:$U$69,0)),INDEX(PoderesDeCriatura_Adquiridos,MATCH(AM$2236&amp;$A14,Principal!$U$42:$U$69,0))))</f>
        <v/>
      </c>
      <c r="AO2251" s="761" t="str">
        <f t="shared" si="453"/>
        <v/>
      </c>
      <c r="AP2251" s="758" t="str">
        <f>IF(OR(AQ2251=0,ISNUMBER(MATCH(AQ2251,$AQ$2239:$AQ2250,0))),"",MAX($AP$2238:AP2250)+1)</f>
        <v/>
      </c>
      <c r="AQ2251" s="1174">
        <f>Principal!V54</f>
        <v>0</v>
      </c>
    </row>
    <row r="2252" spans="1:43" ht="12.75" customHeight="1">
      <c r="A2252" s="219">
        <v>2146</v>
      </c>
      <c r="B2252" s="7145"/>
      <c r="J2252" s="750" t="str">
        <f>IF(ISNA(VLOOKUP(A16,Principal!$S$42:$AH$69,10,FALSE)),"",IF(VLOOKUP(A16,Principal!$S$42:$AH$69,10,FALSE)=0,"",INDEX(PoderesDeCriatura_Adquiridos,MATCH(A16,Principal!$S$42:$S$69,0))))</f>
        <v/>
      </c>
      <c r="K2252" s="218" t="str">
        <f>IF(AND(COUNTA($K$2237:K2251)-COUNTBLANK($K$2237:K2251)&gt;0,J2252&lt;&gt;""),", ","")&amp;J2252</f>
        <v/>
      </c>
      <c r="L2252" s="2421" t="str">
        <f>IF(ISNA(INDEX(PoderesDeCriatura_AdquiridosNombres,MATCH(L$2236&amp;$A15,Principal!$U$42:$U$69,0))),"",INDEX(PoderesDeCriatura_AdquiridosNombres,MATCH(L$2236&amp;$A15,Principal!$U$42:$U$69,0)))</f>
        <v/>
      </c>
      <c r="M2252" s="2422" t="str">
        <f>IF(ISNA(INDEX(PoderesDeCriatura_Adquiridos,MATCH(L$2236&amp;$A15,Principal!$U$42:$U$69,0))),"",IF(INDEX(Principal!$AP$42:$AP$69,MATCH(L$2236&amp;$A15,Principal!$U$42:$U$69,0))&gt;0,INDEX(Principal!$AF$42:$AF$69,MATCH(L$2236&amp;$A15,Principal!$U$42:$U$69,0)),INDEX(PoderesDeCriatura_Adquiridos,MATCH(L$2236&amp;$A15,Principal!$U$42:$U$69,0))))</f>
        <v/>
      </c>
      <c r="N2252" s="218" t="str">
        <f t="shared" si="444"/>
        <v/>
      </c>
      <c r="O2252" s="2421" t="str">
        <f>IF(ISNA(INDEX(PoderesDeCriatura_AdquiridosNombres,MATCH(O$2236&amp;$A15,Principal!$U$42:$U$69,0))),"",INDEX(PoderesDeCriatura_AdquiridosNombres,MATCH(O$2236&amp;$A15,Principal!$U$42:$U$69,0)))</f>
        <v/>
      </c>
      <c r="P2252" s="2422" t="str">
        <f>IF(ISNA(INDEX(PoderesDeCriatura_Adquiridos,MATCH(O$2236&amp;$A15,Principal!$U$42:$U$69,0))),"",IF(INDEX(Principal!$AP$42:$AP$69,MATCH(O$2236&amp;$A15,Principal!$U$42:$U$69,0))&gt;0,INDEX(Principal!$AF$42:$AF$69,MATCH(O$2236&amp;$A15,Principal!$U$42:$U$69,0)),INDEX(PoderesDeCriatura_Adquiridos,MATCH(O$2236&amp;$A15,Principal!$U$42:$U$69,0))))</f>
        <v/>
      </c>
      <c r="Q2252" s="218" t="str">
        <f t="shared" si="445"/>
        <v/>
      </c>
      <c r="R2252" s="2421" t="str">
        <f>IF(ISNA(INDEX(PoderesDeCriatura_AdquiridosNombres,MATCH(R$2236&amp;$A15,Principal!$U$42:$U$69,0))),"",INDEX(PoderesDeCriatura_AdquiridosNombres,MATCH(R$2236&amp;$A15,Principal!$U$42:$U$69,0)))</f>
        <v/>
      </c>
      <c r="S2252" s="2422" t="str">
        <f>IF(ISNA(INDEX(PoderesDeCriatura_Adquiridos,MATCH(R$2236&amp;$A15,Principal!$U$42:$U$69,0))),"",IF(INDEX(Principal!$AP$42:$AP$69,MATCH(R$2236&amp;$A15,Principal!$U$42:$U$69,0))&gt;0,INDEX(Principal!$AF$42:$AF$69,MATCH(R$2236&amp;$A15,Principal!$U$42:$U$69,0)),INDEX(PoderesDeCriatura_Adquiridos,MATCH(R$2236&amp;$A15,Principal!$U$42:$U$69,0))))</f>
        <v/>
      </c>
      <c r="T2252" s="218" t="str">
        <f t="shared" si="446"/>
        <v/>
      </c>
      <c r="U2252" s="2421" t="str">
        <f>IF(ISNA(INDEX(PoderesDeCriatura_AdquiridosNombres,MATCH(U$2236&amp;$A15,Principal!$U$42:$U$69,0))),"",INDEX(PoderesDeCriatura_AdquiridosNombres,MATCH(U$2236&amp;$A15,Principal!$U$42:$U$69,0)))</f>
        <v/>
      </c>
      <c r="V2252" s="2422" t="str">
        <f>IF(ISNA(INDEX(PoderesDeCriatura_Adquiridos,MATCH(U$2236&amp;$A15,Principal!$U$42:$U$69,0))),"",IF(INDEX(Principal!$AP$42:$AP$69,MATCH(U$2236&amp;$A15,Principal!$U$42:$U$69,0))&gt;0,INDEX(Principal!$AF$42:$AF$69,MATCH(U$2236&amp;$A15,Principal!$U$42:$U$69,0)),INDEX(PoderesDeCriatura_Adquiridos,MATCH(U$2236&amp;$A15,Principal!$U$42:$U$69,0))))</f>
        <v/>
      </c>
      <c r="W2252" s="218" t="str">
        <f t="shared" si="447"/>
        <v/>
      </c>
      <c r="X2252" s="2421" t="str">
        <f>IF(ISNA(INDEX(PoderesDeCriatura_AdquiridosNombres,MATCH(X$2236&amp;$A15,Principal!$U$42:$U$69,0))),"",INDEX(PoderesDeCriatura_AdquiridosNombres,MATCH(X$2236&amp;$A15,Principal!$U$42:$U$69,0)))</f>
        <v/>
      </c>
      <c r="Y2252" s="2422" t="str">
        <f>IF(ISNA(INDEX(PoderesDeCriatura_Adquiridos,MATCH(X$2236&amp;$A15,Principal!$U$42:$U$69,0))),"",IF(INDEX(Principal!$AP$42:$AP$69,MATCH(X$2236&amp;$A15,Principal!$U$42:$U$69,0))&gt;0,INDEX(Principal!$AF$42:$AF$69,MATCH(X$2236&amp;$A15,Principal!$U$42:$U$69,0)),INDEX(PoderesDeCriatura_Adquiridos,MATCH(X$2236&amp;$A15,Principal!$U$42:$U$69,0))))</f>
        <v/>
      </c>
      <c r="Z2252" s="218" t="str">
        <f t="shared" si="448"/>
        <v/>
      </c>
      <c r="AA2252" s="2421" t="str">
        <f>IF(ISNA(INDEX(PoderesDeCriatura_AdquiridosNombres,MATCH(AA$2236&amp;$A15,Principal!$U$42:$U$69,0))),"",INDEX(PoderesDeCriatura_AdquiridosNombres,MATCH(AA$2236&amp;$A15,Principal!$U$42:$U$69,0)))</f>
        <v/>
      </c>
      <c r="AB2252" s="2422" t="str">
        <f>IF(ISNA(INDEX(PoderesDeCriatura_Adquiridos,MATCH(AA$2236&amp;$A15,Principal!$U$42:$U$69,0))),"",IF(INDEX(Principal!$AP$42:$AP$69,MATCH(AA$2236&amp;$A15,Principal!$U$42:$U$69,0))&gt;0,INDEX(Principal!$AF$42:$AF$69,MATCH(AA$2236&amp;$A15,Principal!$U$42:$U$69,0)),INDEX(PoderesDeCriatura_Adquiridos,MATCH(AA$2236&amp;$A15,Principal!$U$42:$U$69,0))))</f>
        <v/>
      </c>
      <c r="AC2252" s="218" t="str">
        <f t="shared" si="449"/>
        <v/>
      </c>
      <c r="AD2252" s="2421" t="str">
        <f>IF(ISNA(INDEX(PoderesDeCriatura_AdquiridosNombres,MATCH(AD$2236&amp;$A15,Principal!$U$42:$U$69,0))),"",INDEX(PoderesDeCriatura_AdquiridosNombres,MATCH(AD$2236&amp;$A15,Principal!$U$42:$U$69,0)))</f>
        <v/>
      </c>
      <c r="AE2252" s="2422" t="str">
        <f>IF(ISNA(INDEX(PoderesDeCriatura_Adquiridos,MATCH(AD$2236&amp;$A15,Principal!$U$42:$U$69,0))),"",IF(INDEX(Principal!$AP$42:$AP$69,MATCH(AD$2236&amp;$A15,Principal!$U$42:$U$69,0))&gt;0,INDEX(Principal!$AF$42:$AF$69,MATCH(AD$2236&amp;$A15,Principal!$U$42:$U$69,0)),INDEX(PoderesDeCriatura_Adquiridos,MATCH(AD$2236&amp;$A15,Principal!$U$42:$U$69,0))))</f>
        <v/>
      </c>
      <c r="AF2252" s="218" t="str">
        <f t="shared" si="450"/>
        <v/>
      </c>
      <c r="AG2252" s="2421" t="str">
        <f>IF(ISNA(INDEX(PoderesDeCriatura_AdquiridosNombres,MATCH(AG$2236&amp;$A15,Principal!$U$42:$U$69,0))),"",INDEX(PoderesDeCriatura_AdquiridosNombres,MATCH(AG$2236&amp;$A15,Principal!$U$42:$U$69,0)))</f>
        <v/>
      </c>
      <c r="AH2252" s="2422" t="str">
        <f>IF(ISNA(INDEX(PoderesDeCriatura_Adquiridos,MATCH(AG$2236&amp;$A15,Principal!$U$42:$U$69,0))),"",IF(INDEX(Principal!$AP$42:$AP$69,MATCH(AG$2236&amp;$A15,Principal!$U$42:$U$69,0))&gt;0,INDEX(Principal!$AF$42:$AF$69,MATCH(AG$2236&amp;$A15,Principal!$U$42:$U$69,0)),INDEX(PoderesDeCriatura_Adquiridos,MATCH(AG$2236&amp;$A15,Principal!$U$42:$U$69,0))))</f>
        <v/>
      </c>
      <c r="AI2252" s="218" t="str">
        <f t="shared" si="451"/>
        <v/>
      </c>
      <c r="AJ2252" s="2421" t="str">
        <f>IF(ISNA(INDEX(PoderesDeCriatura_AdquiridosNombres,MATCH(AJ$2236&amp;$A15,Principal!$U$42:$U$69,0))),"",INDEX(PoderesDeCriatura_AdquiridosNombres,MATCH(AJ$2236&amp;$A15,Principal!$U$42:$U$69,0)))</f>
        <v/>
      </c>
      <c r="AK2252" s="2422" t="str">
        <f>IF(ISNA(INDEX(PoderesDeCriatura_Adquiridos,MATCH(AJ$2236&amp;$A15,Principal!$U$42:$U$69,0))),"",IF(INDEX(Principal!$AP$42:$AP$69,MATCH(AJ$2236&amp;$A15,Principal!$U$42:$U$69,0))&gt;0,INDEX(Principal!$AF$42:$AF$69,MATCH(AJ$2236&amp;$A15,Principal!$U$42:$U$69,0)),INDEX(PoderesDeCriatura_Adquiridos,MATCH(AJ$2236&amp;$A15,Principal!$U$42:$U$69,0))))</f>
        <v/>
      </c>
      <c r="AL2252" s="218" t="str">
        <f t="shared" si="452"/>
        <v/>
      </c>
      <c r="AM2252" s="2421" t="str">
        <f>IF(ISNA(INDEX(PoderesDeCriatura_AdquiridosNombres,MATCH(AM$2236&amp;$A15,Principal!$U$42:$U$69,0))),"",INDEX(PoderesDeCriatura_AdquiridosNombres,MATCH(AM$2236&amp;$A15,Principal!$U$42:$U$69,0)))</f>
        <v/>
      </c>
      <c r="AN2252" s="2422" t="str">
        <f>IF(ISNA(INDEX(PoderesDeCriatura_Adquiridos,MATCH(AM$2236&amp;$A15,Principal!$U$42:$U$69,0))),"",IF(INDEX(Principal!$AP$42:$AP$69,MATCH(AM$2236&amp;$A15,Principal!$U$42:$U$69,0))&gt;0,INDEX(Principal!$AF$42:$AF$69,MATCH(AM$2236&amp;$A15,Principal!$U$42:$U$69,0)),INDEX(PoderesDeCriatura_Adquiridos,MATCH(AM$2236&amp;$A15,Principal!$U$42:$U$69,0))))</f>
        <v/>
      </c>
      <c r="AO2252" s="761" t="str">
        <f t="shared" si="453"/>
        <v/>
      </c>
      <c r="AP2252" s="758" t="str">
        <f>IF(OR(AQ2252=0,ISNUMBER(MATCH(AQ2252,$AQ$2239:$AQ2251,0))),"",MAX($AP$2238:AP2251)+1)</f>
        <v/>
      </c>
      <c r="AQ2252" s="1174">
        <f>Principal!V55</f>
        <v>0</v>
      </c>
    </row>
    <row r="2253" spans="1:43" ht="12.75" customHeight="1">
      <c r="A2253" s="219">
        <v>2147</v>
      </c>
      <c r="B2253" s="7145"/>
      <c r="J2253" s="750" t="str">
        <f>IF(ISNA(VLOOKUP(A17,Principal!$S$42:$AH$69,10,FALSE)),"",IF(VLOOKUP(A17,Principal!$S$42:$AH$69,10,FALSE)=0,"",INDEX(PoderesDeCriatura_Adquiridos,MATCH(A17,Principal!$S$42:$S$69,0))))</f>
        <v/>
      </c>
      <c r="K2253" s="218" t="str">
        <f>IF(AND(COUNTA($K$2237:K2252)-COUNTBLANK($K$2237:K2252)&gt;0,J2253&lt;&gt;""),", ","")&amp;J2253</f>
        <v/>
      </c>
      <c r="L2253" s="2421" t="str">
        <f>IF(ISNA(INDEX(PoderesDeCriatura_AdquiridosNombres,MATCH(L$2236&amp;$A16,Principal!$U$42:$U$69,0))),"",INDEX(PoderesDeCriatura_AdquiridosNombres,MATCH(L$2236&amp;$A16,Principal!$U$42:$U$69,0)))</f>
        <v/>
      </c>
      <c r="M2253" s="2422" t="str">
        <f>IF(ISNA(INDEX(PoderesDeCriatura_Adquiridos,MATCH(L$2236&amp;$A16,Principal!$U$42:$U$69,0))),"",IF(INDEX(Principal!$AP$42:$AP$69,MATCH(L$2236&amp;$A16,Principal!$U$42:$U$69,0))&gt;0,INDEX(Principal!$AF$42:$AF$69,MATCH(L$2236&amp;$A16,Principal!$U$42:$U$69,0)),INDEX(PoderesDeCriatura_Adquiridos,MATCH(L$2236&amp;$A16,Principal!$U$42:$U$69,0))))</f>
        <v/>
      </c>
      <c r="N2253" s="218" t="str">
        <f t="shared" si="444"/>
        <v/>
      </c>
      <c r="O2253" s="2421" t="str">
        <f>IF(ISNA(INDEX(PoderesDeCriatura_AdquiridosNombres,MATCH(O$2236&amp;$A16,Principal!$U$42:$U$69,0))),"",INDEX(PoderesDeCriatura_AdquiridosNombres,MATCH(O$2236&amp;$A16,Principal!$U$42:$U$69,0)))</f>
        <v/>
      </c>
      <c r="P2253" s="2422" t="str">
        <f>IF(ISNA(INDEX(PoderesDeCriatura_Adquiridos,MATCH(O$2236&amp;$A16,Principal!$U$42:$U$69,0))),"",IF(INDEX(Principal!$AP$42:$AP$69,MATCH(O$2236&amp;$A16,Principal!$U$42:$U$69,0))&gt;0,INDEX(Principal!$AF$42:$AF$69,MATCH(O$2236&amp;$A16,Principal!$U$42:$U$69,0)),INDEX(PoderesDeCriatura_Adquiridos,MATCH(O$2236&amp;$A16,Principal!$U$42:$U$69,0))))</f>
        <v/>
      </c>
      <c r="Q2253" s="218" t="str">
        <f t="shared" si="445"/>
        <v/>
      </c>
      <c r="R2253" s="2421" t="str">
        <f>IF(ISNA(INDEX(PoderesDeCriatura_AdquiridosNombres,MATCH(R$2236&amp;$A16,Principal!$U$42:$U$69,0))),"",INDEX(PoderesDeCriatura_AdquiridosNombres,MATCH(R$2236&amp;$A16,Principal!$U$42:$U$69,0)))</f>
        <v/>
      </c>
      <c r="S2253" s="2422" t="str">
        <f>IF(ISNA(INDEX(PoderesDeCriatura_Adquiridos,MATCH(R$2236&amp;$A16,Principal!$U$42:$U$69,0))),"",IF(INDEX(Principal!$AP$42:$AP$69,MATCH(R$2236&amp;$A16,Principal!$U$42:$U$69,0))&gt;0,INDEX(Principal!$AF$42:$AF$69,MATCH(R$2236&amp;$A16,Principal!$U$42:$U$69,0)),INDEX(PoderesDeCriatura_Adquiridos,MATCH(R$2236&amp;$A16,Principal!$U$42:$U$69,0))))</f>
        <v/>
      </c>
      <c r="T2253" s="218" t="str">
        <f t="shared" si="446"/>
        <v/>
      </c>
      <c r="U2253" s="2421" t="str">
        <f>IF(ISNA(INDEX(PoderesDeCriatura_AdquiridosNombres,MATCH(U$2236&amp;$A16,Principal!$U$42:$U$69,0))),"",INDEX(PoderesDeCriatura_AdquiridosNombres,MATCH(U$2236&amp;$A16,Principal!$U$42:$U$69,0)))</f>
        <v/>
      </c>
      <c r="V2253" s="2422" t="str">
        <f>IF(ISNA(INDEX(PoderesDeCriatura_Adquiridos,MATCH(U$2236&amp;$A16,Principal!$U$42:$U$69,0))),"",IF(INDEX(Principal!$AP$42:$AP$69,MATCH(U$2236&amp;$A16,Principal!$U$42:$U$69,0))&gt;0,INDEX(Principal!$AF$42:$AF$69,MATCH(U$2236&amp;$A16,Principal!$U$42:$U$69,0)),INDEX(PoderesDeCriatura_Adquiridos,MATCH(U$2236&amp;$A16,Principal!$U$42:$U$69,0))))</f>
        <v/>
      </c>
      <c r="W2253" s="218" t="str">
        <f t="shared" si="447"/>
        <v/>
      </c>
      <c r="X2253" s="2421" t="str">
        <f>IF(ISNA(INDEX(PoderesDeCriatura_AdquiridosNombres,MATCH(X$2236&amp;$A16,Principal!$U$42:$U$69,0))),"",INDEX(PoderesDeCriatura_AdquiridosNombres,MATCH(X$2236&amp;$A16,Principal!$U$42:$U$69,0)))</f>
        <v/>
      </c>
      <c r="Y2253" s="2422" t="str">
        <f>IF(ISNA(INDEX(PoderesDeCriatura_Adquiridos,MATCH(X$2236&amp;$A16,Principal!$U$42:$U$69,0))),"",IF(INDEX(Principal!$AP$42:$AP$69,MATCH(X$2236&amp;$A16,Principal!$U$42:$U$69,0))&gt;0,INDEX(Principal!$AF$42:$AF$69,MATCH(X$2236&amp;$A16,Principal!$U$42:$U$69,0)),INDEX(PoderesDeCriatura_Adquiridos,MATCH(X$2236&amp;$A16,Principal!$U$42:$U$69,0))))</f>
        <v/>
      </c>
      <c r="Z2253" s="218" t="str">
        <f t="shared" si="448"/>
        <v/>
      </c>
      <c r="AA2253" s="2421" t="str">
        <f>IF(ISNA(INDEX(PoderesDeCriatura_AdquiridosNombres,MATCH(AA$2236&amp;$A16,Principal!$U$42:$U$69,0))),"",INDEX(PoderesDeCriatura_AdquiridosNombres,MATCH(AA$2236&amp;$A16,Principal!$U$42:$U$69,0)))</f>
        <v/>
      </c>
      <c r="AB2253" s="2422" t="str">
        <f>IF(ISNA(INDEX(PoderesDeCriatura_Adquiridos,MATCH(AA$2236&amp;$A16,Principal!$U$42:$U$69,0))),"",IF(INDEX(Principal!$AP$42:$AP$69,MATCH(AA$2236&amp;$A16,Principal!$U$42:$U$69,0))&gt;0,INDEX(Principal!$AF$42:$AF$69,MATCH(AA$2236&amp;$A16,Principal!$U$42:$U$69,0)),INDEX(PoderesDeCriatura_Adquiridos,MATCH(AA$2236&amp;$A16,Principal!$U$42:$U$69,0))))</f>
        <v/>
      </c>
      <c r="AC2253" s="218" t="str">
        <f t="shared" si="449"/>
        <v/>
      </c>
      <c r="AD2253" s="2421" t="str">
        <f>IF(ISNA(INDEX(PoderesDeCriatura_AdquiridosNombres,MATCH(AD$2236&amp;$A16,Principal!$U$42:$U$69,0))),"",INDEX(PoderesDeCriatura_AdquiridosNombres,MATCH(AD$2236&amp;$A16,Principal!$U$42:$U$69,0)))</f>
        <v/>
      </c>
      <c r="AE2253" s="2422" t="str">
        <f>IF(ISNA(INDEX(PoderesDeCriatura_Adquiridos,MATCH(AD$2236&amp;$A16,Principal!$U$42:$U$69,0))),"",IF(INDEX(Principal!$AP$42:$AP$69,MATCH(AD$2236&amp;$A16,Principal!$U$42:$U$69,0))&gt;0,INDEX(Principal!$AF$42:$AF$69,MATCH(AD$2236&amp;$A16,Principal!$U$42:$U$69,0)),INDEX(PoderesDeCriatura_Adquiridos,MATCH(AD$2236&amp;$A16,Principal!$U$42:$U$69,0))))</f>
        <v/>
      </c>
      <c r="AF2253" s="218" t="str">
        <f t="shared" si="450"/>
        <v/>
      </c>
      <c r="AG2253" s="2421" t="str">
        <f>IF(ISNA(INDEX(PoderesDeCriatura_AdquiridosNombres,MATCH(AG$2236&amp;$A16,Principal!$U$42:$U$69,0))),"",INDEX(PoderesDeCriatura_AdquiridosNombres,MATCH(AG$2236&amp;$A16,Principal!$U$42:$U$69,0)))</f>
        <v/>
      </c>
      <c r="AH2253" s="2422" t="str">
        <f>IF(ISNA(INDEX(PoderesDeCriatura_Adquiridos,MATCH(AG$2236&amp;$A16,Principal!$U$42:$U$69,0))),"",IF(INDEX(Principal!$AP$42:$AP$69,MATCH(AG$2236&amp;$A16,Principal!$U$42:$U$69,0))&gt;0,INDEX(Principal!$AF$42:$AF$69,MATCH(AG$2236&amp;$A16,Principal!$U$42:$U$69,0)),INDEX(PoderesDeCriatura_Adquiridos,MATCH(AG$2236&amp;$A16,Principal!$U$42:$U$69,0))))</f>
        <v/>
      </c>
      <c r="AI2253" s="218" t="str">
        <f t="shared" si="451"/>
        <v/>
      </c>
      <c r="AJ2253" s="2421" t="str">
        <f>IF(ISNA(INDEX(PoderesDeCriatura_AdquiridosNombres,MATCH(AJ$2236&amp;$A16,Principal!$U$42:$U$69,0))),"",INDEX(PoderesDeCriatura_AdquiridosNombres,MATCH(AJ$2236&amp;$A16,Principal!$U$42:$U$69,0)))</f>
        <v/>
      </c>
      <c r="AK2253" s="2422" t="str">
        <f>IF(ISNA(INDEX(PoderesDeCriatura_Adquiridos,MATCH(AJ$2236&amp;$A16,Principal!$U$42:$U$69,0))),"",IF(INDEX(Principal!$AP$42:$AP$69,MATCH(AJ$2236&amp;$A16,Principal!$U$42:$U$69,0))&gt;0,INDEX(Principal!$AF$42:$AF$69,MATCH(AJ$2236&amp;$A16,Principal!$U$42:$U$69,0)),INDEX(PoderesDeCriatura_Adquiridos,MATCH(AJ$2236&amp;$A16,Principal!$U$42:$U$69,0))))</f>
        <v/>
      </c>
      <c r="AL2253" s="218" t="str">
        <f t="shared" si="452"/>
        <v/>
      </c>
      <c r="AM2253" s="2421" t="str">
        <f>IF(ISNA(INDEX(PoderesDeCriatura_AdquiridosNombres,MATCH(AM$2236&amp;$A16,Principal!$U$42:$U$69,0))),"",INDEX(PoderesDeCriatura_AdquiridosNombres,MATCH(AM$2236&amp;$A16,Principal!$U$42:$U$69,0)))</f>
        <v/>
      </c>
      <c r="AN2253" s="2422" t="str">
        <f>IF(ISNA(INDEX(PoderesDeCriatura_Adquiridos,MATCH(AM$2236&amp;$A16,Principal!$U$42:$U$69,0))),"",IF(INDEX(Principal!$AP$42:$AP$69,MATCH(AM$2236&amp;$A16,Principal!$U$42:$U$69,0))&gt;0,INDEX(Principal!$AF$42:$AF$69,MATCH(AM$2236&amp;$A16,Principal!$U$42:$U$69,0)),INDEX(PoderesDeCriatura_Adquiridos,MATCH(AM$2236&amp;$A16,Principal!$U$42:$U$69,0))))</f>
        <v/>
      </c>
      <c r="AO2253" s="761" t="str">
        <f t="shared" si="453"/>
        <v/>
      </c>
      <c r="AP2253" s="758" t="str">
        <f>IF(OR(AQ2253=0,ISNUMBER(MATCH(AQ2253,$AQ$2239:$AQ2252,0))),"",MAX($AP$2238:AP2252)+1)</f>
        <v/>
      </c>
      <c r="AQ2253" s="1174">
        <f>Principal!V56</f>
        <v>0</v>
      </c>
    </row>
    <row r="2254" spans="1:43" ht="12.75" customHeight="1">
      <c r="A2254" s="219">
        <v>2148</v>
      </c>
      <c r="B2254" s="7145"/>
      <c r="J2254" s="750" t="str">
        <f>IF(ISNA(VLOOKUP(A18,Principal!$S$42:$AH$69,10,FALSE)),"",IF(VLOOKUP(A18,Principal!$S$42:$AH$69,10,FALSE)=0,"",INDEX(PoderesDeCriatura_Adquiridos,MATCH(A18,Principal!$S$42:$S$69,0))))</f>
        <v/>
      </c>
      <c r="K2254" s="218" t="str">
        <f>IF(AND(COUNTA($K$2237:K2253)-COUNTBLANK($K$2237:K2253)&gt;0,J2254&lt;&gt;""),", ","")&amp;J2254</f>
        <v/>
      </c>
      <c r="L2254" s="2421" t="str">
        <f>IF(ISNA(INDEX(PoderesDeCriatura_AdquiridosNombres,MATCH(L$2236&amp;$A17,Principal!$U$42:$U$69,0))),"",INDEX(PoderesDeCriatura_AdquiridosNombres,MATCH(L$2236&amp;$A17,Principal!$U$42:$U$69,0)))</f>
        <v/>
      </c>
      <c r="M2254" s="2422" t="str">
        <f>IF(ISNA(INDEX(PoderesDeCriatura_Adquiridos,MATCH(L$2236&amp;$A17,Principal!$U$42:$U$69,0))),"",IF(INDEX(Principal!$AP$42:$AP$69,MATCH(L$2236&amp;$A17,Principal!$U$42:$U$69,0))&gt;0,INDEX(Principal!$AF$42:$AF$69,MATCH(L$2236&amp;$A17,Principal!$U$42:$U$69,0)),INDEX(PoderesDeCriatura_Adquiridos,MATCH(L$2236&amp;$A17,Principal!$U$42:$U$69,0))))</f>
        <v/>
      </c>
      <c r="N2254" s="218" t="str">
        <f t="shared" si="444"/>
        <v/>
      </c>
      <c r="O2254" s="2421" t="str">
        <f>IF(ISNA(INDEX(PoderesDeCriatura_AdquiridosNombres,MATCH(O$2236&amp;$A17,Principal!$U$42:$U$69,0))),"",INDEX(PoderesDeCriatura_AdquiridosNombres,MATCH(O$2236&amp;$A17,Principal!$U$42:$U$69,0)))</f>
        <v/>
      </c>
      <c r="P2254" s="2422" t="str">
        <f>IF(ISNA(INDEX(PoderesDeCriatura_Adquiridos,MATCH(O$2236&amp;$A17,Principal!$U$42:$U$69,0))),"",IF(INDEX(Principal!$AP$42:$AP$69,MATCH(O$2236&amp;$A17,Principal!$U$42:$U$69,0))&gt;0,INDEX(Principal!$AF$42:$AF$69,MATCH(O$2236&amp;$A17,Principal!$U$42:$U$69,0)),INDEX(PoderesDeCriatura_Adquiridos,MATCH(O$2236&amp;$A17,Principal!$U$42:$U$69,0))))</f>
        <v/>
      </c>
      <c r="Q2254" s="218" t="str">
        <f t="shared" si="445"/>
        <v/>
      </c>
      <c r="R2254" s="2421" t="str">
        <f>IF(ISNA(INDEX(PoderesDeCriatura_AdquiridosNombres,MATCH(R$2236&amp;$A17,Principal!$U$42:$U$69,0))),"",INDEX(PoderesDeCriatura_AdquiridosNombres,MATCH(R$2236&amp;$A17,Principal!$U$42:$U$69,0)))</f>
        <v/>
      </c>
      <c r="S2254" s="2422" t="str">
        <f>IF(ISNA(INDEX(PoderesDeCriatura_Adquiridos,MATCH(R$2236&amp;$A17,Principal!$U$42:$U$69,0))),"",IF(INDEX(Principal!$AP$42:$AP$69,MATCH(R$2236&amp;$A17,Principal!$U$42:$U$69,0))&gt;0,INDEX(Principal!$AF$42:$AF$69,MATCH(R$2236&amp;$A17,Principal!$U$42:$U$69,0)),INDEX(PoderesDeCriatura_Adquiridos,MATCH(R$2236&amp;$A17,Principal!$U$42:$U$69,0))))</f>
        <v/>
      </c>
      <c r="T2254" s="218" t="str">
        <f t="shared" si="446"/>
        <v/>
      </c>
      <c r="U2254" s="2421" t="str">
        <f>IF(ISNA(INDEX(PoderesDeCriatura_AdquiridosNombres,MATCH(U$2236&amp;$A17,Principal!$U$42:$U$69,0))),"",INDEX(PoderesDeCriatura_AdquiridosNombres,MATCH(U$2236&amp;$A17,Principal!$U$42:$U$69,0)))</f>
        <v/>
      </c>
      <c r="V2254" s="2422" t="str">
        <f>IF(ISNA(INDEX(PoderesDeCriatura_Adquiridos,MATCH(U$2236&amp;$A17,Principal!$U$42:$U$69,0))),"",IF(INDEX(Principal!$AP$42:$AP$69,MATCH(U$2236&amp;$A17,Principal!$U$42:$U$69,0))&gt;0,INDEX(Principal!$AF$42:$AF$69,MATCH(U$2236&amp;$A17,Principal!$U$42:$U$69,0)),INDEX(PoderesDeCriatura_Adquiridos,MATCH(U$2236&amp;$A17,Principal!$U$42:$U$69,0))))</f>
        <v/>
      </c>
      <c r="W2254" s="218" t="str">
        <f t="shared" si="447"/>
        <v/>
      </c>
      <c r="X2254" s="2421" t="str">
        <f>IF(ISNA(INDEX(PoderesDeCriatura_AdquiridosNombres,MATCH(X$2236&amp;$A17,Principal!$U$42:$U$69,0))),"",INDEX(PoderesDeCriatura_AdquiridosNombres,MATCH(X$2236&amp;$A17,Principal!$U$42:$U$69,0)))</f>
        <v/>
      </c>
      <c r="Y2254" s="2422" t="str">
        <f>IF(ISNA(INDEX(PoderesDeCriatura_Adquiridos,MATCH(X$2236&amp;$A17,Principal!$U$42:$U$69,0))),"",IF(INDEX(Principal!$AP$42:$AP$69,MATCH(X$2236&amp;$A17,Principal!$U$42:$U$69,0))&gt;0,INDEX(Principal!$AF$42:$AF$69,MATCH(X$2236&amp;$A17,Principal!$U$42:$U$69,0)),INDEX(PoderesDeCriatura_Adquiridos,MATCH(X$2236&amp;$A17,Principal!$U$42:$U$69,0))))</f>
        <v/>
      </c>
      <c r="Z2254" s="218" t="str">
        <f t="shared" si="448"/>
        <v/>
      </c>
      <c r="AA2254" s="2421" t="str">
        <f>IF(ISNA(INDEX(PoderesDeCriatura_AdquiridosNombres,MATCH(AA$2236&amp;$A17,Principal!$U$42:$U$69,0))),"",INDEX(PoderesDeCriatura_AdquiridosNombres,MATCH(AA$2236&amp;$A17,Principal!$U$42:$U$69,0)))</f>
        <v/>
      </c>
      <c r="AB2254" s="2422" t="str">
        <f>IF(ISNA(INDEX(PoderesDeCriatura_Adquiridos,MATCH(AA$2236&amp;$A17,Principal!$U$42:$U$69,0))),"",IF(INDEX(Principal!$AP$42:$AP$69,MATCH(AA$2236&amp;$A17,Principal!$U$42:$U$69,0))&gt;0,INDEX(Principal!$AF$42:$AF$69,MATCH(AA$2236&amp;$A17,Principal!$U$42:$U$69,0)),INDEX(PoderesDeCriatura_Adquiridos,MATCH(AA$2236&amp;$A17,Principal!$U$42:$U$69,0))))</f>
        <v/>
      </c>
      <c r="AC2254" s="218" t="str">
        <f t="shared" si="449"/>
        <v/>
      </c>
      <c r="AD2254" s="2421" t="str">
        <f>IF(ISNA(INDEX(PoderesDeCriatura_AdquiridosNombres,MATCH(AD$2236&amp;$A17,Principal!$U$42:$U$69,0))),"",INDEX(PoderesDeCriatura_AdquiridosNombres,MATCH(AD$2236&amp;$A17,Principal!$U$42:$U$69,0)))</f>
        <v/>
      </c>
      <c r="AE2254" s="2422" t="str">
        <f>IF(ISNA(INDEX(PoderesDeCriatura_Adquiridos,MATCH(AD$2236&amp;$A17,Principal!$U$42:$U$69,0))),"",IF(INDEX(Principal!$AP$42:$AP$69,MATCH(AD$2236&amp;$A17,Principal!$U$42:$U$69,0))&gt;0,INDEX(Principal!$AF$42:$AF$69,MATCH(AD$2236&amp;$A17,Principal!$U$42:$U$69,0)),INDEX(PoderesDeCriatura_Adquiridos,MATCH(AD$2236&amp;$A17,Principal!$U$42:$U$69,0))))</f>
        <v/>
      </c>
      <c r="AF2254" s="218" t="str">
        <f t="shared" si="450"/>
        <v/>
      </c>
      <c r="AG2254" s="2421" t="str">
        <f>IF(ISNA(INDEX(PoderesDeCriatura_AdquiridosNombres,MATCH(AG$2236&amp;$A17,Principal!$U$42:$U$69,0))),"",INDEX(PoderesDeCriatura_AdquiridosNombres,MATCH(AG$2236&amp;$A17,Principal!$U$42:$U$69,0)))</f>
        <v/>
      </c>
      <c r="AH2254" s="2422" t="str">
        <f>IF(ISNA(INDEX(PoderesDeCriatura_Adquiridos,MATCH(AG$2236&amp;$A17,Principal!$U$42:$U$69,0))),"",IF(INDEX(Principal!$AP$42:$AP$69,MATCH(AG$2236&amp;$A17,Principal!$U$42:$U$69,0))&gt;0,INDEX(Principal!$AF$42:$AF$69,MATCH(AG$2236&amp;$A17,Principal!$U$42:$U$69,0)),INDEX(PoderesDeCriatura_Adquiridos,MATCH(AG$2236&amp;$A17,Principal!$U$42:$U$69,0))))</f>
        <v/>
      </c>
      <c r="AI2254" s="218" t="str">
        <f t="shared" si="451"/>
        <v/>
      </c>
      <c r="AJ2254" s="2421" t="str">
        <f>IF(ISNA(INDEX(PoderesDeCriatura_AdquiridosNombres,MATCH(AJ$2236&amp;$A17,Principal!$U$42:$U$69,0))),"",INDEX(PoderesDeCriatura_AdquiridosNombres,MATCH(AJ$2236&amp;$A17,Principal!$U$42:$U$69,0)))</f>
        <v/>
      </c>
      <c r="AK2254" s="2422" t="str">
        <f>IF(ISNA(INDEX(PoderesDeCriatura_Adquiridos,MATCH(AJ$2236&amp;$A17,Principal!$U$42:$U$69,0))),"",IF(INDEX(Principal!$AP$42:$AP$69,MATCH(AJ$2236&amp;$A17,Principal!$U$42:$U$69,0))&gt;0,INDEX(Principal!$AF$42:$AF$69,MATCH(AJ$2236&amp;$A17,Principal!$U$42:$U$69,0)),INDEX(PoderesDeCriatura_Adquiridos,MATCH(AJ$2236&amp;$A17,Principal!$U$42:$U$69,0))))</f>
        <v/>
      </c>
      <c r="AL2254" s="218" t="str">
        <f t="shared" si="452"/>
        <v/>
      </c>
      <c r="AM2254" s="2421" t="str">
        <f>IF(ISNA(INDEX(PoderesDeCriatura_AdquiridosNombres,MATCH(AM$2236&amp;$A17,Principal!$U$42:$U$69,0))),"",INDEX(PoderesDeCriatura_AdquiridosNombres,MATCH(AM$2236&amp;$A17,Principal!$U$42:$U$69,0)))</f>
        <v/>
      </c>
      <c r="AN2254" s="2422" t="str">
        <f>IF(ISNA(INDEX(PoderesDeCriatura_Adquiridos,MATCH(AM$2236&amp;$A17,Principal!$U$42:$U$69,0))),"",IF(INDEX(Principal!$AP$42:$AP$69,MATCH(AM$2236&amp;$A17,Principal!$U$42:$U$69,0))&gt;0,INDEX(Principal!$AF$42:$AF$69,MATCH(AM$2236&amp;$A17,Principal!$U$42:$U$69,0)),INDEX(PoderesDeCriatura_Adquiridos,MATCH(AM$2236&amp;$A17,Principal!$U$42:$U$69,0))))</f>
        <v/>
      </c>
      <c r="AO2254" s="761" t="str">
        <f t="shared" si="453"/>
        <v/>
      </c>
      <c r="AP2254" s="758" t="str">
        <f>IF(OR(AQ2254=0,ISNUMBER(MATCH(AQ2254,$AQ$2239:$AQ2253,0))),"",MAX($AP$2238:AP2253)+1)</f>
        <v/>
      </c>
      <c r="AQ2254" s="1174">
        <f>Principal!V57</f>
        <v>0</v>
      </c>
    </row>
    <row r="2255" spans="1:43" ht="12.75" customHeight="1">
      <c r="A2255" s="219">
        <v>2149</v>
      </c>
      <c r="B2255" s="7145"/>
      <c r="J2255" s="750" t="str">
        <f>IF(ISNA(VLOOKUP(A19,Principal!$S$42:$AH$69,10,FALSE)),"",IF(VLOOKUP(A19,Principal!$S$42:$AH$69,10,FALSE)=0,"",INDEX(PoderesDeCriatura_Adquiridos,MATCH(A19,Principal!$S$42:$S$69,0))))</f>
        <v/>
      </c>
      <c r="K2255" s="218" t="str">
        <f>IF(AND(COUNTA($K$2237:K2254)-COUNTBLANK($K$2237:K2254)&gt;0,J2255&lt;&gt;""),", ","")&amp;J2255</f>
        <v/>
      </c>
      <c r="L2255" s="2421" t="str">
        <f>IF(ISNA(INDEX(PoderesDeCriatura_AdquiridosNombres,MATCH(L$2236&amp;$A18,Principal!$U$42:$U$69,0))),"",INDEX(PoderesDeCriatura_AdquiridosNombres,MATCH(L$2236&amp;$A18,Principal!$U$42:$U$69,0)))</f>
        <v/>
      </c>
      <c r="M2255" s="2422" t="str">
        <f>IF(ISNA(INDEX(PoderesDeCriatura_Adquiridos,MATCH(L$2236&amp;$A18,Principal!$U$42:$U$69,0))),"",IF(INDEX(Principal!$AP$42:$AP$69,MATCH(L$2236&amp;$A18,Principal!$U$42:$U$69,0))&gt;0,INDEX(Principal!$AF$42:$AF$69,MATCH(L$2236&amp;$A18,Principal!$U$42:$U$69,0)),INDEX(PoderesDeCriatura_Adquiridos,MATCH(L$2236&amp;$A18,Principal!$U$42:$U$69,0))))</f>
        <v/>
      </c>
      <c r="N2255" s="218" t="str">
        <f t="shared" si="444"/>
        <v/>
      </c>
      <c r="O2255" s="2421" t="str">
        <f>IF(ISNA(INDEX(PoderesDeCriatura_AdquiridosNombres,MATCH(O$2236&amp;$A18,Principal!$U$42:$U$69,0))),"",INDEX(PoderesDeCriatura_AdquiridosNombres,MATCH(O$2236&amp;$A18,Principal!$U$42:$U$69,0)))</f>
        <v/>
      </c>
      <c r="P2255" s="2422" t="str">
        <f>IF(ISNA(INDEX(PoderesDeCriatura_Adquiridos,MATCH(O$2236&amp;$A18,Principal!$U$42:$U$69,0))),"",IF(INDEX(Principal!$AP$42:$AP$69,MATCH(O$2236&amp;$A18,Principal!$U$42:$U$69,0))&gt;0,INDEX(Principal!$AF$42:$AF$69,MATCH(O$2236&amp;$A18,Principal!$U$42:$U$69,0)),INDEX(PoderesDeCriatura_Adquiridos,MATCH(O$2236&amp;$A18,Principal!$U$42:$U$69,0))))</f>
        <v/>
      </c>
      <c r="Q2255" s="218" t="str">
        <f t="shared" si="445"/>
        <v/>
      </c>
      <c r="R2255" s="2421" t="str">
        <f>IF(ISNA(INDEX(PoderesDeCriatura_AdquiridosNombres,MATCH(R$2236&amp;$A18,Principal!$U$42:$U$69,0))),"",INDEX(PoderesDeCriatura_AdquiridosNombres,MATCH(R$2236&amp;$A18,Principal!$U$42:$U$69,0)))</f>
        <v/>
      </c>
      <c r="S2255" s="2422" t="str">
        <f>IF(ISNA(INDEX(PoderesDeCriatura_Adquiridos,MATCH(R$2236&amp;$A18,Principal!$U$42:$U$69,0))),"",IF(INDEX(Principal!$AP$42:$AP$69,MATCH(R$2236&amp;$A18,Principal!$U$42:$U$69,0))&gt;0,INDEX(Principal!$AF$42:$AF$69,MATCH(R$2236&amp;$A18,Principal!$U$42:$U$69,0)),INDEX(PoderesDeCriatura_Adquiridos,MATCH(R$2236&amp;$A18,Principal!$U$42:$U$69,0))))</f>
        <v/>
      </c>
      <c r="T2255" s="218" t="str">
        <f t="shared" si="446"/>
        <v/>
      </c>
      <c r="U2255" s="2421" t="str">
        <f>IF(ISNA(INDEX(PoderesDeCriatura_AdquiridosNombres,MATCH(U$2236&amp;$A18,Principal!$U$42:$U$69,0))),"",INDEX(PoderesDeCriatura_AdquiridosNombres,MATCH(U$2236&amp;$A18,Principal!$U$42:$U$69,0)))</f>
        <v/>
      </c>
      <c r="V2255" s="2422" t="str">
        <f>IF(ISNA(INDEX(PoderesDeCriatura_Adquiridos,MATCH(U$2236&amp;$A18,Principal!$U$42:$U$69,0))),"",IF(INDEX(Principal!$AP$42:$AP$69,MATCH(U$2236&amp;$A18,Principal!$U$42:$U$69,0))&gt;0,INDEX(Principal!$AF$42:$AF$69,MATCH(U$2236&amp;$A18,Principal!$U$42:$U$69,0)),INDEX(PoderesDeCriatura_Adquiridos,MATCH(U$2236&amp;$A18,Principal!$U$42:$U$69,0))))</f>
        <v/>
      </c>
      <c r="W2255" s="218" t="str">
        <f t="shared" si="447"/>
        <v/>
      </c>
      <c r="X2255" s="2421" t="str">
        <f>IF(ISNA(INDEX(PoderesDeCriatura_AdquiridosNombres,MATCH(X$2236&amp;$A18,Principal!$U$42:$U$69,0))),"",INDEX(PoderesDeCriatura_AdquiridosNombres,MATCH(X$2236&amp;$A18,Principal!$U$42:$U$69,0)))</f>
        <v/>
      </c>
      <c r="Y2255" s="2422" t="str">
        <f>IF(ISNA(INDEX(PoderesDeCriatura_Adquiridos,MATCH(X$2236&amp;$A18,Principal!$U$42:$U$69,0))),"",IF(INDEX(Principal!$AP$42:$AP$69,MATCH(X$2236&amp;$A18,Principal!$U$42:$U$69,0))&gt;0,INDEX(Principal!$AF$42:$AF$69,MATCH(X$2236&amp;$A18,Principal!$U$42:$U$69,0)),INDEX(PoderesDeCriatura_Adquiridos,MATCH(X$2236&amp;$A18,Principal!$U$42:$U$69,0))))</f>
        <v/>
      </c>
      <c r="Z2255" s="218" t="str">
        <f t="shared" si="448"/>
        <v/>
      </c>
      <c r="AA2255" s="2421" t="str">
        <f>IF(ISNA(INDEX(PoderesDeCriatura_AdquiridosNombres,MATCH(AA$2236&amp;$A18,Principal!$U$42:$U$69,0))),"",INDEX(PoderesDeCriatura_AdquiridosNombres,MATCH(AA$2236&amp;$A18,Principal!$U$42:$U$69,0)))</f>
        <v/>
      </c>
      <c r="AB2255" s="2422" t="str">
        <f>IF(ISNA(INDEX(PoderesDeCriatura_Adquiridos,MATCH(AA$2236&amp;$A18,Principal!$U$42:$U$69,0))),"",IF(INDEX(Principal!$AP$42:$AP$69,MATCH(AA$2236&amp;$A18,Principal!$U$42:$U$69,0))&gt;0,INDEX(Principal!$AF$42:$AF$69,MATCH(AA$2236&amp;$A18,Principal!$U$42:$U$69,0)),INDEX(PoderesDeCriatura_Adquiridos,MATCH(AA$2236&amp;$A18,Principal!$U$42:$U$69,0))))</f>
        <v/>
      </c>
      <c r="AC2255" s="218" t="str">
        <f t="shared" si="449"/>
        <v/>
      </c>
      <c r="AD2255" s="2421" t="str">
        <f>IF(ISNA(INDEX(PoderesDeCriatura_AdquiridosNombres,MATCH(AD$2236&amp;$A18,Principal!$U$42:$U$69,0))),"",INDEX(PoderesDeCriatura_AdquiridosNombres,MATCH(AD$2236&amp;$A18,Principal!$U$42:$U$69,0)))</f>
        <v/>
      </c>
      <c r="AE2255" s="2422" t="str">
        <f>IF(ISNA(INDEX(PoderesDeCriatura_Adquiridos,MATCH(AD$2236&amp;$A18,Principal!$U$42:$U$69,0))),"",IF(INDEX(Principal!$AP$42:$AP$69,MATCH(AD$2236&amp;$A18,Principal!$U$42:$U$69,0))&gt;0,INDEX(Principal!$AF$42:$AF$69,MATCH(AD$2236&amp;$A18,Principal!$U$42:$U$69,0)),INDEX(PoderesDeCriatura_Adquiridos,MATCH(AD$2236&amp;$A18,Principal!$U$42:$U$69,0))))</f>
        <v/>
      </c>
      <c r="AF2255" s="218" t="str">
        <f t="shared" si="450"/>
        <v/>
      </c>
      <c r="AG2255" s="2421" t="str">
        <f>IF(ISNA(INDEX(PoderesDeCriatura_AdquiridosNombres,MATCH(AG$2236&amp;$A18,Principal!$U$42:$U$69,0))),"",INDEX(PoderesDeCriatura_AdquiridosNombres,MATCH(AG$2236&amp;$A18,Principal!$U$42:$U$69,0)))</f>
        <v/>
      </c>
      <c r="AH2255" s="2422" t="str">
        <f>IF(ISNA(INDEX(PoderesDeCriatura_Adquiridos,MATCH(AG$2236&amp;$A18,Principal!$U$42:$U$69,0))),"",IF(INDEX(Principal!$AP$42:$AP$69,MATCH(AG$2236&amp;$A18,Principal!$U$42:$U$69,0))&gt;0,INDEX(Principal!$AF$42:$AF$69,MATCH(AG$2236&amp;$A18,Principal!$U$42:$U$69,0)),INDEX(PoderesDeCriatura_Adquiridos,MATCH(AG$2236&amp;$A18,Principal!$U$42:$U$69,0))))</f>
        <v/>
      </c>
      <c r="AI2255" s="218" t="str">
        <f t="shared" si="451"/>
        <v/>
      </c>
      <c r="AJ2255" s="2421" t="str">
        <f>IF(ISNA(INDEX(PoderesDeCriatura_AdquiridosNombres,MATCH(AJ$2236&amp;$A18,Principal!$U$42:$U$69,0))),"",INDEX(PoderesDeCriatura_AdquiridosNombres,MATCH(AJ$2236&amp;$A18,Principal!$U$42:$U$69,0)))</f>
        <v/>
      </c>
      <c r="AK2255" s="2422" t="str">
        <f>IF(ISNA(INDEX(PoderesDeCriatura_Adquiridos,MATCH(AJ$2236&amp;$A18,Principal!$U$42:$U$69,0))),"",IF(INDEX(Principal!$AP$42:$AP$69,MATCH(AJ$2236&amp;$A18,Principal!$U$42:$U$69,0))&gt;0,INDEX(Principal!$AF$42:$AF$69,MATCH(AJ$2236&amp;$A18,Principal!$U$42:$U$69,0)),INDEX(PoderesDeCriatura_Adquiridos,MATCH(AJ$2236&amp;$A18,Principal!$U$42:$U$69,0))))</f>
        <v/>
      </c>
      <c r="AL2255" s="218" t="str">
        <f t="shared" si="452"/>
        <v/>
      </c>
      <c r="AM2255" s="2421" t="str">
        <f>IF(ISNA(INDEX(PoderesDeCriatura_AdquiridosNombres,MATCH(AM$2236&amp;$A18,Principal!$U$42:$U$69,0))),"",INDEX(PoderesDeCriatura_AdquiridosNombres,MATCH(AM$2236&amp;$A18,Principal!$U$42:$U$69,0)))</f>
        <v/>
      </c>
      <c r="AN2255" s="2422" t="str">
        <f>IF(ISNA(INDEX(PoderesDeCriatura_Adquiridos,MATCH(AM$2236&amp;$A18,Principal!$U$42:$U$69,0))),"",IF(INDEX(Principal!$AP$42:$AP$69,MATCH(AM$2236&amp;$A18,Principal!$U$42:$U$69,0))&gt;0,INDEX(Principal!$AF$42:$AF$69,MATCH(AM$2236&amp;$A18,Principal!$U$42:$U$69,0)),INDEX(PoderesDeCriatura_Adquiridos,MATCH(AM$2236&amp;$A18,Principal!$U$42:$U$69,0))))</f>
        <v/>
      </c>
      <c r="AO2255" s="761" t="str">
        <f t="shared" si="453"/>
        <v/>
      </c>
      <c r="AP2255" s="758" t="str">
        <f>IF(OR(AQ2255=0,ISNUMBER(MATCH(AQ2255,$AQ$2239:$AQ2254,0))),"",MAX($AP$2238:AP2254)+1)</f>
        <v/>
      </c>
      <c r="AQ2255" s="1174">
        <f>Principal!V58</f>
        <v>0</v>
      </c>
    </row>
    <row r="2256" spans="1:43" ht="12.75" customHeight="1">
      <c r="A2256" s="219">
        <v>2150</v>
      </c>
      <c r="B2256" s="7145"/>
      <c r="J2256" s="750" t="str">
        <f>IF(ISNA(VLOOKUP(A20,Principal!$S$42:$AH$69,10,FALSE)),"",IF(VLOOKUP(A20,Principal!$S$42:$AH$69,10,FALSE)=0,"",INDEX(PoderesDeCriatura_Adquiridos,MATCH(A20,Principal!$S$42:$S$69,0))))</f>
        <v/>
      </c>
      <c r="K2256" s="218" t="str">
        <f>IF(AND(COUNTA($K$2237:K2255)-COUNTBLANK($K$2237:K2255)&gt;0,J2256&lt;&gt;""),", ","")&amp;J2256</f>
        <v/>
      </c>
      <c r="L2256" s="2421" t="str">
        <f>IF(ISNA(INDEX(PoderesDeCriatura_AdquiridosNombres,MATCH(L$2236&amp;$A19,Principal!$U$42:$U$69,0))),"",INDEX(PoderesDeCriatura_AdquiridosNombres,MATCH(L$2236&amp;$A19,Principal!$U$42:$U$69,0)))</f>
        <v/>
      </c>
      <c r="M2256" s="2422" t="str">
        <f>IF(ISNA(INDEX(PoderesDeCriatura_Adquiridos,MATCH(L$2236&amp;$A19,Principal!$U$42:$U$69,0))),"",IF(INDEX(Principal!$AP$42:$AP$69,MATCH(L$2236&amp;$A19,Principal!$U$42:$U$69,0))&gt;0,INDEX(Principal!$AF$42:$AF$69,MATCH(L$2236&amp;$A19,Principal!$U$42:$U$69,0)),INDEX(PoderesDeCriatura_Adquiridos,MATCH(L$2236&amp;$A19,Principal!$U$42:$U$69,0))))</f>
        <v/>
      </c>
      <c r="N2256" s="218" t="str">
        <f t="shared" si="444"/>
        <v/>
      </c>
      <c r="O2256" s="2421" t="str">
        <f>IF(ISNA(INDEX(PoderesDeCriatura_AdquiridosNombres,MATCH(O$2236&amp;$A19,Principal!$U$42:$U$69,0))),"",INDEX(PoderesDeCriatura_AdquiridosNombres,MATCH(O$2236&amp;$A19,Principal!$U$42:$U$69,0)))</f>
        <v/>
      </c>
      <c r="P2256" s="2422" t="str">
        <f>IF(ISNA(INDEX(PoderesDeCriatura_Adquiridos,MATCH(O$2236&amp;$A19,Principal!$U$42:$U$69,0))),"",IF(INDEX(Principal!$AP$42:$AP$69,MATCH(O$2236&amp;$A19,Principal!$U$42:$U$69,0))&gt;0,INDEX(Principal!$AF$42:$AF$69,MATCH(O$2236&amp;$A19,Principal!$U$42:$U$69,0)),INDEX(PoderesDeCriatura_Adquiridos,MATCH(O$2236&amp;$A19,Principal!$U$42:$U$69,0))))</f>
        <v/>
      </c>
      <c r="Q2256" s="218" t="str">
        <f t="shared" si="445"/>
        <v/>
      </c>
      <c r="R2256" s="2421" t="str">
        <f>IF(ISNA(INDEX(PoderesDeCriatura_AdquiridosNombres,MATCH(R$2236&amp;$A19,Principal!$U$42:$U$69,0))),"",INDEX(PoderesDeCriatura_AdquiridosNombres,MATCH(R$2236&amp;$A19,Principal!$U$42:$U$69,0)))</f>
        <v/>
      </c>
      <c r="S2256" s="2422" t="str">
        <f>IF(ISNA(INDEX(PoderesDeCriatura_Adquiridos,MATCH(R$2236&amp;$A19,Principal!$U$42:$U$69,0))),"",IF(INDEX(Principal!$AP$42:$AP$69,MATCH(R$2236&amp;$A19,Principal!$U$42:$U$69,0))&gt;0,INDEX(Principal!$AF$42:$AF$69,MATCH(R$2236&amp;$A19,Principal!$U$42:$U$69,0)),INDEX(PoderesDeCriatura_Adquiridos,MATCH(R$2236&amp;$A19,Principal!$U$42:$U$69,0))))</f>
        <v/>
      </c>
      <c r="T2256" s="218" t="str">
        <f t="shared" si="446"/>
        <v/>
      </c>
      <c r="U2256" s="2421" t="str">
        <f>IF(ISNA(INDEX(PoderesDeCriatura_AdquiridosNombres,MATCH(U$2236&amp;$A19,Principal!$U$42:$U$69,0))),"",INDEX(PoderesDeCriatura_AdquiridosNombres,MATCH(U$2236&amp;$A19,Principal!$U$42:$U$69,0)))</f>
        <v/>
      </c>
      <c r="V2256" s="2422" t="str">
        <f>IF(ISNA(INDEX(PoderesDeCriatura_Adquiridos,MATCH(U$2236&amp;$A19,Principal!$U$42:$U$69,0))),"",IF(INDEX(Principal!$AP$42:$AP$69,MATCH(U$2236&amp;$A19,Principal!$U$42:$U$69,0))&gt;0,INDEX(Principal!$AF$42:$AF$69,MATCH(U$2236&amp;$A19,Principal!$U$42:$U$69,0)),INDEX(PoderesDeCriatura_Adquiridos,MATCH(U$2236&amp;$A19,Principal!$U$42:$U$69,0))))</f>
        <v/>
      </c>
      <c r="W2256" s="218" t="str">
        <f t="shared" si="447"/>
        <v/>
      </c>
      <c r="X2256" s="2421" t="str">
        <f>IF(ISNA(INDEX(PoderesDeCriatura_AdquiridosNombres,MATCH(X$2236&amp;$A19,Principal!$U$42:$U$69,0))),"",INDEX(PoderesDeCriatura_AdquiridosNombres,MATCH(X$2236&amp;$A19,Principal!$U$42:$U$69,0)))</f>
        <v/>
      </c>
      <c r="Y2256" s="2422" t="str">
        <f>IF(ISNA(INDEX(PoderesDeCriatura_Adquiridos,MATCH(X$2236&amp;$A19,Principal!$U$42:$U$69,0))),"",IF(INDEX(Principal!$AP$42:$AP$69,MATCH(X$2236&amp;$A19,Principal!$U$42:$U$69,0))&gt;0,INDEX(Principal!$AF$42:$AF$69,MATCH(X$2236&amp;$A19,Principal!$U$42:$U$69,0)),INDEX(PoderesDeCriatura_Adquiridos,MATCH(X$2236&amp;$A19,Principal!$U$42:$U$69,0))))</f>
        <v/>
      </c>
      <c r="Z2256" s="218" t="str">
        <f t="shared" si="448"/>
        <v/>
      </c>
      <c r="AA2256" s="2421" t="str">
        <f>IF(ISNA(INDEX(PoderesDeCriatura_AdquiridosNombres,MATCH(AA$2236&amp;$A19,Principal!$U$42:$U$69,0))),"",INDEX(PoderesDeCriatura_AdquiridosNombres,MATCH(AA$2236&amp;$A19,Principal!$U$42:$U$69,0)))</f>
        <v/>
      </c>
      <c r="AB2256" s="2422" t="str">
        <f>IF(ISNA(INDEX(PoderesDeCriatura_Adquiridos,MATCH(AA$2236&amp;$A19,Principal!$U$42:$U$69,0))),"",IF(INDEX(Principal!$AP$42:$AP$69,MATCH(AA$2236&amp;$A19,Principal!$U$42:$U$69,0))&gt;0,INDEX(Principal!$AF$42:$AF$69,MATCH(AA$2236&amp;$A19,Principal!$U$42:$U$69,0)),INDEX(PoderesDeCriatura_Adquiridos,MATCH(AA$2236&amp;$A19,Principal!$U$42:$U$69,0))))</f>
        <v/>
      </c>
      <c r="AC2256" s="218" t="str">
        <f t="shared" si="449"/>
        <v/>
      </c>
      <c r="AD2256" s="2421" t="str">
        <f>IF(ISNA(INDEX(PoderesDeCriatura_AdquiridosNombres,MATCH(AD$2236&amp;$A19,Principal!$U$42:$U$69,0))),"",INDEX(PoderesDeCriatura_AdquiridosNombres,MATCH(AD$2236&amp;$A19,Principal!$U$42:$U$69,0)))</f>
        <v/>
      </c>
      <c r="AE2256" s="2422" t="str">
        <f>IF(ISNA(INDEX(PoderesDeCriatura_Adquiridos,MATCH(AD$2236&amp;$A19,Principal!$U$42:$U$69,0))),"",IF(INDEX(Principal!$AP$42:$AP$69,MATCH(AD$2236&amp;$A19,Principal!$U$42:$U$69,0))&gt;0,INDEX(Principal!$AF$42:$AF$69,MATCH(AD$2236&amp;$A19,Principal!$U$42:$U$69,0)),INDEX(PoderesDeCriatura_Adquiridos,MATCH(AD$2236&amp;$A19,Principal!$U$42:$U$69,0))))</f>
        <v/>
      </c>
      <c r="AF2256" s="218" t="str">
        <f t="shared" si="450"/>
        <v/>
      </c>
      <c r="AG2256" s="2421" t="str">
        <f>IF(ISNA(INDEX(PoderesDeCriatura_AdquiridosNombres,MATCH(AG$2236&amp;$A19,Principal!$U$42:$U$69,0))),"",INDEX(PoderesDeCriatura_AdquiridosNombres,MATCH(AG$2236&amp;$A19,Principal!$U$42:$U$69,0)))</f>
        <v/>
      </c>
      <c r="AH2256" s="2422" t="str">
        <f>IF(ISNA(INDEX(PoderesDeCriatura_Adquiridos,MATCH(AG$2236&amp;$A19,Principal!$U$42:$U$69,0))),"",IF(INDEX(Principal!$AP$42:$AP$69,MATCH(AG$2236&amp;$A19,Principal!$U$42:$U$69,0))&gt;0,INDEX(Principal!$AF$42:$AF$69,MATCH(AG$2236&amp;$A19,Principal!$U$42:$U$69,0)),INDEX(PoderesDeCriatura_Adquiridos,MATCH(AG$2236&amp;$A19,Principal!$U$42:$U$69,0))))</f>
        <v/>
      </c>
      <c r="AI2256" s="218" t="str">
        <f t="shared" si="451"/>
        <v/>
      </c>
      <c r="AJ2256" s="2421" t="str">
        <f>IF(ISNA(INDEX(PoderesDeCriatura_AdquiridosNombres,MATCH(AJ$2236&amp;$A19,Principal!$U$42:$U$69,0))),"",INDEX(PoderesDeCriatura_AdquiridosNombres,MATCH(AJ$2236&amp;$A19,Principal!$U$42:$U$69,0)))</f>
        <v/>
      </c>
      <c r="AK2256" s="2422" t="str">
        <f>IF(ISNA(INDEX(PoderesDeCriatura_Adquiridos,MATCH(AJ$2236&amp;$A19,Principal!$U$42:$U$69,0))),"",IF(INDEX(Principal!$AP$42:$AP$69,MATCH(AJ$2236&amp;$A19,Principal!$U$42:$U$69,0))&gt;0,INDEX(Principal!$AF$42:$AF$69,MATCH(AJ$2236&amp;$A19,Principal!$U$42:$U$69,0)),INDEX(PoderesDeCriatura_Adquiridos,MATCH(AJ$2236&amp;$A19,Principal!$U$42:$U$69,0))))</f>
        <v/>
      </c>
      <c r="AL2256" s="218" t="str">
        <f t="shared" si="452"/>
        <v/>
      </c>
      <c r="AM2256" s="2421" t="str">
        <f>IF(ISNA(INDEX(PoderesDeCriatura_AdquiridosNombres,MATCH(AM$2236&amp;$A19,Principal!$U$42:$U$69,0))),"",INDEX(PoderesDeCriatura_AdquiridosNombres,MATCH(AM$2236&amp;$A19,Principal!$U$42:$U$69,0)))</f>
        <v/>
      </c>
      <c r="AN2256" s="2422" t="str">
        <f>IF(ISNA(INDEX(PoderesDeCriatura_Adquiridos,MATCH(AM$2236&amp;$A19,Principal!$U$42:$U$69,0))),"",IF(INDEX(Principal!$AP$42:$AP$69,MATCH(AM$2236&amp;$A19,Principal!$U$42:$U$69,0))&gt;0,INDEX(Principal!$AF$42:$AF$69,MATCH(AM$2236&amp;$A19,Principal!$U$42:$U$69,0)),INDEX(PoderesDeCriatura_Adquiridos,MATCH(AM$2236&amp;$A19,Principal!$U$42:$U$69,0))))</f>
        <v/>
      </c>
      <c r="AO2256" s="761" t="str">
        <f t="shared" si="453"/>
        <v/>
      </c>
      <c r="AP2256" s="758" t="str">
        <f>IF(OR(AQ2256=0,ISNUMBER(MATCH(AQ2256,$AQ$2239:$AQ2255,0))),"",MAX($AP$2238:AP2255)+1)</f>
        <v/>
      </c>
      <c r="AQ2256" s="1174">
        <f>Principal!V59</f>
        <v>0</v>
      </c>
    </row>
    <row r="2257" spans="1:43" ht="12.75" customHeight="1">
      <c r="A2257" s="219">
        <v>2151</v>
      </c>
      <c r="B2257" s="7145"/>
      <c r="J2257" s="750" t="str">
        <f>IF(ISNA(VLOOKUP(A21,Principal!$S$42:$AH$69,10,FALSE)),"",IF(VLOOKUP(A21,Principal!$S$42:$AH$69,10,FALSE)=0,"",INDEX(PoderesDeCriatura_Adquiridos,MATCH(A21,Principal!$S$42:$S$69,0))))</f>
        <v/>
      </c>
      <c r="K2257" s="218" t="str">
        <f>IF(AND(COUNTA($K$2237:K2256)-COUNTBLANK($K$2237:K2256)&gt;0,J2257&lt;&gt;""),", ","")&amp;J2257</f>
        <v/>
      </c>
      <c r="L2257" s="2421" t="str">
        <f>IF(ISNA(INDEX(PoderesDeCriatura_AdquiridosNombres,MATCH(L$2236&amp;$A20,Principal!$U$42:$U$69,0))),"",INDEX(PoderesDeCriatura_AdquiridosNombres,MATCH(L$2236&amp;$A20,Principal!$U$42:$U$69,0)))</f>
        <v/>
      </c>
      <c r="M2257" s="2422" t="str">
        <f>IF(ISNA(INDEX(PoderesDeCriatura_Adquiridos,MATCH(L$2236&amp;$A20,Principal!$U$42:$U$69,0))),"",IF(INDEX(Principal!$AP$42:$AP$69,MATCH(L$2236&amp;$A20,Principal!$U$42:$U$69,0))&gt;0,INDEX(Principal!$AF$42:$AF$69,MATCH(L$2236&amp;$A20,Principal!$U$42:$U$69,0)),INDEX(PoderesDeCriatura_Adquiridos,MATCH(L$2236&amp;$A20,Principal!$U$42:$U$69,0))))</f>
        <v/>
      </c>
      <c r="N2257" s="218" t="str">
        <f t="shared" si="444"/>
        <v/>
      </c>
      <c r="O2257" s="2421" t="str">
        <f>IF(ISNA(INDEX(PoderesDeCriatura_AdquiridosNombres,MATCH(O$2236&amp;$A20,Principal!$U$42:$U$69,0))),"",INDEX(PoderesDeCriatura_AdquiridosNombres,MATCH(O$2236&amp;$A20,Principal!$U$42:$U$69,0)))</f>
        <v/>
      </c>
      <c r="P2257" s="2422" t="str">
        <f>IF(ISNA(INDEX(PoderesDeCriatura_Adquiridos,MATCH(O$2236&amp;$A20,Principal!$U$42:$U$69,0))),"",IF(INDEX(Principal!$AP$42:$AP$69,MATCH(O$2236&amp;$A20,Principal!$U$42:$U$69,0))&gt;0,INDEX(Principal!$AF$42:$AF$69,MATCH(O$2236&amp;$A20,Principal!$U$42:$U$69,0)),INDEX(PoderesDeCriatura_Adquiridos,MATCH(O$2236&amp;$A20,Principal!$U$42:$U$69,0))))</f>
        <v/>
      </c>
      <c r="Q2257" s="218" t="str">
        <f t="shared" si="445"/>
        <v/>
      </c>
      <c r="R2257" s="2421" t="str">
        <f>IF(ISNA(INDEX(PoderesDeCriatura_AdquiridosNombres,MATCH(R$2236&amp;$A20,Principal!$U$42:$U$69,0))),"",INDEX(PoderesDeCriatura_AdquiridosNombres,MATCH(R$2236&amp;$A20,Principal!$U$42:$U$69,0)))</f>
        <v/>
      </c>
      <c r="S2257" s="2422" t="str">
        <f>IF(ISNA(INDEX(PoderesDeCriatura_Adquiridos,MATCH(R$2236&amp;$A20,Principal!$U$42:$U$69,0))),"",IF(INDEX(Principal!$AP$42:$AP$69,MATCH(R$2236&amp;$A20,Principal!$U$42:$U$69,0))&gt;0,INDEX(Principal!$AF$42:$AF$69,MATCH(R$2236&amp;$A20,Principal!$U$42:$U$69,0)),INDEX(PoderesDeCriatura_Adquiridos,MATCH(R$2236&amp;$A20,Principal!$U$42:$U$69,0))))</f>
        <v/>
      </c>
      <c r="T2257" s="218" t="str">
        <f t="shared" si="446"/>
        <v/>
      </c>
      <c r="U2257" s="2421" t="str">
        <f>IF(ISNA(INDEX(PoderesDeCriatura_AdquiridosNombres,MATCH(U$2236&amp;$A20,Principal!$U$42:$U$69,0))),"",INDEX(PoderesDeCriatura_AdquiridosNombres,MATCH(U$2236&amp;$A20,Principal!$U$42:$U$69,0)))</f>
        <v/>
      </c>
      <c r="V2257" s="2422" t="str">
        <f>IF(ISNA(INDEX(PoderesDeCriatura_Adquiridos,MATCH(U$2236&amp;$A20,Principal!$U$42:$U$69,0))),"",IF(INDEX(Principal!$AP$42:$AP$69,MATCH(U$2236&amp;$A20,Principal!$U$42:$U$69,0))&gt;0,INDEX(Principal!$AF$42:$AF$69,MATCH(U$2236&amp;$A20,Principal!$U$42:$U$69,0)),INDEX(PoderesDeCriatura_Adquiridos,MATCH(U$2236&amp;$A20,Principal!$U$42:$U$69,0))))</f>
        <v/>
      </c>
      <c r="W2257" s="218" t="str">
        <f t="shared" si="447"/>
        <v/>
      </c>
      <c r="X2257" s="2421" t="str">
        <f>IF(ISNA(INDEX(PoderesDeCriatura_AdquiridosNombres,MATCH(X$2236&amp;$A20,Principal!$U$42:$U$69,0))),"",INDEX(PoderesDeCriatura_AdquiridosNombres,MATCH(X$2236&amp;$A20,Principal!$U$42:$U$69,0)))</f>
        <v/>
      </c>
      <c r="Y2257" s="2422" t="str">
        <f>IF(ISNA(INDEX(PoderesDeCriatura_Adquiridos,MATCH(X$2236&amp;$A20,Principal!$U$42:$U$69,0))),"",IF(INDEX(Principal!$AP$42:$AP$69,MATCH(X$2236&amp;$A20,Principal!$U$42:$U$69,0))&gt;0,INDEX(Principal!$AF$42:$AF$69,MATCH(X$2236&amp;$A20,Principal!$U$42:$U$69,0)),INDEX(PoderesDeCriatura_Adquiridos,MATCH(X$2236&amp;$A20,Principal!$U$42:$U$69,0))))</f>
        <v/>
      </c>
      <c r="Z2257" s="218" t="str">
        <f t="shared" si="448"/>
        <v/>
      </c>
      <c r="AA2257" s="2421" t="str">
        <f>IF(ISNA(INDEX(PoderesDeCriatura_AdquiridosNombres,MATCH(AA$2236&amp;$A20,Principal!$U$42:$U$69,0))),"",INDEX(PoderesDeCriatura_AdquiridosNombres,MATCH(AA$2236&amp;$A20,Principal!$U$42:$U$69,0)))</f>
        <v/>
      </c>
      <c r="AB2257" s="2422" t="str">
        <f>IF(ISNA(INDEX(PoderesDeCriatura_Adquiridos,MATCH(AA$2236&amp;$A20,Principal!$U$42:$U$69,0))),"",IF(INDEX(Principal!$AP$42:$AP$69,MATCH(AA$2236&amp;$A20,Principal!$U$42:$U$69,0))&gt;0,INDEX(Principal!$AF$42:$AF$69,MATCH(AA$2236&amp;$A20,Principal!$U$42:$U$69,0)),INDEX(PoderesDeCriatura_Adquiridos,MATCH(AA$2236&amp;$A20,Principal!$U$42:$U$69,0))))</f>
        <v/>
      </c>
      <c r="AC2257" s="218" t="str">
        <f t="shared" si="449"/>
        <v/>
      </c>
      <c r="AD2257" s="2421" t="str">
        <f>IF(ISNA(INDEX(PoderesDeCriatura_AdquiridosNombres,MATCH(AD$2236&amp;$A20,Principal!$U$42:$U$69,0))),"",INDEX(PoderesDeCriatura_AdquiridosNombres,MATCH(AD$2236&amp;$A20,Principal!$U$42:$U$69,0)))</f>
        <v/>
      </c>
      <c r="AE2257" s="2422" t="str">
        <f>IF(ISNA(INDEX(PoderesDeCriatura_Adquiridos,MATCH(AD$2236&amp;$A20,Principal!$U$42:$U$69,0))),"",IF(INDEX(Principal!$AP$42:$AP$69,MATCH(AD$2236&amp;$A20,Principal!$U$42:$U$69,0))&gt;0,INDEX(Principal!$AF$42:$AF$69,MATCH(AD$2236&amp;$A20,Principal!$U$42:$U$69,0)),INDEX(PoderesDeCriatura_Adquiridos,MATCH(AD$2236&amp;$A20,Principal!$U$42:$U$69,0))))</f>
        <v/>
      </c>
      <c r="AF2257" s="218" t="str">
        <f t="shared" si="450"/>
        <v/>
      </c>
      <c r="AG2257" s="2421" t="str">
        <f>IF(ISNA(INDEX(PoderesDeCriatura_AdquiridosNombres,MATCH(AG$2236&amp;$A20,Principal!$U$42:$U$69,0))),"",INDEX(PoderesDeCriatura_AdquiridosNombres,MATCH(AG$2236&amp;$A20,Principal!$U$42:$U$69,0)))</f>
        <v/>
      </c>
      <c r="AH2257" s="2422" t="str">
        <f>IF(ISNA(INDEX(PoderesDeCriatura_Adquiridos,MATCH(AG$2236&amp;$A20,Principal!$U$42:$U$69,0))),"",IF(INDEX(Principal!$AP$42:$AP$69,MATCH(AG$2236&amp;$A20,Principal!$U$42:$U$69,0))&gt;0,INDEX(Principal!$AF$42:$AF$69,MATCH(AG$2236&amp;$A20,Principal!$U$42:$U$69,0)),INDEX(PoderesDeCriatura_Adquiridos,MATCH(AG$2236&amp;$A20,Principal!$U$42:$U$69,0))))</f>
        <v/>
      </c>
      <c r="AI2257" s="218" t="str">
        <f t="shared" si="451"/>
        <v/>
      </c>
      <c r="AJ2257" s="2421" t="str">
        <f>IF(ISNA(INDEX(PoderesDeCriatura_AdquiridosNombres,MATCH(AJ$2236&amp;$A20,Principal!$U$42:$U$69,0))),"",INDEX(PoderesDeCriatura_AdquiridosNombres,MATCH(AJ$2236&amp;$A20,Principal!$U$42:$U$69,0)))</f>
        <v/>
      </c>
      <c r="AK2257" s="2422" t="str">
        <f>IF(ISNA(INDEX(PoderesDeCriatura_Adquiridos,MATCH(AJ$2236&amp;$A20,Principal!$U$42:$U$69,0))),"",IF(INDEX(Principal!$AP$42:$AP$69,MATCH(AJ$2236&amp;$A20,Principal!$U$42:$U$69,0))&gt;0,INDEX(Principal!$AF$42:$AF$69,MATCH(AJ$2236&amp;$A20,Principal!$U$42:$U$69,0)),INDEX(PoderesDeCriatura_Adquiridos,MATCH(AJ$2236&amp;$A20,Principal!$U$42:$U$69,0))))</f>
        <v/>
      </c>
      <c r="AL2257" s="218" t="str">
        <f t="shared" si="452"/>
        <v/>
      </c>
      <c r="AM2257" s="2421" t="str">
        <f>IF(ISNA(INDEX(PoderesDeCriatura_AdquiridosNombres,MATCH(AM$2236&amp;$A20,Principal!$U$42:$U$69,0))),"",INDEX(PoderesDeCriatura_AdquiridosNombres,MATCH(AM$2236&amp;$A20,Principal!$U$42:$U$69,0)))</f>
        <v/>
      </c>
      <c r="AN2257" s="2422" t="str">
        <f>IF(ISNA(INDEX(PoderesDeCriatura_Adquiridos,MATCH(AM$2236&amp;$A20,Principal!$U$42:$U$69,0))),"",IF(INDEX(Principal!$AP$42:$AP$69,MATCH(AM$2236&amp;$A20,Principal!$U$42:$U$69,0))&gt;0,INDEX(Principal!$AF$42:$AF$69,MATCH(AM$2236&amp;$A20,Principal!$U$42:$U$69,0)),INDEX(PoderesDeCriatura_Adquiridos,MATCH(AM$2236&amp;$A20,Principal!$U$42:$U$69,0))))</f>
        <v/>
      </c>
      <c r="AO2257" s="761" t="str">
        <f t="shared" si="453"/>
        <v/>
      </c>
      <c r="AP2257" s="758" t="str">
        <f>IF(OR(AQ2257=0,ISNUMBER(MATCH(AQ2257,$AQ$2239:$AQ2256,0))),"",MAX($AP$2238:AP2256)+1)</f>
        <v/>
      </c>
      <c r="AQ2257" s="1174">
        <f>Principal!V60</f>
        <v>0</v>
      </c>
    </row>
    <row r="2258" spans="1:43" ht="12.75" customHeight="1">
      <c r="A2258" s="219">
        <v>2152</v>
      </c>
      <c r="B2258" s="7145"/>
      <c r="J2258" s="750" t="str">
        <f>IF(ISNA(VLOOKUP(A22,Principal!$S$42:$AH$69,10,FALSE)),"",IF(VLOOKUP(A22,Principal!$S$42:$AH$69,10,FALSE)=0,"",INDEX(PoderesDeCriatura_Adquiridos,MATCH(A22,Principal!$S$42:$S$69,0))))</f>
        <v/>
      </c>
      <c r="K2258" s="218" t="str">
        <f>IF(AND(COUNTA($K$2237:K2257)-COUNTBLANK($K$2237:K2257)&gt;0,J2258&lt;&gt;""),", ","")&amp;J2258</f>
        <v/>
      </c>
      <c r="L2258" s="2421" t="str">
        <f>IF(ISNA(INDEX(PoderesDeCriatura_AdquiridosNombres,MATCH(L$2236&amp;$A21,Principal!$U$42:$U$69,0))),"",INDEX(PoderesDeCriatura_AdquiridosNombres,MATCH(L$2236&amp;$A21,Principal!$U$42:$U$69,0)))</f>
        <v/>
      </c>
      <c r="M2258" s="2422" t="str">
        <f>IF(ISNA(INDEX(PoderesDeCriatura_Adquiridos,MATCH(L$2236&amp;$A21,Principal!$U$42:$U$69,0))),"",IF(INDEX(Principal!$AP$42:$AP$69,MATCH(L$2236&amp;$A21,Principal!$U$42:$U$69,0))&gt;0,INDEX(Principal!$AF$42:$AF$69,MATCH(L$2236&amp;$A21,Principal!$U$42:$U$69,0)),INDEX(PoderesDeCriatura_Adquiridos,MATCH(L$2236&amp;$A21,Principal!$U$42:$U$69,0))))</f>
        <v/>
      </c>
      <c r="N2258" s="218" t="str">
        <f t="shared" si="444"/>
        <v/>
      </c>
      <c r="O2258" s="2421" t="str">
        <f>IF(ISNA(INDEX(PoderesDeCriatura_AdquiridosNombres,MATCH(O$2236&amp;$A21,Principal!$U$42:$U$69,0))),"",INDEX(PoderesDeCriatura_AdquiridosNombres,MATCH(O$2236&amp;$A21,Principal!$U$42:$U$69,0)))</f>
        <v/>
      </c>
      <c r="P2258" s="2422" t="str">
        <f>IF(ISNA(INDEX(PoderesDeCriatura_Adquiridos,MATCH(O$2236&amp;$A21,Principal!$U$42:$U$69,0))),"",IF(INDEX(Principal!$AP$42:$AP$69,MATCH(O$2236&amp;$A21,Principal!$U$42:$U$69,0))&gt;0,INDEX(Principal!$AF$42:$AF$69,MATCH(O$2236&amp;$A21,Principal!$U$42:$U$69,0)),INDEX(PoderesDeCriatura_Adquiridos,MATCH(O$2236&amp;$A21,Principal!$U$42:$U$69,0))))</f>
        <v/>
      </c>
      <c r="Q2258" s="218" t="str">
        <f t="shared" si="445"/>
        <v/>
      </c>
      <c r="R2258" s="2421" t="str">
        <f>IF(ISNA(INDEX(PoderesDeCriatura_AdquiridosNombres,MATCH(R$2236&amp;$A21,Principal!$U$42:$U$69,0))),"",INDEX(PoderesDeCriatura_AdquiridosNombres,MATCH(R$2236&amp;$A21,Principal!$U$42:$U$69,0)))</f>
        <v/>
      </c>
      <c r="S2258" s="2422" t="str">
        <f>IF(ISNA(INDEX(PoderesDeCriatura_Adquiridos,MATCH(R$2236&amp;$A21,Principal!$U$42:$U$69,0))),"",IF(INDEX(Principal!$AP$42:$AP$69,MATCH(R$2236&amp;$A21,Principal!$U$42:$U$69,0))&gt;0,INDEX(Principal!$AF$42:$AF$69,MATCH(R$2236&amp;$A21,Principal!$U$42:$U$69,0)),INDEX(PoderesDeCriatura_Adquiridos,MATCH(R$2236&amp;$A21,Principal!$U$42:$U$69,0))))</f>
        <v/>
      </c>
      <c r="T2258" s="218" t="str">
        <f t="shared" si="446"/>
        <v/>
      </c>
      <c r="U2258" s="2421" t="str">
        <f>IF(ISNA(INDEX(PoderesDeCriatura_AdquiridosNombres,MATCH(U$2236&amp;$A21,Principal!$U$42:$U$69,0))),"",INDEX(PoderesDeCriatura_AdquiridosNombres,MATCH(U$2236&amp;$A21,Principal!$U$42:$U$69,0)))</f>
        <v/>
      </c>
      <c r="V2258" s="2422" t="str">
        <f>IF(ISNA(INDEX(PoderesDeCriatura_Adquiridos,MATCH(U$2236&amp;$A21,Principal!$U$42:$U$69,0))),"",IF(INDEX(Principal!$AP$42:$AP$69,MATCH(U$2236&amp;$A21,Principal!$U$42:$U$69,0))&gt;0,INDEX(Principal!$AF$42:$AF$69,MATCH(U$2236&amp;$A21,Principal!$U$42:$U$69,0)),INDEX(PoderesDeCriatura_Adquiridos,MATCH(U$2236&amp;$A21,Principal!$U$42:$U$69,0))))</f>
        <v/>
      </c>
      <c r="W2258" s="218" t="str">
        <f t="shared" si="447"/>
        <v/>
      </c>
      <c r="X2258" s="2421" t="str">
        <f>IF(ISNA(INDEX(PoderesDeCriatura_AdquiridosNombres,MATCH(X$2236&amp;$A21,Principal!$U$42:$U$69,0))),"",INDEX(PoderesDeCriatura_AdquiridosNombres,MATCH(X$2236&amp;$A21,Principal!$U$42:$U$69,0)))</f>
        <v/>
      </c>
      <c r="Y2258" s="2422" t="str">
        <f>IF(ISNA(INDEX(PoderesDeCriatura_Adquiridos,MATCH(X$2236&amp;$A21,Principal!$U$42:$U$69,0))),"",IF(INDEX(Principal!$AP$42:$AP$69,MATCH(X$2236&amp;$A21,Principal!$U$42:$U$69,0))&gt;0,INDEX(Principal!$AF$42:$AF$69,MATCH(X$2236&amp;$A21,Principal!$U$42:$U$69,0)),INDEX(PoderesDeCriatura_Adquiridos,MATCH(X$2236&amp;$A21,Principal!$U$42:$U$69,0))))</f>
        <v/>
      </c>
      <c r="Z2258" s="218" t="str">
        <f t="shared" si="448"/>
        <v/>
      </c>
      <c r="AA2258" s="2421" t="str">
        <f>IF(ISNA(INDEX(PoderesDeCriatura_AdquiridosNombres,MATCH(AA$2236&amp;$A21,Principal!$U$42:$U$69,0))),"",INDEX(PoderesDeCriatura_AdquiridosNombres,MATCH(AA$2236&amp;$A21,Principal!$U$42:$U$69,0)))</f>
        <v/>
      </c>
      <c r="AB2258" s="2422" t="str">
        <f>IF(ISNA(INDEX(PoderesDeCriatura_Adquiridos,MATCH(AA$2236&amp;$A21,Principal!$U$42:$U$69,0))),"",IF(INDEX(Principal!$AP$42:$AP$69,MATCH(AA$2236&amp;$A21,Principal!$U$42:$U$69,0))&gt;0,INDEX(Principal!$AF$42:$AF$69,MATCH(AA$2236&amp;$A21,Principal!$U$42:$U$69,0)),INDEX(PoderesDeCriatura_Adquiridos,MATCH(AA$2236&amp;$A21,Principal!$U$42:$U$69,0))))</f>
        <v/>
      </c>
      <c r="AC2258" s="218" t="str">
        <f t="shared" si="449"/>
        <v/>
      </c>
      <c r="AD2258" s="2421" t="str">
        <f>IF(ISNA(INDEX(PoderesDeCriatura_AdquiridosNombres,MATCH(AD$2236&amp;$A21,Principal!$U$42:$U$69,0))),"",INDEX(PoderesDeCriatura_AdquiridosNombres,MATCH(AD$2236&amp;$A21,Principal!$U$42:$U$69,0)))</f>
        <v/>
      </c>
      <c r="AE2258" s="2422" t="str">
        <f>IF(ISNA(INDEX(PoderesDeCriatura_Adquiridos,MATCH(AD$2236&amp;$A21,Principal!$U$42:$U$69,0))),"",IF(INDEX(Principal!$AP$42:$AP$69,MATCH(AD$2236&amp;$A21,Principal!$U$42:$U$69,0))&gt;0,INDEX(Principal!$AF$42:$AF$69,MATCH(AD$2236&amp;$A21,Principal!$U$42:$U$69,0)),INDEX(PoderesDeCriatura_Adquiridos,MATCH(AD$2236&amp;$A21,Principal!$U$42:$U$69,0))))</f>
        <v/>
      </c>
      <c r="AF2258" s="218" t="str">
        <f t="shared" si="450"/>
        <v/>
      </c>
      <c r="AG2258" s="2421" t="str">
        <f>IF(ISNA(INDEX(PoderesDeCriatura_AdquiridosNombres,MATCH(AG$2236&amp;$A21,Principal!$U$42:$U$69,0))),"",INDEX(PoderesDeCriatura_AdquiridosNombres,MATCH(AG$2236&amp;$A21,Principal!$U$42:$U$69,0)))</f>
        <v/>
      </c>
      <c r="AH2258" s="2422" t="str">
        <f>IF(ISNA(INDEX(PoderesDeCriatura_Adquiridos,MATCH(AG$2236&amp;$A21,Principal!$U$42:$U$69,0))),"",IF(INDEX(Principal!$AP$42:$AP$69,MATCH(AG$2236&amp;$A21,Principal!$U$42:$U$69,0))&gt;0,INDEX(Principal!$AF$42:$AF$69,MATCH(AG$2236&amp;$A21,Principal!$U$42:$U$69,0)),INDEX(PoderesDeCriatura_Adquiridos,MATCH(AG$2236&amp;$A21,Principal!$U$42:$U$69,0))))</f>
        <v/>
      </c>
      <c r="AI2258" s="218" t="str">
        <f t="shared" si="451"/>
        <v/>
      </c>
      <c r="AJ2258" s="2421" t="str">
        <f>IF(ISNA(INDEX(PoderesDeCriatura_AdquiridosNombres,MATCH(AJ$2236&amp;$A21,Principal!$U$42:$U$69,0))),"",INDEX(PoderesDeCriatura_AdquiridosNombres,MATCH(AJ$2236&amp;$A21,Principal!$U$42:$U$69,0)))</f>
        <v/>
      </c>
      <c r="AK2258" s="2422" t="str">
        <f>IF(ISNA(INDEX(PoderesDeCriatura_Adquiridos,MATCH(AJ$2236&amp;$A21,Principal!$U$42:$U$69,0))),"",IF(INDEX(Principal!$AP$42:$AP$69,MATCH(AJ$2236&amp;$A21,Principal!$U$42:$U$69,0))&gt;0,INDEX(Principal!$AF$42:$AF$69,MATCH(AJ$2236&amp;$A21,Principal!$U$42:$U$69,0)),INDEX(PoderesDeCriatura_Adquiridos,MATCH(AJ$2236&amp;$A21,Principal!$U$42:$U$69,0))))</f>
        <v/>
      </c>
      <c r="AL2258" s="218" t="str">
        <f t="shared" si="452"/>
        <v/>
      </c>
      <c r="AM2258" s="2421" t="str">
        <f>IF(ISNA(INDEX(PoderesDeCriatura_AdquiridosNombres,MATCH(AM$2236&amp;$A21,Principal!$U$42:$U$69,0))),"",INDEX(PoderesDeCriatura_AdquiridosNombres,MATCH(AM$2236&amp;$A21,Principal!$U$42:$U$69,0)))</f>
        <v/>
      </c>
      <c r="AN2258" s="2422" t="str">
        <f>IF(ISNA(INDEX(PoderesDeCriatura_Adquiridos,MATCH(AM$2236&amp;$A21,Principal!$U$42:$U$69,0))),"",IF(INDEX(Principal!$AP$42:$AP$69,MATCH(AM$2236&amp;$A21,Principal!$U$42:$U$69,0))&gt;0,INDEX(Principal!$AF$42:$AF$69,MATCH(AM$2236&amp;$A21,Principal!$U$42:$U$69,0)),INDEX(PoderesDeCriatura_Adquiridos,MATCH(AM$2236&amp;$A21,Principal!$U$42:$U$69,0))))</f>
        <v/>
      </c>
      <c r="AO2258" s="761" t="str">
        <f t="shared" si="453"/>
        <v/>
      </c>
      <c r="AP2258" s="758" t="str">
        <f>IF(OR(AQ2258=0,ISNUMBER(MATCH(AQ2258,$AQ$2239:$AQ2257,0))),"",MAX($AP$2238:AP2257)+1)</f>
        <v/>
      </c>
      <c r="AQ2258" s="1174">
        <f>Principal!V61</f>
        <v>0</v>
      </c>
    </row>
    <row r="2259" spans="1:43" ht="12.75" customHeight="1">
      <c r="A2259" s="219">
        <v>2153</v>
      </c>
      <c r="B2259" s="7145"/>
      <c r="J2259" s="750" t="str">
        <f>IF(ISNA(VLOOKUP(A23,Principal!$S$42:$AH$69,10,FALSE)),"",IF(VLOOKUP(A23,Principal!$S$42:$AH$69,10,FALSE)=0,"",INDEX(PoderesDeCriatura_Adquiridos,MATCH(A23,Principal!$S$42:$S$69,0))))</f>
        <v/>
      </c>
      <c r="K2259" s="218" t="str">
        <f>IF(AND(COUNTA($K$2237:K2258)-COUNTBLANK($K$2237:K2258)&gt;0,J2259&lt;&gt;""),", ","")&amp;J2259</f>
        <v/>
      </c>
      <c r="L2259" s="2421" t="str">
        <f>IF(ISNA(INDEX(PoderesDeCriatura_AdquiridosNombres,MATCH(L$2236&amp;$A22,Principal!$U$42:$U$69,0))),"",INDEX(PoderesDeCriatura_AdquiridosNombres,MATCH(L$2236&amp;$A22,Principal!$U$42:$U$69,0)))</f>
        <v/>
      </c>
      <c r="M2259" s="2422" t="str">
        <f>IF(ISNA(INDEX(PoderesDeCriatura_Adquiridos,MATCH(L$2236&amp;$A22,Principal!$U$42:$U$69,0))),"",IF(INDEX(Principal!$AP$42:$AP$69,MATCH(L$2236&amp;$A22,Principal!$U$42:$U$69,0))&gt;0,INDEX(Principal!$AF$42:$AF$69,MATCH(L$2236&amp;$A22,Principal!$U$42:$U$69,0)),INDEX(PoderesDeCriatura_Adquiridos,MATCH(L$2236&amp;$A22,Principal!$U$42:$U$69,0))))</f>
        <v/>
      </c>
      <c r="N2259" s="218" t="str">
        <f t="shared" si="444"/>
        <v/>
      </c>
      <c r="O2259" s="2421" t="str">
        <f>IF(ISNA(INDEX(PoderesDeCriatura_AdquiridosNombres,MATCH(O$2236&amp;$A22,Principal!$U$42:$U$69,0))),"",INDEX(PoderesDeCriatura_AdquiridosNombres,MATCH(O$2236&amp;$A22,Principal!$U$42:$U$69,0)))</f>
        <v/>
      </c>
      <c r="P2259" s="2422" t="str">
        <f>IF(ISNA(INDEX(PoderesDeCriatura_Adquiridos,MATCH(O$2236&amp;$A22,Principal!$U$42:$U$69,0))),"",IF(INDEX(Principal!$AP$42:$AP$69,MATCH(O$2236&amp;$A22,Principal!$U$42:$U$69,0))&gt;0,INDEX(Principal!$AF$42:$AF$69,MATCH(O$2236&amp;$A22,Principal!$U$42:$U$69,0)),INDEX(PoderesDeCriatura_Adquiridos,MATCH(O$2236&amp;$A22,Principal!$U$42:$U$69,0))))</f>
        <v/>
      </c>
      <c r="Q2259" s="218" t="str">
        <f t="shared" si="445"/>
        <v/>
      </c>
      <c r="R2259" s="2421" t="str">
        <f>IF(ISNA(INDEX(PoderesDeCriatura_AdquiridosNombres,MATCH(R$2236&amp;$A22,Principal!$U$42:$U$69,0))),"",INDEX(PoderesDeCriatura_AdquiridosNombres,MATCH(R$2236&amp;$A22,Principal!$U$42:$U$69,0)))</f>
        <v/>
      </c>
      <c r="S2259" s="2422" t="str">
        <f>IF(ISNA(INDEX(PoderesDeCriatura_Adquiridos,MATCH(R$2236&amp;$A22,Principal!$U$42:$U$69,0))),"",IF(INDEX(Principal!$AP$42:$AP$69,MATCH(R$2236&amp;$A22,Principal!$U$42:$U$69,0))&gt;0,INDEX(Principal!$AF$42:$AF$69,MATCH(R$2236&amp;$A22,Principal!$U$42:$U$69,0)),INDEX(PoderesDeCriatura_Adquiridos,MATCH(R$2236&amp;$A22,Principal!$U$42:$U$69,0))))</f>
        <v/>
      </c>
      <c r="T2259" s="218" t="str">
        <f t="shared" si="446"/>
        <v/>
      </c>
      <c r="U2259" s="2421" t="str">
        <f>IF(ISNA(INDEX(PoderesDeCriatura_AdquiridosNombres,MATCH(U$2236&amp;$A22,Principal!$U$42:$U$69,0))),"",INDEX(PoderesDeCriatura_AdquiridosNombres,MATCH(U$2236&amp;$A22,Principal!$U$42:$U$69,0)))</f>
        <v/>
      </c>
      <c r="V2259" s="2422" t="str">
        <f>IF(ISNA(INDEX(PoderesDeCriatura_Adquiridos,MATCH(U$2236&amp;$A22,Principal!$U$42:$U$69,0))),"",IF(INDEX(Principal!$AP$42:$AP$69,MATCH(U$2236&amp;$A22,Principal!$U$42:$U$69,0))&gt;0,INDEX(Principal!$AF$42:$AF$69,MATCH(U$2236&amp;$A22,Principal!$U$42:$U$69,0)),INDEX(PoderesDeCriatura_Adquiridos,MATCH(U$2236&amp;$A22,Principal!$U$42:$U$69,0))))</f>
        <v/>
      </c>
      <c r="W2259" s="218" t="str">
        <f t="shared" si="447"/>
        <v/>
      </c>
      <c r="X2259" s="2421" t="str">
        <f>IF(ISNA(INDEX(PoderesDeCriatura_AdquiridosNombres,MATCH(X$2236&amp;$A22,Principal!$U$42:$U$69,0))),"",INDEX(PoderesDeCriatura_AdquiridosNombres,MATCH(X$2236&amp;$A22,Principal!$U$42:$U$69,0)))</f>
        <v/>
      </c>
      <c r="Y2259" s="2422" t="str">
        <f>IF(ISNA(INDEX(PoderesDeCriatura_Adquiridos,MATCH(X$2236&amp;$A22,Principal!$U$42:$U$69,0))),"",IF(INDEX(Principal!$AP$42:$AP$69,MATCH(X$2236&amp;$A22,Principal!$U$42:$U$69,0))&gt;0,INDEX(Principal!$AF$42:$AF$69,MATCH(X$2236&amp;$A22,Principal!$U$42:$U$69,0)),INDEX(PoderesDeCriatura_Adquiridos,MATCH(X$2236&amp;$A22,Principal!$U$42:$U$69,0))))</f>
        <v/>
      </c>
      <c r="Z2259" s="218" t="str">
        <f t="shared" si="448"/>
        <v/>
      </c>
      <c r="AA2259" s="2421" t="str">
        <f>IF(ISNA(INDEX(PoderesDeCriatura_AdquiridosNombres,MATCH(AA$2236&amp;$A22,Principal!$U$42:$U$69,0))),"",INDEX(PoderesDeCriatura_AdquiridosNombres,MATCH(AA$2236&amp;$A22,Principal!$U$42:$U$69,0)))</f>
        <v/>
      </c>
      <c r="AB2259" s="2422" t="str">
        <f>IF(ISNA(INDEX(PoderesDeCriatura_Adquiridos,MATCH(AA$2236&amp;$A22,Principal!$U$42:$U$69,0))),"",IF(INDEX(Principal!$AP$42:$AP$69,MATCH(AA$2236&amp;$A22,Principal!$U$42:$U$69,0))&gt;0,INDEX(Principal!$AF$42:$AF$69,MATCH(AA$2236&amp;$A22,Principal!$U$42:$U$69,0)),INDEX(PoderesDeCriatura_Adquiridos,MATCH(AA$2236&amp;$A22,Principal!$U$42:$U$69,0))))</f>
        <v/>
      </c>
      <c r="AC2259" s="218" t="str">
        <f t="shared" si="449"/>
        <v/>
      </c>
      <c r="AD2259" s="2421" t="str">
        <f>IF(ISNA(INDEX(PoderesDeCriatura_AdquiridosNombres,MATCH(AD$2236&amp;$A22,Principal!$U$42:$U$69,0))),"",INDEX(PoderesDeCriatura_AdquiridosNombres,MATCH(AD$2236&amp;$A22,Principal!$U$42:$U$69,0)))</f>
        <v/>
      </c>
      <c r="AE2259" s="2422" t="str">
        <f>IF(ISNA(INDEX(PoderesDeCriatura_Adquiridos,MATCH(AD$2236&amp;$A22,Principal!$U$42:$U$69,0))),"",IF(INDEX(Principal!$AP$42:$AP$69,MATCH(AD$2236&amp;$A22,Principal!$U$42:$U$69,0))&gt;0,INDEX(Principal!$AF$42:$AF$69,MATCH(AD$2236&amp;$A22,Principal!$U$42:$U$69,0)),INDEX(PoderesDeCriatura_Adquiridos,MATCH(AD$2236&amp;$A22,Principal!$U$42:$U$69,0))))</f>
        <v/>
      </c>
      <c r="AF2259" s="218" t="str">
        <f t="shared" si="450"/>
        <v/>
      </c>
      <c r="AG2259" s="2421" t="str">
        <f>IF(ISNA(INDEX(PoderesDeCriatura_AdquiridosNombres,MATCH(AG$2236&amp;$A22,Principal!$U$42:$U$69,0))),"",INDEX(PoderesDeCriatura_AdquiridosNombres,MATCH(AG$2236&amp;$A22,Principal!$U$42:$U$69,0)))</f>
        <v/>
      </c>
      <c r="AH2259" s="2422" t="str">
        <f>IF(ISNA(INDEX(PoderesDeCriatura_Adquiridos,MATCH(AG$2236&amp;$A22,Principal!$U$42:$U$69,0))),"",IF(INDEX(Principal!$AP$42:$AP$69,MATCH(AG$2236&amp;$A22,Principal!$U$42:$U$69,0))&gt;0,INDEX(Principal!$AF$42:$AF$69,MATCH(AG$2236&amp;$A22,Principal!$U$42:$U$69,0)),INDEX(PoderesDeCriatura_Adquiridos,MATCH(AG$2236&amp;$A22,Principal!$U$42:$U$69,0))))</f>
        <v/>
      </c>
      <c r="AI2259" s="218" t="str">
        <f t="shared" si="451"/>
        <v/>
      </c>
      <c r="AJ2259" s="2421" t="str">
        <f>IF(ISNA(INDEX(PoderesDeCriatura_AdquiridosNombres,MATCH(AJ$2236&amp;$A22,Principal!$U$42:$U$69,0))),"",INDEX(PoderesDeCriatura_AdquiridosNombres,MATCH(AJ$2236&amp;$A22,Principal!$U$42:$U$69,0)))</f>
        <v/>
      </c>
      <c r="AK2259" s="2422" t="str">
        <f>IF(ISNA(INDEX(PoderesDeCriatura_Adquiridos,MATCH(AJ$2236&amp;$A22,Principal!$U$42:$U$69,0))),"",IF(INDEX(Principal!$AP$42:$AP$69,MATCH(AJ$2236&amp;$A22,Principal!$U$42:$U$69,0))&gt;0,INDEX(Principal!$AF$42:$AF$69,MATCH(AJ$2236&amp;$A22,Principal!$U$42:$U$69,0)),INDEX(PoderesDeCriatura_Adquiridos,MATCH(AJ$2236&amp;$A22,Principal!$U$42:$U$69,0))))</f>
        <v/>
      </c>
      <c r="AL2259" s="218" t="str">
        <f t="shared" si="452"/>
        <v/>
      </c>
      <c r="AM2259" s="2421" t="str">
        <f>IF(ISNA(INDEX(PoderesDeCriatura_AdquiridosNombres,MATCH(AM$2236&amp;$A22,Principal!$U$42:$U$69,0))),"",INDEX(PoderesDeCriatura_AdquiridosNombres,MATCH(AM$2236&amp;$A22,Principal!$U$42:$U$69,0)))</f>
        <v/>
      </c>
      <c r="AN2259" s="2422" t="str">
        <f>IF(ISNA(INDEX(PoderesDeCriatura_Adquiridos,MATCH(AM$2236&amp;$A22,Principal!$U$42:$U$69,0))),"",IF(INDEX(Principal!$AP$42:$AP$69,MATCH(AM$2236&amp;$A22,Principal!$U$42:$U$69,0))&gt;0,INDEX(Principal!$AF$42:$AF$69,MATCH(AM$2236&amp;$A22,Principal!$U$42:$U$69,0)),INDEX(PoderesDeCriatura_Adquiridos,MATCH(AM$2236&amp;$A22,Principal!$U$42:$U$69,0))))</f>
        <v/>
      </c>
      <c r="AO2259" s="761" t="str">
        <f t="shared" si="453"/>
        <v/>
      </c>
      <c r="AP2259" s="758" t="str">
        <f>IF(OR(AQ2259=0,ISNUMBER(MATCH(AQ2259,$AQ$2239:$AQ2258,0))),"",MAX($AP$2238:AP2258)+1)</f>
        <v/>
      </c>
      <c r="AQ2259" s="1174">
        <f>Principal!V62</f>
        <v>0</v>
      </c>
    </row>
    <row r="2260" spans="1:43" ht="12.75" customHeight="1">
      <c r="A2260" s="219">
        <v>2154</v>
      </c>
      <c r="B2260" s="7145"/>
      <c r="J2260" s="750" t="str">
        <f>IF(ISNA(VLOOKUP(A24,Principal!$S$42:$AH$69,10,FALSE)),"",IF(VLOOKUP(A24,Principal!$S$42:$AH$69,10,FALSE)=0,"",INDEX(PoderesDeCriatura_Adquiridos,MATCH(A24,Principal!$S$42:$S$69,0))))</f>
        <v/>
      </c>
      <c r="K2260" s="218" t="str">
        <f>IF(AND(COUNTA($K$2237:K2259)-COUNTBLANK($K$2237:K2259)&gt;0,J2260&lt;&gt;""),", ","")&amp;J2260</f>
        <v/>
      </c>
      <c r="L2260" s="2421" t="str">
        <f>IF(ISNA(INDEX(PoderesDeCriatura_AdquiridosNombres,MATCH(L$2236&amp;$A23,Principal!$U$42:$U$69,0))),"",INDEX(PoderesDeCriatura_AdquiridosNombres,MATCH(L$2236&amp;$A23,Principal!$U$42:$U$69,0)))</f>
        <v/>
      </c>
      <c r="M2260" s="2422" t="str">
        <f>IF(ISNA(INDEX(PoderesDeCriatura_Adquiridos,MATCH(L$2236&amp;$A23,Principal!$U$42:$U$69,0))),"",IF(INDEX(Principal!$AP$42:$AP$69,MATCH(L$2236&amp;$A23,Principal!$U$42:$U$69,0))&gt;0,INDEX(Principal!$AF$42:$AF$69,MATCH(L$2236&amp;$A23,Principal!$U$42:$U$69,0)),INDEX(PoderesDeCriatura_Adquiridos,MATCH(L$2236&amp;$A23,Principal!$U$42:$U$69,0))))</f>
        <v/>
      </c>
      <c r="N2260" s="218" t="str">
        <f t="shared" si="444"/>
        <v/>
      </c>
      <c r="O2260" s="2421" t="str">
        <f>IF(ISNA(INDEX(PoderesDeCriatura_AdquiridosNombres,MATCH(O$2236&amp;$A23,Principal!$U$42:$U$69,0))),"",INDEX(PoderesDeCriatura_AdquiridosNombres,MATCH(O$2236&amp;$A23,Principal!$U$42:$U$69,0)))</f>
        <v/>
      </c>
      <c r="P2260" s="2422" t="str">
        <f>IF(ISNA(INDEX(PoderesDeCriatura_Adquiridos,MATCH(O$2236&amp;$A23,Principal!$U$42:$U$69,0))),"",IF(INDEX(Principal!$AP$42:$AP$69,MATCH(O$2236&amp;$A23,Principal!$U$42:$U$69,0))&gt;0,INDEX(Principal!$AF$42:$AF$69,MATCH(O$2236&amp;$A23,Principal!$U$42:$U$69,0)),INDEX(PoderesDeCriatura_Adquiridos,MATCH(O$2236&amp;$A23,Principal!$U$42:$U$69,0))))</f>
        <v/>
      </c>
      <c r="Q2260" s="218" t="str">
        <f t="shared" si="445"/>
        <v/>
      </c>
      <c r="R2260" s="2421" t="str">
        <f>IF(ISNA(INDEX(PoderesDeCriatura_AdquiridosNombres,MATCH(R$2236&amp;$A23,Principal!$U$42:$U$69,0))),"",INDEX(PoderesDeCriatura_AdquiridosNombres,MATCH(R$2236&amp;$A23,Principal!$U$42:$U$69,0)))</f>
        <v/>
      </c>
      <c r="S2260" s="2422" t="str">
        <f>IF(ISNA(INDEX(PoderesDeCriatura_Adquiridos,MATCH(R$2236&amp;$A23,Principal!$U$42:$U$69,0))),"",IF(INDEX(Principal!$AP$42:$AP$69,MATCH(R$2236&amp;$A23,Principal!$U$42:$U$69,0))&gt;0,INDEX(Principal!$AF$42:$AF$69,MATCH(R$2236&amp;$A23,Principal!$U$42:$U$69,0)),INDEX(PoderesDeCriatura_Adquiridos,MATCH(R$2236&amp;$A23,Principal!$U$42:$U$69,0))))</f>
        <v/>
      </c>
      <c r="T2260" s="218" t="str">
        <f t="shared" si="446"/>
        <v/>
      </c>
      <c r="U2260" s="2421" t="str">
        <f>IF(ISNA(INDEX(PoderesDeCriatura_AdquiridosNombres,MATCH(U$2236&amp;$A23,Principal!$U$42:$U$69,0))),"",INDEX(PoderesDeCriatura_AdquiridosNombres,MATCH(U$2236&amp;$A23,Principal!$U$42:$U$69,0)))</f>
        <v/>
      </c>
      <c r="V2260" s="2422" t="str">
        <f>IF(ISNA(INDEX(PoderesDeCriatura_Adquiridos,MATCH(U$2236&amp;$A23,Principal!$U$42:$U$69,0))),"",IF(INDEX(Principal!$AP$42:$AP$69,MATCH(U$2236&amp;$A23,Principal!$U$42:$U$69,0))&gt;0,INDEX(Principal!$AF$42:$AF$69,MATCH(U$2236&amp;$A23,Principal!$U$42:$U$69,0)),INDEX(PoderesDeCriatura_Adquiridos,MATCH(U$2236&amp;$A23,Principal!$U$42:$U$69,0))))</f>
        <v/>
      </c>
      <c r="W2260" s="218" t="str">
        <f t="shared" si="447"/>
        <v/>
      </c>
      <c r="X2260" s="2421" t="str">
        <f>IF(ISNA(INDEX(PoderesDeCriatura_AdquiridosNombres,MATCH(X$2236&amp;$A23,Principal!$U$42:$U$69,0))),"",INDEX(PoderesDeCriatura_AdquiridosNombres,MATCH(X$2236&amp;$A23,Principal!$U$42:$U$69,0)))</f>
        <v/>
      </c>
      <c r="Y2260" s="2422" t="str">
        <f>IF(ISNA(INDEX(PoderesDeCriatura_Adquiridos,MATCH(X$2236&amp;$A23,Principal!$U$42:$U$69,0))),"",IF(INDEX(Principal!$AP$42:$AP$69,MATCH(X$2236&amp;$A23,Principal!$U$42:$U$69,0))&gt;0,INDEX(Principal!$AF$42:$AF$69,MATCH(X$2236&amp;$A23,Principal!$U$42:$U$69,0)),INDEX(PoderesDeCriatura_Adquiridos,MATCH(X$2236&amp;$A23,Principal!$U$42:$U$69,0))))</f>
        <v/>
      </c>
      <c r="Z2260" s="218" t="str">
        <f t="shared" si="448"/>
        <v/>
      </c>
      <c r="AA2260" s="2421" t="str">
        <f>IF(ISNA(INDEX(PoderesDeCriatura_AdquiridosNombres,MATCH(AA$2236&amp;$A23,Principal!$U$42:$U$69,0))),"",INDEX(PoderesDeCriatura_AdquiridosNombres,MATCH(AA$2236&amp;$A23,Principal!$U$42:$U$69,0)))</f>
        <v/>
      </c>
      <c r="AB2260" s="2422" t="str">
        <f>IF(ISNA(INDEX(PoderesDeCriatura_Adquiridos,MATCH(AA$2236&amp;$A23,Principal!$U$42:$U$69,0))),"",IF(INDEX(Principal!$AP$42:$AP$69,MATCH(AA$2236&amp;$A23,Principal!$U$42:$U$69,0))&gt;0,INDEX(Principal!$AF$42:$AF$69,MATCH(AA$2236&amp;$A23,Principal!$U$42:$U$69,0)),INDEX(PoderesDeCriatura_Adquiridos,MATCH(AA$2236&amp;$A23,Principal!$U$42:$U$69,0))))</f>
        <v/>
      </c>
      <c r="AC2260" s="218" t="str">
        <f t="shared" si="449"/>
        <v/>
      </c>
      <c r="AD2260" s="2421" t="str">
        <f>IF(ISNA(INDEX(PoderesDeCriatura_AdquiridosNombres,MATCH(AD$2236&amp;$A23,Principal!$U$42:$U$69,0))),"",INDEX(PoderesDeCriatura_AdquiridosNombres,MATCH(AD$2236&amp;$A23,Principal!$U$42:$U$69,0)))</f>
        <v/>
      </c>
      <c r="AE2260" s="2422" t="str">
        <f>IF(ISNA(INDEX(PoderesDeCriatura_Adquiridos,MATCH(AD$2236&amp;$A23,Principal!$U$42:$U$69,0))),"",IF(INDEX(Principal!$AP$42:$AP$69,MATCH(AD$2236&amp;$A23,Principal!$U$42:$U$69,0))&gt;0,INDEX(Principal!$AF$42:$AF$69,MATCH(AD$2236&amp;$A23,Principal!$U$42:$U$69,0)),INDEX(PoderesDeCriatura_Adquiridos,MATCH(AD$2236&amp;$A23,Principal!$U$42:$U$69,0))))</f>
        <v/>
      </c>
      <c r="AF2260" s="218" t="str">
        <f t="shared" si="450"/>
        <v/>
      </c>
      <c r="AG2260" s="2421" t="str">
        <f>IF(ISNA(INDEX(PoderesDeCriatura_AdquiridosNombres,MATCH(AG$2236&amp;$A23,Principal!$U$42:$U$69,0))),"",INDEX(PoderesDeCriatura_AdquiridosNombres,MATCH(AG$2236&amp;$A23,Principal!$U$42:$U$69,0)))</f>
        <v/>
      </c>
      <c r="AH2260" s="2422" t="str">
        <f>IF(ISNA(INDEX(PoderesDeCriatura_Adquiridos,MATCH(AG$2236&amp;$A23,Principal!$U$42:$U$69,0))),"",IF(INDEX(Principal!$AP$42:$AP$69,MATCH(AG$2236&amp;$A23,Principal!$U$42:$U$69,0))&gt;0,INDEX(Principal!$AF$42:$AF$69,MATCH(AG$2236&amp;$A23,Principal!$U$42:$U$69,0)),INDEX(PoderesDeCriatura_Adquiridos,MATCH(AG$2236&amp;$A23,Principal!$U$42:$U$69,0))))</f>
        <v/>
      </c>
      <c r="AI2260" s="218" t="str">
        <f t="shared" si="451"/>
        <v/>
      </c>
      <c r="AJ2260" s="2421" t="str">
        <f>IF(ISNA(INDEX(PoderesDeCriatura_AdquiridosNombres,MATCH(AJ$2236&amp;$A23,Principal!$U$42:$U$69,0))),"",INDEX(PoderesDeCriatura_AdquiridosNombres,MATCH(AJ$2236&amp;$A23,Principal!$U$42:$U$69,0)))</f>
        <v/>
      </c>
      <c r="AK2260" s="2422" t="str">
        <f>IF(ISNA(INDEX(PoderesDeCriatura_Adquiridos,MATCH(AJ$2236&amp;$A23,Principal!$U$42:$U$69,0))),"",IF(INDEX(Principal!$AP$42:$AP$69,MATCH(AJ$2236&amp;$A23,Principal!$U$42:$U$69,0))&gt;0,INDEX(Principal!$AF$42:$AF$69,MATCH(AJ$2236&amp;$A23,Principal!$U$42:$U$69,0)),INDEX(PoderesDeCriatura_Adquiridos,MATCH(AJ$2236&amp;$A23,Principal!$U$42:$U$69,0))))</f>
        <v/>
      </c>
      <c r="AL2260" s="218" t="str">
        <f t="shared" si="452"/>
        <v/>
      </c>
      <c r="AM2260" s="2421" t="str">
        <f>IF(ISNA(INDEX(PoderesDeCriatura_AdquiridosNombres,MATCH(AM$2236&amp;$A23,Principal!$U$42:$U$69,0))),"",INDEX(PoderesDeCriatura_AdquiridosNombres,MATCH(AM$2236&amp;$A23,Principal!$U$42:$U$69,0)))</f>
        <v/>
      </c>
      <c r="AN2260" s="2422" t="str">
        <f>IF(ISNA(INDEX(PoderesDeCriatura_Adquiridos,MATCH(AM$2236&amp;$A23,Principal!$U$42:$U$69,0))),"",IF(INDEX(Principal!$AP$42:$AP$69,MATCH(AM$2236&amp;$A23,Principal!$U$42:$U$69,0))&gt;0,INDEX(Principal!$AF$42:$AF$69,MATCH(AM$2236&amp;$A23,Principal!$U$42:$U$69,0)),INDEX(PoderesDeCriatura_Adquiridos,MATCH(AM$2236&amp;$A23,Principal!$U$42:$U$69,0))))</f>
        <v/>
      </c>
      <c r="AO2260" s="761" t="str">
        <f t="shared" si="453"/>
        <v/>
      </c>
      <c r="AP2260" s="758" t="str">
        <f>IF(OR(AQ2260=0,ISNUMBER(MATCH(AQ2260,$AQ$2239:$AQ2259,0))),"",MAX($AP$2238:AP2259)+1)</f>
        <v/>
      </c>
      <c r="AQ2260" s="1174">
        <f>Principal!V63</f>
        <v>0</v>
      </c>
    </row>
    <row r="2261" spans="1:43" ht="12.75" customHeight="1">
      <c r="A2261" s="219">
        <v>2155</v>
      </c>
      <c r="B2261" s="7145"/>
      <c r="J2261" s="750" t="str">
        <f>IF(ISNA(VLOOKUP(A25,Principal!$S$42:$AH$69,10,FALSE)),"",IF(VLOOKUP(A25,Principal!$S$42:$AH$69,10,FALSE)=0,"",INDEX(PoderesDeCriatura_Adquiridos,MATCH(A25,Principal!$S$42:$S$69,0))))</f>
        <v/>
      </c>
      <c r="K2261" s="218" t="str">
        <f>IF(AND(COUNTA($K$2237:K2260)-COUNTBLANK($K$2237:K2260)&gt;0,J2261&lt;&gt;""),", ","")&amp;J2261</f>
        <v/>
      </c>
      <c r="L2261" s="2421" t="str">
        <f>IF(ISNA(INDEX(PoderesDeCriatura_AdquiridosNombres,MATCH(L$2236&amp;$A24,Principal!$U$42:$U$69,0))),"",INDEX(PoderesDeCriatura_AdquiridosNombres,MATCH(L$2236&amp;$A24,Principal!$U$42:$U$69,0)))</f>
        <v/>
      </c>
      <c r="M2261" s="2422" t="str">
        <f>IF(ISNA(INDEX(PoderesDeCriatura_Adquiridos,MATCH(L$2236&amp;$A24,Principal!$U$42:$U$69,0))),"",IF(INDEX(Principal!$AP$42:$AP$69,MATCH(L$2236&amp;$A24,Principal!$U$42:$U$69,0))&gt;0,INDEX(Principal!$AF$42:$AF$69,MATCH(L$2236&amp;$A24,Principal!$U$42:$U$69,0)),INDEX(PoderesDeCriatura_Adquiridos,MATCH(L$2236&amp;$A24,Principal!$U$42:$U$69,0))))</f>
        <v/>
      </c>
      <c r="N2261" s="218" t="str">
        <f t="shared" si="444"/>
        <v/>
      </c>
      <c r="O2261" s="2421" t="str">
        <f>IF(ISNA(INDEX(PoderesDeCriatura_AdquiridosNombres,MATCH(O$2236&amp;$A24,Principal!$U$42:$U$69,0))),"",INDEX(PoderesDeCriatura_AdquiridosNombres,MATCH(O$2236&amp;$A24,Principal!$U$42:$U$69,0)))</f>
        <v/>
      </c>
      <c r="P2261" s="2422" t="str">
        <f>IF(ISNA(INDEX(PoderesDeCriatura_Adquiridos,MATCH(O$2236&amp;$A24,Principal!$U$42:$U$69,0))),"",IF(INDEX(Principal!$AP$42:$AP$69,MATCH(O$2236&amp;$A24,Principal!$U$42:$U$69,0))&gt;0,INDEX(Principal!$AF$42:$AF$69,MATCH(O$2236&amp;$A24,Principal!$U$42:$U$69,0)),INDEX(PoderesDeCriatura_Adquiridos,MATCH(O$2236&amp;$A24,Principal!$U$42:$U$69,0))))</f>
        <v/>
      </c>
      <c r="Q2261" s="218" t="str">
        <f t="shared" si="445"/>
        <v/>
      </c>
      <c r="R2261" s="2421" t="str">
        <f>IF(ISNA(INDEX(PoderesDeCriatura_AdquiridosNombres,MATCH(R$2236&amp;$A24,Principal!$U$42:$U$69,0))),"",INDEX(PoderesDeCriatura_AdquiridosNombres,MATCH(R$2236&amp;$A24,Principal!$U$42:$U$69,0)))</f>
        <v/>
      </c>
      <c r="S2261" s="2422" t="str">
        <f>IF(ISNA(INDEX(PoderesDeCriatura_Adquiridos,MATCH(R$2236&amp;$A24,Principal!$U$42:$U$69,0))),"",IF(INDEX(Principal!$AP$42:$AP$69,MATCH(R$2236&amp;$A24,Principal!$U$42:$U$69,0))&gt;0,INDEX(Principal!$AF$42:$AF$69,MATCH(R$2236&amp;$A24,Principal!$U$42:$U$69,0)),INDEX(PoderesDeCriatura_Adquiridos,MATCH(R$2236&amp;$A24,Principal!$U$42:$U$69,0))))</f>
        <v/>
      </c>
      <c r="T2261" s="218" t="str">
        <f t="shared" si="446"/>
        <v/>
      </c>
      <c r="U2261" s="2421" t="str">
        <f>IF(ISNA(INDEX(PoderesDeCriatura_AdquiridosNombres,MATCH(U$2236&amp;$A24,Principal!$U$42:$U$69,0))),"",INDEX(PoderesDeCriatura_AdquiridosNombres,MATCH(U$2236&amp;$A24,Principal!$U$42:$U$69,0)))</f>
        <v/>
      </c>
      <c r="V2261" s="2422" t="str">
        <f>IF(ISNA(INDEX(PoderesDeCriatura_Adquiridos,MATCH(U$2236&amp;$A24,Principal!$U$42:$U$69,0))),"",IF(INDEX(Principal!$AP$42:$AP$69,MATCH(U$2236&amp;$A24,Principal!$U$42:$U$69,0))&gt;0,INDEX(Principal!$AF$42:$AF$69,MATCH(U$2236&amp;$A24,Principal!$U$42:$U$69,0)),INDEX(PoderesDeCriatura_Adquiridos,MATCH(U$2236&amp;$A24,Principal!$U$42:$U$69,0))))</f>
        <v/>
      </c>
      <c r="W2261" s="218" t="str">
        <f t="shared" si="447"/>
        <v/>
      </c>
      <c r="X2261" s="2421" t="str">
        <f>IF(ISNA(INDEX(PoderesDeCriatura_AdquiridosNombres,MATCH(X$2236&amp;$A24,Principal!$U$42:$U$69,0))),"",INDEX(PoderesDeCriatura_AdquiridosNombres,MATCH(X$2236&amp;$A24,Principal!$U$42:$U$69,0)))</f>
        <v/>
      </c>
      <c r="Y2261" s="2422" t="str">
        <f>IF(ISNA(INDEX(PoderesDeCriatura_Adquiridos,MATCH(X$2236&amp;$A24,Principal!$U$42:$U$69,0))),"",IF(INDEX(Principal!$AP$42:$AP$69,MATCH(X$2236&amp;$A24,Principal!$U$42:$U$69,0))&gt;0,INDEX(Principal!$AF$42:$AF$69,MATCH(X$2236&amp;$A24,Principal!$U$42:$U$69,0)),INDEX(PoderesDeCriatura_Adquiridos,MATCH(X$2236&amp;$A24,Principal!$U$42:$U$69,0))))</f>
        <v/>
      </c>
      <c r="Z2261" s="218" t="str">
        <f t="shared" si="448"/>
        <v/>
      </c>
      <c r="AA2261" s="2421" t="str">
        <f>IF(ISNA(INDEX(PoderesDeCriatura_AdquiridosNombres,MATCH(AA$2236&amp;$A24,Principal!$U$42:$U$69,0))),"",INDEX(PoderesDeCriatura_AdquiridosNombres,MATCH(AA$2236&amp;$A24,Principal!$U$42:$U$69,0)))</f>
        <v/>
      </c>
      <c r="AB2261" s="2422" t="str">
        <f>IF(ISNA(INDEX(PoderesDeCriatura_Adquiridos,MATCH(AA$2236&amp;$A24,Principal!$U$42:$U$69,0))),"",IF(INDEX(Principal!$AP$42:$AP$69,MATCH(AA$2236&amp;$A24,Principal!$U$42:$U$69,0))&gt;0,INDEX(Principal!$AF$42:$AF$69,MATCH(AA$2236&amp;$A24,Principal!$U$42:$U$69,0)),INDEX(PoderesDeCriatura_Adquiridos,MATCH(AA$2236&amp;$A24,Principal!$U$42:$U$69,0))))</f>
        <v/>
      </c>
      <c r="AC2261" s="218" t="str">
        <f t="shared" si="449"/>
        <v/>
      </c>
      <c r="AD2261" s="2421" t="str">
        <f>IF(ISNA(INDEX(PoderesDeCriatura_AdquiridosNombres,MATCH(AD$2236&amp;$A24,Principal!$U$42:$U$69,0))),"",INDEX(PoderesDeCriatura_AdquiridosNombres,MATCH(AD$2236&amp;$A24,Principal!$U$42:$U$69,0)))</f>
        <v/>
      </c>
      <c r="AE2261" s="2422" t="str">
        <f>IF(ISNA(INDEX(PoderesDeCriatura_Adquiridos,MATCH(AD$2236&amp;$A24,Principal!$U$42:$U$69,0))),"",IF(INDEX(Principal!$AP$42:$AP$69,MATCH(AD$2236&amp;$A24,Principal!$U$42:$U$69,0))&gt;0,INDEX(Principal!$AF$42:$AF$69,MATCH(AD$2236&amp;$A24,Principal!$U$42:$U$69,0)),INDEX(PoderesDeCriatura_Adquiridos,MATCH(AD$2236&amp;$A24,Principal!$U$42:$U$69,0))))</f>
        <v/>
      </c>
      <c r="AF2261" s="218" t="str">
        <f t="shared" si="450"/>
        <v/>
      </c>
      <c r="AG2261" s="2421" t="str">
        <f>IF(ISNA(INDEX(PoderesDeCriatura_AdquiridosNombres,MATCH(AG$2236&amp;$A24,Principal!$U$42:$U$69,0))),"",INDEX(PoderesDeCriatura_AdquiridosNombres,MATCH(AG$2236&amp;$A24,Principal!$U$42:$U$69,0)))</f>
        <v/>
      </c>
      <c r="AH2261" s="2422" t="str">
        <f>IF(ISNA(INDEX(PoderesDeCriatura_Adquiridos,MATCH(AG$2236&amp;$A24,Principal!$U$42:$U$69,0))),"",IF(INDEX(Principal!$AP$42:$AP$69,MATCH(AG$2236&amp;$A24,Principal!$U$42:$U$69,0))&gt;0,INDEX(Principal!$AF$42:$AF$69,MATCH(AG$2236&amp;$A24,Principal!$U$42:$U$69,0)),INDEX(PoderesDeCriatura_Adquiridos,MATCH(AG$2236&amp;$A24,Principal!$U$42:$U$69,0))))</f>
        <v/>
      </c>
      <c r="AI2261" s="218" t="str">
        <f t="shared" si="451"/>
        <v/>
      </c>
      <c r="AJ2261" s="2421" t="str">
        <f>IF(ISNA(INDEX(PoderesDeCriatura_AdquiridosNombres,MATCH(AJ$2236&amp;$A24,Principal!$U$42:$U$69,0))),"",INDEX(PoderesDeCriatura_AdquiridosNombres,MATCH(AJ$2236&amp;$A24,Principal!$U$42:$U$69,0)))</f>
        <v/>
      </c>
      <c r="AK2261" s="2422" t="str">
        <f>IF(ISNA(INDEX(PoderesDeCriatura_Adquiridos,MATCH(AJ$2236&amp;$A24,Principal!$U$42:$U$69,0))),"",IF(INDEX(Principal!$AP$42:$AP$69,MATCH(AJ$2236&amp;$A24,Principal!$U$42:$U$69,0))&gt;0,INDEX(Principal!$AF$42:$AF$69,MATCH(AJ$2236&amp;$A24,Principal!$U$42:$U$69,0)),INDEX(PoderesDeCriatura_Adquiridos,MATCH(AJ$2236&amp;$A24,Principal!$U$42:$U$69,0))))</f>
        <v/>
      </c>
      <c r="AL2261" s="218" t="str">
        <f t="shared" si="452"/>
        <v/>
      </c>
      <c r="AM2261" s="2421" t="str">
        <f>IF(ISNA(INDEX(PoderesDeCriatura_AdquiridosNombres,MATCH(AM$2236&amp;$A24,Principal!$U$42:$U$69,0))),"",INDEX(PoderesDeCriatura_AdquiridosNombres,MATCH(AM$2236&amp;$A24,Principal!$U$42:$U$69,0)))</f>
        <v/>
      </c>
      <c r="AN2261" s="2422" t="str">
        <f>IF(ISNA(INDEX(PoderesDeCriatura_Adquiridos,MATCH(AM$2236&amp;$A24,Principal!$U$42:$U$69,0))),"",IF(INDEX(Principal!$AP$42:$AP$69,MATCH(AM$2236&amp;$A24,Principal!$U$42:$U$69,0))&gt;0,INDEX(Principal!$AF$42:$AF$69,MATCH(AM$2236&amp;$A24,Principal!$U$42:$U$69,0)),INDEX(PoderesDeCriatura_Adquiridos,MATCH(AM$2236&amp;$A24,Principal!$U$42:$U$69,0))))</f>
        <v/>
      </c>
      <c r="AO2261" s="761" t="str">
        <f t="shared" si="453"/>
        <v/>
      </c>
      <c r="AP2261" s="758" t="str">
        <f>IF(OR(AQ2261=0,ISNUMBER(MATCH(AQ2261,$AQ$2239:$AQ2260,0))),"",MAX($AP$2238:AP2260)+1)</f>
        <v/>
      </c>
      <c r="AQ2261" s="1174">
        <f>Principal!V64</f>
        <v>0</v>
      </c>
    </row>
    <row r="2262" spans="1:43" ht="12.75" customHeight="1">
      <c r="A2262" s="219">
        <v>2156</v>
      </c>
      <c r="B2262" s="7145"/>
      <c r="J2262" s="750" t="str">
        <f>IF(ISNA(VLOOKUP(A26,Principal!$S$42:$AH$69,10,FALSE)),"",IF(VLOOKUP(A26,Principal!$S$42:$AH$69,10,FALSE)=0,"",INDEX(PoderesDeCriatura_Adquiridos,MATCH(A26,Principal!$S$42:$S$69,0))))</f>
        <v/>
      </c>
      <c r="K2262" s="218" t="str">
        <f>IF(AND(COUNTA($K$2237:K2261)-COUNTBLANK($K$2237:K2261)&gt;0,J2262&lt;&gt;""),", ","")&amp;J2262</f>
        <v/>
      </c>
      <c r="L2262" s="2421" t="str">
        <f>IF(ISNA(INDEX(PoderesDeCriatura_AdquiridosNombres,MATCH(L$2236&amp;$A25,Principal!$U$42:$U$69,0))),"",INDEX(PoderesDeCriatura_AdquiridosNombres,MATCH(L$2236&amp;$A25,Principal!$U$42:$U$69,0)))</f>
        <v/>
      </c>
      <c r="M2262" s="2422" t="str">
        <f>IF(ISNA(INDEX(PoderesDeCriatura_Adquiridos,MATCH(L$2236&amp;$A25,Principal!$U$42:$U$69,0))),"",IF(INDEX(Principal!$AP$42:$AP$69,MATCH(L$2236&amp;$A25,Principal!$U$42:$U$69,0))&gt;0,INDEX(Principal!$AF$42:$AF$69,MATCH(L$2236&amp;$A25,Principal!$U$42:$U$69,0)),INDEX(PoderesDeCriatura_Adquiridos,MATCH(L$2236&amp;$A25,Principal!$U$42:$U$69,0))))</f>
        <v/>
      </c>
      <c r="N2262" s="218" t="str">
        <f t="shared" si="444"/>
        <v/>
      </c>
      <c r="O2262" s="2421" t="str">
        <f>IF(ISNA(INDEX(PoderesDeCriatura_AdquiridosNombres,MATCH(O$2236&amp;$A25,Principal!$U$42:$U$69,0))),"",INDEX(PoderesDeCriatura_AdquiridosNombres,MATCH(O$2236&amp;$A25,Principal!$U$42:$U$69,0)))</f>
        <v/>
      </c>
      <c r="P2262" s="2422" t="str">
        <f>IF(ISNA(INDEX(PoderesDeCriatura_Adquiridos,MATCH(O$2236&amp;$A25,Principal!$U$42:$U$69,0))),"",IF(INDEX(Principal!$AP$42:$AP$69,MATCH(O$2236&amp;$A25,Principal!$U$42:$U$69,0))&gt;0,INDEX(Principal!$AF$42:$AF$69,MATCH(O$2236&amp;$A25,Principal!$U$42:$U$69,0)),INDEX(PoderesDeCriatura_Adquiridos,MATCH(O$2236&amp;$A25,Principal!$U$42:$U$69,0))))</f>
        <v/>
      </c>
      <c r="Q2262" s="218" t="str">
        <f t="shared" si="445"/>
        <v/>
      </c>
      <c r="R2262" s="2421" t="str">
        <f>IF(ISNA(INDEX(PoderesDeCriatura_AdquiridosNombres,MATCH(R$2236&amp;$A25,Principal!$U$42:$U$69,0))),"",INDEX(PoderesDeCriatura_AdquiridosNombres,MATCH(R$2236&amp;$A25,Principal!$U$42:$U$69,0)))</f>
        <v/>
      </c>
      <c r="S2262" s="2422" t="str">
        <f>IF(ISNA(INDEX(PoderesDeCriatura_Adquiridos,MATCH(R$2236&amp;$A25,Principal!$U$42:$U$69,0))),"",IF(INDEX(Principal!$AP$42:$AP$69,MATCH(R$2236&amp;$A25,Principal!$U$42:$U$69,0))&gt;0,INDEX(Principal!$AF$42:$AF$69,MATCH(R$2236&amp;$A25,Principal!$U$42:$U$69,0)),INDEX(PoderesDeCriatura_Adquiridos,MATCH(R$2236&amp;$A25,Principal!$U$42:$U$69,0))))</f>
        <v/>
      </c>
      <c r="T2262" s="218" t="str">
        <f t="shared" si="446"/>
        <v/>
      </c>
      <c r="U2262" s="2421" t="str">
        <f>IF(ISNA(INDEX(PoderesDeCriatura_AdquiridosNombres,MATCH(U$2236&amp;$A25,Principal!$U$42:$U$69,0))),"",INDEX(PoderesDeCriatura_AdquiridosNombres,MATCH(U$2236&amp;$A25,Principal!$U$42:$U$69,0)))</f>
        <v/>
      </c>
      <c r="V2262" s="2422" t="str">
        <f>IF(ISNA(INDEX(PoderesDeCriatura_Adquiridos,MATCH(U$2236&amp;$A25,Principal!$U$42:$U$69,0))),"",IF(INDEX(Principal!$AP$42:$AP$69,MATCH(U$2236&amp;$A25,Principal!$U$42:$U$69,0))&gt;0,INDEX(Principal!$AF$42:$AF$69,MATCH(U$2236&amp;$A25,Principal!$U$42:$U$69,0)),INDEX(PoderesDeCriatura_Adquiridos,MATCH(U$2236&amp;$A25,Principal!$U$42:$U$69,0))))</f>
        <v/>
      </c>
      <c r="W2262" s="218" t="str">
        <f t="shared" si="447"/>
        <v/>
      </c>
      <c r="X2262" s="2421" t="str">
        <f>IF(ISNA(INDEX(PoderesDeCriatura_AdquiridosNombres,MATCH(X$2236&amp;$A25,Principal!$U$42:$U$69,0))),"",INDEX(PoderesDeCriatura_AdquiridosNombres,MATCH(X$2236&amp;$A25,Principal!$U$42:$U$69,0)))</f>
        <v/>
      </c>
      <c r="Y2262" s="2422" t="str">
        <f>IF(ISNA(INDEX(PoderesDeCriatura_Adquiridos,MATCH(X$2236&amp;$A25,Principal!$U$42:$U$69,0))),"",IF(INDEX(Principal!$AP$42:$AP$69,MATCH(X$2236&amp;$A25,Principal!$U$42:$U$69,0))&gt;0,INDEX(Principal!$AF$42:$AF$69,MATCH(X$2236&amp;$A25,Principal!$U$42:$U$69,0)),INDEX(PoderesDeCriatura_Adquiridos,MATCH(X$2236&amp;$A25,Principal!$U$42:$U$69,0))))</f>
        <v/>
      </c>
      <c r="Z2262" s="218" t="str">
        <f t="shared" si="448"/>
        <v/>
      </c>
      <c r="AA2262" s="2421" t="str">
        <f>IF(ISNA(INDEX(PoderesDeCriatura_AdquiridosNombres,MATCH(AA$2236&amp;$A25,Principal!$U$42:$U$69,0))),"",INDEX(PoderesDeCriatura_AdquiridosNombres,MATCH(AA$2236&amp;$A25,Principal!$U$42:$U$69,0)))</f>
        <v/>
      </c>
      <c r="AB2262" s="2422" t="str">
        <f>IF(ISNA(INDEX(PoderesDeCriatura_Adquiridos,MATCH(AA$2236&amp;$A25,Principal!$U$42:$U$69,0))),"",IF(INDEX(Principal!$AP$42:$AP$69,MATCH(AA$2236&amp;$A25,Principal!$U$42:$U$69,0))&gt;0,INDEX(Principal!$AF$42:$AF$69,MATCH(AA$2236&amp;$A25,Principal!$U$42:$U$69,0)),INDEX(PoderesDeCriatura_Adquiridos,MATCH(AA$2236&amp;$A25,Principal!$U$42:$U$69,0))))</f>
        <v/>
      </c>
      <c r="AC2262" s="218" t="str">
        <f t="shared" si="449"/>
        <v/>
      </c>
      <c r="AD2262" s="2421" t="str">
        <f>IF(ISNA(INDEX(PoderesDeCriatura_AdquiridosNombres,MATCH(AD$2236&amp;$A25,Principal!$U$42:$U$69,0))),"",INDEX(PoderesDeCriatura_AdquiridosNombres,MATCH(AD$2236&amp;$A25,Principal!$U$42:$U$69,0)))</f>
        <v/>
      </c>
      <c r="AE2262" s="2422" t="str">
        <f>IF(ISNA(INDEX(PoderesDeCriatura_Adquiridos,MATCH(AD$2236&amp;$A25,Principal!$U$42:$U$69,0))),"",IF(INDEX(Principal!$AP$42:$AP$69,MATCH(AD$2236&amp;$A25,Principal!$U$42:$U$69,0))&gt;0,INDEX(Principal!$AF$42:$AF$69,MATCH(AD$2236&amp;$A25,Principal!$U$42:$U$69,0)),INDEX(PoderesDeCriatura_Adquiridos,MATCH(AD$2236&amp;$A25,Principal!$U$42:$U$69,0))))</f>
        <v/>
      </c>
      <c r="AF2262" s="218" t="str">
        <f t="shared" si="450"/>
        <v/>
      </c>
      <c r="AG2262" s="2421" t="str">
        <f>IF(ISNA(INDEX(PoderesDeCriatura_AdquiridosNombres,MATCH(AG$2236&amp;$A25,Principal!$U$42:$U$69,0))),"",INDEX(PoderesDeCriatura_AdquiridosNombres,MATCH(AG$2236&amp;$A25,Principal!$U$42:$U$69,0)))</f>
        <v/>
      </c>
      <c r="AH2262" s="2422" t="str">
        <f>IF(ISNA(INDEX(PoderesDeCriatura_Adquiridos,MATCH(AG$2236&amp;$A25,Principal!$U$42:$U$69,0))),"",IF(INDEX(Principal!$AP$42:$AP$69,MATCH(AG$2236&amp;$A25,Principal!$U$42:$U$69,0))&gt;0,INDEX(Principal!$AF$42:$AF$69,MATCH(AG$2236&amp;$A25,Principal!$U$42:$U$69,0)),INDEX(PoderesDeCriatura_Adquiridos,MATCH(AG$2236&amp;$A25,Principal!$U$42:$U$69,0))))</f>
        <v/>
      </c>
      <c r="AI2262" s="218" t="str">
        <f t="shared" si="451"/>
        <v/>
      </c>
      <c r="AJ2262" s="2421" t="str">
        <f>IF(ISNA(INDEX(PoderesDeCriatura_AdquiridosNombres,MATCH(AJ$2236&amp;$A25,Principal!$U$42:$U$69,0))),"",INDEX(PoderesDeCriatura_AdquiridosNombres,MATCH(AJ$2236&amp;$A25,Principal!$U$42:$U$69,0)))</f>
        <v/>
      </c>
      <c r="AK2262" s="2422" t="str">
        <f>IF(ISNA(INDEX(PoderesDeCriatura_Adquiridos,MATCH(AJ$2236&amp;$A25,Principal!$U$42:$U$69,0))),"",IF(INDEX(Principal!$AP$42:$AP$69,MATCH(AJ$2236&amp;$A25,Principal!$U$42:$U$69,0))&gt;0,INDEX(Principal!$AF$42:$AF$69,MATCH(AJ$2236&amp;$A25,Principal!$U$42:$U$69,0)),INDEX(PoderesDeCriatura_Adquiridos,MATCH(AJ$2236&amp;$A25,Principal!$U$42:$U$69,0))))</f>
        <v/>
      </c>
      <c r="AL2262" s="218" t="str">
        <f t="shared" si="452"/>
        <v/>
      </c>
      <c r="AM2262" s="2421" t="str">
        <f>IF(ISNA(INDEX(PoderesDeCriatura_AdquiridosNombres,MATCH(AM$2236&amp;$A25,Principal!$U$42:$U$69,0))),"",INDEX(PoderesDeCriatura_AdquiridosNombres,MATCH(AM$2236&amp;$A25,Principal!$U$42:$U$69,0)))</f>
        <v/>
      </c>
      <c r="AN2262" s="2422" t="str">
        <f>IF(ISNA(INDEX(PoderesDeCriatura_Adquiridos,MATCH(AM$2236&amp;$A25,Principal!$U$42:$U$69,0))),"",IF(INDEX(Principal!$AP$42:$AP$69,MATCH(AM$2236&amp;$A25,Principal!$U$42:$U$69,0))&gt;0,INDEX(Principal!$AF$42:$AF$69,MATCH(AM$2236&amp;$A25,Principal!$U$42:$U$69,0)),INDEX(PoderesDeCriatura_Adquiridos,MATCH(AM$2236&amp;$A25,Principal!$U$42:$U$69,0))))</f>
        <v/>
      </c>
      <c r="AO2262" s="761" t="str">
        <f t="shared" si="453"/>
        <v/>
      </c>
      <c r="AP2262" s="758" t="str">
        <f>IF(OR(AQ2262=0,ISNUMBER(MATCH(AQ2262,$AQ$2239:$AQ2261,0))),"",MAX($AP$2238:AP2261)+1)</f>
        <v/>
      </c>
      <c r="AQ2262" s="1174">
        <f>Principal!V65</f>
        <v>0</v>
      </c>
    </row>
    <row r="2263" spans="1:43" ht="12.75" customHeight="1">
      <c r="A2263" s="219">
        <v>2157</v>
      </c>
      <c r="B2263" s="7145"/>
      <c r="J2263" s="750" t="str">
        <f>IF(ISNA(VLOOKUP(A27,Principal!$S$42:$AH$69,10,FALSE)),"",IF(VLOOKUP(A27,Principal!$S$42:$AH$69,10,FALSE)=0,"",INDEX(PoderesDeCriatura_Adquiridos,MATCH(A27,Principal!$S$42:$S$69,0))))</f>
        <v/>
      </c>
      <c r="K2263" s="218" t="str">
        <f>IF(AND(COUNTA($K$2237:K2262)-COUNTBLANK($K$2237:K2262)&gt;0,J2263&lt;&gt;""),", ","")&amp;J2263</f>
        <v/>
      </c>
      <c r="L2263" s="2421" t="str">
        <f>IF(ISNA(INDEX(PoderesDeCriatura_AdquiridosNombres,MATCH(L$2236&amp;$A26,Principal!$U$42:$U$69,0))),"",INDEX(PoderesDeCriatura_AdquiridosNombres,MATCH(L$2236&amp;$A26,Principal!$U$42:$U$69,0)))</f>
        <v/>
      </c>
      <c r="M2263" s="2422" t="str">
        <f>IF(ISNA(INDEX(PoderesDeCriatura_Adquiridos,MATCH(L$2236&amp;$A26,Principal!$U$42:$U$69,0))),"",IF(INDEX(Principal!$AP$42:$AP$69,MATCH(L$2236&amp;$A26,Principal!$U$42:$U$69,0))&gt;0,INDEX(Principal!$AF$42:$AF$69,MATCH(L$2236&amp;$A26,Principal!$U$42:$U$69,0)),INDEX(PoderesDeCriatura_Adquiridos,MATCH(L$2236&amp;$A26,Principal!$U$42:$U$69,0))))</f>
        <v/>
      </c>
      <c r="N2263" s="218" t="str">
        <f t="shared" si="444"/>
        <v/>
      </c>
      <c r="O2263" s="2421" t="str">
        <f>IF(ISNA(INDEX(PoderesDeCriatura_AdquiridosNombres,MATCH(O$2236&amp;$A26,Principal!$U$42:$U$69,0))),"",INDEX(PoderesDeCriatura_AdquiridosNombres,MATCH(O$2236&amp;$A26,Principal!$U$42:$U$69,0)))</f>
        <v/>
      </c>
      <c r="P2263" s="2422" t="str">
        <f>IF(ISNA(INDEX(PoderesDeCriatura_Adquiridos,MATCH(O$2236&amp;$A26,Principal!$U$42:$U$69,0))),"",IF(INDEX(Principal!$AP$42:$AP$69,MATCH(O$2236&amp;$A26,Principal!$U$42:$U$69,0))&gt;0,INDEX(Principal!$AF$42:$AF$69,MATCH(O$2236&amp;$A26,Principal!$U$42:$U$69,0)),INDEX(PoderesDeCriatura_Adquiridos,MATCH(O$2236&amp;$A26,Principal!$U$42:$U$69,0))))</f>
        <v/>
      </c>
      <c r="Q2263" s="218" t="str">
        <f t="shared" si="445"/>
        <v/>
      </c>
      <c r="R2263" s="2421" t="str">
        <f>IF(ISNA(INDEX(PoderesDeCriatura_AdquiridosNombres,MATCH(R$2236&amp;$A26,Principal!$U$42:$U$69,0))),"",INDEX(PoderesDeCriatura_AdquiridosNombres,MATCH(R$2236&amp;$A26,Principal!$U$42:$U$69,0)))</f>
        <v/>
      </c>
      <c r="S2263" s="2422" t="str">
        <f>IF(ISNA(INDEX(PoderesDeCriatura_Adquiridos,MATCH(R$2236&amp;$A26,Principal!$U$42:$U$69,0))),"",IF(INDEX(Principal!$AP$42:$AP$69,MATCH(R$2236&amp;$A26,Principal!$U$42:$U$69,0))&gt;0,INDEX(Principal!$AF$42:$AF$69,MATCH(R$2236&amp;$A26,Principal!$U$42:$U$69,0)),INDEX(PoderesDeCriatura_Adquiridos,MATCH(R$2236&amp;$A26,Principal!$U$42:$U$69,0))))</f>
        <v/>
      </c>
      <c r="T2263" s="218" t="str">
        <f t="shared" si="446"/>
        <v/>
      </c>
      <c r="U2263" s="2421" t="str">
        <f>IF(ISNA(INDEX(PoderesDeCriatura_AdquiridosNombres,MATCH(U$2236&amp;$A26,Principal!$U$42:$U$69,0))),"",INDEX(PoderesDeCriatura_AdquiridosNombres,MATCH(U$2236&amp;$A26,Principal!$U$42:$U$69,0)))</f>
        <v/>
      </c>
      <c r="V2263" s="2422" t="str">
        <f>IF(ISNA(INDEX(PoderesDeCriatura_Adquiridos,MATCH(U$2236&amp;$A26,Principal!$U$42:$U$69,0))),"",IF(INDEX(Principal!$AP$42:$AP$69,MATCH(U$2236&amp;$A26,Principal!$U$42:$U$69,0))&gt;0,INDEX(Principal!$AF$42:$AF$69,MATCH(U$2236&amp;$A26,Principal!$U$42:$U$69,0)),INDEX(PoderesDeCriatura_Adquiridos,MATCH(U$2236&amp;$A26,Principal!$U$42:$U$69,0))))</f>
        <v/>
      </c>
      <c r="W2263" s="218" t="str">
        <f t="shared" si="447"/>
        <v/>
      </c>
      <c r="X2263" s="2421" t="str">
        <f>IF(ISNA(INDEX(PoderesDeCriatura_AdquiridosNombres,MATCH(X$2236&amp;$A26,Principal!$U$42:$U$69,0))),"",INDEX(PoderesDeCriatura_AdquiridosNombres,MATCH(X$2236&amp;$A26,Principal!$U$42:$U$69,0)))</f>
        <v/>
      </c>
      <c r="Y2263" s="2422" t="str">
        <f>IF(ISNA(INDEX(PoderesDeCriatura_Adquiridos,MATCH(X$2236&amp;$A26,Principal!$U$42:$U$69,0))),"",IF(INDEX(Principal!$AP$42:$AP$69,MATCH(X$2236&amp;$A26,Principal!$U$42:$U$69,0))&gt;0,INDEX(Principal!$AF$42:$AF$69,MATCH(X$2236&amp;$A26,Principal!$U$42:$U$69,0)),INDEX(PoderesDeCriatura_Adquiridos,MATCH(X$2236&amp;$A26,Principal!$U$42:$U$69,0))))</f>
        <v/>
      </c>
      <c r="Z2263" s="218" t="str">
        <f t="shared" si="448"/>
        <v/>
      </c>
      <c r="AA2263" s="2421" t="str">
        <f>IF(ISNA(INDEX(PoderesDeCriatura_AdquiridosNombres,MATCH(AA$2236&amp;$A26,Principal!$U$42:$U$69,0))),"",INDEX(PoderesDeCriatura_AdquiridosNombres,MATCH(AA$2236&amp;$A26,Principal!$U$42:$U$69,0)))</f>
        <v/>
      </c>
      <c r="AB2263" s="2422" t="str">
        <f>IF(ISNA(INDEX(PoderesDeCriatura_Adquiridos,MATCH(AA$2236&amp;$A26,Principal!$U$42:$U$69,0))),"",IF(INDEX(Principal!$AP$42:$AP$69,MATCH(AA$2236&amp;$A26,Principal!$U$42:$U$69,0))&gt;0,INDEX(Principal!$AF$42:$AF$69,MATCH(AA$2236&amp;$A26,Principal!$U$42:$U$69,0)),INDEX(PoderesDeCriatura_Adquiridos,MATCH(AA$2236&amp;$A26,Principal!$U$42:$U$69,0))))</f>
        <v/>
      </c>
      <c r="AC2263" s="218" t="str">
        <f t="shared" si="449"/>
        <v/>
      </c>
      <c r="AD2263" s="2421" t="str">
        <f>IF(ISNA(INDEX(PoderesDeCriatura_AdquiridosNombres,MATCH(AD$2236&amp;$A26,Principal!$U$42:$U$69,0))),"",INDEX(PoderesDeCriatura_AdquiridosNombres,MATCH(AD$2236&amp;$A26,Principal!$U$42:$U$69,0)))</f>
        <v/>
      </c>
      <c r="AE2263" s="2422" t="str">
        <f>IF(ISNA(INDEX(PoderesDeCriatura_Adquiridos,MATCH(AD$2236&amp;$A26,Principal!$U$42:$U$69,0))),"",IF(INDEX(Principal!$AP$42:$AP$69,MATCH(AD$2236&amp;$A26,Principal!$U$42:$U$69,0))&gt;0,INDEX(Principal!$AF$42:$AF$69,MATCH(AD$2236&amp;$A26,Principal!$U$42:$U$69,0)),INDEX(PoderesDeCriatura_Adquiridos,MATCH(AD$2236&amp;$A26,Principal!$U$42:$U$69,0))))</f>
        <v/>
      </c>
      <c r="AF2263" s="218" t="str">
        <f t="shared" si="450"/>
        <v/>
      </c>
      <c r="AG2263" s="2421" t="str">
        <f>IF(ISNA(INDEX(PoderesDeCriatura_AdquiridosNombres,MATCH(AG$2236&amp;$A26,Principal!$U$42:$U$69,0))),"",INDEX(PoderesDeCriatura_AdquiridosNombres,MATCH(AG$2236&amp;$A26,Principal!$U$42:$U$69,0)))</f>
        <v/>
      </c>
      <c r="AH2263" s="2422" t="str">
        <f>IF(ISNA(INDEX(PoderesDeCriatura_Adquiridos,MATCH(AG$2236&amp;$A26,Principal!$U$42:$U$69,0))),"",IF(INDEX(Principal!$AP$42:$AP$69,MATCH(AG$2236&amp;$A26,Principal!$U$42:$U$69,0))&gt;0,INDEX(Principal!$AF$42:$AF$69,MATCH(AG$2236&amp;$A26,Principal!$U$42:$U$69,0)),INDEX(PoderesDeCriatura_Adquiridos,MATCH(AG$2236&amp;$A26,Principal!$U$42:$U$69,0))))</f>
        <v/>
      </c>
      <c r="AI2263" s="218" t="str">
        <f t="shared" si="451"/>
        <v/>
      </c>
      <c r="AJ2263" s="2421" t="str">
        <f>IF(ISNA(INDEX(PoderesDeCriatura_AdquiridosNombres,MATCH(AJ$2236&amp;$A26,Principal!$U$42:$U$69,0))),"",INDEX(PoderesDeCriatura_AdquiridosNombres,MATCH(AJ$2236&amp;$A26,Principal!$U$42:$U$69,0)))</f>
        <v/>
      </c>
      <c r="AK2263" s="2422" t="str">
        <f>IF(ISNA(INDEX(PoderesDeCriatura_Adquiridos,MATCH(AJ$2236&amp;$A26,Principal!$U$42:$U$69,0))),"",IF(INDEX(Principal!$AP$42:$AP$69,MATCH(AJ$2236&amp;$A26,Principal!$U$42:$U$69,0))&gt;0,INDEX(Principal!$AF$42:$AF$69,MATCH(AJ$2236&amp;$A26,Principal!$U$42:$U$69,0)),INDEX(PoderesDeCriatura_Adquiridos,MATCH(AJ$2236&amp;$A26,Principal!$U$42:$U$69,0))))</f>
        <v/>
      </c>
      <c r="AL2263" s="218" t="str">
        <f t="shared" si="452"/>
        <v/>
      </c>
      <c r="AM2263" s="2421" t="str">
        <f>IF(ISNA(INDEX(PoderesDeCriatura_AdquiridosNombres,MATCH(AM$2236&amp;$A26,Principal!$U$42:$U$69,0))),"",INDEX(PoderesDeCriatura_AdquiridosNombres,MATCH(AM$2236&amp;$A26,Principal!$U$42:$U$69,0)))</f>
        <v/>
      </c>
      <c r="AN2263" s="2422" t="str">
        <f>IF(ISNA(INDEX(PoderesDeCriatura_Adquiridos,MATCH(AM$2236&amp;$A26,Principal!$U$42:$U$69,0))),"",IF(INDEX(Principal!$AP$42:$AP$69,MATCH(AM$2236&amp;$A26,Principal!$U$42:$U$69,0))&gt;0,INDEX(Principal!$AF$42:$AF$69,MATCH(AM$2236&amp;$A26,Principal!$U$42:$U$69,0)),INDEX(PoderesDeCriatura_Adquiridos,MATCH(AM$2236&amp;$A26,Principal!$U$42:$U$69,0))))</f>
        <v/>
      </c>
      <c r="AO2263" s="761" t="str">
        <f t="shared" si="453"/>
        <v/>
      </c>
      <c r="AP2263" s="758" t="str">
        <f>IF(OR(AQ2263=0,ISNUMBER(MATCH(AQ2263,$AQ$2239:$AQ2262,0))),"",MAX($AP$2238:AP2262)+1)</f>
        <v/>
      </c>
      <c r="AQ2263" s="1174">
        <f>Principal!V66</f>
        <v>0</v>
      </c>
    </row>
    <row r="2264" spans="1:43" ht="12.75" customHeight="1">
      <c r="A2264" s="219">
        <v>2158</v>
      </c>
      <c r="B2264" s="7145"/>
      <c r="J2264" s="750" t="str">
        <f>IF(ISNA(VLOOKUP(A28,Principal!$S$42:$AH$69,10,FALSE)),"",IF(VLOOKUP(A28,Principal!$S$42:$AH$69,10,FALSE)=0,"",INDEX(PoderesDeCriatura_Adquiridos,MATCH(A28,Principal!$S$42:$S$69,0))))</f>
        <v/>
      </c>
      <c r="K2264" s="218" t="str">
        <f>IF(AND(COUNTA($K$2237:K2263)-COUNTBLANK($K$2237:K2263)&gt;0,J2264&lt;&gt;""),", ","")&amp;J2264</f>
        <v/>
      </c>
      <c r="L2264" s="2421" t="str">
        <f>IF(ISNA(INDEX(PoderesDeCriatura_AdquiridosNombres,MATCH(L$2236&amp;$A27,Principal!$U$42:$U$69,0))),"",INDEX(PoderesDeCriatura_AdquiridosNombres,MATCH(L$2236&amp;$A27,Principal!$U$42:$U$69,0)))</f>
        <v/>
      </c>
      <c r="M2264" s="2422" t="str">
        <f>IF(ISNA(INDEX(PoderesDeCriatura_Adquiridos,MATCH(L$2236&amp;$A27,Principal!$U$42:$U$69,0))),"",IF(INDEX(Principal!$AP$42:$AP$69,MATCH(L$2236&amp;$A27,Principal!$U$42:$U$69,0))&gt;0,INDEX(Principal!$AF$42:$AF$69,MATCH(L$2236&amp;$A27,Principal!$U$42:$U$69,0)),INDEX(PoderesDeCriatura_Adquiridos,MATCH(L$2236&amp;$A27,Principal!$U$42:$U$69,0))))</f>
        <v/>
      </c>
      <c r="N2264" s="218" t="str">
        <f t="shared" si="444"/>
        <v/>
      </c>
      <c r="O2264" s="2421" t="str">
        <f>IF(ISNA(INDEX(PoderesDeCriatura_AdquiridosNombres,MATCH(O$2236&amp;$A27,Principal!$U$42:$U$69,0))),"",INDEX(PoderesDeCriatura_AdquiridosNombres,MATCH(O$2236&amp;$A27,Principal!$U$42:$U$69,0)))</f>
        <v/>
      </c>
      <c r="P2264" s="2422" t="str">
        <f>IF(ISNA(INDEX(PoderesDeCriatura_Adquiridos,MATCH(O$2236&amp;$A27,Principal!$U$42:$U$69,0))),"",IF(INDEX(Principal!$AP$42:$AP$69,MATCH(O$2236&amp;$A27,Principal!$U$42:$U$69,0))&gt;0,INDEX(Principal!$AF$42:$AF$69,MATCH(O$2236&amp;$A27,Principal!$U$42:$U$69,0)),INDEX(PoderesDeCriatura_Adquiridos,MATCH(O$2236&amp;$A27,Principal!$U$42:$U$69,0))))</f>
        <v/>
      </c>
      <c r="Q2264" s="218" t="str">
        <f t="shared" si="445"/>
        <v/>
      </c>
      <c r="R2264" s="2421" t="str">
        <f>IF(ISNA(INDEX(PoderesDeCriatura_AdquiridosNombres,MATCH(R$2236&amp;$A27,Principal!$U$42:$U$69,0))),"",INDEX(PoderesDeCriatura_AdquiridosNombres,MATCH(R$2236&amp;$A27,Principal!$U$42:$U$69,0)))</f>
        <v/>
      </c>
      <c r="S2264" s="2422" t="str">
        <f>IF(ISNA(INDEX(PoderesDeCriatura_Adquiridos,MATCH(R$2236&amp;$A27,Principal!$U$42:$U$69,0))),"",IF(INDEX(Principal!$AP$42:$AP$69,MATCH(R$2236&amp;$A27,Principal!$U$42:$U$69,0))&gt;0,INDEX(Principal!$AF$42:$AF$69,MATCH(R$2236&amp;$A27,Principal!$U$42:$U$69,0)),INDEX(PoderesDeCriatura_Adquiridos,MATCH(R$2236&amp;$A27,Principal!$U$42:$U$69,0))))</f>
        <v/>
      </c>
      <c r="T2264" s="218" t="str">
        <f t="shared" si="446"/>
        <v/>
      </c>
      <c r="U2264" s="2421" t="str">
        <f>IF(ISNA(INDEX(PoderesDeCriatura_AdquiridosNombres,MATCH(U$2236&amp;$A27,Principal!$U$42:$U$69,0))),"",INDEX(PoderesDeCriatura_AdquiridosNombres,MATCH(U$2236&amp;$A27,Principal!$U$42:$U$69,0)))</f>
        <v/>
      </c>
      <c r="V2264" s="2422" t="str">
        <f>IF(ISNA(INDEX(PoderesDeCriatura_Adquiridos,MATCH(U$2236&amp;$A27,Principal!$U$42:$U$69,0))),"",IF(INDEX(Principal!$AP$42:$AP$69,MATCH(U$2236&amp;$A27,Principal!$U$42:$U$69,0))&gt;0,INDEX(Principal!$AF$42:$AF$69,MATCH(U$2236&amp;$A27,Principal!$U$42:$U$69,0)),INDEX(PoderesDeCriatura_Adquiridos,MATCH(U$2236&amp;$A27,Principal!$U$42:$U$69,0))))</f>
        <v/>
      </c>
      <c r="W2264" s="218" t="str">
        <f t="shared" si="447"/>
        <v/>
      </c>
      <c r="X2264" s="2421" t="str">
        <f>IF(ISNA(INDEX(PoderesDeCriatura_AdquiridosNombres,MATCH(X$2236&amp;$A27,Principal!$U$42:$U$69,0))),"",INDEX(PoderesDeCriatura_AdquiridosNombres,MATCH(X$2236&amp;$A27,Principal!$U$42:$U$69,0)))</f>
        <v/>
      </c>
      <c r="Y2264" s="2422" t="str">
        <f>IF(ISNA(INDEX(PoderesDeCriatura_Adquiridos,MATCH(X$2236&amp;$A27,Principal!$U$42:$U$69,0))),"",IF(INDEX(Principal!$AP$42:$AP$69,MATCH(X$2236&amp;$A27,Principal!$U$42:$U$69,0))&gt;0,INDEX(Principal!$AF$42:$AF$69,MATCH(X$2236&amp;$A27,Principal!$U$42:$U$69,0)),INDEX(PoderesDeCriatura_Adquiridos,MATCH(X$2236&amp;$A27,Principal!$U$42:$U$69,0))))</f>
        <v/>
      </c>
      <c r="Z2264" s="218" t="str">
        <f t="shared" si="448"/>
        <v/>
      </c>
      <c r="AA2264" s="2421" t="str">
        <f>IF(ISNA(INDEX(PoderesDeCriatura_AdquiridosNombres,MATCH(AA$2236&amp;$A27,Principal!$U$42:$U$69,0))),"",INDEX(PoderesDeCriatura_AdquiridosNombres,MATCH(AA$2236&amp;$A27,Principal!$U$42:$U$69,0)))</f>
        <v/>
      </c>
      <c r="AB2264" s="2422" t="str">
        <f>IF(ISNA(INDEX(PoderesDeCriatura_Adquiridos,MATCH(AA$2236&amp;$A27,Principal!$U$42:$U$69,0))),"",IF(INDEX(Principal!$AP$42:$AP$69,MATCH(AA$2236&amp;$A27,Principal!$U$42:$U$69,0))&gt;0,INDEX(Principal!$AF$42:$AF$69,MATCH(AA$2236&amp;$A27,Principal!$U$42:$U$69,0)),INDEX(PoderesDeCriatura_Adquiridos,MATCH(AA$2236&amp;$A27,Principal!$U$42:$U$69,0))))</f>
        <v/>
      </c>
      <c r="AC2264" s="218" t="str">
        <f t="shared" si="449"/>
        <v/>
      </c>
      <c r="AD2264" s="2421" t="str">
        <f>IF(ISNA(INDEX(PoderesDeCriatura_AdquiridosNombres,MATCH(AD$2236&amp;$A27,Principal!$U$42:$U$69,0))),"",INDEX(PoderesDeCriatura_AdquiridosNombres,MATCH(AD$2236&amp;$A27,Principal!$U$42:$U$69,0)))</f>
        <v/>
      </c>
      <c r="AE2264" s="2422" t="str">
        <f>IF(ISNA(INDEX(PoderesDeCriatura_Adquiridos,MATCH(AD$2236&amp;$A27,Principal!$U$42:$U$69,0))),"",IF(INDEX(Principal!$AP$42:$AP$69,MATCH(AD$2236&amp;$A27,Principal!$U$42:$U$69,0))&gt;0,INDEX(Principal!$AF$42:$AF$69,MATCH(AD$2236&amp;$A27,Principal!$U$42:$U$69,0)),INDEX(PoderesDeCriatura_Adquiridos,MATCH(AD$2236&amp;$A27,Principal!$U$42:$U$69,0))))</f>
        <v/>
      </c>
      <c r="AF2264" s="218" t="str">
        <f t="shared" si="450"/>
        <v/>
      </c>
      <c r="AG2264" s="2421" t="str">
        <f>IF(ISNA(INDEX(PoderesDeCriatura_AdquiridosNombres,MATCH(AG$2236&amp;$A27,Principal!$U$42:$U$69,0))),"",INDEX(PoderesDeCriatura_AdquiridosNombres,MATCH(AG$2236&amp;$A27,Principal!$U$42:$U$69,0)))</f>
        <v/>
      </c>
      <c r="AH2264" s="2422" t="str">
        <f>IF(ISNA(INDEX(PoderesDeCriatura_Adquiridos,MATCH(AG$2236&amp;$A27,Principal!$U$42:$U$69,0))),"",IF(INDEX(Principal!$AP$42:$AP$69,MATCH(AG$2236&amp;$A27,Principal!$U$42:$U$69,0))&gt;0,INDEX(Principal!$AF$42:$AF$69,MATCH(AG$2236&amp;$A27,Principal!$U$42:$U$69,0)),INDEX(PoderesDeCriatura_Adquiridos,MATCH(AG$2236&amp;$A27,Principal!$U$42:$U$69,0))))</f>
        <v/>
      </c>
      <c r="AI2264" s="218" t="str">
        <f t="shared" si="451"/>
        <v/>
      </c>
      <c r="AJ2264" s="2421" t="str">
        <f>IF(ISNA(INDEX(PoderesDeCriatura_AdquiridosNombres,MATCH(AJ$2236&amp;$A27,Principal!$U$42:$U$69,0))),"",INDEX(PoderesDeCriatura_AdquiridosNombres,MATCH(AJ$2236&amp;$A27,Principal!$U$42:$U$69,0)))</f>
        <v/>
      </c>
      <c r="AK2264" s="2422" t="str">
        <f>IF(ISNA(INDEX(PoderesDeCriatura_Adquiridos,MATCH(AJ$2236&amp;$A27,Principal!$U$42:$U$69,0))),"",IF(INDEX(Principal!$AP$42:$AP$69,MATCH(AJ$2236&amp;$A27,Principal!$U$42:$U$69,0))&gt;0,INDEX(Principal!$AF$42:$AF$69,MATCH(AJ$2236&amp;$A27,Principal!$U$42:$U$69,0)),INDEX(PoderesDeCriatura_Adquiridos,MATCH(AJ$2236&amp;$A27,Principal!$U$42:$U$69,0))))</f>
        <v/>
      </c>
      <c r="AL2264" s="218" t="str">
        <f t="shared" si="452"/>
        <v/>
      </c>
      <c r="AM2264" s="2421" t="str">
        <f>IF(ISNA(INDEX(PoderesDeCriatura_AdquiridosNombres,MATCH(AM$2236&amp;$A27,Principal!$U$42:$U$69,0))),"",INDEX(PoderesDeCriatura_AdquiridosNombres,MATCH(AM$2236&amp;$A27,Principal!$U$42:$U$69,0)))</f>
        <v/>
      </c>
      <c r="AN2264" s="2422" t="str">
        <f>IF(ISNA(INDEX(PoderesDeCriatura_Adquiridos,MATCH(AM$2236&amp;$A27,Principal!$U$42:$U$69,0))),"",IF(INDEX(Principal!$AP$42:$AP$69,MATCH(AM$2236&amp;$A27,Principal!$U$42:$U$69,0))&gt;0,INDEX(Principal!$AF$42:$AF$69,MATCH(AM$2236&amp;$A27,Principal!$U$42:$U$69,0)),INDEX(PoderesDeCriatura_Adquiridos,MATCH(AM$2236&amp;$A27,Principal!$U$42:$U$69,0))))</f>
        <v/>
      </c>
      <c r="AO2264" s="761" t="str">
        <f t="shared" si="453"/>
        <v/>
      </c>
      <c r="AP2264" s="758" t="str">
        <f>IF(OR(AQ2264=0,ISNUMBER(MATCH(AQ2264,$AQ$2239:$AQ2263,0))),"",MAX($AP$2238:AP2263)+1)</f>
        <v/>
      </c>
      <c r="AQ2264" s="1174">
        <f>Principal!V67</f>
        <v>0</v>
      </c>
    </row>
    <row r="2265" spans="1:43" ht="12.75" customHeight="1">
      <c r="A2265" s="219">
        <v>2159</v>
      </c>
      <c r="B2265" s="7145"/>
      <c r="J2265" s="750" t="str">
        <f>IF(ISNA(VLOOKUP(A29,Principal!$S$42:$AH$69,10,FALSE)),"",IF(VLOOKUP(A29,Principal!$S$42:$AH$69,10,FALSE)=0,"",INDEX(PoderesDeCriatura_Adquiridos,MATCH(A29,Principal!$S$42:$S$69,0))))</f>
        <v/>
      </c>
      <c r="K2265" s="218" t="str">
        <f>IF(AND(COUNTA($K$2237:K2264)-COUNTBLANK($K$2237:K2264)&gt;0,J2265&lt;&gt;""),", ","")&amp;J2265</f>
        <v/>
      </c>
      <c r="L2265" s="2421" t="str">
        <f>IF(ISNA(INDEX(PoderesDeCriatura_AdquiridosNombres,MATCH(L$2236&amp;$A28,Principal!$U$42:$U$69,0))),"",INDEX(PoderesDeCriatura_AdquiridosNombres,MATCH(L$2236&amp;$A28,Principal!$U$42:$U$69,0)))</f>
        <v/>
      </c>
      <c r="M2265" s="2422" t="str">
        <f>IF(ISNA(INDEX(PoderesDeCriatura_Adquiridos,MATCH(L$2236&amp;$A28,Principal!$U$42:$U$69,0))),"",IF(INDEX(Principal!$AP$42:$AP$69,MATCH(L$2236&amp;$A28,Principal!$U$42:$U$69,0))&gt;0,INDEX(Principal!$AF$42:$AF$69,MATCH(L$2236&amp;$A28,Principal!$U$42:$U$69,0)),INDEX(PoderesDeCriatura_Adquiridos,MATCH(L$2236&amp;$A28,Principal!$U$42:$U$69,0))))</f>
        <v/>
      </c>
      <c r="N2265" s="218" t="str">
        <f t="shared" si="444"/>
        <v/>
      </c>
      <c r="O2265" s="2421" t="str">
        <f>IF(ISNA(INDEX(PoderesDeCriatura_AdquiridosNombres,MATCH(O$2236&amp;$A28,Principal!$U$42:$U$69,0))),"",INDEX(PoderesDeCriatura_AdquiridosNombres,MATCH(O$2236&amp;$A28,Principal!$U$42:$U$69,0)))</f>
        <v/>
      </c>
      <c r="P2265" s="2422" t="str">
        <f>IF(ISNA(INDEX(PoderesDeCriatura_Adquiridos,MATCH(O$2236&amp;$A28,Principal!$U$42:$U$69,0))),"",IF(INDEX(Principal!$AP$42:$AP$69,MATCH(O$2236&amp;$A28,Principal!$U$42:$U$69,0))&gt;0,INDEX(Principal!$AF$42:$AF$69,MATCH(O$2236&amp;$A28,Principal!$U$42:$U$69,0)),INDEX(PoderesDeCriatura_Adquiridos,MATCH(O$2236&amp;$A28,Principal!$U$42:$U$69,0))))</f>
        <v/>
      </c>
      <c r="Q2265" s="218" t="str">
        <f t="shared" si="445"/>
        <v/>
      </c>
      <c r="R2265" s="2421" t="str">
        <f>IF(ISNA(INDEX(PoderesDeCriatura_AdquiridosNombres,MATCH(R$2236&amp;$A28,Principal!$U$42:$U$69,0))),"",INDEX(PoderesDeCriatura_AdquiridosNombres,MATCH(R$2236&amp;$A28,Principal!$U$42:$U$69,0)))</f>
        <v/>
      </c>
      <c r="S2265" s="2422" t="str">
        <f>IF(ISNA(INDEX(PoderesDeCriatura_Adquiridos,MATCH(R$2236&amp;$A28,Principal!$U$42:$U$69,0))),"",IF(INDEX(Principal!$AP$42:$AP$69,MATCH(R$2236&amp;$A28,Principal!$U$42:$U$69,0))&gt;0,INDEX(Principal!$AF$42:$AF$69,MATCH(R$2236&amp;$A28,Principal!$U$42:$U$69,0)),INDEX(PoderesDeCriatura_Adquiridos,MATCH(R$2236&amp;$A28,Principal!$U$42:$U$69,0))))</f>
        <v/>
      </c>
      <c r="T2265" s="218" t="str">
        <f t="shared" si="446"/>
        <v/>
      </c>
      <c r="U2265" s="2421" t="str">
        <f>IF(ISNA(INDEX(PoderesDeCriatura_AdquiridosNombres,MATCH(U$2236&amp;$A28,Principal!$U$42:$U$69,0))),"",INDEX(PoderesDeCriatura_AdquiridosNombres,MATCH(U$2236&amp;$A28,Principal!$U$42:$U$69,0)))</f>
        <v/>
      </c>
      <c r="V2265" s="2422" t="str">
        <f>IF(ISNA(INDEX(PoderesDeCriatura_Adquiridos,MATCH(U$2236&amp;$A28,Principal!$U$42:$U$69,0))),"",IF(INDEX(Principal!$AP$42:$AP$69,MATCH(U$2236&amp;$A28,Principal!$U$42:$U$69,0))&gt;0,INDEX(Principal!$AF$42:$AF$69,MATCH(U$2236&amp;$A28,Principal!$U$42:$U$69,0)),INDEX(PoderesDeCriatura_Adquiridos,MATCH(U$2236&amp;$A28,Principal!$U$42:$U$69,0))))</f>
        <v/>
      </c>
      <c r="W2265" s="218" t="str">
        <f t="shared" si="447"/>
        <v/>
      </c>
      <c r="X2265" s="2421" t="str">
        <f>IF(ISNA(INDEX(PoderesDeCriatura_AdquiridosNombres,MATCH(X$2236&amp;$A28,Principal!$U$42:$U$69,0))),"",INDEX(PoderesDeCriatura_AdquiridosNombres,MATCH(X$2236&amp;$A28,Principal!$U$42:$U$69,0)))</f>
        <v/>
      </c>
      <c r="Y2265" s="2422" t="str">
        <f>IF(ISNA(INDEX(PoderesDeCriatura_Adquiridos,MATCH(X$2236&amp;$A28,Principal!$U$42:$U$69,0))),"",IF(INDEX(Principal!$AP$42:$AP$69,MATCH(X$2236&amp;$A28,Principal!$U$42:$U$69,0))&gt;0,INDEX(Principal!$AF$42:$AF$69,MATCH(X$2236&amp;$A28,Principal!$U$42:$U$69,0)),INDEX(PoderesDeCriatura_Adquiridos,MATCH(X$2236&amp;$A28,Principal!$U$42:$U$69,0))))</f>
        <v/>
      </c>
      <c r="Z2265" s="218" t="str">
        <f t="shared" si="448"/>
        <v/>
      </c>
      <c r="AA2265" s="2421" t="str">
        <f>IF(ISNA(INDEX(PoderesDeCriatura_AdquiridosNombres,MATCH(AA$2236&amp;$A28,Principal!$U$42:$U$69,0))),"",INDEX(PoderesDeCriatura_AdquiridosNombres,MATCH(AA$2236&amp;$A28,Principal!$U$42:$U$69,0)))</f>
        <v/>
      </c>
      <c r="AB2265" s="2422" t="str">
        <f>IF(ISNA(INDEX(PoderesDeCriatura_Adquiridos,MATCH(AA$2236&amp;$A28,Principal!$U$42:$U$69,0))),"",IF(INDEX(Principal!$AP$42:$AP$69,MATCH(AA$2236&amp;$A28,Principal!$U$42:$U$69,0))&gt;0,INDEX(Principal!$AF$42:$AF$69,MATCH(AA$2236&amp;$A28,Principal!$U$42:$U$69,0)),INDEX(PoderesDeCriatura_Adquiridos,MATCH(AA$2236&amp;$A28,Principal!$U$42:$U$69,0))))</f>
        <v/>
      </c>
      <c r="AC2265" s="218" t="str">
        <f t="shared" si="449"/>
        <v/>
      </c>
      <c r="AD2265" s="2421" t="str">
        <f>IF(ISNA(INDEX(PoderesDeCriatura_AdquiridosNombres,MATCH(AD$2236&amp;$A28,Principal!$U$42:$U$69,0))),"",INDEX(PoderesDeCriatura_AdquiridosNombres,MATCH(AD$2236&amp;$A28,Principal!$U$42:$U$69,0)))</f>
        <v/>
      </c>
      <c r="AE2265" s="2422" t="str">
        <f>IF(ISNA(INDEX(PoderesDeCriatura_Adquiridos,MATCH(AD$2236&amp;$A28,Principal!$U$42:$U$69,0))),"",IF(INDEX(Principal!$AP$42:$AP$69,MATCH(AD$2236&amp;$A28,Principal!$U$42:$U$69,0))&gt;0,INDEX(Principal!$AF$42:$AF$69,MATCH(AD$2236&amp;$A28,Principal!$U$42:$U$69,0)),INDEX(PoderesDeCriatura_Adquiridos,MATCH(AD$2236&amp;$A28,Principal!$U$42:$U$69,0))))</f>
        <v/>
      </c>
      <c r="AF2265" s="218" t="str">
        <f t="shared" si="450"/>
        <v/>
      </c>
      <c r="AG2265" s="2421" t="str">
        <f>IF(ISNA(INDEX(PoderesDeCriatura_AdquiridosNombres,MATCH(AG$2236&amp;$A28,Principal!$U$42:$U$69,0))),"",INDEX(PoderesDeCriatura_AdquiridosNombres,MATCH(AG$2236&amp;$A28,Principal!$U$42:$U$69,0)))</f>
        <v/>
      </c>
      <c r="AH2265" s="2422" t="str">
        <f>IF(ISNA(INDEX(PoderesDeCriatura_Adquiridos,MATCH(AG$2236&amp;$A28,Principal!$U$42:$U$69,0))),"",IF(INDEX(Principal!$AP$42:$AP$69,MATCH(AG$2236&amp;$A28,Principal!$U$42:$U$69,0))&gt;0,INDEX(Principal!$AF$42:$AF$69,MATCH(AG$2236&amp;$A28,Principal!$U$42:$U$69,0)),INDEX(PoderesDeCriatura_Adquiridos,MATCH(AG$2236&amp;$A28,Principal!$U$42:$U$69,0))))</f>
        <v/>
      </c>
      <c r="AI2265" s="218" t="str">
        <f t="shared" si="451"/>
        <v/>
      </c>
      <c r="AJ2265" s="2421" t="str">
        <f>IF(ISNA(INDEX(PoderesDeCriatura_AdquiridosNombres,MATCH(AJ$2236&amp;$A28,Principal!$U$42:$U$69,0))),"",INDEX(PoderesDeCriatura_AdquiridosNombres,MATCH(AJ$2236&amp;$A28,Principal!$U$42:$U$69,0)))</f>
        <v/>
      </c>
      <c r="AK2265" s="2422" t="str">
        <f>IF(ISNA(INDEX(PoderesDeCriatura_Adquiridos,MATCH(AJ$2236&amp;$A28,Principal!$U$42:$U$69,0))),"",IF(INDEX(Principal!$AP$42:$AP$69,MATCH(AJ$2236&amp;$A28,Principal!$U$42:$U$69,0))&gt;0,INDEX(Principal!$AF$42:$AF$69,MATCH(AJ$2236&amp;$A28,Principal!$U$42:$U$69,0)),INDEX(PoderesDeCriatura_Adquiridos,MATCH(AJ$2236&amp;$A28,Principal!$U$42:$U$69,0))))</f>
        <v/>
      </c>
      <c r="AL2265" s="218" t="str">
        <f t="shared" si="452"/>
        <v/>
      </c>
      <c r="AM2265" s="2421" t="str">
        <f>IF(ISNA(INDEX(PoderesDeCriatura_AdquiridosNombres,MATCH(AM$2236&amp;$A28,Principal!$U$42:$U$69,0))),"",INDEX(PoderesDeCriatura_AdquiridosNombres,MATCH(AM$2236&amp;$A28,Principal!$U$42:$U$69,0)))</f>
        <v/>
      </c>
      <c r="AN2265" s="2422" t="str">
        <f>IF(ISNA(INDEX(PoderesDeCriatura_Adquiridos,MATCH(AM$2236&amp;$A28,Principal!$U$42:$U$69,0))),"",IF(INDEX(Principal!$AP$42:$AP$69,MATCH(AM$2236&amp;$A28,Principal!$U$42:$U$69,0))&gt;0,INDEX(Principal!$AF$42:$AF$69,MATCH(AM$2236&amp;$A28,Principal!$U$42:$U$69,0)),INDEX(PoderesDeCriatura_Adquiridos,MATCH(AM$2236&amp;$A28,Principal!$U$42:$U$69,0))))</f>
        <v/>
      </c>
      <c r="AO2265" s="761" t="str">
        <f t="shared" si="453"/>
        <v/>
      </c>
      <c r="AP2265" s="758" t="str">
        <f>IF(OR(AQ2265=0,ISNUMBER(MATCH(AQ2265,$AQ$2239:$AQ2264,0))),"",MAX($AP$2238:AP2264)+1)</f>
        <v/>
      </c>
      <c r="AQ2265" s="1174">
        <f>Principal!V68</f>
        <v>0</v>
      </c>
    </row>
    <row r="2266" spans="1:43" ht="12.75" customHeight="1">
      <c r="A2266" s="219">
        <v>2160</v>
      </c>
      <c r="B2266" s="7145"/>
      <c r="J2266" s="750" t="str">
        <f>IF(ISNA(VLOOKUP(A30,Principal!$S$42:$AH$69,10,FALSE)),"",IF(VLOOKUP(A30,Principal!$S$42:$AH$69,10,FALSE)=0,"",INDEX(PoderesDeCriatura_Adquiridos,MATCH(A30,Principal!$S$42:$S$69,0))))</f>
        <v/>
      </c>
      <c r="K2266" s="2420" t="str">
        <f>IF(AND(COUNTA($K$2237:K2265)-COUNTBLANK($K$2237:K2265)&gt;0,J2266&lt;&gt;""),", ","")&amp;J2266</f>
        <v/>
      </c>
      <c r="L2266" s="2423" t="str">
        <f>IF(ISNA(INDEX(PoderesDeCriatura_AdquiridosNombres,MATCH(L$2236&amp;$A29,Principal!$U$42:$U$69,0))),"",INDEX(PoderesDeCriatura_AdquiridosNombres,MATCH(L$2236&amp;$A29,Principal!$U$42:$U$69,0)))</f>
        <v/>
      </c>
      <c r="M2266" s="2424" t="str">
        <f>IF(ISNA(INDEX(PoderesDeCriatura_Adquiridos,MATCH(L$2236&amp;$A29,Principal!$U$42:$U$69,0))),"",IF(INDEX(Principal!$AP$42:$AP$69,MATCH(L$2236&amp;$A29,Principal!$U$42:$U$69,0))&gt;0,INDEX(Principal!$AF$42:$AF$69,MATCH(L$2236&amp;$A29,Principal!$U$42:$U$69,0)),INDEX(PoderesDeCriatura_Adquiridos,MATCH(L$2236&amp;$A29,Principal!$U$42:$U$69,0))))</f>
        <v/>
      </c>
      <c r="N2266" s="2420" t="str">
        <f t="shared" si="444"/>
        <v/>
      </c>
      <c r="O2266" s="2423" t="str">
        <f>IF(ISNA(INDEX(PoderesDeCriatura_AdquiridosNombres,MATCH(O$2236&amp;$A29,Principal!$U$42:$U$69,0))),"",INDEX(PoderesDeCriatura_AdquiridosNombres,MATCH(O$2236&amp;$A29,Principal!$U$42:$U$69,0)))</f>
        <v/>
      </c>
      <c r="P2266" s="2424" t="str">
        <f>IF(ISNA(INDEX(PoderesDeCriatura_Adquiridos,MATCH(O$2236&amp;$A29,Principal!$U$42:$U$69,0))),"",IF(INDEX(Principal!$AP$42:$AP$69,MATCH(O$2236&amp;$A29,Principal!$U$42:$U$69,0))&gt;0,INDEX(Principal!$AF$42:$AF$69,MATCH(O$2236&amp;$A29,Principal!$U$42:$U$69,0)),INDEX(PoderesDeCriatura_Adquiridos,MATCH(O$2236&amp;$A29,Principal!$U$42:$U$69,0))))</f>
        <v/>
      </c>
      <c r="Q2266" s="2420" t="str">
        <f t="shared" si="445"/>
        <v/>
      </c>
      <c r="R2266" s="2423" t="str">
        <f>IF(ISNA(INDEX(PoderesDeCriatura_AdquiridosNombres,MATCH(R$2236&amp;$A29,Principal!$U$42:$U$69,0))),"",INDEX(PoderesDeCriatura_AdquiridosNombres,MATCH(R$2236&amp;$A29,Principal!$U$42:$U$69,0)))</f>
        <v/>
      </c>
      <c r="S2266" s="2424" t="str">
        <f>IF(ISNA(INDEX(PoderesDeCriatura_Adquiridos,MATCH(R$2236&amp;$A29,Principal!$U$42:$U$69,0))),"",IF(INDEX(Principal!$AP$42:$AP$69,MATCH(R$2236&amp;$A29,Principal!$U$42:$U$69,0))&gt;0,INDEX(Principal!$AF$42:$AF$69,MATCH(R$2236&amp;$A29,Principal!$U$42:$U$69,0)),INDEX(PoderesDeCriatura_Adquiridos,MATCH(R$2236&amp;$A29,Principal!$U$42:$U$69,0))))</f>
        <v/>
      </c>
      <c r="T2266" s="2420" t="str">
        <f t="shared" si="446"/>
        <v/>
      </c>
      <c r="U2266" s="2423" t="str">
        <f>IF(ISNA(INDEX(PoderesDeCriatura_AdquiridosNombres,MATCH(U$2236&amp;$A29,Principal!$U$42:$U$69,0))),"",INDEX(PoderesDeCriatura_AdquiridosNombres,MATCH(U$2236&amp;$A29,Principal!$U$42:$U$69,0)))</f>
        <v/>
      </c>
      <c r="V2266" s="2424" t="str">
        <f>IF(ISNA(INDEX(PoderesDeCriatura_Adquiridos,MATCH(U$2236&amp;$A29,Principal!$U$42:$U$69,0))),"",IF(INDEX(Principal!$AP$42:$AP$69,MATCH(U$2236&amp;$A29,Principal!$U$42:$U$69,0))&gt;0,INDEX(Principal!$AF$42:$AF$69,MATCH(U$2236&amp;$A29,Principal!$U$42:$U$69,0)),INDEX(PoderesDeCriatura_Adquiridos,MATCH(U$2236&amp;$A29,Principal!$U$42:$U$69,0))))</f>
        <v/>
      </c>
      <c r="W2266" s="2420" t="str">
        <f t="shared" si="447"/>
        <v/>
      </c>
      <c r="X2266" s="2423" t="str">
        <f>IF(ISNA(INDEX(PoderesDeCriatura_AdquiridosNombres,MATCH(X$2236&amp;$A29,Principal!$U$42:$U$69,0))),"",INDEX(PoderesDeCriatura_AdquiridosNombres,MATCH(X$2236&amp;$A29,Principal!$U$42:$U$69,0)))</f>
        <v/>
      </c>
      <c r="Y2266" s="2424" t="str">
        <f>IF(ISNA(INDEX(PoderesDeCriatura_Adquiridos,MATCH(X$2236&amp;$A29,Principal!$U$42:$U$69,0))),"",IF(INDEX(Principal!$AP$42:$AP$69,MATCH(X$2236&amp;$A29,Principal!$U$42:$U$69,0))&gt;0,INDEX(Principal!$AF$42:$AF$69,MATCH(X$2236&amp;$A29,Principal!$U$42:$U$69,0)),INDEX(PoderesDeCriatura_Adquiridos,MATCH(X$2236&amp;$A29,Principal!$U$42:$U$69,0))))</f>
        <v/>
      </c>
      <c r="Z2266" s="2420" t="str">
        <f t="shared" si="448"/>
        <v/>
      </c>
      <c r="AA2266" s="2423" t="str">
        <f>IF(ISNA(INDEX(PoderesDeCriatura_AdquiridosNombres,MATCH(AA$2236&amp;$A29,Principal!$U$42:$U$69,0))),"",INDEX(PoderesDeCriatura_AdquiridosNombres,MATCH(AA$2236&amp;$A29,Principal!$U$42:$U$69,0)))</f>
        <v/>
      </c>
      <c r="AB2266" s="2424" t="str">
        <f>IF(ISNA(INDEX(PoderesDeCriatura_Adquiridos,MATCH(AA$2236&amp;$A29,Principal!$U$42:$U$69,0))),"",IF(INDEX(Principal!$AP$42:$AP$69,MATCH(AA$2236&amp;$A29,Principal!$U$42:$U$69,0))&gt;0,INDEX(Principal!$AF$42:$AF$69,MATCH(AA$2236&amp;$A29,Principal!$U$42:$U$69,0)),INDEX(PoderesDeCriatura_Adquiridos,MATCH(AA$2236&amp;$A29,Principal!$U$42:$U$69,0))))</f>
        <v/>
      </c>
      <c r="AC2266" s="2420" t="str">
        <f t="shared" si="449"/>
        <v/>
      </c>
      <c r="AD2266" s="2423" t="str">
        <f>IF(ISNA(INDEX(PoderesDeCriatura_AdquiridosNombres,MATCH(AD$2236&amp;$A29,Principal!$U$42:$U$69,0))),"",INDEX(PoderesDeCriatura_AdquiridosNombres,MATCH(AD$2236&amp;$A29,Principal!$U$42:$U$69,0)))</f>
        <v/>
      </c>
      <c r="AE2266" s="2424" t="str">
        <f>IF(ISNA(INDEX(PoderesDeCriatura_Adquiridos,MATCH(AD$2236&amp;$A29,Principal!$U$42:$U$69,0))),"",IF(INDEX(Principal!$AP$42:$AP$69,MATCH(AD$2236&amp;$A29,Principal!$U$42:$U$69,0))&gt;0,INDEX(Principal!$AF$42:$AF$69,MATCH(AD$2236&amp;$A29,Principal!$U$42:$U$69,0)),INDEX(PoderesDeCriatura_Adquiridos,MATCH(AD$2236&amp;$A29,Principal!$U$42:$U$69,0))))</f>
        <v/>
      </c>
      <c r="AF2266" s="2420" t="str">
        <f t="shared" si="450"/>
        <v/>
      </c>
      <c r="AG2266" s="2423" t="str">
        <f>IF(ISNA(INDEX(PoderesDeCriatura_AdquiridosNombres,MATCH(AG$2236&amp;$A29,Principal!$U$42:$U$69,0))),"",INDEX(PoderesDeCriatura_AdquiridosNombres,MATCH(AG$2236&amp;$A29,Principal!$U$42:$U$69,0)))</f>
        <v/>
      </c>
      <c r="AH2266" s="2424" t="str">
        <f>IF(ISNA(INDEX(PoderesDeCriatura_Adquiridos,MATCH(AG$2236&amp;$A29,Principal!$U$42:$U$69,0))),"",IF(INDEX(Principal!$AP$42:$AP$69,MATCH(AG$2236&amp;$A29,Principal!$U$42:$U$69,0))&gt;0,INDEX(Principal!$AF$42:$AF$69,MATCH(AG$2236&amp;$A29,Principal!$U$42:$U$69,0)),INDEX(PoderesDeCriatura_Adquiridos,MATCH(AG$2236&amp;$A29,Principal!$U$42:$U$69,0))))</f>
        <v/>
      </c>
      <c r="AI2266" s="2420" t="str">
        <f t="shared" si="451"/>
        <v/>
      </c>
      <c r="AJ2266" s="2423" t="str">
        <f>IF(ISNA(INDEX(PoderesDeCriatura_AdquiridosNombres,MATCH(AJ$2236&amp;$A29,Principal!$U$42:$U$69,0))),"",INDEX(PoderesDeCriatura_AdquiridosNombres,MATCH(AJ$2236&amp;$A29,Principal!$U$42:$U$69,0)))</f>
        <v/>
      </c>
      <c r="AK2266" s="2424" t="str">
        <f>IF(ISNA(INDEX(PoderesDeCriatura_Adquiridos,MATCH(AJ$2236&amp;$A29,Principal!$U$42:$U$69,0))),"",IF(INDEX(Principal!$AP$42:$AP$69,MATCH(AJ$2236&amp;$A29,Principal!$U$42:$U$69,0))&gt;0,INDEX(Principal!$AF$42:$AF$69,MATCH(AJ$2236&amp;$A29,Principal!$U$42:$U$69,0)),INDEX(PoderesDeCriatura_Adquiridos,MATCH(AJ$2236&amp;$A29,Principal!$U$42:$U$69,0))))</f>
        <v/>
      </c>
      <c r="AL2266" s="2420" t="str">
        <f t="shared" si="452"/>
        <v/>
      </c>
      <c r="AM2266" s="2423" t="str">
        <f>IF(ISNA(INDEX(PoderesDeCriatura_AdquiridosNombres,MATCH(AM$2236&amp;$A29,Principal!$U$42:$U$69,0))),"",INDEX(PoderesDeCriatura_AdquiridosNombres,MATCH(AM$2236&amp;$A29,Principal!$U$42:$U$69,0)))</f>
        <v/>
      </c>
      <c r="AN2266" s="2424" t="str">
        <f>IF(ISNA(INDEX(PoderesDeCriatura_Adquiridos,MATCH(AM$2236&amp;$A29,Principal!$U$42:$U$69,0))),"",IF(INDEX(Principal!$AP$42:$AP$69,MATCH(AM$2236&amp;$A29,Principal!$U$42:$U$69,0))&gt;0,INDEX(Principal!$AF$42:$AF$69,MATCH(AM$2236&amp;$A29,Principal!$U$42:$U$69,0)),INDEX(PoderesDeCriatura_Adquiridos,MATCH(AM$2236&amp;$A29,Principal!$U$42:$U$69,0))))</f>
        <v/>
      </c>
      <c r="AO2266" s="2425" t="str">
        <f t="shared" si="453"/>
        <v/>
      </c>
      <c r="AP2266" s="1175" t="str">
        <f>IF(OR(AQ2266=0,ISNUMBER(MATCH(AQ2266,$AQ$2239:$AQ2265,0))),"",MAX($AP$2238:AP2265)+1)</f>
        <v/>
      </c>
      <c r="AQ2266" s="1176">
        <f>Principal!V69</f>
        <v>0</v>
      </c>
    </row>
    <row r="2267" spans="1:43" ht="12.75" customHeight="1">
      <c r="A2267" s="219">
        <v>2161</v>
      </c>
      <c r="B2267" s="7145"/>
      <c r="J2267" s="7902" t="str">
        <f>K2237&amp;K2238&amp;K2239&amp;K2240&amp;K2241&amp;K2242&amp;K2243&amp;K2244&amp;K2245&amp;K2246&amp;K2247&amp;K2248&amp;K2249&amp;K2250&amp;K2251&amp;K2252&amp;K2253&amp;K2254&amp;K2255&amp;K2256&amp;K2257&amp;K2258&amp;K2259&amp;K2261&amp;K2260&amp;K2262&amp;K2263&amp;K2265&amp;K2264&amp;K2266</f>
        <v/>
      </c>
      <c r="K2267" s="7903"/>
      <c r="L2267" s="7915" t="str">
        <f>IF(L2236="","",L2236&amp;" ("&amp;N2238&amp;N2239&amp;N2240&amp;N2241&amp;N2242&amp;N2243&amp;N2244&amp;N2245&amp;N2246&amp;N2247&amp;N2248&amp;N2249&amp;N2250&amp;N2251&amp;N2252&amp;N2253&amp;N2254&amp;N2255&amp;N2256&amp;N2257&amp;N2258&amp;N2259&amp;N2260&amp;N2261&amp;N2262&amp;N2263&amp;N2264&amp;N2265&amp;N2266&amp;")")</f>
        <v/>
      </c>
      <c r="M2267" s="7916"/>
      <c r="N2267" s="7917"/>
      <c r="O2267" s="7915" t="str">
        <f>IF(O2236="","",O2236&amp;" ("&amp;Q2238&amp;Q2239&amp;Q2240&amp;Q2241&amp;Q2242&amp;Q2243&amp;Q2244&amp;Q2245&amp;Q2246&amp;Q2247&amp;Q2248&amp;Q2249&amp;Q2250&amp;Q2251&amp;Q2252&amp;Q2253&amp;Q2254&amp;Q2255&amp;Q2256&amp;Q2257&amp;Q2258&amp;Q2259&amp;Q2260&amp;Q2261&amp;Q2262&amp;Q2263&amp;Q2264&amp;Q2265&amp;Q2266&amp;")")</f>
        <v/>
      </c>
      <c r="P2267" s="7916"/>
      <c r="Q2267" s="7917"/>
      <c r="R2267" s="7915" t="str">
        <f>IF(R2236="","",R2236&amp;" ("&amp;T2238&amp;T2239&amp;T2240&amp;T2241&amp;T2242&amp;T2243&amp;T2244&amp;T2245&amp;T2246&amp;T2247&amp;T2248&amp;T2249&amp;T2250&amp;T2251&amp;T2252&amp;T2253&amp;T2254&amp;T2255&amp;T2256&amp;T2257&amp;T2258&amp;T2259&amp;T2260&amp;T2261&amp;T2262&amp;T2263&amp;T2264&amp;T2265&amp;T2266&amp;")")</f>
        <v/>
      </c>
      <c r="S2267" s="7916"/>
      <c r="T2267" s="7917"/>
      <c r="U2267" s="7915" t="str">
        <f>IF(U2236="","",U2236&amp;" ("&amp;W2238&amp;W2239&amp;W2240&amp;W2241&amp;W2242&amp;W2243&amp;W2244&amp;W2245&amp;W2246&amp;W2247&amp;W2248&amp;W2249&amp;W2250&amp;W2251&amp;W2252&amp;W2253&amp;W2254&amp;W2255&amp;W2256&amp;W2257&amp;W2258&amp;W2259&amp;W2260&amp;W2261&amp;W2262&amp;W2263&amp;W2264&amp;W2265&amp;W2266&amp;")")</f>
        <v/>
      </c>
      <c r="V2267" s="7916"/>
      <c r="W2267" s="7917"/>
      <c r="X2267" s="7915" t="str">
        <f>IF(X2236="","",X2236&amp;" ("&amp;Z2238&amp;Z2239&amp;Z2240&amp;Z2241&amp;Z2242&amp;Z2243&amp;Z2244&amp;Z2245&amp;Z2246&amp;Z2247&amp;Z2248&amp;Z2249&amp;Z2250&amp;Z2251&amp;Z2252&amp;Z2253&amp;Z2254&amp;Z2255&amp;Z2256&amp;Z2257&amp;Z2258&amp;Z2259&amp;Z2260&amp;Z2261&amp;Z2262&amp;Z2263&amp;Z2264&amp;Z2265&amp;Z2266&amp;")")</f>
        <v/>
      </c>
      <c r="Y2267" s="7916"/>
      <c r="Z2267" s="7917"/>
      <c r="AA2267" s="7915" t="str">
        <f>IF(AA2236="","",AA2236&amp;" ("&amp;AC2238&amp;AC2239&amp;AC2240&amp;AC2241&amp;AC2242&amp;AC2243&amp;AC2244&amp;AC2245&amp;AC2246&amp;AC2247&amp;AC2248&amp;AC2249&amp;AC2250&amp;AC2251&amp;AC2252&amp;AC2253&amp;AC2254&amp;AC2255&amp;AC2256&amp;AC2257&amp;AC2258&amp;AC2259&amp;AC2260&amp;AC2261&amp;AC2262&amp;AC2263&amp;AC2264&amp;AC2265&amp;AC2266&amp;")")</f>
        <v/>
      </c>
      <c r="AB2267" s="7916"/>
      <c r="AC2267" s="7917"/>
      <c r="AD2267" s="7911" t="str">
        <f>IF(AD2236="","",AD2236&amp;" ("&amp;AF2238&amp;AF2239&amp;AF2240&amp;AF2241&amp;AF2242&amp;AF2243&amp;AF2244&amp;AF2245&amp;AF2246&amp;AF2247&amp;AF2248&amp;AF2249&amp;AF2250&amp;AF2251&amp;AF2252&amp;AF2253&amp;AF2254&amp;AF2255&amp;AF2256&amp;AF2257&amp;AF2258&amp;AF2259&amp;AF2260&amp;AF2261&amp;AF2262&amp;AF2263&amp;AF2264&amp;AF2265&amp;AF2266&amp;")")</f>
        <v/>
      </c>
      <c r="AE2267" s="7912"/>
      <c r="AF2267" s="7914"/>
      <c r="AG2267" s="7911" t="str">
        <f>IF(AG2236="","",AG2236&amp;" ("&amp;AI2238&amp;AI2239&amp;AI2240&amp;AI2241&amp;AI2242&amp;AI2243&amp;AI2244&amp;AI2245&amp;AI2246&amp;AI2247&amp;AI2248&amp;AI2249&amp;AI2250&amp;AI2251&amp;AI2252&amp;AI2253&amp;AI2254&amp;AI2255&amp;AI2256&amp;AI2257&amp;AI2258&amp;AI2259&amp;AI2260&amp;AI2261&amp;AI2262&amp;AI2263&amp;AI2264&amp;AI2265&amp;AI2266&amp;")")</f>
        <v/>
      </c>
      <c r="AH2267" s="7912"/>
      <c r="AI2267" s="7914"/>
      <c r="AJ2267" s="7911" t="str">
        <f>IF(AJ2236="","",AJ2236&amp;" ("&amp;AL2238&amp;AL2239&amp;AL2240&amp;AL2241&amp;AL2242&amp;AL2243&amp;AL2244&amp;AL2245&amp;AL2246&amp;AL2247&amp;AL2248&amp;AL2249&amp;AL2250&amp;AL2251&amp;AL2252&amp;AL2253&amp;AL2254&amp;AL2255&amp;AL2256&amp;AL2257&amp;AL2258&amp;AL2259&amp;AL2260&amp;AL2261&amp;AL2262&amp;AL2263&amp;AL2264&amp;AL2265&amp;AL2266&amp;")")</f>
        <v/>
      </c>
      <c r="AK2267" s="7912"/>
      <c r="AL2267" s="7914"/>
      <c r="AM2267" s="7911" t="str">
        <f>IF(AM2236="","",AM2236&amp;" ("&amp;AO2238&amp;AO2239&amp;AO2240&amp;AO2241&amp;AO2242&amp;AO2243&amp;AO2244&amp;AO2245&amp;AO2246&amp;AO2247&amp;AO2248&amp;AO2249&amp;AO2250&amp;AO2251&amp;AO2252&amp;AO2253&amp;AO2254&amp;AO2255&amp;AO2256&amp;AO2257&amp;AO2258&amp;AO2259&amp;AO2260&amp;AO2261&amp;AO2262&amp;AO2263&amp;AO2264&amp;AO2265&amp;AO2266&amp;")")</f>
        <v/>
      </c>
      <c r="AN2267" s="7912"/>
      <c r="AO2267" s="7913"/>
    </row>
    <row r="2268" spans="1:43" ht="12.75" customHeight="1">
      <c r="A2268" s="219">
        <v>2162</v>
      </c>
      <c r="B2268" s="7145"/>
      <c r="J2268" s="7902"/>
      <c r="K2268" s="7903"/>
      <c r="L2268" s="8194" t="str">
        <f>L2267&amp;IF(O2267="","",", "&amp;O2267)&amp;IF(R2267="","",", "&amp;R2267)&amp;IF(U2267="","",", "&amp;U2267)&amp;IF(X2267="","",", "&amp;X2267)&amp;IF(AA2267="","",", "&amp;AA2267)&amp;IF(AD2267="","",", "&amp;AD2267)&amp;IF(AG2267="","",", "&amp;AG2267)&amp;IF(AJ2267="","",", "&amp;AJ2267)&amp;IF(AM2267="","",", "&amp;AM2267)</f>
        <v/>
      </c>
      <c r="M2268" s="8195"/>
      <c r="N2268" s="8195"/>
      <c r="O2268" s="8195"/>
      <c r="P2268" s="8195"/>
      <c r="Q2268" s="8195"/>
      <c r="R2268" s="8195"/>
      <c r="S2268" s="8195"/>
      <c r="T2268" s="8195"/>
      <c r="U2268" s="8195"/>
      <c r="V2268" s="8195"/>
      <c r="W2268" s="8195"/>
      <c r="X2268" s="8195"/>
      <c r="Y2268" s="8195"/>
      <c r="Z2268" s="8195"/>
      <c r="AA2268" s="8195"/>
      <c r="AB2268" s="8195"/>
      <c r="AC2268" s="8195"/>
      <c r="AD2268" s="8195"/>
      <c r="AE2268" s="8195"/>
      <c r="AF2268" s="8195"/>
      <c r="AG2268" s="8195"/>
      <c r="AH2268" s="8195"/>
      <c r="AI2268" s="8195"/>
      <c r="AJ2268" s="8195"/>
      <c r="AK2268" s="8195"/>
      <c r="AL2268" s="8195"/>
      <c r="AM2268" s="8195"/>
      <c r="AN2268" s="8195"/>
      <c r="AO2268" s="8196"/>
    </row>
    <row r="2269" spans="1:43" ht="12.75" customHeight="1">
      <c r="A2269" s="219">
        <v>2163</v>
      </c>
      <c r="B2269" s="7145"/>
      <c r="J2269" s="7905" t="str">
        <f>L2268&amp;IF(OR(L2268="",J2267=""),"",", ")&amp;J2267</f>
        <v/>
      </c>
      <c r="K2269" s="7906"/>
      <c r="L2269" s="7906"/>
      <c r="M2269" s="7906"/>
      <c r="N2269" s="7906"/>
      <c r="O2269" s="7906"/>
      <c r="P2269" s="7906"/>
      <c r="Q2269" s="7906"/>
      <c r="R2269" s="7906"/>
      <c r="S2269" s="7906"/>
      <c r="T2269" s="7906"/>
      <c r="U2269" s="7906"/>
      <c r="V2269" s="7906"/>
      <c r="W2269" s="7906"/>
      <c r="X2269" s="7906"/>
      <c r="Y2269" s="7906"/>
      <c r="Z2269" s="7906"/>
      <c r="AA2269" s="7906"/>
      <c r="AB2269" s="7906"/>
      <c r="AC2269" s="7906"/>
      <c r="AD2269" s="7906"/>
      <c r="AE2269" s="7906"/>
      <c r="AF2269" s="7906"/>
      <c r="AG2269" s="7906"/>
      <c r="AH2269" s="7906"/>
      <c r="AI2269" s="7906"/>
      <c r="AJ2269" s="7906"/>
      <c r="AK2269" s="7906"/>
      <c r="AL2269" s="7906"/>
      <c r="AM2269" s="7906"/>
      <c r="AN2269" s="7906"/>
      <c r="AO2269" s="7907"/>
    </row>
    <row r="2270" spans="1:43" ht="12.75" customHeight="1" thickBot="1">
      <c r="A2270" s="219">
        <v>2164</v>
      </c>
      <c r="B2270" s="7145"/>
      <c r="J2270" s="7908"/>
      <c r="K2270" s="7909"/>
      <c r="L2270" s="7909"/>
      <c r="M2270" s="7909"/>
      <c r="N2270" s="7909"/>
      <c r="O2270" s="7909"/>
      <c r="P2270" s="7909"/>
      <c r="Q2270" s="7909"/>
      <c r="R2270" s="7909"/>
      <c r="S2270" s="7909"/>
      <c r="T2270" s="7909"/>
      <c r="U2270" s="7909"/>
      <c r="V2270" s="7909"/>
      <c r="W2270" s="7909"/>
      <c r="X2270" s="7909"/>
      <c r="Y2270" s="7909"/>
      <c r="Z2270" s="7909"/>
      <c r="AA2270" s="7909"/>
      <c r="AB2270" s="7909"/>
      <c r="AC2270" s="7909"/>
      <c r="AD2270" s="7909"/>
      <c r="AE2270" s="7909"/>
      <c r="AF2270" s="7909"/>
      <c r="AG2270" s="7909"/>
      <c r="AH2270" s="7909"/>
      <c r="AI2270" s="7909"/>
      <c r="AJ2270" s="7909"/>
      <c r="AK2270" s="7909"/>
      <c r="AL2270" s="7909"/>
      <c r="AM2270" s="7909"/>
      <c r="AN2270" s="7909"/>
      <c r="AO2270" s="7910"/>
    </row>
    <row r="2271" spans="1:43" ht="12.75" customHeight="1">
      <c r="A2271" s="219">
        <v>2165</v>
      </c>
      <c r="B2271" s="7145"/>
      <c r="J2271" s="759"/>
      <c r="K2271" s="759"/>
      <c r="L2271" s="759"/>
      <c r="M2271" s="759"/>
      <c r="N2271" s="759"/>
      <c r="O2271" s="759"/>
      <c r="P2271" s="759"/>
      <c r="Q2271" s="759"/>
      <c r="R2271" s="759"/>
      <c r="S2271" s="759"/>
      <c r="T2271" s="759"/>
    </row>
    <row r="2272" spans="1:43" ht="12.75" customHeight="1">
      <c r="A2272" s="219">
        <v>2166</v>
      </c>
      <c r="B2272" s="7145"/>
      <c r="J2272" s="759"/>
      <c r="K2272" s="759"/>
      <c r="L2272" s="759"/>
      <c r="M2272" s="759"/>
      <c r="N2272" s="759"/>
      <c r="O2272" s="759"/>
      <c r="P2272" s="759"/>
      <c r="Q2272" s="759"/>
      <c r="R2272" s="759"/>
      <c r="S2272" s="759"/>
      <c r="T2272" s="759"/>
    </row>
    <row r="2273" spans="1:15" ht="12.75" customHeight="1">
      <c r="A2273" s="219">
        <v>2167</v>
      </c>
      <c r="B2273" s="7145"/>
      <c r="N2273"/>
      <c r="O2273" s="510"/>
    </row>
    <row r="2274" spans="1:15" ht="12.75" customHeight="1">
      <c r="A2274" s="219">
        <v>2168</v>
      </c>
      <c r="B2274" s="7145"/>
      <c r="N2274"/>
      <c r="O2274" s="510"/>
    </row>
    <row r="2275" spans="1:15" ht="12.75" customHeight="1">
      <c r="A2275" s="219">
        <v>2169</v>
      </c>
    </row>
    <row r="2276" spans="1:15" ht="12.75" customHeight="1">
      <c r="A2276" s="219">
        <v>2170</v>
      </c>
    </row>
    <row r="2277" spans="1:15" ht="12.75" customHeight="1">
      <c r="A2277" s="219">
        <v>2171</v>
      </c>
    </row>
    <row r="2278" spans="1:15" ht="12.75" customHeight="1">
      <c r="A2278" s="219">
        <v>2172</v>
      </c>
    </row>
    <row r="2279" spans="1:15" ht="12.75" customHeight="1">
      <c r="A2279" s="219">
        <v>2173</v>
      </c>
    </row>
    <row r="2280" spans="1:15" ht="12.75" customHeight="1">
      <c r="A2280" s="219">
        <v>2174</v>
      </c>
    </row>
    <row r="2281" spans="1:15" ht="12.75" customHeight="1">
      <c r="A2281" s="219">
        <v>2175</v>
      </c>
    </row>
    <row r="2282" spans="1:15" ht="12.75" customHeight="1">
      <c r="A2282" s="219">
        <v>2176</v>
      </c>
    </row>
    <row r="2283" spans="1:15" ht="12.75" customHeight="1">
      <c r="A2283" s="219">
        <v>2177</v>
      </c>
    </row>
    <row r="2284" spans="1:15" ht="12.75" customHeight="1">
      <c r="A2284" s="219">
        <v>2178</v>
      </c>
    </row>
    <row r="2285" spans="1:15" ht="12.75" customHeight="1">
      <c r="A2285" s="219">
        <v>2179</v>
      </c>
    </row>
    <row r="2286" spans="1:15" ht="12.75" customHeight="1">
      <c r="A2286" s="219">
        <v>2180</v>
      </c>
      <c r="C2286" s="4654" t="s">
        <v>600</v>
      </c>
      <c r="D2286" s="4654"/>
      <c r="E2286" s="4654"/>
      <c r="F2286" s="4654"/>
      <c r="G2286" s="4654"/>
      <c r="H2286"/>
      <c r="I2286" s="510"/>
    </row>
    <row r="2287" spans="1:15" ht="12.75" customHeight="1">
      <c r="A2287" s="219">
        <v>2181</v>
      </c>
      <c r="C2287" s="7889"/>
      <c r="D2287" s="7889"/>
      <c r="E2287" s="7889"/>
      <c r="F2287" s="7889"/>
      <c r="G2287" s="7889"/>
      <c r="H2287"/>
      <c r="I2287" s="510"/>
    </row>
    <row r="2288" spans="1:15" ht="12.75" customHeight="1">
      <c r="A2288" s="219">
        <v>2182</v>
      </c>
      <c r="C2288" s="3467" t="s">
        <v>2475</v>
      </c>
      <c r="D2288" s="3468" t="s">
        <v>1225</v>
      </c>
      <c r="E2288" s="3468" t="s">
        <v>8094</v>
      </c>
      <c r="F2288" s="3469" t="s">
        <v>5979</v>
      </c>
      <c r="G2288" s="3470" t="s">
        <v>6656</v>
      </c>
      <c r="H2288"/>
      <c r="I2288" s="510"/>
    </row>
    <row r="2289" spans="1:9" ht="12.75" customHeight="1">
      <c r="A2289" s="219">
        <v>2183</v>
      </c>
      <c r="C2289" s="3471" t="str" cm="1">
        <f t="array" ref="C2289">IF(D2289="","",COUNTIF($D$2289:$D$2341,"&lt;="&amp;D2289)-SUMPRODUCT(--($D$2289:$D$2341="")))</f>
        <v/>
      </c>
      <c r="D2289" s="3433" t="str">
        <f>IF(Combate!AL11=" ","",Combate!AL11)</f>
        <v/>
      </c>
      <c r="E2289" s="3433" t="str">
        <f t="shared" ref="E2289:E2294" si="454">D2289</f>
        <v/>
      </c>
      <c r="F2289" s="3472" t="str">
        <f>IF(ISNA(VLOOKUP(MIN($C$2289:$C$2341)+A1-1,$C$2289:$E$2341,3,0)),"",VLOOKUP(MIN($C$2289:$C$2341)+A1-1,$C$2289:$E$2341,3,0))</f>
        <v/>
      </c>
      <c r="G2289" s="7899" t="str">
        <f>F2289&amp;F2290&amp;F2291&amp;F2292&amp;F2293&amp;F2294&amp;F2295&amp;F2296&amp;F2297&amp;F2298&amp;F2299&amp;F2300&amp;F2301&amp;F2302&amp;F2303&amp;F2304&amp;F2305&amp;F2306&amp;F2307&amp;F2308&amp;F2309&amp;F2310&amp;F2311&amp;F2312&amp;F2313&amp;F2315&amp;F2314&amp;F2316&amp;F2317&amp;F2318&amp;F2319&amp;F2320&amp;F2321&amp;F2322&amp;F2323&amp;F2324&amp;F2325&amp;F2326&amp;F2327&amp;F2328&amp;F2329&amp;F2330&amp;F2331</f>
        <v/>
      </c>
      <c r="H2289"/>
      <c r="I2289" s="510"/>
    </row>
    <row r="2290" spans="1:9" ht="12.75" customHeight="1">
      <c r="A2290" s="219">
        <v>2184</v>
      </c>
      <c r="C2290" s="776" t="str" cm="1">
        <f t="array" ref="C2290">IF(D2290="","",COUNTIF($D$2289:$D$2341,"&lt;="&amp;D2290)-SUMPRODUCT(--($D$2289:$D$2341="")))</f>
        <v/>
      </c>
      <c r="D2290" s="3433" t="str">
        <f>IF(Combate!AL11=" ","",Combate!AL11)</f>
        <v/>
      </c>
      <c r="E2290" s="3433" t="str">
        <f t="shared" si="454"/>
        <v/>
      </c>
      <c r="F2290" s="757" t="str">
        <f t="shared" ref="F2290:F2321" si="455">IF(ISNA(VLOOKUP(MIN($C$2289:$C$2341)+A2-1,$C$2289:$E$2341,3,0)),"",", "&amp;VLOOKUP(MIN($C$2289:$C$2341)+A2-1,$C$2289:$E$2341,3,0))</f>
        <v/>
      </c>
      <c r="G2290" s="7899"/>
      <c r="H2290"/>
      <c r="I2290" s="510"/>
    </row>
    <row r="2291" spans="1:9" ht="12.75" customHeight="1">
      <c r="A2291" s="219">
        <v>2185</v>
      </c>
      <c r="C2291" s="776" t="str" cm="1">
        <f t="array" ref="C2291">IF(D2291="","",COUNTIF($D$2289:$D$2341,"&lt;="&amp;D2291)-SUMPRODUCT(--($D$2289:$D$2341="")))</f>
        <v/>
      </c>
      <c r="D2291" s="3433" t="str">
        <f>IF(Combate!AL12=" ","",Combate!AL12)</f>
        <v/>
      </c>
      <c r="E2291" s="3433" t="str">
        <f t="shared" si="454"/>
        <v/>
      </c>
      <c r="F2291" s="757" t="str">
        <f t="shared" si="455"/>
        <v/>
      </c>
      <c r="G2291" s="7899"/>
    </row>
    <row r="2292" spans="1:9" ht="12.75" customHeight="1">
      <c r="A2292" s="219">
        <v>2186</v>
      </c>
      <c r="C2292" s="776" t="str" cm="1">
        <f t="array" ref="C2292">IF(D2292="","",COUNTIF($D$2289:$D$2341,"&lt;="&amp;D2292)-SUMPRODUCT(--($D$2289:$D$2341="")))</f>
        <v/>
      </c>
      <c r="D2292" s="3433" t="str">
        <f>IF(Combate!AL13=" ","",Combate!AL13)</f>
        <v/>
      </c>
      <c r="E2292" s="3433" t="str">
        <f t="shared" si="454"/>
        <v/>
      </c>
      <c r="F2292" s="757" t="str">
        <f t="shared" si="455"/>
        <v/>
      </c>
      <c r="G2292" s="7899"/>
    </row>
    <row r="2293" spans="1:9" ht="12.75" customHeight="1">
      <c r="A2293" s="219">
        <v>2187</v>
      </c>
      <c r="C2293" s="776" t="str" cm="1">
        <f t="array" ref="C2293">IF(D2293="","",COUNTIF($D$2289:$D$2341,"&lt;="&amp;D2293)-SUMPRODUCT(--($D$2289:$D$2341="")))</f>
        <v/>
      </c>
      <c r="D2293" s="3433" t="str">
        <f>IF(Combate!AL14=" ","",Combate!AL14)</f>
        <v/>
      </c>
      <c r="E2293" s="3433" t="str">
        <f t="shared" si="454"/>
        <v/>
      </c>
      <c r="F2293" s="757" t="str">
        <f t="shared" si="455"/>
        <v/>
      </c>
      <c r="G2293" s="7899"/>
    </row>
    <row r="2294" spans="1:9" ht="12.75" customHeight="1">
      <c r="A2294" s="219">
        <v>2188</v>
      </c>
      <c r="C2294" s="776" t="str" cm="1">
        <f t="array" ref="C2294">IF(D2294="","",COUNTIF($D$2289:$D$2341,"&lt;="&amp;D2294)-SUMPRODUCT(--($D$2289:$D$2341="")))</f>
        <v/>
      </c>
      <c r="D2294" s="3433" t="str">
        <f>IF(Combate!AL15=" ","",Combate!AL15)</f>
        <v/>
      </c>
      <c r="E2294" s="756" t="str">
        <f t="shared" si="454"/>
        <v/>
      </c>
      <c r="F2294" s="757" t="str">
        <f t="shared" si="455"/>
        <v/>
      </c>
      <c r="G2294" s="7899"/>
    </row>
    <row r="2295" spans="1:9" ht="12.75" customHeight="1">
      <c r="A2295" s="219">
        <v>2189</v>
      </c>
      <c r="C2295" s="776" t="str" cm="1">
        <f t="array" ref="C2295">IF(D2295="","",COUNTIF($D$2289:$D$2341,"&lt;="&amp;D2295)-SUMPRODUCT(--($D$2289:$D$2341="")))</f>
        <v/>
      </c>
      <c r="D2295" s="3433" t="str">
        <f>IFERROR(LEFT(H2295,FIND("(",H2295)-2),H2295)</f>
        <v/>
      </c>
      <c r="E2295" s="3433" t="str">
        <f t="shared" ref="E2295:E2304" si="456">D2295&amp;IF(ISNUMBER(I2295)," ("&amp;SUMIFS($I$2290:$I$2299,$D$2290:$D$2299,D2295)&amp;")","")</f>
        <v/>
      </c>
      <c r="F2295" s="757" t="str">
        <f t="shared" si="455"/>
        <v/>
      </c>
      <c r="G2295" s="7900"/>
      <c r="H2295" s="3475" t="str">
        <f>Combate!AB19</f>
        <v/>
      </c>
      <c r="I2295" s="3476" t="str">
        <f>IFERROR(VALUE(MID(H2295,FIND("(",H2295)+1,LEN(H2295)-1-FIND("(",H2295))),"")</f>
        <v/>
      </c>
    </row>
    <row r="2296" spans="1:9" ht="12.75" customHeight="1">
      <c r="A2296" s="219">
        <v>2190</v>
      </c>
      <c r="C2296" s="776" t="str" cm="1">
        <f t="array" ref="C2296">IF(D2296="","",COUNTIF($D$2289:$D$2341,"&lt;="&amp;D2296)-SUMPRODUCT(--($D$2289:$D$2341="")))</f>
        <v/>
      </c>
      <c r="D2296" s="3433" t="str">
        <f t="shared" ref="D2296:D2304" si="457">IFERROR(LEFT(H2296,FIND("(",H2296)-2),H2296)</f>
        <v/>
      </c>
      <c r="E2296" s="3433" t="str">
        <f t="shared" si="456"/>
        <v/>
      </c>
      <c r="F2296" s="757" t="str">
        <f t="shared" si="455"/>
        <v/>
      </c>
      <c r="G2296" s="7900"/>
      <c r="H2296" s="1230" t="str">
        <f>Combate!AB20</f>
        <v/>
      </c>
      <c r="I2296" s="1236" t="str">
        <f t="shared" ref="I2296:I2304" si="458">IFERROR(VALUE(MID(H2296,FIND("(",H2296)+1,LEN(H2296)-1-FIND("(",H2296))),"")</f>
        <v/>
      </c>
    </row>
    <row r="2297" spans="1:9" ht="12.75" customHeight="1">
      <c r="A2297" s="219">
        <v>2191</v>
      </c>
      <c r="C2297" s="776" t="str" cm="1">
        <f t="array" ref="C2297">IF(D2297="","",COUNTIF($D$2289:$D$2341,"&lt;="&amp;D2297)-SUMPRODUCT(--($D$2289:$D$2341="")))</f>
        <v/>
      </c>
      <c r="D2297" s="3433" t="str">
        <f t="shared" si="457"/>
        <v/>
      </c>
      <c r="E2297" s="3433" t="str">
        <f t="shared" si="456"/>
        <v/>
      </c>
      <c r="F2297" s="757" t="str">
        <f t="shared" si="455"/>
        <v/>
      </c>
      <c r="G2297" s="7900"/>
      <c r="H2297" s="1230" t="str">
        <f>Combate!AB21</f>
        <v/>
      </c>
      <c r="I2297" s="1236" t="str">
        <f t="shared" si="458"/>
        <v/>
      </c>
    </row>
    <row r="2298" spans="1:9" ht="12.75" customHeight="1">
      <c r="A2298" s="219">
        <v>2192</v>
      </c>
      <c r="C2298" s="776" t="str" cm="1">
        <f t="array" ref="C2298">IF(D2298="","",COUNTIF($D$2289:$D$2341,"&lt;="&amp;D2298)-SUMPRODUCT(--($D$2289:$D$2341="")))</f>
        <v/>
      </c>
      <c r="D2298" s="3433" t="str">
        <f t="shared" si="457"/>
        <v/>
      </c>
      <c r="E2298" s="3433" t="str">
        <f t="shared" si="456"/>
        <v/>
      </c>
      <c r="F2298" s="757" t="str">
        <f t="shared" si="455"/>
        <v/>
      </c>
      <c r="G2298" s="7900"/>
      <c r="H2298" s="1230" t="str">
        <f>Combate!AB22</f>
        <v/>
      </c>
      <c r="I2298" s="1236" t="str">
        <f t="shared" si="458"/>
        <v/>
      </c>
    </row>
    <row r="2299" spans="1:9" ht="12.75" customHeight="1">
      <c r="A2299" s="219">
        <v>2193</v>
      </c>
      <c r="C2299" s="776" t="str" cm="1">
        <f t="array" ref="C2299">IF(D2299="","",COUNTIF($D$2289:$D$2341,"&lt;="&amp;D2299)-SUMPRODUCT(--($D$2289:$D$2341="")))</f>
        <v/>
      </c>
      <c r="D2299" s="3433" t="str">
        <f t="shared" si="457"/>
        <v/>
      </c>
      <c r="E2299" s="3433" t="str">
        <f t="shared" si="456"/>
        <v/>
      </c>
      <c r="F2299" s="757" t="str">
        <f t="shared" si="455"/>
        <v/>
      </c>
      <c r="G2299" s="7900"/>
      <c r="H2299" s="1230" t="str">
        <f>Combate!AB23</f>
        <v/>
      </c>
      <c r="I2299" s="1236" t="str">
        <f t="shared" si="458"/>
        <v/>
      </c>
    </row>
    <row r="2300" spans="1:9" ht="12.75" customHeight="1">
      <c r="A2300" s="219">
        <v>2194</v>
      </c>
      <c r="C2300" s="776" t="str" cm="1">
        <f t="array" ref="C2300">IF(D2300="","",COUNTIF($D$2289:$D$2341,"&lt;="&amp;D2300)-SUMPRODUCT(--($D$2289:$D$2341="")))</f>
        <v/>
      </c>
      <c r="D2300" s="3433" t="str">
        <f t="shared" si="457"/>
        <v/>
      </c>
      <c r="E2300" s="3433" t="str">
        <f t="shared" si="456"/>
        <v/>
      </c>
      <c r="F2300" s="757" t="str">
        <f t="shared" si="455"/>
        <v/>
      </c>
      <c r="G2300" s="7900"/>
      <c r="H2300" s="1230" t="str">
        <f>Combate!AB24</f>
        <v/>
      </c>
      <c r="I2300" s="1236" t="str">
        <f t="shared" si="458"/>
        <v/>
      </c>
    </row>
    <row r="2301" spans="1:9" ht="12.75" customHeight="1">
      <c r="A2301" s="219">
        <v>2195</v>
      </c>
      <c r="C2301" s="776" t="str" cm="1">
        <f t="array" ref="C2301">IF(D2301="","",COUNTIF($D$2289:$D$2341,"&lt;="&amp;D2301)-SUMPRODUCT(--($D$2289:$D$2341="")))</f>
        <v/>
      </c>
      <c r="D2301" s="3433" t="str">
        <f t="shared" si="457"/>
        <v/>
      </c>
      <c r="E2301" s="3433" t="str">
        <f t="shared" si="456"/>
        <v/>
      </c>
      <c r="F2301" s="757" t="str">
        <f t="shared" si="455"/>
        <v/>
      </c>
      <c r="G2301" s="7900"/>
      <c r="H2301" s="1230" t="str">
        <f>Combate!AB25</f>
        <v/>
      </c>
      <c r="I2301" s="1236" t="str">
        <f>IFERROR(VALUE(MID(H2301,FIND("(",H2301)+1,LEN(H2301)-1-FIND("(",H2301))),"")</f>
        <v/>
      </c>
    </row>
    <row r="2302" spans="1:9" ht="12.75" customHeight="1">
      <c r="A2302" s="219">
        <v>2196</v>
      </c>
      <c r="C2302" s="776" t="str" cm="1">
        <f t="array" ref="C2302">IF(D2302="","",COUNTIF($D$2289:$D$2341,"&lt;="&amp;D2302)-SUMPRODUCT(--($D$2289:$D$2341="")))</f>
        <v/>
      </c>
      <c r="D2302" s="3433" t="str">
        <f t="shared" si="457"/>
        <v/>
      </c>
      <c r="E2302" s="3433" t="str">
        <f t="shared" si="456"/>
        <v/>
      </c>
      <c r="F2302" s="757" t="str">
        <f t="shared" si="455"/>
        <v/>
      </c>
      <c r="G2302" s="7900"/>
      <c r="H2302" s="1230" t="str">
        <f>Combate!AB26</f>
        <v/>
      </c>
      <c r="I2302" s="1236" t="str">
        <f t="shared" si="458"/>
        <v/>
      </c>
    </row>
    <row r="2303" spans="1:9" ht="12.75" customHeight="1">
      <c r="A2303" s="219">
        <v>2197</v>
      </c>
      <c r="C2303" s="776" t="str" cm="1">
        <f t="array" ref="C2303">IF(D2303="","",COUNTIF($D$2289:$D$2341,"&lt;="&amp;D2303)-SUMPRODUCT(--($D$2289:$D$2341="")))</f>
        <v/>
      </c>
      <c r="D2303" s="3433" t="str">
        <f t="shared" si="457"/>
        <v/>
      </c>
      <c r="E2303" s="3433" t="str">
        <f t="shared" si="456"/>
        <v/>
      </c>
      <c r="F2303" s="757" t="str">
        <f t="shared" si="455"/>
        <v/>
      </c>
      <c r="G2303" s="7900"/>
      <c r="H2303" s="1230" t="str">
        <f>Combate!AB27</f>
        <v/>
      </c>
      <c r="I2303" s="1236" t="str">
        <f t="shared" si="458"/>
        <v/>
      </c>
    </row>
    <row r="2304" spans="1:9" ht="12.75" customHeight="1">
      <c r="A2304" s="219">
        <v>2198</v>
      </c>
      <c r="C2304" s="776" t="str" cm="1">
        <f t="array" ref="C2304">IF(D2304="","",COUNTIF($D$2289:$D$2341,"&lt;="&amp;D2304)-SUMPRODUCT(--($D$2289:$D$2341="")))</f>
        <v/>
      </c>
      <c r="D2304" s="3473" t="str">
        <f t="shared" si="457"/>
        <v/>
      </c>
      <c r="E2304" s="3473" t="str">
        <f t="shared" si="456"/>
        <v/>
      </c>
      <c r="F2304" s="757" t="str">
        <f t="shared" si="455"/>
        <v/>
      </c>
      <c r="G2304" s="7900"/>
      <c r="H2304" s="3477" t="str">
        <f>Combate!AB28</f>
        <v/>
      </c>
      <c r="I2304" s="1237" t="str">
        <f t="shared" si="458"/>
        <v/>
      </c>
    </row>
    <row r="2305" spans="1:9" ht="12.75" customHeight="1">
      <c r="A2305" s="219">
        <v>2199</v>
      </c>
      <c r="C2305" s="776" t="str" cm="1">
        <f t="array" ref="C2305">IF(D2305="","",COUNTIF($D$2289:$D$2341,"&lt;="&amp;D2305)-SUMPRODUCT(--($D$2289:$D$2341="")))</f>
        <v/>
      </c>
      <c r="D2305" s="3433" t="str">
        <f>IFERROR(LEFT(H2305,FIND("(",H2305)-2),"")</f>
        <v/>
      </c>
      <c r="E2305" s="3433" t="str">
        <f t="shared" ref="E2305:E2323" si="459">IFERROR(VLOOKUP(D2305&amp;" (Arcano)",$H$2300:$H$2318,1,0),IFERROR(VLOOKUP(D2305&amp;" (Supremo)",$H$2300:$H$2318,1,0),IFERROR(VLOOKUP(D2305&amp;" (Avanzado)",$H$2300:$H$2318,1,0),IFERROR(VLOOKUP(D2305&amp;" (Base)",$H$2300:$H$2318,1,0),""))))</f>
        <v/>
      </c>
      <c r="F2305" s="757" t="str">
        <f t="shared" si="455"/>
        <v/>
      </c>
      <c r="G2305" s="7900"/>
      <c r="H2305" s="1230" t="str">
        <f>Combate!AB31</f>
        <v/>
      </c>
    </row>
    <row r="2306" spans="1:9" ht="12.75" customHeight="1">
      <c r="A2306" s="219">
        <v>2200</v>
      </c>
      <c r="C2306" s="776" t="str" cm="1">
        <f t="array" ref="C2306">IF(D2306="","",COUNTIF($D$2289:$D$2341,"&lt;="&amp;D2306)-SUMPRODUCT(--($D$2289:$D$2341="")))</f>
        <v/>
      </c>
      <c r="D2306" s="3433" t="str">
        <f t="shared" ref="D2306:D2323" si="460">IFERROR(LEFT(H2306,FIND("(",H2306)-2),"")</f>
        <v/>
      </c>
      <c r="E2306" s="3433" t="str">
        <f t="shared" si="459"/>
        <v/>
      </c>
      <c r="F2306" s="757" t="str">
        <f t="shared" si="455"/>
        <v/>
      </c>
      <c r="G2306" s="7900"/>
      <c r="H2306" s="1230" t="str">
        <f>Combate!AB32</f>
        <v/>
      </c>
      <c r="I2306" s="510"/>
    </row>
    <row r="2307" spans="1:9" ht="12.75" customHeight="1">
      <c r="A2307" s="219">
        <v>2201</v>
      </c>
      <c r="C2307" s="776" t="str" cm="1">
        <f t="array" ref="C2307">IF(D2307="","",COUNTIF($D$2289:$D$2341,"&lt;="&amp;D2307)-SUMPRODUCT(--($D$2289:$D$2341="")))</f>
        <v/>
      </c>
      <c r="D2307" s="3433" t="str">
        <f t="shared" si="460"/>
        <v/>
      </c>
      <c r="E2307" s="3433" t="str">
        <f t="shared" si="459"/>
        <v/>
      </c>
      <c r="F2307" s="757" t="str">
        <f t="shared" si="455"/>
        <v/>
      </c>
      <c r="G2307" s="7900"/>
      <c r="H2307" s="1230" t="str">
        <f>Combate!AB33</f>
        <v/>
      </c>
      <c r="I2307" s="510"/>
    </row>
    <row r="2308" spans="1:9" ht="12.75" customHeight="1">
      <c r="A2308" s="219">
        <v>2202</v>
      </c>
      <c r="C2308" s="776" t="str" cm="1">
        <f t="array" ref="C2308">IF(D2308="","",COUNTIF($D$2289:$D$2341,"&lt;="&amp;D2308)-SUMPRODUCT(--($D$2289:$D$2341="")))</f>
        <v/>
      </c>
      <c r="D2308" s="3433" t="str">
        <f t="shared" si="460"/>
        <v/>
      </c>
      <c r="E2308" s="3433" t="str">
        <f t="shared" si="459"/>
        <v/>
      </c>
      <c r="F2308" s="757" t="str">
        <f t="shared" si="455"/>
        <v/>
      </c>
      <c r="G2308" s="7900"/>
      <c r="H2308" s="1230" t="str">
        <f>Combate!AB34</f>
        <v/>
      </c>
      <c r="I2308" s="510"/>
    </row>
    <row r="2309" spans="1:9" ht="12.75" customHeight="1">
      <c r="A2309" s="219">
        <v>2203</v>
      </c>
      <c r="C2309" s="776" t="str" cm="1">
        <f t="array" ref="C2309">IF(D2309="","",COUNTIF($D$2289:$D$2341,"&lt;="&amp;D2309)-SUMPRODUCT(--($D$2289:$D$2341="")))</f>
        <v/>
      </c>
      <c r="D2309" s="3433" t="str">
        <f t="shared" si="460"/>
        <v/>
      </c>
      <c r="E2309" s="3433" t="str">
        <f t="shared" si="459"/>
        <v/>
      </c>
      <c r="F2309" s="757" t="str">
        <f t="shared" si="455"/>
        <v/>
      </c>
      <c r="G2309" s="7900"/>
      <c r="H2309" s="1230" t="str">
        <f>Combate!AB35</f>
        <v/>
      </c>
    </row>
    <row r="2310" spans="1:9" ht="12.75" customHeight="1">
      <c r="A2310" s="219">
        <v>2204</v>
      </c>
      <c r="C2310" s="776" t="str" cm="1">
        <f t="array" ref="C2310">IF(D2310="","",COUNTIF($D$2289:$D$2341,"&lt;="&amp;D2310)-SUMPRODUCT(--($D$2289:$D$2341="")))</f>
        <v/>
      </c>
      <c r="D2310" s="3433" t="str">
        <f t="shared" si="460"/>
        <v/>
      </c>
      <c r="E2310" s="3433" t="str">
        <f t="shared" si="459"/>
        <v/>
      </c>
      <c r="F2310" s="757" t="str">
        <f t="shared" si="455"/>
        <v/>
      </c>
      <c r="G2310" s="7900"/>
      <c r="H2310" s="1230" t="str">
        <f>Combate!AB36</f>
        <v/>
      </c>
    </row>
    <row r="2311" spans="1:9" ht="12.75" customHeight="1">
      <c r="A2311" s="219">
        <v>2205</v>
      </c>
      <c r="C2311" s="776" t="str" cm="1">
        <f t="array" ref="C2311">IF(D2311="","",COUNTIF($D$2289:$D$2341,"&lt;="&amp;D2311)-SUMPRODUCT(--($D$2289:$D$2341="")))</f>
        <v/>
      </c>
      <c r="D2311" s="3433" t="str">
        <f t="shared" si="460"/>
        <v/>
      </c>
      <c r="E2311" s="3433" t="str">
        <f t="shared" si="459"/>
        <v/>
      </c>
      <c r="F2311" s="757" t="str">
        <f t="shared" si="455"/>
        <v/>
      </c>
      <c r="G2311" s="7900"/>
      <c r="H2311" s="1230" t="str">
        <f>Combate!AB37</f>
        <v/>
      </c>
    </row>
    <row r="2312" spans="1:9" ht="12.75" customHeight="1">
      <c r="A2312" s="219">
        <v>2206</v>
      </c>
      <c r="C2312" s="776" t="str" cm="1">
        <f t="array" ref="C2312">IF(D2312="","",COUNTIF($D$2289:$D$2341,"&lt;="&amp;D2312)-SUMPRODUCT(--($D$2289:$D$2341="")))</f>
        <v/>
      </c>
      <c r="D2312" s="3433" t="str">
        <f t="shared" si="460"/>
        <v/>
      </c>
      <c r="E2312" s="3433" t="str">
        <f t="shared" si="459"/>
        <v/>
      </c>
      <c r="F2312" s="757" t="str">
        <f t="shared" si="455"/>
        <v/>
      </c>
      <c r="G2312" s="7900"/>
      <c r="H2312" s="1230" t="str">
        <f>Combate!AB38</f>
        <v/>
      </c>
    </row>
    <row r="2313" spans="1:9" ht="12.75" customHeight="1">
      <c r="A2313" s="219">
        <v>2207</v>
      </c>
      <c r="C2313" s="776" t="str" cm="1">
        <f t="array" ref="C2313">IF(D2313="","",COUNTIF($D$2289:$D$2341,"&lt;="&amp;D2313)-SUMPRODUCT(--($D$2289:$D$2341="")))</f>
        <v/>
      </c>
      <c r="D2313" s="3433" t="str">
        <f t="shared" si="460"/>
        <v/>
      </c>
      <c r="E2313" s="3433" t="str">
        <f t="shared" si="459"/>
        <v/>
      </c>
      <c r="F2313" s="757" t="str">
        <f t="shared" si="455"/>
        <v/>
      </c>
      <c r="G2313" s="7900"/>
      <c r="H2313" s="1230" t="str">
        <f>Combate!AB39</f>
        <v/>
      </c>
    </row>
    <row r="2314" spans="1:9" ht="12.75" customHeight="1">
      <c r="A2314" s="219">
        <v>2208</v>
      </c>
      <c r="C2314" s="776" t="str" cm="1">
        <f t="array" ref="C2314">IF(D2314="","",COUNTIF($D$2289:$D$2341,"&lt;="&amp;D2314)-SUMPRODUCT(--($D$2289:$D$2341="")))</f>
        <v/>
      </c>
      <c r="D2314" s="3433" t="str">
        <f t="shared" si="460"/>
        <v/>
      </c>
      <c r="E2314" s="3433" t="str">
        <f t="shared" si="459"/>
        <v/>
      </c>
      <c r="F2314" s="757" t="str">
        <f t="shared" si="455"/>
        <v/>
      </c>
      <c r="G2314" s="7900"/>
      <c r="H2314" s="1230" t="str">
        <f>Combate!AB40</f>
        <v/>
      </c>
    </row>
    <row r="2315" spans="1:9" ht="12.75" customHeight="1">
      <c r="A2315" s="219">
        <v>2209</v>
      </c>
      <c r="C2315" s="776" t="str" cm="1">
        <f t="array" ref="C2315">IF(D2315="","",COUNTIF($D$2289:$D$2341,"&lt;="&amp;D2315)-SUMPRODUCT(--($D$2289:$D$2341="")))</f>
        <v/>
      </c>
      <c r="D2315" s="3433" t="str">
        <f t="shared" si="460"/>
        <v/>
      </c>
      <c r="E2315" s="3433" t="str">
        <f t="shared" si="459"/>
        <v/>
      </c>
      <c r="F2315" s="757" t="str">
        <f t="shared" si="455"/>
        <v/>
      </c>
      <c r="G2315" s="7900"/>
      <c r="H2315" s="1230" t="str">
        <f>Combate!AB41</f>
        <v/>
      </c>
    </row>
    <row r="2316" spans="1:9" ht="12.75" customHeight="1">
      <c r="A2316" s="219">
        <v>2210</v>
      </c>
      <c r="C2316" s="776" t="str" cm="1">
        <f t="array" ref="C2316">IF(D2316="","",COUNTIF($D$2289:$D$2341,"&lt;="&amp;D2316)-SUMPRODUCT(--($D$2289:$D$2341="")))</f>
        <v/>
      </c>
      <c r="D2316" s="3433" t="str">
        <f t="shared" si="460"/>
        <v/>
      </c>
      <c r="E2316" s="3433" t="str">
        <f t="shared" si="459"/>
        <v/>
      </c>
      <c r="F2316" s="757" t="str">
        <f t="shared" si="455"/>
        <v/>
      </c>
      <c r="G2316" s="7900"/>
      <c r="H2316" s="1230" t="str">
        <f>Combate!AB42</f>
        <v/>
      </c>
    </row>
    <row r="2317" spans="1:9" ht="12.75" customHeight="1">
      <c r="A2317" s="219">
        <v>2211</v>
      </c>
      <c r="C2317" s="776" t="str" cm="1">
        <f t="array" ref="C2317">IF(D2317="","",COUNTIF($D$2289:$D$2341,"&lt;="&amp;D2317)-SUMPRODUCT(--($D$2289:$D$2341="")))</f>
        <v/>
      </c>
      <c r="D2317" s="3433" t="str">
        <f t="shared" si="460"/>
        <v/>
      </c>
      <c r="E2317" s="3433" t="str">
        <f t="shared" si="459"/>
        <v/>
      </c>
      <c r="F2317" s="757" t="str">
        <f t="shared" si="455"/>
        <v/>
      </c>
      <c r="G2317" s="7900"/>
      <c r="H2317" s="1230" t="str">
        <f>Combate!AB43</f>
        <v/>
      </c>
    </row>
    <row r="2318" spans="1:9" ht="12.75" customHeight="1">
      <c r="A2318" s="219">
        <v>2212</v>
      </c>
      <c r="C2318" s="776" t="str" cm="1">
        <f t="array" ref="C2318">IF(D2318="","",COUNTIF($D$2289:$D$2341,"&lt;="&amp;D2318)-SUMPRODUCT(--($D$2289:$D$2341="")))</f>
        <v/>
      </c>
      <c r="D2318" s="3433" t="str">
        <f t="shared" si="460"/>
        <v/>
      </c>
      <c r="E2318" s="3433" t="str">
        <f t="shared" si="459"/>
        <v/>
      </c>
      <c r="F2318" s="757" t="str">
        <f t="shared" si="455"/>
        <v/>
      </c>
      <c r="G2318" s="7900"/>
      <c r="H2318" s="1230" t="str">
        <f>Combate!AB44</f>
        <v/>
      </c>
    </row>
    <row r="2319" spans="1:9" ht="12.75" customHeight="1">
      <c r="A2319" s="219">
        <v>2213</v>
      </c>
      <c r="C2319" s="776" t="str" cm="1">
        <f t="array" ref="C2319">IF(D2319="","",COUNTIF($D$2289:$D$2341,"&lt;="&amp;D2319)-SUMPRODUCT(--($D$2289:$D$2341="")))</f>
        <v/>
      </c>
      <c r="D2319" s="3433" t="str">
        <f t="shared" si="460"/>
        <v/>
      </c>
      <c r="E2319" s="3433" t="str">
        <f t="shared" si="459"/>
        <v/>
      </c>
      <c r="F2319" s="757" t="str">
        <f t="shared" si="455"/>
        <v/>
      </c>
      <c r="G2319" s="7900"/>
      <c r="H2319" s="1230" t="str">
        <f>Combate!AB45</f>
        <v/>
      </c>
    </row>
    <row r="2320" spans="1:9" ht="12.75" customHeight="1">
      <c r="A2320" s="219">
        <v>2214</v>
      </c>
      <c r="C2320" s="776" t="str" cm="1">
        <f t="array" ref="C2320">IF(D2320="","",COUNTIF($D$2289:$D$2341,"&lt;="&amp;D2320)-SUMPRODUCT(--($D$2289:$D$2341="")))</f>
        <v/>
      </c>
      <c r="D2320" s="3433" t="str">
        <f t="shared" si="460"/>
        <v/>
      </c>
      <c r="E2320" s="3433" t="str">
        <f t="shared" si="459"/>
        <v/>
      </c>
      <c r="F2320" s="757" t="str">
        <f t="shared" si="455"/>
        <v/>
      </c>
      <c r="G2320" s="7900"/>
      <c r="H2320" s="1230" t="str">
        <f>Combate!AB46</f>
        <v/>
      </c>
    </row>
    <row r="2321" spans="1:9" ht="12.75" customHeight="1">
      <c r="A2321" s="219">
        <v>2215</v>
      </c>
      <c r="C2321" s="776" t="str" cm="1">
        <f t="array" ref="C2321">IF(D2321="","",COUNTIF($D$2289:$D$2341,"&lt;="&amp;D2321)-SUMPRODUCT(--($D$2289:$D$2341="")))</f>
        <v/>
      </c>
      <c r="D2321" s="3433" t="str">
        <f t="shared" si="460"/>
        <v/>
      </c>
      <c r="E2321" s="3433" t="str">
        <f t="shared" si="459"/>
        <v/>
      </c>
      <c r="F2321" s="757" t="str">
        <f t="shared" si="455"/>
        <v/>
      </c>
      <c r="G2321" s="7900"/>
      <c r="H2321" s="1230" t="str">
        <f>Combate!AB47</f>
        <v/>
      </c>
    </row>
    <row r="2322" spans="1:9" ht="12.75" customHeight="1">
      <c r="A2322" s="219">
        <v>2216</v>
      </c>
      <c r="C2322" s="776" t="str" cm="1">
        <f t="array" ref="C2322">IF(D2322="","",COUNTIF($D$2289:$D$2341,"&lt;="&amp;D2322)-SUMPRODUCT(--($D$2289:$D$2341="")))</f>
        <v/>
      </c>
      <c r="D2322" s="3433" t="str">
        <f t="shared" si="460"/>
        <v/>
      </c>
      <c r="E2322" s="3433" t="str">
        <f t="shared" si="459"/>
        <v/>
      </c>
      <c r="F2322" s="757" t="str">
        <f t="shared" ref="F2322:F2341" si="461">IF(ISNA(VLOOKUP(MIN($C$2289:$C$2341)+A34-1,$C$2289:$E$2341,3,0)),"",", "&amp;VLOOKUP(MIN($C$2289:$C$2341)+A34-1,$C$2289:$E$2341,3,0))</f>
        <v/>
      </c>
      <c r="G2322" s="7900"/>
      <c r="H2322" s="1230" t="str">
        <f>Combate!AB48</f>
        <v/>
      </c>
    </row>
    <row r="2323" spans="1:9" ht="12.75" customHeight="1">
      <c r="A2323" s="219">
        <v>2217</v>
      </c>
      <c r="C2323" s="776" t="str" cm="1">
        <f t="array" ref="C2323">IF(D2323="","",COUNTIF($D$2289:$D$2341,"&lt;="&amp;D2323)-SUMPRODUCT(--($D$2289:$D$2341="")))</f>
        <v/>
      </c>
      <c r="D2323" s="3433" t="str">
        <f t="shared" si="460"/>
        <v/>
      </c>
      <c r="E2323" s="3433" t="str">
        <f t="shared" si="459"/>
        <v/>
      </c>
      <c r="F2323" s="757" t="str">
        <f t="shared" si="461"/>
        <v/>
      </c>
      <c r="G2323" s="7900"/>
      <c r="H2323" s="1230" t="str">
        <f>Combate!AB49</f>
        <v/>
      </c>
    </row>
    <row r="2324" spans="1:9" ht="12.75" customHeight="1">
      <c r="A2324" s="219">
        <v>2218</v>
      </c>
      <c r="C2324" s="776" t="str" cm="1">
        <f t="array" ref="C2324">IF(D2324="","",COUNTIF($D$2289:$D$2341,"&lt;="&amp;D2324)-SUMPRODUCT(--($D$2289:$D$2341="")))</f>
        <v/>
      </c>
      <c r="D2324" s="3433" t="str">
        <f>Combate!AB50</f>
        <v/>
      </c>
      <c r="E2324" s="3433" t="str">
        <f t="shared" ref="E2324:E2340" si="462">D2324</f>
        <v/>
      </c>
      <c r="F2324" s="757" t="str">
        <f t="shared" si="461"/>
        <v/>
      </c>
      <c r="G2324" s="7899"/>
    </row>
    <row r="2325" spans="1:9" ht="12.75" customHeight="1">
      <c r="A2325" s="219">
        <v>2219</v>
      </c>
      <c r="C2325" s="776" t="str" cm="1">
        <f t="array" ref="C2325">IF(D2325="","",COUNTIF($D$2289:$D$2341,"&lt;="&amp;D2325)-SUMPRODUCT(--($D$2289:$D$2341="")))</f>
        <v/>
      </c>
      <c r="D2325" s="3433" t="str">
        <f>Combate!AB51</f>
        <v/>
      </c>
      <c r="E2325" s="3433" t="str">
        <f t="shared" si="462"/>
        <v/>
      </c>
      <c r="F2325" s="757" t="str">
        <f t="shared" si="461"/>
        <v/>
      </c>
      <c r="G2325" s="7899"/>
    </row>
    <row r="2326" spans="1:9" ht="12.75" customHeight="1">
      <c r="A2326" s="219">
        <v>2220</v>
      </c>
      <c r="C2326" s="776" t="str" cm="1">
        <f t="array" ref="C2326">IF(D2326="","",COUNTIF($D$2289:$D$2341,"&lt;="&amp;D2326)-SUMPRODUCT(--($D$2289:$D$2341="")))</f>
        <v/>
      </c>
      <c r="D2326" s="3433" t="str">
        <f>Combate!AB52</f>
        <v/>
      </c>
      <c r="E2326" s="3433" t="str">
        <f t="shared" si="462"/>
        <v/>
      </c>
      <c r="F2326" s="757" t="str">
        <f t="shared" si="461"/>
        <v/>
      </c>
      <c r="G2326" s="7899"/>
    </row>
    <row r="2327" spans="1:9" ht="12.75" customHeight="1">
      <c r="A2327" s="219">
        <v>2221</v>
      </c>
      <c r="C2327" s="776" t="str" cm="1">
        <f t="array" ref="C2327">IF(D2327="","",COUNTIF($D$2289:$D$2341,"&lt;="&amp;D2327)-SUMPRODUCT(--($D$2289:$D$2341="")))</f>
        <v/>
      </c>
      <c r="D2327" s="3474" t="str">
        <f>Combate!AB55</f>
        <v/>
      </c>
      <c r="E2327" s="3474" t="str">
        <f t="shared" si="462"/>
        <v/>
      </c>
      <c r="F2327" s="757" t="str">
        <f t="shared" si="461"/>
        <v/>
      </c>
      <c r="G2327" s="7899"/>
    </row>
    <row r="2328" spans="1:9" ht="12.75" customHeight="1">
      <c r="A2328" s="219">
        <v>2222</v>
      </c>
      <c r="C2328" s="776" t="str" cm="1">
        <f t="array" ref="C2328">IF(D2328="","",COUNTIF($D$2289:$D$2341,"&lt;="&amp;D2328)-SUMPRODUCT(--($D$2289:$D$2341="")))</f>
        <v/>
      </c>
      <c r="D2328" s="3433" t="str">
        <f>Combate!AB57</f>
        <v/>
      </c>
      <c r="E2328" s="3433" t="str">
        <f t="shared" si="462"/>
        <v/>
      </c>
      <c r="F2328" s="757" t="str">
        <f t="shared" si="461"/>
        <v/>
      </c>
      <c r="G2328" s="7899"/>
      <c r="H2328" s="759"/>
      <c r="I2328" s="759"/>
    </row>
    <row r="2329" spans="1:9" ht="12.75" customHeight="1">
      <c r="A2329" s="219">
        <v>2223</v>
      </c>
      <c r="C2329" s="776" t="str" cm="1">
        <f t="array" ref="C2329">IF(D2329="","",COUNTIF($D$2289:$D$2341,"&lt;="&amp;D2329)-SUMPRODUCT(--($D$2289:$D$2341="")))</f>
        <v/>
      </c>
      <c r="D2329" s="3433" t="str">
        <f>Combate!AB59</f>
        <v/>
      </c>
      <c r="E2329" s="3433" t="str">
        <f t="shared" si="462"/>
        <v/>
      </c>
      <c r="F2329" s="757" t="str">
        <f t="shared" si="461"/>
        <v/>
      </c>
      <c r="G2329" s="7899"/>
      <c r="H2329" s="759"/>
      <c r="I2329" s="759"/>
    </row>
    <row r="2330" spans="1:9" ht="12.75" customHeight="1">
      <c r="A2330" s="219">
        <v>2224</v>
      </c>
      <c r="C2330" s="776" t="str" cm="1">
        <f t="array" ref="C2330">IF(D2330="","",COUNTIF($D$2289:$D$2341,"&lt;="&amp;D2330)-SUMPRODUCT(--($D$2289:$D$2341="")))</f>
        <v/>
      </c>
      <c r="D2330" s="3433" t="str">
        <f>Combate!AB61</f>
        <v/>
      </c>
      <c r="E2330" s="3433" t="str">
        <f t="shared" si="462"/>
        <v/>
      </c>
      <c r="F2330" s="757" t="str">
        <f t="shared" si="461"/>
        <v/>
      </c>
      <c r="G2330" s="7899"/>
      <c r="H2330"/>
      <c r="I2330" s="510"/>
    </row>
    <row r="2331" spans="1:9" ht="12.75" customHeight="1" thickBot="1">
      <c r="A2331" s="219">
        <v>2225</v>
      </c>
      <c r="C2331" s="776" t="str" cm="1">
        <f t="array" ref="C2331">IF(D2331="","",COUNTIF($D$2289:$D$2341,"&lt;="&amp;D2331)-SUMPRODUCT(--($D$2289:$D$2341="")))</f>
        <v/>
      </c>
      <c r="D2331" s="445" t="str">
        <f>Combate!AB63</f>
        <v/>
      </c>
      <c r="E2331" s="3433" t="str">
        <f t="shared" si="462"/>
        <v/>
      </c>
      <c r="F2331" s="757" t="str">
        <f t="shared" si="461"/>
        <v/>
      </c>
      <c r="G2331" s="7901"/>
      <c r="H2331"/>
      <c r="I2331" s="510"/>
    </row>
    <row r="2332" spans="1:9" ht="12.75" customHeight="1">
      <c r="A2332" s="219">
        <v>2226</v>
      </c>
      <c r="C2332" s="776" t="str" cm="1">
        <f t="array" ref="C2332">IF(D2332="","",COUNTIF($D$2289:$D$2341,"&lt;="&amp;D2332)-SUMPRODUCT(--($D$2289:$D$2341="")))</f>
        <v/>
      </c>
      <c r="D2332" s="304" t="str">
        <f>Combate!AB67</f>
        <v/>
      </c>
      <c r="E2332" s="21" t="str">
        <f t="shared" si="462"/>
        <v/>
      </c>
      <c r="F2332" s="757" t="str">
        <f t="shared" si="461"/>
        <v/>
      </c>
      <c r="G2332" s="304"/>
    </row>
    <row r="2333" spans="1:9" ht="12.75" customHeight="1">
      <c r="A2333" s="219">
        <v>2227</v>
      </c>
      <c r="C2333" s="776" t="str" cm="1">
        <f t="array" ref="C2333">IF(D2333="","",COUNTIF($D$2289:$D$2341,"&lt;="&amp;D2333)-SUMPRODUCT(--($D$2289:$D$2341="")))</f>
        <v/>
      </c>
      <c r="D2333" s="304" t="str">
        <f>Combate!AB69</f>
        <v/>
      </c>
      <c r="E2333" s="21" t="str">
        <f t="shared" si="462"/>
        <v/>
      </c>
      <c r="F2333" s="757" t="str">
        <f t="shared" si="461"/>
        <v/>
      </c>
      <c r="G2333" s="304"/>
    </row>
    <row r="2334" spans="1:9" ht="12.75" customHeight="1">
      <c r="A2334" s="219">
        <v>2228</v>
      </c>
      <c r="C2334" s="776" t="str" cm="1">
        <f t="array" ref="C2334">IF(D2334="","",COUNTIF($D$2289:$D$2341,"&lt;="&amp;D2334)-SUMPRODUCT(--($D$2289:$D$2341="")))</f>
        <v/>
      </c>
      <c r="D2334" s="304" t="str">
        <f>Combate!AB71</f>
        <v/>
      </c>
      <c r="E2334" s="21" t="str">
        <f t="shared" si="462"/>
        <v/>
      </c>
      <c r="F2334" s="757" t="str">
        <f t="shared" si="461"/>
        <v/>
      </c>
      <c r="G2334" s="304"/>
    </row>
    <row r="2335" spans="1:9" ht="12.75" customHeight="1">
      <c r="A2335" s="219">
        <v>2229</v>
      </c>
      <c r="C2335" s="776" t="str" cm="1">
        <f t="array" ref="C2335">IF(D2335="","",COUNTIF($D$2289:$D$2341,"&lt;="&amp;D2335)-SUMPRODUCT(--($D$2289:$D$2341="")))</f>
        <v/>
      </c>
      <c r="D2335" s="304" t="str">
        <f>Combate!AB73</f>
        <v/>
      </c>
      <c r="E2335" s="21" t="str">
        <f t="shared" si="462"/>
        <v/>
      </c>
      <c r="F2335" s="757" t="str">
        <f t="shared" si="461"/>
        <v/>
      </c>
      <c r="G2335" s="304"/>
    </row>
    <row r="2336" spans="1:9" ht="12.75" customHeight="1">
      <c r="A2336" s="219">
        <v>2230</v>
      </c>
      <c r="C2336" s="776" t="str" cm="1">
        <f t="array" ref="C2336">IF(D2336="","",COUNTIF($D$2289:$D$2341,"&lt;="&amp;D2336)-SUMPRODUCT(--($D$2289:$D$2341="")))</f>
        <v/>
      </c>
      <c r="D2336" s="304" t="str">
        <f>Combate!AB75</f>
        <v/>
      </c>
      <c r="E2336" s="21" t="str">
        <f t="shared" si="462"/>
        <v/>
      </c>
      <c r="F2336" s="757" t="str">
        <f t="shared" si="461"/>
        <v/>
      </c>
      <c r="G2336" s="304"/>
    </row>
    <row r="2337" spans="1:7" ht="12.75" customHeight="1">
      <c r="A2337" s="219">
        <v>2231</v>
      </c>
      <c r="C2337" s="776" t="str" cm="1">
        <f t="array" ref="C2337">IF(D2337="","",COUNTIF($D$2289:$D$2341,"&lt;="&amp;D2337)-SUMPRODUCT(--($D$2289:$D$2341="")))</f>
        <v/>
      </c>
      <c r="D2337" s="304" t="str">
        <f>Combate!AB79</f>
        <v/>
      </c>
      <c r="E2337" s="21" t="str">
        <f t="shared" si="462"/>
        <v/>
      </c>
      <c r="F2337" s="757" t="str">
        <f t="shared" si="461"/>
        <v/>
      </c>
      <c r="G2337" s="304"/>
    </row>
    <row r="2338" spans="1:7" ht="12.75" customHeight="1">
      <c r="A2338" s="219">
        <v>2232</v>
      </c>
      <c r="C2338" s="776" t="str" cm="1">
        <f t="array" ref="C2338">IF(D2338="","",COUNTIF($D$2289:$D$2341,"&lt;="&amp;D2338)-SUMPRODUCT(--($D$2289:$D$2341="")))</f>
        <v/>
      </c>
      <c r="D2338" s="304" t="str">
        <f>Combate!AB81</f>
        <v/>
      </c>
      <c r="E2338" s="21" t="str">
        <f t="shared" si="462"/>
        <v/>
      </c>
      <c r="F2338" s="757" t="str">
        <f t="shared" si="461"/>
        <v/>
      </c>
      <c r="G2338" s="304"/>
    </row>
    <row r="2339" spans="1:7" ht="12.75" customHeight="1">
      <c r="A2339" s="219">
        <v>2233</v>
      </c>
      <c r="C2339" s="776" t="str" cm="1">
        <f t="array" ref="C2339">IF(D2339="","",COUNTIF($D$2289:$D$2341,"&lt;="&amp;D2339)-SUMPRODUCT(--($D$2289:$D$2341="")))</f>
        <v/>
      </c>
      <c r="D2339" s="304" t="str">
        <f>Combate!AB83</f>
        <v/>
      </c>
      <c r="E2339" s="21" t="str">
        <f t="shared" si="462"/>
        <v/>
      </c>
      <c r="F2339" s="757" t="str">
        <f t="shared" si="461"/>
        <v/>
      </c>
      <c r="G2339" s="304"/>
    </row>
    <row r="2340" spans="1:7" ht="12.75" customHeight="1">
      <c r="A2340" s="219">
        <v>2234</v>
      </c>
      <c r="C2340" s="776" t="str" cm="1">
        <f t="array" ref="C2340">IF(D2340="","",COUNTIF($D$2289:$D$2341,"&lt;="&amp;D2340)-SUMPRODUCT(--($D$2289:$D$2341="")))</f>
        <v/>
      </c>
      <c r="D2340" s="304" t="str">
        <f>Combate!AB85</f>
        <v/>
      </c>
      <c r="E2340" s="21" t="str">
        <f t="shared" si="462"/>
        <v/>
      </c>
      <c r="F2340" s="757" t="str">
        <f t="shared" si="461"/>
        <v/>
      </c>
      <c r="G2340" s="304"/>
    </row>
    <row r="2341" spans="1:7" ht="12.75" customHeight="1">
      <c r="A2341" s="219">
        <v>2235</v>
      </c>
      <c r="C2341" s="776" t="str" cm="1">
        <f t="array" ref="C2341">IF(D2341="","",COUNTIF($D$2289:$D$2341,"&lt;="&amp;D2341)-SUMPRODUCT(--($D$2289:$D$2341="")))</f>
        <v/>
      </c>
      <c r="D2341" s="304" t="str">
        <f>Combate!AB87</f>
        <v/>
      </c>
      <c r="E2341" s="304"/>
      <c r="F2341" s="757" t="str">
        <f t="shared" si="461"/>
        <v/>
      </c>
      <c r="G2341" s="304"/>
    </row>
  </sheetData>
  <sheetProtection selectLockedCells="1"/>
  <sortState xmlns:xlrd2="http://schemas.microsoft.com/office/spreadsheetml/2017/richdata2" ref="AC665:AC724">
    <sortCondition ref="AC717"/>
  </sortState>
  <dataConsolidate/>
  <mergeCells count="573">
    <mergeCell ref="N892:R892"/>
    <mergeCell ref="L1943:Q1943"/>
    <mergeCell ref="L1013:L1014"/>
    <mergeCell ref="B1368:B1925"/>
    <mergeCell ref="L2021:Q2021"/>
    <mergeCell ref="L2042:Q2042"/>
    <mergeCell ref="L2045:Q2045"/>
    <mergeCell ref="L2009:Q2009"/>
    <mergeCell ref="L2019:Q2019"/>
    <mergeCell ref="L2016:Q2016"/>
    <mergeCell ref="L2029:Q2029"/>
    <mergeCell ref="L2026:Q2026"/>
    <mergeCell ref="L2024:Q2024"/>
    <mergeCell ref="L2025:Q2025"/>
    <mergeCell ref="L1991:Q1991"/>
    <mergeCell ref="L1992:Q1992"/>
    <mergeCell ref="L1993:Q1993"/>
    <mergeCell ref="L2040:Q2040"/>
    <mergeCell ref="L1999:Q1999"/>
    <mergeCell ref="L2004:Q2004"/>
    <mergeCell ref="L2005:Q2005"/>
    <mergeCell ref="L1938:Q1938"/>
    <mergeCell ref="L1948:Q1948"/>
    <mergeCell ref="C1926:Y1928"/>
    <mergeCell ref="L2124:Q2124"/>
    <mergeCell ref="L2121:Q2121"/>
    <mergeCell ref="L2118:Q2118"/>
    <mergeCell ref="L2113:Q2113"/>
    <mergeCell ref="L2117:Q2117"/>
    <mergeCell ref="L2120:Q2120"/>
    <mergeCell ref="L2108:Q2108"/>
    <mergeCell ref="L2109:Q2109"/>
    <mergeCell ref="L2110:Q2110"/>
    <mergeCell ref="L2115:Q2115"/>
    <mergeCell ref="L2112:Q2112"/>
    <mergeCell ref="L2114:Q2114"/>
    <mergeCell ref="L2062:Q2062"/>
    <mergeCell ref="L2059:Q2059"/>
    <mergeCell ref="L2030:Q2030"/>
    <mergeCell ref="L2003:Q2003"/>
    <mergeCell ref="L2020:Q2020"/>
    <mergeCell ref="L2008:Q2008"/>
    <mergeCell ref="L2044:Q2044"/>
    <mergeCell ref="L2031:Q2031"/>
    <mergeCell ref="L2032:Q2032"/>
    <mergeCell ref="L2035:Q2035"/>
    <mergeCell ref="L2056:Q2056"/>
    <mergeCell ref="L2058:Q2058"/>
    <mergeCell ref="L2048:Q2048"/>
    <mergeCell ref="L2055:Q2055"/>
    <mergeCell ref="L2043:Q2043"/>
    <mergeCell ref="L2054:Q2054"/>
    <mergeCell ref="L2057:Q2057"/>
    <mergeCell ref="L2053:Q2053"/>
    <mergeCell ref="L2036:Q2036"/>
    <mergeCell ref="L2049:Q2049"/>
    <mergeCell ref="L2050:Q2050"/>
    <mergeCell ref="L2038:Q2038"/>
    <mergeCell ref="L2041:Q2041"/>
    <mergeCell ref="L2022:Q2022"/>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B2134:B2274"/>
    <mergeCell ref="C233:Z235"/>
    <mergeCell ref="C101:DE103"/>
    <mergeCell ref="M1372:T1373"/>
    <mergeCell ref="C1372:K1373"/>
    <mergeCell ref="Y1372:Y1373"/>
    <mergeCell ref="C258:J259"/>
    <mergeCell ref="AE623:AF623"/>
    <mergeCell ref="AE624:AF624"/>
    <mergeCell ref="AF2140:AF2141"/>
    <mergeCell ref="C1325:W1326"/>
    <mergeCell ref="W1162:X1162"/>
    <mergeCell ref="X308:X309"/>
    <mergeCell ref="AE2142:AE2197"/>
    <mergeCell ref="BJ108:BK108"/>
    <mergeCell ref="BA107:BB107"/>
    <mergeCell ref="R2267:T2267"/>
    <mergeCell ref="F110:G111"/>
    <mergeCell ref="H138:J138"/>
    <mergeCell ref="AS138:AT138"/>
    <mergeCell ref="Y138:AA138"/>
    <mergeCell ref="C105:D106"/>
    <mergeCell ref="L2268:AO2268"/>
    <mergeCell ref="L2061:Q2061"/>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L138:A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R138:S138"/>
    <mergeCell ref="P138:Q138"/>
    <mergeCell ref="L237:T238"/>
    <mergeCell ref="C237:G237"/>
    <mergeCell ref="C1930:D1931"/>
    <mergeCell ref="U1187:W1188"/>
    <mergeCell ref="L1937:Q1937"/>
    <mergeCell ref="C1164:D1164"/>
    <mergeCell ref="C1158:AD1160"/>
    <mergeCell ref="K1220:K1221"/>
    <mergeCell ref="C1368:CB1370"/>
    <mergeCell ref="BK1470:CB1470"/>
    <mergeCell ref="L1934:Q1934"/>
    <mergeCell ref="L1935:Q1935"/>
    <mergeCell ref="L1936:Q1936"/>
    <mergeCell ref="C1263:M1264"/>
    <mergeCell ref="H1202:J1202"/>
    <mergeCell ref="M1220:W1220"/>
    <mergeCell ref="C1327:D1327"/>
    <mergeCell ref="J1327:Q1327"/>
    <mergeCell ref="P1263:W1264"/>
    <mergeCell ref="K1339:L1339"/>
    <mergeCell ref="Z1372:CB1373"/>
    <mergeCell ref="AF1218:AP1218"/>
    <mergeCell ref="AL1065:BA1066"/>
    <mergeCell ref="L1940:Q1940"/>
    <mergeCell ref="Z1164:AB1164"/>
    <mergeCell ref="Z1162:AD1163"/>
    <mergeCell ref="R1327:W1327"/>
    <mergeCell ref="F1164:M1164"/>
    <mergeCell ref="O1013:O1014"/>
    <mergeCell ref="C1017:N1017"/>
    <mergeCell ref="P1017:AC1018"/>
    <mergeCell ref="T1118:U1119"/>
    <mergeCell ref="I1013:I1014"/>
    <mergeCell ref="G1175:H1176"/>
    <mergeCell ref="L1939:Q1939"/>
    <mergeCell ref="E1173:E1174"/>
    <mergeCell ref="G1173:H1174"/>
    <mergeCell ref="E1187:E1188"/>
    <mergeCell ref="H1200:O1200"/>
    <mergeCell ref="C1221:J1221"/>
    <mergeCell ref="W1132:Y1132"/>
    <mergeCell ref="AO1113:AQ1113"/>
    <mergeCell ref="AS1113:AU1113"/>
    <mergeCell ref="AW1113:AY1113"/>
    <mergeCell ref="BA1113:BB1113"/>
    <mergeCell ref="V1932:W1932"/>
    <mergeCell ref="L1949:Q1949"/>
    <mergeCell ref="T603:U603"/>
    <mergeCell ref="T616:U616"/>
    <mergeCell ref="T600:U600"/>
    <mergeCell ref="T605:U605"/>
    <mergeCell ref="C649:Y650"/>
    <mergeCell ref="V804:X804"/>
    <mergeCell ref="V794:X794"/>
    <mergeCell ref="X1932:Y1932"/>
    <mergeCell ref="O1931:O1932"/>
    <mergeCell ref="M1173:N1174"/>
    <mergeCell ref="S1162:U1163"/>
    <mergeCell ref="W1372:X1373"/>
    <mergeCell ref="L1202:M1202"/>
    <mergeCell ref="C1289:N1290"/>
    <mergeCell ref="C1220:J1220"/>
    <mergeCell ref="C892:D892"/>
    <mergeCell ref="V796:X796"/>
    <mergeCell ref="V797:X797"/>
    <mergeCell ref="M1013:M1014"/>
    <mergeCell ref="T1932:U1932"/>
    <mergeCell ref="L1942:Q1942"/>
    <mergeCell ref="P1931:P1932"/>
    <mergeCell ref="N1013:N1014"/>
    <mergeCell ref="L1941:Q1941"/>
    <mergeCell ref="L1944:Q1944"/>
    <mergeCell ref="L1945:Q1945"/>
    <mergeCell ref="E1930:N1931"/>
    <mergeCell ref="C260:D260"/>
    <mergeCell ref="AA649:AA652"/>
    <mergeCell ref="V308:W308"/>
    <mergeCell ref="T308:U308"/>
    <mergeCell ref="V798:X798"/>
    <mergeCell ref="P308:Q308"/>
    <mergeCell ref="C586:BU588"/>
    <mergeCell ref="T601:U601"/>
    <mergeCell ref="T619:U619"/>
    <mergeCell ref="AX653:AX654"/>
    <mergeCell ref="AC649:AV650"/>
    <mergeCell ref="AG590:AK591"/>
    <mergeCell ref="AZ649:CN650"/>
    <mergeCell ref="AE627:AF627"/>
    <mergeCell ref="T604:U604"/>
    <mergeCell ref="U631:AI631"/>
    <mergeCell ref="T618:U618"/>
    <mergeCell ref="Z649:Z651"/>
    <mergeCell ref="BU651:BY651"/>
    <mergeCell ref="K1173:K1174"/>
    <mergeCell ref="T598:V598"/>
    <mergeCell ref="BN651:BR651"/>
    <mergeCell ref="V791:X791"/>
    <mergeCell ref="V793:X793"/>
    <mergeCell ref="X599:AA599"/>
    <mergeCell ref="T617:U617"/>
    <mergeCell ref="AC610:AC611"/>
    <mergeCell ref="T615:U615"/>
    <mergeCell ref="AE610:AK610"/>
    <mergeCell ref="AE625:AF625"/>
    <mergeCell ref="AC602:AF602"/>
    <mergeCell ref="AE629:AF629"/>
    <mergeCell ref="AE621:AM622"/>
    <mergeCell ref="AE626:AF626"/>
    <mergeCell ref="T607:U607"/>
    <mergeCell ref="T620:U620"/>
    <mergeCell ref="AC651:AG651"/>
    <mergeCell ref="AE652:AF652"/>
    <mergeCell ref="AJ652:AK652"/>
    <mergeCell ref="T612:U612"/>
    <mergeCell ref="AX841:AZ841"/>
    <mergeCell ref="AA891:AC891"/>
    <mergeCell ref="AI889:BL889"/>
    <mergeCell ref="AK890:AL890"/>
    <mergeCell ref="AH651:AL651"/>
    <mergeCell ref="CI651:CM651"/>
    <mergeCell ref="CB651:CF651"/>
    <mergeCell ref="T602:U602"/>
    <mergeCell ref="T614:V614"/>
    <mergeCell ref="T606:U606"/>
    <mergeCell ref="B2:B100"/>
    <mergeCell ref="B101:B232"/>
    <mergeCell ref="B233:B585"/>
    <mergeCell ref="B586:B879"/>
    <mergeCell ref="B885:B1157"/>
    <mergeCell ref="L1966:Q1966"/>
    <mergeCell ref="L1967:Q1967"/>
    <mergeCell ref="P1162:Q1163"/>
    <mergeCell ref="P1013:P1014"/>
    <mergeCell ref="C1065:R1066"/>
    <mergeCell ref="J1013:J1014"/>
    <mergeCell ref="I105:BL106"/>
    <mergeCell ref="L1947:Q1947"/>
    <mergeCell ref="L1963:Q1963"/>
    <mergeCell ref="AA1132:AF1132"/>
    <mergeCell ref="W1130:AF1131"/>
    <mergeCell ref="K1013:K1014"/>
    <mergeCell ref="G1013:G1014"/>
    <mergeCell ref="T1930:Y1931"/>
    <mergeCell ref="C1162:M1163"/>
    <mergeCell ref="AB233:AI234"/>
    <mergeCell ref="AC652:AD652"/>
    <mergeCell ref="AH652:AI652"/>
    <mergeCell ref="T608:U608"/>
    <mergeCell ref="B1158:B1367"/>
    <mergeCell ref="C1183:C1184"/>
    <mergeCell ref="C1173:C1174"/>
    <mergeCell ref="I1173:I1174"/>
    <mergeCell ref="AI890:AJ890"/>
    <mergeCell ref="T599:U599"/>
    <mergeCell ref="T622:U622"/>
    <mergeCell ref="X617:AA617"/>
    <mergeCell ref="AE628:AF628"/>
    <mergeCell ref="C891:D891"/>
    <mergeCell ref="E1202:F1202"/>
    <mergeCell ref="H1013:H1014"/>
    <mergeCell ref="U1065:AJ1066"/>
    <mergeCell ref="F1013:F1014"/>
    <mergeCell ref="V805:X805"/>
    <mergeCell ref="AC859:AD859"/>
    <mergeCell ref="AI891:AJ891"/>
    <mergeCell ref="V803:X803"/>
    <mergeCell ref="AE819:AV819"/>
    <mergeCell ref="AC817:AV817"/>
    <mergeCell ref="AC845:AV845"/>
    <mergeCell ref="AE889:AG889"/>
    <mergeCell ref="V799:X799"/>
    <mergeCell ref="AR890:AV890"/>
    <mergeCell ref="V237:Y238"/>
    <mergeCell ref="T609:U609"/>
    <mergeCell ref="T610:U610"/>
    <mergeCell ref="T611:U611"/>
    <mergeCell ref="B1926:B2133"/>
    <mergeCell ref="L2122:Q2122"/>
    <mergeCell ref="L2123:Q2123"/>
    <mergeCell ref="L2132:Q2132"/>
    <mergeCell ref="L2126:Q2126"/>
    <mergeCell ref="L2065:Q2065"/>
    <mergeCell ref="L2071:Q2071"/>
    <mergeCell ref="L2072:Q2072"/>
    <mergeCell ref="L2107:Q2107"/>
    <mergeCell ref="L2089:Q2089"/>
    <mergeCell ref="L2085:Q2085"/>
    <mergeCell ref="L2103:Q2103"/>
    <mergeCell ref="L2086:Q2086"/>
    <mergeCell ref="L2093:Q2093"/>
    <mergeCell ref="L2067:Q2067"/>
    <mergeCell ref="L2066:Q2066"/>
    <mergeCell ref="L2079:Q2079"/>
    <mergeCell ref="L2070:Q2070"/>
    <mergeCell ref="L2068:Q2068"/>
    <mergeCell ref="L2084:Q2084"/>
    <mergeCell ref="L2076:Q2076"/>
    <mergeCell ref="L2074:Q2074"/>
    <mergeCell ref="AP2237:AQ2237"/>
    <mergeCell ref="AE2140:AE2141"/>
    <mergeCell ref="T2140:T2141"/>
    <mergeCell ref="V2140:V2141"/>
    <mergeCell ref="G2172:I2172"/>
    <mergeCell ref="AC2140:AD2140"/>
    <mergeCell ref="K2140:L2141"/>
    <mergeCell ref="M2140:N2141"/>
    <mergeCell ref="G2175:H2176"/>
    <mergeCell ref="AB2140:AB2141"/>
    <mergeCell ref="U2140:U2141"/>
    <mergeCell ref="Z2140:Z2141"/>
    <mergeCell ref="P2140:P2141"/>
    <mergeCell ref="Q2140:Q2141"/>
    <mergeCell ref="W2140:W2141"/>
    <mergeCell ref="G2200:J2200"/>
    <mergeCell ref="L2236:N2236"/>
    <mergeCell ref="O2236:Q2236"/>
    <mergeCell ref="R2236:T2236"/>
    <mergeCell ref="AM2236:AO2236"/>
    <mergeCell ref="L2119:Q2119"/>
    <mergeCell ref="L2125:Q2125"/>
    <mergeCell ref="AJ2236:AL2236"/>
    <mergeCell ref="AG2236:AI2236"/>
    <mergeCell ref="AD2236:AF2236"/>
    <mergeCell ref="G2180:H2181"/>
    <mergeCell ref="G2289:G2331"/>
    <mergeCell ref="J2267:K2268"/>
    <mergeCell ref="J2235:K2235"/>
    <mergeCell ref="J2269:AO2270"/>
    <mergeCell ref="AM2267:AO2267"/>
    <mergeCell ref="AJ2267:AL2267"/>
    <mergeCell ref="AG2267:AI2267"/>
    <mergeCell ref="AD2267:AF2267"/>
    <mergeCell ref="AA2267:AC2267"/>
    <mergeCell ref="U2267:W2267"/>
    <mergeCell ref="O2267:Q2267"/>
    <mergeCell ref="X2267:Z2267"/>
    <mergeCell ref="AA2236:AC2236"/>
    <mergeCell ref="X2236:Z2236"/>
    <mergeCell ref="U2236:W2236"/>
    <mergeCell ref="L2267:N2267"/>
    <mergeCell ref="G2184:I2185"/>
    <mergeCell ref="L2235:AO2235"/>
    <mergeCell ref="J2234:AO2234"/>
    <mergeCell ref="K2200:L2200"/>
    <mergeCell ref="C2286:G2287"/>
    <mergeCell ref="AA2140:AA2141"/>
    <mergeCell ref="S2140:S2141"/>
    <mergeCell ref="G2138:I2138"/>
    <mergeCell ref="R2138:R2139"/>
    <mergeCell ref="P2138:Q2139"/>
    <mergeCell ref="G2210:H2211"/>
    <mergeCell ref="Y2140:Y2141"/>
    <mergeCell ref="X2140:X2141"/>
    <mergeCell ref="O2140:O2141"/>
    <mergeCell ref="K2138:N2139"/>
    <mergeCell ref="R2140:R2141"/>
    <mergeCell ref="C2134:AG2136"/>
    <mergeCell ref="L2130:Q2130"/>
    <mergeCell ref="L2131:Q2131"/>
    <mergeCell ref="L2129:Q2129"/>
    <mergeCell ref="L2127:Q2127"/>
    <mergeCell ref="C2138:E2139"/>
    <mergeCell ref="S2138:T2139"/>
    <mergeCell ref="O2138:O2139"/>
    <mergeCell ref="L2128:Q2128"/>
    <mergeCell ref="L2069:Q2069"/>
    <mergeCell ref="L2073:Q2073"/>
    <mergeCell ref="L2081:Q2081"/>
    <mergeCell ref="L2083:Q2083"/>
    <mergeCell ref="L2111:Q2111"/>
    <mergeCell ref="L2080:Q2080"/>
    <mergeCell ref="L2088:Q2088"/>
    <mergeCell ref="L2098:Q2098"/>
    <mergeCell ref="L2087:Q2087"/>
    <mergeCell ref="L2091:Q2091"/>
    <mergeCell ref="L2095:Q2095"/>
    <mergeCell ref="L2082:Q2082"/>
    <mergeCell ref="L2092:Q2092"/>
    <mergeCell ref="L2106:Q2106"/>
    <mergeCell ref="L2104:Q2104"/>
    <mergeCell ref="L2100:Q2100"/>
    <mergeCell ref="L2099:Q2099"/>
    <mergeCell ref="L2094:Q2094"/>
    <mergeCell ref="L2101:Q2101"/>
    <mergeCell ref="L2096:Q2096"/>
    <mergeCell ref="L2097:Q2097"/>
    <mergeCell ref="L2105:Q2105"/>
    <mergeCell ref="L2077:Q2077"/>
    <mergeCell ref="L2075:Q2075"/>
    <mergeCell ref="L2063:Q2063"/>
    <mergeCell ref="L1965:Q1965"/>
    <mergeCell ref="L1980:Q1980"/>
    <mergeCell ref="L1981:Q1981"/>
    <mergeCell ref="L1996:Q1996"/>
    <mergeCell ref="L2001:Q2001"/>
    <mergeCell ref="L2007:Q2007"/>
    <mergeCell ref="L1986:Q1986"/>
    <mergeCell ref="L1983:Q1983"/>
    <mergeCell ref="L1985:Q1985"/>
    <mergeCell ref="L1989:Q1989"/>
    <mergeCell ref="L1994:Q1994"/>
    <mergeCell ref="L2046:Q2046"/>
    <mergeCell ref="L2060:Q2060"/>
    <mergeCell ref="L2051:Q2051"/>
    <mergeCell ref="L2047:Q2047"/>
    <mergeCell ref="L2037:Q2037"/>
    <mergeCell ref="L2011:Q2011"/>
    <mergeCell ref="L2012:Q2012"/>
    <mergeCell ref="L2033:Q2033"/>
    <mergeCell ref="L2018:Q2018"/>
    <mergeCell ref="L2034:Q2034"/>
    <mergeCell ref="L2017:Q2017"/>
    <mergeCell ref="L2028:Q2028"/>
    <mergeCell ref="L1952:Q1952"/>
    <mergeCell ref="L1950:Q1950"/>
    <mergeCell ref="L1956:Q1956"/>
    <mergeCell ref="L1955:Q1955"/>
    <mergeCell ref="L1971:Q1971"/>
    <mergeCell ref="L1962:Q1962"/>
    <mergeCell ref="L1961:Q1961"/>
    <mergeCell ref="L1951:Q1951"/>
    <mergeCell ref="L1954:Q1954"/>
    <mergeCell ref="L1958:Q1958"/>
    <mergeCell ref="L1957:Q1957"/>
    <mergeCell ref="L1953:Q1953"/>
    <mergeCell ref="L1969:Q1969"/>
    <mergeCell ref="L1974:Q1974"/>
    <mergeCell ref="L1960:Q1960"/>
    <mergeCell ref="L2023:Q2023"/>
    <mergeCell ref="L2014:Q2014"/>
    <mergeCell ref="L1982:Q1982"/>
    <mergeCell ref="L1970:Q1970"/>
    <mergeCell ref="L1968:Q1968"/>
    <mergeCell ref="L1975:Q1975"/>
    <mergeCell ref="L1976:Q1976"/>
    <mergeCell ref="L1964:Q1964"/>
    <mergeCell ref="L1972:Q1972"/>
    <mergeCell ref="L1977:Q1977"/>
    <mergeCell ref="L1984:Q1984"/>
    <mergeCell ref="L1997:Q1997"/>
    <mergeCell ref="L1998:Q1998"/>
    <mergeCell ref="L1990:Q1990"/>
    <mergeCell ref="L1988:Q1988"/>
    <mergeCell ref="L1979:Q1979"/>
    <mergeCell ref="L1995:Q1995"/>
    <mergeCell ref="L2015:Q2015"/>
    <mergeCell ref="L2006:Q2006"/>
    <mergeCell ref="L1978:Q1978"/>
    <mergeCell ref="L2010:Q2010"/>
    <mergeCell ref="L2002:Q2002"/>
    <mergeCell ref="L306:X307"/>
    <mergeCell ref="V802:X802"/>
    <mergeCell ref="C885:BL887"/>
    <mergeCell ref="C889:AC890"/>
    <mergeCell ref="BB890:BF890"/>
    <mergeCell ref="BG890:BK890"/>
    <mergeCell ref="AM652:AN652"/>
    <mergeCell ref="AR652:AS652"/>
    <mergeCell ref="AR651:AV651"/>
    <mergeCell ref="AM651:AQ651"/>
    <mergeCell ref="AO652:AP652"/>
    <mergeCell ref="AT652:AU652"/>
    <mergeCell ref="R308:S308"/>
    <mergeCell ref="T590:U590"/>
    <mergeCell ref="AC590:AC591"/>
    <mergeCell ref="N308:O308"/>
    <mergeCell ref="C590:R591"/>
    <mergeCell ref="X590:AA591"/>
    <mergeCell ref="BG651:BK651"/>
    <mergeCell ref="AM890:AQ890"/>
    <mergeCell ref="BL890:BL892"/>
    <mergeCell ref="AK891:AL891"/>
    <mergeCell ref="AZ651:BD651"/>
    <mergeCell ref="AW890:BA890"/>
  </mergeCells>
  <phoneticPr fontId="9" type="noConversion"/>
  <conditionalFormatting sqref="X1374:Y1375 X1378 X1431 X1424 X1426:X1428 X1459:Y1469 X1434:X1447 X1450:X1451 X1376 X1380:X1381 X1383:X1422 Y1376:Y1381 Y1383:Y1452 X1472:Y1515 X1521:Y1563">
    <cfRule type="expression" dxfId="1904" priority="4">
      <formula>"No"</formula>
    </cfRule>
  </conditionalFormatting>
  <conditionalFormatting sqref="X1382:Y1382">
    <cfRule type="expression" dxfId="1903" priority="2">
      <formula>"No"</formula>
    </cfRule>
  </conditionalFormatting>
  <dataValidations disablePrompts="1" count="1">
    <dataValidation operator="equal" allowBlank="1" showErrorMessage="1" sqref="AL824:AN837 AE829:AE834 D791:D796 AE836:AE840 AE824 AE820:AH823"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76EAB-6C59-4D75-A5F7-905CD581F207}">
  <sheetPr codeName="Sheet16">
    <tabColor theme="0" tint="-0.499984740745262"/>
  </sheetPr>
  <dimension ref="A1:BE276"/>
  <sheetViews>
    <sheetView zoomScale="55" zoomScaleNormal="55" workbookViewId="0">
      <selection activeCell="BD154" sqref="BD154"/>
    </sheetView>
  </sheetViews>
  <sheetFormatPr baseColWidth="10" defaultColWidth="9.140625" defaultRowHeight="12.75"/>
  <cols>
    <col min="1" max="1" width="2.140625" customWidth="1"/>
    <col min="2" max="2" width="2.7109375" customWidth="1"/>
    <col min="3" max="3" width="11.85546875" customWidth="1"/>
    <col min="4" max="4" width="12.140625" customWidth="1"/>
    <col min="5" max="5" width="10.42578125" customWidth="1"/>
    <col min="7" max="7" width="9.140625" customWidth="1"/>
    <col min="29" max="29" width="9.140625" customWidth="1"/>
    <col min="41" max="41" width="32.42578125" customWidth="1"/>
    <col min="42" max="42" width="27.28515625" customWidth="1"/>
    <col min="43" max="43" width="16.28515625" customWidth="1"/>
    <col min="48" max="48" width="32.85546875" customWidth="1"/>
    <col min="49" max="49" width="34.140625" customWidth="1"/>
    <col min="50" max="51" width="9.140625" style="215"/>
  </cols>
  <sheetData>
    <row r="1" spans="1:57">
      <c r="A1">
        <v>1</v>
      </c>
      <c r="AX1"/>
      <c r="AY1"/>
    </row>
    <row r="2" spans="1:57">
      <c r="A2">
        <v>2</v>
      </c>
      <c r="B2" s="7146" t="s">
        <v>11836</v>
      </c>
      <c r="C2" s="7146"/>
      <c r="D2" s="7146"/>
      <c r="E2" s="7146"/>
      <c r="F2" s="7146"/>
      <c r="G2" s="7146"/>
      <c r="H2" s="7146"/>
      <c r="I2" s="7146"/>
      <c r="J2" s="7146"/>
      <c r="K2" s="7146"/>
      <c r="L2" s="7146"/>
      <c r="M2" s="7146"/>
      <c r="N2" s="7146"/>
      <c r="O2" s="7146"/>
      <c r="P2" s="7146"/>
      <c r="Q2" s="7146"/>
      <c r="R2" s="7146"/>
      <c r="S2" s="7146"/>
      <c r="T2" s="7146"/>
      <c r="U2" s="7146"/>
      <c r="V2" s="7146"/>
      <c r="W2" s="7146"/>
      <c r="X2" s="7146"/>
      <c r="Y2" s="7146"/>
      <c r="Z2" s="7146"/>
      <c r="AA2" s="7146"/>
      <c r="AB2" s="7146"/>
      <c r="AX2"/>
      <c r="AY2"/>
    </row>
    <row r="3" spans="1:57">
      <c r="A3">
        <v>3</v>
      </c>
      <c r="B3" s="7146"/>
      <c r="C3" s="7146"/>
      <c r="D3" s="7146"/>
      <c r="E3" s="7146"/>
      <c r="F3" s="7146"/>
      <c r="G3" s="7146"/>
      <c r="H3" s="7146"/>
      <c r="I3" s="7146"/>
      <c r="J3" s="7146"/>
      <c r="K3" s="7146"/>
      <c r="L3" s="7146"/>
      <c r="M3" s="7146"/>
      <c r="N3" s="7146"/>
      <c r="O3" s="7146"/>
      <c r="P3" s="7146"/>
      <c r="Q3" s="7146"/>
      <c r="R3" s="7146"/>
      <c r="S3" s="7146"/>
      <c r="T3" s="7146"/>
      <c r="U3" s="7146"/>
      <c r="V3" s="7146"/>
      <c r="W3" s="7146"/>
      <c r="X3" s="7146"/>
      <c r="Y3" s="7146"/>
      <c r="Z3" s="7146"/>
      <c r="AA3" s="7146"/>
      <c r="AB3" s="7146"/>
      <c r="AX3"/>
      <c r="AY3"/>
    </row>
    <row r="4" spans="1:57">
      <c r="A4">
        <v>4</v>
      </c>
      <c r="B4" s="7146"/>
      <c r="C4" s="7146"/>
      <c r="D4" s="7146"/>
      <c r="E4" s="7146"/>
      <c r="F4" s="7146"/>
      <c r="G4" s="7146"/>
      <c r="H4" s="7146"/>
      <c r="I4" s="7146"/>
      <c r="J4" s="7146"/>
      <c r="K4" s="7146"/>
      <c r="L4" s="7146"/>
      <c r="M4" s="7146"/>
      <c r="N4" s="7146"/>
      <c r="O4" s="7146"/>
      <c r="P4" s="7146"/>
      <c r="Q4" s="7146"/>
      <c r="R4" s="7146"/>
      <c r="S4" s="7146"/>
      <c r="T4" s="7146"/>
      <c r="U4" s="7146"/>
      <c r="V4" s="7146"/>
      <c r="W4" s="7146"/>
      <c r="X4" s="7146"/>
      <c r="Y4" s="7146"/>
      <c r="Z4" s="7146"/>
      <c r="AA4" s="7146"/>
      <c r="AB4" s="7146"/>
      <c r="AX4"/>
      <c r="AY4"/>
    </row>
    <row r="5" spans="1:57" ht="13.5" thickBot="1">
      <c r="A5">
        <v>5</v>
      </c>
      <c r="AX5"/>
      <c r="AY5"/>
    </row>
    <row r="6" spans="1:57">
      <c r="A6">
        <v>6</v>
      </c>
      <c r="C6" s="8211" t="s">
        <v>11837</v>
      </c>
      <c r="D6" s="8211"/>
      <c r="E6" s="8211"/>
      <c r="G6" s="8212" t="s">
        <v>11838</v>
      </c>
      <c r="H6" s="7934"/>
      <c r="I6" s="7934"/>
      <c r="J6" s="7934"/>
      <c r="K6" s="7934"/>
      <c r="L6" s="7934"/>
      <c r="M6" s="7934"/>
      <c r="N6" s="7934"/>
      <c r="O6" s="7934"/>
      <c r="P6" s="7934"/>
      <c r="Q6" s="7934"/>
      <c r="R6" s="7934"/>
      <c r="S6" s="7934"/>
      <c r="T6" s="7934"/>
      <c r="U6" s="7934"/>
      <c r="V6" s="7934"/>
      <c r="W6" s="7934"/>
      <c r="X6" s="7934"/>
      <c r="Y6" s="7934"/>
      <c r="Z6" s="7934"/>
      <c r="AA6" s="7934"/>
      <c r="AB6" s="7934"/>
      <c r="AC6" s="7934"/>
      <c r="AD6" s="7934"/>
      <c r="AE6" s="7934"/>
      <c r="AF6" s="7934"/>
      <c r="AG6" s="7934"/>
      <c r="AH6" s="7934"/>
      <c r="AI6" s="7934"/>
      <c r="AJ6" s="7934"/>
      <c r="AK6" s="7934"/>
      <c r="AL6" s="7934"/>
      <c r="AM6" s="7934"/>
      <c r="AO6" s="7067" t="s">
        <v>12583</v>
      </c>
      <c r="AP6" s="7068"/>
      <c r="AQ6" s="7068"/>
      <c r="AR6" s="7068"/>
      <c r="AS6" s="7068"/>
      <c r="AT6" s="7069"/>
      <c r="AV6" s="7934" t="s">
        <v>11838</v>
      </c>
      <c r="AW6" s="7934"/>
      <c r="AX6" s="7934"/>
      <c r="AY6" s="7934"/>
      <c r="AZ6" s="7934"/>
      <c r="BA6" s="7934"/>
      <c r="BB6" s="7934"/>
      <c r="BC6" s="7934"/>
      <c r="BD6" s="7934"/>
      <c r="BE6" s="3380"/>
    </row>
    <row r="7" spans="1:57">
      <c r="A7">
        <v>7</v>
      </c>
      <c r="C7" s="8211"/>
      <c r="D7" s="8211"/>
      <c r="E7" s="8211"/>
      <c r="G7" s="8212"/>
      <c r="H7" s="7934"/>
      <c r="I7" s="7934"/>
      <c r="J7" s="7934"/>
      <c r="K7" s="7934"/>
      <c r="L7" s="7934"/>
      <c r="M7" s="7934"/>
      <c r="N7" s="7934"/>
      <c r="O7" s="7934"/>
      <c r="P7" s="7934"/>
      <c r="Q7" s="7934"/>
      <c r="R7" s="7934"/>
      <c r="S7" s="7934"/>
      <c r="T7" s="7934"/>
      <c r="U7" s="7934"/>
      <c r="V7" s="7934"/>
      <c r="W7" s="7934"/>
      <c r="X7" s="7934"/>
      <c r="Y7" s="7934"/>
      <c r="Z7" s="7934"/>
      <c r="AA7" s="7934"/>
      <c r="AB7" s="7934"/>
      <c r="AC7" s="7934"/>
      <c r="AD7" s="7934"/>
      <c r="AE7" s="7934"/>
      <c r="AF7" s="7934"/>
      <c r="AG7" s="7934"/>
      <c r="AH7" s="7934"/>
      <c r="AI7" s="7934"/>
      <c r="AJ7" s="7934"/>
      <c r="AK7" s="7934"/>
      <c r="AL7" s="7934"/>
      <c r="AM7" s="7934"/>
      <c r="AO7" s="8213"/>
      <c r="AP7" s="7934"/>
      <c r="AQ7" s="7934"/>
      <c r="AR7" s="7934"/>
      <c r="AS7" s="7934"/>
      <c r="AT7" s="8214"/>
      <c r="AV7" s="7934"/>
      <c r="AW7" s="7934"/>
      <c r="AX7" s="7934"/>
      <c r="AY7" s="7934"/>
      <c r="AZ7" s="7934"/>
      <c r="BA7" s="7934"/>
      <c r="BB7" s="7934"/>
      <c r="BC7" s="7934"/>
      <c r="BD7" s="7934"/>
      <c r="BE7" s="3380"/>
    </row>
    <row r="8" spans="1:57">
      <c r="A8">
        <v>8</v>
      </c>
      <c r="C8" s="3860" t="s">
        <v>1300</v>
      </c>
      <c r="D8" s="3860" t="s">
        <v>11839</v>
      </c>
      <c r="E8" s="3860" t="s">
        <v>11840</v>
      </c>
      <c r="G8" s="3861" t="s">
        <v>11841</v>
      </c>
      <c r="H8" s="3860" t="s">
        <v>11842</v>
      </c>
      <c r="I8" s="3860" t="s">
        <v>11843</v>
      </c>
      <c r="J8" s="3860" t="s">
        <v>11844</v>
      </c>
      <c r="K8" s="3860" t="s">
        <v>11845</v>
      </c>
      <c r="L8" s="3860" t="s">
        <v>11846</v>
      </c>
      <c r="M8" s="3860" t="s">
        <v>11847</v>
      </c>
      <c r="N8" s="3860" t="s">
        <v>11848</v>
      </c>
      <c r="O8" s="3860" t="s">
        <v>11849</v>
      </c>
      <c r="P8" s="3860" t="s">
        <v>11850</v>
      </c>
      <c r="Q8" s="3860" t="s">
        <v>11851</v>
      </c>
      <c r="R8" s="3860" t="s">
        <v>11852</v>
      </c>
      <c r="S8" s="3860" t="s">
        <v>11853</v>
      </c>
      <c r="T8" s="3860" t="s">
        <v>11854</v>
      </c>
      <c r="U8" s="3860" t="s">
        <v>11855</v>
      </c>
      <c r="V8" s="3860" t="s">
        <v>11856</v>
      </c>
      <c r="W8" s="3860" t="s">
        <v>11857</v>
      </c>
      <c r="X8" s="3860" t="s">
        <v>11858</v>
      </c>
      <c r="Y8" s="3860" t="s">
        <v>11859</v>
      </c>
      <c r="Z8" s="3860" t="s">
        <v>11860</v>
      </c>
      <c r="AA8" s="3860" t="s">
        <v>11861</v>
      </c>
      <c r="AB8" s="3860" t="s">
        <v>11862</v>
      </c>
      <c r="AC8" s="3860" t="s">
        <v>11863</v>
      </c>
      <c r="AD8" s="3860" t="s">
        <v>11864</v>
      </c>
      <c r="AE8" s="3860" t="s">
        <v>11865</v>
      </c>
      <c r="AF8" s="3860" t="s">
        <v>11866</v>
      </c>
      <c r="AG8" s="3860" t="s">
        <v>11867</v>
      </c>
      <c r="AH8" s="3860" t="s">
        <v>11868</v>
      </c>
      <c r="AI8" s="3860" t="s">
        <v>11869</v>
      </c>
      <c r="AJ8" s="3860" t="s">
        <v>11870</v>
      </c>
      <c r="AK8" s="3860" t="s">
        <v>11871</v>
      </c>
      <c r="AL8" s="3860" t="s">
        <v>11872</v>
      </c>
      <c r="AM8" s="3862" t="s">
        <v>11873</v>
      </c>
      <c r="AO8" s="4006" t="s">
        <v>1300</v>
      </c>
      <c r="AP8" s="2072" t="s">
        <v>1698</v>
      </c>
      <c r="AQ8" s="2072" t="s">
        <v>11842</v>
      </c>
      <c r="AR8" s="2072" t="s">
        <v>11850</v>
      </c>
      <c r="AS8" s="2072" t="s">
        <v>11858</v>
      </c>
      <c r="AT8" s="4007" t="s">
        <v>11866</v>
      </c>
      <c r="AV8" s="2072" t="s">
        <v>11841</v>
      </c>
      <c r="AW8" s="2072" t="s">
        <v>1645</v>
      </c>
      <c r="AX8" s="2072" t="s">
        <v>1349</v>
      </c>
      <c r="AY8" s="2072" t="s">
        <v>1216</v>
      </c>
      <c r="AZ8" s="2072"/>
      <c r="BA8" s="2072"/>
      <c r="BB8" s="2072"/>
      <c r="BC8" s="2072"/>
      <c r="BD8" s="2072"/>
      <c r="BE8" s="3380"/>
    </row>
    <row r="9" spans="1:57">
      <c r="C9" s="3863" t="s">
        <v>604</v>
      </c>
      <c r="D9" s="2334">
        <v>100</v>
      </c>
      <c r="E9" s="2334">
        <v>120</v>
      </c>
      <c r="G9" s="3863" t="s">
        <v>604</v>
      </c>
      <c r="H9" s="304" t="s">
        <v>604</v>
      </c>
      <c r="I9" s="2334">
        <v>100</v>
      </c>
      <c r="J9" s="2334">
        <v>120</v>
      </c>
      <c r="K9" s="2334" t="s">
        <v>1165</v>
      </c>
      <c r="L9" s="2334" t="s">
        <v>11874</v>
      </c>
      <c r="M9" s="2334" t="s">
        <v>11874</v>
      </c>
      <c r="N9" s="2334" t="s">
        <v>11875</v>
      </c>
      <c r="O9" s="2334" t="s">
        <v>11876</v>
      </c>
      <c r="P9" s="2334" t="s">
        <v>1315</v>
      </c>
      <c r="Q9" s="2334" t="s">
        <v>1315</v>
      </c>
      <c r="R9" s="2334" t="s">
        <v>1315</v>
      </c>
      <c r="S9" s="2334" t="s">
        <v>1315</v>
      </c>
      <c r="T9" s="2334" t="s">
        <v>1315</v>
      </c>
      <c r="U9" s="2334" t="s">
        <v>1315</v>
      </c>
      <c r="V9" s="2334" t="s">
        <v>1315</v>
      </c>
      <c r="W9" s="2334" t="s">
        <v>1315</v>
      </c>
      <c r="X9" s="2334" t="s">
        <v>1315</v>
      </c>
      <c r="Y9" s="2334" t="s">
        <v>1315</v>
      </c>
      <c r="Z9" s="2334" t="s">
        <v>1315</v>
      </c>
      <c r="AA9" s="2334" t="s">
        <v>1315</v>
      </c>
      <c r="AB9" s="2334" t="s">
        <v>1315</v>
      </c>
      <c r="AC9" s="2334" t="s">
        <v>1315</v>
      </c>
      <c r="AD9" s="2334" t="s">
        <v>1315</v>
      </c>
      <c r="AE9" s="2334" t="s">
        <v>1315</v>
      </c>
      <c r="AF9" s="2334" t="s">
        <v>1315</v>
      </c>
      <c r="AG9" s="2334" t="s">
        <v>1315</v>
      </c>
      <c r="AH9" s="2334" t="s">
        <v>1315</v>
      </c>
      <c r="AI9" s="2334" t="s">
        <v>1315</v>
      </c>
      <c r="AJ9" s="2334" t="s">
        <v>1315</v>
      </c>
      <c r="AK9" s="2334" t="s">
        <v>1315</v>
      </c>
      <c r="AL9" s="2334" t="s">
        <v>1315</v>
      </c>
      <c r="AM9" s="2334" t="s">
        <v>1315</v>
      </c>
      <c r="AO9" s="3966" t="s">
        <v>604</v>
      </c>
      <c r="AP9" s="3864" t="s">
        <v>12586</v>
      </c>
      <c r="AQ9" s="304" t="s">
        <v>604</v>
      </c>
      <c r="AR9" s="304"/>
      <c r="AS9" s="304"/>
      <c r="AT9" s="3592"/>
      <c r="AV9" s="4003" t="s">
        <v>604</v>
      </c>
      <c r="AW9" s="304" t="s">
        <v>604</v>
      </c>
      <c r="AX9" s="2334">
        <v>100</v>
      </c>
      <c r="AY9" s="2334">
        <v>120</v>
      </c>
      <c r="AZ9" s="2334" t="s">
        <v>1165</v>
      </c>
      <c r="BA9" s="2334" t="s">
        <v>11874</v>
      </c>
      <c r="BB9" s="2334" t="s">
        <v>11874</v>
      </c>
      <c r="BC9" s="2334" t="s">
        <v>11875</v>
      </c>
      <c r="BD9" s="2334" t="s">
        <v>11876</v>
      </c>
      <c r="BE9" s="2334" t="s">
        <v>1315</v>
      </c>
    </row>
    <row r="10" spans="1:57">
      <c r="C10" s="3863" t="s">
        <v>605</v>
      </c>
      <c r="D10" s="2334">
        <v>100</v>
      </c>
      <c r="E10" s="2334">
        <v>130</v>
      </c>
      <c r="G10" s="3863" t="s">
        <v>605</v>
      </c>
      <c r="H10" s="304" t="s">
        <v>605</v>
      </c>
      <c r="I10" s="2334">
        <v>100</v>
      </c>
      <c r="J10" s="2334">
        <v>130</v>
      </c>
      <c r="K10" s="2334" t="s">
        <v>2972</v>
      </c>
      <c r="L10" s="2334">
        <v>120</v>
      </c>
      <c r="M10" s="2334">
        <v>120</v>
      </c>
      <c r="N10" s="2334" t="s">
        <v>11877</v>
      </c>
      <c r="O10" s="2334" t="s">
        <v>11878</v>
      </c>
      <c r="P10" s="2334" t="s">
        <v>1315</v>
      </c>
      <c r="Q10" s="2334" t="s">
        <v>1315</v>
      </c>
      <c r="R10" s="2334" t="s">
        <v>1315</v>
      </c>
      <c r="S10" s="2334" t="s">
        <v>1315</v>
      </c>
      <c r="T10" s="2334" t="s">
        <v>1315</v>
      </c>
      <c r="U10" s="2334" t="s">
        <v>1315</v>
      </c>
      <c r="V10" s="2334" t="s">
        <v>1315</v>
      </c>
      <c r="W10" s="2334" t="s">
        <v>1315</v>
      </c>
      <c r="X10" s="2334" t="s">
        <v>1315</v>
      </c>
      <c r="Y10" s="2334" t="s">
        <v>1315</v>
      </c>
      <c r="Z10" s="2334" t="s">
        <v>1315</v>
      </c>
      <c r="AA10" s="2334" t="s">
        <v>1315</v>
      </c>
      <c r="AB10" s="2334" t="s">
        <v>1315</v>
      </c>
      <c r="AC10" s="2334" t="s">
        <v>1315</v>
      </c>
      <c r="AD10" s="2334" t="s">
        <v>1315</v>
      </c>
      <c r="AE10" s="2334" t="s">
        <v>1315</v>
      </c>
      <c r="AF10" s="2334" t="s">
        <v>1315</v>
      </c>
      <c r="AG10" s="2334" t="s">
        <v>1315</v>
      </c>
      <c r="AH10" s="2334" t="s">
        <v>1315</v>
      </c>
      <c r="AI10" s="2334" t="s">
        <v>1315</v>
      </c>
      <c r="AJ10" s="2334" t="s">
        <v>1315</v>
      </c>
      <c r="AK10" s="2334" t="s">
        <v>1315</v>
      </c>
      <c r="AL10" s="2334" t="s">
        <v>1315</v>
      </c>
      <c r="AM10" s="2334" t="s">
        <v>1315</v>
      </c>
      <c r="AO10" s="3966" t="s">
        <v>605</v>
      </c>
      <c r="AP10" s="3864" t="s">
        <v>12587</v>
      </c>
      <c r="AQ10" s="304" t="s">
        <v>605</v>
      </c>
      <c r="AR10" s="304"/>
      <c r="AS10" s="304"/>
      <c r="AT10" s="3592"/>
      <c r="AV10" s="4003" t="s">
        <v>605</v>
      </c>
      <c r="AW10" s="304" t="s">
        <v>605</v>
      </c>
      <c r="AX10" s="2334">
        <v>100</v>
      </c>
      <c r="AY10" s="2334">
        <v>130</v>
      </c>
      <c r="AZ10" s="2334" t="s">
        <v>2972</v>
      </c>
      <c r="BA10" s="2334">
        <v>120</v>
      </c>
      <c r="BB10" s="2334">
        <v>120</v>
      </c>
      <c r="BC10" s="2334" t="s">
        <v>11877</v>
      </c>
      <c r="BD10" s="2334" t="s">
        <v>11878</v>
      </c>
      <c r="BE10" s="286" t="s">
        <v>1315</v>
      </c>
    </row>
    <row r="11" spans="1:57">
      <c r="C11" s="3863" t="s">
        <v>606</v>
      </c>
      <c r="D11" s="2334">
        <v>150</v>
      </c>
      <c r="E11" s="2334">
        <v>140</v>
      </c>
      <c r="G11" s="3863" t="s">
        <v>606</v>
      </c>
      <c r="H11" s="304" t="s">
        <v>606</v>
      </c>
      <c r="I11" s="2334">
        <v>150</v>
      </c>
      <c r="J11" s="2334">
        <v>140</v>
      </c>
      <c r="K11" s="2334" t="s">
        <v>1166</v>
      </c>
      <c r="L11" s="2334" t="s">
        <v>11874</v>
      </c>
      <c r="M11" s="2334">
        <v>160</v>
      </c>
      <c r="N11" s="2334" t="s">
        <v>11879</v>
      </c>
      <c r="O11" s="2334" t="s">
        <v>11880</v>
      </c>
      <c r="P11" s="2334" t="s">
        <v>1315</v>
      </c>
      <c r="Q11" s="2334" t="s">
        <v>1315</v>
      </c>
      <c r="R11" s="2334" t="s">
        <v>1315</v>
      </c>
      <c r="S11" s="2334" t="s">
        <v>1315</v>
      </c>
      <c r="T11" s="2334" t="s">
        <v>1315</v>
      </c>
      <c r="U11" s="2334" t="s">
        <v>1315</v>
      </c>
      <c r="V11" s="2334" t="s">
        <v>1315</v>
      </c>
      <c r="W11" s="2334" t="s">
        <v>1315</v>
      </c>
      <c r="X11" s="2334" t="s">
        <v>1315</v>
      </c>
      <c r="Y11" s="2334" t="s">
        <v>1315</v>
      </c>
      <c r="Z11" s="2334" t="s">
        <v>1315</v>
      </c>
      <c r="AA11" s="2334" t="s">
        <v>1315</v>
      </c>
      <c r="AB11" s="2334" t="s">
        <v>1315</v>
      </c>
      <c r="AC11" s="2334" t="s">
        <v>1315</v>
      </c>
      <c r="AD11" s="2334" t="s">
        <v>1315</v>
      </c>
      <c r="AE11" s="2334" t="s">
        <v>1315</v>
      </c>
      <c r="AF11" s="2334" t="s">
        <v>1315</v>
      </c>
      <c r="AG11" s="2334" t="s">
        <v>1315</v>
      </c>
      <c r="AH11" s="2334" t="s">
        <v>1315</v>
      </c>
      <c r="AI11" s="2334" t="s">
        <v>1315</v>
      </c>
      <c r="AJ11" s="2334" t="s">
        <v>1315</v>
      </c>
      <c r="AK11" s="2334" t="s">
        <v>1315</v>
      </c>
      <c r="AL11" s="2334" t="s">
        <v>1315</v>
      </c>
      <c r="AM11" s="2334" t="s">
        <v>1315</v>
      </c>
      <c r="AO11" s="3966" t="s">
        <v>606</v>
      </c>
      <c r="AP11" s="3864" t="s">
        <v>12588</v>
      </c>
      <c r="AQ11" s="304" t="s">
        <v>606</v>
      </c>
      <c r="AR11" s="699"/>
      <c r="AS11" s="699"/>
      <c r="AT11" s="3619"/>
      <c r="AV11" s="4003" t="s">
        <v>606</v>
      </c>
      <c r="AW11" s="304" t="s">
        <v>606</v>
      </c>
      <c r="AX11" s="2334">
        <v>150</v>
      </c>
      <c r="AY11" s="2334">
        <v>140</v>
      </c>
      <c r="AZ11" s="2334" t="s">
        <v>1166</v>
      </c>
      <c r="BA11" s="2334" t="s">
        <v>11874</v>
      </c>
      <c r="BB11" s="2334">
        <v>160</v>
      </c>
      <c r="BC11" s="2334" t="s">
        <v>11879</v>
      </c>
      <c r="BD11" s="2334" t="s">
        <v>11880</v>
      </c>
      <c r="BE11" s="2334" t="s">
        <v>1315</v>
      </c>
    </row>
    <row r="12" spans="1:57">
      <c r="C12" s="3863" t="s">
        <v>607</v>
      </c>
      <c r="D12" s="2334">
        <v>200</v>
      </c>
      <c r="E12" s="2334">
        <v>150</v>
      </c>
      <c r="G12" s="3863" t="s">
        <v>607</v>
      </c>
      <c r="H12" s="304" t="s">
        <v>607</v>
      </c>
      <c r="I12" s="2334">
        <v>300</v>
      </c>
      <c r="J12" s="2334">
        <v>160</v>
      </c>
      <c r="K12" s="2334" t="s">
        <v>1166</v>
      </c>
      <c r="L12" s="2334" t="s">
        <v>11874</v>
      </c>
      <c r="M12" s="2334" t="s">
        <v>11874</v>
      </c>
      <c r="N12" s="2334" t="s">
        <v>11879</v>
      </c>
      <c r="O12" s="2334" t="s">
        <v>11881</v>
      </c>
      <c r="P12" s="2334" t="s">
        <v>1315</v>
      </c>
      <c r="Q12" s="2334" t="s">
        <v>1315</v>
      </c>
      <c r="R12" s="2334" t="s">
        <v>1315</v>
      </c>
      <c r="S12" s="2334" t="s">
        <v>1315</v>
      </c>
      <c r="T12" s="2334" t="s">
        <v>1315</v>
      </c>
      <c r="U12" s="2334" t="s">
        <v>1315</v>
      </c>
      <c r="V12" s="2334" t="s">
        <v>1315</v>
      </c>
      <c r="W12" s="2334" t="s">
        <v>1315</v>
      </c>
      <c r="X12" s="2334" t="s">
        <v>1315</v>
      </c>
      <c r="Y12" s="2334" t="s">
        <v>1315</v>
      </c>
      <c r="Z12" s="2334" t="s">
        <v>1315</v>
      </c>
      <c r="AA12" s="2334" t="s">
        <v>1315</v>
      </c>
      <c r="AB12" s="2334" t="s">
        <v>1315</v>
      </c>
      <c r="AC12" s="2334" t="s">
        <v>1315</v>
      </c>
      <c r="AD12" s="2334" t="s">
        <v>1315</v>
      </c>
      <c r="AE12" s="2334" t="s">
        <v>1315</v>
      </c>
      <c r="AF12" s="2334" t="s">
        <v>1315</v>
      </c>
      <c r="AG12" s="2334" t="s">
        <v>1315</v>
      </c>
      <c r="AH12" s="2334" t="s">
        <v>1315</v>
      </c>
      <c r="AI12" s="2334" t="s">
        <v>1315</v>
      </c>
      <c r="AJ12" s="2334" t="s">
        <v>1315</v>
      </c>
      <c r="AK12" s="2334" t="s">
        <v>1315</v>
      </c>
      <c r="AL12" s="2334" t="s">
        <v>1315</v>
      </c>
      <c r="AM12" s="2334" t="s">
        <v>1315</v>
      </c>
      <c r="AO12" s="3966" t="s">
        <v>607</v>
      </c>
      <c r="AP12" s="3864" t="s">
        <v>12589</v>
      </c>
      <c r="AQ12" s="304" t="s">
        <v>607</v>
      </c>
      <c r="AR12" s="699"/>
      <c r="AS12" s="699"/>
      <c r="AT12" s="3619"/>
      <c r="AV12" s="4003" t="s">
        <v>607</v>
      </c>
      <c r="AW12" s="304" t="s">
        <v>607</v>
      </c>
      <c r="AX12" s="2334">
        <v>300</v>
      </c>
      <c r="AY12" s="2334">
        <v>160</v>
      </c>
      <c r="AZ12" s="2334" t="s">
        <v>1166</v>
      </c>
      <c r="BA12" s="2334" t="s">
        <v>11874</v>
      </c>
      <c r="BB12" s="2334" t="s">
        <v>11874</v>
      </c>
      <c r="BC12" s="2334" t="s">
        <v>11879</v>
      </c>
      <c r="BD12" s="2334" t="s">
        <v>11881</v>
      </c>
      <c r="BE12" s="286" t="s">
        <v>1315</v>
      </c>
    </row>
    <row r="13" spans="1:57">
      <c r="C13" s="3863" t="s">
        <v>608</v>
      </c>
      <c r="D13" s="2334">
        <v>200</v>
      </c>
      <c r="E13" s="2334">
        <v>160</v>
      </c>
      <c r="G13" s="3863" t="s">
        <v>608</v>
      </c>
      <c r="H13" s="304" t="s">
        <v>608</v>
      </c>
      <c r="I13" s="2334">
        <v>250</v>
      </c>
      <c r="J13" s="2334">
        <v>180</v>
      </c>
      <c r="K13" s="2334" t="s">
        <v>1165</v>
      </c>
      <c r="L13" s="2334" t="s">
        <v>11882</v>
      </c>
      <c r="M13" s="2334" t="s">
        <v>11874</v>
      </c>
      <c r="N13" s="2334" t="s">
        <v>6442</v>
      </c>
      <c r="O13" s="2334" t="s">
        <v>11883</v>
      </c>
      <c r="P13" s="2334" t="s">
        <v>1315</v>
      </c>
      <c r="Q13" s="2334" t="s">
        <v>1315</v>
      </c>
      <c r="R13" s="2334" t="s">
        <v>1315</v>
      </c>
      <c r="S13" s="2334" t="s">
        <v>1315</v>
      </c>
      <c r="T13" s="2334" t="s">
        <v>1315</v>
      </c>
      <c r="U13" s="2334" t="s">
        <v>1315</v>
      </c>
      <c r="V13" s="2334" t="s">
        <v>1315</v>
      </c>
      <c r="W13" s="2334" t="s">
        <v>1315</v>
      </c>
      <c r="X13" s="2334" t="s">
        <v>1315</v>
      </c>
      <c r="Y13" s="2334" t="s">
        <v>1315</v>
      </c>
      <c r="Z13" s="2334" t="s">
        <v>1315</v>
      </c>
      <c r="AA13" s="2334" t="s">
        <v>1315</v>
      </c>
      <c r="AB13" s="2334" t="s">
        <v>1315</v>
      </c>
      <c r="AC13" s="2334" t="s">
        <v>1315</v>
      </c>
      <c r="AD13" s="2334" t="s">
        <v>1315</v>
      </c>
      <c r="AE13" s="2334" t="s">
        <v>1315</v>
      </c>
      <c r="AF13" s="2334" t="s">
        <v>1315</v>
      </c>
      <c r="AG13" s="2334" t="s">
        <v>1315</v>
      </c>
      <c r="AH13" s="2334" t="s">
        <v>1315</v>
      </c>
      <c r="AI13" s="2334" t="s">
        <v>1315</v>
      </c>
      <c r="AJ13" s="2334" t="s">
        <v>1315</v>
      </c>
      <c r="AK13" s="2334" t="s">
        <v>1315</v>
      </c>
      <c r="AL13" s="2334" t="s">
        <v>1315</v>
      </c>
      <c r="AM13" s="2334" t="s">
        <v>1315</v>
      </c>
      <c r="AO13" s="3966" t="s">
        <v>608</v>
      </c>
      <c r="AP13" s="3864" t="s">
        <v>12590</v>
      </c>
      <c r="AQ13" s="304" t="s">
        <v>608</v>
      </c>
      <c r="AR13" s="699"/>
      <c r="AS13" s="699"/>
      <c r="AT13" s="3619"/>
      <c r="AV13" s="4003" t="s">
        <v>608</v>
      </c>
      <c r="AW13" s="304" t="s">
        <v>608</v>
      </c>
      <c r="AX13" s="2334">
        <v>250</v>
      </c>
      <c r="AY13" s="2334">
        <v>180</v>
      </c>
      <c r="AZ13" s="2334" t="s">
        <v>1165</v>
      </c>
      <c r="BA13" s="2334" t="s">
        <v>11882</v>
      </c>
      <c r="BB13" s="2334" t="s">
        <v>11874</v>
      </c>
      <c r="BC13" s="2334" t="s">
        <v>6442</v>
      </c>
      <c r="BD13" s="2334" t="s">
        <v>11883</v>
      </c>
      <c r="BE13" s="2334" t="s">
        <v>1315</v>
      </c>
    </row>
    <row r="14" spans="1:57">
      <c r="C14" s="3863" t="s">
        <v>609</v>
      </c>
      <c r="D14" s="2334">
        <v>250</v>
      </c>
      <c r="E14" s="2334">
        <v>170</v>
      </c>
      <c r="G14" s="3863" t="s">
        <v>609</v>
      </c>
      <c r="H14" s="304" t="s">
        <v>609</v>
      </c>
      <c r="I14" s="2334">
        <v>250</v>
      </c>
      <c r="J14" s="2334">
        <v>170</v>
      </c>
      <c r="K14" s="2334" t="s">
        <v>1165</v>
      </c>
      <c r="L14" s="2334">
        <v>160</v>
      </c>
      <c r="M14" s="2334" t="s">
        <v>11874</v>
      </c>
      <c r="N14" s="2334" t="s">
        <v>11884</v>
      </c>
      <c r="O14" s="2334" t="s">
        <v>11885</v>
      </c>
      <c r="P14" s="2334" t="s">
        <v>1315</v>
      </c>
      <c r="Q14" s="2334" t="s">
        <v>1315</v>
      </c>
      <c r="R14" s="2334" t="s">
        <v>1315</v>
      </c>
      <c r="S14" s="2334" t="s">
        <v>1315</v>
      </c>
      <c r="T14" s="2334" t="s">
        <v>1315</v>
      </c>
      <c r="U14" s="2334" t="s">
        <v>1315</v>
      </c>
      <c r="V14" s="2334" t="s">
        <v>1315</v>
      </c>
      <c r="W14" s="2334" t="s">
        <v>1315</v>
      </c>
      <c r="X14" s="2334" t="s">
        <v>1315</v>
      </c>
      <c r="Y14" s="2334" t="s">
        <v>1315</v>
      </c>
      <c r="Z14" s="2334" t="s">
        <v>1315</v>
      </c>
      <c r="AA14" s="2334" t="s">
        <v>1315</v>
      </c>
      <c r="AB14" s="2334" t="s">
        <v>1315</v>
      </c>
      <c r="AC14" s="2334" t="s">
        <v>1315</v>
      </c>
      <c r="AD14" s="2334" t="s">
        <v>1315</v>
      </c>
      <c r="AE14" s="2334" t="s">
        <v>1315</v>
      </c>
      <c r="AF14" s="2334" t="s">
        <v>1315</v>
      </c>
      <c r="AG14" s="2334" t="s">
        <v>1315</v>
      </c>
      <c r="AH14" s="2334" t="s">
        <v>1315</v>
      </c>
      <c r="AI14" s="2334" t="s">
        <v>1315</v>
      </c>
      <c r="AJ14" s="2334" t="s">
        <v>1315</v>
      </c>
      <c r="AK14" s="2334" t="s">
        <v>1315</v>
      </c>
      <c r="AL14" s="2334" t="s">
        <v>1315</v>
      </c>
      <c r="AM14" s="2334" t="s">
        <v>1315</v>
      </c>
      <c r="AO14" s="3966" t="s">
        <v>609</v>
      </c>
      <c r="AP14" s="3864" t="s">
        <v>12591</v>
      </c>
      <c r="AQ14" s="304" t="s">
        <v>609</v>
      </c>
      <c r="AR14" s="699"/>
      <c r="AS14" s="699"/>
      <c r="AT14" s="3619"/>
      <c r="AV14" s="4003" t="s">
        <v>609</v>
      </c>
      <c r="AW14" s="304" t="s">
        <v>609</v>
      </c>
      <c r="AX14" s="2334">
        <v>250</v>
      </c>
      <c r="AY14" s="2334">
        <v>170</v>
      </c>
      <c r="AZ14" s="2334" t="s">
        <v>1165</v>
      </c>
      <c r="BA14" s="2334">
        <v>160</v>
      </c>
      <c r="BB14" s="2334" t="s">
        <v>11874</v>
      </c>
      <c r="BC14" s="2334" t="s">
        <v>11884</v>
      </c>
      <c r="BD14" s="2334" t="s">
        <v>11885</v>
      </c>
      <c r="BE14" s="286" t="s">
        <v>1315</v>
      </c>
    </row>
    <row r="15" spans="1:57">
      <c r="C15" s="3863" t="s">
        <v>610</v>
      </c>
      <c r="D15" s="2334">
        <v>250</v>
      </c>
      <c r="E15" s="2334">
        <v>180</v>
      </c>
      <c r="G15" s="3863" t="s">
        <v>610</v>
      </c>
      <c r="H15" s="304" t="s">
        <v>610</v>
      </c>
      <c r="I15" s="2334">
        <v>250</v>
      </c>
      <c r="J15" s="2334">
        <v>180</v>
      </c>
      <c r="K15" s="2334" t="s">
        <v>1166</v>
      </c>
      <c r="L15" s="2334" t="s">
        <v>11874</v>
      </c>
      <c r="M15" s="2334" t="s">
        <v>11874</v>
      </c>
      <c r="N15" s="2334" t="s">
        <v>11879</v>
      </c>
      <c r="O15" s="2334" t="s">
        <v>11886</v>
      </c>
      <c r="P15" s="2334" t="s">
        <v>1315</v>
      </c>
      <c r="Q15" s="2334" t="s">
        <v>1315</v>
      </c>
      <c r="R15" s="2334" t="s">
        <v>1315</v>
      </c>
      <c r="S15" s="2334" t="s">
        <v>1315</v>
      </c>
      <c r="T15" s="2334" t="s">
        <v>1315</v>
      </c>
      <c r="U15" s="2334" t="s">
        <v>1315</v>
      </c>
      <c r="V15" s="2334" t="s">
        <v>1315</v>
      </c>
      <c r="W15" s="2334" t="s">
        <v>1315</v>
      </c>
      <c r="X15" s="2334" t="s">
        <v>1315</v>
      </c>
      <c r="Y15" s="2334" t="s">
        <v>1315</v>
      </c>
      <c r="Z15" s="2334" t="s">
        <v>1315</v>
      </c>
      <c r="AA15" s="2334" t="s">
        <v>1315</v>
      </c>
      <c r="AB15" s="2334" t="s">
        <v>1315</v>
      </c>
      <c r="AC15" s="2334" t="s">
        <v>1315</v>
      </c>
      <c r="AD15" s="2334" t="s">
        <v>1315</v>
      </c>
      <c r="AE15" s="2334" t="s">
        <v>1315</v>
      </c>
      <c r="AF15" s="2334" t="s">
        <v>1315</v>
      </c>
      <c r="AG15" s="2334" t="s">
        <v>1315</v>
      </c>
      <c r="AH15" s="2334" t="s">
        <v>1315</v>
      </c>
      <c r="AI15" s="2334" t="s">
        <v>1315</v>
      </c>
      <c r="AJ15" s="2334" t="s">
        <v>1315</v>
      </c>
      <c r="AK15" s="2334" t="s">
        <v>1315</v>
      </c>
      <c r="AL15" s="2334" t="s">
        <v>1315</v>
      </c>
      <c r="AM15" s="2334" t="s">
        <v>1315</v>
      </c>
      <c r="AO15" s="3966" t="s">
        <v>610</v>
      </c>
      <c r="AP15" s="3864" t="s">
        <v>12592</v>
      </c>
      <c r="AQ15" s="304" t="s">
        <v>610</v>
      </c>
      <c r="AR15" s="699"/>
      <c r="AS15" s="699"/>
      <c r="AT15" s="3619"/>
      <c r="AV15" s="4003" t="s">
        <v>610</v>
      </c>
      <c r="AW15" s="304" t="s">
        <v>610</v>
      </c>
      <c r="AX15" s="2334">
        <v>250</v>
      </c>
      <c r="AY15" s="2334">
        <v>180</v>
      </c>
      <c r="AZ15" s="2334" t="s">
        <v>1166</v>
      </c>
      <c r="BA15" s="2334" t="s">
        <v>11874</v>
      </c>
      <c r="BB15" s="2334" t="s">
        <v>11874</v>
      </c>
      <c r="BC15" s="2334" t="s">
        <v>11879</v>
      </c>
      <c r="BD15" s="2334" t="s">
        <v>11886</v>
      </c>
      <c r="BE15" s="2334" t="s">
        <v>1315</v>
      </c>
    </row>
    <row r="16" spans="1:57">
      <c r="C16" s="3863" t="s">
        <v>611</v>
      </c>
      <c r="D16" s="2334">
        <v>300</v>
      </c>
      <c r="E16" s="2334">
        <v>190</v>
      </c>
      <c r="G16" s="3863" t="s">
        <v>611</v>
      </c>
      <c r="H16" s="304" t="s">
        <v>611</v>
      </c>
      <c r="I16" s="2334">
        <v>300</v>
      </c>
      <c r="J16" s="2334">
        <v>190</v>
      </c>
      <c r="K16" s="2334" t="s">
        <v>1166</v>
      </c>
      <c r="L16" s="2334" t="s">
        <v>11874</v>
      </c>
      <c r="M16" s="2334">
        <v>200</v>
      </c>
      <c r="N16" s="2334" t="s">
        <v>11879</v>
      </c>
      <c r="O16" s="2334" t="s">
        <v>11887</v>
      </c>
      <c r="P16" s="2334" t="s">
        <v>1315</v>
      </c>
      <c r="Q16" s="2334" t="s">
        <v>1315</v>
      </c>
      <c r="R16" s="2334" t="s">
        <v>1315</v>
      </c>
      <c r="S16" s="2334" t="s">
        <v>1315</v>
      </c>
      <c r="T16" s="2334" t="s">
        <v>1315</v>
      </c>
      <c r="U16" s="2334" t="s">
        <v>1315</v>
      </c>
      <c r="V16" s="2334" t="s">
        <v>1315</v>
      </c>
      <c r="W16" s="2334" t="s">
        <v>1315</v>
      </c>
      <c r="X16" s="2334" t="s">
        <v>1315</v>
      </c>
      <c r="Y16" s="2334" t="s">
        <v>1315</v>
      </c>
      <c r="Z16" s="2334" t="s">
        <v>1315</v>
      </c>
      <c r="AA16" s="2334" t="s">
        <v>1315</v>
      </c>
      <c r="AB16" s="2334" t="s">
        <v>1315</v>
      </c>
      <c r="AC16" s="2334" t="s">
        <v>1315</v>
      </c>
      <c r="AD16" s="2334" t="s">
        <v>1315</v>
      </c>
      <c r="AE16" s="2334" t="s">
        <v>1315</v>
      </c>
      <c r="AF16" s="2334" t="s">
        <v>1315</v>
      </c>
      <c r="AG16" s="2334" t="s">
        <v>1315</v>
      </c>
      <c r="AH16" s="2334" t="s">
        <v>1315</v>
      </c>
      <c r="AI16" s="2334" t="s">
        <v>1315</v>
      </c>
      <c r="AJ16" s="2334" t="s">
        <v>1315</v>
      </c>
      <c r="AK16" s="2334" t="s">
        <v>1315</v>
      </c>
      <c r="AL16" s="2334" t="s">
        <v>1315</v>
      </c>
      <c r="AM16" s="2334" t="s">
        <v>1315</v>
      </c>
      <c r="AO16" s="3966" t="s">
        <v>611</v>
      </c>
      <c r="AP16" s="3864" t="s">
        <v>12593</v>
      </c>
      <c r="AQ16" s="304" t="s">
        <v>611</v>
      </c>
      <c r="AR16" s="699"/>
      <c r="AS16" s="699"/>
      <c r="AT16" s="3619"/>
      <c r="AV16" s="4003" t="s">
        <v>611</v>
      </c>
      <c r="AW16" s="304" t="s">
        <v>611</v>
      </c>
      <c r="AX16" s="2334">
        <v>300</v>
      </c>
      <c r="AY16" s="2334">
        <v>190</v>
      </c>
      <c r="AZ16" s="2334" t="s">
        <v>1166</v>
      </c>
      <c r="BA16" s="2334" t="s">
        <v>11874</v>
      </c>
      <c r="BB16" s="2334">
        <v>200</v>
      </c>
      <c r="BC16" s="2334" t="s">
        <v>11879</v>
      </c>
      <c r="BD16" s="2334" t="s">
        <v>11887</v>
      </c>
      <c r="BE16" s="286" t="s">
        <v>1315</v>
      </c>
    </row>
    <row r="17" spans="3:57">
      <c r="C17" s="3863" t="s">
        <v>612</v>
      </c>
      <c r="D17" s="2334">
        <v>350</v>
      </c>
      <c r="E17" s="2334">
        <v>200</v>
      </c>
      <c r="G17" s="3863" t="s">
        <v>612</v>
      </c>
      <c r="H17" s="304" t="s">
        <v>612</v>
      </c>
      <c r="I17" s="2334">
        <v>350</v>
      </c>
      <c r="J17" s="2334">
        <v>200</v>
      </c>
      <c r="K17" s="2334" t="s">
        <v>1165</v>
      </c>
      <c r="L17" s="2334">
        <v>200</v>
      </c>
      <c r="M17" s="2334" t="s">
        <v>11874</v>
      </c>
      <c r="N17" s="2334" t="s">
        <v>6442</v>
      </c>
      <c r="O17" s="2334" t="s">
        <v>11888</v>
      </c>
      <c r="P17" s="2334" t="s">
        <v>1315</v>
      </c>
      <c r="Q17" s="2334" t="s">
        <v>1315</v>
      </c>
      <c r="R17" s="2334" t="s">
        <v>1315</v>
      </c>
      <c r="S17" s="2334" t="s">
        <v>1315</v>
      </c>
      <c r="T17" s="2334" t="s">
        <v>1315</v>
      </c>
      <c r="U17" s="2334" t="s">
        <v>1315</v>
      </c>
      <c r="V17" s="2334" t="s">
        <v>1315</v>
      </c>
      <c r="W17" s="2334" t="s">
        <v>1315</v>
      </c>
      <c r="X17" s="2334" t="s">
        <v>1315</v>
      </c>
      <c r="Y17" s="2334" t="s">
        <v>1315</v>
      </c>
      <c r="Z17" s="2334" t="s">
        <v>1315</v>
      </c>
      <c r="AA17" s="2334" t="s">
        <v>1315</v>
      </c>
      <c r="AB17" s="2334" t="s">
        <v>1315</v>
      </c>
      <c r="AC17" s="2334" t="s">
        <v>1315</v>
      </c>
      <c r="AD17" s="2334" t="s">
        <v>1315</v>
      </c>
      <c r="AE17" s="2334" t="s">
        <v>1315</v>
      </c>
      <c r="AF17" s="2334" t="s">
        <v>1315</v>
      </c>
      <c r="AG17" s="2334" t="s">
        <v>1315</v>
      </c>
      <c r="AH17" s="2334" t="s">
        <v>1315</v>
      </c>
      <c r="AI17" s="2334" t="s">
        <v>1315</v>
      </c>
      <c r="AJ17" s="2334" t="s">
        <v>1315</v>
      </c>
      <c r="AK17" s="2334" t="s">
        <v>1315</v>
      </c>
      <c r="AL17" s="2334" t="s">
        <v>1315</v>
      </c>
      <c r="AM17" s="2334" t="s">
        <v>1315</v>
      </c>
      <c r="AO17" s="3966" t="s">
        <v>612</v>
      </c>
      <c r="AP17" s="3864" t="s">
        <v>12594</v>
      </c>
      <c r="AQ17" s="304" t="s">
        <v>612</v>
      </c>
      <c r="AR17" s="699"/>
      <c r="AS17" s="699"/>
      <c r="AT17" s="3619"/>
      <c r="AV17" s="4003" t="s">
        <v>612</v>
      </c>
      <c r="AW17" s="304" t="s">
        <v>612</v>
      </c>
      <c r="AX17" s="2334">
        <v>350</v>
      </c>
      <c r="AY17" s="2334">
        <v>200</v>
      </c>
      <c r="AZ17" s="2334" t="s">
        <v>1165</v>
      </c>
      <c r="BA17" s="2334">
        <v>200</v>
      </c>
      <c r="BB17" s="2334" t="s">
        <v>11874</v>
      </c>
      <c r="BC17" s="2334" t="s">
        <v>6442</v>
      </c>
      <c r="BD17" s="2334" t="s">
        <v>11888</v>
      </c>
      <c r="BE17" s="2334" t="s">
        <v>1315</v>
      </c>
    </row>
    <row r="18" spans="3:57">
      <c r="C18" s="3863" t="s">
        <v>613</v>
      </c>
      <c r="D18" s="2334">
        <v>400</v>
      </c>
      <c r="E18" s="2334">
        <v>220</v>
      </c>
      <c r="G18" s="3863" t="s">
        <v>613</v>
      </c>
      <c r="H18" s="304" t="s">
        <v>613</v>
      </c>
      <c r="I18" s="2334">
        <v>500</v>
      </c>
      <c r="J18" s="2334">
        <v>220</v>
      </c>
      <c r="K18" s="2334" t="s">
        <v>1166</v>
      </c>
      <c r="L18" s="2334" t="s">
        <v>11874</v>
      </c>
      <c r="M18" s="2334" t="s">
        <v>11874</v>
      </c>
      <c r="N18" s="2334" t="s">
        <v>6442</v>
      </c>
      <c r="O18" s="2334" t="s">
        <v>11889</v>
      </c>
      <c r="P18" s="2334" t="s">
        <v>1315</v>
      </c>
      <c r="Q18" s="2334" t="s">
        <v>1315</v>
      </c>
      <c r="R18" s="2334" t="s">
        <v>1315</v>
      </c>
      <c r="S18" s="2334" t="s">
        <v>1315</v>
      </c>
      <c r="T18" s="2334" t="s">
        <v>1315</v>
      </c>
      <c r="U18" s="2334" t="s">
        <v>1315</v>
      </c>
      <c r="V18" s="2334" t="s">
        <v>1315</v>
      </c>
      <c r="W18" s="2334" t="s">
        <v>1315</v>
      </c>
      <c r="X18" s="2334" t="s">
        <v>1315</v>
      </c>
      <c r="Y18" s="2334" t="s">
        <v>1315</v>
      </c>
      <c r="Z18" s="2334" t="s">
        <v>1315</v>
      </c>
      <c r="AA18" s="2334" t="s">
        <v>1315</v>
      </c>
      <c r="AB18" s="2334" t="s">
        <v>1315</v>
      </c>
      <c r="AC18" s="2334" t="s">
        <v>1315</v>
      </c>
      <c r="AD18" s="2334" t="s">
        <v>1315</v>
      </c>
      <c r="AE18" s="2334" t="s">
        <v>1315</v>
      </c>
      <c r="AF18" s="2334" t="s">
        <v>1315</v>
      </c>
      <c r="AG18" s="2334" t="s">
        <v>1315</v>
      </c>
      <c r="AH18" s="2334" t="s">
        <v>1315</v>
      </c>
      <c r="AI18" s="2334" t="s">
        <v>1315</v>
      </c>
      <c r="AJ18" s="2334" t="s">
        <v>1315</v>
      </c>
      <c r="AK18" s="2334" t="s">
        <v>1315</v>
      </c>
      <c r="AL18" s="2334" t="s">
        <v>1315</v>
      </c>
      <c r="AM18" s="2334" t="s">
        <v>1315</v>
      </c>
      <c r="AO18" s="3966" t="s">
        <v>613</v>
      </c>
      <c r="AP18" s="3864" t="s">
        <v>12595</v>
      </c>
      <c r="AQ18" s="304" t="s">
        <v>613</v>
      </c>
      <c r="AR18" s="699"/>
      <c r="AS18" s="699"/>
      <c r="AT18" s="3619"/>
      <c r="AV18" s="4003" t="s">
        <v>613</v>
      </c>
      <c r="AW18" s="304" t="s">
        <v>613</v>
      </c>
      <c r="AX18" s="2334">
        <v>500</v>
      </c>
      <c r="AY18" s="2334">
        <v>220</v>
      </c>
      <c r="AZ18" s="2334" t="s">
        <v>1166</v>
      </c>
      <c r="BA18" s="2334" t="s">
        <v>11874</v>
      </c>
      <c r="BB18" s="2334" t="s">
        <v>11874</v>
      </c>
      <c r="BC18" s="2334" t="s">
        <v>6442</v>
      </c>
      <c r="BD18" s="2334" t="s">
        <v>11889</v>
      </c>
      <c r="BE18" s="286" t="s">
        <v>1315</v>
      </c>
    </row>
    <row r="19" spans="3:57">
      <c r="C19" s="3863" t="s">
        <v>614</v>
      </c>
      <c r="D19" s="2334">
        <v>450</v>
      </c>
      <c r="E19" s="2334">
        <v>240</v>
      </c>
      <c r="G19" s="3863" t="s">
        <v>614</v>
      </c>
      <c r="H19" s="304" t="s">
        <v>614</v>
      </c>
      <c r="I19" s="2334">
        <v>450</v>
      </c>
      <c r="J19" s="2334">
        <v>240</v>
      </c>
      <c r="K19" s="2334" t="s">
        <v>2972</v>
      </c>
      <c r="L19" s="2334" t="s">
        <v>2972</v>
      </c>
      <c r="M19" s="2334" t="s">
        <v>2972</v>
      </c>
      <c r="N19" s="2334" t="s">
        <v>6442</v>
      </c>
      <c r="O19" s="2334" t="s">
        <v>11890</v>
      </c>
      <c r="P19" s="2334" t="s">
        <v>1315</v>
      </c>
      <c r="Q19" s="2334" t="s">
        <v>1315</v>
      </c>
      <c r="R19" s="2334" t="s">
        <v>1315</v>
      </c>
      <c r="S19" s="2334" t="s">
        <v>1315</v>
      </c>
      <c r="T19" s="2334" t="s">
        <v>1315</v>
      </c>
      <c r="U19" s="2334" t="s">
        <v>1315</v>
      </c>
      <c r="V19" s="2334" t="s">
        <v>1315</v>
      </c>
      <c r="W19" s="2334" t="s">
        <v>1315</v>
      </c>
      <c r="X19" s="2334" t="s">
        <v>1315</v>
      </c>
      <c r="Y19" s="2334" t="s">
        <v>1315</v>
      </c>
      <c r="Z19" s="2334" t="s">
        <v>1315</v>
      </c>
      <c r="AA19" s="2334" t="s">
        <v>1315</v>
      </c>
      <c r="AB19" s="2334" t="s">
        <v>1315</v>
      </c>
      <c r="AC19" s="2334" t="s">
        <v>1315</v>
      </c>
      <c r="AD19" s="2334" t="s">
        <v>1315</v>
      </c>
      <c r="AE19" s="2334" t="s">
        <v>1315</v>
      </c>
      <c r="AF19" s="2334" t="s">
        <v>1315</v>
      </c>
      <c r="AG19" s="2334" t="s">
        <v>1315</v>
      </c>
      <c r="AH19" s="2334" t="s">
        <v>1315</v>
      </c>
      <c r="AI19" s="2334" t="s">
        <v>1315</v>
      </c>
      <c r="AJ19" s="2334" t="s">
        <v>1315</v>
      </c>
      <c r="AK19" s="2334" t="s">
        <v>1315</v>
      </c>
      <c r="AL19" s="2334" t="s">
        <v>1315</v>
      </c>
      <c r="AM19" s="2334" t="s">
        <v>1315</v>
      </c>
      <c r="AO19" s="3966" t="s">
        <v>614</v>
      </c>
      <c r="AP19" s="3864" t="s">
        <v>12596</v>
      </c>
      <c r="AQ19" s="304" t="s">
        <v>614</v>
      </c>
      <c r="AR19" s="699"/>
      <c r="AS19" s="699"/>
      <c r="AT19" s="3619"/>
      <c r="AV19" s="4003" t="s">
        <v>614</v>
      </c>
      <c r="AW19" s="304" t="s">
        <v>614</v>
      </c>
      <c r="AX19" s="2334">
        <v>450</v>
      </c>
      <c r="AY19" s="2334">
        <v>240</v>
      </c>
      <c r="AZ19" s="2334" t="s">
        <v>2972</v>
      </c>
      <c r="BA19" s="2334" t="s">
        <v>2972</v>
      </c>
      <c r="BB19" s="2334" t="s">
        <v>2972</v>
      </c>
      <c r="BC19" s="2334" t="s">
        <v>6442</v>
      </c>
      <c r="BD19" s="2334" t="s">
        <v>11890</v>
      </c>
      <c r="BE19" s="2334" t="s">
        <v>1315</v>
      </c>
    </row>
    <row r="20" spans="3:57">
      <c r="C20" s="3863" t="s">
        <v>615</v>
      </c>
      <c r="D20" s="2334">
        <v>500</v>
      </c>
      <c r="E20" s="2334">
        <v>260</v>
      </c>
      <c r="G20" s="3863" t="s">
        <v>615</v>
      </c>
      <c r="H20" s="304" t="s">
        <v>615</v>
      </c>
      <c r="I20" s="2334">
        <v>500</v>
      </c>
      <c r="J20" s="2334">
        <v>260</v>
      </c>
      <c r="K20" s="2334" t="s">
        <v>1166</v>
      </c>
      <c r="L20" s="2334" t="s">
        <v>2972</v>
      </c>
      <c r="M20" s="2334">
        <v>240</v>
      </c>
      <c r="N20" s="2334" t="s">
        <v>6442</v>
      </c>
      <c r="O20" s="2334" t="s">
        <v>11891</v>
      </c>
      <c r="P20" s="2334" t="s">
        <v>1315</v>
      </c>
      <c r="Q20" s="2334" t="s">
        <v>1315</v>
      </c>
      <c r="R20" s="2334" t="s">
        <v>1315</v>
      </c>
      <c r="S20" s="2334" t="s">
        <v>1315</v>
      </c>
      <c r="T20" s="2334" t="s">
        <v>1315</v>
      </c>
      <c r="U20" s="2334" t="s">
        <v>1315</v>
      </c>
      <c r="V20" s="2334" t="s">
        <v>1315</v>
      </c>
      <c r="W20" s="2334" t="s">
        <v>1315</v>
      </c>
      <c r="X20" s="2334" t="s">
        <v>1315</v>
      </c>
      <c r="Y20" s="2334" t="s">
        <v>1315</v>
      </c>
      <c r="Z20" s="2334" t="s">
        <v>1315</v>
      </c>
      <c r="AA20" s="2334" t="s">
        <v>1315</v>
      </c>
      <c r="AB20" s="2334" t="s">
        <v>1315</v>
      </c>
      <c r="AC20" s="2334" t="s">
        <v>1315</v>
      </c>
      <c r="AD20" s="2334" t="s">
        <v>1315</v>
      </c>
      <c r="AE20" s="2334" t="s">
        <v>1315</v>
      </c>
      <c r="AF20" s="2334" t="s">
        <v>1315</v>
      </c>
      <c r="AG20" s="2334" t="s">
        <v>1315</v>
      </c>
      <c r="AH20" s="2334" t="s">
        <v>1315</v>
      </c>
      <c r="AI20" s="2334" t="s">
        <v>1315</v>
      </c>
      <c r="AJ20" s="2334" t="s">
        <v>1315</v>
      </c>
      <c r="AK20" s="2334" t="s">
        <v>1315</v>
      </c>
      <c r="AL20" s="2334" t="s">
        <v>1315</v>
      </c>
      <c r="AM20" s="2334" t="s">
        <v>1315</v>
      </c>
      <c r="AO20" s="3966" t="s">
        <v>615</v>
      </c>
      <c r="AP20" s="3864" t="s">
        <v>12597</v>
      </c>
      <c r="AQ20" s="304" t="s">
        <v>615</v>
      </c>
      <c r="AR20" s="699"/>
      <c r="AS20" s="699"/>
      <c r="AT20" s="3619"/>
      <c r="AV20" s="4003" t="s">
        <v>615</v>
      </c>
      <c r="AW20" s="304" t="s">
        <v>615</v>
      </c>
      <c r="AX20" s="2334">
        <v>500</v>
      </c>
      <c r="AY20" s="2334">
        <v>260</v>
      </c>
      <c r="AZ20" s="2334" t="s">
        <v>1166</v>
      </c>
      <c r="BA20" s="2334" t="s">
        <v>2972</v>
      </c>
      <c r="BB20" s="2334">
        <v>240</v>
      </c>
      <c r="BC20" s="2334" t="s">
        <v>6442</v>
      </c>
      <c r="BD20" s="2334" t="s">
        <v>11891</v>
      </c>
      <c r="BE20" s="286" t="s">
        <v>1315</v>
      </c>
    </row>
    <row r="21" spans="3:57">
      <c r="C21" s="3863" t="s">
        <v>616</v>
      </c>
      <c r="D21" s="2334">
        <v>550</v>
      </c>
      <c r="E21" s="2334">
        <v>280</v>
      </c>
      <c r="G21" s="3863" t="s">
        <v>616</v>
      </c>
      <c r="H21" s="304" t="s">
        <v>616</v>
      </c>
      <c r="I21" s="2334">
        <v>550</v>
      </c>
      <c r="J21" s="2334" t="s">
        <v>11892</v>
      </c>
      <c r="K21" s="2334" t="s">
        <v>1165</v>
      </c>
      <c r="L21" s="2334" t="s">
        <v>11892</v>
      </c>
      <c r="M21" s="2334" t="s">
        <v>11874</v>
      </c>
      <c r="N21" s="2334" t="s">
        <v>6442</v>
      </c>
      <c r="O21" s="2334" t="s">
        <v>11893</v>
      </c>
      <c r="P21" s="2334" t="s">
        <v>1315</v>
      </c>
      <c r="Q21" s="2334" t="s">
        <v>1315</v>
      </c>
      <c r="R21" s="2334" t="s">
        <v>1315</v>
      </c>
      <c r="S21" s="2334" t="s">
        <v>1315</v>
      </c>
      <c r="T21" s="2334" t="s">
        <v>1315</v>
      </c>
      <c r="U21" s="2334" t="s">
        <v>1315</v>
      </c>
      <c r="V21" s="2334" t="s">
        <v>1315</v>
      </c>
      <c r="W21" s="2334" t="s">
        <v>1315</v>
      </c>
      <c r="X21" s="2334" t="s">
        <v>1315</v>
      </c>
      <c r="Y21" s="2334" t="s">
        <v>1315</v>
      </c>
      <c r="Z21" s="2334" t="s">
        <v>1315</v>
      </c>
      <c r="AA21" s="2334" t="s">
        <v>1315</v>
      </c>
      <c r="AB21" s="2334" t="s">
        <v>1315</v>
      </c>
      <c r="AC21" s="2334" t="s">
        <v>1315</v>
      </c>
      <c r="AD21" s="2334" t="s">
        <v>1315</v>
      </c>
      <c r="AE21" s="2334" t="s">
        <v>1315</v>
      </c>
      <c r="AF21" s="2334" t="s">
        <v>1315</v>
      </c>
      <c r="AG21" s="2334" t="s">
        <v>1315</v>
      </c>
      <c r="AH21" s="2334" t="s">
        <v>1315</v>
      </c>
      <c r="AI21" s="2334" t="s">
        <v>1315</v>
      </c>
      <c r="AJ21" s="2334" t="s">
        <v>1315</v>
      </c>
      <c r="AK21" s="2334" t="s">
        <v>1315</v>
      </c>
      <c r="AL21" s="2334" t="s">
        <v>1315</v>
      </c>
      <c r="AM21" s="2334" t="s">
        <v>1315</v>
      </c>
      <c r="AO21" s="3966" t="s">
        <v>616</v>
      </c>
      <c r="AP21" s="3864" t="s">
        <v>12598</v>
      </c>
      <c r="AQ21" s="304" t="s">
        <v>616</v>
      </c>
      <c r="AR21" s="699"/>
      <c r="AS21" s="699"/>
      <c r="AT21" s="3619"/>
      <c r="AV21" s="4003" t="s">
        <v>616</v>
      </c>
      <c r="AW21" s="304" t="s">
        <v>616</v>
      </c>
      <c r="AX21" s="2334">
        <v>550</v>
      </c>
      <c r="AY21" s="2334" t="s">
        <v>11892</v>
      </c>
      <c r="AZ21" s="2334" t="s">
        <v>1165</v>
      </c>
      <c r="BA21" s="2334" t="s">
        <v>11892</v>
      </c>
      <c r="BB21" s="2334" t="s">
        <v>11874</v>
      </c>
      <c r="BC21" s="2334" t="s">
        <v>6442</v>
      </c>
      <c r="BD21" s="2334" t="s">
        <v>11893</v>
      </c>
      <c r="BE21" s="2334" t="s">
        <v>1315</v>
      </c>
    </row>
    <row r="22" spans="3:57">
      <c r="C22" s="3863" t="s">
        <v>617</v>
      </c>
      <c r="D22" s="2334">
        <v>600</v>
      </c>
      <c r="E22" s="2334">
        <v>300</v>
      </c>
      <c r="G22" s="3863" t="s">
        <v>617</v>
      </c>
      <c r="H22" s="304" t="s">
        <v>617</v>
      </c>
      <c r="I22" s="2334">
        <v>600</v>
      </c>
      <c r="J22" s="2334">
        <v>300</v>
      </c>
      <c r="K22" s="2334" t="s">
        <v>1165</v>
      </c>
      <c r="L22" s="2334" t="s">
        <v>11874</v>
      </c>
      <c r="M22" s="2334" t="s">
        <v>11874</v>
      </c>
      <c r="N22" s="2334" t="s">
        <v>6442</v>
      </c>
      <c r="O22" s="2334" t="s">
        <v>11894</v>
      </c>
      <c r="P22" s="2334" t="s">
        <v>1315</v>
      </c>
      <c r="Q22" s="2334" t="s">
        <v>1315</v>
      </c>
      <c r="R22" s="2334" t="s">
        <v>1315</v>
      </c>
      <c r="S22" s="2334" t="s">
        <v>1315</v>
      </c>
      <c r="T22" s="2334" t="s">
        <v>1315</v>
      </c>
      <c r="U22" s="2334" t="s">
        <v>1315</v>
      </c>
      <c r="V22" s="2334" t="s">
        <v>1315</v>
      </c>
      <c r="W22" s="2334" t="s">
        <v>1315</v>
      </c>
      <c r="X22" s="2334" t="s">
        <v>1315</v>
      </c>
      <c r="Y22" s="2334" t="s">
        <v>1315</v>
      </c>
      <c r="Z22" s="2334" t="s">
        <v>1315</v>
      </c>
      <c r="AA22" s="2334" t="s">
        <v>1315</v>
      </c>
      <c r="AB22" s="2334" t="s">
        <v>1315</v>
      </c>
      <c r="AC22" s="2334" t="s">
        <v>1315</v>
      </c>
      <c r="AD22" s="2334" t="s">
        <v>1315</v>
      </c>
      <c r="AE22" s="2334" t="s">
        <v>1315</v>
      </c>
      <c r="AF22" s="2334" t="s">
        <v>1315</v>
      </c>
      <c r="AG22" s="2334" t="s">
        <v>1315</v>
      </c>
      <c r="AH22" s="2334" t="s">
        <v>1315</v>
      </c>
      <c r="AI22" s="2334" t="s">
        <v>1315</v>
      </c>
      <c r="AJ22" s="2334" t="s">
        <v>1315</v>
      </c>
      <c r="AK22" s="2334" t="s">
        <v>1315</v>
      </c>
      <c r="AL22" s="2334" t="s">
        <v>1315</v>
      </c>
      <c r="AM22" s="2334" t="s">
        <v>1315</v>
      </c>
      <c r="AO22" s="3966" t="s">
        <v>617</v>
      </c>
      <c r="AP22" s="3864" t="s">
        <v>12599</v>
      </c>
      <c r="AQ22" s="304" t="s">
        <v>617</v>
      </c>
      <c r="AR22" s="699"/>
      <c r="AS22" s="699"/>
      <c r="AT22" s="3619"/>
      <c r="AV22" s="4003" t="s">
        <v>617</v>
      </c>
      <c r="AW22" s="304" t="s">
        <v>617</v>
      </c>
      <c r="AX22" s="2334">
        <v>600</v>
      </c>
      <c r="AY22" s="2334">
        <v>300</v>
      </c>
      <c r="AZ22" s="2334" t="s">
        <v>1165</v>
      </c>
      <c r="BA22" s="2334" t="s">
        <v>11874</v>
      </c>
      <c r="BB22" s="2334" t="s">
        <v>11874</v>
      </c>
      <c r="BC22" s="2334" t="s">
        <v>6442</v>
      </c>
      <c r="BD22" s="2334" t="s">
        <v>11894</v>
      </c>
      <c r="BE22" s="286" t="s">
        <v>1315</v>
      </c>
    </row>
    <row r="23" spans="3:57">
      <c r="C23" s="3863" t="s">
        <v>618</v>
      </c>
      <c r="D23" s="2334">
        <v>650</v>
      </c>
      <c r="E23" s="2334">
        <v>320</v>
      </c>
      <c r="G23" s="3863" t="s">
        <v>618</v>
      </c>
      <c r="H23" s="304" t="s">
        <v>618</v>
      </c>
      <c r="I23" s="2334">
        <v>650</v>
      </c>
      <c r="J23" s="2334">
        <v>320</v>
      </c>
      <c r="K23" s="2334" t="s">
        <v>1165</v>
      </c>
      <c r="L23" s="2334" t="s">
        <v>11874</v>
      </c>
      <c r="M23" s="2334" t="s">
        <v>11874</v>
      </c>
      <c r="N23" s="3864" t="s">
        <v>11895</v>
      </c>
      <c r="O23" s="2334" t="s">
        <v>11896</v>
      </c>
      <c r="P23" s="2334" t="s">
        <v>1315</v>
      </c>
      <c r="Q23" s="2334" t="s">
        <v>1315</v>
      </c>
      <c r="R23" s="2334" t="s">
        <v>1315</v>
      </c>
      <c r="S23" s="2334" t="s">
        <v>1315</v>
      </c>
      <c r="T23" s="2334" t="s">
        <v>1315</v>
      </c>
      <c r="U23" s="2334" t="s">
        <v>1315</v>
      </c>
      <c r="V23" s="2334" t="s">
        <v>1315</v>
      </c>
      <c r="W23" s="2334" t="s">
        <v>1315</v>
      </c>
      <c r="X23" s="2334" t="s">
        <v>1315</v>
      </c>
      <c r="Y23" s="2334" t="s">
        <v>1315</v>
      </c>
      <c r="Z23" s="2334" t="s">
        <v>1315</v>
      </c>
      <c r="AA23" s="2334" t="s">
        <v>1315</v>
      </c>
      <c r="AB23" s="2334" t="s">
        <v>1315</v>
      </c>
      <c r="AC23" s="2334" t="s">
        <v>1315</v>
      </c>
      <c r="AD23" s="2334" t="s">
        <v>1315</v>
      </c>
      <c r="AE23" s="2334" t="s">
        <v>1315</v>
      </c>
      <c r="AF23" s="2334" t="s">
        <v>1315</v>
      </c>
      <c r="AG23" s="2334" t="s">
        <v>1315</v>
      </c>
      <c r="AH23" s="2334" t="s">
        <v>1315</v>
      </c>
      <c r="AI23" s="2334" t="s">
        <v>1315</v>
      </c>
      <c r="AJ23" s="2334" t="s">
        <v>1315</v>
      </c>
      <c r="AK23" s="2334" t="s">
        <v>1315</v>
      </c>
      <c r="AL23" s="2334" t="s">
        <v>1315</v>
      </c>
      <c r="AM23" s="2334" t="s">
        <v>1315</v>
      </c>
      <c r="AO23" s="3966" t="s">
        <v>618</v>
      </c>
      <c r="AP23" s="3864" t="s">
        <v>12600</v>
      </c>
      <c r="AQ23" s="304" t="s">
        <v>618</v>
      </c>
      <c r="AR23" s="699"/>
      <c r="AS23" s="699"/>
      <c r="AT23" s="3619"/>
      <c r="AV23" s="4003" t="s">
        <v>618</v>
      </c>
      <c r="AW23" s="304" t="s">
        <v>618</v>
      </c>
      <c r="AX23" s="2334">
        <v>650</v>
      </c>
      <c r="AY23" s="2334">
        <v>320</v>
      </c>
      <c r="AZ23" s="2334" t="s">
        <v>1165</v>
      </c>
      <c r="BA23" s="2334" t="s">
        <v>11874</v>
      </c>
      <c r="BB23" s="2334" t="s">
        <v>11874</v>
      </c>
      <c r="BC23" s="3864" t="s">
        <v>11895</v>
      </c>
      <c r="BD23" s="2334" t="s">
        <v>11896</v>
      </c>
      <c r="BE23" s="2334" t="s">
        <v>1315</v>
      </c>
    </row>
    <row r="24" spans="3:57">
      <c r="C24" s="3863" t="s">
        <v>619</v>
      </c>
      <c r="D24" s="2334">
        <v>700</v>
      </c>
      <c r="E24" s="2334">
        <v>340</v>
      </c>
      <c r="G24" s="3863" t="s">
        <v>619</v>
      </c>
      <c r="H24" s="304" t="s">
        <v>619</v>
      </c>
      <c r="I24" s="2334">
        <v>700</v>
      </c>
      <c r="J24" s="2334">
        <v>340</v>
      </c>
      <c r="K24" s="2334" t="s">
        <v>1165</v>
      </c>
      <c r="L24" s="2334">
        <v>300</v>
      </c>
      <c r="M24" s="2334">
        <v>300</v>
      </c>
      <c r="N24" s="699" t="s">
        <v>11897</v>
      </c>
      <c r="O24" s="2334" t="s">
        <v>11898</v>
      </c>
      <c r="P24" s="2334" t="s">
        <v>1315</v>
      </c>
      <c r="Q24" s="2334" t="s">
        <v>1315</v>
      </c>
      <c r="R24" s="2334" t="s">
        <v>1315</v>
      </c>
      <c r="S24" s="2334" t="s">
        <v>1315</v>
      </c>
      <c r="T24" s="2334" t="s">
        <v>1315</v>
      </c>
      <c r="U24" s="2334" t="s">
        <v>1315</v>
      </c>
      <c r="V24" s="2334" t="s">
        <v>1315</v>
      </c>
      <c r="W24" s="2334" t="s">
        <v>1315</v>
      </c>
      <c r="X24" s="2334" t="s">
        <v>1315</v>
      </c>
      <c r="Y24" s="2334" t="s">
        <v>1315</v>
      </c>
      <c r="Z24" s="2334" t="s">
        <v>1315</v>
      </c>
      <c r="AA24" s="2334" t="s">
        <v>1315</v>
      </c>
      <c r="AB24" s="2334" t="s">
        <v>1315</v>
      </c>
      <c r="AC24" s="2334" t="s">
        <v>1315</v>
      </c>
      <c r="AD24" s="2334" t="s">
        <v>1315</v>
      </c>
      <c r="AE24" s="2334" t="s">
        <v>1315</v>
      </c>
      <c r="AF24" s="2334" t="s">
        <v>1315</v>
      </c>
      <c r="AG24" s="2334" t="s">
        <v>1315</v>
      </c>
      <c r="AH24" s="2334" t="s">
        <v>1315</v>
      </c>
      <c r="AI24" s="2334" t="s">
        <v>1315</v>
      </c>
      <c r="AJ24" s="2334" t="s">
        <v>1315</v>
      </c>
      <c r="AK24" s="2334" t="s">
        <v>1315</v>
      </c>
      <c r="AL24" s="2334" t="s">
        <v>1315</v>
      </c>
      <c r="AM24" s="2334" t="s">
        <v>1315</v>
      </c>
      <c r="AO24" s="3966" t="s">
        <v>619</v>
      </c>
      <c r="AP24" s="3864" t="s">
        <v>12601</v>
      </c>
      <c r="AQ24" s="304" t="s">
        <v>619</v>
      </c>
      <c r="AR24" s="699"/>
      <c r="AS24" s="699"/>
      <c r="AT24" s="3619"/>
      <c r="AV24" s="4003" t="s">
        <v>619</v>
      </c>
      <c r="AW24" s="304" t="s">
        <v>619</v>
      </c>
      <c r="AX24" s="2334">
        <v>700</v>
      </c>
      <c r="AY24" s="2334">
        <v>340</v>
      </c>
      <c r="AZ24" s="2334" t="s">
        <v>1165</v>
      </c>
      <c r="BA24" s="2334">
        <v>300</v>
      </c>
      <c r="BB24" s="2334">
        <v>300</v>
      </c>
      <c r="BC24" s="699" t="s">
        <v>11897</v>
      </c>
      <c r="BD24" s="2334" t="s">
        <v>11898</v>
      </c>
      <c r="BE24" s="286" t="s">
        <v>1315</v>
      </c>
    </row>
    <row r="25" spans="3:57">
      <c r="C25" s="3863" t="s">
        <v>620</v>
      </c>
      <c r="D25" s="2334">
        <v>750</v>
      </c>
      <c r="E25" s="2334">
        <v>360</v>
      </c>
      <c r="G25" s="3863" t="s">
        <v>620</v>
      </c>
      <c r="H25" s="304" t="s">
        <v>620</v>
      </c>
      <c r="I25" s="2334">
        <v>750</v>
      </c>
      <c r="J25" s="2334">
        <v>360</v>
      </c>
      <c r="K25" s="2334" t="s">
        <v>1165</v>
      </c>
      <c r="L25" s="2334">
        <v>320</v>
      </c>
      <c r="M25" s="2334" t="s">
        <v>11874</v>
      </c>
      <c r="N25" s="3864" t="s">
        <v>11899</v>
      </c>
      <c r="O25" s="2334" t="s">
        <v>11900</v>
      </c>
      <c r="P25" s="2334" t="s">
        <v>1315</v>
      </c>
      <c r="Q25" s="2334" t="s">
        <v>1315</v>
      </c>
      <c r="R25" s="2334" t="s">
        <v>1315</v>
      </c>
      <c r="S25" s="2334" t="s">
        <v>1315</v>
      </c>
      <c r="T25" s="2334" t="s">
        <v>1315</v>
      </c>
      <c r="U25" s="2334" t="s">
        <v>1315</v>
      </c>
      <c r="V25" s="2334" t="s">
        <v>1315</v>
      </c>
      <c r="W25" s="2334" t="s">
        <v>1315</v>
      </c>
      <c r="X25" s="2334" t="s">
        <v>1315</v>
      </c>
      <c r="Y25" s="2334" t="s">
        <v>1315</v>
      </c>
      <c r="Z25" s="2334" t="s">
        <v>1315</v>
      </c>
      <c r="AA25" s="2334" t="s">
        <v>1315</v>
      </c>
      <c r="AB25" s="2334" t="s">
        <v>1315</v>
      </c>
      <c r="AC25" s="2334" t="s">
        <v>1315</v>
      </c>
      <c r="AD25" s="2334" t="s">
        <v>1315</v>
      </c>
      <c r="AE25" s="2334" t="s">
        <v>1315</v>
      </c>
      <c r="AF25" s="2334" t="s">
        <v>1315</v>
      </c>
      <c r="AG25" s="2334" t="s">
        <v>1315</v>
      </c>
      <c r="AH25" s="2334" t="s">
        <v>1315</v>
      </c>
      <c r="AI25" s="2334" t="s">
        <v>1315</v>
      </c>
      <c r="AJ25" s="2334" t="s">
        <v>1315</v>
      </c>
      <c r="AK25" s="2334" t="s">
        <v>1315</v>
      </c>
      <c r="AL25" s="2334" t="s">
        <v>1315</v>
      </c>
      <c r="AM25" s="2334" t="s">
        <v>1315</v>
      </c>
      <c r="AO25" s="3966" t="s">
        <v>620</v>
      </c>
      <c r="AP25" s="3864" t="s">
        <v>12602</v>
      </c>
      <c r="AQ25" s="304" t="s">
        <v>620</v>
      </c>
      <c r="AR25" s="699"/>
      <c r="AS25" s="699"/>
      <c r="AT25" s="3619"/>
      <c r="AV25" s="4003" t="s">
        <v>620</v>
      </c>
      <c r="AW25" s="304" t="s">
        <v>620</v>
      </c>
      <c r="AX25" s="2334">
        <v>750</v>
      </c>
      <c r="AY25" s="2334">
        <v>360</v>
      </c>
      <c r="AZ25" s="2334" t="s">
        <v>1165</v>
      </c>
      <c r="BA25" s="2334">
        <v>320</v>
      </c>
      <c r="BB25" s="2334" t="s">
        <v>11874</v>
      </c>
      <c r="BC25" s="3864" t="s">
        <v>11899</v>
      </c>
      <c r="BD25" s="2334" t="s">
        <v>11900</v>
      </c>
      <c r="BE25" s="2334" t="s">
        <v>1315</v>
      </c>
    </row>
    <row r="26" spans="3:57">
      <c r="C26" s="3863" t="s">
        <v>621</v>
      </c>
      <c r="D26" s="2334">
        <v>800</v>
      </c>
      <c r="E26" s="2334">
        <v>380</v>
      </c>
      <c r="G26" s="3863" t="s">
        <v>621</v>
      </c>
      <c r="H26" s="304" t="s">
        <v>621</v>
      </c>
      <c r="I26" s="2334">
        <v>800</v>
      </c>
      <c r="J26" s="2334">
        <v>380</v>
      </c>
      <c r="K26" s="2334" t="s">
        <v>1166</v>
      </c>
      <c r="L26" s="2334" t="s">
        <v>11874</v>
      </c>
      <c r="M26" s="2334" t="s">
        <v>11901</v>
      </c>
      <c r="N26" s="3864" t="s">
        <v>11902</v>
      </c>
      <c r="O26" s="2334" t="s">
        <v>11903</v>
      </c>
      <c r="P26" s="2334" t="s">
        <v>1315</v>
      </c>
      <c r="Q26" s="2334" t="s">
        <v>1315</v>
      </c>
      <c r="R26" s="2334" t="s">
        <v>1315</v>
      </c>
      <c r="S26" s="2334" t="s">
        <v>1315</v>
      </c>
      <c r="T26" s="2334" t="s">
        <v>1315</v>
      </c>
      <c r="U26" s="2334" t="s">
        <v>1315</v>
      </c>
      <c r="V26" s="2334" t="s">
        <v>1315</v>
      </c>
      <c r="W26" s="2334" t="s">
        <v>1315</v>
      </c>
      <c r="X26" s="2334" t="s">
        <v>1315</v>
      </c>
      <c r="Y26" s="2334" t="s">
        <v>1315</v>
      </c>
      <c r="Z26" s="2334" t="s">
        <v>1315</v>
      </c>
      <c r="AA26" s="2334" t="s">
        <v>1315</v>
      </c>
      <c r="AB26" s="2334" t="s">
        <v>1315</v>
      </c>
      <c r="AC26" s="2334" t="s">
        <v>1315</v>
      </c>
      <c r="AD26" s="2334" t="s">
        <v>1315</v>
      </c>
      <c r="AE26" s="2334" t="s">
        <v>1315</v>
      </c>
      <c r="AF26" s="2334" t="s">
        <v>1315</v>
      </c>
      <c r="AG26" s="2334" t="s">
        <v>1315</v>
      </c>
      <c r="AH26" s="2334" t="s">
        <v>1315</v>
      </c>
      <c r="AI26" s="2334" t="s">
        <v>1315</v>
      </c>
      <c r="AJ26" s="2334" t="s">
        <v>1315</v>
      </c>
      <c r="AK26" s="2334" t="s">
        <v>1315</v>
      </c>
      <c r="AL26" s="2334" t="s">
        <v>1315</v>
      </c>
      <c r="AM26" s="2334" t="s">
        <v>1315</v>
      </c>
      <c r="AO26" s="3966" t="s">
        <v>621</v>
      </c>
      <c r="AP26" s="3864" t="s">
        <v>12603</v>
      </c>
      <c r="AQ26" s="304" t="s">
        <v>621</v>
      </c>
      <c r="AR26" s="699"/>
      <c r="AS26" s="699"/>
      <c r="AT26" s="3619"/>
      <c r="AV26" s="4003" t="s">
        <v>621</v>
      </c>
      <c r="AW26" s="304" t="s">
        <v>621</v>
      </c>
      <c r="AX26" s="2334">
        <v>800</v>
      </c>
      <c r="AY26" s="2334">
        <v>380</v>
      </c>
      <c r="AZ26" s="2334" t="s">
        <v>1166</v>
      </c>
      <c r="BA26" s="2334" t="s">
        <v>11874</v>
      </c>
      <c r="BB26" s="2334" t="s">
        <v>11901</v>
      </c>
      <c r="BC26" s="3864" t="s">
        <v>11902</v>
      </c>
      <c r="BD26" s="2334" t="s">
        <v>11903</v>
      </c>
      <c r="BE26" s="286" t="s">
        <v>1315</v>
      </c>
    </row>
    <row r="27" spans="3:57">
      <c r="C27" s="3863" t="s">
        <v>622</v>
      </c>
      <c r="D27" s="2334">
        <v>850</v>
      </c>
      <c r="E27" s="2334">
        <v>400</v>
      </c>
      <c r="G27" s="3863" t="s">
        <v>622</v>
      </c>
      <c r="H27" s="304" t="s">
        <v>622</v>
      </c>
      <c r="I27" s="2334">
        <v>850</v>
      </c>
      <c r="J27" s="2334">
        <v>400</v>
      </c>
      <c r="K27" s="2334" t="s">
        <v>1165</v>
      </c>
      <c r="L27" s="2334">
        <v>350</v>
      </c>
      <c r="M27" s="2334" t="s">
        <v>11874</v>
      </c>
      <c r="N27" s="3864" t="s">
        <v>11904</v>
      </c>
      <c r="O27" s="2334" t="s">
        <v>11905</v>
      </c>
      <c r="P27" s="2334" t="s">
        <v>1315</v>
      </c>
      <c r="Q27" s="2334" t="s">
        <v>1315</v>
      </c>
      <c r="R27" s="2334" t="s">
        <v>1315</v>
      </c>
      <c r="S27" s="2334" t="s">
        <v>1315</v>
      </c>
      <c r="T27" s="2334" t="s">
        <v>1315</v>
      </c>
      <c r="U27" s="2334" t="s">
        <v>1315</v>
      </c>
      <c r="V27" s="2334" t="s">
        <v>1315</v>
      </c>
      <c r="W27" s="2334" t="s">
        <v>1315</v>
      </c>
      <c r="X27" s="2334" t="s">
        <v>1315</v>
      </c>
      <c r="Y27" s="2334" t="s">
        <v>1315</v>
      </c>
      <c r="Z27" s="2334" t="s">
        <v>1315</v>
      </c>
      <c r="AA27" s="2334" t="s">
        <v>1315</v>
      </c>
      <c r="AB27" s="2334" t="s">
        <v>1315</v>
      </c>
      <c r="AC27" s="2334" t="s">
        <v>1315</v>
      </c>
      <c r="AD27" s="2334" t="s">
        <v>1315</v>
      </c>
      <c r="AE27" s="2334" t="s">
        <v>1315</v>
      </c>
      <c r="AF27" s="2334" t="s">
        <v>1315</v>
      </c>
      <c r="AG27" s="2334" t="s">
        <v>1315</v>
      </c>
      <c r="AH27" s="2334" t="s">
        <v>1315</v>
      </c>
      <c r="AI27" s="2334" t="s">
        <v>1315</v>
      </c>
      <c r="AJ27" s="2334" t="s">
        <v>1315</v>
      </c>
      <c r="AK27" s="2334" t="s">
        <v>1315</v>
      </c>
      <c r="AL27" s="2334" t="s">
        <v>1315</v>
      </c>
      <c r="AM27" s="2334" t="s">
        <v>1315</v>
      </c>
      <c r="AO27" s="3966" t="s">
        <v>622</v>
      </c>
      <c r="AP27" s="3864" t="s">
        <v>12604</v>
      </c>
      <c r="AQ27" s="304" t="s">
        <v>622</v>
      </c>
      <c r="AR27" s="699"/>
      <c r="AS27" s="699"/>
      <c r="AT27" s="3619"/>
      <c r="AV27" s="4003" t="s">
        <v>622</v>
      </c>
      <c r="AW27" s="304" t="s">
        <v>622</v>
      </c>
      <c r="AX27" s="2334">
        <v>850</v>
      </c>
      <c r="AY27" s="2334">
        <v>400</v>
      </c>
      <c r="AZ27" s="2334" t="s">
        <v>1165</v>
      </c>
      <c r="BA27" s="2334">
        <v>350</v>
      </c>
      <c r="BB27" s="2334" t="s">
        <v>11874</v>
      </c>
      <c r="BC27" s="3864" t="s">
        <v>11904</v>
      </c>
      <c r="BD27" s="2334" t="s">
        <v>11905</v>
      </c>
      <c r="BE27" s="2334" t="s">
        <v>1315</v>
      </c>
    </row>
    <row r="28" spans="3:57">
      <c r="C28" s="3863" t="s">
        <v>623</v>
      </c>
      <c r="D28" s="2334">
        <v>900</v>
      </c>
      <c r="E28" s="2334">
        <v>420</v>
      </c>
      <c r="G28" s="3863" t="s">
        <v>623</v>
      </c>
      <c r="H28" s="304" t="s">
        <v>623</v>
      </c>
      <c r="I28" s="2334">
        <v>900</v>
      </c>
      <c r="J28" s="2334">
        <v>420</v>
      </c>
      <c r="K28" s="2334" t="s">
        <v>1165</v>
      </c>
      <c r="L28" s="2334">
        <v>300</v>
      </c>
      <c r="M28" s="2334" t="s">
        <v>11874</v>
      </c>
      <c r="N28" s="3864" t="s">
        <v>6442</v>
      </c>
      <c r="O28" s="2334" t="s">
        <v>11906</v>
      </c>
      <c r="P28" s="2334" t="s">
        <v>1315</v>
      </c>
      <c r="Q28" s="2334" t="s">
        <v>1315</v>
      </c>
      <c r="R28" s="2334" t="s">
        <v>1315</v>
      </c>
      <c r="S28" s="2334" t="s">
        <v>1315</v>
      </c>
      <c r="T28" s="2334" t="s">
        <v>1315</v>
      </c>
      <c r="U28" s="2334" t="s">
        <v>1315</v>
      </c>
      <c r="V28" s="2334" t="s">
        <v>1315</v>
      </c>
      <c r="W28" s="2334" t="s">
        <v>1315</v>
      </c>
      <c r="X28" s="2334" t="s">
        <v>1315</v>
      </c>
      <c r="Y28" s="2334" t="s">
        <v>1315</v>
      </c>
      <c r="Z28" s="2334" t="s">
        <v>1315</v>
      </c>
      <c r="AA28" s="2334" t="s">
        <v>1315</v>
      </c>
      <c r="AB28" s="2334" t="s">
        <v>1315</v>
      </c>
      <c r="AC28" s="2334" t="s">
        <v>1315</v>
      </c>
      <c r="AD28" s="2334" t="s">
        <v>1315</v>
      </c>
      <c r="AE28" s="2334" t="s">
        <v>1315</v>
      </c>
      <c r="AF28" s="2334" t="s">
        <v>1315</v>
      </c>
      <c r="AG28" s="2334" t="s">
        <v>1315</v>
      </c>
      <c r="AH28" s="2334" t="s">
        <v>1315</v>
      </c>
      <c r="AI28" s="2334" t="s">
        <v>1315</v>
      </c>
      <c r="AJ28" s="2334" t="s">
        <v>1315</v>
      </c>
      <c r="AK28" s="2334" t="s">
        <v>1315</v>
      </c>
      <c r="AL28" s="2334" t="s">
        <v>1315</v>
      </c>
      <c r="AM28" s="2334" t="s">
        <v>1315</v>
      </c>
      <c r="AO28" s="3966" t="s">
        <v>623</v>
      </c>
      <c r="AP28" s="3864" t="s">
        <v>12605</v>
      </c>
      <c r="AQ28" s="304" t="s">
        <v>623</v>
      </c>
      <c r="AR28" s="699"/>
      <c r="AS28" s="699"/>
      <c r="AT28" s="3619"/>
      <c r="AV28" s="4003" t="s">
        <v>623</v>
      </c>
      <c r="AW28" s="304" t="s">
        <v>623</v>
      </c>
      <c r="AX28" s="2334">
        <v>900</v>
      </c>
      <c r="AY28" s="2334">
        <v>420</v>
      </c>
      <c r="AZ28" s="2334" t="s">
        <v>1165</v>
      </c>
      <c r="BA28" s="2334">
        <v>300</v>
      </c>
      <c r="BB28" s="2334" t="s">
        <v>11874</v>
      </c>
      <c r="BC28" s="3864" t="s">
        <v>6442</v>
      </c>
      <c r="BD28" s="2334" t="s">
        <v>11906</v>
      </c>
      <c r="BE28" s="286" t="s">
        <v>1315</v>
      </c>
    </row>
    <row r="29" spans="3:57">
      <c r="C29" s="3863" t="s">
        <v>624</v>
      </c>
      <c r="D29" s="2334">
        <v>950</v>
      </c>
      <c r="E29" s="2334">
        <v>440</v>
      </c>
      <c r="G29" s="3863" t="s">
        <v>624</v>
      </c>
      <c r="H29" s="304" t="s">
        <v>624</v>
      </c>
      <c r="I29" s="2334">
        <v>950</v>
      </c>
      <c r="J29" s="2334">
        <v>440</v>
      </c>
      <c r="K29" s="2334" t="s">
        <v>1165</v>
      </c>
      <c r="L29" s="2334" t="s">
        <v>11874</v>
      </c>
      <c r="M29" s="2334" t="s">
        <v>11874</v>
      </c>
      <c r="N29" s="3864" t="s">
        <v>6442</v>
      </c>
      <c r="O29" s="2334" t="s">
        <v>11907</v>
      </c>
      <c r="P29" s="2334" t="s">
        <v>1315</v>
      </c>
      <c r="Q29" s="2334" t="s">
        <v>1315</v>
      </c>
      <c r="R29" s="2334" t="s">
        <v>1315</v>
      </c>
      <c r="S29" s="2334" t="s">
        <v>1315</v>
      </c>
      <c r="T29" s="2334" t="s">
        <v>1315</v>
      </c>
      <c r="U29" s="2334" t="s">
        <v>1315</v>
      </c>
      <c r="V29" s="2334" t="s">
        <v>1315</v>
      </c>
      <c r="W29" s="2334" t="s">
        <v>1315</v>
      </c>
      <c r="X29" s="2334" t="s">
        <v>1315</v>
      </c>
      <c r="Y29" s="2334" t="s">
        <v>1315</v>
      </c>
      <c r="Z29" s="2334" t="s">
        <v>1315</v>
      </c>
      <c r="AA29" s="2334" t="s">
        <v>1315</v>
      </c>
      <c r="AB29" s="2334" t="s">
        <v>1315</v>
      </c>
      <c r="AC29" s="2334" t="s">
        <v>1315</v>
      </c>
      <c r="AD29" s="2334" t="s">
        <v>1315</v>
      </c>
      <c r="AE29" s="2334" t="s">
        <v>1315</v>
      </c>
      <c r="AF29" s="2334" t="s">
        <v>1315</v>
      </c>
      <c r="AG29" s="2334" t="s">
        <v>1315</v>
      </c>
      <c r="AH29" s="2334" t="s">
        <v>1315</v>
      </c>
      <c r="AI29" s="2334" t="s">
        <v>1315</v>
      </c>
      <c r="AJ29" s="2334" t="s">
        <v>1315</v>
      </c>
      <c r="AK29" s="2334" t="s">
        <v>1315</v>
      </c>
      <c r="AL29" s="2334" t="s">
        <v>1315</v>
      </c>
      <c r="AM29" s="2334" t="s">
        <v>1315</v>
      </c>
      <c r="AO29" s="3966" t="s">
        <v>624</v>
      </c>
      <c r="AP29" s="3864" t="s">
        <v>12606</v>
      </c>
      <c r="AQ29" s="304" t="s">
        <v>624</v>
      </c>
      <c r="AR29" s="699"/>
      <c r="AS29" s="699"/>
      <c r="AT29" s="3619"/>
      <c r="AV29" s="4003" t="s">
        <v>624</v>
      </c>
      <c r="AW29" s="304" t="s">
        <v>624</v>
      </c>
      <c r="AX29" s="2334">
        <v>950</v>
      </c>
      <c r="AY29" s="2334">
        <v>440</v>
      </c>
      <c r="AZ29" s="2334" t="s">
        <v>1165</v>
      </c>
      <c r="BA29" s="2334" t="s">
        <v>11874</v>
      </c>
      <c r="BB29" s="2334" t="s">
        <v>11874</v>
      </c>
      <c r="BC29" s="3864" t="s">
        <v>6442</v>
      </c>
      <c r="BD29" s="2334" t="s">
        <v>11907</v>
      </c>
      <c r="BE29" s="2334" t="s">
        <v>1315</v>
      </c>
    </row>
    <row r="30" spans="3:57">
      <c r="C30" s="3863" t="s">
        <v>625</v>
      </c>
      <c r="D30" s="2334">
        <v>1000</v>
      </c>
      <c r="E30" s="2334">
        <v>460</v>
      </c>
      <c r="G30" s="3863" t="s">
        <v>625</v>
      </c>
      <c r="H30" s="304" t="s">
        <v>625</v>
      </c>
      <c r="I30" s="2334">
        <v>1000</v>
      </c>
      <c r="J30" s="2334">
        <v>460</v>
      </c>
      <c r="K30" s="2334" t="s">
        <v>1165</v>
      </c>
      <c r="L30" s="2334" t="s">
        <v>11874</v>
      </c>
      <c r="M30" s="2334" t="s">
        <v>11874</v>
      </c>
      <c r="N30" s="3864" t="s">
        <v>11908</v>
      </c>
      <c r="O30" s="2334" t="s">
        <v>11909</v>
      </c>
      <c r="P30" s="2334" t="s">
        <v>1315</v>
      </c>
      <c r="Q30" s="2334" t="s">
        <v>1315</v>
      </c>
      <c r="R30" s="2334" t="s">
        <v>1315</v>
      </c>
      <c r="S30" s="2334" t="s">
        <v>1315</v>
      </c>
      <c r="T30" s="2334" t="s">
        <v>1315</v>
      </c>
      <c r="U30" s="2334" t="s">
        <v>1315</v>
      </c>
      <c r="V30" s="2334" t="s">
        <v>1315</v>
      </c>
      <c r="W30" s="2334" t="s">
        <v>1315</v>
      </c>
      <c r="X30" s="2334" t="s">
        <v>1315</v>
      </c>
      <c r="Y30" s="2334" t="s">
        <v>1315</v>
      </c>
      <c r="Z30" s="2334" t="s">
        <v>1315</v>
      </c>
      <c r="AA30" s="2334" t="s">
        <v>1315</v>
      </c>
      <c r="AB30" s="2334" t="s">
        <v>1315</v>
      </c>
      <c r="AC30" s="2334" t="s">
        <v>1315</v>
      </c>
      <c r="AD30" s="2334" t="s">
        <v>1315</v>
      </c>
      <c r="AE30" s="2334" t="s">
        <v>1315</v>
      </c>
      <c r="AF30" s="2334" t="s">
        <v>1315</v>
      </c>
      <c r="AG30" s="2334" t="s">
        <v>1315</v>
      </c>
      <c r="AH30" s="2334" t="s">
        <v>1315</v>
      </c>
      <c r="AI30" s="2334" t="s">
        <v>1315</v>
      </c>
      <c r="AJ30" s="2334" t="s">
        <v>1315</v>
      </c>
      <c r="AK30" s="2334" t="s">
        <v>1315</v>
      </c>
      <c r="AL30" s="2334" t="s">
        <v>1315</v>
      </c>
      <c r="AM30" s="2334" t="s">
        <v>1315</v>
      </c>
      <c r="AO30" s="3966" t="s">
        <v>625</v>
      </c>
      <c r="AP30" s="3864" t="s">
        <v>12607</v>
      </c>
      <c r="AQ30" s="304" t="s">
        <v>625</v>
      </c>
      <c r="AR30" s="699"/>
      <c r="AS30" s="699"/>
      <c r="AT30" s="3619"/>
      <c r="AV30" s="4003" t="s">
        <v>625</v>
      </c>
      <c r="AW30" s="304" t="s">
        <v>625</v>
      </c>
      <c r="AX30" s="2334">
        <v>1000</v>
      </c>
      <c r="AY30" s="2334">
        <v>460</v>
      </c>
      <c r="AZ30" s="2334" t="s">
        <v>1165</v>
      </c>
      <c r="BA30" s="2334" t="s">
        <v>11874</v>
      </c>
      <c r="BB30" s="2334" t="s">
        <v>11874</v>
      </c>
      <c r="BC30" s="3864" t="s">
        <v>11908</v>
      </c>
      <c r="BD30" s="2334" t="s">
        <v>11909</v>
      </c>
      <c r="BE30" s="286" t="s">
        <v>1315</v>
      </c>
    </row>
    <row r="31" spans="3:57">
      <c r="C31" s="3863" t="s">
        <v>11910</v>
      </c>
      <c r="D31" s="2334">
        <v>100</v>
      </c>
      <c r="E31" s="2334">
        <v>120</v>
      </c>
      <c r="G31" s="3863" t="s">
        <v>11910</v>
      </c>
      <c r="H31" s="304" t="s">
        <v>11910</v>
      </c>
      <c r="I31" s="2334">
        <v>100</v>
      </c>
      <c r="J31" s="2334">
        <v>120</v>
      </c>
      <c r="K31" s="2334" t="s">
        <v>1165</v>
      </c>
      <c r="L31" s="2334" t="s">
        <v>11874</v>
      </c>
      <c r="M31" s="2334" t="s">
        <v>11874</v>
      </c>
      <c r="N31" s="3864" t="s">
        <v>11911</v>
      </c>
      <c r="O31" s="2334" t="s">
        <v>11912</v>
      </c>
      <c r="P31" s="2334" t="s">
        <v>1315</v>
      </c>
      <c r="Q31" s="2334" t="s">
        <v>1315</v>
      </c>
      <c r="R31" s="2334" t="s">
        <v>1315</v>
      </c>
      <c r="S31" s="2334" t="s">
        <v>1315</v>
      </c>
      <c r="T31" s="2334" t="s">
        <v>1315</v>
      </c>
      <c r="U31" s="2334" t="s">
        <v>1315</v>
      </c>
      <c r="V31" s="2334" t="s">
        <v>1315</v>
      </c>
      <c r="W31" s="2334" t="s">
        <v>1315</v>
      </c>
      <c r="X31" s="2334" t="s">
        <v>1315</v>
      </c>
      <c r="Y31" s="2334" t="s">
        <v>1315</v>
      </c>
      <c r="Z31" s="2334" t="s">
        <v>1315</v>
      </c>
      <c r="AA31" s="2334" t="s">
        <v>1315</v>
      </c>
      <c r="AB31" s="2334" t="s">
        <v>1315</v>
      </c>
      <c r="AC31" s="2334" t="s">
        <v>1315</v>
      </c>
      <c r="AD31" s="2334" t="s">
        <v>1315</v>
      </c>
      <c r="AE31" s="2334" t="s">
        <v>1315</v>
      </c>
      <c r="AF31" s="2334" t="s">
        <v>1315</v>
      </c>
      <c r="AG31" s="2334" t="s">
        <v>1315</v>
      </c>
      <c r="AH31" s="2334" t="s">
        <v>1315</v>
      </c>
      <c r="AI31" s="2334" t="s">
        <v>1315</v>
      </c>
      <c r="AJ31" s="2334" t="s">
        <v>1315</v>
      </c>
      <c r="AK31" s="2334" t="s">
        <v>1315</v>
      </c>
      <c r="AL31" s="2334" t="s">
        <v>1315</v>
      </c>
      <c r="AM31" s="2334" t="s">
        <v>1315</v>
      </c>
      <c r="AO31" s="3966" t="s">
        <v>11910</v>
      </c>
      <c r="AP31" s="3864" t="s">
        <v>12608</v>
      </c>
      <c r="AQ31" s="304" t="s">
        <v>11910</v>
      </c>
      <c r="AR31" s="699"/>
      <c r="AS31" s="699"/>
      <c r="AT31" s="3619"/>
      <c r="AV31" s="4003" t="s">
        <v>11910</v>
      </c>
      <c r="AW31" s="304" t="s">
        <v>11910</v>
      </c>
      <c r="AX31" s="2334">
        <v>100</v>
      </c>
      <c r="AY31" s="2334">
        <v>120</v>
      </c>
      <c r="AZ31" s="2334" t="s">
        <v>1165</v>
      </c>
      <c r="BA31" s="2334" t="s">
        <v>11874</v>
      </c>
      <c r="BB31" s="2334" t="s">
        <v>11874</v>
      </c>
      <c r="BC31" s="3864" t="s">
        <v>11911</v>
      </c>
      <c r="BD31" s="2334" t="s">
        <v>11912</v>
      </c>
      <c r="BE31" s="2334" t="s">
        <v>1315</v>
      </c>
    </row>
    <row r="32" spans="3:57">
      <c r="C32" s="3863" t="s">
        <v>11913</v>
      </c>
      <c r="D32" s="2334">
        <v>100</v>
      </c>
      <c r="E32" s="2334">
        <v>130</v>
      </c>
      <c r="G32" s="3863" t="s">
        <v>11913</v>
      </c>
      <c r="H32" s="304" t="s">
        <v>11913</v>
      </c>
      <c r="I32" s="2334">
        <v>100</v>
      </c>
      <c r="J32" s="2334">
        <v>130</v>
      </c>
      <c r="K32" s="2334" t="s">
        <v>1165</v>
      </c>
      <c r="L32" s="2334" t="s">
        <v>11914</v>
      </c>
      <c r="M32" s="2334" t="s">
        <v>11874</v>
      </c>
      <c r="N32" s="3864" t="s">
        <v>11915</v>
      </c>
      <c r="O32" s="2334" t="s">
        <v>11916</v>
      </c>
      <c r="P32" s="2334" t="s">
        <v>1315</v>
      </c>
      <c r="Q32" s="2334" t="s">
        <v>1315</v>
      </c>
      <c r="R32" s="2334" t="s">
        <v>1315</v>
      </c>
      <c r="S32" s="2334" t="s">
        <v>1315</v>
      </c>
      <c r="T32" s="2334" t="s">
        <v>1315</v>
      </c>
      <c r="U32" s="2334" t="s">
        <v>1315</v>
      </c>
      <c r="V32" s="2334" t="s">
        <v>1315</v>
      </c>
      <c r="W32" s="2334" t="s">
        <v>1315</v>
      </c>
      <c r="X32" s="2334" t="s">
        <v>1315</v>
      </c>
      <c r="Y32" s="2334" t="s">
        <v>1315</v>
      </c>
      <c r="Z32" s="2334" t="s">
        <v>1315</v>
      </c>
      <c r="AA32" s="2334" t="s">
        <v>1315</v>
      </c>
      <c r="AB32" s="2334" t="s">
        <v>1315</v>
      </c>
      <c r="AC32" s="2334" t="s">
        <v>1315</v>
      </c>
      <c r="AD32" s="2334" t="s">
        <v>1315</v>
      </c>
      <c r="AE32" s="2334" t="s">
        <v>1315</v>
      </c>
      <c r="AF32" s="2334" t="s">
        <v>1315</v>
      </c>
      <c r="AG32" s="2334" t="s">
        <v>1315</v>
      </c>
      <c r="AH32" s="2334" t="s">
        <v>1315</v>
      </c>
      <c r="AI32" s="2334" t="s">
        <v>1315</v>
      </c>
      <c r="AJ32" s="2334" t="s">
        <v>1315</v>
      </c>
      <c r="AK32" s="2334" t="s">
        <v>1315</v>
      </c>
      <c r="AL32" s="2334" t="s">
        <v>1315</v>
      </c>
      <c r="AM32" s="2334" t="s">
        <v>1315</v>
      </c>
      <c r="AO32" s="3966" t="s">
        <v>11913</v>
      </c>
      <c r="AP32" s="3864" t="s">
        <v>12609</v>
      </c>
      <c r="AQ32" s="304" t="s">
        <v>11913</v>
      </c>
      <c r="AR32" s="699"/>
      <c r="AS32" s="699"/>
      <c r="AT32" s="3619"/>
      <c r="AV32" s="4003" t="s">
        <v>11913</v>
      </c>
      <c r="AW32" s="304" t="s">
        <v>11913</v>
      </c>
      <c r="AX32" s="2334">
        <v>100</v>
      </c>
      <c r="AY32" s="2334">
        <v>130</v>
      </c>
      <c r="AZ32" s="2334" t="s">
        <v>1165</v>
      </c>
      <c r="BA32" s="2334" t="s">
        <v>11914</v>
      </c>
      <c r="BB32" s="2334" t="s">
        <v>11874</v>
      </c>
      <c r="BC32" s="3864" t="s">
        <v>11915</v>
      </c>
      <c r="BD32" s="2334" t="s">
        <v>11916</v>
      </c>
      <c r="BE32" s="286" t="s">
        <v>1315</v>
      </c>
    </row>
    <row r="33" spans="3:57">
      <c r="C33" s="3863" t="s">
        <v>11917</v>
      </c>
      <c r="D33" s="2334">
        <v>150</v>
      </c>
      <c r="E33" s="2334">
        <v>140</v>
      </c>
      <c r="G33" s="3863" t="s">
        <v>11917</v>
      </c>
      <c r="H33" s="304" t="s">
        <v>11917</v>
      </c>
      <c r="I33" s="2334">
        <v>150</v>
      </c>
      <c r="J33" s="2334">
        <v>140</v>
      </c>
      <c r="K33" s="2334" t="s">
        <v>1165</v>
      </c>
      <c r="L33" s="2334" t="s">
        <v>11918</v>
      </c>
      <c r="M33" s="2334" t="s">
        <v>11874</v>
      </c>
      <c r="N33" s="2334" t="s">
        <v>6442</v>
      </c>
      <c r="O33" s="2334" t="s">
        <v>11919</v>
      </c>
      <c r="P33" s="2334" t="s">
        <v>1315</v>
      </c>
      <c r="Q33" s="2334" t="s">
        <v>1315</v>
      </c>
      <c r="R33" s="2334" t="s">
        <v>1315</v>
      </c>
      <c r="S33" s="2334" t="s">
        <v>1315</v>
      </c>
      <c r="T33" s="2334" t="s">
        <v>1315</v>
      </c>
      <c r="U33" s="2334" t="s">
        <v>1315</v>
      </c>
      <c r="V33" s="2334" t="s">
        <v>1315</v>
      </c>
      <c r="W33" s="2334" t="s">
        <v>1315</v>
      </c>
      <c r="X33" s="2334" t="s">
        <v>1315</v>
      </c>
      <c r="Y33" s="2334" t="s">
        <v>1315</v>
      </c>
      <c r="Z33" s="2334" t="s">
        <v>1315</v>
      </c>
      <c r="AA33" s="2334" t="s">
        <v>1315</v>
      </c>
      <c r="AB33" s="2334" t="s">
        <v>1315</v>
      </c>
      <c r="AC33" s="2334" t="s">
        <v>1315</v>
      </c>
      <c r="AD33" s="2334" t="s">
        <v>1315</v>
      </c>
      <c r="AE33" s="2334" t="s">
        <v>1315</v>
      </c>
      <c r="AF33" s="2334" t="s">
        <v>1315</v>
      </c>
      <c r="AG33" s="2334" t="s">
        <v>1315</v>
      </c>
      <c r="AH33" s="2334" t="s">
        <v>1315</v>
      </c>
      <c r="AI33" s="2334" t="s">
        <v>1315</v>
      </c>
      <c r="AJ33" s="2334" t="s">
        <v>1315</v>
      </c>
      <c r="AK33" s="2334" t="s">
        <v>1315</v>
      </c>
      <c r="AL33" s="2334" t="s">
        <v>1315</v>
      </c>
      <c r="AM33" s="2334" t="s">
        <v>1315</v>
      </c>
      <c r="AO33" s="3966" t="s">
        <v>11917</v>
      </c>
      <c r="AP33" s="3864" t="s">
        <v>12610</v>
      </c>
      <c r="AQ33" s="304" t="s">
        <v>11917</v>
      </c>
      <c r="AR33" s="699"/>
      <c r="AS33" s="699"/>
      <c r="AT33" s="3619"/>
      <c r="AV33" s="4003" t="s">
        <v>11917</v>
      </c>
      <c r="AW33" s="304" t="s">
        <v>11917</v>
      </c>
      <c r="AX33" s="2334">
        <v>150</v>
      </c>
      <c r="AY33" s="2334">
        <v>140</v>
      </c>
      <c r="AZ33" s="2334" t="s">
        <v>1165</v>
      </c>
      <c r="BA33" s="2334" t="s">
        <v>11918</v>
      </c>
      <c r="BB33" s="2334" t="s">
        <v>11874</v>
      </c>
      <c r="BC33" s="2334" t="s">
        <v>6442</v>
      </c>
      <c r="BD33" s="2334" t="s">
        <v>11919</v>
      </c>
      <c r="BE33" s="2334" t="s">
        <v>1315</v>
      </c>
    </row>
    <row r="34" spans="3:57">
      <c r="C34" s="3863" t="s">
        <v>11920</v>
      </c>
      <c r="D34" s="2334">
        <v>200</v>
      </c>
      <c r="E34" s="2334">
        <v>150</v>
      </c>
      <c r="G34" s="3863" t="s">
        <v>11920</v>
      </c>
      <c r="H34" s="304" t="s">
        <v>11920</v>
      </c>
      <c r="I34" s="2334">
        <v>200</v>
      </c>
      <c r="J34" s="2334">
        <v>150</v>
      </c>
      <c r="K34" s="2334" t="s">
        <v>1165</v>
      </c>
      <c r="L34" s="2334" t="s">
        <v>11918</v>
      </c>
      <c r="M34" s="2334" t="s">
        <v>11874</v>
      </c>
      <c r="N34" s="3864" t="s">
        <v>11915</v>
      </c>
      <c r="O34" s="2334" t="s">
        <v>11921</v>
      </c>
      <c r="P34" s="2334" t="s">
        <v>1315</v>
      </c>
      <c r="Q34" s="2334" t="s">
        <v>1315</v>
      </c>
      <c r="R34" s="2334" t="s">
        <v>1315</v>
      </c>
      <c r="S34" s="2334" t="s">
        <v>1315</v>
      </c>
      <c r="T34" s="2334" t="s">
        <v>1315</v>
      </c>
      <c r="U34" s="2334" t="s">
        <v>1315</v>
      </c>
      <c r="V34" s="2334" t="s">
        <v>1315</v>
      </c>
      <c r="W34" s="2334" t="s">
        <v>1315</v>
      </c>
      <c r="X34" s="2334" t="s">
        <v>1315</v>
      </c>
      <c r="Y34" s="2334" t="s">
        <v>1315</v>
      </c>
      <c r="Z34" s="2334" t="s">
        <v>1315</v>
      </c>
      <c r="AA34" s="2334" t="s">
        <v>1315</v>
      </c>
      <c r="AB34" s="2334" t="s">
        <v>1315</v>
      </c>
      <c r="AC34" s="2334" t="s">
        <v>1315</v>
      </c>
      <c r="AD34" s="2334" t="s">
        <v>1315</v>
      </c>
      <c r="AE34" s="2334" t="s">
        <v>1315</v>
      </c>
      <c r="AF34" s="2334" t="s">
        <v>1315</v>
      </c>
      <c r="AG34" s="2334" t="s">
        <v>1315</v>
      </c>
      <c r="AH34" s="2334" t="s">
        <v>1315</v>
      </c>
      <c r="AI34" s="2334" t="s">
        <v>1315</v>
      </c>
      <c r="AJ34" s="2334" t="s">
        <v>1315</v>
      </c>
      <c r="AK34" s="2334" t="s">
        <v>1315</v>
      </c>
      <c r="AL34" s="2334" t="s">
        <v>1315</v>
      </c>
      <c r="AM34" s="2334" t="s">
        <v>1315</v>
      </c>
      <c r="AO34" s="3966" t="s">
        <v>11920</v>
      </c>
      <c r="AP34" s="3864" t="s">
        <v>12611</v>
      </c>
      <c r="AQ34" s="304" t="s">
        <v>11920</v>
      </c>
      <c r="AR34" s="699"/>
      <c r="AS34" s="699"/>
      <c r="AT34" s="3619"/>
      <c r="AV34" s="4003" t="s">
        <v>11920</v>
      </c>
      <c r="AW34" s="304" t="s">
        <v>11920</v>
      </c>
      <c r="AX34" s="2334">
        <v>200</v>
      </c>
      <c r="AY34" s="2334">
        <v>150</v>
      </c>
      <c r="AZ34" s="2334" t="s">
        <v>1165</v>
      </c>
      <c r="BA34" s="2334" t="s">
        <v>11918</v>
      </c>
      <c r="BB34" s="2334" t="s">
        <v>11874</v>
      </c>
      <c r="BC34" s="3864" t="s">
        <v>11915</v>
      </c>
      <c r="BD34" s="2334" t="s">
        <v>11921</v>
      </c>
      <c r="BE34" s="286" t="s">
        <v>1315</v>
      </c>
    </row>
    <row r="35" spans="3:57">
      <c r="C35" s="3863" t="s">
        <v>11922</v>
      </c>
      <c r="D35" s="2334">
        <v>200</v>
      </c>
      <c r="E35" s="2334">
        <v>160</v>
      </c>
      <c r="G35" s="3863" t="s">
        <v>11922</v>
      </c>
      <c r="H35" s="304" t="s">
        <v>11922</v>
      </c>
      <c r="I35" s="2334">
        <v>200</v>
      </c>
      <c r="J35" s="2334">
        <v>160</v>
      </c>
      <c r="K35" s="2334" t="s">
        <v>1165</v>
      </c>
      <c r="L35" s="2334" t="s">
        <v>11923</v>
      </c>
      <c r="M35" s="2334" t="s">
        <v>11874</v>
      </c>
      <c r="N35" s="3864" t="s">
        <v>11924</v>
      </c>
      <c r="O35" s="2334" t="s">
        <v>11925</v>
      </c>
      <c r="P35" s="2334" t="s">
        <v>1315</v>
      </c>
      <c r="Q35" s="2334" t="s">
        <v>1315</v>
      </c>
      <c r="R35" s="2334" t="s">
        <v>1315</v>
      </c>
      <c r="S35" s="2334" t="s">
        <v>1315</v>
      </c>
      <c r="T35" s="2334" t="s">
        <v>1315</v>
      </c>
      <c r="U35" s="2334" t="s">
        <v>1315</v>
      </c>
      <c r="V35" s="2334" t="s">
        <v>1315</v>
      </c>
      <c r="W35" s="2334" t="s">
        <v>1315</v>
      </c>
      <c r="X35" s="2334" t="s">
        <v>1315</v>
      </c>
      <c r="Y35" s="2334" t="s">
        <v>1315</v>
      </c>
      <c r="Z35" s="2334" t="s">
        <v>1315</v>
      </c>
      <c r="AA35" s="2334" t="s">
        <v>1315</v>
      </c>
      <c r="AB35" s="2334" t="s">
        <v>1315</v>
      </c>
      <c r="AC35" s="2334" t="s">
        <v>1315</v>
      </c>
      <c r="AD35" s="2334" t="s">
        <v>1315</v>
      </c>
      <c r="AE35" s="2334" t="s">
        <v>1315</v>
      </c>
      <c r="AF35" s="2334" t="s">
        <v>1315</v>
      </c>
      <c r="AG35" s="2334" t="s">
        <v>1315</v>
      </c>
      <c r="AH35" s="2334" t="s">
        <v>1315</v>
      </c>
      <c r="AI35" s="2334" t="s">
        <v>1315</v>
      </c>
      <c r="AJ35" s="2334" t="s">
        <v>1315</v>
      </c>
      <c r="AK35" s="2334" t="s">
        <v>1315</v>
      </c>
      <c r="AL35" s="2334" t="s">
        <v>1315</v>
      </c>
      <c r="AM35" s="2334" t="s">
        <v>1315</v>
      </c>
      <c r="AO35" s="3966" t="s">
        <v>11922</v>
      </c>
      <c r="AP35" s="3864" t="s">
        <v>12612</v>
      </c>
      <c r="AQ35" s="304" t="s">
        <v>11922</v>
      </c>
      <c r="AR35" s="699"/>
      <c r="AS35" s="699"/>
      <c r="AT35" s="3619"/>
      <c r="AV35" s="4003" t="s">
        <v>11922</v>
      </c>
      <c r="AW35" s="304" t="s">
        <v>11922</v>
      </c>
      <c r="AX35" s="2334">
        <v>200</v>
      </c>
      <c r="AY35" s="2334">
        <v>160</v>
      </c>
      <c r="AZ35" s="2334" t="s">
        <v>1165</v>
      </c>
      <c r="BA35" s="2334" t="s">
        <v>11923</v>
      </c>
      <c r="BB35" s="2334" t="s">
        <v>11874</v>
      </c>
      <c r="BC35" s="3864" t="s">
        <v>11924</v>
      </c>
      <c r="BD35" s="2334" t="s">
        <v>11925</v>
      </c>
      <c r="BE35" s="2334" t="s">
        <v>1315</v>
      </c>
    </row>
    <row r="36" spans="3:57">
      <c r="C36" s="3863" t="s">
        <v>11926</v>
      </c>
      <c r="D36" s="2334">
        <v>250</v>
      </c>
      <c r="E36" s="2334">
        <v>170</v>
      </c>
      <c r="G36" s="3863" t="s">
        <v>11926</v>
      </c>
      <c r="H36" s="304" t="s">
        <v>11926</v>
      </c>
      <c r="I36" s="2334">
        <v>250</v>
      </c>
      <c r="J36" s="2334">
        <v>170</v>
      </c>
      <c r="K36" s="2334" t="s">
        <v>1166</v>
      </c>
      <c r="L36" s="2334" t="s">
        <v>11874</v>
      </c>
      <c r="M36" s="2334">
        <v>180</v>
      </c>
      <c r="N36" s="2334" t="s">
        <v>6442</v>
      </c>
      <c r="O36" s="2334" t="s">
        <v>11927</v>
      </c>
      <c r="P36" s="2334" t="s">
        <v>1315</v>
      </c>
      <c r="Q36" s="2334" t="s">
        <v>1315</v>
      </c>
      <c r="R36" s="2334" t="s">
        <v>1315</v>
      </c>
      <c r="S36" s="2334" t="s">
        <v>1315</v>
      </c>
      <c r="T36" s="2334" t="s">
        <v>1315</v>
      </c>
      <c r="U36" s="2334" t="s">
        <v>1315</v>
      </c>
      <c r="V36" s="2334" t="s">
        <v>1315</v>
      </c>
      <c r="W36" s="2334" t="s">
        <v>1315</v>
      </c>
      <c r="X36" s="2334" t="s">
        <v>1315</v>
      </c>
      <c r="Y36" s="2334" t="s">
        <v>1315</v>
      </c>
      <c r="Z36" s="2334" t="s">
        <v>1315</v>
      </c>
      <c r="AA36" s="2334" t="s">
        <v>1315</v>
      </c>
      <c r="AB36" s="2334" t="s">
        <v>1315</v>
      </c>
      <c r="AC36" s="2334" t="s">
        <v>1315</v>
      </c>
      <c r="AD36" s="2334" t="s">
        <v>1315</v>
      </c>
      <c r="AE36" s="2334" t="s">
        <v>1315</v>
      </c>
      <c r="AF36" s="2334" t="s">
        <v>1315</v>
      </c>
      <c r="AG36" s="2334" t="s">
        <v>1315</v>
      </c>
      <c r="AH36" s="2334" t="s">
        <v>1315</v>
      </c>
      <c r="AI36" s="2334" t="s">
        <v>1315</v>
      </c>
      <c r="AJ36" s="2334" t="s">
        <v>1315</v>
      </c>
      <c r="AK36" s="2334" t="s">
        <v>1315</v>
      </c>
      <c r="AL36" s="2334" t="s">
        <v>1315</v>
      </c>
      <c r="AM36" s="2334" t="s">
        <v>1315</v>
      </c>
      <c r="AO36" s="3966" t="s">
        <v>11926</v>
      </c>
      <c r="AP36" s="3864" t="s">
        <v>12613</v>
      </c>
      <c r="AQ36" s="304" t="s">
        <v>11926</v>
      </c>
      <c r="AR36" s="699"/>
      <c r="AS36" s="699"/>
      <c r="AT36" s="3619"/>
      <c r="AV36" s="4003" t="s">
        <v>11926</v>
      </c>
      <c r="AW36" s="304" t="s">
        <v>11926</v>
      </c>
      <c r="AX36" s="2334">
        <v>250</v>
      </c>
      <c r="AY36" s="2334">
        <v>170</v>
      </c>
      <c r="AZ36" s="2334" t="s">
        <v>1166</v>
      </c>
      <c r="BA36" s="2334" t="s">
        <v>11874</v>
      </c>
      <c r="BB36" s="2334">
        <v>180</v>
      </c>
      <c r="BC36" s="2334" t="s">
        <v>6442</v>
      </c>
      <c r="BD36" s="2334" t="s">
        <v>11927</v>
      </c>
      <c r="BE36" s="286" t="s">
        <v>1315</v>
      </c>
    </row>
    <row r="37" spans="3:57">
      <c r="C37" s="3863" t="s">
        <v>11928</v>
      </c>
      <c r="D37" s="2334">
        <v>250</v>
      </c>
      <c r="E37" s="2334">
        <v>180</v>
      </c>
      <c r="G37" s="3863" t="s">
        <v>11928</v>
      </c>
      <c r="H37" s="304" t="s">
        <v>11928</v>
      </c>
      <c r="I37" s="2334">
        <v>250</v>
      </c>
      <c r="J37" s="2334">
        <v>180</v>
      </c>
      <c r="K37" s="2334" t="s">
        <v>1165</v>
      </c>
      <c r="L37" s="2334" t="s">
        <v>6452</v>
      </c>
      <c r="M37" s="2334" t="s">
        <v>11874</v>
      </c>
      <c r="N37" s="2334" t="s">
        <v>6442</v>
      </c>
      <c r="O37" s="2334" t="s">
        <v>11929</v>
      </c>
      <c r="P37" s="2334" t="s">
        <v>1315</v>
      </c>
      <c r="Q37" s="2334" t="s">
        <v>1315</v>
      </c>
      <c r="R37" s="2334" t="s">
        <v>1315</v>
      </c>
      <c r="S37" s="2334" t="s">
        <v>1315</v>
      </c>
      <c r="T37" s="2334" t="s">
        <v>1315</v>
      </c>
      <c r="U37" s="2334" t="s">
        <v>1315</v>
      </c>
      <c r="V37" s="2334" t="s">
        <v>1315</v>
      </c>
      <c r="W37" s="2334" t="s">
        <v>1315</v>
      </c>
      <c r="X37" s="2334" t="s">
        <v>1315</v>
      </c>
      <c r="Y37" s="2334" t="s">
        <v>1315</v>
      </c>
      <c r="Z37" s="2334" t="s">
        <v>1315</v>
      </c>
      <c r="AA37" s="2334" t="s">
        <v>1315</v>
      </c>
      <c r="AB37" s="2334" t="s">
        <v>1315</v>
      </c>
      <c r="AC37" s="2334" t="s">
        <v>1315</v>
      </c>
      <c r="AD37" s="2334" t="s">
        <v>1315</v>
      </c>
      <c r="AE37" s="2334" t="s">
        <v>1315</v>
      </c>
      <c r="AF37" s="2334" t="s">
        <v>1315</v>
      </c>
      <c r="AG37" s="2334" t="s">
        <v>1315</v>
      </c>
      <c r="AH37" s="2334" t="s">
        <v>1315</v>
      </c>
      <c r="AI37" s="2334" t="s">
        <v>1315</v>
      </c>
      <c r="AJ37" s="2334" t="s">
        <v>1315</v>
      </c>
      <c r="AK37" s="2334" t="s">
        <v>1315</v>
      </c>
      <c r="AL37" s="2334" t="s">
        <v>1315</v>
      </c>
      <c r="AM37" s="2334" t="s">
        <v>1315</v>
      </c>
      <c r="AO37" s="3966" t="s">
        <v>11928</v>
      </c>
      <c r="AP37" s="3864" t="s">
        <v>12614</v>
      </c>
      <c r="AQ37" s="304" t="s">
        <v>11928</v>
      </c>
      <c r="AR37" s="699"/>
      <c r="AS37" s="699"/>
      <c r="AT37" s="3619"/>
      <c r="AV37" s="4003" t="s">
        <v>11928</v>
      </c>
      <c r="AW37" s="304" t="s">
        <v>11928</v>
      </c>
      <c r="AX37" s="2334">
        <v>250</v>
      </c>
      <c r="AY37" s="2334">
        <v>180</v>
      </c>
      <c r="AZ37" s="2334" t="s">
        <v>1165</v>
      </c>
      <c r="BA37" s="2334" t="s">
        <v>6452</v>
      </c>
      <c r="BB37" s="2334" t="s">
        <v>11874</v>
      </c>
      <c r="BC37" s="2334" t="s">
        <v>6442</v>
      </c>
      <c r="BD37" s="2334" t="s">
        <v>11929</v>
      </c>
      <c r="BE37" s="2334" t="s">
        <v>1315</v>
      </c>
    </row>
    <row r="38" spans="3:57">
      <c r="C38" s="3863" t="s">
        <v>11932</v>
      </c>
      <c r="D38" s="2334">
        <v>300</v>
      </c>
      <c r="E38" s="2334">
        <v>190</v>
      </c>
      <c r="G38" s="3863" t="s">
        <v>11932</v>
      </c>
      <c r="H38" s="304" t="s">
        <v>11932</v>
      </c>
      <c r="I38" s="2334">
        <v>300</v>
      </c>
      <c r="J38" s="2334">
        <v>190</v>
      </c>
      <c r="K38" s="2334" t="s">
        <v>1165</v>
      </c>
      <c r="L38" s="2334">
        <v>220</v>
      </c>
      <c r="M38" s="2334" t="s">
        <v>11874</v>
      </c>
      <c r="N38" s="2334" t="s">
        <v>6442</v>
      </c>
      <c r="O38" s="2334" t="s">
        <v>11933</v>
      </c>
      <c r="P38" s="2334" t="s">
        <v>1315</v>
      </c>
      <c r="Q38" s="2334" t="s">
        <v>1315</v>
      </c>
      <c r="R38" s="2334" t="s">
        <v>1315</v>
      </c>
      <c r="S38" s="2334" t="s">
        <v>1315</v>
      </c>
      <c r="T38" s="2334" t="s">
        <v>1315</v>
      </c>
      <c r="U38" s="2334" t="s">
        <v>1315</v>
      </c>
      <c r="V38" s="2334" t="s">
        <v>1315</v>
      </c>
      <c r="W38" s="2334" t="s">
        <v>1315</v>
      </c>
      <c r="X38" s="2334" t="s">
        <v>1315</v>
      </c>
      <c r="Y38" s="2334" t="s">
        <v>1315</v>
      </c>
      <c r="Z38" s="2334" t="s">
        <v>1315</v>
      </c>
      <c r="AA38" s="2334" t="s">
        <v>1315</v>
      </c>
      <c r="AB38" s="2334" t="s">
        <v>1315</v>
      </c>
      <c r="AC38" s="2334" t="s">
        <v>1315</v>
      </c>
      <c r="AD38" s="2334" t="s">
        <v>1315</v>
      </c>
      <c r="AE38" s="2334" t="s">
        <v>1315</v>
      </c>
      <c r="AF38" s="2334" t="s">
        <v>1315</v>
      </c>
      <c r="AG38" s="2334" t="s">
        <v>1315</v>
      </c>
      <c r="AH38" s="2334" t="s">
        <v>1315</v>
      </c>
      <c r="AI38" s="2334" t="s">
        <v>1315</v>
      </c>
      <c r="AJ38" s="2334" t="s">
        <v>1315</v>
      </c>
      <c r="AK38" s="2334" t="s">
        <v>1315</v>
      </c>
      <c r="AL38" s="2334" t="s">
        <v>1315</v>
      </c>
      <c r="AM38" s="2334" t="s">
        <v>1315</v>
      </c>
      <c r="AO38" s="3966" t="s">
        <v>11932</v>
      </c>
      <c r="AP38" s="3864" t="s">
        <v>12615</v>
      </c>
      <c r="AQ38" s="304" t="s">
        <v>11932</v>
      </c>
      <c r="AR38" s="699"/>
      <c r="AS38" s="699"/>
      <c r="AT38" s="3619"/>
      <c r="AV38" s="4003" t="s">
        <v>11932</v>
      </c>
      <c r="AW38" s="304" t="s">
        <v>11932</v>
      </c>
      <c r="AX38" s="2334">
        <v>300</v>
      </c>
      <c r="AY38" s="2334">
        <v>190</v>
      </c>
      <c r="AZ38" s="2334" t="s">
        <v>1165</v>
      </c>
      <c r="BA38" s="2334">
        <v>220</v>
      </c>
      <c r="BB38" s="2334" t="s">
        <v>11874</v>
      </c>
      <c r="BC38" s="2334" t="s">
        <v>6442</v>
      </c>
      <c r="BD38" s="2334" t="s">
        <v>11933</v>
      </c>
      <c r="BE38" s="286" t="s">
        <v>1315</v>
      </c>
    </row>
    <row r="39" spans="3:57">
      <c r="C39" s="3863" t="s">
        <v>11937</v>
      </c>
      <c r="D39" s="2334">
        <v>350</v>
      </c>
      <c r="E39" s="2334">
        <v>200</v>
      </c>
      <c r="G39" s="3863" t="s">
        <v>11937</v>
      </c>
      <c r="H39" s="304" t="s">
        <v>11937</v>
      </c>
      <c r="I39" s="2334">
        <v>350</v>
      </c>
      <c r="J39" s="2334">
        <v>200</v>
      </c>
      <c r="K39" s="2334" t="s">
        <v>1165</v>
      </c>
      <c r="L39" s="2334" t="s">
        <v>11938</v>
      </c>
      <c r="M39" s="2334" t="s">
        <v>11874</v>
      </c>
      <c r="N39" s="3864" t="s">
        <v>11939</v>
      </c>
      <c r="O39" s="2334" t="s">
        <v>11940</v>
      </c>
      <c r="P39" s="2334" t="s">
        <v>1315</v>
      </c>
      <c r="Q39" s="2334" t="s">
        <v>1315</v>
      </c>
      <c r="R39" s="2334" t="s">
        <v>1315</v>
      </c>
      <c r="S39" s="2334" t="s">
        <v>1315</v>
      </c>
      <c r="T39" s="2334" t="s">
        <v>1315</v>
      </c>
      <c r="U39" s="2334" t="s">
        <v>1315</v>
      </c>
      <c r="V39" s="2334" t="s">
        <v>1315</v>
      </c>
      <c r="W39" s="2334" t="s">
        <v>1315</v>
      </c>
      <c r="X39" s="2334" t="s">
        <v>1315</v>
      </c>
      <c r="Y39" s="2334" t="s">
        <v>1315</v>
      </c>
      <c r="Z39" s="2334" t="s">
        <v>1315</v>
      </c>
      <c r="AA39" s="2334" t="s">
        <v>1315</v>
      </c>
      <c r="AB39" s="2334" t="s">
        <v>1315</v>
      </c>
      <c r="AC39" s="2334" t="s">
        <v>1315</v>
      </c>
      <c r="AD39" s="2334" t="s">
        <v>1315</v>
      </c>
      <c r="AE39" s="2334" t="s">
        <v>1315</v>
      </c>
      <c r="AF39" s="2334" t="s">
        <v>1315</v>
      </c>
      <c r="AG39" s="2334" t="s">
        <v>1315</v>
      </c>
      <c r="AH39" s="2334" t="s">
        <v>1315</v>
      </c>
      <c r="AI39" s="2334" t="s">
        <v>1315</v>
      </c>
      <c r="AJ39" s="2334" t="s">
        <v>1315</v>
      </c>
      <c r="AK39" s="2334" t="s">
        <v>1315</v>
      </c>
      <c r="AL39" s="2334" t="s">
        <v>1315</v>
      </c>
      <c r="AM39" s="2334" t="s">
        <v>1315</v>
      </c>
      <c r="AO39" s="3966" t="s">
        <v>11937</v>
      </c>
      <c r="AP39" s="3864" t="s">
        <v>12616</v>
      </c>
      <c r="AQ39" s="304" t="s">
        <v>11937</v>
      </c>
      <c r="AR39" s="699"/>
      <c r="AS39" s="699"/>
      <c r="AT39" s="3619"/>
      <c r="AV39" s="4003" t="s">
        <v>11937</v>
      </c>
      <c r="AW39" s="304" t="s">
        <v>11937</v>
      </c>
      <c r="AX39" s="2334">
        <v>350</v>
      </c>
      <c r="AY39" s="2334">
        <v>200</v>
      </c>
      <c r="AZ39" s="2334" t="s">
        <v>1165</v>
      </c>
      <c r="BA39" s="2334" t="s">
        <v>11938</v>
      </c>
      <c r="BB39" s="2334" t="s">
        <v>11874</v>
      </c>
      <c r="BC39" s="3864" t="s">
        <v>11939</v>
      </c>
      <c r="BD39" s="2334" t="s">
        <v>11940</v>
      </c>
      <c r="BE39" s="2334" t="s">
        <v>1315</v>
      </c>
    </row>
    <row r="40" spans="3:57">
      <c r="C40" s="3863" t="s">
        <v>11941</v>
      </c>
      <c r="D40" s="2334">
        <v>400</v>
      </c>
      <c r="E40" s="2334">
        <v>240</v>
      </c>
      <c r="G40" s="3863" t="s">
        <v>11941</v>
      </c>
      <c r="H40" s="304" t="s">
        <v>11941</v>
      </c>
      <c r="I40" s="2334">
        <v>400</v>
      </c>
      <c r="J40" s="2334">
        <v>240</v>
      </c>
      <c r="K40" s="2334" t="s">
        <v>1165</v>
      </c>
      <c r="L40" s="2334" t="s">
        <v>11874</v>
      </c>
      <c r="M40" s="2334" t="s">
        <v>11874</v>
      </c>
      <c r="N40" s="2334" t="s">
        <v>6442</v>
      </c>
      <c r="O40" s="2334" t="s">
        <v>11942</v>
      </c>
      <c r="P40" s="2334" t="s">
        <v>1315</v>
      </c>
      <c r="Q40" s="2334" t="s">
        <v>1315</v>
      </c>
      <c r="R40" s="2334" t="s">
        <v>1315</v>
      </c>
      <c r="S40" s="2334" t="s">
        <v>1315</v>
      </c>
      <c r="T40" s="2334" t="s">
        <v>1315</v>
      </c>
      <c r="U40" s="2334" t="s">
        <v>1315</v>
      </c>
      <c r="V40" s="2334" t="s">
        <v>1315</v>
      </c>
      <c r="W40" s="2334" t="s">
        <v>1315</v>
      </c>
      <c r="X40" s="2334" t="s">
        <v>1315</v>
      </c>
      <c r="Y40" s="2334" t="s">
        <v>1315</v>
      </c>
      <c r="Z40" s="2334" t="s">
        <v>1315</v>
      </c>
      <c r="AA40" s="2334" t="s">
        <v>1315</v>
      </c>
      <c r="AB40" s="2334" t="s">
        <v>1315</v>
      </c>
      <c r="AC40" s="2334" t="s">
        <v>1315</v>
      </c>
      <c r="AD40" s="2334" t="s">
        <v>1315</v>
      </c>
      <c r="AE40" s="2334" t="s">
        <v>1315</v>
      </c>
      <c r="AF40" s="2334" t="s">
        <v>1315</v>
      </c>
      <c r="AG40" s="2334" t="s">
        <v>1315</v>
      </c>
      <c r="AH40" s="2334" t="s">
        <v>1315</v>
      </c>
      <c r="AI40" s="2334" t="s">
        <v>1315</v>
      </c>
      <c r="AJ40" s="2334" t="s">
        <v>1315</v>
      </c>
      <c r="AK40" s="2334" t="s">
        <v>1315</v>
      </c>
      <c r="AL40" s="2334" t="s">
        <v>1315</v>
      </c>
      <c r="AM40" s="2334" t="s">
        <v>1315</v>
      </c>
      <c r="AO40" s="3966" t="s">
        <v>11941</v>
      </c>
      <c r="AP40" s="3864" t="s">
        <v>12617</v>
      </c>
      <c r="AQ40" s="304" t="s">
        <v>11941</v>
      </c>
      <c r="AR40" s="699"/>
      <c r="AS40" s="699"/>
      <c r="AT40" s="3619"/>
      <c r="AV40" s="4003" t="s">
        <v>11941</v>
      </c>
      <c r="AW40" s="304" t="s">
        <v>11941</v>
      </c>
      <c r="AX40" s="2334">
        <v>400</v>
      </c>
      <c r="AY40" s="2334">
        <v>240</v>
      </c>
      <c r="AZ40" s="2334" t="s">
        <v>1165</v>
      </c>
      <c r="BA40" s="2334" t="s">
        <v>11874</v>
      </c>
      <c r="BB40" s="2334" t="s">
        <v>11874</v>
      </c>
      <c r="BC40" s="2334" t="s">
        <v>6442</v>
      </c>
      <c r="BD40" s="2334" t="s">
        <v>11942</v>
      </c>
      <c r="BE40" s="286" t="s">
        <v>1315</v>
      </c>
    </row>
    <row r="41" spans="3:57">
      <c r="C41" s="3863" t="s">
        <v>11945</v>
      </c>
      <c r="D41" s="2334">
        <v>450</v>
      </c>
      <c r="E41" s="2334">
        <v>240</v>
      </c>
      <c r="G41" s="3863" t="s">
        <v>11945</v>
      </c>
      <c r="H41" s="304" t="s">
        <v>11945</v>
      </c>
      <c r="I41" s="2334">
        <v>450</v>
      </c>
      <c r="J41" s="2334">
        <v>240</v>
      </c>
      <c r="K41" s="2334" t="s">
        <v>1165</v>
      </c>
      <c r="L41" s="2334">
        <v>240</v>
      </c>
      <c r="M41" s="2334" t="s">
        <v>11874</v>
      </c>
      <c r="N41" s="2334" t="s">
        <v>6442</v>
      </c>
      <c r="O41" s="2334" t="s">
        <v>11946</v>
      </c>
      <c r="P41" s="2334" t="s">
        <v>1315</v>
      </c>
      <c r="Q41" s="2334" t="s">
        <v>1315</v>
      </c>
      <c r="R41" s="2334" t="s">
        <v>1315</v>
      </c>
      <c r="S41" s="2334" t="s">
        <v>1315</v>
      </c>
      <c r="T41" s="2334" t="s">
        <v>1315</v>
      </c>
      <c r="U41" s="2334" t="s">
        <v>1315</v>
      </c>
      <c r="V41" s="2334" t="s">
        <v>1315</v>
      </c>
      <c r="W41" s="2334" t="s">
        <v>1315</v>
      </c>
      <c r="X41" s="2334" t="s">
        <v>1315</v>
      </c>
      <c r="Y41" s="2334" t="s">
        <v>1315</v>
      </c>
      <c r="Z41" s="2334" t="s">
        <v>1315</v>
      </c>
      <c r="AA41" s="2334" t="s">
        <v>1315</v>
      </c>
      <c r="AB41" s="2334" t="s">
        <v>1315</v>
      </c>
      <c r="AC41" s="2334" t="s">
        <v>1315</v>
      </c>
      <c r="AD41" s="2334" t="s">
        <v>1315</v>
      </c>
      <c r="AE41" s="2334" t="s">
        <v>1315</v>
      </c>
      <c r="AF41" s="2334" t="s">
        <v>1315</v>
      </c>
      <c r="AG41" s="2334" t="s">
        <v>1315</v>
      </c>
      <c r="AH41" s="2334" t="s">
        <v>1315</v>
      </c>
      <c r="AI41" s="2334" t="s">
        <v>1315</v>
      </c>
      <c r="AJ41" s="2334" t="s">
        <v>1315</v>
      </c>
      <c r="AK41" s="2334" t="s">
        <v>1315</v>
      </c>
      <c r="AL41" s="2334" t="s">
        <v>1315</v>
      </c>
      <c r="AM41" s="2334" t="s">
        <v>1315</v>
      </c>
      <c r="AO41" s="3966" t="s">
        <v>11945</v>
      </c>
      <c r="AP41" s="3864" t="s">
        <v>12618</v>
      </c>
      <c r="AQ41" s="304" t="s">
        <v>11945</v>
      </c>
      <c r="AR41" s="699"/>
      <c r="AS41" s="699"/>
      <c r="AT41" s="3619"/>
      <c r="AV41" s="4003" t="s">
        <v>11945</v>
      </c>
      <c r="AW41" s="304" t="s">
        <v>11945</v>
      </c>
      <c r="AX41" s="2334">
        <v>450</v>
      </c>
      <c r="AY41" s="2334">
        <v>240</v>
      </c>
      <c r="AZ41" s="2334" t="s">
        <v>1165</v>
      </c>
      <c r="BA41" s="2334">
        <v>240</v>
      </c>
      <c r="BB41" s="2334" t="s">
        <v>11874</v>
      </c>
      <c r="BC41" s="2334" t="s">
        <v>6442</v>
      </c>
      <c r="BD41" s="2334" t="s">
        <v>11946</v>
      </c>
      <c r="BE41" s="2334" t="s">
        <v>1315</v>
      </c>
    </row>
    <row r="42" spans="3:57">
      <c r="C42" s="3863" t="s">
        <v>11949</v>
      </c>
      <c r="D42" s="2334">
        <v>500</v>
      </c>
      <c r="E42" s="2334">
        <v>260</v>
      </c>
      <c r="G42" s="3863" t="s">
        <v>11949</v>
      </c>
      <c r="H42" s="304" t="s">
        <v>11949</v>
      </c>
      <c r="I42" s="2334">
        <v>500</v>
      </c>
      <c r="J42" s="2334">
        <v>260</v>
      </c>
      <c r="K42" s="2334" t="s">
        <v>1165</v>
      </c>
      <c r="L42" s="2334">
        <v>240</v>
      </c>
      <c r="M42" s="2334" t="s">
        <v>11874</v>
      </c>
      <c r="N42" s="2334" t="s">
        <v>11950</v>
      </c>
      <c r="O42" s="2334" t="s">
        <v>11951</v>
      </c>
      <c r="P42" s="2334" t="s">
        <v>1315</v>
      </c>
      <c r="Q42" s="2334" t="s">
        <v>1315</v>
      </c>
      <c r="R42" s="2334" t="s">
        <v>1315</v>
      </c>
      <c r="S42" s="2334" t="s">
        <v>1315</v>
      </c>
      <c r="T42" s="2334" t="s">
        <v>1315</v>
      </c>
      <c r="U42" s="2334" t="s">
        <v>1315</v>
      </c>
      <c r="V42" s="2334" t="s">
        <v>1315</v>
      </c>
      <c r="W42" s="2334" t="s">
        <v>1315</v>
      </c>
      <c r="X42" s="2334" t="s">
        <v>1315</v>
      </c>
      <c r="Y42" s="2334" t="s">
        <v>1315</v>
      </c>
      <c r="Z42" s="2334" t="s">
        <v>1315</v>
      </c>
      <c r="AA42" s="2334" t="s">
        <v>1315</v>
      </c>
      <c r="AB42" s="2334" t="s">
        <v>1315</v>
      </c>
      <c r="AC42" s="2334" t="s">
        <v>1315</v>
      </c>
      <c r="AD42" s="2334" t="s">
        <v>1315</v>
      </c>
      <c r="AE42" s="2334" t="s">
        <v>1315</v>
      </c>
      <c r="AF42" s="2334" t="s">
        <v>1315</v>
      </c>
      <c r="AG42" s="2334" t="s">
        <v>1315</v>
      </c>
      <c r="AH42" s="2334" t="s">
        <v>1315</v>
      </c>
      <c r="AI42" s="2334" t="s">
        <v>1315</v>
      </c>
      <c r="AJ42" s="2334" t="s">
        <v>1315</v>
      </c>
      <c r="AK42" s="2334" t="s">
        <v>1315</v>
      </c>
      <c r="AL42" s="2334" t="s">
        <v>1315</v>
      </c>
      <c r="AM42" s="2334" t="s">
        <v>1315</v>
      </c>
      <c r="AO42" s="3966" t="s">
        <v>11949</v>
      </c>
      <c r="AP42" s="3864" t="s">
        <v>12619</v>
      </c>
      <c r="AQ42" s="304" t="s">
        <v>11949</v>
      </c>
      <c r="AR42" s="699"/>
      <c r="AS42" s="699"/>
      <c r="AT42" s="3619"/>
      <c r="AV42" s="4003" t="s">
        <v>11949</v>
      </c>
      <c r="AW42" s="304" t="s">
        <v>11949</v>
      </c>
      <c r="AX42" s="2334">
        <v>500</v>
      </c>
      <c r="AY42" s="2334">
        <v>260</v>
      </c>
      <c r="AZ42" s="2334" t="s">
        <v>1165</v>
      </c>
      <c r="BA42" s="2334">
        <v>240</v>
      </c>
      <c r="BB42" s="2334" t="s">
        <v>11874</v>
      </c>
      <c r="BC42" s="2334" t="s">
        <v>11950</v>
      </c>
      <c r="BD42" s="2334" t="s">
        <v>11951</v>
      </c>
      <c r="BE42" s="286" t="s">
        <v>1315</v>
      </c>
    </row>
    <row r="43" spans="3:57">
      <c r="C43" s="3863" t="s">
        <v>11952</v>
      </c>
      <c r="D43" s="2334">
        <v>550</v>
      </c>
      <c r="E43" s="2334">
        <v>280</v>
      </c>
      <c r="G43" s="3863" t="s">
        <v>11952</v>
      </c>
      <c r="H43" s="304" t="s">
        <v>11952</v>
      </c>
      <c r="I43" s="2334">
        <v>550</v>
      </c>
      <c r="J43" s="2334">
        <v>280</v>
      </c>
      <c r="K43" s="2334" t="s">
        <v>1165</v>
      </c>
      <c r="L43" s="2334">
        <v>260</v>
      </c>
      <c r="M43" s="2334" t="s">
        <v>11874</v>
      </c>
      <c r="N43" s="2334" t="s">
        <v>6442</v>
      </c>
      <c r="O43" s="2334" t="s">
        <v>11953</v>
      </c>
      <c r="P43" s="2334" t="s">
        <v>1315</v>
      </c>
      <c r="Q43" s="2334" t="s">
        <v>1315</v>
      </c>
      <c r="R43" s="2334" t="s">
        <v>1315</v>
      </c>
      <c r="S43" s="2334" t="s">
        <v>1315</v>
      </c>
      <c r="T43" s="2334" t="s">
        <v>1315</v>
      </c>
      <c r="U43" s="2334" t="s">
        <v>1315</v>
      </c>
      <c r="V43" s="2334" t="s">
        <v>1315</v>
      </c>
      <c r="W43" s="2334" t="s">
        <v>1315</v>
      </c>
      <c r="X43" s="2334" t="s">
        <v>1315</v>
      </c>
      <c r="Y43" s="2334" t="s">
        <v>1315</v>
      </c>
      <c r="Z43" s="2334" t="s">
        <v>1315</v>
      </c>
      <c r="AA43" s="2334" t="s">
        <v>1315</v>
      </c>
      <c r="AB43" s="2334" t="s">
        <v>1315</v>
      </c>
      <c r="AC43" s="2334" t="s">
        <v>1315</v>
      </c>
      <c r="AD43" s="2334" t="s">
        <v>1315</v>
      </c>
      <c r="AE43" s="2334" t="s">
        <v>1315</v>
      </c>
      <c r="AF43" s="2334" t="s">
        <v>1315</v>
      </c>
      <c r="AG43" s="2334" t="s">
        <v>1315</v>
      </c>
      <c r="AH43" s="2334" t="s">
        <v>1315</v>
      </c>
      <c r="AI43" s="2334" t="s">
        <v>1315</v>
      </c>
      <c r="AJ43" s="2334" t="s">
        <v>1315</v>
      </c>
      <c r="AK43" s="2334" t="s">
        <v>1315</v>
      </c>
      <c r="AL43" s="2334" t="s">
        <v>1315</v>
      </c>
      <c r="AM43" s="2334" t="s">
        <v>1315</v>
      </c>
      <c r="AO43" s="3966" t="s">
        <v>11952</v>
      </c>
      <c r="AP43" s="3864" t="s">
        <v>12620</v>
      </c>
      <c r="AQ43" s="304" t="s">
        <v>11952</v>
      </c>
      <c r="AR43" s="699"/>
      <c r="AS43" s="699"/>
      <c r="AT43" s="3619"/>
      <c r="AV43" s="4003" t="s">
        <v>11952</v>
      </c>
      <c r="AW43" s="304" t="s">
        <v>11952</v>
      </c>
      <c r="AX43" s="2334">
        <v>550</v>
      </c>
      <c r="AY43" s="2334">
        <v>280</v>
      </c>
      <c r="AZ43" s="2334" t="s">
        <v>1165</v>
      </c>
      <c r="BA43" s="2334">
        <v>260</v>
      </c>
      <c r="BB43" s="2334" t="s">
        <v>11874</v>
      </c>
      <c r="BC43" s="2334" t="s">
        <v>6442</v>
      </c>
      <c r="BD43" s="2334" t="s">
        <v>11953</v>
      </c>
      <c r="BE43" s="2334" t="s">
        <v>1315</v>
      </c>
    </row>
    <row r="44" spans="3:57">
      <c r="C44" s="3863" t="s">
        <v>11954</v>
      </c>
      <c r="D44" s="2334">
        <v>600</v>
      </c>
      <c r="E44" s="2334">
        <v>300</v>
      </c>
      <c r="G44" s="3863" t="s">
        <v>11954</v>
      </c>
      <c r="H44" s="304" t="s">
        <v>11954</v>
      </c>
      <c r="I44" s="2334">
        <v>600</v>
      </c>
      <c r="J44" s="2334">
        <v>300</v>
      </c>
      <c r="K44" s="2334" t="s">
        <v>1165</v>
      </c>
      <c r="L44" s="2334" t="s">
        <v>11892</v>
      </c>
      <c r="M44" s="2334" t="s">
        <v>11874</v>
      </c>
      <c r="N44" s="2334" t="s">
        <v>6442</v>
      </c>
      <c r="O44" s="2334" t="s">
        <v>11955</v>
      </c>
      <c r="P44" s="2334" t="s">
        <v>1315</v>
      </c>
      <c r="Q44" s="2334" t="s">
        <v>1315</v>
      </c>
      <c r="R44" s="2334" t="s">
        <v>1315</v>
      </c>
      <c r="S44" s="2334" t="s">
        <v>1315</v>
      </c>
      <c r="T44" s="2334" t="s">
        <v>1315</v>
      </c>
      <c r="U44" s="2334" t="s">
        <v>1315</v>
      </c>
      <c r="V44" s="2334" t="s">
        <v>1315</v>
      </c>
      <c r="W44" s="2334" t="s">
        <v>1315</v>
      </c>
      <c r="X44" s="2334" t="s">
        <v>1315</v>
      </c>
      <c r="Y44" s="2334" t="s">
        <v>1315</v>
      </c>
      <c r="Z44" s="2334" t="s">
        <v>1315</v>
      </c>
      <c r="AA44" s="2334" t="s">
        <v>1315</v>
      </c>
      <c r="AB44" s="2334" t="s">
        <v>1315</v>
      </c>
      <c r="AC44" s="2334" t="s">
        <v>1315</v>
      </c>
      <c r="AD44" s="2334" t="s">
        <v>1315</v>
      </c>
      <c r="AE44" s="2334" t="s">
        <v>1315</v>
      </c>
      <c r="AF44" s="2334" t="s">
        <v>1315</v>
      </c>
      <c r="AG44" s="2334" t="s">
        <v>1315</v>
      </c>
      <c r="AH44" s="2334" t="s">
        <v>1315</v>
      </c>
      <c r="AI44" s="2334" t="s">
        <v>1315</v>
      </c>
      <c r="AJ44" s="2334" t="s">
        <v>1315</v>
      </c>
      <c r="AK44" s="2334" t="s">
        <v>1315</v>
      </c>
      <c r="AL44" s="2334" t="s">
        <v>1315</v>
      </c>
      <c r="AM44" s="2334" t="s">
        <v>1315</v>
      </c>
      <c r="AO44" s="3966" t="s">
        <v>11954</v>
      </c>
      <c r="AP44" s="3864" t="s">
        <v>12621</v>
      </c>
      <c r="AQ44" s="304" t="s">
        <v>11954</v>
      </c>
      <c r="AR44" s="699"/>
      <c r="AS44" s="699"/>
      <c r="AT44" s="3619"/>
      <c r="AV44" s="4003" t="s">
        <v>11954</v>
      </c>
      <c r="AW44" s="304" t="s">
        <v>11954</v>
      </c>
      <c r="AX44" s="2334">
        <v>600</v>
      </c>
      <c r="AY44" s="2334">
        <v>300</v>
      </c>
      <c r="AZ44" s="2334" t="s">
        <v>1165</v>
      </c>
      <c r="BA44" s="2334" t="s">
        <v>11892</v>
      </c>
      <c r="BB44" s="2334" t="s">
        <v>11874</v>
      </c>
      <c r="BC44" s="2334" t="s">
        <v>6442</v>
      </c>
      <c r="BD44" s="2334" t="s">
        <v>11955</v>
      </c>
      <c r="BE44" s="286" t="s">
        <v>1315</v>
      </c>
    </row>
    <row r="45" spans="3:57">
      <c r="C45" s="3863" t="s">
        <v>11956</v>
      </c>
      <c r="D45" s="2334">
        <v>650</v>
      </c>
      <c r="E45" s="2334">
        <v>320</v>
      </c>
      <c r="G45" s="3863" t="s">
        <v>11956</v>
      </c>
      <c r="H45" s="304" t="s">
        <v>11956</v>
      </c>
      <c r="I45" s="2334">
        <v>650</v>
      </c>
      <c r="J45" s="2334">
        <v>320</v>
      </c>
      <c r="K45" s="2334" t="s">
        <v>1165</v>
      </c>
      <c r="L45" s="2334" t="s">
        <v>11874</v>
      </c>
      <c r="M45" s="2334">
        <v>280</v>
      </c>
      <c r="N45" s="3864" t="s">
        <v>11957</v>
      </c>
      <c r="O45" s="2334" t="s">
        <v>11958</v>
      </c>
      <c r="P45" s="2334" t="s">
        <v>1315</v>
      </c>
      <c r="Q45" s="2334" t="s">
        <v>1315</v>
      </c>
      <c r="R45" s="2334" t="s">
        <v>1315</v>
      </c>
      <c r="S45" s="2334" t="s">
        <v>1315</v>
      </c>
      <c r="T45" s="2334" t="s">
        <v>1315</v>
      </c>
      <c r="U45" s="2334" t="s">
        <v>1315</v>
      </c>
      <c r="V45" s="2334" t="s">
        <v>1315</v>
      </c>
      <c r="W45" s="2334" t="s">
        <v>1315</v>
      </c>
      <c r="X45" s="2334" t="s">
        <v>1315</v>
      </c>
      <c r="Y45" s="2334" t="s">
        <v>1315</v>
      </c>
      <c r="Z45" s="2334" t="s">
        <v>1315</v>
      </c>
      <c r="AA45" s="2334" t="s">
        <v>1315</v>
      </c>
      <c r="AB45" s="2334" t="s">
        <v>1315</v>
      </c>
      <c r="AC45" s="2334" t="s">
        <v>1315</v>
      </c>
      <c r="AD45" s="2334" t="s">
        <v>1315</v>
      </c>
      <c r="AE45" s="2334" t="s">
        <v>1315</v>
      </c>
      <c r="AF45" s="2334" t="s">
        <v>1315</v>
      </c>
      <c r="AG45" s="2334" t="s">
        <v>1315</v>
      </c>
      <c r="AH45" s="2334" t="s">
        <v>1315</v>
      </c>
      <c r="AI45" s="2334" t="s">
        <v>1315</v>
      </c>
      <c r="AJ45" s="2334" t="s">
        <v>1315</v>
      </c>
      <c r="AK45" s="2334" t="s">
        <v>1315</v>
      </c>
      <c r="AL45" s="2334" t="s">
        <v>1315</v>
      </c>
      <c r="AM45" s="2334" t="s">
        <v>1315</v>
      </c>
      <c r="AO45" s="3966" t="s">
        <v>11956</v>
      </c>
      <c r="AP45" s="3864" t="s">
        <v>12622</v>
      </c>
      <c r="AQ45" s="304" t="s">
        <v>11956</v>
      </c>
      <c r="AR45" s="699"/>
      <c r="AS45" s="699"/>
      <c r="AT45" s="3619"/>
      <c r="AV45" s="4003" t="s">
        <v>11956</v>
      </c>
      <c r="AW45" s="304" t="s">
        <v>11956</v>
      </c>
      <c r="AX45" s="2334">
        <v>650</v>
      </c>
      <c r="AY45" s="2334">
        <v>320</v>
      </c>
      <c r="AZ45" s="2334" t="s">
        <v>1165</v>
      </c>
      <c r="BA45" s="2334" t="s">
        <v>11874</v>
      </c>
      <c r="BB45" s="2334">
        <v>280</v>
      </c>
      <c r="BC45" s="3864" t="s">
        <v>11957</v>
      </c>
      <c r="BD45" s="2334" t="s">
        <v>11958</v>
      </c>
      <c r="BE45" s="2334" t="s">
        <v>1315</v>
      </c>
    </row>
    <row r="46" spans="3:57">
      <c r="C46" s="3863" t="s">
        <v>11959</v>
      </c>
      <c r="D46" s="2334">
        <v>700</v>
      </c>
      <c r="E46" s="2334">
        <v>340</v>
      </c>
      <c r="G46" s="3863" t="s">
        <v>11959</v>
      </c>
      <c r="H46" s="304" t="s">
        <v>11959</v>
      </c>
      <c r="I46" s="2334">
        <v>700</v>
      </c>
      <c r="J46" s="2334">
        <v>340</v>
      </c>
      <c r="K46" s="2334" t="s">
        <v>1165</v>
      </c>
      <c r="L46" s="2334">
        <v>300</v>
      </c>
      <c r="M46" s="2334" t="s">
        <v>11874</v>
      </c>
      <c r="N46" s="2334" t="s">
        <v>11960</v>
      </c>
      <c r="O46" s="2334" t="s">
        <v>11961</v>
      </c>
      <c r="P46" s="2334" t="s">
        <v>1315</v>
      </c>
      <c r="Q46" s="2334" t="s">
        <v>1315</v>
      </c>
      <c r="R46" s="2334" t="s">
        <v>1315</v>
      </c>
      <c r="S46" s="2334" t="s">
        <v>1315</v>
      </c>
      <c r="T46" s="2334" t="s">
        <v>1315</v>
      </c>
      <c r="U46" s="2334" t="s">
        <v>1315</v>
      </c>
      <c r="V46" s="2334" t="s">
        <v>1315</v>
      </c>
      <c r="W46" s="2334" t="s">
        <v>1315</v>
      </c>
      <c r="X46" s="2334" t="s">
        <v>1315</v>
      </c>
      <c r="Y46" s="2334" t="s">
        <v>1315</v>
      </c>
      <c r="Z46" s="2334" t="s">
        <v>1315</v>
      </c>
      <c r="AA46" s="2334" t="s">
        <v>1315</v>
      </c>
      <c r="AB46" s="2334" t="s">
        <v>1315</v>
      </c>
      <c r="AC46" s="2334" t="s">
        <v>1315</v>
      </c>
      <c r="AD46" s="2334" t="s">
        <v>1315</v>
      </c>
      <c r="AE46" s="2334" t="s">
        <v>1315</v>
      </c>
      <c r="AF46" s="2334" t="s">
        <v>1315</v>
      </c>
      <c r="AG46" s="2334" t="s">
        <v>1315</v>
      </c>
      <c r="AH46" s="2334" t="s">
        <v>1315</v>
      </c>
      <c r="AI46" s="2334" t="s">
        <v>1315</v>
      </c>
      <c r="AJ46" s="2334" t="s">
        <v>1315</v>
      </c>
      <c r="AK46" s="2334" t="s">
        <v>1315</v>
      </c>
      <c r="AL46" s="2334" t="s">
        <v>1315</v>
      </c>
      <c r="AM46" s="2334" t="s">
        <v>1315</v>
      </c>
      <c r="AO46" s="3966" t="s">
        <v>11959</v>
      </c>
      <c r="AP46" s="3864" t="s">
        <v>12623</v>
      </c>
      <c r="AQ46" s="304" t="s">
        <v>11959</v>
      </c>
      <c r="AR46" s="699"/>
      <c r="AS46" s="699"/>
      <c r="AT46" s="3619"/>
      <c r="AV46" s="4003" t="s">
        <v>11959</v>
      </c>
      <c r="AW46" s="304" t="s">
        <v>11959</v>
      </c>
      <c r="AX46" s="2334">
        <v>700</v>
      </c>
      <c r="AY46" s="2334">
        <v>340</v>
      </c>
      <c r="AZ46" s="2334" t="s">
        <v>1165</v>
      </c>
      <c r="BA46" s="2334">
        <v>300</v>
      </c>
      <c r="BB46" s="2334" t="s">
        <v>11874</v>
      </c>
      <c r="BC46" s="2334" t="s">
        <v>11960</v>
      </c>
      <c r="BD46" s="2334" t="s">
        <v>11961</v>
      </c>
      <c r="BE46" s="286" t="s">
        <v>1315</v>
      </c>
    </row>
    <row r="47" spans="3:57">
      <c r="C47" s="3863" t="s">
        <v>11962</v>
      </c>
      <c r="D47" s="2334">
        <v>750</v>
      </c>
      <c r="E47" s="2334">
        <v>340</v>
      </c>
      <c r="G47" s="3863" t="s">
        <v>11962</v>
      </c>
      <c r="H47" s="304" t="s">
        <v>11962</v>
      </c>
      <c r="I47" s="2334">
        <v>750</v>
      </c>
      <c r="J47" s="2334">
        <v>340</v>
      </c>
      <c r="K47" s="2334" t="s">
        <v>1165</v>
      </c>
      <c r="L47" s="2334">
        <v>300</v>
      </c>
      <c r="M47" s="2334" t="s">
        <v>11874</v>
      </c>
      <c r="N47" s="2334" t="s">
        <v>6442</v>
      </c>
      <c r="O47" s="2334" t="s">
        <v>11963</v>
      </c>
      <c r="P47" s="2334" t="s">
        <v>1315</v>
      </c>
      <c r="Q47" s="2334" t="s">
        <v>1315</v>
      </c>
      <c r="R47" s="2334" t="s">
        <v>1315</v>
      </c>
      <c r="S47" s="2334" t="s">
        <v>1315</v>
      </c>
      <c r="T47" s="2334" t="s">
        <v>1315</v>
      </c>
      <c r="U47" s="2334" t="s">
        <v>1315</v>
      </c>
      <c r="V47" s="2334" t="s">
        <v>1315</v>
      </c>
      <c r="W47" s="2334" t="s">
        <v>1315</v>
      </c>
      <c r="X47" s="2334" t="s">
        <v>1315</v>
      </c>
      <c r="Y47" s="2334" t="s">
        <v>1315</v>
      </c>
      <c r="Z47" s="2334" t="s">
        <v>1315</v>
      </c>
      <c r="AA47" s="2334" t="s">
        <v>1315</v>
      </c>
      <c r="AB47" s="2334" t="s">
        <v>1315</v>
      </c>
      <c r="AC47" s="2334" t="s">
        <v>1315</v>
      </c>
      <c r="AD47" s="2334" t="s">
        <v>1315</v>
      </c>
      <c r="AE47" s="2334" t="s">
        <v>1315</v>
      </c>
      <c r="AF47" s="2334" t="s">
        <v>1315</v>
      </c>
      <c r="AG47" s="2334" t="s">
        <v>1315</v>
      </c>
      <c r="AH47" s="2334" t="s">
        <v>1315</v>
      </c>
      <c r="AI47" s="2334" t="s">
        <v>1315</v>
      </c>
      <c r="AJ47" s="2334" t="s">
        <v>1315</v>
      </c>
      <c r="AK47" s="2334" t="s">
        <v>1315</v>
      </c>
      <c r="AL47" s="2334" t="s">
        <v>1315</v>
      </c>
      <c r="AM47" s="2334" t="s">
        <v>1315</v>
      </c>
      <c r="AO47" s="3966" t="s">
        <v>11962</v>
      </c>
      <c r="AP47" s="3864" t="s">
        <v>12624</v>
      </c>
      <c r="AQ47" s="304" t="s">
        <v>11962</v>
      </c>
      <c r="AR47" s="699"/>
      <c r="AS47" s="699"/>
      <c r="AT47" s="3619"/>
      <c r="AV47" s="4003" t="s">
        <v>11962</v>
      </c>
      <c r="AW47" s="304" t="s">
        <v>11962</v>
      </c>
      <c r="AX47" s="2334">
        <v>750</v>
      </c>
      <c r="AY47" s="2334">
        <v>340</v>
      </c>
      <c r="AZ47" s="2334" t="s">
        <v>1165</v>
      </c>
      <c r="BA47" s="2334">
        <v>300</v>
      </c>
      <c r="BB47" s="2334" t="s">
        <v>11874</v>
      </c>
      <c r="BC47" s="2334" t="s">
        <v>6442</v>
      </c>
      <c r="BD47" s="2334" t="s">
        <v>11963</v>
      </c>
      <c r="BE47" s="2334" t="s">
        <v>1315</v>
      </c>
    </row>
    <row r="48" spans="3:57">
      <c r="C48" s="3863" t="s">
        <v>11964</v>
      </c>
      <c r="D48" s="2334">
        <v>800</v>
      </c>
      <c r="E48" s="2334">
        <v>380</v>
      </c>
      <c r="G48" s="3863" t="s">
        <v>11964</v>
      </c>
      <c r="H48" s="304" t="s">
        <v>11964</v>
      </c>
      <c r="I48" s="2334">
        <v>800</v>
      </c>
      <c r="J48" s="2334">
        <v>380</v>
      </c>
      <c r="K48" s="2334" t="s">
        <v>1165</v>
      </c>
      <c r="L48" s="2334">
        <v>320</v>
      </c>
      <c r="M48" s="2334" t="s">
        <v>11874</v>
      </c>
      <c r="N48" s="2334" t="s">
        <v>11902</v>
      </c>
      <c r="O48" s="2334" t="s">
        <v>11965</v>
      </c>
      <c r="P48" s="2334" t="s">
        <v>1315</v>
      </c>
      <c r="Q48" s="2334" t="s">
        <v>1315</v>
      </c>
      <c r="R48" s="2334" t="s">
        <v>1315</v>
      </c>
      <c r="S48" s="2334" t="s">
        <v>1315</v>
      </c>
      <c r="T48" s="2334" t="s">
        <v>1315</v>
      </c>
      <c r="U48" s="2334" t="s">
        <v>1315</v>
      </c>
      <c r="V48" s="2334" t="s">
        <v>1315</v>
      </c>
      <c r="W48" s="2334" t="s">
        <v>1315</v>
      </c>
      <c r="X48" s="2334" t="s">
        <v>1315</v>
      </c>
      <c r="Y48" s="2334" t="s">
        <v>1315</v>
      </c>
      <c r="Z48" s="2334" t="s">
        <v>1315</v>
      </c>
      <c r="AA48" s="2334" t="s">
        <v>1315</v>
      </c>
      <c r="AB48" s="2334" t="s">
        <v>1315</v>
      </c>
      <c r="AC48" s="2334" t="s">
        <v>1315</v>
      </c>
      <c r="AD48" s="2334" t="s">
        <v>1315</v>
      </c>
      <c r="AE48" s="2334" t="s">
        <v>1315</v>
      </c>
      <c r="AF48" s="2334" t="s">
        <v>1315</v>
      </c>
      <c r="AG48" s="2334" t="s">
        <v>1315</v>
      </c>
      <c r="AH48" s="2334" t="s">
        <v>1315</v>
      </c>
      <c r="AI48" s="2334" t="s">
        <v>1315</v>
      </c>
      <c r="AJ48" s="2334" t="s">
        <v>1315</v>
      </c>
      <c r="AK48" s="2334" t="s">
        <v>1315</v>
      </c>
      <c r="AL48" s="2334" t="s">
        <v>1315</v>
      </c>
      <c r="AM48" s="2334" t="s">
        <v>1315</v>
      </c>
      <c r="AO48" s="3966" t="s">
        <v>11964</v>
      </c>
      <c r="AP48" s="3864" t="s">
        <v>12625</v>
      </c>
      <c r="AQ48" s="304" t="s">
        <v>11964</v>
      </c>
      <c r="AR48" s="699"/>
      <c r="AS48" s="699"/>
      <c r="AT48" s="3619"/>
      <c r="AV48" s="4003" t="s">
        <v>11964</v>
      </c>
      <c r="AW48" s="304" t="s">
        <v>11964</v>
      </c>
      <c r="AX48" s="2334">
        <v>800</v>
      </c>
      <c r="AY48" s="2334">
        <v>380</v>
      </c>
      <c r="AZ48" s="2334" t="s">
        <v>1165</v>
      </c>
      <c r="BA48" s="2334">
        <v>320</v>
      </c>
      <c r="BB48" s="2334" t="s">
        <v>11874</v>
      </c>
      <c r="BC48" s="2334" t="s">
        <v>11902</v>
      </c>
      <c r="BD48" s="2334" t="s">
        <v>11965</v>
      </c>
      <c r="BE48" s="286" t="s">
        <v>1315</v>
      </c>
    </row>
    <row r="49" spans="3:57">
      <c r="C49" s="3863" t="s">
        <v>11966</v>
      </c>
      <c r="D49" s="2334">
        <v>850</v>
      </c>
      <c r="E49" s="2334">
        <v>400</v>
      </c>
      <c r="G49" s="3863" t="s">
        <v>11966</v>
      </c>
      <c r="H49" s="304" t="s">
        <v>11966</v>
      </c>
      <c r="I49" s="2334">
        <v>850</v>
      </c>
      <c r="J49" s="2334">
        <v>400</v>
      </c>
      <c r="K49" s="2334" t="s">
        <v>1166</v>
      </c>
      <c r="L49" s="2334" t="s">
        <v>11874</v>
      </c>
      <c r="M49" s="2334">
        <v>350</v>
      </c>
      <c r="N49" s="2334" t="s">
        <v>11879</v>
      </c>
      <c r="O49" s="2334" t="s">
        <v>11967</v>
      </c>
      <c r="P49" s="2334" t="s">
        <v>1315</v>
      </c>
      <c r="Q49" s="2334" t="s">
        <v>1315</v>
      </c>
      <c r="R49" s="2334" t="s">
        <v>1315</v>
      </c>
      <c r="S49" s="2334" t="s">
        <v>1315</v>
      </c>
      <c r="T49" s="2334" t="s">
        <v>1315</v>
      </c>
      <c r="U49" s="2334" t="s">
        <v>1315</v>
      </c>
      <c r="V49" s="2334" t="s">
        <v>1315</v>
      </c>
      <c r="W49" s="2334" t="s">
        <v>1315</v>
      </c>
      <c r="X49" s="2334" t="s">
        <v>1315</v>
      </c>
      <c r="Y49" s="2334" t="s">
        <v>1315</v>
      </c>
      <c r="Z49" s="2334" t="s">
        <v>1315</v>
      </c>
      <c r="AA49" s="2334" t="s">
        <v>1315</v>
      </c>
      <c r="AB49" s="2334" t="s">
        <v>1315</v>
      </c>
      <c r="AC49" s="2334" t="s">
        <v>1315</v>
      </c>
      <c r="AD49" s="2334" t="s">
        <v>1315</v>
      </c>
      <c r="AE49" s="2334" t="s">
        <v>1315</v>
      </c>
      <c r="AF49" s="2334" t="s">
        <v>1315</v>
      </c>
      <c r="AG49" s="2334" t="s">
        <v>1315</v>
      </c>
      <c r="AH49" s="2334" t="s">
        <v>1315</v>
      </c>
      <c r="AI49" s="2334" t="s">
        <v>1315</v>
      </c>
      <c r="AJ49" s="2334" t="s">
        <v>1315</v>
      </c>
      <c r="AK49" s="2334" t="s">
        <v>1315</v>
      </c>
      <c r="AL49" s="2334" t="s">
        <v>1315</v>
      </c>
      <c r="AM49" s="2334" t="s">
        <v>1315</v>
      </c>
      <c r="AO49" s="3966" t="s">
        <v>11966</v>
      </c>
      <c r="AP49" s="3864" t="s">
        <v>12626</v>
      </c>
      <c r="AQ49" s="304" t="s">
        <v>11966</v>
      </c>
      <c r="AR49" s="699"/>
      <c r="AS49" s="699"/>
      <c r="AT49" s="3619"/>
      <c r="AV49" s="4003" t="s">
        <v>11966</v>
      </c>
      <c r="AW49" s="304" t="s">
        <v>11966</v>
      </c>
      <c r="AX49" s="2334">
        <v>850</v>
      </c>
      <c r="AY49" s="2334">
        <v>400</v>
      </c>
      <c r="AZ49" s="2334" t="s">
        <v>1166</v>
      </c>
      <c r="BA49" s="2334" t="s">
        <v>11874</v>
      </c>
      <c r="BB49" s="2334">
        <v>350</v>
      </c>
      <c r="BC49" s="2334" t="s">
        <v>11879</v>
      </c>
      <c r="BD49" s="2334" t="s">
        <v>11967</v>
      </c>
      <c r="BE49" s="2334" t="s">
        <v>1315</v>
      </c>
    </row>
    <row r="50" spans="3:57">
      <c r="C50" s="3863" t="s">
        <v>11968</v>
      </c>
      <c r="D50" s="2334">
        <v>900</v>
      </c>
      <c r="E50" s="2334">
        <v>420</v>
      </c>
      <c r="G50" s="3863" t="s">
        <v>11968</v>
      </c>
      <c r="H50" s="304" t="s">
        <v>11968</v>
      </c>
      <c r="I50" s="2334">
        <v>900</v>
      </c>
      <c r="J50" s="2334">
        <v>420</v>
      </c>
      <c r="K50" s="2334" t="s">
        <v>1165</v>
      </c>
      <c r="L50" s="2334">
        <v>350</v>
      </c>
      <c r="M50" s="2334" t="s">
        <v>11874</v>
      </c>
      <c r="N50" s="2334" t="s">
        <v>6442</v>
      </c>
      <c r="O50" s="2334" t="s">
        <v>11969</v>
      </c>
      <c r="P50" s="2334" t="s">
        <v>1315</v>
      </c>
      <c r="Q50" s="2334" t="s">
        <v>1315</v>
      </c>
      <c r="R50" s="2334" t="s">
        <v>1315</v>
      </c>
      <c r="S50" s="2334" t="s">
        <v>1315</v>
      </c>
      <c r="T50" s="2334" t="s">
        <v>1315</v>
      </c>
      <c r="U50" s="2334" t="s">
        <v>1315</v>
      </c>
      <c r="V50" s="2334" t="s">
        <v>1315</v>
      </c>
      <c r="W50" s="2334" t="s">
        <v>1315</v>
      </c>
      <c r="X50" s="2334" t="s">
        <v>1315</v>
      </c>
      <c r="Y50" s="2334" t="s">
        <v>1315</v>
      </c>
      <c r="Z50" s="2334" t="s">
        <v>1315</v>
      </c>
      <c r="AA50" s="2334" t="s">
        <v>1315</v>
      </c>
      <c r="AB50" s="2334" t="s">
        <v>1315</v>
      </c>
      <c r="AC50" s="2334" t="s">
        <v>1315</v>
      </c>
      <c r="AD50" s="2334" t="s">
        <v>1315</v>
      </c>
      <c r="AE50" s="2334" t="s">
        <v>1315</v>
      </c>
      <c r="AF50" s="2334" t="s">
        <v>1315</v>
      </c>
      <c r="AG50" s="2334" t="s">
        <v>1315</v>
      </c>
      <c r="AH50" s="2334" t="s">
        <v>1315</v>
      </c>
      <c r="AI50" s="2334" t="s">
        <v>1315</v>
      </c>
      <c r="AJ50" s="2334" t="s">
        <v>1315</v>
      </c>
      <c r="AK50" s="2334" t="s">
        <v>1315</v>
      </c>
      <c r="AL50" s="2334" t="s">
        <v>1315</v>
      </c>
      <c r="AM50" s="2334" t="s">
        <v>1315</v>
      </c>
      <c r="AO50" s="3966" t="s">
        <v>11968</v>
      </c>
      <c r="AP50" s="3864" t="s">
        <v>12627</v>
      </c>
      <c r="AQ50" s="304" t="s">
        <v>11968</v>
      </c>
      <c r="AR50" s="699"/>
      <c r="AS50" s="699"/>
      <c r="AT50" s="3619"/>
      <c r="AV50" s="4003" t="s">
        <v>11968</v>
      </c>
      <c r="AW50" s="304" t="s">
        <v>11968</v>
      </c>
      <c r="AX50" s="2334">
        <v>900</v>
      </c>
      <c r="AY50" s="2334">
        <v>420</v>
      </c>
      <c r="AZ50" s="2334" t="s">
        <v>1165</v>
      </c>
      <c r="BA50" s="2334">
        <v>350</v>
      </c>
      <c r="BB50" s="2334" t="s">
        <v>11874</v>
      </c>
      <c r="BC50" s="2334" t="s">
        <v>6442</v>
      </c>
      <c r="BD50" s="2334" t="s">
        <v>11969</v>
      </c>
      <c r="BE50" s="286" t="s">
        <v>1315</v>
      </c>
    </row>
    <row r="51" spans="3:57">
      <c r="C51" s="3863" t="s">
        <v>11970</v>
      </c>
      <c r="D51" s="2334">
        <v>950</v>
      </c>
      <c r="E51" s="2334">
        <v>440</v>
      </c>
      <c r="G51" s="3863" t="s">
        <v>11970</v>
      </c>
      <c r="H51" s="304" t="s">
        <v>11970</v>
      </c>
      <c r="I51" s="2334">
        <v>950</v>
      </c>
      <c r="J51" s="2334">
        <v>440</v>
      </c>
      <c r="K51" s="2334" t="s">
        <v>1165</v>
      </c>
      <c r="L51" s="2334" t="s">
        <v>11874</v>
      </c>
      <c r="M51" s="2334" t="s">
        <v>11874</v>
      </c>
      <c r="N51" s="2334" t="s">
        <v>11884</v>
      </c>
      <c r="O51" s="2334" t="s">
        <v>11971</v>
      </c>
      <c r="P51" s="2334" t="s">
        <v>1315</v>
      </c>
      <c r="Q51" s="2334" t="s">
        <v>1315</v>
      </c>
      <c r="R51" s="2334" t="s">
        <v>1315</v>
      </c>
      <c r="S51" s="2334" t="s">
        <v>1315</v>
      </c>
      <c r="T51" s="2334" t="s">
        <v>1315</v>
      </c>
      <c r="U51" s="2334" t="s">
        <v>1315</v>
      </c>
      <c r="V51" s="2334" t="s">
        <v>1315</v>
      </c>
      <c r="W51" s="2334" t="s">
        <v>1315</v>
      </c>
      <c r="X51" s="2334" t="s">
        <v>1315</v>
      </c>
      <c r="Y51" s="2334" t="s">
        <v>1315</v>
      </c>
      <c r="Z51" s="2334" t="s">
        <v>1315</v>
      </c>
      <c r="AA51" s="2334" t="s">
        <v>1315</v>
      </c>
      <c r="AB51" s="2334" t="s">
        <v>1315</v>
      </c>
      <c r="AC51" s="2334" t="s">
        <v>1315</v>
      </c>
      <c r="AD51" s="2334" t="s">
        <v>1315</v>
      </c>
      <c r="AE51" s="2334" t="s">
        <v>1315</v>
      </c>
      <c r="AF51" s="2334" t="s">
        <v>1315</v>
      </c>
      <c r="AG51" s="2334" t="s">
        <v>1315</v>
      </c>
      <c r="AH51" s="2334" t="s">
        <v>1315</v>
      </c>
      <c r="AI51" s="2334" t="s">
        <v>1315</v>
      </c>
      <c r="AJ51" s="2334" t="s">
        <v>1315</v>
      </c>
      <c r="AK51" s="2334" t="s">
        <v>1315</v>
      </c>
      <c r="AL51" s="2334" t="s">
        <v>1315</v>
      </c>
      <c r="AM51" s="2334" t="s">
        <v>1315</v>
      </c>
      <c r="AO51" s="3966" t="s">
        <v>11970</v>
      </c>
      <c r="AP51" s="3864" t="s">
        <v>12628</v>
      </c>
      <c r="AQ51" s="304" t="s">
        <v>11970</v>
      </c>
      <c r="AR51" s="699"/>
      <c r="AS51" s="699"/>
      <c r="AT51" s="3619"/>
      <c r="AV51" s="4003" t="s">
        <v>11970</v>
      </c>
      <c r="AW51" s="304" t="s">
        <v>11970</v>
      </c>
      <c r="AX51" s="2334">
        <v>950</v>
      </c>
      <c r="AY51" s="2334">
        <v>440</v>
      </c>
      <c r="AZ51" s="2334" t="s">
        <v>1165</v>
      </c>
      <c r="BA51" s="2334" t="s">
        <v>11874</v>
      </c>
      <c r="BB51" s="2334" t="s">
        <v>11874</v>
      </c>
      <c r="BC51" s="2334" t="s">
        <v>11884</v>
      </c>
      <c r="BD51" s="2334" t="s">
        <v>11971</v>
      </c>
      <c r="BE51" s="2334" t="s">
        <v>1315</v>
      </c>
    </row>
    <row r="52" spans="3:57">
      <c r="C52" s="3863" t="s">
        <v>11972</v>
      </c>
      <c r="D52" s="2334">
        <v>1000</v>
      </c>
      <c r="E52" s="2334">
        <v>460</v>
      </c>
      <c r="G52" s="3863" t="s">
        <v>11972</v>
      </c>
      <c r="H52" s="304" t="s">
        <v>11972</v>
      </c>
      <c r="I52" s="2334">
        <v>1000</v>
      </c>
      <c r="J52" s="2334">
        <v>460</v>
      </c>
      <c r="K52" s="2334" t="s">
        <v>1165</v>
      </c>
      <c r="L52" s="2334" t="s">
        <v>11874</v>
      </c>
      <c r="M52" s="2334" t="s">
        <v>11874</v>
      </c>
      <c r="N52" s="2334" t="s">
        <v>11884</v>
      </c>
      <c r="O52" s="304" t="s">
        <v>11973</v>
      </c>
      <c r="P52" s="2334" t="s">
        <v>1315</v>
      </c>
      <c r="Q52" s="2334" t="s">
        <v>1315</v>
      </c>
      <c r="R52" s="2334" t="s">
        <v>1315</v>
      </c>
      <c r="S52" s="2334" t="s">
        <v>1315</v>
      </c>
      <c r="T52" s="2334" t="s">
        <v>1315</v>
      </c>
      <c r="U52" s="2334" t="s">
        <v>1315</v>
      </c>
      <c r="V52" s="2334" t="s">
        <v>1315</v>
      </c>
      <c r="W52" s="2334" t="s">
        <v>1315</v>
      </c>
      <c r="X52" s="2334" t="s">
        <v>1315</v>
      </c>
      <c r="Y52" s="2334" t="s">
        <v>1315</v>
      </c>
      <c r="Z52" s="2334" t="s">
        <v>1315</v>
      </c>
      <c r="AA52" s="2334" t="s">
        <v>1315</v>
      </c>
      <c r="AB52" s="2334" t="s">
        <v>1315</v>
      </c>
      <c r="AC52" s="2334" t="s">
        <v>1315</v>
      </c>
      <c r="AD52" s="2334" t="s">
        <v>1315</v>
      </c>
      <c r="AE52" s="2334" t="s">
        <v>1315</v>
      </c>
      <c r="AF52" s="2334" t="s">
        <v>1315</v>
      </c>
      <c r="AG52" s="2334" t="s">
        <v>1315</v>
      </c>
      <c r="AH52" s="2334" t="s">
        <v>1315</v>
      </c>
      <c r="AI52" s="2334" t="s">
        <v>1315</v>
      </c>
      <c r="AJ52" s="2334" t="s">
        <v>1315</v>
      </c>
      <c r="AK52" s="2334" t="s">
        <v>1315</v>
      </c>
      <c r="AL52" s="2334" t="s">
        <v>1315</v>
      </c>
      <c r="AM52" s="2334" t="s">
        <v>1315</v>
      </c>
      <c r="AO52" s="3966" t="s">
        <v>11972</v>
      </c>
      <c r="AP52" s="3864" t="s">
        <v>12629</v>
      </c>
      <c r="AQ52" s="304" t="s">
        <v>11972</v>
      </c>
      <c r="AR52" s="699"/>
      <c r="AS52" s="699"/>
      <c r="AT52" s="3619"/>
      <c r="AV52" s="4003" t="s">
        <v>11972</v>
      </c>
      <c r="AW52" s="304" t="s">
        <v>11972</v>
      </c>
      <c r="AX52" s="2334">
        <v>1000</v>
      </c>
      <c r="AY52" s="2334">
        <v>460</v>
      </c>
      <c r="AZ52" s="2334" t="s">
        <v>1165</v>
      </c>
      <c r="BA52" s="2334" t="s">
        <v>11874</v>
      </c>
      <c r="BB52" s="2334" t="s">
        <v>11874</v>
      </c>
      <c r="BC52" s="2334" t="s">
        <v>11884</v>
      </c>
      <c r="BD52" s="304" t="s">
        <v>11973</v>
      </c>
      <c r="BE52" s="286" t="s">
        <v>1315</v>
      </c>
    </row>
    <row r="53" spans="3:57">
      <c r="C53" s="1161" t="s">
        <v>11974</v>
      </c>
      <c r="D53" s="84">
        <v>450</v>
      </c>
      <c r="E53" s="3865">
        <v>280</v>
      </c>
      <c r="G53" s="1161" t="s">
        <v>11974</v>
      </c>
      <c r="H53" s="699" t="s">
        <v>11975</v>
      </c>
      <c r="I53" s="2334">
        <v>450</v>
      </c>
      <c r="J53" s="2334">
        <v>280</v>
      </c>
      <c r="K53" s="2334" t="s">
        <v>1165</v>
      </c>
      <c r="L53" s="2334">
        <v>250</v>
      </c>
      <c r="M53" s="2334" t="s">
        <v>11874</v>
      </c>
      <c r="N53" s="304" t="s">
        <v>11976</v>
      </c>
      <c r="O53" s="304" t="s">
        <v>11977</v>
      </c>
      <c r="P53" s="304" t="s">
        <v>11978</v>
      </c>
      <c r="Q53" s="286">
        <v>800</v>
      </c>
      <c r="R53" s="286">
        <v>380</v>
      </c>
      <c r="S53" s="286" t="s">
        <v>1165</v>
      </c>
      <c r="T53" s="286">
        <v>320</v>
      </c>
      <c r="U53" s="286" t="s">
        <v>11874</v>
      </c>
      <c r="V53" s="304" t="s">
        <v>11976</v>
      </c>
      <c r="W53" s="304" t="s">
        <v>11979</v>
      </c>
      <c r="X53" s="2334" t="s">
        <v>1315</v>
      </c>
      <c r="Y53" s="2334" t="s">
        <v>1315</v>
      </c>
      <c r="Z53" s="2334" t="s">
        <v>1315</v>
      </c>
      <c r="AA53" s="2334" t="s">
        <v>1315</v>
      </c>
      <c r="AB53" s="2334" t="s">
        <v>1315</v>
      </c>
      <c r="AC53" s="2334" t="s">
        <v>1315</v>
      </c>
      <c r="AD53" s="2334" t="s">
        <v>1315</v>
      </c>
      <c r="AE53" s="2334" t="s">
        <v>1315</v>
      </c>
      <c r="AF53" s="2334" t="s">
        <v>1315</v>
      </c>
      <c r="AG53" s="2334" t="s">
        <v>1315</v>
      </c>
      <c r="AH53" s="2334" t="s">
        <v>1315</v>
      </c>
      <c r="AI53" s="2334" t="s">
        <v>1315</v>
      </c>
      <c r="AJ53" s="2334" t="s">
        <v>1315</v>
      </c>
      <c r="AK53" s="2334" t="s">
        <v>1315</v>
      </c>
      <c r="AL53" s="2334" t="s">
        <v>1315</v>
      </c>
      <c r="AM53" s="2334" t="s">
        <v>1315</v>
      </c>
      <c r="AO53" s="3966" t="s">
        <v>11974</v>
      </c>
      <c r="AP53" s="3864" t="s">
        <v>12630</v>
      </c>
      <c r="AQ53" s="304" t="s">
        <v>11974</v>
      </c>
      <c r="AR53" s="699"/>
      <c r="AS53" s="699"/>
      <c r="AT53" s="3619"/>
      <c r="AV53" s="8208" t="s">
        <v>11974</v>
      </c>
      <c r="AW53" s="699" t="s">
        <v>11975</v>
      </c>
      <c r="AX53" s="2334">
        <v>450</v>
      </c>
      <c r="AY53" s="2334">
        <v>280</v>
      </c>
      <c r="AZ53" s="2334" t="s">
        <v>1165</v>
      </c>
      <c r="BA53" s="2334">
        <v>250</v>
      </c>
      <c r="BB53" s="2334" t="s">
        <v>11874</v>
      </c>
      <c r="BC53" s="304" t="s">
        <v>11976</v>
      </c>
      <c r="BD53" s="304" t="s">
        <v>11977</v>
      </c>
      <c r="BE53" s="2334" t="s">
        <v>1315</v>
      </c>
    </row>
    <row r="54" spans="3:57">
      <c r="C54" s="1161" t="s">
        <v>649</v>
      </c>
      <c r="D54" s="84">
        <v>150</v>
      </c>
      <c r="E54" s="3865">
        <v>200</v>
      </c>
      <c r="G54" s="1161" t="s">
        <v>649</v>
      </c>
      <c r="H54" s="1161" t="s">
        <v>649</v>
      </c>
      <c r="I54" s="2334">
        <v>200</v>
      </c>
      <c r="J54" s="2334">
        <v>150</v>
      </c>
      <c r="K54" s="2334" t="s">
        <v>1165</v>
      </c>
      <c r="L54" s="2334" t="s">
        <v>11874</v>
      </c>
      <c r="M54" s="2334" t="s">
        <v>11874</v>
      </c>
      <c r="N54" s="304" t="s">
        <v>11980</v>
      </c>
      <c r="O54" s="304" t="s">
        <v>11981</v>
      </c>
      <c r="P54" s="2334" t="s">
        <v>1315</v>
      </c>
      <c r="Q54" s="2334" t="s">
        <v>1315</v>
      </c>
      <c r="R54" s="2334" t="s">
        <v>1315</v>
      </c>
      <c r="S54" s="2334" t="s">
        <v>1315</v>
      </c>
      <c r="T54" s="2334" t="s">
        <v>1315</v>
      </c>
      <c r="U54" s="2334" t="s">
        <v>1315</v>
      </c>
      <c r="V54" s="2334" t="s">
        <v>1315</v>
      </c>
      <c r="W54" s="2334" t="s">
        <v>1315</v>
      </c>
      <c r="X54" s="2334" t="s">
        <v>1315</v>
      </c>
      <c r="Y54" s="2334" t="s">
        <v>1315</v>
      </c>
      <c r="Z54" s="2334" t="s">
        <v>1315</v>
      </c>
      <c r="AA54" s="2334" t="s">
        <v>1315</v>
      </c>
      <c r="AB54" s="2334" t="s">
        <v>1315</v>
      </c>
      <c r="AC54" s="2334" t="s">
        <v>1315</v>
      </c>
      <c r="AD54" s="2334" t="s">
        <v>1315</v>
      </c>
      <c r="AE54" s="2334" t="s">
        <v>1315</v>
      </c>
      <c r="AF54" s="2334" t="s">
        <v>1315</v>
      </c>
      <c r="AG54" s="2334" t="s">
        <v>1315</v>
      </c>
      <c r="AH54" s="2334" t="s">
        <v>1315</v>
      </c>
      <c r="AI54" s="2334" t="s">
        <v>1315</v>
      </c>
      <c r="AJ54" s="2334" t="s">
        <v>1315</v>
      </c>
      <c r="AK54" s="2334" t="s">
        <v>1315</v>
      </c>
      <c r="AL54" s="2334" t="s">
        <v>1315</v>
      </c>
      <c r="AM54" s="2334" t="s">
        <v>1315</v>
      </c>
      <c r="AO54" s="3966" t="s">
        <v>649</v>
      </c>
      <c r="AP54" s="3864" t="s">
        <v>12659</v>
      </c>
      <c r="AQ54" s="304" t="s">
        <v>649</v>
      </c>
      <c r="AR54" s="699"/>
      <c r="AS54" s="699"/>
      <c r="AT54" s="3619"/>
      <c r="AV54" s="8208"/>
      <c r="AW54" s="304" t="s">
        <v>11978</v>
      </c>
      <c r="AX54" s="286">
        <v>800</v>
      </c>
      <c r="AY54" s="286">
        <v>380</v>
      </c>
      <c r="AZ54" s="286" t="s">
        <v>1165</v>
      </c>
      <c r="BA54" s="286">
        <v>320</v>
      </c>
      <c r="BB54" s="286" t="s">
        <v>11874</v>
      </c>
      <c r="BC54" s="304" t="s">
        <v>11976</v>
      </c>
      <c r="BD54" s="304" t="s">
        <v>11979</v>
      </c>
      <c r="BE54" s="286" t="s">
        <v>1315</v>
      </c>
    </row>
    <row r="55" spans="3:57">
      <c r="C55" s="1161" t="s">
        <v>650</v>
      </c>
      <c r="D55" s="84">
        <v>220</v>
      </c>
      <c r="E55" s="3865">
        <v>500</v>
      </c>
      <c r="G55" s="1161" t="s">
        <v>650</v>
      </c>
      <c r="H55" s="1161" t="s">
        <v>650</v>
      </c>
      <c r="I55" s="2334">
        <v>500</v>
      </c>
      <c r="J55" s="2334">
        <v>220</v>
      </c>
      <c r="K55" s="2334" t="s">
        <v>1165</v>
      </c>
      <c r="L55" s="2334" t="s">
        <v>11874</v>
      </c>
      <c r="M55" s="2334" t="s">
        <v>11874</v>
      </c>
      <c r="N55" s="304" t="s">
        <v>11982</v>
      </c>
      <c r="O55" s="304" t="s">
        <v>11983</v>
      </c>
      <c r="P55" s="2334" t="s">
        <v>1315</v>
      </c>
      <c r="Q55" s="2334" t="s">
        <v>1315</v>
      </c>
      <c r="R55" s="2334" t="s">
        <v>1315</v>
      </c>
      <c r="S55" s="2334" t="s">
        <v>1315</v>
      </c>
      <c r="T55" s="2334" t="s">
        <v>1315</v>
      </c>
      <c r="U55" s="2334" t="s">
        <v>1315</v>
      </c>
      <c r="V55" s="2334" t="s">
        <v>1315</v>
      </c>
      <c r="W55" s="2334" t="s">
        <v>1315</v>
      </c>
      <c r="X55" s="2334" t="s">
        <v>1315</v>
      </c>
      <c r="Y55" s="2334" t="s">
        <v>1315</v>
      </c>
      <c r="Z55" s="2334" t="s">
        <v>1315</v>
      </c>
      <c r="AA55" s="2334" t="s">
        <v>1315</v>
      </c>
      <c r="AB55" s="2334" t="s">
        <v>1315</v>
      </c>
      <c r="AC55" s="2334" t="s">
        <v>1315</v>
      </c>
      <c r="AD55" s="2334" t="s">
        <v>1315</v>
      </c>
      <c r="AE55" s="2334" t="s">
        <v>1315</v>
      </c>
      <c r="AF55" s="2334" t="s">
        <v>1315</v>
      </c>
      <c r="AG55" s="2334" t="s">
        <v>1315</v>
      </c>
      <c r="AH55" s="2334" t="s">
        <v>1315</v>
      </c>
      <c r="AI55" s="2334" t="s">
        <v>1315</v>
      </c>
      <c r="AJ55" s="2334" t="s">
        <v>1315</v>
      </c>
      <c r="AK55" s="2334" t="s">
        <v>1315</v>
      </c>
      <c r="AL55" s="2334" t="s">
        <v>1315</v>
      </c>
      <c r="AM55" s="2334" t="s">
        <v>1315</v>
      </c>
      <c r="AO55" s="3966" t="s">
        <v>650</v>
      </c>
      <c r="AP55" s="3864" t="s">
        <v>12631</v>
      </c>
      <c r="AQ55" s="304" t="s">
        <v>650</v>
      </c>
      <c r="AR55" s="699"/>
      <c r="AS55" s="699"/>
      <c r="AT55" s="3619"/>
      <c r="AV55" s="4002" t="s">
        <v>649</v>
      </c>
      <c r="AW55" s="1161" t="s">
        <v>649</v>
      </c>
      <c r="AX55" s="2334">
        <v>200</v>
      </c>
      <c r="AY55" s="2334">
        <v>150</v>
      </c>
      <c r="AZ55" s="2334" t="s">
        <v>1165</v>
      </c>
      <c r="BA55" s="2334" t="s">
        <v>11874</v>
      </c>
      <c r="BB55" s="2334" t="s">
        <v>11874</v>
      </c>
      <c r="BC55" s="304" t="s">
        <v>11980</v>
      </c>
      <c r="BD55" s="304" t="s">
        <v>11981</v>
      </c>
      <c r="BE55" s="2334" t="s">
        <v>1315</v>
      </c>
    </row>
    <row r="56" spans="3:57">
      <c r="C56" s="1161" t="s">
        <v>651</v>
      </c>
      <c r="D56" s="84">
        <v>140</v>
      </c>
      <c r="E56" s="3865">
        <v>200</v>
      </c>
      <c r="G56" s="1161" t="s">
        <v>651</v>
      </c>
      <c r="H56" s="1161" t="s">
        <v>651</v>
      </c>
      <c r="I56" s="2334">
        <v>200</v>
      </c>
      <c r="J56" s="2334">
        <v>140</v>
      </c>
      <c r="K56" s="2334" t="s">
        <v>1165</v>
      </c>
      <c r="L56" s="2334" t="s">
        <v>11918</v>
      </c>
      <c r="M56" s="2334" t="s">
        <v>11874</v>
      </c>
      <c r="N56" s="304" t="s">
        <v>6442</v>
      </c>
      <c r="O56" s="304" t="s">
        <v>11984</v>
      </c>
      <c r="P56" s="2334" t="s">
        <v>1315</v>
      </c>
      <c r="Q56" s="2334" t="s">
        <v>1315</v>
      </c>
      <c r="R56" s="2334" t="s">
        <v>1315</v>
      </c>
      <c r="S56" s="2334" t="s">
        <v>1315</v>
      </c>
      <c r="T56" s="2334" t="s">
        <v>1315</v>
      </c>
      <c r="U56" s="2334" t="s">
        <v>1315</v>
      </c>
      <c r="V56" s="2334" t="s">
        <v>1315</v>
      </c>
      <c r="W56" s="2334" t="s">
        <v>1315</v>
      </c>
      <c r="X56" s="2334" t="s">
        <v>1315</v>
      </c>
      <c r="Y56" s="2334" t="s">
        <v>1315</v>
      </c>
      <c r="Z56" s="2334" t="s">
        <v>1315</v>
      </c>
      <c r="AA56" s="2334" t="s">
        <v>1315</v>
      </c>
      <c r="AB56" s="2334" t="s">
        <v>1315</v>
      </c>
      <c r="AC56" s="2334" t="s">
        <v>1315</v>
      </c>
      <c r="AD56" s="2334" t="s">
        <v>1315</v>
      </c>
      <c r="AE56" s="2334" t="s">
        <v>1315</v>
      </c>
      <c r="AF56" s="2334" t="s">
        <v>1315</v>
      </c>
      <c r="AG56" s="2334" t="s">
        <v>1315</v>
      </c>
      <c r="AH56" s="2334" t="s">
        <v>1315</v>
      </c>
      <c r="AI56" s="2334" t="s">
        <v>1315</v>
      </c>
      <c r="AJ56" s="2334" t="s">
        <v>1315</v>
      </c>
      <c r="AK56" s="2334" t="s">
        <v>1315</v>
      </c>
      <c r="AL56" s="2334" t="s">
        <v>1315</v>
      </c>
      <c r="AM56" s="2334" t="s">
        <v>1315</v>
      </c>
      <c r="AO56" s="3966" t="s">
        <v>651</v>
      </c>
      <c r="AP56" s="3864" t="s">
        <v>12652</v>
      </c>
      <c r="AQ56" s="304" t="s">
        <v>651</v>
      </c>
      <c r="AR56" s="699"/>
      <c r="AS56" s="699"/>
      <c r="AT56" s="3619"/>
      <c r="AV56" s="4002" t="s">
        <v>650</v>
      </c>
      <c r="AW56" s="1161" t="s">
        <v>650</v>
      </c>
      <c r="AX56" s="2334">
        <v>500</v>
      </c>
      <c r="AY56" s="2334">
        <v>220</v>
      </c>
      <c r="AZ56" s="2334" t="s">
        <v>1165</v>
      </c>
      <c r="BA56" s="2334" t="s">
        <v>11874</v>
      </c>
      <c r="BB56" s="2334" t="s">
        <v>11874</v>
      </c>
      <c r="BC56" s="304" t="s">
        <v>11982</v>
      </c>
      <c r="BD56" s="304" t="s">
        <v>11983</v>
      </c>
      <c r="BE56" s="286" t="s">
        <v>1315</v>
      </c>
    </row>
    <row r="57" spans="3:57">
      <c r="C57" s="1161" t="s">
        <v>652</v>
      </c>
      <c r="D57" s="84">
        <v>180</v>
      </c>
      <c r="E57" s="3865">
        <v>200</v>
      </c>
      <c r="G57" s="1161" t="s">
        <v>652</v>
      </c>
      <c r="H57" s="699" t="s">
        <v>11985</v>
      </c>
      <c r="I57" s="2334">
        <v>120</v>
      </c>
      <c r="J57" s="2334">
        <v>140</v>
      </c>
      <c r="K57" s="2334" t="s">
        <v>1165</v>
      </c>
      <c r="L57" s="2334" t="s">
        <v>11874</v>
      </c>
      <c r="M57" s="2334" t="s">
        <v>11874</v>
      </c>
      <c r="N57" s="304" t="s">
        <v>11930</v>
      </c>
      <c r="O57" s="304" t="s">
        <v>11931</v>
      </c>
      <c r="P57" s="304" t="s">
        <v>11934</v>
      </c>
      <c r="Q57" s="286">
        <v>240</v>
      </c>
      <c r="R57" s="286">
        <v>200</v>
      </c>
      <c r="S57" s="286" t="s">
        <v>1165</v>
      </c>
      <c r="T57" s="286" t="s">
        <v>11874</v>
      </c>
      <c r="U57" s="286" t="s">
        <v>11874</v>
      </c>
      <c r="V57" s="304" t="s">
        <v>11935</v>
      </c>
      <c r="W57" s="304" t="s">
        <v>11936</v>
      </c>
      <c r="X57" s="2334" t="s">
        <v>1315</v>
      </c>
      <c r="Y57" s="2334" t="s">
        <v>1315</v>
      </c>
      <c r="Z57" s="2334" t="s">
        <v>1315</v>
      </c>
      <c r="AA57" s="2334" t="s">
        <v>1315</v>
      </c>
      <c r="AB57" s="2334" t="s">
        <v>1315</v>
      </c>
      <c r="AC57" s="2334" t="s">
        <v>1315</v>
      </c>
      <c r="AD57" s="2334" t="s">
        <v>1315</v>
      </c>
      <c r="AE57" s="2334" t="s">
        <v>1315</v>
      </c>
      <c r="AF57" s="2334" t="s">
        <v>1315</v>
      </c>
      <c r="AG57" s="2334" t="s">
        <v>1315</v>
      </c>
      <c r="AH57" s="2334" t="s">
        <v>1315</v>
      </c>
      <c r="AI57" s="2334" t="s">
        <v>1315</v>
      </c>
      <c r="AJ57" s="2334" t="s">
        <v>1315</v>
      </c>
      <c r="AK57" s="2334" t="s">
        <v>1315</v>
      </c>
      <c r="AL57" s="2334" t="s">
        <v>1315</v>
      </c>
      <c r="AM57" s="2334" t="s">
        <v>1315</v>
      </c>
      <c r="AO57" s="4008" t="s">
        <v>652</v>
      </c>
      <c r="AP57" s="3864" t="s">
        <v>12584</v>
      </c>
      <c r="AQ57" s="699" t="s">
        <v>11985</v>
      </c>
      <c r="AR57" s="699" t="s">
        <v>11934</v>
      </c>
      <c r="AS57" s="4009"/>
      <c r="AT57" s="4010"/>
      <c r="AV57" s="4002" t="s">
        <v>651</v>
      </c>
      <c r="AW57" s="1161" t="s">
        <v>651</v>
      </c>
      <c r="AX57" s="2334">
        <v>200</v>
      </c>
      <c r="AY57" s="2334">
        <v>140</v>
      </c>
      <c r="AZ57" s="2334" t="s">
        <v>1165</v>
      </c>
      <c r="BA57" s="2334" t="s">
        <v>11918</v>
      </c>
      <c r="BB57" s="2334" t="s">
        <v>11874</v>
      </c>
      <c r="BC57" s="304" t="s">
        <v>6442</v>
      </c>
      <c r="BD57" s="304" t="s">
        <v>11984</v>
      </c>
      <c r="BE57" s="2334" t="s">
        <v>1315</v>
      </c>
    </row>
    <row r="58" spans="3:57">
      <c r="C58" s="1161" t="s">
        <v>653</v>
      </c>
      <c r="D58" s="84">
        <v>240</v>
      </c>
      <c r="E58" s="3865">
        <v>400</v>
      </c>
      <c r="G58" s="1161" t="s">
        <v>653</v>
      </c>
      <c r="H58" s="699"/>
      <c r="I58" s="2334">
        <v>400</v>
      </c>
      <c r="J58" s="2334">
        <v>240</v>
      </c>
      <c r="K58" s="2334" t="s">
        <v>1165</v>
      </c>
      <c r="L58" s="2334">
        <v>220</v>
      </c>
      <c r="M58" s="2334" t="s">
        <v>11874</v>
      </c>
      <c r="N58" s="304" t="s">
        <v>6442</v>
      </c>
      <c r="O58" s="304" t="s">
        <v>11986</v>
      </c>
      <c r="P58" s="2334" t="s">
        <v>1315</v>
      </c>
      <c r="Q58" s="2334" t="s">
        <v>1315</v>
      </c>
      <c r="R58" s="2334" t="s">
        <v>1315</v>
      </c>
      <c r="S58" s="2334" t="s">
        <v>1315</v>
      </c>
      <c r="T58" s="2334" t="s">
        <v>1315</v>
      </c>
      <c r="U58" s="2334" t="s">
        <v>1315</v>
      </c>
      <c r="V58" s="2334" t="s">
        <v>1315</v>
      </c>
      <c r="W58" s="2334" t="s">
        <v>1315</v>
      </c>
      <c r="X58" s="2334" t="s">
        <v>1315</v>
      </c>
      <c r="Y58" s="2334" t="s">
        <v>1315</v>
      </c>
      <c r="Z58" s="2334" t="s">
        <v>1315</v>
      </c>
      <c r="AA58" s="2334" t="s">
        <v>1315</v>
      </c>
      <c r="AB58" s="2334" t="s">
        <v>1315</v>
      </c>
      <c r="AC58" s="2334" t="s">
        <v>1315</v>
      </c>
      <c r="AD58" s="2334" t="s">
        <v>1315</v>
      </c>
      <c r="AE58" s="2334" t="s">
        <v>1315</v>
      </c>
      <c r="AF58" s="2334" t="s">
        <v>1315</v>
      </c>
      <c r="AG58" s="2334" t="s">
        <v>1315</v>
      </c>
      <c r="AH58" s="2334" t="s">
        <v>1315</v>
      </c>
      <c r="AI58" s="2334" t="s">
        <v>1315</v>
      </c>
      <c r="AJ58" s="2334" t="s">
        <v>1315</v>
      </c>
      <c r="AK58" s="2334" t="s">
        <v>1315</v>
      </c>
      <c r="AL58" s="2334" t="s">
        <v>1315</v>
      </c>
      <c r="AM58" s="2334" t="s">
        <v>1315</v>
      </c>
      <c r="AO58" s="3966" t="s">
        <v>653</v>
      </c>
      <c r="AP58" s="3864" t="s">
        <v>12653</v>
      </c>
      <c r="AQ58" s="304" t="s">
        <v>653</v>
      </c>
      <c r="AR58" s="699"/>
      <c r="AS58" s="699"/>
      <c r="AT58" s="3619"/>
      <c r="AV58" s="8207" t="s">
        <v>652</v>
      </c>
      <c r="AW58" s="304" t="s">
        <v>11985</v>
      </c>
      <c r="AX58" s="2334">
        <v>120</v>
      </c>
      <c r="AY58" s="2334">
        <v>140</v>
      </c>
      <c r="AZ58" s="2334" t="s">
        <v>1165</v>
      </c>
      <c r="BA58" s="2334" t="s">
        <v>11874</v>
      </c>
      <c r="BB58" s="2334" t="s">
        <v>11874</v>
      </c>
      <c r="BC58" s="304" t="s">
        <v>11930</v>
      </c>
      <c r="BD58" s="304" t="s">
        <v>12585</v>
      </c>
      <c r="BE58" s="286" t="s">
        <v>1315</v>
      </c>
    </row>
    <row r="59" spans="3:57">
      <c r="C59" s="1161" t="s">
        <v>654</v>
      </c>
      <c r="D59" s="84">
        <v>260</v>
      </c>
      <c r="E59" s="3865">
        <v>400</v>
      </c>
      <c r="G59" s="1161" t="s">
        <v>654</v>
      </c>
      <c r="H59" s="1161" t="s">
        <v>654</v>
      </c>
      <c r="I59" s="2334">
        <v>400</v>
      </c>
      <c r="J59" s="2334">
        <v>260</v>
      </c>
      <c r="K59" s="2334" t="s">
        <v>1165</v>
      </c>
      <c r="L59" s="2334" t="s">
        <v>11874</v>
      </c>
      <c r="M59" s="2334" t="s">
        <v>11874</v>
      </c>
      <c r="N59" s="304" t="s">
        <v>11987</v>
      </c>
      <c r="O59" s="304" t="s">
        <v>11988</v>
      </c>
      <c r="P59" s="2334" t="s">
        <v>1315</v>
      </c>
      <c r="Q59" s="2334" t="s">
        <v>1315</v>
      </c>
      <c r="R59" s="2334" t="s">
        <v>1315</v>
      </c>
      <c r="S59" s="2334" t="s">
        <v>1315</v>
      </c>
      <c r="T59" s="2334" t="s">
        <v>1315</v>
      </c>
      <c r="U59" s="2334" t="s">
        <v>1315</v>
      </c>
      <c r="V59" s="2334" t="s">
        <v>1315</v>
      </c>
      <c r="W59" s="2334" t="s">
        <v>1315</v>
      </c>
      <c r="X59" s="2334" t="s">
        <v>1315</v>
      </c>
      <c r="Y59" s="2334" t="s">
        <v>1315</v>
      </c>
      <c r="Z59" s="2334" t="s">
        <v>1315</v>
      </c>
      <c r="AA59" s="2334" t="s">
        <v>1315</v>
      </c>
      <c r="AB59" s="2334" t="s">
        <v>1315</v>
      </c>
      <c r="AC59" s="2334" t="s">
        <v>1315</v>
      </c>
      <c r="AD59" s="2334" t="s">
        <v>1315</v>
      </c>
      <c r="AE59" s="2334" t="s">
        <v>1315</v>
      </c>
      <c r="AF59" s="2334" t="s">
        <v>1315</v>
      </c>
      <c r="AG59" s="2334" t="s">
        <v>1315</v>
      </c>
      <c r="AH59" s="2334" t="s">
        <v>1315</v>
      </c>
      <c r="AI59" s="2334" t="s">
        <v>1315</v>
      </c>
      <c r="AJ59" s="2334" t="s">
        <v>1315</v>
      </c>
      <c r="AK59" s="2334" t="s">
        <v>1315</v>
      </c>
      <c r="AL59" s="2334" t="s">
        <v>1315</v>
      </c>
      <c r="AM59" s="2334" t="s">
        <v>1315</v>
      </c>
      <c r="AO59" s="3966" t="s">
        <v>654</v>
      </c>
      <c r="AP59" s="3864" t="s">
        <v>12654</v>
      </c>
      <c r="AQ59" s="304" t="s">
        <v>654</v>
      </c>
      <c r="AR59" s="699"/>
      <c r="AS59" s="699"/>
      <c r="AT59" s="3619"/>
      <c r="AV59" s="8207"/>
      <c r="AW59" s="304" t="s">
        <v>11934</v>
      </c>
      <c r="AX59" s="286">
        <v>240</v>
      </c>
      <c r="AY59" s="286">
        <v>200</v>
      </c>
      <c r="AZ59" s="286" t="s">
        <v>1165</v>
      </c>
      <c r="BA59" s="286" t="s">
        <v>11874</v>
      </c>
      <c r="BB59" s="286" t="s">
        <v>11874</v>
      </c>
      <c r="BC59" s="304" t="s">
        <v>11935</v>
      </c>
      <c r="BD59" s="304" t="s">
        <v>11936</v>
      </c>
      <c r="BE59" s="2334" t="s">
        <v>1315</v>
      </c>
    </row>
    <row r="60" spans="3:57">
      <c r="C60" s="1161" t="s">
        <v>655</v>
      </c>
      <c r="D60" s="84">
        <v>180</v>
      </c>
      <c r="E60" s="3865">
        <v>200</v>
      </c>
      <c r="G60" s="1161" t="s">
        <v>655</v>
      </c>
      <c r="H60" s="1161" t="s">
        <v>655</v>
      </c>
      <c r="I60" s="2334">
        <v>200</v>
      </c>
      <c r="J60" s="2334">
        <v>180</v>
      </c>
      <c r="K60" s="2334" t="s">
        <v>1166</v>
      </c>
      <c r="L60" s="2334" t="s">
        <v>11874</v>
      </c>
      <c r="M60" s="2334" t="s">
        <v>11874</v>
      </c>
      <c r="N60" s="304" t="s">
        <v>11989</v>
      </c>
      <c r="O60" s="304" t="s">
        <v>11990</v>
      </c>
      <c r="P60" s="2334" t="s">
        <v>1315</v>
      </c>
      <c r="Q60" s="2334" t="s">
        <v>1315</v>
      </c>
      <c r="R60" s="2334" t="s">
        <v>1315</v>
      </c>
      <c r="S60" s="2334" t="s">
        <v>1315</v>
      </c>
      <c r="T60" s="2334" t="s">
        <v>1315</v>
      </c>
      <c r="U60" s="2334" t="s">
        <v>1315</v>
      </c>
      <c r="V60" s="2334" t="s">
        <v>1315</v>
      </c>
      <c r="W60" s="2334" t="s">
        <v>1315</v>
      </c>
      <c r="X60" s="2334" t="s">
        <v>1315</v>
      </c>
      <c r="Y60" s="2334" t="s">
        <v>1315</v>
      </c>
      <c r="Z60" s="2334" t="s">
        <v>1315</v>
      </c>
      <c r="AA60" s="2334" t="s">
        <v>1315</v>
      </c>
      <c r="AB60" s="2334" t="s">
        <v>1315</v>
      </c>
      <c r="AC60" s="2334" t="s">
        <v>1315</v>
      </c>
      <c r="AD60" s="2334" t="s">
        <v>1315</v>
      </c>
      <c r="AE60" s="2334" t="s">
        <v>1315</v>
      </c>
      <c r="AF60" s="2334" t="s">
        <v>1315</v>
      </c>
      <c r="AG60" s="2334" t="s">
        <v>1315</v>
      </c>
      <c r="AH60" s="2334" t="s">
        <v>1315</v>
      </c>
      <c r="AI60" s="2334" t="s">
        <v>1315</v>
      </c>
      <c r="AJ60" s="2334" t="s">
        <v>1315</v>
      </c>
      <c r="AK60" s="2334" t="s">
        <v>1315</v>
      </c>
      <c r="AL60" s="2334" t="s">
        <v>1315</v>
      </c>
      <c r="AM60" s="2334" t="s">
        <v>1315</v>
      </c>
      <c r="AO60" s="3966" t="s">
        <v>655</v>
      </c>
      <c r="AP60" s="3864" t="s">
        <v>12632</v>
      </c>
      <c r="AQ60" s="304" t="s">
        <v>655</v>
      </c>
      <c r="AR60" s="699"/>
      <c r="AS60" s="699"/>
      <c r="AT60" s="3619"/>
      <c r="AV60" s="4002" t="s">
        <v>653</v>
      </c>
      <c r="AW60" s="4004" t="s">
        <v>653</v>
      </c>
      <c r="AX60" s="2334">
        <v>400</v>
      </c>
      <c r="AY60" s="2334">
        <v>240</v>
      </c>
      <c r="AZ60" s="2334" t="s">
        <v>1165</v>
      </c>
      <c r="BA60" s="2334">
        <v>220</v>
      </c>
      <c r="BB60" s="2334" t="s">
        <v>11874</v>
      </c>
      <c r="BC60" s="304" t="s">
        <v>6442</v>
      </c>
      <c r="BD60" s="304" t="s">
        <v>11986</v>
      </c>
      <c r="BE60" s="286" t="s">
        <v>1315</v>
      </c>
    </row>
    <row r="61" spans="3:57">
      <c r="C61" s="1161" t="s">
        <v>656</v>
      </c>
      <c r="D61" s="84">
        <v>220</v>
      </c>
      <c r="E61" s="3865">
        <v>350</v>
      </c>
      <c r="G61" s="1161" t="s">
        <v>656</v>
      </c>
      <c r="H61" s="1161" t="s">
        <v>656</v>
      </c>
      <c r="I61" s="2334">
        <v>350</v>
      </c>
      <c r="J61" s="2334">
        <v>220</v>
      </c>
      <c r="K61" s="2334" t="s">
        <v>1165</v>
      </c>
      <c r="L61" s="2334" t="s">
        <v>11874</v>
      </c>
      <c r="M61" s="2334" t="s">
        <v>11874</v>
      </c>
      <c r="N61" s="304" t="s">
        <v>11991</v>
      </c>
      <c r="O61" s="304" t="s">
        <v>11992</v>
      </c>
      <c r="P61" s="2334" t="s">
        <v>1315</v>
      </c>
      <c r="Q61" s="2334" t="s">
        <v>1315</v>
      </c>
      <c r="R61" s="2334" t="s">
        <v>1315</v>
      </c>
      <c r="S61" s="2334" t="s">
        <v>1315</v>
      </c>
      <c r="T61" s="2334" t="s">
        <v>1315</v>
      </c>
      <c r="U61" s="2334" t="s">
        <v>1315</v>
      </c>
      <c r="V61" s="2334" t="s">
        <v>1315</v>
      </c>
      <c r="W61" s="2334" t="s">
        <v>1315</v>
      </c>
      <c r="X61" s="2334" t="s">
        <v>1315</v>
      </c>
      <c r="Y61" s="2334" t="s">
        <v>1315</v>
      </c>
      <c r="Z61" s="2334" t="s">
        <v>1315</v>
      </c>
      <c r="AA61" s="2334" t="s">
        <v>1315</v>
      </c>
      <c r="AB61" s="2334" t="s">
        <v>1315</v>
      </c>
      <c r="AC61" s="2334" t="s">
        <v>1315</v>
      </c>
      <c r="AD61" s="2334" t="s">
        <v>1315</v>
      </c>
      <c r="AE61" s="2334" t="s">
        <v>1315</v>
      </c>
      <c r="AF61" s="2334" t="s">
        <v>1315</v>
      </c>
      <c r="AG61" s="2334" t="s">
        <v>1315</v>
      </c>
      <c r="AH61" s="2334" t="s">
        <v>1315</v>
      </c>
      <c r="AI61" s="2334" t="s">
        <v>1315</v>
      </c>
      <c r="AJ61" s="2334" t="s">
        <v>1315</v>
      </c>
      <c r="AK61" s="2334" t="s">
        <v>1315</v>
      </c>
      <c r="AL61" s="2334" t="s">
        <v>1315</v>
      </c>
      <c r="AM61" s="2334" t="s">
        <v>1315</v>
      </c>
      <c r="AO61" s="3966" t="s">
        <v>656</v>
      </c>
      <c r="AP61" s="3864" t="s">
        <v>12644</v>
      </c>
      <c r="AQ61" s="304" t="s">
        <v>656</v>
      </c>
      <c r="AR61" s="699"/>
      <c r="AS61" s="699"/>
      <c r="AT61" s="3619"/>
      <c r="AV61" s="4002" t="s">
        <v>654</v>
      </c>
      <c r="AW61" s="1161" t="s">
        <v>654</v>
      </c>
      <c r="AX61" s="2334">
        <v>400</v>
      </c>
      <c r="AY61" s="2334">
        <v>260</v>
      </c>
      <c r="AZ61" s="2334" t="s">
        <v>1165</v>
      </c>
      <c r="BA61" s="2334" t="s">
        <v>11874</v>
      </c>
      <c r="BB61" s="2334" t="s">
        <v>11874</v>
      </c>
      <c r="BC61" s="304" t="s">
        <v>11987</v>
      </c>
      <c r="BD61" s="304" t="s">
        <v>11988</v>
      </c>
      <c r="BE61" s="2334" t="s">
        <v>1315</v>
      </c>
    </row>
    <row r="62" spans="3:57">
      <c r="C62" s="1161" t="s">
        <v>657</v>
      </c>
      <c r="D62" s="84">
        <v>220</v>
      </c>
      <c r="E62" s="3865">
        <v>400</v>
      </c>
      <c r="G62" s="1161" t="s">
        <v>657</v>
      </c>
      <c r="H62" s="1161" t="s">
        <v>657</v>
      </c>
      <c r="I62" s="2334">
        <v>400</v>
      </c>
      <c r="J62" s="2334">
        <v>220</v>
      </c>
      <c r="K62" s="2334" t="s">
        <v>1165</v>
      </c>
      <c r="L62" s="2334">
        <v>180</v>
      </c>
      <c r="M62" s="2334" t="s">
        <v>11874</v>
      </c>
      <c r="N62" s="304" t="s">
        <v>6442</v>
      </c>
      <c r="O62" s="304" t="s">
        <v>11993</v>
      </c>
      <c r="P62" s="2334" t="s">
        <v>1315</v>
      </c>
      <c r="Q62" s="2334" t="s">
        <v>1315</v>
      </c>
      <c r="R62" s="2334" t="s">
        <v>1315</v>
      </c>
      <c r="S62" s="2334" t="s">
        <v>1315</v>
      </c>
      <c r="T62" s="2334" t="s">
        <v>1315</v>
      </c>
      <c r="U62" s="2334" t="s">
        <v>1315</v>
      </c>
      <c r="V62" s="2334" t="s">
        <v>1315</v>
      </c>
      <c r="W62" s="2334" t="s">
        <v>1315</v>
      </c>
      <c r="X62" s="2334" t="s">
        <v>1315</v>
      </c>
      <c r="Y62" s="2334" t="s">
        <v>1315</v>
      </c>
      <c r="Z62" s="2334" t="s">
        <v>1315</v>
      </c>
      <c r="AA62" s="2334" t="s">
        <v>1315</v>
      </c>
      <c r="AB62" s="2334" t="s">
        <v>1315</v>
      </c>
      <c r="AC62" s="2334" t="s">
        <v>1315</v>
      </c>
      <c r="AD62" s="2334" t="s">
        <v>1315</v>
      </c>
      <c r="AE62" s="2334" t="s">
        <v>1315</v>
      </c>
      <c r="AF62" s="2334" t="s">
        <v>1315</v>
      </c>
      <c r="AG62" s="2334" t="s">
        <v>1315</v>
      </c>
      <c r="AH62" s="2334" t="s">
        <v>1315</v>
      </c>
      <c r="AI62" s="2334" t="s">
        <v>1315</v>
      </c>
      <c r="AJ62" s="2334" t="s">
        <v>1315</v>
      </c>
      <c r="AK62" s="2334" t="s">
        <v>1315</v>
      </c>
      <c r="AL62" s="2334" t="s">
        <v>1315</v>
      </c>
      <c r="AM62" s="2334" t="s">
        <v>1315</v>
      </c>
      <c r="AO62" s="3966" t="s">
        <v>657</v>
      </c>
      <c r="AP62" s="3864" t="s">
        <v>12633</v>
      </c>
      <c r="AQ62" s="304" t="s">
        <v>657</v>
      </c>
      <c r="AR62" s="699"/>
      <c r="AS62" s="699"/>
      <c r="AT62" s="3619"/>
      <c r="AV62" s="4002" t="s">
        <v>655</v>
      </c>
      <c r="AW62" s="1161" t="s">
        <v>655</v>
      </c>
      <c r="AX62" s="2334">
        <v>200</v>
      </c>
      <c r="AY62" s="2334">
        <v>180</v>
      </c>
      <c r="AZ62" s="2334" t="s">
        <v>1166</v>
      </c>
      <c r="BA62" s="2334" t="s">
        <v>11874</v>
      </c>
      <c r="BB62" s="2334" t="s">
        <v>11874</v>
      </c>
      <c r="BC62" s="304" t="s">
        <v>11989</v>
      </c>
      <c r="BD62" s="304" t="s">
        <v>11990</v>
      </c>
      <c r="BE62" s="286" t="s">
        <v>1315</v>
      </c>
    </row>
    <row r="63" spans="3:57">
      <c r="C63" s="1161" t="s">
        <v>658</v>
      </c>
      <c r="D63" s="84">
        <v>280</v>
      </c>
      <c r="E63" s="3865">
        <v>500</v>
      </c>
      <c r="G63" s="1161" t="s">
        <v>658</v>
      </c>
      <c r="H63" s="699" t="s">
        <v>11943</v>
      </c>
      <c r="I63" s="2334">
        <v>400</v>
      </c>
      <c r="J63" s="2334">
        <v>240</v>
      </c>
      <c r="K63" s="2334" t="s">
        <v>1165</v>
      </c>
      <c r="L63" s="2334">
        <v>200</v>
      </c>
      <c r="M63" s="2334" t="s">
        <v>11874</v>
      </c>
      <c r="N63" s="304" t="s">
        <v>6442</v>
      </c>
      <c r="O63" s="304" t="s">
        <v>11944</v>
      </c>
      <c r="P63" s="699" t="s">
        <v>11947</v>
      </c>
      <c r="Q63" s="286">
        <v>500</v>
      </c>
      <c r="R63" s="286">
        <v>280</v>
      </c>
      <c r="S63" s="286" t="s">
        <v>1165</v>
      </c>
      <c r="T63" s="286">
        <v>240</v>
      </c>
      <c r="U63" s="286" t="s">
        <v>11874</v>
      </c>
      <c r="V63" s="304" t="s">
        <v>6442</v>
      </c>
      <c r="W63" s="304" t="s">
        <v>11948</v>
      </c>
      <c r="X63" s="2334" t="s">
        <v>1315</v>
      </c>
      <c r="Y63" s="2334" t="s">
        <v>1315</v>
      </c>
      <c r="Z63" s="2334" t="s">
        <v>1315</v>
      </c>
      <c r="AA63" s="2334" t="s">
        <v>1315</v>
      </c>
      <c r="AB63" s="2334" t="s">
        <v>1315</v>
      </c>
      <c r="AC63" s="2334" t="s">
        <v>1315</v>
      </c>
      <c r="AD63" s="2334" t="s">
        <v>1315</v>
      </c>
      <c r="AE63" s="2334" t="s">
        <v>1315</v>
      </c>
      <c r="AF63" s="2334" t="s">
        <v>1315</v>
      </c>
      <c r="AG63" s="2334" t="s">
        <v>1315</v>
      </c>
      <c r="AH63" s="2334" t="s">
        <v>1315</v>
      </c>
      <c r="AI63" s="2334" t="s">
        <v>1315</v>
      </c>
      <c r="AJ63" s="2334" t="s">
        <v>1315</v>
      </c>
      <c r="AK63" s="2334" t="s">
        <v>1315</v>
      </c>
      <c r="AL63" s="2334" t="s">
        <v>1315</v>
      </c>
      <c r="AM63" s="2334" t="s">
        <v>1315</v>
      </c>
      <c r="AO63" s="3966" t="s">
        <v>658</v>
      </c>
      <c r="AP63" s="3864" t="s">
        <v>12660</v>
      </c>
      <c r="AQ63" s="699" t="s">
        <v>11943</v>
      </c>
      <c r="AR63" s="699" t="s">
        <v>11947</v>
      </c>
      <c r="AS63" s="699"/>
      <c r="AT63" s="3619"/>
      <c r="AV63" s="4002" t="s">
        <v>656</v>
      </c>
      <c r="AW63" s="1161" t="s">
        <v>656</v>
      </c>
      <c r="AX63" s="2334">
        <v>350</v>
      </c>
      <c r="AY63" s="2334">
        <v>220</v>
      </c>
      <c r="AZ63" s="2334" t="s">
        <v>1165</v>
      </c>
      <c r="BA63" s="2334" t="s">
        <v>11874</v>
      </c>
      <c r="BB63" s="2334" t="s">
        <v>11874</v>
      </c>
      <c r="BC63" s="304" t="s">
        <v>11991</v>
      </c>
      <c r="BD63" s="304" t="s">
        <v>11992</v>
      </c>
      <c r="BE63" s="2334" t="s">
        <v>1315</v>
      </c>
    </row>
    <row r="64" spans="3:57">
      <c r="C64" s="1161" t="s">
        <v>659</v>
      </c>
      <c r="D64" s="84">
        <v>280</v>
      </c>
      <c r="E64" s="3865">
        <v>400</v>
      </c>
      <c r="G64" s="1161" t="s">
        <v>659</v>
      </c>
      <c r="H64" s="699" t="s">
        <v>11994</v>
      </c>
      <c r="I64" s="2334">
        <v>350</v>
      </c>
      <c r="J64" s="2334">
        <v>240</v>
      </c>
      <c r="K64" s="2334" t="s">
        <v>1165</v>
      </c>
      <c r="L64" s="2334">
        <v>300</v>
      </c>
      <c r="M64" s="2334" t="s">
        <v>11874</v>
      </c>
      <c r="N64" s="304" t="s">
        <v>6442</v>
      </c>
      <c r="O64" s="304" t="s">
        <v>11995</v>
      </c>
      <c r="P64" s="699" t="s">
        <v>11996</v>
      </c>
      <c r="Q64" s="286">
        <v>450</v>
      </c>
      <c r="R64" s="286">
        <v>320</v>
      </c>
      <c r="S64" s="286" t="s">
        <v>1165</v>
      </c>
      <c r="T64" s="286" t="s">
        <v>11874</v>
      </c>
      <c r="U64" s="286" t="s">
        <v>11874</v>
      </c>
      <c r="V64" s="304" t="s">
        <v>6442</v>
      </c>
      <c r="W64" s="304" t="s">
        <v>11997</v>
      </c>
      <c r="X64" s="2334" t="s">
        <v>1315</v>
      </c>
      <c r="Y64" s="2334" t="s">
        <v>1315</v>
      </c>
      <c r="Z64" s="2334" t="s">
        <v>1315</v>
      </c>
      <c r="AA64" s="2334" t="s">
        <v>1315</v>
      </c>
      <c r="AB64" s="2334" t="s">
        <v>1315</v>
      </c>
      <c r="AC64" s="2334" t="s">
        <v>1315</v>
      </c>
      <c r="AD64" s="2334" t="s">
        <v>1315</v>
      </c>
      <c r="AE64" s="2334" t="s">
        <v>1315</v>
      </c>
      <c r="AF64" s="2334" t="s">
        <v>1315</v>
      </c>
      <c r="AG64" s="2334" t="s">
        <v>1315</v>
      </c>
      <c r="AH64" s="2334" t="s">
        <v>1315</v>
      </c>
      <c r="AI64" s="2334" t="s">
        <v>1315</v>
      </c>
      <c r="AJ64" s="2334" t="s">
        <v>1315</v>
      </c>
      <c r="AK64" s="2334" t="s">
        <v>1315</v>
      </c>
      <c r="AL64" s="2334" t="s">
        <v>1315</v>
      </c>
      <c r="AM64" s="2334" t="s">
        <v>1315</v>
      </c>
      <c r="AO64" s="3966" t="s">
        <v>659</v>
      </c>
      <c r="AP64" s="3864" t="s">
        <v>12655</v>
      </c>
      <c r="AQ64" s="699" t="s">
        <v>11994</v>
      </c>
      <c r="AR64" s="699" t="s">
        <v>11996</v>
      </c>
      <c r="AS64" s="699"/>
      <c r="AT64" s="3619"/>
      <c r="AV64" s="4002" t="s">
        <v>657</v>
      </c>
      <c r="AW64" s="1161" t="s">
        <v>657</v>
      </c>
      <c r="AX64" s="2334">
        <v>400</v>
      </c>
      <c r="AY64" s="2334">
        <v>220</v>
      </c>
      <c r="AZ64" s="2334" t="s">
        <v>1165</v>
      </c>
      <c r="BA64" s="2334">
        <v>180</v>
      </c>
      <c r="BB64" s="2334" t="s">
        <v>11874</v>
      </c>
      <c r="BC64" s="304" t="s">
        <v>6442</v>
      </c>
      <c r="BD64" s="304" t="s">
        <v>11993</v>
      </c>
      <c r="BE64" s="286" t="s">
        <v>1315</v>
      </c>
    </row>
    <row r="65" spans="3:57">
      <c r="C65" s="1161" t="s">
        <v>660</v>
      </c>
      <c r="D65" s="84">
        <v>280</v>
      </c>
      <c r="E65" s="3865">
        <v>400</v>
      </c>
      <c r="G65" s="1161" t="s">
        <v>660</v>
      </c>
      <c r="H65" s="304" t="s">
        <v>11998</v>
      </c>
      <c r="I65" s="2334">
        <v>240</v>
      </c>
      <c r="J65" s="2334">
        <v>200</v>
      </c>
      <c r="K65" s="2334" t="s">
        <v>1165</v>
      </c>
      <c r="L65" s="2334" t="s">
        <v>11874</v>
      </c>
      <c r="M65" s="2334" t="s">
        <v>11874</v>
      </c>
      <c r="N65" s="304" t="s">
        <v>11987</v>
      </c>
      <c r="O65" s="304" t="s">
        <v>11999</v>
      </c>
      <c r="P65" s="304" t="s">
        <v>12000</v>
      </c>
      <c r="Q65" s="286">
        <v>800</v>
      </c>
      <c r="R65" s="286">
        <v>380</v>
      </c>
      <c r="S65" s="286" t="s">
        <v>1165</v>
      </c>
      <c r="T65" s="286" t="s">
        <v>11874</v>
      </c>
      <c r="U65" s="286" t="s">
        <v>11874</v>
      </c>
      <c r="V65" s="304" t="s">
        <v>11987</v>
      </c>
      <c r="W65" s="304" t="s">
        <v>12001</v>
      </c>
      <c r="X65" s="2334" t="s">
        <v>1315</v>
      </c>
      <c r="Y65" s="2334" t="s">
        <v>1315</v>
      </c>
      <c r="Z65" s="2334" t="s">
        <v>1315</v>
      </c>
      <c r="AA65" s="2334" t="s">
        <v>1315</v>
      </c>
      <c r="AB65" s="2334" t="s">
        <v>1315</v>
      </c>
      <c r="AC65" s="2334" t="s">
        <v>1315</v>
      </c>
      <c r="AD65" s="2334" t="s">
        <v>1315</v>
      </c>
      <c r="AE65" s="2334" t="s">
        <v>1315</v>
      </c>
      <c r="AF65" s="2334" t="s">
        <v>1315</v>
      </c>
      <c r="AG65" s="2334" t="s">
        <v>1315</v>
      </c>
      <c r="AH65" s="2334" t="s">
        <v>1315</v>
      </c>
      <c r="AI65" s="2334" t="s">
        <v>1315</v>
      </c>
      <c r="AJ65" s="2334" t="s">
        <v>1315</v>
      </c>
      <c r="AK65" s="2334" t="s">
        <v>1315</v>
      </c>
      <c r="AL65" s="2334" t="s">
        <v>1315</v>
      </c>
      <c r="AM65" s="2334" t="s">
        <v>1315</v>
      </c>
      <c r="AO65" s="3966" t="s">
        <v>660</v>
      </c>
      <c r="AP65" s="3864" t="s">
        <v>12645</v>
      </c>
      <c r="AQ65" s="699" t="s">
        <v>11998</v>
      </c>
      <c r="AR65" s="699" t="s">
        <v>12000</v>
      </c>
      <c r="AS65" s="699"/>
      <c r="AT65" s="3619"/>
      <c r="AV65" s="8209" t="s">
        <v>658</v>
      </c>
      <c r="AW65" s="699" t="s">
        <v>11943</v>
      </c>
      <c r="AX65" s="2334">
        <v>400</v>
      </c>
      <c r="AY65" s="2334">
        <v>240</v>
      </c>
      <c r="AZ65" s="2334" t="s">
        <v>1165</v>
      </c>
      <c r="BA65" s="2334">
        <v>200</v>
      </c>
      <c r="BB65" s="2334" t="s">
        <v>11874</v>
      </c>
      <c r="BC65" s="304" t="s">
        <v>6442</v>
      </c>
      <c r="BD65" s="304" t="s">
        <v>11944</v>
      </c>
      <c r="BE65" s="2334" t="s">
        <v>1315</v>
      </c>
    </row>
    <row r="66" spans="3:57">
      <c r="C66" s="1161" t="s">
        <v>661</v>
      </c>
      <c r="D66" s="84">
        <v>240</v>
      </c>
      <c r="E66" s="3865">
        <v>350</v>
      </c>
      <c r="G66" s="1161" t="s">
        <v>661</v>
      </c>
      <c r="H66" s="1161" t="s">
        <v>661</v>
      </c>
      <c r="I66" s="2334">
        <v>350</v>
      </c>
      <c r="J66" s="2334">
        <v>240</v>
      </c>
      <c r="K66" s="2334" t="s">
        <v>1166</v>
      </c>
      <c r="L66" s="2334" t="s">
        <v>11874</v>
      </c>
      <c r="M66" s="2334" t="s">
        <v>11874</v>
      </c>
      <c r="N66" s="304" t="s">
        <v>12002</v>
      </c>
      <c r="O66" s="304" t="s">
        <v>12003</v>
      </c>
      <c r="P66" s="2334" t="s">
        <v>1315</v>
      </c>
      <c r="Q66" s="286"/>
      <c r="R66" s="286"/>
      <c r="S66" s="286"/>
      <c r="T66" s="286"/>
      <c r="U66" s="286"/>
      <c r="V66" s="304"/>
      <c r="W66" s="304"/>
      <c r="X66" s="2334" t="s">
        <v>1315</v>
      </c>
      <c r="Y66" s="2334" t="s">
        <v>1315</v>
      </c>
      <c r="Z66" s="2334" t="s">
        <v>1315</v>
      </c>
      <c r="AA66" s="2334" t="s">
        <v>1315</v>
      </c>
      <c r="AB66" s="2334" t="s">
        <v>1315</v>
      </c>
      <c r="AC66" s="2334" t="s">
        <v>1315</v>
      </c>
      <c r="AD66" s="2334" t="s">
        <v>1315</v>
      </c>
      <c r="AE66" s="2334" t="s">
        <v>1315</v>
      </c>
      <c r="AF66" s="2334" t="s">
        <v>1315</v>
      </c>
      <c r="AG66" s="2334" t="s">
        <v>1315</v>
      </c>
      <c r="AH66" s="2334" t="s">
        <v>1315</v>
      </c>
      <c r="AI66" s="2334" t="s">
        <v>1315</v>
      </c>
      <c r="AJ66" s="2334" t="s">
        <v>1315</v>
      </c>
      <c r="AK66" s="2334" t="s">
        <v>1315</v>
      </c>
      <c r="AL66" s="2334" t="s">
        <v>1315</v>
      </c>
      <c r="AM66" s="2334" t="s">
        <v>1315</v>
      </c>
      <c r="AO66" s="3966" t="s">
        <v>661</v>
      </c>
      <c r="AP66" s="3864" t="s">
        <v>12658</v>
      </c>
      <c r="AQ66" s="304" t="s">
        <v>661</v>
      </c>
      <c r="AR66" s="699"/>
      <c r="AS66" s="699"/>
      <c r="AT66" s="3619"/>
      <c r="AV66" s="8209"/>
      <c r="AW66" s="699" t="s">
        <v>11947</v>
      </c>
      <c r="AX66" s="286">
        <v>500</v>
      </c>
      <c r="AY66" s="286">
        <v>280</v>
      </c>
      <c r="AZ66" s="286" t="s">
        <v>1165</v>
      </c>
      <c r="BA66" s="286">
        <v>240</v>
      </c>
      <c r="BB66" s="286" t="s">
        <v>11874</v>
      </c>
      <c r="BC66" s="304" t="s">
        <v>6442</v>
      </c>
      <c r="BD66" s="304" t="s">
        <v>11948</v>
      </c>
      <c r="BE66" s="286" t="s">
        <v>1315</v>
      </c>
    </row>
    <row r="67" spans="3:57">
      <c r="C67" s="1161" t="s">
        <v>662</v>
      </c>
      <c r="D67" s="84">
        <v>240</v>
      </c>
      <c r="E67" s="3865">
        <v>400</v>
      </c>
      <c r="G67" s="1161" t="s">
        <v>662</v>
      </c>
      <c r="H67" s="1161" t="s">
        <v>662</v>
      </c>
      <c r="I67" s="2334">
        <v>400</v>
      </c>
      <c r="J67" s="2334">
        <v>240</v>
      </c>
      <c r="K67" s="2334" t="s">
        <v>1165</v>
      </c>
      <c r="L67" s="2334" t="s">
        <v>11874</v>
      </c>
      <c r="M67" s="2334" t="s">
        <v>11874</v>
      </c>
      <c r="N67" s="304" t="s">
        <v>12004</v>
      </c>
      <c r="O67" s="304" t="s">
        <v>12005</v>
      </c>
      <c r="P67" s="2334" t="s">
        <v>1315</v>
      </c>
      <c r="Q67" s="2334" t="s">
        <v>1315</v>
      </c>
      <c r="R67" s="2334" t="s">
        <v>1315</v>
      </c>
      <c r="S67" s="2334" t="s">
        <v>1315</v>
      </c>
      <c r="T67" s="2334" t="s">
        <v>1315</v>
      </c>
      <c r="U67" s="2334" t="s">
        <v>1315</v>
      </c>
      <c r="V67" s="2334" t="s">
        <v>1315</v>
      </c>
      <c r="W67" s="2334" t="s">
        <v>1315</v>
      </c>
      <c r="X67" s="2334" t="s">
        <v>1315</v>
      </c>
      <c r="Y67" s="2334" t="s">
        <v>1315</v>
      </c>
      <c r="Z67" s="2334" t="s">
        <v>1315</v>
      </c>
      <c r="AA67" s="2334" t="s">
        <v>1315</v>
      </c>
      <c r="AB67" s="2334" t="s">
        <v>1315</v>
      </c>
      <c r="AC67" s="2334" t="s">
        <v>1315</v>
      </c>
      <c r="AD67" s="2334" t="s">
        <v>1315</v>
      </c>
      <c r="AE67" s="2334" t="s">
        <v>1315</v>
      </c>
      <c r="AF67" s="2334" t="s">
        <v>1315</v>
      </c>
      <c r="AG67" s="2334" t="s">
        <v>1315</v>
      </c>
      <c r="AH67" s="2334" t="s">
        <v>1315</v>
      </c>
      <c r="AI67" s="2334" t="s">
        <v>1315</v>
      </c>
      <c r="AJ67" s="2334" t="s">
        <v>1315</v>
      </c>
      <c r="AK67" s="2334" t="s">
        <v>1315</v>
      </c>
      <c r="AL67" s="2334" t="s">
        <v>1315</v>
      </c>
      <c r="AM67" s="2334" t="s">
        <v>1315</v>
      </c>
      <c r="AO67" s="3966" t="s">
        <v>662</v>
      </c>
      <c r="AP67" s="3864" t="s">
        <v>12634</v>
      </c>
      <c r="AQ67" s="304" t="s">
        <v>662</v>
      </c>
      <c r="AR67" s="699"/>
      <c r="AS67" s="699"/>
      <c r="AT67" s="3619"/>
      <c r="AV67" s="8209" t="s">
        <v>659</v>
      </c>
      <c r="AW67" s="699" t="s">
        <v>11994</v>
      </c>
      <c r="AX67" s="2334">
        <v>350</v>
      </c>
      <c r="AY67" s="2334">
        <v>240</v>
      </c>
      <c r="AZ67" s="2334" t="s">
        <v>1165</v>
      </c>
      <c r="BA67" s="2334">
        <v>300</v>
      </c>
      <c r="BB67" s="2334" t="s">
        <v>11874</v>
      </c>
      <c r="BC67" s="304" t="s">
        <v>6442</v>
      </c>
      <c r="BD67" s="304" t="s">
        <v>11995</v>
      </c>
      <c r="BE67" s="2334" t="s">
        <v>1315</v>
      </c>
    </row>
    <row r="68" spans="3:57">
      <c r="C68" s="1161" t="s">
        <v>663</v>
      </c>
      <c r="D68" s="84">
        <v>340</v>
      </c>
      <c r="E68" s="3865">
        <v>700</v>
      </c>
      <c r="G68" s="1161" t="s">
        <v>663</v>
      </c>
      <c r="H68" s="1161" t="s">
        <v>663</v>
      </c>
      <c r="I68" s="2334">
        <v>700</v>
      </c>
      <c r="J68" s="2334">
        <v>340</v>
      </c>
      <c r="K68" s="2334" t="s">
        <v>1165</v>
      </c>
      <c r="L68" s="2334">
        <v>340</v>
      </c>
      <c r="M68" s="2334" t="s">
        <v>11874</v>
      </c>
      <c r="N68" s="304" t="s">
        <v>12006</v>
      </c>
      <c r="O68" s="304" t="s">
        <v>12007</v>
      </c>
      <c r="P68" s="2334" t="s">
        <v>1315</v>
      </c>
      <c r="Q68" s="2334" t="s">
        <v>1315</v>
      </c>
      <c r="R68" s="2334" t="s">
        <v>1315</v>
      </c>
      <c r="S68" s="2334" t="s">
        <v>1315</v>
      </c>
      <c r="T68" s="2334" t="s">
        <v>1315</v>
      </c>
      <c r="U68" s="2334" t="s">
        <v>1315</v>
      </c>
      <c r="V68" s="2334" t="s">
        <v>1315</v>
      </c>
      <c r="W68" s="2334" t="s">
        <v>1315</v>
      </c>
      <c r="X68" s="2334" t="s">
        <v>1315</v>
      </c>
      <c r="Y68" s="2334" t="s">
        <v>1315</v>
      </c>
      <c r="Z68" s="2334" t="s">
        <v>1315</v>
      </c>
      <c r="AA68" s="2334" t="s">
        <v>1315</v>
      </c>
      <c r="AB68" s="2334" t="s">
        <v>1315</v>
      </c>
      <c r="AC68" s="2334" t="s">
        <v>1315</v>
      </c>
      <c r="AD68" s="2334" t="s">
        <v>1315</v>
      </c>
      <c r="AE68" s="2334" t="s">
        <v>1315</v>
      </c>
      <c r="AF68" s="2334" t="s">
        <v>1315</v>
      </c>
      <c r="AG68" s="2334" t="s">
        <v>1315</v>
      </c>
      <c r="AH68" s="2334" t="s">
        <v>1315</v>
      </c>
      <c r="AI68" s="2334" t="s">
        <v>1315</v>
      </c>
      <c r="AJ68" s="2334" t="s">
        <v>1315</v>
      </c>
      <c r="AK68" s="2334" t="s">
        <v>1315</v>
      </c>
      <c r="AL68" s="2334" t="s">
        <v>1315</v>
      </c>
      <c r="AM68" s="2334" t="s">
        <v>1315</v>
      </c>
      <c r="AO68" s="3966" t="s">
        <v>663</v>
      </c>
      <c r="AP68" s="3864" t="s">
        <v>12646</v>
      </c>
      <c r="AQ68" s="304" t="s">
        <v>663</v>
      </c>
      <c r="AR68" s="699"/>
      <c r="AS68" s="699"/>
      <c r="AT68" s="3619"/>
      <c r="AV68" s="8209"/>
      <c r="AW68" s="699" t="s">
        <v>11996</v>
      </c>
      <c r="AX68" s="286">
        <v>450</v>
      </c>
      <c r="AY68" s="286">
        <v>320</v>
      </c>
      <c r="AZ68" s="286" t="s">
        <v>1165</v>
      </c>
      <c r="BA68" s="286" t="s">
        <v>11874</v>
      </c>
      <c r="BB68" s="286" t="s">
        <v>11874</v>
      </c>
      <c r="BC68" s="304" t="s">
        <v>6442</v>
      </c>
      <c r="BD68" s="304" t="s">
        <v>11997</v>
      </c>
      <c r="BE68" s="286" t="s">
        <v>1315</v>
      </c>
    </row>
    <row r="69" spans="3:57">
      <c r="C69" s="1161" t="s">
        <v>664</v>
      </c>
      <c r="D69" s="84">
        <v>280</v>
      </c>
      <c r="E69" s="3865">
        <v>500</v>
      </c>
      <c r="G69" s="1161" t="s">
        <v>664</v>
      </c>
      <c r="H69" s="1161" t="s">
        <v>664</v>
      </c>
      <c r="I69" s="2334">
        <v>500</v>
      </c>
      <c r="J69" s="2334">
        <v>280</v>
      </c>
      <c r="K69" s="2334" t="s">
        <v>1165</v>
      </c>
      <c r="L69" s="2334">
        <v>260</v>
      </c>
      <c r="M69" s="2334" t="s">
        <v>11874</v>
      </c>
      <c r="N69" s="304" t="s">
        <v>12008</v>
      </c>
      <c r="O69" s="304" t="s">
        <v>12009</v>
      </c>
      <c r="P69" s="2334" t="s">
        <v>1315</v>
      </c>
      <c r="Q69" s="2334" t="s">
        <v>1315</v>
      </c>
      <c r="R69" s="2334" t="s">
        <v>1315</v>
      </c>
      <c r="S69" s="2334" t="s">
        <v>1315</v>
      </c>
      <c r="T69" s="2334" t="s">
        <v>1315</v>
      </c>
      <c r="U69" s="2334" t="s">
        <v>1315</v>
      </c>
      <c r="V69" s="2334" t="s">
        <v>1315</v>
      </c>
      <c r="W69" s="2334" t="s">
        <v>1315</v>
      </c>
      <c r="X69" s="2334" t="s">
        <v>1315</v>
      </c>
      <c r="Y69" s="2334" t="s">
        <v>1315</v>
      </c>
      <c r="Z69" s="2334" t="s">
        <v>1315</v>
      </c>
      <c r="AA69" s="2334" t="s">
        <v>1315</v>
      </c>
      <c r="AB69" s="2334" t="s">
        <v>1315</v>
      </c>
      <c r="AC69" s="2334" t="s">
        <v>1315</v>
      </c>
      <c r="AD69" s="2334" t="s">
        <v>1315</v>
      </c>
      <c r="AE69" s="2334" t="s">
        <v>1315</v>
      </c>
      <c r="AF69" s="2334" t="s">
        <v>1315</v>
      </c>
      <c r="AG69" s="2334" t="s">
        <v>1315</v>
      </c>
      <c r="AH69" s="2334" t="s">
        <v>1315</v>
      </c>
      <c r="AI69" s="2334" t="s">
        <v>1315</v>
      </c>
      <c r="AJ69" s="2334" t="s">
        <v>1315</v>
      </c>
      <c r="AK69" s="2334" t="s">
        <v>1315</v>
      </c>
      <c r="AL69" s="2334" t="s">
        <v>1315</v>
      </c>
      <c r="AM69" s="2334" t="s">
        <v>1315</v>
      </c>
      <c r="AO69" s="3966" t="s">
        <v>664</v>
      </c>
      <c r="AP69" s="3864" t="s">
        <v>12647</v>
      </c>
      <c r="AQ69" s="304" t="s">
        <v>664</v>
      </c>
      <c r="AR69" s="699"/>
      <c r="AS69" s="699"/>
      <c r="AT69" s="3619"/>
      <c r="AV69" s="8210" t="s">
        <v>660</v>
      </c>
      <c r="AW69" s="304" t="s">
        <v>11998</v>
      </c>
      <c r="AX69" s="2334">
        <v>240</v>
      </c>
      <c r="AY69" s="2334">
        <v>200</v>
      </c>
      <c r="AZ69" s="2334" t="s">
        <v>1165</v>
      </c>
      <c r="BA69" s="2334" t="s">
        <v>11874</v>
      </c>
      <c r="BB69" s="2334" t="s">
        <v>11874</v>
      </c>
      <c r="BC69" s="304" t="s">
        <v>11987</v>
      </c>
      <c r="BD69" s="304" t="s">
        <v>11999</v>
      </c>
      <c r="BE69" s="286" t="s">
        <v>1315</v>
      </c>
    </row>
    <row r="70" spans="3:57">
      <c r="C70" s="1161" t="s">
        <v>12010</v>
      </c>
      <c r="D70" s="84">
        <v>350</v>
      </c>
      <c r="E70" s="3865">
        <v>200</v>
      </c>
      <c r="G70" s="1161" t="s">
        <v>12010</v>
      </c>
      <c r="H70" s="699" t="s">
        <v>12011</v>
      </c>
      <c r="I70" s="2334">
        <v>350</v>
      </c>
      <c r="J70" s="2334">
        <v>200</v>
      </c>
      <c r="K70" s="2334" t="s">
        <v>1165</v>
      </c>
      <c r="L70" s="2334">
        <v>220</v>
      </c>
      <c r="M70" s="2334" t="s">
        <v>11874</v>
      </c>
      <c r="N70" s="304" t="s">
        <v>6442</v>
      </c>
      <c r="O70" s="304" t="s">
        <v>12012</v>
      </c>
      <c r="P70" s="304" t="s">
        <v>12013</v>
      </c>
      <c r="Q70" s="286">
        <v>650</v>
      </c>
      <c r="R70" s="286">
        <v>360</v>
      </c>
      <c r="S70" s="286" t="s">
        <v>1165</v>
      </c>
      <c r="T70" s="286">
        <v>340</v>
      </c>
      <c r="U70" s="286" t="s">
        <v>11874</v>
      </c>
      <c r="V70" s="304" t="s">
        <v>6442</v>
      </c>
      <c r="W70" s="304" t="s">
        <v>12014</v>
      </c>
      <c r="X70" s="2334" t="s">
        <v>1315</v>
      </c>
      <c r="Y70" s="2334" t="s">
        <v>1315</v>
      </c>
      <c r="Z70" s="2334" t="s">
        <v>1315</v>
      </c>
      <c r="AA70" s="2334" t="s">
        <v>1315</v>
      </c>
      <c r="AB70" s="2334" t="s">
        <v>1315</v>
      </c>
      <c r="AC70" s="2334" t="s">
        <v>1315</v>
      </c>
      <c r="AD70" s="2334" t="s">
        <v>1315</v>
      </c>
      <c r="AE70" s="2334" t="s">
        <v>1315</v>
      </c>
      <c r="AF70" s="2334" t="s">
        <v>1315</v>
      </c>
      <c r="AG70" s="2334" t="s">
        <v>1315</v>
      </c>
      <c r="AH70" s="2334" t="s">
        <v>1315</v>
      </c>
      <c r="AI70" s="2334" t="s">
        <v>1315</v>
      </c>
      <c r="AJ70" s="2334" t="s">
        <v>1315</v>
      </c>
      <c r="AK70" s="2334" t="s">
        <v>1315</v>
      </c>
      <c r="AL70" s="2334" t="s">
        <v>1315</v>
      </c>
      <c r="AM70" s="2334" t="s">
        <v>1315</v>
      </c>
      <c r="AO70" s="3966" t="s">
        <v>12010</v>
      </c>
      <c r="AP70" s="3864" t="s">
        <v>12635</v>
      </c>
      <c r="AQ70" s="699" t="s">
        <v>12011</v>
      </c>
      <c r="AR70" s="699" t="s">
        <v>12013</v>
      </c>
      <c r="AS70" s="699"/>
      <c r="AT70" s="3619"/>
      <c r="AV70" s="8210"/>
      <c r="AW70" s="304" t="s">
        <v>12000</v>
      </c>
      <c r="AX70" s="286">
        <v>800</v>
      </c>
      <c r="AY70" s="286">
        <v>380</v>
      </c>
      <c r="AZ70" s="286" t="s">
        <v>1165</v>
      </c>
      <c r="BA70" s="286" t="s">
        <v>11874</v>
      </c>
      <c r="BB70" s="286" t="s">
        <v>11874</v>
      </c>
      <c r="BC70" s="304" t="s">
        <v>11987</v>
      </c>
      <c r="BD70" s="304" t="s">
        <v>12001</v>
      </c>
      <c r="BE70" s="2334" t="s">
        <v>1315</v>
      </c>
    </row>
    <row r="71" spans="3:57">
      <c r="C71" s="1161" t="s">
        <v>665</v>
      </c>
      <c r="D71" s="84">
        <v>320</v>
      </c>
      <c r="E71" s="3865">
        <v>600</v>
      </c>
      <c r="G71" s="1161" t="s">
        <v>665</v>
      </c>
      <c r="H71" s="699" t="s">
        <v>12015</v>
      </c>
      <c r="I71" s="2334">
        <v>500</v>
      </c>
      <c r="J71" s="2334">
        <v>280</v>
      </c>
      <c r="K71" s="2334" t="s">
        <v>1166</v>
      </c>
      <c r="L71" s="2334" t="s">
        <v>11874</v>
      </c>
      <c r="M71" s="2334" t="s">
        <v>11874</v>
      </c>
      <c r="N71" s="304" t="s">
        <v>6442</v>
      </c>
      <c r="O71" s="304" t="s">
        <v>12016</v>
      </c>
      <c r="P71" s="304" t="s">
        <v>12017</v>
      </c>
      <c r="Q71" s="286">
        <v>700</v>
      </c>
      <c r="R71" s="286">
        <v>340</v>
      </c>
      <c r="S71" s="286" t="s">
        <v>1165</v>
      </c>
      <c r="T71" s="286" t="s">
        <v>11874</v>
      </c>
      <c r="U71" s="286" t="s">
        <v>11874</v>
      </c>
      <c r="V71" s="304" t="s">
        <v>12018</v>
      </c>
      <c r="W71" s="304" t="s">
        <v>12019</v>
      </c>
      <c r="X71" s="2334" t="s">
        <v>1315</v>
      </c>
      <c r="Y71" s="2334" t="s">
        <v>1315</v>
      </c>
      <c r="Z71" s="2334" t="s">
        <v>1315</v>
      </c>
      <c r="AA71" s="2334" t="s">
        <v>1315</v>
      </c>
      <c r="AB71" s="2334" t="s">
        <v>1315</v>
      </c>
      <c r="AC71" s="2334" t="s">
        <v>1315</v>
      </c>
      <c r="AD71" s="2334" t="s">
        <v>1315</v>
      </c>
      <c r="AE71" s="2334" t="s">
        <v>1315</v>
      </c>
      <c r="AF71" s="2334" t="s">
        <v>1315</v>
      </c>
      <c r="AG71" s="2334" t="s">
        <v>1315</v>
      </c>
      <c r="AH71" s="2334" t="s">
        <v>1315</v>
      </c>
      <c r="AI71" s="2334" t="s">
        <v>1315</v>
      </c>
      <c r="AJ71" s="2334" t="s">
        <v>1315</v>
      </c>
      <c r="AK71" s="2334" t="s">
        <v>1315</v>
      </c>
      <c r="AL71" s="2334" t="s">
        <v>1315</v>
      </c>
      <c r="AM71" s="2334" t="s">
        <v>1315</v>
      </c>
      <c r="AO71" s="3966" t="s">
        <v>665</v>
      </c>
      <c r="AP71" s="3864" t="s">
        <v>12648</v>
      </c>
      <c r="AQ71" s="699" t="s">
        <v>12015</v>
      </c>
      <c r="AR71" s="699" t="s">
        <v>12017</v>
      </c>
      <c r="AS71" s="699"/>
      <c r="AT71" s="3619"/>
      <c r="AV71" s="4005" t="s">
        <v>661</v>
      </c>
      <c r="AW71" s="1161" t="s">
        <v>661</v>
      </c>
      <c r="AX71" s="2334">
        <v>350</v>
      </c>
      <c r="AY71" s="2334">
        <v>240</v>
      </c>
      <c r="AZ71" s="2334" t="s">
        <v>1166</v>
      </c>
      <c r="BA71" s="2334" t="s">
        <v>11874</v>
      </c>
      <c r="BB71" s="2334" t="s">
        <v>11874</v>
      </c>
      <c r="BC71" s="304" t="s">
        <v>12002</v>
      </c>
      <c r="BD71" s="304" t="s">
        <v>12003</v>
      </c>
      <c r="BE71" s="2334" t="s">
        <v>1315</v>
      </c>
    </row>
    <row r="72" spans="3:57">
      <c r="C72" s="1161" t="s">
        <v>666</v>
      </c>
      <c r="D72" s="84">
        <v>320</v>
      </c>
      <c r="E72" s="3865">
        <v>550</v>
      </c>
      <c r="G72" s="1161" t="s">
        <v>666</v>
      </c>
      <c r="H72" s="699" t="s">
        <v>12020</v>
      </c>
      <c r="I72" s="2334">
        <v>400</v>
      </c>
      <c r="J72" s="2334">
        <v>280</v>
      </c>
      <c r="K72" s="2334" t="s">
        <v>1165</v>
      </c>
      <c r="L72" s="2334">
        <v>240</v>
      </c>
      <c r="M72" s="2334" t="s">
        <v>11874</v>
      </c>
      <c r="N72" s="304" t="s">
        <v>6442</v>
      </c>
      <c r="O72" s="304" t="s">
        <v>12021</v>
      </c>
      <c r="P72" s="304" t="s">
        <v>12022</v>
      </c>
      <c r="Q72" s="286">
        <v>700</v>
      </c>
      <c r="R72" s="286">
        <v>340</v>
      </c>
      <c r="S72" s="286" t="s">
        <v>1165</v>
      </c>
      <c r="T72" s="286" t="s">
        <v>12023</v>
      </c>
      <c r="U72" s="286" t="s">
        <v>11874</v>
      </c>
      <c r="V72" s="304" t="s">
        <v>6442</v>
      </c>
      <c r="W72" s="304" t="s">
        <v>12024</v>
      </c>
      <c r="X72" s="2334" t="s">
        <v>1315</v>
      </c>
      <c r="Y72" s="2334" t="s">
        <v>1315</v>
      </c>
      <c r="Z72" s="2334" t="s">
        <v>1315</v>
      </c>
      <c r="AA72" s="2334" t="s">
        <v>1315</v>
      </c>
      <c r="AB72" s="2334" t="s">
        <v>1315</v>
      </c>
      <c r="AC72" s="2334" t="s">
        <v>1315</v>
      </c>
      <c r="AD72" s="2334" t="s">
        <v>1315</v>
      </c>
      <c r="AE72" s="2334" t="s">
        <v>1315</v>
      </c>
      <c r="AF72" s="2334" t="s">
        <v>1315</v>
      </c>
      <c r="AG72" s="2334" t="s">
        <v>1315</v>
      </c>
      <c r="AH72" s="2334" t="s">
        <v>1315</v>
      </c>
      <c r="AI72" s="2334" t="s">
        <v>1315</v>
      </c>
      <c r="AJ72" s="2334" t="s">
        <v>1315</v>
      </c>
      <c r="AK72" s="2334" t="s">
        <v>1315</v>
      </c>
      <c r="AL72" s="2334" t="s">
        <v>1315</v>
      </c>
      <c r="AM72" s="2334" t="s">
        <v>1315</v>
      </c>
      <c r="AO72" s="3966" t="s">
        <v>666</v>
      </c>
      <c r="AP72" s="3864" t="s">
        <v>12636</v>
      </c>
      <c r="AQ72" s="699" t="s">
        <v>12020</v>
      </c>
      <c r="AR72" s="699" t="s">
        <v>12022</v>
      </c>
      <c r="AS72" s="699"/>
      <c r="AT72" s="3619"/>
      <c r="AV72" s="4005" t="s">
        <v>662</v>
      </c>
      <c r="AW72" s="1161" t="s">
        <v>662</v>
      </c>
      <c r="AX72" s="2334">
        <v>400</v>
      </c>
      <c r="AY72" s="2334">
        <v>240</v>
      </c>
      <c r="AZ72" s="2334" t="s">
        <v>1165</v>
      </c>
      <c r="BA72" s="2334" t="s">
        <v>11874</v>
      </c>
      <c r="BB72" s="2334" t="s">
        <v>11874</v>
      </c>
      <c r="BC72" s="304" t="s">
        <v>12004</v>
      </c>
      <c r="BD72" s="304" t="s">
        <v>12005</v>
      </c>
      <c r="BE72" s="2334" t="s">
        <v>1315</v>
      </c>
    </row>
    <row r="73" spans="3:57">
      <c r="C73" s="1161" t="s">
        <v>667</v>
      </c>
      <c r="D73" s="84">
        <v>280</v>
      </c>
      <c r="E73" s="3865">
        <v>500</v>
      </c>
      <c r="G73" s="1161" t="s">
        <v>667</v>
      </c>
      <c r="H73" s="699" t="s">
        <v>12025</v>
      </c>
      <c r="I73" s="2334">
        <v>350</v>
      </c>
      <c r="J73" s="2334">
        <v>240</v>
      </c>
      <c r="K73" s="2334" t="s">
        <v>1165</v>
      </c>
      <c r="L73" s="2334" t="s">
        <v>11874</v>
      </c>
      <c r="M73" s="2334" t="s">
        <v>11874</v>
      </c>
      <c r="N73" s="304" t="s">
        <v>12026</v>
      </c>
      <c r="O73" s="304" t="s">
        <v>12027</v>
      </c>
      <c r="P73" s="304" t="s">
        <v>12028</v>
      </c>
      <c r="Q73" s="286">
        <v>800</v>
      </c>
      <c r="R73" s="286">
        <v>380</v>
      </c>
      <c r="S73" s="286" t="s">
        <v>1165</v>
      </c>
      <c r="T73" s="286" t="s">
        <v>11874</v>
      </c>
      <c r="U73" s="286" t="s">
        <v>11874</v>
      </c>
      <c r="V73" s="304" t="s">
        <v>12029</v>
      </c>
      <c r="W73" s="304" t="s">
        <v>12030</v>
      </c>
      <c r="X73" s="2334" t="s">
        <v>1315</v>
      </c>
      <c r="Y73" s="2334" t="s">
        <v>1315</v>
      </c>
      <c r="Z73" s="2334" t="s">
        <v>1315</v>
      </c>
      <c r="AA73" s="2334" t="s">
        <v>1315</v>
      </c>
      <c r="AB73" s="2334" t="s">
        <v>1315</v>
      </c>
      <c r="AC73" s="2334" t="s">
        <v>1315</v>
      </c>
      <c r="AD73" s="2334" t="s">
        <v>1315</v>
      </c>
      <c r="AE73" s="2334" t="s">
        <v>1315</v>
      </c>
      <c r="AF73" s="2334" t="s">
        <v>1315</v>
      </c>
      <c r="AG73" s="2334" t="s">
        <v>1315</v>
      </c>
      <c r="AH73" s="2334" t="s">
        <v>1315</v>
      </c>
      <c r="AI73" s="2334" t="s">
        <v>1315</v>
      </c>
      <c r="AJ73" s="2334" t="s">
        <v>1315</v>
      </c>
      <c r="AK73" s="2334" t="s">
        <v>1315</v>
      </c>
      <c r="AL73" s="2334" t="s">
        <v>1315</v>
      </c>
      <c r="AM73" s="2334" t="s">
        <v>1315</v>
      </c>
      <c r="AO73" s="3966" t="s">
        <v>667</v>
      </c>
      <c r="AP73" s="3864" t="s">
        <v>12656</v>
      </c>
      <c r="AQ73" s="699" t="s">
        <v>12025</v>
      </c>
      <c r="AR73" s="699" t="s">
        <v>12028</v>
      </c>
      <c r="AS73" s="699"/>
      <c r="AT73" s="3619"/>
      <c r="AV73" s="4005" t="s">
        <v>663</v>
      </c>
      <c r="AW73" s="1161" t="s">
        <v>663</v>
      </c>
      <c r="AX73" s="2334">
        <v>700</v>
      </c>
      <c r="AY73" s="2334">
        <v>340</v>
      </c>
      <c r="AZ73" s="2334" t="s">
        <v>1165</v>
      </c>
      <c r="BA73" s="2334">
        <v>340</v>
      </c>
      <c r="BB73" s="2334" t="s">
        <v>11874</v>
      </c>
      <c r="BC73" s="304" t="s">
        <v>12006</v>
      </c>
      <c r="BD73" s="304" t="s">
        <v>12007</v>
      </c>
      <c r="BE73" s="2334" t="s">
        <v>1315</v>
      </c>
    </row>
    <row r="74" spans="3:57">
      <c r="C74" s="1161" t="s">
        <v>668</v>
      </c>
      <c r="D74" s="84">
        <v>280</v>
      </c>
      <c r="E74" s="3865">
        <v>500</v>
      </c>
      <c r="G74" s="1161" t="s">
        <v>668</v>
      </c>
      <c r="H74" s="699" t="s">
        <v>12031</v>
      </c>
      <c r="I74" s="2334">
        <v>350</v>
      </c>
      <c r="J74" s="2334">
        <v>240</v>
      </c>
      <c r="K74" s="2334" t="s">
        <v>1165</v>
      </c>
      <c r="L74" s="2334" t="s">
        <v>11874</v>
      </c>
      <c r="M74" s="2334" t="s">
        <v>11874</v>
      </c>
      <c r="N74" s="304" t="s">
        <v>12026</v>
      </c>
      <c r="O74" s="304" t="s">
        <v>12032</v>
      </c>
      <c r="P74" s="699" t="s">
        <v>12033</v>
      </c>
      <c r="Q74" s="2334">
        <v>800</v>
      </c>
      <c r="R74" s="2334">
        <v>380</v>
      </c>
      <c r="S74" s="2334" t="s">
        <v>1165</v>
      </c>
      <c r="T74" s="2334" t="s">
        <v>11874</v>
      </c>
      <c r="U74" s="2334" t="s">
        <v>11874</v>
      </c>
      <c r="V74" s="304" t="s">
        <v>12034</v>
      </c>
      <c r="W74" s="304" t="s">
        <v>12035</v>
      </c>
      <c r="X74" s="2334" t="s">
        <v>1315</v>
      </c>
      <c r="Y74" s="2334" t="s">
        <v>1315</v>
      </c>
      <c r="Z74" s="2334" t="s">
        <v>1315</v>
      </c>
      <c r="AA74" s="2334" t="s">
        <v>1315</v>
      </c>
      <c r="AB74" s="2334" t="s">
        <v>1315</v>
      </c>
      <c r="AC74" s="2334" t="s">
        <v>1315</v>
      </c>
      <c r="AD74" s="2334" t="s">
        <v>1315</v>
      </c>
      <c r="AE74" s="2334" t="s">
        <v>1315</v>
      </c>
      <c r="AF74" s="2334" t="s">
        <v>1315</v>
      </c>
      <c r="AG74" s="2334" t="s">
        <v>1315</v>
      </c>
      <c r="AH74" s="2334" t="s">
        <v>1315</v>
      </c>
      <c r="AI74" s="2334" t="s">
        <v>1315</v>
      </c>
      <c r="AJ74" s="2334" t="s">
        <v>1315</v>
      </c>
      <c r="AK74" s="2334" t="s">
        <v>1315</v>
      </c>
      <c r="AL74" s="2334" t="s">
        <v>1315</v>
      </c>
      <c r="AM74" s="2334" t="s">
        <v>1315</v>
      </c>
      <c r="AO74" s="3966" t="s">
        <v>668</v>
      </c>
      <c r="AP74" s="3864" t="s">
        <v>12657</v>
      </c>
      <c r="AQ74" s="699" t="s">
        <v>12031</v>
      </c>
      <c r="AR74" s="699" t="s">
        <v>12033</v>
      </c>
      <c r="AS74" s="699"/>
      <c r="AT74" s="3619"/>
      <c r="AV74" s="4005" t="s">
        <v>664</v>
      </c>
      <c r="AW74" s="1161" t="s">
        <v>664</v>
      </c>
      <c r="AX74" s="2334">
        <v>500</v>
      </c>
      <c r="AY74" s="2334">
        <v>280</v>
      </c>
      <c r="AZ74" s="2334" t="s">
        <v>1165</v>
      </c>
      <c r="BA74" s="2334">
        <v>260</v>
      </c>
      <c r="BB74" s="2334" t="s">
        <v>11874</v>
      </c>
      <c r="BC74" s="304" t="s">
        <v>12008</v>
      </c>
      <c r="BD74" s="304" t="s">
        <v>12009</v>
      </c>
      <c r="BE74" s="2334" t="s">
        <v>1315</v>
      </c>
    </row>
    <row r="75" spans="3:57">
      <c r="C75" s="1161" t="s">
        <v>669</v>
      </c>
      <c r="D75" s="84">
        <v>280</v>
      </c>
      <c r="E75" s="3865">
        <v>500</v>
      </c>
      <c r="G75" s="1161" t="s">
        <v>669</v>
      </c>
      <c r="H75" s="699" t="s">
        <v>12036</v>
      </c>
      <c r="I75" s="2334">
        <v>350</v>
      </c>
      <c r="J75" s="2334">
        <v>240</v>
      </c>
      <c r="K75" s="2334" t="s">
        <v>1165</v>
      </c>
      <c r="L75" s="2334" t="s">
        <v>11874</v>
      </c>
      <c r="M75" s="2334" t="s">
        <v>11874</v>
      </c>
      <c r="N75" s="304" t="s">
        <v>12026</v>
      </c>
      <c r="O75" s="304" t="s">
        <v>12037</v>
      </c>
      <c r="P75" s="304" t="s">
        <v>12038</v>
      </c>
      <c r="Q75" s="286">
        <v>800</v>
      </c>
      <c r="R75" s="286">
        <v>380</v>
      </c>
      <c r="S75" s="286" t="s">
        <v>1165</v>
      </c>
      <c r="T75" s="286" t="s">
        <v>11874</v>
      </c>
      <c r="U75" s="286" t="s">
        <v>11874</v>
      </c>
      <c r="V75" s="304" t="s">
        <v>12039</v>
      </c>
      <c r="W75" s="304" t="s">
        <v>12040</v>
      </c>
      <c r="X75" s="2334" t="s">
        <v>1315</v>
      </c>
      <c r="Y75" s="2334" t="s">
        <v>1315</v>
      </c>
      <c r="Z75" s="2334" t="s">
        <v>1315</v>
      </c>
      <c r="AA75" s="2334" t="s">
        <v>1315</v>
      </c>
      <c r="AB75" s="2334" t="s">
        <v>1315</v>
      </c>
      <c r="AC75" s="2334" t="s">
        <v>1315</v>
      </c>
      <c r="AD75" s="2334" t="s">
        <v>1315</v>
      </c>
      <c r="AE75" s="2334" t="s">
        <v>1315</v>
      </c>
      <c r="AF75" s="2334" t="s">
        <v>1315</v>
      </c>
      <c r="AG75" s="2334" t="s">
        <v>1315</v>
      </c>
      <c r="AH75" s="2334" t="s">
        <v>1315</v>
      </c>
      <c r="AI75" s="2334" t="s">
        <v>1315</v>
      </c>
      <c r="AJ75" s="2334" t="s">
        <v>1315</v>
      </c>
      <c r="AK75" s="2334" t="s">
        <v>1315</v>
      </c>
      <c r="AL75" s="2334" t="s">
        <v>1315</v>
      </c>
      <c r="AM75" s="2334" t="s">
        <v>1315</v>
      </c>
      <c r="AO75" s="3966" t="s">
        <v>669</v>
      </c>
      <c r="AP75" s="3864" t="s">
        <v>12651</v>
      </c>
      <c r="AQ75" s="699" t="s">
        <v>12036</v>
      </c>
      <c r="AR75" s="699" t="s">
        <v>12038</v>
      </c>
      <c r="AS75" s="699"/>
      <c r="AT75" s="3619"/>
      <c r="AV75" s="8210" t="s">
        <v>12010</v>
      </c>
      <c r="AW75" s="699" t="s">
        <v>12011</v>
      </c>
      <c r="AX75" s="2334">
        <v>350</v>
      </c>
      <c r="AY75" s="2334">
        <v>200</v>
      </c>
      <c r="AZ75" s="2334" t="s">
        <v>1165</v>
      </c>
      <c r="BA75" s="2334">
        <v>220</v>
      </c>
      <c r="BB75" s="2334" t="s">
        <v>11874</v>
      </c>
      <c r="BC75" s="304" t="s">
        <v>6442</v>
      </c>
      <c r="BD75" s="304" t="s">
        <v>12012</v>
      </c>
      <c r="BE75" s="2334" t="s">
        <v>1315</v>
      </c>
    </row>
    <row r="76" spans="3:57">
      <c r="C76" s="1161" t="s">
        <v>670</v>
      </c>
      <c r="D76" s="84">
        <v>400</v>
      </c>
      <c r="E76" s="3865">
        <v>800</v>
      </c>
      <c r="G76" s="1161" t="s">
        <v>670</v>
      </c>
      <c r="H76" s="699" t="s">
        <v>12041</v>
      </c>
      <c r="I76" s="2334">
        <v>300</v>
      </c>
      <c r="J76" s="2334">
        <v>220</v>
      </c>
      <c r="K76" s="2334" t="s">
        <v>1165</v>
      </c>
      <c r="L76" s="2334" t="s">
        <v>11874</v>
      </c>
      <c r="M76" s="2334" t="s">
        <v>11874</v>
      </c>
      <c r="N76" s="304" t="s">
        <v>12042</v>
      </c>
      <c r="O76" s="304" t="s">
        <v>12043</v>
      </c>
      <c r="P76" s="304" t="s">
        <v>9349</v>
      </c>
      <c r="Q76" s="286">
        <v>500</v>
      </c>
      <c r="R76" s="286">
        <v>280</v>
      </c>
      <c r="S76" s="286" t="s">
        <v>1165</v>
      </c>
      <c r="T76" s="286">
        <v>240</v>
      </c>
      <c r="U76" s="286" t="s">
        <v>11874</v>
      </c>
      <c r="V76" s="304" t="s">
        <v>12039</v>
      </c>
      <c r="W76" s="304" t="s">
        <v>12044</v>
      </c>
      <c r="X76" s="304" t="s">
        <v>12045</v>
      </c>
      <c r="Y76" s="286">
        <v>660</v>
      </c>
      <c r="Z76" s="286">
        <v>340</v>
      </c>
      <c r="AA76" s="304" t="s">
        <v>1165</v>
      </c>
      <c r="AB76" s="286">
        <v>300</v>
      </c>
      <c r="AC76" s="286" t="s">
        <v>11874</v>
      </c>
      <c r="AD76" s="304" t="s">
        <v>12046</v>
      </c>
      <c r="AE76" s="304" t="s">
        <v>12047</v>
      </c>
      <c r="AF76" s="304" t="s">
        <v>12048</v>
      </c>
      <c r="AG76" s="286">
        <v>880</v>
      </c>
      <c r="AH76" s="286">
        <v>400</v>
      </c>
      <c r="AI76" s="286" t="s">
        <v>1166</v>
      </c>
      <c r="AJ76" s="286" t="s">
        <v>11874</v>
      </c>
      <c r="AK76" s="286">
        <v>300</v>
      </c>
      <c r="AL76" s="304" t="s">
        <v>12049</v>
      </c>
      <c r="AM76" s="3592" t="s">
        <v>12050</v>
      </c>
      <c r="AO76" s="3966" t="s">
        <v>670</v>
      </c>
      <c r="AP76" s="3864" t="s">
        <v>12649</v>
      </c>
      <c r="AQ76" s="699" t="s">
        <v>12041</v>
      </c>
      <c r="AR76" s="699" t="s">
        <v>9349</v>
      </c>
      <c r="AS76" s="699" t="s">
        <v>12045</v>
      </c>
      <c r="AT76" s="3619" t="s">
        <v>12048</v>
      </c>
      <c r="AV76" s="8210"/>
      <c r="AW76" s="304" t="s">
        <v>12013</v>
      </c>
      <c r="AX76" s="286">
        <v>650</v>
      </c>
      <c r="AY76" s="286">
        <v>360</v>
      </c>
      <c r="AZ76" s="286" t="s">
        <v>1165</v>
      </c>
      <c r="BA76" s="286">
        <v>340</v>
      </c>
      <c r="BB76" s="286" t="s">
        <v>11874</v>
      </c>
      <c r="BC76" s="304" t="s">
        <v>6442</v>
      </c>
      <c r="BD76" s="304" t="s">
        <v>12014</v>
      </c>
      <c r="BE76" s="2334" t="s">
        <v>1315</v>
      </c>
    </row>
    <row r="77" spans="3:57">
      <c r="C77" s="1161" t="s">
        <v>671</v>
      </c>
      <c r="D77" s="84">
        <v>400</v>
      </c>
      <c r="E77" s="3865">
        <v>800</v>
      </c>
      <c r="G77" s="1161" t="s">
        <v>671</v>
      </c>
      <c r="H77" s="699" t="s">
        <v>12051</v>
      </c>
      <c r="I77" s="2334">
        <v>220</v>
      </c>
      <c r="J77" s="2334">
        <v>300</v>
      </c>
      <c r="K77" s="2334" t="s">
        <v>1165</v>
      </c>
      <c r="L77" s="2334" t="s">
        <v>11874</v>
      </c>
      <c r="M77" s="2334" t="s">
        <v>11874</v>
      </c>
      <c r="N77" s="304" t="s">
        <v>6442</v>
      </c>
      <c r="O77" s="304" t="s">
        <v>12052</v>
      </c>
      <c r="P77" s="304" t="s">
        <v>12053</v>
      </c>
      <c r="Q77" s="286">
        <v>500</v>
      </c>
      <c r="R77" s="286">
        <v>280</v>
      </c>
      <c r="S77" s="286" t="s">
        <v>1165</v>
      </c>
      <c r="T77" s="286" t="s">
        <v>11874</v>
      </c>
      <c r="U77" s="286">
        <v>300</v>
      </c>
      <c r="V77" s="304" t="s">
        <v>12039</v>
      </c>
      <c r="W77" s="304" t="s">
        <v>12054</v>
      </c>
      <c r="X77" s="304" t="s">
        <v>12055</v>
      </c>
      <c r="Y77" s="286">
        <v>660</v>
      </c>
      <c r="Z77" s="286">
        <v>340</v>
      </c>
      <c r="AA77" s="304" t="s">
        <v>1165</v>
      </c>
      <c r="AB77" s="286" t="s">
        <v>11874</v>
      </c>
      <c r="AC77" s="286" t="s">
        <v>11874</v>
      </c>
      <c r="AD77" s="304" t="s">
        <v>12046</v>
      </c>
      <c r="AE77" s="304" t="s">
        <v>12056</v>
      </c>
      <c r="AF77" s="304" t="s">
        <v>12057</v>
      </c>
      <c r="AG77" s="286">
        <v>880</v>
      </c>
      <c r="AH77" s="286">
        <v>400</v>
      </c>
      <c r="AI77" s="286" t="s">
        <v>1166</v>
      </c>
      <c r="AJ77" s="286">
        <v>280</v>
      </c>
      <c r="AK77" s="286">
        <v>300</v>
      </c>
      <c r="AL77" s="304" t="s">
        <v>12049</v>
      </c>
      <c r="AM77" s="3592" t="s">
        <v>12058</v>
      </c>
      <c r="AO77" s="3966" t="s">
        <v>671</v>
      </c>
      <c r="AP77" s="3864" t="s">
        <v>12650</v>
      </c>
      <c r="AQ77" s="699" t="s">
        <v>12051</v>
      </c>
      <c r="AR77" s="699" t="s">
        <v>12053</v>
      </c>
      <c r="AS77" s="699" t="s">
        <v>12055</v>
      </c>
      <c r="AT77" s="3619" t="s">
        <v>12057</v>
      </c>
      <c r="AV77" s="8210" t="s">
        <v>665</v>
      </c>
      <c r="AW77" s="699" t="s">
        <v>12015</v>
      </c>
      <c r="AX77" s="2334">
        <v>500</v>
      </c>
      <c r="AY77" s="2334">
        <v>280</v>
      </c>
      <c r="AZ77" s="2334" t="s">
        <v>1166</v>
      </c>
      <c r="BA77" s="2334" t="s">
        <v>11874</v>
      </c>
      <c r="BB77" s="2334" t="s">
        <v>11874</v>
      </c>
      <c r="BC77" s="304" t="s">
        <v>6442</v>
      </c>
      <c r="BD77" s="304" t="s">
        <v>12016</v>
      </c>
      <c r="BE77" s="2334" t="s">
        <v>1315</v>
      </c>
    </row>
    <row r="78" spans="3:57">
      <c r="C78" s="1161" t="s">
        <v>672</v>
      </c>
      <c r="D78" s="84">
        <v>400</v>
      </c>
      <c r="E78" s="3865">
        <v>800</v>
      </c>
      <c r="G78" s="1161" t="s">
        <v>672</v>
      </c>
      <c r="H78" s="699" t="s">
        <v>12059</v>
      </c>
      <c r="I78" s="2334">
        <v>300</v>
      </c>
      <c r="J78" s="2334">
        <v>220</v>
      </c>
      <c r="K78" s="2334" t="s">
        <v>1165</v>
      </c>
      <c r="L78" s="2334" t="s">
        <v>11874</v>
      </c>
      <c r="M78" s="2334" t="s">
        <v>11874</v>
      </c>
      <c r="N78" s="304" t="s">
        <v>12060</v>
      </c>
      <c r="O78" s="304" t="s">
        <v>12061</v>
      </c>
      <c r="P78" s="304" t="s">
        <v>12062</v>
      </c>
      <c r="Q78" s="286">
        <v>400</v>
      </c>
      <c r="R78" s="286">
        <v>280</v>
      </c>
      <c r="S78" s="286" t="s">
        <v>1165</v>
      </c>
      <c r="T78" s="286">
        <v>260</v>
      </c>
      <c r="U78" s="286" t="s">
        <v>11874</v>
      </c>
      <c r="V78" s="304" t="s">
        <v>12063</v>
      </c>
      <c r="W78" s="304" t="s">
        <v>12064</v>
      </c>
      <c r="X78" s="304" t="s">
        <v>12065</v>
      </c>
      <c r="Y78" s="286">
        <v>660</v>
      </c>
      <c r="Z78" s="286">
        <v>340</v>
      </c>
      <c r="AA78" s="304" t="s">
        <v>1165</v>
      </c>
      <c r="AB78" s="286">
        <v>300</v>
      </c>
      <c r="AC78" s="286" t="s">
        <v>11874</v>
      </c>
      <c r="AD78" s="304" t="s">
        <v>12046</v>
      </c>
      <c r="AE78" s="304" t="s">
        <v>12066</v>
      </c>
      <c r="AF78" s="304" t="s">
        <v>12067</v>
      </c>
      <c r="AG78" s="286">
        <v>880</v>
      </c>
      <c r="AH78" s="286">
        <v>400</v>
      </c>
      <c r="AI78" s="286" t="s">
        <v>1166</v>
      </c>
      <c r="AJ78" s="286" t="s">
        <v>11874</v>
      </c>
      <c r="AK78" s="286">
        <v>300</v>
      </c>
      <c r="AL78" s="304" t="s">
        <v>12049</v>
      </c>
      <c r="AM78" s="3592" t="s">
        <v>12068</v>
      </c>
      <c r="AO78" s="3966" t="s">
        <v>672</v>
      </c>
      <c r="AP78" s="3864" t="s">
        <v>12642</v>
      </c>
      <c r="AQ78" s="699" t="s">
        <v>12059</v>
      </c>
      <c r="AR78" s="699" t="s">
        <v>12062</v>
      </c>
      <c r="AS78" s="699" t="s">
        <v>12065</v>
      </c>
      <c r="AT78" s="3619" t="s">
        <v>12067</v>
      </c>
      <c r="AV78" s="8210"/>
      <c r="AW78" s="304" t="s">
        <v>12017</v>
      </c>
      <c r="AX78" s="286">
        <v>700</v>
      </c>
      <c r="AY78" s="286">
        <v>340</v>
      </c>
      <c r="AZ78" s="286" t="s">
        <v>1165</v>
      </c>
      <c r="BA78" s="286" t="s">
        <v>11874</v>
      </c>
      <c r="BB78" s="286" t="s">
        <v>11874</v>
      </c>
      <c r="BC78" s="304" t="s">
        <v>12018</v>
      </c>
      <c r="BD78" s="304" t="s">
        <v>12019</v>
      </c>
      <c r="BE78" s="2334" t="s">
        <v>1315</v>
      </c>
    </row>
    <row r="79" spans="3:57">
      <c r="C79" s="1161" t="s">
        <v>673</v>
      </c>
      <c r="D79" s="84">
        <v>400</v>
      </c>
      <c r="E79" s="3865">
        <v>800</v>
      </c>
      <c r="G79" s="1161" t="s">
        <v>673</v>
      </c>
      <c r="H79" s="699" t="s">
        <v>6052</v>
      </c>
      <c r="I79" s="2334">
        <v>300</v>
      </c>
      <c r="J79" s="2334">
        <v>220</v>
      </c>
      <c r="K79" s="2334" t="s">
        <v>1166</v>
      </c>
      <c r="L79" s="2334" t="s">
        <v>11874</v>
      </c>
      <c r="M79" s="2334" t="s">
        <v>11874</v>
      </c>
      <c r="N79" s="304" t="s">
        <v>12069</v>
      </c>
      <c r="O79" s="304" t="s">
        <v>12070</v>
      </c>
      <c r="P79" s="699" t="s">
        <v>12071</v>
      </c>
      <c r="Q79" s="2334">
        <v>500</v>
      </c>
      <c r="R79" s="2334">
        <v>280</v>
      </c>
      <c r="S79" s="2334" t="s">
        <v>1165</v>
      </c>
      <c r="T79" s="2334">
        <v>300</v>
      </c>
      <c r="U79" s="2334" t="s">
        <v>11874</v>
      </c>
      <c r="V79" s="304" t="s">
        <v>6442</v>
      </c>
      <c r="W79" s="304" t="s">
        <v>12072</v>
      </c>
      <c r="X79" s="304" t="s">
        <v>12073</v>
      </c>
      <c r="Y79" s="286">
        <v>660</v>
      </c>
      <c r="Z79" s="286">
        <v>340</v>
      </c>
      <c r="AA79" s="304" t="s">
        <v>1165</v>
      </c>
      <c r="AB79" s="286" t="s">
        <v>11874</v>
      </c>
      <c r="AC79" s="286" t="s">
        <v>11874</v>
      </c>
      <c r="AD79" s="304" t="s">
        <v>12046</v>
      </c>
      <c r="AE79" s="304" t="s">
        <v>12074</v>
      </c>
      <c r="AF79" s="304" t="s">
        <v>12075</v>
      </c>
      <c r="AG79" s="286">
        <v>880</v>
      </c>
      <c r="AH79" s="286">
        <v>400</v>
      </c>
      <c r="AI79" s="286" t="s">
        <v>1166</v>
      </c>
      <c r="AJ79" s="286" t="s">
        <v>11874</v>
      </c>
      <c r="AK79" s="286" t="s">
        <v>11874</v>
      </c>
      <c r="AL79" s="304" t="s">
        <v>12049</v>
      </c>
      <c r="AM79" s="3592" t="s">
        <v>12076</v>
      </c>
      <c r="AO79" s="3966" t="s">
        <v>673</v>
      </c>
      <c r="AP79" s="3864" t="s">
        <v>12643</v>
      </c>
      <c r="AQ79" s="699" t="s">
        <v>6052</v>
      </c>
      <c r="AR79" s="699" t="s">
        <v>12071</v>
      </c>
      <c r="AS79" s="699" t="s">
        <v>12073</v>
      </c>
      <c r="AT79" s="3619" t="s">
        <v>12075</v>
      </c>
      <c r="AV79" s="8210" t="s">
        <v>666</v>
      </c>
      <c r="AW79" s="699" t="s">
        <v>12020</v>
      </c>
      <c r="AX79" s="2334">
        <v>400</v>
      </c>
      <c r="AY79" s="2334">
        <v>280</v>
      </c>
      <c r="AZ79" s="2334" t="s">
        <v>1165</v>
      </c>
      <c r="BA79" s="2334">
        <v>240</v>
      </c>
      <c r="BB79" s="2334" t="s">
        <v>11874</v>
      </c>
      <c r="BC79" s="304" t="s">
        <v>6442</v>
      </c>
      <c r="BD79" s="304" t="s">
        <v>12021</v>
      </c>
      <c r="BE79" s="2334" t="s">
        <v>1315</v>
      </c>
    </row>
    <row r="80" spans="3:57">
      <c r="C80" s="1161" t="s">
        <v>674</v>
      </c>
      <c r="D80" s="84">
        <v>440</v>
      </c>
      <c r="E80" s="3865">
        <v>800</v>
      </c>
      <c r="G80" s="1161" t="s">
        <v>674</v>
      </c>
      <c r="H80" s="699" t="s">
        <v>12077</v>
      </c>
      <c r="I80" s="2334">
        <v>1000</v>
      </c>
      <c r="J80" s="2334">
        <v>440</v>
      </c>
      <c r="K80" s="2334" t="s">
        <v>1165</v>
      </c>
      <c r="L80" s="2334" t="s">
        <v>11874</v>
      </c>
      <c r="M80" s="2334" t="s">
        <v>11874</v>
      </c>
      <c r="N80" s="304" t="s">
        <v>12078</v>
      </c>
      <c r="O80" s="304" t="s">
        <v>12079</v>
      </c>
      <c r="P80" s="2334" t="s">
        <v>1315</v>
      </c>
      <c r="Q80" s="2334" t="s">
        <v>1315</v>
      </c>
      <c r="R80" s="2334" t="s">
        <v>1315</v>
      </c>
      <c r="S80" s="2334" t="s">
        <v>1315</v>
      </c>
      <c r="T80" s="2334" t="s">
        <v>1315</v>
      </c>
      <c r="U80" s="2334" t="s">
        <v>1315</v>
      </c>
      <c r="V80" s="2334" t="s">
        <v>1315</v>
      </c>
      <c r="W80" s="2334" t="s">
        <v>1315</v>
      </c>
      <c r="X80" s="2334" t="s">
        <v>1315</v>
      </c>
      <c r="Y80" s="2334" t="s">
        <v>1315</v>
      </c>
      <c r="Z80" s="2334" t="s">
        <v>1315</v>
      </c>
      <c r="AA80" s="2334" t="s">
        <v>1315</v>
      </c>
      <c r="AB80" s="2334" t="s">
        <v>1315</v>
      </c>
      <c r="AC80" s="2334" t="s">
        <v>1315</v>
      </c>
      <c r="AD80" s="2334" t="s">
        <v>1315</v>
      </c>
      <c r="AE80" s="2334" t="s">
        <v>1315</v>
      </c>
      <c r="AF80" s="2334" t="s">
        <v>1315</v>
      </c>
      <c r="AG80" s="2334" t="s">
        <v>1315</v>
      </c>
      <c r="AH80" s="2334" t="s">
        <v>1315</v>
      </c>
      <c r="AI80" s="2334" t="s">
        <v>1315</v>
      </c>
      <c r="AJ80" s="2334" t="s">
        <v>1315</v>
      </c>
      <c r="AK80" s="2334" t="s">
        <v>1315</v>
      </c>
      <c r="AL80" s="2334" t="s">
        <v>1315</v>
      </c>
      <c r="AM80" s="2334" t="s">
        <v>1315</v>
      </c>
      <c r="AO80" s="3966" t="s">
        <v>674</v>
      </c>
      <c r="AP80" s="3864" t="s">
        <v>12641</v>
      </c>
      <c r="AQ80" s="699" t="s">
        <v>12077</v>
      </c>
      <c r="AR80" s="699"/>
      <c r="AS80" s="699"/>
      <c r="AT80" s="3619"/>
      <c r="AV80" s="8210"/>
      <c r="AW80" s="304" t="s">
        <v>12022</v>
      </c>
      <c r="AX80" s="286">
        <v>700</v>
      </c>
      <c r="AY80" s="286">
        <v>340</v>
      </c>
      <c r="AZ80" s="286" t="s">
        <v>1165</v>
      </c>
      <c r="BA80" s="286" t="s">
        <v>12023</v>
      </c>
      <c r="BB80" s="286" t="s">
        <v>11874</v>
      </c>
      <c r="BC80" s="304" t="s">
        <v>6442</v>
      </c>
      <c r="BD80" s="304" t="s">
        <v>12024</v>
      </c>
      <c r="BE80" s="2334" t="s">
        <v>1315</v>
      </c>
    </row>
    <row r="81" spans="3:57">
      <c r="C81" s="1161" t="s">
        <v>675</v>
      </c>
      <c r="D81" s="84">
        <v>240</v>
      </c>
      <c r="E81" s="3865">
        <v>800</v>
      </c>
      <c r="G81" s="1161" t="s">
        <v>675</v>
      </c>
      <c r="H81" s="1161" t="s">
        <v>675</v>
      </c>
      <c r="I81" s="2334">
        <v>800</v>
      </c>
      <c r="J81" s="2334">
        <v>240</v>
      </c>
      <c r="K81" s="2334" t="s">
        <v>1165</v>
      </c>
      <c r="L81" s="2334" t="s">
        <v>11874</v>
      </c>
      <c r="M81" s="2334" t="s">
        <v>11874</v>
      </c>
      <c r="N81" s="304" t="s">
        <v>12080</v>
      </c>
      <c r="O81" s="304" t="s">
        <v>12081</v>
      </c>
      <c r="P81" s="2334" t="s">
        <v>1315</v>
      </c>
      <c r="Q81" s="2334" t="s">
        <v>1315</v>
      </c>
      <c r="R81" s="2334" t="s">
        <v>1315</v>
      </c>
      <c r="S81" s="2334" t="s">
        <v>1315</v>
      </c>
      <c r="T81" s="2334" t="s">
        <v>1315</v>
      </c>
      <c r="U81" s="2334" t="s">
        <v>1315</v>
      </c>
      <c r="V81" s="2334" t="s">
        <v>1315</v>
      </c>
      <c r="W81" s="2334" t="s">
        <v>1315</v>
      </c>
      <c r="X81" s="2334" t="s">
        <v>1315</v>
      </c>
      <c r="Y81" s="2334" t="s">
        <v>1315</v>
      </c>
      <c r="Z81" s="2334" t="s">
        <v>1315</v>
      </c>
      <c r="AA81" s="2334" t="s">
        <v>1315</v>
      </c>
      <c r="AB81" s="2334" t="s">
        <v>1315</v>
      </c>
      <c r="AC81" s="2334" t="s">
        <v>1315</v>
      </c>
      <c r="AD81" s="2334" t="s">
        <v>1315</v>
      </c>
      <c r="AE81" s="2334" t="s">
        <v>1315</v>
      </c>
      <c r="AF81" s="2334" t="s">
        <v>1315</v>
      </c>
      <c r="AG81" s="2334" t="s">
        <v>1315</v>
      </c>
      <c r="AH81" s="2334" t="s">
        <v>1315</v>
      </c>
      <c r="AI81" s="2334" t="s">
        <v>1315</v>
      </c>
      <c r="AJ81" s="2334" t="s">
        <v>1315</v>
      </c>
      <c r="AK81" s="2334" t="s">
        <v>1315</v>
      </c>
      <c r="AL81" s="2334" t="s">
        <v>1315</v>
      </c>
      <c r="AM81" s="2334" t="s">
        <v>1315</v>
      </c>
      <c r="AO81" s="3966" t="s">
        <v>675</v>
      </c>
      <c r="AP81" s="3864" t="s">
        <v>12637</v>
      </c>
      <c r="AQ81" s="699" t="s">
        <v>675</v>
      </c>
      <c r="AR81" s="699"/>
      <c r="AS81" s="699"/>
      <c r="AT81" s="3619"/>
      <c r="AV81" s="8210" t="s">
        <v>667</v>
      </c>
      <c r="AW81" s="699" t="s">
        <v>12025</v>
      </c>
      <c r="AX81" s="2334">
        <v>350</v>
      </c>
      <c r="AY81" s="2334">
        <v>240</v>
      </c>
      <c r="AZ81" s="2334" t="s">
        <v>1165</v>
      </c>
      <c r="BA81" s="2334" t="s">
        <v>11874</v>
      </c>
      <c r="BB81" s="2334" t="s">
        <v>11874</v>
      </c>
      <c r="BC81" s="304" t="s">
        <v>12026</v>
      </c>
      <c r="BD81" s="304" t="s">
        <v>12027</v>
      </c>
      <c r="BE81" s="2334" t="s">
        <v>1315</v>
      </c>
    </row>
    <row r="82" spans="3:57">
      <c r="C82" s="1161" t="s">
        <v>676</v>
      </c>
      <c r="D82" s="84">
        <v>400</v>
      </c>
      <c r="E82" s="3865">
        <v>800</v>
      </c>
      <c r="G82" s="1161" t="s">
        <v>676</v>
      </c>
      <c r="H82" s="699" t="s">
        <v>12082</v>
      </c>
      <c r="I82" s="2334">
        <v>500</v>
      </c>
      <c r="J82" s="2334">
        <v>280</v>
      </c>
      <c r="K82" s="2334" t="s">
        <v>1165</v>
      </c>
      <c r="L82" s="2334" t="s">
        <v>11874</v>
      </c>
      <c r="M82" s="2334" t="s">
        <v>11874</v>
      </c>
      <c r="N82" s="304" t="s">
        <v>12083</v>
      </c>
      <c r="O82" s="304" t="s">
        <v>12084</v>
      </c>
      <c r="P82" s="304" t="s">
        <v>12085</v>
      </c>
      <c r="Q82" s="286">
        <v>900</v>
      </c>
      <c r="R82" s="286">
        <v>400</v>
      </c>
      <c r="S82" s="2334" t="s">
        <v>1165</v>
      </c>
      <c r="T82" s="286" t="s">
        <v>11874</v>
      </c>
      <c r="U82" s="286">
        <v>400</v>
      </c>
      <c r="V82" s="304" t="s">
        <v>11895</v>
      </c>
      <c r="W82" s="304" t="s">
        <v>12086</v>
      </c>
      <c r="X82" s="304" t="s">
        <v>12087</v>
      </c>
      <c r="Y82" s="304">
        <v>1200</v>
      </c>
      <c r="Z82" s="304">
        <v>500</v>
      </c>
      <c r="AA82" s="2334" t="s">
        <v>1165</v>
      </c>
      <c r="AB82" s="304" t="s">
        <v>11874</v>
      </c>
      <c r="AC82" s="304" t="s">
        <v>11874</v>
      </c>
      <c r="AD82" s="304" t="s">
        <v>12088</v>
      </c>
      <c r="AE82" s="304" t="s">
        <v>12089</v>
      </c>
      <c r="AF82" s="2334" t="s">
        <v>1315</v>
      </c>
      <c r="AG82" s="2334" t="s">
        <v>1315</v>
      </c>
      <c r="AH82" s="2334" t="s">
        <v>1315</v>
      </c>
      <c r="AI82" s="2334" t="s">
        <v>1315</v>
      </c>
      <c r="AJ82" s="2334" t="s">
        <v>1315</v>
      </c>
      <c r="AK82" s="2334" t="s">
        <v>1315</v>
      </c>
      <c r="AL82" s="2334" t="s">
        <v>1315</v>
      </c>
      <c r="AM82" s="2334" t="s">
        <v>1315</v>
      </c>
      <c r="AO82" s="3966" t="s">
        <v>676</v>
      </c>
      <c r="AP82" s="3864" t="s">
        <v>12640</v>
      </c>
      <c r="AQ82" s="699" t="s">
        <v>12082</v>
      </c>
      <c r="AR82" s="699" t="s">
        <v>12661</v>
      </c>
      <c r="AS82" s="699" t="s">
        <v>12662</v>
      </c>
      <c r="AT82" s="3619"/>
      <c r="AV82" s="8210"/>
      <c r="AW82" s="304" t="s">
        <v>12028</v>
      </c>
      <c r="AX82" s="286">
        <v>800</v>
      </c>
      <c r="AY82" s="286">
        <v>380</v>
      </c>
      <c r="AZ82" s="286" t="s">
        <v>1165</v>
      </c>
      <c r="BA82" s="286" t="s">
        <v>11874</v>
      </c>
      <c r="BB82" s="286" t="s">
        <v>11874</v>
      </c>
      <c r="BC82" s="304" t="s">
        <v>12029</v>
      </c>
      <c r="BD82" s="304" t="s">
        <v>12030</v>
      </c>
      <c r="BE82" s="2334" t="s">
        <v>1315</v>
      </c>
    </row>
    <row r="83" spans="3:57">
      <c r="C83" s="1161" t="s">
        <v>9638</v>
      </c>
      <c r="D83" s="84">
        <v>320</v>
      </c>
      <c r="E83" s="3865">
        <v>600</v>
      </c>
      <c r="G83" s="1161" t="s">
        <v>9638</v>
      </c>
      <c r="H83" s="699" t="s">
        <v>12090</v>
      </c>
      <c r="I83" s="2334">
        <v>450</v>
      </c>
      <c r="J83" s="2334">
        <v>300</v>
      </c>
      <c r="K83" s="2334" t="s">
        <v>1165</v>
      </c>
      <c r="L83" s="2334">
        <v>280</v>
      </c>
      <c r="M83" s="2334" t="s">
        <v>11874</v>
      </c>
      <c r="N83" s="304" t="s">
        <v>12091</v>
      </c>
      <c r="O83" s="304" t="s">
        <v>12092</v>
      </c>
      <c r="P83" s="2334" t="s">
        <v>1315</v>
      </c>
      <c r="Q83" s="2334" t="s">
        <v>1315</v>
      </c>
      <c r="R83" s="2334" t="s">
        <v>1315</v>
      </c>
      <c r="S83" s="2334" t="s">
        <v>1315</v>
      </c>
      <c r="T83" s="2334" t="s">
        <v>1315</v>
      </c>
      <c r="U83" s="2334" t="s">
        <v>1315</v>
      </c>
      <c r="V83" s="2334" t="s">
        <v>1315</v>
      </c>
      <c r="W83" s="2334" t="s">
        <v>1315</v>
      </c>
      <c r="X83" s="2334" t="s">
        <v>1315</v>
      </c>
      <c r="Y83" s="2334" t="s">
        <v>1315</v>
      </c>
      <c r="Z83" s="2334" t="s">
        <v>1315</v>
      </c>
      <c r="AA83" s="2334" t="s">
        <v>1315</v>
      </c>
      <c r="AB83" s="2334" t="s">
        <v>1315</v>
      </c>
      <c r="AC83" s="2334" t="s">
        <v>1315</v>
      </c>
      <c r="AD83" s="2334" t="s">
        <v>1315</v>
      </c>
      <c r="AE83" s="2334" t="s">
        <v>1315</v>
      </c>
      <c r="AF83" s="2334" t="s">
        <v>1315</v>
      </c>
      <c r="AG83" s="2334" t="s">
        <v>1315</v>
      </c>
      <c r="AH83" s="2334" t="s">
        <v>1315</v>
      </c>
      <c r="AI83" s="2334" t="s">
        <v>1315</v>
      </c>
      <c r="AJ83" s="2334" t="s">
        <v>1315</v>
      </c>
      <c r="AK83" s="2334" t="s">
        <v>1315</v>
      </c>
      <c r="AL83" s="2334" t="s">
        <v>1315</v>
      </c>
      <c r="AM83" s="2334" t="s">
        <v>1315</v>
      </c>
      <c r="AO83" s="3966" t="s">
        <v>9638</v>
      </c>
      <c r="AP83" s="3864" t="s">
        <v>12638</v>
      </c>
      <c r="AQ83" s="699" t="s">
        <v>12090</v>
      </c>
      <c r="AR83" s="699"/>
      <c r="AS83" s="699"/>
      <c r="AT83" s="3619"/>
      <c r="AV83" s="8210" t="s">
        <v>668</v>
      </c>
      <c r="AW83" s="699" t="s">
        <v>12031</v>
      </c>
      <c r="AX83" s="2334">
        <v>350</v>
      </c>
      <c r="AY83" s="2334">
        <v>240</v>
      </c>
      <c r="AZ83" s="2334" t="s">
        <v>1165</v>
      </c>
      <c r="BA83" s="2334" t="s">
        <v>11874</v>
      </c>
      <c r="BB83" s="2334" t="s">
        <v>11874</v>
      </c>
      <c r="BC83" s="304" t="s">
        <v>12026</v>
      </c>
      <c r="BD83" s="304" t="s">
        <v>12032</v>
      </c>
      <c r="BE83" s="2334" t="s">
        <v>1315</v>
      </c>
    </row>
    <row r="84" spans="3:57" ht="13.5" thickBot="1">
      <c r="C84" s="1161" t="s">
        <v>9639</v>
      </c>
      <c r="D84" s="84">
        <v>280</v>
      </c>
      <c r="E84" s="3865">
        <v>600</v>
      </c>
      <c r="G84" s="1161" t="s">
        <v>9639</v>
      </c>
      <c r="H84" s="699" t="s">
        <v>12093</v>
      </c>
      <c r="I84" s="2334">
        <v>250</v>
      </c>
      <c r="J84" s="2334">
        <v>200</v>
      </c>
      <c r="K84" s="2334" t="s">
        <v>1165</v>
      </c>
      <c r="L84" s="2334">
        <v>150</v>
      </c>
      <c r="M84" s="2334" t="s">
        <v>11874</v>
      </c>
      <c r="N84" s="304" t="s">
        <v>6442</v>
      </c>
      <c r="O84" s="304" t="s">
        <v>12094</v>
      </c>
      <c r="P84" s="2334" t="s">
        <v>1315</v>
      </c>
      <c r="Q84" s="2334" t="s">
        <v>1315</v>
      </c>
      <c r="R84" s="2334" t="s">
        <v>1315</v>
      </c>
      <c r="S84" s="2334" t="s">
        <v>1315</v>
      </c>
      <c r="T84" s="2334" t="s">
        <v>1315</v>
      </c>
      <c r="U84" s="2334" t="s">
        <v>1315</v>
      </c>
      <c r="V84" s="2334" t="s">
        <v>1315</v>
      </c>
      <c r="W84" s="2334" t="s">
        <v>1315</v>
      </c>
      <c r="X84" s="2334" t="s">
        <v>1315</v>
      </c>
      <c r="Y84" s="2334" t="s">
        <v>1315</v>
      </c>
      <c r="Z84" s="2334" t="s">
        <v>1315</v>
      </c>
      <c r="AA84" s="2334" t="s">
        <v>1315</v>
      </c>
      <c r="AB84" s="2334" t="s">
        <v>1315</v>
      </c>
      <c r="AC84" s="2334" t="s">
        <v>1315</v>
      </c>
      <c r="AD84" s="2334" t="s">
        <v>1315</v>
      </c>
      <c r="AE84" s="2334" t="s">
        <v>1315</v>
      </c>
      <c r="AF84" s="2334" t="s">
        <v>1315</v>
      </c>
      <c r="AG84" s="2334" t="s">
        <v>1315</v>
      </c>
      <c r="AH84" s="2334" t="s">
        <v>1315</v>
      </c>
      <c r="AI84" s="2334" t="s">
        <v>1315</v>
      </c>
      <c r="AJ84" s="2334" t="s">
        <v>1315</v>
      </c>
      <c r="AK84" s="2334" t="s">
        <v>1315</v>
      </c>
      <c r="AL84" s="2334" t="s">
        <v>1315</v>
      </c>
      <c r="AM84" s="2334" t="s">
        <v>1315</v>
      </c>
      <c r="AO84" s="4011" t="s">
        <v>9639</v>
      </c>
      <c r="AP84" s="4012" t="s">
        <v>12639</v>
      </c>
      <c r="AQ84" s="4013" t="s">
        <v>12093</v>
      </c>
      <c r="AR84" s="4013"/>
      <c r="AS84" s="4013"/>
      <c r="AT84" s="4014"/>
      <c r="AV84" s="8210"/>
      <c r="AW84" s="699" t="s">
        <v>12033</v>
      </c>
      <c r="AX84" s="2334">
        <v>800</v>
      </c>
      <c r="AY84" s="2334">
        <v>380</v>
      </c>
      <c r="AZ84" s="2334" t="s">
        <v>1165</v>
      </c>
      <c r="BA84" s="2334" t="s">
        <v>11874</v>
      </c>
      <c r="BB84" s="2334" t="s">
        <v>11874</v>
      </c>
      <c r="BC84" s="304" t="s">
        <v>12034</v>
      </c>
      <c r="BD84" s="304" t="s">
        <v>12035</v>
      </c>
      <c r="BE84" s="2334" t="s">
        <v>1315</v>
      </c>
    </row>
    <row r="85" spans="3:57">
      <c r="C85" s="4224" t="s">
        <v>13896</v>
      </c>
      <c r="D85" s="84" t="s">
        <v>11874</v>
      </c>
      <c r="E85" s="3865" t="s">
        <v>11874</v>
      </c>
      <c r="G85" s="3866"/>
      <c r="H85" s="3867"/>
      <c r="I85" s="3868"/>
      <c r="J85" s="3868"/>
      <c r="K85" s="3868"/>
      <c r="L85" s="3868"/>
      <c r="M85" s="3868"/>
      <c r="N85" s="3869"/>
      <c r="O85" s="3869"/>
      <c r="P85" s="3869"/>
      <c r="Q85" s="3869"/>
      <c r="R85" s="3869"/>
      <c r="S85" s="3869"/>
      <c r="T85" s="3869"/>
      <c r="U85" s="3869"/>
      <c r="V85" s="3869"/>
      <c r="W85" s="3869"/>
      <c r="X85" s="3869"/>
      <c r="Y85" s="3869"/>
      <c r="Z85" s="3869"/>
      <c r="AA85" s="3869"/>
      <c r="AB85" s="3869"/>
      <c r="AC85" s="3869"/>
      <c r="AD85" s="3869"/>
      <c r="AE85" s="3869"/>
      <c r="AF85" s="3869"/>
      <c r="AG85" s="3869"/>
      <c r="AH85" s="3869"/>
      <c r="AI85" s="3869"/>
      <c r="AJ85" s="3869"/>
      <c r="AK85" s="3869"/>
      <c r="AL85" s="3869"/>
      <c r="AM85" s="3870"/>
      <c r="AO85" s="4224" t="s">
        <v>13896</v>
      </c>
      <c r="AP85" s="304" t="s">
        <v>13920</v>
      </c>
      <c r="AQ85" s="304" t="s">
        <v>13881</v>
      </c>
      <c r="AR85" s="304" t="s">
        <v>13882</v>
      </c>
      <c r="AS85" s="304" t="s">
        <v>13883</v>
      </c>
      <c r="AT85" s="304"/>
      <c r="AV85" s="8210" t="s">
        <v>669</v>
      </c>
      <c r="AW85" s="699" t="s">
        <v>12036</v>
      </c>
      <c r="AX85" s="2334">
        <v>350</v>
      </c>
      <c r="AY85" s="2334">
        <v>240</v>
      </c>
      <c r="AZ85" s="2334" t="s">
        <v>1165</v>
      </c>
      <c r="BA85" s="2334" t="s">
        <v>11874</v>
      </c>
      <c r="BB85" s="2334" t="s">
        <v>11874</v>
      </c>
      <c r="BC85" s="304" t="s">
        <v>12026</v>
      </c>
      <c r="BD85" s="304" t="s">
        <v>12037</v>
      </c>
      <c r="BE85" s="2334" t="s">
        <v>1315</v>
      </c>
    </row>
    <row r="86" spans="3:57">
      <c r="C86" s="4224" t="s">
        <v>13897</v>
      </c>
      <c r="D86" s="84" t="s">
        <v>11874</v>
      </c>
      <c r="E86" s="3865" t="s">
        <v>11874</v>
      </c>
      <c r="G86" s="3866"/>
      <c r="H86" s="3867"/>
      <c r="I86" s="3868"/>
      <c r="J86" s="3868"/>
      <c r="K86" s="3868"/>
      <c r="L86" s="3868"/>
      <c r="M86" s="3868"/>
      <c r="N86" s="3869"/>
      <c r="O86" s="3869"/>
      <c r="P86" s="3869"/>
      <c r="Q86" s="3869"/>
      <c r="R86" s="3869"/>
      <c r="S86" s="3869"/>
      <c r="T86" s="3869"/>
      <c r="U86" s="3869"/>
      <c r="V86" s="3869"/>
      <c r="W86" s="3869"/>
      <c r="X86" s="3869"/>
      <c r="Y86" s="3869"/>
      <c r="Z86" s="3869"/>
      <c r="AA86" s="3869"/>
      <c r="AB86" s="3869"/>
      <c r="AC86" s="3869"/>
      <c r="AD86" s="3869"/>
      <c r="AE86" s="3869"/>
      <c r="AF86" s="3869"/>
      <c r="AG86" s="3869"/>
      <c r="AH86" s="3869"/>
      <c r="AI86" s="3869"/>
      <c r="AJ86" s="3869"/>
      <c r="AK86" s="3869"/>
      <c r="AL86" s="3869"/>
      <c r="AM86" s="3870"/>
      <c r="AO86" s="4224" t="s">
        <v>13897</v>
      </c>
      <c r="AP86" s="304" t="s">
        <v>13921</v>
      </c>
      <c r="AQ86" s="304" t="s">
        <v>13885</v>
      </c>
      <c r="AR86" s="304" t="s">
        <v>13886</v>
      </c>
      <c r="AS86" s="304" t="s">
        <v>13887</v>
      </c>
      <c r="AT86" s="304"/>
      <c r="AV86" s="8210"/>
      <c r="AW86" s="304" t="s">
        <v>12038</v>
      </c>
      <c r="AX86" s="286">
        <v>800</v>
      </c>
      <c r="AY86" s="286">
        <v>380</v>
      </c>
      <c r="AZ86" s="286" t="s">
        <v>1165</v>
      </c>
      <c r="BA86" s="286" t="s">
        <v>11874</v>
      </c>
      <c r="BB86" s="286" t="s">
        <v>11874</v>
      </c>
      <c r="BC86" s="304" t="s">
        <v>12039</v>
      </c>
      <c r="BD86" s="304" t="s">
        <v>12040</v>
      </c>
      <c r="BE86" s="2334" t="s">
        <v>1315</v>
      </c>
    </row>
    <row r="87" spans="3:57">
      <c r="C87" s="4224" t="s">
        <v>13898</v>
      </c>
      <c r="D87" s="84" t="s">
        <v>11874</v>
      </c>
      <c r="E87" s="3865" t="s">
        <v>11874</v>
      </c>
      <c r="G87" s="3866"/>
      <c r="H87" s="3867"/>
      <c r="I87" s="3868"/>
      <c r="J87" s="3868"/>
      <c r="K87" s="3868"/>
      <c r="L87" s="3868"/>
      <c r="M87" s="3868"/>
      <c r="N87" s="3869"/>
      <c r="O87" s="3869"/>
      <c r="P87" s="3869"/>
      <c r="Q87" s="3869"/>
      <c r="R87" s="3869"/>
      <c r="S87" s="3869"/>
      <c r="T87" s="3869"/>
      <c r="U87" s="3869"/>
      <c r="V87" s="3869"/>
      <c r="W87" s="3869"/>
      <c r="X87" s="3869"/>
      <c r="Y87" s="3869"/>
      <c r="Z87" s="3869"/>
      <c r="AA87" s="3869"/>
      <c r="AB87" s="3869"/>
      <c r="AC87" s="3869"/>
      <c r="AD87" s="3869"/>
      <c r="AE87" s="3869"/>
      <c r="AF87" s="3869"/>
      <c r="AG87" s="3869"/>
      <c r="AH87" s="3869"/>
      <c r="AI87" s="3869"/>
      <c r="AJ87" s="3869"/>
      <c r="AK87" s="3869"/>
      <c r="AL87" s="3869"/>
      <c r="AM87" s="3870"/>
      <c r="AO87" s="4224" t="s">
        <v>13898</v>
      </c>
      <c r="AP87" s="304" t="s">
        <v>13922</v>
      </c>
      <c r="AQ87" s="304" t="s">
        <v>13885</v>
      </c>
      <c r="AR87" s="304" t="s">
        <v>13888</v>
      </c>
      <c r="AS87" s="304" t="s">
        <v>13889</v>
      </c>
      <c r="AT87" s="304"/>
      <c r="AV87" s="8210" t="s">
        <v>670</v>
      </c>
      <c r="AW87" s="699" t="s">
        <v>12041</v>
      </c>
      <c r="AX87" s="2334">
        <v>300</v>
      </c>
      <c r="AY87" s="2334">
        <v>220</v>
      </c>
      <c r="AZ87" s="2334" t="s">
        <v>1165</v>
      </c>
      <c r="BA87" s="2334" t="s">
        <v>11874</v>
      </c>
      <c r="BB87" s="2334" t="s">
        <v>11874</v>
      </c>
      <c r="BC87" s="304" t="s">
        <v>12042</v>
      </c>
      <c r="BD87" s="304" t="s">
        <v>12043</v>
      </c>
      <c r="BE87" s="2334" t="s">
        <v>1315</v>
      </c>
    </row>
    <row r="88" spans="3:57">
      <c r="C88" s="4224" t="s">
        <v>13899</v>
      </c>
      <c r="D88" s="84" t="s">
        <v>11874</v>
      </c>
      <c r="E88" s="3865" t="s">
        <v>11874</v>
      </c>
      <c r="G88" s="3866"/>
      <c r="H88" s="3867"/>
      <c r="I88" s="3868"/>
      <c r="J88" s="3868"/>
      <c r="K88" s="3868"/>
      <c r="L88" s="3868"/>
      <c r="M88" s="3868"/>
      <c r="N88" s="3869"/>
      <c r="O88" s="3869"/>
      <c r="P88" s="3869"/>
      <c r="Q88" s="3869"/>
      <c r="R88" s="3869"/>
      <c r="S88" s="3869"/>
      <c r="T88" s="3869"/>
      <c r="U88" s="3869"/>
      <c r="V88" s="3869"/>
      <c r="W88" s="3869"/>
      <c r="X88" s="3869"/>
      <c r="Y88" s="3869"/>
      <c r="Z88" s="3869"/>
      <c r="AA88" s="3869"/>
      <c r="AB88" s="3869"/>
      <c r="AC88" s="3869"/>
      <c r="AD88" s="3869"/>
      <c r="AE88" s="3869"/>
      <c r="AF88" s="3869"/>
      <c r="AG88" s="3869"/>
      <c r="AH88" s="3869"/>
      <c r="AI88" s="3869"/>
      <c r="AJ88" s="3869"/>
      <c r="AK88" s="3869"/>
      <c r="AL88" s="3869"/>
      <c r="AM88" s="3870"/>
      <c r="AO88" s="4224" t="s">
        <v>13899</v>
      </c>
      <c r="AP88" s="304" t="s">
        <v>13923</v>
      </c>
      <c r="AQ88" s="304" t="s">
        <v>13890</v>
      </c>
      <c r="AR88" s="304" t="s">
        <v>13881</v>
      </c>
      <c r="AS88" s="304" t="s">
        <v>13888</v>
      </c>
      <c r="AT88" s="304"/>
      <c r="AV88" s="8210"/>
      <c r="AW88" s="304" t="s">
        <v>9349</v>
      </c>
      <c r="AX88" s="286">
        <v>500</v>
      </c>
      <c r="AY88" s="286">
        <v>280</v>
      </c>
      <c r="AZ88" s="286" t="s">
        <v>1165</v>
      </c>
      <c r="BA88" s="286">
        <v>240</v>
      </c>
      <c r="BB88" s="286" t="s">
        <v>11874</v>
      </c>
      <c r="BC88" s="304" t="s">
        <v>12039</v>
      </c>
      <c r="BD88" s="304" t="s">
        <v>12044</v>
      </c>
      <c r="BE88" s="2334" t="s">
        <v>1315</v>
      </c>
    </row>
    <row r="89" spans="3:57">
      <c r="C89" s="4224" t="s">
        <v>13900</v>
      </c>
      <c r="D89" s="84" t="s">
        <v>11874</v>
      </c>
      <c r="E89" s="3865" t="s">
        <v>11874</v>
      </c>
      <c r="G89" s="3866"/>
      <c r="H89" s="3867"/>
      <c r="I89" s="3868"/>
      <c r="J89" s="3868"/>
      <c r="K89" s="3868"/>
      <c r="L89" s="3868"/>
      <c r="M89" s="3868"/>
      <c r="N89" s="3869"/>
      <c r="O89" s="3869"/>
      <c r="P89" s="3869"/>
      <c r="Q89" s="3869"/>
      <c r="R89" s="3869"/>
      <c r="S89" s="3869"/>
      <c r="T89" s="3869"/>
      <c r="U89" s="3869"/>
      <c r="V89" s="3869"/>
      <c r="W89" s="3869"/>
      <c r="X89" s="3869"/>
      <c r="Y89" s="3869"/>
      <c r="Z89" s="3869"/>
      <c r="AA89" s="3869"/>
      <c r="AB89" s="3869"/>
      <c r="AC89" s="3869"/>
      <c r="AD89" s="3869"/>
      <c r="AE89" s="3869"/>
      <c r="AF89" s="3869"/>
      <c r="AG89" s="3869"/>
      <c r="AH89" s="3869"/>
      <c r="AI89" s="3869"/>
      <c r="AJ89" s="3869"/>
      <c r="AK89" s="3869"/>
      <c r="AL89" s="3869"/>
      <c r="AM89" s="3870"/>
      <c r="AO89" s="4224" t="s">
        <v>13900</v>
      </c>
      <c r="AP89" s="304" t="s">
        <v>13924</v>
      </c>
      <c r="AQ89" s="304" t="s">
        <v>13891</v>
      </c>
      <c r="AR89" s="304" t="s">
        <v>13889</v>
      </c>
      <c r="AS89" s="304" t="s">
        <v>13892</v>
      </c>
      <c r="AT89" s="304"/>
      <c r="AV89" s="8210"/>
      <c r="AW89" s="304" t="s">
        <v>12045</v>
      </c>
      <c r="AX89" s="286">
        <v>660</v>
      </c>
      <c r="AY89" s="286">
        <v>340</v>
      </c>
      <c r="AZ89" s="286" t="s">
        <v>1165</v>
      </c>
      <c r="BA89" s="286">
        <v>300</v>
      </c>
      <c r="BB89" s="286" t="s">
        <v>11874</v>
      </c>
      <c r="BC89" s="304" t="s">
        <v>12046</v>
      </c>
      <c r="BD89" s="304" t="s">
        <v>12047</v>
      </c>
      <c r="BE89" s="2334" t="s">
        <v>1315</v>
      </c>
    </row>
    <row r="90" spans="3:57">
      <c r="C90" s="4224" t="s">
        <v>13901</v>
      </c>
      <c r="D90" s="84" t="s">
        <v>11874</v>
      </c>
      <c r="E90" s="3865" t="s">
        <v>11874</v>
      </c>
      <c r="G90" s="3866"/>
      <c r="H90" s="3867"/>
      <c r="I90" s="3868"/>
      <c r="J90" s="3868"/>
      <c r="K90" s="3868"/>
      <c r="L90" s="3868"/>
      <c r="M90" s="3868"/>
      <c r="N90" s="3869"/>
      <c r="O90" s="3869"/>
      <c r="P90" s="3869"/>
      <c r="Q90" s="3869"/>
      <c r="R90" s="3869"/>
      <c r="S90" s="3869"/>
      <c r="T90" s="3869"/>
      <c r="U90" s="3869"/>
      <c r="V90" s="3869"/>
      <c r="W90" s="3869"/>
      <c r="X90" s="3869"/>
      <c r="Y90" s="3869"/>
      <c r="Z90" s="3869"/>
      <c r="AA90" s="3869"/>
      <c r="AB90" s="3869"/>
      <c r="AC90" s="3869"/>
      <c r="AD90" s="3869"/>
      <c r="AE90" s="3869"/>
      <c r="AF90" s="3869"/>
      <c r="AG90" s="3869"/>
      <c r="AH90" s="3869"/>
      <c r="AI90" s="3869"/>
      <c r="AJ90" s="3869"/>
      <c r="AK90" s="3869"/>
      <c r="AL90" s="3869"/>
      <c r="AM90" s="3870"/>
      <c r="AO90" s="4224" t="s">
        <v>13901</v>
      </c>
      <c r="AP90" s="304" t="s">
        <v>13925</v>
      </c>
      <c r="AQ90" s="304" t="s">
        <v>13893</v>
      </c>
      <c r="AR90" s="304" t="s">
        <v>13885</v>
      </c>
      <c r="AS90" s="304" t="s">
        <v>13888</v>
      </c>
      <c r="AT90" s="304"/>
      <c r="AV90" s="8210"/>
      <c r="AW90" s="304" t="s">
        <v>12048</v>
      </c>
      <c r="AX90" s="286">
        <v>880</v>
      </c>
      <c r="AY90" s="286">
        <v>400</v>
      </c>
      <c r="AZ90" s="286" t="s">
        <v>1166</v>
      </c>
      <c r="BA90" s="286" t="s">
        <v>11874</v>
      </c>
      <c r="BB90" s="286">
        <v>300</v>
      </c>
      <c r="BC90" s="304" t="s">
        <v>12049</v>
      </c>
      <c r="BD90" s="304" t="s">
        <v>12050</v>
      </c>
      <c r="BE90" s="2334" t="s">
        <v>1315</v>
      </c>
    </row>
    <row r="91" spans="3:57">
      <c r="C91" s="4224" t="s">
        <v>13902</v>
      </c>
      <c r="D91" s="84" t="s">
        <v>11874</v>
      </c>
      <c r="E91" s="3865" t="s">
        <v>11874</v>
      </c>
      <c r="G91" s="3866"/>
      <c r="H91" s="3867"/>
      <c r="I91" s="3868"/>
      <c r="J91" s="3868"/>
      <c r="K91" s="3868"/>
      <c r="L91" s="3868"/>
      <c r="M91" s="3868"/>
      <c r="N91" s="3869"/>
      <c r="O91" s="3869"/>
      <c r="P91" s="3869"/>
      <c r="Q91" s="3869"/>
      <c r="R91" s="3869"/>
      <c r="S91" s="3869"/>
      <c r="T91" s="3869"/>
      <c r="U91" s="3869"/>
      <c r="V91" s="3869"/>
      <c r="W91" s="3869"/>
      <c r="X91" s="3869"/>
      <c r="Y91" s="3869"/>
      <c r="Z91" s="3869"/>
      <c r="AA91" s="3869"/>
      <c r="AB91" s="3869"/>
      <c r="AC91" s="3869"/>
      <c r="AD91" s="3869"/>
      <c r="AE91" s="3869"/>
      <c r="AF91" s="3869"/>
      <c r="AG91" s="3869"/>
      <c r="AH91" s="3869"/>
      <c r="AI91" s="3869"/>
      <c r="AJ91" s="3869"/>
      <c r="AK91" s="3869"/>
      <c r="AL91" s="3869"/>
      <c r="AM91" s="3870"/>
      <c r="AO91" s="4224" t="s">
        <v>13902</v>
      </c>
      <c r="AP91" s="304" t="s">
        <v>13926</v>
      </c>
      <c r="AQ91" s="304" t="s">
        <v>13885</v>
      </c>
      <c r="AR91" s="304" t="s">
        <v>13888</v>
      </c>
      <c r="AS91" s="304" t="s">
        <v>13889</v>
      </c>
      <c r="AT91" s="304"/>
      <c r="AV91" s="8210" t="s">
        <v>671</v>
      </c>
      <c r="AW91" s="699" t="s">
        <v>12051</v>
      </c>
      <c r="AX91" s="2334">
        <v>220</v>
      </c>
      <c r="AY91" s="2334">
        <v>300</v>
      </c>
      <c r="AZ91" s="2334" t="s">
        <v>1165</v>
      </c>
      <c r="BA91" s="2334" t="s">
        <v>11874</v>
      </c>
      <c r="BB91" s="2334" t="s">
        <v>11874</v>
      </c>
      <c r="BC91" s="304" t="s">
        <v>6442</v>
      </c>
      <c r="BD91" s="304" t="s">
        <v>12052</v>
      </c>
      <c r="BE91" s="2334" t="s">
        <v>1315</v>
      </c>
    </row>
    <row r="92" spans="3:57">
      <c r="C92" s="4224" t="s">
        <v>13903</v>
      </c>
      <c r="D92" s="84" t="s">
        <v>11874</v>
      </c>
      <c r="E92" s="3865" t="s">
        <v>11874</v>
      </c>
      <c r="G92" s="3866"/>
      <c r="H92" s="3867"/>
      <c r="I92" s="3868"/>
      <c r="J92" s="3868"/>
      <c r="K92" s="3868"/>
      <c r="L92" s="3868"/>
      <c r="M92" s="3868"/>
      <c r="N92" s="3869"/>
      <c r="O92" s="3869"/>
      <c r="P92" s="3869"/>
      <c r="Q92" s="3869"/>
      <c r="R92" s="3869"/>
      <c r="S92" s="3869"/>
      <c r="T92" s="3869"/>
      <c r="U92" s="3869"/>
      <c r="V92" s="3869"/>
      <c r="W92" s="3869"/>
      <c r="X92" s="3869"/>
      <c r="Y92" s="3869"/>
      <c r="Z92" s="3869"/>
      <c r="AA92" s="3869"/>
      <c r="AB92" s="3869"/>
      <c r="AC92" s="3869"/>
      <c r="AD92" s="3869"/>
      <c r="AE92" s="3869"/>
      <c r="AF92" s="3869"/>
      <c r="AG92" s="3869"/>
      <c r="AH92" s="3869"/>
      <c r="AI92" s="3869"/>
      <c r="AJ92" s="3869"/>
      <c r="AK92" s="3869"/>
      <c r="AL92" s="3869"/>
      <c r="AM92" s="3870"/>
      <c r="AO92" s="4224" t="s">
        <v>13903</v>
      </c>
      <c r="AP92" s="304" t="s">
        <v>13927</v>
      </c>
      <c r="AQ92" s="304" t="s">
        <v>13890</v>
      </c>
      <c r="AR92" s="304" t="s">
        <v>13891</v>
      </c>
      <c r="AS92" s="304" t="s">
        <v>13894</v>
      </c>
      <c r="AT92" s="304"/>
      <c r="AV92" s="8210"/>
      <c r="AW92" s="304" t="s">
        <v>12053</v>
      </c>
      <c r="AX92" s="286">
        <v>500</v>
      </c>
      <c r="AY92" s="286">
        <v>280</v>
      </c>
      <c r="AZ92" s="286" t="s">
        <v>1165</v>
      </c>
      <c r="BA92" s="286" t="s">
        <v>11874</v>
      </c>
      <c r="BB92" s="286">
        <v>300</v>
      </c>
      <c r="BC92" s="304" t="s">
        <v>12039</v>
      </c>
      <c r="BD92" s="304" t="s">
        <v>12054</v>
      </c>
      <c r="BE92" s="2334" t="s">
        <v>1315</v>
      </c>
    </row>
    <row r="93" spans="3:57">
      <c r="C93" s="4224" t="s">
        <v>13904</v>
      </c>
      <c r="D93" s="84" t="s">
        <v>11874</v>
      </c>
      <c r="E93" s="3865" t="s">
        <v>11874</v>
      </c>
      <c r="G93" s="3866"/>
      <c r="H93" s="3867"/>
      <c r="I93" s="3868"/>
      <c r="J93" s="3868"/>
      <c r="K93" s="3868"/>
      <c r="L93" s="3868"/>
      <c r="M93" s="3868"/>
      <c r="N93" s="3869"/>
      <c r="O93" s="3869"/>
      <c r="P93" s="3869"/>
      <c r="Q93" s="3869"/>
      <c r="R93" s="3869"/>
      <c r="S93" s="3869"/>
      <c r="T93" s="3869"/>
      <c r="U93" s="3869"/>
      <c r="V93" s="3869"/>
      <c r="W93" s="3869"/>
      <c r="X93" s="3869"/>
      <c r="Y93" s="3869"/>
      <c r="Z93" s="3869"/>
      <c r="AA93" s="3869"/>
      <c r="AB93" s="3869"/>
      <c r="AC93" s="3869"/>
      <c r="AD93" s="3869"/>
      <c r="AE93" s="3869"/>
      <c r="AF93" s="3869"/>
      <c r="AG93" s="3869"/>
      <c r="AH93" s="3869"/>
      <c r="AI93" s="3869"/>
      <c r="AJ93" s="3869"/>
      <c r="AK93" s="3869"/>
      <c r="AL93" s="3869"/>
      <c r="AM93" s="3870"/>
      <c r="AO93" s="4224" t="s">
        <v>13904</v>
      </c>
      <c r="AP93" s="304" t="s">
        <v>13928</v>
      </c>
      <c r="AQ93" s="304" t="s">
        <v>13881</v>
      </c>
      <c r="AR93" s="304" t="s">
        <v>13888</v>
      </c>
      <c r="AS93" s="304" t="s">
        <v>13894</v>
      </c>
      <c r="AT93" s="304"/>
      <c r="AV93" s="8210"/>
      <c r="AW93" s="304" t="s">
        <v>12055</v>
      </c>
      <c r="AX93" s="286">
        <v>660</v>
      </c>
      <c r="AY93" s="286">
        <v>340</v>
      </c>
      <c r="AZ93" s="286" t="s">
        <v>1165</v>
      </c>
      <c r="BA93" s="286" t="s">
        <v>11874</v>
      </c>
      <c r="BB93" s="286" t="s">
        <v>11874</v>
      </c>
      <c r="BC93" s="304" t="s">
        <v>12046</v>
      </c>
      <c r="BD93" s="304" t="s">
        <v>12056</v>
      </c>
      <c r="BE93" s="2334" t="s">
        <v>1315</v>
      </c>
    </row>
    <row r="94" spans="3:57">
      <c r="C94" s="4224" t="s">
        <v>13905</v>
      </c>
      <c r="D94" s="84" t="s">
        <v>11874</v>
      </c>
      <c r="E94" s="3865" t="s">
        <v>11874</v>
      </c>
      <c r="G94" s="3866"/>
      <c r="H94" s="3867"/>
      <c r="I94" s="3868"/>
      <c r="J94" s="3868"/>
      <c r="K94" s="3868"/>
      <c r="L94" s="3868"/>
      <c r="M94" s="3868"/>
      <c r="N94" s="3869"/>
      <c r="O94" s="3869"/>
      <c r="P94" s="3869"/>
      <c r="Q94" s="3869"/>
      <c r="R94" s="3869"/>
      <c r="S94" s="3869"/>
      <c r="T94" s="3869"/>
      <c r="U94" s="3869"/>
      <c r="V94" s="3869"/>
      <c r="W94" s="3869"/>
      <c r="X94" s="3869"/>
      <c r="Y94" s="3869"/>
      <c r="Z94" s="3869"/>
      <c r="AA94" s="3869"/>
      <c r="AB94" s="3869"/>
      <c r="AC94" s="3869"/>
      <c r="AD94" s="3869"/>
      <c r="AE94" s="3869"/>
      <c r="AF94" s="3869"/>
      <c r="AG94" s="3869"/>
      <c r="AH94" s="3869"/>
      <c r="AI94" s="3869"/>
      <c r="AJ94" s="3869"/>
      <c r="AK94" s="3869"/>
      <c r="AL94" s="3869"/>
      <c r="AM94" s="3870"/>
      <c r="AO94" s="4224" t="s">
        <v>13905</v>
      </c>
      <c r="AP94" s="304" t="s">
        <v>13929</v>
      </c>
      <c r="AQ94" s="304" t="s">
        <v>13881</v>
      </c>
      <c r="AR94" s="304" t="s">
        <v>13894</v>
      </c>
      <c r="AS94" s="304" t="s">
        <v>13883</v>
      </c>
      <c r="AT94" s="304"/>
      <c r="AV94" s="8210"/>
      <c r="AW94" s="304" t="s">
        <v>12057</v>
      </c>
      <c r="AX94" s="286">
        <v>880</v>
      </c>
      <c r="AY94" s="286">
        <v>400</v>
      </c>
      <c r="AZ94" s="286" t="s">
        <v>1166</v>
      </c>
      <c r="BA94" s="286">
        <v>280</v>
      </c>
      <c r="BB94" s="286">
        <v>300</v>
      </c>
      <c r="BC94" s="304" t="s">
        <v>12049</v>
      </c>
      <c r="BD94" s="304" t="s">
        <v>12058</v>
      </c>
      <c r="BE94" s="2334" t="s">
        <v>1315</v>
      </c>
    </row>
    <row r="95" spans="3:57">
      <c r="C95" s="4224" t="s">
        <v>13906</v>
      </c>
      <c r="D95" s="84" t="s">
        <v>11874</v>
      </c>
      <c r="E95" s="3865" t="s">
        <v>11874</v>
      </c>
      <c r="G95" s="3866"/>
      <c r="H95" s="3867"/>
      <c r="I95" s="3868"/>
      <c r="J95" s="3868"/>
      <c r="K95" s="3868"/>
      <c r="L95" s="3868"/>
      <c r="M95" s="3868"/>
      <c r="N95" s="3869"/>
      <c r="O95" s="3869"/>
      <c r="P95" s="3869"/>
      <c r="Q95" s="3869"/>
      <c r="R95" s="3869"/>
      <c r="S95" s="3869"/>
      <c r="T95" s="3869"/>
      <c r="U95" s="3869"/>
      <c r="V95" s="3869"/>
      <c r="W95" s="3869"/>
      <c r="X95" s="3869"/>
      <c r="Y95" s="3869"/>
      <c r="Z95" s="3869"/>
      <c r="AA95" s="3869"/>
      <c r="AB95" s="3869"/>
      <c r="AC95" s="3869"/>
      <c r="AD95" s="3869"/>
      <c r="AE95" s="3869"/>
      <c r="AF95" s="3869"/>
      <c r="AG95" s="3869"/>
      <c r="AH95" s="3869"/>
      <c r="AI95" s="3869"/>
      <c r="AJ95" s="3869"/>
      <c r="AK95" s="3869"/>
      <c r="AL95" s="3869"/>
      <c r="AM95" s="3870"/>
      <c r="AO95" s="4224" t="s">
        <v>13906</v>
      </c>
      <c r="AP95" s="304" t="s">
        <v>13930</v>
      </c>
      <c r="AQ95" s="304" t="s">
        <v>13881</v>
      </c>
      <c r="AR95" s="304" t="s">
        <v>13894</v>
      </c>
      <c r="AS95" s="304" t="s">
        <v>13887</v>
      </c>
      <c r="AT95" s="304"/>
      <c r="AV95" s="8210" t="s">
        <v>672</v>
      </c>
      <c r="AW95" s="699" t="s">
        <v>12059</v>
      </c>
      <c r="AX95" s="2334">
        <v>300</v>
      </c>
      <c r="AY95" s="2334">
        <v>220</v>
      </c>
      <c r="AZ95" s="2334" t="s">
        <v>1165</v>
      </c>
      <c r="BA95" s="2334" t="s">
        <v>11874</v>
      </c>
      <c r="BB95" s="2334" t="s">
        <v>11874</v>
      </c>
      <c r="BC95" s="304" t="s">
        <v>12060</v>
      </c>
      <c r="BD95" s="304" t="s">
        <v>12061</v>
      </c>
      <c r="BE95" s="2334" t="s">
        <v>1315</v>
      </c>
    </row>
    <row r="96" spans="3:57">
      <c r="C96" s="4224" t="s">
        <v>13907</v>
      </c>
      <c r="D96" s="84" t="s">
        <v>11874</v>
      </c>
      <c r="E96" s="3865" t="s">
        <v>11874</v>
      </c>
      <c r="G96" s="3866"/>
      <c r="H96" s="3867"/>
      <c r="I96" s="3868"/>
      <c r="J96" s="3868"/>
      <c r="K96" s="3868"/>
      <c r="L96" s="3868"/>
      <c r="M96" s="3868"/>
      <c r="N96" s="3869"/>
      <c r="O96" s="3869"/>
      <c r="P96" s="3869"/>
      <c r="Q96" s="3869"/>
      <c r="R96" s="3869"/>
      <c r="S96" s="3869"/>
      <c r="T96" s="3869"/>
      <c r="U96" s="3869"/>
      <c r="V96" s="3869"/>
      <c r="W96" s="3869"/>
      <c r="X96" s="3869"/>
      <c r="Y96" s="3869"/>
      <c r="Z96" s="3869"/>
      <c r="AA96" s="3869"/>
      <c r="AB96" s="3869"/>
      <c r="AC96" s="3869"/>
      <c r="AD96" s="3869"/>
      <c r="AE96" s="3869"/>
      <c r="AF96" s="3869"/>
      <c r="AG96" s="3869"/>
      <c r="AH96" s="3869"/>
      <c r="AI96" s="3869"/>
      <c r="AJ96" s="3869"/>
      <c r="AK96" s="3869"/>
      <c r="AL96" s="3869"/>
      <c r="AM96" s="3870"/>
      <c r="AO96" s="4224" t="s">
        <v>13907</v>
      </c>
      <c r="AP96" s="304" t="s">
        <v>13931</v>
      </c>
      <c r="AQ96" s="304" t="s">
        <v>13893</v>
      </c>
      <c r="AR96" s="304" t="s">
        <v>13885</v>
      </c>
      <c r="AS96" s="304" t="s">
        <v>13891</v>
      </c>
      <c r="AT96" s="304"/>
      <c r="AV96" s="8210"/>
      <c r="AW96" s="304" t="s">
        <v>12062</v>
      </c>
      <c r="AX96" s="286">
        <v>400</v>
      </c>
      <c r="AY96" s="286">
        <v>280</v>
      </c>
      <c r="AZ96" s="286" t="s">
        <v>1165</v>
      </c>
      <c r="BA96" s="286">
        <v>260</v>
      </c>
      <c r="BB96" s="286" t="s">
        <v>11874</v>
      </c>
      <c r="BC96" s="304" t="s">
        <v>12063</v>
      </c>
      <c r="BD96" s="304" t="s">
        <v>12064</v>
      </c>
      <c r="BE96" s="2334" t="s">
        <v>1315</v>
      </c>
    </row>
    <row r="97" spans="3:57">
      <c r="C97" s="4224" t="s">
        <v>13908</v>
      </c>
      <c r="D97" s="84" t="s">
        <v>11874</v>
      </c>
      <c r="E97" s="3865" t="s">
        <v>11874</v>
      </c>
      <c r="G97" s="3866"/>
      <c r="H97" s="3867"/>
      <c r="I97" s="3868"/>
      <c r="J97" s="3868"/>
      <c r="K97" s="3868"/>
      <c r="L97" s="3868"/>
      <c r="M97" s="3868"/>
      <c r="N97" s="3869"/>
      <c r="O97" s="3869"/>
      <c r="P97" s="3869"/>
      <c r="Q97" s="3869"/>
      <c r="R97" s="3869"/>
      <c r="S97" s="3869"/>
      <c r="T97" s="3869"/>
      <c r="U97" s="3869"/>
      <c r="V97" s="3869"/>
      <c r="W97" s="3869"/>
      <c r="X97" s="3869"/>
      <c r="Y97" s="3869"/>
      <c r="Z97" s="3869"/>
      <c r="AA97" s="3869"/>
      <c r="AB97" s="3869"/>
      <c r="AC97" s="3869"/>
      <c r="AD97" s="3869"/>
      <c r="AE97" s="3869"/>
      <c r="AF97" s="3869"/>
      <c r="AG97" s="3869"/>
      <c r="AH97" s="3869"/>
      <c r="AI97" s="3869"/>
      <c r="AJ97" s="3869"/>
      <c r="AK97" s="3869"/>
      <c r="AL97" s="3869"/>
      <c r="AM97" s="3870"/>
      <c r="AO97" s="4224" t="s">
        <v>13908</v>
      </c>
      <c r="AP97" s="304" t="s">
        <v>13932</v>
      </c>
      <c r="AQ97" s="304" t="s">
        <v>13888</v>
      </c>
      <c r="AR97" s="304" t="s">
        <v>13889</v>
      </c>
      <c r="AS97" s="304" t="s">
        <v>13883</v>
      </c>
      <c r="AT97" s="304"/>
      <c r="AV97" s="8210"/>
      <c r="AW97" s="304" t="s">
        <v>12065</v>
      </c>
      <c r="AX97" s="286">
        <v>660</v>
      </c>
      <c r="AY97" s="286">
        <v>340</v>
      </c>
      <c r="AZ97" s="286" t="s">
        <v>1165</v>
      </c>
      <c r="BA97" s="286">
        <v>300</v>
      </c>
      <c r="BB97" s="286" t="s">
        <v>11874</v>
      </c>
      <c r="BC97" s="304" t="s">
        <v>12046</v>
      </c>
      <c r="BD97" s="304" t="s">
        <v>12066</v>
      </c>
      <c r="BE97" s="2334" t="s">
        <v>1315</v>
      </c>
    </row>
    <row r="98" spans="3:57">
      <c r="C98" s="4224" t="s">
        <v>13909</v>
      </c>
      <c r="D98" s="84" t="s">
        <v>11874</v>
      </c>
      <c r="E98" s="3865" t="s">
        <v>11874</v>
      </c>
      <c r="G98" s="3866"/>
      <c r="H98" s="3867"/>
      <c r="I98" s="3868"/>
      <c r="J98" s="3868"/>
      <c r="K98" s="3868"/>
      <c r="L98" s="3868"/>
      <c r="M98" s="3868"/>
      <c r="N98" s="3869"/>
      <c r="O98" s="3869"/>
      <c r="P98" s="3869"/>
      <c r="Q98" s="3869"/>
      <c r="R98" s="3869"/>
      <c r="S98" s="3869"/>
      <c r="T98" s="3869"/>
      <c r="U98" s="3869"/>
      <c r="V98" s="3869"/>
      <c r="W98" s="3869"/>
      <c r="X98" s="3869"/>
      <c r="Y98" s="3869"/>
      <c r="Z98" s="3869"/>
      <c r="AA98" s="3869"/>
      <c r="AB98" s="3869"/>
      <c r="AC98" s="3869"/>
      <c r="AD98" s="3869"/>
      <c r="AE98" s="3869"/>
      <c r="AF98" s="3869"/>
      <c r="AG98" s="3869"/>
      <c r="AH98" s="3869"/>
      <c r="AI98" s="3869"/>
      <c r="AJ98" s="3869"/>
      <c r="AK98" s="3869"/>
      <c r="AL98" s="3869"/>
      <c r="AM98" s="3870"/>
      <c r="AO98" s="4224" t="s">
        <v>13909</v>
      </c>
      <c r="AP98" s="304" t="s">
        <v>13933</v>
      </c>
      <c r="AQ98" s="304" t="s">
        <v>13891</v>
      </c>
      <c r="AR98" s="304" t="s">
        <v>13889</v>
      </c>
      <c r="AS98" s="304" t="s">
        <v>13892</v>
      </c>
      <c r="AT98" s="304"/>
      <c r="AV98" s="8210"/>
      <c r="AW98" s="304" t="s">
        <v>12067</v>
      </c>
      <c r="AX98" s="286">
        <v>880</v>
      </c>
      <c r="AY98" s="286">
        <v>400</v>
      </c>
      <c r="AZ98" s="286" t="s">
        <v>1166</v>
      </c>
      <c r="BA98" s="286" t="s">
        <v>11874</v>
      </c>
      <c r="BB98" s="286">
        <v>300</v>
      </c>
      <c r="BC98" s="304" t="s">
        <v>12049</v>
      </c>
      <c r="BD98" s="304" t="s">
        <v>12068</v>
      </c>
      <c r="BE98" s="2334" t="s">
        <v>1315</v>
      </c>
    </row>
    <row r="99" spans="3:57">
      <c r="C99" s="1161" t="s">
        <v>13910</v>
      </c>
      <c r="D99" s="84" t="s">
        <v>11874</v>
      </c>
      <c r="E99" s="3865" t="s">
        <v>11874</v>
      </c>
      <c r="G99" s="3866"/>
      <c r="H99" s="3867"/>
      <c r="I99" s="3868"/>
      <c r="J99" s="3868"/>
      <c r="K99" s="3868"/>
      <c r="L99" s="3868"/>
      <c r="M99" s="3868"/>
      <c r="N99" s="3869"/>
      <c r="O99" s="3869"/>
      <c r="P99" s="3869"/>
      <c r="Q99" s="3869"/>
      <c r="R99" s="3869"/>
      <c r="S99" s="3869"/>
      <c r="T99" s="3869"/>
      <c r="U99" s="3869"/>
      <c r="V99" s="3869"/>
      <c r="W99" s="3869"/>
      <c r="X99" s="3869"/>
      <c r="Y99" s="3869"/>
      <c r="Z99" s="3869"/>
      <c r="AA99" s="3869"/>
      <c r="AB99" s="3869"/>
      <c r="AC99" s="3869"/>
      <c r="AD99" s="3869"/>
      <c r="AE99" s="3869"/>
      <c r="AF99" s="3869"/>
      <c r="AG99" s="3869"/>
      <c r="AH99" s="3869"/>
      <c r="AI99" s="3869"/>
      <c r="AJ99" s="3869"/>
      <c r="AK99" s="3869"/>
      <c r="AL99" s="3869"/>
      <c r="AM99" s="3870"/>
      <c r="AO99" s="1161" t="s">
        <v>13910</v>
      </c>
      <c r="AP99" s="304" t="s">
        <v>13934</v>
      </c>
      <c r="AQ99" s="304" t="s">
        <v>13894</v>
      </c>
      <c r="AR99" s="304" t="s">
        <v>13883</v>
      </c>
      <c r="AS99" s="304" t="s">
        <v>13895</v>
      </c>
      <c r="AT99" s="304"/>
      <c r="AV99" s="8210" t="s">
        <v>673</v>
      </c>
      <c r="AW99" s="699" t="s">
        <v>6052</v>
      </c>
      <c r="AX99" s="2334">
        <v>300</v>
      </c>
      <c r="AY99" s="2334">
        <v>220</v>
      </c>
      <c r="AZ99" s="2334" t="s">
        <v>1166</v>
      </c>
      <c r="BA99" s="2334" t="s">
        <v>11874</v>
      </c>
      <c r="BB99" s="2334" t="s">
        <v>11874</v>
      </c>
      <c r="BC99" s="304" t="s">
        <v>12069</v>
      </c>
      <c r="BD99" s="304" t="s">
        <v>12070</v>
      </c>
      <c r="BE99" s="2334" t="s">
        <v>1315</v>
      </c>
    </row>
    <row r="100" spans="3:57">
      <c r="G100" s="3866"/>
      <c r="H100" s="3867"/>
      <c r="I100" s="3868"/>
      <c r="J100" s="3868"/>
      <c r="K100" s="3868"/>
      <c r="L100" s="3868"/>
      <c r="M100" s="3868"/>
      <c r="N100" s="3869"/>
      <c r="O100" s="3869"/>
      <c r="P100" s="3869"/>
      <c r="Q100" s="3869"/>
      <c r="R100" s="3869"/>
      <c r="S100" s="3869"/>
      <c r="T100" s="3869"/>
      <c r="U100" s="3869"/>
      <c r="V100" s="3869"/>
      <c r="W100" s="3869"/>
      <c r="X100" s="3869"/>
      <c r="Y100" s="3869"/>
      <c r="Z100" s="3869"/>
      <c r="AA100" s="3869"/>
      <c r="AB100" s="3869"/>
      <c r="AC100" s="3869"/>
      <c r="AD100" s="3869"/>
      <c r="AE100" s="3869"/>
      <c r="AF100" s="3869"/>
      <c r="AG100" s="3869"/>
      <c r="AH100" s="3869"/>
      <c r="AI100" s="3869"/>
      <c r="AJ100" s="3869"/>
      <c r="AK100" s="3869"/>
      <c r="AL100" s="3869"/>
      <c r="AM100" s="3870"/>
      <c r="AV100" s="8210"/>
      <c r="AW100" s="699" t="s">
        <v>12071</v>
      </c>
      <c r="AX100" s="2334">
        <v>500</v>
      </c>
      <c r="AY100" s="2334">
        <v>280</v>
      </c>
      <c r="AZ100" s="2334" t="s">
        <v>1165</v>
      </c>
      <c r="BA100" s="2334">
        <v>300</v>
      </c>
      <c r="BB100" s="2334" t="s">
        <v>11874</v>
      </c>
      <c r="BC100" s="304" t="s">
        <v>6442</v>
      </c>
      <c r="BD100" s="304" t="s">
        <v>12072</v>
      </c>
      <c r="BE100" s="2334" t="s">
        <v>1315</v>
      </c>
    </row>
    <row r="101" spans="3:57">
      <c r="G101" s="3866"/>
      <c r="H101" s="3867"/>
      <c r="I101" s="3868"/>
      <c r="J101" s="3868"/>
      <c r="K101" s="3868"/>
      <c r="L101" s="3868"/>
      <c r="M101" s="3868"/>
      <c r="N101" s="3869"/>
      <c r="O101" s="3869"/>
      <c r="P101" s="3869"/>
      <c r="Q101" s="3869"/>
      <c r="R101" s="3869"/>
      <c r="S101" s="3869"/>
      <c r="T101" s="3869"/>
      <c r="U101" s="3869"/>
      <c r="V101" s="3869"/>
      <c r="W101" s="3869"/>
      <c r="X101" s="3869"/>
      <c r="Y101" s="3869"/>
      <c r="Z101" s="3869"/>
      <c r="AA101" s="3869"/>
      <c r="AB101" s="3869"/>
      <c r="AC101" s="3869"/>
      <c r="AD101" s="3869"/>
      <c r="AE101" s="3869"/>
      <c r="AF101" s="3869"/>
      <c r="AG101" s="3869"/>
      <c r="AH101" s="3869"/>
      <c r="AI101" s="3869"/>
      <c r="AJ101" s="3869"/>
      <c r="AK101" s="3869"/>
      <c r="AL101" s="3869"/>
      <c r="AM101" s="3870"/>
      <c r="AV101" s="8210"/>
      <c r="AW101" s="304" t="s">
        <v>12073</v>
      </c>
      <c r="AX101" s="286">
        <v>660</v>
      </c>
      <c r="AY101" s="286">
        <v>340</v>
      </c>
      <c r="AZ101" s="286" t="s">
        <v>1165</v>
      </c>
      <c r="BA101" s="286" t="s">
        <v>11874</v>
      </c>
      <c r="BB101" s="286" t="s">
        <v>11874</v>
      </c>
      <c r="BC101" s="304" t="s">
        <v>12046</v>
      </c>
      <c r="BD101" s="304" t="s">
        <v>12074</v>
      </c>
      <c r="BE101" s="2334" t="s">
        <v>1315</v>
      </c>
    </row>
    <row r="102" spans="3:57">
      <c r="G102" s="3866"/>
      <c r="H102" s="3867"/>
      <c r="I102" s="3868"/>
      <c r="J102" s="3868"/>
      <c r="K102" s="3868"/>
      <c r="L102" s="3868"/>
      <c r="M102" s="3868"/>
      <c r="N102" s="3869"/>
      <c r="O102" s="3869"/>
      <c r="P102" s="3869"/>
      <c r="Q102" s="3869"/>
      <c r="R102" s="3869"/>
      <c r="S102" s="3869"/>
      <c r="T102" s="3869"/>
      <c r="U102" s="3869"/>
      <c r="V102" s="3869"/>
      <c r="W102" s="3869"/>
      <c r="X102" s="3869"/>
      <c r="Y102" s="3869"/>
      <c r="Z102" s="3869"/>
      <c r="AA102" s="3869"/>
      <c r="AB102" s="3869"/>
      <c r="AC102" s="3869"/>
      <c r="AD102" s="3869"/>
      <c r="AE102" s="3869"/>
      <c r="AF102" s="3869"/>
      <c r="AG102" s="3869"/>
      <c r="AH102" s="3869"/>
      <c r="AI102" s="3869"/>
      <c r="AJ102" s="3869"/>
      <c r="AK102" s="3869"/>
      <c r="AL102" s="3869"/>
      <c r="AM102" s="3870"/>
      <c r="AV102" s="8210"/>
      <c r="AW102" s="304" t="s">
        <v>12075</v>
      </c>
      <c r="AX102" s="286">
        <v>880</v>
      </c>
      <c r="AY102" s="286">
        <v>400</v>
      </c>
      <c r="AZ102" s="286" t="s">
        <v>1166</v>
      </c>
      <c r="BA102" s="286" t="s">
        <v>11874</v>
      </c>
      <c r="BB102" s="286" t="s">
        <v>11874</v>
      </c>
      <c r="BC102" s="304" t="s">
        <v>12049</v>
      </c>
      <c r="BD102" s="304" t="s">
        <v>12076</v>
      </c>
      <c r="BE102" s="2334" t="s">
        <v>1315</v>
      </c>
    </row>
    <row r="103" spans="3:57">
      <c r="G103" s="3866"/>
      <c r="H103" s="3867"/>
      <c r="I103" s="3868"/>
      <c r="J103" s="3868"/>
      <c r="K103" s="3868"/>
      <c r="L103" s="3868"/>
      <c r="M103" s="3868"/>
      <c r="N103" s="3869"/>
      <c r="O103" s="3869"/>
      <c r="P103" s="3869"/>
      <c r="Q103" s="3869"/>
      <c r="R103" s="3869"/>
      <c r="S103" s="3869"/>
      <c r="T103" s="3869"/>
      <c r="U103" s="3869"/>
      <c r="V103" s="3869"/>
      <c r="W103" s="3869"/>
      <c r="X103" s="3869"/>
      <c r="Y103" s="3869"/>
      <c r="Z103" s="3869"/>
      <c r="AA103" s="3869"/>
      <c r="AB103" s="3869"/>
      <c r="AC103" s="3869"/>
      <c r="AD103" s="3869"/>
      <c r="AE103" s="3869"/>
      <c r="AF103" s="3869"/>
      <c r="AG103" s="3869"/>
      <c r="AH103" s="3869"/>
      <c r="AI103" s="3869"/>
      <c r="AJ103" s="3869"/>
      <c r="AK103" s="3869"/>
      <c r="AL103" s="3869"/>
      <c r="AM103" s="3870"/>
      <c r="AV103" s="4005" t="s">
        <v>674</v>
      </c>
      <c r="AW103" s="699" t="s">
        <v>12077</v>
      </c>
      <c r="AX103" s="2334">
        <v>1000</v>
      </c>
      <c r="AY103" s="2334">
        <v>440</v>
      </c>
      <c r="AZ103" s="2334" t="s">
        <v>1165</v>
      </c>
      <c r="BA103" s="2334" t="s">
        <v>11874</v>
      </c>
      <c r="BB103" s="2334" t="s">
        <v>11874</v>
      </c>
      <c r="BC103" s="304" t="s">
        <v>12078</v>
      </c>
      <c r="BD103" s="304" t="s">
        <v>12079</v>
      </c>
      <c r="BE103" s="2334" t="s">
        <v>1315</v>
      </c>
    </row>
    <row r="104" spans="3:57">
      <c r="G104" s="3866"/>
      <c r="H104" s="3867"/>
      <c r="I104" s="3868"/>
      <c r="J104" s="3868"/>
      <c r="K104" s="3868"/>
      <c r="L104" s="3868"/>
      <c r="M104" s="3868"/>
      <c r="N104" s="3869"/>
      <c r="O104" s="3869"/>
      <c r="P104" s="3869"/>
      <c r="Q104" s="3869"/>
      <c r="R104" s="3869"/>
      <c r="S104" s="3869"/>
      <c r="T104" s="3869"/>
      <c r="U104" s="3869"/>
      <c r="V104" s="3869"/>
      <c r="W104" s="3869"/>
      <c r="X104" s="3869"/>
      <c r="Y104" s="3869"/>
      <c r="Z104" s="3869"/>
      <c r="AA104" s="3869"/>
      <c r="AB104" s="3869"/>
      <c r="AC104" s="3869"/>
      <c r="AD104" s="3869"/>
      <c r="AE104" s="3869"/>
      <c r="AF104" s="3869"/>
      <c r="AG104" s="3869"/>
      <c r="AH104" s="3869"/>
      <c r="AI104" s="3869"/>
      <c r="AJ104" s="3869"/>
      <c r="AK104" s="3869"/>
      <c r="AL104" s="3869"/>
      <c r="AM104" s="3870"/>
      <c r="AV104" s="4005" t="s">
        <v>675</v>
      </c>
      <c r="AW104" s="1161" t="s">
        <v>675</v>
      </c>
      <c r="AX104" s="2334">
        <v>800</v>
      </c>
      <c r="AY104" s="2334">
        <v>240</v>
      </c>
      <c r="AZ104" s="2334" t="s">
        <v>1165</v>
      </c>
      <c r="BA104" s="2334" t="s">
        <v>11874</v>
      </c>
      <c r="BB104" s="2334" t="s">
        <v>11874</v>
      </c>
      <c r="BC104" s="304" t="s">
        <v>12080</v>
      </c>
      <c r="BD104" s="304" t="s">
        <v>12081</v>
      </c>
      <c r="BE104" s="2334" t="s">
        <v>1315</v>
      </c>
    </row>
    <row r="105" spans="3:57">
      <c r="G105" s="3866"/>
      <c r="H105" s="3867"/>
      <c r="I105" s="3868"/>
      <c r="J105" s="3868"/>
      <c r="K105" s="3868"/>
      <c r="L105" s="3868"/>
      <c r="M105" s="3868"/>
      <c r="N105" s="3869"/>
      <c r="O105" s="3869"/>
      <c r="P105" s="3869"/>
      <c r="Q105" s="3869"/>
      <c r="R105" s="3869"/>
      <c r="S105" s="3869"/>
      <c r="T105" s="3869"/>
      <c r="U105" s="3869"/>
      <c r="V105" s="3869"/>
      <c r="W105" s="3869"/>
      <c r="X105" s="3869"/>
      <c r="Y105" s="3869"/>
      <c r="Z105" s="3869"/>
      <c r="AA105" s="3869"/>
      <c r="AB105" s="3869"/>
      <c r="AC105" s="3869"/>
      <c r="AD105" s="3869"/>
      <c r="AE105" s="3869"/>
      <c r="AF105" s="3869"/>
      <c r="AG105" s="3869"/>
      <c r="AH105" s="3869"/>
      <c r="AI105" s="3869"/>
      <c r="AJ105" s="3869"/>
      <c r="AK105" s="3869"/>
      <c r="AL105" s="3869"/>
      <c r="AM105" s="3870"/>
      <c r="AV105" s="8210" t="s">
        <v>676</v>
      </c>
      <c r="AW105" s="699" t="s">
        <v>12082</v>
      </c>
      <c r="AX105" s="2334">
        <v>500</v>
      </c>
      <c r="AY105" s="2334">
        <v>280</v>
      </c>
      <c r="AZ105" s="2334" t="s">
        <v>1165</v>
      </c>
      <c r="BA105" s="2334" t="s">
        <v>11874</v>
      </c>
      <c r="BB105" s="2334" t="s">
        <v>11874</v>
      </c>
      <c r="BC105" s="304" t="s">
        <v>12083</v>
      </c>
      <c r="BD105" s="304" t="s">
        <v>12084</v>
      </c>
      <c r="BE105" s="2334" t="s">
        <v>1315</v>
      </c>
    </row>
    <row r="106" spans="3:57">
      <c r="G106" s="3866"/>
      <c r="H106" s="3867"/>
      <c r="I106" s="3868"/>
      <c r="J106" s="3868"/>
      <c r="K106" s="3868"/>
      <c r="L106" s="3868"/>
      <c r="M106" s="3868"/>
      <c r="N106" s="3869"/>
      <c r="O106" s="3869"/>
      <c r="P106" s="3869"/>
      <c r="Q106" s="3869"/>
      <c r="R106" s="3869"/>
      <c r="S106" s="3869"/>
      <c r="T106" s="3869"/>
      <c r="U106" s="3869"/>
      <c r="V106" s="3869"/>
      <c r="W106" s="3869"/>
      <c r="X106" s="3869"/>
      <c r="Y106" s="3869"/>
      <c r="Z106" s="3869"/>
      <c r="AA106" s="3869"/>
      <c r="AB106" s="3869"/>
      <c r="AC106" s="3869"/>
      <c r="AD106" s="3869"/>
      <c r="AE106" s="3869"/>
      <c r="AF106" s="3869"/>
      <c r="AG106" s="3869"/>
      <c r="AH106" s="3869"/>
      <c r="AI106" s="3869"/>
      <c r="AJ106" s="3869"/>
      <c r="AK106" s="3869"/>
      <c r="AL106" s="3869"/>
      <c r="AM106" s="3870"/>
      <c r="AV106" s="8210"/>
      <c r="AW106" s="304" t="s">
        <v>12085</v>
      </c>
      <c r="AX106" s="286">
        <v>900</v>
      </c>
      <c r="AY106" s="286">
        <v>400</v>
      </c>
      <c r="AZ106" s="2334" t="s">
        <v>1165</v>
      </c>
      <c r="BA106" s="286" t="s">
        <v>11874</v>
      </c>
      <c r="BB106" s="286">
        <v>400</v>
      </c>
      <c r="BC106" s="304" t="s">
        <v>11895</v>
      </c>
      <c r="BD106" s="304" t="s">
        <v>12086</v>
      </c>
      <c r="BE106" s="2334" t="s">
        <v>1315</v>
      </c>
    </row>
    <row r="107" spans="3:57">
      <c r="G107" s="3866"/>
      <c r="H107" s="3867"/>
      <c r="I107" s="3868"/>
      <c r="J107" s="3868"/>
      <c r="K107" s="3868"/>
      <c r="L107" s="3868"/>
      <c r="M107" s="3868"/>
      <c r="N107" s="3869"/>
      <c r="O107" s="3869"/>
      <c r="P107" s="3869"/>
      <c r="Q107" s="3869"/>
      <c r="R107" s="3869"/>
      <c r="S107" s="3869"/>
      <c r="T107" s="3869"/>
      <c r="U107" s="3869"/>
      <c r="V107" s="3869"/>
      <c r="W107" s="3869"/>
      <c r="X107" s="3869"/>
      <c r="Y107" s="3869"/>
      <c r="Z107" s="3869"/>
      <c r="AA107" s="3869"/>
      <c r="AB107" s="3869"/>
      <c r="AC107" s="3869"/>
      <c r="AD107" s="3869"/>
      <c r="AE107" s="3869"/>
      <c r="AF107" s="3869"/>
      <c r="AG107" s="3869"/>
      <c r="AH107" s="3869"/>
      <c r="AI107" s="3869"/>
      <c r="AJ107" s="3869"/>
      <c r="AK107" s="3869"/>
      <c r="AL107" s="3869"/>
      <c r="AM107" s="3870"/>
      <c r="AV107" s="8210"/>
      <c r="AW107" s="304" t="s">
        <v>12087</v>
      </c>
      <c r="AX107" s="286">
        <v>1200</v>
      </c>
      <c r="AY107" s="286">
        <v>500</v>
      </c>
      <c r="AZ107" s="2334" t="s">
        <v>1165</v>
      </c>
      <c r="BA107" s="286" t="s">
        <v>11874</v>
      </c>
      <c r="BB107" s="286" t="s">
        <v>11874</v>
      </c>
      <c r="BC107" s="304" t="s">
        <v>12088</v>
      </c>
      <c r="BD107" s="304" t="s">
        <v>12089</v>
      </c>
      <c r="BE107" s="2334" t="s">
        <v>1315</v>
      </c>
    </row>
    <row r="108" spans="3:57">
      <c r="G108" s="3866"/>
      <c r="H108" s="3867"/>
      <c r="I108" s="3868"/>
      <c r="J108" s="3868"/>
      <c r="K108" s="3868"/>
      <c r="L108" s="3868"/>
      <c r="M108" s="3868"/>
      <c r="N108" s="3869"/>
      <c r="O108" s="3869"/>
      <c r="P108" s="3869"/>
      <c r="Q108" s="3869"/>
      <c r="R108" s="3869"/>
      <c r="S108" s="3869"/>
      <c r="T108" s="3869"/>
      <c r="U108" s="3869"/>
      <c r="V108" s="3869"/>
      <c r="W108" s="3869"/>
      <c r="X108" s="3869"/>
      <c r="Y108" s="3869"/>
      <c r="Z108" s="3869"/>
      <c r="AA108" s="3869"/>
      <c r="AB108" s="3869"/>
      <c r="AC108" s="3869"/>
      <c r="AD108" s="3869"/>
      <c r="AE108" s="3869"/>
      <c r="AF108" s="3869"/>
      <c r="AG108" s="3869"/>
      <c r="AH108" s="3869"/>
      <c r="AI108" s="3869"/>
      <c r="AJ108" s="3869"/>
      <c r="AK108" s="3869"/>
      <c r="AL108" s="3869"/>
      <c r="AM108" s="3870"/>
      <c r="AV108" s="4005" t="s">
        <v>9638</v>
      </c>
      <c r="AW108" s="699" t="s">
        <v>12090</v>
      </c>
      <c r="AX108" s="2334">
        <v>450</v>
      </c>
      <c r="AY108" s="2334">
        <v>300</v>
      </c>
      <c r="AZ108" s="2334" t="s">
        <v>1165</v>
      </c>
      <c r="BA108" s="2334">
        <v>280</v>
      </c>
      <c r="BB108" s="2334" t="s">
        <v>11874</v>
      </c>
      <c r="BC108" s="304" t="s">
        <v>12091</v>
      </c>
      <c r="BD108" s="304" t="s">
        <v>12092</v>
      </c>
      <c r="BE108" s="2334" t="s">
        <v>1315</v>
      </c>
    </row>
    <row r="109" spans="3:57">
      <c r="G109" s="3866"/>
      <c r="H109" s="3867"/>
      <c r="I109" s="3868"/>
      <c r="J109" s="3868"/>
      <c r="K109" s="3868"/>
      <c r="L109" s="3868"/>
      <c r="M109" s="3868"/>
      <c r="N109" s="3869"/>
      <c r="O109" s="3869"/>
      <c r="P109" s="3869"/>
      <c r="Q109" s="3869"/>
      <c r="R109" s="3869"/>
      <c r="S109" s="3869"/>
      <c r="T109" s="3869"/>
      <c r="U109" s="3869"/>
      <c r="V109" s="3869"/>
      <c r="W109" s="3869"/>
      <c r="X109" s="3869"/>
      <c r="Y109" s="3869"/>
      <c r="Z109" s="3869"/>
      <c r="AA109" s="3869"/>
      <c r="AB109" s="3869"/>
      <c r="AC109" s="3869"/>
      <c r="AD109" s="3869"/>
      <c r="AE109" s="3869"/>
      <c r="AF109" s="3869"/>
      <c r="AG109" s="3869"/>
      <c r="AH109" s="3869"/>
      <c r="AI109" s="3869"/>
      <c r="AJ109" s="3869"/>
      <c r="AK109" s="3869"/>
      <c r="AL109" s="3869"/>
      <c r="AM109" s="3870"/>
      <c r="AV109" s="4005" t="s">
        <v>9639</v>
      </c>
      <c r="AW109" s="699" t="s">
        <v>12093</v>
      </c>
      <c r="AX109" s="2334">
        <v>250</v>
      </c>
      <c r="AY109" s="2334">
        <v>200</v>
      </c>
      <c r="AZ109" s="2334" t="s">
        <v>1165</v>
      </c>
      <c r="BA109" s="2334">
        <v>150</v>
      </c>
      <c r="BB109" s="2334" t="s">
        <v>11874</v>
      </c>
      <c r="BC109" s="304" t="s">
        <v>6442</v>
      </c>
      <c r="BD109" s="304" t="s">
        <v>12094</v>
      </c>
      <c r="BE109" s="2334" t="s">
        <v>1315</v>
      </c>
    </row>
    <row r="110" spans="3:57">
      <c r="G110" s="3866"/>
      <c r="H110" s="3867"/>
      <c r="I110" s="3868"/>
      <c r="J110" s="3868"/>
      <c r="K110" s="3868"/>
      <c r="L110" s="3868"/>
      <c r="M110" s="3868"/>
      <c r="N110" s="3869"/>
      <c r="O110" s="3869"/>
      <c r="P110" s="3869"/>
      <c r="Q110" s="3869"/>
      <c r="R110" s="3869"/>
      <c r="S110" s="3869"/>
      <c r="T110" s="3869"/>
      <c r="U110" s="3869"/>
      <c r="V110" s="3869"/>
      <c r="W110" s="3869"/>
      <c r="X110" s="3869"/>
      <c r="Y110" s="3869"/>
      <c r="Z110" s="3869"/>
      <c r="AA110" s="3869"/>
      <c r="AB110" s="3869"/>
      <c r="AC110" s="3869"/>
      <c r="AD110" s="3869"/>
      <c r="AE110" s="3869"/>
      <c r="AF110" s="3869"/>
      <c r="AG110" s="3869"/>
      <c r="AH110" s="3869"/>
      <c r="AI110" s="3869"/>
      <c r="AJ110" s="3869"/>
      <c r="AK110" s="3869"/>
      <c r="AL110" s="3869"/>
      <c r="AM110" s="3870"/>
      <c r="AV110" s="8208" t="s">
        <v>13896</v>
      </c>
      <c r="AW110" s="304" t="s">
        <v>13881</v>
      </c>
      <c r="AX110" s="84">
        <v>400</v>
      </c>
      <c r="AY110" s="84">
        <v>260</v>
      </c>
      <c r="AZ110" s="2334" t="s">
        <v>1315</v>
      </c>
      <c r="BA110" s="304"/>
      <c r="BB110" s="304"/>
      <c r="BC110" s="304" t="s">
        <v>1315</v>
      </c>
      <c r="BD110" s="304"/>
      <c r="BE110" s="304" t="s">
        <v>1315</v>
      </c>
    </row>
    <row r="111" spans="3:57">
      <c r="G111" s="3866"/>
      <c r="H111" s="3867"/>
      <c r="I111" s="3868"/>
      <c r="J111" s="3868"/>
      <c r="K111" s="3868"/>
      <c r="L111" s="3868"/>
      <c r="M111" s="3868"/>
      <c r="N111" s="3869"/>
      <c r="O111" s="3869"/>
      <c r="P111" s="3869"/>
      <c r="Q111" s="3869"/>
      <c r="R111" s="3869"/>
      <c r="S111" s="3869"/>
      <c r="T111" s="3869"/>
      <c r="U111" s="3869"/>
      <c r="V111" s="3869"/>
      <c r="W111" s="3869"/>
      <c r="X111" s="3869"/>
      <c r="Y111" s="3869"/>
      <c r="Z111" s="3869"/>
      <c r="AA111" s="3869"/>
      <c r="AB111" s="3869"/>
      <c r="AC111" s="3869"/>
      <c r="AD111" s="3869"/>
      <c r="AE111" s="3869"/>
      <c r="AF111" s="3869"/>
      <c r="AG111" s="3869"/>
      <c r="AH111" s="3869"/>
      <c r="AI111" s="3869"/>
      <c r="AJ111" s="3869"/>
      <c r="AK111" s="3869"/>
      <c r="AL111" s="3869"/>
      <c r="AM111" s="3870"/>
      <c r="AV111" s="8208"/>
      <c r="AW111" s="304" t="s">
        <v>13882</v>
      </c>
      <c r="AX111" s="84">
        <v>600</v>
      </c>
      <c r="AY111" s="84">
        <v>300</v>
      </c>
      <c r="AZ111" s="2334" t="s">
        <v>1315</v>
      </c>
      <c r="BA111" s="304"/>
      <c r="BB111" s="304"/>
      <c r="BC111" s="304" t="s">
        <v>1315</v>
      </c>
      <c r="BD111" s="304"/>
      <c r="BE111" s="304" t="s">
        <v>1315</v>
      </c>
    </row>
    <row r="112" spans="3:57">
      <c r="G112" s="3866"/>
      <c r="H112" s="3867"/>
      <c r="I112" s="3868"/>
      <c r="J112" s="3868"/>
      <c r="K112" s="3868"/>
      <c r="L112" s="3868"/>
      <c r="M112" s="3868"/>
      <c r="N112" s="3869"/>
      <c r="O112" s="3869"/>
      <c r="P112" s="3869"/>
      <c r="Q112" s="3869"/>
      <c r="R112" s="3869"/>
      <c r="S112" s="3869"/>
      <c r="T112" s="3869"/>
      <c r="U112" s="3869"/>
      <c r="V112" s="3869"/>
      <c r="W112" s="3869"/>
      <c r="X112" s="3869"/>
      <c r="Y112" s="3869"/>
      <c r="Z112" s="3869"/>
      <c r="AA112" s="3869"/>
      <c r="AB112" s="3869"/>
      <c r="AC112" s="3869"/>
      <c r="AD112" s="3869"/>
      <c r="AE112" s="3869"/>
      <c r="AF112" s="3869"/>
      <c r="AG112" s="3869"/>
      <c r="AH112" s="3869"/>
      <c r="AI112" s="3869"/>
      <c r="AJ112" s="3869"/>
      <c r="AK112" s="3869"/>
      <c r="AL112" s="3869"/>
      <c r="AM112" s="3870"/>
      <c r="AV112" s="8208"/>
      <c r="AW112" s="304" t="s">
        <v>13883</v>
      </c>
      <c r="AX112" s="84">
        <v>900</v>
      </c>
      <c r="AY112" s="84">
        <v>380</v>
      </c>
      <c r="AZ112" s="2334" t="s">
        <v>1315</v>
      </c>
      <c r="BA112" s="304"/>
      <c r="BB112" s="304"/>
      <c r="BC112" s="304" t="s">
        <v>1315</v>
      </c>
      <c r="BD112" s="304"/>
      <c r="BE112" s="304" t="s">
        <v>1315</v>
      </c>
    </row>
    <row r="113" spans="7:57">
      <c r="G113" s="3866"/>
      <c r="H113" s="3867"/>
      <c r="I113" s="3868"/>
      <c r="J113" s="3868"/>
      <c r="K113" s="3868"/>
      <c r="L113" s="3868"/>
      <c r="M113" s="3868"/>
      <c r="N113" s="3869"/>
      <c r="O113" s="3869"/>
      <c r="P113" s="3869"/>
      <c r="Q113" s="3869"/>
      <c r="R113" s="3869"/>
      <c r="S113" s="3869"/>
      <c r="T113" s="3869"/>
      <c r="U113" s="3869"/>
      <c r="V113" s="3869"/>
      <c r="W113" s="3869"/>
      <c r="X113" s="3869"/>
      <c r="Y113" s="3869"/>
      <c r="Z113" s="3869"/>
      <c r="AA113" s="3869"/>
      <c r="AB113" s="3869"/>
      <c r="AC113" s="3869"/>
      <c r="AD113" s="3869"/>
      <c r="AE113" s="3869"/>
      <c r="AF113" s="3869"/>
      <c r="AG113" s="3869"/>
      <c r="AH113" s="3869"/>
      <c r="AI113" s="3869"/>
      <c r="AJ113" s="3869"/>
      <c r="AK113" s="3869"/>
      <c r="AL113" s="3869"/>
      <c r="AM113" s="3870"/>
      <c r="AV113" s="8208" t="s">
        <v>13897</v>
      </c>
      <c r="AW113" s="304" t="s">
        <v>13885</v>
      </c>
      <c r="AX113" s="84">
        <v>350</v>
      </c>
      <c r="AY113" s="84">
        <v>280</v>
      </c>
      <c r="AZ113" s="2334" t="s">
        <v>1315</v>
      </c>
      <c r="BA113" s="304"/>
      <c r="BB113" s="304"/>
      <c r="BC113" s="304" t="s">
        <v>1315</v>
      </c>
      <c r="BD113" s="304"/>
      <c r="BE113" s="304" t="s">
        <v>1315</v>
      </c>
    </row>
    <row r="114" spans="7:57">
      <c r="G114" s="3866"/>
      <c r="H114" s="3867"/>
      <c r="I114" s="3868"/>
      <c r="J114" s="3868"/>
      <c r="K114" s="3868"/>
      <c r="L114" s="3868"/>
      <c r="M114" s="3868"/>
      <c r="N114" s="3869"/>
      <c r="O114" s="3869"/>
      <c r="P114" s="3869"/>
      <c r="Q114" s="3869"/>
      <c r="R114" s="3869"/>
      <c r="S114" s="3869"/>
      <c r="T114" s="3869"/>
      <c r="U114" s="3869"/>
      <c r="V114" s="3869"/>
      <c r="W114" s="3869"/>
      <c r="X114" s="3869"/>
      <c r="Y114" s="3869"/>
      <c r="Z114" s="3869"/>
      <c r="AA114" s="3869"/>
      <c r="AB114" s="3869"/>
      <c r="AC114" s="3869"/>
      <c r="AD114" s="3869"/>
      <c r="AE114" s="3869"/>
      <c r="AF114" s="3869"/>
      <c r="AG114" s="3869"/>
      <c r="AH114" s="3869"/>
      <c r="AI114" s="3869"/>
      <c r="AJ114" s="3869"/>
      <c r="AK114" s="3869"/>
      <c r="AL114" s="3869"/>
      <c r="AM114" s="3870"/>
      <c r="AV114" s="8208"/>
      <c r="AW114" s="304" t="s">
        <v>13886</v>
      </c>
      <c r="AX114" s="84">
        <v>700</v>
      </c>
      <c r="AY114" s="84">
        <v>340</v>
      </c>
      <c r="AZ114" s="2334" t="s">
        <v>1315</v>
      </c>
      <c r="BA114" s="304"/>
      <c r="BB114" s="304"/>
      <c r="BC114" s="304" t="s">
        <v>1315</v>
      </c>
      <c r="BD114" s="304"/>
      <c r="BE114" s="304" t="s">
        <v>1315</v>
      </c>
    </row>
    <row r="115" spans="7:57">
      <c r="G115" s="3866"/>
      <c r="H115" s="3867"/>
      <c r="I115" s="3868"/>
      <c r="J115" s="3868"/>
      <c r="K115" s="3868"/>
      <c r="L115" s="3868"/>
      <c r="M115" s="3868"/>
      <c r="N115" s="3869"/>
      <c r="O115" s="3869"/>
      <c r="P115" s="3869"/>
      <c r="Q115" s="3869"/>
      <c r="R115" s="3869"/>
      <c r="S115" s="3869"/>
      <c r="T115" s="3869"/>
      <c r="U115" s="3869"/>
      <c r="V115" s="3869"/>
      <c r="W115" s="3869"/>
      <c r="X115" s="3869"/>
      <c r="Y115" s="3869"/>
      <c r="Z115" s="3869"/>
      <c r="AA115" s="3869"/>
      <c r="AB115" s="3869"/>
      <c r="AC115" s="3869"/>
      <c r="AD115" s="3869"/>
      <c r="AE115" s="3869"/>
      <c r="AF115" s="3869"/>
      <c r="AG115" s="3869"/>
      <c r="AH115" s="3869"/>
      <c r="AI115" s="3869"/>
      <c r="AJ115" s="3869"/>
      <c r="AK115" s="3869"/>
      <c r="AL115" s="3869"/>
      <c r="AM115" s="3870"/>
      <c r="AV115" s="8208"/>
      <c r="AW115" s="304" t="s">
        <v>13887</v>
      </c>
      <c r="AX115" s="84">
        <v>900</v>
      </c>
      <c r="AY115" s="84">
        <v>400</v>
      </c>
      <c r="AZ115" s="2334" t="s">
        <v>1315</v>
      </c>
      <c r="BA115" s="304"/>
      <c r="BB115" s="304"/>
      <c r="BC115" s="304" t="s">
        <v>1315</v>
      </c>
      <c r="BD115" s="304"/>
      <c r="BE115" s="304" t="s">
        <v>1315</v>
      </c>
    </row>
    <row r="116" spans="7:57">
      <c r="G116" s="3866"/>
      <c r="H116" s="3867"/>
      <c r="I116" s="3868"/>
      <c r="J116" s="3868"/>
      <c r="K116" s="3868"/>
      <c r="L116" s="3868"/>
      <c r="M116" s="3868"/>
      <c r="N116" s="3869"/>
      <c r="O116" s="3869"/>
      <c r="P116" s="3869"/>
      <c r="Q116" s="3869"/>
      <c r="R116" s="3869"/>
      <c r="S116" s="3869"/>
      <c r="T116" s="3869"/>
      <c r="U116" s="3869"/>
      <c r="V116" s="3869"/>
      <c r="W116" s="3869"/>
      <c r="X116" s="3869"/>
      <c r="Y116" s="3869"/>
      <c r="Z116" s="3869"/>
      <c r="AA116" s="3869"/>
      <c r="AB116" s="3869"/>
      <c r="AC116" s="3869"/>
      <c r="AD116" s="3869"/>
      <c r="AE116" s="3869"/>
      <c r="AF116" s="3869"/>
      <c r="AG116" s="3869"/>
      <c r="AH116" s="3869"/>
      <c r="AI116" s="3869"/>
      <c r="AJ116" s="3869"/>
      <c r="AK116" s="3869"/>
      <c r="AL116" s="3869"/>
      <c r="AM116" s="3870"/>
      <c r="AV116" s="8208" t="s">
        <v>13898</v>
      </c>
      <c r="AW116" s="304" t="s">
        <v>13885</v>
      </c>
      <c r="AX116" s="84">
        <v>200</v>
      </c>
      <c r="AY116" s="84">
        <v>220</v>
      </c>
      <c r="AZ116" s="2334" t="s">
        <v>1315</v>
      </c>
      <c r="BA116" s="304"/>
      <c r="BB116" s="304"/>
      <c r="BC116" s="304" t="s">
        <v>1315</v>
      </c>
      <c r="BD116" s="304"/>
      <c r="BE116" s="304" t="s">
        <v>1315</v>
      </c>
    </row>
    <row r="117" spans="7:57">
      <c r="G117" s="3866"/>
      <c r="H117" s="3867"/>
      <c r="I117" s="3868"/>
      <c r="J117" s="3868"/>
      <c r="K117" s="3868"/>
      <c r="L117" s="3868"/>
      <c r="M117" s="3868"/>
      <c r="N117" s="3869"/>
      <c r="O117" s="3869"/>
      <c r="P117" s="3869"/>
      <c r="Q117" s="3869"/>
      <c r="R117" s="3869"/>
      <c r="S117" s="3869"/>
      <c r="T117" s="3869"/>
      <c r="U117" s="3869"/>
      <c r="V117" s="3869"/>
      <c r="W117" s="3869"/>
      <c r="X117" s="3869"/>
      <c r="Y117" s="3869"/>
      <c r="Z117" s="3869"/>
      <c r="AA117" s="3869"/>
      <c r="AB117" s="3869"/>
      <c r="AC117" s="3869"/>
      <c r="AD117" s="3869"/>
      <c r="AE117" s="3869"/>
      <c r="AF117" s="3869"/>
      <c r="AG117" s="3869"/>
      <c r="AH117" s="3869"/>
      <c r="AI117" s="3869"/>
      <c r="AJ117" s="3869"/>
      <c r="AK117" s="3869"/>
      <c r="AL117" s="3869"/>
      <c r="AM117" s="3870"/>
      <c r="AV117" s="8208"/>
      <c r="AW117" s="304" t="s">
        <v>13888</v>
      </c>
      <c r="AX117" s="84">
        <v>480</v>
      </c>
      <c r="AY117" s="84">
        <v>300</v>
      </c>
      <c r="AZ117" s="2334" t="s">
        <v>1315</v>
      </c>
      <c r="BA117" s="304"/>
      <c r="BB117" s="304"/>
      <c r="BC117" s="304" t="s">
        <v>1315</v>
      </c>
      <c r="BD117" s="304"/>
      <c r="BE117" s="304" t="s">
        <v>1315</v>
      </c>
    </row>
    <row r="118" spans="7:57">
      <c r="G118" s="3866"/>
      <c r="H118" s="3867"/>
      <c r="I118" s="3868"/>
      <c r="J118" s="3868"/>
      <c r="K118" s="3868"/>
      <c r="L118" s="3868"/>
      <c r="M118" s="3868"/>
      <c r="N118" s="3869"/>
      <c r="O118" s="3869"/>
      <c r="P118" s="3869"/>
      <c r="Q118" s="3869"/>
      <c r="R118" s="3869"/>
      <c r="S118" s="3869"/>
      <c r="T118" s="3869"/>
      <c r="U118" s="3869"/>
      <c r="V118" s="3869"/>
      <c r="W118" s="3869"/>
      <c r="X118" s="3869"/>
      <c r="Y118" s="3869"/>
      <c r="Z118" s="3869"/>
      <c r="AA118" s="3869"/>
      <c r="AB118" s="3869"/>
      <c r="AC118" s="3869"/>
      <c r="AD118" s="3869"/>
      <c r="AE118" s="3869"/>
      <c r="AF118" s="3869"/>
      <c r="AG118" s="3869"/>
      <c r="AH118" s="3869"/>
      <c r="AI118" s="3869"/>
      <c r="AJ118" s="3869"/>
      <c r="AK118" s="3869"/>
      <c r="AL118" s="3869"/>
      <c r="AM118" s="3870"/>
      <c r="AV118" s="8208"/>
      <c r="AW118" s="304" t="s">
        <v>13889</v>
      </c>
      <c r="AX118" s="84">
        <v>600</v>
      </c>
      <c r="AY118" s="84">
        <v>360</v>
      </c>
      <c r="AZ118" s="2334" t="s">
        <v>1315</v>
      </c>
      <c r="BA118" s="304"/>
      <c r="BB118" s="304"/>
      <c r="BC118" s="304" t="s">
        <v>1315</v>
      </c>
      <c r="BD118" s="304"/>
      <c r="BE118" s="304" t="s">
        <v>1315</v>
      </c>
    </row>
    <row r="119" spans="7:57">
      <c r="G119" s="3866"/>
      <c r="H119" s="3867"/>
      <c r="I119" s="3868"/>
      <c r="J119" s="3868"/>
      <c r="K119" s="3868"/>
      <c r="L119" s="3868"/>
      <c r="M119" s="3868"/>
      <c r="N119" s="3869"/>
      <c r="O119" s="3869"/>
      <c r="P119" s="3869"/>
      <c r="Q119" s="3869"/>
      <c r="R119" s="3869"/>
      <c r="S119" s="3869"/>
      <c r="T119" s="3869"/>
      <c r="U119" s="3869"/>
      <c r="V119" s="3869"/>
      <c r="W119" s="3869"/>
      <c r="X119" s="3869"/>
      <c r="Y119" s="3869"/>
      <c r="Z119" s="3869"/>
      <c r="AA119" s="3869"/>
      <c r="AB119" s="3869"/>
      <c r="AC119" s="3869"/>
      <c r="AD119" s="3869"/>
      <c r="AE119" s="3869"/>
      <c r="AF119" s="3869"/>
      <c r="AG119" s="3869"/>
      <c r="AH119" s="3869"/>
      <c r="AI119" s="3869"/>
      <c r="AJ119" s="3869"/>
      <c r="AK119" s="3869"/>
      <c r="AL119" s="3869"/>
      <c r="AM119" s="3870"/>
      <c r="AV119" s="8208" t="s">
        <v>13899</v>
      </c>
      <c r="AW119" s="304" t="s">
        <v>13890</v>
      </c>
      <c r="AX119" s="84">
        <v>150</v>
      </c>
      <c r="AY119" s="84">
        <v>200</v>
      </c>
      <c r="AZ119" s="2334" t="s">
        <v>1315</v>
      </c>
      <c r="BA119" s="304"/>
      <c r="BB119" s="304"/>
      <c r="BC119" s="304" t="s">
        <v>1315</v>
      </c>
      <c r="BD119" s="304"/>
      <c r="BE119" s="304" t="s">
        <v>1315</v>
      </c>
    </row>
    <row r="120" spans="7:57">
      <c r="G120" s="3866"/>
      <c r="H120" s="3867"/>
      <c r="I120" s="3868"/>
      <c r="J120" s="3868"/>
      <c r="K120" s="3868"/>
      <c r="L120" s="3868"/>
      <c r="M120" s="3868"/>
      <c r="N120" s="3869"/>
      <c r="O120" s="3869"/>
      <c r="P120" s="3869"/>
      <c r="Q120" s="3869"/>
      <c r="R120" s="3869"/>
      <c r="S120" s="3869"/>
      <c r="T120" s="3869"/>
      <c r="U120" s="3869"/>
      <c r="V120" s="3869"/>
      <c r="W120" s="3869"/>
      <c r="X120" s="3869"/>
      <c r="Y120" s="3869"/>
      <c r="Z120" s="3869"/>
      <c r="AA120" s="3869"/>
      <c r="AB120" s="3869"/>
      <c r="AC120" s="3869"/>
      <c r="AD120" s="3869"/>
      <c r="AE120" s="3869"/>
      <c r="AF120" s="3869"/>
      <c r="AG120" s="3869"/>
      <c r="AH120" s="3869"/>
      <c r="AI120" s="3869"/>
      <c r="AJ120" s="3869"/>
      <c r="AK120" s="3869"/>
      <c r="AL120" s="3869"/>
      <c r="AM120" s="3870"/>
      <c r="AV120" s="8208"/>
      <c r="AW120" s="304" t="s">
        <v>13881</v>
      </c>
      <c r="AX120" s="84">
        <v>300</v>
      </c>
      <c r="AY120" s="84">
        <v>240</v>
      </c>
      <c r="AZ120" s="2334" t="s">
        <v>1315</v>
      </c>
      <c r="BA120" s="304"/>
      <c r="BB120" s="304"/>
      <c r="BC120" s="304" t="s">
        <v>1315</v>
      </c>
      <c r="BD120" s="304"/>
      <c r="BE120" s="304" t="s">
        <v>1315</v>
      </c>
    </row>
    <row r="121" spans="7:57">
      <c r="G121" s="3866"/>
      <c r="H121" s="3867"/>
      <c r="I121" s="3868"/>
      <c r="J121" s="3868"/>
      <c r="K121" s="3868"/>
      <c r="L121" s="3868"/>
      <c r="M121" s="3868"/>
      <c r="N121" s="3869"/>
      <c r="O121" s="3869"/>
      <c r="P121" s="3869"/>
      <c r="Q121" s="3869"/>
      <c r="R121" s="3869"/>
      <c r="S121" s="3869"/>
      <c r="T121" s="3869"/>
      <c r="U121" s="3869"/>
      <c r="V121" s="3869"/>
      <c r="W121" s="3869"/>
      <c r="X121" s="3869"/>
      <c r="Y121" s="3869"/>
      <c r="Z121" s="3869"/>
      <c r="AA121" s="3869"/>
      <c r="AB121" s="3869"/>
      <c r="AC121" s="3869"/>
      <c r="AD121" s="3869"/>
      <c r="AE121" s="3869"/>
      <c r="AF121" s="3869"/>
      <c r="AG121" s="3869"/>
      <c r="AH121" s="3869"/>
      <c r="AI121" s="3869"/>
      <c r="AJ121" s="3869"/>
      <c r="AK121" s="3869"/>
      <c r="AL121" s="3869"/>
      <c r="AM121" s="3870"/>
      <c r="AV121" s="8208"/>
      <c r="AW121" s="304" t="s">
        <v>13888</v>
      </c>
      <c r="AX121" s="84">
        <v>450</v>
      </c>
      <c r="AY121" s="84">
        <v>260</v>
      </c>
      <c r="AZ121" s="2334" t="s">
        <v>1315</v>
      </c>
      <c r="BA121" s="304"/>
      <c r="BB121" s="304"/>
      <c r="BC121" s="304" t="s">
        <v>1315</v>
      </c>
      <c r="BD121" s="304"/>
      <c r="BE121" s="304" t="s">
        <v>1315</v>
      </c>
    </row>
    <row r="122" spans="7:57">
      <c r="G122" s="3866"/>
      <c r="H122" s="3867"/>
      <c r="I122" s="3868"/>
      <c r="J122" s="3868"/>
      <c r="K122" s="3868"/>
      <c r="L122" s="3868"/>
      <c r="M122" s="3868"/>
      <c r="N122" s="3869"/>
      <c r="O122" s="3869"/>
      <c r="P122" s="3869"/>
      <c r="Q122" s="3869"/>
      <c r="R122" s="3869"/>
      <c r="S122" s="3869"/>
      <c r="T122" s="3869"/>
      <c r="U122" s="3869"/>
      <c r="V122" s="3869"/>
      <c r="W122" s="3869"/>
      <c r="X122" s="3869"/>
      <c r="Y122" s="3869"/>
      <c r="Z122" s="3869"/>
      <c r="AA122" s="3869"/>
      <c r="AB122" s="3869"/>
      <c r="AC122" s="3869"/>
      <c r="AD122" s="3869"/>
      <c r="AE122" s="3869"/>
      <c r="AF122" s="3869"/>
      <c r="AG122" s="3869"/>
      <c r="AH122" s="3869"/>
      <c r="AI122" s="3869"/>
      <c r="AJ122" s="3869"/>
      <c r="AK122" s="3869"/>
      <c r="AL122" s="3869"/>
      <c r="AM122" s="3870"/>
      <c r="AV122" s="8208" t="s">
        <v>13900</v>
      </c>
      <c r="AW122" s="304" t="s">
        <v>13891</v>
      </c>
      <c r="AX122" s="84">
        <v>390</v>
      </c>
      <c r="AY122" s="84">
        <v>270</v>
      </c>
      <c r="AZ122" s="2334" t="s">
        <v>1315</v>
      </c>
      <c r="BA122" s="304"/>
      <c r="BB122" s="304"/>
      <c r="BC122" s="304" t="s">
        <v>1315</v>
      </c>
      <c r="BD122" s="304"/>
      <c r="BE122" s="304" t="s">
        <v>1315</v>
      </c>
    </row>
    <row r="123" spans="7:57">
      <c r="G123" s="3866"/>
      <c r="H123" s="3867"/>
      <c r="I123" s="3868"/>
      <c r="J123" s="3868"/>
      <c r="K123" s="3868"/>
      <c r="L123" s="3868"/>
      <c r="M123" s="3868"/>
      <c r="N123" s="3869"/>
      <c r="O123" s="3869"/>
      <c r="P123" s="3869"/>
      <c r="Q123" s="3869"/>
      <c r="R123" s="3869"/>
      <c r="S123" s="3869"/>
      <c r="T123" s="3869"/>
      <c r="U123" s="3869"/>
      <c r="V123" s="3869"/>
      <c r="W123" s="3869"/>
      <c r="X123" s="3869"/>
      <c r="Y123" s="3869"/>
      <c r="Z123" s="3869"/>
      <c r="AA123" s="3869"/>
      <c r="AB123" s="3869"/>
      <c r="AC123" s="3869"/>
      <c r="AD123" s="3869"/>
      <c r="AE123" s="3869"/>
      <c r="AF123" s="3869"/>
      <c r="AG123" s="3869"/>
      <c r="AH123" s="3869"/>
      <c r="AI123" s="3869"/>
      <c r="AJ123" s="3869"/>
      <c r="AK123" s="3869"/>
      <c r="AL123" s="3869"/>
      <c r="AM123" s="3870"/>
      <c r="AV123" s="8208"/>
      <c r="AW123" s="304" t="s">
        <v>13889</v>
      </c>
      <c r="AX123" s="84">
        <v>750</v>
      </c>
      <c r="AY123" s="84">
        <v>380</v>
      </c>
      <c r="AZ123" s="2334" t="s">
        <v>1315</v>
      </c>
      <c r="BA123" s="304"/>
      <c r="BB123" s="304"/>
      <c r="BC123" s="304" t="s">
        <v>1315</v>
      </c>
      <c r="BD123" s="304"/>
      <c r="BE123" s="304" t="s">
        <v>1315</v>
      </c>
    </row>
    <row r="124" spans="7:57">
      <c r="G124" s="3866"/>
      <c r="H124" s="3867"/>
      <c r="I124" s="3868"/>
      <c r="J124" s="3868"/>
      <c r="K124" s="3868"/>
      <c r="L124" s="3868"/>
      <c r="M124" s="3868"/>
      <c r="N124" s="3869"/>
      <c r="O124" s="3869"/>
      <c r="P124" s="3869"/>
      <c r="Q124" s="3869"/>
      <c r="R124" s="3869"/>
      <c r="S124" s="3869"/>
      <c r="T124" s="3869"/>
      <c r="U124" s="3869"/>
      <c r="V124" s="3869"/>
      <c r="W124" s="3869"/>
      <c r="X124" s="3869"/>
      <c r="Y124" s="3869"/>
      <c r="Z124" s="3869"/>
      <c r="AA124" s="3869"/>
      <c r="AB124" s="3869"/>
      <c r="AC124" s="3869"/>
      <c r="AD124" s="3869"/>
      <c r="AE124" s="3869"/>
      <c r="AF124" s="3869"/>
      <c r="AG124" s="3869"/>
      <c r="AH124" s="3869"/>
      <c r="AI124" s="3869"/>
      <c r="AJ124" s="3869"/>
      <c r="AK124" s="3869"/>
      <c r="AL124" s="3869"/>
      <c r="AM124" s="3870"/>
      <c r="AV124" s="8208"/>
      <c r="AW124" s="304" t="s">
        <v>13892</v>
      </c>
      <c r="AX124" s="84">
        <v>1400</v>
      </c>
      <c r="AY124" s="84">
        <v>490</v>
      </c>
      <c r="AZ124" s="2334" t="s">
        <v>1315</v>
      </c>
      <c r="BA124" s="304"/>
      <c r="BB124" s="304"/>
      <c r="BC124" s="304" t="s">
        <v>1315</v>
      </c>
      <c r="BD124" s="304"/>
      <c r="BE124" s="304" t="s">
        <v>1315</v>
      </c>
    </row>
    <row r="125" spans="7:57">
      <c r="G125" s="3866"/>
      <c r="H125" s="3867"/>
      <c r="I125" s="3868"/>
      <c r="J125" s="3868"/>
      <c r="K125" s="3868"/>
      <c r="L125" s="3868"/>
      <c r="M125" s="3868"/>
      <c r="N125" s="3869"/>
      <c r="O125" s="3869"/>
      <c r="P125" s="3869"/>
      <c r="Q125" s="3869"/>
      <c r="R125" s="3869"/>
      <c r="S125" s="3869"/>
      <c r="T125" s="3869"/>
      <c r="U125" s="3869"/>
      <c r="V125" s="3869"/>
      <c r="W125" s="3869"/>
      <c r="X125" s="3869"/>
      <c r="Y125" s="3869"/>
      <c r="Z125" s="3869"/>
      <c r="AA125" s="3869"/>
      <c r="AB125" s="3869"/>
      <c r="AC125" s="3869"/>
      <c r="AD125" s="3869"/>
      <c r="AE125" s="3869"/>
      <c r="AF125" s="3869"/>
      <c r="AG125" s="3869"/>
      <c r="AH125" s="3869"/>
      <c r="AI125" s="3869"/>
      <c r="AJ125" s="3869"/>
      <c r="AK125" s="3869"/>
      <c r="AL125" s="3869"/>
      <c r="AM125" s="3870"/>
      <c r="AV125" s="8208" t="s">
        <v>13901</v>
      </c>
      <c r="AW125" s="304" t="s">
        <v>13893</v>
      </c>
      <c r="AX125" s="84">
        <v>180</v>
      </c>
      <c r="AY125" s="84">
        <v>160</v>
      </c>
      <c r="AZ125" s="2334" t="s">
        <v>1315</v>
      </c>
      <c r="BA125" s="304"/>
      <c r="BB125" s="304"/>
      <c r="BC125" s="304" t="s">
        <v>1315</v>
      </c>
      <c r="BD125" s="304"/>
      <c r="BE125" s="304" t="s">
        <v>1315</v>
      </c>
    </row>
    <row r="126" spans="7:57">
      <c r="G126" s="3866"/>
      <c r="H126" s="3867"/>
      <c r="I126" s="3868"/>
      <c r="J126" s="3868"/>
      <c r="K126" s="3868"/>
      <c r="L126" s="3868"/>
      <c r="M126" s="3868"/>
      <c r="N126" s="3869"/>
      <c r="O126" s="3869"/>
      <c r="P126" s="3869"/>
      <c r="Q126" s="3869"/>
      <c r="R126" s="3869"/>
      <c r="S126" s="3869"/>
      <c r="T126" s="3869"/>
      <c r="U126" s="3869"/>
      <c r="V126" s="3869"/>
      <c r="W126" s="3869"/>
      <c r="X126" s="3869"/>
      <c r="Y126" s="3869"/>
      <c r="Z126" s="3869"/>
      <c r="AA126" s="3869"/>
      <c r="AB126" s="3869"/>
      <c r="AC126" s="3869"/>
      <c r="AD126" s="3869"/>
      <c r="AE126" s="3869"/>
      <c r="AF126" s="3869"/>
      <c r="AG126" s="3869"/>
      <c r="AH126" s="3869"/>
      <c r="AI126" s="3869"/>
      <c r="AJ126" s="3869"/>
      <c r="AK126" s="3869"/>
      <c r="AL126" s="3869"/>
      <c r="AM126" s="3870"/>
      <c r="AV126" s="8208"/>
      <c r="AW126" s="304" t="s">
        <v>13885</v>
      </c>
      <c r="AX126" s="84">
        <v>300</v>
      </c>
      <c r="AY126" s="84">
        <v>200</v>
      </c>
      <c r="AZ126" s="2334" t="s">
        <v>1315</v>
      </c>
      <c r="BA126" s="304"/>
      <c r="BB126" s="304"/>
      <c r="BC126" s="304" t="s">
        <v>1315</v>
      </c>
      <c r="BD126" s="304"/>
      <c r="BE126" s="304" t="s">
        <v>1315</v>
      </c>
    </row>
    <row r="127" spans="7:57">
      <c r="G127" s="3866"/>
      <c r="H127" s="3867"/>
      <c r="I127" s="3868"/>
      <c r="J127" s="3868"/>
      <c r="K127" s="3868"/>
      <c r="L127" s="3868"/>
      <c r="M127" s="3868"/>
      <c r="N127" s="3869"/>
      <c r="O127" s="3869"/>
      <c r="P127" s="3869"/>
      <c r="Q127" s="3869"/>
      <c r="R127" s="3869"/>
      <c r="S127" s="3869"/>
      <c r="T127" s="3869"/>
      <c r="U127" s="3869"/>
      <c r="V127" s="3869"/>
      <c r="W127" s="3869"/>
      <c r="X127" s="3869"/>
      <c r="Y127" s="3869"/>
      <c r="Z127" s="3869"/>
      <c r="AA127" s="3869"/>
      <c r="AB127" s="3869"/>
      <c r="AC127" s="3869"/>
      <c r="AD127" s="3869"/>
      <c r="AE127" s="3869"/>
      <c r="AF127" s="3869"/>
      <c r="AG127" s="3869"/>
      <c r="AH127" s="3869"/>
      <c r="AI127" s="3869"/>
      <c r="AJ127" s="3869"/>
      <c r="AK127" s="3869"/>
      <c r="AL127" s="3869"/>
      <c r="AM127" s="3870"/>
      <c r="AV127" s="8208"/>
      <c r="AW127" s="304" t="s">
        <v>13888</v>
      </c>
      <c r="AX127" s="84">
        <v>400</v>
      </c>
      <c r="AY127" s="84">
        <v>280</v>
      </c>
      <c r="AZ127" s="2334" t="s">
        <v>1315</v>
      </c>
      <c r="BA127" s="304"/>
      <c r="BB127" s="304"/>
      <c r="BC127" s="304" t="s">
        <v>1315</v>
      </c>
      <c r="BD127" s="304"/>
      <c r="BE127" s="304" t="s">
        <v>1315</v>
      </c>
    </row>
    <row r="128" spans="7:57">
      <c r="G128" s="3872"/>
      <c r="H128" s="3869"/>
      <c r="I128" s="3869"/>
      <c r="J128" s="3869"/>
      <c r="K128" s="3869"/>
      <c r="L128" s="3869"/>
      <c r="M128" s="3869"/>
      <c r="N128" s="3869"/>
      <c r="O128" s="3869"/>
      <c r="P128" s="3869"/>
      <c r="Q128" s="3869"/>
      <c r="R128" s="3869"/>
      <c r="S128" s="3869"/>
      <c r="T128" s="3869"/>
      <c r="U128" s="3869"/>
      <c r="V128" s="3869"/>
      <c r="W128" s="3869"/>
      <c r="X128" s="3869"/>
      <c r="Y128" s="3869"/>
      <c r="Z128" s="3869"/>
      <c r="AA128" s="3869"/>
      <c r="AB128" s="3869"/>
      <c r="AC128" s="3869"/>
      <c r="AD128" s="3869"/>
      <c r="AE128" s="3869"/>
      <c r="AF128" s="3869"/>
      <c r="AG128" s="3869"/>
      <c r="AH128" s="3869"/>
      <c r="AI128" s="3869"/>
      <c r="AJ128" s="3869"/>
      <c r="AK128" s="3869"/>
      <c r="AL128" s="3869"/>
      <c r="AM128" s="3870"/>
      <c r="AV128" s="8208" t="s">
        <v>13902</v>
      </c>
      <c r="AW128" s="304" t="s">
        <v>13885</v>
      </c>
      <c r="AX128" s="84">
        <v>200</v>
      </c>
      <c r="AY128" s="84">
        <v>230</v>
      </c>
      <c r="AZ128" s="2334" t="s">
        <v>1315</v>
      </c>
      <c r="BA128" s="304"/>
      <c r="BB128" s="304"/>
      <c r="BC128" s="304" t="s">
        <v>1315</v>
      </c>
      <c r="BD128" s="304"/>
      <c r="BE128" s="304" t="s">
        <v>1315</v>
      </c>
    </row>
    <row r="129" spans="7:57" ht="13.5" thickBot="1">
      <c r="G129" s="3873"/>
      <c r="H129" s="3874"/>
      <c r="I129" s="3874"/>
      <c r="J129" s="3874"/>
      <c r="K129" s="3874"/>
      <c r="L129" s="3874"/>
      <c r="M129" s="3874"/>
      <c r="N129" s="3874"/>
      <c r="O129" s="3874"/>
      <c r="P129" s="3874"/>
      <c r="Q129" s="3874"/>
      <c r="R129" s="3874"/>
      <c r="S129" s="3874"/>
      <c r="T129" s="3874"/>
      <c r="U129" s="3874"/>
      <c r="V129" s="3874"/>
      <c r="W129" s="3874"/>
      <c r="X129" s="3874"/>
      <c r="Y129" s="3874"/>
      <c r="Z129" s="3874"/>
      <c r="AA129" s="3874"/>
      <c r="AB129" s="3874"/>
      <c r="AC129" s="3874"/>
      <c r="AD129" s="3874"/>
      <c r="AE129" s="3874"/>
      <c r="AF129" s="3874"/>
      <c r="AG129" s="3874"/>
      <c r="AH129" s="3874"/>
      <c r="AI129" s="3874"/>
      <c r="AJ129" s="3874"/>
      <c r="AK129" s="3874"/>
      <c r="AL129" s="3874"/>
      <c r="AM129" s="3875"/>
      <c r="AV129" s="8208"/>
      <c r="AW129" s="304" t="s">
        <v>13888</v>
      </c>
      <c r="AX129" s="84">
        <v>450</v>
      </c>
      <c r="AY129" s="84">
        <v>280</v>
      </c>
      <c r="AZ129" s="2334" t="s">
        <v>1315</v>
      </c>
      <c r="BA129" s="304"/>
      <c r="BB129" s="304"/>
      <c r="BC129" s="304" t="s">
        <v>1315</v>
      </c>
      <c r="BD129" s="304"/>
      <c r="BE129" s="304" t="s">
        <v>1315</v>
      </c>
    </row>
    <row r="130" spans="7:57">
      <c r="AV130" s="8208"/>
      <c r="AW130" s="304" t="s">
        <v>13889</v>
      </c>
      <c r="AX130" s="84">
        <v>550</v>
      </c>
      <c r="AY130" s="84">
        <v>320</v>
      </c>
      <c r="AZ130" s="2334" t="s">
        <v>1315</v>
      </c>
      <c r="BA130" s="304"/>
      <c r="BB130" s="304"/>
      <c r="BC130" s="304" t="s">
        <v>1315</v>
      </c>
      <c r="BD130" s="304"/>
      <c r="BE130" s="304" t="s">
        <v>1315</v>
      </c>
    </row>
    <row r="131" spans="7:57">
      <c r="AV131" s="8208" t="s">
        <v>13903</v>
      </c>
      <c r="AW131" s="304" t="s">
        <v>13890</v>
      </c>
      <c r="AX131" s="84">
        <v>150</v>
      </c>
      <c r="AY131" s="84">
        <v>180</v>
      </c>
      <c r="AZ131" s="2334" t="s">
        <v>1315</v>
      </c>
      <c r="BA131" s="304"/>
      <c r="BB131" s="304"/>
      <c r="BC131" s="304" t="s">
        <v>1315</v>
      </c>
      <c r="BD131" s="304"/>
      <c r="BE131" s="304" t="s">
        <v>1315</v>
      </c>
    </row>
    <row r="132" spans="7:57">
      <c r="AV132" s="8208"/>
      <c r="AW132" s="304" t="s">
        <v>13891</v>
      </c>
      <c r="AX132" s="84">
        <v>400</v>
      </c>
      <c r="AY132" s="84">
        <v>280</v>
      </c>
      <c r="AZ132" s="2334" t="s">
        <v>1315</v>
      </c>
      <c r="BA132" s="304"/>
      <c r="BB132" s="304"/>
      <c r="BC132" s="304" t="s">
        <v>1315</v>
      </c>
      <c r="BD132" s="304"/>
      <c r="BE132" s="304" t="s">
        <v>1315</v>
      </c>
    </row>
    <row r="133" spans="7:57">
      <c r="AV133" s="8208"/>
      <c r="AW133" s="304" t="s">
        <v>13894</v>
      </c>
      <c r="AX133" s="84">
        <v>600</v>
      </c>
      <c r="AY133" s="84">
        <v>300</v>
      </c>
      <c r="AZ133" s="2334" t="s">
        <v>1315</v>
      </c>
      <c r="BA133" s="304"/>
      <c r="BB133" s="304"/>
      <c r="BC133" s="304" t="s">
        <v>1315</v>
      </c>
      <c r="BD133" s="304"/>
      <c r="BE133" s="304" t="s">
        <v>1315</v>
      </c>
    </row>
    <row r="134" spans="7:57">
      <c r="AV134" s="8208" t="s">
        <v>13904</v>
      </c>
      <c r="AW134" s="304" t="s">
        <v>13881</v>
      </c>
      <c r="AX134" s="84">
        <v>200</v>
      </c>
      <c r="AY134" s="84">
        <v>240</v>
      </c>
      <c r="AZ134" s="2334" t="s">
        <v>1315</v>
      </c>
      <c r="BA134" s="304"/>
      <c r="BB134" s="304"/>
      <c r="BC134" s="304" t="s">
        <v>1315</v>
      </c>
      <c r="BD134" s="304"/>
      <c r="BE134" s="304" t="s">
        <v>1315</v>
      </c>
    </row>
    <row r="135" spans="7:57">
      <c r="AV135" s="8208"/>
      <c r="AW135" s="304" t="s">
        <v>13888</v>
      </c>
      <c r="AX135" s="84">
        <v>350</v>
      </c>
      <c r="AY135" s="84">
        <v>260</v>
      </c>
      <c r="AZ135" s="2334" t="s">
        <v>1315</v>
      </c>
      <c r="BA135" s="304"/>
      <c r="BB135" s="304"/>
      <c r="BC135" s="304" t="s">
        <v>1315</v>
      </c>
      <c r="BD135" s="304"/>
      <c r="BE135" s="304" t="s">
        <v>1315</v>
      </c>
    </row>
    <row r="136" spans="7:57">
      <c r="AV136" s="8208"/>
      <c r="AW136" s="304" t="s">
        <v>13894</v>
      </c>
      <c r="AX136" s="84">
        <v>500</v>
      </c>
      <c r="AY136" s="84">
        <v>280</v>
      </c>
      <c r="AZ136" s="2334" t="s">
        <v>1315</v>
      </c>
      <c r="BA136" s="304"/>
      <c r="BB136" s="304"/>
      <c r="BC136" s="304" t="s">
        <v>1315</v>
      </c>
      <c r="BD136" s="304"/>
      <c r="BE136" s="304" t="s">
        <v>1315</v>
      </c>
    </row>
    <row r="137" spans="7:57">
      <c r="AV137" s="8208" t="s">
        <v>13905</v>
      </c>
      <c r="AW137" s="304" t="s">
        <v>13881</v>
      </c>
      <c r="AX137" s="84">
        <v>450</v>
      </c>
      <c r="AY137" s="84">
        <v>280</v>
      </c>
      <c r="AZ137" s="2334" t="s">
        <v>1315</v>
      </c>
      <c r="BA137" s="304"/>
      <c r="BB137" s="304"/>
      <c r="BC137" s="304" t="s">
        <v>1315</v>
      </c>
      <c r="BD137" s="304"/>
      <c r="BE137" s="304" t="s">
        <v>1315</v>
      </c>
    </row>
    <row r="138" spans="7:57">
      <c r="AV138" s="8208"/>
      <c r="AW138" s="304" t="s">
        <v>13894</v>
      </c>
      <c r="AX138" s="84">
        <v>750</v>
      </c>
      <c r="AY138" s="84">
        <v>360</v>
      </c>
      <c r="AZ138" s="2334" t="s">
        <v>1315</v>
      </c>
      <c r="BA138" s="304"/>
      <c r="BB138" s="304"/>
      <c r="BC138" s="304" t="s">
        <v>1315</v>
      </c>
      <c r="BD138" s="304"/>
      <c r="BE138" s="304" t="s">
        <v>1315</v>
      </c>
    </row>
    <row r="139" spans="7:57">
      <c r="AV139" s="8208"/>
      <c r="AW139" s="304" t="s">
        <v>13883</v>
      </c>
      <c r="AX139" s="84">
        <v>1000</v>
      </c>
      <c r="AY139" s="84">
        <v>460</v>
      </c>
      <c r="AZ139" s="2334" t="s">
        <v>1315</v>
      </c>
      <c r="BA139" s="304"/>
      <c r="BB139" s="304"/>
      <c r="BC139" s="304" t="s">
        <v>1315</v>
      </c>
      <c r="BD139" s="304"/>
      <c r="BE139" s="304" t="s">
        <v>1315</v>
      </c>
    </row>
    <row r="140" spans="7:57">
      <c r="AV140" s="8208" t="s">
        <v>13906</v>
      </c>
      <c r="AW140" s="304" t="s">
        <v>13881</v>
      </c>
      <c r="AX140" s="84">
        <v>350</v>
      </c>
      <c r="AY140" s="84">
        <v>250</v>
      </c>
      <c r="AZ140" s="2334" t="s">
        <v>1315</v>
      </c>
      <c r="BA140" s="304"/>
      <c r="BB140" s="304"/>
      <c r="BC140" s="304" t="s">
        <v>1315</v>
      </c>
      <c r="BD140" s="304"/>
      <c r="BE140" s="304" t="s">
        <v>1315</v>
      </c>
    </row>
    <row r="141" spans="7:57">
      <c r="AV141" s="8208"/>
      <c r="AW141" s="304" t="s">
        <v>13894</v>
      </c>
      <c r="AX141" s="84">
        <v>500</v>
      </c>
      <c r="AY141" s="84">
        <v>300</v>
      </c>
      <c r="AZ141" s="2334" t="s">
        <v>1315</v>
      </c>
      <c r="BA141" s="304"/>
      <c r="BB141" s="304"/>
      <c r="BC141" s="304" t="s">
        <v>1315</v>
      </c>
      <c r="BD141" s="304"/>
      <c r="BE141" s="304" t="s">
        <v>1315</v>
      </c>
    </row>
    <row r="142" spans="7:57">
      <c r="AV142" s="8208"/>
      <c r="AW142" s="304" t="s">
        <v>13887</v>
      </c>
      <c r="AX142" s="84">
        <v>800</v>
      </c>
      <c r="AY142" s="84">
        <v>380</v>
      </c>
      <c r="AZ142" s="2334" t="s">
        <v>1315</v>
      </c>
      <c r="BA142" s="304"/>
      <c r="BB142" s="304"/>
      <c r="BC142" s="304" t="s">
        <v>1315</v>
      </c>
      <c r="BD142" s="304"/>
      <c r="BE142" s="304" t="s">
        <v>1315</v>
      </c>
    </row>
    <row r="143" spans="7:57">
      <c r="AV143" s="8208" t="s">
        <v>13907</v>
      </c>
      <c r="AW143" s="304" t="s">
        <v>13893</v>
      </c>
      <c r="AX143" s="84">
        <v>150</v>
      </c>
      <c r="AY143" s="84">
        <v>180</v>
      </c>
      <c r="AZ143" s="2334" t="s">
        <v>1315</v>
      </c>
      <c r="BA143" s="304"/>
      <c r="BB143" s="304"/>
      <c r="BC143" s="304" t="s">
        <v>1315</v>
      </c>
      <c r="BD143" s="304"/>
      <c r="BE143" s="304" t="s">
        <v>1315</v>
      </c>
    </row>
    <row r="144" spans="7:57">
      <c r="AV144" s="8208"/>
      <c r="AW144" s="304" t="s">
        <v>13885</v>
      </c>
      <c r="AX144" s="84">
        <v>250</v>
      </c>
      <c r="AY144" s="84">
        <v>220</v>
      </c>
      <c r="AZ144" s="2334" t="s">
        <v>1315</v>
      </c>
      <c r="BA144" s="304"/>
      <c r="BB144" s="304"/>
      <c r="BC144" s="304" t="s">
        <v>1315</v>
      </c>
      <c r="BD144" s="304"/>
      <c r="BE144" s="304" t="s">
        <v>1315</v>
      </c>
    </row>
    <row r="145" spans="48:57">
      <c r="AV145" s="8208"/>
      <c r="AW145" s="304" t="s">
        <v>13891</v>
      </c>
      <c r="AX145" s="84">
        <v>400</v>
      </c>
      <c r="AY145" s="84">
        <v>280</v>
      </c>
      <c r="AZ145" s="2334" t="s">
        <v>1315</v>
      </c>
      <c r="BA145" s="304"/>
      <c r="BB145" s="304"/>
      <c r="BC145" s="304" t="s">
        <v>1315</v>
      </c>
      <c r="BD145" s="304"/>
      <c r="BE145" s="304" t="s">
        <v>1315</v>
      </c>
    </row>
    <row r="146" spans="48:57">
      <c r="AV146" s="8208" t="s">
        <v>13908</v>
      </c>
      <c r="AW146" s="304" t="s">
        <v>13888</v>
      </c>
      <c r="AX146" s="84">
        <v>450</v>
      </c>
      <c r="AY146" s="84">
        <v>290</v>
      </c>
      <c r="AZ146" s="2334" t="s">
        <v>1315</v>
      </c>
      <c r="BA146" s="304"/>
      <c r="BB146" s="304"/>
      <c r="BC146" s="304" t="s">
        <v>1315</v>
      </c>
      <c r="BD146" s="304"/>
      <c r="BE146" s="304" t="s">
        <v>1315</v>
      </c>
    </row>
    <row r="147" spans="48:57">
      <c r="AV147" s="8208"/>
      <c r="AW147" s="304" t="s">
        <v>13889</v>
      </c>
      <c r="AX147" s="84">
        <v>750</v>
      </c>
      <c r="AY147" s="84">
        <v>380</v>
      </c>
      <c r="AZ147" s="2334" t="s">
        <v>1315</v>
      </c>
      <c r="BA147" s="304"/>
      <c r="BB147" s="304"/>
      <c r="BC147" s="304" t="s">
        <v>1315</v>
      </c>
      <c r="BD147" s="304"/>
      <c r="BE147" s="304" t="s">
        <v>1315</v>
      </c>
    </row>
    <row r="148" spans="48:57">
      <c r="AV148" s="8208"/>
      <c r="AW148" s="304" t="s">
        <v>13883</v>
      </c>
      <c r="AX148" s="84">
        <v>1250</v>
      </c>
      <c r="AY148" s="84">
        <v>460</v>
      </c>
      <c r="AZ148" s="2334" t="s">
        <v>1315</v>
      </c>
      <c r="BA148" s="304"/>
      <c r="BB148" s="304"/>
      <c r="BC148" s="304" t="s">
        <v>1315</v>
      </c>
      <c r="BD148" s="304"/>
      <c r="BE148" s="304" t="s">
        <v>1315</v>
      </c>
    </row>
    <row r="149" spans="48:57">
      <c r="AV149" s="8208" t="s">
        <v>13909</v>
      </c>
      <c r="AW149" s="304" t="s">
        <v>13891</v>
      </c>
      <c r="AX149" s="84">
        <v>400</v>
      </c>
      <c r="AY149" s="84">
        <v>260</v>
      </c>
      <c r="AZ149" s="2334" t="s">
        <v>1315</v>
      </c>
      <c r="BA149" s="304"/>
      <c r="BB149" s="304"/>
      <c r="BC149" s="304" t="s">
        <v>1315</v>
      </c>
      <c r="BD149" s="304"/>
      <c r="BE149" s="304" t="s">
        <v>1315</v>
      </c>
    </row>
    <row r="150" spans="48:57">
      <c r="AV150" s="8208"/>
      <c r="AW150" s="304" t="s">
        <v>13889</v>
      </c>
      <c r="AX150" s="84">
        <v>600</v>
      </c>
      <c r="AY150" s="84">
        <v>300</v>
      </c>
      <c r="AZ150" s="2334" t="s">
        <v>1315</v>
      </c>
      <c r="BA150" s="304"/>
      <c r="BB150" s="304"/>
      <c r="BC150" s="304" t="s">
        <v>1315</v>
      </c>
      <c r="BD150" s="304"/>
      <c r="BE150" s="304" t="s">
        <v>1315</v>
      </c>
    </row>
    <row r="151" spans="48:57">
      <c r="AV151" s="8208"/>
      <c r="AW151" s="304" t="s">
        <v>13892</v>
      </c>
      <c r="AX151" s="84">
        <v>1200</v>
      </c>
      <c r="AY151" s="84">
        <v>500</v>
      </c>
      <c r="AZ151" s="2334" t="s">
        <v>1315</v>
      </c>
      <c r="BA151" s="304"/>
      <c r="BB151" s="304"/>
      <c r="BC151" s="304" t="s">
        <v>1315</v>
      </c>
      <c r="BD151" s="304"/>
      <c r="BE151" s="304" t="s">
        <v>1315</v>
      </c>
    </row>
    <row r="152" spans="48:57">
      <c r="AV152" s="8208" t="s">
        <v>13910</v>
      </c>
      <c r="AW152" s="304" t="s">
        <v>13894</v>
      </c>
      <c r="AX152" s="84">
        <v>750</v>
      </c>
      <c r="AY152" s="84">
        <v>360</v>
      </c>
      <c r="AZ152" s="2334" t="s">
        <v>1315</v>
      </c>
      <c r="BA152" s="304">
        <v>230</v>
      </c>
      <c r="BB152" s="304">
        <v>230</v>
      </c>
      <c r="BC152" s="304" t="s">
        <v>1315</v>
      </c>
      <c r="BD152" s="304"/>
      <c r="BE152" s="304" t="s">
        <v>1315</v>
      </c>
    </row>
    <row r="153" spans="48:57">
      <c r="AV153" s="8208"/>
      <c r="AW153" s="304" t="s">
        <v>13883</v>
      </c>
      <c r="AX153" s="84">
        <v>1200</v>
      </c>
      <c r="AY153" s="84">
        <v>440</v>
      </c>
      <c r="AZ153" s="2334" t="s">
        <v>1315</v>
      </c>
      <c r="BA153" s="304">
        <v>310</v>
      </c>
      <c r="BB153" s="304">
        <v>310</v>
      </c>
      <c r="BC153" s="304" t="s">
        <v>1315</v>
      </c>
      <c r="BD153" s="304"/>
      <c r="BE153" s="304" t="s">
        <v>1315</v>
      </c>
    </row>
    <row r="154" spans="48:57">
      <c r="AV154" s="8208"/>
      <c r="AW154" s="304" t="s">
        <v>13895</v>
      </c>
      <c r="AX154" s="84">
        <v>1500</v>
      </c>
      <c r="AY154" s="84">
        <v>520</v>
      </c>
      <c r="AZ154" s="2334" t="s">
        <v>1315</v>
      </c>
      <c r="BA154" s="304">
        <v>330</v>
      </c>
      <c r="BB154" s="304">
        <v>330</v>
      </c>
      <c r="BC154" s="304" t="s">
        <v>1315</v>
      </c>
      <c r="BD154" s="304" t="s">
        <v>13935</v>
      </c>
      <c r="BE154" s="304" t="s">
        <v>1315</v>
      </c>
    </row>
    <row r="155" spans="48:57">
      <c r="AV155" s="4125"/>
      <c r="AW155" s="3869"/>
      <c r="AX155" s="4044"/>
      <c r="AY155" s="4044"/>
      <c r="AZ155" s="3868"/>
      <c r="BA155" s="4044"/>
      <c r="BB155" s="4044"/>
      <c r="BC155" s="3869"/>
      <c r="BD155" s="3869"/>
      <c r="BE155" s="4044"/>
    </row>
    <row r="156" spans="48:57">
      <c r="AV156" s="8207"/>
      <c r="AW156" s="3869"/>
      <c r="AX156" s="4044"/>
      <c r="AY156" s="4044"/>
      <c r="AZ156" s="3868"/>
      <c r="BA156" s="4044"/>
      <c r="BB156" s="4044"/>
      <c r="BC156" s="3869"/>
      <c r="BD156" s="3869"/>
      <c r="BE156" s="4044"/>
    </row>
    <row r="157" spans="48:57">
      <c r="AV157" s="8207"/>
      <c r="AW157" s="3869"/>
      <c r="AX157" s="4044"/>
      <c r="AY157" s="4044"/>
      <c r="AZ157" s="3868"/>
      <c r="BA157" s="4044"/>
      <c r="BB157" s="4044"/>
      <c r="BC157" s="3869"/>
      <c r="BD157" s="3869"/>
      <c r="BE157" s="4044"/>
    </row>
    <row r="158" spans="48:57">
      <c r="AV158" s="8207"/>
      <c r="AW158" s="3869"/>
      <c r="AX158" s="4044"/>
      <c r="AY158" s="4044"/>
      <c r="AZ158" s="3868"/>
      <c r="BA158" s="4044"/>
      <c r="BB158" s="4044"/>
      <c r="BC158" s="3869"/>
      <c r="BD158" s="3869"/>
      <c r="BE158" s="4044"/>
    </row>
    <row r="159" spans="48:57">
      <c r="AV159" s="8207"/>
      <c r="AW159" s="3869"/>
      <c r="AX159" s="4044"/>
      <c r="AY159" s="4044"/>
      <c r="AZ159" s="3868"/>
      <c r="BA159" s="4044"/>
      <c r="BB159" s="4044"/>
      <c r="BC159" s="3869"/>
      <c r="BD159" s="3869"/>
      <c r="BE159" s="4044"/>
    </row>
    <row r="160" spans="48:57">
      <c r="AV160" s="8207"/>
      <c r="AW160" s="3869"/>
      <c r="AX160" s="4044"/>
      <c r="AY160" s="4044"/>
      <c r="AZ160" s="3868"/>
      <c r="BA160" s="4044"/>
      <c r="BB160" s="4044"/>
      <c r="BC160" s="3869"/>
      <c r="BD160" s="3869"/>
      <c r="BE160" s="4044"/>
    </row>
    <row r="161" spans="48:57">
      <c r="AV161" s="8207"/>
      <c r="AW161" s="3869"/>
      <c r="AX161" s="4044"/>
      <c r="AY161" s="4044"/>
      <c r="AZ161" s="3868"/>
      <c r="BA161" s="4044"/>
      <c r="BB161" s="4044"/>
      <c r="BC161" s="3869"/>
      <c r="BD161" s="3869"/>
      <c r="BE161" s="4044"/>
    </row>
    <row r="162" spans="48:57">
      <c r="AV162" s="8207"/>
      <c r="AW162" s="3869"/>
      <c r="AX162" s="4044"/>
      <c r="AY162" s="4044"/>
      <c r="AZ162" s="3868"/>
      <c r="BA162" s="4044"/>
      <c r="BB162" s="4044"/>
      <c r="BC162" s="3869"/>
      <c r="BD162" s="3869"/>
      <c r="BE162" s="4044"/>
    </row>
    <row r="163" spans="48:57">
      <c r="AV163" s="8207"/>
      <c r="AW163" s="3869"/>
      <c r="AX163" s="4044"/>
      <c r="AY163" s="4044"/>
      <c r="AZ163" s="3868"/>
      <c r="BA163" s="4044"/>
      <c r="BB163" s="4044"/>
      <c r="BC163" s="3869"/>
      <c r="BD163" s="3869"/>
      <c r="BE163" s="4044"/>
    </row>
    <row r="164" spans="48:57">
      <c r="AV164" s="8207"/>
      <c r="AW164" s="3869"/>
      <c r="AX164" s="4044"/>
      <c r="AY164" s="4044"/>
      <c r="AZ164" s="3868"/>
      <c r="BA164" s="4044"/>
      <c r="BB164" s="4044"/>
      <c r="BC164" s="3869"/>
      <c r="BD164" s="3869"/>
      <c r="BE164" s="4044"/>
    </row>
    <row r="165" spans="48:57">
      <c r="AV165" s="8207"/>
      <c r="AW165" s="3869"/>
      <c r="AX165" s="4044"/>
      <c r="AY165" s="4044"/>
      <c r="AZ165" s="3868"/>
      <c r="BA165" s="4044"/>
      <c r="BB165" s="4044"/>
      <c r="BC165" s="3869"/>
      <c r="BD165" s="3869"/>
      <c r="BE165" s="4044"/>
    </row>
    <row r="166" spans="48:57">
      <c r="AV166" s="8207"/>
      <c r="AW166" s="3869"/>
      <c r="AX166" s="4044"/>
      <c r="AY166" s="4044"/>
      <c r="AZ166" s="3868"/>
      <c r="BA166" s="4044"/>
      <c r="BB166" s="4044"/>
      <c r="BC166" s="3869"/>
      <c r="BD166" s="3869"/>
      <c r="BE166" s="4044"/>
    </row>
    <row r="167" spans="48:57">
      <c r="AV167" s="8207"/>
      <c r="AW167" s="3869"/>
      <c r="AX167" s="4044"/>
      <c r="AY167" s="4044"/>
      <c r="AZ167" s="3868"/>
      <c r="BA167" s="4044"/>
      <c r="BB167" s="4044"/>
      <c r="BC167" s="3869"/>
      <c r="BD167" s="3869"/>
      <c r="BE167" s="4044"/>
    </row>
    <row r="168" spans="48:57">
      <c r="AV168" s="8207"/>
      <c r="AW168" s="3869"/>
      <c r="AX168" s="4044"/>
      <c r="AY168" s="4044"/>
      <c r="AZ168" s="3868"/>
      <c r="BA168" s="4044"/>
      <c r="BB168" s="4044"/>
      <c r="BC168" s="3869"/>
      <c r="BD168" s="3869"/>
      <c r="BE168" s="4044"/>
    </row>
    <row r="169" spans="48:57">
      <c r="AV169" s="8207"/>
      <c r="AW169" s="3869"/>
      <c r="AX169" s="4044"/>
      <c r="AY169" s="4044"/>
      <c r="AZ169" s="3868"/>
      <c r="BA169" s="4044"/>
      <c r="BB169" s="4044"/>
      <c r="BC169" s="3869"/>
      <c r="BD169" s="3869"/>
      <c r="BE169" s="4044"/>
    </row>
    <row r="170" spans="48:57">
      <c r="AV170" s="8207"/>
      <c r="AW170" s="3869"/>
      <c r="AX170" s="4044"/>
      <c r="AY170" s="4044"/>
      <c r="AZ170" s="3868"/>
      <c r="BA170" s="4044"/>
      <c r="BB170" s="4044"/>
      <c r="BC170" s="3869"/>
      <c r="BD170" s="3869"/>
      <c r="BE170" s="4044"/>
    </row>
    <row r="171" spans="48:57">
      <c r="AV171" s="8207"/>
      <c r="AW171" s="3869"/>
      <c r="AX171" s="4044"/>
      <c r="AY171" s="4044"/>
      <c r="AZ171" s="3868"/>
      <c r="BA171" s="4044"/>
      <c r="BB171" s="4044"/>
      <c r="BC171" s="3869"/>
      <c r="BD171" s="3869"/>
      <c r="BE171" s="4044"/>
    </row>
    <row r="172" spans="48:57">
      <c r="AV172" s="8207"/>
      <c r="AW172" s="3869"/>
      <c r="AX172" s="4044"/>
      <c r="AY172" s="4044"/>
      <c r="AZ172" s="3868"/>
      <c r="BA172" s="4044"/>
      <c r="BB172" s="4044"/>
      <c r="BC172" s="3869"/>
      <c r="BD172" s="3869"/>
      <c r="BE172" s="4044"/>
    </row>
    <row r="173" spans="48:57">
      <c r="AV173" s="8207"/>
      <c r="AW173" s="3869"/>
      <c r="AX173" s="4044"/>
      <c r="AY173" s="4044"/>
      <c r="AZ173" s="3868"/>
      <c r="BA173" s="4044"/>
      <c r="BB173" s="4044"/>
      <c r="BC173" s="3869"/>
      <c r="BD173" s="3869"/>
      <c r="BE173" s="4044"/>
    </row>
    <row r="174" spans="48:57">
      <c r="AV174" s="8207"/>
      <c r="AW174" s="3869"/>
      <c r="AX174" s="4044"/>
      <c r="AY174" s="4044"/>
      <c r="AZ174" s="3868"/>
      <c r="BA174" s="4044"/>
      <c r="BB174" s="4044"/>
      <c r="BC174" s="3869"/>
      <c r="BD174" s="3869"/>
      <c r="BE174" s="4044"/>
    </row>
    <row r="175" spans="48:57">
      <c r="AV175" s="8207"/>
      <c r="AW175" s="3869"/>
      <c r="AX175" s="4044"/>
      <c r="AY175" s="4044"/>
      <c r="AZ175" s="3868"/>
      <c r="BA175" s="4044"/>
      <c r="BB175" s="4044"/>
      <c r="BC175" s="3869"/>
      <c r="BD175" s="3869"/>
      <c r="BE175" s="4044"/>
    </row>
    <row r="176" spans="48:57">
      <c r="AV176" s="8207"/>
      <c r="AW176" s="3869"/>
      <c r="AX176" s="4044"/>
      <c r="AY176" s="4044"/>
      <c r="AZ176" s="3868"/>
      <c r="BA176" s="4044"/>
      <c r="BB176" s="4044"/>
      <c r="BC176" s="3869"/>
      <c r="BD176" s="3869"/>
      <c r="BE176" s="4044"/>
    </row>
    <row r="177" spans="48:57">
      <c r="AV177" s="8207"/>
      <c r="AW177" s="3869"/>
      <c r="AX177" s="4044"/>
      <c r="AY177" s="4044"/>
      <c r="AZ177" s="3868"/>
      <c r="BA177" s="4044"/>
      <c r="BB177" s="4044"/>
      <c r="BC177" s="3869"/>
      <c r="BD177" s="3869"/>
      <c r="BE177" s="4044"/>
    </row>
    <row r="178" spans="48:57">
      <c r="AV178" s="8207"/>
      <c r="AW178" s="3869"/>
      <c r="AX178" s="4044"/>
      <c r="AY178" s="4044"/>
      <c r="AZ178" s="3868"/>
      <c r="BA178" s="4044"/>
      <c r="BB178" s="4044"/>
      <c r="BC178" s="3869"/>
      <c r="BD178" s="3869"/>
      <c r="BE178" s="4044"/>
    </row>
    <row r="179" spans="48:57">
      <c r="AV179" s="8207"/>
      <c r="AW179" s="3869"/>
      <c r="AX179" s="4044"/>
      <c r="AY179" s="4044"/>
      <c r="AZ179" s="3868"/>
      <c r="BA179" s="4044"/>
      <c r="BB179" s="4044"/>
      <c r="BC179" s="3869"/>
      <c r="BD179" s="3869"/>
      <c r="BE179" s="4044"/>
    </row>
    <row r="180" spans="48:57">
      <c r="AV180" s="8207"/>
      <c r="AW180" s="3869"/>
      <c r="AX180" s="4044"/>
      <c r="AY180" s="4044"/>
      <c r="AZ180" s="3868"/>
      <c r="BA180" s="4044"/>
      <c r="BB180" s="4044"/>
      <c r="BC180" s="3869"/>
      <c r="BD180" s="3869"/>
      <c r="BE180" s="4044"/>
    </row>
    <row r="181" spans="48:57">
      <c r="AV181" s="8207"/>
      <c r="AW181" s="3869"/>
      <c r="AX181" s="4044"/>
      <c r="AY181" s="4044"/>
      <c r="AZ181" s="3868"/>
      <c r="BA181" s="4044"/>
      <c r="BB181" s="4044"/>
      <c r="BC181" s="3869"/>
      <c r="BD181" s="3869"/>
      <c r="BE181" s="4044"/>
    </row>
    <row r="182" spans="48:57">
      <c r="AV182" s="8207"/>
      <c r="AW182" s="3869"/>
      <c r="AX182" s="4044"/>
      <c r="AY182" s="4044"/>
      <c r="AZ182" s="3868"/>
      <c r="BA182" s="4044"/>
      <c r="BB182" s="4044"/>
      <c r="BC182" s="3869"/>
      <c r="BD182" s="3869"/>
      <c r="BE182" s="4044"/>
    </row>
    <row r="183" spans="48:57">
      <c r="AV183" s="8207"/>
      <c r="AW183" s="3869"/>
      <c r="AX183" s="4044"/>
      <c r="AY183" s="4044"/>
      <c r="AZ183" s="3868"/>
      <c r="BA183" s="4044"/>
      <c r="BB183" s="4044"/>
      <c r="BC183" s="3869"/>
      <c r="BD183" s="3869"/>
      <c r="BE183" s="4044"/>
    </row>
    <row r="184" spans="48:57">
      <c r="AV184" s="8207"/>
      <c r="AW184" s="3869"/>
      <c r="AX184" s="4044"/>
      <c r="AY184" s="4044"/>
      <c r="AZ184" s="3868"/>
      <c r="BA184" s="4044"/>
      <c r="BB184" s="4044"/>
      <c r="BC184" s="3869"/>
      <c r="BD184" s="3869"/>
      <c r="BE184" s="4044"/>
    </row>
    <row r="185" spans="48:57">
      <c r="AV185" s="8207"/>
      <c r="AW185" s="3869"/>
      <c r="AX185" s="4044"/>
      <c r="AY185" s="4044"/>
      <c r="AZ185" s="3868"/>
      <c r="BA185" s="4044"/>
      <c r="BB185" s="4044"/>
      <c r="BC185" s="3869"/>
      <c r="BD185" s="3869"/>
      <c r="BE185" s="4044"/>
    </row>
    <row r="186" spans="48:57">
      <c r="AV186" s="8207"/>
      <c r="AW186" s="3869"/>
      <c r="AX186" s="4044"/>
      <c r="AY186" s="4044"/>
      <c r="AZ186" s="3868"/>
      <c r="BA186" s="4044"/>
      <c r="BB186" s="4044"/>
      <c r="BC186" s="3869"/>
      <c r="BD186" s="3869"/>
      <c r="BE186" s="4044"/>
    </row>
    <row r="187" spans="48:57">
      <c r="AV187" s="8207"/>
      <c r="AW187" s="3869"/>
      <c r="AX187" s="4044"/>
      <c r="AY187" s="4044"/>
      <c r="AZ187" s="3868"/>
      <c r="BA187" s="4044"/>
      <c r="BB187" s="4044"/>
      <c r="BC187" s="3869"/>
      <c r="BD187" s="3869"/>
      <c r="BE187" s="4044"/>
    </row>
    <row r="188" spans="48:57">
      <c r="AV188" s="8207"/>
      <c r="AW188" s="3869"/>
      <c r="AX188" s="4044"/>
      <c r="AY188" s="4044"/>
      <c r="AZ188" s="3868"/>
      <c r="BA188" s="4044"/>
      <c r="BB188" s="4044"/>
      <c r="BC188" s="3869"/>
      <c r="BD188" s="3869"/>
      <c r="BE188" s="4044"/>
    </row>
    <row r="189" spans="48:57">
      <c r="AV189" s="8207"/>
      <c r="AW189" s="3869"/>
      <c r="AX189" s="4044"/>
      <c r="AY189" s="4044"/>
      <c r="AZ189" s="3868"/>
      <c r="BA189" s="4044"/>
      <c r="BB189" s="4044"/>
      <c r="BC189" s="3869"/>
      <c r="BD189" s="3869"/>
      <c r="BE189" s="4044"/>
    </row>
    <row r="190" spans="48:57">
      <c r="AV190" s="8207"/>
      <c r="AW190" s="3869"/>
      <c r="AX190" s="4044"/>
      <c r="AY190" s="4044"/>
      <c r="AZ190" s="3868"/>
      <c r="BA190" s="4044"/>
      <c r="BB190" s="4044"/>
      <c r="BC190" s="3869"/>
      <c r="BD190" s="3869"/>
      <c r="BE190" s="4044"/>
    </row>
    <row r="191" spans="48:57">
      <c r="AV191" s="8207"/>
      <c r="AW191" s="3869"/>
      <c r="AX191" s="4044"/>
      <c r="AY191" s="4044"/>
      <c r="AZ191" s="3868"/>
      <c r="BA191" s="4044"/>
      <c r="BB191" s="4044"/>
      <c r="BC191" s="3869"/>
      <c r="BD191" s="3869"/>
      <c r="BE191" s="4044"/>
    </row>
    <row r="192" spans="48:57">
      <c r="AV192" s="8207"/>
      <c r="AW192" s="3869"/>
      <c r="AX192" s="4044"/>
      <c r="AY192" s="4044"/>
      <c r="AZ192" s="3868"/>
      <c r="BA192" s="4044"/>
      <c r="BB192" s="4044"/>
      <c r="BC192" s="3869"/>
      <c r="BD192" s="3869"/>
      <c r="BE192" s="4044"/>
    </row>
    <row r="193" spans="48:57">
      <c r="AV193" s="8207"/>
      <c r="AW193" s="3869"/>
      <c r="AX193" s="4044"/>
      <c r="AY193" s="4044"/>
      <c r="AZ193" s="3868"/>
      <c r="BA193" s="4044"/>
      <c r="BB193" s="4044"/>
      <c r="BC193" s="3869"/>
      <c r="BD193" s="3869"/>
      <c r="BE193" s="4044"/>
    </row>
    <row r="194" spans="48:57">
      <c r="AV194" s="8207"/>
      <c r="AW194" s="3869"/>
      <c r="AX194" s="4044"/>
      <c r="AY194" s="4044"/>
      <c r="AZ194" s="3868"/>
      <c r="BA194" s="4044"/>
      <c r="BB194" s="4044"/>
      <c r="BC194" s="3869"/>
      <c r="BD194" s="3869"/>
      <c r="BE194" s="4044"/>
    </row>
    <row r="195" spans="48:57">
      <c r="AV195" s="8207"/>
      <c r="AW195" s="3869"/>
      <c r="AX195" s="4044"/>
      <c r="AY195" s="4044"/>
      <c r="AZ195" s="3868"/>
      <c r="BA195" s="4044"/>
      <c r="BB195" s="4044"/>
      <c r="BC195" s="3869"/>
      <c r="BD195" s="3869"/>
      <c r="BE195" s="4044"/>
    </row>
    <row r="196" spans="48:57">
      <c r="AV196" s="8207"/>
      <c r="AW196" s="3869"/>
      <c r="AX196" s="4044"/>
      <c r="AY196" s="4044"/>
      <c r="AZ196" s="3868"/>
      <c r="BA196" s="4044"/>
      <c r="BB196" s="4044"/>
      <c r="BC196" s="3869"/>
      <c r="BD196" s="3869"/>
      <c r="BE196" s="4044"/>
    </row>
    <row r="197" spans="48:57">
      <c r="AV197" s="8207"/>
      <c r="AW197" s="3869"/>
      <c r="AX197" s="4044"/>
      <c r="AY197" s="4044"/>
      <c r="AZ197" s="3868"/>
      <c r="BA197" s="4044"/>
      <c r="BB197" s="4044"/>
      <c r="BC197" s="3869"/>
      <c r="BD197" s="3869"/>
      <c r="BE197" s="4044"/>
    </row>
    <row r="198" spans="48:57">
      <c r="AV198" s="8207"/>
      <c r="AW198" s="3869"/>
      <c r="AX198" s="4044"/>
      <c r="AY198" s="4044"/>
      <c r="AZ198" s="3868"/>
      <c r="BA198" s="4044"/>
      <c r="BB198" s="4044"/>
      <c r="BC198" s="3869"/>
      <c r="BD198" s="3869"/>
      <c r="BE198" s="4044"/>
    </row>
    <row r="199" spans="48:57">
      <c r="AV199" s="8207"/>
      <c r="AW199" s="3869"/>
      <c r="AX199" s="4044"/>
      <c r="AY199" s="4044"/>
      <c r="AZ199" s="3868"/>
      <c r="BA199" s="4044"/>
      <c r="BB199" s="4044"/>
      <c r="BC199" s="3869"/>
      <c r="BD199" s="3869"/>
      <c r="BE199" s="4044"/>
    </row>
    <row r="200" spans="48:57">
      <c r="AV200" s="8207"/>
      <c r="AW200" s="3869"/>
      <c r="AX200" s="4044"/>
      <c r="AY200" s="4044"/>
      <c r="AZ200" s="3868"/>
      <c r="BA200" s="4044"/>
      <c r="BB200" s="4044"/>
      <c r="BC200" s="3869"/>
      <c r="BD200" s="3869"/>
      <c r="BE200" s="4044"/>
    </row>
    <row r="201" spans="48:57">
      <c r="AV201" s="8207"/>
      <c r="AW201" s="3869"/>
      <c r="AX201" s="4044"/>
      <c r="AY201" s="4044"/>
      <c r="AZ201" s="3868"/>
      <c r="BA201" s="4044"/>
      <c r="BB201" s="4044"/>
      <c r="BC201" s="3869"/>
      <c r="BD201" s="3869"/>
      <c r="BE201" s="4044"/>
    </row>
    <row r="202" spans="48:57">
      <c r="AV202" s="8207"/>
      <c r="AW202" s="3869"/>
      <c r="AX202" s="4044"/>
      <c r="AY202" s="4044"/>
      <c r="AZ202" s="3868"/>
      <c r="BA202" s="4044"/>
      <c r="BB202" s="4044"/>
      <c r="BC202" s="3869"/>
      <c r="BD202" s="3869"/>
      <c r="BE202" s="4044"/>
    </row>
    <row r="203" spans="48:57">
      <c r="AV203" s="8207"/>
      <c r="AW203" s="3869"/>
      <c r="AX203" s="4044"/>
      <c r="AY203" s="4044"/>
      <c r="AZ203" s="3868"/>
      <c r="BA203" s="4044"/>
      <c r="BB203" s="4044"/>
      <c r="BC203" s="3869"/>
      <c r="BD203" s="3869"/>
      <c r="BE203" s="4044"/>
    </row>
    <row r="204" spans="48:57">
      <c r="AV204" s="8207"/>
      <c r="AW204" s="3869"/>
      <c r="AX204" s="4044"/>
      <c r="AY204" s="4044"/>
      <c r="AZ204" s="3868"/>
      <c r="BA204" s="4044"/>
      <c r="BB204" s="4044"/>
      <c r="BC204" s="3869"/>
      <c r="BD204" s="3869"/>
      <c r="BE204" s="4044"/>
    </row>
    <row r="234" spans="42:42">
      <c r="AP234" s="4223" t="s">
        <v>12095</v>
      </c>
    </row>
    <row r="235" spans="42:42">
      <c r="AP235" s="4223" t="s">
        <v>12096</v>
      </c>
    </row>
    <row r="236" spans="42:42">
      <c r="AP236" s="4223" t="s">
        <v>12097</v>
      </c>
    </row>
    <row r="237" spans="42:42">
      <c r="AP237" s="4223" t="s">
        <v>12098</v>
      </c>
    </row>
    <row r="238" spans="42:42">
      <c r="AP238" s="4223" t="s">
        <v>12099</v>
      </c>
    </row>
    <row r="250" spans="48:49">
      <c r="AV250" s="8207" t="s">
        <v>13911</v>
      </c>
      <c r="AW250" s="3869" t="s">
        <v>13884</v>
      </c>
    </row>
    <row r="251" spans="48:49">
      <c r="AV251" s="8207"/>
      <c r="AW251" s="3869" t="s">
        <v>13884</v>
      </c>
    </row>
    <row r="252" spans="48:49">
      <c r="AV252" s="8207"/>
      <c r="AW252" s="3869" t="s">
        <v>13884</v>
      </c>
    </row>
    <row r="253" spans="48:49">
      <c r="AV253" s="8207" t="s">
        <v>13912</v>
      </c>
      <c r="AW253" s="3869" t="s">
        <v>13884</v>
      </c>
    </row>
    <row r="254" spans="48:49">
      <c r="AV254" s="8207"/>
      <c r="AW254" s="3869" t="s">
        <v>13884</v>
      </c>
    </row>
    <row r="255" spans="48:49">
      <c r="AV255" s="8207"/>
      <c r="AW255" s="3869" t="s">
        <v>13884</v>
      </c>
    </row>
    <row r="256" spans="48:49">
      <c r="AV256" s="8207" t="s">
        <v>13913</v>
      </c>
      <c r="AW256" s="3869" t="s">
        <v>13884</v>
      </c>
    </row>
    <row r="257" spans="48:49">
      <c r="AV257" s="8207"/>
      <c r="AW257" s="3869" t="s">
        <v>13884</v>
      </c>
    </row>
    <row r="258" spans="48:49">
      <c r="AV258" s="8207"/>
      <c r="AW258" s="3869" t="s">
        <v>13884</v>
      </c>
    </row>
    <row r="259" spans="48:49">
      <c r="AV259" s="8207" t="s">
        <v>13914</v>
      </c>
      <c r="AW259" s="3869" t="s">
        <v>13884</v>
      </c>
    </row>
    <row r="260" spans="48:49">
      <c r="AV260" s="8207"/>
      <c r="AW260" s="3869" t="s">
        <v>13884</v>
      </c>
    </row>
    <row r="261" spans="48:49">
      <c r="AV261" s="8207"/>
      <c r="AW261" s="3869" t="s">
        <v>13884</v>
      </c>
    </row>
    <row r="262" spans="48:49">
      <c r="AV262" s="8207" t="s">
        <v>13915</v>
      </c>
      <c r="AW262" s="3869" t="s">
        <v>13884</v>
      </c>
    </row>
    <row r="263" spans="48:49">
      <c r="AV263" s="8207"/>
      <c r="AW263" s="3869" t="s">
        <v>13884</v>
      </c>
    </row>
    <row r="264" spans="48:49">
      <c r="AV264" s="8207"/>
      <c r="AW264" s="3869" t="s">
        <v>13884</v>
      </c>
    </row>
    <row r="265" spans="48:49">
      <c r="AV265" s="8207" t="s">
        <v>13916</v>
      </c>
      <c r="AW265" s="3869" t="s">
        <v>13884</v>
      </c>
    </row>
    <row r="266" spans="48:49">
      <c r="AV266" s="8207"/>
      <c r="AW266" s="3869" t="s">
        <v>13884</v>
      </c>
    </row>
    <row r="267" spans="48:49">
      <c r="AV267" s="8207"/>
      <c r="AW267" s="3869" t="s">
        <v>13884</v>
      </c>
    </row>
    <row r="268" spans="48:49">
      <c r="AV268" s="8207" t="s">
        <v>13917</v>
      </c>
      <c r="AW268" s="3869" t="s">
        <v>13884</v>
      </c>
    </row>
    <row r="269" spans="48:49">
      <c r="AV269" s="8207"/>
      <c r="AW269" s="3869" t="s">
        <v>13884</v>
      </c>
    </row>
    <row r="270" spans="48:49">
      <c r="AV270" s="8207"/>
      <c r="AW270" s="3869" t="s">
        <v>13884</v>
      </c>
    </row>
    <row r="271" spans="48:49">
      <c r="AV271" s="8208" t="s">
        <v>13918</v>
      </c>
      <c r="AW271" s="3869" t="s">
        <v>13884</v>
      </c>
    </row>
    <row r="272" spans="48:49">
      <c r="AV272" s="8208"/>
      <c r="AW272" s="3869" t="s">
        <v>13884</v>
      </c>
    </row>
    <row r="273" spans="48:49">
      <c r="AV273" s="8208"/>
      <c r="AW273" s="3869" t="s">
        <v>13884</v>
      </c>
    </row>
    <row r="274" spans="48:49">
      <c r="AV274" s="8208" t="s">
        <v>13919</v>
      </c>
      <c r="AW274" s="3869" t="s">
        <v>13884</v>
      </c>
    </row>
    <row r="275" spans="48:49">
      <c r="AV275" s="8208"/>
      <c r="AW275" s="3869" t="s">
        <v>13884</v>
      </c>
    </row>
    <row r="276" spans="48:49">
      <c r="AV276" s="8208"/>
      <c r="AW276" s="3869" t="s">
        <v>13884</v>
      </c>
    </row>
  </sheetData>
  <mergeCells count="61">
    <mergeCell ref="AV85:AV86"/>
    <mergeCell ref="AV87:AV90"/>
    <mergeCell ref="B2:AB4"/>
    <mergeCell ref="C6:E7"/>
    <mergeCell ref="G6:AM7"/>
    <mergeCell ref="AV58:AV59"/>
    <mergeCell ref="AV6:BD7"/>
    <mergeCell ref="AV53:AV54"/>
    <mergeCell ref="AO6:AT7"/>
    <mergeCell ref="AV156:AV158"/>
    <mergeCell ref="AV159:AV161"/>
    <mergeCell ref="AV162:AV164"/>
    <mergeCell ref="AV165:AV166"/>
    <mergeCell ref="AV65:AV66"/>
    <mergeCell ref="AV67:AV68"/>
    <mergeCell ref="AV69:AV70"/>
    <mergeCell ref="AV75:AV76"/>
    <mergeCell ref="AV77:AV78"/>
    <mergeCell ref="AV91:AV94"/>
    <mergeCell ref="AV95:AV98"/>
    <mergeCell ref="AV99:AV102"/>
    <mergeCell ref="AV105:AV107"/>
    <mergeCell ref="AV79:AV80"/>
    <mergeCell ref="AV81:AV82"/>
    <mergeCell ref="AV83:AV84"/>
    <mergeCell ref="AV167:AV168"/>
    <mergeCell ref="AV169:AV170"/>
    <mergeCell ref="AV171:AV173"/>
    <mergeCell ref="AV174:AV176"/>
    <mergeCell ref="AV177:AV179"/>
    <mergeCell ref="AV197:AV200"/>
    <mergeCell ref="AV201:AV204"/>
    <mergeCell ref="AV180:AV181"/>
    <mergeCell ref="AV182:AV184"/>
    <mergeCell ref="AV185:AV188"/>
    <mergeCell ref="AV189:AV192"/>
    <mergeCell ref="AV193:AV196"/>
    <mergeCell ref="AV110:AV112"/>
    <mergeCell ref="AV113:AV115"/>
    <mergeCell ref="AV116:AV118"/>
    <mergeCell ref="AV119:AV121"/>
    <mergeCell ref="AV122:AV124"/>
    <mergeCell ref="AV125:AV127"/>
    <mergeCell ref="AV128:AV130"/>
    <mergeCell ref="AV131:AV133"/>
    <mergeCell ref="AV134:AV136"/>
    <mergeCell ref="AV137:AV139"/>
    <mergeCell ref="AV140:AV142"/>
    <mergeCell ref="AV143:AV145"/>
    <mergeCell ref="AV146:AV148"/>
    <mergeCell ref="AV149:AV151"/>
    <mergeCell ref="AV152:AV154"/>
    <mergeCell ref="AV250:AV252"/>
    <mergeCell ref="AV253:AV255"/>
    <mergeCell ref="AV256:AV258"/>
    <mergeCell ref="AV259:AV261"/>
    <mergeCell ref="AV274:AV276"/>
    <mergeCell ref="AV262:AV264"/>
    <mergeCell ref="AV265:AV267"/>
    <mergeCell ref="AV268:AV270"/>
    <mergeCell ref="AV271:AV27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ADEA-B855-4B52-8BF7-91E5CC20BBF0}">
  <sheetPr codeName="Sheet17">
    <tabColor theme="4" tint="-0.249977111117893"/>
  </sheetPr>
  <dimension ref="A1:AA109"/>
  <sheetViews>
    <sheetView zoomScaleNormal="100" workbookViewId="0">
      <selection activeCell="C12" sqref="C12:E12"/>
    </sheetView>
  </sheetViews>
  <sheetFormatPr baseColWidth="10" defaultColWidth="9.140625" defaultRowHeight="12.75"/>
  <cols>
    <col min="1" max="1" width="2.85546875" style="4090" customWidth="1"/>
    <col min="2" max="2" width="4.28515625" style="4090" customWidth="1"/>
    <col min="3" max="3" width="9" style="4090" customWidth="1"/>
    <col min="4" max="4" width="6" style="4090" customWidth="1"/>
    <col min="5" max="5" width="15" style="4090" customWidth="1"/>
    <col min="6" max="6" width="11.42578125" style="4090" customWidth="1"/>
    <col min="7" max="7" width="4.140625" style="4090" customWidth="1"/>
    <col min="8" max="8" width="10" style="4090" customWidth="1"/>
    <col min="9" max="9" width="4.42578125" style="4090" customWidth="1"/>
    <col min="10" max="10" width="2.85546875" style="4090" customWidth="1"/>
    <col min="11" max="11" width="9" style="4090" customWidth="1"/>
    <col min="12" max="12" width="6" style="4090" customWidth="1"/>
    <col min="13" max="13" width="15" style="4090" customWidth="1"/>
    <col min="14" max="14" width="11.42578125" style="4090" customWidth="1"/>
    <col min="15" max="15" width="4.140625" style="4090" customWidth="1"/>
    <col min="16" max="16" width="10" style="4090" customWidth="1"/>
    <col min="17" max="17" width="4.42578125" style="4090" customWidth="1"/>
    <col min="18" max="18" width="2.85546875" style="4090" customWidth="1"/>
    <col min="19" max="19" width="9" style="4090" customWidth="1"/>
    <col min="20" max="20" width="6" style="4090" customWidth="1"/>
    <col min="21" max="21" width="15" style="4090" customWidth="1"/>
    <col min="22" max="22" width="11.42578125" style="4090" customWidth="1"/>
    <col min="23" max="23" width="4.140625" style="4090" customWidth="1"/>
    <col min="24" max="24" width="10" style="4090" customWidth="1"/>
    <col min="25" max="25" width="4.42578125" style="4090" customWidth="1"/>
    <col min="26" max="26" width="4.28515625" style="4090" customWidth="1"/>
    <col min="27" max="27" width="2.85546875" style="4090" customWidth="1"/>
    <col min="28" max="16384" width="9.140625" style="4090"/>
  </cols>
  <sheetData>
    <row r="1" spans="1:27" ht="12" customHeight="1" thickBot="1">
      <c r="A1" s="4088"/>
      <c r="B1" s="4088"/>
      <c r="C1" s="4088"/>
      <c r="D1" s="4088"/>
      <c r="E1" s="4088"/>
      <c r="F1" s="4088"/>
      <c r="G1" s="4088"/>
      <c r="H1" s="4088"/>
      <c r="I1" s="4088"/>
      <c r="J1" s="4088"/>
      <c r="K1" s="4088"/>
      <c r="L1" s="4088"/>
      <c r="M1" s="4088"/>
      <c r="N1" s="4088"/>
      <c r="O1" s="4088"/>
      <c r="P1" s="4088"/>
      <c r="Q1" s="4088"/>
      <c r="R1" s="4088"/>
      <c r="S1" s="4088"/>
      <c r="T1" s="4088"/>
      <c r="U1" s="4088"/>
      <c r="V1" s="4088"/>
      <c r="W1" s="4088"/>
      <c r="X1" s="4088"/>
      <c r="Y1" s="4088"/>
      <c r="Z1" s="4088"/>
      <c r="AA1" s="4088"/>
    </row>
    <row r="2" spans="1:27" ht="13.5" thickBot="1">
      <c r="A2" s="4088"/>
      <c r="B2" s="4097"/>
      <c r="C2" s="4098"/>
      <c r="D2" s="4098"/>
      <c r="E2" s="4098"/>
      <c r="F2" s="4098"/>
      <c r="G2" s="4098"/>
      <c r="H2" s="4098"/>
      <c r="I2" s="4098"/>
      <c r="J2" s="4098"/>
      <c r="K2" s="4098"/>
      <c r="L2" s="4098"/>
      <c r="M2" s="4098"/>
      <c r="N2" s="4098"/>
      <c r="O2" s="4098"/>
      <c r="P2" s="4098"/>
      <c r="Q2" s="4098"/>
      <c r="R2" s="4098"/>
      <c r="S2" s="4098"/>
      <c r="T2" s="4098"/>
      <c r="U2" s="4098"/>
      <c r="V2" s="4098"/>
      <c r="W2" s="4098"/>
      <c r="X2" s="4098"/>
      <c r="Y2" s="4098"/>
      <c r="Z2" s="4099"/>
      <c r="AA2" s="4088"/>
    </row>
    <row r="3" spans="1:27">
      <c r="A3" s="4088"/>
      <c r="B3" s="4089"/>
      <c r="C3" s="4100"/>
      <c r="D3" s="4101"/>
      <c r="E3" s="4101"/>
      <c r="F3" s="4101"/>
      <c r="G3" s="4101"/>
      <c r="H3" s="4101"/>
      <c r="I3" s="4101"/>
      <c r="J3" s="4101"/>
      <c r="K3" s="4101"/>
      <c r="L3" s="4101"/>
      <c r="M3" s="4101"/>
      <c r="N3" s="4101"/>
      <c r="O3" s="4101"/>
      <c r="P3" s="4101"/>
      <c r="Q3" s="4101"/>
      <c r="R3" s="4101"/>
      <c r="S3" s="4101"/>
      <c r="T3" s="4101"/>
      <c r="U3" s="4101"/>
      <c r="V3" s="4101"/>
      <c r="W3" s="4101"/>
      <c r="X3" s="4101"/>
      <c r="Y3" s="4102"/>
      <c r="Z3" s="4091"/>
      <c r="AA3" s="4088"/>
    </row>
    <row r="4" spans="1:27">
      <c r="A4" s="4088"/>
      <c r="B4" s="4089"/>
      <c r="C4" s="4103"/>
      <c r="D4" s="4088"/>
      <c r="E4" s="4088"/>
      <c r="F4" s="4088"/>
      <c r="G4" s="4088"/>
      <c r="H4" s="4088"/>
      <c r="I4" s="4088"/>
      <c r="J4" s="4088"/>
      <c r="K4" s="4088"/>
      <c r="L4" s="4088"/>
      <c r="M4" s="4088"/>
      <c r="N4" s="4088"/>
      <c r="O4" s="4088"/>
      <c r="P4" s="4088"/>
      <c r="Q4" s="4088"/>
      <c r="R4" s="4088"/>
      <c r="S4" s="8216" t="s">
        <v>1184</v>
      </c>
      <c r="T4" s="8216"/>
      <c r="U4" s="4104" t="str">
        <f>IF(OR(General!$F$22="",General!$F$22=0),"",General!$F$22)</f>
        <v/>
      </c>
      <c r="V4" s="4105"/>
      <c r="W4" s="4105"/>
      <c r="X4" s="4088"/>
      <c r="Y4" s="4106"/>
      <c r="Z4" s="4091"/>
      <c r="AA4" s="4088"/>
    </row>
    <row r="5" spans="1:27">
      <c r="A5" s="4088"/>
      <c r="B5" s="4089"/>
      <c r="C5" s="4103"/>
      <c r="D5" s="4088"/>
      <c r="E5" s="4088"/>
      <c r="F5" s="4088"/>
      <c r="G5" s="4088"/>
      <c r="H5" s="4088"/>
      <c r="I5" s="4088"/>
      <c r="J5" s="4088"/>
      <c r="K5" s="4088"/>
      <c r="L5" s="4088"/>
      <c r="M5" s="4088"/>
      <c r="N5" s="4088"/>
      <c r="O5" s="4088"/>
      <c r="P5" s="4088"/>
      <c r="Q5" s="4088"/>
      <c r="R5" s="4088"/>
      <c r="S5" s="8217" t="s">
        <v>1185</v>
      </c>
      <c r="T5" s="8217"/>
      <c r="U5" s="4107" t="str">
        <f>IF(LEN(PDs!$E$11)&lt;=General!$AO$5,PDs!$E$11,"… /"&amp;RIGHT(PDs!$E$11,General!$AO$5-FIND("/",RIGHT(PDs!$E$11,General!$AO$5))))</f>
        <v/>
      </c>
      <c r="V5" s="4108" t="s">
        <v>1186</v>
      </c>
      <c r="W5" s="4109" t="str">
        <f>Principal!$O$6</f>
        <v>1</v>
      </c>
      <c r="X5" s="4088"/>
      <c r="Y5" s="4106"/>
      <c r="Z5" s="4091"/>
      <c r="AA5" s="4088"/>
    </row>
    <row r="6" spans="1:27" ht="12.75" customHeight="1">
      <c r="A6" s="4088"/>
      <c r="B6" s="4089"/>
      <c r="C6" s="4103"/>
      <c r="D6" s="4088"/>
      <c r="E6" s="4088"/>
      <c r="F6" s="4088"/>
      <c r="G6" s="4088"/>
      <c r="H6" s="4088"/>
      <c r="I6" s="4088"/>
      <c r="J6" s="4088"/>
      <c r="K6" s="4088"/>
      <c r="L6" s="4088"/>
      <c r="M6" s="4088"/>
      <c r="N6" s="4088"/>
      <c r="O6" s="4088"/>
      <c r="P6" s="4088"/>
      <c r="Q6" s="8215" t="s">
        <v>13091</v>
      </c>
      <c r="R6" s="8215"/>
      <c r="S6" s="8215"/>
      <c r="T6" s="8215"/>
      <c r="U6" s="8215"/>
      <c r="V6" s="8215"/>
      <c r="W6" s="8215"/>
      <c r="X6" s="4088"/>
      <c r="Y6" s="4106"/>
      <c r="Z6" s="4091"/>
      <c r="AA6" s="4088"/>
    </row>
    <row r="7" spans="1:27" ht="12.75" customHeight="1">
      <c r="A7" s="4088"/>
      <c r="B7" s="4089"/>
      <c r="C7" s="4103"/>
      <c r="D7" s="4088"/>
      <c r="E7" s="4088"/>
      <c r="F7" s="4088"/>
      <c r="G7" s="4088"/>
      <c r="H7" s="4088"/>
      <c r="I7" s="4088"/>
      <c r="J7" s="4088"/>
      <c r="K7" s="4088"/>
      <c r="L7" s="4088"/>
      <c r="M7" s="4088"/>
      <c r="N7" s="4088"/>
      <c r="O7" s="4088"/>
      <c r="P7" s="4088"/>
      <c r="Q7" s="8215"/>
      <c r="R7" s="8215"/>
      <c r="S7" s="8215"/>
      <c r="T7" s="8215"/>
      <c r="U7" s="8215"/>
      <c r="V7" s="8215"/>
      <c r="W7" s="8215"/>
      <c r="X7" s="4088"/>
      <c r="Y7" s="4106"/>
      <c r="Z7" s="4091"/>
      <c r="AA7" s="4088"/>
    </row>
    <row r="8" spans="1:27" ht="13.5" thickBot="1">
      <c r="A8" s="4088"/>
      <c r="B8" s="4089"/>
      <c r="C8" s="4110"/>
      <c r="D8" s="4111"/>
      <c r="E8" s="4111"/>
      <c r="F8" s="4111"/>
      <c r="G8" s="4111"/>
      <c r="H8" s="4111"/>
      <c r="I8" s="4111"/>
      <c r="J8" s="4111"/>
      <c r="K8" s="4111"/>
      <c r="L8" s="4111"/>
      <c r="M8" s="4111"/>
      <c r="N8" s="4111"/>
      <c r="O8" s="4111"/>
      <c r="P8" s="4111"/>
      <c r="Q8" s="4111"/>
      <c r="R8" s="4111"/>
      <c r="S8" s="4111"/>
      <c r="T8" s="4111"/>
      <c r="U8" s="4111"/>
      <c r="V8" s="4111"/>
      <c r="W8" s="4111"/>
      <c r="X8" s="4111"/>
      <c r="Y8" s="4112"/>
      <c r="Z8" s="4091"/>
      <c r="AA8" s="4088"/>
    </row>
    <row r="9" spans="1:27">
      <c r="A9" s="4088"/>
      <c r="B9" s="4089"/>
      <c r="C9" s="4113"/>
      <c r="D9" s="4113"/>
      <c r="E9" s="4113"/>
      <c r="F9" s="4113"/>
      <c r="G9" s="4113"/>
      <c r="H9" s="4113"/>
      <c r="I9" s="4113"/>
      <c r="J9" s="4113"/>
      <c r="K9" s="4113"/>
      <c r="L9" s="4113"/>
      <c r="M9" s="4113"/>
      <c r="N9" s="4113"/>
      <c r="O9" s="4113"/>
      <c r="P9" s="4113"/>
      <c r="Q9" s="4113"/>
      <c r="R9" s="4113"/>
      <c r="S9" s="4113"/>
      <c r="T9" s="4113"/>
      <c r="U9" s="4113"/>
      <c r="V9" s="4113"/>
      <c r="W9" s="4113"/>
      <c r="X9" s="4113"/>
      <c r="Y9" s="4113"/>
      <c r="Z9" s="4091"/>
      <c r="AA9" s="4088"/>
    </row>
    <row r="10" spans="1:27" ht="13.5" thickBot="1">
      <c r="A10" s="4088"/>
      <c r="B10" s="4089"/>
      <c r="Z10" s="4091"/>
      <c r="AA10" s="4088"/>
    </row>
    <row r="11" spans="1:27" ht="18" customHeight="1" thickBot="1">
      <c r="A11" s="4088"/>
      <c r="B11" s="4089"/>
      <c r="C11" s="8218" t="str">
        <f>IF(Místicos!J33&lt;&gt;0,Místicos!J33,"Nombre de la invocación")</f>
        <v>Nombre de la invocación</v>
      </c>
      <c r="D11" s="8219"/>
      <c r="E11" s="8219"/>
      <c r="F11" s="8219"/>
      <c r="G11" s="8219"/>
      <c r="H11" s="8219"/>
      <c r="I11" s="8220"/>
      <c r="K11" s="8218" t="str">
        <f>IF(Místicos!J34&lt;&gt;0,Místicos!J34,"Nombre de la invocación")</f>
        <v>Nombre de la invocación</v>
      </c>
      <c r="L11" s="8219"/>
      <c r="M11" s="8219"/>
      <c r="N11" s="8219"/>
      <c r="O11" s="8219"/>
      <c r="P11" s="8219"/>
      <c r="Q11" s="8220"/>
      <c r="S11" s="8218" t="str">
        <f>IF(Místicos!J35&lt;&gt;0,Místicos!J35,"Nombre de la invocación")</f>
        <v>Nombre de la invocación</v>
      </c>
      <c r="T11" s="8219"/>
      <c r="U11" s="8219"/>
      <c r="V11" s="8219"/>
      <c r="W11" s="8219"/>
      <c r="X11" s="8219"/>
      <c r="Y11" s="8220"/>
      <c r="Z11" s="4091"/>
      <c r="AA11" s="4088"/>
    </row>
    <row r="12" spans="1:27" ht="15" customHeight="1">
      <c r="A12" s="4088"/>
      <c r="B12" s="4089"/>
      <c r="C12" s="8221"/>
      <c r="D12" s="8222"/>
      <c r="E12" s="8223"/>
      <c r="F12" s="4079" t="s">
        <v>12100</v>
      </c>
      <c r="G12" s="4080" t="str">
        <f>IFERROR(VLOOKUP(C11,'Tablas Invocaciones'!$C$9:$E$153,2,0),"")</f>
        <v/>
      </c>
      <c r="H12" s="4081" t="s">
        <v>12101</v>
      </c>
      <c r="I12" s="4082" t="str">
        <f>IFERROR(VLOOKUP(C11,'Tablas Invocaciones'!$C$9:$E$153,3,0),"")</f>
        <v/>
      </c>
      <c r="K12" s="8221"/>
      <c r="L12" s="8222"/>
      <c r="M12" s="8223"/>
      <c r="N12" s="4079" t="s">
        <v>12100</v>
      </c>
      <c r="O12" s="4080" t="str">
        <f>IFERROR(VLOOKUP(K11,'Tablas Invocaciones'!$C$9:$E$153,2,0),"")</f>
        <v/>
      </c>
      <c r="P12" s="4081" t="s">
        <v>12101</v>
      </c>
      <c r="Q12" s="4082" t="str">
        <f>IFERROR(VLOOKUP(K11,'Tablas Invocaciones'!$C$9:$E$153,3,0),"")</f>
        <v/>
      </c>
      <c r="S12" s="8221"/>
      <c r="T12" s="8222"/>
      <c r="U12" s="8223"/>
      <c r="V12" s="4079" t="s">
        <v>12100</v>
      </c>
      <c r="W12" s="4080" t="str">
        <f>IFERROR(VLOOKUP(S11,'Tablas Invocaciones'!$C$9:$E$153,2,0),"")</f>
        <v/>
      </c>
      <c r="X12" s="4081" t="s">
        <v>12101</v>
      </c>
      <c r="Y12" s="4082" t="str">
        <f>IFERROR(VLOOKUP(S11,'Tablas Invocaciones'!$C$9:$E$153,3,0),"")</f>
        <v/>
      </c>
      <c r="Z12" s="4091"/>
      <c r="AA12" s="4088"/>
    </row>
    <row r="13" spans="1:27" ht="14.1" customHeight="1">
      <c r="A13" s="4088"/>
      <c r="B13" s="4089"/>
      <c r="C13" s="4072" t="s">
        <v>8351</v>
      </c>
      <c r="D13" s="4073" t="str">
        <f>IFERROR(VLOOKUP(C12,Tabla_PoderesInvocaciones,2,0),"")</f>
        <v/>
      </c>
      <c r="E13" s="8224" t="str">
        <f>IFERROR(VLOOKUP(C12,Tabla_PoderesInvocaciones,8,0),"")</f>
        <v/>
      </c>
      <c r="F13" s="8225"/>
      <c r="G13" s="8225"/>
      <c r="H13" s="8225"/>
      <c r="I13" s="8226"/>
      <c r="K13" s="4072" t="s">
        <v>8351</v>
      </c>
      <c r="L13" s="4073" t="str">
        <f>IFERROR(VLOOKUP(K12,Tabla_PoderesInvocaciones,2,0),"")</f>
        <v/>
      </c>
      <c r="M13" s="8224" t="str">
        <f>IFERROR(VLOOKUP(K12,Tabla_PoderesInvocaciones,8,0),"")</f>
        <v/>
      </c>
      <c r="N13" s="8225"/>
      <c r="O13" s="8225"/>
      <c r="P13" s="8225"/>
      <c r="Q13" s="8226"/>
      <c r="S13" s="4072" t="s">
        <v>8351</v>
      </c>
      <c r="T13" s="4073" t="str">
        <f>IFERROR(VLOOKUP(S12,Tabla_PoderesInvocaciones,2,0),"")</f>
        <v/>
      </c>
      <c r="U13" s="8224" t="str">
        <f>IFERROR(VLOOKUP(S12,Tabla_PoderesInvocaciones,8,0),"")</f>
        <v/>
      </c>
      <c r="V13" s="8225"/>
      <c r="W13" s="8225"/>
      <c r="X13" s="8225"/>
      <c r="Y13" s="8226"/>
      <c r="Z13" s="4091"/>
      <c r="AA13" s="4088"/>
    </row>
    <row r="14" spans="1:27" ht="14.1" customHeight="1">
      <c r="A14" s="4088"/>
      <c r="B14" s="4089"/>
      <c r="C14" s="4074" t="s">
        <v>12102</v>
      </c>
      <c r="D14" s="4075" t="str">
        <f>IFERROR(VLOOKUP(C12,Tabla_PoderesInvocaciones,3,0),"")</f>
        <v/>
      </c>
      <c r="E14" s="8227"/>
      <c r="F14" s="8228"/>
      <c r="G14" s="8228"/>
      <c r="H14" s="8228"/>
      <c r="I14" s="8229"/>
      <c r="K14" s="4074" t="s">
        <v>12102</v>
      </c>
      <c r="L14" s="4075" t="str">
        <f>IFERROR(VLOOKUP(K12,Tabla_PoderesInvocaciones,3,0),"")</f>
        <v/>
      </c>
      <c r="M14" s="8227"/>
      <c r="N14" s="8228"/>
      <c r="O14" s="8228"/>
      <c r="P14" s="8228"/>
      <c r="Q14" s="8229"/>
      <c r="S14" s="4074" t="s">
        <v>12102</v>
      </c>
      <c r="T14" s="4075" t="str">
        <f>IFERROR(VLOOKUP(S12,Tabla_PoderesInvocaciones,3,0),"")</f>
        <v/>
      </c>
      <c r="U14" s="8227"/>
      <c r="V14" s="8228"/>
      <c r="W14" s="8228"/>
      <c r="X14" s="8228"/>
      <c r="Y14" s="8229"/>
      <c r="Z14" s="4091"/>
      <c r="AA14" s="4088"/>
    </row>
    <row r="15" spans="1:27" ht="14.1" customHeight="1">
      <c r="A15" s="4088"/>
      <c r="B15" s="4089"/>
      <c r="C15" s="4076" t="s">
        <v>5819</v>
      </c>
      <c r="D15" s="4077" t="str">
        <f>IFERROR(VLOOKUP(C12,Tabla_PoderesInvocaciones,4,0),"")</f>
        <v/>
      </c>
      <c r="E15" s="8227"/>
      <c r="F15" s="8228"/>
      <c r="G15" s="8228"/>
      <c r="H15" s="8228"/>
      <c r="I15" s="8229"/>
      <c r="K15" s="4076" t="s">
        <v>5819</v>
      </c>
      <c r="L15" s="4077" t="str">
        <f>IFERROR(VLOOKUP(K12,Tabla_PoderesInvocaciones,4,0),"")</f>
        <v/>
      </c>
      <c r="M15" s="8227"/>
      <c r="N15" s="8228"/>
      <c r="O15" s="8228"/>
      <c r="P15" s="8228"/>
      <c r="Q15" s="8229"/>
      <c r="S15" s="4076" t="s">
        <v>5819</v>
      </c>
      <c r="T15" s="4077" t="str">
        <f>IFERROR(VLOOKUP(S12,Tabla_PoderesInvocaciones,4,0),"")</f>
        <v/>
      </c>
      <c r="U15" s="8227"/>
      <c r="V15" s="8228"/>
      <c r="W15" s="8228"/>
      <c r="X15" s="8228"/>
      <c r="Y15" s="8229"/>
      <c r="Z15" s="4091"/>
      <c r="AA15" s="4088"/>
    </row>
    <row r="16" spans="1:27" ht="14.1" customHeight="1">
      <c r="A16" s="4088"/>
      <c r="B16" s="4089"/>
      <c r="C16" s="4074" t="s">
        <v>6797</v>
      </c>
      <c r="D16" s="4075" t="str">
        <f>IFERROR(VLOOKUP(C12,Tabla_PoderesInvocaciones,5,0),"")</f>
        <v/>
      </c>
      <c r="E16" s="8227"/>
      <c r="F16" s="8228"/>
      <c r="G16" s="8228"/>
      <c r="H16" s="8228"/>
      <c r="I16" s="8229"/>
      <c r="K16" s="4074" t="s">
        <v>6797</v>
      </c>
      <c r="L16" s="4075" t="str">
        <f>IFERROR(VLOOKUP(K12,Tabla_PoderesInvocaciones,5,0),"")</f>
        <v/>
      </c>
      <c r="M16" s="8227"/>
      <c r="N16" s="8228"/>
      <c r="O16" s="8228"/>
      <c r="P16" s="8228"/>
      <c r="Q16" s="8229"/>
      <c r="S16" s="4074" t="s">
        <v>6797</v>
      </c>
      <c r="T16" s="4075" t="str">
        <f>IFERROR(VLOOKUP(S12,Tabla_PoderesInvocaciones,5,0),"")</f>
        <v/>
      </c>
      <c r="U16" s="8227"/>
      <c r="V16" s="8228"/>
      <c r="W16" s="8228"/>
      <c r="X16" s="8228"/>
      <c r="Y16" s="8229"/>
      <c r="Z16" s="4091"/>
      <c r="AA16" s="4088"/>
    </row>
    <row r="17" spans="1:27" ht="14.1" customHeight="1">
      <c r="A17" s="4088"/>
      <c r="B17" s="4089"/>
      <c r="C17" s="4078" t="s">
        <v>7894</v>
      </c>
      <c r="D17" s="4077" t="str">
        <f>IFERROR(VLOOKUP(C12,Tabla_PoderesInvocaciones,6,0),"")</f>
        <v/>
      </c>
      <c r="E17" s="8230"/>
      <c r="F17" s="8231"/>
      <c r="G17" s="8231"/>
      <c r="H17" s="8231"/>
      <c r="I17" s="8232"/>
      <c r="K17" s="4078" t="s">
        <v>7894</v>
      </c>
      <c r="L17" s="4077" t="str">
        <f>IFERROR(VLOOKUP(K12,Tabla_PoderesInvocaciones,6,0),"")</f>
        <v/>
      </c>
      <c r="M17" s="8230"/>
      <c r="N17" s="8231"/>
      <c r="O17" s="8231"/>
      <c r="P17" s="8231"/>
      <c r="Q17" s="8232"/>
      <c r="S17" s="4078" t="s">
        <v>7894</v>
      </c>
      <c r="T17" s="4077" t="str">
        <f>IFERROR(VLOOKUP(S12,Tabla_PoderesInvocaciones,6,0),"")</f>
        <v/>
      </c>
      <c r="U17" s="8230"/>
      <c r="V17" s="8231"/>
      <c r="W17" s="8231"/>
      <c r="X17" s="8231"/>
      <c r="Y17" s="8232"/>
      <c r="Z17" s="4091"/>
      <c r="AA17" s="4088"/>
    </row>
    <row r="18" spans="1:27">
      <c r="A18" s="4088"/>
      <c r="B18" s="4089"/>
      <c r="C18" s="8233" t="s">
        <v>12103</v>
      </c>
      <c r="D18" s="8234"/>
      <c r="E18" s="8237" t="str">
        <f>IFERROR(VLOOKUP(C12,Tabla_PoderesInvocaciones,7,0),"")</f>
        <v/>
      </c>
      <c r="F18" s="8238"/>
      <c r="G18" s="8238"/>
      <c r="H18" s="8238"/>
      <c r="I18" s="8239"/>
      <c r="K18" s="8233" t="s">
        <v>12103</v>
      </c>
      <c r="L18" s="8234"/>
      <c r="M18" s="8237" t="str">
        <f>IFERROR(VLOOKUP(K12,Tabla_PoderesInvocaciones,7,0),"")</f>
        <v/>
      </c>
      <c r="N18" s="8238"/>
      <c r="O18" s="8238"/>
      <c r="P18" s="8238"/>
      <c r="Q18" s="8239"/>
      <c r="S18" s="8233" t="s">
        <v>12103</v>
      </c>
      <c r="T18" s="8234"/>
      <c r="U18" s="8237" t="str">
        <f>IFERROR(VLOOKUP(S12,Tabla_PoderesInvocaciones,7,0),"")</f>
        <v/>
      </c>
      <c r="V18" s="8238"/>
      <c r="W18" s="8238"/>
      <c r="X18" s="8238"/>
      <c r="Y18" s="8239"/>
      <c r="Z18" s="4091"/>
      <c r="AA18" s="4088"/>
    </row>
    <row r="19" spans="1:27" ht="13.5" thickBot="1">
      <c r="A19" s="4088"/>
      <c r="B19" s="4089"/>
      <c r="C19" s="8235"/>
      <c r="D19" s="8236"/>
      <c r="E19" s="8240"/>
      <c r="F19" s="8241"/>
      <c r="G19" s="8241"/>
      <c r="H19" s="8241"/>
      <c r="I19" s="8242"/>
      <c r="K19" s="8235"/>
      <c r="L19" s="8236"/>
      <c r="M19" s="8240"/>
      <c r="N19" s="8241"/>
      <c r="O19" s="8241"/>
      <c r="P19" s="8241"/>
      <c r="Q19" s="8242"/>
      <c r="S19" s="8235"/>
      <c r="T19" s="8236"/>
      <c r="U19" s="8240"/>
      <c r="V19" s="8241"/>
      <c r="W19" s="8241"/>
      <c r="X19" s="8241"/>
      <c r="Y19" s="8242"/>
      <c r="Z19" s="4091"/>
      <c r="AA19" s="4088"/>
    </row>
    <row r="20" spans="1:27">
      <c r="A20" s="4088"/>
      <c r="B20" s="4089"/>
      <c r="C20" s="4092" t="e">
        <f>SUBSTITUTE(IF(C11="","",VLOOKUP(C11,Tabla_GrimorioInvocaciones,2,FALSE)),".","")</f>
        <v>#N/A</v>
      </c>
      <c r="D20" s="4093"/>
      <c r="E20" s="4094"/>
      <c r="F20" s="4094"/>
      <c r="G20" s="4094"/>
      <c r="H20" s="4094"/>
      <c r="I20" s="4094"/>
      <c r="K20" s="4092" t="e">
        <f>SUBSTITUTE(IF(K11="","",VLOOKUP(K11,Tabla_GrimorioInvocaciones,2,FALSE)),".","")</f>
        <v>#N/A</v>
      </c>
      <c r="L20" s="4093"/>
      <c r="M20" s="4094"/>
      <c r="N20" s="4094"/>
      <c r="O20" s="4094"/>
      <c r="P20" s="4094"/>
      <c r="Q20" s="4094"/>
      <c r="S20" s="4092" t="e">
        <f>SUBSTITUTE(IF(S11="","",VLOOKUP(S11,Tabla_GrimorioInvocaciones,2,FALSE)),".","")</f>
        <v>#N/A</v>
      </c>
      <c r="T20" s="4093"/>
      <c r="U20" s="4094"/>
      <c r="V20" s="4094"/>
      <c r="W20" s="4094"/>
      <c r="X20" s="4094"/>
      <c r="Y20" s="4094"/>
      <c r="Z20" s="4091"/>
      <c r="AA20" s="4088"/>
    </row>
    <row r="21" spans="1:27" ht="13.5" thickBot="1">
      <c r="A21" s="4088"/>
      <c r="B21" s="4089"/>
      <c r="Z21" s="4091"/>
      <c r="AA21" s="4088"/>
    </row>
    <row r="22" spans="1:27" ht="18" customHeight="1" thickBot="1">
      <c r="A22" s="4088"/>
      <c r="B22" s="4089"/>
      <c r="C22" s="8218" t="str">
        <f>IF(Místicos!J36&lt;&gt;0,Místicos!J36,"Nombre de la invocación")</f>
        <v>Nombre de la invocación</v>
      </c>
      <c r="D22" s="8219"/>
      <c r="E22" s="8219"/>
      <c r="F22" s="8219"/>
      <c r="G22" s="8219"/>
      <c r="H22" s="8219"/>
      <c r="I22" s="8220"/>
      <c r="K22" s="8218" t="str">
        <f>IF(Místicos!J37&lt;&gt;0,Místicos!J37,"Nombre de la invocación")</f>
        <v>Nombre de la invocación</v>
      </c>
      <c r="L22" s="8219"/>
      <c r="M22" s="8219"/>
      <c r="N22" s="8219"/>
      <c r="O22" s="8219"/>
      <c r="P22" s="8219"/>
      <c r="Q22" s="8220"/>
      <c r="S22" s="8218" t="str">
        <f>IF(Místicos!J38&lt;&gt;0,Místicos!J38,"Nombre de la invocación")</f>
        <v>Nombre de la invocación</v>
      </c>
      <c r="T22" s="8219"/>
      <c r="U22" s="8219"/>
      <c r="V22" s="8219"/>
      <c r="W22" s="8219"/>
      <c r="X22" s="8219"/>
      <c r="Y22" s="8220"/>
      <c r="Z22" s="4091"/>
      <c r="AA22" s="4088"/>
    </row>
    <row r="23" spans="1:27">
      <c r="A23" s="4088"/>
      <c r="B23" s="4089"/>
      <c r="C23" s="8221"/>
      <c r="D23" s="8222"/>
      <c r="E23" s="8223"/>
      <c r="F23" s="4079" t="s">
        <v>12100</v>
      </c>
      <c r="G23" s="4080" t="str">
        <f>IFERROR(VLOOKUP(C22,'Tablas Invocaciones'!$C$9:$E$153,2,0),"")</f>
        <v/>
      </c>
      <c r="H23" s="4081" t="s">
        <v>12101</v>
      </c>
      <c r="I23" s="4082" t="str">
        <f>IFERROR(VLOOKUP(C22,'Tablas Invocaciones'!$C$9:$E$153,3,0),"")</f>
        <v/>
      </c>
      <c r="K23" s="8221"/>
      <c r="L23" s="8222"/>
      <c r="M23" s="8223"/>
      <c r="N23" s="4079" t="s">
        <v>12100</v>
      </c>
      <c r="O23" s="4080" t="str">
        <f>IFERROR(VLOOKUP(K22,'Tablas Invocaciones'!$C$9:$E$153,2,0),"")</f>
        <v/>
      </c>
      <c r="P23" s="4081" t="s">
        <v>12101</v>
      </c>
      <c r="Q23" s="4082" t="str">
        <f>IFERROR(VLOOKUP(K22,'Tablas Invocaciones'!$C$9:$E$153,3,0),"")</f>
        <v/>
      </c>
      <c r="S23" s="8221"/>
      <c r="T23" s="8222"/>
      <c r="U23" s="8223"/>
      <c r="V23" s="4079" t="s">
        <v>12100</v>
      </c>
      <c r="W23" s="4080" t="str">
        <f>IFERROR(VLOOKUP(S22,'Tablas Invocaciones'!$C$9:$E$153,2,0),"")</f>
        <v/>
      </c>
      <c r="X23" s="4081" t="s">
        <v>12101</v>
      </c>
      <c r="Y23" s="4082" t="str">
        <f>IFERROR(VLOOKUP(S22,'Tablas Invocaciones'!$C$9:$E$153,3,0),"")</f>
        <v/>
      </c>
      <c r="Z23" s="4091"/>
      <c r="AA23" s="4088"/>
    </row>
    <row r="24" spans="1:27" ht="12.75" customHeight="1">
      <c r="A24" s="4088"/>
      <c r="B24" s="4089"/>
      <c r="C24" s="4072" t="s">
        <v>8351</v>
      </c>
      <c r="D24" s="4073" t="str">
        <f>IFERROR(VLOOKUP(C23,Tabla_PoderesInvocaciones,2,0),"")</f>
        <v/>
      </c>
      <c r="E24" s="8224" t="str">
        <f>IFERROR(VLOOKUP(C23,Tabla_PoderesInvocaciones,8,0),"")</f>
        <v/>
      </c>
      <c r="F24" s="8225"/>
      <c r="G24" s="8225"/>
      <c r="H24" s="8225"/>
      <c r="I24" s="8226"/>
      <c r="K24" s="4072" t="s">
        <v>8351</v>
      </c>
      <c r="L24" s="4073" t="str">
        <f>IFERROR(VLOOKUP(K23,Tabla_PoderesInvocaciones,2,0),"")</f>
        <v/>
      </c>
      <c r="M24" s="8224" t="str">
        <f>IFERROR(VLOOKUP(K23,Tabla_PoderesInvocaciones,8,0),"")</f>
        <v/>
      </c>
      <c r="N24" s="8225"/>
      <c r="O24" s="8225"/>
      <c r="P24" s="8225"/>
      <c r="Q24" s="8226"/>
      <c r="S24" s="4072" t="s">
        <v>8351</v>
      </c>
      <c r="T24" s="4073" t="str">
        <f>IFERROR(VLOOKUP(S23,Tabla_PoderesInvocaciones,2,0),"")</f>
        <v/>
      </c>
      <c r="U24" s="8224" t="str">
        <f>IFERROR(VLOOKUP(S23,Tabla_PoderesInvocaciones,8,0),"")</f>
        <v/>
      </c>
      <c r="V24" s="8225"/>
      <c r="W24" s="8225"/>
      <c r="X24" s="8225"/>
      <c r="Y24" s="8226"/>
      <c r="Z24" s="4091"/>
      <c r="AA24" s="4088"/>
    </row>
    <row r="25" spans="1:27">
      <c r="A25" s="4088"/>
      <c r="B25" s="4089"/>
      <c r="C25" s="4074" t="s">
        <v>12102</v>
      </c>
      <c r="D25" s="4075" t="str">
        <f>IFERROR(VLOOKUP(C23,Tabla_PoderesInvocaciones,3,0),"")</f>
        <v/>
      </c>
      <c r="E25" s="8227"/>
      <c r="F25" s="8228"/>
      <c r="G25" s="8228"/>
      <c r="H25" s="8228"/>
      <c r="I25" s="8229"/>
      <c r="K25" s="4074" t="s">
        <v>12102</v>
      </c>
      <c r="L25" s="4075" t="str">
        <f>IFERROR(VLOOKUP(K23,Tabla_PoderesInvocaciones,3,0),"")</f>
        <v/>
      </c>
      <c r="M25" s="8227"/>
      <c r="N25" s="8228"/>
      <c r="O25" s="8228"/>
      <c r="P25" s="8228"/>
      <c r="Q25" s="8229"/>
      <c r="S25" s="4074" t="s">
        <v>12102</v>
      </c>
      <c r="T25" s="4075" t="str">
        <f>IFERROR(VLOOKUP(S23,Tabla_PoderesInvocaciones,3,0),"")</f>
        <v/>
      </c>
      <c r="U25" s="8227"/>
      <c r="V25" s="8228"/>
      <c r="W25" s="8228"/>
      <c r="X25" s="8228"/>
      <c r="Y25" s="8229"/>
      <c r="Z25" s="4091"/>
      <c r="AA25" s="4088"/>
    </row>
    <row r="26" spans="1:27">
      <c r="A26" s="4088"/>
      <c r="B26" s="4089"/>
      <c r="C26" s="4076" t="s">
        <v>5819</v>
      </c>
      <c r="D26" s="4077" t="str">
        <f>IFERROR(VLOOKUP(C23,Tabla_PoderesInvocaciones,4,0),"")</f>
        <v/>
      </c>
      <c r="E26" s="8227"/>
      <c r="F26" s="8228"/>
      <c r="G26" s="8228"/>
      <c r="H26" s="8228"/>
      <c r="I26" s="8229"/>
      <c r="K26" s="4076" t="s">
        <v>5819</v>
      </c>
      <c r="L26" s="4077" t="str">
        <f>IFERROR(VLOOKUP(K23,Tabla_PoderesInvocaciones,4,0),"")</f>
        <v/>
      </c>
      <c r="M26" s="8227"/>
      <c r="N26" s="8228"/>
      <c r="O26" s="8228"/>
      <c r="P26" s="8228"/>
      <c r="Q26" s="8229"/>
      <c r="S26" s="4076" t="s">
        <v>5819</v>
      </c>
      <c r="T26" s="4077" t="str">
        <f>IFERROR(VLOOKUP(S23,Tabla_PoderesInvocaciones,4,0),"")</f>
        <v/>
      </c>
      <c r="U26" s="8227"/>
      <c r="V26" s="8228"/>
      <c r="W26" s="8228"/>
      <c r="X26" s="8228"/>
      <c r="Y26" s="8229"/>
      <c r="Z26" s="4091"/>
      <c r="AA26" s="4088"/>
    </row>
    <row r="27" spans="1:27">
      <c r="A27" s="4088"/>
      <c r="B27" s="4089"/>
      <c r="C27" s="4074" t="s">
        <v>6797</v>
      </c>
      <c r="D27" s="4075" t="str">
        <f>IFERROR(VLOOKUP(C23,Tabla_PoderesInvocaciones,5,0),"")</f>
        <v/>
      </c>
      <c r="E27" s="8227"/>
      <c r="F27" s="8228"/>
      <c r="G27" s="8228"/>
      <c r="H27" s="8228"/>
      <c r="I27" s="8229"/>
      <c r="K27" s="4074" t="s">
        <v>6797</v>
      </c>
      <c r="L27" s="4075" t="str">
        <f>IFERROR(VLOOKUP(K23,Tabla_PoderesInvocaciones,5,0),"")</f>
        <v/>
      </c>
      <c r="M27" s="8227"/>
      <c r="N27" s="8228"/>
      <c r="O27" s="8228"/>
      <c r="P27" s="8228"/>
      <c r="Q27" s="8229"/>
      <c r="S27" s="4074" t="s">
        <v>6797</v>
      </c>
      <c r="T27" s="4075" t="str">
        <f>IFERROR(VLOOKUP(S23,Tabla_PoderesInvocaciones,5,0),"")</f>
        <v/>
      </c>
      <c r="U27" s="8227"/>
      <c r="V27" s="8228"/>
      <c r="W27" s="8228"/>
      <c r="X27" s="8228"/>
      <c r="Y27" s="8229"/>
      <c r="Z27" s="4091"/>
      <c r="AA27" s="4088"/>
    </row>
    <row r="28" spans="1:27">
      <c r="A28" s="4088"/>
      <c r="B28" s="4089"/>
      <c r="C28" s="4078" t="s">
        <v>7894</v>
      </c>
      <c r="D28" s="4077" t="str">
        <f>IFERROR(VLOOKUP(C23,Tabla_PoderesInvocaciones,6,0),"")</f>
        <v/>
      </c>
      <c r="E28" s="8230"/>
      <c r="F28" s="8231"/>
      <c r="G28" s="8231"/>
      <c r="H28" s="8231"/>
      <c r="I28" s="8232"/>
      <c r="K28" s="4078" t="s">
        <v>7894</v>
      </c>
      <c r="L28" s="4077" t="str">
        <f>IFERROR(VLOOKUP(K23,Tabla_PoderesInvocaciones,6,0),"")</f>
        <v/>
      </c>
      <c r="M28" s="8230"/>
      <c r="N28" s="8231"/>
      <c r="O28" s="8231"/>
      <c r="P28" s="8231"/>
      <c r="Q28" s="8232"/>
      <c r="S28" s="4078" t="s">
        <v>7894</v>
      </c>
      <c r="T28" s="4077" t="str">
        <f>IFERROR(VLOOKUP(S23,Tabla_PoderesInvocaciones,6,0),"")</f>
        <v/>
      </c>
      <c r="U28" s="8230"/>
      <c r="V28" s="8231"/>
      <c r="W28" s="8231"/>
      <c r="X28" s="8231"/>
      <c r="Y28" s="8232"/>
      <c r="Z28" s="4091"/>
      <c r="AA28" s="4088"/>
    </row>
    <row r="29" spans="1:27">
      <c r="A29" s="4088"/>
      <c r="B29" s="4089"/>
      <c r="C29" s="8233" t="s">
        <v>12103</v>
      </c>
      <c r="D29" s="8234"/>
      <c r="E29" s="8237" t="str">
        <f>IFERROR(VLOOKUP(C23,Tabla_PoderesInvocaciones,7,0),"")</f>
        <v/>
      </c>
      <c r="F29" s="8238"/>
      <c r="G29" s="8238"/>
      <c r="H29" s="8238"/>
      <c r="I29" s="8239"/>
      <c r="K29" s="8233" t="s">
        <v>12103</v>
      </c>
      <c r="L29" s="8234"/>
      <c r="M29" s="8237" t="str">
        <f>IFERROR(VLOOKUP(K23,Tabla_PoderesInvocaciones,7,0),"")</f>
        <v/>
      </c>
      <c r="N29" s="8238"/>
      <c r="O29" s="8238"/>
      <c r="P29" s="8238"/>
      <c r="Q29" s="8239"/>
      <c r="S29" s="8233" t="s">
        <v>12103</v>
      </c>
      <c r="T29" s="8234"/>
      <c r="U29" s="8237" t="str">
        <f>IFERROR(VLOOKUP(S23,Tabla_PoderesInvocaciones,7,0),"")</f>
        <v/>
      </c>
      <c r="V29" s="8238"/>
      <c r="W29" s="8238"/>
      <c r="X29" s="8238"/>
      <c r="Y29" s="8239"/>
      <c r="Z29" s="4091"/>
      <c r="AA29" s="4088"/>
    </row>
    <row r="30" spans="1:27" ht="13.5" thickBot="1">
      <c r="A30" s="4088"/>
      <c r="B30" s="4089"/>
      <c r="C30" s="8235"/>
      <c r="D30" s="8236"/>
      <c r="E30" s="8240"/>
      <c r="F30" s="8241"/>
      <c r="G30" s="8241"/>
      <c r="H30" s="8241"/>
      <c r="I30" s="8242"/>
      <c r="K30" s="8235"/>
      <c r="L30" s="8236"/>
      <c r="M30" s="8240"/>
      <c r="N30" s="8241"/>
      <c r="O30" s="8241"/>
      <c r="P30" s="8241"/>
      <c r="Q30" s="8242"/>
      <c r="S30" s="8235"/>
      <c r="T30" s="8236"/>
      <c r="U30" s="8240"/>
      <c r="V30" s="8241"/>
      <c r="W30" s="8241"/>
      <c r="X30" s="8241"/>
      <c r="Y30" s="8242"/>
      <c r="Z30" s="4091"/>
      <c r="AA30" s="4088"/>
    </row>
    <row r="31" spans="1:27">
      <c r="A31" s="4088"/>
      <c r="B31" s="4089"/>
      <c r="C31" s="4092" t="e">
        <f>SUBSTITUTE(IF(C22="","",VLOOKUP(C22,Tabla_GrimorioInvocaciones,2,FALSE)),".","")</f>
        <v>#N/A</v>
      </c>
      <c r="D31" s="4093"/>
      <c r="E31" s="4094"/>
      <c r="F31" s="4094"/>
      <c r="G31" s="4094"/>
      <c r="H31" s="4094"/>
      <c r="I31" s="4094"/>
      <c r="K31" s="4092" t="e">
        <f>SUBSTITUTE(IF(K22="","",VLOOKUP(K22,Tabla_GrimorioInvocaciones,2,FALSE)),".","")</f>
        <v>#N/A</v>
      </c>
      <c r="L31" s="4093"/>
      <c r="M31" s="4094"/>
      <c r="N31" s="4094"/>
      <c r="O31" s="4094"/>
      <c r="P31" s="4094"/>
      <c r="Q31" s="4094"/>
      <c r="S31" s="4092" t="e">
        <f>SUBSTITUTE(IF(S22="","",VLOOKUP(S22,Tabla_GrimorioInvocaciones,2,FALSE)),".","")</f>
        <v>#N/A</v>
      </c>
      <c r="T31" s="4093"/>
      <c r="U31" s="4094"/>
      <c r="V31" s="4094"/>
      <c r="W31" s="4094"/>
      <c r="X31" s="4094"/>
      <c r="Y31" s="4094"/>
      <c r="Z31" s="4091"/>
      <c r="AA31" s="4088"/>
    </row>
    <row r="32" spans="1:27" ht="13.5" thickBot="1">
      <c r="A32" s="4088"/>
      <c r="B32" s="4089"/>
      <c r="Z32" s="4091"/>
      <c r="AA32" s="4088"/>
    </row>
    <row r="33" spans="1:27" ht="18" customHeight="1" thickBot="1">
      <c r="A33" s="4088"/>
      <c r="B33" s="4089"/>
      <c r="C33" s="8218" t="str">
        <f>IF(Místicos!J39&lt;&gt;0,Místicos!J39,"Nombre de la invocación")</f>
        <v>Nombre de la invocación</v>
      </c>
      <c r="D33" s="8219"/>
      <c r="E33" s="8219"/>
      <c r="F33" s="8219"/>
      <c r="G33" s="8219"/>
      <c r="H33" s="8219"/>
      <c r="I33" s="8220"/>
      <c r="K33" s="8218" t="str">
        <f>IF(Místicos!J40&lt;&gt;0,Místicos!J40,"Nombre de la invocación")</f>
        <v>Nombre de la invocación</v>
      </c>
      <c r="L33" s="8219"/>
      <c r="M33" s="8219"/>
      <c r="N33" s="8219"/>
      <c r="O33" s="8219"/>
      <c r="P33" s="8219"/>
      <c r="Q33" s="8220"/>
      <c r="S33" s="8218" t="str">
        <f>IF(Místicos!J41&lt;&gt;0,Místicos!J41,"Nombre de la invocación")</f>
        <v>Nombre de la invocación</v>
      </c>
      <c r="T33" s="8219"/>
      <c r="U33" s="8219"/>
      <c r="V33" s="8219"/>
      <c r="W33" s="8219"/>
      <c r="X33" s="8219"/>
      <c r="Y33" s="8220"/>
      <c r="Z33" s="4091"/>
      <c r="AA33" s="4088"/>
    </row>
    <row r="34" spans="1:27">
      <c r="A34" s="4088"/>
      <c r="B34" s="4089"/>
      <c r="C34" s="8221"/>
      <c r="D34" s="8222"/>
      <c r="E34" s="8223"/>
      <c r="F34" s="4079" t="s">
        <v>12100</v>
      </c>
      <c r="G34" s="4080" t="str">
        <f>IFERROR(VLOOKUP(C33,'Tablas Invocaciones'!$C$9:$E$153,2,0),"")</f>
        <v/>
      </c>
      <c r="H34" s="4081" t="s">
        <v>12101</v>
      </c>
      <c r="I34" s="4082" t="str">
        <f>IFERROR(VLOOKUP(C33,'Tablas Invocaciones'!$C$9:$E$153,3,0),"")</f>
        <v/>
      </c>
      <c r="K34" s="8221"/>
      <c r="L34" s="8222"/>
      <c r="M34" s="8223"/>
      <c r="N34" s="4079" t="s">
        <v>12100</v>
      </c>
      <c r="O34" s="4080" t="str">
        <f>IFERROR(VLOOKUP(K33,'Tablas Invocaciones'!$C$9:$E$153,2,0),"")</f>
        <v/>
      </c>
      <c r="P34" s="4081" t="s">
        <v>12101</v>
      </c>
      <c r="Q34" s="4082" t="str">
        <f>IFERROR(VLOOKUP(K33,'Tablas Invocaciones'!$C$9:$E$153,3,0),"")</f>
        <v/>
      </c>
      <c r="S34" s="8221"/>
      <c r="T34" s="8222"/>
      <c r="U34" s="8223"/>
      <c r="V34" s="4079" t="s">
        <v>12100</v>
      </c>
      <c r="W34" s="4080" t="str">
        <f>IFERROR(VLOOKUP(S33,'Tablas Invocaciones'!$C$9:$E$153,2,0),"")</f>
        <v/>
      </c>
      <c r="X34" s="4081" t="s">
        <v>12101</v>
      </c>
      <c r="Y34" s="4082" t="str">
        <f>IFERROR(VLOOKUP(S33,'Tablas Invocaciones'!$C$9:$E$153,3,0),"")</f>
        <v/>
      </c>
      <c r="Z34" s="4091"/>
      <c r="AA34" s="4088"/>
    </row>
    <row r="35" spans="1:27" ht="12.75" customHeight="1">
      <c r="A35" s="4088"/>
      <c r="B35" s="4089"/>
      <c r="C35" s="4072" t="s">
        <v>8351</v>
      </c>
      <c r="D35" s="4073" t="str">
        <f>IFERROR(VLOOKUP(C34,Tabla_PoderesInvocaciones,2,0),"")</f>
        <v/>
      </c>
      <c r="E35" s="8224" t="str">
        <f>IFERROR(VLOOKUP(C34,Tabla_PoderesInvocaciones,8,0),"")</f>
        <v/>
      </c>
      <c r="F35" s="8225"/>
      <c r="G35" s="8225"/>
      <c r="H35" s="8225"/>
      <c r="I35" s="8226"/>
      <c r="K35" s="4072" t="s">
        <v>8351</v>
      </c>
      <c r="L35" s="4073" t="str">
        <f>IFERROR(VLOOKUP(K34,Tabla_PoderesInvocaciones,2,0),"")</f>
        <v/>
      </c>
      <c r="M35" s="8224" t="str">
        <f>IFERROR(VLOOKUP(K34,Tabla_PoderesInvocaciones,8,0),"")</f>
        <v/>
      </c>
      <c r="N35" s="8225"/>
      <c r="O35" s="8225"/>
      <c r="P35" s="8225"/>
      <c r="Q35" s="8226"/>
      <c r="S35" s="4072" t="s">
        <v>8351</v>
      </c>
      <c r="T35" s="4073" t="str">
        <f>IFERROR(VLOOKUP(S34,Tabla_PoderesInvocaciones,2,0),"")</f>
        <v/>
      </c>
      <c r="U35" s="8224" t="str">
        <f>IFERROR(VLOOKUP(S34,Tabla_PoderesInvocaciones,8,0),"")</f>
        <v/>
      </c>
      <c r="V35" s="8225"/>
      <c r="W35" s="8225"/>
      <c r="X35" s="8225"/>
      <c r="Y35" s="8226"/>
      <c r="Z35" s="4091"/>
      <c r="AA35" s="4088"/>
    </row>
    <row r="36" spans="1:27">
      <c r="A36" s="4088"/>
      <c r="B36" s="4089"/>
      <c r="C36" s="4074" t="s">
        <v>12102</v>
      </c>
      <c r="D36" s="4075" t="str">
        <f>IFERROR(VLOOKUP(C34,Tabla_PoderesInvocaciones,3,0),"")</f>
        <v/>
      </c>
      <c r="E36" s="8227"/>
      <c r="F36" s="8228"/>
      <c r="G36" s="8228"/>
      <c r="H36" s="8228"/>
      <c r="I36" s="8229"/>
      <c r="K36" s="4074" t="s">
        <v>12102</v>
      </c>
      <c r="L36" s="4075" t="str">
        <f>IFERROR(VLOOKUP(K34,Tabla_PoderesInvocaciones,3,0),"")</f>
        <v/>
      </c>
      <c r="M36" s="8227"/>
      <c r="N36" s="8228"/>
      <c r="O36" s="8228"/>
      <c r="P36" s="8228"/>
      <c r="Q36" s="8229"/>
      <c r="S36" s="4074" t="s">
        <v>12102</v>
      </c>
      <c r="T36" s="4075" t="str">
        <f>IFERROR(VLOOKUP(S34,Tabla_PoderesInvocaciones,3,0),"")</f>
        <v/>
      </c>
      <c r="U36" s="8227"/>
      <c r="V36" s="8228"/>
      <c r="W36" s="8228"/>
      <c r="X36" s="8228"/>
      <c r="Y36" s="8229"/>
      <c r="Z36" s="4091"/>
      <c r="AA36" s="4088"/>
    </row>
    <row r="37" spans="1:27">
      <c r="A37" s="4088"/>
      <c r="B37" s="4089"/>
      <c r="C37" s="4076" t="s">
        <v>5819</v>
      </c>
      <c r="D37" s="4077" t="str">
        <f>IFERROR(VLOOKUP(C34,Tabla_PoderesInvocaciones,4,0),"")</f>
        <v/>
      </c>
      <c r="E37" s="8227"/>
      <c r="F37" s="8228"/>
      <c r="G37" s="8228"/>
      <c r="H37" s="8228"/>
      <c r="I37" s="8229"/>
      <c r="K37" s="4076" t="s">
        <v>5819</v>
      </c>
      <c r="L37" s="4077" t="str">
        <f>IFERROR(VLOOKUP(K34,Tabla_PoderesInvocaciones,4,0),"")</f>
        <v/>
      </c>
      <c r="M37" s="8227"/>
      <c r="N37" s="8228"/>
      <c r="O37" s="8228"/>
      <c r="P37" s="8228"/>
      <c r="Q37" s="8229"/>
      <c r="S37" s="4076" t="s">
        <v>5819</v>
      </c>
      <c r="T37" s="4077" t="str">
        <f>IFERROR(VLOOKUP(S34,Tabla_PoderesInvocaciones,4,0),"")</f>
        <v/>
      </c>
      <c r="U37" s="8227"/>
      <c r="V37" s="8228"/>
      <c r="W37" s="8228"/>
      <c r="X37" s="8228"/>
      <c r="Y37" s="8229"/>
      <c r="Z37" s="4091"/>
      <c r="AA37" s="4088"/>
    </row>
    <row r="38" spans="1:27">
      <c r="A38" s="4088"/>
      <c r="B38" s="4089"/>
      <c r="C38" s="4074" t="s">
        <v>6797</v>
      </c>
      <c r="D38" s="4075" t="str">
        <f>IFERROR(VLOOKUP(C34,Tabla_PoderesInvocaciones,5,0),"")</f>
        <v/>
      </c>
      <c r="E38" s="8227"/>
      <c r="F38" s="8228"/>
      <c r="G38" s="8228"/>
      <c r="H38" s="8228"/>
      <c r="I38" s="8229"/>
      <c r="K38" s="4074" t="s">
        <v>6797</v>
      </c>
      <c r="L38" s="4075" t="str">
        <f>IFERROR(VLOOKUP(K34,Tabla_PoderesInvocaciones,5,0),"")</f>
        <v/>
      </c>
      <c r="M38" s="8227"/>
      <c r="N38" s="8228"/>
      <c r="O38" s="8228"/>
      <c r="P38" s="8228"/>
      <c r="Q38" s="8229"/>
      <c r="S38" s="4074" t="s">
        <v>6797</v>
      </c>
      <c r="T38" s="4075" t="str">
        <f>IFERROR(VLOOKUP(S34,Tabla_PoderesInvocaciones,5,0),"")</f>
        <v/>
      </c>
      <c r="U38" s="8227"/>
      <c r="V38" s="8228"/>
      <c r="W38" s="8228"/>
      <c r="X38" s="8228"/>
      <c r="Y38" s="8229"/>
      <c r="Z38" s="4091"/>
      <c r="AA38" s="4088"/>
    </row>
    <row r="39" spans="1:27">
      <c r="A39" s="4088"/>
      <c r="B39" s="4089"/>
      <c r="C39" s="4078" t="s">
        <v>7894</v>
      </c>
      <c r="D39" s="4077" t="str">
        <f>IFERROR(VLOOKUP(C34,Tabla_PoderesInvocaciones,6,0),"")</f>
        <v/>
      </c>
      <c r="E39" s="8230"/>
      <c r="F39" s="8231"/>
      <c r="G39" s="8231"/>
      <c r="H39" s="8231"/>
      <c r="I39" s="8232"/>
      <c r="K39" s="4078" t="s">
        <v>7894</v>
      </c>
      <c r="L39" s="4077" t="str">
        <f>IFERROR(VLOOKUP(K34,Tabla_PoderesInvocaciones,6,0),"")</f>
        <v/>
      </c>
      <c r="M39" s="8230"/>
      <c r="N39" s="8231"/>
      <c r="O39" s="8231"/>
      <c r="P39" s="8231"/>
      <c r="Q39" s="8232"/>
      <c r="S39" s="4078" t="s">
        <v>7894</v>
      </c>
      <c r="T39" s="4077" t="str">
        <f>IFERROR(VLOOKUP(S34,Tabla_PoderesInvocaciones,6,0),"")</f>
        <v/>
      </c>
      <c r="U39" s="8230"/>
      <c r="V39" s="8231"/>
      <c r="W39" s="8231"/>
      <c r="X39" s="8231"/>
      <c r="Y39" s="8232"/>
      <c r="Z39" s="4091"/>
      <c r="AA39" s="4088"/>
    </row>
    <row r="40" spans="1:27">
      <c r="A40" s="4088"/>
      <c r="B40" s="4089"/>
      <c r="C40" s="8233" t="s">
        <v>12103</v>
      </c>
      <c r="D40" s="8234"/>
      <c r="E40" s="8237" t="str">
        <f>IFERROR(VLOOKUP(C34,Tabla_PoderesInvocaciones,7,0),"")</f>
        <v/>
      </c>
      <c r="F40" s="8238"/>
      <c r="G40" s="8238"/>
      <c r="H40" s="8238"/>
      <c r="I40" s="8239"/>
      <c r="K40" s="8233" t="s">
        <v>12103</v>
      </c>
      <c r="L40" s="8234"/>
      <c r="M40" s="8237" t="str">
        <f>IFERROR(VLOOKUP(K34,Tabla_PoderesInvocaciones,7,0),"")</f>
        <v/>
      </c>
      <c r="N40" s="8238"/>
      <c r="O40" s="8238"/>
      <c r="P40" s="8238"/>
      <c r="Q40" s="8239"/>
      <c r="S40" s="8233" t="s">
        <v>12103</v>
      </c>
      <c r="T40" s="8234"/>
      <c r="U40" s="8237" t="str">
        <f>IFERROR(VLOOKUP(S34,Tabla_PoderesInvocaciones,7,0),"")</f>
        <v/>
      </c>
      <c r="V40" s="8238"/>
      <c r="W40" s="8238"/>
      <c r="X40" s="8238"/>
      <c r="Y40" s="8239"/>
      <c r="Z40" s="4091"/>
      <c r="AA40" s="4088"/>
    </row>
    <row r="41" spans="1:27" ht="13.5" thickBot="1">
      <c r="A41" s="4088"/>
      <c r="B41" s="4089"/>
      <c r="C41" s="8235"/>
      <c r="D41" s="8236"/>
      <c r="E41" s="8240"/>
      <c r="F41" s="8241"/>
      <c r="G41" s="8241"/>
      <c r="H41" s="8241"/>
      <c r="I41" s="8242"/>
      <c r="K41" s="8235"/>
      <c r="L41" s="8236"/>
      <c r="M41" s="8240"/>
      <c r="N41" s="8241"/>
      <c r="O41" s="8241"/>
      <c r="P41" s="8241"/>
      <c r="Q41" s="8242"/>
      <c r="S41" s="8235"/>
      <c r="T41" s="8236"/>
      <c r="U41" s="8240"/>
      <c r="V41" s="8241"/>
      <c r="W41" s="8241"/>
      <c r="X41" s="8241"/>
      <c r="Y41" s="8242"/>
      <c r="Z41" s="4091"/>
      <c r="AA41" s="4088"/>
    </row>
    <row r="42" spans="1:27">
      <c r="A42" s="4088"/>
      <c r="B42" s="4089"/>
      <c r="C42" s="4092" t="e">
        <f>SUBSTITUTE(IF(C33="","",VLOOKUP(C33,Tabla_GrimorioInvocaciones,2,FALSE)),".","")</f>
        <v>#N/A</v>
      </c>
      <c r="D42" s="4093"/>
      <c r="E42" s="4094"/>
      <c r="F42" s="4094"/>
      <c r="G42" s="4094"/>
      <c r="H42" s="4094"/>
      <c r="I42" s="4094"/>
      <c r="K42" s="4092" t="e">
        <f>SUBSTITUTE(IF(K33="","",VLOOKUP(K33,Tabla_GrimorioInvocaciones,2,FALSE)),".","")</f>
        <v>#N/A</v>
      </c>
      <c r="L42" s="4093"/>
      <c r="M42" s="4094"/>
      <c r="N42" s="4094"/>
      <c r="O42" s="4094"/>
      <c r="P42" s="4094"/>
      <c r="Q42" s="4094"/>
      <c r="S42" s="4092" t="e">
        <f>SUBSTITUTE(IF(S33="","",VLOOKUP(S33,Tabla_GrimorioInvocaciones,2,FALSE)),".","")</f>
        <v>#N/A</v>
      </c>
      <c r="T42" s="4093"/>
      <c r="U42" s="4094"/>
      <c r="V42" s="4094"/>
      <c r="W42" s="4094"/>
      <c r="X42" s="4094"/>
      <c r="Y42" s="4094"/>
      <c r="Z42" s="4091"/>
      <c r="AA42" s="4088"/>
    </row>
    <row r="43" spans="1:27" ht="13.5" thickBot="1">
      <c r="A43" s="4088"/>
      <c r="B43" s="4089"/>
      <c r="Z43" s="4091"/>
      <c r="AA43" s="4088"/>
    </row>
    <row r="44" spans="1:27" ht="18" customHeight="1" thickBot="1">
      <c r="A44" s="4088"/>
      <c r="B44" s="4089"/>
      <c r="C44" s="8218" t="str">
        <f>IF(Místicos!J42&lt;&gt;0,Místicos!J42,"Nombre de la invocación")</f>
        <v>Nombre de la invocación</v>
      </c>
      <c r="D44" s="8219"/>
      <c r="E44" s="8219"/>
      <c r="F44" s="8219"/>
      <c r="G44" s="8219"/>
      <c r="H44" s="8219"/>
      <c r="I44" s="8220"/>
      <c r="K44" s="8218" t="str">
        <f>IF(Místicos!J43&lt;&gt;0,Místicos!J43,"Nombre de la invocación")</f>
        <v>Nombre de la invocación</v>
      </c>
      <c r="L44" s="8219"/>
      <c r="M44" s="8219"/>
      <c r="N44" s="8219"/>
      <c r="O44" s="8219"/>
      <c r="P44" s="8219"/>
      <c r="Q44" s="8220"/>
      <c r="S44" s="8218" t="str">
        <f>IF(Místicos!J44&lt;&gt;0,Místicos!J44,"Nombre de la invocación")</f>
        <v>Nombre de la invocación</v>
      </c>
      <c r="T44" s="8219"/>
      <c r="U44" s="8219"/>
      <c r="V44" s="8219"/>
      <c r="W44" s="8219"/>
      <c r="X44" s="8219"/>
      <c r="Y44" s="8220"/>
      <c r="Z44" s="4091"/>
      <c r="AA44" s="4088"/>
    </row>
    <row r="45" spans="1:27">
      <c r="A45" s="4088"/>
      <c r="B45" s="4089"/>
      <c r="C45" s="8221"/>
      <c r="D45" s="8222"/>
      <c r="E45" s="8223"/>
      <c r="F45" s="4079" t="s">
        <v>12100</v>
      </c>
      <c r="G45" s="4080" t="str">
        <f>IFERROR(VLOOKUP(C44,'Tablas Invocaciones'!$C$9:$E$153,2,0),"")</f>
        <v/>
      </c>
      <c r="H45" s="4081" t="s">
        <v>12101</v>
      </c>
      <c r="I45" s="4082" t="str">
        <f>IFERROR(VLOOKUP(C44,'Tablas Invocaciones'!$C$9:$E$153,3,0),"")</f>
        <v/>
      </c>
      <c r="K45" s="8221"/>
      <c r="L45" s="8222"/>
      <c r="M45" s="8223"/>
      <c r="N45" s="4079" t="s">
        <v>12100</v>
      </c>
      <c r="O45" s="4080" t="str">
        <f>IFERROR(VLOOKUP(K44,'Tablas Invocaciones'!$C$9:$E$153,2,0),"")</f>
        <v/>
      </c>
      <c r="P45" s="4081" t="s">
        <v>12101</v>
      </c>
      <c r="Q45" s="4082" t="str">
        <f>IFERROR(VLOOKUP(K44,'Tablas Invocaciones'!$C$9:$E$153,3,0),"")</f>
        <v/>
      </c>
      <c r="S45" s="8221"/>
      <c r="T45" s="8222"/>
      <c r="U45" s="8223"/>
      <c r="V45" s="4079" t="s">
        <v>12100</v>
      </c>
      <c r="W45" s="4080" t="str">
        <f>IFERROR(VLOOKUP(S44,'Tablas Invocaciones'!$C$9:$E$153,2,0),"")</f>
        <v/>
      </c>
      <c r="X45" s="4081" t="s">
        <v>12101</v>
      </c>
      <c r="Y45" s="4082" t="str">
        <f>IFERROR(VLOOKUP(S44,'Tablas Invocaciones'!$C$9:$E$153,3,0),"")</f>
        <v/>
      </c>
      <c r="Z45" s="4091"/>
      <c r="AA45" s="4088"/>
    </row>
    <row r="46" spans="1:27" ht="12.75" customHeight="1">
      <c r="A46" s="4088"/>
      <c r="B46" s="4089"/>
      <c r="C46" s="4072" t="s">
        <v>8351</v>
      </c>
      <c r="D46" s="4073" t="str">
        <f>IFERROR(VLOOKUP(C45,Tabla_PoderesInvocaciones,2,0),"")</f>
        <v/>
      </c>
      <c r="E46" s="8224" t="str">
        <f>IFERROR(VLOOKUP(C45,Tabla_PoderesInvocaciones,8,0),"")</f>
        <v/>
      </c>
      <c r="F46" s="8225"/>
      <c r="G46" s="8225"/>
      <c r="H46" s="8225"/>
      <c r="I46" s="8226"/>
      <c r="K46" s="4072" t="s">
        <v>8351</v>
      </c>
      <c r="L46" s="4073" t="str">
        <f>IFERROR(VLOOKUP(K45,Tabla_PoderesInvocaciones,2,0),"")</f>
        <v/>
      </c>
      <c r="M46" s="8224" t="str">
        <f>IFERROR(VLOOKUP(K45,Tabla_PoderesInvocaciones,8,0),"")</f>
        <v/>
      </c>
      <c r="N46" s="8225"/>
      <c r="O46" s="8225"/>
      <c r="P46" s="8225"/>
      <c r="Q46" s="8226"/>
      <c r="S46" s="4072" t="s">
        <v>8351</v>
      </c>
      <c r="T46" s="4073" t="str">
        <f>IFERROR(VLOOKUP(S45,Tabla_PoderesInvocaciones,2,0),"")</f>
        <v/>
      </c>
      <c r="U46" s="8224" t="str">
        <f>IFERROR(VLOOKUP(S45,Tabla_PoderesInvocaciones,8,0),"")</f>
        <v/>
      </c>
      <c r="V46" s="8225"/>
      <c r="W46" s="8225"/>
      <c r="X46" s="8225"/>
      <c r="Y46" s="8226"/>
      <c r="Z46" s="4091"/>
      <c r="AA46" s="4088"/>
    </row>
    <row r="47" spans="1:27">
      <c r="A47" s="4088"/>
      <c r="B47" s="4089"/>
      <c r="C47" s="4074" t="s">
        <v>12102</v>
      </c>
      <c r="D47" s="4075" t="str">
        <f>IFERROR(VLOOKUP(C45,Tabla_PoderesInvocaciones,3,0),"")</f>
        <v/>
      </c>
      <c r="E47" s="8227"/>
      <c r="F47" s="8228"/>
      <c r="G47" s="8228"/>
      <c r="H47" s="8228"/>
      <c r="I47" s="8229"/>
      <c r="K47" s="4074" t="s">
        <v>12102</v>
      </c>
      <c r="L47" s="4075" t="str">
        <f>IFERROR(VLOOKUP(K45,Tabla_PoderesInvocaciones,3,0),"")</f>
        <v/>
      </c>
      <c r="M47" s="8227"/>
      <c r="N47" s="8228"/>
      <c r="O47" s="8228"/>
      <c r="P47" s="8228"/>
      <c r="Q47" s="8229"/>
      <c r="S47" s="4074" t="s">
        <v>12102</v>
      </c>
      <c r="T47" s="4075" t="str">
        <f>IFERROR(VLOOKUP(S45,Tabla_PoderesInvocaciones,3,0),"")</f>
        <v/>
      </c>
      <c r="U47" s="8227"/>
      <c r="V47" s="8228"/>
      <c r="W47" s="8228"/>
      <c r="X47" s="8228"/>
      <c r="Y47" s="8229"/>
      <c r="Z47" s="4091"/>
      <c r="AA47" s="4088"/>
    </row>
    <row r="48" spans="1:27">
      <c r="A48" s="4088"/>
      <c r="B48" s="4089"/>
      <c r="C48" s="4076" t="s">
        <v>5819</v>
      </c>
      <c r="D48" s="4077" t="str">
        <f>IFERROR(VLOOKUP(C45,Tabla_PoderesInvocaciones,4,0),"")</f>
        <v/>
      </c>
      <c r="E48" s="8227"/>
      <c r="F48" s="8228"/>
      <c r="G48" s="8228"/>
      <c r="H48" s="8228"/>
      <c r="I48" s="8229"/>
      <c r="K48" s="4076" t="s">
        <v>5819</v>
      </c>
      <c r="L48" s="4077" t="str">
        <f>IFERROR(VLOOKUP(K45,Tabla_PoderesInvocaciones,4,0),"")</f>
        <v/>
      </c>
      <c r="M48" s="8227"/>
      <c r="N48" s="8228"/>
      <c r="O48" s="8228"/>
      <c r="P48" s="8228"/>
      <c r="Q48" s="8229"/>
      <c r="S48" s="4076" t="s">
        <v>5819</v>
      </c>
      <c r="T48" s="4077" t="str">
        <f>IFERROR(VLOOKUP(S45,Tabla_PoderesInvocaciones,4,0),"")</f>
        <v/>
      </c>
      <c r="U48" s="8227"/>
      <c r="V48" s="8228"/>
      <c r="W48" s="8228"/>
      <c r="X48" s="8228"/>
      <c r="Y48" s="8229"/>
      <c r="Z48" s="4091"/>
      <c r="AA48" s="4088"/>
    </row>
    <row r="49" spans="1:27">
      <c r="A49" s="4088"/>
      <c r="B49" s="4089"/>
      <c r="C49" s="4074" t="s">
        <v>6797</v>
      </c>
      <c r="D49" s="4075" t="str">
        <f>IFERROR(VLOOKUP(C45,Tabla_PoderesInvocaciones,5,0),"")</f>
        <v/>
      </c>
      <c r="E49" s="8227"/>
      <c r="F49" s="8228"/>
      <c r="G49" s="8228"/>
      <c r="H49" s="8228"/>
      <c r="I49" s="8229"/>
      <c r="K49" s="4074" t="s">
        <v>6797</v>
      </c>
      <c r="L49" s="4075" t="str">
        <f>IFERROR(VLOOKUP(K45,Tabla_PoderesInvocaciones,5,0),"")</f>
        <v/>
      </c>
      <c r="M49" s="8227"/>
      <c r="N49" s="8228"/>
      <c r="O49" s="8228"/>
      <c r="P49" s="8228"/>
      <c r="Q49" s="8229"/>
      <c r="S49" s="4074" t="s">
        <v>6797</v>
      </c>
      <c r="T49" s="4075" t="str">
        <f>IFERROR(VLOOKUP(S45,Tabla_PoderesInvocaciones,5,0),"")</f>
        <v/>
      </c>
      <c r="U49" s="8227"/>
      <c r="V49" s="8228"/>
      <c r="W49" s="8228"/>
      <c r="X49" s="8228"/>
      <c r="Y49" s="8229"/>
      <c r="Z49" s="4091"/>
      <c r="AA49" s="4088"/>
    </row>
    <row r="50" spans="1:27">
      <c r="A50" s="4088"/>
      <c r="B50" s="4089"/>
      <c r="C50" s="4078" t="s">
        <v>7894</v>
      </c>
      <c r="D50" s="4077" t="str">
        <f>IFERROR(VLOOKUP(C45,Tabla_PoderesInvocaciones,6,0),"")</f>
        <v/>
      </c>
      <c r="E50" s="8230"/>
      <c r="F50" s="8231"/>
      <c r="G50" s="8231"/>
      <c r="H50" s="8231"/>
      <c r="I50" s="8232"/>
      <c r="K50" s="4078" t="s">
        <v>7894</v>
      </c>
      <c r="L50" s="4077" t="str">
        <f>IFERROR(VLOOKUP(K45,Tabla_PoderesInvocaciones,6,0),"")</f>
        <v/>
      </c>
      <c r="M50" s="8230"/>
      <c r="N50" s="8231"/>
      <c r="O50" s="8231"/>
      <c r="P50" s="8231"/>
      <c r="Q50" s="8232"/>
      <c r="S50" s="4078" t="s">
        <v>7894</v>
      </c>
      <c r="T50" s="4077" t="str">
        <f>IFERROR(VLOOKUP(S45,Tabla_PoderesInvocaciones,6,0),"")</f>
        <v/>
      </c>
      <c r="U50" s="8230"/>
      <c r="V50" s="8231"/>
      <c r="W50" s="8231"/>
      <c r="X50" s="8231"/>
      <c r="Y50" s="8232"/>
      <c r="Z50" s="4091"/>
      <c r="AA50" s="4088"/>
    </row>
    <row r="51" spans="1:27">
      <c r="A51" s="4088"/>
      <c r="B51" s="4089"/>
      <c r="C51" s="8233" t="s">
        <v>12103</v>
      </c>
      <c r="D51" s="8234"/>
      <c r="E51" s="8237" t="str">
        <f>IFERROR(VLOOKUP(C45,Tabla_PoderesInvocaciones,7,0),"")</f>
        <v/>
      </c>
      <c r="F51" s="8238"/>
      <c r="G51" s="8238"/>
      <c r="H51" s="8238"/>
      <c r="I51" s="8239"/>
      <c r="K51" s="8233" t="s">
        <v>12103</v>
      </c>
      <c r="L51" s="8234"/>
      <c r="M51" s="8237" t="str">
        <f>IFERROR(VLOOKUP(K45,Tabla_PoderesInvocaciones,7,0),"")</f>
        <v/>
      </c>
      <c r="N51" s="8238"/>
      <c r="O51" s="8238"/>
      <c r="P51" s="8238"/>
      <c r="Q51" s="8239"/>
      <c r="S51" s="8233" t="s">
        <v>12103</v>
      </c>
      <c r="T51" s="8234"/>
      <c r="U51" s="8237" t="str">
        <f>IFERROR(VLOOKUP(S45,Tabla_PoderesInvocaciones,7,0),"")</f>
        <v/>
      </c>
      <c r="V51" s="8238"/>
      <c r="W51" s="8238"/>
      <c r="X51" s="8238"/>
      <c r="Y51" s="8239"/>
      <c r="Z51" s="4091"/>
      <c r="AA51" s="4088"/>
    </row>
    <row r="52" spans="1:27" ht="13.5" thickBot="1">
      <c r="A52" s="4088"/>
      <c r="B52" s="4089"/>
      <c r="C52" s="8235"/>
      <c r="D52" s="8236"/>
      <c r="E52" s="8240"/>
      <c r="F52" s="8241"/>
      <c r="G52" s="8241"/>
      <c r="H52" s="8241"/>
      <c r="I52" s="8242"/>
      <c r="K52" s="8235"/>
      <c r="L52" s="8236"/>
      <c r="M52" s="8240"/>
      <c r="N52" s="8241"/>
      <c r="O52" s="8241"/>
      <c r="P52" s="8241"/>
      <c r="Q52" s="8242"/>
      <c r="S52" s="8235"/>
      <c r="T52" s="8236"/>
      <c r="U52" s="8240"/>
      <c r="V52" s="8241"/>
      <c r="W52" s="8241"/>
      <c r="X52" s="8241"/>
      <c r="Y52" s="8242"/>
      <c r="Z52" s="4091"/>
      <c r="AA52" s="4088"/>
    </row>
    <row r="53" spans="1:27">
      <c r="A53" s="4088"/>
      <c r="B53" s="4089"/>
      <c r="C53" s="4092" t="e">
        <f>SUBSTITUTE(IF(C44="","",VLOOKUP(C44,Tabla_GrimorioInvocaciones,2,FALSE)),".","")</f>
        <v>#N/A</v>
      </c>
      <c r="D53" s="4093"/>
      <c r="E53" s="4094"/>
      <c r="F53" s="4094"/>
      <c r="G53" s="4094"/>
      <c r="H53" s="4094"/>
      <c r="I53" s="4094"/>
      <c r="K53" s="4092" t="e">
        <f>SUBSTITUTE(IF(K44="","",VLOOKUP(K44,Tabla_GrimorioInvocaciones,2,FALSE)),".","")</f>
        <v>#N/A</v>
      </c>
      <c r="L53" s="4093"/>
      <c r="M53" s="4094"/>
      <c r="N53" s="4094"/>
      <c r="O53" s="4094"/>
      <c r="P53" s="4094"/>
      <c r="Q53" s="4094"/>
      <c r="S53" s="4092" t="e">
        <f>SUBSTITUTE(IF(S44="","",VLOOKUP(S44,Tabla_GrimorioInvocaciones,2,FALSE)),".","")</f>
        <v>#N/A</v>
      </c>
      <c r="T53" s="4093"/>
      <c r="U53" s="4094"/>
      <c r="V53" s="4094"/>
      <c r="W53" s="4094"/>
      <c r="X53" s="4094"/>
      <c r="Y53" s="4094"/>
      <c r="Z53" s="4091"/>
      <c r="AA53" s="4088"/>
    </row>
    <row r="54" spans="1:27" ht="13.5" thickBot="1">
      <c r="A54" s="4088"/>
      <c r="B54" s="4089"/>
      <c r="Z54" s="4091"/>
      <c r="AA54" s="4088"/>
    </row>
    <row r="55" spans="1:27" ht="18" customHeight="1" thickBot="1">
      <c r="A55" s="4088"/>
      <c r="B55" s="4089"/>
      <c r="C55" s="8218" t="str">
        <f>IF(Místicos!J45&lt;&gt;0,Místicos!J45,"Nombre de la invocación")</f>
        <v>Nombre de la invocación</v>
      </c>
      <c r="D55" s="8219"/>
      <c r="E55" s="8219"/>
      <c r="F55" s="8219"/>
      <c r="G55" s="8219"/>
      <c r="H55" s="8219"/>
      <c r="I55" s="8220"/>
      <c r="K55" s="8218" t="str">
        <f>IF(Místicos!J46&lt;&gt;0,Místicos!J46,"Nombre de la invocación")</f>
        <v>Nombre de la invocación</v>
      </c>
      <c r="L55" s="8219"/>
      <c r="M55" s="8219"/>
      <c r="N55" s="8219"/>
      <c r="O55" s="8219"/>
      <c r="P55" s="8219"/>
      <c r="Q55" s="8220"/>
      <c r="S55" s="8218" t="str">
        <f>IF(Místicos!J47&lt;&gt;0,Místicos!J47,"Nombre de la invocación")</f>
        <v>Nombre de la invocación</v>
      </c>
      <c r="T55" s="8219"/>
      <c r="U55" s="8219"/>
      <c r="V55" s="8219"/>
      <c r="W55" s="8219"/>
      <c r="X55" s="8219"/>
      <c r="Y55" s="8220"/>
      <c r="Z55" s="4091"/>
      <c r="AA55" s="4088"/>
    </row>
    <row r="56" spans="1:27">
      <c r="A56" s="4088"/>
      <c r="B56" s="4089"/>
      <c r="C56" s="8221"/>
      <c r="D56" s="8222"/>
      <c r="E56" s="8223"/>
      <c r="F56" s="4079" t="s">
        <v>12100</v>
      </c>
      <c r="G56" s="4080" t="str">
        <f>IFERROR(VLOOKUP(C55,'Tablas Invocaciones'!$C$9:$E$153,2,0),"")</f>
        <v/>
      </c>
      <c r="H56" s="4081" t="s">
        <v>12101</v>
      </c>
      <c r="I56" s="4082" t="str">
        <f>IFERROR(VLOOKUP(C55,'Tablas Invocaciones'!$C$9:$E$153,3,0),"")</f>
        <v/>
      </c>
      <c r="K56" s="8221"/>
      <c r="L56" s="8222"/>
      <c r="M56" s="8223"/>
      <c r="N56" s="4079" t="s">
        <v>12100</v>
      </c>
      <c r="O56" s="4080" t="str">
        <f>IFERROR(VLOOKUP(K55,'Tablas Invocaciones'!$C$9:$E$153,2,0),"")</f>
        <v/>
      </c>
      <c r="P56" s="4081" t="s">
        <v>12101</v>
      </c>
      <c r="Q56" s="4082" t="str">
        <f>IFERROR(VLOOKUP(K55,'Tablas Invocaciones'!$C$9:$E$153,3,0),"")</f>
        <v/>
      </c>
      <c r="S56" s="8221"/>
      <c r="T56" s="8222"/>
      <c r="U56" s="8223"/>
      <c r="V56" s="4079" t="s">
        <v>12100</v>
      </c>
      <c r="W56" s="4080" t="str">
        <f>IFERROR(VLOOKUP(S55,'Tablas Invocaciones'!$C$9:$E$153,2,0),"")</f>
        <v/>
      </c>
      <c r="X56" s="4081" t="s">
        <v>12101</v>
      </c>
      <c r="Y56" s="4082" t="str">
        <f>IFERROR(VLOOKUP(S55,'Tablas Invocaciones'!$C$9:$E$153,3,0),"")</f>
        <v/>
      </c>
      <c r="Z56" s="4091"/>
      <c r="AA56" s="4088"/>
    </row>
    <row r="57" spans="1:27" ht="12.75" customHeight="1">
      <c r="A57" s="4088"/>
      <c r="B57" s="4089"/>
      <c r="C57" s="4072" t="s">
        <v>8351</v>
      </c>
      <c r="D57" s="4073" t="str">
        <f>IFERROR(VLOOKUP(C56,Tabla_PoderesInvocaciones,2,0),"")</f>
        <v/>
      </c>
      <c r="E57" s="8224" t="str">
        <f>IFERROR(VLOOKUP(C56,Tabla_PoderesInvocaciones,8,0),"")</f>
        <v/>
      </c>
      <c r="F57" s="8225"/>
      <c r="G57" s="8225"/>
      <c r="H57" s="8225"/>
      <c r="I57" s="8226"/>
      <c r="K57" s="4072" t="s">
        <v>8351</v>
      </c>
      <c r="L57" s="4073" t="str">
        <f>IFERROR(VLOOKUP(K56,Tabla_PoderesInvocaciones,2,0),"")</f>
        <v/>
      </c>
      <c r="M57" s="8224" t="str">
        <f>IFERROR(VLOOKUP(K56,Tabla_PoderesInvocaciones,8,0),"")</f>
        <v/>
      </c>
      <c r="N57" s="8225"/>
      <c r="O57" s="8225"/>
      <c r="P57" s="8225"/>
      <c r="Q57" s="8226"/>
      <c r="S57" s="4072" t="s">
        <v>8351</v>
      </c>
      <c r="T57" s="4073" t="str">
        <f>IFERROR(VLOOKUP(S56,Tabla_PoderesInvocaciones,2,0),"")</f>
        <v/>
      </c>
      <c r="U57" s="8224" t="str">
        <f>IFERROR(VLOOKUP(S56,Tabla_PoderesInvocaciones,8,0),"")</f>
        <v/>
      </c>
      <c r="V57" s="8225"/>
      <c r="W57" s="8225"/>
      <c r="X57" s="8225"/>
      <c r="Y57" s="8226"/>
      <c r="Z57" s="4091"/>
      <c r="AA57" s="4088"/>
    </row>
    <row r="58" spans="1:27" ht="12.75" customHeight="1">
      <c r="A58" s="4088"/>
      <c r="B58" s="4089"/>
      <c r="C58" s="4074" t="s">
        <v>12102</v>
      </c>
      <c r="D58" s="4075" t="str">
        <f>IFERROR(VLOOKUP(C56,Tabla_PoderesInvocaciones,3,0),"")</f>
        <v/>
      </c>
      <c r="E58" s="8227"/>
      <c r="F58" s="8228"/>
      <c r="G58" s="8228"/>
      <c r="H58" s="8228"/>
      <c r="I58" s="8229"/>
      <c r="K58" s="4074" t="s">
        <v>12102</v>
      </c>
      <c r="L58" s="4075" t="str">
        <f>IFERROR(VLOOKUP(K56,Tabla_PoderesInvocaciones,3,0),"")</f>
        <v/>
      </c>
      <c r="M58" s="8227"/>
      <c r="N58" s="8228"/>
      <c r="O58" s="8228"/>
      <c r="P58" s="8228"/>
      <c r="Q58" s="8229"/>
      <c r="S58" s="4074" t="s">
        <v>12102</v>
      </c>
      <c r="T58" s="4075" t="str">
        <f>IFERROR(VLOOKUP(S56,Tabla_PoderesInvocaciones,3,0),"")</f>
        <v/>
      </c>
      <c r="U58" s="8227"/>
      <c r="V58" s="8228"/>
      <c r="W58" s="8228"/>
      <c r="X58" s="8228"/>
      <c r="Y58" s="8229"/>
      <c r="Z58" s="4091"/>
      <c r="AA58" s="4088"/>
    </row>
    <row r="59" spans="1:27">
      <c r="A59" s="4088"/>
      <c r="B59" s="4089"/>
      <c r="C59" s="4076" t="s">
        <v>5819</v>
      </c>
      <c r="D59" s="4077" t="str">
        <f>IFERROR(VLOOKUP(C56,Tabla_PoderesInvocaciones,4,0),"")</f>
        <v/>
      </c>
      <c r="E59" s="8227"/>
      <c r="F59" s="8228"/>
      <c r="G59" s="8228"/>
      <c r="H59" s="8228"/>
      <c r="I59" s="8229"/>
      <c r="K59" s="4076" t="s">
        <v>5819</v>
      </c>
      <c r="L59" s="4077" t="str">
        <f>IFERROR(VLOOKUP(K56,Tabla_PoderesInvocaciones,4,0),"")</f>
        <v/>
      </c>
      <c r="M59" s="8227"/>
      <c r="N59" s="8228"/>
      <c r="O59" s="8228"/>
      <c r="P59" s="8228"/>
      <c r="Q59" s="8229"/>
      <c r="S59" s="4076" t="s">
        <v>5819</v>
      </c>
      <c r="T59" s="4077" t="str">
        <f>IFERROR(VLOOKUP(S56,Tabla_PoderesInvocaciones,4,0),"")</f>
        <v/>
      </c>
      <c r="U59" s="8227"/>
      <c r="V59" s="8228"/>
      <c r="W59" s="8228"/>
      <c r="X59" s="8228"/>
      <c r="Y59" s="8229"/>
      <c r="Z59" s="4091"/>
      <c r="AA59" s="4088"/>
    </row>
    <row r="60" spans="1:27">
      <c r="A60" s="4088"/>
      <c r="B60" s="4089"/>
      <c r="C60" s="4074" t="s">
        <v>6797</v>
      </c>
      <c r="D60" s="4075" t="str">
        <f>IFERROR(VLOOKUP(C56,Tabla_PoderesInvocaciones,5,0),"")</f>
        <v/>
      </c>
      <c r="E60" s="8227"/>
      <c r="F60" s="8228"/>
      <c r="G60" s="8228"/>
      <c r="H60" s="8228"/>
      <c r="I60" s="8229"/>
      <c r="K60" s="4074" t="s">
        <v>6797</v>
      </c>
      <c r="L60" s="4075" t="str">
        <f>IFERROR(VLOOKUP(K56,Tabla_PoderesInvocaciones,5,0),"")</f>
        <v/>
      </c>
      <c r="M60" s="8227"/>
      <c r="N60" s="8228"/>
      <c r="O60" s="8228"/>
      <c r="P60" s="8228"/>
      <c r="Q60" s="8229"/>
      <c r="S60" s="4074" t="s">
        <v>6797</v>
      </c>
      <c r="T60" s="4075" t="str">
        <f>IFERROR(VLOOKUP(S56,Tabla_PoderesInvocaciones,5,0),"")</f>
        <v/>
      </c>
      <c r="U60" s="8227"/>
      <c r="V60" s="8228"/>
      <c r="W60" s="8228"/>
      <c r="X60" s="8228"/>
      <c r="Y60" s="8229"/>
      <c r="Z60" s="4091"/>
      <c r="AA60" s="4088"/>
    </row>
    <row r="61" spans="1:27">
      <c r="A61" s="4088"/>
      <c r="B61" s="4089"/>
      <c r="C61" s="4078" t="s">
        <v>7894</v>
      </c>
      <c r="D61" s="4077" t="str">
        <f>IFERROR(VLOOKUP(C56,Tabla_PoderesInvocaciones,6,0),"")</f>
        <v/>
      </c>
      <c r="E61" s="8230"/>
      <c r="F61" s="8231"/>
      <c r="G61" s="8231"/>
      <c r="H61" s="8231"/>
      <c r="I61" s="8232"/>
      <c r="K61" s="4078" t="s">
        <v>7894</v>
      </c>
      <c r="L61" s="4077" t="str">
        <f>IFERROR(VLOOKUP(K56,Tabla_PoderesInvocaciones,6,0),"")</f>
        <v/>
      </c>
      <c r="M61" s="8230"/>
      <c r="N61" s="8231"/>
      <c r="O61" s="8231"/>
      <c r="P61" s="8231"/>
      <c r="Q61" s="8232"/>
      <c r="S61" s="4078" t="s">
        <v>7894</v>
      </c>
      <c r="T61" s="4077" t="str">
        <f>IFERROR(VLOOKUP(S56,Tabla_PoderesInvocaciones,6,0),"")</f>
        <v/>
      </c>
      <c r="U61" s="8230"/>
      <c r="V61" s="8231"/>
      <c r="W61" s="8231"/>
      <c r="X61" s="8231"/>
      <c r="Y61" s="8232"/>
      <c r="Z61" s="4091"/>
      <c r="AA61" s="4088"/>
    </row>
    <row r="62" spans="1:27">
      <c r="A62" s="4088"/>
      <c r="B62" s="4089"/>
      <c r="C62" s="8233" t="s">
        <v>12103</v>
      </c>
      <c r="D62" s="8234"/>
      <c r="E62" s="8237" t="str">
        <f>IFERROR(VLOOKUP(C56,Tabla_PoderesInvocaciones,7,0),"")</f>
        <v/>
      </c>
      <c r="F62" s="8238"/>
      <c r="G62" s="8238"/>
      <c r="H62" s="8238"/>
      <c r="I62" s="8239"/>
      <c r="K62" s="8233" t="s">
        <v>12103</v>
      </c>
      <c r="L62" s="8234"/>
      <c r="M62" s="8237" t="str">
        <f>IFERROR(VLOOKUP(K56,Tabla_PoderesInvocaciones,7,0),"")</f>
        <v/>
      </c>
      <c r="N62" s="8238"/>
      <c r="O62" s="8238"/>
      <c r="P62" s="8238"/>
      <c r="Q62" s="8239"/>
      <c r="S62" s="8233" t="s">
        <v>12103</v>
      </c>
      <c r="T62" s="8234"/>
      <c r="U62" s="8237" t="str">
        <f>IFERROR(VLOOKUP(S56,Tabla_PoderesInvocaciones,7,0),"")</f>
        <v/>
      </c>
      <c r="V62" s="8238"/>
      <c r="W62" s="8238"/>
      <c r="X62" s="8238"/>
      <c r="Y62" s="8239"/>
      <c r="Z62" s="4091"/>
      <c r="AA62" s="4088"/>
    </row>
    <row r="63" spans="1:27" ht="13.5" thickBot="1">
      <c r="A63" s="4088"/>
      <c r="B63" s="4089"/>
      <c r="C63" s="8235"/>
      <c r="D63" s="8236"/>
      <c r="E63" s="8240"/>
      <c r="F63" s="8241"/>
      <c r="G63" s="8241"/>
      <c r="H63" s="8241"/>
      <c r="I63" s="8242"/>
      <c r="K63" s="8235"/>
      <c r="L63" s="8236"/>
      <c r="M63" s="8240"/>
      <c r="N63" s="8241"/>
      <c r="O63" s="8241"/>
      <c r="P63" s="8241"/>
      <c r="Q63" s="8242"/>
      <c r="S63" s="8235"/>
      <c r="T63" s="8236"/>
      <c r="U63" s="8240"/>
      <c r="V63" s="8241"/>
      <c r="W63" s="8241"/>
      <c r="X63" s="8241"/>
      <c r="Y63" s="8242"/>
      <c r="Z63" s="4091"/>
      <c r="AA63" s="4088"/>
    </row>
    <row r="64" spans="1:27">
      <c r="A64" s="4088"/>
      <c r="B64" s="4089"/>
      <c r="C64" s="4092" t="e">
        <f>SUBSTITUTE(IF(C55="","",VLOOKUP(C55,Tabla_GrimorioInvocaciones,2,FALSE)),".","")</f>
        <v>#N/A</v>
      </c>
      <c r="D64" s="4093"/>
      <c r="E64" s="4094"/>
      <c r="F64" s="4094"/>
      <c r="G64" s="4094"/>
      <c r="H64" s="4094"/>
      <c r="I64" s="4094"/>
      <c r="K64" s="4092" t="e">
        <f>SUBSTITUTE(IF(K55="","",VLOOKUP(K55,Tabla_GrimorioInvocaciones,2,FALSE)),".","")</f>
        <v>#N/A</v>
      </c>
      <c r="L64" s="4093"/>
      <c r="M64" s="4094"/>
      <c r="N64" s="4094"/>
      <c r="O64" s="4094"/>
      <c r="P64" s="4094"/>
      <c r="Q64" s="4094"/>
      <c r="S64" s="4092" t="e">
        <f>SUBSTITUTE(IF(S55="","",VLOOKUP(S55,Tabla_GrimorioInvocaciones,2,FALSE)),".","")</f>
        <v>#N/A</v>
      </c>
      <c r="T64" s="4093"/>
      <c r="U64" s="4094"/>
      <c r="V64" s="4094"/>
      <c r="W64" s="4094"/>
      <c r="X64" s="4094"/>
      <c r="Y64" s="4094"/>
      <c r="Z64" s="4091"/>
      <c r="AA64" s="4088"/>
    </row>
    <row r="65" spans="1:27" ht="13.5" thickBot="1">
      <c r="A65" s="4088"/>
      <c r="B65" s="4089"/>
      <c r="Z65" s="4091"/>
      <c r="AA65" s="4088"/>
    </row>
    <row r="66" spans="1:27" ht="18" customHeight="1" thickBot="1">
      <c r="A66" s="4088"/>
      <c r="B66" s="4089"/>
      <c r="C66" s="8218" t="str">
        <f>IF(Místicos!J48&lt;&gt;0,Místicos!J48,"Nombre de la invocación")</f>
        <v>Nombre de la invocación</v>
      </c>
      <c r="D66" s="8219"/>
      <c r="E66" s="8219"/>
      <c r="F66" s="8219"/>
      <c r="G66" s="8219"/>
      <c r="H66" s="8219"/>
      <c r="I66" s="8220"/>
      <c r="K66" s="8218" t="str">
        <f>IF(Místicos!J49&lt;&gt;0,Místicos!J49,"Nombre de la invocación")</f>
        <v>Nombre de la invocación</v>
      </c>
      <c r="L66" s="8219"/>
      <c r="M66" s="8219"/>
      <c r="N66" s="8219"/>
      <c r="O66" s="8219"/>
      <c r="P66" s="8219"/>
      <c r="Q66" s="8220"/>
      <c r="S66" s="8218" t="str">
        <f>IF(Místicos!J50&lt;&gt;0,Místicos!J50,"Nombre de la invocación")</f>
        <v>Nombre de la invocación</v>
      </c>
      <c r="T66" s="8219"/>
      <c r="U66" s="8219"/>
      <c r="V66" s="8219"/>
      <c r="W66" s="8219"/>
      <c r="X66" s="8219"/>
      <c r="Y66" s="8220"/>
      <c r="Z66" s="4091"/>
      <c r="AA66" s="4088"/>
    </row>
    <row r="67" spans="1:27">
      <c r="A67" s="4088"/>
      <c r="B67" s="4089"/>
      <c r="C67" s="8221"/>
      <c r="D67" s="8222"/>
      <c r="E67" s="8223"/>
      <c r="F67" s="4079" t="s">
        <v>12100</v>
      </c>
      <c r="G67" s="4080" t="str">
        <f>IFERROR(VLOOKUP(C66,'Tablas Invocaciones'!$C$9:$E$153,2,0),"")</f>
        <v/>
      </c>
      <c r="H67" s="4081" t="s">
        <v>12101</v>
      </c>
      <c r="I67" s="4082" t="str">
        <f>IFERROR(VLOOKUP(C66,'Tablas Invocaciones'!$C$9:$E$153,3,0),"")</f>
        <v/>
      </c>
      <c r="K67" s="8221"/>
      <c r="L67" s="8222"/>
      <c r="M67" s="8223"/>
      <c r="N67" s="4079" t="s">
        <v>12100</v>
      </c>
      <c r="O67" s="4080" t="str">
        <f>IFERROR(VLOOKUP(K66,'Tablas Invocaciones'!$C$9:$E$153,2,0),"")</f>
        <v/>
      </c>
      <c r="P67" s="4081" t="s">
        <v>12101</v>
      </c>
      <c r="Q67" s="4082" t="str">
        <f>IFERROR(VLOOKUP(K66,'Tablas Invocaciones'!$C$9:$E$153,3,0),"")</f>
        <v/>
      </c>
      <c r="S67" s="8221"/>
      <c r="T67" s="8222"/>
      <c r="U67" s="8223"/>
      <c r="V67" s="4079" t="s">
        <v>12100</v>
      </c>
      <c r="W67" s="4080" t="str">
        <f>IFERROR(VLOOKUP(S66,'Tablas Invocaciones'!$C$9:$E$153,2,0),"")</f>
        <v/>
      </c>
      <c r="X67" s="4081" t="s">
        <v>12101</v>
      </c>
      <c r="Y67" s="4082" t="str">
        <f>IFERROR(VLOOKUP(S66,'Tablas Invocaciones'!$C$9:$E$153,3,0),"")</f>
        <v/>
      </c>
      <c r="Z67" s="4091"/>
      <c r="AA67" s="4088"/>
    </row>
    <row r="68" spans="1:27" ht="12.75" customHeight="1">
      <c r="A68" s="4088"/>
      <c r="B68" s="4089"/>
      <c r="C68" s="4072" t="s">
        <v>8351</v>
      </c>
      <c r="D68" s="4073" t="str">
        <f>IFERROR(VLOOKUP(C67,Tabla_PoderesInvocaciones,2,0),"")</f>
        <v/>
      </c>
      <c r="E68" s="8224" t="str">
        <f>IFERROR(VLOOKUP(C67,Tabla_PoderesInvocaciones,8,0),"")</f>
        <v/>
      </c>
      <c r="F68" s="8225"/>
      <c r="G68" s="8225"/>
      <c r="H68" s="8225"/>
      <c r="I68" s="8226"/>
      <c r="K68" s="4072" t="s">
        <v>8351</v>
      </c>
      <c r="L68" s="4073" t="str">
        <f>IFERROR(VLOOKUP(K67,Tabla_PoderesInvocaciones,2,0),"")</f>
        <v/>
      </c>
      <c r="M68" s="8224" t="str">
        <f>IFERROR(VLOOKUP(K67,Tabla_PoderesInvocaciones,8,0),"")</f>
        <v/>
      </c>
      <c r="N68" s="8225"/>
      <c r="O68" s="8225"/>
      <c r="P68" s="8225"/>
      <c r="Q68" s="8226"/>
      <c r="S68" s="4072" t="s">
        <v>8351</v>
      </c>
      <c r="T68" s="4073" t="str">
        <f>IFERROR(VLOOKUP(S67,Tabla_PoderesInvocaciones,2,0),"")</f>
        <v/>
      </c>
      <c r="U68" s="8224" t="str">
        <f>IFERROR(VLOOKUP(S67,Tabla_PoderesInvocaciones,8,0),"")</f>
        <v/>
      </c>
      <c r="V68" s="8225"/>
      <c r="W68" s="8225"/>
      <c r="X68" s="8225"/>
      <c r="Y68" s="8226"/>
      <c r="Z68" s="4091"/>
      <c r="AA68" s="4088"/>
    </row>
    <row r="69" spans="1:27">
      <c r="A69" s="4088"/>
      <c r="B69" s="4089"/>
      <c r="C69" s="4074" t="s">
        <v>12102</v>
      </c>
      <c r="D69" s="4075" t="str">
        <f>IFERROR(VLOOKUP(C67,Tabla_PoderesInvocaciones,3,0),"")</f>
        <v/>
      </c>
      <c r="E69" s="8227"/>
      <c r="F69" s="8228"/>
      <c r="G69" s="8228"/>
      <c r="H69" s="8228"/>
      <c r="I69" s="8229"/>
      <c r="K69" s="4074" t="s">
        <v>12102</v>
      </c>
      <c r="L69" s="4075" t="str">
        <f>IFERROR(VLOOKUP(K67,Tabla_PoderesInvocaciones,3,0),"")</f>
        <v/>
      </c>
      <c r="M69" s="8227"/>
      <c r="N69" s="8228"/>
      <c r="O69" s="8228"/>
      <c r="P69" s="8228"/>
      <c r="Q69" s="8229"/>
      <c r="S69" s="4074" t="s">
        <v>12102</v>
      </c>
      <c r="T69" s="4075" t="str">
        <f>IFERROR(VLOOKUP(S67,Tabla_PoderesInvocaciones,3,0),"")</f>
        <v/>
      </c>
      <c r="U69" s="8227"/>
      <c r="V69" s="8228"/>
      <c r="W69" s="8228"/>
      <c r="X69" s="8228"/>
      <c r="Y69" s="8229"/>
      <c r="Z69" s="4091"/>
      <c r="AA69" s="4088"/>
    </row>
    <row r="70" spans="1:27">
      <c r="A70" s="4088"/>
      <c r="B70" s="4089"/>
      <c r="C70" s="4076" t="s">
        <v>5819</v>
      </c>
      <c r="D70" s="4077" t="str">
        <f>IFERROR(VLOOKUP(C67,Tabla_PoderesInvocaciones,4,0),"")</f>
        <v/>
      </c>
      <c r="E70" s="8227"/>
      <c r="F70" s="8228"/>
      <c r="G70" s="8228"/>
      <c r="H70" s="8228"/>
      <c r="I70" s="8229"/>
      <c r="K70" s="4076" t="s">
        <v>5819</v>
      </c>
      <c r="L70" s="4077" t="str">
        <f>IFERROR(VLOOKUP(K67,Tabla_PoderesInvocaciones,4,0),"")</f>
        <v/>
      </c>
      <c r="M70" s="8227"/>
      <c r="N70" s="8228"/>
      <c r="O70" s="8228"/>
      <c r="P70" s="8228"/>
      <c r="Q70" s="8229"/>
      <c r="S70" s="4076" t="s">
        <v>5819</v>
      </c>
      <c r="T70" s="4077" t="str">
        <f>IFERROR(VLOOKUP(S67,Tabla_PoderesInvocaciones,4,0),"")</f>
        <v/>
      </c>
      <c r="U70" s="8227"/>
      <c r="V70" s="8228"/>
      <c r="W70" s="8228"/>
      <c r="X70" s="8228"/>
      <c r="Y70" s="8229"/>
      <c r="Z70" s="4091"/>
      <c r="AA70" s="4088"/>
    </row>
    <row r="71" spans="1:27">
      <c r="A71" s="4088"/>
      <c r="B71" s="4089"/>
      <c r="C71" s="4074" t="s">
        <v>6797</v>
      </c>
      <c r="D71" s="4075" t="str">
        <f>IFERROR(VLOOKUP(C67,Tabla_PoderesInvocaciones,5,0),"")</f>
        <v/>
      </c>
      <c r="E71" s="8227"/>
      <c r="F71" s="8228"/>
      <c r="G71" s="8228"/>
      <c r="H71" s="8228"/>
      <c r="I71" s="8229"/>
      <c r="K71" s="4074" t="s">
        <v>6797</v>
      </c>
      <c r="L71" s="4075" t="str">
        <f>IFERROR(VLOOKUP(K67,Tabla_PoderesInvocaciones,5,0),"")</f>
        <v/>
      </c>
      <c r="M71" s="8227"/>
      <c r="N71" s="8228"/>
      <c r="O71" s="8228"/>
      <c r="P71" s="8228"/>
      <c r="Q71" s="8229"/>
      <c r="S71" s="4074" t="s">
        <v>6797</v>
      </c>
      <c r="T71" s="4075" t="str">
        <f>IFERROR(VLOOKUP(S67,Tabla_PoderesInvocaciones,5,0),"")</f>
        <v/>
      </c>
      <c r="U71" s="8227"/>
      <c r="V71" s="8228"/>
      <c r="W71" s="8228"/>
      <c r="X71" s="8228"/>
      <c r="Y71" s="8229"/>
      <c r="Z71" s="4091"/>
      <c r="AA71" s="4088"/>
    </row>
    <row r="72" spans="1:27">
      <c r="A72" s="4088"/>
      <c r="B72" s="4089"/>
      <c r="C72" s="4078" t="s">
        <v>7894</v>
      </c>
      <c r="D72" s="4077" t="str">
        <f>IFERROR(VLOOKUP(C67,Tabla_PoderesInvocaciones,6,0),"")</f>
        <v/>
      </c>
      <c r="E72" s="8230"/>
      <c r="F72" s="8231"/>
      <c r="G72" s="8231"/>
      <c r="H72" s="8231"/>
      <c r="I72" s="8232"/>
      <c r="K72" s="4078" t="s">
        <v>7894</v>
      </c>
      <c r="L72" s="4077" t="str">
        <f>IFERROR(VLOOKUP(K67,Tabla_PoderesInvocaciones,6,0),"")</f>
        <v/>
      </c>
      <c r="M72" s="8230"/>
      <c r="N72" s="8231"/>
      <c r="O72" s="8231"/>
      <c r="P72" s="8231"/>
      <c r="Q72" s="8232"/>
      <c r="S72" s="4078" t="s">
        <v>7894</v>
      </c>
      <c r="T72" s="4077" t="str">
        <f>IFERROR(VLOOKUP(S67,Tabla_PoderesInvocaciones,6,0),"")</f>
        <v/>
      </c>
      <c r="U72" s="8230"/>
      <c r="V72" s="8231"/>
      <c r="W72" s="8231"/>
      <c r="X72" s="8231"/>
      <c r="Y72" s="8232"/>
      <c r="Z72" s="4091"/>
      <c r="AA72" s="4088"/>
    </row>
    <row r="73" spans="1:27">
      <c r="A73" s="4088"/>
      <c r="B73" s="4089"/>
      <c r="C73" s="8233" t="s">
        <v>12103</v>
      </c>
      <c r="D73" s="8234"/>
      <c r="E73" s="8237" t="str">
        <f>IFERROR(VLOOKUP(C67,Tabla_PoderesInvocaciones,7,0),"")</f>
        <v/>
      </c>
      <c r="F73" s="8238"/>
      <c r="G73" s="8238"/>
      <c r="H73" s="8238"/>
      <c r="I73" s="8239"/>
      <c r="K73" s="8233" t="s">
        <v>12103</v>
      </c>
      <c r="L73" s="8234"/>
      <c r="M73" s="8237" t="str">
        <f>IFERROR(VLOOKUP(K67,Tabla_PoderesInvocaciones,7,0),"")</f>
        <v/>
      </c>
      <c r="N73" s="8238"/>
      <c r="O73" s="8238"/>
      <c r="P73" s="8238"/>
      <c r="Q73" s="8239"/>
      <c r="S73" s="8233" t="s">
        <v>12103</v>
      </c>
      <c r="T73" s="8234"/>
      <c r="U73" s="8237" t="str">
        <f>IFERROR(VLOOKUP(S67,Tabla_PoderesInvocaciones,7,0),"")</f>
        <v/>
      </c>
      <c r="V73" s="8238"/>
      <c r="W73" s="8238"/>
      <c r="X73" s="8238"/>
      <c r="Y73" s="8239"/>
      <c r="Z73" s="4091"/>
      <c r="AA73" s="4088"/>
    </row>
    <row r="74" spans="1:27" ht="13.5" thickBot="1">
      <c r="A74" s="4088"/>
      <c r="B74" s="4089"/>
      <c r="C74" s="8235"/>
      <c r="D74" s="8236"/>
      <c r="E74" s="8240"/>
      <c r="F74" s="8241"/>
      <c r="G74" s="8241"/>
      <c r="H74" s="8241"/>
      <c r="I74" s="8242"/>
      <c r="K74" s="8235"/>
      <c r="L74" s="8236"/>
      <c r="M74" s="8240"/>
      <c r="N74" s="8241"/>
      <c r="O74" s="8241"/>
      <c r="P74" s="8241"/>
      <c r="Q74" s="8242"/>
      <c r="S74" s="8235"/>
      <c r="T74" s="8236"/>
      <c r="U74" s="8240"/>
      <c r="V74" s="8241"/>
      <c r="W74" s="8241"/>
      <c r="X74" s="8241"/>
      <c r="Y74" s="8242"/>
      <c r="Z74" s="4091"/>
      <c r="AA74" s="4088"/>
    </row>
    <row r="75" spans="1:27">
      <c r="A75" s="4088"/>
      <c r="B75" s="4089"/>
      <c r="C75" s="4092" t="e">
        <f>SUBSTITUTE(IF(C66="","",VLOOKUP(C66,Tabla_GrimorioInvocaciones,2,FALSE)),".","")</f>
        <v>#N/A</v>
      </c>
      <c r="D75" s="4093"/>
      <c r="E75" s="4094"/>
      <c r="F75" s="4094"/>
      <c r="G75" s="4094"/>
      <c r="H75" s="4094"/>
      <c r="I75" s="4094"/>
      <c r="K75" s="4092" t="e">
        <f>SUBSTITUTE(IF(K66="","",VLOOKUP(K66,Tabla_GrimorioInvocaciones,2,FALSE)),".","")</f>
        <v>#N/A</v>
      </c>
      <c r="L75" s="4093"/>
      <c r="M75" s="4094"/>
      <c r="N75" s="4094"/>
      <c r="O75" s="4094"/>
      <c r="P75" s="4094"/>
      <c r="Q75" s="4094"/>
      <c r="S75" s="4092" t="e">
        <f>SUBSTITUTE(IF(S66="","",VLOOKUP(S66,Tabla_GrimorioInvocaciones,2,FALSE)),".","")</f>
        <v>#N/A</v>
      </c>
      <c r="T75" s="4093"/>
      <c r="U75" s="4094"/>
      <c r="V75" s="4094"/>
      <c r="W75" s="4094"/>
      <c r="X75" s="4094"/>
      <c r="Y75" s="4094"/>
      <c r="Z75" s="4091"/>
      <c r="AA75" s="4088"/>
    </row>
    <row r="76" spans="1:27" ht="13.5" thickBot="1">
      <c r="A76" s="4088"/>
      <c r="B76" s="4089"/>
      <c r="Z76" s="4091"/>
      <c r="AA76" s="4088"/>
    </row>
    <row r="77" spans="1:27" ht="18" customHeight="1" thickBot="1">
      <c r="A77" s="4088"/>
      <c r="B77" s="4089"/>
      <c r="C77" s="8218" t="str">
        <f>IF(Místicos!J51&lt;&gt;0,Místicos!J51,"Nombre de la invocación")</f>
        <v>Nombre de la invocación</v>
      </c>
      <c r="D77" s="8219"/>
      <c r="E77" s="8219"/>
      <c r="F77" s="8219"/>
      <c r="G77" s="8219"/>
      <c r="H77" s="8219"/>
      <c r="I77" s="8220"/>
      <c r="K77" s="8218" t="str">
        <f>IF(Místicos!J52&lt;&gt;0,Místicos!J52,"Nombre de la invocación")</f>
        <v>Nombre de la invocación</v>
      </c>
      <c r="L77" s="8219"/>
      <c r="M77" s="8219"/>
      <c r="N77" s="8219"/>
      <c r="O77" s="8219"/>
      <c r="P77" s="8219"/>
      <c r="Q77" s="8220"/>
      <c r="S77" s="8218" t="str">
        <f>IF(Místicos!J53&lt;&gt;0,Místicos!J53,"Nombre de la invocación")</f>
        <v>Nombre de la invocación</v>
      </c>
      <c r="T77" s="8219"/>
      <c r="U77" s="8219"/>
      <c r="V77" s="8219"/>
      <c r="W77" s="8219"/>
      <c r="X77" s="8219"/>
      <c r="Y77" s="8220"/>
      <c r="Z77" s="4091"/>
      <c r="AA77" s="4088"/>
    </row>
    <row r="78" spans="1:27">
      <c r="A78" s="4088"/>
      <c r="B78" s="4089"/>
      <c r="C78" s="8221"/>
      <c r="D78" s="8222"/>
      <c r="E78" s="8223"/>
      <c r="F78" s="4079" t="s">
        <v>12100</v>
      </c>
      <c r="G78" s="4080" t="str">
        <f>IFERROR(VLOOKUP(C77,'Tablas Invocaciones'!$C$9:$E$153,2,0),"")</f>
        <v/>
      </c>
      <c r="H78" s="4081" t="s">
        <v>12101</v>
      </c>
      <c r="I78" s="4082" t="str">
        <f>IFERROR(VLOOKUP(C77,'Tablas Invocaciones'!$C$9:$E$153,3,0),"")</f>
        <v/>
      </c>
      <c r="K78" s="8221"/>
      <c r="L78" s="8222"/>
      <c r="M78" s="8223"/>
      <c r="N78" s="4079" t="s">
        <v>12100</v>
      </c>
      <c r="O78" s="4080" t="str">
        <f>IFERROR(VLOOKUP(K77,'Tablas Invocaciones'!$C$9:$E$153,2,0),"")</f>
        <v/>
      </c>
      <c r="P78" s="4081" t="s">
        <v>12101</v>
      </c>
      <c r="Q78" s="4082" t="str">
        <f>IFERROR(VLOOKUP(K77,'Tablas Invocaciones'!$C$9:$E$153,3,0),"")</f>
        <v/>
      </c>
      <c r="S78" s="8221"/>
      <c r="T78" s="8222"/>
      <c r="U78" s="8223"/>
      <c r="V78" s="4079" t="s">
        <v>12100</v>
      </c>
      <c r="W78" s="4080" t="str">
        <f>IFERROR(VLOOKUP(S77,'Tablas Invocaciones'!$C$9:$E$153,2,0),"")</f>
        <v/>
      </c>
      <c r="X78" s="4081" t="s">
        <v>12101</v>
      </c>
      <c r="Y78" s="4082" t="str">
        <f>IFERROR(VLOOKUP(S77,'Tablas Invocaciones'!$C$9:$E$153,3,0),"")</f>
        <v/>
      </c>
      <c r="Z78" s="4091"/>
      <c r="AA78" s="4088"/>
    </row>
    <row r="79" spans="1:27" ht="12.75" customHeight="1">
      <c r="A79" s="4088"/>
      <c r="B79" s="4089"/>
      <c r="C79" s="4072" t="s">
        <v>8351</v>
      </c>
      <c r="D79" s="4073" t="str">
        <f>IFERROR(VLOOKUP(C78,Tabla_PoderesInvocaciones,2,0),"")</f>
        <v/>
      </c>
      <c r="E79" s="8224" t="str">
        <f>IFERROR(VLOOKUP(C78,Tabla_PoderesInvocaciones,8,0),"")</f>
        <v/>
      </c>
      <c r="F79" s="8225"/>
      <c r="G79" s="8225"/>
      <c r="H79" s="8225"/>
      <c r="I79" s="8226"/>
      <c r="K79" s="4072" t="s">
        <v>8351</v>
      </c>
      <c r="L79" s="4073" t="str">
        <f>IFERROR(VLOOKUP(K78,Tabla_PoderesInvocaciones,2,0),"")</f>
        <v/>
      </c>
      <c r="M79" s="8224" t="str">
        <f>IFERROR(VLOOKUP(K78,Tabla_PoderesInvocaciones,8,0),"")</f>
        <v/>
      </c>
      <c r="N79" s="8225"/>
      <c r="O79" s="8225"/>
      <c r="P79" s="8225"/>
      <c r="Q79" s="8226"/>
      <c r="S79" s="4072" t="s">
        <v>8351</v>
      </c>
      <c r="T79" s="4073" t="str">
        <f>IFERROR(VLOOKUP(S78,Tabla_PoderesInvocaciones,2,0),"")</f>
        <v/>
      </c>
      <c r="U79" s="8224" t="str">
        <f>IFERROR(VLOOKUP(S78,Tabla_PoderesInvocaciones,8,0),"")</f>
        <v/>
      </c>
      <c r="V79" s="8225"/>
      <c r="W79" s="8225"/>
      <c r="X79" s="8225"/>
      <c r="Y79" s="8226"/>
      <c r="Z79" s="4091"/>
      <c r="AA79" s="4088"/>
    </row>
    <row r="80" spans="1:27">
      <c r="A80" s="4088"/>
      <c r="B80" s="4089"/>
      <c r="C80" s="4074" t="s">
        <v>12102</v>
      </c>
      <c r="D80" s="4075" t="str">
        <f>IFERROR(VLOOKUP(C78,Tabla_PoderesInvocaciones,3,0),"")</f>
        <v/>
      </c>
      <c r="E80" s="8227"/>
      <c r="F80" s="8228"/>
      <c r="G80" s="8228"/>
      <c r="H80" s="8228"/>
      <c r="I80" s="8229"/>
      <c r="K80" s="4074" t="s">
        <v>12102</v>
      </c>
      <c r="L80" s="4075" t="str">
        <f>IFERROR(VLOOKUP(K78,Tabla_PoderesInvocaciones,3,0),"")</f>
        <v/>
      </c>
      <c r="M80" s="8227"/>
      <c r="N80" s="8228"/>
      <c r="O80" s="8228"/>
      <c r="P80" s="8228"/>
      <c r="Q80" s="8229"/>
      <c r="S80" s="4074" t="s">
        <v>12102</v>
      </c>
      <c r="T80" s="4075" t="str">
        <f>IFERROR(VLOOKUP(S78,Tabla_PoderesInvocaciones,3,0),"")</f>
        <v/>
      </c>
      <c r="U80" s="8227"/>
      <c r="V80" s="8228"/>
      <c r="W80" s="8228"/>
      <c r="X80" s="8228"/>
      <c r="Y80" s="8229"/>
      <c r="Z80" s="4091"/>
      <c r="AA80" s="4088"/>
    </row>
    <row r="81" spans="1:27">
      <c r="A81" s="4088"/>
      <c r="B81" s="4089"/>
      <c r="C81" s="4076" t="s">
        <v>5819</v>
      </c>
      <c r="D81" s="4077" t="str">
        <f>IFERROR(VLOOKUP(C78,Tabla_PoderesInvocaciones,4,0),"")</f>
        <v/>
      </c>
      <c r="E81" s="8227"/>
      <c r="F81" s="8228"/>
      <c r="G81" s="8228"/>
      <c r="H81" s="8228"/>
      <c r="I81" s="8229"/>
      <c r="K81" s="4076" t="s">
        <v>5819</v>
      </c>
      <c r="L81" s="4077" t="str">
        <f>IFERROR(VLOOKUP(K78,Tabla_PoderesInvocaciones,4,0),"")</f>
        <v/>
      </c>
      <c r="M81" s="8227"/>
      <c r="N81" s="8228"/>
      <c r="O81" s="8228"/>
      <c r="P81" s="8228"/>
      <c r="Q81" s="8229"/>
      <c r="S81" s="4076" t="s">
        <v>5819</v>
      </c>
      <c r="T81" s="4077" t="str">
        <f>IFERROR(VLOOKUP(S78,Tabla_PoderesInvocaciones,4,0),"")</f>
        <v/>
      </c>
      <c r="U81" s="8227"/>
      <c r="V81" s="8228"/>
      <c r="W81" s="8228"/>
      <c r="X81" s="8228"/>
      <c r="Y81" s="8229"/>
      <c r="Z81" s="4091"/>
      <c r="AA81" s="4088"/>
    </row>
    <row r="82" spans="1:27">
      <c r="A82" s="4088"/>
      <c r="B82" s="4089"/>
      <c r="C82" s="4074" t="s">
        <v>6797</v>
      </c>
      <c r="D82" s="4075" t="str">
        <f>IFERROR(VLOOKUP(C78,Tabla_PoderesInvocaciones,5,0),"")</f>
        <v/>
      </c>
      <c r="E82" s="8227"/>
      <c r="F82" s="8228"/>
      <c r="G82" s="8228"/>
      <c r="H82" s="8228"/>
      <c r="I82" s="8229"/>
      <c r="K82" s="4074" t="s">
        <v>6797</v>
      </c>
      <c r="L82" s="4075" t="str">
        <f>IFERROR(VLOOKUP(K78,Tabla_PoderesInvocaciones,5,0),"")</f>
        <v/>
      </c>
      <c r="M82" s="8227"/>
      <c r="N82" s="8228"/>
      <c r="O82" s="8228"/>
      <c r="P82" s="8228"/>
      <c r="Q82" s="8229"/>
      <c r="S82" s="4074" t="s">
        <v>6797</v>
      </c>
      <c r="T82" s="4075" t="str">
        <f>IFERROR(VLOOKUP(S78,Tabla_PoderesInvocaciones,5,0),"")</f>
        <v/>
      </c>
      <c r="U82" s="8227"/>
      <c r="V82" s="8228"/>
      <c r="W82" s="8228"/>
      <c r="X82" s="8228"/>
      <c r="Y82" s="8229"/>
      <c r="Z82" s="4091"/>
      <c r="AA82" s="4088"/>
    </row>
    <row r="83" spans="1:27">
      <c r="A83" s="4088"/>
      <c r="B83" s="4089"/>
      <c r="C83" s="4078" t="s">
        <v>7894</v>
      </c>
      <c r="D83" s="4077" t="str">
        <f>IFERROR(VLOOKUP(C78,Tabla_PoderesInvocaciones,6,0),"")</f>
        <v/>
      </c>
      <c r="E83" s="8230"/>
      <c r="F83" s="8231"/>
      <c r="G83" s="8231"/>
      <c r="H83" s="8231"/>
      <c r="I83" s="8232"/>
      <c r="K83" s="4078" t="s">
        <v>7894</v>
      </c>
      <c r="L83" s="4077" t="str">
        <f>IFERROR(VLOOKUP(K78,Tabla_PoderesInvocaciones,6,0),"")</f>
        <v/>
      </c>
      <c r="M83" s="8230"/>
      <c r="N83" s="8231"/>
      <c r="O83" s="8231"/>
      <c r="P83" s="8231"/>
      <c r="Q83" s="8232"/>
      <c r="S83" s="4078" t="s">
        <v>7894</v>
      </c>
      <c r="T83" s="4077" t="str">
        <f>IFERROR(VLOOKUP(S78,Tabla_PoderesInvocaciones,6,0),"")</f>
        <v/>
      </c>
      <c r="U83" s="8230"/>
      <c r="V83" s="8231"/>
      <c r="W83" s="8231"/>
      <c r="X83" s="8231"/>
      <c r="Y83" s="8232"/>
      <c r="Z83" s="4091"/>
      <c r="AA83" s="4088"/>
    </row>
    <row r="84" spans="1:27">
      <c r="A84" s="4088"/>
      <c r="B84" s="4089"/>
      <c r="C84" s="8233" t="s">
        <v>12103</v>
      </c>
      <c r="D84" s="8234"/>
      <c r="E84" s="8237" t="str">
        <f>IFERROR(VLOOKUP(C78,Tabla_PoderesInvocaciones,7,0),"")</f>
        <v/>
      </c>
      <c r="F84" s="8238"/>
      <c r="G84" s="8238"/>
      <c r="H84" s="8238"/>
      <c r="I84" s="8239"/>
      <c r="K84" s="8233" t="s">
        <v>12103</v>
      </c>
      <c r="L84" s="8234"/>
      <c r="M84" s="8237" t="str">
        <f>IFERROR(VLOOKUP(K78,Tabla_PoderesInvocaciones,7,0),"")</f>
        <v/>
      </c>
      <c r="N84" s="8238"/>
      <c r="O84" s="8238"/>
      <c r="P84" s="8238"/>
      <c r="Q84" s="8239"/>
      <c r="S84" s="8233" t="s">
        <v>12103</v>
      </c>
      <c r="T84" s="8234"/>
      <c r="U84" s="8237" t="str">
        <f>IFERROR(VLOOKUP(S78,Tabla_PoderesInvocaciones,7,0),"")</f>
        <v/>
      </c>
      <c r="V84" s="8238"/>
      <c r="W84" s="8238"/>
      <c r="X84" s="8238"/>
      <c r="Y84" s="8239"/>
      <c r="Z84" s="4091"/>
      <c r="AA84" s="4088"/>
    </row>
    <row r="85" spans="1:27" ht="13.5" thickBot="1">
      <c r="A85" s="4088"/>
      <c r="B85" s="4089"/>
      <c r="C85" s="8235"/>
      <c r="D85" s="8236"/>
      <c r="E85" s="8240"/>
      <c r="F85" s="8241"/>
      <c r="G85" s="8241"/>
      <c r="H85" s="8241"/>
      <c r="I85" s="8242"/>
      <c r="K85" s="8235"/>
      <c r="L85" s="8236"/>
      <c r="M85" s="8240"/>
      <c r="N85" s="8241"/>
      <c r="O85" s="8241"/>
      <c r="P85" s="8241"/>
      <c r="Q85" s="8242"/>
      <c r="S85" s="8235"/>
      <c r="T85" s="8236"/>
      <c r="U85" s="8240"/>
      <c r="V85" s="8241"/>
      <c r="W85" s="8241"/>
      <c r="X85" s="8241"/>
      <c r="Y85" s="8242"/>
      <c r="Z85" s="4091"/>
      <c r="AA85" s="4088"/>
    </row>
    <row r="86" spans="1:27">
      <c r="A86" s="4088"/>
      <c r="B86" s="4089"/>
      <c r="C86" s="4092" t="e">
        <f>SUBSTITUTE(IF(C77="","",VLOOKUP(C77,Tabla_GrimorioInvocaciones,2,FALSE)),".","")</f>
        <v>#N/A</v>
      </c>
      <c r="D86" s="4093"/>
      <c r="E86" s="4094"/>
      <c r="F86" s="4094"/>
      <c r="G86" s="4094"/>
      <c r="H86" s="4094"/>
      <c r="I86" s="4094"/>
      <c r="K86" s="4092" t="e">
        <f>SUBSTITUTE(IF(K77="","",VLOOKUP(K77,Tabla_GrimorioInvocaciones,2,FALSE)),".","")</f>
        <v>#N/A</v>
      </c>
      <c r="L86" s="4093"/>
      <c r="M86" s="4094"/>
      <c r="N86" s="4094"/>
      <c r="O86" s="4094"/>
      <c r="P86" s="4094"/>
      <c r="Q86" s="4094"/>
      <c r="S86" s="4092" t="e">
        <f>SUBSTITUTE(IF(S77="","",VLOOKUP(S77,Tabla_GrimorioInvocaciones,2,FALSE)),".","")</f>
        <v>#N/A</v>
      </c>
      <c r="T86" s="4093"/>
      <c r="U86" s="4094"/>
      <c r="V86" s="4094"/>
      <c r="W86" s="4094"/>
      <c r="X86" s="4094"/>
      <c r="Y86" s="4094"/>
      <c r="Z86" s="4091"/>
      <c r="AA86" s="4088"/>
    </row>
    <row r="87" spans="1:27" ht="13.5" thickBot="1">
      <c r="A87" s="4088"/>
      <c r="B87" s="4089"/>
      <c r="Z87" s="4091"/>
      <c r="AA87" s="4088"/>
    </row>
    <row r="88" spans="1:27" ht="18" customHeight="1" thickBot="1">
      <c r="A88" s="4088"/>
      <c r="B88" s="4089"/>
      <c r="C88" s="8218" t="str">
        <f>IF(Místicos!B111&lt;&gt;0,Místicos!B111,"Nombre de la invocación")</f>
        <v>Nombre de la invocación</v>
      </c>
      <c r="D88" s="8219"/>
      <c r="E88" s="8219"/>
      <c r="F88" s="8219"/>
      <c r="G88" s="8219"/>
      <c r="H88" s="8219"/>
      <c r="I88" s="8220"/>
      <c r="K88" s="8218" t="str">
        <f>IF(Místicos!J111&lt;&gt;0,Místicos!J111,"Nombre de la invocación")</f>
        <v>Nombre de la invocación</v>
      </c>
      <c r="L88" s="8219"/>
      <c r="M88" s="8219"/>
      <c r="N88" s="8219"/>
      <c r="O88" s="8219"/>
      <c r="P88" s="8219"/>
      <c r="Q88" s="8220"/>
      <c r="S88" s="8218" t="str">
        <f>IF(Místicos!R111&lt;&gt;0,Místicos!R111,"Nombre de la invocación")</f>
        <v>Nombre de la invocación</v>
      </c>
      <c r="T88" s="8219"/>
      <c r="U88" s="8219"/>
      <c r="V88" s="8219"/>
      <c r="W88" s="8219"/>
      <c r="X88" s="8219"/>
      <c r="Y88" s="8220"/>
      <c r="Z88" s="4091"/>
      <c r="AA88" s="4088"/>
    </row>
    <row r="89" spans="1:27">
      <c r="A89" s="4088"/>
      <c r="B89" s="4089"/>
      <c r="C89" s="8221"/>
      <c r="D89" s="8222"/>
      <c r="E89" s="8223"/>
      <c r="F89" s="4079" t="s">
        <v>12100</v>
      </c>
      <c r="G89" s="4080" t="str">
        <f>IFERROR(VLOOKUP(C88,'Tablas Invocaciones'!$C$9:$E$153,2,0),"")</f>
        <v/>
      </c>
      <c r="H89" s="4081" t="s">
        <v>12101</v>
      </c>
      <c r="I89" s="4082" t="str">
        <f>IFERROR(VLOOKUP(C88,'Tablas Invocaciones'!$C$9:$E$153,3,0),"")</f>
        <v/>
      </c>
      <c r="K89" s="8221"/>
      <c r="L89" s="8222"/>
      <c r="M89" s="8223"/>
      <c r="N89" s="4079" t="s">
        <v>12100</v>
      </c>
      <c r="O89" s="4080" t="str">
        <f>IFERROR(VLOOKUP(K88,'Tablas Invocaciones'!$C$9:$E$153,2,0),"")</f>
        <v/>
      </c>
      <c r="P89" s="4081" t="s">
        <v>12101</v>
      </c>
      <c r="Q89" s="4082" t="str">
        <f>IFERROR(VLOOKUP(K88,'Tablas Invocaciones'!$C$9:$E$153,3,0),"")</f>
        <v/>
      </c>
      <c r="S89" s="8221"/>
      <c r="T89" s="8222"/>
      <c r="U89" s="8223"/>
      <c r="V89" s="4079" t="s">
        <v>12100</v>
      </c>
      <c r="W89" s="4080" t="str">
        <f>IFERROR(VLOOKUP(S88,'Tablas Invocaciones'!$C$9:$E$153,2,0),"")</f>
        <v/>
      </c>
      <c r="X89" s="4081" t="s">
        <v>12101</v>
      </c>
      <c r="Y89" s="4082" t="str">
        <f>IFERROR(VLOOKUP(S88,'Tablas Invocaciones'!$C$9:$E$153,3,0),"")</f>
        <v/>
      </c>
      <c r="Z89" s="4091"/>
      <c r="AA89" s="4088"/>
    </row>
    <row r="90" spans="1:27" ht="12.75" customHeight="1">
      <c r="A90" s="4088"/>
      <c r="B90" s="4089"/>
      <c r="C90" s="4072" t="s">
        <v>8351</v>
      </c>
      <c r="D90" s="4073" t="str">
        <f>IFERROR(VLOOKUP(C89,Tabla_PoderesInvocaciones,2,0),"")</f>
        <v/>
      </c>
      <c r="E90" s="8224" t="str">
        <f>IFERROR(VLOOKUP(C89,Tabla_PoderesInvocaciones,8,0),"")</f>
        <v/>
      </c>
      <c r="F90" s="8225"/>
      <c r="G90" s="8225"/>
      <c r="H90" s="8225"/>
      <c r="I90" s="8226"/>
      <c r="K90" s="4072" t="s">
        <v>8351</v>
      </c>
      <c r="L90" s="4073" t="str">
        <f>IFERROR(VLOOKUP(K89,Tabla_PoderesInvocaciones,2,0),"")</f>
        <v/>
      </c>
      <c r="M90" s="8224" t="str">
        <f>IFERROR(VLOOKUP(K89,Tabla_PoderesInvocaciones,8,0),"")</f>
        <v/>
      </c>
      <c r="N90" s="8225"/>
      <c r="O90" s="8225"/>
      <c r="P90" s="8225"/>
      <c r="Q90" s="8226"/>
      <c r="S90" s="4072" t="s">
        <v>8351</v>
      </c>
      <c r="T90" s="4073" t="str">
        <f>IFERROR(VLOOKUP(S89,Tabla_PoderesInvocaciones,2,0),"")</f>
        <v/>
      </c>
      <c r="U90" s="8224" t="str">
        <f>IFERROR(VLOOKUP(S89,Tabla_PoderesInvocaciones,8,0),"")</f>
        <v/>
      </c>
      <c r="V90" s="8225"/>
      <c r="W90" s="8225"/>
      <c r="X90" s="8225"/>
      <c r="Y90" s="8226"/>
      <c r="Z90" s="4091"/>
      <c r="AA90" s="4088"/>
    </row>
    <row r="91" spans="1:27">
      <c r="A91" s="4088"/>
      <c r="B91" s="4089"/>
      <c r="C91" s="4074" t="s">
        <v>12102</v>
      </c>
      <c r="D91" s="4075" t="str">
        <f>IFERROR(VLOOKUP(C89,Tabla_PoderesInvocaciones,3,0),"")</f>
        <v/>
      </c>
      <c r="E91" s="8227"/>
      <c r="F91" s="8228"/>
      <c r="G91" s="8228"/>
      <c r="H91" s="8228"/>
      <c r="I91" s="8229"/>
      <c r="K91" s="4074" t="s">
        <v>12102</v>
      </c>
      <c r="L91" s="4075" t="str">
        <f>IFERROR(VLOOKUP(K89,Tabla_PoderesInvocaciones,3,0),"")</f>
        <v/>
      </c>
      <c r="M91" s="8227"/>
      <c r="N91" s="8228"/>
      <c r="O91" s="8228"/>
      <c r="P91" s="8228"/>
      <c r="Q91" s="8229"/>
      <c r="S91" s="4074" t="s">
        <v>12102</v>
      </c>
      <c r="T91" s="4075" t="str">
        <f>IFERROR(VLOOKUP(S89,Tabla_PoderesInvocaciones,3,0),"")</f>
        <v/>
      </c>
      <c r="U91" s="8227"/>
      <c r="V91" s="8228"/>
      <c r="W91" s="8228"/>
      <c r="X91" s="8228"/>
      <c r="Y91" s="8229"/>
      <c r="Z91" s="4091"/>
      <c r="AA91" s="4088"/>
    </row>
    <row r="92" spans="1:27">
      <c r="A92" s="4088"/>
      <c r="B92" s="4089"/>
      <c r="C92" s="4076" t="s">
        <v>5819</v>
      </c>
      <c r="D92" s="4077" t="str">
        <f>IFERROR(VLOOKUP(C89,Tabla_PoderesInvocaciones,4,0),"")</f>
        <v/>
      </c>
      <c r="E92" s="8227"/>
      <c r="F92" s="8228"/>
      <c r="G92" s="8228"/>
      <c r="H92" s="8228"/>
      <c r="I92" s="8229"/>
      <c r="K92" s="4076" t="s">
        <v>5819</v>
      </c>
      <c r="L92" s="4077" t="str">
        <f>IFERROR(VLOOKUP(K89,Tabla_PoderesInvocaciones,4,0),"")</f>
        <v/>
      </c>
      <c r="M92" s="8227"/>
      <c r="N92" s="8228"/>
      <c r="O92" s="8228"/>
      <c r="P92" s="8228"/>
      <c r="Q92" s="8229"/>
      <c r="S92" s="4076" t="s">
        <v>5819</v>
      </c>
      <c r="T92" s="4077" t="str">
        <f>IFERROR(VLOOKUP(S89,Tabla_PoderesInvocaciones,4,0),"")</f>
        <v/>
      </c>
      <c r="U92" s="8227"/>
      <c r="V92" s="8228"/>
      <c r="W92" s="8228"/>
      <c r="X92" s="8228"/>
      <c r="Y92" s="8229"/>
      <c r="Z92" s="4091"/>
      <c r="AA92" s="4088"/>
    </row>
    <row r="93" spans="1:27">
      <c r="A93" s="4088"/>
      <c r="B93" s="4089"/>
      <c r="C93" s="4074" t="s">
        <v>6797</v>
      </c>
      <c r="D93" s="4075" t="str">
        <f>IFERROR(VLOOKUP(C89,Tabla_PoderesInvocaciones,5,0),"")</f>
        <v/>
      </c>
      <c r="E93" s="8227"/>
      <c r="F93" s="8228"/>
      <c r="G93" s="8228"/>
      <c r="H93" s="8228"/>
      <c r="I93" s="8229"/>
      <c r="K93" s="4074" t="s">
        <v>6797</v>
      </c>
      <c r="L93" s="4075" t="str">
        <f>IFERROR(VLOOKUP(K89,Tabla_PoderesInvocaciones,5,0),"")</f>
        <v/>
      </c>
      <c r="M93" s="8227"/>
      <c r="N93" s="8228"/>
      <c r="O93" s="8228"/>
      <c r="P93" s="8228"/>
      <c r="Q93" s="8229"/>
      <c r="S93" s="4074" t="s">
        <v>6797</v>
      </c>
      <c r="T93" s="4075" t="str">
        <f>IFERROR(VLOOKUP(S89,Tabla_PoderesInvocaciones,5,0),"")</f>
        <v/>
      </c>
      <c r="U93" s="8227"/>
      <c r="V93" s="8228"/>
      <c r="W93" s="8228"/>
      <c r="X93" s="8228"/>
      <c r="Y93" s="8229"/>
      <c r="Z93" s="4091"/>
      <c r="AA93" s="4088"/>
    </row>
    <row r="94" spans="1:27">
      <c r="A94" s="4088"/>
      <c r="B94" s="4089"/>
      <c r="C94" s="4078" t="s">
        <v>7894</v>
      </c>
      <c r="D94" s="4077" t="str">
        <f>IFERROR(VLOOKUP(C89,Tabla_PoderesInvocaciones,6,0),"")</f>
        <v/>
      </c>
      <c r="E94" s="8230"/>
      <c r="F94" s="8231"/>
      <c r="G94" s="8231"/>
      <c r="H94" s="8231"/>
      <c r="I94" s="8232"/>
      <c r="K94" s="4078" t="s">
        <v>7894</v>
      </c>
      <c r="L94" s="4077" t="str">
        <f>IFERROR(VLOOKUP(K89,Tabla_PoderesInvocaciones,6,0),"")</f>
        <v/>
      </c>
      <c r="M94" s="8230"/>
      <c r="N94" s="8231"/>
      <c r="O94" s="8231"/>
      <c r="P94" s="8231"/>
      <c r="Q94" s="8232"/>
      <c r="S94" s="4078" t="s">
        <v>7894</v>
      </c>
      <c r="T94" s="4077" t="str">
        <f>IFERROR(VLOOKUP(S89,Tabla_PoderesInvocaciones,6,0),"")</f>
        <v/>
      </c>
      <c r="U94" s="8230"/>
      <c r="V94" s="8231"/>
      <c r="W94" s="8231"/>
      <c r="X94" s="8231"/>
      <c r="Y94" s="8232"/>
      <c r="Z94" s="4091"/>
      <c r="AA94" s="4088"/>
    </row>
    <row r="95" spans="1:27">
      <c r="A95" s="4088"/>
      <c r="B95" s="4089"/>
      <c r="C95" s="8233" t="s">
        <v>12103</v>
      </c>
      <c r="D95" s="8234"/>
      <c r="E95" s="8237" t="str">
        <f>IFERROR(VLOOKUP(C89,Tabla_PoderesInvocaciones,7,0),"")</f>
        <v/>
      </c>
      <c r="F95" s="8238"/>
      <c r="G95" s="8238"/>
      <c r="H95" s="8238"/>
      <c r="I95" s="8239"/>
      <c r="K95" s="8233" t="s">
        <v>12103</v>
      </c>
      <c r="L95" s="8234"/>
      <c r="M95" s="8237" t="str">
        <f>IFERROR(VLOOKUP(K89,Tabla_PoderesInvocaciones,7,0),"")</f>
        <v/>
      </c>
      <c r="N95" s="8238"/>
      <c r="O95" s="8238"/>
      <c r="P95" s="8238"/>
      <c r="Q95" s="8239"/>
      <c r="S95" s="8233" t="s">
        <v>12103</v>
      </c>
      <c r="T95" s="8234"/>
      <c r="U95" s="8237" t="str">
        <f>IFERROR(VLOOKUP(S89,Tabla_PoderesInvocaciones,7,0),"")</f>
        <v/>
      </c>
      <c r="V95" s="8238"/>
      <c r="W95" s="8238"/>
      <c r="X95" s="8238"/>
      <c r="Y95" s="8239"/>
      <c r="Z95" s="4091"/>
      <c r="AA95" s="4088"/>
    </row>
    <row r="96" spans="1:27" ht="13.5" thickBot="1">
      <c r="A96" s="4088"/>
      <c r="B96" s="4089"/>
      <c r="C96" s="8235"/>
      <c r="D96" s="8236"/>
      <c r="E96" s="8240"/>
      <c r="F96" s="8241"/>
      <c r="G96" s="8241"/>
      <c r="H96" s="8241"/>
      <c r="I96" s="8242"/>
      <c r="K96" s="8235"/>
      <c r="L96" s="8236"/>
      <c r="M96" s="8240"/>
      <c r="N96" s="8241"/>
      <c r="O96" s="8241"/>
      <c r="P96" s="8241"/>
      <c r="Q96" s="8242"/>
      <c r="S96" s="8235"/>
      <c r="T96" s="8236"/>
      <c r="U96" s="8240"/>
      <c r="V96" s="8241"/>
      <c r="W96" s="8241"/>
      <c r="X96" s="8241"/>
      <c r="Y96" s="8242"/>
      <c r="Z96" s="4091"/>
      <c r="AA96" s="4088"/>
    </row>
    <row r="97" spans="1:27">
      <c r="A97" s="4088"/>
      <c r="B97" s="4089"/>
      <c r="C97" s="4092" t="e">
        <f>SUBSTITUTE(IF(C88="","",VLOOKUP(C88,Tabla_GrimorioInvocaciones,2,FALSE)),".","")</f>
        <v>#N/A</v>
      </c>
      <c r="D97" s="4093"/>
      <c r="E97" s="4094"/>
      <c r="F97" s="4094"/>
      <c r="G97" s="4094"/>
      <c r="H97" s="4094"/>
      <c r="I97" s="4094"/>
      <c r="K97" s="4092" t="e">
        <f>SUBSTITUTE(IF(K88="","",VLOOKUP(K88,Tabla_GrimorioInvocaciones,2,FALSE)),".","")</f>
        <v>#N/A</v>
      </c>
      <c r="L97" s="4093"/>
      <c r="M97" s="4094"/>
      <c r="N97" s="4094"/>
      <c r="O97" s="4094"/>
      <c r="P97" s="4094"/>
      <c r="Q97" s="4094"/>
      <c r="S97" s="4092" t="e">
        <f>SUBSTITUTE(IF(S88="","",VLOOKUP(S88,Tabla_GrimorioInvocaciones,2,FALSE)),".","")</f>
        <v>#N/A</v>
      </c>
      <c r="T97" s="4093"/>
      <c r="U97" s="4094"/>
      <c r="V97" s="4094"/>
      <c r="W97" s="4094"/>
      <c r="X97" s="4094"/>
      <c r="Y97" s="4094"/>
      <c r="Z97" s="4091"/>
      <c r="AA97" s="4088"/>
    </row>
    <row r="98" spans="1:27" ht="13.5" thickBot="1">
      <c r="A98" s="4088"/>
      <c r="B98" s="4089"/>
      <c r="Z98" s="4091"/>
      <c r="AA98" s="4088"/>
    </row>
    <row r="99" spans="1:27" ht="18" customHeight="1" thickBot="1">
      <c r="A99" s="4088"/>
      <c r="B99" s="4089"/>
      <c r="C99" s="8218" t="str">
        <f>IF(Místicos!J54&lt;&gt;0,Místicos!J54,"Nombre de la invocación")</f>
        <v>Nombre de la invocación</v>
      </c>
      <c r="D99" s="8219"/>
      <c r="E99" s="8219"/>
      <c r="F99" s="8219"/>
      <c r="G99" s="8219"/>
      <c r="H99" s="8219"/>
      <c r="I99" s="8220"/>
      <c r="K99" s="8218" t="str">
        <f>IF(Místicos!J55&lt;&gt;0,Místicos!J55,"Nombre de la invocación")</f>
        <v>Nombre de la invocación</v>
      </c>
      <c r="L99" s="8219"/>
      <c r="M99" s="8219"/>
      <c r="N99" s="8219"/>
      <c r="O99" s="8219"/>
      <c r="P99" s="8219"/>
      <c r="Q99" s="8220"/>
      <c r="S99" s="8218" t="str">
        <f>IF(Místicos!J56&lt;&gt;0,Místicos!J56,"Nombre de la invocación")</f>
        <v>Nombre de la invocación</v>
      </c>
      <c r="T99" s="8219"/>
      <c r="U99" s="8219"/>
      <c r="V99" s="8219"/>
      <c r="W99" s="8219"/>
      <c r="X99" s="8219"/>
      <c r="Y99" s="8220"/>
      <c r="Z99" s="4091"/>
      <c r="AA99" s="4088"/>
    </row>
    <row r="100" spans="1:27">
      <c r="A100" s="4088"/>
      <c r="B100" s="4089"/>
      <c r="C100" s="8221"/>
      <c r="D100" s="8222"/>
      <c r="E100" s="8223"/>
      <c r="F100" s="4079" t="s">
        <v>12100</v>
      </c>
      <c r="G100" s="4080" t="str">
        <f>IFERROR(VLOOKUP(C99,'Tablas Invocaciones'!$C$9:$E$153,2,0),"")</f>
        <v/>
      </c>
      <c r="H100" s="4081" t="s">
        <v>12101</v>
      </c>
      <c r="I100" s="4082" t="str">
        <f>IFERROR(VLOOKUP(C99,'Tablas Invocaciones'!$C$9:$E$153,3,0),"")</f>
        <v/>
      </c>
      <c r="K100" s="8221"/>
      <c r="L100" s="8222"/>
      <c r="M100" s="8223"/>
      <c r="N100" s="4079" t="s">
        <v>12100</v>
      </c>
      <c r="O100" s="4080" t="str">
        <f>IFERROR(VLOOKUP(K99,'Tablas Invocaciones'!$C$9:$E$153,2,0),"")</f>
        <v/>
      </c>
      <c r="P100" s="4081" t="s">
        <v>12101</v>
      </c>
      <c r="Q100" s="4082" t="str">
        <f>IFERROR(VLOOKUP(K99,'Tablas Invocaciones'!$C$9:$E$153,3,0),"")</f>
        <v/>
      </c>
      <c r="S100" s="8221"/>
      <c r="T100" s="8222"/>
      <c r="U100" s="8223"/>
      <c r="V100" s="4079" t="s">
        <v>12100</v>
      </c>
      <c r="W100" s="4080" t="str">
        <f>IFERROR(VLOOKUP(S99,'Tablas Invocaciones'!$C$9:$E$153,2,0),"")</f>
        <v/>
      </c>
      <c r="X100" s="4081" t="s">
        <v>12101</v>
      </c>
      <c r="Y100" s="4082" t="str">
        <f>IFERROR(VLOOKUP(S99,'Tablas Invocaciones'!$C$9:$E$153,3,0),"")</f>
        <v/>
      </c>
      <c r="Z100" s="4091"/>
      <c r="AA100" s="4088"/>
    </row>
    <row r="101" spans="1:27" ht="12.75" customHeight="1">
      <c r="A101" s="4088"/>
      <c r="B101" s="4089"/>
      <c r="C101" s="4072" t="s">
        <v>8351</v>
      </c>
      <c r="D101" s="4073" t="str">
        <f>IFERROR(VLOOKUP(C100,Tabla_PoderesInvocaciones,2,0),"")</f>
        <v/>
      </c>
      <c r="E101" s="8224" t="str">
        <f>IFERROR(VLOOKUP(C100,Tabla_PoderesInvocaciones,8,0),"")</f>
        <v/>
      </c>
      <c r="F101" s="8225"/>
      <c r="G101" s="8225"/>
      <c r="H101" s="8225"/>
      <c r="I101" s="8226"/>
      <c r="K101" s="4072" t="s">
        <v>8351</v>
      </c>
      <c r="L101" s="4073" t="str">
        <f>IFERROR(VLOOKUP(K100,Tabla_PoderesInvocaciones,2,0),"")</f>
        <v/>
      </c>
      <c r="M101" s="8224" t="str">
        <f>IFERROR(VLOOKUP(K100,Tabla_PoderesInvocaciones,8,0),"")</f>
        <v/>
      </c>
      <c r="N101" s="8225"/>
      <c r="O101" s="8225"/>
      <c r="P101" s="8225"/>
      <c r="Q101" s="8226"/>
      <c r="S101" s="4072" t="s">
        <v>8351</v>
      </c>
      <c r="T101" s="4073" t="str">
        <f>IFERROR(VLOOKUP(S100,Tabla_PoderesInvocaciones,2,0),"")</f>
        <v/>
      </c>
      <c r="U101" s="8224" t="str">
        <f>IFERROR(VLOOKUP(S100,Tabla_PoderesInvocaciones,8,0),"")</f>
        <v/>
      </c>
      <c r="V101" s="8225"/>
      <c r="W101" s="8225"/>
      <c r="X101" s="8225"/>
      <c r="Y101" s="8226"/>
      <c r="Z101" s="4091"/>
      <c r="AA101" s="4088"/>
    </row>
    <row r="102" spans="1:27">
      <c r="A102" s="4088"/>
      <c r="B102" s="4089"/>
      <c r="C102" s="4074" t="s">
        <v>12102</v>
      </c>
      <c r="D102" s="4075" t="str">
        <f>IFERROR(VLOOKUP(C100,Tabla_PoderesInvocaciones,3,0),"")</f>
        <v/>
      </c>
      <c r="E102" s="8227"/>
      <c r="F102" s="8228"/>
      <c r="G102" s="8228"/>
      <c r="H102" s="8228"/>
      <c r="I102" s="8229"/>
      <c r="K102" s="4074" t="s">
        <v>12102</v>
      </c>
      <c r="L102" s="4075" t="str">
        <f>IFERROR(VLOOKUP(K100,Tabla_PoderesInvocaciones,3,0),"")</f>
        <v/>
      </c>
      <c r="M102" s="8227"/>
      <c r="N102" s="8228"/>
      <c r="O102" s="8228"/>
      <c r="P102" s="8228"/>
      <c r="Q102" s="8229"/>
      <c r="S102" s="4074" t="s">
        <v>12102</v>
      </c>
      <c r="T102" s="4075" t="str">
        <f>IFERROR(VLOOKUP(S100,Tabla_PoderesInvocaciones,3,0),"")</f>
        <v/>
      </c>
      <c r="U102" s="8227"/>
      <c r="V102" s="8228"/>
      <c r="W102" s="8228"/>
      <c r="X102" s="8228"/>
      <c r="Y102" s="8229"/>
      <c r="Z102" s="4091"/>
      <c r="AA102" s="4088"/>
    </row>
    <row r="103" spans="1:27">
      <c r="A103" s="4088"/>
      <c r="B103" s="4089"/>
      <c r="C103" s="4076" t="s">
        <v>5819</v>
      </c>
      <c r="D103" s="4077" t="str">
        <f>IFERROR(VLOOKUP(C100,Tabla_PoderesInvocaciones,4,0),"")</f>
        <v/>
      </c>
      <c r="E103" s="8227"/>
      <c r="F103" s="8228"/>
      <c r="G103" s="8228"/>
      <c r="H103" s="8228"/>
      <c r="I103" s="8229"/>
      <c r="K103" s="4076" t="s">
        <v>5819</v>
      </c>
      <c r="L103" s="4077" t="str">
        <f>IFERROR(VLOOKUP(K100,Tabla_PoderesInvocaciones,4,0),"")</f>
        <v/>
      </c>
      <c r="M103" s="8227"/>
      <c r="N103" s="8228"/>
      <c r="O103" s="8228"/>
      <c r="P103" s="8228"/>
      <c r="Q103" s="8229"/>
      <c r="S103" s="4076" t="s">
        <v>5819</v>
      </c>
      <c r="T103" s="4077" t="str">
        <f>IFERROR(VLOOKUP(S100,Tabla_PoderesInvocaciones,4,0),"")</f>
        <v/>
      </c>
      <c r="U103" s="8227"/>
      <c r="V103" s="8228"/>
      <c r="W103" s="8228"/>
      <c r="X103" s="8228"/>
      <c r="Y103" s="8229"/>
      <c r="Z103" s="4091"/>
      <c r="AA103" s="4088"/>
    </row>
    <row r="104" spans="1:27">
      <c r="A104" s="4088"/>
      <c r="B104" s="4089"/>
      <c r="C104" s="4074" t="s">
        <v>6797</v>
      </c>
      <c r="D104" s="4075" t="str">
        <f>IFERROR(VLOOKUP(C100,Tabla_PoderesInvocaciones,5,0),"")</f>
        <v/>
      </c>
      <c r="E104" s="8227"/>
      <c r="F104" s="8228"/>
      <c r="G104" s="8228"/>
      <c r="H104" s="8228"/>
      <c r="I104" s="8229"/>
      <c r="K104" s="4074" t="s">
        <v>6797</v>
      </c>
      <c r="L104" s="4075" t="str">
        <f>IFERROR(VLOOKUP(K100,Tabla_PoderesInvocaciones,5,0),"")</f>
        <v/>
      </c>
      <c r="M104" s="8227"/>
      <c r="N104" s="8228"/>
      <c r="O104" s="8228"/>
      <c r="P104" s="8228"/>
      <c r="Q104" s="8229"/>
      <c r="S104" s="4074" t="s">
        <v>6797</v>
      </c>
      <c r="T104" s="4075" t="str">
        <f>IFERROR(VLOOKUP(S100,Tabla_PoderesInvocaciones,5,0),"")</f>
        <v/>
      </c>
      <c r="U104" s="8227"/>
      <c r="V104" s="8228"/>
      <c r="W104" s="8228"/>
      <c r="X104" s="8228"/>
      <c r="Y104" s="8229"/>
      <c r="Z104" s="4091"/>
      <c r="AA104" s="4088"/>
    </row>
    <row r="105" spans="1:27">
      <c r="A105" s="4088"/>
      <c r="B105" s="4089"/>
      <c r="C105" s="4078" t="s">
        <v>7894</v>
      </c>
      <c r="D105" s="4077" t="str">
        <f>IFERROR(VLOOKUP(C100,Tabla_PoderesInvocaciones,6,0),"")</f>
        <v/>
      </c>
      <c r="E105" s="8230"/>
      <c r="F105" s="8231"/>
      <c r="G105" s="8231"/>
      <c r="H105" s="8231"/>
      <c r="I105" s="8232"/>
      <c r="K105" s="4078" t="s">
        <v>7894</v>
      </c>
      <c r="L105" s="4077" t="str">
        <f>IFERROR(VLOOKUP(K100,Tabla_PoderesInvocaciones,6,0),"")</f>
        <v/>
      </c>
      <c r="M105" s="8230"/>
      <c r="N105" s="8231"/>
      <c r="O105" s="8231"/>
      <c r="P105" s="8231"/>
      <c r="Q105" s="8232"/>
      <c r="S105" s="4078" t="s">
        <v>7894</v>
      </c>
      <c r="T105" s="4077" t="str">
        <f>IFERROR(VLOOKUP(S100,Tabla_PoderesInvocaciones,6,0),"")</f>
        <v/>
      </c>
      <c r="U105" s="8230"/>
      <c r="V105" s="8231"/>
      <c r="W105" s="8231"/>
      <c r="X105" s="8231"/>
      <c r="Y105" s="8232"/>
      <c r="Z105" s="4091"/>
      <c r="AA105" s="4088"/>
    </row>
    <row r="106" spans="1:27">
      <c r="A106" s="4088"/>
      <c r="B106" s="4089"/>
      <c r="C106" s="8233" t="s">
        <v>12103</v>
      </c>
      <c r="D106" s="8234"/>
      <c r="E106" s="8237" t="str">
        <f>IFERROR(VLOOKUP(C100,Tabla_PoderesInvocaciones,7,0),"")</f>
        <v/>
      </c>
      <c r="F106" s="8238"/>
      <c r="G106" s="8238"/>
      <c r="H106" s="8238"/>
      <c r="I106" s="8239"/>
      <c r="K106" s="8233" t="s">
        <v>12103</v>
      </c>
      <c r="L106" s="8234"/>
      <c r="M106" s="8237" t="str">
        <f>IFERROR(VLOOKUP(K100,Tabla_PoderesInvocaciones,7,0),"")</f>
        <v/>
      </c>
      <c r="N106" s="8238"/>
      <c r="O106" s="8238"/>
      <c r="P106" s="8238"/>
      <c r="Q106" s="8239"/>
      <c r="S106" s="8233" t="s">
        <v>12103</v>
      </c>
      <c r="T106" s="8234"/>
      <c r="U106" s="8237" t="str">
        <f>IFERROR(VLOOKUP(S100,Tabla_PoderesInvocaciones,7,0),"")</f>
        <v/>
      </c>
      <c r="V106" s="8238"/>
      <c r="W106" s="8238"/>
      <c r="X106" s="8238"/>
      <c r="Y106" s="8239"/>
      <c r="Z106" s="4091"/>
      <c r="AA106" s="4088"/>
    </row>
    <row r="107" spans="1:27" ht="13.5" thickBot="1">
      <c r="A107" s="4088"/>
      <c r="B107" s="4089"/>
      <c r="C107" s="8235"/>
      <c r="D107" s="8236"/>
      <c r="E107" s="8240"/>
      <c r="F107" s="8241"/>
      <c r="G107" s="8241"/>
      <c r="H107" s="8241"/>
      <c r="I107" s="8242"/>
      <c r="K107" s="8235"/>
      <c r="L107" s="8236"/>
      <c r="M107" s="8240"/>
      <c r="N107" s="8241"/>
      <c r="O107" s="8241"/>
      <c r="P107" s="8241"/>
      <c r="Q107" s="8242"/>
      <c r="S107" s="8235"/>
      <c r="T107" s="8236"/>
      <c r="U107" s="8240"/>
      <c r="V107" s="8241"/>
      <c r="W107" s="8241"/>
      <c r="X107" s="8241"/>
      <c r="Y107" s="8242"/>
      <c r="Z107" s="4091"/>
      <c r="AA107" s="4088"/>
    </row>
    <row r="108" spans="1:27" ht="13.5" thickBot="1">
      <c r="A108" s="4088"/>
      <c r="B108" s="4089"/>
      <c r="C108" s="4092" t="e">
        <f>SUBSTITUTE(IF(C99="","",VLOOKUP(C99,Tabla_GrimorioInvocaciones,2,FALSE)),".","")</f>
        <v>#N/A</v>
      </c>
      <c r="D108" s="4093"/>
      <c r="E108" s="4094"/>
      <c r="F108" s="4094"/>
      <c r="G108" s="4094"/>
      <c r="H108" s="4094"/>
      <c r="I108" s="4094"/>
      <c r="K108" s="4092" t="e">
        <f>SUBSTITUTE(IF(K99="","",VLOOKUP(K99,Tabla_GrimorioInvocaciones,2,FALSE)),".","")</f>
        <v>#N/A</v>
      </c>
      <c r="L108" s="4093"/>
      <c r="M108" s="4094"/>
      <c r="N108" s="4094"/>
      <c r="O108" s="4094"/>
      <c r="P108" s="4094"/>
      <c r="Q108" s="4094"/>
      <c r="S108" s="4092" t="e">
        <f>SUBSTITUTE(IF(S99="","",VLOOKUP(S99,Tabla_GrimorioInvocaciones,2,FALSE)),".","")</f>
        <v>#N/A</v>
      </c>
      <c r="T108" s="4093"/>
      <c r="U108" s="4094"/>
      <c r="V108" s="4094"/>
      <c r="W108" s="4094"/>
      <c r="X108" s="4094"/>
      <c r="Y108" s="4094"/>
      <c r="Z108" s="4091"/>
      <c r="AA108" s="4088"/>
    </row>
    <row r="109" spans="1:27">
      <c r="A109" s="4095"/>
      <c r="B109" s="4096"/>
      <c r="C109" s="4096"/>
      <c r="D109" s="4096"/>
      <c r="E109" s="4096"/>
      <c r="F109" s="4096"/>
      <c r="G109" s="4096"/>
      <c r="H109" s="4096"/>
      <c r="I109" s="4096"/>
      <c r="J109" s="4096"/>
      <c r="K109" s="4096"/>
      <c r="L109" s="4096"/>
      <c r="M109" s="4096"/>
      <c r="N109" s="4096"/>
      <c r="O109" s="4096"/>
      <c r="P109" s="4096"/>
      <c r="Q109" s="4096"/>
      <c r="R109" s="4096"/>
      <c r="S109" s="4096"/>
      <c r="T109" s="4096"/>
      <c r="U109" s="4096"/>
      <c r="V109" s="4096"/>
      <c r="W109" s="4096"/>
      <c r="X109" s="4096"/>
      <c r="Y109" s="4096"/>
      <c r="Z109" s="4096"/>
      <c r="AA109" s="4095"/>
    </row>
  </sheetData>
  <sheetProtection sheet="1" selectLockedCells="1"/>
  <mergeCells count="138">
    <mergeCell ref="E101:I105"/>
    <mergeCell ref="M101:Q105"/>
    <mergeCell ref="U101:Y105"/>
    <mergeCell ref="C106:D107"/>
    <mergeCell ref="E106:I107"/>
    <mergeCell ref="K106:L107"/>
    <mergeCell ref="M106:Q107"/>
    <mergeCell ref="S106:T107"/>
    <mergeCell ref="U106:Y107"/>
    <mergeCell ref="C99:I99"/>
    <mergeCell ref="K99:Q99"/>
    <mergeCell ref="S99:Y99"/>
    <mergeCell ref="C100:E100"/>
    <mergeCell ref="K100:M100"/>
    <mergeCell ref="S100:U100"/>
    <mergeCell ref="E90:I94"/>
    <mergeCell ref="M90:Q94"/>
    <mergeCell ref="U90:Y94"/>
    <mergeCell ref="C95:D96"/>
    <mergeCell ref="E95:I96"/>
    <mergeCell ref="K95:L96"/>
    <mergeCell ref="M95:Q96"/>
    <mergeCell ref="S95:T96"/>
    <mergeCell ref="U95:Y96"/>
    <mergeCell ref="C88:I88"/>
    <mergeCell ref="K88:Q88"/>
    <mergeCell ref="S88:Y88"/>
    <mergeCell ref="C89:E89"/>
    <mergeCell ref="K89:M89"/>
    <mergeCell ref="S89:U89"/>
    <mergeCell ref="E79:I83"/>
    <mergeCell ref="M79:Q83"/>
    <mergeCell ref="U79:Y83"/>
    <mergeCell ref="C84:D85"/>
    <mergeCell ref="E84:I85"/>
    <mergeCell ref="K84:L85"/>
    <mergeCell ref="M84:Q85"/>
    <mergeCell ref="S84:T85"/>
    <mergeCell ref="U84:Y85"/>
    <mergeCell ref="C77:I77"/>
    <mergeCell ref="K77:Q77"/>
    <mergeCell ref="S77:Y77"/>
    <mergeCell ref="C78:E78"/>
    <mergeCell ref="K78:M78"/>
    <mergeCell ref="S78:U78"/>
    <mergeCell ref="E68:I72"/>
    <mergeCell ref="M68:Q72"/>
    <mergeCell ref="U68:Y72"/>
    <mergeCell ref="C73:D74"/>
    <mergeCell ref="E73:I74"/>
    <mergeCell ref="K73:L74"/>
    <mergeCell ref="M73:Q74"/>
    <mergeCell ref="S73:T74"/>
    <mergeCell ref="U73:Y74"/>
    <mergeCell ref="C66:I66"/>
    <mergeCell ref="K66:Q66"/>
    <mergeCell ref="S66:Y66"/>
    <mergeCell ref="C67:E67"/>
    <mergeCell ref="K67:M67"/>
    <mergeCell ref="S67:U67"/>
    <mergeCell ref="E57:I61"/>
    <mergeCell ref="M57:Q61"/>
    <mergeCell ref="U57:Y61"/>
    <mergeCell ref="C62:D63"/>
    <mergeCell ref="E62:I63"/>
    <mergeCell ref="K62:L63"/>
    <mergeCell ref="M62:Q63"/>
    <mergeCell ref="S62:T63"/>
    <mergeCell ref="U62:Y63"/>
    <mergeCell ref="C55:I55"/>
    <mergeCell ref="K55:Q55"/>
    <mergeCell ref="S55:Y55"/>
    <mergeCell ref="C56:E56"/>
    <mergeCell ref="K56:M56"/>
    <mergeCell ref="S56:U56"/>
    <mergeCell ref="E46:I50"/>
    <mergeCell ref="M46:Q50"/>
    <mergeCell ref="U46:Y50"/>
    <mergeCell ref="C51:D52"/>
    <mergeCell ref="E51:I52"/>
    <mergeCell ref="K51:L52"/>
    <mergeCell ref="M51:Q52"/>
    <mergeCell ref="S51:T52"/>
    <mergeCell ref="U51:Y52"/>
    <mergeCell ref="C44:I44"/>
    <mergeCell ref="K44:Q44"/>
    <mergeCell ref="S44:Y44"/>
    <mergeCell ref="C45:E45"/>
    <mergeCell ref="K45:M45"/>
    <mergeCell ref="S45:U45"/>
    <mergeCell ref="E35:I39"/>
    <mergeCell ref="M35:Q39"/>
    <mergeCell ref="U35:Y39"/>
    <mergeCell ref="C40:D41"/>
    <mergeCell ref="E40:I41"/>
    <mergeCell ref="K40:L41"/>
    <mergeCell ref="M40:Q41"/>
    <mergeCell ref="S40:T41"/>
    <mergeCell ref="U40:Y41"/>
    <mergeCell ref="C33:I33"/>
    <mergeCell ref="K33:Q33"/>
    <mergeCell ref="S33:Y33"/>
    <mergeCell ref="C34:E34"/>
    <mergeCell ref="K34:M34"/>
    <mergeCell ref="S34:U34"/>
    <mergeCell ref="E24:I28"/>
    <mergeCell ref="M24:Q28"/>
    <mergeCell ref="U24:Y28"/>
    <mergeCell ref="C29:D30"/>
    <mergeCell ref="E29:I30"/>
    <mergeCell ref="K29:L30"/>
    <mergeCell ref="M29:Q30"/>
    <mergeCell ref="S29:T30"/>
    <mergeCell ref="U29:Y30"/>
    <mergeCell ref="C22:I22"/>
    <mergeCell ref="K22:Q22"/>
    <mergeCell ref="S22:Y22"/>
    <mergeCell ref="C23:E23"/>
    <mergeCell ref="K23:M23"/>
    <mergeCell ref="S23:U23"/>
    <mergeCell ref="E13:I17"/>
    <mergeCell ref="M13:Q17"/>
    <mergeCell ref="U13:Y17"/>
    <mergeCell ref="C18:D19"/>
    <mergeCell ref="E18:I19"/>
    <mergeCell ref="K18:L19"/>
    <mergeCell ref="M18:Q19"/>
    <mergeCell ref="S18:T19"/>
    <mergeCell ref="U18:Y19"/>
    <mergeCell ref="Q6:W7"/>
    <mergeCell ref="S4:T4"/>
    <mergeCell ref="S5:T5"/>
    <mergeCell ref="C11:I11"/>
    <mergeCell ref="K11:Q11"/>
    <mergeCell ref="S11:Y11"/>
    <mergeCell ref="C12:E12"/>
    <mergeCell ref="K12:M12"/>
    <mergeCell ref="S12:U12"/>
  </mergeCells>
  <dataValidations count="2">
    <dataValidation type="list" allowBlank="1" showInputMessage="1" showErrorMessage="1" sqref="C12:E12" xr:uid="{750AC058-65DE-4530-9105-55482A24C1EE}">
      <formula1>INDIRECT($C$20)</formula1>
    </dataValidation>
    <dataValidation type="list" allowBlank="1" showInputMessage="1" showErrorMessage="1" sqref="K12:M12 S12:U12 C23:E23 K23:M23 S23:U23 C34:E34 K34:M34 S34:U34 C45:E45 K45:M45 S45:U45 S56:U56 K56:M56 C56:E56 C67:E67 K67:M67 S67:U67 C78:E78 K78:M78 S78:U78 C89:E89 C100:E100 K89:M89 K100:M100 S89:U89 S100:U100" xr:uid="{565093DA-8D8F-4DA3-8F02-EDDA4F6398FD}">
      <formula1>INDIRECT(C20)</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779"/>
  <sheetViews>
    <sheetView zoomScale="70" zoomScaleNormal="70" workbookViewId="0">
      <pane xSplit="4" ySplit="5" topLeftCell="E756" activePane="bottomRight" state="frozen"/>
      <selection pane="topRight" activeCell="D1" sqref="D1"/>
      <selection pane="bottomLeft" activeCell="A6" sqref="A6"/>
      <selection pane="bottomRight" activeCell="Y762" sqref="Y762"/>
    </sheetView>
  </sheetViews>
  <sheetFormatPr baseColWidth="10" defaultColWidth="11.42578125" defaultRowHeight="12.75"/>
  <cols>
    <col min="1" max="1" width="2" style="214" customWidth="1"/>
    <col min="2" max="3" width="9.42578125" style="242" customWidth="1"/>
    <col min="4" max="4" width="27.5703125" style="332" customWidth="1"/>
    <col min="5" max="5" width="9.42578125" style="332" customWidth="1"/>
    <col min="6" max="6" width="9.42578125" style="333" customWidth="1"/>
    <col min="7" max="9" width="9.42578125" style="334" customWidth="1"/>
    <col min="10" max="26" width="9.42578125" style="332" customWidth="1"/>
    <col min="27" max="16384" width="11.42578125" style="332"/>
  </cols>
  <sheetData>
    <row r="1" spans="1:27" ht="12.75" customHeight="1" thickBot="1"/>
    <row r="2" spans="1:27" ht="12.75" customHeight="1">
      <c r="B2" s="731"/>
      <c r="C2" s="731"/>
      <c r="D2" s="7154"/>
      <c r="E2" s="7154"/>
      <c r="F2" s="7154"/>
      <c r="G2" s="7154"/>
      <c r="H2" s="7154"/>
      <c r="I2" s="7154"/>
      <c r="J2" s="7154"/>
      <c r="K2" s="7154"/>
      <c r="L2" s="7154"/>
      <c r="M2" s="7154"/>
      <c r="N2" s="7154"/>
      <c r="O2" s="7154"/>
      <c r="P2" s="7154"/>
      <c r="Q2" s="7154"/>
      <c r="R2" s="7154"/>
      <c r="S2" s="7154"/>
      <c r="T2" s="7154"/>
      <c r="U2" s="7154"/>
      <c r="V2" s="7154"/>
      <c r="W2" s="7154"/>
      <c r="X2" s="7154"/>
      <c r="Y2" s="7154"/>
      <c r="Z2" s="7154"/>
      <c r="AA2" s="7155"/>
    </row>
    <row r="3" spans="1:27" ht="12.75" customHeight="1">
      <c r="B3" s="731"/>
      <c r="C3" s="731"/>
      <c r="D3" s="7157"/>
      <c r="E3" s="7157"/>
      <c r="F3" s="7157"/>
      <c r="G3" s="7157"/>
      <c r="H3" s="7157"/>
      <c r="I3" s="7157"/>
      <c r="J3" s="7157"/>
      <c r="K3" s="7157"/>
      <c r="L3" s="7157"/>
      <c r="M3" s="7157"/>
      <c r="N3" s="7157"/>
      <c r="O3" s="7157"/>
      <c r="P3" s="7157"/>
      <c r="Q3" s="7157"/>
      <c r="R3" s="7157"/>
      <c r="S3" s="7157"/>
      <c r="T3" s="7157"/>
      <c r="U3" s="7157"/>
      <c r="V3" s="7157"/>
      <c r="W3" s="7157"/>
      <c r="X3" s="7157"/>
      <c r="Y3" s="7157"/>
      <c r="Z3" s="7157"/>
      <c r="AA3" s="7158"/>
    </row>
    <row r="4" spans="1:27" ht="12.75" customHeight="1">
      <c r="B4" s="731"/>
      <c r="C4" s="731"/>
      <c r="D4" s="330">
        <v>1</v>
      </c>
      <c r="E4" s="330">
        <v>2</v>
      </c>
      <c r="F4" s="330">
        <v>3</v>
      </c>
      <c r="G4" s="330">
        <v>4</v>
      </c>
      <c r="H4" s="330">
        <v>5</v>
      </c>
      <c r="I4" s="330">
        <v>6</v>
      </c>
      <c r="J4" s="330">
        <v>7</v>
      </c>
      <c r="K4" s="330">
        <v>8</v>
      </c>
      <c r="L4" s="330">
        <v>9</v>
      </c>
      <c r="M4" s="337">
        <v>10</v>
      </c>
      <c r="N4" s="337">
        <v>11</v>
      </c>
      <c r="O4" s="337">
        <v>12</v>
      </c>
      <c r="P4" s="337">
        <v>13</v>
      </c>
      <c r="Q4" s="337">
        <v>14</v>
      </c>
      <c r="R4" s="337">
        <v>15</v>
      </c>
      <c r="S4" s="337">
        <v>16</v>
      </c>
      <c r="T4" s="337">
        <v>17</v>
      </c>
      <c r="U4" s="337">
        <v>18</v>
      </c>
      <c r="V4" s="337">
        <v>19</v>
      </c>
      <c r="W4" s="337">
        <v>20</v>
      </c>
      <c r="X4" s="337">
        <v>21</v>
      </c>
      <c r="Y4" s="337">
        <v>22</v>
      </c>
      <c r="Z4" s="337">
        <v>23</v>
      </c>
      <c r="AA4" s="338">
        <v>24</v>
      </c>
    </row>
    <row r="5" spans="1:27" ht="12.75" customHeight="1" thickBot="1">
      <c r="D5" s="340" t="s">
        <v>1548</v>
      </c>
      <c r="E5" s="340" t="s">
        <v>1549</v>
      </c>
      <c r="F5" s="340" t="s">
        <v>1262</v>
      </c>
      <c r="G5" s="340" t="s">
        <v>3022</v>
      </c>
      <c r="H5" s="340" t="s">
        <v>1258</v>
      </c>
      <c r="I5" s="340" t="s">
        <v>2658</v>
      </c>
      <c r="J5" s="340" t="s">
        <v>3023</v>
      </c>
      <c r="K5" s="340" t="s">
        <v>3024</v>
      </c>
      <c r="L5" s="340" t="s">
        <v>3025</v>
      </c>
      <c r="M5" s="340" t="s">
        <v>3026</v>
      </c>
      <c r="N5" s="340" t="s">
        <v>3027</v>
      </c>
      <c r="O5" s="340" t="s">
        <v>3028</v>
      </c>
      <c r="P5" s="340" t="s">
        <v>3029</v>
      </c>
      <c r="Q5" s="340" t="s">
        <v>3030</v>
      </c>
      <c r="R5" s="340" t="s">
        <v>3031</v>
      </c>
      <c r="S5" s="340" t="s">
        <v>3032</v>
      </c>
      <c r="T5" s="340" t="s">
        <v>3033</v>
      </c>
      <c r="U5" s="340" t="s">
        <v>3034</v>
      </c>
      <c r="V5" s="276" t="s">
        <v>1225</v>
      </c>
      <c r="W5" s="276" t="s">
        <v>3035</v>
      </c>
      <c r="X5" s="276" t="s">
        <v>3036</v>
      </c>
      <c r="Y5" s="276" t="s">
        <v>3037</v>
      </c>
      <c r="Z5" s="276" t="s">
        <v>1095</v>
      </c>
      <c r="AA5" s="277" t="s">
        <v>9937</v>
      </c>
    </row>
    <row r="6" spans="1:27" ht="12.75" customHeight="1">
      <c r="A6" s="8243"/>
      <c r="D6" s="257" t="s">
        <v>200</v>
      </c>
      <c r="E6" s="342"/>
      <c r="F6" s="342"/>
      <c r="G6" s="343"/>
      <c r="H6" s="343"/>
      <c r="I6" s="344"/>
      <c r="J6" s="342"/>
      <c r="K6" s="342"/>
      <c r="L6" s="342"/>
      <c r="M6" s="345"/>
      <c r="N6" s="342"/>
      <c r="O6" s="342"/>
      <c r="P6" s="342"/>
      <c r="Q6" s="345"/>
      <c r="R6" s="342"/>
      <c r="S6" s="342"/>
      <c r="T6" s="2487"/>
      <c r="U6" s="346"/>
      <c r="V6" s="2485"/>
      <c r="W6" s="2485"/>
      <c r="X6" s="2485"/>
      <c r="Y6" s="2485"/>
      <c r="Z6" s="2485"/>
      <c r="AA6" s="347"/>
    </row>
    <row r="7" spans="1:27" ht="12.75" customHeight="1">
      <c r="A7" s="8243"/>
      <c r="B7" s="242" t="str">
        <f>E7&amp;F7</f>
        <v>Luz2</v>
      </c>
      <c r="D7" s="257" t="s">
        <v>202</v>
      </c>
      <c r="E7" s="342" t="s">
        <v>1553</v>
      </c>
      <c r="F7" s="342">
        <v>2</v>
      </c>
      <c r="G7" s="343" t="s">
        <v>2422</v>
      </c>
      <c r="H7" s="343" t="s">
        <v>1095</v>
      </c>
      <c r="I7" s="344" t="s">
        <v>1165</v>
      </c>
      <c r="J7" s="342">
        <v>5</v>
      </c>
      <c r="K7" s="342">
        <v>8</v>
      </c>
      <c r="L7" s="342">
        <v>10</v>
      </c>
      <c r="M7" s="345">
        <v>12</v>
      </c>
      <c r="N7" s="342">
        <v>20</v>
      </c>
      <c r="O7" s="342">
        <v>50</v>
      </c>
      <c r="P7" s="342">
        <v>100</v>
      </c>
      <c r="Q7" s="345">
        <v>200</v>
      </c>
      <c r="R7" s="342">
        <v>5</v>
      </c>
      <c r="S7" s="342">
        <v>5</v>
      </c>
      <c r="T7" s="2487">
        <v>10</v>
      </c>
      <c r="U7" s="348">
        <v>15</v>
      </c>
      <c r="V7" s="2485" t="s">
        <v>3038</v>
      </c>
      <c r="W7" s="2485" t="s">
        <v>3039</v>
      </c>
      <c r="X7" s="2485" t="s">
        <v>3040</v>
      </c>
      <c r="Y7" s="2485" t="s">
        <v>3041</v>
      </c>
      <c r="Z7" s="2485" t="s">
        <v>3042</v>
      </c>
      <c r="AA7" s="347"/>
    </row>
    <row r="8" spans="1:27" ht="12.75" customHeight="1">
      <c r="A8" s="8243"/>
      <c r="B8" s="242" t="str">
        <f t="shared" ref="B8:B71" si="0">E8&amp;F8</f>
        <v>Luz6</v>
      </c>
      <c r="D8" s="257" t="s">
        <v>215</v>
      </c>
      <c r="E8" s="342" t="s">
        <v>1553</v>
      </c>
      <c r="F8" s="342">
        <v>6</v>
      </c>
      <c r="G8" s="343" t="s">
        <v>1241</v>
      </c>
      <c r="H8" s="343" t="s">
        <v>1094</v>
      </c>
      <c r="I8" s="344" t="s">
        <v>1165</v>
      </c>
      <c r="J8" s="342">
        <v>5</v>
      </c>
      <c r="K8" s="342">
        <v>8</v>
      </c>
      <c r="L8" s="342">
        <v>11</v>
      </c>
      <c r="M8" s="345">
        <v>14</v>
      </c>
      <c r="N8" s="342">
        <v>40</v>
      </c>
      <c r="O8" s="342">
        <v>80</v>
      </c>
      <c r="P8" s="342">
        <v>120</v>
      </c>
      <c r="Q8" s="345">
        <v>160</v>
      </c>
      <c r="R8" s="342" t="s">
        <v>1241</v>
      </c>
      <c r="S8" s="342" t="s">
        <v>1241</v>
      </c>
      <c r="T8" s="2487" t="s">
        <v>1241</v>
      </c>
      <c r="U8" s="348" t="s">
        <v>1241</v>
      </c>
      <c r="V8" s="2485" t="s">
        <v>3043</v>
      </c>
      <c r="W8" s="2485" t="s">
        <v>3044</v>
      </c>
      <c r="X8" s="2485" t="s">
        <v>3045</v>
      </c>
      <c r="Y8" s="2485" t="s">
        <v>3046</v>
      </c>
      <c r="Z8" s="2485" t="s">
        <v>3047</v>
      </c>
      <c r="AA8" s="347"/>
    </row>
    <row r="9" spans="1:27" ht="12.75" customHeight="1">
      <c r="A9" s="8243"/>
      <c r="B9" s="242" t="str">
        <f t="shared" si="0"/>
        <v>Luz8</v>
      </c>
      <c r="D9" s="257" t="s">
        <v>216</v>
      </c>
      <c r="E9" s="342" t="s">
        <v>1553</v>
      </c>
      <c r="F9" s="342">
        <v>8</v>
      </c>
      <c r="G9" s="343" t="s">
        <v>1241</v>
      </c>
      <c r="H9" s="343" t="s">
        <v>3048</v>
      </c>
      <c r="I9" s="344" t="s">
        <v>1165</v>
      </c>
      <c r="J9" s="342">
        <v>6</v>
      </c>
      <c r="K9" s="342">
        <v>9</v>
      </c>
      <c r="L9" s="342">
        <v>11</v>
      </c>
      <c r="M9" s="345">
        <v>14</v>
      </c>
      <c r="N9" s="342">
        <v>50</v>
      </c>
      <c r="O9" s="342">
        <v>100</v>
      </c>
      <c r="P9" s="342">
        <v>150</v>
      </c>
      <c r="Q9" s="345">
        <v>200</v>
      </c>
      <c r="R9" s="342" t="s">
        <v>1241</v>
      </c>
      <c r="S9" s="342" t="s">
        <v>1241</v>
      </c>
      <c r="T9" s="2487" t="s">
        <v>1241</v>
      </c>
      <c r="U9" s="348" t="s">
        <v>1241</v>
      </c>
      <c r="V9" s="2485" t="s">
        <v>3049</v>
      </c>
      <c r="W9" s="2485" t="s">
        <v>3050</v>
      </c>
      <c r="X9" s="2485" t="s">
        <v>3051</v>
      </c>
      <c r="Y9" s="2485" t="s">
        <v>3052</v>
      </c>
      <c r="Z9" s="2485" t="s">
        <v>12860</v>
      </c>
      <c r="AA9" s="347"/>
    </row>
    <row r="10" spans="1:27" ht="12.75" customHeight="1">
      <c r="A10" s="8243"/>
      <c r="B10" s="242" t="str">
        <f t="shared" si="0"/>
        <v>Luz10</v>
      </c>
      <c r="D10" s="257" t="s">
        <v>217</v>
      </c>
      <c r="E10" s="342" t="s">
        <v>1553</v>
      </c>
      <c r="F10" s="342">
        <v>10</v>
      </c>
      <c r="G10" s="343" t="s">
        <v>1241</v>
      </c>
      <c r="H10" s="343" t="s">
        <v>1424</v>
      </c>
      <c r="I10" s="344" t="s">
        <v>1166</v>
      </c>
      <c r="J10" s="342">
        <v>6</v>
      </c>
      <c r="K10" s="342">
        <v>8</v>
      </c>
      <c r="L10" s="342">
        <v>10</v>
      </c>
      <c r="M10" s="345">
        <v>14</v>
      </c>
      <c r="N10" s="342">
        <v>50</v>
      </c>
      <c r="O10" s="342">
        <v>120</v>
      </c>
      <c r="P10" s="342">
        <v>180</v>
      </c>
      <c r="Q10" s="345">
        <v>250</v>
      </c>
      <c r="R10" s="342">
        <v>5</v>
      </c>
      <c r="S10" s="342">
        <v>15</v>
      </c>
      <c r="T10" s="2487">
        <v>20</v>
      </c>
      <c r="U10" s="348">
        <v>25</v>
      </c>
      <c r="V10" s="2485" t="s">
        <v>3053</v>
      </c>
      <c r="W10" s="2485" t="s">
        <v>3054</v>
      </c>
      <c r="X10" s="2485" t="s">
        <v>3055</v>
      </c>
      <c r="Y10" s="2485" t="s">
        <v>3056</v>
      </c>
      <c r="Z10" s="2485" t="s">
        <v>3057</v>
      </c>
      <c r="AA10" s="347"/>
    </row>
    <row r="11" spans="1:27" ht="12.75" customHeight="1">
      <c r="A11" s="8243"/>
      <c r="B11" s="242" t="str">
        <f t="shared" si="0"/>
        <v>Luz12</v>
      </c>
      <c r="D11" s="257" t="s">
        <v>218</v>
      </c>
      <c r="E11" s="342" t="s">
        <v>1553</v>
      </c>
      <c r="F11" s="342">
        <v>12</v>
      </c>
      <c r="G11" s="343" t="s">
        <v>1241</v>
      </c>
      <c r="H11" s="343" t="s">
        <v>1095</v>
      </c>
      <c r="I11" s="344" t="s">
        <v>1165</v>
      </c>
      <c r="J11" s="342">
        <v>6</v>
      </c>
      <c r="K11" s="342">
        <v>9</v>
      </c>
      <c r="L11" s="342">
        <v>12</v>
      </c>
      <c r="M11" s="345">
        <v>14</v>
      </c>
      <c r="N11" s="342">
        <v>50</v>
      </c>
      <c r="O11" s="342">
        <v>150</v>
      </c>
      <c r="P11" s="342">
        <v>200</v>
      </c>
      <c r="Q11" s="345">
        <v>250</v>
      </c>
      <c r="R11" s="342">
        <v>5</v>
      </c>
      <c r="S11" s="342">
        <v>15</v>
      </c>
      <c r="T11" s="2487">
        <v>20</v>
      </c>
      <c r="U11" s="348">
        <v>25</v>
      </c>
      <c r="V11" s="2485" t="s">
        <v>3058</v>
      </c>
      <c r="W11" s="2485" t="s">
        <v>3059</v>
      </c>
      <c r="X11" s="2485" t="s">
        <v>3060</v>
      </c>
      <c r="Y11" s="2485" t="s">
        <v>3061</v>
      </c>
      <c r="Z11" s="2485" t="s">
        <v>12861</v>
      </c>
      <c r="AA11" s="347"/>
    </row>
    <row r="12" spans="1:27" ht="12.75" customHeight="1">
      <c r="A12" s="8243"/>
      <c r="B12" s="242" t="str">
        <f t="shared" si="0"/>
        <v>Luz16</v>
      </c>
      <c r="D12" s="257" t="s">
        <v>219</v>
      </c>
      <c r="E12" s="342" t="s">
        <v>1553</v>
      </c>
      <c r="F12" s="342">
        <v>16</v>
      </c>
      <c r="G12" s="343" t="s">
        <v>1241</v>
      </c>
      <c r="H12" s="343" t="s">
        <v>1095</v>
      </c>
      <c r="I12" s="344" t="s">
        <v>1165</v>
      </c>
      <c r="J12" s="342">
        <v>6</v>
      </c>
      <c r="K12" s="342">
        <v>9</v>
      </c>
      <c r="L12" s="342">
        <v>12</v>
      </c>
      <c r="M12" s="345">
        <v>15</v>
      </c>
      <c r="N12" s="342">
        <v>60</v>
      </c>
      <c r="O12" s="342">
        <v>90</v>
      </c>
      <c r="P12" s="342">
        <v>120</v>
      </c>
      <c r="Q12" s="345">
        <v>150</v>
      </c>
      <c r="R12" s="342">
        <v>5</v>
      </c>
      <c r="S12" s="342">
        <v>10</v>
      </c>
      <c r="T12" s="2487">
        <v>15</v>
      </c>
      <c r="U12" s="348">
        <v>20</v>
      </c>
      <c r="V12" s="2485" t="s">
        <v>3062</v>
      </c>
      <c r="W12" s="2485" t="s">
        <v>3063</v>
      </c>
      <c r="X12" s="2485" t="s">
        <v>3064</v>
      </c>
      <c r="Y12" s="2485" t="s">
        <v>3065</v>
      </c>
      <c r="Z12" s="2485" t="s">
        <v>3066</v>
      </c>
      <c r="AA12" s="347"/>
    </row>
    <row r="13" spans="1:27" ht="12.75" customHeight="1">
      <c r="A13" s="8243"/>
      <c r="B13" s="242" t="str">
        <f t="shared" si="0"/>
        <v>Luz18</v>
      </c>
      <c r="D13" s="257" t="s">
        <v>220</v>
      </c>
      <c r="E13" s="342" t="s">
        <v>1553</v>
      </c>
      <c r="F13" s="342">
        <v>18</v>
      </c>
      <c r="G13" s="343" t="s">
        <v>1241</v>
      </c>
      <c r="H13" s="343" t="s">
        <v>1095</v>
      </c>
      <c r="I13" s="344" t="s">
        <v>1165</v>
      </c>
      <c r="J13" s="342">
        <v>6</v>
      </c>
      <c r="K13" s="342">
        <v>9</v>
      </c>
      <c r="L13" s="342">
        <v>12</v>
      </c>
      <c r="M13" s="345">
        <v>15</v>
      </c>
      <c r="N13" s="342">
        <v>60</v>
      </c>
      <c r="O13" s="342">
        <v>100</v>
      </c>
      <c r="P13" s="342">
        <v>150</v>
      </c>
      <c r="Q13" s="345">
        <v>250</v>
      </c>
      <c r="R13" s="342">
        <v>10</v>
      </c>
      <c r="S13" s="342">
        <v>10</v>
      </c>
      <c r="T13" s="2487">
        <v>15</v>
      </c>
      <c r="U13" s="348">
        <v>25</v>
      </c>
      <c r="V13" s="2485" t="s">
        <v>3067</v>
      </c>
      <c r="W13" s="2485" t="s">
        <v>3068</v>
      </c>
      <c r="X13" s="2485" t="s">
        <v>3069</v>
      </c>
      <c r="Y13" s="2485" t="s">
        <v>3070</v>
      </c>
      <c r="Z13" s="2485" t="s">
        <v>12862</v>
      </c>
      <c r="AA13" s="347"/>
    </row>
    <row r="14" spans="1:27" ht="12.75" customHeight="1">
      <c r="A14" s="8243"/>
      <c r="B14" s="242" t="str">
        <f t="shared" si="0"/>
        <v>Luz20</v>
      </c>
      <c r="D14" s="257" t="s">
        <v>221</v>
      </c>
      <c r="E14" s="342" t="s">
        <v>1553</v>
      </c>
      <c r="F14" s="342">
        <v>20</v>
      </c>
      <c r="G14" s="343" t="s">
        <v>1241</v>
      </c>
      <c r="H14" s="343" t="s">
        <v>1097</v>
      </c>
      <c r="I14" s="344" t="s">
        <v>1165</v>
      </c>
      <c r="J14" s="342">
        <v>6</v>
      </c>
      <c r="K14" s="342">
        <v>9</v>
      </c>
      <c r="L14" s="342">
        <v>12</v>
      </c>
      <c r="M14" s="345">
        <v>15</v>
      </c>
      <c r="N14" s="342">
        <v>50</v>
      </c>
      <c r="O14" s="342">
        <v>100</v>
      </c>
      <c r="P14" s="342">
        <v>160</v>
      </c>
      <c r="Q14" s="345">
        <v>280</v>
      </c>
      <c r="R14" s="342">
        <v>5</v>
      </c>
      <c r="S14" s="342">
        <v>10</v>
      </c>
      <c r="T14" s="2487">
        <v>20</v>
      </c>
      <c r="U14" s="348">
        <v>30</v>
      </c>
      <c r="V14" s="2485" t="s">
        <v>3071</v>
      </c>
      <c r="W14" s="2485" t="s">
        <v>3072</v>
      </c>
      <c r="X14" s="2485" t="s">
        <v>3073</v>
      </c>
      <c r="Y14" s="2485" t="s">
        <v>3074</v>
      </c>
      <c r="Z14" s="2485" t="s">
        <v>3075</v>
      </c>
      <c r="AA14" s="347"/>
    </row>
    <row r="15" spans="1:27" ht="12.75" customHeight="1">
      <c r="A15" s="8243"/>
      <c r="B15" s="242" t="str">
        <f t="shared" si="0"/>
        <v>Luz22</v>
      </c>
      <c r="D15" s="257" t="s">
        <v>222</v>
      </c>
      <c r="E15" s="342" t="s">
        <v>1553</v>
      </c>
      <c r="F15" s="342">
        <v>22</v>
      </c>
      <c r="G15" s="343" t="s">
        <v>1241</v>
      </c>
      <c r="H15" s="343" t="s">
        <v>1093</v>
      </c>
      <c r="I15" s="344" t="s">
        <v>1165</v>
      </c>
      <c r="J15" s="342">
        <v>6</v>
      </c>
      <c r="K15" s="342">
        <v>9</v>
      </c>
      <c r="L15" s="342">
        <v>12</v>
      </c>
      <c r="M15" s="345">
        <v>15</v>
      </c>
      <c r="N15" s="342">
        <v>50</v>
      </c>
      <c r="O15" s="342">
        <v>90</v>
      </c>
      <c r="P15" s="342">
        <v>120</v>
      </c>
      <c r="Q15" s="345">
        <v>150</v>
      </c>
      <c r="R15" s="342" t="s">
        <v>1241</v>
      </c>
      <c r="S15" s="342" t="s">
        <v>1241</v>
      </c>
      <c r="T15" s="2487" t="s">
        <v>1241</v>
      </c>
      <c r="U15" s="348" t="s">
        <v>1241</v>
      </c>
      <c r="V15" s="2485" t="s">
        <v>3076</v>
      </c>
      <c r="W15" s="2485" t="s">
        <v>3077</v>
      </c>
      <c r="X15" s="2485" t="s">
        <v>3078</v>
      </c>
      <c r="Y15" s="2485" t="s">
        <v>3079</v>
      </c>
      <c r="Z15" s="2485" t="s">
        <v>3080</v>
      </c>
      <c r="AA15" s="347"/>
    </row>
    <row r="16" spans="1:27" ht="12.75" customHeight="1">
      <c r="A16" s="8243"/>
      <c r="B16" s="242" t="str">
        <f t="shared" si="0"/>
        <v>Luz26</v>
      </c>
      <c r="D16" s="257" t="s">
        <v>205</v>
      </c>
      <c r="E16" s="342" t="s">
        <v>1553</v>
      </c>
      <c r="F16" s="342">
        <v>26</v>
      </c>
      <c r="G16" s="343" t="s">
        <v>1241</v>
      </c>
      <c r="H16" s="343" t="s">
        <v>1095</v>
      </c>
      <c r="I16" s="344" t="s">
        <v>1165</v>
      </c>
      <c r="J16" s="342">
        <v>6</v>
      </c>
      <c r="K16" s="342">
        <v>9</v>
      </c>
      <c r="L16" s="342">
        <v>12</v>
      </c>
      <c r="M16" s="345">
        <v>15</v>
      </c>
      <c r="N16" s="342">
        <v>40</v>
      </c>
      <c r="O16" s="342">
        <v>150</v>
      </c>
      <c r="P16" s="342">
        <v>250</v>
      </c>
      <c r="Q16" s="345">
        <v>350</v>
      </c>
      <c r="R16" s="342">
        <v>5</v>
      </c>
      <c r="S16" s="342">
        <v>20</v>
      </c>
      <c r="T16" s="2487">
        <v>25</v>
      </c>
      <c r="U16" s="348">
        <v>30</v>
      </c>
      <c r="V16" s="2485" t="s">
        <v>3081</v>
      </c>
      <c r="W16" s="2485" t="s">
        <v>3082</v>
      </c>
      <c r="X16" s="2485" t="s">
        <v>3083</v>
      </c>
      <c r="Y16" s="2485" t="s">
        <v>3084</v>
      </c>
      <c r="Z16" s="2485" t="s">
        <v>12863</v>
      </c>
      <c r="AA16" s="347"/>
    </row>
    <row r="17" spans="1:27" ht="12.75" customHeight="1">
      <c r="A17" s="8243"/>
      <c r="B17" s="242" t="str">
        <f t="shared" si="0"/>
        <v>Luz28</v>
      </c>
      <c r="D17" s="257" t="s">
        <v>223</v>
      </c>
      <c r="E17" s="342" t="s">
        <v>1553</v>
      </c>
      <c r="F17" s="342">
        <v>28</v>
      </c>
      <c r="G17" s="343" t="s">
        <v>1241</v>
      </c>
      <c r="H17" s="343" t="s">
        <v>1093</v>
      </c>
      <c r="I17" s="344" t="s">
        <v>1165</v>
      </c>
      <c r="J17" s="342">
        <v>6</v>
      </c>
      <c r="K17" s="342">
        <v>9</v>
      </c>
      <c r="L17" s="342">
        <v>12</v>
      </c>
      <c r="M17" s="345">
        <v>15</v>
      </c>
      <c r="N17" s="342">
        <v>60</v>
      </c>
      <c r="O17" s="342">
        <v>100</v>
      </c>
      <c r="P17" s="342">
        <v>140</v>
      </c>
      <c r="Q17" s="345">
        <v>180</v>
      </c>
      <c r="R17" s="342">
        <v>10</v>
      </c>
      <c r="S17" s="342">
        <v>10</v>
      </c>
      <c r="T17" s="2487">
        <v>15</v>
      </c>
      <c r="U17" s="348">
        <v>15</v>
      </c>
      <c r="V17" s="2485" t="s">
        <v>3085</v>
      </c>
      <c r="W17" s="2485" t="s">
        <v>3086</v>
      </c>
      <c r="X17" s="2485" t="s">
        <v>3087</v>
      </c>
      <c r="Y17" s="2485" t="s">
        <v>3088</v>
      </c>
      <c r="Z17" s="2485" t="s">
        <v>3089</v>
      </c>
      <c r="AA17" s="347"/>
    </row>
    <row r="18" spans="1:27" ht="12.75" customHeight="1">
      <c r="A18" s="8243"/>
      <c r="B18" s="242" t="str">
        <f t="shared" si="0"/>
        <v>Luz30</v>
      </c>
      <c r="D18" s="257" t="s">
        <v>224</v>
      </c>
      <c r="E18" s="342" t="s">
        <v>1553</v>
      </c>
      <c r="F18" s="342">
        <v>30</v>
      </c>
      <c r="G18" s="343" t="s">
        <v>1241</v>
      </c>
      <c r="H18" s="343" t="s">
        <v>1095</v>
      </c>
      <c r="I18" s="344" t="s">
        <v>1165</v>
      </c>
      <c r="J18" s="342">
        <v>6</v>
      </c>
      <c r="K18" s="342">
        <v>9</v>
      </c>
      <c r="L18" s="342">
        <v>12</v>
      </c>
      <c r="M18" s="345">
        <v>15</v>
      </c>
      <c r="N18" s="342">
        <v>50</v>
      </c>
      <c r="O18" s="342">
        <v>150</v>
      </c>
      <c r="P18" s="342">
        <v>250</v>
      </c>
      <c r="Q18" s="345">
        <v>250</v>
      </c>
      <c r="R18" s="342">
        <v>5</v>
      </c>
      <c r="S18" s="342">
        <v>20</v>
      </c>
      <c r="T18" s="2487">
        <v>25</v>
      </c>
      <c r="U18" s="348">
        <v>30</v>
      </c>
      <c r="V18" s="2485" t="s">
        <v>3090</v>
      </c>
      <c r="W18" s="2485" t="s">
        <v>3091</v>
      </c>
      <c r="X18" s="2485" t="s">
        <v>3092</v>
      </c>
      <c r="Y18" s="2485" t="s">
        <v>3093</v>
      </c>
      <c r="Z18" s="2485" t="s">
        <v>12864</v>
      </c>
      <c r="AA18" s="347"/>
    </row>
    <row r="19" spans="1:27" ht="12.75" customHeight="1">
      <c r="A19" s="8243"/>
      <c r="B19" s="242" t="str">
        <f t="shared" si="0"/>
        <v>Luz32</v>
      </c>
      <c r="D19" s="257" t="s">
        <v>225</v>
      </c>
      <c r="E19" s="342" t="s">
        <v>1553</v>
      </c>
      <c r="F19" s="342">
        <v>32</v>
      </c>
      <c r="G19" s="343" t="s">
        <v>1241</v>
      </c>
      <c r="H19" s="343" t="s">
        <v>1097</v>
      </c>
      <c r="I19" s="344" t="s">
        <v>1165</v>
      </c>
      <c r="J19" s="342">
        <v>6</v>
      </c>
      <c r="K19" s="342">
        <v>9</v>
      </c>
      <c r="L19" s="342">
        <v>12</v>
      </c>
      <c r="M19" s="345">
        <v>15</v>
      </c>
      <c r="N19" s="342">
        <v>60</v>
      </c>
      <c r="O19" s="342">
        <v>100</v>
      </c>
      <c r="P19" s="342">
        <v>150</v>
      </c>
      <c r="Q19" s="345">
        <v>300</v>
      </c>
      <c r="R19" s="342">
        <v>5</v>
      </c>
      <c r="S19" s="342">
        <v>10</v>
      </c>
      <c r="T19" s="2487">
        <v>15</v>
      </c>
      <c r="U19" s="348">
        <v>30</v>
      </c>
      <c r="V19" s="2485" t="s">
        <v>3094</v>
      </c>
      <c r="W19" s="2485" t="s">
        <v>3095</v>
      </c>
      <c r="X19" s="2485" t="s">
        <v>3096</v>
      </c>
      <c r="Y19" s="2485" t="s">
        <v>3097</v>
      </c>
      <c r="Z19" s="2485" t="s">
        <v>3098</v>
      </c>
      <c r="AA19" s="347"/>
    </row>
    <row r="20" spans="1:27" ht="12.75" customHeight="1">
      <c r="A20" s="8243"/>
      <c r="B20" s="242" t="str">
        <f t="shared" si="0"/>
        <v>Luz36</v>
      </c>
      <c r="D20" s="257" t="s">
        <v>226</v>
      </c>
      <c r="E20" s="342" t="s">
        <v>1553</v>
      </c>
      <c r="F20" s="342">
        <v>36</v>
      </c>
      <c r="G20" s="343" t="s">
        <v>2422</v>
      </c>
      <c r="H20" s="343" t="s">
        <v>1095</v>
      </c>
      <c r="I20" s="344" t="s">
        <v>1165</v>
      </c>
      <c r="J20" s="342">
        <v>6</v>
      </c>
      <c r="K20" s="342">
        <v>9</v>
      </c>
      <c r="L20" s="342">
        <v>12</v>
      </c>
      <c r="M20" s="345">
        <v>15</v>
      </c>
      <c r="N20" s="342">
        <v>100</v>
      </c>
      <c r="O20" s="342">
        <v>200</v>
      </c>
      <c r="P20" s="342">
        <v>300</v>
      </c>
      <c r="Q20" s="345">
        <v>400</v>
      </c>
      <c r="R20" s="342">
        <v>20</v>
      </c>
      <c r="S20" s="342">
        <v>40</v>
      </c>
      <c r="T20" s="2487">
        <v>60</v>
      </c>
      <c r="U20" s="348">
        <v>80</v>
      </c>
      <c r="V20" s="2485" t="s">
        <v>3099</v>
      </c>
      <c r="W20" s="2485" t="s">
        <v>3100</v>
      </c>
      <c r="X20" s="2485" t="s">
        <v>3101</v>
      </c>
      <c r="Y20" s="2485" t="s">
        <v>3102</v>
      </c>
      <c r="Z20" s="2485" t="s">
        <v>3103</v>
      </c>
      <c r="AA20" s="347"/>
    </row>
    <row r="21" spans="1:27" ht="12.75" customHeight="1">
      <c r="A21" s="8243"/>
      <c r="B21" s="242" t="str">
        <f t="shared" si="0"/>
        <v>Luz38</v>
      </c>
      <c r="D21" s="257" t="s">
        <v>227</v>
      </c>
      <c r="E21" s="342" t="s">
        <v>1553</v>
      </c>
      <c r="F21" s="342">
        <v>38</v>
      </c>
      <c r="G21" s="343" t="s">
        <v>1241</v>
      </c>
      <c r="H21" s="343" t="s">
        <v>1094</v>
      </c>
      <c r="I21" s="344" t="s">
        <v>1165</v>
      </c>
      <c r="J21" s="342">
        <v>6</v>
      </c>
      <c r="K21" s="342">
        <v>9</v>
      </c>
      <c r="L21" s="342">
        <v>12</v>
      </c>
      <c r="M21" s="345">
        <v>15</v>
      </c>
      <c r="N21" s="342">
        <v>60</v>
      </c>
      <c r="O21" s="342">
        <v>90</v>
      </c>
      <c r="P21" s="342">
        <v>120</v>
      </c>
      <c r="Q21" s="345">
        <v>150</v>
      </c>
      <c r="R21" s="342">
        <v>10</v>
      </c>
      <c r="S21" s="342">
        <v>10</v>
      </c>
      <c r="T21" s="2487">
        <v>15</v>
      </c>
      <c r="U21" s="348">
        <v>15</v>
      </c>
      <c r="V21" s="2485" t="s">
        <v>3104</v>
      </c>
      <c r="W21" s="2485" t="s">
        <v>3105</v>
      </c>
      <c r="X21" s="2485" t="s">
        <v>3106</v>
      </c>
      <c r="Y21" s="2485" t="s">
        <v>3107</v>
      </c>
      <c r="Z21" s="2485" t="s">
        <v>3108</v>
      </c>
      <c r="AA21" s="347"/>
    </row>
    <row r="22" spans="1:27" ht="12.75" customHeight="1">
      <c r="A22" s="8243"/>
      <c r="B22" s="242" t="str">
        <f t="shared" si="0"/>
        <v>Luz40</v>
      </c>
      <c r="D22" s="257" t="s">
        <v>228</v>
      </c>
      <c r="E22" s="342" t="s">
        <v>1553</v>
      </c>
      <c r="F22" s="342">
        <v>40</v>
      </c>
      <c r="G22" s="343" t="s">
        <v>1241</v>
      </c>
      <c r="H22" s="343" t="s">
        <v>1094</v>
      </c>
      <c r="I22" s="344" t="s">
        <v>1165</v>
      </c>
      <c r="J22" s="342">
        <v>6</v>
      </c>
      <c r="K22" s="342">
        <v>9</v>
      </c>
      <c r="L22" s="342">
        <v>12</v>
      </c>
      <c r="M22" s="345">
        <v>15</v>
      </c>
      <c r="N22" s="342">
        <v>80</v>
      </c>
      <c r="O22" s="342">
        <v>180</v>
      </c>
      <c r="P22" s="342">
        <v>240</v>
      </c>
      <c r="Q22" s="345">
        <v>350</v>
      </c>
      <c r="R22" s="342" t="s">
        <v>1241</v>
      </c>
      <c r="S22" s="342" t="s">
        <v>1241</v>
      </c>
      <c r="T22" s="2487" t="s">
        <v>1241</v>
      </c>
      <c r="U22" s="348" t="s">
        <v>1241</v>
      </c>
      <c r="V22" s="2485" t="s">
        <v>3109</v>
      </c>
      <c r="W22" s="2485" t="s">
        <v>3110</v>
      </c>
      <c r="X22" s="2485" t="s">
        <v>3111</v>
      </c>
      <c r="Y22" s="2485" t="s">
        <v>3112</v>
      </c>
      <c r="Z22" s="2485" t="s">
        <v>3113</v>
      </c>
      <c r="AA22" s="347"/>
    </row>
    <row r="23" spans="1:27" ht="12.75" customHeight="1">
      <c r="A23" s="8243"/>
      <c r="B23" s="242" t="str">
        <f t="shared" si="0"/>
        <v>Luz42</v>
      </c>
      <c r="D23" s="257" t="s">
        <v>229</v>
      </c>
      <c r="E23" s="342" t="s">
        <v>1553</v>
      </c>
      <c r="F23" s="342">
        <v>42</v>
      </c>
      <c r="G23" s="343" t="s">
        <v>1241</v>
      </c>
      <c r="H23" s="343" t="s">
        <v>1095</v>
      </c>
      <c r="I23" s="344" t="s">
        <v>1165</v>
      </c>
      <c r="J23" s="342">
        <v>7</v>
      </c>
      <c r="K23" s="342">
        <v>10</v>
      </c>
      <c r="L23" s="342">
        <v>13</v>
      </c>
      <c r="M23" s="345">
        <v>15</v>
      </c>
      <c r="N23" s="342">
        <v>70</v>
      </c>
      <c r="O23" s="342">
        <v>100</v>
      </c>
      <c r="P23" s="342">
        <v>150</v>
      </c>
      <c r="Q23" s="345">
        <v>200</v>
      </c>
      <c r="R23" s="342" t="s">
        <v>1241</v>
      </c>
      <c r="S23" s="342" t="s">
        <v>1241</v>
      </c>
      <c r="T23" s="2487" t="s">
        <v>1241</v>
      </c>
      <c r="U23" s="348" t="s">
        <v>1241</v>
      </c>
      <c r="V23" s="2485" t="s">
        <v>3114</v>
      </c>
      <c r="W23" s="2485" t="s">
        <v>3115</v>
      </c>
      <c r="X23" s="2485" t="s">
        <v>3116</v>
      </c>
      <c r="Y23" s="2485" t="s">
        <v>3117</v>
      </c>
      <c r="Z23" s="2485" t="s">
        <v>3118</v>
      </c>
      <c r="AA23" s="347"/>
    </row>
    <row r="24" spans="1:27" ht="12.75" customHeight="1">
      <c r="A24" s="8243"/>
      <c r="B24" s="242" t="str">
        <f t="shared" si="0"/>
        <v>Luz46</v>
      </c>
      <c r="D24" s="257" t="s">
        <v>230</v>
      </c>
      <c r="E24" s="342" t="s">
        <v>1553</v>
      </c>
      <c r="F24" s="342">
        <v>46</v>
      </c>
      <c r="G24" s="343" t="s">
        <v>1241</v>
      </c>
      <c r="H24" s="343" t="s">
        <v>1093</v>
      </c>
      <c r="I24" s="344" t="s">
        <v>1165</v>
      </c>
      <c r="J24" s="342">
        <v>6</v>
      </c>
      <c r="K24" s="342">
        <v>9</v>
      </c>
      <c r="L24" s="342">
        <v>12</v>
      </c>
      <c r="M24" s="345">
        <v>15</v>
      </c>
      <c r="N24" s="342">
        <v>120</v>
      </c>
      <c r="O24" s="342">
        <v>180</v>
      </c>
      <c r="P24" s="342">
        <v>240</v>
      </c>
      <c r="Q24" s="345">
        <v>300</v>
      </c>
      <c r="R24" s="342">
        <v>15</v>
      </c>
      <c r="S24" s="342">
        <v>20</v>
      </c>
      <c r="T24" s="2487">
        <v>25</v>
      </c>
      <c r="U24" s="348">
        <v>30</v>
      </c>
      <c r="V24" s="2485" t="s">
        <v>3119</v>
      </c>
      <c r="W24" s="2485" t="s">
        <v>3120</v>
      </c>
      <c r="X24" s="2485" t="s">
        <v>3121</v>
      </c>
      <c r="Y24" s="2485" t="s">
        <v>3122</v>
      </c>
      <c r="Z24" s="2485" t="s">
        <v>12865</v>
      </c>
      <c r="AA24" s="347"/>
    </row>
    <row r="25" spans="1:27" ht="12.75" customHeight="1">
      <c r="A25" s="8243"/>
      <c r="B25" s="242" t="str">
        <f t="shared" si="0"/>
        <v>Luz48</v>
      </c>
      <c r="D25" s="257" t="s">
        <v>231</v>
      </c>
      <c r="E25" s="342" t="s">
        <v>1553</v>
      </c>
      <c r="F25" s="342">
        <v>48</v>
      </c>
      <c r="G25" s="343" t="s">
        <v>2422</v>
      </c>
      <c r="H25" s="343" t="s">
        <v>1097</v>
      </c>
      <c r="I25" s="344" t="s">
        <v>1165</v>
      </c>
      <c r="J25" s="342">
        <v>7</v>
      </c>
      <c r="K25" s="342">
        <v>10</v>
      </c>
      <c r="L25" s="342">
        <v>12</v>
      </c>
      <c r="M25" s="345">
        <v>15</v>
      </c>
      <c r="N25" s="342">
        <v>140</v>
      </c>
      <c r="O25" s="342">
        <v>200</v>
      </c>
      <c r="P25" s="342">
        <v>280</v>
      </c>
      <c r="Q25" s="345">
        <v>360</v>
      </c>
      <c r="R25" s="342">
        <v>10</v>
      </c>
      <c r="S25" s="342">
        <v>10</v>
      </c>
      <c r="T25" s="2487">
        <v>15</v>
      </c>
      <c r="U25" s="348">
        <v>15</v>
      </c>
      <c r="V25" s="2485" t="s">
        <v>3123</v>
      </c>
      <c r="W25" s="2485" t="s">
        <v>3124</v>
      </c>
      <c r="X25" s="2485" t="s">
        <v>3125</v>
      </c>
      <c r="Y25" s="2485" t="s">
        <v>3126</v>
      </c>
      <c r="Z25" s="2485" t="s">
        <v>3127</v>
      </c>
      <c r="AA25" s="347"/>
    </row>
    <row r="26" spans="1:27" ht="12.75" customHeight="1">
      <c r="A26" s="8243"/>
      <c r="B26" s="242" t="str">
        <f t="shared" si="0"/>
        <v>Luz50</v>
      </c>
      <c r="D26" s="257" t="s">
        <v>232</v>
      </c>
      <c r="E26" s="342" t="s">
        <v>1553</v>
      </c>
      <c r="F26" s="342">
        <v>50</v>
      </c>
      <c r="G26" s="343" t="s">
        <v>2422</v>
      </c>
      <c r="H26" s="343" t="s">
        <v>1094</v>
      </c>
      <c r="I26" s="344" t="s">
        <v>1165</v>
      </c>
      <c r="J26" s="342">
        <v>6</v>
      </c>
      <c r="K26" s="342">
        <v>9</v>
      </c>
      <c r="L26" s="342">
        <v>12</v>
      </c>
      <c r="M26" s="345">
        <v>15</v>
      </c>
      <c r="N26" s="342">
        <v>120</v>
      </c>
      <c r="O26" s="342">
        <v>180</v>
      </c>
      <c r="P26" s="342">
        <v>240</v>
      </c>
      <c r="Q26" s="345">
        <v>300</v>
      </c>
      <c r="R26" s="342">
        <v>10</v>
      </c>
      <c r="S26" s="342">
        <v>10</v>
      </c>
      <c r="T26" s="2487">
        <v>15</v>
      </c>
      <c r="U26" s="348">
        <v>15</v>
      </c>
      <c r="V26" s="2485" t="s">
        <v>3128</v>
      </c>
      <c r="W26" s="2485" t="s">
        <v>3129</v>
      </c>
      <c r="X26" s="2485" t="s">
        <v>3130</v>
      </c>
      <c r="Y26" s="2485" t="s">
        <v>3131</v>
      </c>
      <c r="Z26" s="2485" t="s">
        <v>9217</v>
      </c>
      <c r="AA26" s="347"/>
    </row>
    <row r="27" spans="1:27" ht="12.75" customHeight="1">
      <c r="A27" s="8243"/>
      <c r="B27" s="242" t="str">
        <f t="shared" si="0"/>
        <v>Luz52</v>
      </c>
      <c r="D27" s="257" t="s">
        <v>233</v>
      </c>
      <c r="E27" s="342" t="s">
        <v>1553</v>
      </c>
      <c r="F27" s="342">
        <v>52</v>
      </c>
      <c r="G27" s="343" t="s">
        <v>1241</v>
      </c>
      <c r="H27" s="343" t="s">
        <v>1095</v>
      </c>
      <c r="I27" s="344" t="s">
        <v>1165</v>
      </c>
      <c r="J27" s="342">
        <v>8</v>
      </c>
      <c r="K27" s="342">
        <v>11</v>
      </c>
      <c r="L27" s="342">
        <v>13</v>
      </c>
      <c r="M27" s="345">
        <v>16</v>
      </c>
      <c r="N27" s="342">
        <v>100</v>
      </c>
      <c r="O27" s="342">
        <v>120</v>
      </c>
      <c r="P27" s="342">
        <v>140</v>
      </c>
      <c r="Q27" s="345">
        <v>160</v>
      </c>
      <c r="R27" s="342">
        <v>10</v>
      </c>
      <c r="S27" s="342">
        <v>15</v>
      </c>
      <c r="T27" s="2487">
        <v>15</v>
      </c>
      <c r="U27" s="348">
        <v>20</v>
      </c>
      <c r="V27" s="2485" t="s">
        <v>3132</v>
      </c>
      <c r="W27" s="2485" t="s">
        <v>3133</v>
      </c>
      <c r="X27" s="2485" t="s">
        <v>3134</v>
      </c>
      <c r="Y27" s="2485" t="s">
        <v>3135</v>
      </c>
      <c r="Z27" s="2485" t="s">
        <v>12866</v>
      </c>
      <c r="AA27" s="347"/>
    </row>
    <row r="28" spans="1:27" ht="12.75" customHeight="1">
      <c r="A28" s="8243"/>
      <c r="B28" s="242" t="str">
        <f t="shared" si="0"/>
        <v>Luz56</v>
      </c>
      <c r="D28" s="257" t="s">
        <v>234</v>
      </c>
      <c r="E28" s="342" t="s">
        <v>1553</v>
      </c>
      <c r="F28" s="342">
        <v>56</v>
      </c>
      <c r="G28" s="343" t="s">
        <v>1241</v>
      </c>
      <c r="H28" s="343" t="s">
        <v>1095</v>
      </c>
      <c r="I28" s="344" t="s">
        <v>1165</v>
      </c>
      <c r="J28" s="342">
        <v>8</v>
      </c>
      <c r="K28" s="342">
        <v>10</v>
      </c>
      <c r="L28" s="342">
        <v>12</v>
      </c>
      <c r="M28" s="345">
        <v>15</v>
      </c>
      <c r="N28" s="342">
        <v>100</v>
      </c>
      <c r="O28" s="342">
        <v>180</v>
      </c>
      <c r="P28" s="342">
        <v>240</v>
      </c>
      <c r="Q28" s="345">
        <v>300</v>
      </c>
      <c r="R28" s="342">
        <v>5</v>
      </c>
      <c r="S28" s="342">
        <v>10</v>
      </c>
      <c r="T28" s="2487">
        <v>15</v>
      </c>
      <c r="U28" s="348">
        <v>15</v>
      </c>
      <c r="V28" s="2485" t="s">
        <v>3136</v>
      </c>
      <c r="W28" s="2485" t="s">
        <v>3137</v>
      </c>
      <c r="X28" s="2485" t="s">
        <v>3138</v>
      </c>
      <c r="Y28" s="2485" t="s">
        <v>3139</v>
      </c>
      <c r="Z28" s="2485" t="s">
        <v>3140</v>
      </c>
      <c r="AA28" s="347"/>
    </row>
    <row r="29" spans="1:27" ht="12.75" customHeight="1">
      <c r="A29" s="8243"/>
      <c r="B29" s="242" t="str">
        <f t="shared" si="0"/>
        <v>Luz58</v>
      </c>
      <c r="D29" s="257" t="s">
        <v>235</v>
      </c>
      <c r="E29" s="342" t="s">
        <v>1553</v>
      </c>
      <c r="F29" s="342">
        <v>58</v>
      </c>
      <c r="G29" s="343" t="s">
        <v>2422</v>
      </c>
      <c r="H29" s="343" t="s">
        <v>1094</v>
      </c>
      <c r="I29" s="344" t="s">
        <v>1165</v>
      </c>
      <c r="J29" s="342">
        <v>8</v>
      </c>
      <c r="K29" s="342">
        <v>10</v>
      </c>
      <c r="L29" s="342">
        <v>12</v>
      </c>
      <c r="M29" s="345">
        <v>15</v>
      </c>
      <c r="N29" s="342">
        <v>100</v>
      </c>
      <c r="O29" s="342">
        <v>180</v>
      </c>
      <c r="P29" s="342">
        <v>240</v>
      </c>
      <c r="Q29" s="345">
        <v>300</v>
      </c>
      <c r="R29" s="342">
        <v>10</v>
      </c>
      <c r="S29" s="342">
        <v>20</v>
      </c>
      <c r="T29" s="2487">
        <v>25</v>
      </c>
      <c r="U29" s="348">
        <v>30</v>
      </c>
      <c r="V29" s="2485" t="s">
        <v>3141</v>
      </c>
      <c r="W29" s="2485" t="s">
        <v>3142</v>
      </c>
      <c r="X29" s="2485" t="s">
        <v>3143</v>
      </c>
      <c r="Y29" s="2485" t="s">
        <v>3144</v>
      </c>
      <c r="Z29" s="2485" t="s">
        <v>3145</v>
      </c>
      <c r="AA29" s="347"/>
    </row>
    <row r="30" spans="1:27" ht="12.75" customHeight="1">
      <c r="A30" s="8243"/>
      <c r="B30" s="242" t="str">
        <f t="shared" si="0"/>
        <v>Luz60</v>
      </c>
      <c r="D30" s="257" t="s">
        <v>236</v>
      </c>
      <c r="E30" s="342" t="s">
        <v>1553</v>
      </c>
      <c r="F30" s="342">
        <v>60</v>
      </c>
      <c r="G30" s="343" t="s">
        <v>2422</v>
      </c>
      <c r="H30" s="343" t="s">
        <v>1095</v>
      </c>
      <c r="I30" s="344" t="s">
        <v>1165</v>
      </c>
      <c r="J30" s="342">
        <v>8</v>
      </c>
      <c r="K30" s="342">
        <v>12</v>
      </c>
      <c r="L30" s="342">
        <v>14</v>
      </c>
      <c r="M30" s="345">
        <v>16</v>
      </c>
      <c r="N30" s="342">
        <v>100</v>
      </c>
      <c r="O30" s="342">
        <v>120</v>
      </c>
      <c r="P30" s="342">
        <v>180</v>
      </c>
      <c r="Q30" s="345">
        <v>250</v>
      </c>
      <c r="R30" s="342">
        <v>10</v>
      </c>
      <c r="S30" s="342">
        <v>15</v>
      </c>
      <c r="T30" s="2487">
        <v>15</v>
      </c>
      <c r="U30" s="348">
        <v>25</v>
      </c>
      <c r="V30" s="2485" t="s">
        <v>12867</v>
      </c>
      <c r="W30" s="2485" t="s">
        <v>3146</v>
      </c>
      <c r="X30" s="2485" t="s">
        <v>6622</v>
      </c>
      <c r="Y30" s="2485" t="s">
        <v>6623</v>
      </c>
      <c r="Z30" s="2485" t="s">
        <v>12868</v>
      </c>
      <c r="AA30" s="347"/>
    </row>
    <row r="31" spans="1:27" ht="12.75" customHeight="1">
      <c r="A31" s="8243"/>
      <c r="B31" s="242" t="str">
        <f t="shared" si="0"/>
        <v>Luz62</v>
      </c>
      <c r="D31" s="257" t="s">
        <v>237</v>
      </c>
      <c r="E31" s="342" t="s">
        <v>1553</v>
      </c>
      <c r="F31" s="342">
        <v>62</v>
      </c>
      <c r="G31" s="343" t="s">
        <v>2422</v>
      </c>
      <c r="H31" s="343" t="s">
        <v>3048</v>
      </c>
      <c r="I31" s="344" t="s">
        <v>1165</v>
      </c>
      <c r="J31" s="342">
        <v>7</v>
      </c>
      <c r="K31" s="342">
        <v>9</v>
      </c>
      <c r="L31" s="342">
        <v>12</v>
      </c>
      <c r="M31" s="345">
        <v>15</v>
      </c>
      <c r="N31" s="342">
        <v>140</v>
      </c>
      <c r="O31" s="342">
        <v>180</v>
      </c>
      <c r="P31" s="342">
        <v>240</v>
      </c>
      <c r="Q31" s="345">
        <v>300</v>
      </c>
      <c r="R31" s="342">
        <v>15</v>
      </c>
      <c r="S31" s="342">
        <v>20</v>
      </c>
      <c r="T31" s="2487">
        <v>25</v>
      </c>
      <c r="U31" s="348">
        <v>30</v>
      </c>
      <c r="V31" s="2485" t="s">
        <v>3147</v>
      </c>
      <c r="W31" s="2485" t="s">
        <v>3148</v>
      </c>
      <c r="X31" s="2485" t="s">
        <v>3149</v>
      </c>
      <c r="Y31" s="2485" t="s">
        <v>3150</v>
      </c>
      <c r="Z31" s="2485" t="s">
        <v>3151</v>
      </c>
      <c r="AA31" s="347"/>
    </row>
    <row r="32" spans="1:27" ht="12.75" customHeight="1">
      <c r="A32" s="8243"/>
      <c r="B32" s="242" t="str">
        <f t="shared" si="0"/>
        <v>Luz66</v>
      </c>
      <c r="D32" s="257" t="s">
        <v>238</v>
      </c>
      <c r="E32" s="342" t="s">
        <v>1553</v>
      </c>
      <c r="F32" s="342">
        <v>66</v>
      </c>
      <c r="G32" s="343" t="s">
        <v>1241</v>
      </c>
      <c r="H32" s="343" t="s">
        <v>1097</v>
      </c>
      <c r="I32" s="344" t="s">
        <v>1165</v>
      </c>
      <c r="J32" s="342">
        <v>8</v>
      </c>
      <c r="K32" s="342">
        <v>10</v>
      </c>
      <c r="L32" s="342">
        <v>13</v>
      </c>
      <c r="M32" s="345">
        <v>16</v>
      </c>
      <c r="N32" s="342">
        <v>160</v>
      </c>
      <c r="O32" s="342">
        <v>200</v>
      </c>
      <c r="P32" s="342">
        <v>260</v>
      </c>
      <c r="Q32" s="345">
        <v>320</v>
      </c>
      <c r="R32" s="342" t="s">
        <v>1241</v>
      </c>
      <c r="S32" s="342" t="s">
        <v>1241</v>
      </c>
      <c r="T32" s="2487" t="s">
        <v>1241</v>
      </c>
      <c r="U32" s="348" t="s">
        <v>1241</v>
      </c>
      <c r="V32" s="2485" t="s">
        <v>3152</v>
      </c>
      <c r="W32" s="2485" t="s">
        <v>3153</v>
      </c>
      <c r="X32" s="2485" t="s">
        <v>3154</v>
      </c>
      <c r="Y32" s="2485" t="s">
        <v>3155</v>
      </c>
      <c r="Z32" s="2485" t="s">
        <v>3156</v>
      </c>
      <c r="AA32" s="347"/>
    </row>
    <row r="33" spans="1:27" ht="12.75" customHeight="1">
      <c r="A33" s="8243"/>
      <c r="B33" s="242" t="str">
        <f t="shared" si="0"/>
        <v>Luz68</v>
      </c>
      <c r="D33" s="257" t="s">
        <v>239</v>
      </c>
      <c r="E33" s="342" t="s">
        <v>1553</v>
      </c>
      <c r="F33" s="342">
        <v>68</v>
      </c>
      <c r="G33" s="343" t="s">
        <v>1241</v>
      </c>
      <c r="H33" s="343" t="s">
        <v>1095</v>
      </c>
      <c r="I33" s="344" t="s">
        <v>1165</v>
      </c>
      <c r="J33" s="342">
        <v>8</v>
      </c>
      <c r="K33" s="342">
        <v>10</v>
      </c>
      <c r="L33" s="342">
        <v>12</v>
      </c>
      <c r="M33" s="345">
        <v>15</v>
      </c>
      <c r="N33" s="342">
        <v>150</v>
      </c>
      <c r="O33" s="342">
        <v>200</v>
      </c>
      <c r="P33" s="342">
        <v>250</v>
      </c>
      <c r="Q33" s="345">
        <v>300</v>
      </c>
      <c r="R33" s="342" t="s">
        <v>1241</v>
      </c>
      <c r="S33" s="342" t="s">
        <v>1241</v>
      </c>
      <c r="T33" s="2487" t="s">
        <v>1241</v>
      </c>
      <c r="U33" s="348" t="s">
        <v>1241</v>
      </c>
      <c r="V33" s="2485" t="s">
        <v>3157</v>
      </c>
      <c r="W33" s="2485" t="s">
        <v>3158</v>
      </c>
      <c r="X33" s="2485" t="s">
        <v>3159</v>
      </c>
      <c r="Y33" s="2485" t="s">
        <v>3160</v>
      </c>
      <c r="Z33" s="2485" t="s">
        <v>3161</v>
      </c>
      <c r="AA33" s="347"/>
    </row>
    <row r="34" spans="1:27" ht="12.75" customHeight="1">
      <c r="A34" s="8243"/>
      <c r="B34" s="242" t="str">
        <f t="shared" si="0"/>
        <v>Luz70</v>
      </c>
      <c r="D34" s="257" t="s">
        <v>240</v>
      </c>
      <c r="E34" s="342" t="s">
        <v>1553</v>
      </c>
      <c r="F34" s="342">
        <v>70</v>
      </c>
      <c r="G34" s="343" t="s">
        <v>1241</v>
      </c>
      <c r="H34" s="343" t="s">
        <v>3048</v>
      </c>
      <c r="I34" s="344" t="s">
        <v>1165</v>
      </c>
      <c r="J34" s="342">
        <v>10</v>
      </c>
      <c r="K34" s="342">
        <v>12</v>
      </c>
      <c r="L34" s="342">
        <v>14</v>
      </c>
      <c r="M34" s="345">
        <v>16</v>
      </c>
      <c r="N34" s="342">
        <v>140</v>
      </c>
      <c r="O34" s="342">
        <v>200</v>
      </c>
      <c r="P34" s="342">
        <v>280</v>
      </c>
      <c r="Q34" s="345">
        <v>360</v>
      </c>
      <c r="R34" s="342">
        <v>5</v>
      </c>
      <c r="S34" s="342">
        <v>10</v>
      </c>
      <c r="T34" s="2487">
        <v>10</v>
      </c>
      <c r="U34" s="348">
        <v>15</v>
      </c>
      <c r="V34" s="2485" t="s">
        <v>3162</v>
      </c>
      <c r="W34" s="2485" t="s">
        <v>3163</v>
      </c>
      <c r="X34" s="2485" t="s">
        <v>3164</v>
      </c>
      <c r="Y34" s="2485" t="s">
        <v>3165</v>
      </c>
      <c r="Z34" s="2485" t="s">
        <v>3166</v>
      </c>
      <c r="AA34" s="347"/>
    </row>
    <row r="35" spans="1:27" ht="12.75" customHeight="1">
      <c r="A35" s="8243"/>
      <c r="B35" s="242" t="str">
        <f t="shared" si="0"/>
        <v>Luz72</v>
      </c>
      <c r="D35" s="257" t="s">
        <v>241</v>
      </c>
      <c r="E35" s="342" t="s">
        <v>1553</v>
      </c>
      <c r="F35" s="342">
        <v>72</v>
      </c>
      <c r="G35" s="343" t="s">
        <v>1241</v>
      </c>
      <c r="H35" s="343" t="s">
        <v>1093</v>
      </c>
      <c r="I35" s="344" t="s">
        <v>1165</v>
      </c>
      <c r="J35" s="342">
        <v>10</v>
      </c>
      <c r="K35" s="342">
        <v>12</v>
      </c>
      <c r="L35" s="342">
        <v>14</v>
      </c>
      <c r="M35" s="345">
        <v>16</v>
      </c>
      <c r="N35" s="342">
        <v>140</v>
      </c>
      <c r="O35" s="342">
        <v>180</v>
      </c>
      <c r="P35" s="342">
        <v>240</v>
      </c>
      <c r="Q35" s="345">
        <v>350</v>
      </c>
      <c r="R35" s="342" t="s">
        <v>1241</v>
      </c>
      <c r="S35" s="342" t="s">
        <v>1241</v>
      </c>
      <c r="T35" s="2487" t="s">
        <v>1241</v>
      </c>
      <c r="U35" s="348" t="s">
        <v>1241</v>
      </c>
      <c r="V35" s="2485" t="s">
        <v>3167</v>
      </c>
      <c r="W35" s="2485" t="s">
        <v>3168</v>
      </c>
      <c r="X35" s="2485" t="s">
        <v>3169</v>
      </c>
      <c r="Y35" s="2485" t="s">
        <v>3170</v>
      </c>
      <c r="Z35" s="2485" t="s">
        <v>3171</v>
      </c>
      <c r="AA35" s="347"/>
    </row>
    <row r="36" spans="1:27" ht="12.75" customHeight="1">
      <c r="A36" s="8243"/>
      <c r="B36" s="242" t="str">
        <f t="shared" si="0"/>
        <v>Luz76</v>
      </c>
      <c r="D36" s="257" t="s">
        <v>242</v>
      </c>
      <c r="E36" s="342" t="s">
        <v>1553</v>
      </c>
      <c r="F36" s="342">
        <v>76</v>
      </c>
      <c r="G36" s="343" t="s">
        <v>1241</v>
      </c>
      <c r="H36" s="343" t="s">
        <v>1095</v>
      </c>
      <c r="I36" s="344" t="s">
        <v>1165</v>
      </c>
      <c r="J36" s="342">
        <v>10</v>
      </c>
      <c r="K36" s="342">
        <v>12</v>
      </c>
      <c r="L36" s="342">
        <v>14</v>
      </c>
      <c r="M36" s="345">
        <v>16</v>
      </c>
      <c r="N36" s="342">
        <v>150</v>
      </c>
      <c r="O36" s="342">
        <v>200</v>
      </c>
      <c r="P36" s="342">
        <v>240</v>
      </c>
      <c r="Q36" s="345">
        <v>300</v>
      </c>
      <c r="R36" s="342">
        <v>15</v>
      </c>
      <c r="S36" s="342">
        <v>20</v>
      </c>
      <c r="T36" s="2487">
        <v>25</v>
      </c>
      <c r="U36" s="348">
        <v>30</v>
      </c>
      <c r="V36" s="2485" t="s">
        <v>3172</v>
      </c>
      <c r="W36" s="2485" t="s">
        <v>3173</v>
      </c>
      <c r="X36" s="2485" t="s">
        <v>3174</v>
      </c>
      <c r="Y36" s="2485" t="s">
        <v>3175</v>
      </c>
      <c r="Z36" s="2485" t="s">
        <v>3176</v>
      </c>
      <c r="AA36" s="347"/>
    </row>
    <row r="37" spans="1:27" ht="12.75" customHeight="1">
      <c r="A37" s="8243"/>
      <c r="B37" s="242" t="str">
        <f t="shared" si="0"/>
        <v>Luz78</v>
      </c>
      <c r="D37" s="257" t="s">
        <v>243</v>
      </c>
      <c r="E37" s="342" t="s">
        <v>1553</v>
      </c>
      <c r="F37" s="342">
        <v>78</v>
      </c>
      <c r="G37" s="343" t="s">
        <v>1241</v>
      </c>
      <c r="H37" s="343" t="s">
        <v>1095</v>
      </c>
      <c r="I37" s="344" t="s">
        <v>1165</v>
      </c>
      <c r="J37" s="342">
        <v>10</v>
      </c>
      <c r="K37" s="342">
        <v>12</v>
      </c>
      <c r="L37" s="342">
        <v>14</v>
      </c>
      <c r="M37" s="345">
        <v>16</v>
      </c>
      <c r="N37" s="342">
        <v>250</v>
      </c>
      <c r="O37" s="342">
        <v>360</v>
      </c>
      <c r="P37" s="342">
        <v>450</v>
      </c>
      <c r="Q37" s="345">
        <v>600</v>
      </c>
      <c r="R37" s="342" t="s">
        <v>1241</v>
      </c>
      <c r="S37" s="342" t="s">
        <v>1241</v>
      </c>
      <c r="T37" s="2487" t="s">
        <v>1241</v>
      </c>
      <c r="U37" s="348" t="s">
        <v>1241</v>
      </c>
      <c r="V37" s="2485" t="s">
        <v>3177</v>
      </c>
      <c r="W37" s="2485" t="s">
        <v>3178</v>
      </c>
      <c r="X37" s="2485" t="s">
        <v>3179</v>
      </c>
      <c r="Y37" s="2485" t="s">
        <v>3180</v>
      </c>
      <c r="Z37" s="2485" t="s">
        <v>12869</v>
      </c>
      <c r="AA37" s="347"/>
    </row>
    <row r="38" spans="1:27" ht="12.75" customHeight="1">
      <c r="A38" s="8243"/>
      <c r="B38" s="242" t="str">
        <f t="shared" si="0"/>
        <v>Luz80</v>
      </c>
      <c r="D38" s="257" t="s">
        <v>244</v>
      </c>
      <c r="E38" s="342" t="s">
        <v>1553</v>
      </c>
      <c r="F38" s="342">
        <v>80</v>
      </c>
      <c r="G38" s="343" t="s">
        <v>1241</v>
      </c>
      <c r="H38" s="343" t="s">
        <v>3181</v>
      </c>
      <c r="I38" s="344" t="s">
        <v>1165</v>
      </c>
      <c r="J38" s="342">
        <v>12</v>
      </c>
      <c r="K38" s="342">
        <v>14</v>
      </c>
      <c r="L38" s="342">
        <v>16</v>
      </c>
      <c r="M38" s="345">
        <v>18</v>
      </c>
      <c r="N38" s="342">
        <v>300</v>
      </c>
      <c r="O38" s="342">
        <v>400</v>
      </c>
      <c r="P38" s="342">
        <v>500</v>
      </c>
      <c r="Q38" s="345">
        <v>750</v>
      </c>
      <c r="R38" s="342">
        <v>60</v>
      </c>
      <c r="S38" s="342">
        <v>65</v>
      </c>
      <c r="T38" s="2487">
        <v>70</v>
      </c>
      <c r="U38" s="348">
        <v>80</v>
      </c>
      <c r="V38" s="2485" t="s">
        <v>3152</v>
      </c>
      <c r="W38" s="2485" t="s">
        <v>3182</v>
      </c>
      <c r="X38" s="2485" t="s">
        <v>3183</v>
      </c>
      <c r="Y38" s="2485" t="s">
        <v>3184</v>
      </c>
      <c r="Z38" s="2485" t="s">
        <v>6629</v>
      </c>
      <c r="AA38" s="347"/>
    </row>
    <row r="39" spans="1:27" ht="12.75" customHeight="1">
      <c r="A39" s="8243"/>
      <c r="B39" s="242" t="str">
        <f t="shared" si="0"/>
        <v>Luz82</v>
      </c>
      <c r="D39" s="257" t="s">
        <v>245</v>
      </c>
      <c r="E39" s="342" t="s">
        <v>1553</v>
      </c>
      <c r="F39" s="342">
        <v>82</v>
      </c>
      <c r="G39" s="343" t="s">
        <v>2422</v>
      </c>
      <c r="H39" s="343" t="s">
        <v>1095</v>
      </c>
      <c r="I39" s="344" t="s">
        <v>1165</v>
      </c>
      <c r="J39" s="342">
        <v>10</v>
      </c>
      <c r="K39" s="342">
        <v>12</v>
      </c>
      <c r="L39" s="342">
        <v>14</v>
      </c>
      <c r="M39" s="345">
        <v>16</v>
      </c>
      <c r="N39" s="342">
        <v>250</v>
      </c>
      <c r="O39" s="342">
        <v>350</v>
      </c>
      <c r="P39" s="342">
        <v>500</v>
      </c>
      <c r="Q39" s="345">
        <v>700</v>
      </c>
      <c r="R39" s="342">
        <v>50</v>
      </c>
      <c r="S39" s="342">
        <v>70</v>
      </c>
      <c r="T39" s="2487">
        <v>100</v>
      </c>
      <c r="U39" s="348">
        <v>140</v>
      </c>
      <c r="V39" s="2485" t="s">
        <v>3185</v>
      </c>
      <c r="W39" s="2485" t="s">
        <v>3186</v>
      </c>
      <c r="X39" s="2485" t="s">
        <v>3187</v>
      </c>
      <c r="Y39" s="2485" t="s">
        <v>3188</v>
      </c>
      <c r="Z39" s="2485" t="s">
        <v>3189</v>
      </c>
      <c r="AA39" s="347"/>
    </row>
    <row r="40" spans="1:27" ht="12.75" customHeight="1">
      <c r="A40" s="8243"/>
      <c r="B40" s="242" t="str">
        <f t="shared" si="0"/>
        <v>Luz86</v>
      </c>
      <c r="D40" s="257" t="s">
        <v>246</v>
      </c>
      <c r="E40" s="342" t="s">
        <v>1553</v>
      </c>
      <c r="F40" s="342">
        <v>86</v>
      </c>
      <c r="G40" s="343" t="s">
        <v>2422</v>
      </c>
      <c r="H40" s="343" t="s">
        <v>1424</v>
      </c>
      <c r="I40" s="344" t="s">
        <v>1166</v>
      </c>
      <c r="J40" s="342">
        <v>10</v>
      </c>
      <c r="K40" s="342">
        <v>13</v>
      </c>
      <c r="L40" s="342">
        <v>15</v>
      </c>
      <c r="M40" s="345">
        <v>17</v>
      </c>
      <c r="N40" s="342">
        <v>160</v>
      </c>
      <c r="O40" s="342">
        <v>250</v>
      </c>
      <c r="P40" s="342">
        <v>300</v>
      </c>
      <c r="Q40" s="345">
        <v>400</v>
      </c>
      <c r="R40" s="342">
        <v>20</v>
      </c>
      <c r="S40" s="342">
        <v>25</v>
      </c>
      <c r="T40" s="2487">
        <v>30</v>
      </c>
      <c r="U40" s="348">
        <v>40</v>
      </c>
      <c r="V40" s="2485" t="s">
        <v>3190</v>
      </c>
      <c r="W40" s="2485" t="s">
        <v>3191</v>
      </c>
      <c r="X40" s="2485" t="s">
        <v>3192</v>
      </c>
      <c r="Y40" s="2485" t="s">
        <v>3193</v>
      </c>
      <c r="Z40" s="2485" t="s">
        <v>12870</v>
      </c>
      <c r="AA40" s="347"/>
    </row>
    <row r="41" spans="1:27" ht="12.75" customHeight="1">
      <c r="A41" s="8243"/>
      <c r="B41" s="242" t="str">
        <f t="shared" si="0"/>
        <v>Luz88</v>
      </c>
      <c r="D41" s="257" t="s">
        <v>247</v>
      </c>
      <c r="E41" s="342" t="s">
        <v>1553</v>
      </c>
      <c r="F41" s="342">
        <v>88</v>
      </c>
      <c r="G41" s="343" t="s">
        <v>1241</v>
      </c>
      <c r="H41" s="343" t="s">
        <v>1095</v>
      </c>
      <c r="I41" s="344" t="s">
        <v>1165</v>
      </c>
      <c r="J41" s="342">
        <v>10</v>
      </c>
      <c r="K41" s="342">
        <v>12</v>
      </c>
      <c r="L41" s="342">
        <v>15</v>
      </c>
      <c r="M41" s="345">
        <v>18</v>
      </c>
      <c r="N41" s="342">
        <v>200</v>
      </c>
      <c r="O41" s="342">
        <v>250</v>
      </c>
      <c r="P41" s="342">
        <v>400</v>
      </c>
      <c r="Q41" s="345">
        <v>800</v>
      </c>
      <c r="R41" s="342">
        <v>40</v>
      </c>
      <c r="S41" s="342">
        <v>50</v>
      </c>
      <c r="T41" s="2487">
        <v>60</v>
      </c>
      <c r="U41" s="348">
        <v>65</v>
      </c>
      <c r="V41" s="2485" t="s">
        <v>3194</v>
      </c>
      <c r="W41" s="2485" t="s">
        <v>3195</v>
      </c>
      <c r="X41" s="2485" t="s">
        <v>3196</v>
      </c>
      <c r="Y41" s="2485" t="s">
        <v>3197</v>
      </c>
      <c r="Z41" s="2485" t="s">
        <v>3198</v>
      </c>
      <c r="AA41" s="347"/>
    </row>
    <row r="42" spans="1:27" ht="12.75" customHeight="1">
      <c r="A42" s="8243"/>
      <c r="B42" s="242" t="str">
        <f t="shared" si="0"/>
        <v>Luz90</v>
      </c>
      <c r="D42" s="257" t="s">
        <v>248</v>
      </c>
      <c r="E42" s="342" t="s">
        <v>1553</v>
      </c>
      <c r="F42" s="342">
        <v>90</v>
      </c>
      <c r="G42" s="343" t="s">
        <v>1241</v>
      </c>
      <c r="H42" s="343" t="s">
        <v>1094</v>
      </c>
      <c r="I42" s="344" t="s">
        <v>1165</v>
      </c>
      <c r="J42" s="342">
        <v>10</v>
      </c>
      <c r="K42" s="342">
        <v>12</v>
      </c>
      <c r="L42" s="342">
        <v>14</v>
      </c>
      <c r="M42" s="345">
        <v>16</v>
      </c>
      <c r="N42" s="342">
        <v>200</v>
      </c>
      <c r="O42" s="342">
        <v>300</v>
      </c>
      <c r="P42" s="342">
        <v>450</v>
      </c>
      <c r="Q42" s="345">
        <v>600</v>
      </c>
      <c r="R42" s="342" t="s">
        <v>1241</v>
      </c>
      <c r="S42" s="342" t="s">
        <v>1241</v>
      </c>
      <c r="T42" s="2487" t="s">
        <v>1241</v>
      </c>
      <c r="U42" s="348" t="s">
        <v>1241</v>
      </c>
      <c r="V42" s="2485" t="s">
        <v>3199</v>
      </c>
      <c r="W42" s="2485" t="s">
        <v>3200</v>
      </c>
      <c r="X42" s="2485" t="s">
        <v>12871</v>
      </c>
      <c r="Y42" s="2485" t="s">
        <v>12872</v>
      </c>
      <c r="Z42" s="2485" t="s">
        <v>3201</v>
      </c>
      <c r="AA42" s="347"/>
    </row>
    <row r="43" spans="1:27" ht="12.75" customHeight="1">
      <c r="A43" s="8243"/>
      <c r="B43" s="242" t="str">
        <f t="shared" si="0"/>
        <v>Luz92</v>
      </c>
      <c r="D43" s="257" t="s">
        <v>249</v>
      </c>
      <c r="E43" s="342" t="s">
        <v>1553</v>
      </c>
      <c r="F43" s="342">
        <v>92</v>
      </c>
      <c r="G43" s="343" t="s">
        <v>2422</v>
      </c>
      <c r="H43" s="343" t="s">
        <v>1094</v>
      </c>
      <c r="I43" s="344" t="s">
        <v>1165</v>
      </c>
      <c r="J43" s="342">
        <v>14</v>
      </c>
      <c r="K43" s="342">
        <v>16</v>
      </c>
      <c r="L43" s="342">
        <v>18</v>
      </c>
      <c r="M43" s="345">
        <v>20</v>
      </c>
      <c r="N43" s="342">
        <v>200</v>
      </c>
      <c r="O43" s="342">
        <v>350</v>
      </c>
      <c r="P43" s="342">
        <v>500</v>
      </c>
      <c r="Q43" s="345">
        <v>800</v>
      </c>
      <c r="R43" s="342">
        <v>40</v>
      </c>
      <c r="S43" s="342">
        <v>70</v>
      </c>
      <c r="T43" s="2487">
        <v>100</v>
      </c>
      <c r="U43" s="348">
        <v>160</v>
      </c>
      <c r="V43" s="2485" t="s">
        <v>3202</v>
      </c>
      <c r="W43" s="2485" t="s">
        <v>3203</v>
      </c>
      <c r="X43" s="2485" t="s">
        <v>3204</v>
      </c>
      <c r="Y43" s="2485" t="s">
        <v>3205</v>
      </c>
      <c r="Z43" s="2485" t="s">
        <v>12873</v>
      </c>
      <c r="AA43" s="347"/>
    </row>
    <row r="44" spans="1:27" ht="12.75" customHeight="1">
      <c r="A44" s="8243"/>
      <c r="B44" s="242" t="str">
        <f t="shared" si="0"/>
        <v>Luz96</v>
      </c>
      <c r="D44" s="257" t="s">
        <v>250</v>
      </c>
      <c r="E44" s="342" t="s">
        <v>1553</v>
      </c>
      <c r="F44" s="342">
        <v>96</v>
      </c>
      <c r="G44" s="343" t="s">
        <v>1241</v>
      </c>
      <c r="H44" s="343" t="s">
        <v>1095</v>
      </c>
      <c r="I44" s="344" t="s">
        <v>1165</v>
      </c>
      <c r="J44" s="342">
        <v>12</v>
      </c>
      <c r="K44" s="342">
        <v>14</v>
      </c>
      <c r="L44" s="342">
        <v>16</v>
      </c>
      <c r="M44" s="345">
        <v>18</v>
      </c>
      <c r="N44" s="342">
        <v>200</v>
      </c>
      <c r="O44" s="342">
        <v>400</v>
      </c>
      <c r="P44" s="342">
        <v>600</v>
      </c>
      <c r="Q44" s="345">
        <v>800</v>
      </c>
      <c r="R44" s="342" t="s">
        <v>1241</v>
      </c>
      <c r="S44" s="342" t="s">
        <v>1241</v>
      </c>
      <c r="T44" s="2487" t="s">
        <v>1241</v>
      </c>
      <c r="U44" s="348" t="s">
        <v>1241</v>
      </c>
      <c r="V44" s="2485" t="s">
        <v>3206</v>
      </c>
      <c r="W44" s="2485" t="s">
        <v>3207</v>
      </c>
      <c r="X44" s="2485" t="s">
        <v>3208</v>
      </c>
      <c r="Y44" s="2485" t="s">
        <v>3199</v>
      </c>
      <c r="Z44" s="2486" t="s">
        <v>3209</v>
      </c>
      <c r="AA44" s="347"/>
    </row>
    <row r="45" spans="1:27" ht="12.75" customHeight="1">
      <c r="A45" s="8243"/>
      <c r="B45" s="242" t="str">
        <f t="shared" si="0"/>
        <v>Luz98</v>
      </c>
      <c r="D45" s="257" t="s">
        <v>251</v>
      </c>
      <c r="E45" s="342" t="s">
        <v>1553</v>
      </c>
      <c r="F45" s="342">
        <v>98</v>
      </c>
      <c r="G45" s="343" t="s">
        <v>1241</v>
      </c>
      <c r="H45" s="343" t="s">
        <v>1095</v>
      </c>
      <c r="I45" s="344" t="s">
        <v>1165</v>
      </c>
      <c r="J45" s="342">
        <v>14</v>
      </c>
      <c r="K45" s="342">
        <v>16</v>
      </c>
      <c r="L45" s="342">
        <v>18</v>
      </c>
      <c r="M45" s="345">
        <v>20</v>
      </c>
      <c r="N45" s="342">
        <v>500</v>
      </c>
      <c r="O45" s="342">
        <v>1000</v>
      </c>
      <c r="P45" s="342">
        <v>2000</v>
      </c>
      <c r="Q45" s="345">
        <v>5000</v>
      </c>
      <c r="R45" s="342">
        <v>30</v>
      </c>
      <c r="S45" s="342">
        <v>40</v>
      </c>
      <c r="T45" s="2487">
        <v>45</v>
      </c>
      <c r="U45" s="348">
        <v>50</v>
      </c>
      <c r="V45" s="2485" t="s">
        <v>3210</v>
      </c>
      <c r="W45" s="2485" t="s">
        <v>3211</v>
      </c>
      <c r="X45" s="2485" t="s">
        <v>3212</v>
      </c>
      <c r="Y45" s="2485" t="s">
        <v>3213</v>
      </c>
      <c r="Z45" s="2485" t="s">
        <v>3214</v>
      </c>
      <c r="AA45" s="347"/>
    </row>
    <row r="46" spans="1:27" ht="12.75" customHeight="1">
      <c r="A46" s="8243"/>
      <c r="B46" s="242" t="str">
        <f t="shared" si="0"/>
        <v>Luz100</v>
      </c>
      <c r="D46" s="257" t="s">
        <v>252</v>
      </c>
      <c r="E46" s="342" t="s">
        <v>1553</v>
      </c>
      <c r="F46" s="342">
        <v>100</v>
      </c>
      <c r="G46" s="343" t="s">
        <v>1241</v>
      </c>
      <c r="H46" s="343" t="s">
        <v>1093</v>
      </c>
      <c r="I46" s="344" t="s">
        <v>1165</v>
      </c>
      <c r="J46" s="342">
        <v>14</v>
      </c>
      <c r="K46" s="342">
        <v>16</v>
      </c>
      <c r="L46" s="342">
        <v>18</v>
      </c>
      <c r="M46" s="345">
        <v>20</v>
      </c>
      <c r="N46" s="342">
        <v>600</v>
      </c>
      <c r="O46" s="342">
        <v>1000</v>
      </c>
      <c r="P46" s="342">
        <v>2500</v>
      </c>
      <c r="Q46" s="345">
        <v>10000</v>
      </c>
      <c r="R46" s="342" t="s">
        <v>1241</v>
      </c>
      <c r="S46" s="342" t="s">
        <v>1241</v>
      </c>
      <c r="T46" s="2487" t="s">
        <v>1241</v>
      </c>
      <c r="U46" s="348" t="s">
        <v>1241</v>
      </c>
      <c r="V46" s="2485" t="s">
        <v>3215</v>
      </c>
      <c r="W46" s="2485" t="s">
        <v>3216</v>
      </c>
      <c r="X46" s="2485" t="s">
        <v>3217</v>
      </c>
      <c r="Y46" s="2485" t="s">
        <v>3218</v>
      </c>
      <c r="Z46" s="2485" t="s">
        <v>3219</v>
      </c>
      <c r="AA46" s="347"/>
    </row>
    <row r="47" spans="1:27" ht="12.75" customHeight="1">
      <c r="A47" s="8243"/>
      <c r="B47" s="242" t="str">
        <f t="shared" si="0"/>
        <v/>
      </c>
      <c r="D47" s="257" t="s">
        <v>253</v>
      </c>
      <c r="E47" s="342"/>
      <c r="F47" s="342"/>
      <c r="G47" s="343"/>
      <c r="H47" s="343"/>
      <c r="I47" s="344"/>
      <c r="J47" s="342"/>
      <c r="K47" s="342"/>
      <c r="L47" s="342"/>
      <c r="M47" s="345"/>
      <c r="N47" s="342"/>
      <c r="O47" s="342"/>
      <c r="P47" s="342"/>
      <c r="Q47" s="345"/>
      <c r="R47" s="342"/>
      <c r="S47" s="342"/>
      <c r="T47" s="2487"/>
      <c r="U47" s="348"/>
      <c r="V47" s="2485"/>
      <c r="W47" s="2485"/>
      <c r="X47" s="2485"/>
      <c r="Y47" s="2485"/>
      <c r="Z47" s="2485"/>
      <c r="AA47" s="347"/>
    </row>
    <row r="48" spans="1:27" ht="12.75" customHeight="1">
      <c r="A48" s="8243"/>
      <c r="B48" s="242" t="str">
        <f t="shared" si="0"/>
        <v>Oscuridad2</v>
      </c>
      <c r="D48" s="257" t="s">
        <v>254</v>
      </c>
      <c r="E48" s="342" t="s">
        <v>1554</v>
      </c>
      <c r="F48" s="342">
        <v>2</v>
      </c>
      <c r="G48" s="343" t="s">
        <v>2422</v>
      </c>
      <c r="H48" s="343" t="s">
        <v>1095</v>
      </c>
      <c r="I48" s="344" t="s">
        <v>1165</v>
      </c>
      <c r="J48" s="342">
        <v>5</v>
      </c>
      <c r="K48" s="342">
        <v>8</v>
      </c>
      <c r="L48" s="342">
        <v>10</v>
      </c>
      <c r="M48" s="345">
        <v>12</v>
      </c>
      <c r="N48" s="342">
        <v>20</v>
      </c>
      <c r="O48" s="342">
        <v>50</v>
      </c>
      <c r="P48" s="342">
        <v>100</v>
      </c>
      <c r="Q48" s="345">
        <v>200</v>
      </c>
      <c r="R48" s="342">
        <v>5</v>
      </c>
      <c r="S48" s="342">
        <v>5</v>
      </c>
      <c r="T48" s="2487">
        <v>10</v>
      </c>
      <c r="U48" s="348">
        <v>15</v>
      </c>
      <c r="V48" s="2485" t="s">
        <v>3220</v>
      </c>
      <c r="W48" s="2485" t="s">
        <v>3221</v>
      </c>
      <c r="X48" s="2485" t="s">
        <v>3222</v>
      </c>
      <c r="Y48" s="2485" t="s">
        <v>3223</v>
      </c>
      <c r="Z48" s="2485" t="s">
        <v>3224</v>
      </c>
      <c r="AA48" s="347"/>
    </row>
    <row r="49" spans="1:27" ht="12.75" customHeight="1">
      <c r="A49" s="8243"/>
      <c r="B49" s="242" t="str">
        <f t="shared" si="0"/>
        <v>Oscuridad6</v>
      </c>
      <c r="D49" s="257" t="s">
        <v>9240</v>
      </c>
      <c r="E49" s="342" t="s">
        <v>1554</v>
      </c>
      <c r="F49" s="342">
        <v>6</v>
      </c>
      <c r="G49" s="343" t="s">
        <v>1241</v>
      </c>
      <c r="H49" s="343" t="s">
        <v>1094</v>
      </c>
      <c r="I49" s="344" t="s">
        <v>1165</v>
      </c>
      <c r="J49" s="342">
        <v>5</v>
      </c>
      <c r="K49" s="342">
        <v>8</v>
      </c>
      <c r="L49" s="342">
        <v>10</v>
      </c>
      <c r="M49" s="345">
        <v>12</v>
      </c>
      <c r="N49" s="342">
        <v>40</v>
      </c>
      <c r="O49" s="342">
        <v>80</v>
      </c>
      <c r="P49" s="342">
        <v>140</v>
      </c>
      <c r="Q49" s="345">
        <v>180</v>
      </c>
      <c r="R49" s="342" t="s">
        <v>1241</v>
      </c>
      <c r="S49" s="342" t="s">
        <v>1241</v>
      </c>
      <c r="T49" s="2487" t="s">
        <v>1241</v>
      </c>
      <c r="U49" s="348" t="s">
        <v>1241</v>
      </c>
      <c r="V49" s="2485" t="s">
        <v>3225</v>
      </c>
      <c r="W49" s="2485" t="s">
        <v>3226</v>
      </c>
      <c r="X49" s="2485" t="s">
        <v>3227</v>
      </c>
      <c r="Y49" s="2485" t="s">
        <v>3228</v>
      </c>
      <c r="Z49" s="2485" t="s">
        <v>3229</v>
      </c>
      <c r="AA49" s="347"/>
    </row>
    <row r="50" spans="1:27" ht="12.75" customHeight="1">
      <c r="A50" s="8243"/>
      <c r="B50" s="242" t="str">
        <f t="shared" si="0"/>
        <v>Oscuridad8</v>
      </c>
      <c r="D50" s="257" t="s">
        <v>9241</v>
      </c>
      <c r="E50" s="342" t="s">
        <v>1554</v>
      </c>
      <c r="F50" s="342">
        <v>8</v>
      </c>
      <c r="G50" s="343" t="s">
        <v>2422</v>
      </c>
      <c r="H50" s="343" t="s">
        <v>1094</v>
      </c>
      <c r="I50" s="344" t="s">
        <v>1165</v>
      </c>
      <c r="J50" s="342">
        <v>5</v>
      </c>
      <c r="K50" s="342">
        <v>8</v>
      </c>
      <c r="L50" s="342">
        <v>10</v>
      </c>
      <c r="M50" s="345">
        <v>12</v>
      </c>
      <c r="N50" s="342">
        <v>40</v>
      </c>
      <c r="O50" s="342">
        <v>80</v>
      </c>
      <c r="P50" s="342">
        <v>100</v>
      </c>
      <c r="Q50" s="345">
        <v>120</v>
      </c>
      <c r="R50" s="342">
        <v>5</v>
      </c>
      <c r="S50" s="342">
        <v>10</v>
      </c>
      <c r="T50" s="2487">
        <v>10</v>
      </c>
      <c r="U50" s="348">
        <v>15</v>
      </c>
      <c r="V50" s="2485" t="s">
        <v>3230</v>
      </c>
      <c r="W50" s="2485" t="s">
        <v>3231</v>
      </c>
      <c r="X50" s="2485" t="s">
        <v>3232</v>
      </c>
      <c r="Y50" s="2485" t="s">
        <v>3233</v>
      </c>
      <c r="Z50" s="2485" t="s">
        <v>3234</v>
      </c>
      <c r="AA50" s="347"/>
    </row>
    <row r="51" spans="1:27" ht="12.75" customHeight="1">
      <c r="A51" s="8243"/>
      <c r="B51" s="242" t="str">
        <f t="shared" si="0"/>
        <v>Oscuridad10</v>
      </c>
      <c r="D51" s="257" t="s">
        <v>9242</v>
      </c>
      <c r="E51" s="342" t="s">
        <v>1554</v>
      </c>
      <c r="F51" s="342">
        <v>10</v>
      </c>
      <c r="G51" s="343" t="s">
        <v>1241</v>
      </c>
      <c r="H51" s="343" t="s">
        <v>1424</v>
      </c>
      <c r="I51" s="344" t="s">
        <v>1166</v>
      </c>
      <c r="J51" s="342">
        <v>6</v>
      </c>
      <c r="K51" s="342">
        <v>8</v>
      </c>
      <c r="L51" s="342">
        <v>10</v>
      </c>
      <c r="M51" s="345">
        <v>14</v>
      </c>
      <c r="N51" s="342">
        <v>50</v>
      </c>
      <c r="O51" s="342">
        <v>120</v>
      </c>
      <c r="P51" s="342">
        <v>180</v>
      </c>
      <c r="Q51" s="345">
        <v>250</v>
      </c>
      <c r="R51" s="342">
        <v>5</v>
      </c>
      <c r="S51" s="342">
        <v>15</v>
      </c>
      <c r="T51" s="2487">
        <v>20</v>
      </c>
      <c r="U51" s="348">
        <v>25</v>
      </c>
      <c r="V51" s="2485" t="s">
        <v>3053</v>
      </c>
      <c r="W51" s="2485" t="s">
        <v>3054</v>
      </c>
      <c r="X51" s="2485" t="s">
        <v>3055</v>
      </c>
      <c r="Y51" s="2485" t="s">
        <v>3056</v>
      </c>
      <c r="Z51" s="2485" t="s">
        <v>3235</v>
      </c>
      <c r="AA51" s="347"/>
    </row>
    <row r="52" spans="1:27" ht="12.75" customHeight="1">
      <c r="A52" s="8243"/>
      <c r="B52" s="242" t="str">
        <f t="shared" si="0"/>
        <v>Oscuridad12</v>
      </c>
      <c r="D52" s="257" t="s">
        <v>1914</v>
      </c>
      <c r="E52" s="342" t="s">
        <v>1554</v>
      </c>
      <c r="F52" s="342">
        <v>12</v>
      </c>
      <c r="G52" s="343" t="s">
        <v>1241</v>
      </c>
      <c r="H52" s="343" t="s">
        <v>1095</v>
      </c>
      <c r="I52" s="344" t="s">
        <v>1166</v>
      </c>
      <c r="J52" s="342">
        <v>5</v>
      </c>
      <c r="K52" s="342">
        <v>9</v>
      </c>
      <c r="L52" s="342">
        <v>12</v>
      </c>
      <c r="M52" s="345">
        <v>14</v>
      </c>
      <c r="N52" s="342">
        <v>50</v>
      </c>
      <c r="O52" s="342">
        <v>150</v>
      </c>
      <c r="P52" s="342">
        <v>200</v>
      </c>
      <c r="Q52" s="345">
        <v>240</v>
      </c>
      <c r="R52" s="342">
        <v>5</v>
      </c>
      <c r="S52" s="342">
        <v>15</v>
      </c>
      <c r="T52" s="2487">
        <v>20</v>
      </c>
      <c r="U52" s="348">
        <v>25</v>
      </c>
      <c r="V52" s="2485" t="s">
        <v>12874</v>
      </c>
      <c r="W52" s="2485" t="s">
        <v>12875</v>
      </c>
      <c r="X52" s="2485" t="s">
        <v>12876</v>
      </c>
      <c r="Y52" s="2485" t="s">
        <v>12877</v>
      </c>
      <c r="Z52" s="2485" t="s">
        <v>12878</v>
      </c>
      <c r="AA52" s="347"/>
    </row>
    <row r="53" spans="1:27" ht="12.75" customHeight="1">
      <c r="A53" s="8243"/>
      <c r="B53" s="242" t="str">
        <f t="shared" si="0"/>
        <v>Oscuridad16</v>
      </c>
      <c r="D53" s="257" t="s">
        <v>9243</v>
      </c>
      <c r="E53" s="342" t="s">
        <v>1554</v>
      </c>
      <c r="F53" s="342">
        <v>16</v>
      </c>
      <c r="G53" s="343" t="s">
        <v>1241</v>
      </c>
      <c r="H53" s="343" t="s">
        <v>1095</v>
      </c>
      <c r="I53" s="344" t="s">
        <v>1165</v>
      </c>
      <c r="J53" s="342">
        <v>6</v>
      </c>
      <c r="K53" s="342">
        <v>9</v>
      </c>
      <c r="L53" s="342">
        <v>12</v>
      </c>
      <c r="M53" s="345">
        <v>15</v>
      </c>
      <c r="N53" s="342">
        <v>60</v>
      </c>
      <c r="O53" s="342">
        <v>90</v>
      </c>
      <c r="P53" s="342">
        <v>120</v>
      </c>
      <c r="Q53" s="345">
        <v>150</v>
      </c>
      <c r="R53" s="342">
        <v>5</v>
      </c>
      <c r="S53" s="342">
        <v>10</v>
      </c>
      <c r="T53" s="2487">
        <v>15</v>
      </c>
      <c r="U53" s="348">
        <v>20</v>
      </c>
      <c r="V53" s="2485" t="s">
        <v>3062</v>
      </c>
      <c r="W53" s="2485" t="s">
        <v>3063</v>
      </c>
      <c r="X53" s="2485" t="s">
        <v>3236</v>
      </c>
      <c r="Y53" s="2485" t="s">
        <v>3237</v>
      </c>
      <c r="Z53" s="2485" t="s">
        <v>3238</v>
      </c>
      <c r="AA53" s="347"/>
    </row>
    <row r="54" spans="1:27" ht="12.75" customHeight="1">
      <c r="A54" s="8243"/>
      <c r="B54" s="242" t="str">
        <f t="shared" si="0"/>
        <v>Oscuridad18</v>
      </c>
      <c r="D54" s="257" t="s">
        <v>9244</v>
      </c>
      <c r="E54" s="342" t="s">
        <v>1554</v>
      </c>
      <c r="F54" s="342">
        <v>18</v>
      </c>
      <c r="G54" s="343" t="s">
        <v>1241</v>
      </c>
      <c r="H54" s="343" t="s">
        <v>3239</v>
      </c>
      <c r="I54" s="344" t="s">
        <v>1165</v>
      </c>
      <c r="J54" s="342">
        <v>6</v>
      </c>
      <c r="K54" s="342">
        <v>9</v>
      </c>
      <c r="L54" s="342">
        <v>12</v>
      </c>
      <c r="M54" s="345">
        <v>15</v>
      </c>
      <c r="N54" s="342">
        <v>60</v>
      </c>
      <c r="O54" s="342">
        <v>100</v>
      </c>
      <c r="P54" s="342">
        <v>150</v>
      </c>
      <c r="Q54" s="345">
        <v>250</v>
      </c>
      <c r="R54" s="342">
        <v>10</v>
      </c>
      <c r="S54" s="342">
        <v>10</v>
      </c>
      <c r="T54" s="2487">
        <v>15</v>
      </c>
      <c r="U54" s="348">
        <v>15</v>
      </c>
      <c r="V54" s="2485" t="s">
        <v>3067</v>
      </c>
      <c r="W54" s="2485" t="s">
        <v>3240</v>
      </c>
      <c r="X54" s="2485" t="s">
        <v>3241</v>
      </c>
      <c r="Y54" s="2485" t="s">
        <v>3070</v>
      </c>
      <c r="Z54" s="2485" t="s">
        <v>12879</v>
      </c>
      <c r="AA54" s="347"/>
    </row>
    <row r="55" spans="1:27" ht="12.75" customHeight="1">
      <c r="A55" s="8243"/>
      <c r="B55" s="242" t="str">
        <f t="shared" si="0"/>
        <v>Oscuridad20</v>
      </c>
      <c r="D55" s="257" t="s">
        <v>9245</v>
      </c>
      <c r="E55" s="342" t="s">
        <v>1554</v>
      </c>
      <c r="F55" s="342">
        <v>20</v>
      </c>
      <c r="G55" s="343" t="s">
        <v>2422</v>
      </c>
      <c r="H55" s="343" t="s">
        <v>1095</v>
      </c>
      <c r="I55" s="344" t="s">
        <v>1166</v>
      </c>
      <c r="J55" s="342">
        <v>6</v>
      </c>
      <c r="K55" s="342">
        <v>9</v>
      </c>
      <c r="L55" s="342">
        <v>12</v>
      </c>
      <c r="M55" s="345">
        <v>15</v>
      </c>
      <c r="N55" s="342">
        <v>50</v>
      </c>
      <c r="O55" s="342">
        <v>180</v>
      </c>
      <c r="P55" s="342">
        <v>240</v>
      </c>
      <c r="Q55" s="345">
        <v>300</v>
      </c>
      <c r="R55" s="342">
        <v>5</v>
      </c>
      <c r="S55" s="342">
        <v>20</v>
      </c>
      <c r="T55" s="2487">
        <v>25</v>
      </c>
      <c r="U55" s="348">
        <v>30</v>
      </c>
      <c r="V55" s="2485" t="s">
        <v>3242</v>
      </c>
      <c r="W55" s="2485" t="s">
        <v>3243</v>
      </c>
      <c r="X55" s="2485" t="s">
        <v>3244</v>
      </c>
      <c r="Y55" s="2485" t="s">
        <v>3245</v>
      </c>
      <c r="Z55" s="2485" t="s">
        <v>12880</v>
      </c>
      <c r="AA55" s="347"/>
    </row>
    <row r="56" spans="1:27" ht="12.75" customHeight="1">
      <c r="A56" s="8243"/>
      <c r="B56" s="242" t="str">
        <f t="shared" si="0"/>
        <v>Oscuridad22</v>
      </c>
      <c r="D56" s="257" t="s">
        <v>9246</v>
      </c>
      <c r="E56" s="342" t="s">
        <v>1554</v>
      </c>
      <c r="F56" s="342">
        <v>22</v>
      </c>
      <c r="G56" s="343" t="s">
        <v>1241</v>
      </c>
      <c r="H56" s="343" t="s">
        <v>1093</v>
      </c>
      <c r="I56" s="344" t="s">
        <v>1165</v>
      </c>
      <c r="J56" s="342">
        <v>6</v>
      </c>
      <c r="K56" s="342">
        <v>9</v>
      </c>
      <c r="L56" s="342">
        <v>12</v>
      </c>
      <c r="M56" s="345">
        <v>15</v>
      </c>
      <c r="N56" s="342">
        <v>50</v>
      </c>
      <c r="O56" s="342">
        <v>90</v>
      </c>
      <c r="P56" s="342">
        <v>120</v>
      </c>
      <c r="Q56" s="345">
        <v>150</v>
      </c>
      <c r="R56" s="342" t="s">
        <v>1241</v>
      </c>
      <c r="S56" s="342" t="s">
        <v>1241</v>
      </c>
      <c r="T56" s="2487" t="s">
        <v>1241</v>
      </c>
      <c r="U56" s="348" t="s">
        <v>1241</v>
      </c>
      <c r="V56" s="2485" t="s">
        <v>3076</v>
      </c>
      <c r="W56" s="2485" t="s">
        <v>3077</v>
      </c>
      <c r="X56" s="2485" t="s">
        <v>3246</v>
      </c>
      <c r="Y56" s="2485" t="s">
        <v>3247</v>
      </c>
      <c r="Z56" s="2485" t="s">
        <v>3248</v>
      </c>
      <c r="AA56" s="347"/>
    </row>
    <row r="57" spans="1:27" ht="12.75" customHeight="1">
      <c r="A57" s="8243"/>
      <c r="B57" s="242" t="str">
        <f t="shared" si="0"/>
        <v>Oscuridad26</v>
      </c>
      <c r="D57" s="257" t="s">
        <v>9247</v>
      </c>
      <c r="E57" s="342" t="s">
        <v>1554</v>
      </c>
      <c r="F57" s="342">
        <v>26</v>
      </c>
      <c r="G57" s="343" t="s">
        <v>1241</v>
      </c>
      <c r="H57" s="343" t="s">
        <v>1095</v>
      </c>
      <c r="I57" s="344" t="s">
        <v>1165</v>
      </c>
      <c r="J57" s="342">
        <v>6</v>
      </c>
      <c r="K57" s="342">
        <v>9</v>
      </c>
      <c r="L57" s="342">
        <v>12</v>
      </c>
      <c r="M57" s="345">
        <v>15</v>
      </c>
      <c r="N57" s="342">
        <v>60</v>
      </c>
      <c r="O57" s="342">
        <v>180</v>
      </c>
      <c r="P57" s="342">
        <v>240</v>
      </c>
      <c r="Q57" s="345">
        <v>300</v>
      </c>
      <c r="R57" s="342">
        <v>5</v>
      </c>
      <c r="S57" s="342">
        <v>10</v>
      </c>
      <c r="T57" s="2487">
        <v>15</v>
      </c>
      <c r="U57" s="348">
        <v>15</v>
      </c>
      <c r="V57" s="2485" t="s">
        <v>3249</v>
      </c>
      <c r="W57" s="2485" t="s">
        <v>3250</v>
      </c>
      <c r="X57" s="2485" t="s">
        <v>3251</v>
      </c>
      <c r="Y57" s="2485" t="s">
        <v>3252</v>
      </c>
      <c r="Z57" s="2485" t="s">
        <v>3253</v>
      </c>
      <c r="AA57" s="347"/>
    </row>
    <row r="58" spans="1:27" ht="12.75" customHeight="1">
      <c r="A58" s="8243"/>
      <c r="B58" s="242" t="str">
        <f t="shared" si="0"/>
        <v>Oscuridad28</v>
      </c>
      <c r="D58" s="257" t="s">
        <v>9248</v>
      </c>
      <c r="E58" s="342" t="s">
        <v>1554</v>
      </c>
      <c r="F58" s="342">
        <v>28</v>
      </c>
      <c r="G58" s="343" t="s">
        <v>1241</v>
      </c>
      <c r="H58" s="343" t="s">
        <v>1093</v>
      </c>
      <c r="I58" s="344" t="s">
        <v>1165</v>
      </c>
      <c r="J58" s="342">
        <v>6</v>
      </c>
      <c r="K58" s="342">
        <v>9</v>
      </c>
      <c r="L58" s="342">
        <v>12</v>
      </c>
      <c r="M58" s="345">
        <v>15</v>
      </c>
      <c r="N58" s="342">
        <v>60</v>
      </c>
      <c r="O58" s="342">
        <v>100</v>
      </c>
      <c r="P58" s="342">
        <v>140</v>
      </c>
      <c r="Q58" s="345">
        <v>180</v>
      </c>
      <c r="R58" s="342">
        <v>10</v>
      </c>
      <c r="S58" s="342">
        <v>10</v>
      </c>
      <c r="T58" s="2487">
        <v>15</v>
      </c>
      <c r="U58" s="348">
        <v>15</v>
      </c>
      <c r="V58" s="2485" t="s">
        <v>3085</v>
      </c>
      <c r="W58" s="2485" t="s">
        <v>3086</v>
      </c>
      <c r="X58" s="2485" t="s">
        <v>3087</v>
      </c>
      <c r="Y58" s="2485" t="s">
        <v>3088</v>
      </c>
      <c r="Z58" s="2485" t="s">
        <v>9770</v>
      </c>
      <c r="AA58" s="347"/>
    </row>
    <row r="59" spans="1:27" ht="12.75" customHeight="1">
      <c r="A59" s="8243"/>
      <c r="B59" s="242" t="str">
        <f t="shared" si="0"/>
        <v>Oscuridad30</v>
      </c>
      <c r="D59" s="257" t="s">
        <v>9249</v>
      </c>
      <c r="E59" s="342" t="s">
        <v>1554</v>
      </c>
      <c r="F59" s="342">
        <v>30</v>
      </c>
      <c r="G59" s="343" t="s">
        <v>1241</v>
      </c>
      <c r="H59" s="343" t="s">
        <v>3239</v>
      </c>
      <c r="I59" s="344" t="s">
        <v>1165</v>
      </c>
      <c r="J59" s="342">
        <v>6</v>
      </c>
      <c r="K59" s="342">
        <v>9</v>
      </c>
      <c r="L59" s="342">
        <v>12</v>
      </c>
      <c r="M59" s="345">
        <v>16</v>
      </c>
      <c r="N59" s="342">
        <v>50</v>
      </c>
      <c r="O59" s="342">
        <v>150</v>
      </c>
      <c r="P59" s="342">
        <v>250</v>
      </c>
      <c r="Q59" s="345">
        <v>350</v>
      </c>
      <c r="R59" s="342">
        <v>5</v>
      </c>
      <c r="S59" s="342">
        <v>20</v>
      </c>
      <c r="T59" s="2487">
        <v>25</v>
      </c>
      <c r="U59" s="348">
        <v>30</v>
      </c>
      <c r="V59" s="2485" t="s">
        <v>3090</v>
      </c>
      <c r="W59" s="2485" t="s">
        <v>3091</v>
      </c>
      <c r="X59" s="2485" t="s">
        <v>3254</v>
      </c>
      <c r="Y59" s="2485" t="s">
        <v>3093</v>
      </c>
      <c r="Z59" s="2485" t="s">
        <v>12881</v>
      </c>
      <c r="AA59" s="347"/>
    </row>
    <row r="60" spans="1:27" ht="12.75" customHeight="1">
      <c r="A60" s="8243"/>
      <c r="B60" s="242" t="str">
        <f t="shared" si="0"/>
        <v>Oscuridad32</v>
      </c>
      <c r="D60" s="257" t="s">
        <v>9250</v>
      </c>
      <c r="E60" s="342" t="s">
        <v>1554</v>
      </c>
      <c r="F60" s="342">
        <v>32</v>
      </c>
      <c r="G60" s="343" t="s">
        <v>2422</v>
      </c>
      <c r="H60" s="343" t="s">
        <v>1095</v>
      </c>
      <c r="I60" s="344" t="s">
        <v>1166</v>
      </c>
      <c r="J60" s="342">
        <v>6</v>
      </c>
      <c r="K60" s="342">
        <v>9</v>
      </c>
      <c r="L60" s="342">
        <v>12</v>
      </c>
      <c r="M60" s="345">
        <v>15</v>
      </c>
      <c r="N60" s="342">
        <v>60</v>
      </c>
      <c r="O60" s="342">
        <v>180</v>
      </c>
      <c r="P60" s="342">
        <v>240</v>
      </c>
      <c r="Q60" s="345">
        <v>300</v>
      </c>
      <c r="R60" s="342">
        <v>10</v>
      </c>
      <c r="S60" s="342">
        <v>20</v>
      </c>
      <c r="T60" s="2487">
        <v>25</v>
      </c>
      <c r="U60" s="348">
        <v>30</v>
      </c>
      <c r="V60" s="2485" t="s">
        <v>3255</v>
      </c>
      <c r="W60" s="2485" t="s">
        <v>3256</v>
      </c>
      <c r="X60" s="2485" t="s">
        <v>3257</v>
      </c>
      <c r="Y60" s="2485" t="s">
        <v>3258</v>
      </c>
      <c r="Z60" s="2485" t="s">
        <v>12882</v>
      </c>
      <c r="AA60" s="347"/>
    </row>
    <row r="61" spans="1:27" ht="12.75" customHeight="1">
      <c r="A61" s="8243"/>
      <c r="B61" s="242" t="str">
        <f t="shared" si="0"/>
        <v>Oscuridad36</v>
      </c>
      <c r="D61" s="257" t="s">
        <v>255</v>
      </c>
      <c r="E61" s="342" t="s">
        <v>1554</v>
      </c>
      <c r="F61" s="342">
        <v>36</v>
      </c>
      <c r="G61" s="343" t="s">
        <v>2422</v>
      </c>
      <c r="H61" s="343" t="s">
        <v>1095</v>
      </c>
      <c r="I61" s="344" t="s">
        <v>1165</v>
      </c>
      <c r="J61" s="342">
        <v>6</v>
      </c>
      <c r="K61" s="342">
        <v>9</v>
      </c>
      <c r="L61" s="342">
        <v>12</v>
      </c>
      <c r="M61" s="345">
        <v>15</v>
      </c>
      <c r="N61" s="342">
        <v>100</v>
      </c>
      <c r="O61" s="342">
        <v>180</v>
      </c>
      <c r="P61" s="342">
        <v>240</v>
      </c>
      <c r="Q61" s="345">
        <v>300</v>
      </c>
      <c r="R61" s="342">
        <v>20</v>
      </c>
      <c r="S61" s="342">
        <v>40</v>
      </c>
      <c r="T61" s="2487">
        <v>50</v>
      </c>
      <c r="U61" s="348">
        <v>60</v>
      </c>
      <c r="V61" s="2485" t="s">
        <v>12883</v>
      </c>
      <c r="W61" s="2485" t="s">
        <v>12884</v>
      </c>
      <c r="X61" s="2485" t="s">
        <v>12885</v>
      </c>
      <c r="Y61" s="2485" t="s">
        <v>12886</v>
      </c>
      <c r="Z61" s="2485" t="s">
        <v>12887</v>
      </c>
      <c r="AA61" s="347"/>
    </row>
    <row r="62" spans="1:27" ht="12.75" customHeight="1">
      <c r="A62" s="8243"/>
      <c r="B62" s="242" t="str">
        <f t="shared" si="0"/>
        <v>Oscuridad38</v>
      </c>
      <c r="D62" s="257" t="s">
        <v>9251</v>
      </c>
      <c r="E62" s="342" t="s">
        <v>1554</v>
      </c>
      <c r="F62" s="342">
        <v>38</v>
      </c>
      <c r="G62" s="343" t="s">
        <v>1241</v>
      </c>
      <c r="H62" s="343" t="s">
        <v>1094</v>
      </c>
      <c r="I62" s="344" t="s">
        <v>1165</v>
      </c>
      <c r="J62" s="342">
        <v>6</v>
      </c>
      <c r="K62" s="342">
        <v>9</v>
      </c>
      <c r="L62" s="342">
        <v>12</v>
      </c>
      <c r="M62" s="345">
        <v>15</v>
      </c>
      <c r="N62" s="342">
        <v>60</v>
      </c>
      <c r="O62" s="342">
        <v>90</v>
      </c>
      <c r="P62" s="342">
        <v>150</v>
      </c>
      <c r="Q62" s="345">
        <v>200</v>
      </c>
      <c r="R62" s="342">
        <v>10</v>
      </c>
      <c r="S62" s="342">
        <v>10</v>
      </c>
      <c r="T62" s="2487">
        <v>15</v>
      </c>
      <c r="U62" s="348">
        <v>15</v>
      </c>
      <c r="V62" s="2485" t="s">
        <v>3259</v>
      </c>
      <c r="W62" s="2485" t="s">
        <v>3260</v>
      </c>
      <c r="X62" s="2485" t="s">
        <v>3261</v>
      </c>
      <c r="Y62" s="2485" t="s">
        <v>3262</v>
      </c>
      <c r="Z62" s="2485" t="s">
        <v>3263</v>
      </c>
      <c r="AA62" s="347"/>
    </row>
    <row r="63" spans="1:27" ht="12.75" customHeight="1">
      <c r="A63" s="8243"/>
      <c r="B63" s="242" t="str">
        <f t="shared" si="0"/>
        <v>Oscuridad40</v>
      </c>
      <c r="D63" s="257" t="s">
        <v>9252</v>
      </c>
      <c r="E63" s="342" t="s">
        <v>1554</v>
      </c>
      <c r="F63" s="342">
        <v>40</v>
      </c>
      <c r="G63" s="343" t="s">
        <v>1241</v>
      </c>
      <c r="H63" s="343" t="s">
        <v>1094</v>
      </c>
      <c r="I63" s="344" t="s">
        <v>1165</v>
      </c>
      <c r="J63" s="342">
        <v>6</v>
      </c>
      <c r="K63" s="342">
        <v>9</v>
      </c>
      <c r="L63" s="342">
        <v>12</v>
      </c>
      <c r="M63" s="345">
        <v>15</v>
      </c>
      <c r="N63" s="342">
        <v>80</v>
      </c>
      <c r="O63" s="342">
        <v>180</v>
      </c>
      <c r="P63" s="342">
        <v>240</v>
      </c>
      <c r="Q63" s="345">
        <v>350</v>
      </c>
      <c r="R63" s="342" t="s">
        <v>1241</v>
      </c>
      <c r="S63" s="342" t="s">
        <v>1241</v>
      </c>
      <c r="T63" s="2487" t="s">
        <v>1241</v>
      </c>
      <c r="U63" s="348" t="s">
        <v>1241</v>
      </c>
      <c r="V63" s="2485" t="s">
        <v>3109</v>
      </c>
      <c r="W63" s="2485" t="s">
        <v>3110</v>
      </c>
      <c r="X63" s="2485" t="s">
        <v>3111</v>
      </c>
      <c r="Y63" s="2485" t="s">
        <v>3112</v>
      </c>
      <c r="Z63" s="2485" t="s">
        <v>12888</v>
      </c>
      <c r="AA63" s="347"/>
    </row>
    <row r="64" spans="1:27" ht="12.75" customHeight="1">
      <c r="A64" s="8243"/>
      <c r="B64" s="242" t="str">
        <f t="shared" si="0"/>
        <v>Oscuridad42</v>
      </c>
      <c r="D64" s="257" t="s">
        <v>9253</v>
      </c>
      <c r="E64" s="342" t="s">
        <v>1554</v>
      </c>
      <c r="F64" s="342">
        <v>42</v>
      </c>
      <c r="G64" s="343" t="s">
        <v>1241</v>
      </c>
      <c r="H64" s="343" t="s">
        <v>1095</v>
      </c>
      <c r="I64" s="344" t="s">
        <v>1165</v>
      </c>
      <c r="J64" s="342">
        <v>6</v>
      </c>
      <c r="K64" s="342">
        <v>9</v>
      </c>
      <c r="L64" s="342">
        <v>12</v>
      </c>
      <c r="M64" s="345">
        <v>15</v>
      </c>
      <c r="N64" s="342">
        <v>80</v>
      </c>
      <c r="O64" s="342">
        <v>180</v>
      </c>
      <c r="P64" s="342">
        <v>240</v>
      </c>
      <c r="Q64" s="345">
        <v>300</v>
      </c>
      <c r="R64" s="342">
        <v>10</v>
      </c>
      <c r="S64" s="342">
        <v>20</v>
      </c>
      <c r="T64" s="2487">
        <v>25</v>
      </c>
      <c r="U64" s="348">
        <v>30</v>
      </c>
      <c r="V64" s="2485" t="s">
        <v>3264</v>
      </c>
      <c r="W64" s="2485" t="s">
        <v>3265</v>
      </c>
      <c r="X64" s="2485" t="s">
        <v>3266</v>
      </c>
      <c r="Y64" s="2485" t="s">
        <v>3267</v>
      </c>
      <c r="Z64" s="2485" t="s">
        <v>3268</v>
      </c>
      <c r="AA64" s="347"/>
    </row>
    <row r="65" spans="1:27" ht="12.75" customHeight="1">
      <c r="A65" s="8243"/>
      <c r="B65" s="242" t="str">
        <f t="shared" si="0"/>
        <v>Oscuridad46</v>
      </c>
      <c r="D65" s="257" t="s">
        <v>9254</v>
      </c>
      <c r="E65" s="342" t="s">
        <v>1554</v>
      </c>
      <c r="F65" s="342">
        <v>46</v>
      </c>
      <c r="G65" s="343" t="s">
        <v>1241</v>
      </c>
      <c r="H65" s="343" t="s">
        <v>1093</v>
      </c>
      <c r="I65" s="344" t="s">
        <v>1165</v>
      </c>
      <c r="J65" s="342">
        <v>6</v>
      </c>
      <c r="K65" s="342">
        <v>9</v>
      </c>
      <c r="L65" s="342">
        <v>12</v>
      </c>
      <c r="M65" s="345">
        <v>15</v>
      </c>
      <c r="N65" s="342">
        <v>120</v>
      </c>
      <c r="O65" s="342">
        <v>180</v>
      </c>
      <c r="P65" s="342">
        <v>240</v>
      </c>
      <c r="Q65" s="345">
        <v>300</v>
      </c>
      <c r="R65" s="342">
        <v>15</v>
      </c>
      <c r="S65" s="342">
        <v>20</v>
      </c>
      <c r="T65" s="2487">
        <v>25</v>
      </c>
      <c r="U65" s="348">
        <v>30</v>
      </c>
      <c r="V65" s="2485" t="s">
        <v>3269</v>
      </c>
      <c r="W65" s="2485" t="s">
        <v>3120</v>
      </c>
      <c r="X65" s="2485" t="s">
        <v>3121</v>
      </c>
      <c r="Y65" s="2485" t="s">
        <v>3122</v>
      </c>
      <c r="Z65" s="2485" t="s">
        <v>12889</v>
      </c>
      <c r="AA65" s="347"/>
    </row>
    <row r="66" spans="1:27" ht="12.75" customHeight="1">
      <c r="A66" s="8243"/>
      <c r="B66" s="242" t="str">
        <f t="shared" si="0"/>
        <v>Oscuridad48</v>
      </c>
      <c r="D66" s="257" t="s">
        <v>9256</v>
      </c>
      <c r="E66" s="342" t="s">
        <v>1554</v>
      </c>
      <c r="F66" s="342">
        <v>48</v>
      </c>
      <c r="G66" s="343" t="s">
        <v>2422</v>
      </c>
      <c r="H66" s="343" t="s">
        <v>1097</v>
      </c>
      <c r="I66" s="344" t="s">
        <v>1165</v>
      </c>
      <c r="J66" s="342">
        <v>6</v>
      </c>
      <c r="K66" s="342">
        <v>9</v>
      </c>
      <c r="L66" s="342">
        <v>12</v>
      </c>
      <c r="M66" s="345">
        <v>15</v>
      </c>
      <c r="N66" s="342">
        <v>140</v>
      </c>
      <c r="O66" s="342">
        <v>180</v>
      </c>
      <c r="P66" s="342">
        <v>240</v>
      </c>
      <c r="Q66" s="345">
        <v>300</v>
      </c>
      <c r="R66" s="342">
        <v>10</v>
      </c>
      <c r="S66" s="342">
        <v>10</v>
      </c>
      <c r="T66" s="2487">
        <v>15</v>
      </c>
      <c r="U66" s="348">
        <v>15</v>
      </c>
      <c r="V66" s="2485" t="s">
        <v>3270</v>
      </c>
      <c r="W66" s="2485" t="s">
        <v>9583</v>
      </c>
      <c r="X66" s="2485" t="s">
        <v>3271</v>
      </c>
      <c r="Y66" s="2485" t="s">
        <v>3272</v>
      </c>
      <c r="Z66" s="2485" t="s">
        <v>12890</v>
      </c>
      <c r="AA66" s="347"/>
    </row>
    <row r="67" spans="1:27" ht="12.75" customHeight="1">
      <c r="A67" s="8243"/>
      <c r="B67" s="242" t="str">
        <f t="shared" si="0"/>
        <v>Oscuridad50</v>
      </c>
      <c r="D67" s="257" t="s">
        <v>9255</v>
      </c>
      <c r="E67" s="342" t="s">
        <v>1554</v>
      </c>
      <c r="F67" s="342">
        <v>50</v>
      </c>
      <c r="G67" s="343" t="s">
        <v>2422</v>
      </c>
      <c r="H67" s="343" t="s">
        <v>1094</v>
      </c>
      <c r="I67" s="344" t="s">
        <v>1165</v>
      </c>
      <c r="J67" s="342">
        <v>6</v>
      </c>
      <c r="K67" s="342">
        <v>9</v>
      </c>
      <c r="L67" s="342">
        <v>12</v>
      </c>
      <c r="M67" s="345">
        <v>15</v>
      </c>
      <c r="N67" s="342">
        <v>120</v>
      </c>
      <c r="O67" s="342">
        <v>180</v>
      </c>
      <c r="P67" s="342">
        <v>240</v>
      </c>
      <c r="Q67" s="345">
        <v>300</v>
      </c>
      <c r="R67" s="342">
        <v>10</v>
      </c>
      <c r="S67" s="342">
        <v>10</v>
      </c>
      <c r="T67" s="2487">
        <v>15</v>
      </c>
      <c r="U67" s="348">
        <v>15</v>
      </c>
      <c r="V67" s="2485" t="s">
        <v>3128</v>
      </c>
      <c r="W67" s="2485" t="s">
        <v>3129</v>
      </c>
      <c r="X67" s="2485" t="s">
        <v>3130</v>
      </c>
      <c r="Y67" s="2485" t="s">
        <v>3131</v>
      </c>
      <c r="Z67" s="2485" t="s">
        <v>6630</v>
      </c>
      <c r="AA67" s="347"/>
    </row>
    <row r="68" spans="1:27" ht="12.75" customHeight="1">
      <c r="A68" s="8243"/>
      <c r="B68" s="242" t="str">
        <f t="shared" si="0"/>
        <v>Oscuridad52</v>
      </c>
      <c r="D68" s="257" t="s">
        <v>9257</v>
      </c>
      <c r="E68" s="342" t="s">
        <v>1554</v>
      </c>
      <c r="F68" s="342">
        <v>52</v>
      </c>
      <c r="G68" s="343" t="s">
        <v>1241</v>
      </c>
      <c r="H68" s="343" t="s">
        <v>1095</v>
      </c>
      <c r="I68" s="344" t="s">
        <v>1165</v>
      </c>
      <c r="J68" s="342">
        <v>8</v>
      </c>
      <c r="K68" s="342">
        <v>11</v>
      </c>
      <c r="L68" s="342">
        <v>13</v>
      </c>
      <c r="M68" s="345">
        <v>16</v>
      </c>
      <c r="N68" s="342">
        <v>100</v>
      </c>
      <c r="O68" s="342">
        <v>120</v>
      </c>
      <c r="P68" s="342">
        <v>140</v>
      </c>
      <c r="Q68" s="345">
        <v>160</v>
      </c>
      <c r="R68" s="342">
        <v>10</v>
      </c>
      <c r="S68" s="342">
        <v>15</v>
      </c>
      <c r="T68" s="2487">
        <v>15</v>
      </c>
      <c r="U68" s="348">
        <v>20</v>
      </c>
      <c r="V68" s="2488" t="s">
        <v>12891</v>
      </c>
      <c r="W68" s="2488" t="s">
        <v>12892</v>
      </c>
      <c r="X68" s="2485" t="s">
        <v>3273</v>
      </c>
      <c r="Y68" s="2485" t="s">
        <v>3274</v>
      </c>
      <c r="Z68" s="2485" t="s">
        <v>12893</v>
      </c>
      <c r="AA68" s="347"/>
    </row>
    <row r="69" spans="1:27" ht="12.75" customHeight="1">
      <c r="A69" s="8243"/>
      <c r="B69" s="242" t="str">
        <f t="shared" si="0"/>
        <v>Oscuridad56</v>
      </c>
      <c r="D69" s="257" t="s">
        <v>9258</v>
      </c>
      <c r="E69" s="342" t="s">
        <v>1554</v>
      </c>
      <c r="F69" s="342">
        <v>56</v>
      </c>
      <c r="G69" s="343" t="s">
        <v>1241</v>
      </c>
      <c r="H69" s="343" t="s">
        <v>1096</v>
      </c>
      <c r="I69" s="344" t="s">
        <v>1165</v>
      </c>
      <c r="J69" s="342">
        <v>6</v>
      </c>
      <c r="K69" s="342">
        <v>9</v>
      </c>
      <c r="L69" s="342">
        <v>12</v>
      </c>
      <c r="M69" s="345">
        <v>15</v>
      </c>
      <c r="N69" s="342">
        <v>100</v>
      </c>
      <c r="O69" s="342">
        <v>180</v>
      </c>
      <c r="P69" s="342">
        <v>240</v>
      </c>
      <c r="Q69" s="345">
        <v>300</v>
      </c>
      <c r="R69" s="342">
        <v>5</v>
      </c>
      <c r="S69" s="342">
        <v>10</v>
      </c>
      <c r="T69" s="2487">
        <v>15</v>
      </c>
      <c r="U69" s="348">
        <v>15</v>
      </c>
      <c r="V69" s="2485" t="s">
        <v>3275</v>
      </c>
      <c r="W69" s="2485" t="s">
        <v>3276</v>
      </c>
      <c r="X69" s="2485" t="s">
        <v>3277</v>
      </c>
      <c r="Y69" s="2485" t="s">
        <v>3278</v>
      </c>
      <c r="Z69" s="2485" t="s">
        <v>3279</v>
      </c>
      <c r="AA69" s="347"/>
    </row>
    <row r="70" spans="1:27" ht="12.75" customHeight="1">
      <c r="A70" s="8243"/>
      <c r="B70" s="242" t="str">
        <f t="shared" si="0"/>
        <v>Oscuridad58</v>
      </c>
      <c r="D70" s="257" t="s">
        <v>9259</v>
      </c>
      <c r="E70" s="342" t="s">
        <v>1554</v>
      </c>
      <c r="F70" s="342">
        <v>58</v>
      </c>
      <c r="G70" s="343" t="s">
        <v>2422</v>
      </c>
      <c r="H70" s="343" t="s">
        <v>1094</v>
      </c>
      <c r="I70" s="344" t="s">
        <v>1165</v>
      </c>
      <c r="J70" s="342">
        <v>6</v>
      </c>
      <c r="K70" s="342">
        <v>9</v>
      </c>
      <c r="L70" s="342">
        <v>12</v>
      </c>
      <c r="M70" s="345">
        <v>15</v>
      </c>
      <c r="N70" s="342">
        <v>100</v>
      </c>
      <c r="O70" s="342">
        <v>180</v>
      </c>
      <c r="P70" s="342">
        <v>240</v>
      </c>
      <c r="Q70" s="345">
        <v>300</v>
      </c>
      <c r="R70" s="342">
        <v>10</v>
      </c>
      <c r="S70" s="342">
        <v>20</v>
      </c>
      <c r="T70" s="2487">
        <v>25</v>
      </c>
      <c r="U70" s="348">
        <v>30</v>
      </c>
      <c r="V70" s="2485" t="s">
        <v>3280</v>
      </c>
      <c r="W70" s="2485" t="s">
        <v>3142</v>
      </c>
      <c r="X70" s="2485" t="s">
        <v>3281</v>
      </c>
      <c r="Y70" s="2485" t="s">
        <v>3144</v>
      </c>
      <c r="Z70" s="2485" t="s">
        <v>3282</v>
      </c>
      <c r="AA70" s="347"/>
    </row>
    <row r="71" spans="1:27" ht="12.75" customHeight="1">
      <c r="A71" s="8243"/>
      <c r="B71" s="242" t="str">
        <f t="shared" si="0"/>
        <v>Oscuridad60</v>
      </c>
      <c r="D71" s="257" t="s">
        <v>9260</v>
      </c>
      <c r="E71" s="342" t="s">
        <v>1554</v>
      </c>
      <c r="F71" s="342">
        <v>60</v>
      </c>
      <c r="G71" s="343" t="s">
        <v>1241</v>
      </c>
      <c r="H71" s="343" t="s">
        <v>1095</v>
      </c>
      <c r="I71" s="344" t="s">
        <v>1165</v>
      </c>
      <c r="J71" s="342">
        <v>8</v>
      </c>
      <c r="K71" s="342">
        <v>10</v>
      </c>
      <c r="L71" s="342">
        <v>13</v>
      </c>
      <c r="M71" s="345">
        <v>16</v>
      </c>
      <c r="N71" s="342">
        <v>100</v>
      </c>
      <c r="O71" s="342">
        <v>200</v>
      </c>
      <c r="P71" s="342">
        <v>300</v>
      </c>
      <c r="Q71" s="345">
        <v>400</v>
      </c>
      <c r="R71" s="342" t="s">
        <v>1241</v>
      </c>
      <c r="S71" s="342" t="s">
        <v>1241</v>
      </c>
      <c r="T71" s="2487" t="s">
        <v>1241</v>
      </c>
      <c r="U71" s="348" t="s">
        <v>1241</v>
      </c>
      <c r="V71" s="2485" t="s">
        <v>3283</v>
      </c>
      <c r="W71" s="2485" t="s">
        <v>3284</v>
      </c>
      <c r="X71" s="2485" t="s">
        <v>3285</v>
      </c>
      <c r="Y71" s="2485" t="s">
        <v>3286</v>
      </c>
      <c r="Z71" s="2485" t="s">
        <v>3287</v>
      </c>
      <c r="AA71" s="347"/>
    </row>
    <row r="72" spans="1:27" ht="12.75" customHeight="1">
      <c r="A72" s="8243"/>
      <c r="B72" s="242" t="str">
        <f t="shared" ref="B72:B135" si="1">E72&amp;F72</f>
        <v>Oscuridad62</v>
      </c>
      <c r="D72" s="257" t="s">
        <v>9261</v>
      </c>
      <c r="E72" s="342" t="s">
        <v>1554</v>
      </c>
      <c r="F72" s="342">
        <v>62</v>
      </c>
      <c r="G72" s="343" t="s">
        <v>2422</v>
      </c>
      <c r="H72" s="343" t="s">
        <v>1096</v>
      </c>
      <c r="I72" s="344" t="s">
        <v>1165</v>
      </c>
      <c r="J72" s="342">
        <v>7</v>
      </c>
      <c r="K72" s="342">
        <v>9</v>
      </c>
      <c r="L72" s="342">
        <v>12</v>
      </c>
      <c r="M72" s="345">
        <v>15</v>
      </c>
      <c r="N72" s="342">
        <v>140</v>
      </c>
      <c r="O72" s="342">
        <v>180</v>
      </c>
      <c r="P72" s="342">
        <v>240</v>
      </c>
      <c r="Q72" s="345">
        <v>300</v>
      </c>
      <c r="R72" s="342">
        <v>15</v>
      </c>
      <c r="S72" s="342">
        <v>20</v>
      </c>
      <c r="T72" s="2487">
        <v>25</v>
      </c>
      <c r="U72" s="348">
        <v>30</v>
      </c>
      <c r="V72" s="2485" t="s">
        <v>3147</v>
      </c>
      <c r="W72" s="2485" t="s">
        <v>3148</v>
      </c>
      <c r="X72" s="2485" t="s">
        <v>3149</v>
      </c>
      <c r="Y72" s="2485" t="s">
        <v>3150</v>
      </c>
      <c r="Z72" s="2485" t="s">
        <v>3288</v>
      </c>
      <c r="AA72" s="347"/>
    </row>
    <row r="73" spans="1:27" ht="12.75" customHeight="1">
      <c r="A73" s="8243"/>
      <c r="B73" s="242" t="str">
        <f t="shared" si="1"/>
        <v>Oscuridad66</v>
      </c>
      <c r="D73" s="257" t="s">
        <v>9262</v>
      </c>
      <c r="E73" s="342" t="s">
        <v>1554</v>
      </c>
      <c r="F73" s="342">
        <v>66</v>
      </c>
      <c r="G73" s="343" t="s">
        <v>1241</v>
      </c>
      <c r="H73" s="343" t="s">
        <v>1424</v>
      </c>
      <c r="I73" s="344" t="s">
        <v>1166</v>
      </c>
      <c r="J73" s="342">
        <v>6</v>
      </c>
      <c r="K73" s="342">
        <v>9</v>
      </c>
      <c r="L73" s="342">
        <v>12</v>
      </c>
      <c r="M73" s="345">
        <v>15</v>
      </c>
      <c r="N73" s="342">
        <v>120</v>
      </c>
      <c r="O73" s="342">
        <v>180</v>
      </c>
      <c r="P73" s="342">
        <v>240</v>
      </c>
      <c r="Q73" s="345">
        <v>300</v>
      </c>
      <c r="R73" s="342">
        <v>10</v>
      </c>
      <c r="S73" s="342">
        <v>10</v>
      </c>
      <c r="T73" s="2487">
        <v>15</v>
      </c>
      <c r="U73" s="348">
        <v>15</v>
      </c>
      <c r="V73" s="2485" t="s">
        <v>3289</v>
      </c>
      <c r="W73" s="2485" t="s">
        <v>3290</v>
      </c>
      <c r="X73" s="2485" t="s">
        <v>3291</v>
      </c>
      <c r="Y73" s="2485" t="s">
        <v>3292</v>
      </c>
      <c r="Z73" s="2485" t="s">
        <v>3293</v>
      </c>
      <c r="AA73" s="347"/>
    </row>
    <row r="74" spans="1:27" ht="12.75" customHeight="1">
      <c r="A74" s="8243"/>
      <c r="B74" s="242" t="str">
        <f t="shared" si="1"/>
        <v>Oscuridad68</v>
      </c>
      <c r="D74" s="257" t="s">
        <v>106</v>
      </c>
      <c r="E74" s="342" t="s">
        <v>1554</v>
      </c>
      <c r="F74" s="342">
        <v>68</v>
      </c>
      <c r="G74" s="343" t="s">
        <v>1241</v>
      </c>
      <c r="H74" s="343" t="s">
        <v>1094</v>
      </c>
      <c r="I74" s="344" t="s">
        <v>1165</v>
      </c>
      <c r="J74" s="342">
        <v>6</v>
      </c>
      <c r="K74" s="342">
        <v>9</v>
      </c>
      <c r="L74" s="342">
        <v>12</v>
      </c>
      <c r="M74" s="345">
        <v>15</v>
      </c>
      <c r="N74" s="342">
        <v>100</v>
      </c>
      <c r="O74" s="342">
        <v>180</v>
      </c>
      <c r="P74" s="342">
        <v>240</v>
      </c>
      <c r="Q74" s="345">
        <v>300</v>
      </c>
      <c r="R74" s="342">
        <v>10</v>
      </c>
      <c r="S74" s="342">
        <v>20</v>
      </c>
      <c r="T74" s="2487">
        <v>25</v>
      </c>
      <c r="U74" s="348">
        <v>30</v>
      </c>
      <c r="V74" s="2485" t="s">
        <v>3294</v>
      </c>
      <c r="W74" s="2485" t="s">
        <v>3295</v>
      </c>
      <c r="X74" s="2485" t="s">
        <v>3296</v>
      </c>
      <c r="Y74" s="2485" t="s">
        <v>3297</v>
      </c>
      <c r="Z74" s="2485" t="s">
        <v>12894</v>
      </c>
      <c r="AA74" s="347"/>
    </row>
    <row r="75" spans="1:27" ht="12.75" customHeight="1">
      <c r="A75" s="8243"/>
      <c r="B75" s="242" t="str">
        <f t="shared" si="1"/>
        <v>Oscuridad70</v>
      </c>
      <c r="D75" s="257" t="s">
        <v>9263</v>
      </c>
      <c r="E75" s="342" t="s">
        <v>1554</v>
      </c>
      <c r="F75" s="342">
        <v>70</v>
      </c>
      <c r="G75" s="343" t="s">
        <v>1241</v>
      </c>
      <c r="H75" s="343" t="s">
        <v>1096</v>
      </c>
      <c r="I75" s="344" t="s">
        <v>1165</v>
      </c>
      <c r="J75" s="342">
        <v>10</v>
      </c>
      <c r="K75" s="342">
        <v>12</v>
      </c>
      <c r="L75" s="342">
        <v>14</v>
      </c>
      <c r="M75" s="345">
        <v>16</v>
      </c>
      <c r="N75" s="342">
        <v>140</v>
      </c>
      <c r="O75" s="342">
        <v>200</v>
      </c>
      <c r="P75" s="342">
        <v>280</v>
      </c>
      <c r="Q75" s="345">
        <v>360</v>
      </c>
      <c r="R75" s="342">
        <v>5</v>
      </c>
      <c r="S75" s="342">
        <v>10</v>
      </c>
      <c r="T75" s="2487">
        <v>10</v>
      </c>
      <c r="U75" s="348">
        <v>15</v>
      </c>
      <c r="V75" s="2485" t="s">
        <v>3162</v>
      </c>
      <c r="W75" s="2485" t="s">
        <v>3163</v>
      </c>
      <c r="X75" s="2485" t="s">
        <v>3298</v>
      </c>
      <c r="Y75" s="2485" t="s">
        <v>3165</v>
      </c>
      <c r="Z75" s="2485" t="s">
        <v>3299</v>
      </c>
      <c r="AA75" s="347"/>
    </row>
    <row r="76" spans="1:27" ht="12.75" customHeight="1">
      <c r="A76" s="8243"/>
      <c r="B76" s="242" t="str">
        <f t="shared" si="1"/>
        <v>Oscuridad72</v>
      </c>
      <c r="D76" s="257" t="s">
        <v>9264</v>
      </c>
      <c r="E76" s="342" t="s">
        <v>1554</v>
      </c>
      <c r="F76" s="342">
        <v>72</v>
      </c>
      <c r="G76" s="343" t="s">
        <v>1241</v>
      </c>
      <c r="H76" s="343" t="s">
        <v>1093</v>
      </c>
      <c r="I76" s="344" t="s">
        <v>1165</v>
      </c>
      <c r="J76" s="342">
        <v>10</v>
      </c>
      <c r="K76" s="342">
        <v>12</v>
      </c>
      <c r="L76" s="342">
        <v>14</v>
      </c>
      <c r="M76" s="345">
        <v>16</v>
      </c>
      <c r="N76" s="342">
        <v>140</v>
      </c>
      <c r="O76" s="342">
        <v>180</v>
      </c>
      <c r="P76" s="342">
        <v>240</v>
      </c>
      <c r="Q76" s="345">
        <v>350</v>
      </c>
      <c r="R76" s="342" t="s">
        <v>1241</v>
      </c>
      <c r="S76" s="342" t="s">
        <v>1241</v>
      </c>
      <c r="T76" s="2487" t="s">
        <v>1241</v>
      </c>
      <c r="U76" s="348" t="s">
        <v>1241</v>
      </c>
      <c r="V76" s="2485" t="s">
        <v>3167</v>
      </c>
      <c r="W76" s="2485" t="s">
        <v>3168</v>
      </c>
      <c r="X76" s="2485" t="s">
        <v>3169</v>
      </c>
      <c r="Y76" s="2485" t="s">
        <v>3300</v>
      </c>
      <c r="Z76" s="2485" t="s">
        <v>3301</v>
      </c>
      <c r="AA76" s="347"/>
    </row>
    <row r="77" spans="1:27" ht="12.75" customHeight="1">
      <c r="A77" s="8243"/>
      <c r="B77" s="242" t="str">
        <f t="shared" si="1"/>
        <v>Oscuridad76</v>
      </c>
      <c r="D77" s="257" t="s">
        <v>9265</v>
      </c>
      <c r="E77" s="342" t="s">
        <v>1554</v>
      </c>
      <c r="F77" s="342">
        <v>76</v>
      </c>
      <c r="G77" s="343" t="s">
        <v>1241</v>
      </c>
      <c r="H77" s="343" t="s">
        <v>1095</v>
      </c>
      <c r="I77" s="344" t="s">
        <v>1165</v>
      </c>
      <c r="J77" s="342">
        <v>10</v>
      </c>
      <c r="K77" s="342">
        <v>12</v>
      </c>
      <c r="L77" s="342">
        <v>14</v>
      </c>
      <c r="M77" s="345">
        <v>16</v>
      </c>
      <c r="N77" s="342">
        <v>150</v>
      </c>
      <c r="O77" s="342">
        <v>200</v>
      </c>
      <c r="P77" s="342">
        <v>240</v>
      </c>
      <c r="Q77" s="345">
        <v>300</v>
      </c>
      <c r="R77" s="342">
        <v>15</v>
      </c>
      <c r="S77" s="342">
        <v>20</v>
      </c>
      <c r="T77" s="2487">
        <v>25</v>
      </c>
      <c r="U77" s="348">
        <v>30</v>
      </c>
      <c r="V77" s="2485" t="s">
        <v>3302</v>
      </c>
      <c r="W77" s="2485" t="s">
        <v>3173</v>
      </c>
      <c r="X77" s="2485" t="s">
        <v>3174</v>
      </c>
      <c r="Y77" s="2485" t="s">
        <v>3175</v>
      </c>
      <c r="Z77" s="2485" t="s">
        <v>3303</v>
      </c>
      <c r="AA77" s="347"/>
    </row>
    <row r="78" spans="1:27" ht="12.75" customHeight="1">
      <c r="A78" s="8243"/>
      <c r="B78" s="242" t="str">
        <f t="shared" si="1"/>
        <v>Oscuridad78</v>
      </c>
      <c r="D78" s="257" t="s">
        <v>9266</v>
      </c>
      <c r="E78" s="342" t="s">
        <v>1554</v>
      </c>
      <c r="F78" s="342">
        <v>78</v>
      </c>
      <c r="G78" s="343" t="s">
        <v>1241</v>
      </c>
      <c r="H78" s="343" t="s">
        <v>3239</v>
      </c>
      <c r="I78" s="344" t="s">
        <v>1165</v>
      </c>
      <c r="J78" s="342">
        <v>10</v>
      </c>
      <c r="K78" s="342">
        <v>12</v>
      </c>
      <c r="L78" s="342">
        <v>14</v>
      </c>
      <c r="M78" s="345">
        <v>16</v>
      </c>
      <c r="N78" s="342">
        <v>250</v>
      </c>
      <c r="O78" s="342">
        <v>360</v>
      </c>
      <c r="P78" s="342">
        <v>450</v>
      </c>
      <c r="Q78" s="345">
        <v>600</v>
      </c>
      <c r="R78" s="342" t="s">
        <v>1241</v>
      </c>
      <c r="S78" s="342" t="s">
        <v>1241</v>
      </c>
      <c r="T78" s="2487" t="s">
        <v>1241</v>
      </c>
      <c r="U78" s="348" t="s">
        <v>1241</v>
      </c>
      <c r="V78" s="2485" t="s">
        <v>3177</v>
      </c>
      <c r="W78" s="2485" t="s">
        <v>3178</v>
      </c>
      <c r="X78" s="2485" t="s">
        <v>3179</v>
      </c>
      <c r="Y78" s="2485" t="s">
        <v>3180</v>
      </c>
      <c r="Z78" s="2485" t="s">
        <v>12895</v>
      </c>
      <c r="AA78" s="347"/>
    </row>
    <row r="79" spans="1:27" ht="12.75" customHeight="1">
      <c r="A79" s="8243"/>
      <c r="B79" s="242" t="str">
        <f t="shared" si="1"/>
        <v>Oscuridad80</v>
      </c>
      <c r="D79" s="257" t="s">
        <v>9267</v>
      </c>
      <c r="E79" s="342" t="s">
        <v>1554</v>
      </c>
      <c r="F79" s="342">
        <v>80</v>
      </c>
      <c r="G79" s="343" t="s">
        <v>1241</v>
      </c>
      <c r="H79" s="343" t="s">
        <v>3239</v>
      </c>
      <c r="I79" s="344" t="s">
        <v>1165</v>
      </c>
      <c r="J79" s="342">
        <v>12</v>
      </c>
      <c r="K79" s="342">
        <v>14</v>
      </c>
      <c r="L79" s="342">
        <v>16</v>
      </c>
      <c r="M79" s="345">
        <v>18</v>
      </c>
      <c r="N79" s="342">
        <v>300</v>
      </c>
      <c r="O79" s="342">
        <v>400</v>
      </c>
      <c r="P79" s="342">
        <v>500</v>
      </c>
      <c r="Q79" s="345">
        <v>750</v>
      </c>
      <c r="R79" s="342">
        <v>60</v>
      </c>
      <c r="S79" s="342">
        <v>65</v>
      </c>
      <c r="T79" s="2487">
        <v>70</v>
      </c>
      <c r="U79" s="348">
        <v>80</v>
      </c>
      <c r="V79" s="2485" t="s">
        <v>3152</v>
      </c>
      <c r="W79" s="2485" t="s">
        <v>3304</v>
      </c>
      <c r="X79" s="2485" t="s">
        <v>3305</v>
      </c>
      <c r="Y79" s="2485" t="s">
        <v>3184</v>
      </c>
      <c r="Z79" s="2485" t="s">
        <v>6631</v>
      </c>
      <c r="AA79" s="347"/>
    </row>
    <row r="80" spans="1:27" ht="12.75" customHeight="1">
      <c r="A80" s="8243"/>
      <c r="B80" s="242" t="str">
        <f t="shared" si="1"/>
        <v>Oscuridad82</v>
      </c>
      <c r="D80" s="257" t="s">
        <v>9268</v>
      </c>
      <c r="E80" s="342" t="s">
        <v>1554</v>
      </c>
      <c r="F80" s="342">
        <v>82</v>
      </c>
      <c r="G80" s="343" t="s">
        <v>2422</v>
      </c>
      <c r="H80" s="343" t="s">
        <v>1095</v>
      </c>
      <c r="I80" s="344" t="s">
        <v>1165</v>
      </c>
      <c r="J80" s="342">
        <v>10</v>
      </c>
      <c r="K80" s="342">
        <v>12</v>
      </c>
      <c r="L80" s="342">
        <v>14</v>
      </c>
      <c r="M80" s="345">
        <v>16</v>
      </c>
      <c r="N80" s="342">
        <v>250</v>
      </c>
      <c r="O80" s="342">
        <v>350</v>
      </c>
      <c r="P80" s="342">
        <v>500</v>
      </c>
      <c r="Q80" s="345">
        <v>700</v>
      </c>
      <c r="R80" s="342">
        <v>50</v>
      </c>
      <c r="S80" s="342">
        <v>70</v>
      </c>
      <c r="T80" s="2487">
        <v>100</v>
      </c>
      <c r="U80" s="348">
        <v>140</v>
      </c>
      <c r="V80" s="2485" t="s">
        <v>3185</v>
      </c>
      <c r="W80" s="2485" t="s">
        <v>3306</v>
      </c>
      <c r="X80" s="2485" t="s">
        <v>3187</v>
      </c>
      <c r="Y80" s="2485" t="s">
        <v>3188</v>
      </c>
      <c r="Z80" s="2485" t="s">
        <v>3307</v>
      </c>
      <c r="AA80" s="347"/>
    </row>
    <row r="81" spans="1:27" ht="12.75" customHeight="1">
      <c r="A81" s="8243"/>
      <c r="B81" s="242" t="str">
        <f t="shared" si="1"/>
        <v>Oscuridad86</v>
      </c>
      <c r="D81" s="257" t="s">
        <v>9269</v>
      </c>
      <c r="E81" s="342" t="s">
        <v>1554</v>
      </c>
      <c r="F81" s="342">
        <v>86</v>
      </c>
      <c r="G81" s="343" t="s">
        <v>2422</v>
      </c>
      <c r="H81" s="343" t="s">
        <v>1095</v>
      </c>
      <c r="I81" s="344" t="s">
        <v>1166</v>
      </c>
      <c r="J81" s="342">
        <v>10</v>
      </c>
      <c r="K81" s="342">
        <v>12</v>
      </c>
      <c r="L81" s="342">
        <v>14</v>
      </c>
      <c r="M81" s="345">
        <v>16</v>
      </c>
      <c r="N81" s="342">
        <v>200</v>
      </c>
      <c r="O81" s="342">
        <v>240</v>
      </c>
      <c r="P81" s="342">
        <v>280</v>
      </c>
      <c r="Q81" s="345">
        <v>320</v>
      </c>
      <c r="R81" s="342">
        <v>10</v>
      </c>
      <c r="S81" s="342">
        <v>15</v>
      </c>
      <c r="T81" s="2487">
        <v>15</v>
      </c>
      <c r="U81" s="348">
        <v>20</v>
      </c>
      <c r="V81" s="2485" t="s">
        <v>3308</v>
      </c>
      <c r="W81" s="2485" t="s">
        <v>3309</v>
      </c>
      <c r="X81" s="2485" t="s">
        <v>3310</v>
      </c>
      <c r="Y81" s="2485" t="s">
        <v>3311</v>
      </c>
      <c r="Z81" s="2485" t="s">
        <v>3312</v>
      </c>
      <c r="AA81" s="347"/>
    </row>
    <row r="82" spans="1:27" ht="12.75" customHeight="1">
      <c r="A82" s="8243"/>
      <c r="B82" s="242" t="str">
        <f t="shared" si="1"/>
        <v>Oscuridad88</v>
      </c>
      <c r="D82" s="257" t="s">
        <v>9270</v>
      </c>
      <c r="E82" s="342" t="s">
        <v>1554</v>
      </c>
      <c r="F82" s="342">
        <v>88</v>
      </c>
      <c r="G82" s="343" t="s">
        <v>1241</v>
      </c>
      <c r="H82" s="343" t="s">
        <v>1096</v>
      </c>
      <c r="I82" s="344" t="s">
        <v>1165</v>
      </c>
      <c r="J82" s="342">
        <v>10</v>
      </c>
      <c r="K82" s="342">
        <v>12</v>
      </c>
      <c r="L82" s="342">
        <v>14</v>
      </c>
      <c r="M82" s="345">
        <v>16</v>
      </c>
      <c r="N82" s="342">
        <v>200</v>
      </c>
      <c r="O82" s="342">
        <v>360</v>
      </c>
      <c r="P82" s="342">
        <v>430</v>
      </c>
      <c r="Q82" s="345">
        <v>480</v>
      </c>
      <c r="R82" s="342">
        <v>10</v>
      </c>
      <c r="S82" s="342">
        <v>20</v>
      </c>
      <c r="T82" s="2487">
        <v>25</v>
      </c>
      <c r="U82" s="348">
        <v>25</v>
      </c>
      <c r="V82" s="2485" t="s">
        <v>3313</v>
      </c>
      <c r="W82" s="2485" t="s">
        <v>3223</v>
      </c>
      <c r="X82" s="2485" t="s">
        <v>3314</v>
      </c>
      <c r="Y82" s="2485" t="s">
        <v>3315</v>
      </c>
      <c r="Z82" s="2485" t="s">
        <v>3316</v>
      </c>
      <c r="AA82" s="347"/>
    </row>
    <row r="83" spans="1:27" ht="12.75" customHeight="1">
      <c r="A83" s="8243"/>
      <c r="B83" s="242" t="str">
        <f t="shared" si="1"/>
        <v>Oscuridad90</v>
      </c>
      <c r="D83" s="257" t="s">
        <v>1534</v>
      </c>
      <c r="E83" s="342" t="s">
        <v>1554</v>
      </c>
      <c r="F83" s="342">
        <v>90</v>
      </c>
      <c r="G83" s="343" t="s">
        <v>2422</v>
      </c>
      <c r="H83" s="343" t="s">
        <v>1095</v>
      </c>
      <c r="I83" s="344" t="s">
        <v>1165</v>
      </c>
      <c r="J83" s="342">
        <v>12</v>
      </c>
      <c r="K83" s="342">
        <v>14</v>
      </c>
      <c r="L83" s="342">
        <v>16</v>
      </c>
      <c r="M83" s="345">
        <v>18</v>
      </c>
      <c r="N83" s="342">
        <v>350</v>
      </c>
      <c r="O83" s="342">
        <v>450</v>
      </c>
      <c r="P83" s="342">
        <v>600</v>
      </c>
      <c r="Q83" s="345">
        <v>800</v>
      </c>
      <c r="R83" s="342">
        <v>80</v>
      </c>
      <c r="S83" s="342">
        <v>90</v>
      </c>
      <c r="T83" s="2487">
        <v>105</v>
      </c>
      <c r="U83" s="348">
        <v>115</v>
      </c>
      <c r="V83" s="2485" t="s">
        <v>12896</v>
      </c>
      <c r="W83" s="2485" t="s">
        <v>3317</v>
      </c>
      <c r="X83" s="2485" t="s">
        <v>3318</v>
      </c>
      <c r="Y83" s="2485" t="s">
        <v>3319</v>
      </c>
      <c r="Z83" s="2485" t="s">
        <v>3320</v>
      </c>
      <c r="AA83" s="347"/>
    </row>
    <row r="84" spans="1:27" ht="12.75" customHeight="1">
      <c r="A84" s="8243"/>
      <c r="B84" s="242" t="str">
        <f t="shared" si="1"/>
        <v>Oscuridad92</v>
      </c>
      <c r="D84" s="257" t="s">
        <v>9271</v>
      </c>
      <c r="E84" s="342" t="s">
        <v>1554</v>
      </c>
      <c r="F84" s="342">
        <v>92</v>
      </c>
      <c r="G84" s="343" t="s">
        <v>2422</v>
      </c>
      <c r="H84" s="343" t="s">
        <v>1094</v>
      </c>
      <c r="I84" s="344" t="s">
        <v>1165</v>
      </c>
      <c r="J84" s="342">
        <v>14</v>
      </c>
      <c r="K84" s="342">
        <v>16</v>
      </c>
      <c r="L84" s="342">
        <v>18</v>
      </c>
      <c r="M84" s="345">
        <v>20</v>
      </c>
      <c r="N84" s="342">
        <v>200</v>
      </c>
      <c r="O84" s="342">
        <v>350</v>
      </c>
      <c r="P84" s="342">
        <v>500</v>
      </c>
      <c r="Q84" s="345">
        <v>800</v>
      </c>
      <c r="R84" s="342">
        <v>40</v>
      </c>
      <c r="S84" s="342">
        <v>70</v>
      </c>
      <c r="T84" s="2487">
        <v>100</v>
      </c>
      <c r="U84" s="348">
        <v>160</v>
      </c>
      <c r="V84" s="2485" t="s">
        <v>3202</v>
      </c>
      <c r="W84" s="2485" t="s">
        <v>3203</v>
      </c>
      <c r="X84" s="2485" t="s">
        <v>3204</v>
      </c>
      <c r="Y84" s="2485" t="s">
        <v>3321</v>
      </c>
      <c r="Z84" s="2485" t="s">
        <v>12897</v>
      </c>
      <c r="AA84" s="347"/>
    </row>
    <row r="85" spans="1:27" ht="12.75" customHeight="1">
      <c r="A85" s="8243"/>
      <c r="B85" s="242" t="str">
        <f t="shared" si="1"/>
        <v>Oscuridad96</v>
      </c>
      <c r="D85" s="257" t="s">
        <v>9272</v>
      </c>
      <c r="E85" s="342" t="s">
        <v>1554</v>
      </c>
      <c r="F85" s="342">
        <v>96</v>
      </c>
      <c r="G85" s="343" t="s">
        <v>1241</v>
      </c>
      <c r="H85" s="343" t="s">
        <v>1095</v>
      </c>
      <c r="I85" s="344" t="s">
        <v>1165</v>
      </c>
      <c r="J85" s="342">
        <v>12</v>
      </c>
      <c r="K85" s="342">
        <v>14</v>
      </c>
      <c r="L85" s="342">
        <v>16</v>
      </c>
      <c r="M85" s="345">
        <v>18</v>
      </c>
      <c r="N85" s="342">
        <v>200</v>
      </c>
      <c r="O85" s="342">
        <v>400</v>
      </c>
      <c r="P85" s="342">
        <v>600</v>
      </c>
      <c r="Q85" s="345">
        <v>800</v>
      </c>
      <c r="R85" s="342" t="s">
        <v>1241</v>
      </c>
      <c r="S85" s="342" t="s">
        <v>1241</v>
      </c>
      <c r="T85" s="2487" t="s">
        <v>1241</v>
      </c>
      <c r="U85" s="348" t="s">
        <v>1241</v>
      </c>
      <c r="V85" s="2485" t="s">
        <v>3206</v>
      </c>
      <c r="W85" s="2485" t="s">
        <v>3207</v>
      </c>
      <c r="X85" s="2485" t="s">
        <v>3208</v>
      </c>
      <c r="Y85" s="2485" t="s">
        <v>3199</v>
      </c>
      <c r="Z85" s="2485" t="s">
        <v>3322</v>
      </c>
      <c r="AA85" s="347"/>
    </row>
    <row r="86" spans="1:27" ht="12.75" customHeight="1">
      <c r="A86" s="8243"/>
      <c r="B86" s="242" t="str">
        <f t="shared" si="1"/>
        <v>Oscuridad98</v>
      </c>
      <c r="D86" s="257" t="s">
        <v>9273</v>
      </c>
      <c r="E86" s="342" t="s">
        <v>1554</v>
      </c>
      <c r="F86" s="342">
        <v>98</v>
      </c>
      <c r="G86" s="343" t="s">
        <v>2422</v>
      </c>
      <c r="H86" s="343" t="s">
        <v>1095</v>
      </c>
      <c r="I86" s="344" t="s">
        <v>1165</v>
      </c>
      <c r="J86" s="342">
        <v>14</v>
      </c>
      <c r="K86" s="342">
        <v>16</v>
      </c>
      <c r="L86" s="342">
        <v>18</v>
      </c>
      <c r="M86" s="345">
        <v>20</v>
      </c>
      <c r="N86" s="342">
        <v>500</v>
      </c>
      <c r="O86" s="342">
        <v>1000</v>
      </c>
      <c r="P86" s="342">
        <v>2000</v>
      </c>
      <c r="Q86" s="345">
        <v>5000</v>
      </c>
      <c r="R86" s="342">
        <v>30</v>
      </c>
      <c r="S86" s="342">
        <v>40</v>
      </c>
      <c r="T86" s="2487">
        <v>45</v>
      </c>
      <c r="U86" s="348">
        <v>50</v>
      </c>
      <c r="V86" s="2485" t="s">
        <v>3210</v>
      </c>
      <c r="W86" s="2485" t="s">
        <v>3211</v>
      </c>
      <c r="X86" s="2485" t="s">
        <v>3212</v>
      </c>
      <c r="Y86" s="2485" t="s">
        <v>3213</v>
      </c>
      <c r="Z86" s="2485" t="s">
        <v>3214</v>
      </c>
      <c r="AA86" s="347"/>
    </row>
    <row r="87" spans="1:27" ht="12.75" customHeight="1">
      <c r="A87" s="8243"/>
      <c r="B87" s="242" t="str">
        <f t="shared" si="1"/>
        <v>Oscuridad100</v>
      </c>
      <c r="D87" s="257" t="s">
        <v>9274</v>
      </c>
      <c r="E87" s="342" t="s">
        <v>1554</v>
      </c>
      <c r="F87" s="342">
        <v>100</v>
      </c>
      <c r="G87" s="343" t="s">
        <v>1241</v>
      </c>
      <c r="H87" s="343" t="s">
        <v>3323</v>
      </c>
      <c r="I87" s="344" t="s">
        <v>1165</v>
      </c>
      <c r="J87" s="342">
        <v>14</v>
      </c>
      <c r="K87" s="342">
        <v>16</v>
      </c>
      <c r="L87" s="342">
        <v>18</v>
      </c>
      <c r="M87" s="345">
        <v>20</v>
      </c>
      <c r="N87" s="342">
        <v>600</v>
      </c>
      <c r="O87" s="342">
        <v>1000</v>
      </c>
      <c r="P87" s="342">
        <v>2500</v>
      </c>
      <c r="Q87" s="345">
        <v>10000</v>
      </c>
      <c r="R87" s="342" t="s">
        <v>1241</v>
      </c>
      <c r="S87" s="342" t="s">
        <v>1241</v>
      </c>
      <c r="T87" s="2487" t="s">
        <v>1241</v>
      </c>
      <c r="U87" s="348" t="s">
        <v>1241</v>
      </c>
      <c r="V87" s="2485" t="s">
        <v>3215</v>
      </c>
      <c r="W87" s="2485" t="s">
        <v>3216</v>
      </c>
      <c r="X87" s="2485" t="s">
        <v>3217</v>
      </c>
      <c r="Y87" s="2485" t="s">
        <v>3218</v>
      </c>
      <c r="Z87" s="2485" t="s">
        <v>3324</v>
      </c>
      <c r="AA87" s="347"/>
    </row>
    <row r="88" spans="1:27" ht="12.75" customHeight="1">
      <c r="A88" s="8243"/>
      <c r="B88" s="242" t="str">
        <f t="shared" si="1"/>
        <v/>
      </c>
      <c r="D88" s="257" t="s">
        <v>256</v>
      </c>
      <c r="E88" s="342"/>
      <c r="F88" s="342"/>
      <c r="G88" s="343"/>
      <c r="H88" s="343"/>
      <c r="I88" s="344"/>
      <c r="J88" s="342"/>
      <c r="K88" s="342"/>
      <c r="L88" s="342"/>
      <c r="M88" s="345"/>
      <c r="N88" s="342"/>
      <c r="O88" s="342"/>
      <c r="P88" s="342"/>
      <c r="Q88" s="345"/>
      <c r="R88" s="342"/>
      <c r="S88" s="342"/>
      <c r="T88" s="2487"/>
      <c r="U88" s="348"/>
      <c r="V88" s="2485"/>
      <c r="W88" s="2485"/>
      <c r="X88" s="2485"/>
      <c r="Y88" s="2485"/>
      <c r="Z88" s="2485"/>
      <c r="AA88" s="347"/>
    </row>
    <row r="89" spans="1:27" ht="12.75" customHeight="1">
      <c r="A89" s="8243"/>
      <c r="B89" s="242" t="str">
        <f t="shared" si="1"/>
        <v>Creación2</v>
      </c>
      <c r="D89" s="257" t="s">
        <v>9275</v>
      </c>
      <c r="E89" s="342" t="s">
        <v>1560</v>
      </c>
      <c r="F89" s="342">
        <v>2</v>
      </c>
      <c r="G89" s="343" t="s">
        <v>1241</v>
      </c>
      <c r="H89" s="343" t="s">
        <v>1095</v>
      </c>
      <c r="I89" s="344" t="s">
        <v>1165</v>
      </c>
      <c r="J89" s="342">
        <v>5</v>
      </c>
      <c r="K89" s="342">
        <v>8</v>
      </c>
      <c r="L89" s="342">
        <v>10</v>
      </c>
      <c r="M89" s="345">
        <v>12</v>
      </c>
      <c r="N89" s="342">
        <v>30</v>
      </c>
      <c r="O89" s="342">
        <v>80</v>
      </c>
      <c r="P89" s="342">
        <v>100</v>
      </c>
      <c r="Q89" s="345">
        <v>120</v>
      </c>
      <c r="R89" s="342">
        <v>5</v>
      </c>
      <c r="S89" s="342">
        <v>10</v>
      </c>
      <c r="T89" s="2487">
        <v>10</v>
      </c>
      <c r="U89" s="348">
        <v>15</v>
      </c>
      <c r="V89" s="2485" t="s">
        <v>3325</v>
      </c>
      <c r="W89" s="2485" t="s">
        <v>3327</v>
      </c>
      <c r="X89" s="2485" t="s">
        <v>3326</v>
      </c>
      <c r="Y89" s="2485" t="s">
        <v>9911</v>
      </c>
      <c r="Z89" s="2485" t="s">
        <v>3328</v>
      </c>
      <c r="AA89" s="347"/>
    </row>
    <row r="90" spans="1:27" ht="12.75" customHeight="1">
      <c r="A90" s="8243"/>
      <c r="B90" s="242" t="str">
        <f t="shared" si="1"/>
        <v>Creación6</v>
      </c>
      <c r="D90" s="257" t="s">
        <v>9276</v>
      </c>
      <c r="E90" s="342" t="s">
        <v>1560</v>
      </c>
      <c r="F90" s="342">
        <v>6</v>
      </c>
      <c r="G90" s="343" t="s">
        <v>1241</v>
      </c>
      <c r="H90" s="343" t="s">
        <v>1095</v>
      </c>
      <c r="I90" s="344" t="s">
        <v>1165</v>
      </c>
      <c r="J90" s="342">
        <v>5</v>
      </c>
      <c r="K90" s="342">
        <v>8</v>
      </c>
      <c r="L90" s="342">
        <v>10</v>
      </c>
      <c r="M90" s="345">
        <v>12</v>
      </c>
      <c r="N90" s="342">
        <v>40</v>
      </c>
      <c r="O90" s="342">
        <v>140</v>
      </c>
      <c r="P90" s="342">
        <v>200</v>
      </c>
      <c r="Q90" s="345">
        <v>280</v>
      </c>
      <c r="R90" s="342" t="s">
        <v>1241</v>
      </c>
      <c r="S90" s="342" t="s">
        <v>1241</v>
      </c>
      <c r="T90" s="2487" t="s">
        <v>1241</v>
      </c>
      <c r="U90" s="348" t="s">
        <v>1241</v>
      </c>
      <c r="V90" s="2485" t="s">
        <v>3329</v>
      </c>
      <c r="W90" s="2485" t="s">
        <v>3330</v>
      </c>
      <c r="X90" s="2485" t="s">
        <v>3331</v>
      </c>
      <c r="Y90" s="2485" t="s">
        <v>3332</v>
      </c>
      <c r="Z90" s="2485" t="s">
        <v>3333</v>
      </c>
      <c r="AA90" s="347"/>
    </row>
    <row r="91" spans="1:27" ht="12.75" customHeight="1">
      <c r="A91" s="8243"/>
      <c r="B91" s="242" t="str">
        <f t="shared" si="1"/>
        <v>Creación8</v>
      </c>
      <c r="D91" s="257" t="s">
        <v>152</v>
      </c>
      <c r="E91" s="342" t="s">
        <v>1560</v>
      </c>
      <c r="F91" s="342">
        <v>8</v>
      </c>
      <c r="G91" s="343" t="s">
        <v>1241</v>
      </c>
      <c r="H91" s="343" t="s">
        <v>1095</v>
      </c>
      <c r="I91" s="344" t="s">
        <v>1165</v>
      </c>
      <c r="J91" s="342">
        <v>5</v>
      </c>
      <c r="K91" s="342">
        <v>8</v>
      </c>
      <c r="L91" s="342">
        <v>10</v>
      </c>
      <c r="M91" s="345">
        <v>12</v>
      </c>
      <c r="N91" s="342">
        <v>40</v>
      </c>
      <c r="O91" s="342">
        <v>150</v>
      </c>
      <c r="P91" s="342">
        <v>200</v>
      </c>
      <c r="Q91" s="345">
        <v>250</v>
      </c>
      <c r="R91" s="342">
        <v>5</v>
      </c>
      <c r="S91" s="342">
        <v>15</v>
      </c>
      <c r="T91" s="2487">
        <v>20</v>
      </c>
      <c r="U91" s="348">
        <v>25</v>
      </c>
      <c r="V91" s="2485" t="s">
        <v>3334</v>
      </c>
      <c r="W91" s="2485" t="s">
        <v>3335</v>
      </c>
      <c r="X91" s="2485" t="s">
        <v>3336</v>
      </c>
      <c r="Y91" s="2485" t="s">
        <v>3337</v>
      </c>
      <c r="Z91" s="2485" t="s">
        <v>3338</v>
      </c>
      <c r="AA91" s="347"/>
    </row>
    <row r="92" spans="1:27" ht="12.75" customHeight="1">
      <c r="A92" s="8243"/>
      <c r="B92" s="242" t="str">
        <f t="shared" si="1"/>
        <v>Creación10</v>
      </c>
      <c r="D92" s="257" t="s">
        <v>1228</v>
      </c>
      <c r="E92" s="342" t="s">
        <v>1560</v>
      </c>
      <c r="F92" s="342">
        <v>10</v>
      </c>
      <c r="G92" s="343" t="s">
        <v>2422</v>
      </c>
      <c r="H92" s="343" t="s">
        <v>1095</v>
      </c>
      <c r="I92" s="344" t="s">
        <v>1165</v>
      </c>
      <c r="J92" s="342">
        <v>6</v>
      </c>
      <c r="K92" s="342">
        <v>8</v>
      </c>
      <c r="L92" s="342">
        <v>10</v>
      </c>
      <c r="M92" s="345">
        <v>12</v>
      </c>
      <c r="N92" s="342">
        <v>60</v>
      </c>
      <c r="O92" s="342">
        <v>100</v>
      </c>
      <c r="P92" s="342">
        <v>150</v>
      </c>
      <c r="Q92" s="345">
        <v>250</v>
      </c>
      <c r="R92" s="342">
        <v>10</v>
      </c>
      <c r="S92" s="342">
        <v>10</v>
      </c>
      <c r="T92" s="2487">
        <v>15</v>
      </c>
      <c r="U92" s="348">
        <v>25</v>
      </c>
      <c r="V92" s="2485" t="s">
        <v>3339</v>
      </c>
      <c r="W92" s="2485" t="s">
        <v>3340</v>
      </c>
      <c r="X92" s="2485" t="s">
        <v>3341</v>
      </c>
      <c r="Y92" s="2485" t="s">
        <v>3342</v>
      </c>
      <c r="Z92" s="2485" t="s">
        <v>3343</v>
      </c>
      <c r="AA92" s="347"/>
    </row>
    <row r="93" spans="1:27" ht="12.75" customHeight="1">
      <c r="A93" s="8243"/>
      <c r="B93" s="242" t="str">
        <f t="shared" si="1"/>
        <v>Creación12</v>
      </c>
      <c r="D93" s="257" t="s">
        <v>9277</v>
      </c>
      <c r="E93" s="342" t="s">
        <v>1560</v>
      </c>
      <c r="F93" s="342">
        <v>12</v>
      </c>
      <c r="G93" s="343" t="s">
        <v>1241</v>
      </c>
      <c r="H93" s="343" t="s">
        <v>1095</v>
      </c>
      <c r="I93" s="344" t="s">
        <v>1165</v>
      </c>
      <c r="J93" s="342">
        <v>6</v>
      </c>
      <c r="K93" s="342">
        <v>8</v>
      </c>
      <c r="L93" s="342">
        <v>10</v>
      </c>
      <c r="M93" s="345">
        <v>12</v>
      </c>
      <c r="N93" s="342">
        <v>60</v>
      </c>
      <c r="O93" s="342">
        <v>90</v>
      </c>
      <c r="P93" s="342">
        <v>120</v>
      </c>
      <c r="Q93" s="345">
        <v>150</v>
      </c>
      <c r="R93" s="342">
        <v>5</v>
      </c>
      <c r="S93" s="342">
        <v>5</v>
      </c>
      <c r="T93" s="2487">
        <v>5</v>
      </c>
      <c r="U93" s="348">
        <v>10</v>
      </c>
      <c r="V93" s="2485" t="s">
        <v>3344</v>
      </c>
      <c r="W93" s="2485" t="s">
        <v>3345</v>
      </c>
      <c r="X93" s="2485" t="s">
        <v>3346</v>
      </c>
      <c r="Y93" s="2485" t="s">
        <v>3347</v>
      </c>
      <c r="Z93" s="2485" t="s">
        <v>3348</v>
      </c>
      <c r="AA93" s="347"/>
    </row>
    <row r="94" spans="1:27" ht="12.75" customHeight="1">
      <c r="A94" s="8243"/>
      <c r="B94" s="242" t="str">
        <f t="shared" si="1"/>
        <v>Creación16</v>
      </c>
      <c r="D94" s="257" t="s">
        <v>9278</v>
      </c>
      <c r="E94" s="342" t="s">
        <v>1560</v>
      </c>
      <c r="F94" s="342">
        <v>16</v>
      </c>
      <c r="G94" s="343" t="s">
        <v>2422</v>
      </c>
      <c r="H94" s="343" t="s">
        <v>1095</v>
      </c>
      <c r="I94" s="344" t="s">
        <v>1166</v>
      </c>
      <c r="J94" s="342">
        <v>8</v>
      </c>
      <c r="K94" s="342">
        <v>10</v>
      </c>
      <c r="L94" s="342">
        <v>12</v>
      </c>
      <c r="M94" s="345">
        <v>14</v>
      </c>
      <c r="N94" s="342">
        <v>80</v>
      </c>
      <c r="O94" s="342">
        <v>120</v>
      </c>
      <c r="P94" s="342">
        <v>150</v>
      </c>
      <c r="Q94" s="345">
        <v>200</v>
      </c>
      <c r="R94" s="342">
        <v>15</v>
      </c>
      <c r="S94" s="342">
        <v>20</v>
      </c>
      <c r="T94" s="2487">
        <v>30</v>
      </c>
      <c r="U94" s="348">
        <v>40</v>
      </c>
      <c r="V94" s="2485" t="s">
        <v>3349</v>
      </c>
      <c r="W94" s="2485" t="s">
        <v>3350</v>
      </c>
      <c r="X94" s="2485" t="s">
        <v>3351</v>
      </c>
      <c r="Y94" s="2485" t="s">
        <v>3352</v>
      </c>
      <c r="Z94" s="2485" t="s">
        <v>3353</v>
      </c>
      <c r="AA94" s="347"/>
    </row>
    <row r="95" spans="1:27" ht="12.75" customHeight="1">
      <c r="A95" s="8243"/>
      <c r="B95" s="242" t="str">
        <f t="shared" si="1"/>
        <v>Creación18</v>
      </c>
      <c r="D95" s="257" t="s">
        <v>9279</v>
      </c>
      <c r="E95" s="342" t="s">
        <v>1560</v>
      </c>
      <c r="F95" s="342">
        <v>18</v>
      </c>
      <c r="G95" s="343" t="s">
        <v>1241</v>
      </c>
      <c r="H95" s="343" t="s">
        <v>1424</v>
      </c>
      <c r="I95" s="344" t="s">
        <v>1166</v>
      </c>
      <c r="J95" s="342">
        <v>6</v>
      </c>
      <c r="K95" s="342">
        <v>8</v>
      </c>
      <c r="L95" s="342">
        <v>10</v>
      </c>
      <c r="M95" s="345">
        <v>12</v>
      </c>
      <c r="N95" s="342">
        <v>40</v>
      </c>
      <c r="O95" s="342">
        <v>150</v>
      </c>
      <c r="P95" s="342">
        <v>260</v>
      </c>
      <c r="Q95" s="345">
        <v>400</v>
      </c>
      <c r="R95" s="342">
        <v>5</v>
      </c>
      <c r="S95" s="342">
        <v>15</v>
      </c>
      <c r="T95" s="2487">
        <v>15</v>
      </c>
      <c r="U95" s="348">
        <v>20</v>
      </c>
      <c r="V95" s="2485" t="s">
        <v>3354</v>
      </c>
      <c r="W95" s="2485" t="s">
        <v>3355</v>
      </c>
      <c r="X95" s="2485" t="s">
        <v>3356</v>
      </c>
      <c r="Y95" s="2485" t="s">
        <v>3357</v>
      </c>
      <c r="Z95" s="2485" t="s">
        <v>3358</v>
      </c>
      <c r="AA95" s="347"/>
    </row>
    <row r="96" spans="1:27" ht="12.75" customHeight="1">
      <c r="A96" s="8243"/>
      <c r="B96" s="242" t="str">
        <f t="shared" si="1"/>
        <v>Creación20</v>
      </c>
      <c r="D96" s="257" t="s">
        <v>6067</v>
      </c>
      <c r="E96" s="342" t="s">
        <v>1560</v>
      </c>
      <c r="F96" s="342">
        <v>20</v>
      </c>
      <c r="G96" s="343" t="s">
        <v>1241</v>
      </c>
      <c r="H96" s="343" t="s">
        <v>1095</v>
      </c>
      <c r="I96" s="344" t="s">
        <v>1165</v>
      </c>
      <c r="J96" s="342">
        <v>8</v>
      </c>
      <c r="K96" s="342">
        <v>10</v>
      </c>
      <c r="L96" s="342">
        <v>12</v>
      </c>
      <c r="M96" s="345">
        <v>14</v>
      </c>
      <c r="N96" s="342">
        <v>80</v>
      </c>
      <c r="O96" s="342">
        <v>120</v>
      </c>
      <c r="P96" s="342">
        <v>150</v>
      </c>
      <c r="Q96" s="345">
        <v>200</v>
      </c>
      <c r="R96" s="342" t="s">
        <v>1241</v>
      </c>
      <c r="S96" s="342" t="s">
        <v>1241</v>
      </c>
      <c r="T96" s="2487" t="s">
        <v>1241</v>
      </c>
      <c r="U96" s="348" t="s">
        <v>1241</v>
      </c>
      <c r="V96" s="2485" t="s">
        <v>3359</v>
      </c>
      <c r="W96" s="2485" t="s">
        <v>3360</v>
      </c>
      <c r="X96" s="2485" t="s">
        <v>3361</v>
      </c>
      <c r="Y96" s="2485" t="s">
        <v>3362</v>
      </c>
      <c r="Z96" s="2485" t="s">
        <v>12898</v>
      </c>
      <c r="AA96" s="347"/>
    </row>
    <row r="97" spans="1:27" ht="12.75" customHeight="1">
      <c r="A97" s="8243"/>
      <c r="B97" s="242" t="str">
        <f t="shared" si="1"/>
        <v>Creación22</v>
      </c>
      <c r="D97" s="257" t="s">
        <v>6910</v>
      </c>
      <c r="E97" s="342" t="s">
        <v>1560</v>
      </c>
      <c r="F97" s="342">
        <v>22</v>
      </c>
      <c r="G97" s="343" t="s">
        <v>2422</v>
      </c>
      <c r="H97" s="343" t="s">
        <v>1095</v>
      </c>
      <c r="I97" s="344" t="s">
        <v>1165</v>
      </c>
      <c r="J97" s="342">
        <v>6</v>
      </c>
      <c r="K97" s="342">
        <v>9</v>
      </c>
      <c r="L97" s="342">
        <v>12</v>
      </c>
      <c r="M97" s="345">
        <v>15</v>
      </c>
      <c r="N97" s="342">
        <v>60</v>
      </c>
      <c r="O97" s="342">
        <v>90</v>
      </c>
      <c r="P97" s="342">
        <v>120</v>
      </c>
      <c r="Q97" s="345">
        <v>150</v>
      </c>
      <c r="R97" s="342">
        <v>10</v>
      </c>
      <c r="S97" s="342">
        <v>10</v>
      </c>
      <c r="T97" s="2487">
        <v>15</v>
      </c>
      <c r="U97" s="348">
        <v>15</v>
      </c>
      <c r="V97" s="2485" t="s">
        <v>3363</v>
      </c>
      <c r="W97" s="2485" t="s">
        <v>3364</v>
      </c>
      <c r="X97" s="2485" t="s">
        <v>3365</v>
      </c>
      <c r="Y97" s="2485" t="s">
        <v>3366</v>
      </c>
      <c r="Z97" s="2485" t="s">
        <v>12899</v>
      </c>
      <c r="AA97" s="347"/>
    </row>
    <row r="98" spans="1:27" ht="12.75" customHeight="1">
      <c r="A98" s="8243"/>
      <c r="B98" s="242" t="str">
        <f t="shared" si="1"/>
        <v>Creación26</v>
      </c>
      <c r="D98" s="257" t="s">
        <v>9280</v>
      </c>
      <c r="E98" s="342" t="s">
        <v>1560</v>
      </c>
      <c r="F98" s="342">
        <v>26</v>
      </c>
      <c r="G98" s="343" t="s">
        <v>2422</v>
      </c>
      <c r="H98" s="343" t="s">
        <v>1095</v>
      </c>
      <c r="I98" s="344" t="s">
        <v>1165</v>
      </c>
      <c r="J98" s="342">
        <v>6</v>
      </c>
      <c r="K98" s="342">
        <v>9</v>
      </c>
      <c r="L98" s="342">
        <v>12</v>
      </c>
      <c r="M98" s="345">
        <v>15</v>
      </c>
      <c r="N98" s="342">
        <v>60</v>
      </c>
      <c r="O98" s="342">
        <v>180</v>
      </c>
      <c r="P98" s="342">
        <v>250</v>
      </c>
      <c r="Q98" s="345">
        <v>350</v>
      </c>
      <c r="R98" s="342">
        <v>10</v>
      </c>
      <c r="S98" s="342">
        <v>20</v>
      </c>
      <c r="T98" s="2487">
        <v>25</v>
      </c>
      <c r="U98" s="348">
        <v>35</v>
      </c>
      <c r="V98" s="2485" t="s">
        <v>3367</v>
      </c>
      <c r="W98" s="2485" t="s">
        <v>3368</v>
      </c>
      <c r="X98" s="2485" t="s">
        <v>3369</v>
      </c>
      <c r="Y98" s="2485" t="s">
        <v>3370</v>
      </c>
      <c r="Z98" s="2485" t="s">
        <v>3371</v>
      </c>
      <c r="AA98" s="347"/>
    </row>
    <row r="99" spans="1:27" ht="12.75" customHeight="1">
      <c r="A99" s="8243"/>
      <c r="B99" s="242" t="str">
        <f t="shared" si="1"/>
        <v>Creación28</v>
      </c>
      <c r="D99" s="257" t="s">
        <v>9281</v>
      </c>
      <c r="E99" s="342" t="s">
        <v>1560</v>
      </c>
      <c r="F99" s="342">
        <v>28</v>
      </c>
      <c r="G99" s="343" t="s">
        <v>2422</v>
      </c>
      <c r="H99" s="343" t="s">
        <v>1094</v>
      </c>
      <c r="I99" s="344" t="s">
        <v>1165</v>
      </c>
      <c r="J99" s="342">
        <v>6</v>
      </c>
      <c r="K99" s="342">
        <v>9</v>
      </c>
      <c r="L99" s="342">
        <v>12</v>
      </c>
      <c r="M99" s="345">
        <v>15</v>
      </c>
      <c r="N99" s="342">
        <v>60</v>
      </c>
      <c r="O99" s="342">
        <v>90</v>
      </c>
      <c r="P99" s="342">
        <v>150</v>
      </c>
      <c r="Q99" s="345">
        <v>250</v>
      </c>
      <c r="R99" s="342">
        <v>10</v>
      </c>
      <c r="S99" s="342">
        <v>10</v>
      </c>
      <c r="T99" s="2487">
        <v>15</v>
      </c>
      <c r="U99" s="348">
        <v>25</v>
      </c>
      <c r="V99" s="2485" t="s">
        <v>3372</v>
      </c>
      <c r="W99" s="2485" t="s">
        <v>3373</v>
      </c>
      <c r="X99" s="2485" t="s">
        <v>3374</v>
      </c>
      <c r="Y99" s="2485" t="s">
        <v>3375</v>
      </c>
      <c r="Z99" s="2485" t="s">
        <v>3376</v>
      </c>
      <c r="AA99" s="347"/>
    </row>
    <row r="100" spans="1:27" ht="12.75" customHeight="1">
      <c r="A100" s="8243"/>
      <c r="B100" s="242" t="str">
        <f t="shared" si="1"/>
        <v>Creación30</v>
      </c>
      <c r="D100" s="257" t="s">
        <v>9282</v>
      </c>
      <c r="E100" s="342" t="s">
        <v>1560</v>
      </c>
      <c r="F100" s="342">
        <v>30</v>
      </c>
      <c r="G100" s="343" t="s">
        <v>2422</v>
      </c>
      <c r="H100" s="343" t="s">
        <v>1095</v>
      </c>
      <c r="I100" s="344" t="s">
        <v>1165</v>
      </c>
      <c r="J100" s="342">
        <v>6</v>
      </c>
      <c r="K100" s="342">
        <v>9</v>
      </c>
      <c r="L100" s="342">
        <v>12</v>
      </c>
      <c r="M100" s="345">
        <v>15</v>
      </c>
      <c r="N100" s="342">
        <v>100</v>
      </c>
      <c r="O100" s="342">
        <v>200</v>
      </c>
      <c r="P100" s="342">
        <v>300</v>
      </c>
      <c r="Q100" s="345">
        <v>400</v>
      </c>
      <c r="R100" s="342">
        <v>5</v>
      </c>
      <c r="S100" s="342">
        <v>10</v>
      </c>
      <c r="T100" s="2487">
        <v>15</v>
      </c>
      <c r="U100" s="348">
        <v>20</v>
      </c>
      <c r="V100" s="2485" t="s">
        <v>3345</v>
      </c>
      <c r="W100" s="2485" t="s">
        <v>3230</v>
      </c>
      <c r="X100" s="2485" t="s">
        <v>3377</v>
      </c>
      <c r="Y100" s="2485" t="s">
        <v>3378</v>
      </c>
      <c r="Z100" s="2485" t="s">
        <v>12900</v>
      </c>
      <c r="AA100" s="347"/>
    </row>
    <row r="101" spans="1:27" ht="12.75" customHeight="1">
      <c r="A101" s="8243"/>
      <c r="B101" s="242" t="str">
        <f t="shared" si="1"/>
        <v>Creación32</v>
      </c>
      <c r="D101" s="257" t="s">
        <v>157</v>
      </c>
      <c r="E101" s="342" t="s">
        <v>1560</v>
      </c>
      <c r="F101" s="342">
        <v>32</v>
      </c>
      <c r="G101" s="343" t="s">
        <v>2422</v>
      </c>
      <c r="H101" s="343" t="s">
        <v>1095</v>
      </c>
      <c r="I101" s="344" t="s">
        <v>1165</v>
      </c>
      <c r="J101" s="342">
        <v>6</v>
      </c>
      <c r="K101" s="342">
        <v>9</v>
      </c>
      <c r="L101" s="342">
        <v>12</v>
      </c>
      <c r="M101" s="345">
        <v>15</v>
      </c>
      <c r="N101" s="342">
        <v>80</v>
      </c>
      <c r="O101" s="342">
        <v>180</v>
      </c>
      <c r="P101" s="342">
        <v>240</v>
      </c>
      <c r="Q101" s="345">
        <v>300</v>
      </c>
      <c r="R101" s="342">
        <v>10</v>
      </c>
      <c r="S101" s="342">
        <v>20</v>
      </c>
      <c r="T101" s="2487">
        <v>25</v>
      </c>
      <c r="U101" s="348">
        <v>30</v>
      </c>
      <c r="V101" s="2485" t="s">
        <v>3379</v>
      </c>
      <c r="W101" s="2485" t="s">
        <v>3380</v>
      </c>
      <c r="X101" s="2485" t="s">
        <v>3381</v>
      </c>
      <c r="Y101" s="2485" t="s">
        <v>3382</v>
      </c>
      <c r="Z101" s="2485" t="s">
        <v>3383</v>
      </c>
      <c r="AA101" s="347"/>
    </row>
    <row r="102" spans="1:27" ht="12.75" customHeight="1">
      <c r="A102" s="8243"/>
      <c r="B102" s="242" t="str">
        <f t="shared" si="1"/>
        <v>Creación36</v>
      </c>
      <c r="D102" s="257" t="s">
        <v>6919</v>
      </c>
      <c r="E102" s="342" t="s">
        <v>1560</v>
      </c>
      <c r="F102" s="342">
        <v>36</v>
      </c>
      <c r="G102" s="343" t="s">
        <v>1241</v>
      </c>
      <c r="H102" s="343" t="s">
        <v>3048</v>
      </c>
      <c r="I102" s="344" t="s">
        <v>1166</v>
      </c>
      <c r="J102" s="342">
        <v>8</v>
      </c>
      <c r="K102" s="342">
        <v>10</v>
      </c>
      <c r="L102" s="342">
        <v>12</v>
      </c>
      <c r="M102" s="345">
        <v>14</v>
      </c>
      <c r="N102" s="342">
        <v>80</v>
      </c>
      <c r="O102" s="342">
        <v>120</v>
      </c>
      <c r="P102" s="342">
        <v>160</v>
      </c>
      <c r="Q102" s="345">
        <v>240</v>
      </c>
      <c r="R102" s="342" t="s">
        <v>1241</v>
      </c>
      <c r="S102" s="342" t="s">
        <v>1241</v>
      </c>
      <c r="T102" s="2487" t="s">
        <v>1241</v>
      </c>
      <c r="U102" s="348" t="s">
        <v>1241</v>
      </c>
      <c r="V102" s="2485" t="s">
        <v>3385</v>
      </c>
      <c r="W102" s="2485" t="s">
        <v>3386</v>
      </c>
      <c r="X102" s="2485" t="s">
        <v>3387</v>
      </c>
      <c r="Y102" s="2485" t="s">
        <v>3388</v>
      </c>
      <c r="Z102" s="2485" t="s">
        <v>12901</v>
      </c>
      <c r="AA102" s="347"/>
    </row>
    <row r="103" spans="1:27" ht="12.75" customHeight="1">
      <c r="A103" s="8243"/>
      <c r="B103" s="242" t="str">
        <f t="shared" si="1"/>
        <v>Creación38</v>
      </c>
      <c r="D103" s="257" t="s">
        <v>257</v>
      </c>
      <c r="E103" s="342" t="s">
        <v>1560</v>
      </c>
      <c r="F103" s="342">
        <v>38</v>
      </c>
      <c r="G103" s="343" t="s">
        <v>2422</v>
      </c>
      <c r="H103" s="343" t="s">
        <v>1094</v>
      </c>
      <c r="I103" s="344" t="s">
        <v>1165</v>
      </c>
      <c r="J103" s="342">
        <v>6</v>
      </c>
      <c r="K103" s="342">
        <v>9</v>
      </c>
      <c r="L103" s="342">
        <v>12</v>
      </c>
      <c r="M103" s="345">
        <v>15</v>
      </c>
      <c r="N103" s="342">
        <v>120</v>
      </c>
      <c r="O103" s="342">
        <v>180</v>
      </c>
      <c r="P103" s="342">
        <v>240</v>
      </c>
      <c r="Q103" s="345">
        <v>300</v>
      </c>
      <c r="R103" s="342">
        <v>24</v>
      </c>
      <c r="S103" s="342">
        <v>40</v>
      </c>
      <c r="T103" s="2487">
        <v>50</v>
      </c>
      <c r="U103" s="348">
        <v>60</v>
      </c>
      <c r="V103" s="2485" t="s">
        <v>3389</v>
      </c>
      <c r="W103" s="2485" t="s">
        <v>3390</v>
      </c>
      <c r="X103" s="2485" t="s">
        <v>3391</v>
      </c>
      <c r="Y103" s="2485" t="s">
        <v>3153</v>
      </c>
      <c r="Z103" s="2485" t="s">
        <v>12902</v>
      </c>
      <c r="AA103" s="347"/>
    </row>
    <row r="104" spans="1:27" ht="12.75" customHeight="1">
      <c r="A104" s="8243"/>
      <c r="B104" s="242" t="str">
        <f t="shared" si="1"/>
        <v>Creación40</v>
      </c>
      <c r="D104" s="257" t="s">
        <v>258</v>
      </c>
      <c r="E104" s="342" t="s">
        <v>1560</v>
      </c>
      <c r="F104" s="342">
        <v>40</v>
      </c>
      <c r="G104" s="343" t="s">
        <v>1241</v>
      </c>
      <c r="H104" s="343" t="s">
        <v>1095</v>
      </c>
      <c r="I104" s="344" t="s">
        <v>1165</v>
      </c>
      <c r="J104" s="342">
        <v>6</v>
      </c>
      <c r="K104" s="342">
        <v>9</v>
      </c>
      <c r="L104" s="342">
        <v>12</v>
      </c>
      <c r="M104" s="345">
        <v>15</v>
      </c>
      <c r="N104" s="342">
        <v>80</v>
      </c>
      <c r="O104" s="342">
        <v>180</v>
      </c>
      <c r="P104" s="342">
        <v>280</v>
      </c>
      <c r="Q104" s="345">
        <v>350</v>
      </c>
      <c r="R104" s="342">
        <v>5</v>
      </c>
      <c r="S104" s="342">
        <v>10</v>
      </c>
      <c r="T104" s="2487">
        <v>15</v>
      </c>
      <c r="U104" s="348">
        <v>20</v>
      </c>
      <c r="V104" s="2485" t="s">
        <v>3392</v>
      </c>
      <c r="W104" s="2485" t="s">
        <v>3393</v>
      </c>
      <c r="X104" s="2485" t="s">
        <v>3394</v>
      </c>
      <c r="Y104" s="2485" t="s">
        <v>3395</v>
      </c>
      <c r="Z104" s="2485" t="s">
        <v>3396</v>
      </c>
      <c r="AA104" s="347"/>
    </row>
    <row r="105" spans="1:27" ht="12.75" customHeight="1">
      <c r="A105" s="8243"/>
      <c r="B105" s="242" t="str">
        <f t="shared" si="1"/>
        <v>Creación42</v>
      </c>
      <c r="D105" s="257" t="s">
        <v>259</v>
      </c>
      <c r="E105" s="342" t="s">
        <v>1560</v>
      </c>
      <c r="F105" s="342">
        <v>42</v>
      </c>
      <c r="G105" s="343" t="s">
        <v>1241</v>
      </c>
      <c r="H105" s="343" t="s">
        <v>1095</v>
      </c>
      <c r="I105" s="344" t="s">
        <v>1165</v>
      </c>
      <c r="J105" s="342">
        <v>7</v>
      </c>
      <c r="K105" s="342">
        <v>9</v>
      </c>
      <c r="L105" s="342">
        <v>12</v>
      </c>
      <c r="M105" s="345">
        <v>15</v>
      </c>
      <c r="N105" s="342">
        <v>140</v>
      </c>
      <c r="O105" s="342">
        <v>180</v>
      </c>
      <c r="P105" s="342">
        <v>240</v>
      </c>
      <c r="Q105" s="345">
        <v>350</v>
      </c>
      <c r="R105" s="342">
        <v>15</v>
      </c>
      <c r="S105" s="342">
        <v>20</v>
      </c>
      <c r="T105" s="2487">
        <v>25</v>
      </c>
      <c r="U105" s="348">
        <v>30</v>
      </c>
      <c r="V105" s="2485" t="s">
        <v>3397</v>
      </c>
      <c r="W105" s="2485" t="s">
        <v>3398</v>
      </c>
      <c r="X105" s="2485" t="s">
        <v>3399</v>
      </c>
      <c r="Y105" s="2485" t="s">
        <v>3400</v>
      </c>
      <c r="Z105" s="2485" t="s">
        <v>3401</v>
      </c>
      <c r="AA105" s="347"/>
    </row>
    <row r="106" spans="1:27" ht="12.75" customHeight="1">
      <c r="A106" s="8243"/>
      <c r="B106" s="242" t="str">
        <f t="shared" si="1"/>
        <v>Creación46</v>
      </c>
      <c r="D106" s="257" t="s">
        <v>9283</v>
      </c>
      <c r="E106" s="342" t="s">
        <v>1560</v>
      </c>
      <c r="F106" s="342">
        <v>46</v>
      </c>
      <c r="G106" s="343" t="s">
        <v>1241</v>
      </c>
      <c r="H106" s="343" t="s">
        <v>1094</v>
      </c>
      <c r="I106" s="344" t="s">
        <v>1165</v>
      </c>
      <c r="J106" s="342">
        <v>7</v>
      </c>
      <c r="K106" s="342">
        <v>9</v>
      </c>
      <c r="L106" s="342">
        <v>12</v>
      </c>
      <c r="M106" s="345">
        <v>15</v>
      </c>
      <c r="N106" s="342">
        <v>140</v>
      </c>
      <c r="O106" s="342">
        <v>180</v>
      </c>
      <c r="P106" s="342">
        <v>240</v>
      </c>
      <c r="Q106" s="345">
        <v>350</v>
      </c>
      <c r="R106" s="342" t="s">
        <v>1241</v>
      </c>
      <c r="S106" s="342" t="s">
        <v>1241</v>
      </c>
      <c r="T106" s="2487" t="s">
        <v>1241</v>
      </c>
      <c r="U106" s="348" t="s">
        <v>1241</v>
      </c>
      <c r="V106" s="2485" t="s">
        <v>3402</v>
      </c>
      <c r="W106" s="2485" t="s">
        <v>3403</v>
      </c>
      <c r="X106" s="2485" t="s">
        <v>3404</v>
      </c>
      <c r="Y106" s="2485" t="s">
        <v>3405</v>
      </c>
      <c r="Z106" s="2485" t="s">
        <v>3406</v>
      </c>
      <c r="AA106" s="347"/>
    </row>
    <row r="107" spans="1:27" ht="12.75" customHeight="1">
      <c r="A107" s="8243"/>
      <c r="B107" s="242" t="str">
        <f t="shared" si="1"/>
        <v>Creación48</v>
      </c>
      <c r="D107" s="257" t="s">
        <v>9284</v>
      </c>
      <c r="E107" s="342" t="s">
        <v>1560</v>
      </c>
      <c r="F107" s="342">
        <v>48</v>
      </c>
      <c r="G107" s="343" t="s">
        <v>1241</v>
      </c>
      <c r="H107" s="343" t="s">
        <v>1095</v>
      </c>
      <c r="I107" s="344" t="s">
        <v>1165</v>
      </c>
      <c r="J107" s="342">
        <v>8</v>
      </c>
      <c r="K107" s="342">
        <v>10</v>
      </c>
      <c r="L107" s="342">
        <v>12</v>
      </c>
      <c r="M107" s="345">
        <v>14</v>
      </c>
      <c r="N107" s="342">
        <v>250</v>
      </c>
      <c r="O107" s="342">
        <v>300</v>
      </c>
      <c r="P107" s="342">
        <v>350</v>
      </c>
      <c r="Q107" s="345">
        <v>400</v>
      </c>
      <c r="R107" s="342" t="s">
        <v>1241</v>
      </c>
      <c r="S107" s="342" t="s">
        <v>1241</v>
      </c>
      <c r="T107" s="2487" t="s">
        <v>1241</v>
      </c>
      <c r="U107" s="348" t="s">
        <v>1241</v>
      </c>
      <c r="V107" s="2485" t="s">
        <v>3407</v>
      </c>
      <c r="W107" s="2485" t="s">
        <v>3408</v>
      </c>
      <c r="X107" s="2485" t="s">
        <v>3409</v>
      </c>
      <c r="Y107" s="2485" t="s">
        <v>3410</v>
      </c>
      <c r="Z107" s="2485" t="s">
        <v>3411</v>
      </c>
      <c r="AA107" s="347"/>
    </row>
    <row r="108" spans="1:27" ht="12.75" customHeight="1">
      <c r="A108" s="8243"/>
      <c r="B108" s="242" t="str">
        <f t="shared" si="1"/>
        <v>Creación50</v>
      </c>
      <c r="D108" s="257" t="s">
        <v>9285</v>
      </c>
      <c r="E108" s="342" t="s">
        <v>1560</v>
      </c>
      <c r="F108" s="342">
        <v>50</v>
      </c>
      <c r="G108" s="343" t="s">
        <v>1241</v>
      </c>
      <c r="H108" s="343" t="s">
        <v>1095</v>
      </c>
      <c r="I108" s="344" t="s">
        <v>1165</v>
      </c>
      <c r="J108" s="342">
        <v>7</v>
      </c>
      <c r="K108" s="342">
        <v>10</v>
      </c>
      <c r="L108" s="342">
        <v>13</v>
      </c>
      <c r="M108" s="345">
        <v>16</v>
      </c>
      <c r="N108" s="342">
        <v>100</v>
      </c>
      <c r="O108" s="342">
        <v>200</v>
      </c>
      <c r="P108" s="342">
        <v>300</v>
      </c>
      <c r="Q108" s="345">
        <v>400</v>
      </c>
      <c r="R108" s="342">
        <v>20</v>
      </c>
      <c r="S108" s="342">
        <v>40</v>
      </c>
      <c r="T108" s="2487">
        <v>50</v>
      </c>
      <c r="U108" s="348">
        <v>60</v>
      </c>
      <c r="V108" s="2485" t="s">
        <v>3412</v>
      </c>
      <c r="W108" s="2485" t="s">
        <v>3413</v>
      </c>
      <c r="X108" s="2485" t="s">
        <v>3414</v>
      </c>
      <c r="Y108" s="2485" t="s">
        <v>3415</v>
      </c>
      <c r="Z108" s="2485" t="s">
        <v>12903</v>
      </c>
      <c r="AA108" s="347"/>
    </row>
    <row r="109" spans="1:27" ht="12.75" customHeight="1">
      <c r="A109" s="8243"/>
      <c r="B109" s="242" t="str">
        <f t="shared" si="1"/>
        <v>Creación52</v>
      </c>
      <c r="D109" s="257" t="s">
        <v>9286</v>
      </c>
      <c r="E109" s="342" t="s">
        <v>1560</v>
      </c>
      <c r="F109" s="342">
        <v>52</v>
      </c>
      <c r="G109" s="343" t="s">
        <v>1241</v>
      </c>
      <c r="H109" s="343" t="s">
        <v>1095</v>
      </c>
      <c r="I109" s="344" t="s">
        <v>1165</v>
      </c>
      <c r="J109" s="342">
        <v>8</v>
      </c>
      <c r="K109" s="342">
        <v>10</v>
      </c>
      <c r="L109" s="342">
        <v>12</v>
      </c>
      <c r="M109" s="345">
        <v>15</v>
      </c>
      <c r="N109" s="342">
        <v>80</v>
      </c>
      <c r="O109" s="342">
        <v>120</v>
      </c>
      <c r="P109" s="342">
        <v>250</v>
      </c>
      <c r="Q109" s="345">
        <v>500</v>
      </c>
      <c r="R109" s="342">
        <v>10</v>
      </c>
      <c r="S109" s="342">
        <v>15</v>
      </c>
      <c r="T109" s="2487">
        <v>25</v>
      </c>
      <c r="U109" s="348">
        <v>50</v>
      </c>
      <c r="V109" s="2485" t="s">
        <v>3416</v>
      </c>
      <c r="W109" s="2485" t="s">
        <v>3417</v>
      </c>
      <c r="X109" s="2485" t="s">
        <v>3418</v>
      </c>
      <c r="Y109" s="2485" t="s">
        <v>3419</v>
      </c>
      <c r="Z109" s="2485" t="s">
        <v>12904</v>
      </c>
      <c r="AA109" s="347"/>
    </row>
    <row r="110" spans="1:27" ht="12.75" customHeight="1">
      <c r="A110" s="8243"/>
      <c r="B110" s="242" t="str">
        <f t="shared" si="1"/>
        <v>Creación56</v>
      </c>
      <c r="D110" s="257" t="s">
        <v>9287</v>
      </c>
      <c r="E110" s="342" t="s">
        <v>1560</v>
      </c>
      <c r="F110" s="342">
        <v>56</v>
      </c>
      <c r="G110" s="343" t="s">
        <v>1241</v>
      </c>
      <c r="H110" s="343" t="s">
        <v>1095</v>
      </c>
      <c r="I110" s="344" t="s">
        <v>1166</v>
      </c>
      <c r="J110" s="342">
        <v>6</v>
      </c>
      <c r="K110" s="342">
        <v>9</v>
      </c>
      <c r="L110" s="342">
        <v>12</v>
      </c>
      <c r="M110" s="345">
        <v>15</v>
      </c>
      <c r="N110" s="342">
        <v>120</v>
      </c>
      <c r="O110" s="342">
        <v>180</v>
      </c>
      <c r="P110" s="342">
        <v>240</v>
      </c>
      <c r="Q110" s="345">
        <v>350</v>
      </c>
      <c r="R110" s="342">
        <v>10</v>
      </c>
      <c r="S110" s="342">
        <v>15</v>
      </c>
      <c r="T110" s="2487">
        <v>25</v>
      </c>
      <c r="U110" s="348">
        <v>35</v>
      </c>
      <c r="V110" s="2485" t="s">
        <v>3420</v>
      </c>
      <c r="W110" s="2485" t="s">
        <v>3421</v>
      </c>
      <c r="X110" s="2485" t="s">
        <v>3422</v>
      </c>
      <c r="Y110" s="2485" t="s">
        <v>3423</v>
      </c>
      <c r="Z110" s="2485" t="s">
        <v>3424</v>
      </c>
      <c r="AA110" s="347"/>
    </row>
    <row r="111" spans="1:27" ht="12.75" customHeight="1">
      <c r="A111" s="8243"/>
      <c r="B111" s="242" t="str">
        <f t="shared" si="1"/>
        <v>Creación58</v>
      </c>
      <c r="D111" s="257" t="s">
        <v>9288</v>
      </c>
      <c r="E111" s="342" t="s">
        <v>1560</v>
      </c>
      <c r="F111" s="342">
        <v>58</v>
      </c>
      <c r="G111" s="343" t="s">
        <v>1241</v>
      </c>
      <c r="H111" s="343" t="s">
        <v>1094</v>
      </c>
      <c r="I111" s="344" t="s">
        <v>1165</v>
      </c>
      <c r="J111" s="342">
        <v>8</v>
      </c>
      <c r="K111" s="342">
        <v>10</v>
      </c>
      <c r="L111" s="342">
        <v>12</v>
      </c>
      <c r="M111" s="345">
        <v>15</v>
      </c>
      <c r="N111" s="342">
        <v>150</v>
      </c>
      <c r="O111" s="342">
        <v>200</v>
      </c>
      <c r="P111" s="342">
        <v>250</v>
      </c>
      <c r="Q111" s="345">
        <v>300</v>
      </c>
      <c r="R111" s="342">
        <v>15</v>
      </c>
      <c r="S111" s="342">
        <v>20</v>
      </c>
      <c r="T111" s="2487">
        <v>25</v>
      </c>
      <c r="U111" s="348">
        <v>30</v>
      </c>
      <c r="V111" s="2485" t="s">
        <v>3425</v>
      </c>
      <c r="W111" s="2485" t="s">
        <v>3390</v>
      </c>
      <c r="X111" s="2485" t="s">
        <v>3391</v>
      </c>
      <c r="Y111" s="2485" t="s">
        <v>3153</v>
      </c>
      <c r="Z111" s="2485" t="s">
        <v>12905</v>
      </c>
      <c r="AA111" s="347"/>
    </row>
    <row r="112" spans="1:27" ht="12.75" customHeight="1">
      <c r="A112" s="8243"/>
      <c r="B112" s="242" t="str">
        <f t="shared" si="1"/>
        <v>Creación60</v>
      </c>
      <c r="D112" s="257" t="s">
        <v>9289</v>
      </c>
      <c r="E112" s="342" t="s">
        <v>1560</v>
      </c>
      <c r="F112" s="342">
        <v>60</v>
      </c>
      <c r="G112" s="343" t="s">
        <v>2422</v>
      </c>
      <c r="H112" s="343" t="s">
        <v>1424</v>
      </c>
      <c r="I112" s="344" t="s">
        <v>1165</v>
      </c>
      <c r="J112" s="342">
        <v>8</v>
      </c>
      <c r="K112" s="342">
        <v>10</v>
      </c>
      <c r="L112" s="342">
        <v>13</v>
      </c>
      <c r="M112" s="345">
        <v>16</v>
      </c>
      <c r="N112" s="342">
        <v>150</v>
      </c>
      <c r="O112" s="342">
        <v>200</v>
      </c>
      <c r="P112" s="342">
        <v>300</v>
      </c>
      <c r="Q112" s="345">
        <v>400</v>
      </c>
      <c r="R112" s="342">
        <v>15</v>
      </c>
      <c r="S112" s="342">
        <v>20</v>
      </c>
      <c r="T112" s="2487">
        <v>30</v>
      </c>
      <c r="U112" s="348">
        <v>40</v>
      </c>
      <c r="V112" s="2485" t="s">
        <v>3426</v>
      </c>
      <c r="W112" s="2485" t="s">
        <v>3427</v>
      </c>
      <c r="X112" s="2485" t="s">
        <v>3428</v>
      </c>
      <c r="Y112" s="2485" t="s">
        <v>3429</v>
      </c>
      <c r="Z112" s="2485" t="s">
        <v>12906</v>
      </c>
      <c r="AA112" s="347"/>
    </row>
    <row r="113" spans="1:27" ht="12.75" customHeight="1">
      <c r="A113" s="8243"/>
      <c r="B113" s="242" t="str">
        <f t="shared" si="1"/>
        <v>Creación62</v>
      </c>
      <c r="D113" s="257" t="s">
        <v>9290</v>
      </c>
      <c r="E113" s="342" t="s">
        <v>1560</v>
      </c>
      <c r="F113" s="342">
        <v>62</v>
      </c>
      <c r="G113" s="343" t="s">
        <v>2422</v>
      </c>
      <c r="H113" s="343" t="s">
        <v>1095</v>
      </c>
      <c r="I113" s="344" t="s">
        <v>1165</v>
      </c>
      <c r="J113" s="342">
        <v>8</v>
      </c>
      <c r="K113" s="342">
        <v>10</v>
      </c>
      <c r="L113" s="342">
        <v>13</v>
      </c>
      <c r="M113" s="345">
        <v>16</v>
      </c>
      <c r="N113" s="342">
        <v>150</v>
      </c>
      <c r="O113" s="342">
        <v>200</v>
      </c>
      <c r="P113" s="342">
        <v>250</v>
      </c>
      <c r="Q113" s="345">
        <v>350</v>
      </c>
      <c r="R113" s="342">
        <v>15</v>
      </c>
      <c r="S113" s="342">
        <v>20</v>
      </c>
      <c r="T113" s="2487">
        <v>25</v>
      </c>
      <c r="U113" s="348">
        <v>35</v>
      </c>
      <c r="V113" s="2485" t="s">
        <v>3430</v>
      </c>
      <c r="W113" s="2485" t="s">
        <v>3431</v>
      </c>
      <c r="X113" s="2485" t="s">
        <v>3432</v>
      </c>
      <c r="Y113" s="2485" t="s">
        <v>3433</v>
      </c>
      <c r="Z113" s="2485" t="s">
        <v>3434</v>
      </c>
      <c r="AA113" s="347"/>
    </row>
    <row r="114" spans="1:27" ht="12.75" customHeight="1">
      <c r="A114" s="8243"/>
      <c r="B114" s="242" t="str">
        <f t="shared" si="1"/>
        <v>Creación66</v>
      </c>
      <c r="D114" s="257" t="s">
        <v>9291</v>
      </c>
      <c r="E114" s="342" t="s">
        <v>1560</v>
      </c>
      <c r="F114" s="342">
        <v>66</v>
      </c>
      <c r="G114" s="343" t="s">
        <v>2422</v>
      </c>
      <c r="H114" s="343" t="s">
        <v>1095</v>
      </c>
      <c r="I114" s="344" t="s">
        <v>1165</v>
      </c>
      <c r="J114" s="342">
        <v>8</v>
      </c>
      <c r="K114" s="342">
        <v>10</v>
      </c>
      <c r="L114" s="342">
        <v>12</v>
      </c>
      <c r="M114" s="345">
        <v>14</v>
      </c>
      <c r="N114" s="342">
        <v>150</v>
      </c>
      <c r="O114" s="342">
        <v>200</v>
      </c>
      <c r="P114" s="342">
        <v>300</v>
      </c>
      <c r="Q114" s="345">
        <v>400</v>
      </c>
      <c r="R114" s="342">
        <v>15</v>
      </c>
      <c r="S114" s="342">
        <v>20</v>
      </c>
      <c r="T114" s="2487">
        <v>30</v>
      </c>
      <c r="U114" s="348">
        <v>40</v>
      </c>
      <c r="V114" s="2485" t="s">
        <v>3347</v>
      </c>
      <c r="W114" s="2485" t="s">
        <v>3230</v>
      </c>
      <c r="X114" s="2485" t="s">
        <v>3377</v>
      </c>
      <c r="Y114" s="2485" t="s">
        <v>3435</v>
      </c>
      <c r="Z114" s="2485" t="s">
        <v>3436</v>
      </c>
      <c r="AA114" s="347"/>
    </row>
    <row r="115" spans="1:27" ht="12.75" customHeight="1">
      <c r="A115" s="8243"/>
      <c r="B115" s="242" t="str">
        <f t="shared" si="1"/>
        <v>Creación68</v>
      </c>
      <c r="D115" s="257" t="s">
        <v>9292</v>
      </c>
      <c r="E115" s="342" t="s">
        <v>1560</v>
      </c>
      <c r="F115" s="342">
        <v>68</v>
      </c>
      <c r="G115" s="343" t="s">
        <v>1241</v>
      </c>
      <c r="H115" s="343" t="s">
        <v>1095</v>
      </c>
      <c r="I115" s="344" t="s">
        <v>1166</v>
      </c>
      <c r="J115" s="342">
        <v>8</v>
      </c>
      <c r="K115" s="342">
        <v>12</v>
      </c>
      <c r="L115" s="342">
        <v>15</v>
      </c>
      <c r="M115" s="345">
        <v>18</v>
      </c>
      <c r="N115" s="342">
        <v>100</v>
      </c>
      <c r="O115" s="342">
        <v>200</v>
      </c>
      <c r="P115" s="342">
        <v>300</v>
      </c>
      <c r="Q115" s="345">
        <v>400</v>
      </c>
      <c r="R115" s="342">
        <v>10</v>
      </c>
      <c r="S115" s="342">
        <v>20</v>
      </c>
      <c r="T115" s="2487">
        <v>30</v>
      </c>
      <c r="U115" s="348">
        <v>40</v>
      </c>
      <c r="V115" s="2485" t="s">
        <v>3437</v>
      </c>
      <c r="W115" s="2485" t="s">
        <v>3438</v>
      </c>
      <c r="X115" s="2485" t="s">
        <v>3439</v>
      </c>
      <c r="Y115" s="2485" t="s">
        <v>3440</v>
      </c>
      <c r="Z115" s="2486" t="s">
        <v>3441</v>
      </c>
      <c r="AA115" s="347"/>
    </row>
    <row r="116" spans="1:27" ht="12.75" customHeight="1">
      <c r="A116" s="8243"/>
      <c r="B116" s="242" t="str">
        <f t="shared" si="1"/>
        <v>Creación70</v>
      </c>
      <c r="D116" s="257" t="s">
        <v>9293</v>
      </c>
      <c r="E116" s="342" t="s">
        <v>1560</v>
      </c>
      <c r="F116" s="342">
        <v>70</v>
      </c>
      <c r="G116" s="343" t="s">
        <v>1241</v>
      </c>
      <c r="H116" s="343" t="s">
        <v>1094</v>
      </c>
      <c r="I116" s="344" t="s">
        <v>1165</v>
      </c>
      <c r="J116" s="342">
        <v>9</v>
      </c>
      <c r="K116" s="342">
        <v>12</v>
      </c>
      <c r="L116" s="342">
        <v>15</v>
      </c>
      <c r="M116" s="345">
        <v>18</v>
      </c>
      <c r="N116" s="342">
        <v>250</v>
      </c>
      <c r="O116" s="342">
        <v>350</v>
      </c>
      <c r="P116" s="342">
        <v>500</v>
      </c>
      <c r="Q116" s="345">
        <v>800</v>
      </c>
      <c r="R116" s="342" t="s">
        <v>1241</v>
      </c>
      <c r="S116" s="342" t="s">
        <v>1241</v>
      </c>
      <c r="T116" s="2487" t="s">
        <v>1241</v>
      </c>
      <c r="U116" s="348" t="s">
        <v>1241</v>
      </c>
      <c r="V116" s="2485" t="s">
        <v>3442</v>
      </c>
      <c r="W116" s="2485" t="s">
        <v>3443</v>
      </c>
      <c r="X116" s="2485" t="s">
        <v>3444</v>
      </c>
      <c r="Y116" s="2485" t="s">
        <v>3445</v>
      </c>
      <c r="Z116" s="2485" t="s">
        <v>12907</v>
      </c>
      <c r="AA116" s="347"/>
    </row>
    <row r="117" spans="1:27" ht="12.75" customHeight="1">
      <c r="A117" s="8243"/>
      <c r="B117" s="242" t="str">
        <f t="shared" si="1"/>
        <v>Creación72</v>
      </c>
      <c r="D117" s="257" t="s">
        <v>1</v>
      </c>
      <c r="E117" s="342" t="s">
        <v>1560</v>
      </c>
      <c r="F117" s="342">
        <v>72</v>
      </c>
      <c r="G117" s="343" t="s">
        <v>2422</v>
      </c>
      <c r="H117" s="343" t="s">
        <v>1094</v>
      </c>
      <c r="I117" s="344" t="s">
        <v>1165</v>
      </c>
      <c r="J117" s="342">
        <v>8</v>
      </c>
      <c r="K117" s="342">
        <v>10</v>
      </c>
      <c r="L117" s="342">
        <v>12</v>
      </c>
      <c r="M117" s="345">
        <v>14</v>
      </c>
      <c r="N117" s="342">
        <v>150</v>
      </c>
      <c r="O117" s="342">
        <v>200</v>
      </c>
      <c r="P117" s="342">
        <v>250</v>
      </c>
      <c r="Q117" s="345">
        <v>350</v>
      </c>
      <c r="R117" s="342">
        <v>10</v>
      </c>
      <c r="S117" s="342">
        <v>10</v>
      </c>
      <c r="T117" s="2487">
        <v>15</v>
      </c>
      <c r="U117" s="348">
        <v>20</v>
      </c>
      <c r="V117" s="2485" t="s">
        <v>3425</v>
      </c>
      <c r="W117" s="2485" t="s">
        <v>3390</v>
      </c>
      <c r="X117" s="2485" t="s">
        <v>3295</v>
      </c>
      <c r="Y117" s="2485" t="s">
        <v>3296</v>
      </c>
      <c r="Z117" s="2485" t="s">
        <v>3446</v>
      </c>
      <c r="AA117" s="347"/>
    </row>
    <row r="118" spans="1:27" ht="12.75" customHeight="1">
      <c r="A118" s="8243"/>
      <c r="B118" s="242" t="str">
        <f t="shared" si="1"/>
        <v>Creación76</v>
      </c>
      <c r="D118" s="257" t="s">
        <v>9294</v>
      </c>
      <c r="E118" s="342" t="s">
        <v>1560</v>
      </c>
      <c r="F118" s="342">
        <v>76</v>
      </c>
      <c r="G118" s="343" t="s">
        <v>1241</v>
      </c>
      <c r="H118" s="343" t="s">
        <v>1095</v>
      </c>
      <c r="I118" s="344" t="s">
        <v>1165</v>
      </c>
      <c r="J118" s="342">
        <v>8</v>
      </c>
      <c r="K118" s="342">
        <v>12</v>
      </c>
      <c r="L118" s="342">
        <v>15</v>
      </c>
      <c r="M118" s="345">
        <v>18</v>
      </c>
      <c r="N118" s="342">
        <v>300</v>
      </c>
      <c r="O118" s="342">
        <v>500</v>
      </c>
      <c r="P118" s="342">
        <v>750</v>
      </c>
      <c r="Q118" s="345">
        <v>1500</v>
      </c>
      <c r="R118" s="342" t="s">
        <v>1241</v>
      </c>
      <c r="S118" s="342" t="s">
        <v>1241</v>
      </c>
      <c r="T118" s="2487" t="s">
        <v>1241</v>
      </c>
      <c r="U118" s="348" t="s">
        <v>1241</v>
      </c>
      <c r="V118" s="2485" t="s">
        <v>3447</v>
      </c>
      <c r="W118" s="2485" t="s">
        <v>3377</v>
      </c>
      <c r="X118" s="2485" t="s">
        <v>3448</v>
      </c>
      <c r="Y118" s="2485" t="s">
        <v>3449</v>
      </c>
      <c r="Z118" s="2485" t="s">
        <v>3450</v>
      </c>
      <c r="AA118" s="347"/>
    </row>
    <row r="119" spans="1:27" ht="12.75" customHeight="1">
      <c r="A119" s="8243"/>
      <c r="B119" s="242" t="str">
        <f t="shared" si="1"/>
        <v>Creación78</v>
      </c>
      <c r="D119" s="257" t="s">
        <v>260</v>
      </c>
      <c r="E119" s="342" t="s">
        <v>1560</v>
      </c>
      <c r="F119" s="342">
        <v>78</v>
      </c>
      <c r="G119" s="343" t="s">
        <v>2422</v>
      </c>
      <c r="H119" s="343" t="s">
        <v>1095</v>
      </c>
      <c r="I119" s="344" t="s">
        <v>1165</v>
      </c>
      <c r="J119" s="342">
        <v>9</v>
      </c>
      <c r="K119" s="342">
        <v>12</v>
      </c>
      <c r="L119" s="342">
        <v>15</v>
      </c>
      <c r="M119" s="345">
        <v>17</v>
      </c>
      <c r="N119" s="342">
        <v>250</v>
      </c>
      <c r="O119" s="342">
        <v>400</v>
      </c>
      <c r="P119" s="349">
        <v>600</v>
      </c>
      <c r="Q119" s="350">
        <v>1000</v>
      </c>
      <c r="R119" s="349">
        <v>50</v>
      </c>
      <c r="S119" s="349">
        <v>80</v>
      </c>
      <c r="T119" s="2487">
        <v>120</v>
      </c>
      <c r="U119" s="348">
        <v>200</v>
      </c>
      <c r="V119" s="2485" t="s">
        <v>3451</v>
      </c>
      <c r="W119" s="2485" t="s">
        <v>3452</v>
      </c>
      <c r="X119" s="2485" t="s">
        <v>3453</v>
      </c>
      <c r="Y119" s="2485" t="s">
        <v>3419</v>
      </c>
      <c r="Z119" s="2485" t="s">
        <v>12908</v>
      </c>
      <c r="AA119" s="347"/>
    </row>
    <row r="120" spans="1:27" ht="12.75" customHeight="1">
      <c r="A120" s="8243"/>
      <c r="B120" s="242" t="str">
        <f t="shared" si="1"/>
        <v>Creación80</v>
      </c>
      <c r="D120" s="257" t="s">
        <v>9295</v>
      </c>
      <c r="E120" s="342" t="s">
        <v>1560</v>
      </c>
      <c r="F120" s="342">
        <v>80</v>
      </c>
      <c r="G120" s="343" t="s">
        <v>1241</v>
      </c>
      <c r="H120" s="343" t="s">
        <v>1095</v>
      </c>
      <c r="I120" s="344" t="s">
        <v>1165</v>
      </c>
      <c r="J120" s="342">
        <v>10</v>
      </c>
      <c r="K120" s="342">
        <v>13</v>
      </c>
      <c r="L120" s="342">
        <v>15</v>
      </c>
      <c r="M120" s="345">
        <v>17</v>
      </c>
      <c r="N120" s="342">
        <v>250</v>
      </c>
      <c r="O120" s="342">
        <v>500</v>
      </c>
      <c r="P120" s="349">
        <v>1000</v>
      </c>
      <c r="Q120" s="350">
        <v>2500</v>
      </c>
      <c r="R120" s="342" t="s">
        <v>1241</v>
      </c>
      <c r="S120" s="342" t="s">
        <v>1241</v>
      </c>
      <c r="T120" s="2487" t="s">
        <v>1241</v>
      </c>
      <c r="U120" s="348" t="s">
        <v>1241</v>
      </c>
      <c r="V120" s="2485" t="s">
        <v>9743</v>
      </c>
      <c r="W120" s="2485" t="s">
        <v>9744</v>
      </c>
      <c r="X120" s="2485" t="s">
        <v>9745</v>
      </c>
      <c r="Y120" s="2485" t="s">
        <v>9746</v>
      </c>
      <c r="Z120" s="2485" t="s">
        <v>3454</v>
      </c>
      <c r="AA120" s="347"/>
    </row>
    <row r="121" spans="1:27" ht="12.75" customHeight="1">
      <c r="A121" s="8243"/>
      <c r="B121" s="242" t="str">
        <f t="shared" si="1"/>
        <v>Creación82</v>
      </c>
      <c r="D121" s="257" t="s">
        <v>9296</v>
      </c>
      <c r="E121" s="342" t="s">
        <v>1560</v>
      </c>
      <c r="F121" s="342">
        <v>82</v>
      </c>
      <c r="G121" s="343" t="s">
        <v>2422</v>
      </c>
      <c r="H121" s="343" t="s">
        <v>3048</v>
      </c>
      <c r="I121" s="344" t="s">
        <v>1165</v>
      </c>
      <c r="J121" s="342">
        <v>12</v>
      </c>
      <c r="K121" s="342">
        <v>15</v>
      </c>
      <c r="L121" s="342">
        <v>17</v>
      </c>
      <c r="M121" s="345">
        <v>18</v>
      </c>
      <c r="N121" s="342">
        <v>350</v>
      </c>
      <c r="O121" s="342">
        <v>500</v>
      </c>
      <c r="P121" s="342">
        <v>800</v>
      </c>
      <c r="Q121" s="345">
        <v>1500</v>
      </c>
      <c r="R121" s="342">
        <v>35</v>
      </c>
      <c r="S121" s="342">
        <v>50</v>
      </c>
      <c r="T121" s="2487">
        <v>80</v>
      </c>
      <c r="U121" s="348">
        <v>150</v>
      </c>
      <c r="V121" s="2485" t="s">
        <v>3148</v>
      </c>
      <c r="W121" s="2485" t="s">
        <v>3150</v>
      </c>
      <c r="X121" s="2485" t="s">
        <v>9585</v>
      </c>
      <c r="Y121" s="2485" t="s">
        <v>9586</v>
      </c>
      <c r="Z121" s="2485" t="s">
        <v>3455</v>
      </c>
      <c r="AA121" s="347"/>
    </row>
    <row r="122" spans="1:27" ht="12.75" customHeight="1">
      <c r="A122" s="8243"/>
      <c r="B122" s="242" t="str">
        <f t="shared" si="1"/>
        <v>Creación86</v>
      </c>
      <c r="D122" s="257" t="s">
        <v>2640</v>
      </c>
      <c r="E122" s="342" t="s">
        <v>1560</v>
      </c>
      <c r="F122" s="342">
        <v>86</v>
      </c>
      <c r="G122" s="343" t="s">
        <v>1241</v>
      </c>
      <c r="H122" s="343" t="s">
        <v>1095</v>
      </c>
      <c r="I122" s="344" t="s">
        <v>1165</v>
      </c>
      <c r="J122" s="342">
        <v>10</v>
      </c>
      <c r="K122" s="342">
        <v>12</v>
      </c>
      <c r="L122" s="342">
        <v>14</v>
      </c>
      <c r="M122" s="345">
        <v>16</v>
      </c>
      <c r="N122" s="342">
        <v>250</v>
      </c>
      <c r="O122" s="342">
        <v>500</v>
      </c>
      <c r="P122" s="342">
        <v>900</v>
      </c>
      <c r="Q122" s="345">
        <v>1600</v>
      </c>
      <c r="R122" s="342" t="s">
        <v>1241</v>
      </c>
      <c r="S122" s="342" t="s">
        <v>1241</v>
      </c>
      <c r="T122" s="2487" t="s">
        <v>1241</v>
      </c>
      <c r="U122" s="348" t="s">
        <v>1241</v>
      </c>
      <c r="V122" s="2485" t="s">
        <v>3456</v>
      </c>
      <c r="W122" s="2485" t="s">
        <v>3457</v>
      </c>
      <c r="X122" s="2485" t="s">
        <v>3458</v>
      </c>
      <c r="Y122" s="2485" t="s">
        <v>3459</v>
      </c>
      <c r="Z122" s="2485" t="s">
        <v>3460</v>
      </c>
      <c r="AA122" s="347"/>
    </row>
    <row r="123" spans="1:27" ht="12.75" customHeight="1">
      <c r="A123" s="8243"/>
      <c r="B123" s="242" t="str">
        <f t="shared" si="1"/>
        <v>Creación88</v>
      </c>
      <c r="D123" s="257" t="s">
        <v>9297</v>
      </c>
      <c r="E123" s="342" t="s">
        <v>1560</v>
      </c>
      <c r="F123" s="342">
        <v>88</v>
      </c>
      <c r="G123" s="343" t="s">
        <v>1241</v>
      </c>
      <c r="H123" s="343" t="s">
        <v>1095</v>
      </c>
      <c r="I123" s="344" t="s">
        <v>1165</v>
      </c>
      <c r="J123" s="342">
        <v>13</v>
      </c>
      <c r="K123" s="342">
        <v>14</v>
      </c>
      <c r="L123" s="342">
        <v>15</v>
      </c>
      <c r="M123" s="345">
        <v>16</v>
      </c>
      <c r="N123" s="342">
        <v>500</v>
      </c>
      <c r="O123" s="342">
        <v>800</v>
      </c>
      <c r="P123" s="342">
        <v>1200</v>
      </c>
      <c r="Q123" s="345">
        <v>2000</v>
      </c>
      <c r="R123" s="342" t="s">
        <v>1241</v>
      </c>
      <c r="S123" s="342" t="s">
        <v>1241</v>
      </c>
      <c r="T123" s="2487" t="s">
        <v>1241</v>
      </c>
      <c r="U123" s="348" t="s">
        <v>1241</v>
      </c>
      <c r="V123" s="2485" t="s">
        <v>3345</v>
      </c>
      <c r="W123" s="2485" t="s">
        <v>3347</v>
      </c>
      <c r="X123" s="2485" t="s">
        <v>3230</v>
      </c>
      <c r="Y123" s="2485" t="s">
        <v>3231</v>
      </c>
      <c r="Z123" s="2485" t="s">
        <v>12909</v>
      </c>
      <c r="AA123" s="347"/>
    </row>
    <row r="124" spans="1:27" ht="12.75" customHeight="1">
      <c r="A124" s="8243"/>
      <c r="B124" s="242" t="str">
        <f t="shared" si="1"/>
        <v>Creación90</v>
      </c>
      <c r="D124" s="257" t="s">
        <v>9298</v>
      </c>
      <c r="E124" s="342" t="s">
        <v>1560</v>
      </c>
      <c r="F124" s="342">
        <v>90</v>
      </c>
      <c r="G124" s="343" t="s">
        <v>2422</v>
      </c>
      <c r="H124" s="343" t="s">
        <v>1095</v>
      </c>
      <c r="I124" s="344" t="s">
        <v>1165</v>
      </c>
      <c r="J124" s="342">
        <v>10</v>
      </c>
      <c r="K124" s="342">
        <v>12</v>
      </c>
      <c r="L124" s="342">
        <v>14</v>
      </c>
      <c r="M124" s="345">
        <v>16</v>
      </c>
      <c r="N124" s="342">
        <v>400</v>
      </c>
      <c r="O124" s="342">
        <v>800</v>
      </c>
      <c r="P124" s="342">
        <v>1200</v>
      </c>
      <c r="Q124" s="345">
        <v>2000</v>
      </c>
      <c r="R124" s="342">
        <v>20</v>
      </c>
      <c r="S124" s="342">
        <v>25</v>
      </c>
      <c r="T124" s="2487">
        <v>25</v>
      </c>
      <c r="U124" s="348">
        <v>30</v>
      </c>
      <c r="V124" s="2485" t="s">
        <v>3461</v>
      </c>
      <c r="W124" s="2485" t="s">
        <v>3462</v>
      </c>
      <c r="X124" s="2485" t="s">
        <v>3463</v>
      </c>
      <c r="Y124" s="2485" t="s">
        <v>3464</v>
      </c>
      <c r="Z124" s="2485" t="s">
        <v>6620</v>
      </c>
      <c r="AA124" s="347"/>
    </row>
    <row r="125" spans="1:27" ht="12.75" customHeight="1">
      <c r="A125" s="8243"/>
      <c r="B125" s="242" t="str">
        <f t="shared" si="1"/>
        <v>Creación92</v>
      </c>
      <c r="D125" s="257" t="s">
        <v>9299</v>
      </c>
      <c r="E125" s="342" t="s">
        <v>1560</v>
      </c>
      <c r="F125" s="342">
        <v>92</v>
      </c>
      <c r="G125" s="343" t="s">
        <v>1241</v>
      </c>
      <c r="H125" s="343" t="s">
        <v>1095</v>
      </c>
      <c r="I125" s="344" t="s">
        <v>1165</v>
      </c>
      <c r="J125" s="342">
        <v>12</v>
      </c>
      <c r="K125" s="342">
        <v>14</v>
      </c>
      <c r="L125" s="342">
        <v>16</v>
      </c>
      <c r="M125" s="345">
        <v>18</v>
      </c>
      <c r="N125" s="342">
        <v>600</v>
      </c>
      <c r="O125" s="342">
        <v>1000</v>
      </c>
      <c r="P125" s="342">
        <v>2500</v>
      </c>
      <c r="Q125" s="345">
        <v>5000</v>
      </c>
      <c r="R125" s="342" t="s">
        <v>1241</v>
      </c>
      <c r="S125" s="342" t="s">
        <v>1241</v>
      </c>
      <c r="T125" s="2487" t="s">
        <v>1241</v>
      </c>
      <c r="U125" s="348" t="s">
        <v>1241</v>
      </c>
      <c r="V125" s="2485" t="s">
        <v>3465</v>
      </c>
      <c r="W125" s="2485" t="s">
        <v>3466</v>
      </c>
      <c r="X125" s="2485" t="s">
        <v>3467</v>
      </c>
      <c r="Y125" s="2485" t="s">
        <v>3468</v>
      </c>
      <c r="Z125" s="2485" t="s">
        <v>12910</v>
      </c>
      <c r="AA125" s="347"/>
    </row>
    <row r="126" spans="1:27" ht="12.75" customHeight="1">
      <c r="A126" s="8243"/>
      <c r="B126" s="242" t="str">
        <f t="shared" si="1"/>
        <v>Creación96</v>
      </c>
      <c r="D126" s="257" t="s">
        <v>9300</v>
      </c>
      <c r="E126" s="342" t="s">
        <v>1560</v>
      </c>
      <c r="F126" s="342">
        <v>96</v>
      </c>
      <c r="G126" s="343" t="s">
        <v>2422</v>
      </c>
      <c r="H126" s="343" t="s">
        <v>1095</v>
      </c>
      <c r="I126" s="344" t="s">
        <v>1165</v>
      </c>
      <c r="J126" s="342">
        <v>15</v>
      </c>
      <c r="K126" s="342">
        <v>16</v>
      </c>
      <c r="L126" s="342">
        <v>17</v>
      </c>
      <c r="M126" s="345">
        <v>19</v>
      </c>
      <c r="N126" s="342">
        <v>800</v>
      </c>
      <c r="O126" s="342">
        <v>2500</v>
      </c>
      <c r="P126" s="342">
        <v>5000</v>
      </c>
      <c r="Q126" s="345">
        <v>10000</v>
      </c>
      <c r="R126" s="342">
        <v>40</v>
      </c>
      <c r="S126" s="342">
        <v>45</v>
      </c>
      <c r="T126" s="2487">
        <v>45</v>
      </c>
      <c r="U126" s="348">
        <v>50</v>
      </c>
      <c r="V126" s="2485" t="s">
        <v>3469</v>
      </c>
      <c r="W126" s="2485" t="s">
        <v>3470</v>
      </c>
      <c r="X126" s="2485" t="s">
        <v>3471</v>
      </c>
      <c r="Y126" s="2485" t="s">
        <v>12911</v>
      </c>
      <c r="Z126" s="2485" t="s">
        <v>12912</v>
      </c>
      <c r="AA126" s="347"/>
    </row>
    <row r="127" spans="1:27" ht="12.75" customHeight="1">
      <c r="A127" s="8243"/>
      <c r="B127" s="242" t="str">
        <f t="shared" si="1"/>
        <v>Creación98</v>
      </c>
      <c r="D127" s="257" t="s">
        <v>9301</v>
      </c>
      <c r="E127" s="342" t="s">
        <v>1560</v>
      </c>
      <c r="F127" s="342">
        <v>98</v>
      </c>
      <c r="G127" s="343" t="s">
        <v>1241</v>
      </c>
      <c r="H127" s="343" t="s">
        <v>1095</v>
      </c>
      <c r="I127" s="344" t="s">
        <v>1165</v>
      </c>
      <c r="J127" s="342">
        <v>16</v>
      </c>
      <c r="K127" s="342">
        <v>17</v>
      </c>
      <c r="L127" s="342">
        <v>18</v>
      </c>
      <c r="M127" s="345">
        <v>19</v>
      </c>
      <c r="N127" s="342">
        <v>800</v>
      </c>
      <c r="O127" s="342">
        <v>2000</v>
      </c>
      <c r="P127" s="342">
        <v>4000</v>
      </c>
      <c r="Q127" s="345">
        <v>8000</v>
      </c>
      <c r="R127" s="342" t="s">
        <v>1241</v>
      </c>
      <c r="S127" s="342" t="s">
        <v>1241</v>
      </c>
      <c r="T127" s="2487" t="s">
        <v>1241</v>
      </c>
      <c r="U127" s="348" t="s">
        <v>1241</v>
      </c>
      <c r="V127" s="2485" t="s">
        <v>3472</v>
      </c>
      <c r="W127" s="2485" t="s">
        <v>3473</v>
      </c>
      <c r="X127" s="2485" t="s">
        <v>3474</v>
      </c>
      <c r="Y127" s="2485" t="s">
        <v>3475</v>
      </c>
      <c r="Z127" s="2485" t="s">
        <v>12913</v>
      </c>
      <c r="AA127" s="347"/>
    </row>
    <row r="128" spans="1:27" ht="12.75" customHeight="1">
      <c r="A128" s="8243"/>
      <c r="B128" s="242" t="str">
        <f t="shared" si="1"/>
        <v>Creación100</v>
      </c>
      <c r="D128" s="257" t="s">
        <v>9302</v>
      </c>
      <c r="E128" s="342" t="s">
        <v>1560</v>
      </c>
      <c r="F128" s="342">
        <v>100</v>
      </c>
      <c r="G128" s="343" t="s">
        <v>1241</v>
      </c>
      <c r="H128" s="343" t="s">
        <v>1095</v>
      </c>
      <c r="I128" s="344" t="s">
        <v>1165</v>
      </c>
      <c r="J128" s="342">
        <v>17</v>
      </c>
      <c r="K128" s="342">
        <v>18</v>
      </c>
      <c r="L128" s="342">
        <v>19</v>
      </c>
      <c r="M128" s="345">
        <v>20</v>
      </c>
      <c r="N128" s="342">
        <v>1000</v>
      </c>
      <c r="O128" s="342">
        <v>3000</v>
      </c>
      <c r="P128" s="342">
        <v>6000</v>
      </c>
      <c r="Q128" s="345">
        <v>12000</v>
      </c>
      <c r="R128" s="342" t="s">
        <v>1241</v>
      </c>
      <c r="S128" s="342" t="s">
        <v>1241</v>
      </c>
      <c r="T128" s="2487" t="s">
        <v>1241</v>
      </c>
      <c r="U128" s="348" t="s">
        <v>1241</v>
      </c>
      <c r="V128" s="2485" t="s">
        <v>3476</v>
      </c>
      <c r="W128" s="2485" t="s">
        <v>3477</v>
      </c>
      <c r="X128" s="2485" t="s">
        <v>3478</v>
      </c>
      <c r="Y128" s="2485" t="s">
        <v>12914</v>
      </c>
      <c r="Z128" s="2485" t="s">
        <v>3479</v>
      </c>
      <c r="AA128" s="347"/>
    </row>
    <row r="129" spans="1:27" ht="12.75" customHeight="1">
      <c r="A129" s="8243"/>
      <c r="B129" s="242" t="str">
        <f t="shared" si="1"/>
        <v/>
      </c>
      <c r="D129" s="257" t="s">
        <v>261</v>
      </c>
      <c r="E129" s="342"/>
      <c r="F129" s="342"/>
      <c r="G129" s="343"/>
      <c r="H129" s="343"/>
      <c r="I129" s="344"/>
      <c r="J129" s="342"/>
      <c r="K129" s="342"/>
      <c r="L129" s="342"/>
      <c r="M129" s="345"/>
      <c r="N129" s="342"/>
      <c r="O129" s="342"/>
      <c r="P129" s="342"/>
      <c r="Q129" s="345"/>
      <c r="R129" s="342"/>
      <c r="S129" s="342"/>
      <c r="T129" s="2487"/>
      <c r="U129" s="348"/>
      <c r="V129" s="2485"/>
      <c r="W129" s="2485"/>
      <c r="X129" s="2485"/>
      <c r="Y129" s="2485"/>
      <c r="Z129" s="2485"/>
      <c r="AA129" s="347"/>
    </row>
    <row r="130" spans="1:27" ht="12.75" customHeight="1">
      <c r="A130" s="8243"/>
      <c r="B130" s="242" t="str">
        <f t="shared" si="1"/>
        <v>Destrucción2</v>
      </c>
      <c r="D130" s="257" t="s">
        <v>9303</v>
      </c>
      <c r="E130" s="342" t="s">
        <v>1561</v>
      </c>
      <c r="F130" s="342">
        <v>2</v>
      </c>
      <c r="G130" s="343" t="s">
        <v>1241</v>
      </c>
      <c r="H130" s="343" t="s">
        <v>1095</v>
      </c>
      <c r="I130" s="344" t="s">
        <v>1165</v>
      </c>
      <c r="J130" s="342">
        <v>5</v>
      </c>
      <c r="K130" s="342">
        <v>8</v>
      </c>
      <c r="L130" s="342">
        <v>10</v>
      </c>
      <c r="M130" s="345">
        <v>12</v>
      </c>
      <c r="N130" s="342">
        <v>30</v>
      </c>
      <c r="O130" s="342">
        <v>60</v>
      </c>
      <c r="P130" s="342">
        <v>120</v>
      </c>
      <c r="Q130" s="345">
        <v>150</v>
      </c>
      <c r="R130" s="342">
        <v>5</v>
      </c>
      <c r="S130" s="342">
        <v>10</v>
      </c>
      <c r="T130" s="2487">
        <v>15</v>
      </c>
      <c r="U130" s="348">
        <v>15</v>
      </c>
      <c r="V130" s="2485" t="s">
        <v>3480</v>
      </c>
      <c r="W130" s="2485" t="s">
        <v>3481</v>
      </c>
      <c r="X130" s="2485" t="s">
        <v>3482</v>
      </c>
      <c r="Y130" s="2485" t="s">
        <v>3483</v>
      </c>
      <c r="Z130" s="2485" t="s">
        <v>3484</v>
      </c>
      <c r="AA130" s="347"/>
    </row>
    <row r="131" spans="1:27" ht="12.75" customHeight="1">
      <c r="A131" s="8243"/>
      <c r="B131" s="242" t="str">
        <f t="shared" si="1"/>
        <v>Destrucción6</v>
      </c>
      <c r="D131" s="257" t="s">
        <v>9304</v>
      </c>
      <c r="E131" s="342" t="s">
        <v>1561</v>
      </c>
      <c r="F131" s="342">
        <v>6</v>
      </c>
      <c r="G131" s="343" t="s">
        <v>1241</v>
      </c>
      <c r="H131" s="343" t="s">
        <v>1095</v>
      </c>
      <c r="I131" s="344" t="s">
        <v>1165</v>
      </c>
      <c r="J131" s="342">
        <v>5</v>
      </c>
      <c r="K131" s="342">
        <v>8</v>
      </c>
      <c r="L131" s="342">
        <v>10</v>
      </c>
      <c r="M131" s="345">
        <v>12</v>
      </c>
      <c r="N131" s="342">
        <v>40</v>
      </c>
      <c r="O131" s="342">
        <v>80</v>
      </c>
      <c r="P131" s="342">
        <v>120</v>
      </c>
      <c r="Q131" s="345">
        <v>150</v>
      </c>
      <c r="R131" s="342" t="s">
        <v>1241</v>
      </c>
      <c r="S131" s="342" t="s">
        <v>1241</v>
      </c>
      <c r="T131" s="2487" t="s">
        <v>1241</v>
      </c>
      <c r="U131" s="348" t="s">
        <v>1241</v>
      </c>
      <c r="V131" s="2485" t="s">
        <v>3344</v>
      </c>
      <c r="W131" s="2485" t="s">
        <v>3346</v>
      </c>
      <c r="X131" s="2485" t="s">
        <v>3447</v>
      </c>
      <c r="Y131" s="2485" t="s">
        <v>3230</v>
      </c>
      <c r="Z131" s="2485" t="s">
        <v>3485</v>
      </c>
      <c r="AA131" s="347"/>
    </row>
    <row r="132" spans="1:27" ht="12.75" customHeight="1">
      <c r="A132" s="8243"/>
      <c r="B132" s="242" t="str">
        <f t="shared" si="1"/>
        <v>Destrucción8</v>
      </c>
      <c r="D132" s="257" t="s">
        <v>9305</v>
      </c>
      <c r="E132" s="342" t="s">
        <v>1561</v>
      </c>
      <c r="F132" s="342">
        <v>8</v>
      </c>
      <c r="G132" s="343" t="s">
        <v>1241</v>
      </c>
      <c r="H132" s="343" t="s">
        <v>1095</v>
      </c>
      <c r="I132" s="344" t="s">
        <v>1165</v>
      </c>
      <c r="J132" s="342">
        <v>5</v>
      </c>
      <c r="K132" s="342">
        <v>8</v>
      </c>
      <c r="L132" s="342">
        <v>10</v>
      </c>
      <c r="M132" s="345">
        <v>12</v>
      </c>
      <c r="N132" s="342">
        <v>40</v>
      </c>
      <c r="O132" s="342">
        <v>80</v>
      </c>
      <c r="P132" s="342">
        <v>120</v>
      </c>
      <c r="Q132" s="345">
        <v>150</v>
      </c>
      <c r="R132" s="342" t="s">
        <v>1241</v>
      </c>
      <c r="S132" s="342" t="s">
        <v>1241</v>
      </c>
      <c r="T132" s="2487" t="s">
        <v>1241</v>
      </c>
      <c r="U132" s="348" t="s">
        <v>1241</v>
      </c>
      <c r="V132" s="2485" t="s">
        <v>3486</v>
      </c>
      <c r="W132" s="2485" t="s">
        <v>3487</v>
      </c>
      <c r="X132" s="2485" t="s">
        <v>3488</v>
      </c>
      <c r="Y132" s="2485" t="s">
        <v>3489</v>
      </c>
      <c r="Z132" s="2485" t="s">
        <v>3490</v>
      </c>
      <c r="AA132" s="347"/>
    </row>
    <row r="133" spans="1:27" ht="12.75" customHeight="1">
      <c r="A133" s="8243"/>
      <c r="B133" s="242" t="str">
        <f t="shared" si="1"/>
        <v>Destrucción10</v>
      </c>
      <c r="D133" s="257" t="s">
        <v>9306</v>
      </c>
      <c r="E133" s="342" t="s">
        <v>1561</v>
      </c>
      <c r="F133" s="342">
        <v>10</v>
      </c>
      <c r="G133" s="343" t="s">
        <v>1241</v>
      </c>
      <c r="H133" s="343" t="s">
        <v>1095</v>
      </c>
      <c r="I133" s="344" t="s">
        <v>1165</v>
      </c>
      <c r="J133" s="342">
        <v>6</v>
      </c>
      <c r="K133" s="342">
        <v>9</v>
      </c>
      <c r="L133" s="342">
        <v>11</v>
      </c>
      <c r="M133" s="345">
        <v>13</v>
      </c>
      <c r="N133" s="342">
        <v>50</v>
      </c>
      <c r="O133" s="342">
        <v>90</v>
      </c>
      <c r="P133" s="342">
        <v>140</v>
      </c>
      <c r="Q133" s="345">
        <v>180</v>
      </c>
      <c r="R133" s="342" t="s">
        <v>1241</v>
      </c>
      <c r="S133" s="342" t="s">
        <v>1241</v>
      </c>
      <c r="T133" s="2487" t="s">
        <v>1241</v>
      </c>
      <c r="U133" s="348" t="s">
        <v>1241</v>
      </c>
      <c r="V133" s="2485" t="s">
        <v>3344</v>
      </c>
      <c r="W133" s="2485" t="s">
        <v>3346</v>
      </c>
      <c r="X133" s="2485" t="s">
        <v>3447</v>
      </c>
      <c r="Y133" s="2485" t="s">
        <v>3230</v>
      </c>
      <c r="Z133" s="2485" t="s">
        <v>3491</v>
      </c>
      <c r="AA133" s="347"/>
    </row>
    <row r="134" spans="1:27" ht="12.75" customHeight="1">
      <c r="A134" s="8243"/>
      <c r="B134" s="242" t="str">
        <f t="shared" si="1"/>
        <v>Destrucción12</v>
      </c>
      <c r="D134" s="257" t="s">
        <v>9307</v>
      </c>
      <c r="E134" s="342" t="s">
        <v>1561</v>
      </c>
      <c r="F134" s="342">
        <v>12</v>
      </c>
      <c r="G134" s="343" t="s">
        <v>1241</v>
      </c>
      <c r="H134" s="343" t="s">
        <v>1093</v>
      </c>
      <c r="I134" s="344" t="s">
        <v>1165</v>
      </c>
      <c r="J134" s="342">
        <v>5</v>
      </c>
      <c r="K134" s="342">
        <v>8</v>
      </c>
      <c r="L134" s="342">
        <v>10</v>
      </c>
      <c r="M134" s="345">
        <v>13</v>
      </c>
      <c r="N134" s="342">
        <v>30</v>
      </c>
      <c r="O134" s="342">
        <v>60</v>
      </c>
      <c r="P134" s="342">
        <v>100</v>
      </c>
      <c r="Q134" s="345">
        <v>150</v>
      </c>
      <c r="R134" s="342" t="s">
        <v>1241</v>
      </c>
      <c r="S134" s="342" t="s">
        <v>1241</v>
      </c>
      <c r="T134" s="2487" t="s">
        <v>1241</v>
      </c>
      <c r="U134" s="348" t="s">
        <v>1241</v>
      </c>
      <c r="V134" s="2485" t="s">
        <v>3492</v>
      </c>
      <c r="W134" s="2485" t="s">
        <v>3493</v>
      </c>
      <c r="X134" s="2485" t="s">
        <v>3494</v>
      </c>
      <c r="Y134" s="2485" t="s">
        <v>12915</v>
      </c>
      <c r="Z134" s="2485" t="s">
        <v>3495</v>
      </c>
      <c r="AA134" s="347"/>
    </row>
    <row r="135" spans="1:27" ht="12.75" customHeight="1">
      <c r="A135" s="8243"/>
      <c r="B135" s="242" t="str">
        <f t="shared" si="1"/>
        <v>Destrucción16</v>
      </c>
      <c r="D135" s="257" t="s">
        <v>9308</v>
      </c>
      <c r="E135" s="342" t="s">
        <v>1561</v>
      </c>
      <c r="F135" s="342">
        <v>16</v>
      </c>
      <c r="G135" s="343" t="s">
        <v>2422</v>
      </c>
      <c r="H135" s="343" t="s">
        <v>1094</v>
      </c>
      <c r="I135" s="344" t="s">
        <v>1165</v>
      </c>
      <c r="J135" s="342">
        <v>6</v>
      </c>
      <c r="K135" s="342">
        <v>8</v>
      </c>
      <c r="L135" s="342">
        <v>10</v>
      </c>
      <c r="M135" s="345">
        <v>12</v>
      </c>
      <c r="N135" s="342">
        <v>50</v>
      </c>
      <c r="O135" s="342">
        <v>80</v>
      </c>
      <c r="P135" s="342">
        <v>120</v>
      </c>
      <c r="Q135" s="345">
        <v>150</v>
      </c>
      <c r="R135" s="342">
        <v>5</v>
      </c>
      <c r="S135" s="342">
        <v>10</v>
      </c>
      <c r="T135" s="2487">
        <v>15</v>
      </c>
      <c r="U135" s="348">
        <v>15</v>
      </c>
      <c r="V135" s="2485" t="s">
        <v>3496</v>
      </c>
      <c r="W135" s="2485" t="s">
        <v>3497</v>
      </c>
      <c r="X135" s="2485" t="s">
        <v>3498</v>
      </c>
      <c r="Y135" s="2485" t="s">
        <v>3499</v>
      </c>
      <c r="Z135" s="2485" t="s">
        <v>3500</v>
      </c>
      <c r="AA135" s="347"/>
    </row>
    <row r="136" spans="1:27" ht="12.75" customHeight="1">
      <c r="A136" s="8243"/>
      <c r="B136" s="242" t="str">
        <f t="shared" ref="B136:B199" si="2">E136&amp;F136</f>
        <v>Destrucción18</v>
      </c>
      <c r="D136" s="257" t="s">
        <v>9309</v>
      </c>
      <c r="E136" s="342" t="s">
        <v>1561</v>
      </c>
      <c r="F136" s="342">
        <v>18</v>
      </c>
      <c r="G136" s="343" t="s">
        <v>1241</v>
      </c>
      <c r="H136" s="343" t="s">
        <v>1095</v>
      </c>
      <c r="I136" s="344" t="s">
        <v>1166</v>
      </c>
      <c r="J136" s="342">
        <v>6</v>
      </c>
      <c r="K136" s="342">
        <v>9</v>
      </c>
      <c r="L136" s="342">
        <v>12</v>
      </c>
      <c r="M136" s="345">
        <v>16</v>
      </c>
      <c r="N136" s="342">
        <v>60</v>
      </c>
      <c r="O136" s="342">
        <v>150</v>
      </c>
      <c r="P136" s="342">
        <v>300</v>
      </c>
      <c r="Q136" s="345">
        <v>500</v>
      </c>
      <c r="R136" s="342" t="s">
        <v>1241</v>
      </c>
      <c r="S136" s="342" t="s">
        <v>1241</v>
      </c>
      <c r="T136" s="2487" t="s">
        <v>1241</v>
      </c>
      <c r="U136" s="348" t="s">
        <v>1241</v>
      </c>
      <c r="V136" s="2485" t="s">
        <v>3501</v>
      </c>
      <c r="W136" s="2485" t="s">
        <v>3502</v>
      </c>
      <c r="X136" s="2485" t="s">
        <v>3503</v>
      </c>
      <c r="Y136" s="2485" t="s">
        <v>3504</v>
      </c>
      <c r="Z136" s="2485" t="s">
        <v>3505</v>
      </c>
      <c r="AA136" s="347"/>
    </row>
    <row r="137" spans="1:27" ht="12.75" customHeight="1">
      <c r="A137" s="8243"/>
      <c r="B137" s="242" t="str">
        <f t="shared" si="2"/>
        <v>Destrucción20</v>
      </c>
      <c r="D137" s="257" t="s">
        <v>9310</v>
      </c>
      <c r="E137" s="342" t="s">
        <v>1561</v>
      </c>
      <c r="F137" s="342">
        <v>20</v>
      </c>
      <c r="G137" s="343" t="s">
        <v>1241</v>
      </c>
      <c r="H137" s="343" t="s">
        <v>1095</v>
      </c>
      <c r="I137" s="344" t="s">
        <v>1166</v>
      </c>
      <c r="J137" s="342">
        <v>6</v>
      </c>
      <c r="K137" s="342">
        <v>9</v>
      </c>
      <c r="L137" s="342">
        <v>12</v>
      </c>
      <c r="M137" s="345">
        <v>15</v>
      </c>
      <c r="N137" s="342">
        <v>60</v>
      </c>
      <c r="O137" s="342">
        <v>100</v>
      </c>
      <c r="P137" s="342">
        <v>150</v>
      </c>
      <c r="Q137" s="345">
        <v>220</v>
      </c>
      <c r="R137" s="342" t="s">
        <v>1241</v>
      </c>
      <c r="S137" s="342" t="s">
        <v>1241</v>
      </c>
      <c r="T137" s="2487" t="s">
        <v>1241</v>
      </c>
      <c r="U137" s="348" t="s">
        <v>1241</v>
      </c>
      <c r="V137" s="2485" t="s">
        <v>3506</v>
      </c>
      <c r="W137" s="2485" t="s">
        <v>3507</v>
      </c>
      <c r="X137" s="2485" t="s">
        <v>3508</v>
      </c>
      <c r="Y137" s="2485" t="s">
        <v>3509</v>
      </c>
      <c r="Z137" s="2485" t="s">
        <v>3510</v>
      </c>
      <c r="AA137" s="347"/>
    </row>
    <row r="138" spans="1:27" ht="12.75" customHeight="1">
      <c r="A138" s="8243"/>
      <c r="B138" s="242" t="str">
        <f t="shared" si="2"/>
        <v>Destrucción22</v>
      </c>
      <c r="D138" s="257" t="s">
        <v>9311</v>
      </c>
      <c r="E138" s="342" t="s">
        <v>1561</v>
      </c>
      <c r="F138" s="342">
        <v>22</v>
      </c>
      <c r="G138" s="343" t="s">
        <v>1241</v>
      </c>
      <c r="H138" s="343" t="s">
        <v>1095</v>
      </c>
      <c r="I138" s="344" t="s">
        <v>1166</v>
      </c>
      <c r="J138" s="342">
        <v>6</v>
      </c>
      <c r="K138" s="342">
        <v>9</v>
      </c>
      <c r="L138" s="342">
        <v>12</v>
      </c>
      <c r="M138" s="345">
        <v>16</v>
      </c>
      <c r="N138" s="342">
        <v>80</v>
      </c>
      <c r="O138" s="342">
        <v>140</v>
      </c>
      <c r="P138" s="342">
        <v>240</v>
      </c>
      <c r="Q138" s="345">
        <v>320</v>
      </c>
      <c r="R138" s="342" t="s">
        <v>3511</v>
      </c>
      <c r="S138" s="342" t="s">
        <v>1241</v>
      </c>
      <c r="T138" s="2487" t="s">
        <v>1241</v>
      </c>
      <c r="U138" s="348" t="s">
        <v>1241</v>
      </c>
      <c r="V138" s="2485" t="s">
        <v>3512</v>
      </c>
      <c r="W138" s="2485" t="s">
        <v>3513</v>
      </c>
      <c r="X138" s="2485" t="s">
        <v>3514</v>
      </c>
      <c r="Y138" s="2485" t="s">
        <v>3515</v>
      </c>
      <c r="Z138" s="2485" t="s">
        <v>12916</v>
      </c>
      <c r="AA138" s="347"/>
    </row>
    <row r="139" spans="1:27" ht="12.75" customHeight="1">
      <c r="A139" s="8243"/>
      <c r="B139" s="242" t="str">
        <f t="shared" si="2"/>
        <v>Destrucción26</v>
      </c>
      <c r="D139" s="257" t="s">
        <v>9312</v>
      </c>
      <c r="E139" s="342" t="s">
        <v>1561</v>
      </c>
      <c r="F139" s="342">
        <v>26</v>
      </c>
      <c r="G139" s="343" t="s">
        <v>1241</v>
      </c>
      <c r="H139" s="343" t="s">
        <v>1094</v>
      </c>
      <c r="I139" s="344" t="s">
        <v>1165</v>
      </c>
      <c r="J139" s="342">
        <v>6</v>
      </c>
      <c r="K139" s="342">
        <v>9</v>
      </c>
      <c r="L139" s="342">
        <v>12</v>
      </c>
      <c r="M139" s="345">
        <v>15</v>
      </c>
      <c r="N139" s="342">
        <v>80</v>
      </c>
      <c r="O139" s="342">
        <v>120</v>
      </c>
      <c r="P139" s="342">
        <v>180</v>
      </c>
      <c r="Q139" s="345">
        <v>300</v>
      </c>
      <c r="R139" s="342" t="s">
        <v>1241</v>
      </c>
      <c r="S139" s="342" t="s">
        <v>1241</v>
      </c>
      <c r="T139" s="2487" t="s">
        <v>1241</v>
      </c>
      <c r="U139" s="348" t="s">
        <v>1241</v>
      </c>
      <c r="V139" s="2485" t="s">
        <v>3516</v>
      </c>
      <c r="W139" s="2485" t="s">
        <v>3517</v>
      </c>
      <c r="X139" s="2485" t="s">
        <v>3518</v>
      </c>
      <c r="Y139" s="2485" t="s">
        <v>3519</v>
      </c>
      <c r="Z139" s="2485" t="s">
        <v>3520</v>
      </c>
      <c r="AA139" s="347"/>
    </row>
    <row r="140" spans="1:27" ht="12.75" customHeight="1">
      <c r="A140" s="8243"/>
      <c r="B140" s="242" t="str">
        <f t="shared" si="2"/>
        <v>Destrucción28</v>
      </c>
      <c r="D140" s="257" t="s">
        <v>9313</v>
      </c>
      <c r="E140" s="342" t="s">
        <v>1561</v>
      </c>
      <c r="F140" s="342">
        <v>28</v>
      </c>
      <c r="G140" s="343" t="s">
        <v>1241</v>
      </c>
      <c r="H140" s="343" t="s">
        <v>1094</v>
      </c>
      <c r="I140" s="344" t="s">
        <v>1165</v>
      </c>
      <c r="J140" s="342">
        <v>6</v>
      </c>
      <c r="K140" s="342">
        <v>9</v>
      </c>
      <c r="L140" s="342">
        <v>12</v>
      </c>
      <c r="M140" s="345">
        <v>15</v>
      </c>
      <c r="N140" s="342">
        <v>80</v>
      </c>
      <c r="O140" s="342">
        <v>140</v>
      </c>
      <c r="P140" s="342">
        <v>220</v>
      </c>
      <c r="Q140" s="345">
        <v>300</v>
      </c>
      <c r="R140" s="342" t="s">
        <v>1241</v>
      </c>
      <c r="S140" s="342" t="s">
        <v>1241</v>
      </c>
      <c r="T140" s="2487" t="s">
        <v>1241</v>
      </c>
      <c r="U140" s="348" t="s">
        <v>1241</v>
      </c>
      <c r="V140" s="2485" t="s">
        <v>3497</v>
      </c>
      <c r="W140" s="2485" t="s">
        <v>3498</v>
      </c>
      <c r="X140" s="2485" t="s">
        <v>3521</v>
      </c>
      <c r="Y140" s="2485" t="s">
        <v>3522</v>
      </c>
      <c r="Z140" s="2485" t="s">
        <v>3523</v>
      </c>
      <c r="AA140" s="347"/>
    </row>
    <row r="141" spans="1:27" ht="12.75" customHeight="1">
      <c r="A141" s="8243"/>
      <c r="B141" s="242" t="str">
        <f t="shared" si="2"/>
        <v>Destrucción30</v>
      </c>
      <c r="D141" s="257" t="s">
        <v>9314</v>
      </c>
      <c r="E141" s="342" t="s">
        <v>1561</v>
      </c>
      <c r="F141" s="342">
        <v>30</v>
      </c>
      <c r="G141" s="343" t="s">
        <v>1241</v>
      </c>
      <c r="H141" s="343" t="s">
        <v>1094</v>
      </c>
      <c r="I141" s="344"/>
      <c r="J141" s="342">
        <v>6</v>
      </c>
      <c r="K141" s="342">
        <v>9</v>
      </c>
      <c r="L141" s="342">
        <v>12</v>
      </c>
      <c r="M141" s="345">
        <v>15</v>
      </c>
      <c r="N141" s="342">
        <v>80</v>
      </c>
      <c r="O141" s="342">
        <v>120</v>
      </c>
      <c r="P141" s="342">
        <v>180</v>
      </c>
      <c r="Q141" s="345">
        <v>300</v>
      </c>
      <c r="R141" s="342" t="s">
        <v>1241</v>
      </c>
      <c r="S141" s="342" t="s">
        <v>1241</v>
      </c>
      <c r="T141" s="2487" t="s">
        <v>1241</v>
      </c>
      <c r="U141" s="348" t="s">
        <v>1241</v>
      </c>
      <c r="V141" s="2485" t="s">
        <v>3524</v>
      </c>
      <c r="W141" s="2485" t="s">
        <v>3525</v>
      </c>
      <c r="X141" s="2485" t="s">
        <v>3526</v>
      </c>
      <c r="Y141" s="2485" t="s">
        <v>3527</v>
      </c>
      <c r="Z141" s="2485" t="s">
        <v>3528</v>
      </c>
      <c r="AA141" s="347"/>
    </row>
    <row r="142" spans="1:27" ht="12.75" customHeight="1">
      <c r="A142" s="8243"/>
      <c r="B142" s="242" t="str">
        <f t="shared" si="2"/>
        <v>Destrucción32</v>
      </c>
      <c r="D142" s="257" t="s">
        <v>9315</v>
      </c>
      <c r="E142" s="342" t="s">
        <v>1561</v>
      </c>
      <c r="F142" s="342">
        <v>32</v>
      </c>
      <c r="G142" s="343" t="s">
        <v>1241</v>
      </c>
      <c r="H142" s="343" t="s">
        <v>1094</v>
      </c>
      <c r="I142" s="344" t="s">
        <v>1165</v>
      </c>
      <c r="J142" s="342">
        <v>8</v>
      </c>
      <c r="K142" s="342">
        <v>10</v>
      </c>
      <c r="L142" s="342">
        <v>12</v>
      </c>
      <c r="M142" s="345">
        <v>15</v>
      </c>
      <c r="N142" s="342">
        <v>100</v>
      </c>
      <c r="O142" s="342">
        <v>140</v>
      </c>
      <c r="P142" s="342">
        <v>200</v>
      </c>
      <c r="Q142" s="345">
        <v>280</v>
      </c>
      <c r="R142" s="342">
        <v>5</v>
      </c>
      <c r="S142" s="342">
        <v>10</v>
      </c>
      <c r="T142" s="2487">
        <v>15</v>
      </c>
      <c r="U142" s="348">
        <v>15</v>
      </c>
      <c r="V142" s="2485" t="s">
        <v>3529</v>
      </c>
      <c r="W142" s="2485" t="s">
        <v>3496</v>
      </c>
      <c r="X142" s="2485" t="s">
        <v>3497</v>
      </c>
      <c r="Y142" s="2485" t="s">
        <v>3521</v>
      </c>
      <c r="Z142" s="2485" t="s">
        <v>3530</v>
      </c>
      <c r="AA142" s="347"/>
    </row>
    <row r="143" spans="1:27" ht="12.75" customHeight="1">
      <c r="A143" s="8243"/>
      <c r="B143" s="242" t="str">
        <f t="shared" si="2"/>
        <v>Destrucción36</v>
      </c>
      <c r="D143" s="257" t="s">
        <v>9316</v>
      </c>
      <c r="E143" s="342" t="s">
        <v>1561</v>
      </c>
      <c r="F143" s="342">
        <v>36</v>
      </c>
      <c r="G143" s="343" t="s">
        <v>1241</v>
      </c>
      <c r="H143" s="343" t="s">
        <v>1093</v>
      </c>
      <c r="I143" s="344" t="s">
        <v>1165</v>
      </c>
      <c r="J143" s="342">
        <v>6</v>
      </c>
      <c r="K143" s="342">
        <v>9</v>
      </c>
      <c r="L143" s="342">
        <v>12</v>
      </c>
      <c r="M143" s="345">
        <v>15</v>
      </c>
      <c r="N143" s="342">
        <v>80</v>
      </c>
      <c r="O143" s="342">
        <v>140</v>
      </c>
      <c r="P143" s="342">
        <v>220</v>
      </c>
      <c r="Q143" s="345">
        <v>300</v>
      </c>
      <c r="R143" s="342" t="s">
        <v>3511</v>
      </c>
      <c r="S143" s="342" t="s">
        <v>1241</v>
      </c>
      <c r="T143" s="2487" t="s">
        <v>1241</v>
      </c>
      <c r="U143" s="348" t="s">
        <v>1241</v>
      </c>
      <c r="V143" s="2485" t="s">
        <v>3531</v>
      </c>
      <c r="W143" s="2485" t="s">
        <v>3247</v>
      </c>
      <c r="X143" s="2485" t="s">
        <v>3532</v>
      </c>
      <c r="Y143" s="2485" t="s">
        <v>3533</v>
      </c>
      <c r="Z143" s="2485" t="s">
        <v>3534</v>
      </c>
      <c r="AA143" s="347"/>
    </row>
    <row r="144" spans="1:27" ht="12.75" customHeight="1">
      <c r="A144" s="8243"/>
      <c r="B144" s="242" t="str">
        <f t="shared" si="2"/>
        <v>Destrucción38</v>
      </c>
      <c r="D144" s="257" t="s">
        <v>9317</v>
      </c>
      <c r="E144" s="342" t="s">
        <v>1561</v>
      </c>
      <c r="F144" s="342">
        <v>38</v>
      </c>
      <c r="G144" s="343" t="s">
        <v>1241</v>
      </c>
      <c r="H144" s="343" t="s">
        <v>1094</v>
      </c>
      <c r="I144" s="344" t="s">
        <v>1165</v>
      </c>
      <c r="J144" s="342">
        <v>8</v>
      </c>
      <c r="K144" s="342">
        <v>10</v>
      </c>
      <c r="L144" s="342">
        <v>13</v>
      </c>
      <c r="M144" s="345">
        <v>16</v>
      </c>
      <c r="N144" s="342">
        <v>100</v>
      </c>
      <c r="O144" s="342">
        <v>200</v>
      </c>
      <c r="P144" s="342">
        <v>300</v>
      </c>
      <c r="Q144" s="345">
        <v>500</v>
      </c>
      <c r="R144" s="342" t="s">
        <v>1241</v>
      </c>
      <c r="S144" s="342" t="s">
        <v>1241</v>
      </c>
      <c r="T144" s="2487" t="s">
        <v>1241</v>
      </c>
      <c r="U144" s="348" t="s">
        <v>1241</v>
      </c>
      <c r="V144" s="2485" t="s">
        <v>3496</v>
      </c>
      <c r="W144" s="2485" t="s">
        <v>3497</v>
      </c>
      <c r="X144" s="2485" t="s">
        <v>3498</v>
      </c>
      <c r="Y144" s="2485" t="s">
        <v>3499</v>
      </c>
      <c r="Z144" s="2485" t="s">
        <v>3535</v>
      </c>
      <c r="AA144" s="347"/>
    </row>
    <row r="145" spans="1:27" ht="12.75" customHeight="1">
      <c r="A145" s="8243"/>
      <c r="B145" s="242" t="str">
        <f t="shared" si="2"/>
        <v>Destrucción40</v>
      </c>
      <c r="D145" s="257" t="s">
        <v>9318</v>
      </c>
      <c r="E145" s="2487" t="s">
        <v>1561</v>
      </c>
      <c r="F145" s="2487">
        <v>40</v>
      </c>
      <c r="G145" s="2489" t="s">
        <v>1241</v>
      </c>
      <c r="H145" s="2489" t="s">
        <v>1094</v>
      </c>
      <c r="I145" s="351" t="s">
        <v>1165</v>
      </c>
      <c r="J145" s="2487">
        <v>7</v>
      </c>
      <c r="K145" s="2487">
        <v>9</v>
      </c>
      <c r="L145" s="2487">
        <v>12</v>
      </c>
      <c r="M145" s="348">
        <v>15</v>
      </c>
      <c r="N145" s="2487">
        <v>80</v>
      </c>
      <c r="O145" s="2487">
        <v>160</v>
      </c>
      <c r="P145" s="2487">
        <v>240</v>
      </c>
      <c r="Q145" s="348">
        <v>300</v>
      </c>
      <c r="R145" s="2487">
        <v>10</v>
      </c>
      <c r="S145" s="2487">
        <v>20</v>
      </c>
      <c r="T145" s="2487">
        <v>25</v>
      </c>
      <c r="U145" s="348">
        <v>30</v>
      </c>
      <c r="V145" s="2485" t="s">
        <v>3496</v>
      </c>
      <c r="W145" s="2485" t="s">
        <v>3498</v>
      </c>
      <c r="X145" s="2485" t="s">
        <v>3499</v>
      </c>
      <c r="Y145" s="2485" t="s">
        <v>3536</v>
      </c>
      <c r="Z145" s="2485" t="s">
        <v>3537</v>
      </c>
      <c r="AA145" s="347"/>
    </row>
    <row r="146" spans="1:27" ht="12.75" customHeight="1">
      <c r="A146" s="8243"/>
      <c r="B146" s="242" t="str">
        <f t="shared" si="2"/>
        <v>Destrucción42</v>
      </c>
      <c r="D146" s="257" t="s">
        <v>9319</v>
      </c>
      <c r="E146" s="2487" t="s">
        <v>1561</v>
      </c>
      <c r="F146" s="2487">
        <v>42</v>
      </c>
      <c r="G146" s="2489" t="s">
        <v>1241</v>
      </c>
      <c r="H146" s="2489" t="s">
        <v>1095</v>
      </c>
      <c r="I146" s="351" t="s">
        <v>1165</v>
      </c>
      <c r="J146" s="2487">
        <v>7</v>
      </c>
      <c r="K146" s="2487">
        <v>10</v>
      </c>
      <c r="L146" s="2487">
        <v>12</v>
      </c>
      <c r="M146" s="348">
        <v>15</v>
      </c>
      <c r="N146" s="2487">
        <v>120</v>
      </c>
      <c r="O146" s="2487">
        <v>180</v>
      </c>
      <c r="P146" s="2487">
        <v>240</v>
      </c>
      <c r="Q146" s="348">
        <v>300</v>
      </c>
      <c r="R146" s="2487" t="s">
        <v>1241</v>
      </c>
      <c r="S146" s="2487" t="s">
        <v>1241</v>
      </c>
      <c r="T146" s="2487" t="s">
        <v>1241</v>
      </c>
      <c r="U146" s="348" t="s">
        <v>1241</v>
      </c>
      <c r="V146" s="2485" t="s">
        <v>3538</v>
      </c>
      <c r="W146" s="2485" t="s">
        <v>3539</v>
      </c>
      <c r="X146" s="2485" t="s">
        <v>3540</v>
      </c>
      <c r="Y146" s="2485" t="s">
        <v>3541</v>
      </c>
      <c r="Z146" s="2485" t="s">
        <v>12917</v>
      </c>
      <c r="AA146" s="347"/>
    </row>
    <row r="147" spans="1:27" ht="12.75" customHeight="1">
      <c r="A147" s="8243"/>
      <c r="B147" s="242" t="str">
        <f t="shared" si="2"/>
        <v>Destrucción46</v>
      </c>
      <c r="D147" s="257" t="s">
        <v>9320</v>
      </c>
      <c r="E147" s="2487" t="s">
        <v>1561</v>
      </c>
      <c r="F147" s="2487">
        <v>46</v>
      </c>
      <c r="G147" s="2489" t="s">
        <v>1241</v>
      </c>
      <c r="H147" s="2489" t="s">
        <v>1093</v>
      </c>
      <c r="I147" s="351" t="s">
        <v>1165</v>
      </c>
      <c r="J147" s="2487">
        <v>7</v>
      </c>
      <c r="K147" s="2487">
        <v>10</v>
      </c>
      <c r="L147" s="2487">
        <v>12</v>
      </c>
      <c r="M147" s="348">
        <v>15</v>
      </c>
      <c r="N147" s="2487">
        <v>100</v>
      </c>
      <c r="O147" s="2487">
        <v>180</v>
      </c>
      <c r="P147" s="2487">
        <v>240</v>
      </c>
      <c r="Q147" s="348">
        <v>300</v>
      </c>
      <c r="R147" s="2487" t="s">
        <v>1241</v>
      </c>
      <c r="S147" s="2487" t="s">
        <v>1241</v>
      </c>
      <c r="T147" s="2487" t="s">
        <v>1241</v>
      </c>
      <c r="U147" s="348" t="s">
        <v>1241</v>
      </c>
      <c r="V147" s="2485" t="s">
        <v>3542</v>
      </c>
      <c r="W147" s="2485" t="s">
        <v>3543</v>
      </c>
      <c r="X147" s="2485" t="s">
        <v>3544</v>
      </c>
      <c r="Y147" s="2485" t="s">
        <v>3545</v>
      </c>
      <c r="Z147" s="2485" t="s">
        <v>3546</v>
      </c>
      <c r="AA147" s="347"/>
    </row>
    <row r="148" spans="1:27" ht="12.75" customHeight="1">
      <c r="A148" s="8243"/>
      <c r="B148" s="242" t="str">
        <f t="shared" si="2"/>
        <v>Destrucción48</v>
      </c>
      <c r="D148" s="257" t="s">
        <v>9321</v>
      </c>
      <c r="E148" s="2487" t="s">
        <v>1561</v>
      </c>
      <c r="F148" s="2487">
        <v>48</v>
      </c>
      <c r="G148" s="2489" t="s">
        <v>1241</v>
      </c>
      <c r="H148" s="2489" t="s">
        <v>3048</v>
      </c>
      <c r="I148" s="351" t="s">
        <v>1165</v>
      </c>
      <c r="J148" s="2487">
        <v>7</v>
      </c>
      <c r="K148" s="2487">
        <v>9</v>
      </c>
      <c r="L148" s="2487">
        <v>12</v>
      </c>
      <c r="M148" s="348">
        <v>15</v>
      </c>
      <c r="N148" s="2487">
        <v>140</v>
      </c>
      <c r="O148" s="2487">
        <v>180</v>
      </c>
      <c r="P148" s="2487">
        <v>240</v>
      </c>
      <c r="Q148" s="348">
        <v>300</v>
      </c>
      <c r="R148" s="2487">
        <v>15</v>
      </c>
      <c r="S148" s="2487">
        <v>20</v>
      </c>
      <c r="T148" s="2487">
        <v>25</v>
      </c>
      <c r="U148" s="348">
        <v>30</v>
      </c>
      <c r="V148" s="2485" t="s">
        <v>3547</v>
      </c>
      <c r="W148" s="2485" t="s">
        <v>3548</v>
      </c>
      <c r="X148" s="2485" t="s">
        <v>3549</v>
      </c>
      <c r="Y148" s="2485" t="s">
        <v>3550</v>
      </c>
      <c r="Z148" s="2485" t="s">
        <v>3551</v>
      </c>
      <c r="AA148" s="347"/>
    </row>
    <row r="149" spans="1:27" ht="12.75" customHeight="1">
      <c r="A149" s="8243"/>
      <c r="B149" s="242" t="str">
        <f t="shared" si="2"/>
        <v>Destrucción50</v>
      </c>
      <c r="D149" s="257" t="s">
        <v>9322</v>
      </c>
      <c r="E149" s="2487" t="s">
        <v>1561</v>
      </c>
      <c r="F149" s="2487">
        <v>50</v>
      </c>
      <c r="G149" s="2489" t="s">
        <v>2422</v>
      </c>
      <c r="H149" s="2489" t="s">
        <v>1095</v>
      </c>
      <c r="I149" s="351" t="s">
        <v>1165</v>
      </c>
      <c r="J149" s="2487">
        <v>8</v>
      </c>
      <c r="K149" s="2487">
        <v>10</v>
      </c>
      <c r="L149" s="2487">
        <v>12</v>
      </c>
      <c r="M149" s="348">
        <v>15</v>
      </c>
      <c r="N149" s="2487">
        <v>150</v>
      </c>
      <c r="O149" s="2487">
        <v>200</v>
      </c>
      <c r="P149" s="2487">
        <v>250</v>
      </c>
      <c r="Q149" s="348">
        <v>350</v>
      </c>
      <c r="R149" s="2487">
        <v>15</v>
      </c>
      <c r="S149" s="2487">
        <v>20</v>
      </c>
      <c r="T149" s="2487">
        <v>25</v>
      </c>
      <c r="U149" s="348">
        <v>30</v>
      </c>
      <c r="V149" s="2485" t="s">
        <v>3552</v>
      </c>
      <c r="W149" s="2485" t="s">
        <v>3553</v>
      </c>
      <c r="X149" s="2485" t="s">
        <v>3554</v>
      </c>
      <c r="Y149" s="2485" t="s">
        <v>3555</v>
      </c>
      <c r="Z149" s="2485" t="s">
        <v>3556</v>
      </c>
      <c r="AA149" s="347"/>
    </row>
    <row r="150" spans="1:27" ht="12.75" customHeight="1">
      <c r="A150" s="8243"/>
      <c r="B150" s="242" t="str">
        <f t="shared" si="2"/>
        <v>Destrucción52</v>
      </c>
      <c r="D150" s="257" t="s">
        <v>9323</v>
      </c>
      <c r="E150" s="2487" t="s">
        <v>1561</v>
      </c>
      <c r="F150" s="2487">
        <v>52</v>
      </c>
      <c r="G150" s="2489" t="s">
        <v>1241</v>
      </c>
      <c r="H150" s="2489" t="s">
        <v>1094</v>
      </c>
      <c r="I150" s="351" t="s">
        <v>1165</v>
      </c>
      <c r="J150" s="2487">
        <v>7</v>
      </c>
      <c r="K150" s="2487">
        <v>9</v>
      </c>
      <c r="L150" s="2487">
        <v>12</v>
      </c>
      <c r="M150" s="348">
        <v>15</v>
      </c>
      <c r="N150" s="2487">
        <v>140</v>
      </c>
      <c r="O150" s="2487">
        <v>180</v>
      </c>
      <c r="P150" s="2487">
        <v>240</v>
      </c>
      <c r="Q150" s="348">
        <v>300</v>
      </c>
      <c r="R150" s="2487" t="s">
        <v>1241</v>
      </c>
      <c r="S150" s="2487" t="s">
        <v>1241</v>
      </c>
      <c r="T150" s="2487" t="s">
        <v>1241</v>
      </c>
      <c r="U150" s="348" t="s">
        <v>1241</v>
      </c>
      <c r="V150" s="2485" t="s">
        <v>3402</v>
      </c>
      <c r="W150" s="2485" t="s">
        <v>3403</v>
      </c>
      <c r="X150" s="2485" t="s">
        <v>3404</v>
      </c>
      <c r="Y150" s="2485" t="s">
        <v>3405</v>
      </c>
      <c r="Z150" s="2485" t="s">
        <v>3557</v>
      </c>
      <c r="AA150" s="347"/>
    </row>
    <row r="151" spans="1:27" ht="12.75" customHeight="1">
      <c r="A151" s="8243"/>
      <c r="B151" s="242" t="str">
        <f t="shared" si="2"/>
        <v>Destrucción56</v>
      </c>
      <c r="D151" s="257" t="s">
        <v>9324</v>
      </c>
      <c r="E151" s="2487" t="s">
        <v>1561</v>
      </c>
      <c r="F151" s="2487">
        <v>56</v>
      </c>
      <c r="G151" s="2489" t="s">
        <v>2422</v>
      </c>
      <c r="H151" s="2489" t="s">
        <v>1095</v>
      </c>
      <c r="I151" s="351" t="s">
        <v>1165</v>
      </c>
      <c r="J151" s="2487">
        <v>7</v>
      </c>
      <c r="K151" s="2487">
        <v>9</v>
      </c>
      <c r="L151" s="2487">
        <v>12</v>
      </c>
      <c r="M151" s="348">
        <v>15</v>
      </c>
      <c r="N151" s="2487">
        <v>80</v>
      </c>
      <c r="O151" s="2487">
        <v>180</v>
      </c>
      <c r="P151" s="2487">
        <v>300</v>
      </c>
      <c r="Q151" s="348">
        <v>500</v>
      </c>
      <c r="R151" s="2487">
        <v>15</v>
      </c>
      <c r="S151" s="2487">
        <v>20</v>
      </c>
      <c r="T151" s="2487">
        <v>25</v>
      </c>
      <c r="U151" s="348">
        <v>30</v>
      </c>
      <c r="V151" s="2485" t="s">
        <v>3390</v>
      </c>
      <c r="W151" s="2485" t="s">
        <v>3295</v>
      </c>
      <c r="X151" s="2485" t="s">
        <v>3296</v>
      </c>
      <c r="Y151" s="2485" t="s">
        <v>3297</v>
      </c>
      <c r="Z151" s="2485" t="s">
        <v>3558</v>
      </c>
      <c r="AA151" s="347"/>
    </row>
    <row r="152" spans="1:27" ht="12.75" customHeight="1">
      <c r="A152" s="8243"/>
      <c r="B152" s="242" t="str">
        <f t="shared" si="2"/>
        <v>Destrucción58</v>
      </c>
      <c r="D152" s="257" t="s">
        <v>9325</v>
      </c>
      <c r="E152" s="342" t="s">
        <v>1561</v>
      </c>
      <c r="F152" s="342">
        <v>58</v>
      </c>
      <c r="G152" s="2489" t="s">
        <v>1241</v>
      </c>
      <c r="H152" s="2489" t="s">
        <v>1094</v>
      </c>
      <c r="I152" s="351" t="s">
        <v>1165</v>
      </c>
      <c r="J152" s="2487">
        <v>7</v>
      </c>
      <c r="K152" s="2487">
        <v>10</v>
      </c>
      <c r="L152" s="2487">
        <v>13</v>
      </c>
      <c r="M152" s="348">
        <v>16</v>
      </c>
      <c r="N152" s="2487">
        <v>100</v>
      </c>
      <c r="O152" s="2487">
        <v>180</v>
      </c>
      <c r="P152" s="2487">
        <v>240</v>
      </c>
      <c r="Q152" s="348">
        <v>300</v>
      </c>
      <c r="R152" s="2487">
        <v>10</v>
      </c>
      <c r="S152" s="2487">
        <v>15</v>
      </c>
      <c r="T152" s="2487">
        <v>25</v>
      </c>
      <c r="U152" s="348">
        <v>30</v>
      </c>
      <c r="V152" s="2485" t="s">
        <v>3390</v>
      </c>
      <c r="W152" s="2485" t="s">
        <v>3295</v>
      </c>
      <c r="X152" s="2485" t="s">
        <v>3296</v>
      </c>
      <c r="Y152" s="2485" t="s">
        <v>3297</v>
      </c>
      <c r="Z152" s="2485" t="s">
        <v>3559</v>
      </c>
      <c r="AA152" s="347"/>
    </row>
    <row r="153" spans="1:27" ht="12.75" customHeight="1">
      <c r="A153" s="8243"/>
      <c r="B153" s="242" t="str">
        <f t="shared" si="2"/>
        <v>Destrucción60</v>
      </c>
      <c r="D153" s="257" t="s">
        <v>9326</v>
      </c>
      <c r="E153" s="342" t="s">
        <v>1561</v>
      </c>
      <c r="F153" s="342">
        <v>60</v>
      </c>
      <c r="G153" s="2489" t="s">
        <v>1241</v>
      </c>
      <c r="H153" s="2489" t="s">
        <v>1094</v>
      </c>
      <c r="I153" s="351" t="s">
        <v>1165</v>
      </c>
      <c r="J153" s="2487">
        <v>7</v>
      </c>
      <c r="K153" s="2487">
        <v>9</v>
      </c>
      <c r="L153" s="2487">
        <v>12</v>
      </c>
      <c r="M153" s="348">
        <v>15</v>
      </c>
      <c r="N153" s="2487">
        <v>140</v>
      </c>
      <c r="O153" s="2487">
        <v>180</v>
      </c>
      <c r="P153" s="2487">
        <v>240</v>
      </c>
      <c r="Q153" s="348">
        <v>300</v>
      </c>
      <c r="R153" s="2487">
        <v>15</v>
      </c>
      <c r="S153" s="2487">
        <v>20</v>
      </c>
      <c r="T153" s="2487">
        <v>25</v>
      </c>
      <c r="U153" s="348">
        <v>30</v>
      </c>
      <c r="V153" s="2485" t="s">
        <v>3390</v>
      </c>
      <c r="W153" s="2485" t="s">
        <v>3391</v>
      </c>
      <c r="X153" s="2485" t="s">
        <v>3153</v>
      </c>
      <c r="Y153" s="2485" t="s">
        <v>3560</v>
      </c>
      <c r="Z153" s="2485" t="s">
        <v>12918</v>
      </c>
      <c r="AA153" s="347"/>
    </row>
    <row r="154" spans="1:27" ht="12.75" customHeight="1">
      <c r="A154" s="8243"/>
      <c r="B154" s="242" t="str">
        <f t="shared" si="2"/>
        <v>Destrucción62</v>
      </c>
      <c r="D154" s="257" t="s">
        <v>9327</v>
      </c>
      <c r="E154" s="342" t="s">
        <v>1561</v>
      </c>
      <c r="F154" s="342">
        <v>62</v>
      </c>
      <c r="G154" s="2489" t="s">
        <v>1241</v>
      </c>
      <c r="H154" s="2489" t="s">
        <v>1093</v>
      </c>
      <c r="I154" s="351" t="s">
        <v>1165</v>
      </c>
      <c r="J154" s="2487">
        <v>8</v>
      </c>
      <c r="K154" s="2487">
        <v>10</v>
      </c>
      <c r="L154" s="2487">
        <v>13</v>
      </c>
      <c r="M154" s="348">
        <v>16</v>
      </c>
      <c r="N154" s="2487">
        <v>150</v>
      </c>
      <c r="O154" s="2487">
        <v>300</v>
      </c>
      <c r="P154" s="2487">
        <v>450</v>
      </c>
      <c r="Q154" s="348">
        <v>600</v>
      </c>
      <c r="R154" s="2487" t="s">
        <v>1241</v>
      </c>
      <c r="S154" s="2487" t="s">
        <v>1241</v>
      </c>
      <c r="T154" s="2487" t="s">
        <v>1241</v>
      </c>
      <c r="U154" s="348" t="s">
        <v>1241</v>
      </c>
      <c r="V154" s="2485" t="s">
        <v>3247</v>
      </c>
      <c r="W154" s="2485" t="s">
        <v>3561</v>
      </c>
      <c r="X154" s="2485" t="s">
        <v>3562</v>
      </c>
      <c r="Y154" s="2485" t="s">
        <v>3563</v>
      </c>
      <c r="Z154" s="2485" t="s">
        <v>3564</v>
      </c>
      <c r="AA154" s="347"/>
    </row>
    <row r="155" spans="1:27" ht="12.75" customHeight="1">
      <c r="A155" s="8243"/>
      <c r="B155" s="242" t="str">
        <f t="shared" si="2"/>
        <v>Destrucción66</v>
      </c>
      <c r="D155" s="257" t="s">
        <v>9328</v>
      </c>
      <c r="E155" s="342" t="s">
        <v>1561</v>
      </c>
      <c r="F155" s="342">
        <v>66</v>
      </c>
      <c r="G155" s="2489" t="s">
        <v>1241</v>
      </c>
      <c r="H155" s="2489" t="s">
        <v>1094</v>
      </c>
      <c r="I155" s="351" t="s">
        <v>1165</v>
      </c>
      <c r="J155" s="2487">
        <v>8</v>
      </c>
      <c r="K155" s="2487">
        <v>10</v>
      </c>
      <c r="L155" s="2487">
        <v>13</v>
      </c>
      <c r="M155" s="348">
        <v>16</v>
      </c>
      <c r="N155" s="2487">
        <v>160</v>
      </c>
      <c r="O155" s="2487">
        <v>200</v>
      </c>
      <c r="P155" s="2487">
        <v>240</v>
      </c>
      <c r="Q155" s="348">
        <v>280</v>
      </c>
      <c r="R155" s="2487">
        <v>20</v>
      </c>
      <c r="S155" s="2487">
        <v>20</v>
      </c>
      <c r="T155" s="2487">
        <v>25</v>
      </c>
      <c r="U155" s="348">
        <v>30</v>
      </c>
      <c r="V155" s="2485" t="s">
        <v>3565</v>
      </c>
      <c r="W155" s="2485" t="s">
        <v>3566</v>
      </c>
      <c r="X155" s="2485" t="s">
        <v>3567</v>
      </c>
      <c r="Y155" s="2485" t="s">
        <v>3568</v>
      </c>
      <c r="Z155" s="2485" t="s">
        <v>3569</v>
      </c>
      <c r="AA155" s="347"/>
    </row>
    <row r="156" spans="1:27" ht="12.75" customHeight="1">
      <c r="A156" s="8243"/>
      <c r="B156" s="242" t="str">
        <f t="shared" si="2"/>
        <v>Destrucción68</v>
      </c>
      <c r="D156" s="257" t="s">
        <v>9329</v>
      </c>
      <c r="E156" s="342" t="s">
        <v>1561</v>
      </c>
      <c r="F156" s="342">
        <v>68</v>
      </c>
      <c r="G156" s="2489" t="s">
        <v>2422</v>
      </c>
      <c r="H156" s="2489" t="s">
        <v>3048</v>
      </c>
      <c r="I156" s="351" t="s">
        <v>1165</v>
      </c>
      <c r="J156" s="2487">
        <v>9</v>
      </c>
      <c r="K156" s="2487">
        <v>12</v>
      </c>
      <c r="L156" s="2487">
        <v>14</v>
      </c>
      <c r="M156" s="348">
        <v>16</v>
      </c>
      <c r="N156" s="2487">
        <v>200</v>
      </c>
      <c r="O156" s="2487">
        <v>300</v>
      </c>
      <c r="P156" s="2487">
        <v>400</v>
      </c>
      <c r="Q156" s="348">
        <v>500</v>
      </c>
      <c r="R156" s="2487">
        <v>20</v>
      </c>
      <c r="S156" s="2487">
        <v>30</v>
      </c>
      <c r="T156" s="2487">
        <v>40</v>
      </c>
      <c r="U156" s="348">
        <v>50</v>
      </c>
      <c r="V156" s="2485" t="s">
        <v>3570</v>
      </c>
      <c r="W156" s="2485" t="s">
        <v>3571</v>
      </c>
      <c r="X156" s="2485" t="s">
        <v>3572</v>
      </c>
      <c r="Y156" s="2485" t="s">
        <v>3573</v>
      </c>
      <c r="Z156" s="2485" t="s">
        <v>3574</v>
      </c>
      <c r="AA156" s="347"/>
    </row>
    <row r="157" spans="1:27" ht="12.75" customHeight="1">
      <c r="A157" s="8243"/>
      <c r="B157" s="242" t="str">
        <f t="shared" si="2"/>
        <v>Destrucción70</v>
      </c>
      <c r="D157" s="257" t="s">
        <v>9330</v>
      </c>
      <c r="E157" s="342" t="s">
        <v>1561</v>
      </c>
      <c r="F157" s="342">
        <v>70</v>
      </c>
      <c r="G157" s="2489" t="s">
        <v>1241</v>
      </c>
      <c r="H157" s="2489" t="s">
        <v>1095</v>
      </c>
      <c r="I157" s="351" t="s">
        <v>1165</v>
      </c>
      <c r="J157" s="2487">
        <v>9</v>
      </c>
      <c r="K157" s="2487">
        <v>12</v>
      </c>
      <c r="L157" s="2487">
        <v>14</v>
      </c>
      <c r="M157" s="348">
        <v>16</v>
      </c>
      <c r="N157" s="2487">
        <v>150</v>
      </c>
      <c r="O157" s="2487">
        <v>200</v>
      </c>
      <c r="P157" s="2487">
        <v>250</v>
      </c>
      <c r="Q157" s="348">
        <v>300</v>
      </c>
      <c r="R157" s="2487">
        <v>15</v>
      </c>
      <c r="S157" s="2487">
        <v>20</v>
      </c>
      <c r="T157" s="2487">
        <v>25</v>
      </c>
      <c r="U157" s="348">
        <v>30</v>
      </c>
      <c r="V157" s="2485" t="s">
        <v>3575</v>
      </c>
      <c r="W157" s="2485" t="s">
        <v>3576</v>
      </c>
      <c r="X157" s="2485" t="s">
        <v>3577</v>
      </c>
      <c r="Y157" s="2485" t="s">
        <v>3578</v>
      </c>
      <c r="Z157" s="2485" t="s">
        <v>3579</v>
      </c>
      <c r="AA157" s="347"/>
    </row>
    <row r="158" spans="1:27" ht="12.75" customHeight="1">
      <c r="A158" s="8243"/>
      <c r="B158" s="242" t="str">
        <f t="shared" si="2"/>
        <v>Destrucción72</v>
      </c>
      <c r="D158" s="257" t="s">
        <v>49</v>
      </c>
      <c r="E158" s="342" t="s">
        <v>1561</v>
      </c>
      <c r="F158" s="342">
        <v>72</v>
      </c>
      <c r="G158" s="2489" t="s">
        <v>1241</v>
      </c>
      <c r="H158" s="2489" t="s">
        <v>1094</v>
      </c>
      <c r="I158" s="351" t="s">
        <v>1165</v>
      </c>
      <c r="J158" s="2487">
        <v>10</v>
      </c>
      <c r="K158" s="2487">
        <v>12</v>
      </c>
      <c r="L158" s="2487">
        <v>14</v>
      </c>
      <c r="M158" s="348">
        <v>16</v>
      </c>
      <c r="N158" s="2487">
        <v>200</v>
      </c>
      <c r="O158" s="2487">
        <v>250</v>
      </c>
      <c r="P158" s="2487">
        <v>300</v>
      </c>
      <c r="Q158" s="348">
        <v>350</v>
      </c>
      <c r="R158" s="2487" t="s">
        <v>1241</v>
      </c>
      <c r="S158" s="2487" t="s">
        <v>1241</v>
      </c>
      <c r="T158" s="2487" t="s">
        <v>1241</v>
      </c>
      <c r="U158" s="348" t="s">
        <v>1241</v>
      </c>
      <c r="V158" s="2485" t="s">
        <v>3580</v>
      </c>
      <c r="W158" s="2485" t="s">
        <v>3581</v>
      </c>
      <c r="X158" s="2485" t="s">
        <v>3582</v>
      </c>
      <c r="Y158" s="2485" t="s">
        <v>3583</v>
      </c>
      <c r="Z158" s="2485" t="s">
        <v>3584</v>
      </c>
      <c r="AA158" s="347"/>
    </row>
    <row r="159" spans="1:27" ht="12.75" customHeight="1">
      <c r="A159" s="8243"/>
      <c r="B159" s="242" t="str">
        <f t="shared" si="2"/>
        <v>Destrucción76</v>
      </c>
      <c r="D159" s="257" t="s">
        <v>9331</v>
      </c>
      <c r="E159" s="342" t="s">
        <v>1561</v>
      </c>
      <c r="F159" s="342">
        <v>76</v>
      </c>
      <c r="G159" s="2489" t="s">
        <v>2422</v>
      </c>
      <c r="H159" s="2489" t="s">
        <v>3048</v>
      </c>
      <c r="I159" s="351" t="s">
        <v>1165</v>
      </c>
      <c r="J159" s="2487">
        <v>9</v>
      </c>
      <c r="K159" s="2487">
        <v>12</v>
      </c>
      <c r="L159" s="2487">
        <v>15</v>
      </c>
      <c r="M159" s="348">
        <v>17</v>
      </c>
      <c r="N159" s="2487">
        <v>250</v>
      </c>
      <c r="O159" s="2487">
        <v>360</v>
      </c>
      <c r="P159" s="2487">
        <v>450</v>
      </c>
      <c r="Q159" s="348">
        <v>600</v>
      </c>
      <c r="R159" s="2487">
        <v>25</v>
      </c>
      <c r="S159" s="2487">
        <v>40</v>
      </c>
      <c r="T159" s="2487">
        <v>45</v>
      </c>
      <c r="U159" s="348">
        <v>55</v>
      </c>
      <c r="V159" s="2485" t="s">
        <v>3585</v>
      </c>
      <c r="W159" s="2485" t="s">
        <v>3586</v>
      </c>
      <c r="X159" s="2485" t="s">
        <v>3587</v>
      </c>
      <c r="Y159" s="2485" t="s">
        <v>3588</v>
      </c>
      <c r="Z159" s="2485" t="s">
        <v>12919</v>
      </c>
      <c r="AA159" s="347"/>
    </row>
    <row r="160" spans="1:27" ht="12.75" customHeight="1">
      <c r="A160" s="8243"/>
      <c r="B160" s="242" t="str">
        <f t="shared" si="2"/>
        <v>Destrucción78</v>
      </c>
      <c r="D160" s="257" t="s">
        <v>9332</v>
      </c>
      <c r="E160" s="342" t="s">
        <v>1561</v>
      </c>
      <c r="F160" s="342">
        <v>78</v>
      </c>
      <c r="G160" s="2489" t="s">
        <v>1241</v>
      </c>
      <c r="H160" s="2489" t="s">
        <v>1094</v>
      </c>
      <c r="I160" s="351" t="s">
        <v>1165</v>
      </c>
      <c r="J160" s="2487">
        <v>8</v>
      </c>
      <c r="K160" s="2487">
        <v>10</v>
      </c>
      <c r="L160" s="2487">
        <v>12</v>
      </c>
      <c r="M160" s="348">
        <v>15</v>
      </c>
      <c r="N160" s="2487">
        <v>150</v>
      </c>
      <c r="O160" s="2487">
        <v>250</v>
      </c>
      <c r="P160" s="2487">
        <v>350</v>
      </c>
      <c r="Q160" s="348">
        <v>500</v>
      </c>
      <c r="R160" s="2487" t="s">
        <v>1241</v>
      </c>
      <c r="S160" s="2487" t="s">
        <v>1241</v>
      </c>
      <c r="T160" s="2487" t="s">
        <v>1241</v>
      </c>
      <c r="U160" s="348" t="s">
        <v>1241</v>
      </c>
      <c r="V160" s="2485" t="s">
        <v>3589</v>
      </c>
      <c r="W160" s="2485" t="s">
        <v>3590</v>
      </c>
      <c r="X160" s="2485" t="s">
        <v>3591</v>
      </c>
      <c r="Y160" s="2485" t="s">
        <v>3592</v>
      </c>
      <c r="Z160" s="2485" t="s">
        <v>3593</v>
      </c>
      <c r="AA160" s="347"/>
    </row>
    <row r="161" spans="1:27" ht="12.75" customHeight="1">
      <c r="A161" s="8243"/>
      <c r="B161" s="242" t="str">
        <f t="shared" si="2"/>
        <v>Destrucción80</v>
      </c>
      <c r="D161" s="257" t="s">
        <v>9333</v>
      </c>
      <c r="E161" s="342" t="s">
        <v>1561</v>
      </c>
      <c r="F161" s="342">
        <v>80</v>
      </c>
      <c r="G161" s="2489" t="s">
        <v>1241</v>
      </c>
      <c r="H161" s="2489" t="s">
        <v>1094</v>
      </c>
      <c r="I161" s="351" t="s">
        <v>1165</v>
      </c>
      <c r="J161" s="2487">
        <v>12</v>
      </c>
      <c r="K161" s="2487">
        <v>14</v>
      </c>
      <c r="L161" s="2487">
        <v>16</v>
      </c>
      <c r="M161" s="348">
        <v>18</v>
      </c>
      <c r="N161" s="2487">
        <v>350</v>
      </c>
      <c r="O161" s="2487">
        <v>500</v>
      </c>
      <c r="P161" s="2487">
        <v>600</v>
      </c>
      <c r="Q161" s="348">
        <v>800</v>
      </c>
      <c r="R161" s="2487" t="s">
        <v>1241</v>
      </c>
      <c r="S161" s="2487" t="s">
        <v>1241</v>
      </c>
      <c r="T161" s="2487" t="s">
        <v>1241</v>
      </c>
      <c r="U161" s="348" t="s">
        <v>1241</v>
      </c>
      <c r="V161" s="2485" t="s">
        <v>3594</v>
      </c>
      <c r="W161" s="2485" t="s">
        <v>3595</v>
      </c>
      <c r="X161" s="2485" t="s">
        <v>3596</v>
      </c>
      <c r="Y161" s="2485" t="s">
        <v>3597</v>
      </c>
      <c r="Z161" s="2485" t="s">
        <v>3598</v>
      </c>
      <c r="AA161" s="347"/>
    </row>
    <row r="162" spans="1:27" ht="12.75" customHeight="1">
      <c r="A162" s="8243"/>
      <c r="B162" s="242" t="str">
        <f t="shared" si="2"/>
        <v>Destrucción82</v>
      </c>
      <c r="D162" s="257" t="s">
        <v>9334</v>
      </c>
      <c r="E162" s="342" t="s">
        <v>1561</v>
      </c>
      <c r="F162" s="342">
        <v>82</v>
      </c>
      <c r="G162" s="2489" t="s">
        <v>1241</v>
      </c>
      <c r="H162" s="2489" t="s">
        <v>1093</v>
      </c>
      <c r="I162" s="351" t="s">
        <v>1165</v>
      </c>
      <c r="J162" s="2487">
        <v>10</v>
      </c>
      <c r="K162" s="2487">
        <v>13</v>
      </c>
      <c r="L162" s="2487">
        <v>15</v>
      </c>
      <c r="M162" s="348">
        <v>17</v>
      </c>
      <c r="N162" s="2487">
        <v>250</v>
      </c>
      <c r="O162" s="2487">
        <v>350</v>
      </c>
      <c r="P162" s="2487">
        <v>450</v>
      </c>
      <c r="Q162" s="348">
        <v>600</v>
      </c>
      <c r="R162" s="2487" t="s">
        <v>1241</v>
      </c>
      <c r="S162" s="2487" t="s">
        <v>1241</v>
      </c>
      <c r="T162" s="2487" t="s">
        <v>1241</v>
      </c>
      <c r="U162" s="348" t="s">
        <v>1241</v>
      </c>
      <c r="V162" s="2485" t="s">
        <v>3599</v>
      </c>
      <c r="W162" s="2485" t="s">
        <v>3600</v>
      </c>
      <c r="X162" s="2485" t="s">
        <v>3601</v>
      </c>
      <c r="Y162" s="2485" t="s">
        <v>3602</v>
      </c>
      <c r="Z162" s="2485" t="s">
        <v>3603</v>
      </c>
      <c r="AA162" s="347"/>
    </row>
    <row r="163" spans="1:27" ht="12.75" customHeight="1">
      <c r="A163" s="8243"/>
      <c r="B163" s="242" t="str">
        <f t="shared" si="2"/>
        <v>Destrucción86</v>
      </c>
      <c r="D163" s="257" t="s">
        <v>9335</v>
      </c>
      <c r="E163" s="342" t="s">
        <v>1561</v>
      </c>
      <c r="F163" s="342">
        <v>86</v>
      </c>
      <c r="G163" s="2489" t="s">
        <v>1241</v>
      </c>
      <c r="H163" s="2489" t="s">
        <v>1095</v>
      </c>
      <c r="I163" s="351" t="s">
        <v>1165</v>
      </c>
      <c r="J163" s="2487">
        <v>10</v>
      </c>
      <c r="K163" s="2487">
        <v>12</v>
      </c>
      <c r="L163" s="2487">
        <v>14</v>
      </c>
      <c r="M163" s="348">
        <v>16</v>
      </c>
      <c r="N163" s="2487">
        <v>200</v>
      </c>
      <c r="O163" s="2487">
        <v>400</v>
      </c>
      <c r="P163" s="2487">
        <v>600</v>
      </c>
      <c r="Q163" s="348">
        <v>700</v>
      </c>
      <c r="R163" s="2487" t="s">
        <v>1241</v>
      </c>
      <c r="S163" s="2487" t="s">
        <v>1241</v>
      </c>
      <c r="T163" s="2487" t="s">
        <v>1241</v>
      </c>
      <c r="U163" s="348" t="s">
        <v>1241</v>
      </c>
      <c r="V163" s="2485" t="s">
        <v>3604</v>
      </c>
      <c r="W163" s="2485" t="s">
        <v>3605</v>
      </c>
      <c r="X163" s="2485" t="s">
        <v>3606</v>
      </c>
      <c r="Y163" s="2485" t="s">
        <v>3607</v>
      </c>
      <c r="Z163" s="2485" t="s">
        <v>12920</v>
      </c>
      <c r="AA163" s="347"/>
    </row>
    <row r="164" spans="1:27" ht="12.75" customHeight="1">
      <c r="A164" s="8243"/>
      <c r="B164" s="242" t="str">
        <f t="shared" si="2"/>
        <v>Destrucción88</v>
      </c>
      <c r="D164" s="257" t="s">
        <v>9336</v>
      </c>
      <c r="E164" s="342" t="s">
        <v>1561</v>
      </c>
      <c r="F164" s="342">
        <v>88</v>
      </c>
      <c r="G164" s="2489" t="s">
        <v>2422</v>
      </c>
      <c r="H164" s="2489" t="s">
        <v>1095</v>
      </c>
      <c r="I164" s="351" t="s">
        <v>1165</v>
      </c>
      <c r="J164" s="2487">
        <v>12</v>
      </c>
      <c r="K164" s="2487">
        <v>14</v>
      </c>
      <c r="L164" s="2487">
        <v>16</v>
      </c>
      <c r="M164" s="348">
        <v>18</v>
      </c>
      <c r="N164" s="2487">
        <v>300</v>
      </c>
      <c r="O164" s="2487">
        <v>600</v>
      </c>
      <c r="P164" s="2487">
        <v>1000</v>
      </c>
      <c r="Q164" s="348">
        <v>2000</v>
      </c>
      <c r="R164" s="2487">
        <v>15</v>
      </c>
      <c r="S164" s="2487">
        <v>30</v>
      </c>
      <c r="T164" s="2487">
        <v>50</v>
      </c>
      <c r="U164" s="348">
        <v>100</v>
      </c>
      <c r="V164" s="2485" t="s">
        <v>3608</v>
      </c>
      <c r="W164" s="2485" t="s">
        <v>3609</v>
      </c>
      <c r="X164" s="2485" t="s">
        <v>3610</v>
      </c>
      <c r="Y164" s="2485" t="s">
        <v>3611</v>
      </c>
      <c r="Z164" s="2485" t="s">
        <v>3612</v>
      </c>
      <c r="AA164" s="347"/>
    </row>
    <row r="165" spans="1:27" ht="12.75" customHeight="1">
      <c r="A165" s="8243"/>
      <c r="B165" s="242" t="str">
        <f t="shared" si="2"/>
        <v>Destrucción90</v>
      </c>
      <c r="D165" s="257" t="s">
        <v>58</v>
      </c>
      <c r="E165" s="342" t="s">
        <v>1561</v>
      </c>
      <c r="F165" s="342">
        <v>90</v>
      </c>
      <c r="G165" s="2489" t="s">
        <v>1241</v>
      </c>
      <c r="H165" s="2489" t="s">
        <v>1095</v>
      </c>
      <c r="I165" s="351" t="s">
        <v>1165</v>
      </c>
      <c r="J165" s="2487">
        <v>12</v>
      </c>
      <c r="K165" s="2487">
        <v>14</v>
      </c>
      <c r="L165" s="2487">
        <v>16</v>
      </c>
      <c r="M165" s="348">
        <v>18</v>
      </c>
      <c r="N165" s="2487">
        <v>250</v>
      </c>
      <c r="O165" s="2487">
        <v>350</v>
      </c>
      <c r="P165" s="2487">
        <v>500</v>
      </c>
      <c r="Q165" s="348">
        <v>800</v>
      </c>
      <c r="R165" s="2487">
        <v>25</v>
      </c>
      <c r="S165" s="2487">
        <v>40</v>
      </c>
      <c r="T165" s="2487">
        <v>45</v>
      </c>
      <c r="U165" s="348">
        <v>55</v>
      </c>
      <c r="V165" s="2485" t="s">
        <v>3613</v>
      </c>
      <c r="W165" s="2485" t="s">
        <v>3614</v>
      </c>
      <c r="X165" s="2485" t="s">
        <v>3615</v>
      </c>
      <c r="Y165" s="2485" t="s">
        <v>3616</v>
      </c>
      <c r="Z165" s="2485" t="s">
        <v>12921</v>
      </c>
      <c r="AA165" s="347"/>
    </row>
    <row r="166" spans="1:27" ht="12.75" customHeight="1">
      <c r="A166" s="8243"/>
      <c r="B166" s="242" t="str">
        <f t="shared" si="2"/>
        <v>Destrucción92</v>
      </c>
      <c r="D166" s="257" t="s">
        <v>9337</v>
      </c>
      <c r="E166" s="342" t="s">
        <v>1561</v>
      </c>
      <c r="F166" s="342">
        <v>92</v>
      </c>
      <c r="G166" s="2489" t="s">
        <v>1241</v>
      </c>
      <c r="H166" s="2489" t="s">
        <v>1095</v>
      </c>
      <c r="I166" s="351" t="s">
        <v>1165</v>
      </c>
      <c r="J166" s="2487">
        <v>12</v>
      </c>
      <c r="K166" s="2487">
        <v>14</v>
      </c>
      <c r="L166" s="2487">
        <v>16</v>
      </c>
      <c r="M166" s="348">
        <v>18</v>
      </c>
      <c r="N166" s="2487">
        <v>350</v>
      </c>
      <c r="O166" s="2487">
        <v>600</v>
      </c>
      <c r="P166" s="2487">
        <v>900</v>
      </c>
      <c r="Q166" s="348">
        <v>1500</v>
      </c>
      <c r="R166" s="2487" t="s">
        <v>1241</v>
      </c>
      <c r="S166" s="2487" t="s">
        <v>1241</v>
      </c>
      <c r="T166" s="2487" t="s">
        <v>1241</v>
      </c>
      <c r="U166" s="348" t="s">
        <v>1241</v>
      </c>
      <c r="V166" s="2485" t="s">
        <v>3231</v>
      </c>
      <c r="W166" s="2485" t="s">
        <v>3378</v>
      </c>
      <c r="X166" s="2485" t="s">
        <v>3617</v>
      </c>
      <c r="Y166" s="2485" t="s">
        <v>3449</v>
      </c>
      <c r="Z166" s="2485" t="s">
        <v>3618</v>
      </c>
      <c r="AA166" s="347"/>
    </row>
    <row r="167" spans="1:27" ht="12.75" customHeight="1">
      <c r="A167" s="8243"/>
      <c r="B167" s="242" t="str">
        <f t="shared" si="2"/>
        <v>Destrucción96</v>
      </c>
      <c r="D167" s="257" t="s">
        <v>9338</v>
      </c>
      <c r="E167" s="342" t="s">
        <v>1561</v>
      </c>
      <c r="F167" s="342">
        <v>96</v>
      </c>
      <c r="G167" s="2489" t="s">
        <v>1241</v>
      </c>
      <c r="H167" s="2489" t="s">
        <v>3048</v>
      </c>
      <c r="I167" s="351" t="s">
        <v>1165</v>
      </c>
      <c r="J167" s="2487">
        <v>13</v>
      </c>
      <c r="K167" s="2487">
        <v>15</v>
      </c>
      <c r="L167" s="2487">
        <v>17</v>
      </c>
      <c r="M167" s="348">
        <v>19</v>
      </c>
      <c r="N167" s="2487">
        <v>500</v>
      </c>
      <c r="O167" s="2487">
        <v>800</v>
      </c>
      <c r="P167" s="2487">
        <v>1500</v>
      </c>
      <c r="Q167" s="348">
        <v>2500</v>
      </c>
      <c r="R167" s="2487" t="s">
        <v>1241</v>
      </c>
      <c r="S167" s="2487" t="s">
        <v>1241</v>
      </c>
      <c r="T167" s="2487" t="s">
        <v>1241</v>
      </c>
      <c r="U167" s="348" t="s">
        <v>1241</v>
      </c>
      <c r="V167" s="2485" t="s">
        <v>3619</v>
      </c>
      <c r="W167" s="2485" t="s">
        <v>3620</v>
      </c>
      <c r="X167" s="2485" t="s">
        <v>3621</v>
      </c>
      <c r="Y167" s="2485" t="s">
        <v>3622</v>
      </c>
      <c r="Z167" s="2485" t="s">
        <v>3623</v>
      </c>
      <c r="AA167" s="347"/>
    </row>
    <row r="168" spans="1:27" ht="12.75" customHeight="1">
      <c r="A168" s="8243"/>
      <c r="B168" s="242" t="str">
        <f t="shared" si="2"/>
        <v>Destrucción98</v>
      </c>
      <c r="D168" s="257" t="s">
        <v>46</v>
      </c>
      <c r="E168" s="342" t="s">
        <v>1561</v>
      </c>
      <c r="F168" s="342">
        <v>98</v>
      </c>
      <c r="G168" s="2489" t="s">
        <v>2422</v>
      </c>
      <c r="H168" s="2489" t="s">
        <v>3048</v>
      </c>
      <c r="I168" s="351" t="s">
        <v>1165</v>
      </c>
      <c r="J168" s="2487">
        <v>14</v>
      </c>
      <c r="K168" s="2487">
        <v>16</v>
      </c>
      <c r="L168" s="2487">
        <v>18</v>
      </c>
      <c r="M168" s="348">
        <v>20</v>
      </c>
      <c r="N168" s="2487">
        <v>700</v>
      </c>
      <c r="O168" s="2487">
        <v>1200</v>
      </c>
      <c r="P168" s="2487">
        <v>2000</v>
      </c>
      <c r="Q168" s="348">
        <v>5000</v>
      </c>
      <c r="R168" s="2487">
        <v>70</v>
      </c>
      <c r="S168" s="2487">
        <v>80</v>
      </c>
      <c r="T168" s="2487">
        <v>90</v>
      </c>
      <c r="U168" s="348">
        <v>100</v>
      </c>
      <c r="V168" s="2485" t="s">
        <v>3624</v>
      </c>
      <c r="W168" s="2485" t="s">
        <v>3625</v>
      </c>
      <c r="X168" s="2485" t="s">
        <v>3626</v>
      </c>
      <c r="Y168" s="2485" t="s">
        <v>3627</v>
      </c>
      <c r="Z168" s="2485" t="s">
        <v>3628</v>
      </c>
      <c r="AA168" s="347"/>
    </row>
    <row r="169" spans="1:27" ht="12.75" customHeight="1">
      <c r="A169" s="8243"/>
      <c r="B169" s="242" t="str">
        <f t="shared" si="2"/>
        <v>Destrucción100</v>
      </c>
      <c r="D169" s="257" t="s">
        <v>9339</v>
      </c>
      <c r="E169" s="342" t="s">
        <v>1561</v>
      </c>
      <c r="F169" s="342">
        <v>100</v>
      </c>
      <c r="G169" s="2489" t="s">
        <v>1241</v>
      </c>
      <c r="H169" s="2489" t="s">
        <v>3048</v>
      </c>
      <c r="I169" s="351" t="s">
        <v>1165</v>
      </c>
      <c r="J169" s="2487">
        <v>17</v>
      </c>
      <c r="K169" s="2487">
        <v>18</v>
      </c>
      <c r="L169" s="2487">
        <v>19</v>
      </c>
      <c r="M169" s="348">
        <v>20</v>
      </c>
      <c r="N169" s="2487">
        <v>1000</v>
      </c>
      <c r="O169" s="2487">
        <v>2500</v>
      </c>
      <c r="P169" s="2487">
        <v>5000</v>
      </c>
      <c r="Q169" s="348">
        <v>10000</v>
      </c>
      <c r="R169" s="2487" t="s">
        <v>1241</v>
      </c>
      <c r="S169" s="2487" t="s">
        <v>1241</v>
      </c>
      <c r="T169" s="2487" t="s">
        <v>1241</v>
      </c>
      <c r="U169" s="348" t="s">
        <v>1241</v>
      </c>
      <c r="V169" s="2485" t="s">
        <v>3391</v>
      </c>
      <c r="W169" s="2485" t="s">
        <v>3295</v>
      </c>
      <c r="X169" s="2485" t="s">
        <v>3296</v>
      </c>
      <c r="Y169" s="2485" t="s">
        <v>3297</v>
      </c>
      <c r="Z169" s="2485" t="s">
        <v>12922</v>
      </c>
      <c r="AA169" s="347"/>
    </row>
    <row r="170" spans="1:27" ht="12.75" customHeight="1">
      <c r="A170" s="8243"/>
      <c r="B170" s="242" t="str">
        <f t="shared" si="2"/>
        <v/>
      </c>
      <c r="D170" s="257" t="s">
        <v>262</v>
      </c>
      <c r="E170" s="342"/>
      <c r="F170" s="342"/>
      <c r="G170" s="2489"/>
      <c r="H170" s="2489"/>
      <c r="I170" s="351"/>
      <c r="J170" s="2487"/>
      <c r="K170" s="2487"/>
      <c r="L170" s="2487"/>
      <c r="M170" s="348"/>
      <c r="N170" s="2487"/>
      <c r="O170" s="2487"/>
      <c r="P170" s="2487"/>
      <c r="Q170" s="348"/>
      <c r="R170" s="2487"/>
      <c r="S170" s="2487"/>
      <c r="T170" s="2487"/>
      <c r="U170" s="348"/>
      <c r="V170" s="2485"/>
      <c r="W170" s="2485"/>
      <c r="X170" s="2485"/>
      <c r="Y170" s="2485"/>
      <c r="Z170" s="2485"/>
      <c r="AA170" s="347"/>
    </row>
    <row r="171" spans="1:27" ht="12.75" customHeight="1">
      <c r="A171" s="8243"/>
      <c r="B171" s="242" t="str">
        <f t="shared" si="2"/>
        <v>Aire2</v>
      </c>
      <c r="D171" s="257" t="s">
        <v>9340</v>
      </c>
      <c r="E171" s="342" t="s">
        <v>1461</v>
      </c>
      <c r="F171" s="342">
        <v>2</v>
      </c>
      <c r="G171" s="2489" t="s">
        <v>1241</v>
      </c>
      <c r="H171" s="2489" t="s">
        <v>1095</v>
      </c>
      <c r="I171" s="351" t="s">
        <v>1165</v>
      </c>
      <c r="J171" s="2487">
        <v>5</v>
      </c>
      <c r="K171" s="2487">
        <v>8</v>
      </c>
      <c r="L171" s="2487">
        <v>10</v>
      </c>
      <c r="M171" s="348">
        <v>12</v>
      </c>
      <c r="N171" s="2487">
        <v>30</v>
      </c>
      <c r="O171" s="2487">
        <v>60</v>
      </c>
      <c r="P171" s="2487">
        <v>90</v>
      </c>
      <c r="Q171" s="348">
        <v>120</v>
      </c>
      <c r="R171" s="2487">
        <v>5</v>
      </c>
      <c r="S171" s="2487">
        <v>10</v>
      </c>
      <c r="T171" s="2487">
        <v>10</v>
      </c>
      <c r="U171" s="348">
        <v>15</v>
      </c>
      <c r="V171" s="2485" t="s">
        <v>3629</v>
      </c>
      <c r="W171" s="2485" t="s">
        <v>3630</v>
      </c>
      <c r="X171" s="2485" t="s">
        <v>3631</v>
      </c>
      <c r="Y171" s="2485" t="s">
        <v>3632</v>
      </c>
      <c r="Z171" s="2485" t="s">
        <v>3633</v>
      </c>
      <c r="AA171" s="347"/>
    </row>
    <row r="172" spans="1:27" ht="12.75" customHeight="1">
      <c r="A172" s="8243"/>
      <c r="B172" s="242" t="str">
        <f t="shared" si="2"/>
        <v>Aire6</v>
      </c>
      <c r="D172" s="257" t="s">
        <v>9341</v>
      </c>
      <c r="E172" s="342" t="s">
        <v>1461</v>
      </c>
      <c r="F172" s="342">
        <v>6</v>
      </c>
      <c r="G172" s="2489" t="s">
        <v>2422</v>
      </c>
      <c r="H172" s="2489" t="s">
        <v>1095</v>
      </c>
      <c r="I172" s="351" t="s">
        <v>1165</v>
      </c>
      <c r="J172" s="2487">
        <v>5</v>
      </c>
      <c r="K172" s="2487">
        <v>8</v>
      </c>
      <c r="L172" s="2487">
        <v>10</v>
      </c>
      <c r="M172" s="348">
        <v>12</v>
      </c>
      <c r="N172" s="2487">
        <v>30</v>
      </c>
      <c r="O172" s="2487">
        <v>60</v>
      </c>
      <c r="P172" s="2487">
        <v>90</v>
      </c>
      <c r="Q172" s="348">
        <v>120</v>
      </c>
      <c r="R172" s="2487">
        <v>5</v>
      </c>
      <c r="S172" s="2487">
        <v>10</v>
      </c>
      <c r="T172" s="2487">
        <v>10</v>
      </c>
      <c r="U172" s="348">
        <v>15</v>
      </c>
      <c r="V172" s="2485" t="s">
        <v>3634</v>
      </c>
      <c r="W172" s="2485" t="s">
        <v>3635</v>
      </c>
      <c r="X172" s="2485" t="s">
        <v>3636</v>
      </c>
      <c r="Y172" s="2485" t="s">
        <v>3637</v>
      </c>
      <c r="Z172" s="2485" t="s">
        <v>3638</v>
      </c>
      <c r="AA172" s="347"/>
    </row>
    <row r="173" spans="1:27" ht="12.75" customHeight="1">
      <c r="A173" s="8243"/>
      <c r="B173" s="242" t="str">
        <f t="shared" si="2"/>
        <v>Aire10</v>
      </c>
      <c r="D173" s="257" t="s">
        <v>9342</v>
      </c>
      <c r="E173" s="342" t="s">
        <v>1461</v>
      </c>
      <c r="F173" s="342">
        <v>10</v>
      </c>
      <c r="G173" s="2489" t="s">
        <v>2422</v>
      </c>
      <c r="H173" s="2489" t="s">
        <v>1095</v>
      </c>
      <c r="I173" s="351" t="s">
        <v>1165</v>
      </c>
      <c r="J173" s="2487">
        <v>5</v>
      </c>
      <c r="K173" s="2487">
        <v>8</v>
      </c>
      <c r="L173" s="2487">
        <v>10</v>
      </c>
      <c r="M173" s="348">
        <v>12</v>
      </c>
      <c r="N173" s="2487">
        <v>40</v>
      </c>
      <c r="O173" s="2487">
        <v>140</v>
      </c>
      <c r="P173" s="2487">
        <v>240</v>
      </c>
      <c r="Q173" s="348">
        <v>350</v>
      </c>
      <c r="R173" s="2487">
        <v>5</v>
      </c>
      <c r="S173" s="2487">
        <v>15</v>
      </c>
      <c r="T173" s="2487">
        <v>25</v>
      </c>
      <c r="U173" s="348">
        <v>35</v>
      </c>
      <c r="V173" s="2485" t="s">
        <v>3639</v>
      </c>
      <c r="W173" s="2485" t="s">
        <v>3640</v>
      </c>
      <c r="X173" s="2485" t="s">
        <v>3641</v>
      </c>
      <c r="Y173" s="2485" t="s">
        <v>3642</v>
      </c>
      <c r="Z173" s="2485" t="s">
        <v>3643</v>
      </c>
      <c r="AA173" s="347"/>
    </row>
    <row r="174" spans="1:27" ht="12.75" customHeight="1">
      <c r="A174" s="8243"/>
      <c r="B174" s="242" t="str">
        <f t="shared" si="2"/>
        <v>Aire12</v>
      </c>
      <c r="D174" s="257" t="s">
        <v>9343</v>
      </c>
      <c r="E174" s="342" t="s">
        <v>1461</v>
      </c>
      <c r="F174" s="342">
        <v>12</v>
      </c>
      <c r="G174" s="2489" t="s">
        <v>2422</v>
      </c>
      <c r="H174" s="2489" t="s">
        <v>1095</v>
      </c>
      <c r="I174" s="351" t="s">
        <v>1166</v>
      </c>
      <c r="J174" s="2487">
        <v>6</v>
      </c>
      <c r="K174" s="2487">
        <v>8</v>
      </c>
      <c r="L174" s="2487">
        <v>10</v>
      </c>
      <c r="M174" s="348">
        <v>12</v>
      </c>
      <c r="N174" s="2487">
        <v>40</v>
      </c>
      <c r="O174" s="2487">
        <v>80</v>
      </c>
      <c r="P174" s="2487">
        <v>110</v>
      </c>
      <c r="Q174" s="348">
        <v>150</v>
      </c>
      <c r="R174" s="2487">
        <v>5</v>
      </c>
      <c r="S174" s="2487">
        <v>10</v>
      </c>
      <c r="T174" s="2487">
        <v>10</v>
      </c>
      <c r="U174" s="348">
        <v>15</v>
      </c>
      <c r="V174" s="2485" t="s">
        <v>3644</v>
      </c>
      <c r="W174" s="2485" t="s">
        <v>3645</v>
      </c>
      <c r="X174" s="2485" t="s">
        <v>3646</v>
      </c>
      <c r="Y174" s="2485" t="s">
        <v>3647</v>
      </c>
      <c r="Z174" s="2485" t="s">
        <v>3648</v>
      </c>
      <c r="AA174" s="347"/>
    </row>
    <row r="175" spans="1:27" ht="12.75" customHeight="1">
      <c r="A175" s="8243"/>
      <c r="B175" s="242" t="str">
        <f t="shared" si="2"/>
        <v>Aire16</v>
      </c>
      <c r="D175" s="257" t="s">
        <v>1171</v>
      </c>
      <c r="E175" s="342" t="s">
        <v>1461</v>
      </c>
      <c r="F175" s="342">
        <v>16</v>
      </c>
      <c r="G175" s="2489" t="s">
        <v>1241</v>
      </c>
      <c r="H175" s="2489" t="s">
        <v>1095</v>
      </c>
      <c r="I175" s="351" t="s">
        <v>1165</v>
      </c>
      <c r="J175" s="2487">
        <v>6</v>
      </c>
      <c r="K175" s="2487">
        <v>8</v>
      </c>
      <c r="L175" s="2487">
        <v>10</v>
      </c>
      <c r="M175" s="348">
        <v>12</v>
      </c>
      <c r="N175" s="2487">
        <v>50</v>
      </c>
      <c r="O175" s="2487">
        <v>80</v>
      </c>
      <c r="P175" s="2487">
        <v>110</v>
      </c>
      <c r="Q175" s="348">
        <v>150</v>
      </c>
      <c r="R175" s="2487">
        <v>5</v>
      </c>
      <c r="S175" s="2487">
        <v>10</v>
      </c>
      <c r="T175" s="2487">
        <v>10</v>
      </c>
      <c r="U175" s="348">
        <v>15</v>
      </c>
      <c r="V175" s="2485" t="s">
        <v>3644</v>
      </c>
      <c r="W175" s="2485" t="s">
        <v>3649</v>
      </c>
      <c r="X175" s="2485" t="s">
        <v>3650</v>
      </c>
      <c r="Y175" s="2485" t="s">
        <v>3651</v>
      </c>
      <c r="Z175" s="2485" t="s">
        <v>3652</v>
      </c>
      <c r="AA175" s="347"/>
    </row>
    <row r="176" spans="1:27" ht="12.75" customHeight="1">
      <c r="A176" s="8243"/>
      <c r="B176" s="242" t="str">
        <f t="shared" si="2"/>
        <v>Aire20</v>
      </c>
      <c r="D176" s="257" t="s">
        <v>9344</v>
      </c>
      <c r="E176" s="342" t="s">
        <v>1461</v>
      </c>
      <c r="F176" s="342">
        <v>20</v>
      </c>
      <c r="G176" s="2489" t="s">
        <v>1241</v>
      </c>
      <c r="H176" s="2489" t="s">
        <v>1093</v>
      </c>
      <c r="I176" s="351" t="s">
        <v>1165</v>
      </c>
      <c r="J176" s="2487">
        <v>6</v>
      </c>
      <c r="K176" s="2487">
        <v>9</v>
      </c>
      <c r="L176" s="2487">
        <v>11</v>
      </c>
      <c r="M176" s="348">
        <v>13</v>
      </c>
      <c r="N176" s="2487">
        <v>40</v>
      </c>
      <c r="O176" s="2487">
        <v>80</v>
      </c>
      <c r="P176" s="2487">
        <v>140</v>
      </c>
      <c r="Q176" s="348">
        <v>200</v>
      </c>
      <c r="R176" s="2487" t="s">
        <v>1241</v>
      </c>
      <c r="S176" s="2487" t="s">
        <v>1241</v>
      </c>
      <c r="T176" s="2487" t="s">
        <v>1241</v>
      </c>
      <c r="U176" s="348" t="s">
        <v>1241</v>
      </c>
      <c r="V176" s="2485" t="s">
        <v>3653</v>
      </c>
      <c r="W176" s="2485" t="s">
        <v>3654</v>
      </c>
      <c r="X176" s="2485" t="s">
        <v>3655</v>
      </c>
      <c r="Y176" s="2485" t="s">
        <v>3656</v>
      </c>
      <c r="Z176" s="2485" t="s">
        <v>12923</v>
      </c>
      <c r="AA176" s="347"/>
    </row>
    <row r="177" spans="1:27" ht="12.75" customHeight="1">
      <c r="A177" s="8243"/>
      <c r="B177" s="242" t="str">
        <f t="shared" si="2"/>
        <v>Aire22</v>
      </c>
      <c r="D177" s="257" t="s">
        <v>9345</v>
      </c>
      <c r="E177" s="342" t="s">
        <v>1461</v>
      </c>
      <c r="F177" s="342">
        <v>22</v>
      </c>
      <c r="G177" s="2489" t="s">
        <v>1241</v>
      </c>
      <c r="H177" s="2489" t="s">
        <v>1424</v>
      </c>
      <c r="I177" s="351" t="s">
        <v>1166</v>
      </c>
      <c r="J177" s="2487">
        <v>6</v>
      </c>
      <c r="K177" s="2487">
        <v>8</v>
      </c>
      <c r="L177" s="2487">
        <v>10</v>
      </c>
      <c r="M177" s="348">
        <v>14</v>
      </c>
      <c r="N177" s="2487">
        <v>50</v>
      </c>
      <c r="O177" s="2487">
        <v>160</v>
      </c>
      <c r="P177" s="2487">
        <v>200</v>
      </c>
      <c r="Q177" s="348">
        <v>240</v>
      </c>
      <c r="R177" s="2487">
        <v>5</v>
      </c>
      <c r="S177" s="2487">
        <v>20</v>
      </c>
      <c r="T177" s="2487">
        <v>20</v>
      </c>
      <c r="U177" s="348">
        <v>25</v>
      </c>
      <c r="V177" s="2485" t="s">
        <v>3657</v>
      </c>
      <c r="W177" s="2485" t="s">
        <v>3658</v>
      </c>
      <c r="X177" s="2485" t="s">
        <v>3659</v>
      </c>
      <c r="Y177" s="2485" t="s">
        <v>3660</v>
      </c>
      <c r="Z177" s="2485" t="s">
        <v>3661</v>
      </c>
      <c r="AA177" s="347"/>
    </row>
    <row r="178" spans="1:27" ht="12.75" customHeight="1">
      <c r="A178" s="8243"/>
      <c r="B178" s="242" t="str">
        <f t="shared" si="2"/>
        <v>Aire26</v>
      </c>
      <c r="D178" s="257" t="s">
        <v>6941</v>
      </c>
      <c r="E178" s="342" t="s">
        <v>1461</v>
      </c>
      <c r="F178" s="342">
        <v>26</v>
      </c>
      <c r="G178" s="2489" t="s">
        <v>1241</v>
      </c>
      <c r="H178" s="2489" t="s">
        <v>1095</v>
      </c>
      <c r="I178" s="351" t="s">
        <v>1165</v>
      </c>
      <c r="J178" s="2487">
        <v>6</v>
      </c>
      <c r="K178" s="2487">
        <v>8</v>
      </c>
      <c r="L178" s="2487">
        <v>10</v>
      </c>
      <c r="M178" s="348">
        <v>12</v>
      </c>
      <c r="N178" s="2487">
        <v>50</v>
      </c>
      <c r="O178" s="2487">
        <v>80</v>
      </c>
      <c r="P178" s="2487">
        <v>120</v>
      </c>
      <c r="Q178" s="348">
        <v>150</v>
      </c>
      <c r="R178" s="2487" t="s">
        <v>1241</v>
      </c>
      <c r="S178" s="2487" t="s">
        <v>1241</v>
      </c>
      <c r="T178" s="2487" t="s">
        <v>1241</v>
      </c>
      <c r="U178" s="348" t="s">
        <v>1241</v>
      </c>
      <c r="V178" s="2485" t="s">
        <v>3662</v>
      </c>
      <c r="W178" s="2485" t="s">
        <v>3663</v>
      </c>
      <c r="X178" s="2485" t="s">
        <v>3664</v>
      </c>
      <c r="Y178" s="2485" t="s">
        <v>3665</v>
      </c>
      <c r="Z178" s="2485" t="s">
        <v>3666</v>
      </c>
      <c r="AA178" s="347"/>
    </row>
    <row r="179" spans="1:27" ht="12.75" customHeight="1">
      <c r="A179" s="8243"/>
      <c r="B179" s="242" t="str">
        <f t="shared" si="2"/>
        <v>Aire30</v>
      </c>
      <c r="D179" s="257" t="s">
        <v>9635</v>
      </c>
      <c r="E179" s="342" t="s">
        <v>1461</v>
      </c>
      <c r="F179" s="342">
        <v>30</v>
      </c>
      <c r="G179" s="352" t="s">
        <v>1241</v>
      </c>
      <c r="H179" s="2489" t="s">
        <v>1095</v>
      </c>
      <c r="I179" s="351" t="s">
        <v>1165</v>
      </c>
      <c r="J179" s="2487">
        <v>6</v>
      </c>
      <c r="K179" s="2487">
        <v>9</v>
      </c>
      <c r="L179" s="2487">
        <v>12</v>
      </c>
      <c r="M179" s="348">
        <v>15</v>
      </c>
      <c r="N179" s="2487">
        <v>60</v>
      </c>
      <c r="O179" s="2487">
        <v>100</v>
      </c>
      <c r="P179" s="2487">
        <v>150</v>
      </c>
      <c r="Q179" s="348">
        <v>240</v>
      </c>
      <c r="R179" s="2487">
        <v>15</v>
      </c>
      <c r="S179" s="2487">
        <v>20</v>
      </c>
      <c r="T179" s="2487">
        <v>25</v>
      </c>
      <c r="U179" s="348">
        <v>30</v>
      </c>
      <c r="V179" s="2485" t="s">
        <v>3667</v>
      </c>
      <c r="W179" s="2485" t="s">
        <v>3668</v>
      </c>
      <c r="X179" s="2485" t="s">
        <v>3669</v>
      </c>
      <c r="Y179" s="2485" t="s">
        <v>3670</v>
      </c>
      <c r="Z179" s="2485" t="s">
        <v>3671</v>
      </c>
      <c r="AA179" s="347"/>
    </row>
    <row r="180" spans="1:27" ht="12.75" customHeight="1">
      <c r="A180" s="8243"/>
      <c r="B180" s="242" t="str">
        <f t="shared" si="2"/>
        <v>Aire32</v>
      </c>
      <c r="D180" s="257" t="s">
        <v>144</v>
      </c>
      <c r="E180" s="342" t="s">
        <v>1461</v>
      </c>
      <c r="F180" s="342">
        <v>32</v>
      </c>
      <c r="G180" s="2489" t="s">
        <v>1241</v>
      </c>
      <c r="H180" s="2489" t="s">
        <v>1095</v>
      </c>
      <c r="I180" s="351" t="s">
        <v>1165</v>
      </c>
      <c r="J180" s="2487">
        <v>6</v>
      </c>
      <c r="K180" s="2487">
        <v>9</v>
      </c>
      <c r="L180" s="2487">
        <v>12</v>
      </c>
      <c r="M180" s="348">
        <v>15</v>
      </c>
      <c r="N180" s="2487">
        <v>60</v>
      </c>
      <c r="O180" s="2487">
        <v>90</v>
      </c>
      <c r="P180" s="2487">
        <v>120</v>
      </c>
      <c r="Q180" s="348">
        <v>150</v>
      </c>
      <c r="R180" s="2487">
        <v>5</v>
      </c>
      <c r="S180" s="2487">
        <v>5</v>
      </c>
      <c r="T180" s="2487">
        <v>10</v>
      </c>
      <c r="U180" s="348">
        <v>15</v>
      </c>
      <c r="V180" s="2485" t="s">
        <v>3672</v>
      </c>
      <c r="W180" s="2485" t="s">
        <v>3673</v>
      </c>
      <c r="X180" s="2485" t="s">
        <v>3674</v>
      </c>
      <c r="Y180" s="2488" t="s">
        <v>9216</v>
      </c>
      <c r="Z180" s="2485" t="s">
        <v>3675</v>
      </c>
      <c r="AA180" s="347"/>
    </row>
    <row r="181" spans="1:27" ht="12.75" customHeight="1">
      <c r="A181" s="8243"/>
      <c r="B181" s="242" t="str">
        <f t="shared" si="2"/>
        <v>Aire36</v>
      </c>
      <c r="D181" s="257" t="s">
        <v>9346</v>
      </c>
      <c r="E181" s="342" t="s">
        <v>1461</v>
      </c>
      <c r="F181" s="342">
        <v>36</v>
      </c>
      <c r="G181" s="2489" t="s">
        <v>2422</v>
      </c>
      <c r="H181" s="2489" t="s">
        <v>1095</v>
      </c>
      <c r="I181" s="351" t="s">
        <v>1165</v>
      </c>
      <c r="J181" s="2487">
        <v>7</v>
      </c>
      <c r="K181" s="2487">
        <v>10</v>
      </c>
      <c r="L181" s="2487">
        <v>13</v>
      </c>
      <c r="M181" s="348">
        <v>15</v>
      </c>
      <c r="N181" s="2487">
        <v>80</v>
      </c>
      <c r="O181" s="2487">
        <v>120</v>
      </c>
      <c r="P181" s="2487">
        <v>160</v>
      </c>
      <c r="Q181" s="348">
        <v>240</v>
      </c>
      <c r="R181" s="2487">
        <v>10</v>
      </c>
      <c r="S181" s="2487">
        <v>15</v>
      </c>
      <c r="T181" s="2487">
        <v>20</v>
      </c>
      <c r="U181" s="348">
        <v>25</v>
      </c>
      <c r="V181" s="2485" t="s">
        <v>3676</v>
      </c>
      <c r="W181" s="2485" t="s">
        <v>3677</v>
      </c>
      <c r="X181" s="2485" t="s">
        <v>3678</v>
      </c>
      <c r="Y181" s="2485" t="s">
        <v>3679</v>
      </c>
      <c r="Z181" s="2485" t="s">
        <v>12924</v>
      </c>
      <c r="AA181" s="347"/>
    </row>
    <row r="182" spans="1:27" ht="12.75" customHeight="1">
      <c r="A182" s="8243"/>
      <c r="B182" s="242" t="str">
        <f t="shared" si="2"/>
        <v>Aire40</v>
      </c>
      <c r="D182" s="257" t="s">
        <v>9347</v>
      </c>
      <c r="E182" s="342" t="s">
        <v>1461</v>
      </c>
      <c r="F182" s="342">
        <v>40</v>
      </c>
      <c r="G182" s="2489" t="s">
        <v>1241</v>
      </c>
      <c r="H182" s="2489" t="s">
        <v>1093</v>
      </c>
      <c r="I182" s="351" t="s">
        <v>1165</v>
      </c>
      <c r="J182" s="2487">
        <v>6</v>
      </c>
      <c r="K182" s="2487">
        <v>9</v>
      </c>
      <c r="L182" s="2487">
        <v>12</v>
      </c>
      <c r="M182" s="348">
        <v>15</v>
      </c>
      <c r="N182" s="2487">
        <v>60</v>
      </c>
      <c r="O182" s="2487">
        <v>150</v>
      </c>
      <c r="P182" s="2487">
        <v>240</v>
      </c>
      <c r="Q182" s="348">
        <v>350</v>
      </c>
      <c r="R182" s="2487" t="s">
        <v>1241</v>
      </c>
      <c r="S182" s="2487" t="s">
        <v>1241</v>
      </c>
      <c r="T182" s="2487" t="s">
        <v>1241</v>
      </c>
      <c r="U182" s="348" t="s">
        <v>1241</v>
      </c>
      <c r="V182" s="2485" t="s">
        <v>3680</v>
      </c>
      <c r="W182" s="2485" t="s">
        <v>9613</v>
      </c>
      <c r="X182" s="2485" t="s">
        <v>9614</v>
      </c>
      <c r="Y182" s="2485" t="s">
        <v>3681</v>
      </c>
      <c r="Z182" s="2485" t="s">
        <v>3682</v>
      </c>
      <c r="AA182" s="347"/>
    </row>
    <row r="183" spans="1:27" ht="12.75" customHeight="1">
      <c r="A183" s="8243"/>
      <c r="B183" s="242" t="str">
        <f t="shared" si="2"/>
        <v>Aire42</v>
      </c>
      <c r="D183" s="257" t="s">
        <v>9348</v>
      </c>
      <c r="E183" s="342" t="s">
        <v>1461</v>
      </c>
      <c r="F183" s="342">
        <v>42</v>
      </c>
      <c r="G183" s="2489" t="s">
        <v>2422</v>
      </c>
      <c r="H183" s="2489" t="s">
        <v>1095</v>
      </c>
      <c r="I183" s="351" t="s">
        <v>1165</v>
      </c>
      <c r="J183" s="2487">
        <v>8</v>
      </c>
      <c r="K183" s="2487">
        <v>10</v>
      </c>
      <c r="L183" s="2487">
        <v>12</v>
      </c>
      <c r="M183" s="348">
        <v>14</v>
      </c>
      <c r="N183" s="2487">
        <v>80</v>
      </c>
      <c r="O183" s="2487">
        <v>100</v>
      </c>
      <c r="P183" s="2487">
        <v>120</v>
      </c>
      <c r="Q183" s="348">
        <v>140</v>
      </c>
      <c r="R183" s="2487">
        <v>10</v>
      </c>
      <c r="S183" s="2487">
        <v>10</v>
      </c>
      <c r="T183" s="2487">
        <v>15</v>
      </c>
      <c r="U183" s="348">
        <v>15</v>
      </c>
      <c r="V183" s="2485" t="s">
        <v>3683</v>
      </c>
      <c r="W183" s="2485" t="s">
        <v>3684</v>
      </c>
      <c r="X183" s="2485" t="s">
        <v>3685</v>
      </c>
      <c r="Y183" s="2485" t="s">
        <v>3650</v>
      </c>
      <c r="Z183" s="2485" t="s">
        <v>3686</v>
      </c>
      <c r="AA183" s="347"/>
    </row>
    <row r="184" spans="1:27" ht="12.75" customHeight="1">
      <c r="A184" s="8243"/>
      <c r="B184" s="242" t="str">
        <f t="shared" si="2"/>
        <v>Aire46</v>
      </c>
      <c r="D184" s="257" t="s">
        <v>9349</v>
      </c>
      <c r="E184" s="342" t="s">
        <v>1461</v>
      </c>
      <c r="F184" s="342">
        <v>46</v>
      </c>
      <c r="G184" s="2489" t="s">
        <v>1241</v>
      </c>
      <c r="H184" s="2489" t="s">
        <v>1093</v>
      </c>
      <c r="I184" s="351" t="s">
        <v>1165</v>
      </c>
      <c r="J184" s="2487">
        <v>6</v>
      </c>
      <c r="K184" s="2487">
        <v>9</v>
      </c>
      <c r="L184" s="2487">
        <v>12</v>
      </c>
      <c r="M184" s="348">
        <v>15</v>
      </c>
      <c r="N184" s="2487">
        <v>80</v>
      </c>
      <c r="O184" s="2487">
        <v>180</v>
      </c>
      <c r="P184" s="2487">
        <v>280</v>
      </c>
      <c r="Q184" s="348">
        <v>400</v>
      </c>
      <c r="R184" s="2487" t="s">
        <v>1241</v>
      </c>
      <c r="S184" s="2487" t="s">
        <v>1241</v>
      </c>
      <c r="T184" s="2487" t="s">
        <v>1241</v>
      </c>
      <c r="U184" s="348" t="s">
        <v>1241</v>
      </c>
      <c r="V184" s="2485" t="s">
        <v>3687</v>
      </c>
      <c r="W184" s="2485" t="s">
        <v>3688</v>
      </c>
      <c r="X184" s="2485" t="s">
        <v>3689</v>
      </c>
      <c r="Y184" s="2485" t="s">
        <v>3690</v>
      </c>
      <c r="Z184" s="2485" t="s">
        <v>3691</v>
      </c>
      <c r="AA184" s="347"/>
    </row>
    <row r="185" spans="1:27" ht="12.75" customHeight="1">
      <c r="A185" s="8243"/>
      <c r="B185" s="242" t="str">
        <f t="shared" si="2"/>
        <v>Aire50</v>
      </c>
      <c r="D185" s="257" t="s">
        <v>9350</v>
      </c>
      <c r="E185" s="342" t="s">
        <v>1461</v>
      </c>
      <c r="F185" s="342">
        <v>50</v>
      </c>
      <c r="G185" s="2489" t="s">
        <v>1241</v>
      </c>
      <c r="H185" s="2489" t="s">
        <v>1096</v>
      </c>
      <c r="I185" s="351" t="s">
        <v>1165</v>
      </c>
      <c r="J185" s="2487">
        <v>7</v>
      </c>
      <c r="K185" s="2487">
        <v>9</v>
      </c>
      <c r="L185" s="2487">
        <v>12</v>
      </c>
      <c r="M185" s="348">
        <v>15</v>
      </c>
      <c r="N185" s="2487">
        <v>140</v>
      </c>
      <c r="O185" s="2487">
        <v>180</v>
      </c>
      <c r="P185" s="2487">
        <v>240</v>
      </c>
      <c r="Q185" s="348">
        <v>300</v>
      </c>
      <c r="R185" s="2487">
        <v>30</v>
      </c>
      <c r="S185" s="2487">
        <v>40</v>
      </c>
      <c r="T185" s="2487">
        <v>50</v>
      </c>
      <c r="U185" s="348">
        <v>60</v>
      </c>
      <c r="V185" s="2485" t="s">
        <v>3692</v>
      </c>
      <c r="W185" s="2485" t="s">
        <v>3693</v>
      </c>
      <c r="X185" s="2485" t="s">
        <v>3694</v>
      </c>
      <c r="Y185" s="2485" t="s">
        <v>3221</v>
      </c>
      <c r="Z185" s="2485" t="s">
        <v>3695</v>
      </c>
      <c r="AA185" s="347"/>
    </row>
    <row r="186" spans="1:27" ht="12.75" customHeight="1">
      <c r="A186" s="8243"/>
      <c r="B186" s="242" t="str">
        <f t="shared" si="2"/>
        <v>Aire52</v>
      </c>
      <c r="D186" s="257" t="s">
        <v>9351</v>
      </c>
      <c r="E186" s="342" t="s">
        <v>1461</v>
      </c>
      <c r="F186" s="342">
        <v>52</v>
      </c>
      <c r="G186" s="2489" t="s">
        <v>1241</v>
      </c>
      <c r="H186" s="2489" t="s">
        <v>1095</v>
      </c>
      <c r="I186" s="351" t="s">
        <v>1165</v>
      </c>
      <c r="J186" s="2487">
        <v>8</v>
      </c>
      <c r="K186" s="2487">
        <v>11</v>
      </c>
      <c r="L186" s="2487">
        <v>13</v>
      </c>
      <c r="M186" s="348">
        <v>16</v>
      </c>
      <c r="N186" s="2487">
        <v>100</v>
      </c>
      <c r="O186" s="2487">
        <v>120</v>
      </c>
      <c r="P186" s="2487">
        <v>140</v>
      </c>
      <c r="Q186" s="348">
        <v>160</v>
      </c>
      <c r="R186" s="2487">
        <v>10</v>
      </c>
      <c r="S186" s="2487">
        <v>15</v>
      </c>
      <c r="T186" s="2487">
        <v>15</v>
      </c>
      <c r="U186" s="348">
        <v>20</v>
      </c>
      <c r="V186" s="2485" t="s">
        <v>3696</v>
      </c>
      <c r="W186" s="2485" t="s">
        <v>3697</v>
      </c>
      <c r="X186" s="2485" t="s">
        <v>12925</v>
      </c>
      <c r="Y186" s="2485" t="s">
        <v>3698</v>
      </c>
      <c r="Z186" s="2485" t="s">
        <v>3699</v>
      </c>
      <c r="AA186" s="347"/>
    </row>
    <row r="187" spans="1:27" ht="12.75" customHeight="1">
      <c r="A187" s="8243"/>
      <c r="B187" s="242" t="str">
        <f t="shared" si="2"/>
        <v>Aire56</v>
      </c>
      <c r="D187" s="257" t="s">
        <v>9352</v>
      </c>
      <c r="E187" s="2487" t="s">
        <v>1461</v>
      </c>
      <c r="F187" s="2487">
        <v>56</v>
      </c>
      <c r="G187" s="2489" t="s">
        <v>1241</v>
      </c>
      <c r="H187" s="2489" t="s">
        <v>3700</v>
      </c>
      <c r="I187" s="351" t="s">
        <v>1165</v>
      </c>
      <c r="J187" s="2487">
        <v>8</v>
      </c>
      <c r="K187" s="2487">
        <v>10</v>
      </c>
      <c r="L187" s="2487">
        <v>13</v>
      </c>
      <c r="M187" s="348">
        <v>15</v>
      </c>
      <c r="N187" s="2487">
        <v>80</v>
      </c>
      <c r="O187" s="2487">
        <v>150</v>
      </c>
      <c r="P187" s="2487">
        <v>240</v>
      </c>
      <c r="Q187" s="348">
        <v>350</v>
      </c>
      <c r="R187" s="2487">
        <v>10</v>
      </c>
      <c r="S187" s="2487">
        <v>20</v>
      </c>
      <c r="T187" s="2487">
        <v>25</v>
      </c>
      <c r="U187" s="348">
        <v>35</v>
      </c>
      <c r="V187" s="2485" t="s">
        <v>3701</v>
      </c>
      <c r="W187" s="2485" t="s">
        <v>3702</v>
      </c>
      <c r="X187" s="2485" t="s">
        <v>3703</v>
      </c>
      <c r="Y187" s="2485" t="s">
        <v>3704</v>
      </c>
      <c r="Z187" s="2485" t="s">
        <v>12926</v>
      </c>
      <c r="AA187" s="347"/>
    </row>
    <row r="188" spans="1:27" ht="12.75" customHeight="1">
      <c r="A188" s="8243"/>
      <c r="B188" s="242" t="str">
        <f t="shared" si="2"/>
        <v>Aire60</v>
      </c>
      <c r="D188" s="257" t="s">
        <v>9353</v>
      </c>
      <c r="E188" s="2487" t="s">
        <v>1461</v>
      </c>
      <c r="F188" s="2487">
        <v>60</v>
      </c>
      <c r="G188" s="2489" t="s">
        <v>1241</v>
      </c>
      <c r="H188" s="2489" t="s">
        <v>3700</v>
      </c>
      <c r="I188" s="351" t="s">
        <v>1165</v>
      </c>
      <c r="J188" s="2487">
        <v>8</v>
      </c>
      <c r="K188" s="2487">
        <v>10</v>
      </c>
      <c r="L188" s="2487">
        <v>13</v>
      </c>
      <c r="M188" s="348">
        <v>15</v>
      </c>
      <c r="N188" s="2487">
        <v>80</v>
      </c>
      <c r="O188" s="2487">
        <v>150</v>
      </c>
      <c r="P188" s="2487">
        <v>240</v>
      </c>
      <c r="Q188" s="348">
        <v>350</v>
      </c>
      <c r="R188" s="2487">
        <v>10</v>
      </c>
      <c r="S188" s="2487">
        <v>20</v>
      </c>
      <c r="T188" s="2487">
        <v>25</v>
      </c>
      <c r="U188" s="348">
        <v>35</v>
      </c>
      <c r="V188" s="2485" t="s">
        <v>3705</v>
      </c>
      <c r="W188" s="2485" t="s">
        <v>3706</v>
      </c>
      <c r="X188" s="2485" t="s">
        <v>3707</v>
      </c>
      <c r="Y188" s="2485" t="s">
        <v>3708</v>
      </c>
      <c r="Z188" s="2485" t="s">
        <v>12927</v>
      </c>
      <c r="AA188" s="347"/>
    </row>
    <row r="189" spans="1:27" ht="12.75" customHeight="1">
      <c r="A189" s="8243"/>
      <c r="B189" s="242" t="str">
        <f t="shared" si="2"/>
        <v>Aire62</v>
      </c>
      <c r="D189" s="257" t="s">
        <v>9354</v>
      </c>
      <c r="E189" s="2487" t="s">
        <v>1461</v>
      </c>
      <c r="F189" s="2487">
        <v>62</v>
      </c>
      <c r="G189" s="2489" t="s">
        <v>1241</v>
      </c>
      <c r="H189" s="2489" t="s">
        <v>1424</v>
      </c>
      <c r="I189" s="351" t="s">
        <v>1166</v>
      </c>
      <c r="J189" s="2487">
        <v>7</v>
      </c>
      <c r="K189" s="2487">
        <v>10</v>
      </c>
      <c r="L189" s="2487">
        <v>12</v>
      </c>
      <c r="M189" s="348">
        <v>15</v>
      </c>
      <c r="N189" s="2487">
        <v>120</v>
      </c>
      <c r="O189" s="2487">
        <v>180</v>
      </c>
      <c r="P189" s="2487">
        <v>240</v>
      </c>
      <c r="Q189" s="348">
        <v>300</v>
      </c>
      <c r="R189" s="2487">
        <v>15</v>
      </c>
      <c r="S189" s="2487">
        <v>20</v>
      </c>
      <c r="T189" s="2487">
        <v>25</v>
      </c>
      <c r="U189" s="348">
        <v>30</v>
      </c>
      <c r="V189" s="2485" t="s">
        <v>3709</v>
      </c>
      <c r="W189" s="2485" t="s">
        <v>3710</v>
      </c>
      <c r="X189" s="2485" t="s">
        <v>3711</v>
      </c>
      <c r="Y189" s="2485" t="s">
        <v>3712</v>
      </c>
      <c r="Z189" s="2485" t="s">
        <v>3713</v>
      </c>
      <c r="AA189" s="347"/>
    </row>
    <row r="190" spans="1:27" ht="12.75" customHeight="1">
      <c r="A190" s="8243"/>
      <c r="B190" s="242" t="str">
        <f t="shared" si="2"/>
        <v>Aire66</v>
      </c>
      <c r="D190" s="257" t="s">
        <v>9355</v>
      </c>
      <c r="E190" s="2487" t="s">
        <v>1461</v>
      </c>
      <c r="F190" s="2487">
        <v>66</v>
      </c>
      <c r="G190" s="2489" t="s">
        <v>1241</v>
      </c>
      <c r="H190" s="2489" t="s">
        <v>1095</v>
      </c>
      <c r="I190" s="351" t="s">
        <v>1165</v>
      </c>
      <c r="J190" s="2487">
        <v>8</v>
      </c>
      <c r="K190" s="2487">
        <v>11</v>
      </c>
      <c r="L190" s="2487">
        <v>13</v>
      </c>
      <c r="M190" s="348">
        <v>16</v>
      </c>
      <c r="N190" s="2487">
        <v>180</v>
      </c>
      <c r="O190" s="2487">
        <v>300</v>
      </c>
      <c r="P190" s="2487">
        <v>450</v>
      </c>
      <c r="Q190" s="348">
        <v>600</v>
      </c>
      <c r="R190" s="2487" t="s">
        <v>1241</v>
      </c>
      <c r="S190" s="2487" t="s">
        <v>1241</v>
      </c>
      <c r="T190" s="2487" t="s">
        <v>1241</v>
      </c>
      <c r="U190" s="348" t="s">
        <v>1241</v>
      </c>
      <c r="V190" s="2485" t="s">
        <v>3714</v>
      </c>
      <c r="W190" s="2485" t="s">
        <v>3715</v>
      </c>
      <c r="X190" s="2485" t="s">
        <v>3716</v>
      </c>
      <c r="Y190" s="2485" t="s">
        <v>3717</v>
      </c>
      <c r="Z190" s="2485" t="s">
        <v>3718</v>
      </c>
      <c r="AA190" s="347"/>
    </row>
    <row r="191" spans="1:27" ht="12.75" customHeight="1">
      <c r="A191" s="8243"/>
      <c r="B191" s="242" t="str">
        <f t="shared" si="2"/>
        <v>Aire70</v>
      </c>
      <c r="D191" s="257" t="s">
        <v>9356</v>
      </c>
      <c r="E191" s="2487" t="s">
        <v>1461</v>
      </c>
      <c r="F191" s="2487">
        <v>70</v>
      </c>
      <c r="G191" s="2489" t="s">
        <v>2422</v>
      </c>
      <c r="H191" s="2489" t="s">
        <v>3700</v>
      </c>
      <c r="I191" s="351" t="s">
        <v>1165</v>
      </c>
      <c r="J191" s="2487">
        <v>6</v>
      </c>
      <c r="K191" s="2487">
        <v>9</v>
      </c>
      <c r="L191" s="2487">
        <v>12</v>
      </c>
      <c r="M191" s="348">
        <v>15</v>
      </c>
      <c r="N191" s="2487">
        <v>120</v>
      </c>
      <c r="O191" s="2487">
        <v>180</v>
      </c>
      <c r="P191" s="2487">
        <v>240</v>
      </c>
      <c r="Q191" s="348">
        <v>350</v>
      </c>
      <c r="R191" s="2487">
        <v>15</v>
      </c>
      <c r="S191" s="2487">
        <v>20</v>
      </c>
      <c r="T191" s="2487">
        <v>25</v>
      </c>
      <c r="U191" s="348">
        <v>30</v>
      </c>
      <c r="V191" s="2485" t="s">
        <v>3719</v>
      </c>
      <c r="W191" s="2485" t="s">
        <v>3720</v>
      </c>
      <c r="X191" s="2485" t="s">
        <v>3721</v>
      </c>
      <c r="Y191" s="2485" t="s">
        <v>3722</v>
      </c>
      <c r="Z191" s="2485" t="s">
        <v>12928</v>
      </c>
      <c r="AA191" s="347"/>
    </row>
    <row r="192" spans="1:27" ht="12.75" customHeight="1">
      <c r="A192" s="8243"/>
      <c r="B192" s="242" t="str">
        <f t="shared" si="2"/>
        <v>Aire72</v>
      </c>
      <c r="D192" s="257" t="s">
        <v>9357</v>
      </c>
      <c r="E192" s="2487" t="s">
        <v>1461</v>
      </c>
      <c r="F192" s="2487">
        <v>72</v>
      </c>
      <c r="G192" s="2489" t="s">
        <v>1241</v>
      </c>
      <c r="H192" s="2489" t="s">
        <v>3723</v>
      </c>
      <c r="I192" s="351" t="s">
        <v>1165</v>
      </c>
      <c r="J192" s="2487">
        <v>9</v>
      </c>
      <c r="K192" s="2487">
        <v>12</v>
      </c>
      <c r="L192" s="2487">
        <v>14</v>
      </c>
      <c r="M192" s="348">
        <v>16</v>
      </c>
      <c r="N192" s="2487">
        <v>200</v>
      </c>
      <c r="O192" s="2487">
        <v>300</v>
      </c>
      <c r="P192" s="2487">
        <v>450</v>
      </c>
      <c r="Q192" s="348">
        <v>600</v>
      </c>
      <c r="R192" s="2487">
        <v>10</v>
      </c>
      <c r="S192" s="2487">
        <v>15</v>
      </c>
      <c r="T192" s="2487">
        <v>20</v>
      </c>
      <c r="U192" s="348">
        <v>25</v>
      </c>
      <c r="V192" s="2485" t="s">
        <v>3724</v>
      </c>
      <c r="W192" s="2485" t="s">
        <v>3725</v>
      </c>
      <c r="X192" s="2485" t="s">
        <v>3726</v>
      </c>
      <c r="Y192" s="2485" t="s">
        <v>3727</v>
      </c>
      <c r="Z192" s="2485" t="s">
        <v>3728</v>
      </c>
      <c r="AA192" s="347"/>
    </row>
    <row r="193" spans="1:27" ht="12.75" customHeight="1">
      <c r="A193" s="8243"/>
      <c r="B193" s="242" t="str">
        <f t="shared" si="2"/>
        <v>Aire76</v>
      </c>
      <c r="D193" s="257" t="s">
        <v>9358</v>
      </c>
      <c r="E193" s="2487" t="s">
        <v>1461</v>
      </c>
      <c r="F193" s="2487">
        <v>76</v>
      </c>
      <c r="G193" s="2489" t="s">
        <v>1241</v>
      </c>
      <c r="H193" s="2489" t="s">
        <v>3729</v>
      </c>
      <c r="I193" s="351" t="s">
        <v>1165</v>
      </c>
      <c r="J193" s="2487">
        <v>9</v>
      </c>
      <c r="K193" s="2487">
        <v>11</v>
      </c>
      <c r="L193" s="2487">
        <v>13</v>
      </c>
      <c r="M193" s="348">
        <v>16</v>
      </c>
      <c r="N193" s="2487">
        <v>140</v>
      </c>
      <c r="O193" s="2487">
        <v>200</v>
      </c>
      <c r="P193" s="2487">
        <v>260</v>
      </c>
      <c r="Q193" s="348">
        <v>350</v>
      </c>
      <c r="R193" s="2487">
        <v>10</v>
      </c>
      <c r="S193" s="2487">
        <v>10</v>
      </c>
      <c r="T193" s="2487">
        <v>15</v>
      </c>
      <c r="U193" s="348">
        <v>25</v>
      </c>
      <c r="V193" s="2485" t="s">
        <v>3730</v>
      </c>
      <c r="W193" s="2485" t="s">
        <v>3731</v>
      </c>
      <c r="X193" s="2485" t="s">
        <v>3732</v>
      </c>
      <c r="Y193" s="2485" t="s">
        <v>3733</v>
      </c>
      <c r="Z193" s="2485" t="s">
        <v>3734</v>
      </c>
      <c r="AA193" s="347"/>
    </row>
    <row r="194" spans="1:27" ht="12.75" customHeight="1">
      <c r="A194" s="8243"/>
      <c r="B194" s="242" t="str">
        <f t="shared" si="2"/>
        <v>Aire80</v>
      </c>
      <c r="D194" s="257" t="s">
        <v>9359</v>
      </c>
      <c r="E194" s="2487" t="s">
        <v>1461</v>
      </c>
      <c r="F194" s="2487">
        <v>80</v>
      </c>
      <c r="G194" s="2489" t="s">
        <v>2422</v>
      </c>
      <c r="H194" s="2489" t="s">
        <v>1095</v>
      </c>
      <c r="I194" s="351" t="s">
        <v>1165</v>
      </c>
      <c r="J194" s="2487">
        <v>9</v>
      </c>
      <c r="K194" s="2487">
        <v>12</v>
      </c>
      <c r="L194" s="2487">
        <v>14</v>
      </c>
      <c r="M194" s="348">
        <v>16</v>
      </c>
      <c r="N194" s="2487">
        <v>250</v>
      </c>
      <c r="O194" s="2487">
        <v>300</v>
      </c>
      <c r="P194" s="2487">
        <v>380</v>
      </c>
      <c r="Q194" s="348">
        <v>500</v>
      </c>
      <c r="R194" s="2487">
        <v>50</v>
      </c>
      <c r="S194" s="2487">
        <v>60</v>
      </c>
      <c r="T194" s="2487">
        <v>80</v>
      </c>
      <c r="U194" s="348">
        <v>100</v>
      </c>
      <c r="V194" s="2485" t="s">
        <v>3735</v>
      </c>
      <c r="W194" s="2485" t="s">
        <v>3736</v>
      </c>
      <c r="X194" s="2485" t="s">
        <v>3737</v>
      </c>
      <c r="Y194" s="2485" t="s">
        <v>3738</v>
      </c>
      <c r="Z194" s="2485" t="s">
        <v>3739</v>
      </c>
      <c r="AA194" s="347"/>
    </row>
    <row r="195" spans="1:27" ht="12.75" customHeight="1">
      <c r="A195" s="8243"/>
      <c r="B195" s="242" t="str">
        <f t="shared" si="2"/>
        <v>Aire82</v>
      </c>
      <c r="D195" s="257" t="s">
        <v>9360</v>
      </c>
      <c r="E195" s="2487" t="s">
        <v>1461</v>
      </c>
      <c r="F195" s="2487">
        <v>82</v>
      </c>
      <c r="G195" s="2489" t="s">
        <v>2422</v>
      </c>
      <c r="H195" s="2489" t="s">
        <v>1095</v>
      </c>
      <c r="I195" s="351" t="s">
        <v>1165</v>
      </c>
      <c r="J195" s="2487">
        <v>10</v>
      </c>
      <c r="K195" s="2487">
        <v>12</v>
      </c>
      <c r="L195" s="2487">
        <v>14</v>
      </c>
      <c r="M195" s="348">
        <v>16</v>
      </c>
      <c r="N195" s="2487">
        <v>250</v>
      </c>
      <c r="O195" s="2487">
        <v>350</v>
      </c>
      <c r="P195" s="2487">
        <v>500</v>
      </c>
      <c r="Q195" s="348">
        <v>700</v>
      </c>
      <c r="R195" s="2487">
        <v>50</v>
      </c>
      <c r="S195" s="2487">
        <v>70</v>
      </c>
      <c r="T195" s="2487">
        <v>100</v>
      </c>
      <c r="U195" s="348">
        <v>140</v>
      </c>
      <c r="V195" s="2485" t="s">
        <v>3185</v>
      </c>
      <c r="W195" s="2485" t="s">
        <v>3186</v>
      </c>
      <c r="X195" s="2485" t="s">
        <v>3187</v>
      </c>
      <c r="Y195" s="2485" t="s">
        <v>3188</v>
      </c>
      <c r="Z195" s="2485" t="s">
        <v>3740</v>
      </c>
      <c r="AA195" s="347"/>
    </row>
    <row r="196" spans="1:27" ht="12.75" customHeight="1">
      <c r="A196" s="8243"/>
      <c r="B196" s="242" t="str">
        <f t="shared" si="2"/>
        <v>Aire86</v>
      </c>
      <c r="D196" s="257" t="s">
        <v>9361</v>
      </c>
      <c r="E196" s="2487" t="s">
        <v>1461</v>
      </c>
      <c r="F196" s="2487">
        <v>86</v>
      </c>
      <c r="G196" s="2489" t="s">
        <v>2422</v>
      </c>
      <c r="H196" s="2489" t="s">
        <v>1095</v>
      </c>
      <c r="I196" s="351" t="s">
        <v>1165</v>
      </c>
      <c r="J196" s="2487">
        <v>10</v>
      </c>
      <c r="K196" s="2487">
        <v>12</v>
      </c>
      <c r="L196" s="2487">
        <v>14</v>
      </c>
      <c r="M196" s="348">
        <v>16</v>
      </c>
      <c r="N196" s="2487">
        <v>160</v>
      </c>
      <c r="O196" s="2487">
        <v>280</v>
      </c>
      <c r="P196" s="2487">
        <v>400</v>
      </c>
      <c r="Q196" s="348">
        <v>550</v>
      </c>
      <c r="R196" s="2487">
        <v>35</v>
      </c>
      <c r="S196" s="2487">
        <v>40</v>
      </c>
      <c r="T196" s="2487">
        <v>50</v>
      </c>
      <c r="U196" s="348">
        <v>60</v>
      </c>
      <c r="V196" s="2485" t="s">
        <v>3741</v>
      </c>
      <c r="W196" s="2485" t="s">
        <v>3742</v>
      </c>
      <c r="X196" s="2485" t="s">
        <v>3743</v>
      </c>
      <c r="Y196" s="2485" t="s">
        <v>3744</v>
      </c>
      <c r="Z196" s="2485" t="s">
        <v>3745</v>
      </c>
      <c r="AA196" s="347"/>
    </row>
    <row r="197" spans="1:27" ht="12.75" customHeight="1">
      <c r="A197" s="8243"/>
      <c r="B197" s="242" t="str">
        <f t="shared" si="2"/>
        <v>Aire90</v>
      </c>
      <c r="D197" s="257" t="s">
        <v>9362</v>
      </c>
      <c r="E197" s="2487" t="s">
        <v>1461</v>
      </c>
      <c r="F197" s="2487">
        <v>90</v>
      </c>
      <c r="G197" s="2489" t="s">
        <v>2422</v>
      </c>
      <c r="H197" s="2489" t="s">
        <v>1095</v>
      </c>
      <c r="I197" s="351" t="s">
        <v>1165</v>
      </c>
      <c r="J197" s="2487">
        <v>9</v>
      </c>
      <c r="K197" s="2487">
        <v>11</v>
      </c>
      <c r="L197" s="2487">
        <v>13</v>
      </c>
      <c r="M197" s="348">
        <v>16</v>
      </c>
      <c r="N197" s="2487">
        <v>180</v>
      </c>
      <c r="O197" s="2487">
        <v>270</v>
      </c>
      <c r="P197" s="2487">
        <v>360</v>
      </c>
      <c r="Q197" s="348">
        <v>450</v>
      </c>
      <c r="R197" s="2487">
        <v>20</v>
      </c>
      <c r="S197" s="2487">
        <v>30</v>
      </c>
      <c r="T197" s="2487">
        <v>40</v>
      </c>
      <c r="U197" s="348">
        <v>45</v>
      </c>
      <c r="V197" s="2485" t="s">
        <v>3746</v>
      </c>
      <c r="W197" s="2485" t="s">
        <v>3747</v>
      </c>
      <c r="X197" s="2485" t="s">
        <v>3748</v>
      </c>
      <c r="Y197" s="2485" t="s">
        <v>3749</v>
      </c>
      <c r="Z197" s="2485" t="s">
        <v>12929</v>
      </c>
      <c r="AA197" s="347"/>
    </row>
    <row r="198" spans="1:27" ht="12.75" customHeight="1">
      <c r="A198" s="8243"/>
      <c r="B198" s="242" t="str">
        <f t="shared" si="2"/>
        <v>Aire92</v>
      </c>
      <c r="D198" s="257" t="s">
        <v>9234</v>
      </c>
      <c r="E198" s="2487" t="s">
        <v>1461</v>
      </c>
      <c r="F198" s="2487">
        <v>92</v>
      </c>
      <c r="G198" s="2489" t="s">
        <v>1241</v>
      </c>
      <c r="H198" s="2489" t="s">
        <v>1095</v>
      </c>
      <c r="I198" s="351" t="s">
        <v>1165</v>
      </c>
      <c r="J198" s="2487">
        <v>12</v>
      </c>
      <c r="K198" s="2487">
        <v>12</v>
      </c>
      <c r="L198" s="2487">
        <v>14</v>
      </c>
      <c r="M198" s="348">
        <v>16</v>
      </c>
      <c r="N198" s="2487">
        <v>300</v>
      </c>
      <c r="O198" s="2487">
        <v>400</v>
      </c>
      <c r="P198" s="2487">
        <v>550</v>
      </c>
      <c r="Q198" s="348">
        <v>800</v>
      </c>
      <c r="R198" s="2487">
        <v>30</v>
      </c>
      <c r="S198" s="2487">
        <v>40</v>
      </c>
      <c r="T198" s="2487">
        <v>55</v>
      </c>
      <c r="U198" s="348">
        <v>80</v>
      </c>
      <c r="V198" s="2485" t="s">
        <v>3750</v>
      </c>
      <c r="W198" s="2485" t="s">
        <v>3309</v>
      </c>
      <c r="X198" s="2485" t="s">
        <v>3310</v>
      </c>
      <c r="Y198" s="2485" t="s">
        <v>3311</v>
      </c>
      <c r="Z198" s="2485" t="s">
        <v>12930</v>
      </c>
      <c r="AA198" s="347"/>
    </row>
    <row r="199" spans="1:27" ht="12.75" customHeight="1">
      <c r="A199" s="8243"/>
      <c r="B199" s="242" t="str">
        <f t="shared" si="2"/>
        <v>Aire96</v>
      </c>
      <c r="D199" s="257" t="s">
        <v>9235</v>
      </c>
      <c r="E199" s="2487" t="s">
        <v>1461</v>
      </c>
      <c r="F199" s="2487">
        <v>96</v>
      </c>
      <c r="G199" s="2489" t="s">
        <v>2422</v>
      </c>
      <c r="H199" s="2489" t="s">
        <v>1096</v>
      </c>
      <c r="I199" s="351" t="s">
        <v>1165</v>
      </c>
      <c r="J199" s="2487">
        <v>10</v>
      </c>
      <c r="K199" s="2487">
        <v>12</v>
      </c>
      <c r="L199" s="2487">
        <v>14</v>
      </c>
      <c r="M199" s="348">
        <v>16</v>
      </c>
      <c r="N199" s="2487">
        <v>300</v>
      </c>
      <c r="O199" s="2487">
        <v>450</v>
      </c>
      <c r="P199" s="2487">
        <v>600</v>
      </c>
      <c r="Q199" s="348">
        <v>1000</v>
      </c>
      <c r="R199" s="2487">
        <v>30</v>
      </c>
      <c r="S199" s="2487">
        <v>45</v>
      </c>
      <c r="T199" s="2487">
        <v>60</v>
      </c>
      <c r="U199" s="348">
        <v>100</v>
      </c>
      <c r="V199" s="2485" t="s">
        <v>3751</v>
      </c>
      <c r="W199" s="2485" t="s">
        <v>3752</v>
      </c>
      <c r="X199" s="2485" t="s">
        <v>3753</v>
      </c>
      <c r="Y199" s="2485" t="s">
        <v>3754</v>
      </c>
      <c r="Z199" s="2485" t="s">
        <v>12931</v>
      </c>
      <c r="AA199" s="347"/>
    </row>
    <row r="200" spans="1:27" ht="12.75" customHeight="1">
      <c r="A200" s="8243"/>
      <c r="B200" s="242" t="str">
        <f t="shared" ref="B200:B263" si="3">E200&amp;F200</f>
        <v>Aire100</v>
      </c>
      <c r="D200" s="257" t="s">
        <v>9236</v>
      </c>
      <c r="E200" s="2487" t="s">
        <v>1461</v>
      </c>
      <c r="F200" s="2487">
        <v>100</v>
      </c>
      <c r="G200" s="2489" t="s">
        <v>1241</v>
      </c>
      <c r="H200" s="2489" t="s">
        <v>1096</v>
      </c>
      <c r="I200" s="351" t="s">
        <v>1165</v>
      </c>
      <c r="J200" s="2487">
        <v>12</v>
      </c>
      <c r="K200" s="2487">
        <v>14</v>
      </c>
      <c r="L200" s="2487">
        <v>16</v>
      </c>
      <c r="M200" s="348">
        <v>18</v>
      </c>
      <c r="N200" s="2487">
        <v>450</v>
      </c>
      <c r="O200" s="2487">
        <v>800</v>
      </c>
      <c r="P200" s="2487">
        <v>1200</v>
      </c>
      <c r="Q200" s="348">
        <v>1600</v>
      </c>
      <c r="R200" s="2487">
        <v>45</v>
      </c>
      <c r="S200" s="2487">
        <v>80</v>
      </c>
      <c r="T200" s="2487">
        <v>120</v>
      </c>
      <c r="U200" s="348">
        <v>200</v>
      </c>
      <c r="V200" s="2485" t="s">
        <v>3755</v>
      </c>
      <c r="W200" s="2485" t="s">
        <v>3756</v>
      </c>
      <c r="X200" s="2485" t="s">
        <v>3757</v>
      </c>
      <c r="Y200" s="2485" t="s">
        <v>3758</v>
      </c>
      <c r="Z200" s="2485" t="s">
        <v>3759</v>
      </c>
      <c r="AA200" s="347"/>
    </row>
    <row r="201" spans="1:27" ht="12.75" customHeight="1">
      <c r="A201" s="8243"/>
      <c r="B201" s="242" t="str">
        <f t="shared" si="3"/>
        <v/>
      </c>
      <c r="D201" s="257" t="s">
        <v>263</v>
      </c>
      <c r="E201" s="2487"/>
      <c r="F201" s="2487"/>
      <c r="G201" s="2489"/>
      <c r="H201" s="2489"/>
      <c r="I201" s="351"/>
      <c r="J201" s="2487"/>
      <c r="K201" s="2487"/>
      <c r="L201" s="2487"/>
      <c r="M201" s="348"/>
      <c r="N201" s="2487"/>
      <c r="O201" s="2487"/>
      <c r="P201" s="2487"/>
      <c r="Q201" s="348"/>
      <c r="R201" s="2487"/>
      <c r="S201" s="2487"/>
      <c r="T201" s="2487"/>
      <c r="U201" s="348"/>
      <c r="V201" s="2485"/>
      <c r="W201" s="2485"/>
      <c r="X201" s="2485"/>
      <c r="Y201" s="2485"/>
      <c r="Z201" s="2485"/>
      <c r="AA201" s="347"/>
    </row>
    <row r="202" spans="1:27" ht="12.75" customHeight="1">
      <c r="A202" s="8243"/>
      <c r="B202" s="242" t="str">
        <f t="shared" si="3"/>
        <v>Agua2</v>
      </c>
      <c r="D202" s="257" t="s">
        <v>9233</v>
      </c>
      <c r="E202" s="2487" t="s">
        <v>1464</v>
      </c>
      <c r="F202" s="2487">
        <v>2</v>
      </c>
      <c r="G202" s="2489" t="s">
        <v>2422</v>
      </c>
      <c r="H202" s="2489" t="s">
        <v>1095</v>
      </c>
      <c r="I202" s="351" t="s">
        <v>1165</v>
      </c>
      <c r="J202" s="2487">
        <v>5</v>
      </c>
      <c r="K202" s="2487">
        <v>7</v>
      </c>
      <c r="L202" s="2487">
        <v>10</v>
      </c>
      <c r="M202" s="348">
        <v>12</v>
      </c>
      <c r="N202" s="2487">
        <v>30</v>
      </c>
      <c r="O202" s="2487">
        <v>80</v>
      </c>
      <c r="P202" s="2487">
        <v>120</v>
      </c>
      <c r="Q202" s="348">
        <v>180</v>
      </c>
      <c r="R202" s="2487">
        <v>5</v>
      </c>
      <c r="S202" s="2487">
        <v>10</v>
      </c>
      <c r="T202" s="2487">
        <v>15</v>
      </c>
      <c r="U202" s="348">
        <v>20</v>
      </c>
      <c r="V202" s="2485" t="s">
        <v>3760</v>
      </c>
      <c r="W202" s="2485" t="s">
        <v>3761</v>
      </c>
      <c r="X202" s="2485" t="s">
        <v>3762</v>
      </c>
      <c r="Y202" s="2485" t="s">
        <v>3763</v>
      </c>
      <c r="Z202" s="2485" t="s">
        <v>3764</v>
      </c>
      <c r="AA202" s="347"/>
    </row>
    <row r="203" spans="1:27" ht="12.75" customHeight="1">
      <c r="A203" s="8243"/>
      <c r="B203" s="242" t="str">
        <f t="shared" si="3"/>
        <v>Agua6</v>
      </c>
      <c r="D203" s="257" t="s">
        <v>125</v>
      </c>
      <c r="E203" s="2487" t="s">
        <v>1464</v>
      </c>
      <c r="F203" s="2487">
        <v>6</v>
      </c>
      <c r="G203" s="2489" t="s">
        <v>2422</v>
      </c>
      <c r="H203" s="2489" t="s">
        <v>1095</v>
      </c>
      <c r="I203" s="351" t="s">
        <v>1165</v>
      </c>
      <c r="J203" s="2487">
        <v>5</v>
      </c>
      <c r="K203" s="2487">
        <v>7</v>
      </c>
      <c r="L203" s="2487">
        <v>10</v>
      </c>
      <c r="M203" s="348">
        <v>12</v>
      </c>
      <c r="N203" s="2487">
        <v>30</v>
      </c>
      <c r="O203" s="2487">
        <v>50</v>
      </c>
      <c r="P203" s="2487">
        <v>90</v>
      </c>
      <c r="Q203" s="348">
        <v>140</v>
      </c>
      <c r="R203" s="2487">
        <v>5</v>
      </c>
      <c r="S203" s="2487">
        <v>5</v>
      </c>
      <c r="T203" s="2487">
        <v>10</v>
      </c>
      <c r="U203" s="348">
        <v>15</v>
      </c>
      <c r="V203" s="2485" t="s">
        <v>3765</v>
      </c>
      <c r="W203" s="2485" t="s">
        <v>3766</v>
      </c>
      <c r="X203" s="2485" t="s">
        <v>3767</v>
      </c>
      <c r="Y203" s="2485" t="s">
        <v>3768</v>
      </c>
      <c r="Z203" s="2485" t="s">
        <v>3769</v>
      </c>
      <c r="AA203" s="347"/>
    </row>
    <row r="204" spans="1:27" ht="12.75" customHeight="1">
      <c r="A204" s="8243"/>
      <c r="B204" s="242" t="str">
        <f t="shared" si="3"/>
        <v>Agua10</v>
      </c>
      <c r="D204" s="257" t="s">
        <v>9237</v>
      </c>
      <c r="E204" s="2487" t="s">
        <v>1464</v>
      </c>
      <c r="F204" s="2487">
        <v>10</v>
      </c>
      <c r="G204" s="2489" t="s">
        <v>2422</v>
      </c>
      <c r="H204" s="2489" t="s">
        <v>1095</v>
      </c>
      <c r="I204" s="351" t="s">
        <v>1165</v>
      </c>
      <c r="J204" s="2487">
        <v>5</v>
      </c>
      <c r="K204" s="2487">
        <v>8</v>
      </c>
      <c r="L204" s="2487">
        <v>10</v>
      </c>
      <c r="M204" s="348">
        <v>12</v>
      </c>
      <c r="N204" s="2487">
        <v>50</v>
      </c>
      <c r="O204" s="2487">
        <v>70</v>
      </c>
      <c r="P204" s="2487">
        <v>100</v>
      </c>
      <c r="Q204" s="348">
        <v>140</v>
      </c>
      <c r="R204" s="2487">
        <v>10</v>
      </c>
      <c r="S204" s="2487">
        <v>20</v>
      </c>
      <c r="T204" s="2487">
        <v>20</v>
      </c>
      <c r="U204" s="348">
        <v>25</v>
      </c>
      <c r="V204" s="2485" t="s">
        <v>3770</v>
      </c>
      <c r="W204" s="2485" t="s">
        <v>3771</v>
      </c>
      <c r="X204" s="2485" t="s">
        <v>3772</v>
      </c>
      <c r="Y204" s="2485" t="s">
        <v>3773</v>
      </c>
      <c r="Z204" s="2485" t="s">
        <v>3774</v>
      </c>
      <c r="AA204" s="347"/>
    </row>
    <row r="205" spans="1:27" ht="12.75" customHeight="1">
      <c r="A205" s="8243"/>
      <c r="B205" s="242" t="str">
        <f t="shared" si="3"/>
        <v>Agua12</v>
      </c>
      <c r="D205" s="257" t="s">
        <v>134</v>
      </c>
      <c r="E205" s="2487" t="s">
        <v>1464</v>
      </c>
      <c r="F205" s="2487">
        <v>12</v>
      </c>
      <c r="G205" s="2489" t="s">
        <v>2422</v>
      </c>
      <c r="H205" s="2489" t="s">
        <v>1095</v>
      </c>
      <c r="I205" s="351" t="s">
        <v>1165</v>
      </c>
      <c r="J205" s="2487">
        <v>6</v>
      </c>
      <c r="K205" s="2487">
        <v>8</v>
      </c>
      <c r="L205" s="2487">
        <v>10</v>
      </c>
      <c r="M205" s="348">
        <v>13</v>
      </c>
      <c r="N205" s="2487">
        <v>50</v>
      </c>
      <c r="O205" s="2487">
        <v>140</v>
      </c>
      <c r="P205" s="2487">
        <v>200</v>
      </c>
      <c r="Q205" s="348">
        <v>300</v>
      </c>
      <c r="R205" s="2487">
        <v>5</v>
      </c>
      <c r="S205" s="2487">
        <v>10</v>
      </c>
      <c r="T205" s="2487">
        <v>10</v>
      </c>
      <c r="U205" s="348">
        <v>15</v>
      </c>
      <c r="V205" s="2485" t="s">
        <v>3775</v>
      </c>
      <c r="W205" s="2485" t="s">
        <v>3776</v>
      </c>
      <c r="X205" s="2485" t="s">
        <v>3777</v>
      </c>
      <c r="Y205" s="2485" t="s">
        <v>3778</v>
      </c>
      <c r="Z205" s="2485" t="s">
        <v>3779</v>
      </c>
      <c r="AA205" s="347"/>
    </row>
    <row r="206" spans="1:27" ht="12.75" customHeight="1">
      <c r="A206" s="8243"/>
      <c r="B206" s="242" t="str">
        <f t="shared" si="3"/>
        <v>Agua16</v>
      </c>
      <c r="D206" s="257" t="s">
        <v>9238</v>
      </c>
      <c r="E206" s="2487" t="s">
        <v>1464</v>
      </c>
      <c r="F206" s="2487">
        <v>16</v>
      </c>
      <c r="G206" s="2489" t="s">
        <v>1241</v>
      </c>
      <c r="H206" s="2489" t="s">
        <v>1424</v>
      </c>
      <c r="I206" s="351" t="s">
        <v>1166</v>
      </c>
      <c r="J206" s="2487">
        <v>6</v>
      </c>
      <c r="K206" s="2487">
        <v>9</v>
      </c>
      <c r="L206" s="2487">
        <v>12</v>
      </c>
      <c r="M206" s="348">
        <v>15</v>
      </c>
      <c r="N206" s="2487">
        <v>40</v>
      </c>
      <c r="O206" s="2487">
        <v>90</v>
      </c>
      <c r="P206" s="2487">
        <v>140</v>
      </c>
      <c r="Q206" s="348">
        <v>220</v>
      </c>
      <c r="R206" s="2487">
        <v>5</v>
      </c>
      <c r="S206" s="2487">
        <v>5</v>
      </c>
      <c r="T206" s="2487">
        <v>10</v>
      </c>
      <c r="U206" s="348">
        <v>10</v>
      </c>
      <c r="V206" s="2485" t="s">
        <v>3780</v>
      </c>
      <c r="W206" s="2485" t="s">
        <v>3781</v>
      </c>
      <c r="X206" s="2485" t="s">
        <v>3782</v>
      </c>
      <c r="Y206" s="2485" t="s">
        <v>3783</v>
      </c>
      <c r="Z206" s="2485" t="s">
        <v>3784</v>
      </c>
      <c r="AA206" s="347"/>
    </row>
    <row r="207" spans="1:27" ht="12.75" customHeight="1">
      <c r="A207" s="8243"/>
      <c r="B207" s="242" t="str">
        <f t="shared" si="3"/>
        <v>Agua20</v>
      </c>
      <c r="D207" s="257" t="s">
        <v>9239</v>
      </c>
      <c r="E207" s="2487" t="s">
        <v>1464</v>
      </c>
      <c r="F207" s="2487">
        <v>20</v>
      </c>
      <c r="G207" s="2489" t="s">
        <v>1241</v>
      </c>
      <c r="H207" s="2489" t="s">
        <v>1093</v>
      </c>
      <c r="I207" s="351" t="s">
        <v>1165</v>
      </c>
      <c r="J207" s="2487">
        <v>5</v>
      </c>
      <c r="K207" s="2487">
        <v>8</v>
      </c>
      <c r="L207" s="2487">
        <v>10</v>
      </c>
      <c r="M207" s="348">
        <v>12</v>
      </c>
      <c r="N207" s="2487">
        <v>50</v>
      </c>
      <c r="O207" s="2487">
        <v>90</v>
      </c>
      <c r="P207" s="2487">
        <v>140</v>
      </c>
      <c r="Q207" s="348">
        <v>200</v>
      </c>
      <c r="R207" s="2487" t="s">
        <v>1241</v>
      </c>
      <c r="S207" s="2487" t="s">
        <v>1241</v>
      </c>
      <c r="T207" s="2487" t="s">
        <v>1241</v>
      </c>
      <c r="U207" s="348" t="s">
        <v>1241</v>
      </c>
      <c r="V207" s="2485" t="s">
        <v>3785</v>
      </c>
      <c r="W207" s="2485" t="s">
        <v>3786</v>
      </c>
      <c r="X207" s="2485" t="s">
        <v>3787</v>
      </c>
      <c r="Y207" s="2485" t="s">
        <v>3788</v>
      </c>
      <c r="Z207" s="2485" t="s">
        <v>12932</v>
      </c>
      <c r="AA207" s="347"/>
    </row>
    <row r="208" spans="1:27" ht="12.75" customHeight="1">
      <c r="A208" s="8243"/>
      <c r="B208" s="242" t="str">
        <f t="shared" si="3"/>
        <v>Agua22</v>
      </c>
      <c r="D208" s="257" t="s">
        <v>9232</v>
      </c>
      <c r="E208" s="2487" t="s">
        <v>1464</v>
      </c>
      <c r="F208" s="2487">
        <v>22</v>
      </c>
      <c r="G208" s="2489" t="s">
        <v>2422</v>
      </c>
      <c r="H208" s="2489" t="s">
        <v>3789</v>
      </c>
      <c r="I208" s="351" t="s">
        <v>1165</v>
      </c>
      <c r="J208" s="2487">
        <v>6</v>
      </c>
      <c r="K208" s="2487">
        <v>9</v>
      </c>
      <c r="L208" s="2487">
        <v>12</v>
      </c>
      <c r="M208" s="348">
        <v>15</v>
      </c>
      <c r="N208" s="2487">
        <v>60</v>
      </c>
      <c r="O208" s="2487">
        <v>100</v>
      </c>
      <c r="P208" s="2487">
        <v>150</v>
      </c>
      <c r="Q208" s="348">
        <v>220</v>
      </c>
      <c r="R208" s="2487">
        <v>10</v>
      </c>
      <c r="S208" s="2487">
        <v>10</v>
      </c>
      <c r="T208" s="2487">
        <v>15</v>
      </c>
      <c r="U208" s="348">
        <v>15</v>
      </c>
      <c r="V208" s="2485" t="s">
        <v>3790</v>
      </c>
      <c r="W208" s="2485" t="s">
        <v>3791</v>
      </c>
      <c r="X208" s="2485" t="s">
        <v>3792</v>
      </c>
      <c r="Y208" s="2485" t="s">
        <v>3793</v>
      </c>
      <c r="Z208" s="2485" t="s">
        <v>3794</v>
      </c>
      <c r="AA208" s="347"/>
    </row>
    <row r="209" spans="1:27" ht="12.75" customHeight="1">
      <c r="A209" s="8243"/>
      <c r="B209" s="242" t="str">
        <f t="shared" si="3"/>
        <v>Agua26</v>
      </c>
      <c r="D209" s="257" t="s">
        <v>9231</v>
      </c>
      <c r="E209" s="2487" t="s">
        <v>1464</v>
      </c>
      <c r="F209" s="2487">
        <v>26</v>
      </c>
      <c r="G209" s="2489" t="s">
        <v>1241</v>
      </c>
      <c r="H209" s="2489" t="s">
        <v>1095</v>
      </c>
      <c r="I209" s="351" t="s">
        <v>1165</v>
      </c>
      <c r="J209" s="2487">
        <v>6</v>
      </c>
      <c r="K209" s="2487">
        <v>9</v>
      </c>
      <c r="L209" s="2487">
        <v>12</v>
      </c>
      <c r="M209" s="348">
        <v>15</v>
      </c>
      <c r="N209" s="2487">
        <v>60</v>
      </c>
      <c r="O209" s="2487">
        <v>90</v>
      </c>
      <c r="P209" s="2487">
        <v>120</v>
      </c>
      <c r="Q209" s="348">
        <v>150</v>
      </c>
      <c r="R209" s="2487">
        <v>5</v>
      </c>
      <c r="S209" s="2487">
        <v>5</v>
      </c>
      <c r="T209" s="2487">
        <v>10</v>
      </c>
      <c r="U209" s="348">
        <v>10</v>
      </c>
      <c r="V209" s="2485" t="s">
        <v>3795</v>
      </c>
      <c r="W209" s="2485" t="s">
        <v>3796</v>
      </c>
      <c r="X209" s="2485" t="s">
        <v>9230</v>
      </c>
      <c r="Y209" s="2485" t="s">
        <v>9463</v>
      </c>
      <c r="Z209" s="2485" t="s">
        <v>3797</v>
      </c>
      <c r="AA209" s="347"/>
    </row>
    <row r="210" spans="1:27" ht="12.75" customHeight="1">
      <c r="A210" s="8243"/>
      <c r="B210" s="242" t="str">
        <f t="shared" si="3"/>
        <v>Agua30</v>
      </c>
      <c r="D210" s="257" t="s">
        <v>9363</v>
      </c>
      <c r="E210" s="2487" t="s">
        <v>1464</v>
      </c>
      <c r="F210" s="2487">
        <v>30</v>
      </c>
      <c r="G210" s="2489" t="s">
        <v>2422</v>
      </c>
      <c r="H210" s="2489" t="s">
        <v>3789</v>
      </c>
      <c r="I210" s="351" t="s">
        <v>1165</v>
      </c>
      <c r="J210" s="2487">
        <v>6</v>
      </c>
      <c r="K210" s="2487">
        <v>9</v>
      </c>
      <c r="L210" s="2487">
        <v>12</v>
      </c>
      <c r="M210" s="348">
        <v>15</v>
      </c>
      <c r="N210" s="2487">
        <v>50</v>
      </c>
      <c r="O210" s="2487">
        <v>80</v>
      </c>
      <c r="P210" s="2487">
        <v>120</v>
      </c>
      <c r="Q210" s="348">
        <v>180</v>
      </c>
      <c r="R210" s="2487">
        <v>5</v>
      </c>
      <c r="S210" s="2487">
        <v>10</v>
      </c>
      <c r="T210" s="2487">
        <v>15</v>
      </c>
      <c r="U210" s="348">
        <v>20</v>
      </c>
      <c r="V210" s="2485" t="s">
        <v>3798</v>
      </c>
      <c r="W210" s="2485" t="s">
        <v>3799</v>
      </c>
      <c r="X210" s="2485" t="s">
        <v>3800</v>
      </c>
      <c r="Y210" s="2485" t="s">
        <v>3801</v>
      </c>
      <c r="Z210" s="2485" t="s">
        <v>12933</v>
      </c>
      <c r="AA210" s="347"/>
    </row>
    <row r="211" spans="1:27" ht="12.75" customHeight="1">
      <c r="A211" s="8243"/>
      <c r="B211" s="242" t="str">
        <f t="shared" si="3"/>
        <v>Agua32</v>
      </c>
      <c r="D211" s="257" t="s">
        <v>129</v>
      </c>
      <c r="E211" s="2487" t="s">
        <v>1464</v>
      </c>
      <c r="F211" s="2487">
        <v>32</v>
      </c>
      <c r="G211" s="2489" t="s">
        <v>2422</v>
      </c>
      <c r="H211" s="2489" t="s">
        <v>3789</v>
      </c>
      <c r="I211" s="351" t="s">
        <v>1165</v>
      </c>
      <c r="J211" s="2487">
        <v>6</v>
      </c>
      <c r="K211" s="2487">
        <v>9</v>
      </c>
      <c r="L211" s="2487">
        <v>12</v>
      </c>
      <c r="M211" s="348">
        <v>15</v>
      </c>
      <c r="N211" s="2487">
        <v>60</v>
      </c>
      <c r="O211" s="2487">
        <v>100</v>
      </c>
      <c r="P211" s="2487">
        <v>140</v>
      </c>
      <c r="Q211" s="348">
        <v>220</v>
      </c>
      <c r="R211" s="2487">
        <v>10</v>
      </c>
      <c r="S211" s="2487">
        <v>10</v>
      </c>
      <c r="T211" s="2487">
        <v>15</v>
      </c>
      <c r="U211" s="348">
        <v>15</v>
      </c>
      <c r="V211" s="2485" t="s">
        <v>3802</v>
      </c>
      <c r="W211" s="2485" t="s">
        <v>3803</v>
      </c>
      <c r="X211" s="2485" t="s">
        <v>3804</v>
      </c>
      <c r="Y211" s="2485" t="s">
        <v>3805</v>
      </c>
      <c r="Z211" s="2485" t="s">
        <v>12934</v>
      </c>
      <c r="AA211" s="347"/>
    </row>
    <row r="212" spans="1:27" ht="12.75" customHeight="1">
      <c r="A212" s="8243"/>
      <c r="B212" s="242" t="str">
        <f t="shared" si="3"/>
        <v>Agua36</v>
      </c>
      <c r="D212" s="257" t="s">
        <v>9364</v>
      </c>
      <c r="E212" s="2487" t="s">
        <v>1464</v>
      </c>
      <c r="F212" s="2487">
        <v>36</v>
      </c>
      <c r="G212" s="2489" t="s">
        <v>1241</v>
      </c>
      <c r="H212" s="2489" t="s">
        <v>1424</v>
      </c>
      <c r="I212" s="351" t="s">
        <v>1166</v>
      </c>
      <c r="J212" s="2487">
        <v>6</v>
      </c>
      <c r="K212" s="2487">
        <v>9</v>
      </c>
      <c r="L212" s="2487">
        <v>12</v>
      </c>
      <c r="M212" s="348">
        <v>15</v>
      </c>
      <c r="N212" s="2487">
        <v>60</v>
      </c>
      <c r="O212" s="2487">
        <v>180</v>
      </c>
      <c r="P212" s="2487">
        <v>240</v>
      </c>
      <c r="Q212" s="348">
        <v>300</v>
      </c>
      <c r="R212" s="2487">
        <v>10</v>
      </c>
      <c r="S212" s="2487">
        <v>10</v>
      </c>
      <c r="T212" s="2487">
        <v>15</v>
      </c>
      <c r="U212" s="348">
        <v>15</v>
      </c>
      <c r="V212" s="2485" t="s">
        <v>3806</v>
      </c>
      <c r="W212" s="2485" t="s">
        <v>3807</v>
      </c>
      <c r="X212" s="2485" t="s">
        <v>3808</v>
      </c>
      <c r="Y212" s="2485" t="s">
        <v>3809</v>
      </c>
      <c r="Z212" s="2486" t="s">
        <v>9668</v>
      </c>
      <c r="AA212" s="347"/>
    </row>
    <row r="213" spans="1:27" ht="12.75" customHeight="1">
      <c r="A213" s="8243"/>
      <c r="B213" s="242" t="str">
        <f t="shared" si="3"/>
        <v>Agua40</v>
      </c>
      <c r="D213" s="257" t="s">
        <v>9365</v>
      </c>
      <c r="E213" s="2487" t="s">
        <v>1464</v>
      </c>
      <c r="F213" s="2487">
        <v>40</v>
      </c>
      <c r="G213" s="2489" t="s">
        <v>2422</v>
      </c>
      <c r="H213" s="2489" t="s">
        <v>1095</v>
      </c>
      <c r="I213" s="351" t="s">
        <v>1165</v>
      </c>
      <c r="J213" s="2487">
        <v>6</v>
      </c>
      <c r="K213" s="2487">
        <v>9</v>
      </c>
      <c r="L213" s="2487">
        <v>12</v>
      </c>
      <c r="M213" s="348">
        <v>16</v>
      </c>
      <c r="N213" s="2487">
        <v>80</v>
      </c>
      <c r="O213" s="2487">
        <v>140</v>
      </c>
      <c r="P213" s="2487">
        <v>240</v>
      </c>
      <c r="Q213" s="348">
        <v>350</v>
      </c>
      <c r="R213" s="2487">
        <v>10</v>
      </c>
      <c r="S213" s="2487">
        <v>20</v>
      </c>
      <c r="T213" s="2487">
        <v>25</v>
      </c>
      <c r="U213" s="348">
        <v>30</v>
      </c>
      <c r="V213" s="2485" t="s">
        <v>3810</v>
      </c>
      <c r="W213" s="2485" t="s">
        <v>3811</v>
      </c>
      <c r="X213" s="2485" t="s">
        <v>3812</v>
      </c>
      <c r="Y213" s="2485" t="s">
        <v>3813</v>
      </c>
      <c r="Z213" s="2485" t="s">
        <v>3814</v>
      </c>
      <c r="AA213" s="347"/>
    </row>
    <row r="214" spans="1:27" ht="12.75" customHeight="1">
      <c r="A214" s="8243"/>
      <c r="B214" s="242" t="str">
        <f t="shared" si="3"/>
        <v>Agua42</v>
      </c>
      <c r="D214" s="257" t="s">
        <v>9366</v>
      </c>
      <c r="E214" s="2487" t="s">
        <v>1464</v>
      </c>
      <c r="F214" s="2487">
        <v>42</v>
      </c>
      <c r="G214" s="2489" t="s">
        <v>1241</v>
      </c>
      <c r="H214" s="2489" t="s">
        <v>1093</v>
      </c>
      <c r="I214" s="351" t="s">
        <v>1165</v>
      </c>
      <c r="J214" s="2487">
        <v>6</v>
      </c>
      <c r="K214" s="2487">
        <v>9</v>
      </c>
      <c r="L214" s="2487">
        <v>12</v>
      </c>
      <c r="M214" s="348">
        <v>15</v>
      </c>
      <c r="N214" s="2487">
        <v>80</v>
      </c>
      <c r="O214" s="2487">
        <v>160</v>
      </c>
      <c r="P214" s="2487">
        <v>240</v>
      </c>
      <c r="Q214" s="348">
        <v>300</v>
      </c>
      <c r="R214" s="2487" t="s">
        <v>1241</v>
      </c>
      <c r="S214" s="2487" t="s">
        <v>1241</v>
      </c>
      <c r="T214" s="2487" t="s">
        <v>1241</v>
      </c>
      <c r="U214" s="348" t="s">
        <v>1241</v>
      </c>
      <c r="V214" s="2485" t="s">
        <v>3815</v>
      </c>
      <c r="W214" s="2485" t="s">
        <v>3079</v>
      </c>
      <c r="X214" s="2485" t="s">
        <v>3816</v>
      </c>
      <c r="Y214" s="2485" t="s">
        <v>3817</v>
      </c>
      <c r="Z214" s="2485" t="s">
        <v>3818</v>
      </c>
      <c r="AA214" s="347"/>
    </row>
    <row r="215" spans="1:27" ht="12.75" customHeight="1">
      <c r="A215" s="8243"/>
      <c r="B215" s="242" t="str">
        <f t="shared" si="3"/>
        <v>Agua46</v>
      </c>
      <c r="D215" s="257" t="s">
        <v>9367</v>
      </c>
      <c r="E215" s="2487" t="s">
        <v>1464</v>
      </c>
      <c r="F215" s="2487">
        <v>46</v>
      </c>
      <c r="G215" s="2489" t="s">
        <v>1241</v>
      </c>
      <c r="H215" s="2489" t="s">
        <v>3789</v>
      </c>
      <c r="I215" s="351" t="s">
        <v>1165</v>
      </c>
      <c r="J215" s="2487">
        <v>8</v>
      </c>
      <c r="K215" s="2487">
        <v>10</v>
      </c>
      <c r="L215" s="2487">
        <v>12</v>
      </c>
      <c r="M215" s="348">
        <v>14</v>
      </c>
      <c r="N215" s="2487">
        <v>80</v>
      </c>
      <c r="O215" s="2487">
        <v>120</v>
      </c>
      <c r="P215" s="2487">
        <v>150</v>
      </c>
      <c r="Q215" s="348">
        <v>200</v>
      </c>
      <c r="R215" s="2487">
        <v>5</v>
      </c>
      <c r="S215" s="2487">
        <v>10</v>
      </c>
      <c r="T215" s="2487">
        <v>15</v>
      </c>
      <c r="U215" s="348">
        <v>20</v>
      </c>
      <c r="V215" s="2485" t="s">
        <v>3819</v>
      </c>
      <c r="W215" s="2485" t="s">
        <v>3820</v>
      </c>
      <c r="X215" s="2485" t="s">
        <v>3821</v>
      </c>
      <c r="Y215" s="2485" t="s">
        <v>3822</v>
      </c>
      <c r="Z215" s="2485" t="s">
        <v>3823</v>
      </c>
      <c r="AA215" s="347"/>
    </row>
    <row r="216" spans="1:27" ht="12.75" customHeight="1">
      <c r="A216" s="8243"/>
      <c r="B216" s="242" t="str">
        <f t="shared" si="3"/>
        <v>Agua50</v>
      </c>
      <c r="D216" s="257" t="s">
        <v>9368</v>
      </c>
      <c r="E216" s="2487" t="s">
        <v>1464</v>
      </c>
      <c r="F216" s="2487">
        <v>50</v>
      </c>
      <c r="G216" s="2489" t="s">
        <v>1241</v>
      </c>
      <c r="H216" s="2489" t="s">
        <v>3789</v>
      </c>
      <c r="I216" s="351" t="s">
        <v>1165</v>
      </c>
      <c r="J216" s="2487">
        <v>7</v>
      </c>
      <c r="K216" s="2487">
        <v>10</v>
      </c>
      <c r="L216" s="2487">
        <v>13</v>
      </c>
      <c r="M216" s="348">
        <v>15</v>
      </c>
      <c r="N216" s="2487">
        <v>80</v>
      </c>
      <c r="O216" s="2487">
        <v>160</v>
      </c>
      <c r="P216" s="2487">
        <v>240</v>
      </c>
      <c r="Q216" s="348">
        <v>350</v>
      </c>
      <c r="R216" s="2487">
        <v>5</v>
      </c>
      <c r="S216" s="2487">
        <v>10</v>
      </c>
      <c r="T216" s="2487">
        <v>15</v>
      </c>
      <c r="U216" s="348">
        <v>20</v>
      </c>
      <c r="V216" s="2485" t="s">
        <v>3824</v>
      </c>
      <c r="W216" s="2485" t="s">
        <v>3825</v>
      </c>
      <c r="X216" s="2485" t="s">
        <v>3826</v>
      </c>
      <c r="Y216" s="2485" t="s">
        <v>3827</v>
      </c>
      <c r="Z216" s="2485" t="s">
        <v>3828</v>
      </c>
      <c r="AA216" s="347"/>
    </row>
    <row r="217" spans="1:27" ht="12.75" customHeight="1">
      <c r="A217" s="8243"/>
      <c r="B217" s="242" t="str">
        <f t="shared" si="3"/>
        <v>Agua52</v>
      </c>
      <c r="D217" s="257" t="s">
        <v>9369</v>
      </c>
      <c r="E217" s="2487" t="s">
        <v>1464</v>
      </c>
      <c r="F217" s="2487">
        <v>52</v>
      </c>
      <c r="G217" s="2489" t="s">
        <v>1241</v>
      </c>
      <c r="H217" s="2489" t="s">
        <v>1095</v>
      </c>
      <c r="I217" s="351" t="s">
        <v>1165</v>
      </c>
      <c r="J217" s="2487">
        <v>8</v>
      </c>
      <c r="K217" s="2487">
        <v>11</v>
      </c>
      <c r="L217" s="2487">
        <v>13</v>
      </c>
      <c r="M217" s="348">
        <v>16</v>
      </c>
      <c r="N217" s="2487">
        <v>100</v>
      </c>
      <c r="O217" s="2487">
        <v>120</v>
      </c>
      <c r="P217" s="2487">
        <v>140</v>
      </c>
      <c r="Q217" s="348">
        <v>160</v>
      </c>
      <c r="R217" s="2487">
        <v>10</v>
      </c>
      <c r="S217" s="2487">
        <v>15</v>
      </c>
      <c r="T217" s="2487">
        <v>15</v>
      </c>
      <c r="U217" s="348">
        <v>20</v>
      </c>
      <c r="V217" s="2485" t="s">
        <v>3829</v>
      </c>
      <c r="W217" s="2485" t="s">
        <v>3830</v>
      </c>
      <c r="X217" s="2485" t="s">
        <v>3831</v>
      </c>
      <c r="Y217" s="2485" t="s">
        <v>3832</v>
      </c>
      <c r="Z217" s="2485" t="s">
        <v>3833</v>
      </c>
      <c r="AA217" s="347"/>
    </row>
    <row r="218" spans="1:27" ht="12.75" customHeight="1">
      <c r="A218" s="8243"/>
      <c r="B218" s="242" t="str">
        <f t="shared" si="3"/>
        <v>Agua56</v>
      </c>
      <c r="D218" s="257" t="s">
        <v>9370</v>
      </c>
      <c r="E218" s="2487" t="s">
        <v>1464</v>
      </c>
      <c r="F218" s="2487">
        <v>56</v>
      </c>
      <c r="G218" s="2489" t="s">
        <v>1241</v>
      </c>
      <c r="H218" s="2489" t="s">
        <v>3834</v>
      </c>
      <c r="I218" s="351" t="s">
        <v>1166</v>
      </c>
      <c r="J218" s="2487">
        <v>7</v>
      </c>
      <c r="K218" s="2487">
        <v>10</v>
      </c>
      <c r="L218" s="2487">
        <v>13</v>
      </c>
      <c r="M218" s="348">
        <v>16</v>
      </c>
      <c r="N218" s="2487">
        <v>120</v>
      </c>
      <c r="O218" s="2487">
        <v>180</v>
      </c>
      <c r="P218" s="2487">
        <v>240</v>
      </c>
      <c r="Q218" s="348">
        <v>320</v>
      </c>
      <c r="R218" s="2487" t="s">
        <v>1241</v>
      </c>
      <c r="S218" s="2487" t="s">
        <v>1241</v>
      </c>
      <c r="T218" s="2487" t="s">
        <v>1241</v>
      </c>
      <c r="U218" s="348" t="s">
        <v>1241</v>
      </c>
      <c r="V218" s="2485" t="s">
        <v>3294</v>
      </c>
      <c r="W218" s="2485" t="s">
        <v>3835</v>
      </c>
      <c r="X218" s="2485" t="s">
        <v>3836</v>
      </c>
      <c r="Y218" s="2485" t="s">
        <v>3154</v>
      </c>
      <c r="Z218" s="2485" t="s">
        <v>3837</v>
      </c>
      <c r="AA218" s="347"/>
    </row>
    <row r="219" spans="1:27" ht="12.75" customHeight="1">
      <c r="A219" s="8243"/>
      <c r="B219" s="242" t="str">
        <f t="shared" si="3"/>
        <v>Agua60</v>
      </c>
      <c r="D219" s="257" t="s">
        <v>9371</v>
      </c>
      <c r="E219" s="2487" t="s">
        <v>1464</v>
      </c>
      <c r="F219" s="2487">
        <v>60</v>
      </c>
      <c r="G219" s="2489" t="s">
        <v>1241</v>
      </c>
      <c r="H219" s="2489" t="s">
        <v>3048</v>
      </c>
      <c r="I219" s="351" t="s">
        <v>1165</v>
      </c>
      <c r="J219" s="2487">
        <v>7</v>
      </c>
      <c r="K219" s="2487">
        <v>10</v>
      </c>
      <c r="L219" s="2487">
        <v>12</v>
      </c>
      <c r="M219" s="348">
        <v>15</v>
      </c>
      <c r="N219" s="2487">
        <v>120</v>
      </c>
      <c r="O219" s="2487">
        <v>180</v>
      </c>
      <c r="P219" s="2487">
        <v>240</v>
      </c>
      <c r="Q219" s="348">
        <v>320</v>
      </c>
      <c r="R219" s="2487">
        <v>10</v>
      </c>
      <c r="S219" s="2487">
        <v>10</v>
      </c>
      <c r="T219" s="2487">
        <v>15</v>
      </c>
      <c r="U219" s="348">
        <v>15</v>
      </c>
      <c r="V219" s="2485" t="s">
        <v>3283</v>
      </c>
      <c r="W219" s="2485" t="s">
        <v>3838</v>
      </c>
      <c r="X219" s="2485" t="s">
        <v>3839</v>
      </c>
      <c r="Y219" s="2485" t="s">
        <v>3840</v>
      </c>
      <c r="Z219" s="2485" t="s">
        <v>3841</v>
      </c>
      <c r="AA219" s="347"/>
    </row>
    <row r="220" spans="1:27" ht="12.75" customHeight="1">
      <c r="A220" s="8243"/>
      <c r="B220" s="242" t="str">
        <f t="shared" si="3"/>
        <v>Agua62</v>
      </c>
      <c r="D220" s="257" t="s">
        <v>9372</v>
      </c>
      <c r="E220" s="2487" t="s">
        <v>1464</v>
      </c>
      <c r="F220" s="2487">
        <v>62</v>
      </c>
      <c r="G220" s="2489" t="s">
        <v>2422</v>
      </c>
      <c r="H220" s="2489" t="s">
        <v>1095</v>
      </c>
      <c r="I220" s="351" t="s">
        <v>1165</v>
      </c>
      <c r="J220" s="2487">
        <v>6</v>
      </c>
      <c r="K220" s="2487">
        <v>9</v>
      </c>
      <c r="L220" s="2487">
        <v>12</v>
      </c>
      <c r="M220" s="348">
        <v>15</v>
      </c>
      <c r="N220" s="2487">
        <v>150</v>
      </c>
      <c r="O220" s="2487">
        <v>300</v>
      </c>
      <c r="P220" s="2487">
        <v>450</v>
      </c>
      <c r="Q220" s="348">
        <v>600</v>
      </c>
      <c r="R220" s="2487">
        <v>15</v>
      </c>
      <c r="S220" s="2487">
        <v>30</v>
      </c>
      <c r="T220" s="2487">
        <v>45</v>
      </c>
      <c r="U220" s="348">
        <v>60</v>
      </c>
      <c r="V220" s="2485" t="s">
        <v>3842</v>
      </c>
      <c r="W220" s="2485" t="s">
        <v>3843</v>
      </c>
      <c r="X220" s="2485" t="s">
        <v>3844</v>
      </c>
      <c r="Y220" s="2485" t="s">
        <v>3845</v>
      </c>
      <c r="Z220" s="2485" t="s">
        <v>3846</v>
      </c>
      <c r="AA220" s="347"/>
    </row>
    <row r="221" spans="1:27" ht="12.75" customHeight="1">
      <c r="A221" s="8243"/>
      <c r="B221" s="242" t="str">
        <f t="shared" si="3"/>
        <v>Agua66</v>
      </c>
      <c r="D221" s="257" t="s">
        <v>9373</v>
      </c>
      <c r="E221" s="2487" t="s">
        <v>1464</v>
      </c>
      <c r="F221" s="2487">
        <v>66</v>
      </c>
      <c r="G221" s="2489" t="s">
        <v>1241</v>
      </c>
      <c r="H221" s="2489" t="s">
        <v>3048</v>
      </c>
      <c r="I221" s="351" t="s">
        <v>1165</v>
      </c>
      <c r="J221" s="2487">
        <v>7</v>
      </c>
      <c r="K221" s="2487">
        <v>10</v>
      </c>
      <c r="L221" s="2487">
        <v>13</v>
      </c>
      <c r="M221" s="348">
        <v>16</v>
      </c>
      <c r="N221" s="2487">
        <v>140</v>
      </c>
      <c r="O221" s="2487">
        <v>200</v>
      </c>
      <c r="P221" s="2487">
        <v>280</v>
      </c>
      <c r="Q221" s="348">
        <v>350</v>
      </c>
      <c r="R221" s="2487">
        <v>10</v>
      </c>
      <c r="S221" s="2487">
        <v>10</v>
      </c>
      <c r="T221" s="2487">
        <v>15</v>
      </c>
      <c r="U221" s="348">
        <v>20</v>
      </c>
      <c r="V221" s="2485" t="s">
        <v>3847</v>
      </c>
      <c r="W221" s="2485" t="s">
        <v>3848</v>
      </c>
      <c r="X221" s="2485" t="s">
        <v>3849</v>
      </c>
      <c r="Y221" s="2485" t="s">
        <v>3850</v>
      </c>
      <c r="Z221" s="2485" t="s">
        <v>12935</v>
      </c>
      <c r="AA221" s="347"/>
    </row>
    <row r="222" spans="1:27" ht="12.75" customHeight="1">
      <c r="A222" s="8243"/>
      <c r="B222" s="242" t="str">
        <f t="shared" si="3"/>
        <v>Agua70</v>
      </c>
      <c r="D222" s="257" t="s">
        <v>9374</v>
      </c>
      <c r="E222" s="2487" t="s">
        <v>1464</v>
      </c>
      <c r="F222" s="2487">
        <v>70</v>
      </c>
      <c r="G222" s="2489" t="s">
        <v>2422</v>
      </c>
      <c r="H222" s="2489" t="s">
        <v>1095</v>
      </c>
      <c r="I222" s="351" t="s">
        <v>1165</v>
      </c>
      <c r="J222" s="2487">
        <v>10</v>
      </c>
      <c r="K222" s="2487">
        <v>12</v>
      </c>
      <c r="L222" s="2487">
        <v>14</v>
      </c>
      <c r="M222" s="348">
        <v>16</v>
      </c>
      <c r="N222" s="2487">
        <v>200</v>
      </c>
      <c r="O222" s="2487">
        <v>300</v>
      </c>
      <c r="P222" s="2487">
        <v>400</v>
      </c>
      <c r="Q222" s="348">
        <v>500</v>
      </c>
      <c r="R222" s="2487">
        <v>40</v>
      </c>
      <c r="S222" s="2487">
        <v>60</v>
      </c>
      <c r="T222" s="2487">
        <v>80</v>
      </c>
      <c r="U222" s="348">
        <v>100</v>
      </c>
      <c r="V222" s="2485" t="s">
        <v>3851</v>
      </c>
      <c r="W222" s="2485" t="s">
        <v>3852</v>
      </c>
      <c r="X222" s="2485" t="s">
        <v>3853</v>
      </c>
      <c r="Y222" s="2485" t="s">
        <v>3854</v>
      </c>
      <c r="Z222" s="2485" t="s">
        <v>3855</v>
      </c>
      <c r="AA222" s="347"/>
    </row>
    <row r="223" spans="1:27" ht="12.75" customHeight="1">
      <c r="A223" s="8243"/>
      <c r="B223" s="242" t="str">
        <f t="shared" si="3"/>
        <v>Agua72</v>
      </c>
      <c r="D223" s="257" t="s">
        <v>2908</v>
      </c>
      <c r="E223" s="2487" t="s">
        <v>1464</v>
      </c>
      <c r="F223" s="2487">
        <v>72</v>
      </c>
      <c r="G223" s="2489" t="s">
        <v>1241</v>
      </c>
      <c r="H223" s="2489" t="s">
        <v>1095</v>
      </c>
      <c r="I223" s="351" t="s">
        <v>1165</v>
      </c>
      <c r="J223" s="2487">
        <v>10</v>
      </c>
      <c r="K223" s="2487">
        <v>12</v>
      </c>
      <c r="L223" s="2487">
        <v>15</v>
      </c>
      <c r="M223" s="348">
        <v>17</v>
      </c>
      <c r="N223" s="2487">
        <v>250</v>
      </c>
      <c r="O223" s="2487">
        <v>350</v>
      </c>
      <c r="P223" s="2487">
        <v>450</v>
      </c>
      <c r="Q223" s="348">
        <v>550</v>
      </c>
      <c r="R223" s="2487" t="s">
        <v>1241</v>
      </c>
      <c r="S223" s="2487" t="s">
        <v>1241</v>
      </c>
      <c r="T223" s="2487" t="s">
        <v>1241</v>
      </c>
      <c r="U223" s="348" t="s">
        <v>1241</v>
      </c>
      <c r="V223" s="2485" t="s">
        <v>3856</v>
      </c>
      <c r="W223" s="2485" t="s">
        <v>3857</v>
      </c>
      <c r="X223" s="2485" t="s">
        <v>3858</v>
      </c>
      <c r="Y223" s="2485" t="s">
        <v>3859</v>
      </c>
      <c r="Z223" s="2485" t="s">
        <v>3860</v>
      </c>
      <c r="AA223" s="347"/>
    </row>
    <row r="224" spans="1:27" ht="12.75" customHeight="1">
      <c r="A224" s="8243"/>
      <c r="B224" s="242" t="str">
        <f t="shared" si="3"/>
        <v>Agua76</v>
      </c>
      <c r="D224" s="257" t="s">
        <v>9375</v>
      </c>
      <c r="E224" s="2487" t="s">
        <v>1464</v>
      </c>
      <c r="F224" s="2487">
        <v>76</v>
      </c>
      <c r="G224" s="2489" t="s">
        <v>1241</v>
      </c>
      <c r="H224" s="2489" t="s">
        <v>3048</v>
      </c>
      <c r="I224" s="351" t="s">
        <v>1165</v>
      </c>
      <c r="J224" s="2487">
        <v>10</v>
      </c>
      <c r="K224" s="2487">
        <v>12</v>
      </c>
      <c r="L224" s="2487">
        <v>14</v>
      </c>
      <c r="M224" s="348">
        <v>16</v>
      </c>
      <c r="N224" s="2487">
        <v>200</v>
      </c>
      <c r="O224" s="2487">
        <v>280</v>
      </c>
      <c r="P224" s="2487">
        <v>320</v>
      </c>
      <c r="Q224" s="348">
        <v>400</v>
      </c>
      <c r="R224" s="2487">
        <v>20</v>
      </c>
      <c r="S224" s="2487">
        <v>30</v>
      </c>
      <c r="T224" s="2487">
        <v>35</v>
      </c>
      <c r="U224" s="348">
        <v>40</v>
      </c>
      <c r="V224" s="2485" t="s">
        <v>3861</v>
      </c>
      <c r="W224" s="2485" t="s">
        <v>3862</v>
      </c>
      <c r="X224" s="2485" t="s">
        <v>3863</v>
      </c>
      <c r="Y224" s="2485" t="s">
        <v>3864</v>
      </c>
      <c r="Z224" s="2485" t="s">
        <v>12936</v>
      </c>
      <c r="AA224" s="347"/>
    </row>
    <row r="225" spans="1:27" ht="12.75" customHeight="1">
      <c r="A225" s="8243"/>
      <c r="B225" s="242" t="str">
        <f t="shared" si="3"/>
        <v>Agua80</v>
      </c>
      <c r="D225" s="257" t="s">
        <v>9376</v>
      </c>
      <c r="E225" s="2487" t="s">
        <v>1464</v>
      </c>
      <c r="F225" s="2487">
        <v>80</v>
      </c>
      <c r="G225" s="2489" t="s">
        <v>1241</v>
      </c>
      <c r="H225" s="2489" t="s">
        <v>3048</v>
      </c>
      <c r="I225" s="351" t="s">
        <v>1165</v>
      </c>
      <c r="J225" s="2487">
        <v>10</v>
      </c>
      <c r="K225" s="2487">
        <v>12</v>
      </c>
      <c r="L225" s="2487">
        <v>14</v>
      </c>
      <c r="M225" s="348">
        <v>16</v>
      </c>
      <c r="N225" s="2487">
        <v>200</v>
      </c>
      <c r="O225" s="2487">
        <v>320</v>
      </c>
      <c r="P225" s="2487">
        <v>450</v>
      </c>
      <c r="Q225" s="348">
        <v>600</v>
      </c>
      <c r="R225" s="2487">
        <v>20</v>
      </c>
      <c r="S225" s="2487">
        <v>25</v>
      </c>
      <c r="T225" s="2487">
        <v>30</v>
      </c>
      <c r="U225" s="348">
        <v>35</v>
      </c>
      <c r="V225" s="2485" t="s">
        <v>3865</v>
      </c>
      <c r="W225" s="2485" t="s">
        <v>3866</v>
      </c>
      <c r="X225" s="2485" t="s">
        <v>3867</v>
      </c>
      <c r="Y225" s="2485" t="s">
        <v>3868</v>
      </c>
      <c r="Z225" s="2485" t="s">
        <v>12937</v>
      </c>
      <c r="AA225" s="347"/>
    </row>
    <row r="226" spans="1:27" ht="12.75" customHeight="1">
      <c r="A226" s="8243"/>
      <c r="B226" s="242" t="str">
        <f t="shared" si="3"/>
        <v>Agua82</v>
      </c>
      <c r="D226" s="257" t="s">
        <v>9377</v>
      </c>
      <c r="E226" s="2487" t="s">
        <v>1464</v>
      </c>
      <c r="F226" s="2487">
        <v>82</v>
      </c>
      <c r="G226" s="2489" t="s">
        <v>2422</v>
      </c>
      <c r="H226" s="2489" t="s">
        <v>1095</v>
      </c>
      <c r="I226" s="351" t="s">
        <v>1165</v>
      </c>
      <c r="J226" s="2487">
        <v>10</v>
      </c>
      <c r="K226" s="2487">
        <v>12</v>
      </c>
      <c r="L226" s="2487">
        <v>14</v>
      </c>
      <c r="M226" s="348">
        <v>16</v>
      </c>
      <c r="N226" s="2487">
        <v>250</v>
      </c>
      <c r="O226" s="2487">
        <v>350</v>
      </c>
      <c r="P226" s="2487">
        <v>500</v>
      </c>
      <c r="Q226" s="348">
        <v>700</v>
      </c>
      <c r="R226" s="2487">
        <v>50</v>
      </c>
      <c r="S226" s="2487">
        <v>70</v>
      </c>
      <c r="T226" s="2487">
        <v>100</v>
      </c>
      <c r="U226" s="348">
        <v>140</v>
      </c>
      <c r="V226" s="2485" t="s">
        <v>3185</v>
      </c>
      <c r="W226" s="2485" t="s">
        <v>3306</v>
      </c>
      <c r="X226" s="2485" t="s">
        <v>3187</v>
      </c>
      <c r="Y226" s="2485" t="s">
        <v>3188</v>
      </c>
      <c r="Z226" s="2485" t="s">
        <v>3869</v>
      </c>
      <c r="AA226" s="347"/>
    </row>
    <row r="227" spans="1:27" ht="12.75" customHeight="1">
      <c r="A227" s="8243"/>
      <c r="B227" s="242" t="str">
        <f t="shared" si="3"/>
        <v>Agua86</v>
      </c>
      <c r="D227" s="257" t="s">
        <v>9378</v>
      </c>
      <c r="E227" s="2487" t="s">
        <v>1464</v>
      </c>
      <c r="F227" s="2487">
        <v>86</v>
      </c>
      <c r="G227" s="2489" t="s">
        <v>2422</v>
      </c>
      <c r="H227" s="2489" t="s">
        <v>1095</v>
      </c>
      <c r="I227" s="351" t="s">
        <v>1166</v>
      </c>
      <c r="J227" s="2487">
        <v>9</v>
      </c>
      <c r="K227" s="2487">
        <v>12</v>
      </c>
      <c r="L227" s="2487">
        <v>15</v>
      </c>
      <c r="M227" s="348">
        <v>18</v>
      </c>
      <c r="N227" s="2487">
        <v>250</v>
      </c>
      <c r="O227" s="2487">
        <v>400</v>
      </c>
      <c r="P227" s="2487">
        <v>550</v>
      </c>
      <c r="Q227" s="348">
        <v>800</v>
      </c>
      <c r="R227" s="2487">
        <v>50</v>
      </c>
      <c r="S227" s="2487">
        <v>75</v>
      </c>
      <c r="T227" s="2487">
        <v>90</v>
      </c>
      <c r="U227" s="348">
        <v>100</v>
      </c>
      <c r="V227" s="2485" t="s">
        <v>3870</v>
      </c>
      <c r="W227" s="2485" t="s">
        <v>3871</v>
      </c>
      <c r="X227" s="2485" t="s">
        <v>3872</v>
      </c>
      <c r="Y227" s="2485" t="s">
        <v>3873</v>
      </c>
      <c r="Z227" s="2485" t="s">
        <v>3874</v>
      </c>
      <c r="AA227" s="347"/>
    </row>
    <row r="228" spans="1:27" ht="12.75" customHeight="1">
      <c r="A228" s="8243"/>
      <c r="B228" s="242" t="str">
        <f t="shared" si="3"/>
        <v>Agua90</v>
      </c>
      <c r="D228" s="257" t="s">
        <v>9379</v>
      </c>
      <c r="E228" s="2487" t="s">
        <v>1464</v>
      </c>
      <c r="F228" s="2487">
        <v>90</v>
      </c>
      <c r="G228" s="2489" t="s">
        <v>2422</v>
      </c>
      <c r="H228" s="2489" t="s">
        <v>1095</v>
      </c>
      <c r="I228" s="351" t="s">
        <v>1165</v>
      </c>
      <c r="J228" s="2487">
        <v>9</v>
      </c>
      <c r="K228" s="2487">
        <v>12</v>
      </c>
      <c r="L228" s="2487">
        <v>15</v>
      </c>
      <c r="M228" s="348">
        <v>17</v>
      </c>
      <c r="N228" s="2487">
        <v>300</v>
      </c>
      <c r="O228" s="2487">
        <v>480</v>
      </c>
      <c r="P228" s="2487">
        <v>600</v>
      </c>
      <c r="Q228" s="348">
        <v>800</v>
      </c>
      <c r="R228" s="2487">
        <v>30</v>
      </c>
      <c r="S228" s="2487">
        <v>50</v>
      </c>
      <c r="T228" s="2487">
        <v>60</v>
      </c>
      <c r="U228" s="348">
        <v>70</v>
      </c>
      <c r="V228" s="2485" t="s">
        <v>3875</v>
      </c>
      <c r="W228" s="2485" t="s">
        <v>3876</v>
      </c>
      <c r="X228" s="2485" t="s">
        <v>3877</v>
      </c>
      <c r="Y228" s="2485" t="s">
        <v>3878</v>
      </c>
      <c r="Z228" s="2485" t="s">
        <v>3879</v>
      </c>
      <c r="AA228" s="347"/>
    </row>
    <row r="229" spans="1:27" ht="12.75" customHeight="1">
      <c r="A229" s="8243"/>
      <c r="B229" s="242" t="str">
        <f t="shared" si="3"/>
        <v>Agua92</v>
      </c>
      <c r="D229" s="257" t="s">
        <v>9380</v>
      </c>
      <c r="E229" s="2487" t="s">
        <v>1464</v>
      </c>
      <c r="F229" s="2487">
        <v>92</v>
      </c>
      <c r="G229" s="2489" t="s">
        <v>2422</v>
      </c>
      <c r="H229" s="2489" t="s">
        <v>3048</v>
      </c>
      <c r="I229" s="351" t="s">
        <v>1165</v>
      </c>
      <c r="J229" s="2487">
        <v>10</v>
      </c>
      <c r="K229" s="2487">
        <v>12</v>
      </c>
      <c r="L229" s="2487">
        <v>14</v>
      </c>
      <c r="M229" s="348">
        <v>16</v>
      </c>
      <c r="N229" s="2487">
        <v>300</v>
      </c>
      <c r="O229" s="2487">
        <v>450</v>
      </c>
      <c r="P229" s="2487">
        <v>600</v>
      </c>
      <c r="Q229" s="348">
        <v>1000</v>
      </c>
      <c r="R229" s="2487">
        <v>30</v>
      </c>
      <c r="S229" s="2487">
        <v>45</v>
      </c>
      <c r="T229" s="2487">
        <v>60</v>
      </c>
      <c r="U229" s="348">
        <v>100</v>
      </c>
      <c r="V229" s="2485" t="s">
        <v>3880</v>
      </c>
      <c r="W229" s="2485" t="s">
        <v>3881</v>
      </c>
      <c r="X229" s="2485" t="s">
        <v>3882</v>
      </c>
      <c r="Y229" s="2485" t="s">
        <v>3883</v>
      </c>
      <c r="Z229" s="2485" t="s">
        <v>12938</v>
      </c>
      <c r="AA229" s="347"/>
    </row>
    <row r="230" spans="1:27" ht="12.75" customHeight="1">
      <c r="A230" s="8243"/>
      <c r="B230" s="242" t="str">
        <f t="shared" si="3"/>
        <v>Agua96</v>
      </c>
      <c r="D230" s="257" t="s">
        <v>9381</v>
      </c>
      <c r="E230" s="2487" t="s">
        <v>1464</v>
      </c>
      <c r="F230" s="2487">
        <v>96</v>
      </c>
      <c r="G230" s="2489" t="s">
        <v>2422</v>
      </c>
      <c r="H230" s="2489" t="s">
        <v>3048</v>
      </c>
      <c r="I230" s="351" t="s">
        <v>1165</v>
      </c>
      <c r="J230" s="2487">
        <v>10</v>
      </c>
      <c r="K230" s="2487">
        <v>12</v>
      </c>
      <c r="L230" s="2487">
        <v>15</v>
      </c>
      <c r="M230" s="348">
        <v>18</v>
      </c>
      <c r="N230" s="2487">
        <v>300</v>
      </c>
      <c r="O230" s="2487">
        <v>450</v>
      </c>
      <c r="P230" s="2487">
        <v>600</v>
      </c>
      <c r="Q230" s="348">
        <v>1000</v>
      </c>
      <c r="R230" s="2487">
        <v>30</v>
      </c>
      <c r="S230" s="2487">
        <v>45</v>
      </c>
      <c r="T230" s="2487">
        <v>60</v>
      </c>
      <c r="U230" s="348">
        <v>100</v>
      </c>
      <c r="V230" s="2485" t="s">
        <v>3880</v>
      </c>
      <c r="W230" s="2485" t="s">
        <v>3881</v>
      </c>
      <c r="X230" s="2485" t="s">
        <v>3882</v>
      </c>
      <c r="Y230" s="2485" t="s">
        <v>3884</v>
      </c>
      <c r="Z230" s="2485" t="s">
        <v>12939</v>
      </c>
      <c r="AA230" s="347"/>
    </row>
    <row r="231" spans="1:27" ht="12.75" customHeight="1">
      <c r="A231" s="8243"/>
      <c r="B231" s="242" t="str">
        <f t="shared" si="3"/>
        <v>Agua100</v>
      </c>
      <c r="D231" s="257" t="s">
        <v>9382</v>
      </c>
      <c r="E231" s="2487" t="s">
        <v>1464</v>
      </c>
      <c r="F231" s="2487">
        <v>100</v>
      </c>
      <c r="G231" s="2489" t="s">
        <v>2422</v>
      </c>
      <c r="H231" s="2489" t="s">
        <v>3048</v>
      </c>
      <c r="I231" s="351" t="s">
        <v>1165</v>
      </c>
      <c r="J231" s="2487">
        <v>12</v>
      </c>
      <c r="K231" s="2487">
        <v>15</v>
      </c>
      <c r="L231" s="2487">
        <v>17</v>
      </c>
      <c r="M231" s="348">
        <v>20</v>
      </c>
      <c r="N231" s="2487">
        <v>450</v>
      </c>
      <c r="O231" s="2487">
        <v>800</v>
      </c>
      <c r="P231" s="2487">
        <v>1200</v>
      </c>
      <c r="Q231" s="348">
        <v>1600</v>
      </c>
      <c r="R231" s="2487">
        <v>90</v>
      </c>
      <c r="S231" s="2487">
        <v>115</v>
      </c>
      <c r="T231" s="2487">
        <v>130</v>
      </c>
      <c r="U231" s="348">
        <v>145</v>
      </c>
      <c r="V231" s="2485" t="s">
        <v>3294</v>
      </c>
      <c r="W231" s="2485" t="s">
        <v>3836</v>
      </c>
      <c r="X231" s="2485" t="s">
        <v>3154</v>
      </c>
      <c r="Y231" s="2485" t="s">
        <v>3155</v>
      </c>
      <c r="Z231" s="2485" t="s">
        <v>3885</v>
      </c>
      <c r="AA231" s="347"/>
    </row>
    <row r="232" spans="1:27" ht="12.75" customHeight="1">
      <c r="A232" s="8243"/>
      <c r="B232" s="242" t="str">
        <f t="shared" si="3"/>
        <v/>
      </c>
      <c r="D232" s="257" t="s">
        <v>264</v>
      </c>
      <c r="E232" s="2487"/>
      <c r="F232" s="2487"/>
      <c r="G232" s="2489"/>
      <c r="H232" s="2489"/>
      <c r="I232" s="351"/>
      <c r="J232" s="2487"/>
      <c r="K232" s="2487"/>
      <c r="L232" s="2487"/>
      <c r="M232" s="348"/>
      <c r="N232" s="2487"/>
      <c r="O232" s="2487"/>
      <c r="P232" s="2487"/>
      <c r="Q232" s="348"/>
      <c r="R232" s="2487"/>
      <c r="S232" s="2487"/>
      <c r="T232" s="2487"/>
      <c r="U232" s="348"/>
      <c r="V232" s="2485"/>
      <c r="W232" s="2485"/>
      <c r="X232" s="2485"/>
      <c r="Y232" s="2485"/>
      <c r="Z232" s="2485"/>
      <c r="AA232" s="347"/>
    </row>
    <row r="233" spans="1:27" ht="12.75" customHeight="1">
      <c r="A233" s="8243"/>
      <c r="B233" s="242" t="str">
        <f t="shared" si="3"/>
        <v>Fuego2</v>
      </c>
      <c r="D233" s="257" t="s">
        <v>113</v>
      </c>
      <c r="E233" s="2487" t="s">
        <v>1468</v>
      </c>
      <c r="F233" s="2487">
        <v>2</v>
      </c>
      <c r="G233" s="2489" t="s">
        <v>2422</v>
      </c>
      <c r="H233" s="2489" t="s">
        <v>1095</v>
      </c>
      <c r="I233" s="351" t="s">
        <v>1165</v>
      </c>
      <c r="J233" s="2487">
        <v>5</v>
      </c>
      <c r="K233" s="2487">
        <v>8</v>
      </c>
      <c r="L233" s="2487">
        <v>10</v>
      </c>
      <c r="M233" s="348">
        <v>12</v>
      </c>
      <c r="N233" s="2487">
        <v>30</v>
      </c>
      <c r="O233" s="2487">
        <v>80</v>
      </c>
      <c r="P233" s="2487">
        <v>100</v>
      </c>
      <c r="Q233" s="348">
        <v>120</v>
      </c>
      <c r="R233" s="2487">
        <v>5</v>
      </c>
      <c r="S233" s="2487">
        <v>10</v>
      </c>
      <c r="T233" s="2487">
        <v>10</v>
      </c>
      <c r="U233" s="348">
        <v>15</v>
      </c>
      <c r="V233" s="2485" t="s">
        <v>3886</v>
      </c>
      <c r="W233" s="2485" t="s">
        <v>3887</v>
      </c>
      <c r="X233" s="2485" t="s">
        <v>3888</v>
      </c>
      <c r="Y233" s="2485" t="s">
        <v>3889</v>
      </c>
      <c r="Z233" s="2485" t="s">
        <v>3890</v>
      </c>
      <c r="AA233" s="347"/>
    </row>
    <row r="234" spans="1:27" ht="12.75" customHeight="1">
      <c r="A234" s="8243"/>
      <c r="B234" s="242" t="str">
        <f t="shared" si="3"/>
        <v>Fuego6</v>
      </c>
      <c r="D234" s="257" t="s">
        <v>114</v>
      </c>
      <c r="E234" s="2487" t="s">
        <v>1468</v>
      </c>
      <c r="F234" s="2487">
        <v>6</v>
      </c>
      <c r="G234" s="2489" t="s">
        <v>1241</v>
      </c>
      <c r="H234" s="2489" t="s">
        <v>1095</v>
      </c>
      <c r="I234" s="351" t="s">
        <v>1165</v>
      </c>
      <c r="J234" s="2487">
        <v>5</v>
      </c>
      <c r="K234" s="2487">
        <v>8</v>
      </c>
      <c r="L234" s="2487">
        <v>10</v>
      </c>
      <c r="M234" s="348">
        <v>13</v>
      </c>
      <c r="N234" s="2487">
        <v>30</v>
      </c>
      <c r="O234" s="2487">
        <v>80</v>
      </c>
      <c r="P234" s="2487">
        <v>120</v>
      </c>
      <c r="Q234" s="348">
        <v>200</v>
      </c>
      <c r="R234" s="2487" t="s">
        <v>1241</v>
      </c>
      <c r="S234" s="2487" t="s">
        <v>1241</v>
      </c>
      <c r="T234" s="2487" t="s">
        <v>1241</v>
      </c>
      <c r="U234" s="348" t="s">
        <v>1241</v>
      </c>
      <c r="V234" s="2485" t="s">
        <v>3891</v>
      </c>
      <c r="W234" s="2485" t="s">
        <v>3892</v>
      </c>
      <c r="X234" s="2485" t="s">
        <v>3893</v>
      </c>
      <c r="Y234" s="2485" t="s">
        <v>3894</v>
      </c>
      <c r="Z234" s="2485" t="s">
        <v>3895</v>
      </c>
      <c r="AA234" s="347"/>
    </row>
    <row r="235" spans="1:27" ht="12.75" customHeight="1">
      <c r="A235" s="8243"/>
      <c r="B235" s="242" t="str">
        <f t="shared" si="3"/>
        <v>Fuego10</v>
      </c>
      <c r="D235" s="257" t="s">
        <v>9383</v>
      </c>
      <c r="E235" s="2487" t="s">
        <v>1468</v>
      </c>
      <c r="F235" s="2487">
        <v>10</v>
      </c>
      <c r="G235" s="2489" t="s">
        <v>2422</v>
      </c>
      <c r="H235" s="2489" t="s">
        <v>1095</v>
      </c>
      <c r="I235" s="351" t="s">
        <v>1165</v>
      </c>
      <c r="J235" s="2487">
        <v>6</v>
      </c>
      <c r="K235" s="2487">
        <v>8</v>
      </c>
      <c r="L235" s="2487">
        <v>10</v>
      </c>
      <c r="M235" s="348">
        <v>13</v>
      </c>
      <c r="N235" s="2487">
        <v>50</v>
      </c>
      <c r="O235" s="2487">
        <v>140</v>
      </c>
      <c r="P235" s="2487">
        <v>200</v>
      </c>
      <c r="Q235" s="348">
        <v>300</v>
      </c>
      <c r="R235" s="2487">
        <v>5</v>
      </c>
      <c r="S235" s="2487">
        <v>10</v>
      </c>
      <c r="T235" s="2487">
        <v>10</v>
      </c>
      <c r="U235" s="348">
        <v>15</v>
      </c>
      <c r="V235" s="2485" t="s">
        <v>3896</v>
      </c>
      <c r="W235" s="2485" t="s">
        <v>3897</v>
      </c>
      <c r="X235" s="2485" t="s">
        <v>9771</v>
      </c>
      <c r="Y235" s="2485" t="s">
        <v>9772</v>
      </c>
      <c r="Z235" s="2485" t="s">
        <v>3898</v>
      </c>
      <c r="AA235" s="347"/>
    </row>
    <row r="236" spans="1:27" ht="12.75" customHeight="1">
      <c r="A236" s="8243"/>
      <c r="B236" s="242" t="str">
        <f t="shared" si="3"/>
        <v>Fuego12</v>
      </c>
      <c r="D236" s="257" t="s">
        <v>9384</v>
      </c>
      <c r="E236" s="2487" t="s">
        <v>1468</v>
      </c>
      <c r="F236" s="2487">
        <v>12</v>
      </c>
      <c r="G236" s="2489" t="s">
        <v>1241</v>
      </c>
      <c r="H236" s="2489" t="s">
        <v>1097</v>
      </c>
      <c r="I236" s="351" t="s">
        <v>1165</v>
      </c>
      <c r="J236" s="2487">
        <v>6</v>
      </c>
      <c r="K236" s="2487">
        <v>9</v>
      </c>
      <c r="L236" s="2487">
        <v>12</v>
      </c>
      <c r="M236" s="348">
        <v>15</v>
      </c>
      <c r="N236" s="2487">
        <v>60</v>
      </c>
      <c r="O236" s="2487">
        <v>100</v>
      </c>
      <c r="P236" s="2487">
        <v>140</v>
      </c>
      <c r="Q236" s="348">
        <v>200</v>
      </c>
      <c r="R236" s="2487">
        <v>10</v>
      </c>
      <c r="S236" s="2487">
        <v>10</v>
      </c>
      <c r="T236" s="2487">
        <v>15</v>
      </c>
      <c r="U236" s="348">
        <v>15</v>
      </c>
      <c r="V236" s="2485" t="s">
        <v>3899</v>
      </c>
      <c r="W236" s="2485" t="s">
        <v>3900</v>
      </c>
      <c r="X236" s="2485" t="s">
        <v>3901</v>
      </c>
      <c r="Y236" s="2485" t="s">
        <v>3902</v>
      </c>
      <c r="Z236" s="2485" t="s">
        <v>12940</v>
      </c>
      <c r="AA236" s="347"/>
    </row>
    <row r="237" spans="1:27" ht="12.75" customHeight="1">
      <c r="A237" s="8243"/>
      <c r="B237" s="242" t="str">
        <f t="shared" si="3"/>
        <v>Fuego16</v>
      </c>
      <c r="D237" s="257" t="s">
        <v>9385</v>
      </c>
      <c r="E237" s="2487" t="s">
        <v>1468</v>
      </c>
      <c r="F237" s="2487">
        <v>16</v>
      </c>
      <c r="G237" s="2489" t="s">
        <v>1241</v>
      </c>
      <c r="H237" s="2489" t="s">
        <v>1093</v>
      </c>
      <c r="I237" s="351" t="s">
        <v>1165</v>
      </c>
      <c r="J237" s="2487">
        <v>6</v>
      </c>
      <c r="K237" s="2487">
        <v>9</v>
      </c>
      <c r="L237" s="2487">
        <v>12</v>
      </c>
      <c r="M237" s="348">
        <v>15</v>
      </c>
      <c r="N237" s="2487">
        <v>50</v>
      </c>
      <c r="O237" s="2487">
        <v>100</v>
      </c>
      <c r="P237" s="2487">
        <v>160</v>
      </c>
      <c r="Q237" s="348">
        <v>250</v>
      </c>
      <c r="R237" s="2487" t="s">
        <v>1241</v>
      </c>
      <c r="S237" s="2487" t="s">
        <v>1241</v>
      </c>
      <c r="T237" s="2487" t="s">
        <v>1241</v>
      </c>
      <c r="U237" s="348" t="s">
        <v>1241</v>
      </c>
      <c r="V237" s="2485" t="s">
        <v>3903</v>
      </c>
      <c r="W237" s="2485" t="s">
        <v>3904</v>
      </c>
      <c r="X237" s="2485" t="s">
        <v>3905</v>
      </c>
      <c r="Y237" s="2485" t="s">
        <v>3906</v>
      </c>
      <c r="Z237" s="2485" t="s">
        <v>3907</v>
      </c>
      <c r="AA237" s="347"/>
    </row>
    <row r="238" spans="1:27" ht="12.75" customHeight="1">
      <c r="A238" s="8243"/>
      <c r="B238" s="242" t="str">
        <f t="shared" si="3"/>
        <v>Fuego20</v>
      </c>
      <c r="D238" s="257" t="s">
        <v>9386</v>
      </c>
      <c r="E238" s="2487" t="s">
        <v>1468</v>
      </c>
      <c r="F238" s="2487">
        <v>20</v>
      </c>
      <c r="G238" s="2489" t="s">
        <v>2422</v>
      </c>
      <c r="H238" s="2489" t="s">
        <v>1095</v>
      </c>
      <c r="I238" s="351" t="s">
        <v>1165</v>
      </c>
      <c r="J238" s="2487">
        <v>6</v>
      </c>
      <c r="K238" s="2487">
        <v>9</v>
      </c>
      <c r="L238" s="2487">
        <v>12</v>
      </c>
      <c r="M238" s="348">
        <v>15</v>
      </c>
      <c r="N238" s="2487">
        <v>50</v>
      </c>
      <c r="O238" s="2487">
        <v>80</v>
      </c>
      <c r="P238" s="2487">
        <v>120</v>
      </c>
      <c r="Q238" s="348">
        <v>180</v>
      </c>
      <c r="R238" s="2487">
        <v>5</v>
      </c>
      <c r="S238" s="2487">
        <v>10</v>
      </c>
      <c r="T238" s="2487">
        <v>15</v>
      </c>
      <c r="U238" s="348">
        <v>20</v>
      </c>
      <c r="V238" s="2485" t="s">
        <v>3908</v>
      </c>
      <c r="W238" s="2485" t="s">
        <v>3909</v>
      </c>
      <c r="X238" s="2485" t="s">
        <v>3910</v>
      </c>
      <c r="Y238" s="2485" t="s">
        <v>3911</v>
      </c>
      <c r="Z238" s="2485" t="s">
        <v>12941</v>
      </c>
      <c r="AA238" s="347"/>
    </row>
    <row r="239" spans="1:27" ht="12.75" customHeight="1">
      <c r="A239" s="8243"/>
      <c r="B239" s="242" t="str">
        <f t="shared" si="3"/>
        <v>Fuego22</v>
      </c>
      <c r="D239" s="257" t="s">
        <v>9387</v>
      </c>
      <c r="E239" s="2487" t="s">
        <v>1468</v>
      </c>
      <c r="F239" s="2487">
        <v>22</v>
      </c>
      <c r="G239" s="2489" t="s">
        <v>1241</v>
      </c>
      <c r="H239" s="2489" t="s">
        <v>1424</v>
      </c>
      <c r="I239" s="351" t="s">
        <v>1165</v>
      </c>
      <c r="J239" s="2487">
        <v>6</v>
      </c>
      <c r="K239" s="2487">
        <v>9</v>
      </c>
      <c r="L239" s="2487">
        <v>12</v>
      </c>
      <c r="M239" s="348">
        <v>15</v>
      </c>
      <c r="N239" s="2487">
        <v>50</v>
      </c>
      <c r="O239" s="2487">
        <v>90</v>
      </c>
      <c r="P239" s="2487">
        <v>120</v>
      </c>
      <c r="Q239" s="348">
        <v>150</v>
      </c>
      <c r="R239" s="2487">
        <v>5</v>
      </c>
      <c r="S239" s="2487">
        <v>10</v>
      </c>
      <c r="T239" s="2487">
        <v>10</v>
      </c>
      <c r="U239" s="348">
        <v>15</v>
      </c>
      <c r="V239" s="2485" t="s">
        <v>3912</v>
      </c>
      <c r="W239" s="2485" t="s">
        <v>3913</v>
      </c>
      <c r="X239" s="2485" t="s">
        <v>3914</v>
      </c>
      <c r="Y239" s="2485" t="s">
        <v>3915</v>
      </c>
      <c r="Z239" s="2485" t="s">
        <v>3916</v>
      </c>
      <c r="AA239" s="347"/>
    </row>
    <row r="240" spans="1:27" ht="12.75" customHeight="1">
      <c r="A240" s="8243"/>
      <c r="B240" s="242" t="str">
        <f t="shared" si="3"/>
        <v>Fuego26</v>
      </c>
      <c r="D240" s="257" t="s">
        <v>9388</v>
      </c>
      <c r="E240" s="2487" t="s">
        <v>1468</v>
      </c>
      <c r="F240" s="2487">
        <v>26</v>
      </c>
      <c r="G240" s="2489" t="s">
        <v>1241</v>
      </c>
      <c r="H240" s="2489" t="s">
        <v>1095</v>
      </c>
      <c r="I240" s="351" t="s">
        <v>1165</v>
      </c>
      <c r="J240" s="2487">
        <v>6</v>
      </c>
      <c r="K240" s="2487">
        <v>9</v>
      </c>
      <c r="L240" s="2487">
        <v>11</v>
      </c>
      <c r="M240" s="348">
        <v>14</v>
      </c>
      <c r="N240" s="2487">
        <v>50</v>
      </c>
      <c r="O240" s="2487">
        <v>80</v>
      </c>
      <c r="P240" s="2487">
        <v>100</v>
      </c>
      <c r="Q240" s="348">
        <v>120</v>
      </c>
      <c r="R240" s="2487">
        <v>5</v>
      </c>
      <c r="S240" s="2487">
        <v>10</v>
      </c>
      <c r="T240" s="2487">
        <v>10</v>
      </c>
      <c r="U240" s="348">
        <v>15</v>
      </c>
      <c r="V240" s="2485" t="s">
        <v>3917</v>
      </c>
      <c r="W240" s="2485" t="s">
        <v>3918</v>
      </c>
      <c r="X240" s="2485" t="s">
        <v>3919</v>
      </c>
      <c r="Y240" s="2485" t="s">
        <v>3920</v>
      </c>
      <c r="Z240" s="2485" t="s">
        <v>3921</v>
      </c>
      <c r="AA240" s="347"/>
    </row>
    <row r="241" spans="1:27" ht="12.75" customHeight="1">
      <c r="A241" s="8243"/>
      <c r="B241" s="242" t="str">
        <f t="shared" si="3"/>
        <v>Fuego30</v>
      </c>
      <c r="D241" s="257" t="s">
        <v>9389</v>
      </c>
      <c r="E241" s="2487" t="s">
        <v>1468</v>
      </c>
      <c r="F241" s="2487">
        <v>30</v>
      </c>
      <c r="G241" s="2489" t="s">
        <v>1241</v>
      </c>
      <c r="H241" s="2489" t="s">
        <v>1093</v>
      </c>
      <c r="I241" s="351" t="s">
        <v>1165</v>
      </c>
      <c r="J241" s="2487">
        <v>6</v>
      </c>
      <c r="K241" s="2487">
        <v>9</v>
      </c>
      <c r="L241" s="2487">
        <v>12</v>
      </c>
      <c r="M241" s="348">
        <v>15</v>
      </c>
      <c r="N241" s="2487">
        <v>60</v>
      </c>
      <c r="O241" s="2487">
        <v>90</v>
      </c>
      <c r="P241" s="2487">
        <v>120</v>
      </c>
      <c r="Q241" s="348">
        <v>150</v>
      </c>
      <c r="R241" s="2487" t="s">
        <v>1241</v>
      </c>
      <c r="S241" s="2487" t="s">
        <v>1241</v>
      </c>
      <c r="T241" s="2487" t="s">
        <v>1241</v>
      </c>
      <c r="U241" s="348" t="s">
        <v>1241</v>
      </c>
      <c r="V241" s="2485" t="s">
        <v>3922</v>
      </c>
      <c r="W241" s="2485" t="s">
        <v>3923</v>
      </c>
      <c r="X241" s="2485" t="s">
        <v>3924</v>
      </c>
      <c r="Y241" s="2485" t="s">
        <v>3925</v>
      </c>
      <c r="Z241" s="2485" t="s">
        <v>3926</v>
      </c>
      <c r="AA241" s="347"/>
    </row>
    <row r="242" spans="1:27" ht="12.75" customHeight="1">
      <c r="A242" s="8243"/>
      <c r="B242" s="242" t="str">
        <f t="shared" si="3"/>
        <v>Fuego32</v>
      </c>
      <c r="D242" s="257" t="s">
        <v>9390</v>
      </c>
      <c r="E242" s="2487" t="s">
        <v>1468</v>
      </c>
      <c r="F242" s="2487">
        <v>32</v>
      </c>
      <c r="G242" s="2489" t="s">
        <v>1241</v>
      </c>
      <c r="H242" s="2489" t="s">
        <v>1095</v>
      </c>
      <c r="I242" s="351" t="s">
        <v>1165</v>
      </c>
      <c r="J242" s="2487">
        <v>6</v>
      </c>
      <c r="K242" s="2487">
        <v>10</v>
      </c>
      <c r="L242" s="2487">
        <v>13</v>
      </c>
      <c r="M242" s="348">
        <v>15</v>
      </c>
      <c r="N242" s="2487">
        <v>60</v>
      </c>
      <c r="O242" s="2487">
        <v>140</v>
      </c>
      <c r="P242" s="2487">
        <v>220</v>
      </c>
      <c r="Q242" s="348">
        <v>340</v>
      </c>
      <c r="R242" s="2487" t="s">
        <v>1241</v>
      </c>
      <c r="S242" s="2487" t="s">
        <v>1241</v>
      </c>
      <c r="T242" s="2487" t="s">
        <v>1241</v>
      </c>
      <c r="U242" s="348" t="s">
        <v>1241</v>
      </c>
      <c r="V242" s="2485" t="s">
        <v>3927</v>
      </c>
      <c r="W242" s="2485" t="s">
        <v>3928</v>
      </c>
      <c r="X242" s="2485" t="s">
        <v>3929</v>
      </c>
      <c r="Y242" s="2485" t="s">
        <v>3930</v>
      </c>
      <c r="Z242" s="2485" t="s">
        <v>3931</v>
      </c>
      <c r="AA242" s="347"/>
    </row>
    <row r="243" spans="1:27" ht="12.75" customHeight="1">
      <c r="A243" s="8243"/>
      <c r="B243" s="242" t="str">
        <f t="shared" si="3"/>
        <v>Fuego36</v>
      </c>
      <c r="D243" s="257" t="s">
        <v>9391</v>
      </c>
      <c r="E243" s="2487" t="s">
        <v>1468</v>
      </c>
      <c r="F243" s="2487">
        <v>36</v>
      </c>
      <c r="G243" s="2489" t="s">
        <v>2422</v>
      </c>
      <c r="H243" s="2489" t="s">
        <v>1095</v>
      </c>
      <c r="I243" s="351" t="s">
        <v>1165</v>
      </c>
      <c r="J243" s="2487">
        <v>7</v>
      </c>
      <c r="K243" s="2487">
        <v>10</v>
      </c>
      <c r="L243" s="2487">
        <v>12</v>
      </c>
      <c r="M243" s="348">
        <v>15</v>
      </c>
      <c r="N243" s="2487">
        <v>60</v>
      </c>
      <c r="O243" s="2487">
        <v>140</v>
      </c>
      <c r="P243" s="2487">
        <v>240</v>
      </c>
      <c r="Q243" s="348">
        <v>300</v>
      </c>
      <c r="R243" s="2487">
        <v>15</v>
      </c>
      <c r="S243" s="2487">
        <v>40</v>
      </c>
      <c r="T243" s="2487">
        <v>50</v>
      </c>
      <c r="U243" s="348">
        <v>60</v>
      </c>
      <c r="V243" s="2485" t="s">
        <v>3932</v>
      </c>
      <c r="W243" s="2485" t="s">
        <v>3933</v>
      </c>
      <c r="X243" s="2485" t="s">
        <v>3934</v>
      </c>
      <c r="Y243" s="2485" t="s">
        <v>3935</v>
      </c>
      <c r="Z243" s="2485" t="s">
        <v>12942</v>
      </c>
      <c r="AA243" s="347"/>
    </row>
    <row r="244" spans="1:27" ht="12.75" customHeight="1">
      <c r="A244" s="8243"/>
      <c r="B244" s="242" t="str">
        <f t="shared" si="3"/>
        <v>Fuego40</v>
      </c>
      <c r="D244" s="257" t="s">
        <v>9392</v>
      </c>
      <c r="E244" s="2487" t="s">
        <v>1468</v>
      </c>
      <c r="F244" s="2487">
        <v>40</v>
      </c>
      <c r="G244" s="2489" t="s">
        <v>2422</v>
      </c>
      <c r="H244" s="2489" t="s">
        <v>1095</v>
      </c>
      <c r="I244" s="351" t="s">
        <v>1165</v>
      </c>
      <c r="J244" s="2487">
        <v>7</v>
      </c>
      <c r="K244" s="2487">
        <v>10</v>
      </c>
      <c r="L244" s="2487">
        <v>12</v>
      </c>
      <c r="M244" s="348">
        <v>15</v>
      </c>
      <c r="N244" s="2487">
        <v>80</v>
      </c>
      <c r="O244" s="2487">
        <v>160</v>
      </c>
      <c r="P244" s="2487">
        <v>240</v>
      </c>
      <c r="Q244" s="348">
        <v>320</v>
      </c>
      <c r="R244" s="2487">
        <v>20</v>
      </c>
      <c r="S244" s="2487">
        <v>40</v>
      </c>
      <c r="T244" s="2487">
        <v>50</v>
      </c>
      <c r="U244" s="348">
        <v>60</v>
      </c>
      <c r="V244" s="2485" t="s">
        <v>3936</v>
      </c>
      <c r="W244" s="2485" t="s">
        <v>3937</v>
      </c>
      <c r="X244" s="2485" t="s">
        <v>3938</v>
      </c>
      <c r="Y244" s="2485" t="s">
        <v>3939</v>
      </c>
      <c r="Z244" s="2485" t="s">
        <v>3940</v>
      </c>
      <c r="AA244" s="347"/>
    </row>
    <row r="245" spans="1:27" ht="12.75" customHeight="1">
      <c r="A245" s="8243"/>
      <c r="B245" s="242" t="str">
        <f t="shared" si="3"/>
        <v>Fuego42</v>
      </c>
      <c r="D245" s="257" t="s">
        <v>9393</v>
      </c>
      <c r="E245" s="2487" t="s">
        <v>1468</v>
      </c>
      <c r="F245" s="2487">
        <v>42</v>
      </c>
      <c r="G245" s="2489" t="s">
        <v>1241</v>
      </c>
      <c r="H245" s="2489" t="s">
        <v>1095</v>
      </c>
      <c r="I245" s="351" t="s">
        <v>1166</v>
      </c>
      <c r="J245" s="2487">
        <v>6</v>
      </c>
      <c r="K245" s="2487">
        <v>9</v>
      </c>
      <c r="L245" s="2487">
        <v>12</v>
      </c>
      <c r="M245" s="348">
        <v>15</v>
      </c>
      <c r="N245" s="2487">
        <v>60</v>
      </c>
      <c r="O245" s="2487">
        <v>90</v>
      </c>
      <c r="P245" s="2487">
        <v>120</v>
      </c>
      <c r="Q245" s="348">
        <v>150</v>
      </c>
      <c r="R245" s="2487" t="s">
        <v>1241</v>
      </c>
      <c r="S245" s="2487" t="s">
        <v>1241</v>
      </c>
      <c r="T245" s="2487" t="s">
        <v>1241</v>
      </c>
      <c r="U245" s="348" t="s">
        <v>1241</v>
      </c>
      <c r="V245" s="2485" t="s">
        <v>3941</v>
      </c>
      <c r="W245" s="2485" t="s">
        <v>3942</v>
      </c>
      <c r="X245" s="2485" t="s">
        <v>3943</v>
      </c>
      <c r="Y245" s="2485" t="s">
        <v>3944</v>
      </c>
      <c r="Z245" s="2485" t="s">
        <v>3945</v>
      </c>
      <c r="AA245" s="347"/>
    </row>
    <row r="246" spans="1:27" ht="12.75" customHeight="1">
      <c r="A246" s="8243"/>
      <c r="B246" s="242" t="str">
        <f t="shared" si="3"/>
        <v>Fuego46</v>
      </c>
      <c r="D246" s="257" t="s">
        <v>9394</v>
      </c>
      <c r="E246" s="2487" t="s">
        <v>1468</v>
      </c>
      <c r="F246" s="2487">
        <v>46</v>
      </c>
      <c r="G246" s="2489" t="s">
        <v>1241</v>
      </c>
      <c r="H246" s="2489" t="s">
        <v>1095</v>
      </c>
      <c r="I246" s="351" t="s">
        <v>1165</v>
      </c>
      <c r="J246" s="2487">
        <v>8</v>
      </c>
      <c r="K246" s="2487">
        <v>10</v>
      </c>
      <c r="L246" s="2487">
        <v>12</v>
      </c>
      <c r="M246" s="348">
        <v>14</v>
      </c>
      <c r="N246" s="2487">
        <v>80</v>
      </c>
      <c r="O246" s="2487">
        <v>120</v>
      </c>
      <c r="P246" s="2487">
        <v>180</v>
      </c>
      <c r="Q246" s="348">
        <v>240</v>
      </c>
      <c r="R246" s="2487" t="s">
        <v>1241</v>
      </c>
      <c r="S246" s="2487" t="s">
        <v>1241</v>
      </c>
      <c r="T246" s="2487" t="s">
        <v>1241</v>
      </c>
      <c r="U246" s="348" t="s">
        <v>1241</v>
      </c>
      <c r="V246" s="2485" t="s">
        <v>3946</v>
      </c>
      <c r="W246" s="2485" t="s">
        <v>3947</v>
      </c>
      <c r="X246" s="2485" t="s">
        <v>3948</v>
      </c>
      <c r="Y246" s="2485" t="s">
        <v>3949</v>
      </c>
      <c r="Z246" s="2485" t="s">
        <v>12943</v>
      </c>
      <c r="AA246" s="347"/>
    </row>
    <row r="247" spans="1:27" ht="12.75" customHeight="1">
      <c r="A247" s="8243"/>
      <c r="B247" s="242" t="str">
        <f t="shared" si="3"/>
        <v>Fuego50</v>
      </c>
      <c r="D247" s="257" t="s">
        <v>9395</v>
      </c>
      <c r="E247" s="2487" t="s">
        <v>1468</v>
      </c>
      <c r="F247" s="2487">
        <v>50</v>
      </c>
      <c r="G247" s="2489" t="s">
        <v>1241</v>
      </c>
      <c r="H247" s="2489" t="s">
        <v>1095</v>
      </c>
      <c r="I247" s="351" t="s">
        <v>1165</v>
      </c>
      <c r="J247" s="2487">
        <v>8</v>
      </c>
      <c r="K247" s="2487">
        <v>10</v>
      </c>
      <c r="L247" s="2487">
        <v>12</v>
      </c>
      <c r="M247" s="348">
        <v>14</v>
      </c>
      <c r="N247" s="2487">
        <v>80</v>
      </c>
      <c r="O247" s="2487">
        <v>120</v>
      </c>
      <c r="P247" s="2487">
        <v>180</v>
      </c>
      <c r="Q247" s="348">
        <v>240</v>
      </c>
      <c r="R247" s="2487">
        <v>10</v>
      </c>
      <c r="S247" s="2487">
        <v>10</v>
      </c>
      <c r="T247" s="2487">
        <v>15</v>
      </c>
      <c r="U247" s="348">
        <v>15</v>
      </c>
      <c r="V247" s="2485" t="s">
        <v>3950</v>
      </c>
      <c r="W247" s="2485" t="s">
        <v>3951</v>
      </c>
      <c r="X247" s="2485" t="s">
        <v>3952</v>
      </c>
      <c r="Y247" s="2485" t="s">
        <v>3953</v>
      </c>
      <c r="Z247" s="2485" t="s">
        <v>12944</v>
      </c>
      <c r="AA247" s="347"/>
    </row>
    <row r="248" spans="1:27" ht="12.75" customHeight="1">
      <c r="A248" s="8243"/>
      <c r="B248" s="242" t="str">
        <f t="shared" si="3"/>
        <v>Fuego52</v>
      </c>
      <c r="D248" s="257" t="s">
        <v>9396</v>
      </c>
      <c r="E248" s="2487" t="s">
        <v>1468</v>
      </c>
      <c r="F248" s="2487">
        <v>52</v>
      </c>
      <c r="G248" s="2489" t="s">
        <v>1241</v>
      </c>
      <c r="H248" s="2489" t="s">
        <v>1095</v>
      </c>
      <c r="I248" s="351" t="s">
        <v>1165</v>
      </c>
      <c r="J248" s="2487">
        <v>8</v>
      </c>
      <c r="K248" s="2487">
        <v>11</v>
      </c>
      <c r="L248" s="2487">
        <v>12</v>
      </c>
      <c r="M248" s="348">
        <v>16</v>
      </c>
      <c r="N248" s="2487">
        <v>100</v>
      </c>
      <c r="O248" s="2487">
        <v>120</v>
      </c>
      <c r="P248" s="2487">
        <v>140</v>
      </c>
      <c r="Q248" s="348">
        <v>160</v>
      </c>
      <c r="R248" s="2487">
        <v>10</v>
      </c>
      <c r="S248" s="2487">
        <v>15</v>
      </c>
      <c r="T248" s="2487">
        <v>15</v>
      </c>
      <c r="U248" s="348">
        <v>20</v>
      </c>
      <c r="V248" s="2485" t="s">
        <v>3696</v>
      </c>
      <c r="W248" s="2485" t="s">
        <v>3954</v>
      </c>
      <c r="X248" s="2485" t="s">
        <v>3955</v>
      </c>
      <c r="Y248" s="2485" t="s">
        <v>3956</v>
      </c>
      <c r="Z248" s="2485" t="s">
        <v>3957</v>
      </c>
      <c r="AA248" s="347"/>
    </row>
    <row r="249" spans="1:27" ht="12.75" customHeight="1">
      <c r="A249" s="8243"/>
      <c r="B249" s="242" t="str">
        <f t="shared" si="3"/>
        <v>Fuego56</v>
      </c>
      <c r="D249" s="257" t="s">
        <v>1507</v>
      </c>
      <c r="E249" s="2487" t="s">
        <v>1468</v>
      </c>
      <c r="F249" s="2487">
        <v>56</v>
      </c>
      <c r="G249" s="2489" t="s">
        <v>2422</v>
      </c>
      <c r="H249" s="2489" t="s">
        <v>1095</v>
      </c>
      <c r="I249" s="351" t="s">
        <v>1165</v>
      </c>
      <c r="J249" s="2487">
        <v>6</v>
      </c>
      <c r="K249" s="2487">
        <v>9</v>
      </c>
      <c r="L249" s="2487">
        <v>13</v>
      </c>
      <c r="M249" s="348">
        <v>15</v>
      </c>
      <c r="N249" s="2487">
        <v>120</v>
      </c>
      <c r="O249" s="2487">
        <v>180</v>
      </c>
      <c r="P249" s="2487">
        <v>240</v>
      </c>
      <c r="Q249" s="348">
        <v>300</v>
      </c>
      <c r="R249" s="2487">
        <v>10</v>
      </c>
      <c r="S249" s="2487">
        <v>10</v>
      </c>
      <c r="T249" s="2487">
        <v>15</v>
      </c>
      <c r="U249" s="348">
        <v>15</v>
      </c>
      <c r="V249" s="2485" t="s">
        <v>3958</v>
      </c>
      <c r="W249" s="2485" t="s">
        <v>3959</v>
      </c>
      <c r="X249" s="2485" t="s">
        <v>3960</v>
      </c>
      <c r="Y249" s="2485" t="s">
        <v>3961</v>
      </c>
      <c r="Z249" s="2485" t="s">
        <v>3962</v>
      </c>
      <c r="AA249" s="347"/>
    </row>
    <row r="250" spans="1:27" ht="12.75" customHeight="1">
      <c r="A250" s="8243"/>
      <c r="B250" s="242" t="str">
        <f t="shared" si="3"/>
        <v>Fuego60</v>
      </c>
      <c r="D250" s="257" t="s">
        <v>9397</v>
      </c>
      <c r="E250" s="2487" t="s">
        <v>1468</v>
      </c>
      <c r="F250" s="2487">
        <v>60</v>
      </c>
      <c r="G250" s="2489" t="s">
        <v>1241</v>
      </c>
      <c r="H250" s="2489" t="s">
        <v>1096</v>
      </c>
      <c r="I250" s="351" t="s">
        <v>1165</v>
      </c>
      <c r="J250" s="2487">
        <v>10</v>
      </c>
      <c r="K250" s="2487">
        <v>12</v>
      </c>
      <c r="L250" s="2487">
        <v>12</v>
      </c>
      <c r="M250" s="348">
        <v>16</v>
      </c>
      <c r="N250" s="2487">
        <v>100</v>
      </c>
      <c r="O250" s="2487">
        <v>150</v>
      </c>
      <c r="P250" s="2487">
        <v>200</v>
      </c>
      <c r="Q250" s="348">
        <v>260</v>
      </c>
      <c r="R250" s="2487">
        <v>10</v>
      </c>
      <c r="S250" s="2487">
        <v>15</v>
      </c>
      <c r="T250" s="2487">
        <v>15</v>
      </c>
      <c r="U250" s="348">
        <v>20</v>
      </c>
      <c r="V250" s="2485" t="s">
        <v>3963</v>
      </c>
      <c r="W250" s="2485" t="s">
        <v>3964</v>
      </c>
      <c r="X250" s="2485" t="s">
        <v>3965</v>
      </c>
      <c r="Y250" s="2485" t="s">
        <v>3966</v>
      </c>
      <c r="Z250" s="2485" t="s">
        <v>3967</v>
      </c>
      <c r="AA250" s="347"/>
    </row>
    <row r="251" spans="1:27" ht="12.75" customHeight="1">
      <c r="A251" s="8243"/>
      <c r="B251" s="242" t="str">
        <f t="shared" si="3"/>
        <v>Fuego62</v>
      </c>
      <c r="D251" s="257" t="s">
        <v>9398</v>
      </c>
      <c r="E251" s="2487" t="s">
        <v>1468</v>
      </c>
      <c r="F251" s="2487">
        <v>62</v>
      </c>
      <c r="G251" s="2489" t="s">
        <v>1241</v>
      </c>
      <c r="H251" s="2489" t="s">
        <v>1094</v>
      </c>
      <c r="I251" s="351" t="s">
        <v>1165</v>
      </c>
      <c r="J251" s="2487">
        <v>6</v>
      </c>
      <c r="K251" s="2487">
        <v>9</v>
      </c>
      <c r="L251" s="2487">
        <v>14</v>
      </c>
      <c r="M251" s="348">
        <v>15</v>
      </c>
      <c r="N251" s="2487">
        <v>120</v>
      </c>
      <c r="O251" s="2487">
        <v>180</v>
      </c>
      <c r="P251" s="2487">
        <v>240</v>
      </c>
      <c r="Q251" s="348">
        <v>300</v>
      </c>
      <c r="R251" s="2487" t="s">
        <v>1241</v>
      </c>
      <c r="S251" s="2487" t="s">
        <v>1241</v>
      </c>
      <c r="T251" s="2487" t="s">
        <v>1241</v>
      </c>
      <c r="U251" s="348" t="s">
        <v>1241</v>
      </c>
      <c r="V251" s="2485" t="s">
        <v>3968</v>
      </c>
      <c r="W251" s="2485" t="s">
        <v>3969</v>
      </c>
      <c r="X251" s="2485" t="s">
        <v>3970</v>
      </c>
      <c r="Y251" s="2485" t="s">
        <v>3971</v>
      </c>
      <c r="Z251" s="2485" t="s">
        <v>3972</v>
      </c>
      <c r="AA251" s="347"/>
    </row>
    <row r="252" spans="1:27" ht="12.75" customHeight="1">
      <c r="A252" s="8243"/>
      <c r="B252" s="242" t="str">
        <f t="shared" si="3"/>
        <v>Fuego66</v>
      </c>
      <c r="D252" s="257" t="s">
        <v>9399</v>
      </c>
      <c r="E252" s="2487" t="s">
        <v>1468</v>
      </c>
      <c r="F252" s="2487">
        <v>66</v>
      </c>
      <c r="G252" s="2489" t="s">
        <v>2422</v>
      </c>
      <c r="H252" s="2489" t="s">
        <v>1095</v>
      </c>
      <c r="I252" s="351" t="s">
        <v>1165</v>
      </c>
      <c r="J252" s="2487">
        <v>7</v>
      </c>
      <c r="K252" s="2487">
        <v>10</v>
      </c>
      <c r="L252" s="2487">
        <v>12</v>
      </c>
      <c r="M252" s="348">
        <v>15</v>
      </c>
      <c r="N252" s="2487">
        <v>120</v>
      </c>
      <c r="O252" s="2487">
        <v>180</v>
      </c>
      <c r="P252" s="2487">
        <v>240</v>
      </c>
      <c r="Q252" s="348">
        <v>300</v>
      </c>
      <c r="R252" s="2487">
        <v>10</v>
      </c>
      <c r="S252" s="2487">
        <v>10</v>
      </c>
      <c r="T252" s="2487">
        <v>15</v>
      </c>
      <c r="U252" s="348">
        <v>15</v>
      </c>
      <c r="V252" s="2485" t="s">
        <v>3973</v>
      </c>
      <c r="W252" s="2485" t="s">
        <v>3974</v>
      </c>
      <c r="X252" s="2485" t="s">
        <v>3975</v>
      </c>
      <c r="Y252" s="2485" t="s">
        <v>3976</v>
      </c>
      <c r="Z252" s="2485" t="s">
        <v>3977</v>
      </c>
      <c r="AA252" s="347"/>
    </row>
    <row r="253" spans="1:27" ht="12.75" customHeight="1">
      <c r="A253" s="8243"/>
      <c r="B253" s="242" t="str">
        <f t="shared" si="3"/>
        <v>Fuego70</v>
      </c>
      <c r="D253" s="257" t="s">
        <v>9400</v>
      </c>
      <c r="E253" s="2487" t="s">
        <v>1468</v>
      </c>
      <c r="F253" s="2487">
        <v>70</v>
      </c>
      <c r="G253" s="2489" t="s">
        <v>1241</v>
      </c>
      <c r="H253" s="2489" t="s">
        <v>1094</v>
      </c>
      <c r="I253" s="351" t="s">
        <v>1165</v>
      </c>
      <c r="J253" s="2487">
        <v>9</v>
      </c>
      <c r="K253" s="2487">
        <v>11</v>
      </c>
      <c r="L253" s="2487">
        <v>13</v>
      </c>
      <c r="M253" s="348">
        <v>16</v>
      </c>
      <c r="N253" s="2487">
        <v>100</v>
      </c>
      <c r="O253" s="2487">
        <v>140</v>
      </c>
      <c r="P253" s="2487">
        <v>200</v>
      </c>
      <c r="Q253" s="348">
        <v>280</v>
      </c>
      <c r="R253" s="2487" t="s">
        <v>1241</v>
      </c>
      <c r="S253" s="2487" t="s">
        <v>1241</v>
      </c>
      <c r="T253" s="2487" t="s">
        <v>1241</v>
      </c>
      <c r="U253" s="348" t="s">
        <v>1241</v>
      </c>
      <c r="V253" s="2485" t="s">
        <v>3978</v>
      </c>
      <c r="W253" s="2485" t="s">
        <v>3979</v>
      </c>
      <c r="X253" s="2485" t="s">
        <v>3980</v>
      </c>
      <c r="Y253" s="2485" t="s">
        <v>3981</v>
      </c>
      <c r="Z253" s="2485" t="s">
        <v>3982</v>
      </c>
      <c r="AA253" s="347"/>
    </row>
    <row r="254" spans="1:27" ht="12.75" customHeight="1">
      <c r="A254" s="8243"/>
      <c r="B254" s="242" t="str">
        <f t="shared" si="3"/>
        <v>Fuego72</v>
      </c>
      <c r="D254" s="257" t="s">
        <v>9401</v>
      </c>
      <c r="E254" s="2487" t="s">
        <v>1468</v>
      </c>
      <c r="F254" s="2487">
        <v>72</v>
      </c>
      <c r="G254" s="2489" t="s">
        <v>2422</v>
      </c>
      <c r="H254" s="2489" t="s">
        <v>1095</v>
      </c>
      <c r="I254" s="351" t="s">
        <v>1165</v>
      </c>
      <c r="J254" s="2487">
        <v>6</v>
      </c>
      <c r="K254" s="2487">
        <v>9</v>
      </c>
      <c r="L254" s="2487">
        <v>13</v>
      </c>
      <c r="M254" s="348">
        <v>15</v>
      </c>
      <c r="N254" s="2487">
        <v>120</v>
      </c>
      <c r="O254" s="2487">
        <v>180</v>
      </c>
      <c r="P254" s="2487">
        <v>240</v>
      </c>
      <c r="Q254" s="348">
        <v>300</v>
      </c>
      <c r="R254" s="2487">
        <v>10</v>
      </c>
      <c r="S254" s="2487">
        <v>10</v>
      </c>
      <c r="T254" s="2487">
        <v>15</v>
      </c>
      <c r="U254" s="348">
        <v>15</v>
      </c>
      <c r="V254" s="2485" t="s">
        <v>3974</v>
      </c>
      <c r="W254" s="2485" t="s">
        <v>3983</v>
      </c>
      <c r="X254" s="2485" t="s">
        <v>3984</v>
      </c>
      <c r="Y254" s="2485" t="s">
        <v>3985</v>
      </c>
      <c r="Z254" s="2485" t="s">
        <v>3986</v>
      </c>
      <c r="AA254" s="347"/>
    </row>
    <row r="255" spans="1:27" ht="12.75" customHeight="1">
      <c r="A255" s="8243"/>
      <c r="B255" s="242" t="str">
        <f t="shared" si="3"/>
        <v>Fuego76</v>
      </c>
      <c r="D255" s="257" t="s">
        <v>9402</v>
      </c>
      <c r="E255" s="2487" t="s">
        <v>1468</v>
      </c>
      <c r="F255" s="2487">
        <v>76</v>
      </c>
      <c r="G255" s="2489" t="s">
        <v>1241</v>
      </c>
      <c r="H255" s="2489" t="s">
        <v>1096</v>
      </c>
      <c r="I255" s="351" t="s">
        <v>1165</v>
      </c>
      <c r="J255" s="2487">
        <v>8</v>
      </c>
      <c r="K255" s="2487">
        <v>10</v>
      </c>
      <c r="L255" s="2487">
        <v>12</v>
      </c>
      <c r="M255" s="348">
        <v>15</v>
      </c>
      <c r="N255" s="2487">
        <v>150</v>
      </c>
      <c r="O255" s="2487">
        <v>200</v>
      </c>
      <c r="P255" s="2487">
        <v>240</v>
      </c>
      <c r="Q255" s="348">
        <v>280</v>
      </c>
      <c r="R255" s="2487">
        <v>15</v>
      </c>
      <c r="S255" s="2487">
        <v>20</v>
      </c>
      <c r="T255" s="2487">
        <v>25</v>
      </c>
      <c r="U255" s="348">
        <v>30</v>
      </c>
      <c r="V255" s="2485" t="s">
        <v>3987</v>
      </c>
      <c r="W255" s="2485" t="s">
        <v>3988</v>
      </c>
      <c r="X255" s="2485" t="s">
        <v>3989</v>
      </c>
      <c r="Y255" s="2485" t="s">
        <v>3990</v>
      </c>
      <c r="Z255" s="2485" t="s">
        <v>3991</v>
      </c>
      <c r="AA255" s="347"/>
    </row>
    <row r="256" spans="1:27" ht="12.75" customHeight="1">
      <c r="A256" s="8243"/>
      <c r="B256" s="242" t="str">
        <f t="shared" si="3"/>
        <v>Fuego80</v>
      </c>
      <c r="D256" s="257" t="s">
        <v>9403</v>
      </c>
      <c r="E256" s="2487" t="s">
        <v>1468</v>
      </c>
      <c r="F256" s="2487">
        <v>80</v>
      </c>
      <c r="G256" s="2489" t="s">
        <v>2422</v>
      </c>
      <c r="H256" s="2489" t="s">
        <v>1095</v>
      </c>
      <c r="I256" s="351" t="s">
        <v>1165</v>
      </c>
      <c r="J256" s="2487">
        <v>6</v>
      </c>
      <c r="K256" s="2487">
        <v>9</v>
      </c>
      <c r="L256" s="2487">
        <v>12</v>
      </c>
      <c r="M256" s="348">
        <v>15</v>
      </c>
      <c r="N256" s="2487">
        <v>120</v>
      </c>
      <c r="O256" s="2487">
        <v>180</v>
      </c>
      <c r="P256" s="2487">
        <v>240</v>
      </c>
      <c r="Q256" s="348">
        <v>300</v>
      </c>
      <c r="R256" s="2487">
        <v>10</v>
      </c>
      <c r="S256" s="2487">
        <v>10</v>
      </c>
      <c r="T256" s="2487">
        <v>15</v>
      </c>
      <c r="U256" s="348">
        <v>15</v>
      </c>
      <c r="V256" s="2485" t="s">
        <v>3992</v>
      </c>
      <c r="W256" s="2485" t="s">
        <v>3993</v>
      </c>
      <c r="X256" s="2485" t="s">
        <v>3994</v>
      </c>
      <c r="Y256" s="2485" t="s">
        <v>3995</v>
      </c>
      <c r="Z256" s="2485" t="s">
        <v>3996</v>
      </c>
      <c r="AA256" s="347"/>
    </row>
    <row r="257" spans="1:27" ht="12.75" customHeight="1">
      <c r="A257" s="8243"/>
      <c r="B257" s="242" t="str">
        <f t="shared" si="3"/>
        <v>Fuego82</v>
      </c>
      <c r="D257" s="257" t="s">
        <v>9404</v>
      </c>
      <c r="E257" s="2487" t="s">
        <v>1468</v>
      </c>
      <c r="F257" s="2487">
        <v>82</v>
      </c>
      <c r="G257" s="2489" t="s">
        <v>2422</v>
      </c>
      <c r="H257" s="2489" t="s">
        <v>1095</v>
      </c>
      <c r="I257" s="351" t="s">
        <v>1165</v>
      </c>
      <c r="J257" s="2487">
        <v>10</v>
      </c>
      <c r="K257" s="2487">
        <v>12</v>
      </c>
      <c r="L257" s="2487">
        <v>14</v>
      </c>
      <c r="M257" s="348">
        <v>16</v>
      </c>
      <c r="N257" s="2487">
        <v>250</v>
      </c>
      <c r="O257" s="2487">
        <v>350</v>
      </c>
      <c r="P257" s="2487">
        <v>500</v>
      </c>
      <c r="Q257" s="348">
        <v>700</v>
      </c>
      <c r="R257" s="2487">
        <v>50</v>
      </c>
      <c r="S257" s="2487">
        <v>70</v>
      </c>
      <c r="T257" s="2487">
        <v>100</v>
      </c>
      <c r="U257" s="348">
        <v>140</v>
      </c>
      <c r="V257" s="2485" t="s">
        <v>3185</v>
      </c>
      <c r="W257" s="2485" t="s">
        <v>3186</v>
      </c>
      <c r="X257" s="2485" t="s">
        <v>3187</v>
      </c>
      <c r="Y257" s="2485" t="s">
        <v>3188</v>
      </c>
      <c r="Z257" s="2485" t="s">
        <v>3997</v>
      </c>
      <c r="AA257" s="347"/>
    </row>
    <row r="258" spans="1:27" ht="12.75" customHeight="1">
      <c r="A258" s="8243"/>
      <c r="B258" s="242" t="str">
        <f t="shared" si="3"/>
        <v>Fuego86</v>
      </c>
      <c r="D258" s="257" t="s">
        <v>9405</v>
      </c>
      <c r="E258" s="2487" t="s">
        <v>1468</v>
      </c>
      <c r="F258" s="2487">
        <v>86</v>
      </c>
      <c r="G258" s="2489" t="s">
        <v>2422</v>
      </c>
      <c r="H258" s="2489" t="s">
        <v>1095</v>
      </c>
      <c r="I258" s="351" t="s">
        <v>1165</v>
      </c>
      <c r="J258" s="2487">
        <v>10</v>
      </c>
      <c r="K258" s="2487">
        <v>12</v>
      </c>
      <c r="L258" s="2487">
        <v>14</v>
      </c>
      <c r="M258" s="348">
        <v>18</v>
      </c>
      <c r="N258" s="2487">
        <v>250</v>
      </c>
      <c r="O258" s="2487">
        <v>300</v>
      </c>
      <c r="P258" s="2487">
        <v>350</v>
      </c>
      <c r="Q258" s="348">
        <v>400</v>
      </c>
      <c r="R258" s="2487">
        <v>25</v>
      </c>
      <c r="S258" s="2487">
        <v>30</v>
      </c>
      <c r="T258" s="2487">
        <v>30</v>
      </c>
      <c r="U258" s="348">
        <v>35</v>
      </c>
      <c r="V258" s="2485" t="s">
        <v>3998</v>
      </c>
      <c r="W258" s="2485" t="s">
        <v>3999</v>
      </c>
      <c r="X258" s="2485" t="s">
        <v>4000</v>
      </c>
      <c r="Y258" s="2485" t="s">
        <v>4001</v>
      </c>
      <c r="Z258" s="2485" t="s">
        <v>12945</v>
      </c>
      <c r="AA258" s="347"/>
    </row>
    <row r="259" spans="1:27" ht="12.75" customHeight="1">
      <c r="A259" s="8243"/>
      <c r="B259" s="242" t="str">
        <f t="shared" si="3"/>
        <v>Fuego90</v>
      </c>
      <c r="D259" s="257" t="s">
        <v>9406</v>
      </c>
      <c r="E259" s="2487" t="s">
        <v>1468</v>
      </c>
      <c r="F259" s="2487">
        <v>90</v>
      </c>
      <c r="G259" s="2489" t="s">
        <v>1241</v>
      </c>
      <c r="H259" s="2489" t="s">
        <v>1093</v>
      </c>
      <c r="I259" s="351" t="s">
        <v>1165</v>
      </c>
      <c r="J259" s="2487">
        <v>10</v>
      </c>
      <c r="K259" s="2487">
        <v>13</v>
      </c>
      <c r="L259" s="2487">
        <v>16</v>
      </c>
      <c r="M259" s="348">
        <v>18</v>
      </c>
      <c r="N259" s="2487">
        <v>200</v>
      </c>
      <c r="O259" s="2487">
        <v>300</v>
      </c>
      <c r="P259" s="2487">
        <v>400</v>
      </c>
      <c r="Q259" s="348">
        <v>500</v>
      </c>
      <c r="R259" s="2487" t="s">
        <v>1241</v>
      </c>
      <c r="S259" s="2487" t="s">
        <v>1241</v>
      </c>
      <c r="T259" s="2487" t="s">
        <v>1241</v>
      </c>
      <c r="U259" s="348" t="s">
        <v>1241</v>
      </c>
      <c r="V259" s="2485" t="s">
        <v>4002</v>
      </c>
      <c r="W259" s="2485" t="s">
        <v>4003</v>
      </c>
      <c r="X259" s="2485" t="s">
        <v>4004</v>
      </c>
      <c r="Y259" s="2485" t="s">
        <v>4005</v>
      </c>
      <c r="Z259" s="2485" t="s">
        <v>4006</v>
      </c>
      <c r="AA259" s="347"/>
    </row>
    <row r="260" spans="1:27" ht="12.75" customHeight="1">
      <c r="A260" s="8243"/>
      <c r="B260" s="242" t="str">
        <f t="shared" si="3"/>
        <v>Fuego92</v>
      </c>
      <c r="D260" s="257" t="s">
        <v>9407</v>
      </c>
      <c r="E260" s="2487" t="s">
        <v>1468</v>
      </c>
      <c r="F260" s="2487">
        <v>92</v>
      </c>
      <c r="G260" s="2489" t="s">
        <v>2422</v>
      </c>
      <c r="H260" s="2489" t="s">
        <v>1095</v>
      </c>
      <c r="I260" s="351" t="s">
        <v>1165</v>
      </c>
      <c r="J260" s="2487">
        <v>13</v>
      </c>
      <c r="K260" s="2487">
        <v>15</v>
      </c>
      <c r="L260" s="2487">
        <v>17</v>
      </c>
      <c r="M260" s="348">
        <v>19</v>
      </c>
      <c r="N260" s="2487">
        <v>250</v>
      </c>
      <c r="O260" s="2487">
        <v>350</v>
      </c>
      <c r="P260" s="2487">
        <v>500</v>
      </c>
      <c r="Q260" s="348">
        <v>750</v>
      </c>
      <c r="R260" s="2487">
        <v>50</v>
      </c>
      <c r="S260" s="2487">
        <v>70</v>
      </c>
      <c r="T260" s="2487">
        <v>100</v>
      </c>
      <c r="U260" s="348">
        <v>150</v>
      </c>
      <c r="V260" s="2485" t="s">
        <v>4007</v>
      </c>
      <c r="W260" s="2485" t="s">
        <v>4008</v>
      </c>
      <c r="X260" s="2485" t="s">
        <v>4009</v>
      </c>
      <c r="Y260" s="2485" t="s">
        <v>4010</v>
      </c>
      <c r="Z260" s="2485" t="s">
        <v>4011</v>
      </c>
      <c r="AA260" s="347"/>
    </row>
    <row r="261" spans="1:27" ht="12.75" customHeight="1">
      <c r="A261" s="8243"/>
      <c r="B261" s="242" t="str">
        <f t="shared" si="3"/>
        <v>Fuego96</v>
      </c>
      <c r="D261" s="257" t="s">
        <v>9408</v>
      </c>
      <c r="E261" s="2487" t="s">
        <v>1468</v>
      </c>
      <c r="F261" s="2487">
        <v>96</v>
      </c>
      <c r="G261" s="2489" t="s">
        <v>2422</v>
      </c>
      <c r="H261" s="2489" t="s">
        <v>1096</v>
      </c>
      <c r="I261" s="351" t="s">
        <v>1165</v>
      </c>
      <c r="J261" s="2487">
        <v>10</v>
      </c>
      <c r="K261" s="2487">
        <v>12</v>
      </c>
      <c r="L261" s="2487">
        <v>15</v>
      </c>
      <c r="M261" s="348">
        <v>18</v>
      </c>
      <c r="N261" s="2487">
        <v>300</v>
      </c>
      <c r="O261" s="2487">
        <v>450</v>
      </c>
      <c r="P261" s="2487">
        <v>600</v>
      </c>
      <c r="Q261" s="348">
        <v>1000</v>
      </c>
      <c r="R261" s="2487">
        <v>30</v>
      </c>
      <c r="S261" s="2487">
        <v>45</v>
      </c>
      <c r="T261" s="2487">
        <v>60</v>
      </c>
      <c r="U261" s="348">
        <v>100</v>
      </c>
      <c r="V261" s="2485" t="s">
        <v>4012</v>
      </c>
      <c r="W261" s="2485" t="s">
        <v>4013</v>
      </c>
      <c r="X261" s="2485" t="s">
        <v>4014</v>
      </c>
      <c r="Y261" s="2485" t="s">
        <v>4015</v>
      </c>
      <c r="Z261" s="2485" t="s">
        <v>12946</v>
      </c>
      <c r="AA261" s="347"/>
    </row>
    <row r="262" spans="1:27" ht="12.75" customHeight="1">
      <c r="A262" s="8243"/>
      <c r="B262" s="242" t="str">
        <f t="shared" si="3"/>
        <v>Fuego100</v>
      </c>
      <c r="D262" s="257" t="s">
        <v>9409</v>
      </c>
      <c r="E262" s="2487" t="s">
        <v>1468</v>
      </c>
      <c r="F262" s="2487">
        <v>100</v>
      </c>
      <c r="G262" s="2489" t="s">
        <v>2422</v>
      </c>
      <c r="H262" s="2489" t="s">
        <v>1096</v>
      </c>
      <c r="I262" s="351" t="s">
        <v>1165</v>
      </c>
      <c r="J262" s="2487">
        <v>15</v>
      </c>
      <c r="K262" s="2487">
        <v>16</v>
      </c>
      <c r="L262" s="2487">
        <v>17</v>
      </c>
      <c r="M262" s="348">
        <v>18</v>
      </c>
      <c r="N262" s="2487">
        <v>450</v>
      </c>
      <c r="O262" s="2487">
        <v>800</v>
      </c>
      <c r="P262" s="2487">
        <v>1200</v>
      </c>
      <c r="Q262" s="348">
        <v>1600</v>
      </c>
      <c r="R262" s="2487">
        <v>90</v>
      </c>
      <c r="S262" s="2487">
        <v>100</v>
      </c>
      <c r="T262" s="2487">
        <v>105</v>
      </c>
      <c r="U262" s="348">
        <v>110</v>
      </c>
      <c r="V262" s="2485" t="s">
        <v>9779</v>
      </c>
      <c r="W262" s="2485" t="s">
        <v>4016</v>
      </c>
      <c r="X262" s="2485" t="s">
        <v>4017</v>
      </c>
      <c r="Y262" s="2485" t="s">
        <v>4018</v>
      </c>
      <c r="Z262" s="2485" t="s">
        <v>4019</v>
      </c>
      <c r="AA262" s="347"/>
    </row>
    <row r="263" spans="1:27" ht="12.75" customHeight="1">
      <c r="A263" s="8243"/>
      <c r="B263" s="242" t="str">
        <f t="shared" si="3"/>
        <v/>
      </c>
      <c r="D263" s="257" t="s">
        <v>265</v>
      </c>
      <c r="E263" s="2487"/>
      <c r="F263" s="2487"/>
      <c r="G263" s="2489"/>
      <c r="H263" s="2489"/>
      <c r="I263" s="351"/>
      <c r="J263" s="2487"/>
      <c r="K263" s="2487"/>
      <c r="L263" s="2487"/>
      <c r="M263" s="348"/>
      <c r="N263" s="2487"/>
      <c r="O263" s="2487"/>
      <c r="P263" s="2487"/>
      <c r="Q263" s="348"/>
      <c r="R263" s="2487"/>
      <c r="S263" s="2487"/>
      <c r="T263" s="2487"/>
      <c r="U263" s="348"/>
      <c r="V263" s="2485"/>
      <c r="W263" s="2485"/>
      <c r="X263" s="2485"/>
      <c r="Y263" s="2485"/>
      <c r="Z263" s="2485"/>
      <c r="AA263" s="347"/>
    </row>
    <row r="264" spans="1:27" ht="12.75" customHeight="1">
      <c r="A264" s="8243"/>
      <c r="B264" s="242" t="str">
        <f t="shared" ref="B264:B327" si="4">E264&amp;F264</f>
        <v>Tierra2</v>
      </c>
      <c r="D264" s="257" t="s">
        <v>9410</v>
      </c>
      <c r="E264" s="2487" t="s">
        <v>1558</v>
      </c>
      <c r="F264" s="2487">
        <v>2</v>
      </c>
      <c r="G264" s="2489" t="s">
        <v>1241</v>
      </c>
      <c r="H264" s="2489" t="s">
        <v>3048</v>
      </c>
      <c r="I264" s="351" t="s">
        <v>1165</v>
      </c>
      <c r="J264" s="2487">
        <v>5</v>
      </c>
      <c r="K264" s="2487">
        <v>8</v>
      </c>
      <c r="L264" s="2487">
        <v>10</v>
      </c>
      <c r="M264" s="348">
        <v>12</v>
      </c>
      <c r="N264" s="2487">
        <v>20</v>
      </c>
      <c r="O264" s="2487">
        <v>60</v>
      </c>
      <c r="P264" s="2487">
        <v>100</v>
      </c>
      <c r="Q264" s="348">
        <v>140</v>
      </c>
      <c r="R264" s="2487" t="s">
        <v>1241</v>
      </c>
      <c r="S264" s="2487" t="s">
        <v>1241</v>
      </c>
      <c r="T264" s="2487" t="s">
        <v>1241</v>
      </c>
      <c r="U264" s="348" t="s">
        <v>4020</v>
      </c>
      <c r="V264" s="2485" t="s">
        <v>4021</v>
      </c>
      <c r="W264" s="2485" t="s">
        <v>3313</v>
      </c>
      <c r="X264" s="2485" t="s">
        <v>4022</v>
      </c>
      <c r="Y264" s="2485" t="s">
        <v>3223</v>
      </c>
      <c r="Z264" s="2485" t="s">
        <v>4023</v>
      </c>
      <c r="AA264" s="347"/>
    </row>
    <row r="265" spans="1:27" ht="12.75" customHeight="1">
      <c r="A265" s="8243"/>
      <c r="B265" s="242" t="str">
        <f t="shared" si="4"/>
        <v>Tierra6</v>
      </c>
      <c r="D265" s="257" t="s">
        <v>9411</v>
      </c>
      <c r="E265" s="2487" t="s">
        <v>1558</v>
      </c>
      <c r="F265" s="2487">
        <v>6</v>
      </c>
      <c r="G265" s="2489" t="s">
        <v>2422</v>
      </c>
      <c r="H265" s="2489" t="s">
        <v>3700</v>
      </c>
      <c r="I265" s="351" t="s">
        <v>1165</v>
      </c>
      <c r="J265" s="2487">
        <v>5</v>
      </c>
      <c r="K265" s="2487">
        <v>8</v>
      </c>
      <c r="L265" s="2487">
        <v>10</v>
      </c>
      <c r="M265" s="348">
        <v>12</v>
      </c>
      <c r="N265" s="2487">
        <v>30</v>
      </c>
      <c r="O265" s="2487">
        <v>60</v>
      </c>
      <c r="P265" s="2487">
        <v>100</v>
      </c>
      <c r="Q265" s="348">
        <v>140</v>
      </c>
      <c r="R265" s="2487">
        <v>5</v>
      </c>
      <c r="S265" s="2487">
        <v>10</v>
      </c>
      <c r="T265" s="2487">
        <v>10</v>
      </c>
      <c r="U265" s="348">
        <v>15</v>
      </c>
      <c r="V265" s="2485" t="s">
        <v>4024</v>
      </c>
      <c r="W265" s="2485" t="s">
        <v>4025</v>
      </c>
      <c r="X265" s="2485" t="s">
        <v>4026</v>
      </c>
      <c r="Y265" s="2485" t="s">
        <v>4027</v>
      </c>
      <c r="Z265" s="2485" t="s">
        <v>4028</v>
      </c>
      <c r="AA265" s="347"/>
    </row>
    <row r="266" spans="1:27" ht="12.75" customHeight="1">
      <c r="A266" s="8243"/>
      <c r="B266" s="242" t="str">
        <f t="shared" si="4"/>
        <v>Tierra10</v>
      </c>
      <c r="D266" s="257" t="s">
        <v>9412</v>
      </c>
      <c r="E266" s="2487" t="s">
        <v>1558</v>
      </c>
      <c r="F266" s="2487">
        <v>10</v>
      </c>
      <c r="G266" s="2489" t="s">
        <v>2422</v>
      </c>
      <c r="H266" s="2489" t="s">
        <v>1095</v>
      </c>
      <c r="I266" s="351" t="s">
        <v>1165</v>
      </c>
      <c r="J266" s="2487">
        <v>5</v>
      </c>
      <c r="K266" s="2487">
        <v>8</v>
      </c>
      <c r="L266" s="2487">
        <v>10</v>
      </c>
      <c r="M266" s="348">
        <v>12</v>
      </c>
      <c r="N266" s="2487">
        <v>40</v>
      </c>
      <c r="O266" s="2487">
        <v>120</v>
      </c>
      <c r="P266" s="2487">
        <v>200</v>
      </c>
      <c r="Q266" s="348">
        <v>320</v>
      </c>
      <c r="R266" s="2487">
        <v>5</v>
      </c>
      <c r="S266" s="2487">
        <v>25</v>
      </c>
      <c r="T266" s="2487">
        <v>30</v>
      </c>
      <c r="U266" s="348">
        <v>40</v>
      </c>
      <c r="V266" s="2485" t="s">
        <v>4029</v>
      </c>
      <c r="W266" s="2485" t="s">
        <v>4030</v>
      </c>
      <c r="X266" s="2485" t="s">
        <v>4031</v>
      </c>
      <c r="Y266" s="2485" t="s">
        <v>4032</v>
      </c>
      <c r="Z266" s="2485" t="s">
        <v>4033</v>
      </c>
      <c r="AA266" s="347"/>
    </row>
    <row r="267" spans="1:27" ht="12.75" customHeight="1">
      <c r="A267" s="8243"/>
      <c r="B267" s="242" t="str">
        <f t="shared" si="4"/>
        <v>Tierra12</v>
      </c>
      <c r="D267" s="257" t="s">
        <v>9413</v>
      </c>
      <c r="E267" s="2487" t="s">
        <v>1558</v>
      </c>
      <c r="F267" s="2487">
        <v>12</v>
      </c>
      <c r="G267" s="2489" t="s">
        <v>1241</v>
      </c>
      <c r="H267" s="2489" t="s">
        <v>1095</v>
      </c>
      <c r="I267" s="351" t="s">
        <v>1166</v>
      </c>
      <c r="J267" s="2487">
        <v>6</v>
      </c>
      <c r="K267" s="2487">
        <v>8</v>
      </c>
      <c r="L267" s="2487">
        <v>11</v>
      </c>
      <c r="M267" s="348">
        <v>13</v>
      </c>
      <c r="N267" s="2487">
        <v>40</v>
      </c>
      <c r="O267" s="2487">
        <v>80</v>
      </c>
      <c r="P267" s="2487">
        <v>120</v>
      </c>
      <c r="Q267" s="348">
        <v>160</v>
      </c>
      <c r="R267" s="2487">
        <v>5</v>
      </c>
      <c r="S267" s="2487">
        <v>5</v>
      </c>
      <c r="T267" s="2487">
        <v>5</v>
      </c>
      <c r="U267" s="348">
        <v>10</v>
      </c>
      <c r="V267" s="2485" t="s">
        <v>4034</v>
      </c>
      <c r="W267" s="2485" t="s">
        <v>4035</v>
      </c>
      <c r="X267" s="2485" t="s">
        <v>4036</v>
      </c>
      <c r="Y267" s="2485" t="s">
        <v>4037</v>
      </c>
      <c r="Z267" s="2485" t="s">
        <v>4038</v>
      </c>
      <c r="AA267" s="347"/>
    </row>
    <row r="268" spans="1:27" ht="12.75" customHeight="1">
      <c r="A268" s="8243"/>
      <c r="B268" s="242" t="str">
        <f t="shared" si="4"/>
        <v>Tierra16</v>
      </c>
      <c r="D268" s="257" t="s">
        <v>9414</v>
      </c>
      <c r="E268" s="2487" t="s">
        <v>1558</v>
      </c>
      <c r="F268" s="2487">
        <v>16</v>
      </c>
      <c r="G268" s="2489" t="s">
        <v>2422</v>
      </c>
      <c r="H268" s="2489" t="s">
        <v>1095</v>
      </c>
      <c r="I268" s="351" t="s">
        <v>1165</v>
      </c>
      <c r="J268" s="2487">
        <v>6</v>
      </c>
      <c r="K268" s="2487">
        <v>9</v>
      </c>
      <c r="L268" s="2487">
        <v>11</v>
      </c>
      <c r="M268" s="348">
        <v>13</v>
      </c>
      <c r="N268" s="2487">
        <v>50</v>
      </c>
      <c r="O268" s="2487">
        <v>80</v>
      </c>
      <c r="P268" s="2487">
        <v>120</v>
      </c>
      <c r="Q268" s="348">
        <v>160</v>
      </c>
      <c r="R268" s="2487">
        <v>5</v>
      </c>
      <c r="S268" s="2487">
        <v>10</v>
      </c>
      <c r="T268" s="2487">
        <v>15</v>
      </c>
      <c r="U268" s="348">
        <v>20</v>
      </c>
      <c r="V268" s="2485" t="s">
        <v>4039</v>
      </c>
      <c r="W268" s="2485" t="s">
        <v>4040</v>
      </c>
      <c r="X268" s="2485" t="s">
        <v>4041</v>
      </c>
      <c r="Y268" s="2485" t="s">
        <v>4042</v>
      </c>
      <c r="Z268" s="2485" t="s">
        <v>12947</v>
      </c>
      <c r="AA268" s="347"/>
    </row>
    <row r="269" spans="1:27" ht="12.75" customHeight="1">
      <c r="A269" s="8243"/>
      <c r="B269" s="242" t="str">
        <f t="shared" si="4"/>
        <v>Tierra20</v>
      </c>
      <c r="D269" s="257" t="s">
        <v>9415</v>
      </c>
      <c r="E269" s="2487" t="s">
        <v>1558</v>
      </c>
      <c r="F269" s="2487">
        <v>20</v>
      </c>
      <c r="G269" s="2489" t="s">
        <v>1241</v>
      </c>
      <c r="H269" s="2489" t="s">
        <v>1424</v>
      </c>
      <c r="I269" s="351" t="s">
        <v>1165</v>
      </c>
      <c r="J269" s="2487">
        <v>6</v>
      </c>
      <c r="K269" s="2487">
        <v>9</v>
      </c>
      <c r="L269" s="2487">
        <v>12</v>
      </c>
      <c r="M269" s="348">
        <v>15</v>
      </c>
      <c r="N269" s="2487">
        <v>60</v>
      </c>
      <c r="O269" s="2487">
        <v>160</v>
      </c>
      <c r="P269" s="2487">
        <v>240</v>
      </c>
      <c r="Q269" s="348">
        <v>300</v>
      </c>
      <c r="R269" s="2487">
        <v>10</v>
      </c>
      <c r="S269" s="2487">
        <v>20</v>
      </c>
      <c r="T269" s="2487">
        <v>25</v>
      </c>
      <c r="U269" s="348">
        <v>30</v>
      </c>
      <c r="V269" s="2485" t="s">
        <v>4043</v>
      </c>
      <c r="W269" s="2485" t="s">
        <v>4044</v>
      </c>
      <c r="X269" s="2485" t="s">
        <v>4045</v>
      </c>
      <c r="Y269" s="2485" t="s">
        <v>4046</v>
      </c>
      <c r="Z269" s="2485" t="s">
        <v>4047</v>
      </c>
      <c r="AA269" s="347"/>
    </row>
    <row r="270" spans="1:27" ht="12.75" customHeight="1">
      <c r="A270" s="8243"/>
      <c r="B270" s="242" t="str">
        <f t="shared" si="4"/>
        <v>Tierra22</v>
      </c>
      <c r="D270" s="257" t="s">
        <v>2777</v>
      </c>
      <c r="E270" s="2487" t="s">
        <v>1558</v>
      </c>
      <c r="F270" s="2487">
        <v>22</v>
      </c>
      <c r="G270" s="2489" t="s">
        <v>1241</v>
      </c>
      <c r="H270" s="2489" t="s">
        <v>1094</v>
      </c>
      <c r="I270" s="351" t="s">
        <v>1165</v>
      </c>
      <c r="J270" s="2487">
        <v>6</v>
      </c>
      <c r="K270" s="2487">
        <v>9</v>
      </c>
      <c r="L270" s="2487">
        <v>12</v>
      </c>
      <c r="M270" s="348">
        <v>15</v>
      </c>
      <c r="N270" s="2487">
        <v>60</v>
      </c>
      <c r="O270" s="2487">
        <v>90</v>
      </c>
      <c r="P270" s="2487">
        <v>120</v>
      </c>
      <c r="Q270" s="348">
        <v>150</v>
      </c>
      <c r="R270" s="2487">
        <v>10</v>
      </c>
      <c r="S270" s="2487">
        <v>10</v>
      </c>
      <c r="T270" s="2487">
        <v>15</v>
      </c>
      <c r="U270" s="348">
        <v>15</v>
      </c>
      <c r="V270" s="2485" t="s">
        <v>4048</v>
      </c>
      <c r="W270" s="2485" t="s">
        <v>4049</v>
      </c>
      <c r="X270" s="2485" t="s">
        <v>4050</v>
      </c>
      <c r="Y270" s="2485" t="s">
        <v>4051</v>
      </c>
      <c r="Z270" s="2485" t="s">
        <v>12948</v>
      </c>
      <c r="AA270" s="347"/>
    </row>
    <row r="271" spans="1:27" ht="12.75" customHeight="1">
      <c r="A271" s="8243"/>
      <c r="B271" s="242" t="str">
        <f t="shared" si="4"/>
        <v>Tierra26</v>
      </c>
      <c r="D271" s="257" t="s">
        <v>9416</v>
      </c>
      <c r="E271" s="2487" t="s">
        <v>1558</v>
      </c>
      <c r="F271" s="2487">
        <v>26</v>
      </c>
      <c r="G271" s="2489" t="s">
        <v>2422</v>
      </c>
      <c r="H271" s="2489" t="s">
        <v>1095</v>
      </c>
      <c r="I271" s="351" t="s">
        <v>1165</v>
      </c>
      <c r="J271" s="2487">
        <v>8</v>
      </c>
      <c r="K271" s="2487">
        <v>10</v>
      </c>
      <c r="L271" s="2487">
        <v>12</v>
      </c>
      <c r="M271" s="348">
        <v>15</v>
      </c>
      <c r="N271" s="2487">
        <v>80</v>
      </c>
      <c r="O271" s="2487">
        <v>100</v>
      </c>
      <c r="P271" s="2487">
        <v>120</v>
      </c>
      <c r="Q271" s="348">
        <v>140</v>
      </c>
      <c r="R271" s="2487">
        <v>5</v>
      </c>
      <c r="S271" s="2487">
        <v>5</v>
      </c>
      <c r="T271" s="2487">
        <v>10</v>
      </c>
      <c r="U271" s="348">
        <v>10</v>
      </c>
      <c r="V271" s="2485" t="s">
        <v>4052</v>
      </c>
      <c r="W271" s="2485" t="s">
        <v>4053</v>
      </c>
      <c r="X271" s="2485" t="s">
        <v>4054</v>
      </c>
      <c r="Y271" s="2485" t="s">
        <v>4055</v>
      </c>
      <c r="Z271" s="2485" t="s">
        <v>4056</v>
      </c>
      <c r="AA271" s="347"/>
    </row>
    <row r="272" spans="1:27" ht="12.75" customHeight="1">
      <c r="A272" s="8243"/>
      <c r="B272" s="242" t="str">
        <f t="shared" si="4"/>
        <v>Tierra30</v>
      </c>
      <c r="D272" s="257" t="s">
        <v>188</v>
      </c>
      <c r="E272" s="2487" t="s">
        <v>1558</v>
      </c>
      <c r="F272" s="2487">
        <v>30</v>
      </c>
      <c r="G272" s="2489" t="s">
        <v>1241</v>
      </c>
      <c r="H272" s="2489" t="s">
        <v>1424</v>
      </c>
      <c r="I272" s="351" t="s">
        <v>1166</v>
      </c>
      <c r="J272" s="2487">
        <v>6</v>
      </c>
      <c r="K272" s="2487">
        <v>8</v>
      </c>
      <c r="L272" s="2487">
        <v>11</v>
      </c>
      <c r="M272" s="348">
        <v>14</v>
      </c>
      <c r="N272" s="2487">
        <v>50</v>
      </c>
      <c r="O272" s="2487">
        <v>90</v>
      </c>
      <c r="P272" s="2487">
        <v>120</v>
      </c>
      <c r="Q272" s="348">
        <v>160</v>
      </c>
      <c r="R272" s="2487">
        <v>5</v>
      </c>
      <c r="S272" s="2487">
        <v>10</v>
      </c>
      <c r="T272" s="2487">
        <v>10</v>
      </c>
      <c r="U272" s="348">
        <v>20</v>
      </c>
      <c r="V272" s="2485" t="s">
        <v>3657</v>
      </c>
      <c r="W272" s="2485" t="s">
        <v>4057</v>
      </c>
      <c r="X272" s="2485" t="s">
        <v>4058</v>
      </c>
      <c r="Y272" s="2485" t="s">
        <v>4059</v>
      </c>
      <c r="Z272" s="2485" t="s">
        <v>4060</v>
      </c>
      <c r="AA272" s="347"/>
    </row>
    <row r="273" spans="1:27" ht="12.75" customHeight="1">
      <c r="A273" s="8243"/>
      <c r="B273" s="242" t="str">
        <f t="shared" si="4"/>
        <v>Tierra32</v>
      </c>
      <c r="D273" s="257" t="s">
        <v>9417</v>
      </c>
      <c r="E273" s="2487" t="s">
        <v>1558</v>
      </c>
      <c r="F273" s="2487">
        <v>32</v>
      </c>
      <c r="G273" s="2489" t="s">
        <v>1241</v>
      </c>
      <c r="H273" s="2489" t="s">
        <v>1095</v>
      </c>
      <c r="I273" s="351" t="s">
        <v>1165</v>
      </c>
      <c r="J273" s="2487">
        <v>7</v>
      </c>
      <c r="K273" s="2487">
        <v>10</v>
      </c>
      <c r="L273" s="2487">
        <v>12</v>
      </c>
      <c r="M273" s="348">
        <v>14</v>
      </c>
      <c r="N273" s="2487">
        <v>80</v>
      </c>
      <c r="O273" s="2487">
        <v>100</v>
      </c>
      <c r="P273" s="2487">
        <v>120</v>
      </c>
      <c r="Q273" s="348">
        <v>140</v>
      </c>
      <c r="R273" s="2487">
        <v>5</v>
      </c>
      <c r="S273" s="2487">
        <v>5</v>
      </c>
      <c r="T273" s="2487">
        <v>10</v>
      </c>
      <c r="U273" s="348">
        <v>10</v>
      </c>
      <c r="V273" s="2485" t="s">
        <v>3231</v>
      </c>
      <c r="W273" s="2485" t="s">
        <v>4061</v>
      </c>
      <c r="X273" s="2485" t="s">
        <v>3448</v>
      </c>
      <c r="Y273" s="2485" t="s">
        <v>3449</v>
      </c>
      <c r="Z273" s="2485" t="s">
        <v>4062</v>
      </c>
      <c r="AA273" s="347"/>
    </row>
    <row r="274" spans="1:27" ht="12.75" customHeight="1">
      <c r="A274" s="8243"/>
      <c r="B274" s="242" t="str">
        <f t="shared" si="4"/>
        <v>Tierra36</v>
      </c>
      <c r="D274" s="257" t="s">
        <v>9418</v>
      </c>
      <c r="E274" s="2487" t="s">
        <v>1558</v>
      </c>
      <c r="F274" s="2487">
        <v>36</v>
      </c>
      <c r="G274" s="2489" t="s">
        <v>1241</v>
      </c>
      <c r="H274" s="2489" t="s">
        <v>1093</v>
      </c>
      <c r="I274" s="351" t="s">
        <v>1165</v>
      </c>
      <c r="J274" s="2487">
        <v>8</v>
      </c>
      <c r="K274" s="2487">
        <v>10</v>
      </c>
      <c r="L274" s="2487">
        <v>12</v>
      </c>
      <c r="M274" s="348">
        <v>14</v>
      </c>
      <c r="N274" s="2487">
        <v>80</v>
      </c>
      <c r="O274" s="2487">
        <v>120</v>
      </c>
      <c r="P274" s="2487">
        <v>150</v>
      </c>
      <c r="Q274" s="348">
        <v>200</v>
      </c>
      <c r="R274" s="2487" t="s">
        <v>1241</v>
      </c>
      <c r="S274" s="2487" t="s">
        <v>1241</v>
      </c>
      <c r="T274" s="2487" t="s">
        <v>1241</v>
      </c>
      <c r="U274" s="348" t="s">
        <v>1241</v>
      </c>
      <c r="V274" s="2485" t="s">
        <v>4063</v>
      </c>
      <c r="W274" s="2485" t="s">
        <v>4064</v>
      </c>
      <c r="X274" s="2485" t="s">
        <v>4065</v>
      </c>
      <c r="Y274" s="2485" t="s">
        <v>4066</v>
      </c>
      <c r="Z274" s="2485" t="s">
        <v>4067</v>
      </c>
      <c r="AA274" s="347"/>
    </row>
    <row r="275" spans="1:27" ht="12.75" customHeight="1">
      <c r="A275" s="8243"/>
      <c r="B275" s="242" t="str">
        <f t="shared" si="4"/>
        <v>Tierra40</v>
      </c>
      <c r="D275" s="257" t="s">
        <v>1429</v>
      </c>
      <c r="E275" s="2487" t="s">
        <v>1558</v>
      </c>
      <c r="F275" s="2487">
        <v>40</v>
      </c>
      <c r="G275" s="2489" t="s">
        <v>1241</v>
      </c>
      <c r="H275" s="2489" t="s">
        <v>1095</v>
      </c>
      <c r="I275" s="351" t="s">
        <v>1165</v>
      </c>
      <c r="J275" s="2487">
        <v>6</v>
      </c>
      <c r="K275" s="2487">
        <v>9</v>
      </c>
      <c r="L275" s="2487">
        <v>12</v>
      </c>
      <c r="M275" s="348">
        <v>15</v>
      </c>
      <c r="N275" s="2487">
        <v>60</v>
      </c>
      <c r="O275" s="2487">
        <v>90</v>
      </c>
      <c r="P275" s="2487">
        <v>120</v>
      </c>
      <c r="Q275" s="348">
        <v>150</v>
      </c>
      <c r="R275" s="2487">
        <v>10</v>
      </c>
      <c r="S275" s="2487">
        <v>10</v>
      </c>
      <c r="T275" s="2487">
        <v>15</v>
      </c>
      <c r="U275" s="348">
        <v>15</v>
      </c>
      <c r="V275" s="2485" t="s">
        <v>4068</v>
      </c>
      <c r="W275" s="2485" t="s">
        <v>4069</v>
      </c>
      <c r="X275" s="2485" t="s">
        <v>4070</v>
      </c>
      <c r="Y275" s="2485" t="s">
        <v>4071</v>
      </c>
      <c r="Z275" s="2485" t="s">
        <v>4072</v>
      </c>
      <c r="AA275" s="347"/>
    </row>
    <row r="276" spans="1:27" ht="12.75" customHeight="1">
      <c r="A276" s="8243"/>
      <c r="B276" s="242" t="str">
        <f t="shared" si="4"/>
        <v>Tierra42</v>
      </c>
      <c r="D276" s="257" t="s">
        <v>74</v>
      </c>
      <c r="E276" s="2487" t="s">
        <v>1558</v>
      </c>
      <c r="F276" s="2487">
        <v>42</v>
      </c>
      <c r="G276" s="2489" t="s">
        <v>1241</v>
      </c>
      <c r="H276" s="2489" t="s">
        <v>1095</v>
      </c>
      <c r="I276" s="351" t="s">
        <v>1165</v>
      </c>
      <c r="J276" s="2487">
        <v>6</v>
      </c>
      <c r="K276" s="2487">
        <v>9</v>
      </c>
      <c r="L276" s="2487">
        <v>12</v>
      </c>
      <c r="M276" s="348">
        <v>15</v>
      </c>
      <c r="N276" s="2487">
        <v>120</v>
      </c>
      <c r="O276" s="2487">
        <v>180</v>
      </c>
      <c r="P276" s="2487">
        <v>240</v>
      </c>
      <c r="Q276" s="348">
        <v>300</v>
      </c>
      <c r="R276" s="2487" t="s">
        <v>1241</v>
      </c>
      <c r="S276" s="2487" t="s">
        <v>1241</v>
      </c>
      <c r="T276" s="2487" t="s">
        <v>1241</v>
      </c>
      <c r="U276" s="348" t="s">
        <v>1241</v>
      </c>
      <c r="V276" s="2485" t="s">
        <v>4073</v>
      </c>
      <c r="W276" s="2485" t="s">
        <v>4074</v>
      </c>
      <c r="X276" s="2485" t="s">
        <v>4075</v>
      </c>
      <c r="Y276" s="2485" t="s">
        <v>4076</v>
      </c>
      <c r="Z276" s="2485" t="s">
        <v>4077</v>
      </c>
      <c r="AA276" s="347"/>
    </row>
    <row r="277" spans="1:27" ht="12.75" customHeight="1">
      <c r="A277" s="8243"/>
      <c r="B277" s="242" t="str">
        <f t="shared" si="4"/>
        <v>Tierra46</v>
      </c>
      <c r="D277" s="257" t="s">
        <v>9419</v>
      </c>
      <c r="E277" s="2487" t="s">
        <v>1558</v>
      </c>
      <c r="F277" s="2487">
        <v>46</v>
      </c>
      <c r="G277" s="2489" t="s">
        <v>1241</v>
      </c>
      <c r="H277" s="2489" t="s">
        <v>1095</v>
      </c>
      <c r="I277" s="351" t="s">
        <v>1165</v>
      </c>
      <c r="J277" s="2487">
        <v>6</v>
      </c>
      <c r="K277" s="2487">
        <v>9</v>
      </c>
      <c r="L277" s="2487">
        <v>12</v>
      </c>
      <c r="M277" s="348">
        <v>15</v>
      </c>
      <c r="N277" s="2487">
        <v>100</v>
      </c>
      <c r="O277" s="2487">
        <v>180</v>
      </c>
      <c r="P277" s="2487">
        <v>240</v>
      </c>
      <c r="Q277" s="348">
        <v>320</v>
      </c>
      <c r="R277" s="2487">
        <v>10</v>
      </c>
      <c r="S277" s="2487">
        <v>20</v>
      </c>
      <c r="T277" s="2487">
        <v>25</v>
      </c>
      <c r="U277" s="348">
        <v>30</v>
      </c>
      <c r="V277" s="2485" t="s">
        <v>4078</v>
      </c>
      <c r="W277" s="2485" t="s">
        <v>4079</v>
      </c>
      <c r="X277" s="2485" t="s">
        <v>4080</v>
      </c>
      <c r="Y277" s="2485" t="s">
        <v>4081</v>
      </c>
      <c r="Z277" s="2485" t="s">
        <v>12949</v>
      </c>
      <c r="AA277" s="347"/>
    </row>
    <row r="278" spans="1:27" ht="12.75" customHeight="1">
      <c r="A278" s="8243"/>
      <c r="B278" s="242" t="str">
        <f t="shared" si="4"/>
        <v>Tierra50</v>
      </c>
      <c r="D278" s="257" t="s">
        <v>1332</v>
      </c>
      <c r="E278" s="2487" t="s">
        <v>1558</v>
      </c>
      <c r="F278" s="2487">
        <v>50</v>
      </c>
      <c r="G278" s="2489" t="s">
        <v>1241</v>
      </c>
      <c r="H278" s="2489" t="s">
        <v>1095</v>
      </c>
      <c r="I278" s="351" t="s">
        <v>1165</v>
      </c>
      <c r="J278" s="2487">
        <v>7</v>
      </c>
      <c r="K278" s="2487">
        <v>9</v>
      </c>
      <c r="L278" s="2487">
        <v>12</v>
      </c>
      <c r="M278" s="348">
        <v>15</v>
      </c>
      <c r="N278" s="2487">
        <v>160</v>
      </c>
      <c r="O278" s="2487">
        <v>270</v>
      </c>
      <c r="P278" s="2487">
        <v>360</v>
      </c>
      <c r="Q278" s="348">
        <v>450</v>
      </c>
      <c r="R278" s="2487" t="s">
        <v>1241</v>
      </c>
      <c r="S278" s="2487" t="s">
        <v>1241</v>
      </c>
      <c r="T278" s="2487" t="s">
        <v>1241</v>
      </c>
      <c r="U278" s="348" t="s">
        <v>1241</v>
      </c>
      <c r="V278" s="2485" t="s">
        <v>4082</v>
      </c>
      <c r="W278" s="2485" t="s">
        <v>4083</v>
      </c>
      <c r="X278" s="2485" t="s">
        <v>4084</v>
      </c>
      <c r="Y278" s="2485" t="s">
        <v>4085</v>
      </c>
      <c r="Z278" s="2485" t="s">
        <v>4086</v>
      </c>
      <c r="AA278" s="347"/>
    </row>
    <row r="279" spans="1:27" ht="12.75" customHeight="1">
      <c r="A279" s="8243"/>
      <c r="B279" s="242" t="str">
        <f t="shared" si="4"/>
        <v>Tierra52</v>
      </c>
      <c r="D279" s="257" t="s">
        <v>9420</v>
      </c>
      <c r="E279" s="2487" t="s">
        <v>1558</v>
      </c>
      <c r="F279" s="2487">
        <v>52</v>
      </c>
      <c r="G279" s="2489" t="s">
        <v>1241</v>
      </c>
      <c r="H279" s="2489" t="s">
        <v>1095</v>
      </c>
      <c r="I279" s="351" t="s">
        <v>1165</v>
      </c>
      <c r="J279" s="2487">
        <v>8</v>
      </c>
      <c r="K279" s="2487">
        <v>11</v>
      </c>
      <c r="L279" s="2487">
        <v>13</v>
      </c>
      <c r="M279" s="348">
        <v>16</v>
      </c>
      <c r="N279" s="2487">
        <v>100</v>
      </c>
      <c r="O279" s="2487">
        <v>120</v>
      </c>
      <c r="P279" s="2487">
        <v>140</v>
      </c>
      <c r="Q279" s="348">
        <v>160</v>
      </c>
      <c r="R279" s="2487">
        <v>10</v>
      </c>
      <c r="S279" s="2487">
        <v>15</v>
      </c>
      <c r="T279" s="2487">
        <v>15</v>
      </c>
      <c r="U279" s="348">
        <v>20</v>
      </c>
      <c r="V279" s="2485" t="s">
        <v>4087</v>
      </c>
      <c r="W279" s="2485" t="s">
        <v>4088</v>
      </c>
      <c r="X279" s="2485" t="s">
        <v>4089</v>
      </c>
      <c r="Y279" s="2485" t="s">
        <v>4090</v>
      </c>
      <c r="Z279" s="2485" t="s">
        <v>12950</v>
      </c>
      <c r="AA279" s="347"/>
    </row>
    <row r="280" spans="1:27" ht="12.75" customHeight="1">
      <c r="A280" s="8243"/>
      <c r="B280" s="242" t="str">
        <f t="shared" si="4"/>
        <v>Tierra56</v>
      </c>
      <c r="D280" s="257" t="s">
        <v>2560</v>
      </c>
      <c r="E280" s="2487" t="s">
        <v>1558</v>
      </c>
      <c r="F280" s="2487">
        <v>56</v>
      </c>
      <c r="G280" s="2489" t="s">
        <v>1241</v>
      </c>
      <c r="H280" s="2489" t="s">
        <v>1095</v>
      </c>
      <c r="I280" s="351" t="s">
        <v>1165</v>
      </c>
      <c r="J280" s="2487">
        <v>8</v>
      </c>
      <c r="K280" s="2487">
        <v>10</v>
      </c>
      <c r="L280" s="2487">
        <v>13</v>
      </c>
      <c r="M280" s="348">
        <v>15</v>
      </c>
      <c r="N280" s="2487">
        <v>100</v>
      </c>
      <c r="O280" s="2487">
        <v>180</v>
      </c>
      <c r="P280" s="2487">
        <v>240</v>
      </c>
      <c r="Q280" s="348">
        <v>300</v>
      </c>
      <c r="R280" s="2487">
        <v>10</v>
      </c>
      <c r="S280" s="2487">
        <v>20</v>
      </c>
      <c r="T280" s="2487">
        <v>25</v>
      </c>
      <c r="U280" s="348">
        <v>30</v>
      </c>
      <c r="V280" s="2485" t="s">
        <v>4091</v>
      </c>
      <c r="W280" s="2485" t="s">
        <v>4092</v>
      </c>
      <c r="X280" s="2485" t="s">
        <v>4093</v>
      </c>
      <c r="Y280" s="2485" t="s">
        <v>4094</v>
      </c>
      <c r="Z280" s="2485" t="s">
        <v>4095</v>
      </c>
      <c r="AA280" s="347"/>
    </row>
    <row r="281" spans="1:27" ht="12.75" customHeight="1">
      <c r="A281" s="8243"/>
      <c r="B281" s="242" t="str">
        <f t="shared" si="4"/>
        <v>Tierra60</v>
      </c>
      <c r="D281" s="257" t="s">
        <v>9421</v>
      </c>
      <c r="E281" s="2487" t="s">
        <v>1558</v>
      </c>
      <c r="F281" s="2487">
        <v>60</v>
      </c>
      <c r="G281" s="2489" t="s">
        <v>2422</v>
      </c>
      <c r="H281" s="2489" t="s">
        <v>1094</v>
      </c>
      <c r="I281" s="351" t="s">
        <v>1165</v>
      </c>
      <c r="J281" s="2487">
        <v>7</v>
      </c>
      <c r="K281" s="2487">
        <v>10</v>
      </c>
      <c r="L281" s="2487">
        <v>13</v>
      </c>
      <c r="M281" s="348">
        <v>16</v>
      </c>
      <c r="N281" s="2487">
        <v>140</v>
      </c>
      <c r="O281" s="2487">
        <v>200</v>
      </c>
      <c r="P281" s="2487">
        <v>260</v>
      </c>
      <c r="Q281" s="348">
        <v>320</v>
      </c>
      <c r="R281" s="2487">
        <v>10</v>
      </c>
      <c r="S281" s="2487">
        <v>10</v>
      </c>
      <c r="T281" s="2487">
        <v>15</v>
      </c>
      <c r="U281" s="348">
        <v>20</v>
      </c>
      <c r="V281" s="2485" t="s">
        <v>3390</v>
      </c>
      <c r="W281" s="2485" t="s">
        <v>4096</v>
      </c>
      <c r="X281" s="2485" t="s">
        <v>3153</v>
      </c>
      <c r="Y281" s="2485" t="s">
        <v>3560</v>
      </c>
      <c r="Z281" s="2485" t="s">
        <v>12951</v>
      </c>
      <c r="AA281" s="347"/>
    </row>
    <row r="282" spans="1:27" ht="12.75" customHeight="1">
      <c r="A282" s="8243"/>
      <c r="B282" s="242" t="str">
        <f t="shared" si="4"/>
        <v>Tierra62</v>
      </c>
      <c r="D282" s="257" t="s">
        <v>9422</v>
      </c>
      <c r="E282" s="2487" t="s">
        <v>1558</v>
      </c>
      <c r="F282" s="2487">
        <v>62</v>
      </c>
      <c r="G282" s="2489" t="s">
        <v>1241</v>
      </c>
      <c r="H282" s="2489" t="s">
        <v>1095</v>
      </c>
      <c r="I282" s="351" t="s">
        <v>1165</v>
      </c>
      <c r="J282" s="2487">
        <v>8</v>
      </c>
      <c r="K282" s="2487">
        <v>10</v>
      </c>
      <c r="L282" s="2487">
        <v>12</v>
      </c>
      <c r="M282" s="348">
        <v>14</v>
      </c>
      <c r="N282" s="2487">
        <v>150</v>
      </c>
      <c r="O282" s="2487">
        <v>200</v>
      </c>
      <c r="P282" s="2487">
        <v>250</v>
      </c>
      <c r="Q282" s="348">
        <v>300</v>
      </c>
      <c r="R282" s="2487" t="s">
        <v>1241</v>
      </c>
      <c r="S282" s="2487" t="s">
        <v>1241</v>
      </c>
      <c r="T282" s="2487" t="s">
        <v>1241</v>
      </c>
      <c r="U282" s="348" t="s">
        <v>1241</v>
      </c>
      <c r="V282" s="2485" t="s">
        <v>4097</v>
      </c>
      <c r="W282" s="2485" t="s">
        <v>4098</v>
      </c>
      <c r="X282" s="2485" t="s">
        <v>4099</v>
      </c>
      <c r="Y282" s="2485" t="s">
        <v>4100</v>
      </c>
      <c r="Z282" s="2485" t="s">
        <v>12952</v>
      </c>
      <c r="AA282" s="347"/>
    </row>
    <row r="283" spans="1:27" ht="12.75" customHeight="1">
      <c r="A283" s="8243"/>
      <c r="B283" s="242" t="str">
        <f t="shared" si="4"/>
        <v>Tierra66</v>
      </c>
      <c r="D283" s="257" t="s">
        <v>9423</v>
      </c>
      <c r="E283" s="2487" t="s">
        <v>1558</v>
      </c>
      <c r="F283" s="2487">
        <v>66</v>
      </c>
      <c r="G283" s="2489" t="s">
        <v>2422</v>
      </c>
      <c r="H283" s="2489" t="s">
        <v>3048</v>
      </c>
      <c r="I283" s="351" t="s">
        <v>1165</v>
      </c>
      <c r="J283" s="2487">
        <v>10</v>
      </c>
      <c r="K283" s="2487">
        <v>12</v>
      </c>
      <c r="L283" s="2487">
        <v>14</v>
      </c>
      <c r="M283" s="348">
        <v>16</v>
      </c>
      <c r="N283" s="2487">
        <v>200</v>
      </c>
      <c r="O283" s="2487">
        <v>240</v>
      </c>
      <c r="P283" s="2487">
        <v>280</v>
      </c>
      <c r="Q283" s="348">
        <v>320</v>
      </c>
      <c r="R283" s="2487">
        <v>40</v>
      </c>
      <c r="S283" s="2487">
        <v>50</v>
      </c>
      <c r="T283" s="2487">
        <v>60</v>
      </c>
      <c r="U283" s="348">
        <v>65</v>
      </c>
      <c r="V283" s="2485" t="s">
        <v>4101</v>
      </c>
      <c r="W283" s="2485" t="s">
        <v>4102</v>
      </c>
      <c r="X283" s="2485" t="s">
        <v>4103</v>
      </c>
      <c r="Y283" s="2485" t="s">
        <v>4104</v>
      </c>
      <c r="Z283" s="2485" t="s">
        <v>4105</v>
      </c>
      <c r="AA283" s="347"/>
    </row>
    <row r="284" spans="1:27" ht="12.75" customHeight="1">
      <c r="A284" s="8243"/>
      <c r="B284" s="242" t="str">
        <f t="shared" si="4"/>
        <v>Tierra70</v>
      </c>
      <c r="D284" s="257" t="s">
        <v>9424</v>
      </c>
      <c r="E284" s="2487" t="s">
        <v>1558</v>
      </c>
      <c r="F284" s="2487">
        <v>70</v>
      </c>
      <c r="G284" s="2489" t="s">
        <v>2422</v>
      </c>
      <c r="H284" s="2489" t="s">
        <v>1095</v>
      </c>
      <c r="I284" s="351" t="s">
        <v>1165</v>
      </c>
      <c r="J284" s="2487">
        <v>8</v>
      </c>
      <c r="K284" s="2487">
        <v>10</v>
      </c>
      <c r="L284" s="2487">
        <v>12</v>
      </c>
      <c r="M284" s="348">
        <v>15</v>
      </c>
      <c r="N284" s="2487">
        <v>120</v>
      </c>
      <c r="O284" s="2487">
        <v>180</v>
      </c>
      <c r="P284" s="2487">
        <v>240</v>
      </c>
      <c r="Q284" s="348">
        <v>300</v>
      </c>
      <c r="R284" s="2487">
        <v>15</v>
      </c>
      <c r="S284" s="2487">
        <v>20</v>
      </c>
      <c r="T284" s="2487">
        <v>25</v>
      </c>
      <c r="U284" s="348">
        <v>30</v>
      </c>
      <c r="V284" s="2485" t="s">
        <v>4106</v>
      </c>
      <c r="W284" s="2485" t="s">
        <v>4107</v>
      </c>
      <c r="X284" s="2485" t="s">
        <v>4108</v>
      </c>
      <c r="Y284" s="2485" t="s">
        <v>4109</v>
      </c>
      <c r="Z284" s="2485" t="s">
        <v>4110</v>
      </c>
      <c r="AA284" s="347"/>
    </row>
    <row r="285" spans="1:27" ht="12.75" customHeight="1">
      <c r="A285" s="8243"/>
      <c r="B285" s="242" t="str">
        <f t="shared" si="4"/>
        <v>Tierra72</v>
      </c>
      <c r="D285" s="257" t="s">
        <v>9425</v>
      </c>
      <c r="E285" s="2487" t="s">
        <v>1558</v>
      </c>
      <c r="F285" s="2487">
        <v>72</v>
      </c>
      <c r="G285" s="2489" t="s">
        <v>1241</v>
      </c>
      <c r="H285" s="2489" t="s">
        <v>1095</v>
      </c>
      <c r="I285" s="351" t="s">
        <v>1165</v>
      </c>
      <c r="J285" s="2487">
        <v>7</v>
      </c>
      <c r="K285" s="2487">
        <v>10</v>
      </c>
      <c r="L285" s="2487">
        <v>12</v>
      </c>
      <c r="M285" s="348">
        <v>15</v>
      </c>
      <c r="N285" s="2487">
        <v>120</v>
      </c>
      <c r="O285" s="2487">
        <v>270</v>
      </c>
      <c r="P285" s="2487">
        <v>360</v>
      </c>
      <c r="Q285" s="348">
        <v>450</v>
      </c>
      <c r="R285" s="2487" t="s">
        <v>1241</v>
      </c>
      <c r="S285" s="2487" t="s">
        <v>1241</v>
      </c>
      <c r="T285" s="2487" t="s">
        <v>1241</v>
      </c>
      <c r="U285" s="348" t="s">
        <v>1241</v>
      </c>
      <c r="V285" s="2485" t="s">
        <v>3223</v>
      </c>
      <c r="W285" s="2485" t="s">
        <v>4111</v>
      </c>
      <c r="X285" s="2485" t="s">
        <v>4112</v>
      </c>
      <c r="Y285" s="2485" t="s">
        <v>4113</v>
      </c>
      <c r="Z285" s="2485" t="s">
        <v>4114</v>
      </c>
      <c r="AA285" s="347"/>
    </row>
    <row r="286" spans="1:27" ht="12.75" customHeight="1">
      <c r="A286" s="8243"/>
      <c r="B286" s="242" t="str">
        <f t="shared" si="4"/>
        <v>Tierra76</v>
      </c>
      <c r="D286" s="257" t="s">
        <v>9426</v>
      </c>
      <c r="E286" s="2487" t="s">
        <v>1558</v>
      </c>
      <c r="F286" s="2487">
        <v>76</v>
      </c>
      <c r="G286" s="2489" t="s">
        <v>1241</v>
      </c>
      <c r="H286" s="2489" t="s">
        <v>4115</v>
      </c>
      <c r="I286" s="351" t="s">
        <v>1165</v>
      </c>
      <c r="J286" s="2487">
        <v>8</v>
      </c>
      <c r="K286" s="2487">
        <v>10</v>
      </c>
      <c r="L286" s="2487">
        <v>12</v>
      </c>
      <c r="M286" s="348">
        <v>14</v>
      </c>
      <c r="N286" s="2487">
        <v>150</v>
      </c>
      <c r="O286" s="2487">
        <v>200</v>
      </c>
      <c r="P286" s="2487">
        <v>300</v>
      </c>
      <c r="Q286" s="348">
        <v>400</v>
      </c>
      <c r="R286" s="2487">
        <v>15</v>
      </c>
      <c r="S286" s="2487">
        <v>20</v>
      </c>
      <c r="T286" s="2487">
        <v>25</v>
      </c>
      <c r="U286" s="348">
        <v>30</v>
      </c>
      <c r="V286" s="2485" t="s">
        <v>3223</v>
      </c>
      <c r="W286" s="2485" t="s">
        <v>4111</v>
      </c>
      <c r="X286" s="2485" t="s">
        <v>4112</v>
      </c>
      <c r="Y286" s="2485" t="s">
        <v>4113</v>
      </c>
      <c r="Z286" s="2485" t="s">
        <v>4116</v>
      </c>
      <c r="AA286" s="347"/>
    </row>
    <row r="287" spans="1:27" ht="12.75" customHeight="1">
      <c r="A287" s="8243"/>
      <c r="B287" s="242" t="str">
        <f t="shared" si="4"/>
        <v>Tierra80</v>
      </c>
      <c r="D287" s="257" t="s">
        <v>9427</v>
      </c>
      <c r="E287" s="2487" t="s">
        <v>1558</v>
      </c>
      <c r="F287" s="2487">
        <v>80</v>
      </c>
      <c r="G287" s="2489" t="s">
        <v>1241</v>
      </c>
      <c r="H287" s="2489" t="s">
        <v>3048</v>
      </c>
      <c r="I287" s="351" t="s">
        <v>1165</v>
      </c>
      <c r="J287" s="2487">
        <v>9</v>
      </c>
      <c r="K287" s="2487">
        <v>12</v>
      </c>
      <c r="L287" s="2487">
        <v>15</v>
      </c>
      <c r="M287" s="348">
        <v>17</v>
      </c>
      <c r="N287" s="2487">
        <v>180</v>
      </c>
      <c r="O287" s="2487">
        <v>250</v>
      </c>
      <c r="P287" s="2487">
        <v>320</v>
      </c>
      <c r="Q287" s="348">
        <v>400</v>
      </c>
      <c r="R287" s="2487">
        <v>20</v>
      </c>
      <c r="S287" s="2487">
        <v>25</v>
      </c>
      <c r="T287" s="2487">
        <v>30</v>
      </c>
      <c r="U287" s="348">
        <v>40</v>
      </c>
      <c r="V287" s="2485" t="s">
        <v>4117</v>
      </c>
      <c r="W287" s="2485" t="s">
        <v>3313</v>
      </c>
      <c r="X287" s="2485" t="s">
        <v>3222</v>
      </c>
      <c r="Y287" s="2485" t="s">
        <v>4022</v>
      </c>
      <c r="Z287" s="2485" t="s">
        <v>4118</v>
      </c>
      <c r="AA287" s="347"/>
    </row>
    <row r="288" spans="1:27" ht="12.75" customHeight="1">
      <c r="A288" s="8243"/>
      <c r="B288" s="242" t="str">
        <f t="shared" si="4"/>
        <v>Tierra82</v>
      </c>
      <c r="D288" s="257" t="s">
        <v>9428</v>
      </c>
      <c r="E288" s="2487" t="s">
        <v>1558</v>
      </c>
      <c r="F288" s="2487">
        <v>82</v>
      </c>
      <c r="G288" s="2489" t="s">
        <v>2422</v>
      </c>
      <c r="H288" s="2489" t="s">
        <v>1095</v>
      </c>
      <c r="I288" s="351" t="s">
        <v>1165</v>
      </c>
      <c r="J288" s="2487">
        <v>10</v>
      </c>
      <c r="K288" s="2487">
        <v>12</v>
      </c>
      <c r="L288" s="2487">
        <v>14</v>
      </c>
      <c r="M288" s="348">
        <v>16</v>
      </c>
      <c r="N288" s="2487">
        <v>250</v>
      </c>
      <c r="O288" s="2487">
        <v>350</v>
      </c>
      <c r="P288" s="2487">
        <v>500</v>
      </c>
      <c r="Q288" s="348">
        <v>700</v>
      </c>
      <c r="R288" s="2487">
        <v>50</v>
      </c>
      <c r="S288" s="2487">
        <v>70</v>
      </c>
      <c r="T288" s="2487">
        <v>100</v>
      </c>
      <c r="U288" s="348">
        <v>140</v>
      </c>
      <c r="V288" s="2485" t="s">
        <v>3451</v>
      </c>
      <c r="W288" s="2485" t="s">
        <v>3186</v>
      </c>
      <c r="X288" s="2485" t="s">
        <v>4119</v>
      </c>
      <c r="Y288" s="2485" t="s">
        <v>4120</v>
      </c>
      <c r="Z288" s="2485" t="s">
        <v>4121</v>
      </c>
      <c r="AA288" s="347"/>
    </row>
    <row r="289" spans="1:27" ht="12.75" customHeight="1">
      <c r="A289" s="8243"/>
      <c r="B289" s="242" t="str">
        <f t="shared" si="4"/>
        <v>Tierra86</v>
      </c>
      <c r="D289" s="257" t="s">
        <v>9429</v>
      </c>
      <c r="E289" s="2487" t="s">
        <v>1558</v>
      </c>
      <c r="F289" s="2487">
        <v>86</v>
      </c>
      <c r="G289" s="2489" t="s">
        <v>2422</v>
      </c>
      <c r="H289" s="2489" t="s">
        <v>3048</v>
      </c>
      <c r="I289" s="351" t="s">
        <v>1165</v>
      </c>
      <c r="J289" s="2487">
        <v>10</v>
      </c>
      <c r="K289" s="2487">
        <v>12</v>
      </c>
      <c r="L289" s="2487">
        <v>14</v>
      </c>
      <c r="M289" s="348">
        <v>16</v>
      </c>
      <c r="N289" s="2487">
        <v>200</v>
      </c>
      <c r="O289" s="2487">
        <v>240</v>
      </c>
      <c r="P289" s="2487">
        <v>280</v>
      </c>
      <c r="Q289" s="348">
        <v>320</v>
      </c>
      <c r="R289" s="2487">
        <v>20</v>
      </c>
      <c r="S289" s="2487">
        <v>25</v>
      </c>
      <c r="T289" s="2487">
        <v>30</v>
      </c>
      <c r="U289" s="348">
        <v>35</v>
      </c>
      <c r="V289" s="2485" t="s">
        <v>4122</v>
      </c>
      <c r="W289" s="2485" t="s">
        <v>4123</v>
      </c>
      <c r="X289" s="2485" t="s">
        <v>4124</v>
      </c>
      <c r="Y289" s="2485" t="s">
        <v>4125</v>
      </c>
      <c r="Z289" s="2485" t="s">
        <v>4126</v>
      </c>
      <c r="AA289" s="347"/>
    </row>
    <row r="290" spans="1:27" ht="12.75" customHeight="1">
      <c r="A290" s="8243"/>
      <c r="B290" s="242" t="str">
        <f t="shared" si="4"/>
        <v>Tierra90</v>
      </c>
      <c r="D290" s="257" t="s">
        <v>2541</v>
      </c>
      <c r="E290" s="2487" t="s">
        <v>1558</v>
      </c>
      <c r="F290" s="2487">
        <v>90</v>
      </c>
      <c r="G290" s="2489" t="s">
        <v>1241</v>
      </c>
      <c r="H290" s="2489" t="s">
        <v>1093</v>
      </c>
      <c r="I290" s="351" t="s">
        <v>1165</v>
      </c>
      <c r="J290" s="2487">
        <v>10</v>
      </c>
      <c r="K290" s="2487">
        <v>13</v>
      </c>
      <c r="L290" s="2487">
        <v>15</v>
      </c>
      <c r="M290" s="348">
        <v>17</v>
      </c>
      <c r="N290" s="2487">
        <v>200</v>
      </c>
      <c r="O290" s="2487">
        <v>250</v>
      </c>
      <c r="P290" s="2487">
        <v>350</v>
      </c>
      <c r="Q290" s="348">
        <v>450</v>
      </c>
      <c r="R290" s="2487" t="s">
        <v>1241</v>
      </c>
      <c r="S290" s="2487" t="s">
        <v>1241</v>
      </c>
      <c r="T290" s="2487" t="s">
        <v>1241</v>
      </c>
      <c r="U290" s="348" t="s">
        <v>1241</v>
      </c>
      <c r="V290" s="2485" t="s">
        <v>4127</v>
      </c>
      <c r="W290" s="2485" t="s">
        <v>4128</v>
      </c>
      <c r="X290" s="2485" t="s">
        <v>4129</v>
      </c>
      <c r="Y290" s="2485" t="s">
        <v>4130</v>
      </c>
      <c r="Z290" s="2485" t="s">
        <v>4131</v>
      </c>
      <c r="AA290" s="347"/>
    </row>
    <row r="291" spans="1:27" ht="12.75" customHeight="1">
      <c r="A291" s="8243"/>
      <c r="B291" s="242" t="str">
        <f t="shared" si="4"/>
        <v>Tierra92</v>
      </c>
      <c r="D291" s="257" t="s">
        <v>9430</v>
      </c>
      <c r="E291" s="2487" t="s">
        <v>1558</v>
      </c>
      <c r="F291" s="2487">
        <v>92</v>
      </c>
      <c r="G291" s="2489" t="s">
        <v>2422</v>
      </c>
      <c r="H291" s="2489" t="s">
        <v>1095</v>
      </c>
      <c r="I291" s="351" t="s">
        <v>1165</v>
      </c>
      <c r="J291" s="2487">
        <v>12</v>
      </c>
      <c r="K291" s="2487">
        <v>14</v>
      </c>
      <c r="L291" s="2487">
        <v>16</v>
      </c>
      <c r="M291" s="348">
        <v>18</v>
      </c>
      <c r="N291" s="2487">
        <v>350</v>
      </c>
      <c r="O291" s="2487">
        <v>500</v>
      </c>
      <c r="P291" s="2487">
        <v>650</v>
      </c>
      <c r="Q291" s="348">
        <v>800</v>
      </c>
      <c r="R291" s="2487">
        <v>70</v>
      </c>
      <c r="S291" s="2487">
        <v>100</v>
      </c>
      <c r="T291" s="2487">
        <v>130</v>
      </c>
      <c r="U291" s="348">
        <v>160</v>
      </c>
      <c r="V291" s="2485" t="s">
        <v>4132</v>
      </c>
      <c r="W291" s="2485" t="s">
        <v>4133</v>
      </c>
      <c r="X291" s="2485" t="s">
        <v>4134</v>
      </c>
      <c r="Y291" s="2485" t="s">
        <v>4135</v>
      </c>
      <c r="Z291" s="2485" t="s">
        <v>4136</v>
      </c>
      <c r="AA291" s="347"/>
    </row>
    <row r="292" spans="1:27" ht="12.75" customHeight="1">
      <c r="A292" s="8243"/>
      <c r="B292" s="242" t="str">
        <f t="shared" si="4"/>
        <v>Tierra96</v>
      </c>
      <c r="D292" s="257" t="s">
        <v>9431</v>
      </c>
      <c r="E292" s="2487" t="s">
        <v>1558</v>
      </c>
      <c r="F292" s="2487">
        <v>96</v>
      </c>
      <c r="G292" s="2489" t="s">
        <v>2422</v>
      </c>
      <c r="H292" s="2489" t="s">
        <v>3048</v>
      </c>
      <c r="I292" s="351" t="s">
        <v>1165</v>
      </c>
      <c r="J292" s="2487">
        <v>10</v>
      </c>
      <c r="K292" s="2487">
        <v>12</v>
      </c>
      <c r="L292" s="2487">
        <v>15</v>
      </c>
      <c r="M292" s="348">
        <v>18</v>
      </c>
      <c r="N292" s="2487">
        <v>300</v>
      </c>
      <c r="O292" s="2487">
        <v>450</v>
      </c>
      <c r="P292" s="2487">
        <v>600</v>
      </c>
      <c r="Q292" s="348">
        <v>1000</v>
      </c>
      <c r="R292" s="2487">
        <v>30</v>
      </c>
      <c r="S292" s="2487">
        <v>45</v>
      </c>
      <c r="T292" s="2487">
        <v>60</v>
      </c>
      <c r="U292" s="348">
        <v>100</v>
      </c>
      <c r="V292" s="2485" t="s">
        <v>4137</v>
      </c>
      <c r="W292" s="2485" t="s">
        <v>4138</v>
      </c>
      <c r="X292" s="2485" t="s">
        <v>4139</v>
      </c>
      <c r="Y292" s="2485" t="s">
        <v>4140</v>
      </c>
      <c r="Z292" s="2485" t="s">
        <v>12953</v>
      </c>
      <c r="AA292" s="347"/>
    </row>
    <row r="293" spans="1:27" ht="12.75" customHeight="1">
      <c r="A293" s="8243"/>
      <c r="B293" s="242" t="str">
        <f t="shared" si="4"/>
        <v>Tierra100</v>
      </c>
      <c r="D293" s="257" t="s">
        <v>9432</v>
      </c>
      <c r="E293" s="2487" t="s">
        <v>1558</v>
      </c>
      <c r="F293" s="2487">
        <v>100</v>
      </c>
      <c r="G293" s="2489" t="s">
        <v>1241</v>
      </c>
      <c r="H293" s="2489" t="s">
        <v>3048</v>
      </c>
      <c r="I293" s="351" t="s">
        <v>1165</v>
      </c>
      <c r="J293" s="2487">
        <v>12</v>
      </c>
      <c r="K293" s="2487">
        <v>14</v>
      </c>
      <c r="L293" s="2487">
        <v>16</v>
      </c>
      <c r="M293" s="348">
        <v>18</v>
      </c>
      <c r="N293" s="2487">
        <v>450</v>
      </c>
      <c r="O293" s="2487">
        <v>800</v>
      </c>
      <c r="P293" s="2487">
        <v>1200</v>
      </c>
      <c r="Q293" s="348">
        <v>1600</v>
      </c>
      <c r="R293" s="2487">
        <v>45</v>
      </c>
      <c r="S293" s="2487">
        <v>80</v>
      </c>
      <c r="T293" s="2487">
        <v>120</v>
      </c>
      <c r="U293" s="348">
        <v>160</v>
      </c>
      <c r="V293" s="2485" t="s">
        <v>4141</v>
      </c>
      <c r="W293" s="2485" t="s">
        <v>4142</v>
      </c>
      <c r="X293" s="2485" t="s">
        <v>4143</v>
      </c>
      <c r="Y293" s="2485" t="s">
        <v>4144</v>
      </c>
      <c r="Z293" s="2485" t="s">
        <v>4145</v>
      </c>
      <c r="AA293" s="347"/>
    </row>
    <row r="294" spans="1:27" ht="12.75" customHeight="1">
      <c r="A294" s="8243"/>
      <c r="B294" s="242" t="str">
        <f t="shared" si="4"/>
        <v/>
      </c>
      <c r="D294" s="257" t="s">
        <v>266</v>
      </c>
      <c r="E294" s="2487"/>
      <c r="F294" s="2487"/>
      <c r="G294" s="2489"/>
      <c r="H294" s="2489"/>
      <c r="I294" s="351"/>
      <c r="J294" s="2487"/>
      <c r="K294" s="2487"/>
      <c r="L294" s="2487"/>
      <c r="M294" s="348"/>
      <c r="N294" s="2487"/>
      <c r="O294" s="2487"/>
      <c r="P294" s="2487"/>
      <c r="Q294" s="348"/>
      <c r="R294" s="2487"/>
      <c r="S294" s="2487"/>
      <c r="T294" s="2487"/>
      <c r="U294" s="348"/>
      <c r="V294" s="2485"/>
      <c r="W294" s="2485"/>
      <c r="X294" s="2485"/>
      <c r="Y294" s="2485"/>
      <c r="Z294" s="2485"/>
      <c r="AA294" s="347"/>
    </row>
    <row r="295" spans="1:27" ht="12.75" customHeight="1">
      <c r="A295" s="8243"/>
      <c r="B295" s="242" t="str">
        <f t="shared" si="4"/>
        <v>Esencia2</v>
      </c>
      <c r="D295" s="257" t="s">
        <v>9433</v>
      </c>
      <c r="E295" s="2487" t="s">
        <v>1563</v>
      </c>
      <c r="F295" s="2487">
        <v>2</v>
      </c>
      <c r="G295" s="2489" t="s">
        <v>2422</v>
      </c>
      <c r="H295" s="2489" t="s">
        <v>1095</v>
      </c>
      <c r="I295" s="351" t="s">
        <v>1165</v>
      </c>
      <c r="J295" s="2487">
        <v>5</v>
      </c>
      <c r="K295" s="2487">
        <v>8</v>
      </c>
      <c r="L295" s="2487">
        <v>10</v>
      </c>
      <c r="M295" s="348">
        <v>12</v>
      </c>
      <c r="N295" s="2487">
        <v>30</v>
      </c>
      <c r="O295" s="2487">
        <v>80</v>
      </c>
      <c r="P295" s="2487">
        <v>100</v>
      </c>
      <c r="Q295" s="348">
        <v>120</v>
      </c>
      <c r="R295" s="2487">
        <v>5</v>
      </c>
      <c r="S295" s="2487">
        <v>10</v>
      </c>
      <c r="T295" s="2487">
        <v>10</v>
      </c>
      <c r="U295" s="348">
        <v>15</v>
      </c>
      <c r="V295" s="2485" t="s">
        <v>4146</v>
      </c>
      <c r="W295" s="2485" t="s">
        <v>4147</v>
      </c>
      <c r="X295" s="2485" t="s">
        <v>4148</v>
      </c>
      <c r="Y295" s="2485" t="s">
        <v>4149</v>
      </c>
      <c r="Z295" s="2485" t="s">
        <v>4150</v>
      </c>
      <c r="AA295" s="347"/>
    </row>
    <row r="296" spans="1:27" ht="12.75" customHeight="1">
      <c r="A296" s="8243"/>
      <c r="B296" s="242" t="str">
        <f t="shared" si="4"/>
        <v>Esencia6</v>
      </c>
      <c r="D296" s="257" t="s">
        <v>267</v>
      </c>
      <c r="E296" s="2487" t="s">
        <v>1563</v>
      </c>
      <c r="F296" s="2487">
        <v>6</v>
      </c>
      <c r="G296" s="2489" t="s">
        <v>1241</v>
      </c>
      <c r="H296" s="2489" t="s">
        <v>3834</v>
      </c>
      <c r="I296" s="351" t="s">
        <v>1165</v>
      </c>
      <c r="J296" s="2487">
        <v>5</v>
      </c>
      <c r="K296" s="2487">
        <v>8</v>
      </c>
      <c r="L296" s="2487">
        <v>10</v>
      </c>
      <c r="M296" s="348">
        <v>12</v>
      </c>
      <c r="N296" s="2487">
        <v>30</v>
      </c>
      <c r="O296" s="2487">
        <v>60</v>
      </c>
      <c r="P296" s="2487">
        <v>100</v>
      </c>
      <c r="Q296" s="348">
        <v>140</v>
      </c>
      <c r="R296" s="2487">
        <v>5</v>
      </c>
      <c r="S296" s="2487">
        <v>10</v>
      </c>
      <c r="T296" s="2487">
        <v>10</v>
      </c>
      <c r="U296" s="348">
        <v>15</v>
      </c>
      <c r="V296" s="2485" t="s">
        <v>4151</v>
      </c>
      <c r="W296" s="2485" t="s">
        <v>3566</v>
      </c>
      <c r="X296" s="2485" t="s">
        <v>4152</v>
      </c>
      <c r="Y296" s="2485" t="s">
        <v>4153</v>
      </c>
      <c r="Z296" s="2485" t="s">
        <v>12954</v>
      </c>
      <c r="AA296" s="347"/>
    </row>
    <row r="297" spans="1:27" ht="12.75" customHeight="1">
      <c r="A297" s="8243"/>
      <c r="B297" s="242" t="str">
        <f t="shared" si="4"/>
        <v>Esencia10</v>
      </c>
      <c r="D297" s="257" t="s">
        <v>9434</v>
      </c>
      <c r="E297" s="2487" t="s">
        <v>1563</v>
      </c>
      <c r="F297" s="2487">
        <v>10</v>
      </c>
      <c r="G297" s="2489" t="s">
        <v>2422</v>
      </c>
      <c r="H297" s="2489" t="s">
        <v>3834</v>
      </c>
      <c r="I297" s="351" t="s">
        <v>1165</v>
      </c>
      <c r="J297" s="2487">
        <v>6</v>
      </c>
      <c r="K297" s="2487">
        <v>9</v>
      </c>
      <c r="L297" s="2487">
        <v>10</v>
      </c>
      <c r="M297" s="348">
        <v>13</v>
      </c>
      <c r="N297" s="2487">
        <v>30</v>
      </c>
      <c r="O297" s="2487">
        <v>70</v>
      </c>
      <c r="P297" s="2487">
        <v>100</v>
      </c>
      <c r="Q297" s="348">
        <v>150</v>
      </c>
      <c r="R297" s="2487">
        <v>10</v>
      </c>
      <c r="S297" s="2487">
        <v>20</v>
      </c>
      <c r="T297" s="2487">
        <v>20</v>
      </c>
      <c r="U297" s="348">
        <v>25</v>
      </c>
      <c r="V297" s="2485" t="s">
        <v>4154</v>
      </c>
      <c r="W297" s="2485" t="s">
        <v>4155</v>
      </c>
      <c r="X297" s="2485" t="s">
        <v>4156</v>
      </c>
      <c r="Y297" s="2485" t="s">
        <v>4157</v>
      </c>
      <c r="Z297" s="2485" t="s">
        <v>9965</v>
      </c>
      <c r="AA297" s="347"/>
    </row>
    <row r="298" spans="1:27" ht="12.75" customHeight="1">
      <c r="A298" s="8243"/>
      <c r="B298" s="242" t="str">
        <f t="shared" si="4"/>
        <v>Esencia12</v>
      </c>
      <c r="D298" s="257" t="s">
        <v>9435</v>
      </c>
      <c r="E298" s="2487" t="s">
        <v>1563</v>
      </c>
      <c r="F298" s="2487">
        <v>12</v>
      </c>
      <c r="G298" s="2489" t="s">
        <v>1241</v>
      </c>
      <c r="H298" s="2489" t="s">
        <v>1095</v>
      </c>
      <c r="I298" s="351" t="s">
        <v>1165</v>
      </c>
      <c r="J298" s="2487">
        <v>6</v>
      </c>
      <c r="K298" s="2487">
        <v>9</v>
      </c>
      <c r="L298" s="2487">
        <v>10</v>
      </c>
      <c r="M298" s="348">
        <v>13</v>
      </c>
      <c r="N298" s="2487">
        <v>40</v>
      </c>
      <c r="O298" s="2487">
        <v>60</v>
      </c>
      <c r="P298" s="2487">
        <v>90</v>
      </c>
      <c r="Q298" s="348">
        <v>120</v>
      </c>
      <c r="R298" s="2487" t="s">
        <v>1241</v>
      </c>
      <c r="S298" s="2487" t="s">
        <v>1241</v>
      </c>
      <c r="T298" s="2487" t="s">
        <v>1241</v>
      </c>
      <c r="U298" s="348" t="s">
        <v>1241</v>
      </c>
      <c r="V298" s="2485" t="s">
        <v>4158</v>
      </c>
      <c r="W298" s="2485" t="s">
        <v>4159</v>
      </c>
      <c r="X298" s="2485" t="s">
        <v>4160</v>
      </c>
      <c r="Y298" s="2485" t="s">
        <v>4161</v>
      </c>
      <c r="Z298" s="2485" t="s">
        <v>4162</v>
      </c>
      <c r="AA298" s="347"/>
    </row>
    <row r="299" spans="1:27" ht="12.75" customHeight="1">
      <c r="A299" s="8243"/>
      <c r="B299" s="242" t="str">
        <f t="shared" si="4"/>
        <v>Esencia16</v>
      </c>
      <c r="D299" s="257" t="s">
        <v>9436</v>
      </c>
      <c r="E299" s="2487" t="s">
        <v>1563</v>
      </c>
      <c r="F299" s="2487">
        <v>16</v>
      </c>
      <c r="G299" s="2489" t="s">
        <v>1241</v>
      </c>
      <c r="H299" s="2489" t="s">
        <v>1095</v>
      </c>
      <c r="I299" s="351" t="s">
        <v>1165</v>
      </c>
      <c r="J299" s="2487">
        <v>8</v>
      </c>
      <c r="K299" s="2487">
        <v>10</v>
      </c>
      <c r="L299" s="2487">
        <v>13</v>
      </c>
      <c r="M299" s="348">
        <v>15</v>
      </c>
      <c r="N299" s="2487">
        <v>80</v>
      </c>
      <c r="O299" s="2487">
        <v>100</v>
      </c>
      <c r="P299" s="2487">
        <v>120</v>
      </c>
      <c r="Q299" s="348">
        <v>150</v>
      </c>
      <c r="R299" s="2487" t="s">
        <v>1241</v>
      </c>
      <c r="S299" s="2487" t="s">
        <v>1241</v>
      </c>
      <c r="T299" s="2487" t="s">
        <v>1241</v>
      </c>
      <c r="U299" s="348" t="s">
        <v>1241</v>
      </c>
      <c r="V299" s="2485" t="s">
        <v>4163</v>
      </c>
      <c r="W299" s="2485" t="s">
        <v>4164</v>
      </c>
      <c r="X299" s="2485" t="s">
        <v>4165</v>
      </c>
      <c r="Y299" s="2485" t="s">
        <v>4166</v>
      </c>
      <c r="Z299" s="2485" t="s">
        <v>12955</v>
      </c>
      <c r="AA299" s="347"/>
    </row>
    <row r="300" spans="1:27" ht="12.75" customHeight="1">
      <c r="A300" s="8243"/>
      <c r="B300" s="242" t="str">
        <f t="shared" si="4"/>
        <v>Esencia20</v>
      </c>
      <c r="D300" s="257" t="s">
        <v>9437</v>
      </c>
      <c r="E300" s="2487" t="s">
        <v>1563</v>
      </c>
      <c r="F300" s="2487">
        <v>20</v>
      </c>
      <c r="G300" s="2489" t="s">
        <v>2422</v>
      </c>
      <c r="H300" s="2489" t="s">
        <v>1424</v>
      </c>
      <c r="I300" s="351" t="s">
        <v>1165</v>
      </c>
      <c r="J300" s="2487">
        <v>6</v>
      </c>
      <c r="K300" s="2487">
        <v>9</v>
      </c>
      <c r="L300" s="2487">
        <v>12</v>
      </c>
      <c r="M300" s="348">
        <v>15</v>
      </c>
      <c r="N300" s="2487">
        <v>40</v>
      </c>
      <c r="O300" s="2487">
        <v>60</v>
      </c>
      <c r="P300" s="2487">
        <v>90</v>
      </c>
      <c r="Q300" s="348">
        <v>120</v>
      </c>
      <c r="R300" s="2487">
        <v>5</v>
      </c>
      <c r="S300" s="2487">
        <v>10</v>
      </c>
      <c r="T300" s="2487">
        <v>10</v>
      </c>
      <c r="U300" s="348">
        <v>15</v>
      </c>
      <c r="V300" s="2485" t="s">
        <v>4167</v>
      </c>
      <c r="W300" s="2485" t="s">
        <v>4168</v>
      </c>
      <c r="X300" s="2485" t="s">
        <v>4169</v>
      </c>
      <c r="Y300" s="2485" t="s">
        <v>4170</v>
      </c>
      <c r="Z300" s="2485" t="s">
        <v>4171</v>
      </c>
      <c r="AA300" s="347"/>
    </row>
    <row r="301" spans="1:27" ht="12.75" customHeight="1">
      <c r="A301" s="8243"/>
      <c r="B301" s="242" t="str">
        <f t="shared" si="4"/>
        <v>Esencia22</v>
      </c>
      <c r="D301" s="257" t="s">
        <v>9438</v>
      </c>
      <c r="E301" s="2487" t="s">
        <v>1563</v>
      </c>
      <c r="F301" s="2487">
        <v>22</v>
      </c>
      <c r="G301" s="2489" t="s">
        <v>2422</v>
      </c>
      <c r="H301" s="2489" t="s">
        <v>1095</v>
      </c>
      <c r="I301" s="351" t="s">
        <v>1165</v>
      </c>
      <c r="J301" s="2487">
        <v>6</v>
      </c>
      <c r="K301" s="2487">
        <v>9</v>
      </c>
      <c r="L301" s="2487">
        <v>12</v>
      </c>
      <c r="M301" s="348">
        <v>15</v>
      </c>
      <c r="N301" s="2487">
        <v>60</v>
      </c>
      <c r="O301" s="2487">
        <v>180</v>
      </c>
      <c r="P301" s="2487">
        <v>240</v>
      </c>
      <c r="Q301" s="348">
        <v>300</v>
      </c>
      <c r="R301" s="2487">
        <v>10</v>
      </c>
      <c r="S301" s="2487">
        <v>20</v>
      </c>
      <c r="T301" s="2487">
        <v>25</v>
      </c>
      <c r="U301" s="348">
        <v>30</v>
      </c>
      <c r="V301" s="2485" t="s">
        <v>4172</v>
      </c>
      <c r="W301" s="2485" t="s">
        <v>4173</v>
      </c>
      <c r="X301" s="2485" t="s">
        <v>4174</v>
      </c>
      <c r="Y301" s="2485" t="s">
        <v>4175</v>
      </c>
      <c r="Z301" s="2485" t="s">
        <v>12956</v>
      </c>
      <c r="AA301" s="347"/>
    </row>
    <row r="302" spans="1:27" ht="12.75" customHeight="1">
      <c r="A302" s="8243"/>
      <c r="B302" s="242" t="str">
        <f t="shared" si="4"/>
        <v>Esencia26</v>
      </c>
      <c r="D302" s="257" t="s">
        <v>9439</v>
      </c>
      <c r="E302" s="2487" t="s">
        <v>1563</v>
      </c>
      <c r="F302" s="2487">
        <v>26</v>
      </c>
      <c r="G302" s="2489" t="s">
        <v>1241</v>
      </c>
      <c r="H302" s="2489" t="s">
        <v>4176</v>
      </c>
      <c r="I302" s="351" t="s">
        <v>1165</v>
      </c>
      <c r="J302" s="2487">
        <v>6</v>
      </c>
      <c r="K302" s="2487">
        <v>8</v>
      </c>
      <c r="L302" s="2487">
        <v>10</v>
      </c>
      <c r="M302" s="348">
        <v>12</v>
      </c>
      <c r="N302" s="2487">
        <v>50</v>
      </c>
      <c r="O302" s="2487">
        <v>80</v>
      </c>
      <c r="P302" s="2487">
        <v>100</v>
      </c>
      <c r="Q302" s="348">
        <v>140</v>
      </c>
      <c r="R302" s="2487">
        <v>5</v>
      </c>
      <c r="S302" s="2487">
        <v>10</v>
      </c>
      <c r="T302" s="2487">
        <v>10</v>
      </c>
      <c r="U302" s="348">
        <v>15</v>
      </c>
      <c r="V302" s="2485" t="s">
        <v>3391</v>
      </c>
      <c r="W302" s="2485" t="s">
        <v>3295</v>
      </c>
      <c r="X302" s="2485" t="s">
        <v>3153</v>
      </c>
      <c r="Y302" s="2485" t="s">
        <v>3296</v>
      </c>
      <c r="Z302" s="2485" t="s">
        <v>12957</v>
      </c>
      <c r="AA302" s="347"/>
    </row>
    <row r="303" spans="1:27" ht="12.75" customHeight="1">
      <c r="A303" s="8243"/>
      <c r="B303" s="242" t="str">
        <f t="shared" si="4"/>
        <v>Esencia30</v>
      </c>
      <c r="D303" s="257" t="s">
        <v>9440</v>
      </c>
      <c r="E303" s="2487" t="s">
        <v>1563</v>
      </c>
      <c r="F303" s="2487">
        <v>30</v>
      </c>
      <c r="G303" s="2489" t="s">
        <v>1241</v>
      </c>
      <c r="H303" s="2489" t="s">
        <v>4176</v>
      </c>
      <c r="I303" s="351" t="s">
        <v>1165</v>
      </c>
      <c r="J303" s="2487">
        <v>6</v>
      </c>
      <c r="K303" s="2487">
        <v>9</v>
      </c>
      <c r="L303" s="2487">
        <v>12</v>
      </c>
      <c r="M303" s="348">
        <v>15</v>
      </c>
      <c r="N303" s="2487">
        <v>60</v>
      </c>
      <c r="O303" s="2487">
        <v>90</v>
      </c>
      <c r="P303" s="2487">
        <v>120</v>
      </c>
      <c r="Q303" s="348">
        <v>150</v>
      </c>
      <c r="R303" s="2487" t="s">
        <v>1241</v>
      </c>
      <c r="S303" s="2487" t="s">
        <v>1241</v>
      </c>
      <c r="T303" s="2487" t="s">
        <v>1241</v>
      </c>
      <c r="U303" s="348" t="s">
        <v>1241</v>
      </c>
      <c r="V303" s="2485" t="s">
        <v>4177</v>
      </c>
      <c r="W303" s="2485" t="s">
        <v>4178</v>
      </c>
      <c r="X303" s="2485" t="s">
        <v>4179</v>
      </c>
      <c r="Y303" s="2485" t="s">
        <v>4180</v>
      </c>
      <c r="Z303" s="2485" t="s">
        <v>4181</v>
      </c>
      <c r="AA303" s="347"/>
    </row>
    <row r="304" spans="1:27" ht="12.75" customHeight="1">
      <c r="A304" s="8243"/>
      <c r="B304" s="242" t="str">
        <f t="shared" si="4"/>
        <v>Esencia32</v>
      </c>
      <c r="D304" s="257" t="s">
        <v>9441</v>
      </c>
      <c r="E304" s="2487" t="s">
        <v>1563</v>
      </c>
      <c r="F304" s="2487">
        <v>32</v>
      </c>
      <c r="G304" s="2489" t="s">
        <v>1241</v>
      </c>
      <c r="H304" s="2489" t="s">
        <v>3834</v>
      </c>
      <c r="I304" s="351" t="s">
        <v>1165</v>
      </c>
      <c r="J304" s="2487">
        <v>7</v>
      </c>
      <c r="K304" s="2487">
        <v>10</v>
      </c>
      <c r="L304" s="2487">
        <v>13</v>
      </c>
      <c r="M304" s="348">
        <v>15</v>
      </c>
      <c r="N304" s="2487">
        <v>60</v>
      </c>
      <c r="O304" s="2487">
        <v>90</v>
      </c>
      <c r="P304" s="2487">
        <v>120</v>
      </c>
      <c r="Q304" s="348">
        <v>150</v>
      </c>
      <c r="R304" s="2487" t="s">
        <v>1241</v>
      </c>
      <c r="S304" s="2487" t="s">
        <v>1241</v>
      </c>
      <c r="T304" s="2487" t="s">
        <v>1241</v>
      </c>
      <c r="U304" s="348" t="s">
        <v>1241</v>
      </c>
      <c r="V304" s="2485" t="s">
        <v>3390</v>
      </c>
      <c r="W304" s="2485" t="s">
        <v>3391</v>
      </c>
      <c r="X304" s="2485" t="s">
        <v>3153</v>
      </c>
      <c r="Y304" s="2485" t="s">
        <v>3296</v>
      </c>
      <c r="Z304" s="2485" t="s">
        <v>12958</v>
      </c>
      <c r="AA304" s="347"/>
    </row>
    <row r="305" spans="1:27" ht="12.75" customHeight="1">
      <c r="A305" s="8243"/>
      <c r="B305" s="242" t="str">
        <f t="shared" si="4"/>
        <v>Esencia36</v>
      </c>
      <c r="D305" s="257" t="s">
        <v>9442</v>
      </c>
      <c r="E305" s="2487" t="s">
        <v>1563</v>
      </c>
      <c r="F305" s="2487">
        <v>36</v>
      </c>
      <c r="G305" s="2489" t="s">
        <v>2422</v>
      </c>
      <c r="H305" s="2489" t="s">
        <v>1095</v>
      </c>
      <c r="I305" s="351" t="s">
        <v>1165</v>
      </c>
      <c r="J305" s="2487">
        <v>7</v>
      </c>
      <c r="K305" s="2487">
        <v>10</v>
      </c>
      <c r="L305" s="2487">
        <v>13</v>
      </c>
      <c r="M305" s="348">
        <v>15</v>
      </c>
      <c r="N305" s="2487">
        <v>120</v>
      </c>
      <c r="O305" s="2487">
        <v>200</v>
      </c>
      <c r="P305" s="2487">
        <v>280</v>
      </c>
      <c r="Q305" s="348">
        <v>360</v>
      </c>
      <c r="R305" s="2487">
        <v>25</v>
      </c>
      <c r="S305" s="2487">
        <v>40</v>
      </c>
      <c r="T305" s="2487">
        <v>60</v>
      </c>
      <c r="U305" s="348">
        <v>80</v>
      </c>
      <c r="V305" s="2485" t="s">
        <v>4182</v>
      </c>
      <c r="W305" s="2485" t="s">
        <v>3412</v>
      </c>
      <c r="X305" s="2485" t="s">
        <v>4183</v>
      </c>
      <c r="Y305" s="2485" t="s">
        <v>3413</v>
      </c>
      <c r="Z305" s="2485" t="s">
        <v>4184</v>
      </c>
      <c r="AA305" s="347"/>
    </row>
    <row r="306" spans="1:27" ht="12.75" customHeight="1">
      <c r="A306" s="8243"/>
      <c r="B306" s="242" t="str">
        <f t="shared" si="4"/>
        <v>Esencia40</v>
      </c>
      <c r="D306" s="257" t="s">
        <v>9443</v>
      </c>
      <c r="E306" s="2487" t="s">
        <v>1563</v>
      </c>
      <c r="F306" s="2487">
        <v>40</v>
      </c>
      <c r="G306" s="2489" t="s">
        <v>1241</v>
      </c>
      <c r="H306" s="2489" t="s">
        <v>3834</v>
      </c>
      <c r="I306" s="351" t="s">
        <v>1165</v>
      </c>
      <c r="J306" s="2487">
        <v>7</v>
      </c>
      <c r="K306" s="2487">
        <v>9</v>
      </c>
      <c r="L306" s="2487">
        <v>12</v>
      </c>
      <c r="M306" s="348">
        <v>15</v>
      </c>
      <c r="N306" s="2487">
        <v>100</v>
      </c>
      <c r="O306" s="2487">
        <v>180</v>
      </c>
      <c r="P306" s="2487">
        <v>240</v>
      </c>
      <c r="Q306" s="348">
        <v>300</v>
      </c>
      <c r="R306" s="2487">
        <v>10</v>
      </c>
      <c r="S306" s="2487">
        <v>20</v>
      </c>
      <c r="T306" s="2487">
        <v>25</v>
      </c>
      <c r="U306" s="348">
        <v>30</v>
      </c>
      <c r="V306" s="2485" t="s">
        <v>3313</v>
      </c>
      <c r="W306" s="2485" t="s">
        <v>4185</v>
      </c>
      <c r="X306" s="2485" t="s">
        <v>3223</v>
      </c>
      <c r="Y306" s="2485" t="s">
        <v>3314</v>
      </c>
      <c r="Z306" s="2485" t="s">
        <v>4186</v>
      </c>
      <c r="AA306" s="347"/>
    </row>
    <row r="307" spans="1:27" ht="12.75" customHeight="1">
      <c r="A307" s="8243"/>
      <c r="B307" s="242" t="str">
        <f t="shared" si="4"/>
        <v>Esencia42</v>
      </c>
      <c r="D307" s="257" t="s">
        <v>9444</v>
      </c>
      <c r="E307" s="2487" t="s">
        <v>1563</v>
      </c>
      <c r="F307" s="2487">
        <v>42</v>
      </c>
      <c r="G307" s="2489" t="s">
        <v>1241</v>
      </c>
      <c r="H307" s="2489" t="s">
        <v>3834</v>
      </c>
      <c r="I307" s="351" t="s">
        <v>1165</v>
      </c>
      <c r="J307" s="2487">
        <v>7</v>
      </c>
      <c r="K307" s="2487">
        <v>10</v>
      </c>
      <c r="L307" s="2487">
        <v>13</v>
      </c>
      <c r="M307" s="348">
        <v>15</v>
      </c>
      <c r="N307" s="2487">
        <v>120</v>
      </c>
      <c r="O307" s="2487">
        <v>180</v>
      </c>
      <c r="P307" s="2487">
        <v>240</v>
      </c>
      <c r="Q307" s="348">
        <v>300</v>
      </c>
      <c r="R307" s="2487">
        <v>10</v>
      </c>
      <c r="S307" s="2487">
        <v>10</v>
      </c>
      <c r="T307" s="2487">
        <v>15</v>
      </c>
      <c r="U307" s="348">
        <v>15</v>
      </c>
      <c r="V307" s="2485" t="s">
        <v>4187</v>
      </c>
      <c r="W307" s="2485" t="s">
        <v>4188</v>
      </c>
      <c r="X307" s="2485" t="s">
        <v>4189</v>
      </c>
      <c r="Y307" s="2485" t="s">
        <v>4190</v>
      </c>
      <c r="Z307" s="2485" t="s">
        <v>4191</v>
      </c>
      <c r="AA307" s="347"/>
    </row>
    <row r="308" spans="1:27" ht="12.75" customHeight="1">
      <c r="A308" s="8243"/>
      <c r="B308" s="242" t="str">
        <f t="shared" si="4"/>
        <v>Esencia46</v>
      </c>
      <c r="D308" s="257" t="s">
        <v>9445</v>
      </c>
      <c r="E308" s="2487" t="s">
        <v>1563</v>
      </c>
      <c r="F308" s="2487">
        <v>46</v>
      </c>
      <c r="G308" s="2489" t="s">
        <v>2422</v>
      </c>
      <c r="H308" s="2489" t="s">
        <v>4176</v>
      </c>
      <c r="I308" s="351" t="s">
        <v>1165</v>
      </c>
      <c r="J308" s="2487">
        <v>9</v>
      </c>
      <c r="K308" s="2487">
        <v>11</v>
      </c>
      <c r="L308" s="2487">
        <v>13</v>
      </c>
      <c r="M308" s="348">
        <v>16</v>
      </c>
      <c r="N308" s="2487">
        <v>80</v>
      </c>
      <c r="O308" s="2487">
        <v>140</v>
      </c>
      <c r="P308" s="2487">
        <v>180</v>
      </c>
      <c r="Q308" s="348">
        <v>240</v>
      </c>
      <c r="R308" s="2487">
        <v>10</v>
      </c>
      <c r="S308" s="2487">
        <v>15</v>
      </c>
      <c r="T308" s="2487">
        <v>15</v>
      </c>
      <c r="U308" s="348">
        <v>20</v>
      </c>
      <c r="V308" s="2485" t="s">
        <v>4192</v>
      </c>
      <c r="W308" s="2485" t="s">
        <v>4193</v>
      </c>
      <c r="X308" s="2485" t="s">
        <v>4194</v>
      </c>
      <c r="Y308" s="2485" t="s">
        <v>4195</v>
      </c>
      <c r="Z308" s="2485" t="s">
        <v>4196</v>
      </c>
      <c r="AA308" s="347"/>
    </row>
    <row r="309" spans="1:27" ht="12.75" customHeight="1">
      <c r="A309" s="8243"/>
      <c r="B309" s="242" t="str">
        <f t="shared" si="4"/>
        <v>Esencia50</v>
      </c>
      <c r="D309" s="257" t="s">
        <v>9446</v>
      </c>
      <c r="E309" s="2487" t="s">
        <v>1563</v>
      </c>
      <c r="F309" s="2487">
        <v>50</v>
      </c>
      <c r="G309" s="2489" t="s">
        <v>1241</v>
      </c>
      <c r="H309" s="2489" t="s">
        <v>1095</v>
      </c>
      <c r="I309" s="351" t="s">
        <v>1165</v>
      </c>
      <c r="J309" s="2487">
        <v>8</v>
      </c>
      <c r="K309" s="2487">
        <v>10</v>
      </c>
      <c r="L309" s="2487">
        <v>13</v>
      </c>
      <c r="M309" s="348">
        <v>15</v>
      </c>
      <c r="N309" s="2487">
        <v>60</v>
      </c>
      <c r="O309" s="2487">
        <v>180</v>
      </c>
      <c r="P309" s="2487">
        <v>240</v>
      </c>
      <c r="Q309" s="348">
        <v>300</v>
      </c>
      <c r="R309" s="2487">
        <v>10</v>
      </c>
      <c r="S309" s="2487">
        <v>10</v>
      </c>
      <c r="T309" s="2487">
        <v>15</v>
      </c>
      <c r="U309" s="348">
        <v>15</v>
      </c>
      <c r="V309" s="2485" t="s">
        <v>4197</v>
      </c>
      <c r="W309" s="2485" t="s">
        <v>4198</v>
      </c>
      <c r="X309" s="2485" t="s">
        <v>4199</v>
      </c>
      <c r="Y309" s="2485" t="s">
        <v>4200</v>
      </c>
      <c r="Z309" s="2485" t="s">
        <v>6621</v>
      </c>
      <c r="AA309" s="347"/>
    </row>
    <row r="310" spans="1:27" ht="12.75" customHeight="1">
      <c r="A310" s="8243"/>
      <c r="B310" s="242" t="str">
        <f t="shared" si="4"/>
        <v>Esencia52</v>
      </c>
      <c r="D310" s="257" t="s">
        <v>9447</v>
      </c>
      <c r="E310" s="2487" t="s">
        <v>1563</v>
      </c>
      <c r="F310" s="2487">
        <v>52</v>
      </c>
      <c r="G310" s="2489" t="s">
        <v>1241</v>
      </c>
      <c r="H310" s="2489" t="s">
        <v>1095</v>
      </c>
      <c r="I310" s="351" t="s">
        <v>1165</v>
      </c>
      <c r="J310" s="2487">
        <v>8</v>
      </c>
      <c r="K310" s="2487">
        <v>11</v>
      </c>
      <c r="L310" s="2487">
        <v>13</v>
      </c>
      <c r="M310" s="348">
        <v>16</v>
      </c>
      <c r="N310" s="2487">
        <v>100</v>
      </c>
      <c r="O310" s="2487">
        <v>120</v>
      </c>
      <c r="P310" s="2487">
        <v>140</v>
      </c>
      <c r="Q310" s="348">
        <v>160</v>
      </c>
      <c r="R310" s="2487">
        <v>10</v>
      </c>
      <c r="S310" s="2487">
        <v>15</v>
      </c>
      <c r="T310" s="2487">
        <v>15</v>
      </c>
      <c r="U310" s="348">
        <v>20</v>
      </c>
      <c r="V310" s="2485" t="s">
        <v>4201</v>
      </c>
      <c r="W310" s="2485" t="s">
        <v>4202</v>
      </c>
      <c r="X310" s="2485" t="s">
        <v>4203</v>
      </c>
      <c r="Y310" s="2485" t="s">
        <v>4204</v>
      </c>
      <c r="Z310" s="2485" t="s">
        <v>4205</v>
      </c>
      <c r="AA310" s="347"/>
    </row>
    <row r="311" spans="1:27" ht="12.75" customHeight="1">
      <c r="A311" s="8243"/>
      <c r="B311" s="242" t="str">
        <f t="shared" si="4"/>
        <v>Esencia56</v>
      </c>
      <c r="D311" s="257" t="s">
        <v>9448</v>
      </c>
      <c r="E311" s="2487" t="s">
        <v>1563</v>
      </c>
      <c r="F311" s="2487">
        <v>56</v>
      </c>
      <c r="G311" s="2489" t="s">
        <v>2422</v>
      </c>
      <c r="H311" s="2489" t="s">
        <v>4176</v>
      </c>
      <c r="I311" s="351" t="s">
        <v>1165</v>
      </c>
      <c r="J311" s="2487">
        <v>8</v>
      </c>
      <c r="K311" s="2487">
        <v>10</v>
      </c>
      <c r="L311" s="2487">
        <v>12</v>
      </c>
      <c r="M311" s="348">
        <v>15</v>
      </c>
      <c r="N311" s="2487">
        <v>100</v>
      </c>
      <c r="O311" s="2487">
        <v>180</v>
      </c>
      <c r="P311" s="2487">
        <v>240</v>
      </c>
      <c r="Q311" s="348">
        <v>300</v>
      </c>
      <c r="R311" s="2487">
        <v>20</v>
      </c>
      <c r="S311" s="2487">
        <v>40</v>
      </c>
      <c r="T311" s="2487">
        <v>50</v>
      </c>
      <c r="U311" s="348">
        <v>60</v>
      </c>
      <c r="V311" s="2485" t="s">
        <v>3389</v>
      </c>
      <c r="W311" s="2485" t="s">
        <v>3390</v>
      </c>
      <c r="X311" s="2485" t="s">
        <v>4096</v>
      </c>
      <c r="Y311" s="2485" t="s">
        <v>3153</v>
      </c>
      <c r="Z311" s="2485" t="s">
        <v>4206</v>
      </c>
      <c r="AA311" s="347"/>
    </row>
    <row r="312" spans="1:27" ht="12.75" customHeight="1">
      <c r="A312" s="8243"/>
      <c r="B312" s="242" t="str">
        <f t="shared" si="4"/>
        <v>Esencia60</v>
      </c>
      <c r="D312" s="257" t="s">
        <v>9449</v>
      </c>
      <c r="E312" s="2487" t="s">
        <v>1563</v>
      </c>
      <c r="F312" s="2487">
        <v>60</v>
      </c>
      <c r="G312" s="2489" t="s">
        <v>1241</v>
      </c>
      <c r="H312" s="2489" t="s">
        <v>4176</v>
      </c>
      <c r="I312" s="351" t="s">
        <v>1165</v>
      </c>
      <c r="J312" s="2487">
        <v>8</v>
      </c>
      <c r="K312" s="2487">
        <v>10</v>
      </c>
      <c r="L312" s="2487">
        <v>12</v>
      </c>
      <c r="M312" s="348">
        <v>15</v>
      </c>
      <c r="N312" s="2487">
        <v>100</v>
      </c>
      <c r="O312" s="2487">
        <v>180</v>
      </c>
      <c r="P312" s="2487">
        <v>240</v>
      </c>
      <c r="Q312" s="348">
        <v>300</v>
      </c>
      <c r="R312" s="2487" t="s">
        <v>1241</v>
      </c>
      <c r="S312" s="2487" t="s">
        <v>1241</v>
      </c>
      <c r="T312" s="2487" t="s">
        <v>1241</v>
      </c>
      <c r="U312" s="348" t="s">
        <v>1241</v>
      </c>
      <c r="V312" s="2485" t="s">
        <v>3425</v>
      </c>
      <c r="W312" s="2485" t="s">
        <v>3391</v>
      </c>
      <c r="X312" s="2485" t="s">
        <v>3153</v>
      </c>
      <c r="Y312" s="2485" t="s">
        <v>3296</v>
      </c>
      <c r="Z312" s="2485" t="s">
        <v>12959</v>
      </c>
      <c r="AA312" s="347"/>
    </row>
    <row r="313" spans="1:27" ht="12.75" customHeight="1">
      <c r="A313" s="8243"/>
      <c r="B313" s="242" t="str">
        <f t="shared" si="4"/>
        <v>Esencia62</v>
      </c>
      <c r="D313" s="257" t="s">
        <v>9450</v>
      </c>
      <c r="E313" s="2487" t="s">
        <v>1563</v>
      </c>
      <c r="F313" s="2487">
        <v>62</v>
      </c>
      <c r="G313" s="2489" t="s">
        <v>1241</v>
      </c>
      <c r="H313" s="2489" t="s">
        <v>4176</v>
      </c>
      <c r="I313" s="351" t="s">
        <v>1165</v>
      </c>
      <c r="J313" s="2487">
        <v>8</v>
      </c>
      <c r="K313" s="2487">
        <v>10</v>
      </c>
      <c r="L313" s="2487">
        <v>12</v>
      </c>
      <c r="M313" s="348">
        <v>15</v>
      </c>
      <c r="N313" s="2487">
        <v>100</v>
      </c>
      <c r="O313" s="2487">
        <v>180</v>
      </c>
      <c r="P313" s="2487">
        <v>240</v>
      </c>
      <c r="Q313" s="348">
        <v>300</v>
      </c>
      <c r="R313" s="2487" t="s">
        <v>1241</v>
      </c>
      <c r="S313" s="2487" t="s">
        <v>1241</v>
      </c>
      <c r="T313" s="2487" t="s">
        <v>1241</v>
      </c>
      <c r="U313" s="348" t="s">
        <v>1241</v>
      </c>
      <c r="V313" s="2485" t="s">
        <v>3390</v>
      </c>
      <c r="W313" s="2485" t="s">
        <v>3153</v>
      </c>
      <c r="X313" s="2485" t="s">
        <v>3297</v>
      </c>
      <c r="Y313" s="2485" t="s">
        <v>4207</v>
      </c>
      <c r="Z313" s="2485" t="s">
        <v>4208</v>
      </c>
      <c r="AA313" s="347"/>
    </row>
    <row r="314" spans="1:27" ht="12.75" customHeight="1">
      <c r="A314" s="8243"/>
      <c r="B314" s="242" t="str">
        <f t="shared" si="4"/>
        <v>Esencia66</v>
      </c>
      <c r="D314" s="257" t="s">
        <v>9451</v>
      </c>
      <c r="E314" s="2487" t="s">
        <v>1563</v>
      </c>
      <c r="F314" s="2487">
        <v>66</v>
      </c>
      <c r="G314" s="2489" t="s">
        <v>2422</v>
      </c>
      <c r="H314" s="2489" t="s">
        <v>1096</v>
      </c>
      <c r="I314" s="351" t="s">
        <v>1165</v>
      </c>
      <c r="J314" s="2487">
        <v>8</v>
      </c>
      <c r="K314" s="2487">
        <v>10</v>
      </c>
      <c r="L314" s="2487">
        <v>13</v>
      </c>
      <c r="M314" s="348">
        <v>15</v>
      </c>
      <c r="N314" s="2487">
        <v>120</v>
      </c>
      <c r="O314" s="2487">
        <v>180</v>
      </c>
      <c r="P314" s="2487">
        <v>240</v>
      </c>
      <c r="Q314" s="348">
        <v>300</v>
      </c>
      <c r="R314" s="2487">
        <v>15</v>
      </c>
      <c r="S314" s="2487">
        <v>20</v>
      </c>
      <c r="T314" s="2487">
        <v>25</v>
      </c>
      <c r="U314" s="348">
        <v>30</v>
      </c>
      <c r="V314" s="2485" t="s">
        <v>4209</v>
      </c>
      <c r="W314" s="2485" t="s">
        <v>4210</v>
      </c>
      <c r="X314" s="2485" t="s">
        <v>4211</v>
      </c>
      <c r="Y314" s="2485" t="s">
        <v>4212</v>
      </c>
      <c r="Z314" s="2485" t="s">
        <v>4213</v>
      </c>
      <c r="AA314" s="347"/>
    </row>
    <row r="315" spans="1:27" ht="12.75" customHeight="1">
      <c r="A315" s="8243"/>
      <c r="B315" s="242" t="str">
        <f t="shared" si="4"/>
        <v>Esencia70</v>
      </c>
      <c r="D315" s="257" t="s">
        <v>9452</v>
      </c>
      <c r="E315" s="2487" t="s">
        <v>1563</v>
      </c>
      <c r="F315" s="2487">
        <v>70</v>
      </c>
      <c r="G315" s="2489" t="s">
        <v>2422</v>
      </c>
      <c r="H315" s="2489" t="s">
        <v>1094</v>
      </c>
      <c r="I315" s="351" t="s">
        <v>1165</v>
      </c>
      <c r="J315" s="2487">
        <v>8</v>
      </c>
      <c r="K315" s="2487">
        <v>10</v>
      </c>
      <c r="L315" s="2487">
        <v>13</v>
      </c>
      <c r="M315" s="348">
        <v>15</v>
      </c>
      <c r="N315" s="2487">
        <v>120</v>
      </c>
      <c r="O315" s="2487">
        <v>180</v>
      </c>
      <c r="P315" s="2487">
        <v>240</v>
      </c>
      <c r="Q315" s="348">
        <v>300</v>
      </c>
      <c r="R315" s="2487">
        <v>25</v>
      </c>
      <c r="S315" s="2487">
        <v>40</v>
      </c>
      <c r="T315" s="2487">
        <v>50</v>
      </c>
      <c r="U315" s="348">
        <v>60</v>
      </c>
      <c r="V315" s="2485" t="s">
        <v>3425</v>
      </c>
      <c r="W315" s="2485" t="s">
        <v>3390</v>
      </c>
      <c r="X315" s="2485" t="s">
        <v>3391</v>
      </c>
      <c r="Y315" s="2485" t="s">
        <v>3153</v>
      </c>
      <c r="Z315" s="2485" t="s">
        <v>4214</v>
      </c>
      <c r="AA315" s="347"/>
    </row>
    <row r="316" spans="1:27" ht="12.75" customHeight="1">
      <c r="A316" s="8243"/>
      <c r="B316" s="242" t="str">
        <f t="shared" si="4"/>
        <v>Esencia72</v>
      </c>
      <c r="D316" s="257" t="s">
        <v>9453</v>
      </c>
      <c r="E316" s="2487" t="s">
        <v>1563</v>
      </c>
      <c r="F316" s="2487">
        <v>72</v>
      </c>
      <c r="G316" s="2489" t="s">
        <v>2422</v>
      </c>
      <c r="H316" s="2489" t="s">
        <v>1094</v>
      </c>
      <c r="I316" s="351" t="s">
        <v>1165</v>
      </c>
      <c r="J316" s="2487">
        <v>8</v>
      </c>
      <c r="K316" s="2487">
        <v>10</v>
      </c>
      <c r="L316" s="2487">
        <v>13</v>
      </c>
      <c r="M316" s="348">
        <v>15</v>
      </c>
      <c r="N316" s="2487">
        <v>140</v>
      </c>
      <c r="O316" s="2487">
        <v>180</v>
      </c>
      <c r="P316" s="2487">
        <v>240</v>
      </c>
      <c r="Q316" s="348">
        <v>300</v>
      </c>
      <c r="R316" s="2487">
        <v>15</v>
      </c>
      <c r="S316" s="2487">
        <v>20</v>
      </c>
      <c r="T316" s="2487">
        <v>25</v>
      </c>
      <c r="U316" s="348">
        <v>30</v>
      </c>
      <c r="V316" s="2485" t="s">
        <v>3398</v>
      </c>
      <c r="W316" s="2485" t="s">
        <v>4215</v>
      </c>
      <c r="X316" s="2485" t="s">
        <v>4216</v>
      </c>
      <c r="Y316" s="2485" t="s">
        <v>4217</v>
      </c>
      <c r="Z316" s="2485" t="s">
        <v>12960</v>
      </c>
      <c r="AA316" s="347"/>
    </row>
    <row r="317" spans="1:27" ht="12.75" customHeight="1">
      <c r="A317" s="8243"/>
      <c r="B317" s="242" t="str">
        <f t="shared" si="4"/>
        <v>Esencia76</v>
      </c>
      <c r="D317" s="257" t="s">
        <v>9454</v>
      </c>
      <c r="E317" s="2487" t="s">
        <v>1563</v>
      </c>
      <c r="F317" s="2487">
        <v>76</v>
      </c>
      <c r="G317" s="2489" t="s">
        <v>1241</v>
      </c>
      <c r="H317" s="2489" t="s">
        <v>1094</v>
      </c>
      <c r="I317" s="351" t="s">
        <v>1165</v>
      </c>
      <c r="J317" s="2487">
        <v>9</v>
      </c>
      <c r="K317" s="2487">
        <v>12</v>
      </c>
      <c r="L317" s="2487">
        <v>15</v>
      </c>
      <c r="M317" s="348">
        <v>18</v>
      </c>
      <c r="N317" s="2487">
        <v>180</v>
      </c>
      <c r="O317" s="2487">
        <v>240</v>
      </c>
      <c r="P317" s="2487">
        <v>300</v>
      </c>
      <c r="Q317" s="348">
        <v>540</v>
      </c>
      <c r="R317" s="2487" t="s">
        <v>1241</v>
      </c>
      <c r="S317" s="2487" t="s">
        <v>1241</v>
      </c>
      <c r="T317" s="2487" t="s">
        <v>1241</v>
      </c>
      <c r="U317" s="348" t="s">
        <v>1241</v>
      </c>
      <c r="V317" s="2485" t="s">
        <v>4218</v>
      </c>
      <c r="W317" s="2485" t="s">
        <v>4219</v>
      </c>
      <c r="X317" s="2485" t="s">
        <v>4220</v>
      </c>
      <c r="Y317" s="2485" t="s">
        <v>4221</v>
      </c>
      <c r="Z317" s="2485" t="s">
        <v>12961</v>
      </c>
      <c r="AA317" s="347"/>
    </row>
    <row r="318" spans="1:27" ht="12.75" customHeight="1">
      <c r="A318" s="8243"/>
      <c r="B318" s="242" t="str">
        <f t="shared" si="4"/>
        <v>Esencia80</v>
      </c>
      <c r="D318" s="257" t="s">
        <v>9455</v>
      </c>
      <c r="E318" s="2487" t="s">
        <v>1563</v>
      </c>
      <c r="F318" s="2487">
        <v>80</v>
      </c>
      <c r="G318" s="2489" t="s">
        <v>1241</v>
      </c>
      <c r="H318" s="2489" t="s">
        <v>1095</v>
      </c>
      <c r="I318" s="351" t="s">
        <v>1165</v>
      </c>
      <c r="J318" s="2487">
        <v>10</v>
      </c>
      <c r="K318" s="2487">
        <v>13</v>
      </c>
      <c r="L318" s="2487">
        <v>15</v>
      </c>
      <c r="M318" s="348">
        <v>17</v>
      </c>
      <c r="N318" s="2487">
        <v>250</v>
      </c>
      <c r="O318" s="2487">
        <v>500</v>
      </c>
      <c r="P318" s="2487">
        <v>1000</v>
      </c>
      <c r="Q318" s="348">
        <v>2500</v>
      </c>
      <c r="R318" s="2487" t="s">
        <v>1241</v>
      </c>
      <c r="S318" s="2487" t="s">
        <v>1241</v>
      </c>
      <c r="T318" s="2487" t="s">
        <v>1241</v>
      </c>
      <c r="U318" s="348" t="s">
        <v>1241</v>
      </c>
      <c r="V318" s="2485" t="s">
        <v>4222</v>
      </c>
      <c r="W318" s="2485" t="s">
        <v>4223</v>
      </c>
      <c r="X318" s="2485" t="s">
        <v>4224</v>
      </c>
      <c r="Y318" s="2485" t="s">
        <v>4225</v>
      </c>
      <c r="Z318" s="2485" t="s">
        <v>4226</v>
      </c>
      <c r="AA318" s="347"/>
    </row>
    <row r="319" spans="1:27" ht="12.75" customHeight="1">
      <c r="A319" s="8243"/>
      <c r="B319" s="242" t="str">
        <f t="shared" si="4"/>
        <v>Esencia82</v>
      </c>
      <c r="D319" s="257" t="s">
        <v>9456</v>
      </c>
      <c r="E319" s="2487" t="s">
        <v>1563</v>
      </c>
      <c r="F319" s="2487">
        <v>82</v>
      </c>
      <c r="G319" s="2489" t="s">
        <v>2422</v>
      </c>
      <c r="H319" s="2489" t="s">
        <v>1095</v>
      </c>
      <c r="I319" s="351" t="s">
        <v>1165</v>
      </c>
      <c r="J319" s="2487">
        <v>10</v>
      </c>
      <c r="K319" s="2487">
        <v>12</v>
      </c>
      <c r="L319" s="2487">
        <v>14</v>
      </c>
      <c r="M319" s="348">
        <v>16</v>
      </c>
      <c r="N319" s="2487">
        <v>250</v>
      </c>
      <c r="O319" s="2487">
        <v>350</v>
      </c>
      <c r="P319" s="2487">
        <v>500</v>
      </c>
      <c r="Q319" s="348">
        <v>700</v>
      </c>
      <c r="R319" s="2487">
        <v>50</v>
      </c>
      <c r="S319" s="2487">
        <v>70</v>
      </c>
      <c r="T319" s="2487">
        <v>100</v>
      </c>
      <c r="U319" s="348">
        <v>140</v>
      </c>
      <c r="V319" s="2485" t="s">
        <v>3451</v>
      </c>
      <c r="W319" s="2485" t="s">
        <v>3186</v>
      </c>
      <c r="X319" s="2485" t="s">
        <v>4119</v>
      </c>
      <c r="Y319" s="2485" t="s">
        <v>4120</v>
      </c>
      <c r="Z319" s="2485" t="s">
        <v>4227</v>
      </c>
      <c r="AA319" s="347"/>
    </row>
    <row r="320" spans="1:27" ht="12.75" customHeight="1">
      <c r="A320" s="8243"/>
      <c r="B320" s="242" t="str">
        <f t="shared" si="4"/>
        <v>Esencia86</v>
      </c>
      <c r="D320" s="257" t="s">
        <v>9457</v>
      </c>
      <c r="E320" s="2487" t="s">
        <v>1563</v>
      </c>
      <c r="F320" s="2487">
        <v>86</v>
      </c>
      <c r="G320" s="2489" t="s">
        <v>1241</v>
      </c>
      <c r="H320" s="2489" t="s">
        <v>1165</v>
      </c>
      <c r="I320" s="351" t="s">
        <v>1165</v>
      </c>
      <c r="J320" s="2487">
        <v>10</v>
      </c>
      <c r="K320" s="2487">
        <v>12</v>
      </c>
      <c r="L320" s="2487">
        <v>14</v>
      </c>
      <c r="M320" s="348">
        <v>16</v>
      </c>
      <c r="N320" s="2487">
        <v>200</v>
      </c>
      <c r="O320" s="2487">
        <v>300</v>
      </c>
      <c r="P320" s="2487">
        <v>400</v>
      </c>
      <c r="Q320" s="348">
        <v>500</v>
      </c>
      <c r="R320" s="2487" t="s">
        <v>1241</v>
      </c>
      <c r="S320" s="2487" t="s">
        <v>1241</v>
      </c>
      <c r="T320" s="2487" t="s">
        <v>1241</v>
      </c>
      <c r="U320" s="348" t="s">
        <v>1241</v>
      </c>
      <c r="V320" s="2485" t="s">
        <v>4228</v>
      </c>
      <c r="W320" s="2485" t="s">
        <v>4229</v>
      </c>
      <c r="X320" s="2485" t="s">
        <v>4230</v>
      </c>
      <c r="Y320" s="2485" t="s">
        <v>4231</v>
      </c>
      <c r="Z320" s="2485" t="s">
        <v>12962</v>
      </c>
      <c r="AA320" s="347"/>
    </row>
    <row r="321" spans="1:27" ht="12.75" customHeight="1">
      <c r="A321" s="8243"/>
      <c r="B321" s="242" t="str">
        <f t="shared" si="4"/>
        <v>Esencia90</v>
      </c>
      <c r="D321" s="257" t="s">
        <v>9458</v>
      </c>
      <c r="E321" s="2487" t="s">
        <v>1563</v>
      </c>
      <c r="F321" s="2487">
        <v>90</v>
      </c>
      <c r="G321" s="2489" t="s">
        <v>1241</v>
      </c>
      <c r="H321" s="2489" t="s">
        <v>1095</v>
      </c>
      <c r="I321" s="351" t="s">
        <v>1165</v>
      </c>
      <c r="J321" s="2487">
        <v>10</v>
      </c>
      <c r="K321" s="2487">
        <v>12</v>
      </c>
      <c r="L321" s="2487">
        <v>13</v>
      </c>
      <c r="M321" s="348">
        <v>16</v>
      </c>
      <c r="N321" s="2487">
        <v>250</v>
      </c>
      <c r="O321" s="2487">
        <v>450</v>
      </c>
      <c r="P321" s="2487">
        <v>600</v>
      </c>
      <c r="Q321" s="348">
        <v>750</v>
      </c>
      <c r="R321" s="2487" t="s">
        <v>1241</v>
      </c>
      <c r="S321" s="2487" t="s">
        <v>1241</v>
      </c>
      <c r="T321" s="2487" t="s">
        <v>1241</v>
      </c>
      <c r="U321" s="348" t="s">
        <v>1241</v>
      </c>
      <c r="V321" s="2485" t="s">
        <v>4112</v>
      </c>
      <c r="W321" s="2485" t="s">
        <v>4232</v>
      </c>
      <c r="X321" s="2485" t="s">
        <v>4233</v>
      </c>
      <c r="Y321" s="2485" t="s">
        <v>4234</v>
      </c>
      <c r="Z321" s="2485" t="s">
        <v>4235</v>
      </c>
      <c r="AA321" s="347"/>
    </row>
    <row r="322" spans="1:27" ht="12.75" customHeight="1">
      <c r="A322" s="8243"/>
      <c r="B322" s="242" t="str">
        <f t="shared" si="4"/>
        <v>Esencia92</v>
      </c>
      <c r="D322" s="257" t="s">
        <v>9459</v>
      </c>
      <c r="E322" s="2487" t="s">
        <v>1563</v>
      </c>
      <c r="F322" s="2487">
        <v>92</v>
      </c>
      <c r="G322" s="2489" t="s">
        <v>2422</v>
      </c>
      <c r="H322" s="2489" t="s">
        <v>1096</v>
      </c>
      <c r="I322" s="351" t="s">
        <v>1165</v>
      </c>
      <c r="J322" s="2487">
        <v>10</v>
      </c>
      <c r="K322" s="2487">
        <v>13</v>
      </c>
      <c r="L322" s="2487">
        <v>15</v>
      </c>
      <c r="M322" s="348">
        <v>18</v>
      </c>
      <c r="N322" s="2487">
        <v>300</v>
      </c>
      <c r="O322" s="2487">
        <v>500</v>
      </c>
      <c r="P322" s="2487">
        <v>750</v>
      </c>
      <c r="Q322" s="348">
        <v>1000</v>
      </c>
      <c r="R322" s="2487">
        <v>60</v>
      </c>
      <c r="S322" s="2487">
        <v>75</v>
      </c>
      <c r="T322" s="2487">
        <v>85</v>
      </c>
      <c r="U322" s="348">
        <v>100</v>
      </c>
      <c r="V322" s="2485" t="s">
        <v>4236</v>
      </c>
      <c r="W322" s="2485" t="s">
        <v>4237</v>
      </c>
      <c r="X322" s="2485" t="s">
        <v>4238</v>
      </c>
      <c r="Y322" s="2485" t="s">
        <v>4239</v>
      </c>
      <c r="Z322" s="2485" t="s">
        <v>4240</v>
      </c>
      <c r="AA322" s="347"/>
    </row>
    <row r="323" spans="1:27" ht="12.75" customHeight="1">
      <c r="A323" s="8243"/>
      <c r="B323" s="242" t="str">
        <f t="shared" si="4"/>
        <v>Esencia96</v>
      </c>
      <c r="D323" s="257" t="s">
        <v>9460</v>
      </c>
      <c r="E323" s="2487" t="s">
        <v>1563</v>
      </c>
      <c r="F323" s="2487">
        <v>96</v>
      </c>
      <c r="G323" s="2489" t="s">
        <v>1241</v>
      </c>
      <c r="H323" s="2489" t="s">
        <v>1095</v>
      </c>
      <c r="I323" s="351" t="s">
        <v>1165</v>
      </c>
      <c r="J323" s="2487">
        <v>10</v>
      </c>
      <c r="K323" s="2487">
        <v>13</v>
      </c>
      <c r="L323" s="2487">
        <v>15</v>
      </c>
      <c r="M323" s="348">
        <v>18</v>
      </c>
      <c r="N323" s="2487">
        <v>400</v>
      </c>
      <c r="O323" s="2487">
        <v>500</v>
      </c>
      <c r="P323" s="2487">
        <v>600</v>
      </c>
      <c r="Q323" s="348">
        <v>700</v>
      </c>
      <c r="R323" s="2487" t="s">
        <v>1241</v>
      </c>
      <c r="S323" s="2487" t="s">
        <v>1241</v>
      </c>
      <c r="T323" s="2487" t="s">
        <v>1241</v>
      </c>
      <c r="U323" s="348" t="s">
        <v>1241</v>
      </c>
      <c r="V323" s="2485" t="s">
        <v>4241</v>
      </c>
      <c r="W323" s="2485" t="s">
        <v>4242</v>
      </c>
      <c r="X323" s="2485" t="s">
        <v>4243</v>
      </c>
      <c r="Y323" s="2485" t="s">
        <v>4244</v>
      </c>
      <c r="Z323" s="2485" t="s">
        <v>4245</v>
      </c>
      <c r="AA323" s="347"/>
    </row>
    <row r="324" spans="1:27" ht="12.75" customHeight="1">
      <c r="A324" s="8243"/>
      <c r="B324" s="242" t="str">
        <f t="shared" si="4"/>
        <v>Esencia100</v>
      </c>
      <c r="D324" s="257" t="s">
        <v>9461</v>
      </c>
      <c r="E324" s="2487" t="s">
        <v>1563</v>
      </c>
      <c r="F324" s="2487">
        <v>100</v>
      </c>
      <c r="G324" s="2489" t="s">
        <v>2422</v>
      </c>
      <c r="H324" s="2489" t="s">
        <v>1096</v>
      </c>
      <c r="I324" s="351" t="s">
        <v>1165</v>
      </c>
      <c r="J324" s="2487">
        <v>12</v>
      </c>
      <c r="K324" s="2487">
        <v>14</v>
      </c>
      <c r="L324" s="2487">
        <v>16</v>
      </c>
      <c r="M324" s="348">
        <v>18</v>
      </c>
      <c r="N324" s="2487">
        <v>600</v>
      </c>
      <c r="O324" s="2487">
        <v>800</v>
      </c>
      <c r="P324" s="2487">
        <v>1200</v>
      </c>
      <c r="Q324" s="348">
        <v>1500</v>
      </c>
      <c r="R324" s="2487">
        <v>120</v>
      </c>
      <c r="S324" s="2487">
        <v>160</v>
      </c>
      <c r="T324" s="2487">
        <v>240</v>
      </c>
      <c r="U324" s="348">
        <v>300</v>
      </c>
      <c r="V324" s="2485" t="s">
        <v>4246</v>
      </c>
      <c r="W324" s="2485" t="s">
        <v>4247</v>
      </c>
      <c r="X324" s="2485" t="s">
        <v>4248</v>
      </c>
      <c r="Y324" s="2485" t="s">
        <v>4249</v>
      </c>
      <c r="Z324" s="2485" t="s">
        <v>4250</v>
      </c>
      <c r="AA324" s="347"/>
    </row>
    <row r="325" spans="1:27" ht="12.75" customHeight="1">
      <c r="A325" s="8243"/>
      <c r="B325" s="242" t="str">
        <f t="shared" si="4"/>
        <v/>
      </c>
      <c r="D325" s="257" t="s">
        <v>12963</v>
      </c>
      <c r="E325" s="2487"/>
      <c r="F325" s="2487"/>
      <c r="G325" s="2489"/>
      <c r="H325" s="2489"/>
      <c r="I325" s="351"/>
      <c r="J325" s="2487"/>
      <c r="K325" s="2487"/>
      <c r="L325" s="2487"/>
      <c r="M325" s="348"/>
      <c r="N325" s="2487"/>
      <c r="O325" s="2487"/>
      <c r="P325" s="2487"/>
      <c r="Q325" s="348"/>
      <c r="R325" s="2487"/>
      <c r="S325" s="2487"/>
      <c r="T325" s="2487"/>
      <c r="U325" s="348"/>
      <c r="V325" s="2485"/>
      <c r="W325" s="2485"/>
      <c r="X325" s="2485"/>
      <c r="Y325" s="2485"/>
      <c r="Z325" s="2485"/>
      <c r="AA325" s="347"/>
    </row>
    <row r="326" spans="1:27" ht="12.75" customHeight="1">
      <c r="A326" s="8243"/>
      <c r="B326" s="242" t="str">
        <f t="shared" si="4"/>
        <v>Ilusión2</v>
      </c>
      <c r="D326" s="257" t="s">
        <v>268</v>
      </c>
      <c r="E326" s="2487" t="s">
        <v>1565</v>
      </c>
      <c r="F326" s="2487">
        <v>2</v>
      </c>
      <c r="G326" s="2489" t="s">
        <v>1241</v>
      </c>
      <c r="H326" s="2489" t="s">
        <v>3048</v>
      </c>
      <c r="I326" s="351" t="s">
        <v>1165</v>
      </c>
      <c r="J326" s="2487">
        <v>5</v>
      </c>
      <c r="K326" s="2487">
        <v>8</v>
      </c>
      <c r="L326" s="2487">
        <v>10</v>
      </c>
      <c r="M326" s="348">
        <v>12</v>
      </c>
      <c r="N326" s="2487">
        <v>30</v>
      </c>
      <c r="O326" s="2487">
        <v>50</v>
      </c>
      <c r="P326" s="2487">
        <v>90</v>
      </c>
      <c r="Q326" s="348">
        <v>120</v>
      </c>
      <c r="R326" s="2487">
        <v>5</v>
      </c>
      <c r="S326" s="2487">
        <v>5</v>
      </c>
      <c r="T326" s="2487">
        <v>10</v>
      </c>
      <c r="U326" s="348">
        <v>10</v>
      </c>
      <c r="V326" s="2485" t="s">
        <v>4251</v>
      </c>
      <c r="W326" s="2485" t="s">
        <v>4252</v>
      </c>
      <c r="X326" s="2485" t="s">
        <v>3148</v>
      </c>
      <c r="Y326" s="2485" t="s">
        <v>3149</v>
      </c>
      <c r="Z326" s="2485" t="s">
        <v>4253</v>
      </c>
      <c r="AA326" s="347"/>
    </row>
    <row r="327" spans="1:27" ht="12.75" customHeight="1">
      <c r="A327" s="8243"/>
      <c r="B327" s="242" t="str">
        <f t="shared" si="4"/>
        <v>Ilusión6</v>
      </c>
      <c r="D327" s="257" t="s">
        <v>269</v>
      </c>
      <c r="E327" s="2487" t="s">
        <v>1565</v>
      </c>
      <c r="F327" s="2487">
        <v>6</v>
      </c>
      <c r="G327" s="2489" t="s">
        <v>1241</v>
      </c>
      <c r="H327" s="2489" t="s">
        <v>3048</v>
      </c>
      <c r="I327" s="351" t="s">
        <v>1165</v>
      </c>
      <c r="J327" s="2487">
        <v>5</v>
      </c>
      <c r="K327" s="2487">
        <v>8</v>
      </c>
      <c r="L327" s="2487">
        <v>10</v>
      </c>
      <c r="M327" s="348">
        <v>12</v>
      </c>
      <c r="N327" s="2487">
        <v>30</v>
      </c>
      <c r="O327" s="2487">
        <v>50</v>
      </c>
      <c r="P327" s="2487">
        <v>90</v>
      </c>
      <c r="Q327" s="348">
        <v>120</v>
      </c>
      <c r="R327" s="2487">
        <v>5</v>
      </c>
      <c r="S327" s="2487">
        <v>5</v>
      </c>
      <c r="T327" s="2487">
        <v>10</v>
      </c>
      <c r="U327" s="348">
        <v>10</v>
      </c>
      <c r="V327" s="2485" t="s">
        <v>4251</v>
      </c>
      <c r="W327" s="2485" t="s">
        <v>4252</v>
      </c>
      <c r="X327" s="2485" t="s">
        <v>3148</v>
      </c>
      <c r="Y327" s="2485" t="s">
        <v>3149</v>
      </c>
      <c r="Z327" s="2485" t="s">
        <v>4254</v>
      </c>
      <c r="AA327" s="347"/>
    </row>
    <row r="328" spans="1:27" ht="12.75" customHeight="1">
      <c r="A328" s="8243"/>
      <c r="B328" s="242" t="str">
        <f t="shared" ref="B328:B391" si="5">E328&amp;F328</f>
        <v>Ilusión10</v>
      </c>
      <c r="D328" s="257" t="s">
        <v>270</v>
      </c>
      <c r="E328" s="2487" t="s">
        <v>1565</v>
      </c>
      <c r="F328" s="2487">
        <v>10</v>
      </c>
      <c r="G328" s="2489" t="s">
        <v>1241</v>
      </c>
      <c r="H328" s="2489" t="s">
        <v>3048</v>
      </c>
      <c r="I328" s="351" t="s">
        <v>1165</v>
      </c>
      <c r="J328" s="2487">
        <v>5</v>
      </c>
      <c r="K328" s="2487">
        <v>8</v>
      </c>
      <c r="L328" s="2487">
        <v>10</v>
      </c>
      <c r="M328" s="348">
        <v>12</v>
      </c>
      <c r="N328" s="2487">
        <v>30</v>
      </c>
      <c r="O328" s="2487">
        <v>50</v>
      </c>
      <c r="P328" s="2487">
        <v>90</v>
      </c>
      <c r="Q328" s="348">
        <v>120</v>
      </c>
      <c r="R328" s="2487">
        <v>5</v>
      </c>
      <c r="S328" s="2487">
        <v>5</v>
      </c>
      <c r="T328" s="2487">
        <v>10</v>
      </c>
      <c r="U328" s="348">
        <v>10</v>
      </c>
      <c r="V328" s="2485" t="s">
        <v>4251</v>
      </c>
      <c r="W328" s="2485" t="s">
        <v>4252</v>
      </c>
      <c r="X328" s="2485" t="s">
        <v>3148</v>
      </c>
      <c r="Y328" s="2485" t="s">
        <v>3149</v>
      </c>
      <c r="Z328" s="2485" t="s">
        <v>9762</v>
      </c>
      <c r="AA328" s="347"/>
    </row>
    <row r="329" spans="1:27" ht="12.75" customHeight="1">
      <c r="A329" s="8243"/>
      <c r="B329" s="242" t="str">
        <f t="shared" si="5"/>
        <v>Ilusión12</v>
      </c>
      <c r="D329" s="257" t="s">
        <v>271</v>
      </c>
      <c r="E329" s="2487" t="s">
        <v>1565</v>
      </c>
      <c r="F329" s="2487">
        <v>12</v>
      </c>
      <c r="G329" s="2489" t="s">
        <v>1241</v>
      </c>
      <c r="H329" s="2489" t="s">
        <v>3048</v>
      </c>
      <c r="I329" s="351" t="s">
        <v>1165</v>
      </c>
      <c r="J329" s="2487">
        <v>6</v>
      </c>
      <c r="K329" s="2487">
        <v>8</v>
      </c>
      <c r="L329" s="2487">
        <v>10</v>
      </c>
      <c r="M329" s="348">
        <v>12</v>
      </c>
      <c r="N329" s="2487">
        <v>40</v>
      </c>
      <c r="O329" s="2487">
        <v>70</v>
      </c>
      <c r="P329" s="2487">
        <v>100</v>
      </c>
      <c r="Q329" s="348">
        <v>120</v>
      </c>
      <c r="R329" s="2487">
        <v>5</v>
      </c>
      <c r="S329" s="2487">
        <v>5</v>
      </c>
      <c r="T329" s="2487">
        <v>10</v>
      </c>
      <c r="U329" s="348">
        <v>10</v>
      </c>
      <c r="V329" s="2485" t="s">
        <v>4255</v>
      </c>
      <c r="W329" s="2485" t="s">
        <v>4256</v>
      </c>
      <c r="X329" s="2485" t="s">
        <v>4257</v>
      </c>
      <c r="Y329" s="2485" t="s">
        <v>4258</v>
      </c>
      <c r="Z329" s="2485" t="s">
        <v>9742</v>
      </c>
      <c r="AA329" s="347"/>
    </row>
    <row r="330" spans="1:27" ht="12.75" customHeight="1">
      <c r="A330" s="8243"/>
      <c r="B330" s="242" t="str">
        <f t="shared" si="5"/>
        <v>Ilusión16</v>
      </c>
      <c r="D330" s="257" t="s">
        <v>272</v>
      </c>
      <c r="E330" s="2487" t="s">
        <v>1565</v>
      </c>
      <c r="F330" s="2487">
        <v>16</v>
      </c>
      <c r="G330" s="2489" t="s">
        <v>1241</v>
      </c>
      <c r="H330" s="2489" t="s">
        <v>1097</v>
      </c>
      <c r="I330" s="351" t="s">
        <v>1165</v>
      </c>
      <c r="J330" s="2487">
        <v>6</v>
      </c>
      <c r="K330" s="2487">
        <v>8</v>
      </c>
      <c r="L330" s="2487">
        <v>10</v>
      </c>
      <c r="M330" s="348">
        <v>12</v>
      </c>
      <c r="N330" s="2487">
        <v>60</v>
      </c>
      <c r="O330" s="2487">
        <v>160</v>
      </c>
      <c r="P330" s="2487">
        <v>200</v>
      </c>
      <c r="Q330" s="348">
        <v>240</v>
      </c>
      <c r="R330" s="2487">
        <v>10</v>
      </c>
      <c r="S330" s="2487">
        <v>20</v>
      </c>
      <c r="T330" s="2487">
        <v>20</v>
      </c>
      <c r="U330" s="348">
        <v>25</v>
      </c>
      <c r="V330" s="2485" t="s">
        <v>4259</v>
      </c>
      <c r="W330" s="2485" t="s">
        <v>4260</v>
      </c>
      <c r="X330" s="2485" t="s">
        <v>4261</v>
      </c>
      <c r="Y330" s="2485" t="s">
        <v>4262</v>
      </c>
      <c r="Z330" s="2485" t="s">
        <v>6624</v>
      </c>
      <c r="AA330" s="347"/>
    </row>
    <row r="331" spans="1:27" ht="12.75" customHeight="1">
      <c r="A331" s="8243"/>
      <c r="B331" s="242" t="str">
        <f t="shared" si="5"/>
        <v>Ilusión20</v>
      </c>
      <c r="D331" s="257" t="s">
        <v>273</v>
      </c>
      <c r="E331" s="2487" t="s">
        <v>1565</v>
      </c>
      <c r="F331" s="2487">
        <v>20</v>
      </c>
      <c r="G331" s="2489" t="s">
        <v>1241</v>
      </c>
      <c r="H331" s="2489" t="s">
        <v>1095</v>
      </c>
      <c r="I331" s="351" t="s">
        <v>1165</v>
      </c>
      <c r="J331" s="2487">
        <v>6</v>
      </c>
      <c r="K331" s="2487">
        <v>8</v>
      </c>
      <c r="L331" s="2487">
        <v>10</v>
      </c>
      <c r="M331" s="348">
        <v>13</v>
      </c>
      <c r="N331" s="2487">
        <v>50</v>
      </c>
      <c r="O331" s="2487">
        <v>80</v>
      </c>
      <c r="P331" s="2487">
        <v>100</v>
      </c>
      <c r="Q331" s="348">
        <v>120</v>
      </c>
      <c r="R331" s="2487">
        <v>5</v>
      </c>
      <c r="S331" s="2487">
        <v>10</v>
      </c>
      <c r="T331" s="2487">
        <v>10</v>
      </c>
      <c r="U331" s="348">
        <v>15</v>
      </c>
      <c r="V331" s="2485" t="s">
        <v>4263</v>
      </c>
      <c r="W331" s="2485" t="s">
        <v>4264</v>
      </c>
      <c r="X331" s="2485" t="s">
        <v>4265</v>
      </c>
      <c r="Y331" s="2485" t="s">
        <v>4266</v>
      </c>
      <c r="Z331" s="2485" t="s">
        <v>4267</v>
      </c>
      <c r="AA331" s="347"/>
    </row>
    <row r="332" spans="1:27" ht="12.75" customHeight="1">
      <c r="A332" s="8243"/>
      <c r="B332" s="242" t="str">
        <f t="shared" si="5"/>
        <v>Ilusión22</v>
      </c>
      <c r="D332" s="257" t="s">
        <v>274</v>
      </c>
      <c r="E332" s="2487" t="s">
        <v>1565</v>
      </c>
      <c r="F332" s="2487">
        <v>22</v>
      </c>
      <c r="G332" s="2489" t="s">
        <v>2422</v>
      </c>
      <c r="H332" s="2489" t="s">
        <v>3048</v>
      </c>
      <c r="I332" s="351" t="s">
        <v>1165</v>
      </c>
      <c r="J332" s="2487">
        <v>6</v>
      </c>
      <c r="K332" s="2487">
        <v>9</v>
      </c>
      <c r="L332" s="2487">
        <v>12</v>
      </c>
      <c r="M332" s="348">
        <v>15</v>
      </c>
      <c r="N332" s="2487">
        <v>60</v>
      </c>
      <c r="O332" s="2487">
        <v>90</v>
      </c>
      <c r="P332" s="2487">
        <v>120</v>
      </c>
      <c r="Q332" s="348">
        <v>150</v>
      </c>
      <c r="R332" s="2487">
        <v>10</v>
      </c>
      <c r="S332" s="2487">
        <v>10</v>
      </c>
      <c r="T332" s="2487">
        <v>15</v>
      </c>
      <c r="U332" s="348">
        <v>15</v>
      </c>
      <c r="V332" s="2485" t="s">
        <v>3390</v>
      </c>
      <c r="W332" s="2485" t="s">
        <v>3295</v>
      </c>
      <c r="X332" s="2485" t="s">
        <v>3296</v>
      </c>
      <c r="Y332" s="2485" t="s">
        <v>3297</v>
      </c>
      <c r="Z332" s="2485" t="s">
        <v>4268</v>
      </c>
      <c r="AA332" s="347"/>
    </row>
    <row r="333" spans="1:27" ht="12.75" customHeight="1">
      <c r="A333" s="8243"/>
      <c r="B333" s="242" t="str">
        <f t="shared" si="5"/>
        <v>Ilusión26</v>
      </c>
      <c r="D333" s="257" t="s">
        <v>275</v>
      </c>
      <c r="E333" s="2487" t="s">
        <v>1565</v>
      </c>
      <c r="F333" s="2487">
        <v>26</v>
      </c>
      <c r="G333" s="2489" t="s">
        <v>1241</v>
      </c>
      <c r="H333" s="2489" t="s">
        <v>3048</v>
      </c>
      <c r="I333" s="351" t="s">
        <v>1165</v>
      </c>
      <c r="J333" s="2487">
        <v>6</v>
      </c>
      <c r="K333" s="2487">
        <v>9</v>
      </c>
      <c r="L333" s="2487">
        <v>12</v>
      </c>
      <c r="M333" s="348">
        <v>15</v>
      </c>
      <c r="N333" s="2487">
        <v>60</v>
      </c>
      <c r="O333" s="2487">
        <v>90</v>
      </c>
      <c r="P333" s="2487">
        <v>120</v>
      </c>
      <c r="Q333" s="348">
        <v>150</v>
      </c>
      <c r="R333" s="2487">
        <v>5</v>
      </c>
      <c r="S333" s="2487">
        <v>5</v>
      </c>
      <c r="T333" s="2487">
        <v>10</v>
      </c>
      <c r="U333" s="348">
        <v>10</v>
      </c>
      <c r="V333" s="2485" t="s">
        <v>4269</v>
      </c>
      <c r="W333" s="2485" t="s">
        <v>4270</v>
      </c>
      <c r="X333" s="2485" t="s">
        <v>4271</v>
      </c>
      <c r="Y333" s="2485" t="s">
        <v>4272</v>
      </c>
      <c r="Z333" s="2485" t="s">
        <v>6625</v>
      </c>
      <c r="AA333" s="347"/>
    </row>
    <row r="334" spans="1:27" ht="12.75" customHeight="1">
      <c r="A334" s="8243"/>
      <c r="B334" s="242" t="str">
        <f t="shared" si="5"/>
        <v>Ilusión30</v>
      </c>
      <c r="D334" s="257" t="s">
        <v>276</v>
      </c>
      <c r="E334" s="2487" t="s">
        <v>1565</v>
      </c>
      <c r="F334" s="2487">
        <v>30</v>
      </c>
      <c r="G334" s="2489" t="s">
        <v>1241</v>
      </c>
      <c r="H334" s="2489" t="s">
        <v>3048</v>
      </c>
      <c r="I334" s="351" t="s">
        <v>1165</v>
      </c>
      <c r="J334" s="2487">
        <v>8</v>
      </c>
      <c r="K334" s="2487">
        <v>10</v>
      </c>
      <c r="L334" s="2487">
        <v>12</v>
      </c>
      <c r="M334" s="348">
        <v>14</v>
      </c>
      <c r="N334" s="2487">
        <v>60</v>
      </c>
      <c r="O334" s="2487">
        <v>90</v>
      </c>
      <c r="P334" s="2487">
        <v>120</v>
      </c>
      <c r="Q334" s="348">
        <v>150</v>
      </c>
      <c r="R334" s="2487">
        <v>10</v>
      </c>
      <c r="S334" s="2487">
        <v>10</v>
      </c>
      <c r="T334" s="2487">
        <v>15</v>
      </c>
      <c r="U334" s="348">
        <v>15</v>
      </c>
      <c r="V334" s="2485" t="s">
        <v>4273</v>
      </c>
      <c r="W334" s="2485" t="s">
        <v>4274</v>
      </c>
      <c r="X334" s="2485" t="s">
        <v>4275</v>
      </c>
      <c r="Y334" s="2485" t="s">
        <v>4276</v>
      </c>
      <c r="Z334" s="2485" t="s">
        <v>12964</v>
      </c>
      <c r="AA334" s="347"/>
    </row>
    <row r="335" spans="1:27" ht="12.75" customHeight="1">
      <c r="A335" s="8243"/>
      <c r="B335" s="242" t="str">
        <f t="shared" si="5"/>
        <v>Ilusión32</v>
      </c>
      <c r="D335" s="257" t="s">
        <v>277</v>
      </c>
      <c r="E335" s="2487" t="s">
        <v>1565</v>
      </c>
      <c r="F335" s="2487">
        <v>32</v>
      </c>
      <c r="G335" s="2489" t="s">
        <v>1241</v>
      </c>
      <c r="H335" s="2489" t="s">
        <v>3048</v>
      </c>
      <c r="I335" s="351" t="s">
        <v>1165</v>
      </c>
      <c r="J335" s="2487">
        <v>6</v>
      </c>
      <c r="K335" s="2487">
        <v>9</v>
      </c>
      <c r="L335" s="2487">
        <v>12</v>
      </c>
      <c r="M335" s="348">
        <v>15</v>
      </c>
      <c r="N335" s="2487">
        <v>80</v>
      </c>
      <c r="O335" s="2487">
        <v>180</v>
      </c>
      <c r="P335" s="2487">
        <v>240</v>
      </c>
      <c r="Q335" s="348">
        <v>300</v>
      </c>
      <c r="R335" s="2487">
        <v>5</v>
      </c>
      <c r="S335" s="2487">
        <v>5</v>
      </c>
      <c r="T335" s="2487">
        <v>10</v>
      </c>
      <c r="U335" s="348">
        <v>10</v>
      </c>
      <c r="V335" s="2485" t="s">
        <v>4277</v>
      </c>
      <c r="W335" s="2485" t="s">
        <v>4278</v>
      </c>
      <c r="X335" s="2485" t="s">
        <v>4279</v>
      </c>
      <c r="Y335" s="2485" t="s">
        <v>4280</v>
      </c>
      <c r="Z335" s="2485" t="s">
        <v>4281</v>
      </c>
      <c r="AA335" s="347"/>
    </row>
    <row r="336" spans="1:27" ht="12.75" customHeight="1">
      <c r="A336" s="8243"/>
      <c r="B336" s="242" t="str">
        <f t="shared" si="5"/>
        <v>Ilusión36</v>
      </c>
      <c r="D336" s="257" t="s">
        <v>278</v>
      </c>
      <c r="E336" s="2487" t="s">
        <v>1565</v>
      </c>
      <c r="F336" s="2487">
        <v>36</v>
      </c>
      <c r="G336" s="2489" t="s">
        <v>1241</v>
      </c>
      <c r="H336" s="2489" t="s">
        <v>3789</v>
      </c>
      <c r="I336" s="351" t="s">
        <v>1165</v>
      </c>
      <c r="J336" s="2487">
        <v>6</v>
      </c>
      <c r="K336" s="2487">
        <v>9</v>
      </c>
      <c r="L336" s="2487">
        <v>11</v>
      </c>
      <c r="M336" s="348">
        <v>13</v>
      </c>
      <c r="N336" s="2487">
        <v>50</v>
      </c>
      <c r="O336" s="2487">
        <v>70</v>
      </c>
      <c r="P336" s="2487">
        <v>90</v>
      </c>
      <c r="Q336" s="348">
        <v>120</v>
      </c>
      <c r="R336" s="2487">
        <v>5</v>
      </c>
      <c r="S336" s="2487">
        <v>5</v>
      </c>
      <c r="T336" s="2487">
        <v>5</v>
      </c>
      <c r="U336" s="348">
        <v>10</v>
      </c>
      <c r="V336" s="2485" t="s">
        <v>4282</v>
      </c>
      <c r="W336" s="2485" t="s">
        <v>4278</v>
      </c>
      <c r="X336" s="2485" t="s">
        <v>4283</v>
      </c>
      <c r="Y336" s="2485" t="s">
        <v>4279</v>
      </c>
      <c r="Z336" s="2485" t="s">
        <v>12965</v>
      </c>
      <c r="AA336" s="347"/>
    </row>
    <row r="337" spans="1:27" ht="12.75" customHeight="1">
      <c r="A337" s="8243"/>
      <c r="B337" s="242" t="str">
        <f t="shared" si="5"/>
        <v>Ilusión40</v>
      </c>
      <c r="D337" s="257" t="s">
        <v>279</v>
      </c>
      <c r="E337" s="2487" t="s">
        <v>1565</v>
      </c>
      <c r="F337" s="2487">
        <v>40</v>
      </c>
      <c r="G337" s="2489" t="s">
        <v>2422</v>
      </c>
      <c r="H337" s="2489" t="s">
        <v>3048</v>
      </c>
      <c r="I337" s="351" t="s">
        <v>1165</v>
      </c>
      <c r="J337" s="2487">
        <v>7</v>
      </c>
      <c r="K337" s="2487">
        <v>10</v>
      </c>
      <c r="L337" s="2487">
        <v>13</v>
      </c>
      <c r="M337" s="348">
        <v>15</v>
      </c>
      <c r="N337" s="2487">
        <v>60</v>
      </c>
      <c r="O337" s="2487">
        <v>90</v>
      </c>
      <c r="P337" s="2487">
        <v>120</v>
      </c>
      <c r="Q337" s="348">
        <v>150</v>
      </c>
      <c r="R337" s="2487">
        <v>5</v>
      </c>
      <c r="S337" s="2487">
        <v>5</v>
      </c>
      <c r="T337" s="2487">
        <v>10</v>
      </c>
      <c r="U337" s="348">
        <v>10</v>
      </c>
      <c r="V337" s="2485" t="s">
        <v>4284</v>
      </c>
      <c r="W337" s="2485" t="s">
        <v>4285</v>
      </c>
      <c r="X337" s="2485" t="s">
        <v>4286</v>
      </c>
      <c r="Y337" s="2485" t="s">
        <v>4287</v>
      </c>
      <c r="Z337" s="2485" t="s">
        <v>4288</v>
      </c>
      <c r="AA337" s="347"/>
    </row>
    <row r="338" spans="1:27" ht="12.75" customHeight="1">
      <c r="A338" s="8243"/>
      <c r="B338" s="242" t="str">
        <f t="shared" si="5"/>
        <v>Ilusión42</v>
      </c>
      <c r="D338" s="257" t="s">
        <v>280</v>
      </c>
      <c r="E338" s="2487" t="s">
        <v>1565</v>
      </c>
      <c r="F338" s="2487">
        <v>42</v>
      </c>
      <c r="G338" s="2489" t="s">
        <v>2422</v>
      </c>
      <c r="H338" s="2489" t="s">
        <v>1095</v>
      </c>
      <c r="I338" s="351" t="s">
        <v>1165</v>
      </c>
      <c r="J338" s="2487">
        <v>7</v>
      </c>
      <c r="K338" s="2487">
        <v>10</v>
      </c>
      <c r="L338" s="2487">
        <v>12</v>
      </c>
      <c r="M338" s="348">
        <v>14</v>
      </c>
      <c r="N338" s="2487">
        <v>80</v>
      </c>
      <c r="O338" s="2487">
        <v>100</v>
      </c>
      <c r="P338" s="2487">
        <v>120</v>
      </c>
      <c r="Q338" s="348">
        <v>140</v>
      </c>
      <c r="R338" s="2487">
        <v>10</v>
      </c>
      <c r="S338" s="2487">
        <v>10</v>
      </c>
      <c r="T338" s="2487">
        <v>15</v>
      </c>
      <c r="U338" s="348">
        <v>15</v>
      </c>
      <c r="V338" s="2485" t="s">
        <v>4289</v>
      </c>
      <c r="W338" s="2485" t="s">
        <v>4290</v>
      </c>
      <c r="X338" s="2485" t="s">
        <v>4291</v>
      </c>
      <c r="Y338" s="2485" t="s">
        <v>4292</v>
      </c>
      <c r="Z338" s="2485" t="s">
        <v>4293</v>
      </c>
      <c r="AA338" s="347"/>
    </row>
    <row r="339" spans="1:27" ht="12.75" customHeight="1">
      <c r="A339" s="8243"/>
      <c r="B339" s="242" t="str">
        <f t="shared" si="5"/>
        <v>Ilusión46</v>
      </c>
      <c r="D339" s="257" t="s">
        <v>281</v>
      </c>
      <c r="E339" s="2487" t="s">
        <v>1565</v>
      </c>
      <c r="F339" s="2487">
        <v>46</v>
      </c>
      <c r="G339" s="2489" t="s">
        <v>2422</v>
      </c>
      <c r="H339" s="2489" t="s">
        <v>3048</v>
      </c>
      <c r="I339" s="351" t="s">
        <v>1165</v>
      </c>
      <c r="J339" s="2487">
        <v>7</v>
      </c>
      <c r="K339" s="2487">
        <v>10</v>
      </c>
      <c r="L339" s="2487">
        <v>13</v>
      </c>
      <c r="M339" s="348">
        <v>15</v>
      </c>
      <c r="N339" s="2487">
        <v>80</v>
      </c>
      <c r="O339" s="2487">
        <v>120</v>
      </c>
      <c r="P339" s="2487">
        <v>160</v>
      </c>
      <c r="Q339" s="348">
        <v>200</v>
      </c>
      <c r="R339" s="2487">
        <v>10</v>
      </c>
      <c r="S339" s="2487">
        <v>15</v>
      </c>
      <c r="T339" s="2487">
        <v>20</v>
      </c>
      <c r="U339" s="348">
        <v>20</v>
      </c>
      <c r="V339" s="2485" t="s">
        <v>4294</v>
      </c>
      <c r="W339" s="2485" t="s">
        <v>4295</v>
      </c>
      <c r="X339" s="2485" t="s">
        <v>4296</v>
      </c>
      <c r="Y339" s="2485" t="s">
        <v>4297</v>
      </c>
      <c r="Z339" s="2485" t="s">
        <v>12966</v>
      </c>
      <c r="AA339" s="347"/>
    </row>
    <row r="340" spans="1:27" ht="12.75" customHeight="1">
      <c r="A340" s="8243"/>
      <c r="B340" s="242" t="str">
        <f t="shared" si="5"/>
        <v>Ilusión50</v>
      </c>
      <c r="D340" s="257" t="s">
        <v>282</v>
      </c>
      <c r="E340" s="2487" t="s">
        <v>1565</v>
      </c>
      <c r="F340" s="2487">
        <v>50</v>
      </c>
      <c r="G340" s="2489" t="s">
        <v>1241</v>
      </c>
      <c r="H340" s="2489" t="s">
        <v>3048</v>
      </c>
      <c r="I340" s="351" t="s">
        <v>1165</v>
      </c>
      <c r="J340" s="2487">
        <v>6</v>
      </c>
      <c r="K340" s="2487">
        <v>9</v>
      </c>
      <c r="L340" s="2487">
        <v>12</v>
      </c>
      <c r="M340" s="348">
        <v>15</v>
      </c>
      <c r="N340" s="2487">
        <v>120</v>
      </c>
      <c r="O340" s="2487">
        <v>180</v>
      </c>
      <c r="P340" s="2487">
        <v>240</v>
      </c>
      <c r="Q340" s="348">
        <v>300</v>
      </c>
      <c r="R340" s="2487">
        <v>10</v>
      </c>
      <c r="S340" s="2487">
        <v>10</v>
      </c>
      <c r="T340" s="2487">
        <v>15</v>
      </c>
      <c r="U340" s="348">
        <v>15</v>
      </c>
      <c r="V340" s="2485" t="s">
        <v>4298</v>
      </c>
      <c r="W340" s="2485" t="s">
        <v>4299</v>
      </c>
      <c r="X340" s="2485" t="s">
        <v>4300</v>
      </c>
      <c r="Y340" s="2485" t="s">
        <v>4301</v>
      </c>
      <c r="Z340" s="2485" t="s">
        <v>4302</v>
      </c>
      <c r="AA340" s="347"/>
    </row>
    <row r="341" spans="1:27" ht="12.75" customHeight="1">
      <c r="A341" s="8243"/>
      <c r="B341" s="242" t="str">
        <f t="shared" si="5"/>
        <v>Ilusión52</v>
      </c>
      <c r="D341" s="257" t="s">
        <v>283</v>
      </c>
      <c r="E341" s="2487" t="s">
        <v>1565</v>
      </c>
      <c r="F341" s="2487">
        <v>52</v>
      </c>
      <c r="G341" s="2489" t="s">
        <v>2422</v>
      </c>
      <c r="H341" s="2489" t="s">
        <v>3048</v>
      </c>
      <c r="I341" s="351" t="s">
        <v>1165</v>
      </c>
      <c r="J341" s="2487">
        <v>7</v>
      </c>
      <c r="K341" s="2487">
        <v>10</v>
      </c>
      <c r="L341" s="2487">
        <v>13</v>
      </c>
      <c r="M341" s="348">
        <v>15</v>
      </c>
      <c r="N341" s="2487">
        <v>120</v>
      </c>
      <c r="O341" s="2487">
        <v>180</v>
      </c>
      <c r="P341" s="2487">
        <v>240</v>
      </c>
      <c r="Q341" s="348">
        <v>300</v>
      </c>
      <c r="R341" s="2487">
        <v>15</v>
      </c>
      <c r="S341" s="2487">
        <v>20</v>
      </c>
      <c r="T341" s="2487">
        <v>25</v>
      </c>
      <c r="U341" s="348">
        <v>30</v>
      </c>
      <c r="V341" s="2485" t="s">
        <v>4303</v>
      </c>
      <c r="W341" s="2485" t="s">
        <v>4304</v>
      </c>
      <c r="X341" s="2485" t="s">
        <v>4305</v>
      </c>
      <c r="Y341" s="2485" t="s">
        <v>4306</v>
      </c>
      <c r="Z341" s="2485" t="s">
        <v>12967</v>
      </c>
      <c r="AA341" s="347"/>
    </row>
    <row r="342" spans="1:27" ht="12.75" customHeight="1">
      <c r="A342" s="8243"/>
      <c r="B342" s="242" t="str">
        <f t="shared" si="5"/>
        <v>Ilusión56</v>
      </c>
      <c r="D342" s="257" t="s">
        <v>284</v>
      </c>
      <c r="E342" s="2487" t="s">
        <v>1565</v>
      </c>
      <c r="F342" s="2487">
        <v>56</v>
      </c>
      <c r="G342" s="2489" t="s">
        <v>2422</v>
      </c>
      <c r="H342" s="2489" t="s">
        <v>3789</v>
      </c>
      <c r="I342" s="351" t="s">
        <v>1165</v>
      </c>
      <c r="J342" s="2487">
        <v>8</v>
      </c>
      <c r="K342" s="2487">
        <v>11</v>
      </c>
      <c r="L342" s="2487">
        <v>14</v>
      </c>
      <c r="M342" s="348">
        <v>16</v>
      </c>
      <c r="N342" s="2487">
        <v>100</v>
      </c>
      <c r="O342" s="2487">
        <v>120</v>
      </c>
      <c r="P342" s="2487">
        <v>140</v>
      </c>
      <c r="Q342" s="348">
        <v>160</v>
      </c>
      <c r="R342" s="2487">
        <v>10</v>
      </c>
      <c r="S342" s="2487">
        <v>15</v>
      </c>
      <c r="T342" s="2487">
        <v>15</v>
      </c>
      <c r="U342" s="348">
        <v>20</v>
      </c>
      <c r="V342" s="2485" t="s">
        <v>3425</v>
      </c>
      <c r="W342" s="2485" t="s">
        <v>3390</v>
      </c>
      <c r="X342" s="2485" t="s">
        <v>3391</v>
      </c>
      <c r="Y342" s="2485" t="s">
        <v>3295</v>
      </c>
      <c r="Z342" s="2485" t="s">
        <v>12968</v>
      </c>
      <c r="AA342" s="347"/>
    </row>
    <row r="343" spans="1:27" ht="12.75" customHeight="1">
      <c r="A343" s="8243"/>
      <c r="B343" s="242" t="str">
        <f t="shared" si="5"/>
        <v>Ilusión60</v>
      </c>
      <c r="D343" s="257" t="s">
        <v>285</v>
      </c>
      <c r="E343" s="2487" t="s">
        <v>1565</v>
      </c>
      <c r="F343" s="2487">
        <v>60</v>
      </c>
      <c r="G343" s="2489" t="s">
        <v>1241</v>
      </c>
      <c r="H343" s="2489" t="s">
        <v>1095</v>
      </c>
      <c r="I343" s="351" t="s">
        <v>1165</v>
      </c>
      <c r="J343" s="2487">
        <v>7</v>
      </c>
      <c r="K343" s="2487">
        <v>10</v>
      </c>
      <c r="L343" s="2487">
        <v>12</v>
      </c>
      <c r="M343" s="348">
        <v>15</v>
      </c>
      <c r="N343" s="2487">
        <v>80</v>
      </c>
      <c r="O343" s="2487">
        <v>180</v>
      </c>
      <c r="P343" s="2487">
        <v>300</v>
      </c>
      <c r="Q343" s="348">
        <v>500</v>
      </c>
      <c r="R343" s="2487" t="s">
        <v>1241</v>
      </c>
      <c r="S343" s="2487" t="s">
        <v>1241</v>
      </c>
      <c r="T343" s="2487" t="s">
        <v>1241</v>
      </c>
      <c r="U343" s="348" t="s">
        <v>1241</v>
      </c>
      <c r="V343" s="2485" t="s">
        <v>4307</v>
      </c>
      <c r="W343" s="2485" t="s">
        <v>4308</v>
      </c>
      <c r="X343" s="2485" t="s">
        <v>4309</v>
      </c>
      <c r="Y343" s="2485" t="s">
        <v>4310</v>
      </c>
      <c r="Z343" s="2485" t="s">
        <v>4311</v>
      </c>
      <c r="AA343" s="347"/>
    </row>
    <row r="344" spans="1:27" ht="12.75" customHeight="1">
      <c r="A344" s="8243"/>
      <c r="B344" s="242" t="str">
        <f t="shared" si="5"/>
        <v>Ilusión62</v>
      </c>
      <c r="D344" s="257" t="s">
        <v>286</v>
      </c>
      <c r="E344" s="2487" t="s">
        <v>1565</v>
      </c>
      <c r="F344" s="2487">
        <v>62</v>
      </c>
      <c r="G344" s="2489" t="s">
        <v>1241</v>
      </c>
      <c r="H344" s="2489" t="s">
        <v>3048</v>
      </c>
      <c r="I344" s="351" t="s">
        <v>1165</v>
      </c>
      <c r="J344" s="2487">
        <v>8</v>
      </c>
      <c r="K344" s="2487">
        <v>11</v>
      </c>
      <c r="L344" s="2487">
        <v>13</v>
      </c>
      <c r="M344" s="348">
        <v>16</v>
      </c>
      <c r="N344" s="2487">
        <v>100</v>
      </c>
      <c r="O344" s="2487">
        <v>120</v>
      </c>
      <c r="P344" s="2487">
        <v>150</v>
      </c>
      <c r="Q344" s="348">
        <v>200</v>
      </c>
      <c r="R344" s="2487">
        <v>10</v>
      </c>
      <c r="S344" s="2487">
        <v>15</v>
      </c>
      <c r="T344" s="2487">
        <v>15</v>
      </c>
      <c r="U344" s="348">
        <v>20</v>
      </c>
      <c r="V344" s="2485" t="s">
        <v>4284</v>
      </c>
      <c r="W344" s="2485" t="s">
        <v>4285</v>
      </c>
      <c r="X344" s="2485" t="s">
        <v>4286</v>
      </c>
      <c r="Y344" s="2485" t="s">
        <v>4287</v>
      </c>
      <c r="Z344" s="2485" t="s">
        <v>6626</v>
      </c>
      <c r="AA344" s="347"/>
    </row>
    <row r="345" spans="1:27" ht="12.75" customHeight="1">
      <c r="A345" s="8243"/>
      <c r="B345" s="242" t="str">
        <f t="shared" si="5"/>
        <v>Ilusión66</v>
      </c>
      <c r="D345" s="257" t="s">
        <v>287</v>
      </c>
      <c r="E345" s="2487" t="s">
        <v>1565</v>
      </c>
      <c r="F345" s="2487">
        <v>66</v>
      </c>
      <c r="G345" s="2489" t="s">
        <v>1241</v>
      </c>
      <c r="H345" s="2489" t="s">
        <v>3789</v>
      </c>
      <c r="I345" s="351" t="s">
        <v>1165</v>
      </c>
      <c r="J345" s="2487">
        <v>7</v>
      </c>
      <c r="K345" s="2487">
        <v>10</v>
      </c>
      <c r="L345" s="2487">
        <v>12</v>
      </c>
      <c r="M345" s="348">
        <v>14</v>
      </c>
      <c r="N345" s="2487">
        <v>60</v>
      </c>
      <c r="O345" s="2487">
        <v>100</v>
      </c>
      <c r="P345" s="2487">
        <v>140</v>
      </c>
      <c r="Q345" s="348">
        <v>200</v>
      </c>
      <c r="R345" s="2487">
        <v>10</v>
      </c>
      <c r="S345" s="2487">
        <v>10</v>
      </c>
      <c r="T345" s="2487">
        <v>15</v>
      </c>
      <c r="U345" s="348">
        <v>15</v>
      </c>
      <c r="V345" s="2485" t="s">
        <v>3391</v>
      </c>
      <c r="W345" s="2485" t="s">
        <v>3295</v>
      </c>
      <c r="X345" s="2485" t="s">
        <v>3153</v>
      </c>
      <c r="Y345" s="2485" t="s">
        <v>3296</v>
      </c>
      <c r="Z345" s="2485" t="s">
        <v>4312</v>
      </c>
      <c r="AA345" s="347"/>
    </row>
    <row r="346" spans="1:27" ht="12.75" customHeight="1">
      <c r="A346" s="8243"/>
      <c r="B346" s="242" t="str">
        <f t="shared" si="5"/>
        <v>Ilusión70</v>
      </c>
      <c r="D346" s="257" t="s">
        <v>288</v>
      </c>
      <c r="E346" s="2487" t="s">
        <v>1565</v>
      </c>
      <c r="F346" s="2487">
        <v>70</v>
      </c>
      <c r="G346" s="2489" t="s">
        <v>1241</v>
      </c>
      <c r="H346" s="2489" t="s">
        <v>1093</v>
      </c>
      <c r="I346" s="351" t="s">
        <v>1165</v>
      </c>
      <c r="J346" s="2487">
        <v>6</v>
      </c>
      <c r="K346" s="2487">
        <v>9</v>
      </c>
      <c r="L346" s="2487">
        <v>12</v>
      </c>
      <c r="M346" s="348">
        <v>15</v>
      </c>
      <c r="N346" s="2487">
        <v>80</v>
      </c>
      <c r="O346" s="2487">
        <v>140</v>
      </c>
      <c r="P346" s="2487">
        <v>220</v>
      </c>
      <c r="Q346" s="348">
        <v>300</v>
      </c>
      <c r="R346" s="2487" t="s">
        <v>1241</v>
      </c>
      <c r="S346" s="2487" t="s">
        <v>1241</v>
      </c>
      <c r="T346" s="2487" t="s">
        <v>1241</v>
      </c>
      <c r="U346" s="348" t="s">
        <v>1241</v>
      </c>
      <c r="V346" s="2485" t="s">
        <v>4313</v>
      </c>
      <c r="W346" s="2485" t="s">
        <v>4314</v>
      </c>
      <c r="X346" s="2485" t="s">
        <v>4315</v>
      </c>
      <c r="Y346" s="2485" t="s">
        <v>4316</v>
      </c>
      <c r="Z346" s="2485" t="s">
        <v>4317</v>
      </c>
      <c r="AA346" s="347"/>
    </row>
    <row r="347" spans="1:27" ht="12.75" customHeight="1">
      <c r="A347" s="8243"/>
      <c r="B347" s="242" t="str">
        <f t="shared" si="5"/>
        <v>Ilusión72</v>
      </c>
      <c r="D347" s="257" t="s">
        <v>289</v>
      </c>
      <c r="E347" s="2487" t="s">
        <v>1565</v>
      </c>
      <c r="F347" s="2487">
        <v>72</v>
      </c>
      <c r="G347" s="2489" t="s">
        <v>2422</v>
      </c>
      <c r="H347" s="2489" t="s">
        <v>3789</v>
      </c>
      <c r="I347" s="351" t="s">
        <v>1165</v>
      </c>
      <c r="J347" s="2487">
        <v>8</v>
      </c>
      <c r="K347" s="2487">
        <v>10</v>
      </c>
      <c r="L347" s="2487">
        <v>13</v>
      </c>
      <c r="M347" s="348">
        <v>16</v>
      </c>
      <c r="N347" s="2487">
        <v>120</v>
      </c>
      <c r="O347" s="2487">
        <v>180</v>
      </c>
      <c r="P347" s="2487">
        <v>240</v>
      </c>
      <c r="Q347" s="348">
        <v>320</v>
      </c>
      <c r="R347" s="2487">
        <v>15</v>
      </c>
      <c r="S347" s="2487">
        <v>20</v>
      </c>
      <c r="T347" s="2487">
        <v>25</v>
      </c>
      <c r="U347" s="348">
        <v>35</v>
      </c>
      <c r="V347" s="2485" t="s">
        <v>4318</v>
      </c>
      <c r="W347" s="2485" t="s">
        <v>3404</v>
      </c>
      <c r="X347" s="2485" t="s">
        <v>4319</v>
      </c>
      <c r="Y347" s="2485" t="s">
        <v>3405</v>
      </c>
      <c r="Z347" s="2485" t="s">
        <v>12969</v>
      </c>
      <c r="AA347" s="347"/>
    </row>
    <row r="348" spans="1:27" ht="12.75" customHeight="1">
      <c r="A348" s="8243"/>
      <c r="B348" s="242" t="str">
        <f t="shared" si="5"/>
        <v>Ilusión76</v>
      </c>
      <c r="D348" s="257" t="s">
        <v>290</v>
      </c>
      <c r="E348" s="2487" t="s">
        <v>1565</v>
      </c>
      <c r="F348" s="2487">
        <v>76</v>
      </c>
      <c r="G348" s="2489" t="s">
        <v>2422</v>
      </c>
      <c r="H348" s="2489" t="s">
        <v>3789</v>
      </c>
      <c r="I348" s="351" t="s">
        <v>1165</v>
      </c>
      <c r="J348" s="2487">
        <v>8</v>
      </c>
      <c r="K348" s="2487">
        <v>10</v>
      </c>
      <c r="L348" s="2487">
        <v>13</v>
      </c>
      <c r="M348" s="348">
        <v>16</v>
      </c>
      <c r="N348" s="2487">
        <v>140</v>
      </c>
      <c r="O348" s="2487">
        <v>200</v>
      </c>
      <c r="P348" s="2487">
        <v>260</v>
      </c>
      <c r="Q348" s="348">
        <v>320</v>
      </c>
      <c r="R348" s="2487">
        <v>15</v>
      </c>
      <c r="S348" s="2487">
        <v>20</v>
      </c>
      <c r="T348" s="2487">
        <v>30</v>
      </c>
      <c r="U348" s="348">
        <v>35</v>
      </c>
      <c r="V348" s="2485" t="s">
        <v>4318</v>
      </c>
      <c r="W348" s="2485" t="s">
        <v>3404</v>
      </c>
      <c r="X348" s="2485" t="s">
        <v>4319</v>
      </c>
      <c r="Y348" s="2485" t="s">
        <v>3405</v>
      </c>
      <c r="Z348" s="2485" t="s">
        <v>6627</v>
      </c>
      <c r="AA348" s="347"/>
    </row>
    <row r="349" spans="1:27" ht="12.75" customHeight="1">
      <c r="A349" s="8243"/>
      <c r="B349" s="242" t="str">
        <f t="shared" si="5"/>
        <v>Ilusión80</v>
      </c>
      <c r="D349" s="257" t="s">
        <v>291</v>
      </c>
      <c r="E349" s="2487" t="s">
        <v>1565</v>
      </c>
      <c r="F349" s="2487">
        <v>80</v>
      </c>
      <c r="G349" s="2489" t="s">
        <v>2422</v>
      </c>
      <c r="H349" s="2489" t="s">
        <v>3048</v>
      </c>
      <c r="I349" s="351" t="s">
        <v>1165</v>
      </c>
      <c r="J349" s="2487">
        <v>9</v>
      </c>
      <c r="K349" s="2487">
        <v>12</v>
      </c>
      <c r="L349" s="2487">
        <v>15</v>
      </c>
      <c r="M349" s="348">
        <v>18</v>
      </c>
      <c r="N349" s="2487">
        <v>250</v>
      </c>
      <c r="O349" s="2487">
        <v>350</v>
      </c>
      <c r="P349" s="2487">
        <v>500</v>
      </c>
      <c r="Q349" s="348">
        <v>700</v>
      </c>
      <c r="R349" s="2487">
        <v>25</v>
      </c>
      <c r="S349" s="2487">
        <v>35</v>
      </c>
      <c r="T349" s="2487">
        <v>50</v>
      </c>
      <c r="U349" s="348">
        <v>70</v>
      </c>
      <c r="V349" s="2485" t="s">
        <v>4320</v>
      </c>
      <c r="W349" s="2485" t="s">
        <v>4321</v>
      </c>
      <c r="X349" s="2485" t="s">
        <v>4322</v>
      </c>
      <c r="Y349" s="2485" t="s">
        <v>4323</v>
      </c>
      <c r="Z349" s="2485" t="s">
        <v>12970</v>
      </c>
      <c r="AA349" s="347"/>
    </row>
    <row r="350" spans="1:27" ht="12.75" customHeight="1">
      <c r="A350" s="8243"/>
      <c r="B350" s="242" t="str">
        <f t="shared" si="5"/>
        <v>Ilusión82</v>
      </c>
      <c r="D350" s="257" t="s">
        <v>292</v>
      </c>
      <c r="E350" s="2487" t="s">
        <v>1565</v>
      </c>
      <c r="F350" s="2487">
        <v>82</v>
      </c>
      <c r="G350" s="2489" t="s">
        <v>1241</v>
      </c>
      <c r="H350" s="2489" t="s">
        <v>1095</v>
      </c>
      <c r="I350" s="351" t="s">
        <v>1165</v>
      </c>
      <c r="J350" s="2487">
        <v>9</v>
      </c>
      <c r="K350" s="2487">
        <v>12</v>
      </c>
      <c r="L350" s="2487">
        <v>15</v>
      </c>
      <c r="M350" s="348">
        <v>18</v>
      </c>
      <c r="N350" s="2487">
        <v>250</v>
      </c>
      <c r="O350" s="2487">
        <v>360</v>
      </c>
      <c r="P350" s="2487">
        <v>450</v>
      </c>
      <c r="Q350" s="348">
        <v>600</v>
      </c>
      <c r="R350" s="2487" t="s">
        <v>1241</v>
      </c>
      <c r="S350" s="2487" t="s">
        <v>1241</v>
      </c>
      <c r="T350" s="2487" t="s">
        <v>1241</v>
      </c>
      <c r="U350" s="348" t="s">
        <v>1241</v>
      </c>
      <c r="V350" s="2485" t="s">
        <v>4324</v>
      </c>
      <c r="W350" s="2485" t="s">
        <v>4325</v>
      </c>
      <c r="X350" s="2485" t="s">
        <v>4326</v>
      </c>
      <c r="Y350" s="2485" t="s">
        <v>4327</v>
      </c>
      <c r="Z350" s="2485" t="s">
        <v>4328</v>
      </c>
      <c r="AA350" s="347"/>
    </row>
    <row r="351" spans="1:27" ht="12.75" customHeight="1">
      <c r="A351" s="8243"/>
      <c r="B351" s="242" t="str">
        <f t="shared" si="5"/>
        <v>Ilusión86</v>
      </c>
      <c r="D351" s="257" t="s">
        <v>293</v>
      </c>
      <c r="E351" s="2487" t="s">
        <v>1565</v>
      </c>
      <c r="F351" s="2487">
        <v>86</v>
      </c>
      <c r="G351" s="2489" t="s">
        <v>1241</v>
      </c>
      <c r="H351" s="2489" t="s">
        <v>3789</v>
      </c>
      <c r="I351" s="351" t="s">
        <v>1165</v>
      </c>
      <c r="J351" s="2487">
        <v>10</v>
      </c>
      <c r="K351" s="2487">
        <v>12</v>
      </c>
      <c r="L351" s="2487">
        <v>14</v>
      </c>
      <c r="M351" s="348">
        <v>16</v>
      </c>
      <c r="N351" s="2487">
        <v>200</v>
      </c>
      <c r="O351" s="2487">
        <v>250</v>
      </c>
      <c r="P351" s="2487">
        <v>300</v>
      </c>
      <c r="Q351" s="348">
        <v>350</v>
      </c>
      <c r="R351" s="2487">
        <v>20</v>
      </c>
      <c r="S351" s="2487">
        <v>25</v>
      </c>
      <c r="T351" s="2487">
        <v>30</v>
      </c>
      <c r="U351" s="348">
        <v>35</v>
      </c>
      <c r="V351" s="2485" t="s">
        <v>4294</v>
      </c>
      <c r="W351" s="2485" t="s">
        <v>4329</v>
      </c>
      <c r="X351" s="2485" t="s">
        <v>4330</v>
      </c>
      <c r="Y351" s="2485" t="s">
        <v>4331</v>
      </c>
      <c r="Z351" s="2485" t="s">
        <v>12971</v>
      </c>
      <c r="AA351" s="347"/>
    </row>
    <row r="352" spans="1:27" ht="12.75" customHeight="1">
      <c r="A352" s="8243"/>
      <c r="B352" s="242" t="str">
        <f t="shared" si="5"/>
        <v>Ilusión90</v>
      </c>
      <c r="D352" s="257" t="s">
        <v>294</v>
      </c>
      <c r="E352" s="2487" t="s">
        <v>1565</v>
      </c>
      <c r="F352" s="2487">
        <v>90</v>
      </c>
      <c r="G352" s="2489" t="s">
        <v>2422</v>
      </c>
      <c r="H352" s="2489" t="s">
        <v>3048</v>
      </c>
      <c r="I352" s="351" t="s">
        <v>1165</v>
      </c>
      <c r="J352" s="2487">
        <v>11</v>
      </c>
      <c r="K352" s="2487">
        <v>13</v>
      </c>
      <c r="L352" s="2487">
        <v>15</v>
      </c>
      <c r="M352" s="348">
        <v>17</v>
      </c>
      <c r="N352" s="2487">
        <v>250</v>
      </c>
      <c r="O352" s="2487">
        <v>300</v>
      </c>
      <c r="P352" s="2487">
        <v>400</v>
      </c>
      <c r="Q352" s="348">
        <v>500</v>
      </c>
      <c r="R352" s="2487">
        <v>25</v>
      </c>
      <c r="S352" s="2487">
        <v>30</v>
      </c>
      <c r="T352" s="2487">
        <v>40</v>
      </c>
      <c r="U352" s="348">
        <v>50</v>
      </c>
      <c r="V352" s="2485" t="s">
        <v>3390</v>
      </c>
      <c r="W352" s="2485" t="s">
        <v>3391</v>
      </c>
      <c r="X352" s="2485" t="s">
        <v>3295</v>
      </c>
      <c r="Y352" s="2485" t="s">
        <v>3153</v>
      </c>
      <c r="Z352" s="2485" t="s">
        <v>12972</v>
      </c>
      <c r="AA352" s="347"/>
    </row>
    <row r="353" spans="1:27" ht="12.75" customHeight="1">
      <c r="A353" s="8243"/>
      <c r="B353" s="242" t="str">
        <f t="shared" si="5"/>
        <v>Ilusión92</v>
      </c>
      <c r="D353" s="257" t="s">
        <v>295</v>
      </c>
      <c r="E353" s="2487" t="s">
        <v>1565</v>
      </c>
      <c r="F353" s="2487">
        <v>92</v>
      </c>
      <c r="G353" s="2489" t="s">
        <v>2422</v>
      </c>
      <c r="H353" s="2489" t="s">
        <v>1095</v>
      </c>
      <c r="I353" s="351" t="s">
        <v>1165</v>
      </c>
      <c r="J353" s="2487">
        <v>13</v>
      </c>
      <c r="K353" s="2487">
        <v>15</v>
      </c>
      <c r="L353" s="2487">
        <v>17</v>
      </c>
      <c r="M353" s="348">
        <v>19</v>
      </c>
      <c r="N353" s="2487">
        <v>500</v>
      </c>
      <c r="O353" s="2487">
        <v>800</v>
      </c>
      <c r="P353" s="2487">
        <v>1200</v>
      </c>
      <c r="Q353" s="348">
        <v>1500</v>
      </c>
      <c r="R353" s="2487">
        <v>100</v>
      </c>
      <c r="S353" s="2487">
        <v>160</v>
      </c>
      <c r="T353" s="2487">
        <v>240</v>
      </c>
      <c r="U353" s="348">
        <v>300</v>
      </c>
      <c r="V353" s="2485" t="s">
        <v>4332</v>
      </c>
      <c r="W353" s="2485" t="s">
        <v>3188</v>
      </c>
      <c r="X353" s="2485" t="s">
        <v>4333</v>
      </c>
      <c r="Y353" s="2485" t="s">
        <v>4334</v>
      </c>
      <c r="Z353" s="2485" t="s">
        <v>4335</v>
      </c>
      <c r="AA353" s="347"/>
    </row>
    <row r="354" spans="1:27" ht="12.75" customHeight="1">
      <c r="A354" s="8243"/>
      <c r="B354" s="242" t="str">
        <f t="shared" si="5"/>
        <v>Ilusión96</v>
      </c>
      <c r="D354" s="257" t="s">
        <v>296</v>
      </c>
      <c r="E354" s="2487" t="s">
        <v>1565</v>
      </c>
      <c r="F354" s="2487">
        <v>96</v>
      </c>
      <c r="G354" s="2489" t="s">
        <v>1241</v>
      </c>
      <c r="H354" s="2489" t="s">
        <v>3048</v>
      </c>
      <c r="I354" s="351" t="s">
        <v>1165</v>
      </c>
      <c r="J354" s="2487">
        <v>13</v>
      </c>
      <c r="K354" s="2487">
        <v>15</v>
      </c>
      <c r="L354" s="2487">
        <v>17</v>
      </c>
      <c r="M354" s="348">
        <v>19</v>
      </c>
      <c r="N354" s="2487">
        <v>500</v>
      </c>
      <c r="O354" s="2487">
        <v>900</v>
      </c>
      <c r="P354" s="2487">
        <v>1400</v>
      </c>
      <c r="Q354" s="348">
        <v>2000</v>
      </c>
      <c r="R354" s="2487">
        <v>50</v>
      </c>
      <c r="S354" s="2487">
        <v>90</v>
      </c>
      <c r="T354" s="2487">
        <v>140</v>
      </c>
      <c r="U354" s="348">
        <v>200</v>
      </c>
      <c r="V354" s="2485" t="s">
        <v>4336</v>
      </c>
      <c r="W354" s="2485" t="s">
        <v>4337</v>
      </c>
      <c r="X354" s="2485" t="s">
        <v>4338</v>
      </c>
      <c r="Y354" s="2485" t="s">
        <v>4339</v>
      </c>
      <c r="Z354" s="2485" t="s">
        <v>6628</v>
      </c>
      <c r="AA354" s="347"/>
    </row>
    <row r="355" spans="1:27" ht="12.75" customHeight="1">
      <c r="A355" s="8243"/>
      <c r="B355" s="242" t="str">
        <f t="shared" si="5"/>
        <v>Ilusión100</v>
      </c>
      <c r="D355" s="257" t="s">
        <v>297</v>
      </c>
      <c r="E355" s="2487" t="s">
        <v>1565</v>
      </c>
      <c r="F355" s="2487">
        <v>100</v>
      </c>
      <c r="G355" s="2489" t="s">
        <v>1241</v>
      </c>
      <c r="H355" s="2489" t="s">
        <v>3048</v>
      </c>
      <c r="I355" s="351" t="s">
        <v>1165</v>
      </c>
      <c r="J355" s="2487">
        <v>14</v>
      </c>
      <c r="K355" s="2487">
        <v>16</v>
      </c>
      <c r="L355" s="2487">
        <v>18</v>
      </c>
      <c r="M355" s="348">
        <v>19</v>
      </c>
      <c r="N355" s="2487">
        <v>600</v>
      </c>
      <c r="O355" s="2487">
        <v>1000</v>
      </c>
      <c r="P355" s="2487">
        <v>2000</v>
      </c>
      <c r="Q355" s="348">
        <v>3000</v>
      </c>
      <c r="R355" s="2487" t="s">
        <v>1241</v>
      </c>
      <c r="S355" s="2487" t="s">
        <v>1241</v>
      </c>
      <c r="T355" s="2487" t="s">
        <v>1241</v>
      </c>
      <c r="U355" s="348" t="s">
        <v>1241</v>
      </c>
      <c r="V355" s="2485" t="s">
        <v>3391</v>
      </c>
      <c r="W355" s="2485" t="s">
        <v>4340</v>
      </c>
      <c r="X355" s="2485" t="s">
        <v>3560</v>
      </c>
      <c r="Y355" s="2485" t="s">
        <v>3297</v>
      </c>
      <c r="Z355" s="2485" t="s">
        <v>4341</v>
      </c>
      <c r="AA355" s="347"/>
    </row>
    <row r="356" spans="1:27" ht="12.75" customHeight="1">
      <c r="A356" s="8243"/>
      <c r="B356" s="242" t="str">
        <f t="shared" si="5"/>
        <v/>
      </c>
      <c r="D356" s="257" t="s">
        <v>298</v>
      </c>
      <c r="E356" s="2487"/>
      <c r="F356" s="2487"/>
      <c r="G356" s="2489"/>
      <c r="H356" s="2489"/>
      <c r="I356" s="351"/>
      <c r="J356" s="2487"/>
      <c r="K356" s="2487"/>
      <c r="L356" s="2487"/>
      <c r="M356" s="348"/>
      <c r="N356" s="2487"/>
      <c r="O356" s="2487"/>
      <c r="P356" s="2487"/>
      <c r="Q356" s="348"/>
      <c r="R356" s="2487"/>
      <c r="S356" s="2487"/>
      <c r="T356" s="2487"/>
      <c r="U356" s="348"/>
      <c r="V356" s="2485"/>
      <c r="W356" s="2485"/>
      <c r="X356" s="2485"/>
      <c r="Y356" s="2485"/>
      <c r="Z356" s="2485"/>
      <c r="AA356" s="347"/>
    </row>
    <row r="357" spans="1:27" ht="12.75" customHeight="1">
      <c r="A357" s="8243"/>
      <c r="B357" s="242" t="str">
        <f t="shared" si="5"/>
        <v>Nigromancia2</v>
      </c>
      <c r="D357" s="257" t="s">
        <v>299</v>
      </c>
      <c r="E357" s="2487" t="s">
        <v>1567</v>
      </c>
      <c r="F357" s="2487">
        <v>2</v>
      </c>
      <c r="G357" s="2489" t="s">
        <v>1241</v>
      </c>
      <c r="H357" s="2489" t="s">
        <v>1097</v>
      </c>
      <c r="I357" s="351" t="s">
        <v>1165</v>
      </c>
      <c r="J357" s="2487">
        <v>6</v>
      </c>
      <c r="K357" s="2487">
        <v>8</v>
      </c>
      <c r="L357" s="2487">
        <v>10</v>
      </c>
      <c r="M357" s="348">
        <v>12</v>
      </c>
      <c r="N357" s="2487">
        <v>30</v>
      </c>
      <c r="O357" s="2487">
        <v>60</v>
      </c>
      <c r="P357" s="2487">
        <v>90</v>
      </c>
      <c r="Q357" s="348">
        <v>120</v>
      </c>
      <c r="R357" s="2487">
        <v>5</v>
      </c>
      <c r="S357" s="2487">
        <v>10</v>
      </c>
      <c r="T357" s="2487">
        <v>10</v>
      </c>
      <c r="U357" s="348">
        <v>15</v>
      </c>
      <c r="V357" s="2485" t="s">
        <v>4342</v>
      </c>
      <c r="W357" s="2485" t="s">
        <v>4343</v>
      </c>
      <c r="X357" s="2485" t="s">
        <v>4344</v>
      </c>
      <c r="Y357" s="2485" t="s">
        <v>4345</v>
      </c>
      <c r="Z357" s="2485" t="s">
        <v>4346</v>
      </c>
      <c r="AA357" s="347"/>
    </row>
    <row r="358" spans="1:27" ht="12.75" customHeight="1">
      <c r="A358" s="8243"/>
      <c r="B358" s="242" t="str">
        <f t="shared" si="5"/>
        <v>Nigromancia6</v>
      </c>
      <c r="D358" s="257" t="s">
        <v>300</v>
      </c>
      <c r="E358" s="2487" t="s">
        <v>1567</v>
      </c>
      <c r="F358" s="2487">
        <v>6</v>
      </c>
      <c r="G358" s="2489" t="s">
        <v>1241</v>
      </c>
      <c r="H358" s="2489" t="s">
        <v>1095</v>
      </c>
      <c r="I358" s="351" t="s">
        <v>1165</v>
      </c>
      <c r="J358" s="2487">
        <v>6</v>
      </c>
      <c r="K358" s="2487">
        <v>8</v>
      </c>
      <c r="L358" s="2487">
        <v>10</v>
      </c>
      <c r="M358" s="348">
        <v>12</v>
      </c>
      <c r="N358" s="2487">
        <v>30</v>
      </c>
      <c r="O358" s="2487">
        <v>60</v>
      </c>
      <c r="P358" s="2487">
        <v>90</v>
      </c>
      <c r="Q358" s="348">
        <v>120</v>
      </c>
      <c r="R358" s="2487">
        <v>5</v>
      </c>
      <c r="S358" s="2487">
        <v>10</v>
      </c>
      <c r="T358" s="2487">
        <v>10</v>
      </c>
      <c r="U358" s="348">
        <v>15</v>
      </c>
      <c r="V358" s="2485" t="s">
        <v>4347</v>
      </c>
      <c r="W358" s="2485" t="s">
        <v>4348</v>
      </c>
      <c r="X358" s="2485" t="s">
        <v>4349</v>
      </c>
      <c r="Y358" s="2485" t="s">
        <v>4350</v>
      </c>
      <c r="Z358" s="2485" t="s">
        <v>4351</v>
      </c>
      <c r="AA358" s="347"/>
    </row>
    <row r="359" spans="1:27" ht="12.75" customHeight="1">
      <c r="A359" s="8243"/>
      <c r="B359" s="242" t="str">
        <f t="shared" si="5"/>
        <v>Nigromancia8</v>
      </c>
      <c r="D359" s="257" t="s">
        <v>301</v>
      </c>
      <c r="E359" s="2487" t="s">
        <v>1567</v>
      </c>
      <c r="F359" s="2487">
        <v>8</v>
      </c>
      <c r="G359" s="2489" t="s">
        <v>1241</v>
      </c>
      <c r="H359" s="2489" t="s">
        <v>1095</v>
      </c>
      <c r="I359" s="351" t="s">
        <v>1165</v>
      </c>
      <c r="J359" s="2487">
        <v>6</v>
      </c>
      <c r="K359" s="2487">
        <v>8</v>
      </c>
      <c r="L359" s="2487">
        <v>11</v>
      </c>
      <c r="M359" s="348">
        <v>13</v>
      </c>
      <c r="N359" s="2487">
        <v>40</v>
      </c>
      <c r="O359" s="2487">
        <v>120</v>
      </c>
      <c r="P359" s="2487">
        <v>200</v>
      </c>
      <c r="Q359" s="348">
        <v>300</v>
      </c>
      <c r="R359" s="2487">
        <v>5</v>
      </c>
      <c r="S359" s="2487">
        <v>10</v>
      </c>
      <c r="T359" s="2487">
        <v>10</v>
      </c>
      <c r="U359" s="348">
        <v>15</v>
      </c>
      <c r="V359" s="2485" t="s">
        <v>4021</v>
      </c>
      <c r="W359" s="2485" t="s">
        <v>4022</v>
      </c>
      <c r="X359" s="2485" t="s">
        <v>3223</v>
      </c>
      <c r="Y359" s="2485" t="s">
        <v>3726</v>
      </c>
      <c r="Z359" s="2485" t="s">
        <v>4352</v>
      </c>
      <c r="AA359" s="347"/>
    </row>
    <row r="360" spans="1:27" ht="12.75" customHeight="1">
      <c r="A360" s="8243"/>
      <c r="B360" s="242" t="str">
        <f t="shared" si="5"/>
        <v>Nigromancia10</v>
      </c>
      <c r="D360" s="257" t="s">
        <v>302</v>
      </c>
      <c r="E360" s="2487" t="s">
        <v>1567</v>
      </c>
      <c r="F360" s="2487">
        <v>10</v>
      </c>
      <c r="G360" s="2489" t="s">
        <v>1241</v>
      </c>
      <c r="H360" s="2489" t="s">
        <v>1424</v>
      </c>
      <c r="I360" s="351" t="s">
        <v>1166</v>
      </c>
      <c r="J360" s="2487">
        <v>6</v>
      </c>
      <c r="K360" s="2487">
        <v>9</v>
      </c>
      <c r="L360" s="2487">
        <v>11</v>
      </c>
      <c r="M360" s="348">
        <v>13</v>
      </c>
      <c r="N360" s="2487">
        <v>40</v>
      </c>
      <c r="O360" s="2487">
        <v>60</v>
      </c>
      <c r="P360" s="2487">
        <v>80</v>
      </c>
      <c r="Q360" s="348">
        <v>100</v>
      </c>
      <c r="R360" s="2487">
        <v>5</v>
      </c>
      <c r="S360" s="2487">
        <v>5</v>
      </c>
      <c r="T360" s="2487">
        <v>10</v>
      </c>
      <c r="U360" s="348">
        <v>15</v>
      </c>
      <c r="V360" s="2485" t="s">
        <v>4353</v>
      </c>
      <c r="W360" s="2485" t="s">
        <v>4354</v>
      </c>
      <c r="X360" s="2485" t="s">
        <v>4355</v>
      </c>
      <c r="Y360" s="2485" t="s">
        <v>4356</v>
      </c>
      <c r="Z360" s="2485" t="s">
        <v>12973</v>
      </c>
      <c r="AA360" s="347"/>
    </row>
    <row r="361" spans="1:27" ht="12.75" customHeight="1">
      <c r="A361" s="8243"/>
      <c r="B361" s="242" t="str">
        <f t="shared" si="5"/>
        <v>Nigromancia12</v>
      </c>
      <c r="D361" s="257" t="s">
        <v>303</v>
      </c>
      <c r="E361" s="2487" t="s">
        <v>1567</v>
      </c>
      <c r="F361" s="2487">
        <v>12</v>
      </c>
      <c r="G361" s="2489" t="s">
        <v>1241</v>
      </c>
      <c r="H361" s="2489" t="s">
        <v>1094</v>
      </c>
      <c r="I361" s="2340" t="s">
        <v>1165</v>
      </c>
      <c r="J361" s="2487">
        <v>6</v>
      </c>
      <c r="K361" s="2487">
        <v>9</v>
      </c>
      <c r="L361" s="2487">
        <v>12</v>
      </c>
      <c r="M361" s="348">
        <v>14</v>
      </c>
      <c r="N361" s="2487">
        <v>50</v>
      </c>
      <c r="O361" s="2487">
        <v>140</v>
      </c>
      <c r="P361" s="2487">
        <v>230</v>
      </c>
      <c r="Q361" s="348">
        <v>320</v>
      </c>
      <c r="R361" s="2487"/>
      <c r="S361" s="2487"/>
      <c r="T361" s="2487"/>
      <c r="U361" s="348"/>
      <c r="V361" s="2485" t="s">
        <v>3425</v>
      </c>
      <c r="W361" s="2485" t="s">
        <v>3391</v>
      </c>
      <c r="X361" s="2485" t="s">
        <v>3153</v>
      </c>
      <c r="Y361" s="2485" t="s">
        <v>3297</v>
      </c>
      <c r="Z361" s="2485" t="s">
        <v>4357</v>
      </c>
      <c r="AA361" s="347"/>
    </row>
    <row r="362" spans="1:27" ht="12.75" customHeight="1">
      <c r="A362" s="8243"/>
      <c r="B362" s="242" t="str">
        <f t="shared" si="5"/>
        <v>Nigromancia16</v>
      </c>
      <c r="D362" s="257" t="s">
        <v>9462</v>
      </c>
      <c r="E362" s="2487" t="s">
        <v>1567</v>
      </c>
      <c r="F362" s="2487">
        <v>16</v>
      </c>
      <c r="G362" s="2489" t="s">
        <v>1241</v>
      </c>
      <c r="H362" s="2489" t="s">
        <v>1097</v>
      </c>
      <c r="I362" s="351" t="s">
        <v>1165</v>
      </c>
      <c r="J362" s="2487">
        <v>6</v>
      </c>
      <c r="K362" s="2487">
        <v>9</v>
      </c>
      <c r="L362" s="2487">
        <v>11</v>
      </c>
      <c r="M362" s="348">
        <v>13</v>
      </c>
      <c r="N362" s="2487">
        <v>50</v>
      </c>
      <c r="O362" s="2487">
        <v>80</v>
      </c>
      <c r="P362" s="2487">
        <v>100</v>
      </c>
      <c r="Q362" s="348">
        <v>120</v>
      </c>
      <c r="R362" s="2487">
        <v>5</v>
      </c>
      <c r="S362" s="2487">
        <v>10</v>
      </c>
      <c r="T362" s="2487">
        <v>10</v>
      </c>
      <c r="U362" s="348">
        <v>15</v>
      </c>
      <c r="V362" s="2485" t="s">
        <v>4209</v>
      </c>
      <c r="W362" s="2485" t="s">
        <v>3567</v>
      </c>
      <c r="X362" s="2485" t="s">
        <v>4153</v>
      </c>
      <c r="Y362" s="2485" t="s">
        <v>4358</v>
      </c>
      <c r="Z362" s="2485" t="s">
        <v>4359</v>
      </c>
      <c r="AA362" s="347"/>
    </row>
    <row r="363" spans="1:27" ht="12.75" customHeight="1">
      <c r="A363" s="8243"/>
      <c r="B363" s="242" t="str">
        <f t="shared" si="5"/>
        <v>Nigromancia18</v>
      </c>
      <c r="D363" s="257" t="s">
        <v>304</v>
      </c>
      <c r="E363" s="2487" t="s">
        <v>1567</v>
      </c>
      <c r="F363" s="2487">
        <v>18</v>
      </c>
      <c r="G363" s="2489" t="s">
        <v>1241</v>
      </c>
      <c r="H363" s="2489" t="s">
        <v>3834</v>
      </c>
      <c r="I363" s="351" t="s">
        <v>1165</v>
      </c>
      <c r="J363" s="2487">
        <v>6</v>
      </c>
      <c r="K363" s="2487">
        <v>9</v>
      </c>
      <c r="L363" s="2487">
        <v>12</v>
      </c>
      <c r="M363" s="348">
        <v>15</v>
      </c>
      <c r="N363" s="2487">
        <v>60</v>
      </c>
      <c r="O363" s="2487">
        <v>90</v>
      </c>
      <c r="P363" s="2487">
        <v>120</v>
      </c>
      <c r="Q363" s="348">
        <v>150</v>
      </c>
      <c r="R363" s="2487">
        <v>5</v>
      </c>
      <c r="S363" s="2487">
        <v>5</v>
      </c>
      <c r="T363" s="2487">
        <v>5</v>
      </c>
      <c r="U363" s="348">
        <v>5</v>
      </c>
      <c r="V363" s="2485" t="s">
        <v>3417</v>
      </c>
      <c r="W363" s="2485" t="s">
        <v>3418</v>
      </c>
      <c r="X363" s="2485" t="s">
        <v>3419</v>
      </c>
      <c r="Y363" s="2485" t="s">
        <v>4360</v>
      </c>
      <c r="Z363" s="2485" t="s">
        <v>4361</v>
      </c>
      <c r="AA363" s="347"/>
    </row>
    <row r="364" spans="1:27" ht="12.75" customHeight="1">
      <c r="A364" s="8243"/>
      <c r="B364" s="242" t="str">
        <f t="shared" si="5"/>
        <v>Nigromancia20</v>
      </c>
      <c r="D364" s="257" t="s">
        <v>305</v>
      </c>
      <c r="E364" s="2487" t="s">
        <v>1567</v>
      </c>
      <c r="F364" s="2487">
        <v>20</v>
      </c>
      <c r="G364" s="2489" t="s">
        <v>1241</v>
      </c>
      <c r="H364" s="2489" t="s">
        <v>1094</v>
      </c>
      <c r="I364" s="351" t="s">
        <v>1165</v>
      </c>
      <c r="J364" s="2487">
        <v>7</v>
      </c>
      <c r="K364" s="2487">
        <v>10</v>
      </c>
      <c r="L364" s="2487">
        <v>13</v>
      </c>
      <c r="M364" s="348">
        <v>15</v>
      </c>
      <c r="N364" s="2487">
        <v>60</v>
      </c>
      <c r="O364" s="2487">
        <v>90</v>
      </c>
      <c r="P364" s="2487">
        <v>120</v>
      </c>
      <c r="Q364" s="348">
        <v>150</v>
      </c>
      <c r="R364" s="2487">
        <v>10</v>
      </c>
      <c r="S364" s="2487">
        <v>10</v>
      </c>
      <c r="T364" s="2487">
        <v>15</v>
      </c>
      <c r="U364" s="348">
        <v>15</v>
      </c>
      <c r="V364" s="2485" t="s">
        <v>4362</v>
      </c>
      <c r="W364" s="2485" t="s">
        <v>3570</v>
      </c>
      <c r="X364" s="2485" t="s">
        <v>4363</v>
      </c>
      <c r="Y364" s="2485" t="s">
        <v>4364</v>
      </c>
      <c r="Z364" s="2485" t="s">
        <v>4365</v>
      </c>
      <c r="AA364" s="347"/>
    </row>
    <row r="365" spans="1:27" ht="12.75" customHeight="1">
      <c r="A365" s="8243"/>
      <c r="B365" s="242" t="str">
        <f t="shared" si="5"/>
        <v>Nigromancia22</v>
      </c>
      <c r="D365" s="257" t="s">
        <v>306</v>
      </c>
      <c r="E365" s="2487" t="s">
        <v>1567</v>
      </c>
      <c r="F365" s="2487">
        <v>22</v>
      </c>
      <c r="G365" s="2489" t="s">
        <v>1241</v>
      </c>
      <c r="H365" s="2489" t="s">
        <v>1095</v>
      </c>
      <c r="I365" s="351" t="s">
        <v>1165</v>
      </c>
      <c r="J365" s="2487">
        <v>8</v>
      </c>
      <c r="K365" s="2487">
        <v>10</v>
      </c>
      <c r="L365" s="2487">
        <v>12</v>
      </c>
      <c r="M365" s="348">
        <v>14</v>
      </c>
      <c r="N365" s="2487">
        <v>80</v>
      </c>
      <c r="O365" s="2487">
        <v>100</v>
      </c>
      <c r="P365" s="2487">
        <v>120</v>
      </c>
      <c r="Q365" s="348">
        <v>140</v>
      </c>
      <c r="R365" s="2487"/>
      <c r="S365" s="2487"/>
      <c r="T365" s="2487"/>
      <c r="U365" s="348"/>
      <c r="V365" s="2485" t="s">
        <v>4366</v>
      </c>
      <c r="W365" s="2485" t="s">
        <v>4367</v>
      </c>
      <c r="X365" s="2485" t="s">
        <v>4368</v>
      </c>
      <c r="Y365" s="2485" t="s">
        <v>4369</v>
      </c>
      <c r="Z365" s="2485" t="s">
        <v>4370</v>
      </c>
      <c r="AA365" s="347"/>
    </row>
    <row r="366" spans="1:27" ht="12.75" customHeight="1">
      <c r="A366" s="8243"/>
      <c r="B366" s="242" t="str">
        <f t="shared" si="5"/>
        <v>Nigromancia26</v>
      </c>
      <c r="D366" s="257" t="s">
        <v>307</v>
      </c>
      <c r="E366" s="2487" t="s">
        <v>1567</v>
      </c>
      <c r="F366" s="2487">
        <v>26</v>
      </c>
      <c r="G366" s="2489" t="s">
        <v>1241</v>
      </c>
      <c r="H366" s="2489" t="s">
        <v>1093</v>
      </c>
      <c r="I366" s="351" t="s">
        <v>1165</v>
      </c>
      <c r="J366" s="2487">
        <v>6</v>
      </c>
      <c r="K366" s="2487">
        <v>9</v>
      </c>
      <c r="L366" s="2487">
        <v>12</v>
      </c>
      <c r="M366" s="348">
        <v>15</v>
      </c>
      <c r="N366" s="2487">
        <v>60</v>
      </c>
      <c r="O366" s="2487">
        <v>90</v>
      </c>
      <c r="P366" s="2487">
        <v>120</v>
      </c>
      <c r="Q366" s="348">
        <v>150</v>
      </c>
      <c r="R366" s="2487"/>
      <c r="S366" s="2487"/>
      <c r="T366" s="2487"/>
      <c r="U366" s="348"/>
      <c r="V366" s="2485" t="s">
        <v>4371</v>
      </c>
      <c r="W366" s="2485" t="s">
        <v>3531</v>
      </c>
      <c r="X366" s="2485" t="s">
        <v>4372</v>
      </c>
      <c r="Y366" s="2485" t="s">
        <v>4373</v>
      </c>
      <c r="Z366" s="2485" t="s">
        <v>4374</v>
      </c>
      <c r="AA366" s="347"/>
    </row>
    <row r="367" spans="1:27" ht="12.75" customHeight="1">
      <c r="A367" s="8243"/>
      <c r="B367" s="242" t="str">
        <f t="shared" si="5"/>
        <v>Nigromancia28</v>
      </c>
      <c r="D367" s="257" t="s">
        <v>308</v>
      </c>
      <c r="E367" s="2487" t="s">
        <v>1567</v>
      </c>
      <c r="F367" s="2487">
        <v>28</v>
      </c>
      <c r="G367" s="2489" t="s">
        <v>2422</v>
      </c>
      <c r="H367" s="2489" t="s">
        <v>1095</v>
      </c>
      <c r="I367" s="351" t="s">
        <v>1165</v>
      </c>
      <c r="J367" s="2487">
        <v>7</v>
      </c>
      <c r="K367" s="2487">
        <v>10</v>
      </c>
      <c r="L367" s="2487">
        <v>13</v>
      </c>
      <c r="M367" s="348">
        <v>15</v>
      </c>
      <c r="N367" s="2487">
        <v>80</v>
      </c>
      <c r="O367" s="2487">
        <v>180</v>
      </c>
      <c r="P367" s="2487">
        <v>300</v>
      </c>
      <c r="Q367" s="348">
        <v>450</v>
      </c>
      <c r="R367" s="2487">
        <v>10</v>
      </c>
      <c r="S367" s="2487">
        <v>20</v>
      </c>
      <c r="T367" s="2487">
        <v>25</v>
      </c>
      <c r="U367" s="348">
        <v>30</v>
      </c>
      <c r="V367" s="2485" t="s">
        <v>4375</v>
      </c>
      <c r="W367" s="2485" t="s">
        <v>4376</v>
      </c>
      <c r="X367" s="2485" t="s">
        <v>4377</v>
      </c>
      <c r="Y367" s="2485" t="s">
        <v>4378</v>
      </c>
      <c r="Z367" s="2485" t="s">
        <v>4379</v>
      </c>
      <c r="AA367" s="347"/>
    </row>
    <row r="368" spans="1:27" ht="12.75" customHeight="1">
      <c r="A368" s="8243"/>
      <c r="B368" s="242" t="str">
        <f t="shared" si="5"/>
        <v>Nigromancia30</v>
      </c>
      <c r="D368" s="257" t="s">
        <v>309</v>
      </c>
      <c r="E368" s="2487" t="s">
        <v>1567</v>
      </c>
      <c r="F368" s="2487">
        <v>30</v>
      </c>
      <c r="G368" s="2489" t="s">
        <v>2422</v>
      </c>
      <c r="H368" s="2489" t="s">
        <v>1095</v>
      </c>
      <c r="I368" s="351" t="s">
        <v>1165</v>
      </c>
      <c r="J368" s="2487">
        <v>8</v>
      </c>
      <c r="K368" s="2487">
        <v>10</v>
      </c>
      <c r="L368" s="2487">
        <v>12</v>
      </c>
      <c r="M368" s="348">
        <v>14</v>
      </c>
      <c r="N368" s="2487">
        <v>80</v>
      </c>
      <c r="O368" s="2487">
        <v>100</v>
      </c>
      <c r="P368" s="2487">
        <v>120</v>
      </c>
      <c r="Q368" s="348">
        <v>140</v>
      </c>
      <c r="R368" s="2487">
        <v>10</v>
      </c>
      <c r="S368" s="2487">
        <v>10</v>
      </c>
      <c r="T368" s="2487">
        <v>15</v>
      </c>
      <c r="U368" s="348">
        <v>15</v>
      </c>
      <c r="V368" s="2485" t="s">
        <v>4380</v>
      </c>
      <c r="W368" s="2485" t="s">
        <v>4381</v>
      </c>
      <c r="X368" s="2485" t="s">
        <v>4382</v>
      </c>
      <c r="Y368" s="2485" t="s">
        <v>4383</v>
      </c>
      <c r="Z368" s="2485" t="s">
        <v>4384</v>
      </c>
      <c r="AA368" s="347"/>
    </row>
    <row r="369" spans="1:27" ht="12.75" customHeight="1">
      <c r="A369" s="8243"/>
      <c r="B369" s="242" t="str">
        <f t="shared" si="5"/>
        <v>Nigromancia32</v>
      </c>
      <c r="D369" s="257" t="s">
        <v>310</v>
      </c>
      <c r="E369" s="2487" t="s">
        <v>1567</v>
      </c>
      <c r="F369" s="2487">
        <v>32</v>
      </c>
      <c r="G369" s="2489" t="s">
        <v>1241</v>
      </c>
      <c r="H369" s="2489" t="s">
        <v>1094</v>
      </c>
      <c r="I369" s="351" t="s">
        <v>1165</v>
      </c>
      <c r="J369" s="2487">
        <v>8</v>
      </c>
      <c r="K369" s="2487">
        <v>10</v>
      </c>
      <c r="L369" s="2487">
        <v>13</v>
      </c>
      <c r="M369" s="348">
        <v>15</v>
      </c>
      <c r="N369" s="2487">
        <v>60</v>
      </c>
      <c r="O369" s="2487">
        <v>140</v>
      </c>
      <c r="P369" s="2487">
        <v>220</v>
      </c>
      <c r="Q369" s="348">
        <v>300</v>
      </c>
      <c r="R369" s="2487"/>
      <c r="S369" s="2487"/>
      <c r="T369" s="2487"/>
      <c r="U369" s="348"/>
      <c r="V369" s="2485" t="s">
        <v>3391</v>
      </c>
      <c r="W369" s="2485" t="s">
        <v>3153</v>
      </c>
      <c r="X369" s="2485" t="s">
        <v>3560</v>
      </c>
      <c r="Y369" s="2485" t="s">
        <v>4385</v>
      </c>
      <c r="Z369" s="2485" t="s">
        <v>4386</v>
      </c>
      <c r="AA369" s="347"/>
    </row>
    <row r="370" spans="1:27" ht="12.75" customHeight="1">
      <c r="A370" s="8243"/>
      <c r="B370" s="242" t="str">
        <f t="shared" si="5"/>
        <v>Nigromancia36</v>
      </c>
      <c r="D370" s="257" t="s">
        <v>311</v>
      </c>
      <c r="E370" s="2487" t="s">
        <v>1567</v>
      </c>
      <c r="F370" s="2487">
        <v>36</v>
      </c>
      <c r="G370" s="2489" t="s">
        <v>1241</v>
      </c>
      <c r="H370" s="2489" t="s">
        <v>1094</v>
      </c>
      <c r="I370" s="351" t="s">
        <v>1165</v>
      </c>
      <c r="J370" s="2487">
        <v>8</v>
      </c>
      <c r="K370" s="2487">
        <v>10</v>
      </c>
      <c r="L370" s="2487">
        <v>13</v>
      </c>
      <c r="M370" s="348">
        <v>15</v>
      </c>
      <c r="N370" s="2487">
        <v>80</v>
      </c>
      <c r="O370" s="2487">
        <v>160</v>
      </c>
      <c r="P370" s="2487">
        <v>240</v>
      </c>
      <c r="Q370" s="348">
        <v>320</v>
      </c>
      <c r="R370" s="2487"/>
      <c r="S370" s="2487"/>
      <c r="T370" s="2487"/>
      <c r="U370" s="348"/>
      <c r="V370" s="2485" t="s">
        <v>3391</v>
      </c>
      <c r="W370" s="2485" t="s">
        <v>3153</v>
      </c>
      <c r="X370" s="2485" t="s">
        <v>3560</v>
      </c>
      <c r="Y370" s="2485" t="s">
        <v>4385</v>
      </c>
      <c r="Z370" s="2485" t="s">
        <v>12974</v>
      </c>
      <c r="AA370" s="347"/>
    </row>
    <row r="371" spans="1:27" ht="12.75" customHeight="1">
      <c r="A371" s="8243"/>
      <c r="B371" s="242" t="str">
        <f t="shared" si="5"/>
        <v>Nigromancia38</v>
      </c>
      <c r="D371" s="257" t="s">
        <v>312</v>
      </c>
      <c r="E371" s="2487" t="s">
        <v>1567</v>
      </c>
      <c r="F371" s="2487">
        <v>38</v>
      </c>
      <c r="G371" s="2489" t="s">
        <v>1241</v>
      </c>
      <c r="H371" s="2489" t="s">
        <v>1094</v>
      </c>
      <c r="I371" s="351" t="s">
        <v>1165</v>
      </c>
      <c r="J371" s="2487">
        <v>8</v>
      </c>
      <c r="K371" s="2487">
        <v>10</v>
      </c>
      <c r="L371" s="2487">
        <v>13</v>
      </c>
      <c r="M371" s="348">
        <v>15</v>
      </c>
      <c r="N371" s="2487">
        <v>60</v>
      </c>
      <c r="O371" s="2487">
        <v>150</v>
      </c>
      <c r="P371" s="2487">
        <v>240</v>
      </c>
      <c r="Q371" s="348">
        <v>320</v>
      </c>
      <c r="R371" s="2487">
        <v>5</v>
      </c>
      <c r="S371" s="2487">
        <v>10</v>
      </c>
      <c r="T371" s="2487">
        <v>15</v>
      </c>
      <c r="U371" s="348">
        <v>15</v>
      </c>
      <c r="V371" s="2485" t="s">
        <v>3391</v>
      </c>
      <c r="W371" s="2485" t="s">
        <v>3153</v>
      </c>
      <c r="X371" s="2485" t="s">
        <v>3560</v>
      </c>
      <c r="Y371" s="2485" t="s">
        <v>4385</v>
      </c>
      <c r="Z371" s="2485" t="s">
        <v>12975</v>
      </c>
      <c r="AA371" s="347"/>
    </row>
    <row r="372" spans="1:27" ht="12.75" customHeight="1">
      <c r="A372" s="8243"/>
      <c r="B372" s="242" t="str">
        <f t="shared" si="5"/>
        <v>Nigromancia40</v>
      </c>
      <c r="D372" s="257" t="s">
        <v>313</v>
      </c>
      <c r="E372" s="2487" t="s">
        <v>1567</v>
      </c>
      <c r="F372" s="2487">
        <v>40</v>
      </c>
      <c r="G372" s="2489" t="s">
        <v>2422</v>
      </c>
      <c r="H372" s="2489" t="s">
        <v>1094</v>
      </c>
      <c r="I372" s="351" t="s">
        <v>1165</v>
      </c>
      <c r="J372" s="2487">
        <v>9</v>
      </c>
      <c r="K372" s="2487">
        <v>11</v>
      </c>
      <c r="L372" s="2487">
        <v>14</v>
      </c>
      <c r="M372" s="348">
        <v>16</v>
      </c>
      <c r="N372" s="2487">
        <v>100</v>
      </c>
      <c r="O372" s="2487">
        <v>140</v>
      </c>
      <c r="P372" s="2487">
        <v>180</v>
      </c>
      <c r="Q372" s="348">
        <v>250</v>
      </c>
      <c r="R372" s="2487">
        <v>10</v>
      </c>
      <c r="S372" s="2487">
        <v>15</v>
      </c>
      <c r="T372" s="2487">
        <v>20</v>
      </c>
      <c r="U372" s="348">
        <v>25</v>
      </c>
      <c r="V372" s="2485" t="s">
        <v>4387</v>
      </c>
      <c r="W372" s="2485" t="s">
        <v>4388</v>
      </c>
      <c r="X372" s="2485" t="s">
        <v>3571</v>
      </c>
      <c r="Y372" s="2485" t="s">
        <v>4389</v>
      </c>
      <c r="Z372" s="2485" t="s">
        <v>4390</v>
      </c>
      <c r="AA372" s="347"/>
    </row>
    <row r="373" spans="1:27" ht="12.75" customHeight="1">
      <c r="A373" s="8243"/>
      <c r="B373" s="242" t="str">
        <f t="shared" si="5"/>
        <v>Nigromancia42</v>
      </c>
      <c r="D373" s="257" t="s">
        <v>314</v>
      </c>
      <c r="E373" s="2487" t="s">
        <v>1567</v>
      </c>
      <c r="F373" s="2487">
        <v>42</v>
      </c>
      <c r="G373" s="2489" t="s">
        <v>2422</v>
      </c>
      <c r="H373" s="2489" t="s">
        <v>3834</v>
      </c>
      <c r="I373" s="351" t="s">
        <v>1165</v>
      </c>
      <c r="J373" s="2487">
        <v>9</v>
      </c>
      <c r="K373" s="2487">
        <v>12</v>
      </c>
      <c r="L373" s="2487">
        <v>14</v>
      </c>
      <c r="M373" s="348">
        <v>16</v>
      </c>
      <c r="N373" s="2487">
        <v>100</v>
      </c>
      <c r="O373" s="2487">
        <v>140</v>
      </c>
      <c r="P373" s="2487">
        <v>180</v>
      </c>
      <c r="Q373" s="348">
        <v>220</v>
      </c>
      <c r="R373" s="2487">
        <v>10</v>
      </c>
      <c r="S373" s="2487">
        <v>15</v>
      </c>
      <c r="T373" s="2487">
        <v>20</v>
      </c>
      <c r="U373" s="348">
        <v>25</v>
      </c>
      <c r="V373" s="2485" t="s">
        <v>4021</v>
      </c>
      <c r="W373" s="2485" t="s">
        <v>4117</v>
      </c>
      <c r="X373" s="2485" t="s">
        <v>4391</v>
      </c>
      <c r="Y373" s="2485" t="s">
        <v>3313</v>
      </c>
      <c r="Z373" s="2485" t="s">
        <v>4392</v>
      </c>
      <c r="AA373" s="347"/>
    </row>
    <row r="374" spans="1:27" ht="12.75" customHeight="1">
      <c r="A374" s="8243"/>
      <c r="B374" s="242" t="str">
        <f t="shared" si="5"/>
        <v>Nigromancia46</v>
      </c>
      <c r="D374" s="257" t="s">
        <v>315</v>
      </c>
      <c r="E374" s="2487" t="s">
        <v>1567</v>
      </c>
      <c r="F374" s="2487">
        <v>46</v>
      </c>
      <c r="G374" s="2489" t="s">
        <v>1241</v>
      </c>
      <c r="H374" s="2489" t="s">
        <v>1424</v>
      </c>
      <c r="I374" s="351" t="s">
        <v>1166</v>
      </c>
      <c r="J374" s="2487">
        <v>9</v>
      </c>
      <c r="K374" s="2487">
        <v>11</v>
      </c>
      <c r="L374" s="2487">
        <v>13</v>
      </c>
      <c r="M374" s="348">
        <v>15</v>
      </c>
      <c r="N374" s="2487">
        <v>80</v>
      </c>
      <c r="O374" s="2487">
        <v>160</v>
      </c>
      <c r="P374" s="2487">
        <v>240</v>
      </c>
      <c r="Q374" s="348">
        <v>300</v>
      </c>
      <c r="R374" s="2487">
        <v>5</v>
      </c>
      <c r="S374" s="2487">
        <v>10</v>
      </c>
      <c r="T374" s="2487">
        <v>15</v>
      </c>
      <c r="U374" s="348">
        <v>15</v>
      </c>
      <c r="V374" s="2485" t="s">
        <v>4393</v>
      </c>
      <c r="W374" s="2485" t="s">
        <v>4394</v>
      </c>
      <c r="X374" s="2485" t="s">
        <v>4395</v>
      </c>
      <c r="Y374" s="2485" t="s">
        <v>4396</v>
      </c>
      <c r="Z374" s="2485" t="s">
        <v>4397</v>
      </c>
      <c r="AA374" s="347"/>
    </row>
    <row r="375" spans="1:27" ht="12.75" customHeight="1">
      <c r="A375" s="8243"/>
      <c r="B375" s="242" t="str">
        <f t="shared" si="5"/>
        <v>Nigromancia48</v>
      </c>
      <c r="D375" s="257" t="s">
        <v>316</v>
      </c>
      <c r="E375" s="2487" t="s">
        <v>1567</v>
      </c>
      <c r="F375" s="2487">
        <v>48</v>
      </c>
      <c r="G375" s="2489" t="s">
        <v>2422</v>
      </c>
      <c r="H375" s="2489" t="s">
        <v>1094</v>
      </c>
      <c r="I375" s="351" t="s">
        <v>1166</v>
      </c>
      <c r="J375" s="2487">
        <v>9</v>
      </c>
      <c r="K375" s="2487">
        <v>11</v>
      </c>
      <c r="L375" s="2487">
        <v>13</v>
      </c>
      <c r="M375" s="348">
        <v>15</v>
      </c>
      <c r="N375" s="2487">
        <v>140</v>
      </c>
      <c r="O375" s="2487">
        <v>180</v>
      </c>
      <c r="P375" s="2487">
        <v>240</v>
      </c>
      <c r="Q375" s="348">
        <v>300</v>
      </c>
      <c r="R375" s="2487">
        <v>30</v>
      </c>
      <c r="S375" s="2487">
        <v>40</v>
      </c>
      <c r="T375" s="2487">
        <v>50</v>
      </c>
      <c r="U375" s="348">
        <v>60</v>
      </c>
      <c r="V375" s="2485" t="s">
        <v>3425</v>
      </c>
      <c r="W375" s="2485" t="s">
        <v>3390</v>
      </c>
      <c r="X375" s="2485" t="s">
        <v>3391</v>
      </c>
      <c r="Y375" s="2485" t="s">
        <v>3295</v>
      </c>
      <c r="Z375" s="2485" t="s">
        <v>4398</v>
      </c>
      <c r="AA375" s="347"/>
    </row>
    <row r="376" spans="1:27" ht="12.75" customHeight="1">
      <c r="A376" s="8243"/>
      <c r="B376" s="242" t="str">
        <f t="shared" si="5"/>
        <v>Nigromancia50</v>
      </c>
      <c r="D376" s="257" t="s">
        <v>317</v>
      </c>
      <c r="E376" s="2487" t="s">
        <v>1567</v>
      </c>
      <c r="F376" s="2487">
        <v>50</v>
      </c>
      <c r="G376" s="2489" t="s">
        <v>1241</v>
      </c>
      <c r="H376" s="2489" t="s">
        <v>1095</v>
      </c>
      <c r="I376" s="351" t="s">
        <v>1165</v>
      </c>
      <c r="J376" s="2487">
        <v>9</v>
      </c>
      <c r="K376" s="2487">
        <v>11</v>
      </c>
      <c r="L376" s="2487">
        <v>13</v>
      </c>
      <c r="M376" s="348">
        <v>15</v>
      </c>
      <c r="N376" s="2487">
        <v>140</v>
      </c>
      <c r="O376" s="2487">
        <v>180</v>
      </c>
      <c r="P376" s="2487">
        <v>240</v>
      </c>
      <c r="Q376" s="348">
        <v>300</v>
      </c>
      <c r="R376" s="2487">
        <v>15</v>
      </c>
      <c r="S376" s="2487">
        <v>20</v>
      </c>
      <c r="T376" s="2487">
        <v>25</v>
      </c>
      <c r="U376" s="348">
        <v>30</v>
      </c>
      <c r="V376" s="2485" t="s">
        <v>4399</v>
      </c>
      <c r="W376" s="2485" t="s">
        <v>4400</v>
      </c>
      <c r="X376" s="2485" t="s">
        <v>4401</v>
      </c>
      <c r="Y376" s="2485" t="s">
        <v>4402</v>
      </c>
      <c r="Z376" s="2485" t="s">
        <v>4403</v>
      </c>
      <c r="AA376" s="347"/>
    </row>
    <row r="377" spans="1:27" ht="12.75" customHeight="1">
      <c r="A377" s="8243"/>
      <c r="B377" s="242" t="str">
        <f t="shared" si="5"/>
        <v>Nigromancia52</v>
      </c>
      <c r="D377" s="257" t="s">
        <v>318</v>
      </c>
      <c r="E377" s="2487" t="s">
        <v>1567</v>
      </c>
      <c r="F377" s="2487">
        <v>52</v>
      </c>
      <c r="G377" s="2489" t="s">
        <v>1241</v>
      </c>
      <c r="H377" s="2489" t="s">
        <v>1095</v>
      </c>
      <c r="I377" s="351" t="s">
        <v>1165</v>
      </c>
      <c r="J377" s="2487">
        <v>10</v>
      </c>
      <c r="K377" s="2487">
        <v>12</v>
      </c>
      <c r="L377" s="2487">
        <v>14</v>
      </c>
      <c r="M377" s="348">
        <v>16</v>
      </c>
      <c r="N377" s="2487">
        <v>100</v>
      </c>
      <c r="O377" s="2487">
        <v>180</v>
      </c>
      <c r="P377" s="2487">
        <v>240</v>
      </c>
      <c r="Q377" s="348">
        <v>300</v>
      </c>
      <c r="R377" s="2487">
        <v>10</v>
      </c>
      <c r="S377" s="2487">
        <v>20</v>
      </c>
      <c r="T377" s="2487">
        <v>25</v>
      </c>
      <c r="U377" s="348">
        <v>30</v>
      </c>
      <c r="V377" s="2485" t="s">
        <v>4404</v>
      </c>
      <c r="W377" s="2485" t="s">
        <v>4405</v>
      </c>
      <c r="X377" s="2485" t="s">
        <v>4406</v>
      </c>
      <c r="Y377" s="2485" t="s">
        <v>12976</v>
      </c>
      <c r="Z377" s="2485" t="s">
        <v>4407</v>
      </c>
      <c r="AA377" s="347"/>
    </row>
    <row r="378" spans="1:27" ht="12.75" customHeight="1">
      <c r="A378" s="8243"/>
      <c r="B378" s="242" t="str">
        <f t="shared" si="5"/>
        <v>Nigromancia56</v>
      </c>
      <c r="D378" s="257" t="s">
        <v>319</v>
      </c>
      <c r="E378" s="2487" t="s">
        <v>1567</v>
      </c>
      <c r="F378" s="2487">
        <v>56</v>
      </c>
      <c r="G378" s="2489" t="s">
        <v>1241</v>
      </c>
      <c r="H378" s="2489" t="s">
        <v>1095</v>
      </c>
      <c r="I378" s="351" t="s">
        <v>1165</v>
      </c>
      <c r="J378" s="2487">
        <v>9</v>
      </c>
      <c r="K378" s="2487">
        <v>11</v>
      </c>
      <c r="L378" s="2487">
        <v>13</v>
      </c>
      <c r="M378" s="348">
        <v>16</v>
      </c>
      <c r="N378" s="2487">
        <v>100</v>
      </c>
      <c r="O378" s="2487">
        <v>200</v>
      </c>
      <c r="P378" s="2487">
        <v>300</v>
      </c>
      <c r="Q378" s="348">
        <v>400</v>
      </c>
      <c r="R378" s="2487">
        <v>10</v>
      </c>
      <c r="S378" s="2487">
        <v>20</v>
      </c>
      <c r="T378" s="2487">
        <v>30</v>
      </c>
      <c r="U378" s="348">
        <v>40</v>
      </c>
      <c r="V378" s="2485" t="s">
        <v>3412</v>
      </c>
      <c r="W378" s="2485" t="s">
        <v>3413</v>
      </c>
      <c r="X378" s="2485" t="s">
        <v>3414</v>
      </c>
      <c r="Y378" s="2485" t="s">
        <v>4408</v>
      </c>
      <c r="Z378" s="2485" t="s">
        <v>4409</v>
      </c>
      <c r="AA378" s="347"/>
    </row>
    <row r="379" spans="1:27" ht="12.75" customHeight="1">
      <c r="A379" s="8243"/>
      <c r="B379" s="242" t="str">
        <f t="shared" si="5"/>
        <v>Nigromancia58</v>
      </c>
      <c r="D379" s="257" t="s">
        <v>320</v>
      </c>
      <c r="E379" s="2487" t="s">
        <v>1567</v>
      </c>
      <c r="F379" s="2487">
        <v>58</v>
      </c>
      <c r="G379" s="2489" t="s">
        <v>1241</v>
      </c>
      <c r="H379" s="2489" t="s">
        <v>1095</v>
      </c>
      <c r="I379" s="351" t="s">
        <v>1165</v>
      </c>
      <c r="J379" s="2487">
        <v>9</v>
      </c>
      <c r="K379" s="2487">
        <v>12</v>
      </c>
      <c r="L379" s="2487">
        <v>14</v>
      </c>
      <c r="M379" s="348">
        <v>16</v>
      </c>
      <c r="N379" s="2487">
        <v>100</v>
      </c>
      <c r="O379" s="2487">
        <v>140</v>
      </c>
      <c r="P379" s="2487">
        <v>160</v>
      </c>
      <c r="Q379" s="348">
        <v>180</v>
      </c>
      <c r="R379" s="2487"/>
      <c r="S379" s="2487"/>
      <c r="T379" s="2487"/>
      <c r="U379" s="348"/>
      <c r="V379" s="2485" t="s">
        <v>4410</v>
      </c>
      <c r="W379" s="2485" t="s">
        <v>4411</v>
      </c>
      <c r="X379" s="2485" t="s">
        <v>4412</v>
      </c>
      <c r="Y379" s="2485" t="s">
        <v>4413</v>
      </c>
      <c r="Z379" s="2485" t="s">
        <v>4414</v>
      </c>
      <c r="AA379" s="347"/>
    </row>
    <row r="380" spans="1:27" ht="12.75" customHeight="1">
      <c r="A380" s="8243"/>
      <c r="B380" s="242" t="str">
        <f t="shared" si="5"/>
        <v>Nigromancia60</v>
      </c>
      <c r="D380" s="257" t="s">
        <v>321</v>
      </c>
      <c r="E380" s="2487" t="s">
        <v>1567</v>
      </c>
      <c r="F380" s="2487">
        <v>60</v>
      </c>
      <c r="G380" s="2489" t="s">
        <v>2422</v>
      </c>
      <c r="H380" s="2489" t="s">
        <v>1095</v>
      </c>
      <c r="I380" s="351" t="s">
        <v>1165</v>
      </c>
      <c r="J380" s="2487">
        <v>10</v>
      </c>
      <c r="K380" s="2487">
        <v>12</v>
      </c>
      <c r="L380" s="2487">
        <v>14</v>
      </c>
      <c r="M380" s="348">
        <v>16</v>
      </c>
      <c r="N380" s="2487">
        <v>200</v>
      </c>
      <c r="O380" s="2487">
        <v>240</v>
      </c>
      <c r="P380" s="2487">
        <v>280</v>
      </c>
      <c r="Q380" s="348">
        <v>320</v>
      </c>
      <c r="R380" s="2487">
        <v>20</v>
      </c>
      <c r="S380" s="2487">
        <v>25</v>
      </c>
      <c r="T380" s="2487">
        <v>30</v>
      </c>
      <c r="U380" s="348">
        <v>35</v>
      </c>
      <c r="V380" s="2485" t="s">
        <v>4415</v>
      </c>
      <c r="W380" s="2485" t="s">
        <v>4416</v>
      </c>
      <c r="X380" s="2485" t="s">
        <v>4417</v>
      </c>
      <c r="Y380" s="2485" t="s">
        <v>4418</v>
      </c>
      <c r="Z380" s="2485" t="s">
        <v>4419</v>
      </c>
      <c r="AA380" s="347"/>
    </row>
    <row r="381" spans="1:27" ht="12.75" customHeight="1">
      <c r="A381" s="8243"/>
      <c r="B381" s="242" t="str">
        <f t="shared" si="5"/>
        <v>Nigromancia62</v>
      </c>
      <c r="D381" s="257" t="s">
        <v>322</v>
      </c>
      <c r="E381" s="2487" t="s">
        <v>1567</v>
      </c>
      <c r="F381" s="2487">
        <v>62</v>
      </c>
      <c r="G381" s="2489" t="s">
        <v>1241</v>
      </c>
      <c r="H381" s="2489" t="s">
        <v>1094</v>
      </c>
      <c r="I381" s="351" t="s">
        <v>1165</v>
      </c>
      <c r="J381" s="2487">
        <v>9</v>
      </c>
      <c r="K381" s="2487">
        <v>12</v>
      </c>
      <c r="L381" s="2487">
        <v>15</v>
      </c>
      <c r="M381" s="348">
        <v>18</v>
      </c>
      <c r="N381" s="2487">
        <v>180</v>
      </c>
      <c r="O381" s="2487">
        <v>240</v>
      </c>
      <c r="P381" s="2487">
        <v>300</v>
      </c>
      <c r="Q381" s="348">
        <v>360</v>
      </c>
      <c r="R381" s="2487"/>
      <c r="S381" s="2487"/>
      <c r="T381" s="2487"/>
      <c r="U381" s="348"/>
      <c r="V381" s="2485" t="s">
        <v>3425</v>
      </c>
      <c r="W381" s="2485" t="s">
        <v>4420</v>
      </c>
      <c r="X381" s="2485" t="s">
        <v>3295</v>
      </c>
      <c r="Y381" s="2485" t="s">
        <v>4421</v>
      </c>
      <c r="Z381" s="2485" t="s">
        <v>12977</v>
      </c>
      <c r="AA381" s="347"/>
    </row>
    <row r="382" spans="1:27" ht="12.75" customHeight="1">
      <c r="A382" s="8243"/>
      <c r="B382" s="242" t="str">
        <f t="shared" si="5"/>
        <v>Nigromancia66</v>
      </c>
      <c r="D382" s="257" t="s">
        <v>323</v>
      </c>
      <c r="E382" s="2487" t="s">
        <v>1567</v>
      </c>
      <c r="F382" s="2487">
        <v>66</v>
      </c>
      <c r="G382" s="2489" t="s">
        <v>1241</v>
      </c>
      <c r="H382" s="2489" t="s">
        <v>1094</v>
      </c>
      <c r="I382" s="351" t="s">
        <v>1165</v>
      </c>
      <c r="J382" s="2487">
        <v>10</v>
      </c>
      <c r="K382" s="2487">
        <v>12</v>
      </c>
      <c r="L382" s="2487">
        <v>14</v>
      </c>
      <c r="M382" s="348">
        <v>16</v>
      </c>
      <c r="N382" s="2487">
        <v>100</v>
      </c>
      <c r="O382" s="2487">
        <v>140</v>
      </c>
      <c r="P382" s="2487">
        <v>180</v>
      </c>
      <c r="Q382" s="348">
        <v>220</v>
      </c>
      <c r="R382" s="2487"/>
      <c r="S382" s="2487"/>
      <c r="T382" s="2487"/>
      <c r="U382" s="348"/>
      <c r="V382" s="2485" t="s">
        <v>4422</v>
      </c>
      <c r="W382" s="2485" t="s">
        <v>4423</v>
      </c>
      <c r="X382" s="2485" t="s">
        <v>3580</v>
      </c>
      <c r="Y382" s="2485" t="s">
        <v>3581</v>
      </c>
      <c r="Z382" s="2485" t="s">
        <v>4424</v>
      </c>
      <c r="AA382" s="347"/>
    </row>
    <row r="383" spans="1:27" ht="12.75" customHeight="1">
      <c r="A383" s="8243"/>
      <c r="B383" s="242" t="str">
        <f t="shared" si="5"/>
        <v>Nigromancia68</v>
      </c>
      <c r="D383" s="257" t="s">
        <v>324</v>
      </c>
      <c r="E383" s="2487" t="s">
        <v>1567</v>
      </c>
      <c r="F383" s="2487">
        <v>68</v>
      </c>
      <c r="G383" s="2489" t="s">
        <v>1241</v>
      </c>
      <c r="H383" s="2489" t="s">
        <v>1093</v>
      </c>
      <c r="I383" s="351" t="s">
        <v>1165</v>
      </c>
      <c r="J383" s="2487">
        <v>9</v>
      </c>
      <c r="K383" s="2487">
        <v>11</v>
      </c>
      <c r="L383" s="2487">
        <v>13</v>
      </c>
      <c r="M383" s="348">
        <v>16</v>
      </c>
      <c r="N383" s="2487">
        <v>140</v>
      </c>
      <c r="O383" s="2487">
        <v>260</v>
      </c>
      <c r="P383" s="2487">
        <v>380</v>
      </c>
      <c r="Q383" s="348">
        <v>500</v>
      </c>
      <c r="R383" s="2487"/>
      <c r="S383" s="2487"/>
      <c r="T383" s="2487"/>
      <c r="U383" s="348"/>
      <c r="V383" s="2485" t="s">
        <v>3531</v>
      </c>
      <c r="W383" s="2485" t="s">
        <v>3532</v>
      </c>
      <c r="X383" s="2485" t="s">
        <v>3561</v>
      </c>
      <c r="Y383" s="2485" t="s">
        <v>4425</v>
      </c>
      <c r="Z383" s="2485" t="s">
        <v>4426</v>
      </c>
      <c r="AA383" s="347"/>
    </row>
    <row r="384" spans="1:27" ht="12.75" customHeight="1">
      <c r="A384" s="8243"/>
      <c r="B384" s="242" t="str">
        <f t="shared" si="5"/>
        <v>Nigromancia70</v>
      </c>
      <c r="D384" s="257" t="s">
        <v>325</v>
      </c>
      <c r="E384" s="2487" t="s">
        <v>1567</v>
      </c>
      <c r="F384" s="2487">
        <v>70</v>
      </c>
      <c r="G384" s="2489" t="s">
        <v>2422</v>
      </c>
      <c r="H384" s="2489" t="s">
        <v>1095</v>
      </c>
      <c r="I384" s="351" t="s">
        <v>1165</v>
      </c>
      <c r="J384" s="2487">
        <v>9</v>
      </c>
      <c r="K384" s="2487">
        <v>12</v>
      </c>
      <c r="L384" s="2487">
        <v>15</v>
      </c>
      <c r="M384" s="348">
        <v>17</v>
      </c>
      <c r="N384" s="2487">
        <v>250</v>
      </c>
      <c r="O384" s="2487">
        <v>360</v>
      </c>
      <c r="P384" s="2487">
        <v>500</v>
      </c>
      <c r="Q384" s="348">
        <v>800</v>
      </c>
      <c r="R384" s="2487">
        <v>50</v>
      </c>
      <c r="S384" s="2487">
        <v>80</v>
      </c>
      <c r="T384" s="2487">
        <v>100</v>
      </c>
      <c r="U384" s="348">
        <v>160</v>
      </c>
      <c r="V384" s="2485" t="s">
        <v>3416</v>
      </c>
      <c r="W384" s="2485" t="s">
        <v>4119</v>
      </c>
      <c r="X384" s="2485" t="s">
        <v>4120</v>
      </c>
      <c r="Y384" s="2485" t="s">
        <v>4427</v>
      </c>
      <c r="Z384" s="2485" t="s">
        <v>4428</v>
      </c>
      <c r="AA384" s="347"/>
    </row>
    <row r="385" spans="1:27" ht="12.75" customHeight="1">
      <c r="A385" s="8243"/>
      <c r="B385" s="242" t="str">
        <f t="shared" si="5"/>
        <v>Nigromancia72</v>
      </c>
      <c r="D385" s="257" t="s">
        <v>326</v>
      </c>
      <c r="E385" s="2487" t="s">
        <v>1567</v>
      </c>
      <c r="F385" s="2487">
        <v>72</v>
      </c>
      <c r="G385" s="2489" t="s">
        <v>1241</v>
      </c>
      <c r="H385" s="2489" t="s">
        <v>1094</v>
      </c>
      <c r="I385" s="351" t="s">
        <v>1165</v>
      </c>
      <c r="J385" s="2487">
        <v>10</v>
      </c>
      <c r="K385" s="2487">
        <v>13</v>
      </c>
      <c r="L385" s="2487">
        <v>15</v>
      </c>
      <c r="M385" s="348">
        <v>18</v>
      </c>
      <c r="N385" s="2487">
        <v>180</v>
      </c>
      <c r="O385" s="2487">
        <v>240</v>
      </c>
      <c r="P385" s="2487">
        <v>300</v>
      </c>
      <c r="Q385" s="348">
        <v>360</v>
      </c>
      <c r="R385" s="2487"/>
      <c r="S385" s="2487"/>
      <c r="T385" s="2487"/>
      <c r="U385" s="348"/>
      <c r="V385" s="2485" t="s">
        <v>4423</v>
      </c>
      <c r="W385" s="2485" t="s">
        <v>3581</v>
      </c>
      <c r="X385" s="2485" t="s">
        <v>3583</v>
      </c>
      <c r="Y385" s="2485" t="s">
        <v>4429</v>
      </c>
      <c r="Z385" s="2485" t="s">
        <v>4430</v>
      </c>
      <c r="AA385" s="347"/>
    </row>
    <row r="386" spans="1:27" ht="12.75" customHeight="1">
      <c r="A386" s="8243"/>
      <c r="B386" s="242" t="str">
        <f t="shared" si="5"/>
        <v>Nigromancia76</v>
      </c>
      <c r="D386" s="257" t="s">
        <v>327</v>
      </c>
      <c r="E386" s="2487" t="s">
        <v>1567</v>
      </c>
      <c r="F386" s="2487">
        <v>76</v>
      </c>
      <c r="G386" s="2489" t="s">
        <v>1241</v>
      </c>
      <c r="H386" s="2489" t="s">
        <v>1094</v>
      </c>
      <c r="I386" s="351" t="s">
        <v>1165</v>
      </c>
      <c r="J386" s="2487">
        <v>10</v>
      </c>
      <c r="K386" s="2487">
        <v>13</v>
      </c>
      <c r="L386" s="2487">
        <v>15</v>
      </c>
      <c r="M386" s="348">
        <v>18</v>
      </c>
      <c r="N386" s="2487">
        <v>250</v>
      </c>
      <c r="O386" s="2487">
        <v>360</v>
      </c>
      <c r="P386" s="2487">
        <v>450</v>
      </c>
      <c r="Q386" s="348">
        <v>540</v>
      </c>
      <c r="R386" s="2487"/>
      <c r="S386" s="2487"/>
      <c r="T386" s="2487"/>
      <c r="U386" s="348"/>
      <c r="V386" s="2485" t="s">
        <v>4423</v>
      </c>
      <c r="W386" s="2485" t="s">
        <v>3581</v>
      </c>
      <c r="X386" s="2485" t="s">
        <v>3583</v>
      </c>
      <c r="Y386" s="2485" t="s">
        <v>4429</v>
      </c>
      <c r="Z386" s="2485" t="s">
        <v>4431</v>
      </c>
      <c r="AA386" s="347"/>
    </row>
    <row r="387" spans="1:27" ht="12.75" customHeight="1">
      <c r="A387" s="8243"/>
      <c r="B387" s="242" t="str">
        <f t="shared" si="5"/>
        <v>Nigromancia78</v>
      </c>
      <c r="D387" s="257" t="s">
        <v>328</v>
      </c>
      <c r="E387" s="2487" t="s">
        <v>1567</v>
      </c>
      <c r="F387" s="2487">
        <v>78</v>
      </c>
      <c r="G387" s="2489" t="s">
        <v>1241</v>
      </c>
      <c r="H387" s="2489" t="s">
        <v>1094</v>
      </c>
      <c r="I387" s="351" t="s">
        <v>1165</v>
      </c>
      <c r="J387" s="2487">
        <v>10</v>
      </c>
      <c r="K387" s="2487">
        <v>12</v>
      </c>
      <c r="L387" s="2487">
        <v>14</v>
      </c>
      <c r="M387" s="348">
        <v>16</v>
      </c>
      <c r="N387" s="2487">
        <v>200</v>
      </c>
      <c r="O387" s="2487">
        <v>240</v>
      </c>
      <c r="P387" s="2487">
        <v>280</v>
      </c>
      <c r="Q387" s="348">
        <v>320</v>
      </c>
      <c r="R387" s="2487"/>
      <c r="S387" s="2487"/>
      <c r="T387" s="2487"/>
      <c r="U387" s="348"/>
      <c r="V387" s="2485" t="s">
        <v>3390</v>
      </c>
      <c r="W387" s="2485" t="s">
        <v>3391</v>
      </c>
      <c r="X387" s="2485" t="s">
        <v>3295</v>
      </c>
      <c r="Y387" s="2485" t="s">
        <v>3153</v>
      </c>
      <c r="Z387" s="2485" t="s">
        <v>12978</v>
      </c>
      <c r="AA387" s="347"/>
    </row>
    <row r="388" spans="1:27" ht="12.75" customHeight="1">
      <c r="A388" s="8243"/>
      <c r="B388" s="242" t="str">
        <f t="shared" si="5"/>
        <v>Nigromancia80</v>
      </c>
      <c r="D388" s="257" t="s">
        <v>329</v>
      </c>
      <c r="E388" s="2487" t="s">
        <v>1567</v>
      </c>
      <c r="F388" s="2487">
        <v>80</v>
      </c>
      <c r="G388" s="2489" t="s">
        <v>1241</v>
      </c>
      <c r="H388" s="2489" t="s">
        <v>1095</v>
      </c>
      <c r="I388" s="351" t="s">
        <v>1165</v>
      </c>
      <c r="J388" s="2487">
        <v>10</v>
      </c>
      <c r="K388" s="2487">
        <v>13</v>
      </c>
      <c r="L388" s="2487">
        <v>15</v>
      </c>
      <c r="M388" s="348">
        <v>17</v>
      </c>
      <c r="N388" s="2487">
        <v>250</v>
      </c>
      <c r="O388" s="2487">
        <v>500</v>
      </c>
      <c r="P388" s="2487">
        <v>1000</v>
      </c>
      <c r="Q388" s="348">
        <v>2500</v>
      </c>
      <c r="R388" s="2487"/>
      <c r="S388" s="2487"/>
      <c r="T388" s="2487"/>
      <c r="U388" s="348" t="s">
        <v>3384</v>
      </c>
      <c r="V388" s="2485" t="s">
        <v>4432</v>
      </c>
      <c r="W388" s="2485" t="s">
        <v>4433</v>
      </c>
      <c r="X388" s="2485" t="s">
        <v>4434</v>
      </c>
      <c r="Y388" s="2485" t="s">
        <v>4435</v>
      </c>
      <c r="Z388" s="2485" t="s">
        <v>4436</v>
      </c>
      <c r="AA388" s="347"/>
    </row>
    <row r="389" spans="1:27" ht="12.75" customHeight="1">
      <c r="A389" s="8243"/>
      <c r="B389" s="242" t="str">
        <f t="shared" si="5"/>
        <v>Nigromancia82</v>
      </c>
      <c r="D389" s="257" t="s">
        <v>330</v>
      </c>
      <c r="E389" s="2487" t="s">
        <v>1567</v>
      </c>
      <c r="F389" s="2487">
        <v>82</v>
      </c>
      <c r="G389" s="2489" t="s">
        <v>1241</v>
      </c>
      <c r="H389" s="2489" t="s">
        <v>1095</v>
      </c>
      <c r="I389" s="351" t="s">
        <v>1165</v>
      </c>
      <c r="J389" s="2487">
        <v>9</v>
      </c>
      <c r="K389" s="2487">
        <v>12</v>
      </c>
      <c r="L389" s="2487">
        <v>14</v>
      </c>
      <c r="M389" s="348">
        <v>16</v>
      </c>
      <c r="N389" s="2487">
        <v>350</v>
      </c>
      <c r="O389" s="2487">
        <v>500</v>
      </c>
      <c r="P389" s="2487">
        <v>800</v>
      </c>
      <c r="Q389" s="348">
        <v>1200</v>
      </c>
      <c r="R389" s="2487"/>
      <c r="S389" s="2487"/>
      <c r="T389" s="2487"/>
      <c r="U389" s="348"/>
      <c r="V389" s="2485" t="s">
        <v>4410</v>
      </c>
      <c r="W389" s="2485" t="s">
        <v>4411</v>
      </c>
      <c r="X389" s="2485" t="s">
        <v>4412</v>
      </c>
      <c r="Y389" s="2485" t="s">
        <v>4413</v>
      </c>
      <c r="Z389" s="2485" t="s">
        <v>12979</v>
      </c>
      <c r="AA389" s="347"/>
    </row>
    <row r="390" spans="1:27" ht="12.75" customHeight="1">
      <c r="A390" s="8243"/>
      <c r="B390" s="242" t="str">
        <f t="shared" si="5"/>
        <v>Nigromancia86</v>
      </c>
      <c r="D390" s="257" t="s">
        <v>331</v>
      </c>
      <c r="E390" s="2487" t="s">
        <v>1567</v>
      </c>
      <c r="F390" s="2487">
        <v>86</v>
      </c>
      <c r="G390" s="2489" t="s">
        <v>1241</v>
      </c>
      <c r="H390" s="2489" t="s">
        <v>1095</v>
      </c>
      <c r="I390" s="351" t="s">
        <v>1165</v>
      </c>
      <c r="J390" s="2487">
        <v>9</v>
      </c>
      <c r="K390" s="2487">
        <v>12</v>
      </c>
      <c r="L390" s="2487">
        <v>14</v>
      </c>
      <c r="M390" s="348">
        <v>16</v>
      </c>
      <c r="N390" s="2487">
        <v>300</v>
      </c>
      <c r="O390" s="2487">
        <v>400</v>
      </c>
      <c r="P390" s="2487">
        <v>500</v>
      </c>
      <c r="Q390" s="348">
        <v>600</v>
      </c>
      <c r="R390" s="2487">
        <v>15</v>
      </c>
      <c r="S390" s="2487">
        <v>20</v>
      </c>
      <c r="T390" s="2487">
        <v>25</v>
      </c>
      <c r="U390" s="348">
        <v>30</v>
      </c>
      <c r="V390" s="2485" t="s">
        <v>3313</v>
      </c>
      <c r="W390" s="2485" t="s">
        <v>3284</v>
      </c>
      <c r="X390" s="2485" t="s">
        <v>3223</v>
      </c>
      <c r="Y390" s="2485" t="s">
        <v>4437</v>
      </c>
      <c r="Z390" s="2485" t="s">
        <v>4438</v>
      </c>
      <c r="AA390" s="347"/>
    </row>
    <row r="391" spans="1:27" ht="12.75" customHeight="1">
      <c r="A391" s="8243"/>
      <c r="B391" s="242" t="str">
        <f t="shared" si="5"/>
        <v>Nigromancia88</v>
      </c>
      <c r="D391" s="257" t="s">
        <v>332</v>
      </c>
      <c r="E391" s="2487" t="s">
        <v>1567</v>
      </c>
      <c r="F391" s="2487">
        <v>88</v>
      </c>
      <c r="G391" s="2489" t="s">
        <v>2422</v>
      </c>
      <c r="H391" s="2489" t="s">
        <v>1095</v>
      </c>
      <c r="I391" s="351" t="s">
        <v>1165</v>
      </c>
      <c r="J391" s="2487">
        <v>9</v>
      </c>
      <c r="K391" s="2487">
        <v>12</v>
      </c>
      <c r="L391" s="2487">
        <v>14</v>
      </c>
      <c r="M391" s="348">
        <v>16</v>
      </c>
      <c r="N391" s="2487">
        <v>350</v>
      </c>
      <c r="O391" s="2487">
        <v>600</v>
      </c>
      <c r="P391" s="2487">
        <v>900</v>
      </c>
      <c r="Q391" s="348">
        <v>1500</v>
      </c>
      <c r="R391" s="2487">
        <v>35</v>
      </c>
      <c r="S391" s="2487">
        <v>60</v>
      </c>
      <c r="T391" s="2487">
        <v>90</v>
      </c>
      <c r="U391" s="348">
        <v>150</v>
      </c>
      <c r="V391" s="2485" t="s">
        <v>3314</v>
      </c>
      <c r="W391" s="2485" t="s">
        <v>4112</v>
      </c>
      <c r="X391" s="2485" t="s">
        <v>4132</v>
      </c>
      <c r="Y391" s="2485" t="s">
        <v>4439</v>
      </c>
      <c r="Z391" s="2485" t="s">
        <v>12980</v>
      </c>
      <c r="AA391" s="347"/>
    </row>
    <row r="392" spans="1:27" ht="12.75" customHeight="1">
      <c r="A392" s="8243"/>
      <c r="B392" s="242" t="str">
        <f t="shared" ref="B392:B455" si="6">E392&amp;F392</f>
        <v>Nigromancia90</v>
      </c>
      <c r="D392" s="257" t="s">
        <v>333</v>
      </c>
      <c r="E392" s="2487" t="s">
        <v>1567</v>
      </c>
      <c r="F392" s="2487">
        <v>90</v>
      </c>
      <c r="G392" s="2489" t="s">
        <v>1241</v>
      </c>
      <c r="H392" s="2489" t="s">
        <v>1095</v>
      </c>
      <c r="I392" s="351" t="s">
        <v>1165</v>
      </c>
      <c r="J392" s="2487">
        <v>10</v>
      </c>
      <c r="K392" s="2487">
        <v>13</v>
      </c>
      <c r="L392" s="2487">
        <v>16</v>
      </c>
      <c r="M392" s="348">
        <v>18</v>
      </c>
      <c r="N392" s="2487">
        <v>200</v>
      </c>
      <c r="O392" s="2487">
        <v>300</v>
      </c>
      <c r="P392" s="2487">
        <v>400</v>
      </c>
      <c r="Q392" s="348">
        <v>500</v>
      </c>
      <c r="R392" s="2487"/>
      <c r="S392" s="2487"/>
      <c r="T392" s="2487"/>
      <c r="U392" s="348"/>
      <c r="V392" s="2485" t="s">
        <v>4440</v>
      </c>
      <c r="W392" s="2485" t="s">
        <v>4441</v>
      </c>
      <c r="X392" s="2485" t="s">
        <v>4442</v>
      </c>
      <c r="Y392" s="2485" t="s">
        <v>4443</v>
      </c>
      <c r="Z392" s="2485" t="s">
        <v>4444</v>
      </c>
      <c r="AA392" s="347"/>
    </row>
    <row r="393" spans="1:27" ht="12.75" customHeight="1">
      <c r="A393" s="8243"/>
      <c r="B393" s="242" t="str">
        <f t="shared" si="6"/>
        <v>Nigromancia92</v>
      </c>
      <c r="D393" s="257" t="s">
        <v>334</v>
      </c>
      <c r="E393" s="2487" t="s">
        <v>1567</v>
      </c>
      <c r="F393" s="2487">
        <v>92</v>
      </c>
      <c r="G393" s="2489" t="s">
        <v>1241</v>
      </c>
      <c r="H393" s="2489" t="s">
        <v>1095</v>
      </c>
      <c r="I393" s="351" t="s">
        <v>1165</v>
      </c>
      <c r="J393" s="2487">
        <v>12</v>
      </c>
      <c r="K393" s="2487">
        <v>14</v>
      </c>
      <c r="L393" s="2487">
        <v>16</v>
      </c>
      <c r="M393" s="348">
        <v>18</v>
      </c>
      <c r="N393" s="2487">
        <v>350</v>
      </c>
      <c r="O393" s="2487">
        <v>500</v>
      </c>
      <c r="P393" s="2487">
        <v>900</v>
      </c>
      <c r="Q393" s="348">
        <v>1500</v>
      </c>
      <c r="R393" s="2487"/>
      <c r="S393" s="2487"/>
      <c r="T393" s="2487"/>
      <c r="U393" s="348"/>
      <c r="V393" s="2485" t="s">
        <v>4445</v>
      </c>
      <c r="W393" s="2485" t="s">
        <v>4446</v>
      </c>
      <c r="X393" s="2485" t="s">
        <v>4447</v>
      </c>
      <c r="Y393" s="2485" t="s">
        <v>4448</v>
      </c>
      <c r="Z393" s="2485" t="s">
        <v>4449</v>
      </c>
      <c r="AA393" s="347"/>
    </row>
    <row r="394" spans="1:27" ht="12.75" customHeight="1">
      <c r="A394" s="8243"/>
      <c r="B394" s="242" t="str">
        <f t="shared" si="6"/>
        <v>Nigromancia96</v>
      </c>
      <c r="D394" s="257" t="s">
        <v>335</v>
      </c>
      <c r="E394" s="2487" t="s">
        <v>1567</v>
      </c>
      <c r="F394" s="2487">
        <v>96</v>
      </c>
      <c r="G394" s="2489" t="s">
        <v>2422</v>
      </c>
      <c r="H394" s="2489" t="s">
        <v>3048</v>
      </c>
      <c r="I394" s="351" t="s">
        <v>1165</v>
      </c>
      <c r="J394" s="2487">
        <v>12</v>
      </c>
      <c r="K394" s="2487">
        <v>14</v>
      </c>
      <c r="L394" s="2487">
        <v>16</v>
      </c>
      <c r="M394" s="348">
        <v>18</v>
      </c>
      <c r="N394" s="2487">
        <v>300</v>
      </c>
      <c r="O394" s="2487">
        <v>600</v>
      </c>
      <c r="P394" s="2487">
        <v>1000</v>
      </c>
      <c r="Q394" s="348">
        <v>2000</v>
      </c>
      <c r="R394" s="2487">
        <v>30</v>
      </c>
      <c r="S394" s="2487">
        <v>60</v>
      </c>
      <c r="T394" s="2487">
        <v>100</v>
      </c>
      <c r="U394" s="348">
        <v>200</v>
      </c>
      <c r="V394" s="2485" t="s">
        <v>4137</v>
      </c>
      <c r="W394" s="2485" t="s">
        <v>4450</v>
      </c>
      <c r="X394" s="2485" t="s">
        <v>4451</v>
      </c>
      <c r="Y394" s="2485" t="s">
        <v>4452</v>
      </c>
      <c r="Z394" s="2485" t="s">
        <v>12981</v>
      </c>
      <c r="AA394" s="347"/>
    </row>
    <row r="395" spans="1:27" ht="12.75" customHeight="1">
      <c r="A395" s="8243"/>
      <c r="B395" s="242" t="str">
        <f t="shared" si="6"/>
        <v>Nigromancia98</v>
      </c>
      <c r="D395" s="257" t="s">
        <v>336</v>
      </c>
      <c r="E395" s="2487" t="s">
        <v>1567</v>
      </c>
      <c r="F395" s="2487">
        <v>98</v>
      </c>
      <c r="G395" s="2489" t="s">
        <v>1241</v>
      </c>
      <c r="H395" s="2489" t="s">
        <v>3048</v>
      </c>
      <c r="I395" s="351" t="s">
        <v>1165</v>
      </c>
      <c r="J395" s="2487">
        <v>16</v>
      </c>
      <c r="K395" s="2487">
        <v>17</v>
      </c>
      <c r="L395" s="2487">
        <v>18</v>
      </c>
      <c r="M395" s="348">
        <v>19</v>
      </c>
      <c r="N395" s="2487">
        <v>400</v>
      </c>
      <c r="O395" s="2487">
        <v>800</v>
      </c>
      <c r="P395" s="2487">
        <v>1600</v>
      </c>
      <c r="Q395" s="348">
        <v>3200</v>
      </c>
      <c r="R395" s="2487"/>
      <c r="S395" s="2487"/>
      <c r="T395" s="2487"/>
      <c r="U395" s="348" t="s">
        <v>3384</v>
      </c>
      <c r="V395" s="2485" t="s">
        <v>4453</v>
      </c>
      <c r="W395" s="2485" t="s">
        <v>4454</v>
      </c>
      <c r="X395" s="2485" t="s">
        <v>4455</v>
      </c>
      <c r="Y395" s="2485" t="s">
        <v>4456</v>
      </c>
      <c r="Z395" s="2485" t="s">
        <v>12982</v>
      </c>
      <c r="AA395" s="347"/>
    </row>
    <row r="396" spans="1:27" ht="12.75" customHeight="1">
      <c r="A396" s="8243"/>
      <c r="B396" s="242" t="str">
        <f t="shared" si="6"/>
        <v>Nigromancia100</v>
      </c>
      <c r="D396" s="257" t="s">
        <v>337</v>
      </c>
      <c r="E396" s="2487" t="s">
        <v>1567</v>
      </c>
      <c r="F396" s="2487">
        <v>100</v>
      </c>
      <c r="G396" s="2489" t="s">
        <v>1241</v>
      </c>
      <c r="H396" s="2489" t="s">
        <v>3048</v>
      </c>
      <c r="I396" s="351" t="s">
        <v>1165</v>
      </c>
      <c r="J396" s="2487">
        <v>17</v>
      </c>
      <c r="K396" s="2487">
        <v>18</v>
      </c>
      <c r="L396" s="2487">
        <v>19</v>
      </c>
      <c r="M396" s="348">
        <v>20</v>
      </c>
      <c r="N396" s="2487">
        <v>900</v>
      </c>
      <c r="O396" s="2487">
        <v>2000</v>
      </c>
      <c r="P396" s="2487">
        <v>3500</v>
      </c>
      <c r="Q396" s="348">
        <v>5000</v>
      </c>
      <c r="R396" s="2487">
        <v>45</v>
      </c>
      <c r="S396" s="2487">
        <v>100</v>
      </c>
      <c r="T396" s="2487">
        <v>175</v>
      </c>
      <c r="U396" s="348">
        <v>250</v>
      </c>
      <c r="V396" s="2485" t="s">
        <v>3417</v>
      </c>
      <c r="W396" s="2485" t="s">
        <v>3418</v>
      </c>
      <c r="X396" s="2485" t="s">
        <v>3419</v>
      </c>
      <c r="Y396" s="2485" t="s">
        <v>4457</v>
      </c>
      <c r="Z396" s="2485" t="s">
        <v>12983</v>
      </c>
      <c r="AA396" s="347"/>
    </row>
    <row r="397" spans="1:27" ht="12.75" customHeight="1">
      <c r="A397" s="8243"/>
      <c r="B397" s="242" t="str">
        <f t="shared" si="6"/>
        <v/>
      </c>
      <c r="D397" s="257" t="s">
        <v>338</v>
      </c>
      <c r="E397" s="2487"/>
      <c r="F397" s="2487"/>
      <c r="G397" s="2489"/>
      <c r="H397" s="2489"/>
      <c r="I397" s="351"/>
      <c r="J397" s="2487"/>
      <c r="K397" s="2487"/>
      <c r="L397" s="2487"/>
      <c r="M397" s="348"/>
      <c r="N397" s="2487"/>
      <c r="O397" s="2487"/>
      <c r="P397" s="2487"/>
      <c r="Q397" s="348"/>
      <c r="R397" s="2487"/>
      <c r="S397" s="2487"/>
      <c r="T397" s="2487"/>
      <c r="U397" s="348"/>
      <c r="V397" s="2485"/>
      <c r="W397" s="2485"/>
      <c r="X397" s="2485"/>
      <c r="Y397" s="2485"/>
      <c r="Z397" s="2485"/>
      <c r="AA397" s="347"/>
    </row>
    <row r="398" spans="1:27" ht="12.75" customHeight="1">
      <c r="A398" s="8243"/>
      <c r="B398" s="214" t="str">
        <f t="shared" si="6"/>
        <v>Libre acceso2</v>
      </c>
      <c r="C398" s="214"/>
      <c r="D398" s="257" t="s">
        <v>339</v>
      </c>
      <c r="E398" s="2487" t="s">
        <v>340</v>
      </c>
      <c r="F398" s="2487">
        <v>2</v>
      </c>
      <c r="G398" s="2489" t="s">
        <v>1241</v>
      </c>
      <c r="H398" s="2489" t="s">
        <v>1095</v>
      </c>
      <c r="I398" s="351" t="s">
        <v>1165</v>
      </c>
      <c r="J398" s="2487">
        <v>5</v>
      </c>
      <c r="K398" s="2487">
        <v>8</v>
      </c>
      <c r="L398" s="2487">
        <v>10</v>
      </c>
      <c r="M398" s="348">
        <v>12</v>
      </c>
      <c r="N398" s="2487">
        <v>30</v>
      </c>
      <c r="O398" s="2487">
        <v>70</v>
      </c>
      <c r="P398" s="2487">
        <v>100</v>
      </c>
      <c r="Q398" s="348">
        <v>140</v>
      </c>
      <c r="R398" s="2487"/>
      <c r="S398" s="2487"/>
      <c r="T398" s="2487"/>
      <c r="U398" s="348"/>
      <c r="V398" s="2485" t="s">
        <v>4458</v>
      </c>
      <c r="W398" s="2485" t="s">
        <v>4459</v>
      </c>
      <c r="X398" s="2485" t="s">
        <v>4460</v>
      </c>
      <c r="Y398" s="2485" t="s">
        <v>4461</v>
      </c>
      <c r="Z398" s="2485" t="s">
        <v>4462</v>
      </c>
      <c r="AA398" s="347" t="s">
        <v>9939</v>
      </c>
    </row>
    <row r="399" spans="1:27" ht="12.75" customHeight="1">
      <c r="A399" s="8243"/>
      <c r="B399" s="242" t="str">
        <f t="shared" si="6"/>
        <v>Libre acceso2</v>
      </c>
      <c r="D399" s="257" t="s">
        <v>341</v>
      </c>
      <c r="E399" s="2487" t="s">
        <v>340</v>
      </c>
      <c r="F399" s="2487">
        <v>2</v>
      </c>
      <c r="G399" s="2489" t="s">
        <v>1241</v>
      </c>
      <c r="H399" s="2489" t="s">
        <v>1095</v>
      </c>
      <c r="I399" s="351" t="s">
        <v>1165</v>
      </c>
      <c r="J399" s="2487">
        <v>5</v>
      </c>
      <c r="K399" s="2487">
        <v>8</v>
      </c>
      <c r="L399" s="2487">
        <v>10</v>
      </c>
      <c r="M399" s="348">
        <v>12</v>
      </c>
      <c r="N399" s="2487">
        <v>30</v>
      </c>
      <c r="O399" s="2487">
        <v>70</v>
      </c>
      <c r="P399" s="2487">
        <v>90</v>
      </c>
      <c r="Q399" s="348">
        <v>120</v>
      </c>
      <c r="R399" s="2487">
        <v>5</v>
      </c>
      <c r="S399" s="2487">
        <v>10</v>
      </c>
      <c r="T399" s="2487">
        <v>10</v>
      </c>
      <c r="U399" s="348">
        <v>15</v>
      </c>
      <c r="V399" s="2485" t="s">
        <v>4463</v>
      </c>
      <c r="W399" s="2485" t="s">
        <v>4464</v>
      </c>
      <c r="X399" s="2485" t="s">
        <v>4465</v>
      </c>
      <c r="Y399" s="2485" t="s">
        <v>4466</v>
      </c>
      <c r="Z399" s="2485" t="s">
        <v>4467</v>
      </c>
      <c r="AA399" s="347" t="s">
        <v>9938</v>
      </c>
    </row>
    <row r="400" spans="1:27" ht="12.75" customHeight="1">
      <c r="A400" s="8243"/>
      <c r="B400" s="242" t="str">
        <f t="shared" si="6"/>
        <v>Libre acceso2</v>
      </c>
      <c r="D400" s="257" t="s">
        <v>342</v>
      </c>
      <c r="E400" s="2487" t="s">
        <v>340</v>
      </c>
      <c r="F400" s="2487">
        <v>2</v>
      </c>
      <c r="G400" s="2489" t="s">
        <v>1241</v>
      </c>
      <c r="H400" s="2489" t="s">
        <v>1095</v>
      </c>
      <c r="I400" s="351" t="s">
        <v>1165</v>
      </c>
      <c r="J400" s="2487">
        <v>5</v>
      </c>
      <c r="K400" s="2487">
        <v>8</v>
      </c>
      <c r="L400" s="2487">
        <v>10</v>
      </c>
      <c r="M400" s="348">
        <v>12</v>
      </c>
      <c r="N400" s="2487">
        <v>30</v>
      </c>
      <c r="O400" s="2487">
        <v>60</v>
      </c>
      <c r="P400" s="2487">
        <v>100</v>
      </c>
      <c r="Q400" s="348">
        <v>140</v>
      </c>
      <c r="R400" s="2487"/>
      <c r="S400" s="2487"/>
      <c r="T400" s="2487"/>
      <c r="U400" s="348"/>
      <c r="V400" s="2485" t="s">
        <v>3346</v>
      </c>
      <c r="W400" s="2485" t="s">
        <v>3230</v>
      </c>
      <c r="X400" s="2485" t="s">
        <v>3377</v>
      </c>
      <c r="Y400" s="2485" t="s">
        <v>4061</v>
      </c>
      <c r="Z400" s="2485" t="s">
        <v>4468</v>
      </c>
      <c r="AA400" s="347"/>
    </row>
    <row r="401" spans="1:27" ht="12.75" customHeight="1">
      <c r="A401" s="8243"/>
      <c r="B401" s="242" t="str">
        <f t="shared" si="6"/>
        <v>Libre acceso2</v>
      </c>
      <c r="D401" s="257" t="s">
        <v>343</v>
      </c>
      <c r="E401" s="2487" t="s">
        <v>340</v>
      </c>
      <c r="F401" s="2487">
        <v>2</v>
      </c>
      <c r="G401" s="2489" t="s">
        <v>1241</v>
      </c>
      <c r="H401" s="2489" t="s">
        <v>1095</v>
      </c>
      <c r="I401" s="351" t="s">
        <v>1165</v>
      </c>
      <c r="J401" s="2487">
        <v>5</v>
      </c>
      <c r="K401" s="2487">
        <v>8</v>
      </c>
      <c r="L401" s="2487">
        <v>10</v>
      </c>
      <c r="M401" s="348">
        <v>12</v>
      </c>
      <c r="N401" s="2487">
        <v>40</v>
      </c>
      <c r="O401" s="2487">
        <v>80</v>
      </c>
      <c r="P401" s="2487">
        <v>120</v>
      </c>
      <c r="Q401" s="348">
        <v>150</v>
      </c>
      <c r="R401" s="2487">
        <v>5</v>
      </c>
      <c r="S401" s="2487">
        <v>5</v>
      </c>
      <c r="T401" s="2487">
        <v>10</v>
      </c>
      <c r="U401" s="348">
        <v>10</v>
      </c>
      <c r="V401" s="2485" t="s">
        <v>4493</v>
      </c>
      <c r="W401" s="2485" t="s">
        <v>4494</v>
      </c>
      <c r="X401" s="2485" t="s">
        <v>4495</v>
      </c>
      <c r="Y401" s="2485" t="s">
        <v>4496</v>
      </c>
      <c r="Z401" s="2485" t="s">
        <v>12984</v>
      </c>
      <c r="AA401" s="347" t="s">
        <v>1554</v>
      </c>
    </row>
    <row r="402" spans="1:27" ht="12.75" customHeight="1">
      <c r="A402" s="8243"/>
      <c r="B402" s="242" t="str">
        <f t="shared" si="6"/>
        <v>Libre acceso2</v>
      </c>
      <c r="D402" s="257" t="s">
        <v>344</v>
      </c>
      <c r="E402" s="2487" t="s">
        <v>340</v>
      </c>
      <c r="F402" s="2487">
        <v>2</v>
      </c>
      <c r="G402" s="2489" t="s">
        <v>1241</v>
      </c>
      <c r="H402" s="2489" t="s">
        <v>1095</v>
      </c>
      <c r="I402" s="351" t="s">
        <v>1165</v>
      </c>
      <c r="J402" s="2487">
        <v>5</v>
      </c>
      <c r="K402" s="2487">
        <v>8</v>
      </c>
      <c r="L402" s="2487">
        <v>10</v>
      </c>
      <c r="M402" s="348">
        <v>12</v>
      </c>
      <c r="N402" s="2487">
        <v>50</v>
      </c>
      <c r="O402" s="2487">
        <v>80</v>
      </c>
      <c r="P402" s="2487">
        <v>100</v>
      </c>
      <c r="Q402" s="348">
        <v>120</v>
      </c>
      <c r="R402" s="2487">
        <v>5</v>
      </c>
      <c r="S402" s="2487">
        <v>5</v>
      </c>
      <c r="T402" s="2487">
        <v>5</v>
      </c>
      <c r="U402" s="348">
        <v>10</v>
      </c>
      <c r="V402" s="2485" t="s">
        <v>4470</v>
      </c>
      <c r="W402" s="2485" t="s">
        <v>9963</v>
      </c>
      <c r="X402" s="2485" t="s">
        <v>4471</v>
      </c>
      <c r="Y402" s="2485" t="s">
        <v>4472</v>
      </c>
      <c r="Z402" s="2485" t="s">
        <v>4473</v>
      </c>
      <c r="AA402" s="347" t="s">
        <v>1561</v>
      </c>
    </row>
    <row r="403" spans="1:27" ht="12.75" customHeight="1">
      <c r="A403" s="8243"/>
      <c r="B403" s="242" t="str">
        <f t="shared" si="6"/>
        <v>Libre acceso2</v>
      </c>
      <c r="D403" s="257" t="s">
        <v>345</v>
      </c>
      <c r="E403" s="2487" t="s">
        <v>340</v>
      </c>
      <c r="F403" s="2487">
        <v>2</v>
      </c>
      <c r="G403" s="2489" t="s">
        <v>1241</v>
      </c>
      <c r="H403" s="2489" t="s">
        <v>1095</v>
      </c>
      <c r="I403" s="351" t="s">
        <v>1165</v>
      </c>
      <c r="J403" s="2487">
        <v>5</v>
      </c>
      <c r="K403" s="2487">
        <v>8</v>
      </c>
      <c r="L403" s="2487">
        <v>10</v>
      </c>
      <c r="M403" s="348">
        <v>12</v>
      </c>
      <c r="N403" s="2487">
        <v>40</v>
      </c>
      <c r="O403" s="2487">
        <v>80</v>
      </c>
      <c r="P403" s="2487">
        <v>120</v>
      </c>
      <c r="Q403" s="348">
        <v>160</v>
      </c>
      <c r="R403" s="2487"/>
      <c r="S403" s="2487"/>
      <c r="T403" s="2487"/>
      <c r="U403" s="348"/>
      <c r="V403" s="2485" t="s">
        <v>4474</v>
      </c>
      <c r="W403" s="2485" t="s">
        <v>4475</v>
      </c>
      <c r="X403" s="2485" t="s">
        <v>4476</v>
      </c>
      <c r="Y403" s="2485" t="s">
        <v>4477</v>
      </c>
      <c r="Z403" s="2485" t="s">
        <v>4478</v>
      </c>
      <c r="AA403" s="347" t="s">
        <v>9940</v>
      </c>
    </row>
    <row r="404" spans="1:27" ht="12.75" customHeight="1">
      <c r="A404" s="8243"/>
      <c r="B404" s="242" t="str">
        <f t="shared" si="6"/>
        <v>Libre acceso2</v>
      </c>
      <c r="D404" s="257" t="s">
        <v>9528</v>
      </c>
      <c r="E404" s="2487" t="s">
        <v>340</v>
      </c>
      <c r="F404" s="2487">
        <v>2</v>
      </c>
      <c r="G404" s="2489" t="s">
        <v>1241</v>
      </c>
      <c r="H404" s="2489" t="s">
        <v>1095</v>
      </c>
      <c r="I404" s="351" t="s">
        <v>1165</v>
      </c>
      <c r="J404" s="2487">
        <v>5</v>
      </c>
      <c r="K404" s="2487">
        <v>8</v>
      </c>
      <c r="L404" s="2487">
        <v>10</v>
      </c>
      <c r="M404" s="348">
        <v>12</v>
      </c>
      <c r="N404" s="2487">
        <v>40</v>
      </c>
      <c r="O404" s="2487">
        <v>80</v>
      </c>
      <c r="P404" s="2487">
        <v>110</v>
      </c>
      <c r="Q404" s="348">
        <v>130</v>
      </c>
      <c r="R404" s="2487">
        <v>5</v>
      </c>
      <c r="S404" s="2487">
        <v>10</v>
      </c>
      <c r="T404" s="2487">
        <v>10</v>
      </c>
      <c r="U404" s="348">
        <v>15</v>
      </c>
      <c r="V404" s="2485" t="s">
        <v>3334</v>
      </c>
      <c r="W404" s="2485" t="s">
        <v>4479</v>
      </c>
      <c r="X404" s="2485" t="s">
        <v>4480</v>
      </c>
      <c r="Y404" s="2485" t="s">
        <v>4481</v>
      </c>
      <c r="Z404" s="2485" t="s">
        <v>12985</v>
      </c>
      <c r="AA404" s="347" t="s">
        <v>1464</v>
      </c>
    </row>
    <row r="405" spans="1:27" ht="12.75" customHeight="1">
      <c r="A405" s="8243"/>
      <c r="B405" s="242" t="str">
        <f t="shared" si="6"/>
        <v>Libre acceso2</v>
      </c>
      <c r="D405" s="257" t="s">
        <v>346</v>
      </c>
      <c r="E405" s="2487" t="s">
        <v>340</v>
      </c>
      <c r="F405" s="2487">
        <v>2</v>
      </c>
      <c r="G405" s="2489" t="s">
        <v>1241</v>
      </c>
      <c r="H405" s="2489" t="s">
        <v>1095</v>
      </c>
      <c r="I405" s="351" t="s">
        <v>1165</v>
      </c>
      <c r="J405" s="2487">
        <v>5</v>
      </c>
      <c r="K405" s="2487">
        <v>8</v>
      </c>
      <c r="L405" s="2487">
        <v>10</v>
      </c>
      <c r="M405" s="348">
        <v>12</v>
      </c>
      <c r="N405" s="2487">
        <v>40</v>
      </c>
      <c r="O405" s="2487">
        <v>80</v>
      </c>
      <c r="P405" s="2487">
        <v>120</v>
      </c>
      <c r="Q405" s="348">
        <v>160</v>
      </c>
      <c r="R405" s="2487"/>
      <c r="S405" s="2487"/>
      <c r="T405" s="2487"/>
      <c r="U405" s="348" t="s">
        <v>3384</v>
      </c>
      <c r="V405" s="2485" t="s">
        <v>4482</v>
      </c>
      <c r="W405" s="2485" t="s">
        <v>4483</v>
      </c>
      <c r="X405" s="2485" t="s">
        <v>4484</v>
      </c>
      <c r="Y405" s="2485" t="s">
        <v>4485</v>
      </c>
      <c r="Z405" s="2485" t="s">
        <v>4486</v>
      </c>
      <c r="AA405" s="347" t="s">
        <v>1560</v>
      </c>
    </row>
    <row r="406" spans="1:27" ht="12.75" customHeight="1">
      <c r="A406" s="8243"/>
      <c r="B406" s="242" t="str">
        <f t="shared" si="6"/>
        <v>Libre acceso2</v>
      </c>
      <c r="D406" s="257" t="s">
        <v>347</v>
      </c>
      <c r="E406" s="2487" t="s">
        <v>340</v>
      </c>
      <c r="F406" s="2487">
        <v>2</v>
      </c>
      <c r="G406" s="2489" t="s">
        <v>1241</v>
      </c>
      <c r="H406" s="2489" t="s">
        <v>1095</v>
      </c>
      <c r="I406" s="351" t="s">
        <v>1166</v>
      </c>
      <c r="J406" s="2487">
        <v>5</v>
      </c>
      <c r="K406" s="2487">
        <v>8</v>
      </c>
      <c r="L406" s="2487">
        <v>10</v>
      </c>
      <c r="M406" s="348">
        <v>12</v>
      </c>
      <c r="N406" s="2487">
        <v>40</v>
      </c>
      <c r="O406" s="2487">
        <v>80</v>
      </c>
      <c r="P406" s="2487">
        <v>160</v>
      </c>
      <c r="Q406" s="348">
        <v>240</v>
      </c>
      <c r="R406" s="2487">
        <v>5</v>
      </c>
      <c r="S406" s="2487">
        <v>15</v>
      </c>
      <c r="T406" s="2487">
        <v>20</v>
      </c>
      <c r="U406" s="348">
        <v>25</v>
      </c>
      <c r="V406" s="2485" t="s">
        <v>9171</v>
      </c>
      <c r="W406" s="2485" t="s">
        <v>9172</v>
      </c>
      <c r="X406" s="2485" t="s">
        <v>9173</v>
      </c>
      <c r="Y406" s="2485" t="s">
        <v>9174</v>
      </c>
      <c r="Z406" s="2485" t="s">
        <v>4487</v>
      </c>
      <c r="AA406" s="347" t="s">
        <v>1558</v>
      </c>
    </row>
    <row r="407" spans="1:27" ht="12.75" customHeight="1">
      <c r="A407" s="8243"/>
      <c r="B407" s="242" t="str">
        <f t="shared" si="6"/>
        <v>Libre acceso2</v>
      </c>
      <c r="D407" s="257" t="s">
        <v>348</v>
      </c>
      <c r="E407" s="2487" t="s">
        <v>340</v>
      </c>
      <c r="F407" s="2487">
        <v>2</v>
      </c>
      <c r="G407" s="2489" t="s">
        <v>2422</v>
      </c>
      <c r="H407" s="2489" t="s">
        <v>1095</v>
      </c>
      <c r="I407" s="351" t="s">
        <v>1165</v>
      </c>
      <c r="J407" s="2487">
        <v>5</v>
      </c>
      <c r="K407" s="2487">
        <v>8</v>
      </c>
      <c r="L407" s="2487">
        <v>10</v>
      </c>
      <c r="M407" s="348">
        <v>12</v>
      </c>
      <c r="N407" s="2487">
        <v>30</v>
      </c>
      <c r="O407" s="2487">
        <v>70</v>
      </c>
      <c r="P407" s="2487">
        <v>120</v>
      </c>
      <c r="Q407" s="348">
        <v>180</v>
      </c>
      <c r="R407" s="2487">
        <v>5</v>
      </c>
      <c r="S407" s="2487">
        <v>10</v>
      </c>
      <c r="T407" s="2487">
        <v>15</v>
      </c>
      <c r="U407" s="348">
        <v>20</v>
      </c>
      <c r="V407" s="2485" t="s">
        <v>4488</v>
      </c>
      <c r="W407" s="2485" t="s">
        <v>4489</v>
      </c>
      <c r="X407" s="2485" t="s">
        <v>4490</v>
      </c>
      <c r="Y407" s="2485" t="s">
        <v>4491</v>
      </c>
      <c r="Z407" s="2485" t="s">
        <v>4492</v>
      </c>
      <c r="AA407" s="347" t="s">
        <v>1561</v>
      </c>
    </row>
    <row r="408" spans="1:27" ht="12.75" customHeight="1">
      <c r="A408" s="8243"/>
      <c r="B408" s="242" t="str">
        <f t="shared" si="6"/>
        <v>Libre acceso2</v>
      </c>
      <c r="D408" s="257" t="s">
        <v>1278</v>
      </c>
      <c r="E408" s="2487" t="s">
        <v>340</v>
      </c>
      <c r="F408" s="2487">
        <v>2</v>
      </c>
      <c r="G408" s="2489" t="s">
        <v>1241</v>
      </c>
      <c r="H408" s="2489" t="s">
        <v>1095</v>
      </c>
      <c r="I408" s="351" t="s">
        <v>1165</v>
      </c>
      <c r="J408" s="2487">
        <v>5</v>
      </c>
      <c r="K408" s="2487">
        <v>8</v>
      </c>
      <c r="L408" s="2487">
        <v>10</v>
      </c>
      <c r="M408" s="348">
        <v>12</v>
      </c>
      <c r="N408" s="2487">
        <v>50</v>
      </c>
      <c r="O408" s="2487">
        <v>80</v>
      </c>
      <c r="P408" s="2487">
        <v>100</v>
      </c>
      <c r="Q408" s="348">
        <v>140</v>
      </c>
      <c r="R408" s="2487">
        <v>5</v>
      </c>
      <c r="S408" s="2487">
        <v>10</v>
      </c>
      <c r="T408" s="2487">
        <v>10</v>
      </c>
      <c r="U408" s="348">
        <v>15</v>
      </c>
      <c r="V408" s="2488" t="s">
        <v>8200</v>
      </c>
      <c r="W408" s="2488" t="s">
        <v>8199</v>
      </c>
      <c r="X408" s="2488" t="s">
        <v>8201</v>
      </c>
      <c r="Y408" s="2488" t="s">
        <v>8202</v>
      </c>
      <c r="Z408" s="2485" t="s">
        <v>4469</v>
      </c>
      <c r="AA408" s="347" t="s">
        <v>1558</v>
      </c>
    </row>
    <row r="409" spans="1:27" ht="12.75" customHeight="1">
      <c r="A409" s="8243"/>
      <c r="B409" s="242" t="str">
        <f t="shared" si="6"/>
        <v>Libre acceso2</v>
      </c>
      <c r="D409" s="257" t="s">
        <v>349</v>
      </c>
      <c r="E409" s="2487" t="s">
        <v>340</v>
      </c>
      <c r="F409" s="2487">
        <v>2</v>
      </c>
      <c r="G409" s="2489" t="s">
        <v>2422</v>
      </c>
      <c r="H409" s="2489" t="s">
        <v>1094</v>
      </c>
      <c r="I409" s="351" t="s">
        <v>1165</v>
      </c>
      <c r="J409" s="2487">
        <v>5</v>
      </c>
      <c r="K409" s="2487">
        <v>8</v>
      </c>
      <c r="L409" s="2487">
        <v>10</v>
      </c>
      <c r="M409" s="348">
        <v>12</v>
      </c>
      <c r="N409" s="2487">
        <v>30</v>
      </c>
      <c r="O409" s="2487">
        <v>80</v>
      </c>
      <c r="P409" s="2487">
        <v>100</v>
      </c>
      <c r="Q409" s="348">
        <v>120</v>
      </c>
      <c r="R409" s="2487">
        <v>5</v>
      </c>
      <c r="S409" s="2487">
        <v>5</v>
      </c>
      <c r="T409" s="2487">
        <v>5</v>
      </c>
      <c r="U409" s="348">
        <v>10</v>
      </c>
      <c r="V409" s="2485" t="s">
        <v>4497</v>
      </c>
      <c r="W409" s="2485" t="s">
        <v>4025</v>
      </c>
      <c r="X409" s="2485" t="s">
        <v>4498</v>
      </c>
      <c r="Y409" s="2485" t="s">
        <v>4499</v>
      </c>
      <c r="Z409" s="2485" t="s">
        <v>4500</v>
      </c>
      <c r="AA409" s="347" t="s">
        <v>1561</v>
      </c>
    </row>
    <row r="410" spans="1:27" ht="12.75" customHeight="1">
      <c r="A410" s="8243"/>
      <c r="B410" s="242" t="str">
        <f t="shared" si="6"/>
        <v>Libre acceso</v>
      </c>
      <c r="D410" s="257" t="s">
        <v>350</v>
      </c>
      <c r="E410" s="2487" t="s">
        <v>340</v>
      </c>
      <c r="F410" s="2487"/>
      <c r="G410" s="2489"/>
      <c r="H410" s="2489" t="s">
        <v>1095</v>
      </c>
      <c r="I410" s="351"/>
      <c r="J410" s="2487"/>
      <c r="K410" s="2487"/>
      <c r="L410" s="2487"/>
      <c r="M410" s="348"/>
      <c r="N410" s="2487"/>
      <c r="O410" s="2487"/>
      <c r="P410" s="2487"/>
      <c r="Q410" s="348"/>
      <c r="R410" s="2487"/>
      <c r="S410" s="2487"/>
      <c r="T410" s="2487"/>
      <c r="U410" s="348"/>
      <c r="V410" s="2485"/>
      <c r="W410" s="2485"/>
      <c r="X410" s="2485"/>
      <c r="Y410" s="2485"/>
      <c r="Z410" s="2485"/>
      <c r="AA410" s="347"/>
    </row>
    <row r="411" spans="1:27" ht="12.75" customHeight="1">
      <c r="A411" s="8243"/>
      <c r="B411" s="242" t="str">
        <f t="shared" si="6"/>
        <v>Libre acceso12</v>
      </c>
      <c r="D411" s="257" t="s">
        <v>351</v>
      </c>
      <c r="E411" s="2487" t="s">
        <v>340</v>
      </c>
      <c r="F411" s="2487">
        <f>F398+10</f>
        <v>12</v>
      </c>
      <c r="G411" s="352" t="s">
        <v>1241</v>
      </c>
      <c r="H411" s="2489" t="s">
        <v>1095</v>
      </c>
      <c r="I411" s="351" t="s">
        <v>1165</v>
      </c>
      <c r="J411" s="2487">
        <v>6</v>
      </c>
      <c r="K411" s="2487">
        <v>9</v>
      </c>
      <c r="L411" s="2487">
        <v>11</v>
      </c>
      <c r="M411" s="348">
        <v>13</v>
      </c>
      <c r="N411" s="2487">
        <v>40</v>
      </c>
      <c r="O411" s="2487">
        <v>80</v>
      </c>
      <c r="P411" s="2487">
        <v>120</v>
      </c>
      <c r="Q411" s="348">
        <v>160</v>
      </c>
      <c r="R411" s="2487">
        <v>5</v>
      </c>
      <c r="S411" s="2487">
        <v>10</v>
      </c>
      <c r="T411" s="2487">
        <v>15</v>
      </c>
      <c r="U411" s="348">
        <v>20</v>
      </c>
      <c r="V411" s="2485" t="s">
        <v>4501</v>
      </c>
      <c r="W411" s="2485" t="s">
        <v>4502</v>
      </c>
      <c r="X411" s="2485" t="s">
        <v>4503</v>
      </c>
      <c r="Y411" s="2485" t="s">
        <v>4504</v>
      </c>
      <c r="Z411" s="2485" t="s">
        <v>4505</v>
      </c>
      <c r="AA411" s="347" t="s">
        <v>1561</v>
      </c>
    </row>
    <row r="412" spans="1:27" ht="12.75" customHeight="1">
      <c r="A412" s="8243"/>
      <c r="B412" s="242" t="str">
        <f t="shared" si="6"/>
        <v>Libre acceso12</v>
      </c>
      <c r="D412" s="257" t="s">
        <v>352</v>
      </c>
      <c r="E412" s="2487" t="s">
        <v>340</v>
      </c>
      <c r="F412" s="2487">
        <f t="shared" ref="F412:F422" si="7">F399+10</f>
        <v>12</v>
      </c>
      <c r="G412" s="352" t="s">
        <v>1241</v>
      </c>
      <c r="H412" s="2489" t="s">
        <v>1095</v>
      </c>
      <c r="I412" s="351" t="s">
        <v>1165</v>
      </c>
      <c r="J412" s="2487">
        <v>6</v>
      </c>
      <c r="K412" s="2487">
        <v>9</v>
      </c>
      <c r="L412" s="2487">
        <v>11</v>
      </c>
      <c r="M412" s="348">
        <v>13</v>
      </c>
      <c r="N412" s="2487">
        <v>40</v>
      </c>
      <c r="O412" s="2487">
        <v>70</v>
      </c>
      <c r="P412" s="2487">
        <v>100</v>
      </c>
      <c r="Q412" s="348">
        <v>130</v>
      </c>
      <c r="R412" s="2487">
        <v>5</v>
      </c>
      <c r="S412" s="2487">
        <v>10</v>
      </c>
      <c r="T412" s="2487">
        <v>10</v>
      </c>
      <c r="U412" s="348">
        <v>15</v>
      </c>
      <c r="V412" s="2485" t="s">
        <v>4506</v>
      </c>
      <c r="W412" s="2485" t="s">
        <v>4507</v>
      </c>
      <c r="X412" s="2485" t="s">
        <v>4508</v>
      </c>
      <c r="Y412" s="2485" t="s">
        <v>4509</v>
      </c>
      <c r="Z412" s="2485" t="s">
        <v>4510</v>
      </c>
      <c r="AA412" s="347" t="s">
        <v>1561</v>
      </c>
    </row>
    <row r="413" spans="1:27" ht="12.75" customHeight="1">
      <c r="A413" s="8243"/>
      <c r="B413" s="242" t="str">
        <f t="shared" si="6"/>
        <v>Libre acceso12</v>
      </c>
      <c r="D413" s="257" t="s">
        <v>353</v>
      </c>
      <c r="E413" s="2487" t="s">
        <v>340</v>
      </c>
      <c r="F413" s="2487">
        <f t="shared" si="7"/>
        <v>12</v>
      </c>
      <c r="G413" s="2489" t="s">
        <v>2422</v>
      </c>
      <c r="H413" s="2489" t="s">
        <v>1095</v>
      </c>
      <c r="I413" s="351" t="s">
        <v>1165</v>
      </c>
      <c r="J413" s="2487">
        <v>6</v>
      </c>
      <c r="K413" s="2487">
        <v>9</v>
      </c>
      <c r="L413" s="2487">
        <v>11</v>
      </c>
      <c r="M413" s="348">
        <v>13</v>
      </c>
      <c r="N413" s="2487">
        <v>50</v>
      </c>
      <c r="O413" s="2487">
        <v>80</v>
      </c>
      <c r="P413" s="2487">
        <v>110</v>
      </c>
      <c r="Q413" s="348">
        <v>130</v>
      </c>
      <c r="R413" s="2487">
        <v>5</v>
      </c>
      <c r="S413" s="2487">
        <v>5</v>
      </c>
      <c r="T413" s="2487">
        <v>10</v>
      </c>
      <c r="U413" s="348">
        <v>10</v>
      </c>
      <c r="V413" s="2485" t="s">
        <v>3346</v>
      </c>
      <c r="W413" s="2485" t="s">
        <v>3447</v>
      </c>
      <c r="X413" s="2485" t="s">
        <v>4511</v>
      </c>
      <c r="Y413" s="2485" t="s">
        <v>3377</v>
      </c>
      <c r="Z413" s="2485" t="s">
        <v>12986</v>
      </c>
      <c r="AA413" s="347"/>
    </row>
    <row r="414" spans="1:27" ht="12.75" customHeight="1">
      <c r="A414" s="8243"/>
      <c r="B414" s="242" t="str">
        <f t="shared" si="6"/>
        <v>Libre acceso12</v>
      </c>
      <c r="D414" s="257" t="s">
        <v>354</v>
      </c>
      <c r="E414" s="2487" t="s">
        <v>340</v>
      </c>
      <c r="F414" s="2487">
        <f t="shared" si="7"/>
        <v>12</v>
      </c>
      <c r="G414" s="352" t="s">
        <v>1241</v>
      </c>
      <c r="H414" s="2489" t="s">
        <v>1095</v>
      </c>
      <c r="I414" s="351" t="s">
        <v>1165</v>
      </c>
      <c r="J414" s="2487">
        <v>6</v>
      </c>
      <c r="K414" s="2487">
        <v>9</v>
      </c>
      <c r="L414" s="2487">
        <v>11</v>
      </c>
      <c r="M414" s="348">
        <v>13</v>
      </c>
      <c r="N414" s="2487">
        <v>50</v>
      </c>
      <c r="O414" s="2487">
        <v>100</v>
      </c>
      <c r="P414" s="2487">
        <v>160</v>
      </c>
      <c r="Q414" s="348">
        <v>240</v>
      </c>
      <c r="R414" s="2487">
        <v>5</v>
      </c>
      <c r="S414" s="2487">
        <v>10</v>
      </c>
      <c r="T414" s="2487">
        <v>10</v>
      </c>
      <c r="U414" s="348">
        <v>15</v>
      </c>
      <c r="V414" s="2485" t="s">
        <v>3220</v>
      </c>
      <c r="W414" s="2485" t="s">
        <v>3221</v>
      </c>
      <c r="X414" s="2485" t="s">
        <v>3313</v>
      </c>
      <c r="Y414" s="2485" t="s">
        <v>4512</v>
      </c>
      <c r="Z414" s="2485" t="s">
        <v>4513</v>
      </c>
      <c r="AA414" s="347" t="s">
        <v>1468</v>
      </c>
    </row>
    <row r="415" spans="1:27" ht="12.75" customHeight="1">
      <c r="A415" s="8243"/>
      <c r="B415" s="242" t="str">
        <f t="shared" si="6"/>
        <v>Libre acceso12</v>
      </c>
      <c r="D415" s="257" t="s">
        <v>355</v>
      </c>
      <c r="E415" s="2487" t="s">
        <v>340</v>
      </c>
      <c r="F415" s="2487">
        <f t="shared" si="7"/>
        <v>12</v>
      </c>
      <c r="G415" s="352" t="s">
        <v>1241</v>
      </c>
      <c r="H415" s="2489" t="s">
        <v>1095</v>
      </c>
      <c r="I415" s="351" t="s">
        <v>1165</v>
      </c>
      <c r="J415" s="2487">
        <v>6</v>
      </c>
      <c r="K415" s="2487">
        <v>9</v>
      </c>
      <c r="L415" s="2487">
        <v>11</v>
      </c>
      <c r="M415" s="348">
        <v>13</v>
      </c>
      <c r="N415" s="2487">
        <v>60</v>
      </c>
      <c r="O415" s="2487">
        <v>90</v>
      </c>
      <c r="P415" s="2487">
        <v>120</v>
      </c>
      <c r="Q415" s="348">
        <v>150</v>
      </c>
      <c r="R415" s="2487"/>
      <c r="S415" s="2487"/>
      <c r="T415" s="2487"/>
      <c r="U415" s="348"/>
      <c r="V415" s="2485" t="s">
        <v>3345</v>
      </c>
      <c r="W415" s="2485" t="s">
        <v>3347</v>
      </c>
      <c r="X415" s="2485" t="s">
        <v>4514</v>
      </c>
      <c r="Y415" s="2485" t="s">
        <v>4511</v>
      </c>
      <c r="Z415" s="2485" t="s">
        <v>4515</v>
      </c>
      <c r="AA415" s="347" t="s">
        <v>9940</v>
      </c>
    </row>
    <row r="416" spans="1:27" ht="12.75" customHeight="1">
      <c r="A416" s="8243"/>
      <c r="B416" s="242" t="str">
        <f t="shared" si="6"/>
        <v>Libre acceso12</v>
      </c>
      <c r="D416" s="257" t="s">
        <v>1275</v>
      </c>
      <c r="E416" s="2487" t="s">
        <v>340</v>
      </c>
      <c r="F416" s="2487">
        <f t="shared" si="7"/>
        <v>12</v>
      </c>
      <c r="G416" s="352" t="s">
        <v>1241</v>
      </c>
      <c r="H416" s="2489" t="s">
        <v>1095</v>
      </c>
      <c r="I416" s="351" t="s">
        <v>1165</v>
      </c>
      <c r="J416" s="2487">
        <v>6</v>
      </c>
      <c r="K416" s="2487">
        <v>9</v>
      </c>
      <c r="L416" s="2487">
        <v>11</v>
      </c>
      <c r="M416" s="348">
        <v>13</v>
      </c>
      <c r="N416" s="2487">
        <v>50</v>
      </c>
      <c r="O416" s="2487">
        <v>80</v>
      </c>
      <c r="P416" s="2487">
        <v>120</v>
      </c>
      <c r="Q416" s="348">
        <v>160</v>
      </c>
      <c r="R416" s="2487">
        <v>5</v>
      </c>
      <c r="S416" s="2487">
        <v>10</v>
      </c>
      <c r="T416" s="2487">
        <v>15</v>
      </c>
      <c r="U416" s="348">
        <v>20</v>
      </c>
      <c r="V416" s="2485" t="s">
        <v>4516</v>
      </c>
      <c r="W416" s="2485" t="s">
        <v>4517</v>
      </c>
      <c r="X416" s="2485" t="s">
        <v>4518</v>
      </c>
      <c r="Y416" s="2485" t="s">
        <v>4519</v>
      </c>
      <c r="Z416" s="2485" t="s">
        <v>4520</v>
      </c>
      <c r="AA416" s="347" t="s">
        <v>1461</v>
      </c>
    </row>
    <row r="417" spans="1:27" ht="12.75" customHeight="1">
      <c r="A417" s="8243"/>
      <c r="B417" s="242" t="str">
        <f t="shared" si="6"/>
        <v>Libre acceso12</v>
      </c>
      <c r="D417" s="257" t="s">
        <v>356</v>
      </c>
      <c r="E417" s="2487" t="s">
        <v>340</v>
      </c>
      <c r="F417" s="2487">
        <f t="shared" si="7"/>
        <v>12</v>
      </c>
      <c r="G417" s="2489" t="s">
        <v>2422</v>
      </c>
      <c r="H417" s="2489" t="s">
        <v>1095</v>
      </c>
      <c r="I417" s="351" t="s">
        <v>1165</v>
      </c>
      <c r="J417" s="2487">
        <v>5</v>
      </c>
      <c r="K417" s="2487">
        <v>8</v>
      </c>
      <c r="L417" s="2487">
        <v>10</v>
      </c>
      <c r="M417" s="348">
        <v>12</v>
      </c>
      <c r="N417" s="2487">
        <v>40</v>
      </c>
      <c r="O417" s="2487">
        <v>80</v>
      </c>
      <c r="P417" s="2487">
        <v>100</v>
      </c>
      <c r="Q417" s="348">
        <v>120</v>
      </c>
      <c r="R417" s="2487">
        <v>5</v>
      </c>
      <c r="S417" s="2487">
        <v>10</v>
      </c>
      <c r="T417" s="2487">
        <v>10</v>
      </c>
      <c r="U417" s="348">
        <v>15</v>
      </c>
      <c r="V417" s="2485" t="s">
        <v>4521</v>
      </c>
      <c r="W417" s="2485" t="s">
        <v>4522</v>
      </c>
      <c r="X417" s="2485" t="s">
        <v>4523</v>
      </c>
      <c r="Y417" s="2485" t="s">
        <v>4524</v>
      </c>
      <c r="Z417" s="2485" t="s">
        <v>12987</v>
      </c>
      <c r="AA417" s="347"/>
    </row>
    <row r="418" spans="1:27" ht="12.75" customHeight="1">
      <c r="A418" s="8243"/>
      <c r="B418" s="242" t="str">
        <f t="shared" si="6"/>
        <v>Libre acceso12</v>
      </c>
      <c r="D418" s="257" t="s">
        <v>357</v>
      </c>
      <c r="E418" s="2487" t="s">
        <v>340</v>
      </c>
      <c r="F418" s="2487">
        <f t="shared" si="7"/>
        <v>12</v>
      </c>
      <c r="G418" s="352" t="s">
        <v>1241</v>
      </c>
      <c r="H418" s="2489" t="s">
        <v>1095</v>
      </c>
      <c r="I418" s="351" t="s">
        <v>1165</v>
      </c>
      <c r="J418" s="2487">
        <v>6</v>
      </c>
      <c r="K418" s="2487">
        <v>9</v>
      </c>
      <c r="L418" s="2487">
        <v>11</v>
      </c>
      <c r="M418" s="348">
        <v>13</v>
      </c>
      <c r="N418" s="2487">
        <v>30</v>
      </c>
      <c r="O418" s="2487">
        <v>80</v>
      </c>
      <c r="P418" s="2487">
        <v>140</v>
      </c>
      <c r="Q418" s="348">
        <v>180</v>
      </c>
      <c r="R418" s="2487">
        <v>5</v>
      </c>
      <c r="S418" s="2487">
        <v>5</v>
      </c>
      <c r="T418" s="2487">
        <v>10</v>
      </c>
      <c r="U418" s="348">
        <v>15</v>
      </c>
      <c r="V418" s="2485" t="s">
        <v>4525</v>
      </c>
      <c r="W418" s="2485" t="s">
        <v>4526</v>
      </c>
      <c r="X418" s="2485" t="s">
        <v>4527</v>
      </c>
      <c r="Y418" s="2485" t="s">
        <v>4528</v>
      </c>
      <c r="Z418" s="2485" t="s">
        <v>4529</v>
      </c>
      <c r="AA418" s="347"/>
    </row>
    <row r="419" spans="1:27" ht="12.75" customHeight="1">
      <c r="A419" s="8243"/>
      <c r="B419" s="242" t="str">
        <f t="shared" si="6"/>
        <v>Libre acceso12</v>
      </c>
      <c r="D419" s="257" t="s">
        <v>358</v>
      </c>
      <c r="E419" s="2487" t="s">
        <v>340</v>
      </c>
      <c r="F419" s="2487">
        <f t="shared" si="7"/>
        <v>12</v>
      </c>
      <c r="G419" s="2489" t="s">
        <v>2422</v>
      </c>
      <c r="H419" s="2489" t="s">
        <v>1095</v>
      </c>
      <c r="I419" s="351" t="s">
        <v>1165</v>
      </c>
      <c r="J419" s="2487">
        <v>6</v>
      </c>
      <c r="K419" s="2487">
        <v>9</v>
      </c>
      <c r="L419" s="2487">
        <v>11</v>
      </c>
      <c r="M419" s="348">
        <v>13</v>
      </c>
      <c r="N419" s="2487">
        <v>40</v>
      </c>
      <c r="O419" s="2487">
        <v>80</v>
      </c>
      <c r="P419" s="2487">
        <v>120</v>
      </c>
      <c r="Q419" s="348">
        <v>160</v>
      </c>
      <c r="R419" s="2487">
        <v>5</v>
      </c>
      <c r="S419" s="2487">
        <v>10</v>
      </c>
      <c r="T419" s="2487">
        <v>10</v>
      </c>
      <c r="U419" s="348">
        <v>15</v>
      </c>
      <c r="V419" s="2485" t="s">
        <v>3447</v>
      </c>
      <c r="W419" s="2485" t="s">
        <v>3231</v>
      </c>
      <c r="X419" s="2485" t="s">
        <v>3617</v>
      </c>
      <c r="Y419" s="2485" t="s">
        <v>4530</v>
      </c>
      <c r="Z419" s="2485" t="s">
        <v>4531</v>
      </c>
      <c r="AA419" s="347" t="s">
        <v>9941</v>
      </c>
    </row>
    <row r="420" spans="1:27" ht="12.75" customHeight="1">
      <c r="A420" s="8243"/>
      <c r="B420" s="242" t="str">
        <f t="shared" si="6"/>
        <v>Libre acceso12</v>
      </c>
      <c r="D420" s="257" t="s">
        <v>1536</v>
      </c>
      <c r="E420" s="2487" t="s">
        <v>340</v>
      </c>
      <c r="F420" s="2487">
        <f t="shared" si="7"/>
        <v>12</v>
      </c>
      <c r="G420" s="2489" t="s">
        <v>2422</v>
      </c>
      <c r="H420" s="2489" t="s">
        <v>1095</v>
      </c>
      <c r="I420" s="351" t="s">
        <v>1165</v>
      </c>
      <c r="J420" s="2487">
        <v>6</v>
      </c>
      <c r="K420" s="2487">
        <v>9</v>
      </c>
      <c r="L420" s="2487">
        <v>11</v>
      </c>
      <c r="M420" s="348">
        <v>13</v>
      </c>
      <c r="N420" s="2487">
        <v>50</v>
      </c>
      <c r="O420" s="2487">
        <v>80</v>
      </c>
      <c r="P420" s="2487">
        <v>110</v>
      </c>
      <c r="Q420" s="348">
        <v>150</v>
      </c>
      <c r="R420" s="2487">
        <v>5</v>
      </c>
      <c r="S420" s="2487">
        <v>5</v>
      </c>
      <c r="T420" s="2487">
        <v>10</v>
      </c>
      <c r="U420" s="348">
        <v>15</v>
      </c>
      <c r="V420" s="2485" t="s">
        <v>4532</v>
      </c>
      <c r="W420" s="2485" t="s">
        <v>4533</v>
      </c>
      <c r="X420" s="2485" t="s">
        <v>4534</v>
      </c>
      <c r="Y420" s="2485" t="s">
        <v>4535</v>
      </c>
      <c r="Z420" s="2485" t="s">
        <v>4536</v>
      </c>
      <c r="AA420" s="347"/>
    </row>
    <row r="421" spans="1:27" ht="12.75" customHeight="1">
      <c r="A421" s="8243"/>
      <c r="B421" s="242" t="str">
        <f t="shared" si="6"/>
        <v>Libre acceso12</v>
      </c>
      <c r="D421" s="257" t="s">
        <v>359</v>
      </c>
      <c r="E421" s="2487" t="s">
        <v>340</v>
      </c>
      <c r="F421" s="2487">
        <f t="shared" si="7"/>
        <v>12</v>
      </c>
      <c r="G421" s="2489" t="s">
        <v>2422</v>
      </c>
      <c r="H421" s="2489" t="s">
        <v>1095</v>
      </c>
      <c r="I421" s="351" t="s">
        <v>1165</v>
      </c>
      <c r="J421" s="2487">
        <v>6</v>
      </c>
      <c r="K421" s="2487">
        <v>9</v>
      </c>
      <c r="L421" s="2487">
        <v>11</v>
      </c>
      <c r="M421" s="348">
        <v>13</v>
      </c>
      <c r="N421" s="2487">
        <v>60</v>
      </c>
      <c r="O421" s="2487">
        <v>140</v>
      </c>
      <c r="P421" s="2487">
        <v>220</v>
      </c>
      <c r="Q421" s="348">
        <v>340</v>
      </c>
      <c r="R421" s="2487">
        <v>10</v>
      </c>
      <c r="S421" s="2487">
        <v>15</v>
      </c>
      <c r="T421" s="2487">
        <v>25</v>
      </c>
      <c r="U421" s="348">
        <v>35</v>
      </c>
      <c r="V421" s="2485" t="s">
        <v>3377</v>
      </c>
      <c r="W421" s="2485" t="s">
        <v>3448</v>
      </c>
      <c r="X421" s="2485" t="s">
        <v>4537</v>
      </c>
      <c r="Y421" s="2485" t="s">
        <v>4538</v>
      </c>
      <c r="Z421" s="2485" t="s">
        <v>12988</v>
      </c>
      <c r="AA421" s="347" t="s">
        <v>1553</v>
      </c>
    </row>
    <row r="422" spans="1:27" ht="12.75" customHeight="1">
      <c r="A422" s="8243"/>
      <c r="B422" s="242" t="str">
        <f t="shared" si="6"/>
        <v>Libre acceso12</v>
      </c>
      <c r="D422" s="257" t="s">
        <v>360</v>
      </c>
      <c r="E422" s="2487" t="s">
        <v>340</v>
      </c>
      <c r="F422" s="2487">
        <f t="shared" si="7"/>
        <v>12</v>
      </c>
      <c r="G422" s="2489" t="s">
        <v>2422</v>
      </c>
      <c r="H422" s="2489" t="s">
        <v>1094</v>
      </c>
      <c r="I422" s="351" t="s">
        <v>1165</v>
      </c>
      <c r="J422" s="2487">
        <v>6</v>
      </c>
      <c r="K422" s="2487">
        <v>9</v>
      </c>
      <c r="L422" s="2487">
        <v>11</v>
      </c>
      <c r="M422" s="348">
        <v>13</v>
      </c>
      <c r="N422" s="2487">
        <v>60</v>
      </c>
      <c r="O422" s="2487">
        <v>120</v>
      </c>
      <c r="P422" s="2487">
        <v>180</v>
      </c>
      <c r="Q422" s="348">
        <v>240</v>
      </c>
      <c r="R422" s="2487">
        <v>10</v>
      </c>
      <c r="S422" s="2487">
        <v>20</v>
      </c>
      <c r="T422" s="2487">
        <v>20</v>
      </c>
      <c r="U422" s="348">
        <v>25</v>
      </c>
      <c r="V422" s="2485" t="s">
        <v>3222</v>
      </c>
      <c r="W422" s="2485" t="s">
        <v>3284</v>
      </c>
      <c r="X422" s="2485" t="s">
        <v>3223</v>
      </c>
      <c r="Y422" s="2485" t="s">
        <v>3314</v>
      </c>
      <c r="Z422" s="2485" t="s">
        <v>4539</v>
      </c>
      <c r="AA422" s="347" t="s">
        <v>1468</v>
      </c>
    </row>
    <row r="423" spans="1:27" ht="12.75" customHeight="1">
      <c r="A423" s="8243"/>
      <c r="B423" s="242" t="str">
        <f t="shared" si="6"/>
        <v/>
      </c>
      <c r="D423" s="257" t="s">
        <v>361</v>
      </c>
      <c r="E423" s="2487"/>
      <c r="F423" s="2487"/>
      <c r="G423" s="2489"/>
      <c r="H423" s="2489"/>
      <c r="I423" s="351"/>
      <c r="J423" s="2487"/>
      <c r="K423" s="2487"/>
      <c r="L423" s="2487"/>
      <c r="M423" s="348"/>
      <c r="N423" s="2487"/>
      <c r="O423" s="2487"/>
      <c r="P423" s="2487"/>
      <c r="Q423" s="348"/>
      <c r="R423" s="2487"/>
      <c r="S423" s="2487"/>
      <c r="T423" s="2487"/>
      <c r="U423" s="348"/>
      <c r="V423" s="2485"/>
      <c r="W423" s="2485"/>
      <c r="X423" s="2485"/>
      <c r="Y423" s="2485"/>
      <c r="Z423" s="2485"/>
      <c r="AA423" s="347"/>
    </row>
    <row r="424" spans="1:27" ht="12.75" customHeight="1">
      <c r="A424" s="8243"/>
      <c r="B424" s="242" t="str">
        <f t="shared" si="6"/>
        <v>Libre acceso22</v>
      </c>
      <c r="D424" s="257" t="s">
        <v>362</v>
      </c>
      <c r="E424" s="2487" t="s">
        <v>340</v>
      </c>
      <c r="F424" s="2487">
        <f>F411+10</f>
        <v>22</v>
      </c>
      <c r="G424" s="2489" t="s">
        <v>1241</v>
      </c>
      <c r="H424" s="2489" t="s">
        <v>3789</v>
      </c>
      <c r="I424" s="351" t="s">
        <v>1165</v>
      </c>
      <c r="J424" s="2487">
        <v>10</v>
      </c>
      <c r="K424" s="2487">
        <v>12</v>
      </c>
      <c r="L424" s="2487">
        <v>14</v>
      </c>
      <c r="M424" s="348">
        <v>16</v>
      </c>
      <c r="N424" s="2487">
        <v>100</v>
      </c>
      <c r="O424" s="2487">
        <v>120</v>
      </c>
      <c r="P424" s="2487">
        <v>140</v>
      </c>
      <c r="Q424" s="348">
        <v>160</v>
      </c>
      <c r="R424" s="2487">
        <v>10</v>
      </c>
      <c r="S424" s="2487">
        <v>15</v>
      </c>
      <c r="T424" s="2487">
        <v>15</v>
      </c>
      <c r="U424" s="348">
        <v>20</v>
      </c>
      <c r="V424" s="2485" t="s">
        <v>4540</v>
      </c>
      <c r="W424" s="2485" t="s">
        <v>4541</v>
      </c>
      <c r="X424" s="2485" t="s">
        <v>3570</v>
      </c>
      <c r="Y424" s="2485" t="s">
        <v>4363</v>
      </c>
      <c r="Z424" s="2485" t="s">
        <v>4542</v>
      </c>
      <c r="AA424" s="347" t="s">
        <v>1553</v>
      </c>
    </row>
    <row r="425" spans="1:27" ht="12.75" customHeight="1">
      <c r="A425" s="8243"/>
      <c r="B425" s="242" t="str">
        <f t="shared" si="6"/>
        <v>Libre acceso22</v>
      </c>
      <c r="D425" s="257" t="s">
        <v>363</v>
      </c>
      <c r="E425" s="2487" t="s">
        <v>340</v>
      </c>
      <c r="F425" s="2487">
        <f t="shared" ref="F425:F435" si="8">F412+10</f>
        <v>22</v>
      </c>
      <c r="G425" s="2489" t="s">
        <v>1241</v>
      </c>
      <c r="H425" s="2489" t="s">
        <v>3789</v>
      </c>
      <c r="I425" s="351" t="s">
        <v>1165</v>
      </c>
      <c r="J425" s="2487">
        <v>6</v>
      </c>
      <c r="K425" s="2487">
        <v>9</v>
      </c>
      <c r="L425" s="2487">
        <v>11</v>
      </c>
      <c r="M425" s="348">
        <v>13</v>
      </c>
      <c r="N425" s="2487">
        <v>50</v>
      </c>
      <c r="O425" s="2487">
        <v>70</v>
      </c>
      <c r="P425" s="2487">
        <v>100</v>
      </c>
      <c r="Q425" s="348">
        <v>130</v>
      </c>
      <c r="R425" s="2487">
        <v>5</v>
      </c>
      <c r="S425" s="2487">
        <v>10</v>
      </c>
      <c r="T425" s="2487">
        <v>10</v>
      </c>
      <c r="U425" s="348">
        <v>15</v>
      </c>
      <c r="V425" s="2485" t="s">
        <v>3390</v>
      </c>
      <c r="W425" s="2485" t="s">
        <v>3391</v>
      </c>
      <c r="X425" s="2485" t="s">
        <v>3295</v>
      </c>
      <c r="Y425" s="2485" t="s">
        <v>3153</v>
      </c>
      <c r="Z425" s="2485" t="s">
        <v>4543</v>
      </c>
      <c r="AA425" s="347" t="s">
        <v>9942</v>
      </c>
    </row>
    <row r="426" spans="1:27" ht="12.75" customHeight="1">
      <c r="A426" s="8243"/>
      <c r="B426" s="242" t="str">
        <f t="shared" si="6"/>
        <v>Libre acceso22</v>
      </c>
      <c r="D426" s="257" t="s">
        <v>364</v>
      </c>
      <c r="E426" s="2487" t="s">
        <v>340</v>
      </c>
      <c r="F426" s="2487">
        <f t="shared" si="8"/>
        <v>22</v>
      </c>
      <c r="G426" s="2489" t="s">
        <v>1241</v>
      </c>
      <c r="H426" s="2489" t="s">
        <v>1095</v>
      </c>
      <c r="I426" s="351" t="s">
        <v>1165</v>
      </c>
      <c r="J426" s="2487">
        <v>6</v>
      </c>
      <c r="K426" s="2487">
        <v>9</v>
      </c>
      <c r="L426" s="2487">
        <v>11</v>
      </c>
      <c r="M426" s="348">
        <v>13</v>
      </c>
      <c r="N426" s="2487">
        <v>100</v>
      </c>
      <c r="O426" s="2487">
        <v>120</v>
      </c>
      <c r="P426" s="2487">
        <v>140</v>
      </c>
      <c r="Q426" s="348">
        <v>160</v>
      </c>
      <c r="R426" s="2487"/>
      <c r="S426" s="2487"/>
      <c r="T426" s="2487"/>
      <c r="U426" s="348"/>
      <c r="V426" s="2485" t="s">
        <v>4544</v>
      </c>
      <c r="W426" s="2485" t="s">
        <v>4545</v>
      </c>
      <c r="X426" s="2485" t="s">
        <v>4546</v>
      </c>
      <c r="Y426" s="2485" t="s">
        <v>4547</v>
      </c>
      <c r="Z426" s="2485" t="s">
        <v>4548</v>
      </c>
      <c r="AA426" s="347" t="s">
        <v>1561</v>
      </c>
    </row>
    <row r="427" spans="1:27" ht="12.75" customHeight="1">
      <c r="A427" s="8243"/>
      <c r="B427" s="242" t="str">
        <f t="shared" si="6"/>
        <v>Libre acceso22</v>
      </c>
      <c r="D427" s="257" t="s">
        <v>365</v>
      </c>
      <c r="E427" s="2487" t="s">
        <v>340</v>
      </c>
      <c r="F427" s="2487">
        <f t="shared" si="8"/>
        <v>22</v>
      </c>
      <c r="G427" s="2489" t="s">
        <v>1241</v>
      </c>
      <c r="H427" s="2489" t="s">
        <v>1424</v>
      </c>
      <c r="I427" s="351" t="s">
        <v>1166</v>
      </c>
      <c r="J427" s="2487">
        <v>6</v>
      </c>
      <c r="K427" s="2487">
        <v>9</v>
      </c>
      <c r="L427" s="2487">
        <v>11</v>
      </c>
      <c r="M427" s="348">
        <v>13</v>
      </c>
      <c r="N427" s="2487">
        <v>60</v>
      </c>
      <c r="O427" s="2487">
        <v>120</v>
      </c>
      <c r="P427" s="2487">
        <v>180</v>
      </c>
      <c r="Q427" s="348">
        <v>240</v>
      </c>
      <c r="R427" s="2487">
        <v>10</v>
      </c>
      <c r="S427" s="2487">
        <v>20</v>
      </c>
      <c r="T427" s="2487">
        <v>20</v>
      </c>
      <c r="U427" s="348">
        <v>25</v>
      </c>
      <c r="V427" s="2485" t="s">
        <v>3657</v>
      </c>
      <c r="W427" s="2485" t="s">
        <v>4549</v>
      </c>
      <c r="X427" s="2485" t="s">
        <v>4550</v>
      </c>
      <c r="Y427" s="2485" t="s">
        <v>4551</v>
      </c>
      <c r="Z427" s="2485" t="s">
        <v>4552</v>
      </c>
      <c r="AA427" s="347" t="s">
        <v>1561</v>
      </c>
    </row>
    <row r="428" spans="1:27" ht="12.75" customHeight="1">
      <c r="A428" s="8243"/>
      <c r="B428" s="242" t="str">
        <f t="shared" si="6"/>
        <v>Libre acceso22</v>
      </c>
      <c r="D428" s="257" t="s">
        <v>366</v>
      </c>
      <c r="E428" s="2487" t="s">
        <v>340</v>
      </c>
      <c r="F428" s="2487">
        <f t="shared" si="8"/>
        <v>22</v>
      </c>
      <c r="G428" s="2489" t="s">
        <v>1241</v>
      </c>
      <c r="H428" s="2489" t="s">
        <v>1095</v>
      </c>
      <c r="I428" s="351" t="s">
        <v>1165</v>
      </c>
      <c r="J428" s="2487">
        <v>6</v>
      </c>
      <c r="K428" s="2487">
        <v>9</v>
      </c>
      <c r="L428" s="2487">
        <v>12</v>
      </c>
      <c r="M428" s="348">
        <v>15</v>
      </c>
      <c r="N428" s="2487">
        <v>60</v>
      </c>
      <c r="O428" s="2487">
        <v>90</v>
      </c>
      <c r="P428" s="2487">
        <v>120</v>
      </c>
      <c r="Q428" s="348">
        <v>150</v>
      </c>
      <c r="R428" s="2487">
        <v>10</v>
      </c>
      <c r="S428" s="2487">
        <v>10</v>
      </c>
      <c r="T428" s="2487">
        <v>15</v>
      </c>
      <c r="U428" s="348">
        <v>15</v>
      </c>
      <c r="V428" s="2485" t="s">
        <v>4052</v>
      </c>
      <c r="W428" s="2485" t="s">
        <v>4053</v>
      </c>
      <c r="X428" s="2485" t="s">
        <v>4054</v>
      </c>
      <c r="Y428" s="2485" t="s">
        <v>4055</v>
      </c>
      <c r="Z428" s="2485" t="s">
        <v>4553</v>
      </c>
      <c r="AA428" s="347" t="s">
        <v>1561</v>
      </c>
    </row>
    <row r="429" spans="1:27" ht="12.75" customHeight="1">
      <c r="A429" s="8243"/>
      <c r="B429" s="242" t="str">
        <f t="shared" si="6"/>
        <v>Libre acceso22</v>
      </c>
      <c r="D429" s="257" t="s">
        <v>367</v>
      </c>
      <c r="E429" s="2487" t="s">
        <v>340</v>
      </c>
      <c r="F429" s="2487">
        <f t="shared" si="8"/>
        <v>22</v>
      </c>
      <c r="G429" s="2489" t="s">
        <v>2422</v>
      </c>
      <c r="H429" s="2489" t="s">
        <v>1095</v>
      </c>
      <c r="I429" s="351" t="s">
        <v>1165</v>
      </c>
      <c r="J429" s="2487">
        <v>7</v>
      </c>
      <c r="K429" s="2487">
        <v>10</v>
      </c>
      <c r="L429" s="2487">
        <v>12</v>
      </c>
      <c r="M429" s="348">
        <v>15</v>
      </c>
      <c r="N429" s="2487">
        <v>100</v>
      </c>
      <c r="O429" s="2487">
        <v>160</v>
      </c>
      <c r="P429" s="2487">
        <v>200</v>
      </c>
      <c r="Q429" s="348">
        <v>240</v>
      </c>
      <c r="R429" s="2487">
        <v>20</v>
      </c>
      <c r="S429" s="2487">
        <v>35</v>
      </c>
      <c r="T429" s="2487">
        <v>40</v>
      </c>
      <c r="U429" s="348">
        <v>50</v>
      </c>
      <c r="V429" s="2485" t="s">
        <v>4554</v>
      </c>
      <c r="W429" s="2485" t="s">
        <v>4555</v>
      </c>
      <c r="X429" s="2485" t="s">
        <v>4556</v>
      </c>
      <c r="Y429" s="2485" t="s">
        <v>4557</v>
      </c>
      <c r="Z429" s="2485" t="s">
        <v>4558</v>
      </c>
      <c r="AA429" s="347"/>
    </row>
    <row r="430" spans="1:27" ht="12.75" customHeight="1">
      <c r="A430" s="8243"/>
      <c r="B430" s="242" t="str">
        <f t="shared" si="6"/>
        <v>Libre acceso22</v>
      </c>
      <c r="D430" s="257" t="s">
        <v>368</v>
      </c>
      <c r="E430" s="2487" t="s">
        <v>340</v>
      </c>
      <c r="F430" s="2487">
        <f t="shared" si="8"/>
        <v>22</v>
      </c>
      <c r="G430" s="2489" t="s">
        <v>2422</v>
      </c>
      <c r="H430" s="2489" t="s">
        <v>1095</v>
      </c>
      <c r="I430" s="351" t="s">
        <v>1165</v>
      </c>
      <c r="J430" s="2487">
        <v>6</v>
      </c>
      <c r="K430" s="2487">
        <v>9</v>
      </c>
      <c r="L430" s="2487">
        <v>11</v>
      </c>
      <c r="M430" s="348">
        <v>13</v>
      </c>
      <c r="N430" s="2487">
        <v>80</v>
      </c>
      <c r="O430" s="2487">
        <v>140</v>
      </c>
      <c r="P430" s="2487">
        <v>200</v>
      </c>
      <c r="Q430" s="348">
        <v>260</v>
      </c>
      <c r="R430" s="2487">
        <v>10</v>
      </c>
      <c r="S430" s="2487">
        <v>15</v>
      </c>
      <c r="T430" s="2487">
        <v>20</v>
      </c>
      <c r="U430" s="348">
        <v>30</v>
      </c>
      <c r="V430" s="2485" t="s">
        <v>3222</v>
      </c>
      <c r="W430" s="2485" t="s">
        <v>3284</v>
      </c>
      <c r="X430" s="2485" t="s">
        <v>3223</v>
      </c>
      <c r="Y430" s="2485" t="s">
        <v>3314</v>
      </c>
      <c r="Z430" s="2485" t="s">
        <v>4559</v>
      </c>
      <c r="AA430" s="347" t="s">
        <v>9941</v>
      </c>
    </row>
    <row r="431" spans="1:27" ht="12.75" customHeight="1">
      <c r="A431" s="8243"/>
      <c r="B431" s="242" t="str">
        <f t="shared" si="6"/>
        <v>Libre acceso22</v>
      </c>
      <c r="D431" s="257" t="s">
        <v>2009</v>
      </c>
      <c r="E431" s="2487" t="s">
        <v>340</v>
      </c>
      <c r="F431" s="2487">
        <f t="shared" si="8"/>
        <v>22</v>
      </c>
      <c r="G431" s="2489" t="s">
        <v>1241</v>
      </c>
      <c r="H431" s="2489" t="s">
        <v>4560</v>
      </c>
      <c r="I431" s="351" t="s">
        <v>1165</v>
      </c>
      <c r="J431" s="2487">
        <v>6</v>
      </c>
      <c r="K431" s="2487">
        <v>9</v>
      </c>
      <c r="L431" s="2487">
        <v>12</v>
      </c>
      <c r="M431" s="348">
        <v>15</v>
      </c>
      <c r="N431" s="2487">
        <v>60</v>
      </c>
      <c r="O431" s="2487">
        <v>90</v>
      </c>
      <c r="P431" s="2487">
        <v>120</v>
      </c>
      <c r="Q431" s="348">
        <v>150</v>
      </c>
      <c r="R431" s="2487">
        <v>5</v>
      </c>
      <c r="S431" s="2487">
        <v>5</v>
      </c>
      <c r="T431" s="2487">
        <v>10</v>
      </c>
      <c r="U431" s="348">
        <v>10</v>
      </c>
      <c r="V431" s="2485" t="s">
        <v>4561</v>
      </c>
      <c r="W431" s="2485" t="s">
        <v>4562</v>
      </c>
      <c r="X431" s="2485" t="s">
        <v>4563</v>
      </c>
      <c r="Y431" s="2485" t="s">
        <v>4564</v>
      </c>
      <c r="Z431" s="2485" t="s">
        <v>4565</v>
      </c>
      <c r="AA431" s="347"/>
    </row>
    <row r="432" spans="1:27" ht="12.75" customHeight="1">
      <c r="A432" s="8243"/>
      <c r="B432" s="242" t="str">
        <f t="shared" si="6"/>
        <v>Libre acceso22</v>
      </c>
      <c r="D432" s="257" t="s">
        <v>369</v>
      </c>
      <c r="E432" s="2487" t="s">
        <v>340</v>
      </c>
      <c r="F432" s="2487">
        <f t="shared" si="8"/>
        <v>22</v>
      </c>
      <c r="G432" s="2489" t="s">
        <v>1241</v>
      </c>
      <c r="H432" s="2489" t="s">
        <v>1095</v>
      </c>
      <c r="I432" s="351" t="s">
        <v>1165</v>
      </c>
      <c r="J432" s="2487">
        <v>6</v>
      </c>
      <c r="K432" s="2487">
        <v>9</v>
      </c>
      <c r="L432" s="2487">
        <v>11</v>
      </c>
      <c r="M432" s="348">
        <v>13</v>
      </c>
      <c r="N432" s="2487">
        <v>80</v>
      </c>
      <c r="O432" s="2487">
        <v>100</v>
      </c>
      <c r="P432" s="2487">
        <v>120</v>
      </c>
      <c r="Q432" s="348">
        <v>140</v>
      </c>
      <c r="R432" s="2487"/>
      <c r="S432" s="2487"/>
      <c r="T432" s="2487"/>
      <c r="U432" s="348"/>
      <c r="V432" s="2485" t="s">
        <v>4566</v>
      </c>
      <c r="W432" s="2485" t="s">
        <v>4567</v>
      </c>
      <c r="X432" s="2485" t="s">
        <v>4568</v>
      </c>
      <c r="Y432" s="2485" t="s">
        <v>4569</v>
      </c>
      <c r="Z432" s="2485" t="s">
        <v>4570</v>
      </c>
      <c r="AA432" s="347"/>
    </row>
    <row r="433" spans="1:27" ht="12.75" customHeight="1">
      <c r="A433" s="8243"/>
      <c r="B433" s="242" t="str">
        <f t="shared" si="6"/>
        <v>Libre acceso22</v>
      </c>
      <c r="D433" s="257" t="s">
        <v>370</v>
      </c>
      <c r="E433" s="2487" t="s">
        <v>340</v>
      </c>
      <c r="F433" s="2487">
        <f t="shared" si="8"/>
        <v>22</v>
      </c>
      <c r="G433" s="2489" t="s">
        <v>1241</v>
      </c>
      <c r="H433" s="2489" t="s">
        <v>1095</v>
      </c>
      <c r="I433" s="351" t="s">
        <v>1165</v>
      </c>
      <c r="J433" s="2487">
        <v>6</v>
      </c>
      <c r="K433" s="2487">
        <v>9</v>
      </c>
      <c r="L433" s="2487">
        <v>11</v>
      </c>
      <c r="M433" s="348">
        <v>13</v>
      </c>
      <c r="N433" s="2487">
        <v>80</v>
      </c>
      <c r="O433" s="2487">
        <v>120</v>
      </c>
      <c r="P433" s="2487">
        <v>160</v>
      </c>
      <c r="Q433" s="348">
        <v>200</v>
      </c>
      <c r="R433" s="2487">
        <v>10</v>
      </c>
      <c r="S433" s="2487">
        <v>10</v>
      </c>
      <c r="T433" s="2487">
        <v>15</v>
      </c>
      <c r="U433" s="348">
        <v>15</v>
      </c>
      <c r="V433" s="2485" t="s">
        <v>4571</v>
      </c>
      <c r="W433" s="2485" t="s">
        <v>4572</v>
      </c>
      <c r="X433" s="2485" t="s">
        <v>4573</v>
      </c>
      <c r="Y433" s="2485" t="s">
        <v>4574</v>
      </c>
      <c r="Z433" s="2485" t="s">
        <v>4575</v>
      </c>
      <c r="AA433" s="347" t="s">
        <v>1558</v>
      </c>
    </row>
    <row r="434" spans="1:27" ht="12.75" customHeight="1">
      <c r="A434" s="8243"/>
      <c r="B434" s="242" t="str">
        <f t="shared" si="6"/>
        <v>Libre acceso22</v>
      </c>
      <c r="D434" s="257" t="s">
        <v>1478</v>
      </c>
      <c r="E434" s="2487" t="s">
        <v>340</v>
      </c>
      <c r="F434" s="2487">
        <f t="shared" si="8"/>
        <v>22</v>
      </c>
      <c r="G434" s="2489" t="s">
        <v>1241</v>
      </c>
      <c r="H434" s="2489" t="s">
        <v>1095</v>
      </c>
      <c r="I434" s="351" t="s">
        <v>1165</v>
      </c>
      <c r="J434" s="2487">
        <v>6</v>
      </c>
      <c r="K434" s="2487">
        <v>9</v>
      </c>
      <c r="L434" s="2487">
        <v>11</v>
      </c>
      <c r="M434" s="348">
        <v>13</v>
      </c>
      <c r="N434" s="2487">
        <v>50</v>
      </c>
      <c r="O434" s="2487">
        <v>80</v>
      </c>
      <c r="P434" s="2487">
        <v>100</v>
      </c>
      <c r="Q434" s="348">
        <v>120</v>
      </c>
      <c r="R434" s="2487">
        <v>5</v>
      </c>
      <c r="S434" s="2487">
        <v>10</v>
      </c>
      <c r="T434" s="2487">
        <v>10</v>
      </c>
      <c r="U434" s="348">
        <v>15</v>
      </c>
      <c r="V434" s="2485" t="s">
        <v>4576</v>
      </c>
      <c r="W434" s="2485" t="s">
        <v>4577</v>
      </c>
      <c r="X434" s="2485" t="s">
        <v>4578</v>
      </c>
      <c r="Y434" s="2485" t="s">
        <v>4579</v>
      </c>
      <c r="Z434" s="2485" t="s">
        <v>4580</v>
      </c>
      <c r="AA434" s="347" t="s">
        <v>1558</v>
      </c>
    </row>
    <row r="435" spans="1:27" ht="12.75" customHeight="1">
      <c r="A435" s="8243"/>
      <c r="B435" s="242" t="str">
        <f t="shared" si="6"/>
        <v>Libre acceso22</v>
      </c>
      <c r="D435" s="257" t="s">
        <v>371</v>
      </c>
      <c r="E435" s="2487" t="s">
        <v>340</v>
      </c>
      <c r="F435" s="2487">
        <f t="shared" si="8"/>
        <v>22</v>
      </c>
      <c r="G435" s="2489" t="s">
        <v>2422</v>
      </c>
      <c r="H435" s="2489" t="s">
        <v>1096</v>
      </c>
      <c r="I435" s="351" t="s">
        <v>1165</v>
      </c>
      <c r="J435" s="2487">
        <v>6</v>
      </c>
      <c r="K435" s="2487">
        <v>9</v>
      </c>
      <c r="L435" s="2487">
        <v>12</v>
      </c>
      <c r="M435" s="348">
        <v>15</v>
      </c>
      <c r="N435" s="2487">
        <v>60</v>
      </c>
      <c r="O435" s="2487">
        <v>90</v>
      </c>
      <c r="P435" s="2487">
        <v>120</v>
      </c>
      <c r="Q435" s="348">
        <v>150</v>
      </c>
      <c r="R435" s="2487">
        <v>5</v>
      </c>
      <c r="S435" s="2487">
        <v>5</v>
      </c>
      <c r="T435" s="2487">
        <v>10</v>
      </c>
      <c r="U435" s="348">
        <v>10</v>
      </c>
      <c r="V435" s="2485" t="s">
        <v>3230</v>
      </c>
      <c r="W435" s="2485" t="s">
        <v>3448</v>
      </c>
      <c r="X435" s="2485" t="s">
        <v>4581</v>
      </c>
      <c r="Y435" s="2485" t="s">
        <v>4582</v>
      </c>
      <c r="Z435" s="2485" t="s">
        <v>4583</v>
      </c>
      <c r="AA435" s="347"/>
    </row>
    <row r="436" spans="1:27" ht="12.75" customHeight="1">
      <c r="A436" s="8243"/>
      <c r="B436" s="242" t="str">
        <f t="shared" si="6"/>
        <v/>
      </c>
      <c r="D436" s="257" t="s">
        <v>372</v>
      </c>
      <c r="E436" s="2487"/>
      <c r="F436" s="2487"/>
      <c r="G436" s="2489"/>
      <c r="H436" s="2489"/>
      <c r="I436" s="351"/>
      <c r="J436" s="2487"/>
      <c r="K436" s="2487"/>
      <c r="L436" s="2487"/>
      <c r="M436" s="348"/>
      <c r="N436" s="2487"/>
      <c r="O436" s="2487"/>
      <c r="P436" s="2487"/>
      <c r="Q436" s="348"/>
      <c r="R436" s="2487"/>
      <c r="S436" s="2487"/>
      <c r="T436" s="2487"/>
      <c r="U436" s="348"/>
      <c r="V436" s="2485"/>
      <c r="W436" s="2485"/>
      <c r="X436" s="2485"/>
      <c r="Y436" s="2485"/>
      <c r="Z436" s="2485"/>
      <c r="AA436" s="347"/>
    </row>
    <row r="437" spans="1:27" ht="12.75" customHeight="1">
      <c r="A437" s="8243"/>
      <c r="B437" s="242" t="str">
        <f t="shared" si="6"/>
        <v>Libre acceso32</v>
      </c>
      <c r="D437" s="257" t="s">
        <v>373</v>
      </c>
      <c r="E437" s="2487" t="s">
        <v>340</v>
      </c>
      <c r="F437" s="2487">
        <f>F424+10</f>
        <v>32</v>
      </c>
      <c r="G437" s="2489" t="s">
        <v>2422</v>
      </c>
      <c r="H437" s="2489" t="s">
        <v>1095</v>
      </c>
      <c r="I437" s="351" t="s">
        <v>1165</v>
      </c>
      <c r="J437" s="2487">
        <v>6</v>
      </c>
      <c r="K437" s="2487">
        <v>9</v>
      </c>
      <c r="L437" s="2487">
        <v>11</v>
      </c>
      <c r="M437" s="348">
        <v>14</v>
      </c>
      <c r="N437" s="2487">
        <v>60</v>
      </c>
      <c r="O437" s="2487">
        <v>90</v>
      </c>
      <c r="P437" s="2487">
        <v>120</v>
      </c>
      <c r="Q437" s="348">
        <v>150</v>
      </c>
      <c r="R437" s="2487">
        <v>10</v>
      </c>
      <c r="S437" s="2487">
        <v>10</v>
      </c>
      <c r="T437" s="2487">
        <v>15</v>
      </c>
      <c r="U437" s="348">
        <v>15</v>
      </c>
      <c r="V437" s="2485" t="s">
        <v>4584</v>
      </c>
      <c r="W437" s="2485" t="s">
        <v>4585</v>
      </c>
      <c r="X437" s="2485" t="s">
        <v>4586</v>
      </c>
      <c r="Y437" s="2485" t="s">
        <v>4587</v>
      </c>
      <c r="Z437" s="2485" t="s">
        <v>4588</v>
      </c>
      <c r="AA437" s="347" t="s">
        <v>1563</v>
      </c>
    </row>
    <row r="438" spans="1:27" ht="12.75" customHeight="1">
      <c r="A438" s="8243"/>
      <c r="B438" s="242" t="str">
        <f t="shared" si="6"/>
        <v>Libre acceso32</v>
      </c>
      <c r="D438" s="257" t="s">
        <v>374</v>
      </c>
      <c r="E438" s="2487" t="s">
        <v>340</v>
      </c>
      <c r="F438" s="2487">
        <f t="shared" ref="F438:F448" si="9">F425+10</f>
        <v>32</v>
      </c>
      <c r="G438" s="2489" t="s">
        <v>1241</v>
      </c>
      <c r="H438" s="2489" t="s">
        <v>1095</v>
      </c>
      <c r="I438" s="351" t="s">
        <v>1165</v>
      </c>
      <c r="J438" s="2487">
        <v>7</v>
      </c>
      <c r="K438" s="2487">
        <v>10</v>
      </c>
      <c r="L438" s="2487">
        <v>12</v>
      </c>
      <c r="M438" s="348">
        <v>14</v>
      </c>
      <c r="N438" s="2487">
        <v>150</v>
      </c>
      <c r="O438" s="2487">
        <v>200</v>
      </c>
      <c r="P438" s="2487">
        <v>240</v>
      </c>
      <c r="Q438" s="348">
        <v>280</v>
      </c>
      <c r="R438" s="2487"/>
      <c r="S438" s="2487"/>
      <c r="T438" s="2487"/>
      <c r="U438" s="348" t="s">
        <v>3384</v>
      </c>
      <c r="V438" s="2485" t="s">
        <v>4589</v>
      </c>
      <c r="W438" s="2485" t="s">
        <v>4590</v>
      </c>
      <c r="X438" s="2485" t="s">
        <v>4591</v>
      </c>
      <c r="Y438" s="2485" t="s">
        <v>4592</v>
      </c>
      <c r="Z438" s="2485" t="s">
        <v>4593</v>
      </c>
      <c r="AA438" s="347" t="s">
        <v>1560</v>
      </c>
    </row>
    <row r="439" spans="1:27" ht="12.75" customHeight="1">
      <c r="A439" s="8243"/>
      <c r="B439" s="242" t="str">
        <f t="shared" si="6"/>
        <v>Libre acceso32</v>
      </c>
      <c r="D439" s="257" t="s">
        <v>375</v>
      </c>
      <c r="E439" s="2487" t="s">
        <v>340</v>
      </c>
      <c r="F439" s="2487">
        <f t="shared" si="9"/>
        <v>32</v>
      </c>
      <c r="G439" s="2489" t="s">
        <v>2422</v>
      </c>
      <c r="H439" s="2489" t="s">
        <v>1095</v>
      </c>
      <c r="I439" s="351" t="s">
        <v>1165</v>
      </c>
      <c r="J439" s="2487">
        <v>7</v>
      </c>
      <c r="K439" s="2487">
        <v>10</v>
      </c>
      <c r="L439" s="2487">
        <v>12</v>
      </c>
      <c r="M439" s="348">
        <v>15</v>
      </c>
      <c r="N439" s="2487">
        <v>100</v>
      </c>
      <c r="O439" s="2487">
        <v>150</v>
      </c>
      <c r="P439" s="2487">
        <v>200</v>
      </c>
      <c r="Q439" s="348">
        <v>250</v>
      </c>
      <c r="R439" s="2487">
        <v>10</v>
      </c>
      <c r="S439" s="2487">
        <v>15</v>
      </c>
      <c r="T439" s="2487">
        <v>20</v>
      </c>
      <c r="U439" s="348">
        <v>25</v>
      </c>
      <c r="V439" s="2485" t="s">
        <v>4594</v>
      </c>
      <c r="W439" s="2485" t="s">
        <v>4595</v>
      </c>
      <c r="X439" s="2485" t="s">
        <v>4596</v>
      </c>
      <c r="Y439" s="2485" t="s">
        <v>4597</v>
      </c>
      <c r="Z439" s="2485" t="s">
        <v>4598</v>
      </c>
      <c r="AA439" s="347"/>
    </row>
    <row r="440" spans="1:27" ht="12.75" customHeight="1">
      <c r="A440" s="8243"/>
      <c r="B440" s="242" t="str">
        <f t="shared" si="6"/>
        <v>Libre acceso32</v>
      </c>
      <c r="D440" s="257" t="s">
        <v>376</v>
      </c>
      <c r="E440" s="2487" t="s">
        <v>340</v>
      </c>
      <c r="F440" s="2487">
        <f t="shared" si="9"/>
        <v>32</v>
      </c>
      <c r="G440" s="2489" t="s">
        <v>1241</v>
      </c>
      <c r="H440" s="2489" t="s">
        <v>1096</v>
      </c>
      <c r="I440" s="351" t="s">
        <v>1165</v>
      </c>
      <c r="J440" s="2487">
        <v>7</v>
      </c>
      <c r="K440" s="2487">
        <v>10</v>
      </c>
      <c r="L440" s="2487">
        <v>12</v>
      </c>
      <c r="M440" s="348">
        <v>14</v>
      </c>
      <c r="N440" s="2487">
        <v>80</v>
      </c>
      <c r="O440" s="2487">
        <v>120</v>
      </c>
      <c r="P440" s="2487">
        <v>160</v>
      </c>
      <c r="Q440" s="348">
        <v>200</v>
      </c>
      <c r="R440" s="2487">
        <v>10</v>
      </c>
      <c r="S440" s="2487">
        <v>10</v>
      </c>
      <c r="T440" s="2487">
        <v>15</v>
      </c>
      <c r="U440" s="348">
        <v>15</v>
      </c>
      <c r="V440" s="2485" t="s">
        <v>4599</v>
      </c>
      <c r="W440" s="2485" t="s">
        <v>4600</v>
      </c>
      <c r="X440" s="2485" t="s">
        <v>4601</v>
      </c>
      <c r="Y440" s="2485" t="s">
        <v>4602</v>
      </c>
      <c r="Z440" s="2485" t="s">
        <v>4603</v>
      </c>
      <c r="AA440" s="347" t="s">
        <v>1553</v>
      </c>
    </row>
    <row r="441" spans="1:27" ht="12.75" customHeight="1">
      <c r="A441" s="8243"/>
      <c r="B441" s="242" t="str">
        <f t="shared" si="6"/>
        <v>Libre acceso32</v>
      </c>
      <c r="D441" s="257" t="s">
        <v>377</v>
      </c>
      <c r="E441" s="2487" t="s">
        <v>340</v>
      </c>
      <c r="F441" s="2487">
        <f t="shared" si="9"/>
        <v>32</v>
      </c>
      <c r="G441" s="2489" t="s">
        <v>1241</v>
      </c>
      <c r="H441" s="2489" t="s">
        <v>1095</v>
      </c>
      <c r="I441" s="351" t="s">
        <v>1165</v>
      </c>
      <c r="J441" s="2487">
        <v>7</v>
      </c>
      <c r="K441" s="2487">
        <v>10</v>
      </c>
      <c r="L441" s="2487">
        <v>12</v>
      </c>
      <c r="M441" s="348">
        <v>14</v>
      </c>
      <c r="N441" s="2487">
        <v>80</v>
      </c>
      <c r="O441" s="2487">
        <v>100</v>
      </c>
      <c r="P441" s="2487">
        <v>120</v>
      </c>
      <c r="Q441" s="348">
        <v>140</v>
      </c>
      <c r="R441" s="2487"/>
      <c r="S441" s="2487"/>
      <c r="T441" s="2487"/>
      <c r="U441" s="348" t="s">
        <v>3384</v>
      </c>
      <c r="V441" s="2485" t="s">
        <v>4604</v>
      </c>
      <c r="W441" s="2485" t="s">
        <v>4605</v>
      </c>
      <c r="X441" s="2485" t="s">
        <v>4606</v>
      </c>
      <c r="Y441" s="2485" t="s">
        <v>4607</v>
      </c>
      <c r="Z441" s="2485" t="s">
        <v>4608</v>
      </c>
      <c r="AA441" s="347" t="s">
        <v>1560</v>
      </c>
    </row>
    <row r="442" spans="1:27" ht="12.75" customHeight="1">
      <c r="A442" s="8243"/>
      <c r="B442" s="242" t="str">
        <f t="shared" si="6"/>
        <v>Libre acceso32</v>
      </c>
      <c r="D442" s="257" t="s">
        <v>378</v>
      </c>
      <c r="E442" s="2487" t="s">
        <v>340</v>
      </c>
      <c r="F442" s="2487">
        <f t="shared" si="9"/>
        <v>32</v>
      </c>
      <c r="G442" s="2489" t="s">
        <v>1241</v>
      </c>
      <c r="H442" s="2489" t="s">
        <v>1095</v>
      </c>
      <c r="I442" s="351" t="s">
        <v>1165</v>
      </c>
      <c r="J442" s="2487">
        <v>8</v>
      </c>
      <c r="K442" s="2487">
        <v>11</v>
      </c>
      <c r="L442" s="2487">
        <v>13</v>
      </c>
      <c r="M442" s="348">
        <v>16</v>
      </c>
      <c r="N442" s="2487">
        <v>80</v>
      </c>
      <c r="O442" s="2487">
        <v>140</v>
      </c>
      <c r="P442" s="2487">
        <v>200</v>
      </c>
      <c r="Q442" s="348">
        <v>300</v>
      </c>
      <c r="R442" s="2487"/>
      <c r="S442" s="2487"/>
      <c r="T442" s="2487"/>
      <c r="U442" s="348" t="s">
        <v>3384</v>
      </c>
      <c r="V442" s="2485" t="s">
        <v>4609</v>
      </c>
      <c r="W442" s="2485" t="s">
        <v>4610</v>
      </c>
      <c r="X442" s="2485" t="s">
        <v>4611</v>
      </c>
      <c r="Y442" s="2485" t="s">
        <v>4612</v>
      </c>
      <c r="Z442" s="2485" t="s">
        <v>4613</v>
      </c>
      <c r="AA442" s="347"/>
    </row>
    <row r="443" spans="1:27" ht="12.75" customHeight="1">
      <c r="A443" s="8243"/>
      <c r="B443" s="242" t="str">
        <f t="shared" si="6"/>
        <v>Libre acceso32</v>
      </c>
      <c r="D443" s="257" t="s">
        <v>379</v>
      </c>
      <c r="E443" s="2487" t="s">
        <v>340</v>
      </c>
      <c r="F443" s="2487">
        <f t="shared" si="9"/>
        <v>32</v>
      </c>
      <c r="G443" s="2489" t="s">
        <v>1241</v>
      </c>
      <c r="H443" s="2489" t="s">
        <v>1093</v>
      </c>
      <c r="I443" s="351" t="s">
        <v>1165</v>
      </c>
      <c r="J443" s="2487">
        <v>6</v>
      </c>
      <c r="K443" s="2487">
        <v>9</v>
      </c>
      <c r="L443" s="2487">
        <v>11</v>
      </c>
      <c r="M443" s="348">
        <v>14</v>
      </c>
      <c r="N443" s="2487">
        <v>60</v>
      </c>
      <c r="O443" s="2487">
        <v>90</v>
      </c>
      <c r="P443" s="2487">
        <v>120</v>
      </c>
      <c r="Q443" s="348">
        <v>150</v>
      </c>
      <c r="R443" s="2487"/>
      <c r="S443" s="2487"/>
      <c r="T443" s="2487"/>
      <c r="U443" s="348"/>
      <c r="V443" s="2485" t="s">
        <v>4614</v>
      </c>
      <c r="W443" s="2485" t="s">
        <v>4615</v>
      </c>
      <c r="X443" s="2485" t="s">
        <v>4371</v>
      </c>
      <c r="Y443" s="2485" t="s">
        <v>3531</v>
      </c>
      <c r="Z443" s="2485" t="s">
        <v>4616</v>
      </c>
      <c r="AA443" s="347" t="s">
        <v>1560</v>
      </c>
    </row>
    <row r="444" spans="1:27" ht="12.75" customHeight="1">
      <c r="A444" s="8243"/>
      <c r="B444" s="242" t="str">
        <f t="shared" si="6"/>
        <v>Libre acceso32</v>
      </c>
      <c r="D444" s="257" t="s">
        <v>380</v>
      </c>
      <c r="E444" s="2487" t="s">
        <v>340</v>
      </c>
      <c r="F444" s="2487">
        <f t="shared" si="9"/>
        <v>32</v>
      </c>
      <c r="G444" s="352" t="s">
        <v>2422</v>
      </c>
      <c r="H444" s="2489" t="s">
        <v>1095</v>
      </c>
      <c r="I444" s="351" t="s">
        <v>1165</v>
      </c>
      <c r="J444" s="2487">
        <v>7</v>
      </c>
      <c r="K444" s="2487">
        <v>10</v>
      </c>
      <c r="L444" s="2487">
        <v>12</v>
      </c>
      <c r="M444" s="348">
        <v>14</v>
      </c>
      <c r="N444" s="2487">
        <v>80</v>
      </c>
      <c r="O444" s="2487">
        <v>160</v>
      </c>
      <c r="P444" s="2487">
        <v>200</v>
      </c>
      <c r="Q444" s="348">
        <v>240</v>
      </c>
      <c r="R444" s="2487">
        <v>5</v>
      </c>
      <c r="S444" s="2487">
        <v>10</v>
      </c>
      <c r="T444" s="2487">
        <v>10</v>
      </c>
      <c r="U444" s="348">
        <v>15</v>
      </c>
      <c r="V444" s="2485" t="s">
        <v>3344</v>
      </c>
      <c r="W444" s="2485" t="s">
        <v>3346</v>
      </c>
      <c r="X444" s="2485" t="s">
        <v>3447</v>
      </c>
      <c r="Y444" s="2485" t="s">
        <v>3230</v>
      </c>
      <c r="Z444" s="2485" t="s">
        <v>12989</v>
      </c>
      <c r="AA444" s="347"/>
    </row>
    <row r="445" spans="1:27" ht="12.75" customHeight="1">
      <c r="A445" s="8243"/>
      <c r="B445" s="242" t="str">
        <f t="shared" si="6"/>
        <v>Libre acceso32</v>
      </c>
      <c r="D445" s="257" t="s">
        <v>381</v>
      </c>
      <c r="E445" s="2487" t="s">
        <v>340</v>
      </c>
      <c r="F445" s="2487">
        <f t="shared" si="9"/>
        <v>32</v>
      </c>
      <c r="G445" s="2489" t="s">
        <v>2422</v>
      </c>
      <c r="H445" s="2489" t="s">
        <v>3789</v>
      </c>
      <c r="I445" s="351" t="s">
        <v>1165</v>
      </c>
      <c r="J445" s="2487">
        <v>6</v>
      </c>
      <c r="K445" s="2487">
        <v>9</v>
      </c>
      <c r="L445" s="2487">
        <v>11</v>
      </c>
      <c r="M445" s="348">
        <v>14</v>
      </c>
      <c r="N445" s="2487">
        <v>50</v>
      </c>
      <c r="O445" s="2487">
        <v>100</v>
      </c>
      <c r="P445" s="2487">
        <v>150</v>
      </c>
      <c r="Q445" s="348">
        <v>200</v>
      </c>
      <c r="R445" s="2487">
        <v>5</v>
      </c>
      <c r="S445" s="2487">
        <v>10</v>
      </c>
      <c r="T445" s="2487">
        <v>15</v>
      </c>
      <c r="U445" s="348">
        <v>15</v>
      </c>
      <c r="V445" s="2485" t="s">
        <v>3390</v>
      </c>
      <c r="W445" s="2485" t="s">
        <v>3295</v>
      </c>
      <c r="X445" s="2485" t="s">
        <v>3296</v>
      </c>
      <c r="Y445" s="2485" t="s">
        <v>3297</v>
      </c>
      <c r="Z445" s="2485" t="s">
        <v>4617</v>
      </c>
      <c r="AA445" s="347" t="s">
        <v>9943</v>
      </c>
    </row>
    <row r="446" spans="1:27" ht="12.75" customHeight="1">
      <c r="A446" s="8243"/>
      <c r="B446" s="242" t="str">
        <f t="shared" si="6"/>
        <v>Libre acceso32</v>
      </c>
      <c r="D446" s="257" t="s">
        <v>163</v>
      </c>
      <c r="E446" s="2487" t="s">
        <v>340</v>
      </c>
      <c r="F446" s="2487">
        <f t="shared" si="9"/>
        <v>32</v>
      </c>
      <c r="G446" s="2489" t="s">
        <v>1241</v>
      </c>
      <c r="H446" s="2489" t="s">
        <v>1097</v>
      </c>
      <c r="I446" s="351" t="s">
        <v>1165</v>
      </c>
      <c r="J446" s="2487">
        <v>7</v>
      </c>
      <c r="K446" s="2487">
        <v>10</v>
      </c>
      <c r="L446" s="2487">
        <v>13</v>
      </c>
      <c r="M446" s="348">
        <v>16</v>
      </c>
      <c r="N446" s="2487">
        <v>60</v>
      </c>
      <c r="O446" s="2487">
        <v>90</v>
      </c>
      <c r="P446" s="2487">
        <v>120</v>
      </c>
      <c r="Q446" s="348">
        <v>150</v>
      </c>
      <c r="R446" s="2487">
        <v>5</v>
      </c>
      <c r="S446" s="2487">
        <v>5</v>
      </c>
      <c r="T446" s="2487">
        <v>10</v>
      </c>
      <c r="U446" s="348">
        <v>10</v>
      </c>
      <c r="V446" s="2485" t="s">
        <v>4618</v>
      </c>
      <c r="W446" s="2485" t="s">
        <v>4619</v>
      </c>
      <c r="X446" s="2485" t="s">
        <v>4620</v>
      </c>
      <c r="Y446" s="2485" t="s">
        <v>4621</v>
      </c>
      <c r="Z446" s="2485" t="s">
        <v>4622</v>
      </c>
      <c r="AA446" s="347"/>
    </row>
    <row r="447" spans="1:27" ht="12.75" customHeight="1">
      <c r="A447" s="8243"/>
      <c r="B447" s="242" t="str">
        <f t="shared" si="6"/>
        <v>Libre acceso32</v>
      </c>
      <c r="D447" s="257" t="s">
        <v>382</v>
      </c>
      <c r="E447" s="2487" t="s">
        <v>340</v>
      </c>
      <c r="F447" s="2487">
        <f t="shared" si="9"/>
        <v>32</v>
      </c>
      <c r="G447" s="2489" t="s">
        <v>1241</v>
      </c>
      <c r="H447" s="2489" t="s">
        <v>3789</v>
      </c>
      <c r="I447" s="351" t="s">
        <v>1165</v>
      </c>
      <c r="J447" s="2487">
        <v>7</v>
      </c>
      <c r="K447" s="2487">
        <v>10</v>
      </c>
      <c r="L447" s="2487">
        <v>12</v>
      </c>
      <c r="M447" s="348">
        <v>14</v>
      </c>
      <c r="N447" s="2487">
        <v>80</v>
      </c>
      <c r="O447" s="2487">
        <v>100</v>
      </c>
      <c r="P447" s="2487">
        <v>140</v>
      </c>
      <c r="Q447" s="348">
        <v>180</v>
      </c>
      <c r="R447" s="2487">
        <v>10</v>
      </c>
      <c r="S447" s="2487">
        <v>10</v>
      </c>
      <c r="T447" s="2487">
        <v>15</v>
      </c>
      <c r="U447" s="348">
        <v>20</v>
      </c>
      <c r="V447" s="2485" t="s">
        <v>4623</v>
      </c>
      <c r="W447" s="2485" t="s">
        <v>4624</v>
      </c>
      <c r="X447" s="2485" t="s">
        <v>4625</v>
      </c>
      <c r="Y447" s="2485" t="s">
        <v>4626</v>
      </c>
      <c r="Z447" s="2485" t="s">
        <v>4627</v>
      </c>
      <c r="AA447" s="347" t="s">
        <v>1561</v>
      </c>
    </row>
    <row r="448" spans="1:27" ht="12.75" customHeight="1">
      <c r="A448" s="8243"/>
      <c r="B448" s="242" t="str">
        <f t="shared" si="6"/>
        <v>Libre acceso32</v>
      </c>
      <c r="D448" s="257" t="s">
        <v>383</v>
      </c>
      <c r="E448" s="2487" t="s">
        <v>340</v>
      </c>
      <c r="F448" s="2487">
        <f t="shared" si="9"/>
        <v>32</v>
      </c>
      <c r="G448" s="2489" t="s">
        <v>2422</v>
      </c>
      <c r="H448" s="2489" t="s">
        <v>4628</v>
      </c>
      <c r="I448" s="351" t="s">
        <v>1165</v>
      </c>
      <c r="J448" s="2487">
        <v>7</v>
      </c>
      <c r="K448" s="2487">
        <v>10</v>
      </c>
      <c r="L448" s="2487">
        <v>12</v>
      </c>
      <c r="M448" s="348">
        <v>14</v>
      </c>
      <c r="N448" s="2487">
        <v>80</v>
      </c>
      <c r="O448" s="2487">
        <v>100</v>
      </c>
      <c r="P448" s="2487">
        <v>120</v>
      </c>
      <c r="Q448" s="348">
        <v>140</v>
      </c>
      <c r="R448" s="2487">
        <v>10</v>
      </c>
      <c r="S448" s="2487">
        <v>10</v>
      </c>
      <c r="T448" s="2487">
        <v>15</v>
      </c>
      <c r="U448" s="348">
        <v>15</v>
      </c>
      <c r="V448" s="2485" t="s">
        <v>3425</v>
      </c>
      <c r="W448" s="2485" t="s">
        <v>4629</v>
      </c>
      <c r="X448" s="2485" t="s">
        <v>3390</v>
      </c>
      <c r="Y448" s="2485" t="s">
        <v>4420</v>
      </c>
      <c r="Z448" s="2485" t="s">
        <v>4630</v>
      </c>
      <c r="AA448" s="347" t="s">
        <v>1561</v>
      </c>
    </row>
    <row r="449" spans="1:27" ht="12.75" customHeight="1">
      <c r="A449" s="8243"/>
      <c r="B449" s="242" t="str">
        <f t="shared" si="6"/>
        <v/>
      </c>
      <c r="D449" s="257" t="s">
        <v>384</v>
      </c>
      <c r="E449" s="2487"/>
      <c r="F449" s="2487"/>
      <c r="G449" s="2489"/>
      <c r="H449" s="2489"/>
      <c r="I449" s="351"/>
      <c r="J449" s="2487"/>
      <c r="K449" s="2487"/>
      <c r="L449" s="2487"/>
      <c r="M449" s="348"/>
      <c r="N449" s="2487"/>
      <c r="O449" s="2487"/>
      <c r="P449" s="2487"/>
      <c r="Q449" s="348"/>
      <c r="R449" s="2487"/>
      <c r="S449" s="2487"/>
      <c r="T449" s="2487"/>
      <c r="U449" s="348"/>
      <c r="V449" s="2485"/>
      <c r="W449" s="2485"/>
      <c r="X449" s="2485"/>
      <c r="Y449" s="2485"/>
      <c r="Z449" s="2485"/>
      <c r="AA449" s="347"/>
    </row>
    <row r="450" spans="1:27" ht="12.75" customHeight="1">
      <c r="A450" s="8243"/>
      <c r="B450" s="242" t="str">
        <f t="shared" si="6"/>
        <v>Libre acceso42</v>
      </c>
      <c r="D450" s="257" t="s">
        <v>385</v>
      </c>
      <c r="E450" s="2487" t="s">
        <v>340</v>
      </c>
      <c r="F450" s="2487">
        <f>F437+10</f>
        <v>42</v>
      </c>
      <c r="G450" s="2489" t="s">
        <v>1241</v>
      </c>
      <c r="H450" s="2489" t="s">
        <v>1095</v>
      </c>
      <c r="I450" s="351" t="s">
        <v>1165</v>
      </c>
      <c r="J450" s="2487">
        <v>6</v>
      </c>
      <c r="K450" s="2487">
        <v>9</v>
      </c>
      <c r="L450" s="2487">
        <v>12</v>
      </c>
      <c r="M450" s="348">
        <v>15</v>
      </c>
      <c r="N450" s="2487">
        <v>60</v>
      </c>
      <c r="O450" s="2487">
        <v>90</v>
      </c>
      <c r="P450" s="2487">
        <v>120</v>
      </c>
      <c r="Q450" s="348">
        <v>150</v>
      </c>
      <c r="R450" s="2487"/>
      <c r="S450" s="2487"/>
      <c r="T450" s="2487"/>
      <c r="U450" s="348"/>
      <c r="V450" s="2485" t="s">
        <v>4595</v>
      </c>
      <c r="W450" s="2485" t="s">
        <v>4631</v>
      </c>
      <c r="X450" s="2485" t="s">
        <v>4632</v>
      </c>
      <c r="Y450" s="2485" t="s">
        <v>4633</v>
      </c>
      <c r="Z450" s="2485" t="s">
        <v>4634</v>
      </c>
      <c r="AA450" s="347" t="s">
        <v>1558</v>
      </c>
    </row>
    <row r="451" spans="1:27" ht="12.75" customHeight="1">
      <c r="A451" s="8243"/>
      <c r="B451" s="242" t="str">
        <f t="shared" si="6"/>
        <v>Libre acceso42</v>
      </c>
      <c r="D451" s="257" t="s">
        <v>386</v>
      </c>
      <c r="E451" s="2487" t="s">
        <v>340</v>
      </c>
      <c r="F451" s="2487">
        <f t="shared" ref="F451:F461" si="10">F438+10</f>
        <v>42</v>
      </c>
      <c r="G451" s="2489" t="s">
        <v>1241</v>
      </c>
      <c r="H451" s="2489" t="s">
        <v>1096</v>
      </c>
      <c r="I451" s="351" t="s">
        <v>1165</v>
      </c>
      <c r="J451" s="2487">
        <v>8</v>
      </c>
      <c r="K451" s="2487">
        <v>10</v>
      </c>
      <c r="L451" s="2487">
        <v>12</v>
      </c>
      <c r="M451" s="348">
        <v>15</v>
      </c>
      <c r="N451" s="2487">
        <v>120</v>
      </c>
      <c r="O451" s="2487">
        <v>180</v>
      </c>
      <c r="P451" s="2487">
        <v>240</v>
      </c>
      <c r="Q451" s="348">
        <v>300</v>
      </c>
      <c r="R451" s="2487"/>
      <c r="S451" s="2487"/>
      <c r="T451" s="2487"/>
      <c r="U451" s="348"/>
      <c r="V451" s="2485" t="s">
        <v>9226</v>
      </c>
      <c r="W451" s="2485" t="s">
        <v>9218</v>
      </c>
      <c r="X451" s="2485" t="s">
        <v>9219</v>
      </c>
      <c r="Y451" s="2485" t="s">
        <v>9220</v>
      </c>
      <c r="Z451" s="2485" t="s">
        <v>4635</v>
      </c>
      <c r="AA451" s="347"/>
    </row>
    <row r="452" spans="1:27" ht="12.75" customHeight="1">
      <c r="A452" s="8243"/>
      <c r="B452" s="242" t="str">
        <f t="shared" si="6"/>
        <v>Libre acceso42</v>
      </c>
      <c r="D452" s="257" t="s">
        <v>387</v>
      </c>
      <c r="E452" s="2487" t="s">
        <v>340</v>
      </c>
      <c r="F452" s="2487">
        <f t="shared" si="10"/>
        <v>42</v>
      </c>
      <c r="G452" s="2489" t="s">
        <v>2422</v>
      </c>
      <c r="H452" s="2489" t="s">
        <v>3789</v>
      </c>
      <c r="I452" s="351" t="s">
        <v>1165</v>
      </c>
      <c r="J452" s="2487">
        <v>8</v>
      </c>
      <c r="K452" s="2487">
        <v>10</v>
      </c>
      <c r="L452" s="2487">
        <v>13</v>
      </c>
      <c r="M452" s="348">
        <v>16</v>
      </c>
      <c r="N452" s="2487">
        <v>200</v>
      </c>
      <c r="O452" s="2487">
        <v>350</v>
      </c>
      <c r="P452" s="2487">
        <v>500</v>
      </c>
      <c r="Q452" s="348">
        <v>700</v>
      </c>
      <c r="R452" s="2487">
        <v>10</v>
      </c>
      <c r="S452" s="2487">
        <v>20</v>
      </c>
      <c r="T452" s="2487">
        <v>25</v>
      </c>
      <c r="U452" s="348">
        <v>35</v>
      </c>
      <c r="V452" s="2485" t="s">
        <v>4636</v>
      </c>
      <c r="W452" s="2485" t="s">
        <v>4637</v>
      </c>
      <c r="X452" s="2485" t="s">
        <v>4638</v>
      </c>
      <c r="Y452" s="2485" t="s">
        <v>4639</v>
      </c>
      <c r="Z452" s="2485" t="s">
        <v>12990</v>
      </c>
      <c r="AA452" s="347"/>
    </row>
    <row r="453" spans="1:27" ht="12.75" customHeight="1">
      <c r="A453" s="8243"/>
      <c r="B453" s="242" t="str">
        <f t="shared" si="6"/>
        <v>Libre acceso42</v>
      </c>
      <c r="D453" s="257" t="s">
        <v>388</v>
      </c>
      <c r="E453" s="2487" t="s">
        <v>340</v>
      </c>
      <c r="F453" s="2487">
        <f t="shared" si="10"/>
        <v>42</v>
      </c>
      <c r="G453" s="2489" t="s">
        <v>1241</v>
      </c>
      <c r="H453" s="2489" t="s">
        <v>1096</v>
      </c>
      <c r="I453" s="351" t="s">
        <v>1165</v>
      </c>
      <c r="J453" s="2487">
        <v>6</v>
      </c>
      <c r="K453" s="2487">
        <v>9</v>
      </c>
      <c r="L453" s="2487">
        <v>12</v>
      </c>
      <c r="M453" s="348">
        <v>15</v>
      </c>
      <c r="N453" s="2487">
        <v>60</v>
      </c>
      <c r="O453" s="2487">
        <v>90</v>
      </c>
      <c r="P453" s="2487">
        <v>120</v>
      </c>
      <c r="Q453" s="348">
        <v>150</v>
      </c>
      <c r="R453" s="2487">
        <v>5</v>
      </c>
      <c r="S453" s="2487">
        <v>5</v>
      </c>
      <c r="T453" s="2487">
        <v>10</v>
      </c>
      <c r="U453" s="348">
        <v>10</v>
      </c>
      <c r="V453" s="2485" t="s">
        <v>4640</v>
      </c>
      <c r="W453" s="2485" t="s">
        <v>4641</v>
      </c>
      <c r="X453" s="2485" t="s">
        <v>4642</v>
      </c>
      <c r="Y453" s="2485" t="s">
        <v>4643</v>
      </c>
      <c r="Z453" s="2485" t="s">
        <v>4644</v>
      </c>
      <c r="AA453" s="347" t="s">
        <v>1554</v>
      </c>
    </row>
    <row r="454" spans="1:27" ht="12.75" customHeight="1">
      <c r="A454" s="8243"/>
      <c r="B454" s="242" t="str">
        <f t="shared" si="6"/>
        <v>Libre acceso42</v>
      </c>
      <c r="D454" s="257" t="s">
        <v>389</v>
      </c>
      <c r="E454" s="2487" t="s">
        <v>340</v>
      </c>
      <c r="F454" s="2487">
        <f t="shared" si="10"/>
        <v>42</v>
      </c>
      <c r="G454" s="2489" t="s">
        <v>1241</v>
      </c>
      <c r="H454" s="2489" t="s">
        <v>1095</v>
      </c>
      <c r="I454" s="351" t="s">
        <v>1165</v>
      </c>
      <c r="J454" s="2487">
        <v>8</v>
      </c>
      <c r="K454" s="2487">
        <v>10</v>
      </c>
      <c r="L454" s="2487">
        <v>12</v>
      </c>
      <c r="M454" s="348">
        <v>15</v>
      </c>
      <c r="N454" s="2487">
        <v>100</v>
      </c>
      <c r="O454" s="2487">
        <v>140</v>
      </c>
      <c r="P454" s="2487">
        <v>180</v>
      </c>
      <c r="Q454" s="348">
        <v>240</v>
      </c>
      <c r="R454" s="2487"/>
      <c r="S454" s="2487"/>
      <c r="T454" s="2487"/>
      <c r="U454" s="348" t="s">
        <v>3384</v>
      </c>
      <c r="V454" s="2485" t="s">
        <v>4645</v>
      </c>
      <c r="W454" s="2485" t="s">
        <v>4646</v>
      </c>
      <c r="X454" s="2485" t="s">
        <v>4647</v>
      </c>
      <c r="Y454" s="2485" t="s">
        <v>4648</v>
      </c>
      <c r="Z454" s="2485" t="s">
        <v>4649</v>
      </c>
      <c r="AA454" s="347" t="s">
        <v>1560</v>
      </c>
    </row>
    <row r="455" spans="1:27" ht="12.75" customHeight="1">
      <c r="A455" s="8243"/>
      <c r="B455" s="242" t="str">
        <f t="shared" si="6"/>
        <v>Libre acceso42</v>
      </c>
      <c r="D455" s="257" t="s">
        <v>390</v>
      </c>
      <c r="E455" s="2487" t="s">
        <v>340</v>
      </c>
      <c r="F455" s="2487">
        <f t="shared" si="10"/>
        <v>42</v>
      </c>
      <c r="G455" s="2489" t="s">
        <v>1241</v>
      </c>
      <c r="H455" s="2489" t="s">
        <v>1094</v>
      </c>
      <c r="I455" s="351" t="s">
        <v>1165</v>
      </c>
      <c r="J455" s="2487">
        <v>8</v>
      </c>
      <c r="K455" s="2487">
        <v>10</v>
      </c>
      <c r="L455" s="2487">
        <v>12</v>
      </c>
      <c r="M455" s="348">
        <v>15</v>
      </c>
      <c r="N455" s="2487">
        <v>60</v>
      </c>
      <c r="O455" s="2487">
        <v>100</v>
      </c>
      <c r="P455" s="2487">
        <v>140</v>
      </c>
      <c r="Q455" s="348">
        <v>200</v>
      </c>
      <c r="R455" s="2487"/>
      <c r="S455" s="2487"/>
      <c r="T455" s="2487"/>
      <c r="U455" s="348"/>
      <c r="V455" s="2485" t="s">
        <v>4650</v>
      </c>
      <c r="W455" s="2485" t="s">
        <v>4651</v>
      </c>
      <c r="X455" s="2485" t="s">
        <v>4652</v>
      </c>
      <c r="Y455" s="2485" t="s">
        <v>4653</v>
      </c>
      <c r="Z455" s="2485" t="s">
        <v>4654</v>
      </c>
      <c r="AA455" s="347" t="s">
        <v>9944</v>
      </c>
    </row>
    <row r="456" spans="1:27" ht="12.75" customHeight="1">
      <c r="A456" s="8243"/>
      <c r="B456" s="242" t="str">
        <f t="shared" ref="B456:B519" si="11">E456&amp;F456</f>
        <v>Libre acceso42</v>
      </c>
      <c r="D456" s="257" t="s">
        <v>391</v>
      </c>
      <c r="E456" s="2487" t="s">
        <v>340</v>
      </c>
      <c r="F456" s="2487">
        <f t="shared" si="10"/>
        <v>42</v>
      </c>
      <c r="G456" s="2489" t="s">
        <v>1241</v>
      </c>
      <c r="H456" s="2489" t="s">
        <v>1096</v>
      </c>
      <c r="I456" s="351" t="s">
        <v>1165</v>
      </c>
      <c r="J456" s="2487">
        <v>8</v>
      </c>
      <c r="K456" s="2487">
        <v>10</v>
      </c>
      <c r="L456" s="2487">
        <v>12</v>
      </c>
      <c r="M456" s="348">
        <v>14</v>
      </c>
      <c r="N456" s="2487">
        <v>150</v>
      </c>
      <c r="O456" s="2487">
        <v>200</v>
      </c>
      <c r="P456" s="2487">
        <v>240</v>
      </c>
      <c r="Q456" s="348">
        <v>280</v>
      </c>
      <c r="R456" s="2487">
        <v>10</v>
      </c>
      <c r="S456" s="2487">
        <v>10</v>
      </c>
      <c r="T456" s="2487">
        <v>15</v>
      </c>
      <c r="U456" s="348">
        <v>15</v>
      </c>
      <c r="V456" s="2485" t="s">
        <v>4655</v>
      </c>
      <c r="W456" s="2485" t="s">
        <v>4656</v>
      </c>
      <c r="X456" s="2485" t="s">
        <v>4657</v>
      </c>
      <c r="Y456" s="2485" t="s">
        <v>4658</v>
      </c>
      <c r="Z456" s="2485" t="s">
        <v>4659</v>
      </c>
      <c r="AA456" s="347" t="s">
        <v>1560</v>
      </c>
    </row>
    <row r="457" spans="1:27" ht="12.75" customHeight="1">
      <c r="A457" s="8243"/>
      <c r="B457" s="242" t="str">
        <f t="shared" si="11"/>
        <v>Libre acceso42</v>
      </c>
      <c r="D457" s="257" t="s">
        <v>392</v>
      </c>
      <c r="E457" s="2487" t="s">
        <v>340</v>
      </c>
      <c r="F457" s="2487">
        <f t="shared" si="10"/>
        <v>42</v>
      </c>
      <c r="G457" s="2489" t="s">
        <v>1241</v>
      </c>
      <c r="H457" s="2489" t="s">
        <v>1094</v>
      </c>
      <c r="I457" s="351" t="s">
        <v>1165</v>
      </c>
      <c r="J457" s="2487">
        <v>8</v>
      </c>
      <c r="K457" s="2487">
        <v>10</v>
      </c>
      <c r="L457" s="2487">
        <v>12</v>
      </c>
      <c r="M457" s="348">
        <v>15</v>
      </c>
      <c r="N457" s="2487">
        <v>100</v>
      </c>
      <c r="O457" s="2487">
        <v>160</v>
      </c>
      <c r="P457" s="2487">
        <v>200</v>
      </c>
      <c r="Q457" s="348">
        <v>240</v>
      </c>
      <c r="R457" s="2487">
        <v>10</v>
      </c>
      <c r="S457" s="2487">
        <v>20</v>
      </c>
      <c r="T457" s="2487">
        <v>20</v>
      </c>
      <c r="U457" s="348">
        <v>25</v>
      </c>
      <c r="V457" s="2485" t="s">
        <v>4660</v>
      </c>
      <c r="W457" s="2485" t="s">
        <v>3403</v>
      </c>
      <c r="X457" s="2485" t="s">
        <v>4318</v>
      </c>
      <c r="Y457" s="2485" t="s">
        <v>4319</v>
      </c>
      <c r="Z457" s="2485" t="s">
        <v>4661</v>
      </c>
      <c r="AA457" s="347" t="s">
        <v>1554</v>
      </c>
    </row>
    <row r="458" spans="1:27" ht="12.75" customHeight="1">
      <c r="A458" s="8243"/>
      <c r="B458" s="242" t="str">
        <f t="shared" si="11"/>
        <v>Libre acceso42</v>
      </c>
      <c r="D458" s="257" t="s">
        <v>393</v>
      </c>
      <c r="E458" s="2487" t="s">
        <v>340</v>
      </c>
      <c r="F458" s="2487">
        <f t="shared" si="10"/>
        <v>42</v>
      </c>
      <c r="G458" s="2489" t="s">
        <v>1241</v>
      </c>
      <c r="H458" s="2489" t="s">
        <v>1094</v>
      </c>
      <c r="I458" s="351" t="s">
        <v>1165</v>
      </c>
      <c r="J458" s="2487">
        <v>8</v>
      </c>
      <c r="K458" s="2487">
        <v>10</v>
      </c>
      <c r="L458" s="2487">
        <v>12</v>
      </c>
      <c r="M458" s="348">
        <v>15</v>
      </c>
      <c r="N458" s="2487">
        <v>60</v>
      </c>
      <c r="O458" s="2487">
        <v>90</v>
      </c>
      <c r="P458" s="2487">
        <v>120</v>
      </c>
      <c r="Q458" s="348">
        <v>150</v>
      </c>
      <c r="R458" s="2487">
        <v>10</v>
      </c>
      <c r="S458" s="2487">
        <v>10</v>
      </c>
      <c r="T458" s="2487">
        <v>15</v>
      </c>
      <c r="U458" s="348">
        <v>15</v>
      </c>
      <c r="V458" s="2485" t="s">
        <v>4662</v>
      </c>
      <c r="W458" s="2485" t="s">
        <v>4663</v>
      </c>
      <c r="X458" s="2485" t="s">
        <v>4664</v>
      </c>
      <c r="Y458" s="2485" t="s">
        <v>4665</v>
      </c>
      <c r="Z458" s="2485" t="s">
        <v>4666</v>
      </c>
      <c r="AA458" s="347" t="s">
        <v>1461</v>
      </c>
    </row>
    <row r="459" spans="1:27" ht="12.75" customHeight="1">
      <c r="A459" s="8243"/>
      <c r="B459" s="242" t="str">
        <f t="shared" si="11"/>
        <v>Libre acceso42</v>
      </c>
      <c r="D459" s="257" t="s">
        <v>394</v>
      </c>
      <c r="E459" s="2487" t="s">
        <v>340</v>
      </c>
      <c r="F459" s="2487">
        <f t="shared" si="10"/>
        <v>42</v>
      </c>
      <c r="G459" s="2489" t="s">
        <v>2422</v>
      </c>
      <c r="H459" s="2489" t="s">
        <v>1094</v>
      </c>
      <c r="I459" s="351" t="s">
        <v>1165</v>
      </c>
      <c r="J459" s="2487">
        <v>8</v>
      </c>
      <c r="K459" s="2487">
        <v>10</v>
      </c>
      <c r="L459" s="2487">
        <v>12</v>
      </c>
      <c r="M459" s="348">
        <v>14</v>
      </c>
      <c r="N459" s="2487">
        <v>80</v>
      </c>
      <c r="O459" s="2487">
        <v>120</v>
      </c>
      <c r="P459" s="2487">
        <v>180</v>
      </c>
      <c r="Q459" s="348">
        <v>220</v>
      </c>
      <c r="R459" s="2487">
        <v>10</v>
      </c>
      <c r="S459" s="2487">
        <v>15</v>
      </c>
      <c r="T459" s="2487">
        <v>20</v>
      </c>
      <c r="U459" s="348">
        <v>25</v>
      </c>
      <c r="V459" s="2485" t="s">
        <v>3403</v>
      </c>
      <c r="W459" s="2485" t="s">
        <v>4318</v>
      </c>
      <c r="X459" s="2485" t="s">
        <v>3404</v>
      </c>
      <c r="Y459" s="2485" t="s">
        <v>4319</v>
      </c>
      <c r="Z459" s="2485" t="s">
        <v>4667</v>
      </c>
      <c r="AA459" s="347" t="s">
        <v>1554</v>
      </c>
    </row>
    <row r="460" spans="1:27" ht="12.75" customHeight="1">
      <c r="A460" s="8243"/>
      <c r="B460" s="242" t="str">
        <f t="shared" si="11"/>
        <v>Libre acceso42</v>
      </c>
      <c r="D460" s="257" t="s">
        <v>395</v>
      </c>
      <c r="E460" s="2487" t="s">
        <v>340</v>
      </c>
      <c r="F460" s="2487">
        <f t="shared" si="10"/>
        <v>42</v>
      </c>
      <c r="G460" s="2489" t="s">
        <v>1241</v>
      </c>
      <c r="H460" s="2489" t="s">
        <v>1095</v>
      </c>
      <c r="I460" s="351" t="s">
        <v>1165</v>
      </c>
      <c r="J460" s="2487">
        <v>8</v>
      </c>
      <c r="K460" s="2487">
        <v>10</v>
      </c>
      <c r="L460" s="2487">
        <v>12</v>
      </c>
      <c r="M460" s="348">
        <v>16</v>
      </c>
      <c r="N460" s="2487">
        <v>80</v>
      </c>
      <c r="O460" s="2487">
        <v>180</v>
      </c>
      <c r="P460" s="2487">
        <v>320</v>
      </c>
      <c r="Q460" s="348">
        <v>500</v>
      </c>
      <c r="R460" s="2487"/>
      <c r="S460" s="2487"/>
      <c r="T460" s="2487"/>
      <c r="U460" s="348" t="s">
        <v>3384</v>
      </c>
      <c r="V460" s="2485" t="s">
        <v>4668</v>
      </c>
      <c r="W460" s="2485" t="s">
        <v>4669</v>
      </c>
      <c r="X460" s="2485" t="s">
        <v>4670</v>
      </c>
      <c r="Y460" s="2485" t="s">
        <v>4671</v>
      </c>
      <c r="Z460" s="2485" t="s">
        <v>12991</v>
      </c>
      <c r="AA460" s="347"/>
    </row>
    <row r="461" spans="1:27" ht="12.75" customHeight="1">
      <c r="A461" s="8243"/>
      <c r="B461" s="242" t="str">
        <f t="shared" si="11"/>
        <v>Libre acceso42</v>
      </c>
      <c r="D461" s="257" t="s">
        <v>396</v>
      </c>
      <c r="E461" s="2487" t="s">
        <v>340</v>
      </c>
      <c r="F461" s="2487">
        <f t="shared" si="10"/>
        <v>42</v>
      </c>
      <c r="G461" s="2489" t="s">
        <v>2422</v>
      </c>
      <c r="H461" s="2489" t="s">
        <v>1094</v>
      </c>
      <c r="I461" s="351" t="s">
        <v>1165</v>
      </c>
      <c r="J461" s="2487">
        <v>8</v>
      </c>
      <c r="K461" s="2487">
        <v>10</v>
      </c>
      <c r="L461" s="2487">
        <v>12</v>
      </c>
      <c r="M461" s="348">
        <v>14</v>
      </c>
      <c r="N461" s="2487">
        <v>100</v>
      </c>
      <c r="O461" s="2487">
        <v>160</v>
      </c>
      <c r="P461" s="2487">
        <v>200</v>
      </c>
      <c r="Q461" s="348">
        <v>240</v>
      </c>
      <c r="R461" s="2487">
        <v>10</v>
      </c>
      <c r="S461" s="2487">
        <v>20</v>
      </c>
      <c r="T461" s="2487">
        <v>20</v>
      </c>
      <c r="U461" s="348">
        <v>25</v>
      </c>
      <c r="V461" s="2485" t="s">
        <v>4672</v>
      </c>
      <c r="W461" s="2485" t="s">
        <v>4673</v>
      </c>
      <c r="X461" s="2485" t="s">
        <v>4674</v>
      </c>
      <c r="Y461" s="2485" t="s">
        <v>4675</v>
      </c>
      <c r="Z461" s="2485" t="s">
        <v>12992</v>
      </c>
      <c r="AA461" s="347" t="s">
        <v>1561</v>
      </c>
    </row>
    <row r="462" spans="1:27" ht="12.75" customHeight="1">
      <c r="A462" s="8243"/>
      <c r="B462" s="242" t="str">
        <f t="shared" si="11"/>
        <v/>
      </c>
      <c r="D462" s="257" t="s">
        <v>397</v>
      </c>
      <c r="E462" s="2487"/>
      <c r="F462" s="2487"/>
      <c r="G462" s="2489"/>
      <c r="H462" s="2489"/>
      <c r="I462" s="351"/>
      <c r="J462" s="2487"/>
      <c r="K462" s="2487"/>
      <c r="L462" s="2487"/>
      <c r="M462" s="348"/>
      <c r="N462" s="2487"/>
      <c r="O462" s="2487"/>
      <c r="P462" s="2487"/>
      <c r="Q462" s="348"/>
      <c r="R462" s="2487"/>
      <c r="S462" s="2487"/>
      <c r="T462" s="2487"/>
      <c r="U462" s="348"/>
      <c r="V462" s="2485"/>
      <c r="W462" s="2485"/>
      <c r="X462" s="2485"/>
      <c r="Y462" s="2485"/>
      <c r="Z462" s="2485"/>
      <c r="AA462" s="347"/>
    </row>
    <row r="463" spans="1:27" ht="12.75" customHeight="1">
      <c r="A463" s="8243"/>
      <c r="B463" s="242" t="str">
        <f t="shared" si="11"/>
        <v>Libre acceso52</v>
      </c>
      <c r="D463" s="257" t="s">
        <v>398</v>
      </c>
      <c r="E463" s="2487" t="s">
        <v>340</v>
      </c>
      <c r="F463" s="2487">
        <f>F450+10</f>
        <v>52</v>
      </c>
      <c r="G463" s="2489" t="s">
        <v>2422</v>
      </c>
      <c r="H463" s="2489" t="s">
        <v>3789</v>
      </c>
      <c r="I463" s="351" t="s">
        <v>1165</v>
      </c>
      <c r="J463" s="2487">
        <v>8</v>
      </c>
      <c r="K463" s="2487">
        <v>10</v>
      </c>
      <c r="L463" s="2487">
        <v>12</v>
      </c>
      <c r="M463" s="348">
        <v>14</v>
      </c>
      <c r="N463" s="2487">
        <v>80</v>
      </c>
      <c r="O463" s="2487">
        <v>120</v>
      </c>
      <c r="P463" s="2487">
        <v>160</v>
      </c>
      <c r="Q463" s="348">
        <v>200</v>
      </c>
      <c r="R463" s="2487">
        <v>10</v>
      </c>
      <c r="S463" s="2487">
        <v>10</v>
      </c>
      <c r="T463" s="2487">
        <v>15</v>
      </c>
      <c r="U463" s="348">
        <v>15</v>
      </c>
      <c r="V463" s="2485" t="s">
        <v>4676</v>
      </c>
      <c r="W463" s="2485" t="s">
        <v>4677</v>
      </c>
      <c r="X463" s="2485" t="s">
        <v>3261</v>
      </c>
      <c r="Y463" s="2485" t="s">
        <v>3262</v>
      </c>
      <c r="Z463" s="2485" t="s">
        <v>12993</v>
      </c>
      <c r="AA463" s="347"/>
    </row>
    <row r="464" spans="1:27" ht="12.75" customHeight="1">
      <c r="A464" s="8243"/>
      <c r="B464" s="242" t="str">
        <f t="shared" si="11"/>
        <v>Libre acceso52</v>
      </c>
      <c r="D464" s="257" t="s">
        <v>399</v>
      </c>
      <c r="E464" s="2487" t="s">
        <v>340</v>
      </c>
      <c r="F464" s="2487">
        <f t="shared" ref="F464:F474" si="12">F451+10</f>
        <v>52</v>
      </c>
      <c r="G464" s="2489" t="s">
        <v>1241</v>
      </c>
      <c r="H464" s="2489" t="s">
        <v>3789</v>
      </c>
      <c r="I464" s="351" t="s">
        <v>1165</v>
      </c>
      <c r="J464" s="2487">
        <v>8</v>
      </c>
      <c r="K464" s="2487">
        <v>10</v>
      </c>
      <c r="L464" s="2487">
        <v>13</v>
      </c>
      <c r="M464" s="348">
        <v>15</v>
      </c>
      <c r="N464" s="2487">
        <v>80</v>
      </c>
      <c r="O464" s="2487">
        <v>120</v>
      </c>
      <c r="P464" s="2487">
        <v>160</v>
      </c>
      <c r="Q464" s="348">
        <v>200</v>
      </c>
      <c r="R464" s="2487">
        <v>10</v>
      </c>
      <c r="S464" s="2487">
        <v>15</v>
      </c>
      <c r="T464" s="2487">
        <v>20</v>
      </c>
      <c r="U464" s="348">
        <v>20</v>
      </c>
      <c r="V464" s="2485" t="s">
        <v>4678</v>
      </c>
      <c r="W464" s="2485" t="s">
        <v>4640</v>
      </c>
      <c r="X464" s="2485" t="s">
        <v>4679</v>
      </c>
      <c r="Y464" s="2485" t="s">
        <v>4680</v>
      </c>
      <c r="Z464" s="2485" t="s">
        <v>4681</v>
      </c>
      <c r="AA464" s="347" t="s">
        <v>9945</v>
      </c>
    </row>
    <row r="465" spans="1:27" ht="12.75" customHeight="1">
      <c r="A465" s="8243"/>
      <c r="B465" s="242" t="str">
        <f t="shared" si="11"/>
        <v>Libre acceso52</v>
      </c>
      <c r="D465" s="257" t="s">
        <v>400</v>
      </c>
      <c r="E465" s="2487" t="s">
        <v>340</v>
      </c>
      <c r="F465" s="2487">
        <f t="shared" si="12"/>
        <v>52</v>
      </c>
      <c r="G465" s="2489" t="s">
        <v>1241</v>
      </c>
      <c r="H465" s="2489" t="s">
        <v>3789</v>
      </c>
      <c r="I465" s="351" t="s">
        <v>1165</v>
      </c>
      <c r="J465" s="2487">
        <v>8</v>
      </c>
      <c r="K465" s="2487">
        <v>10</v>
      </c>
      <c r="L465" s="2487">
        <v>13</v>
      </c>
      <c r="M465" s="348">
        <v>15</v>
      </c>
      <c r="N465" s="2487">
        <v>80</v>
      </c>
      <c r="O465" s="2487">
        <v>100</v>
      </c>
      <c r="P465" s="2487">
        <v>120</v>
      </c>
      <c r="Q465" s="348">
        <v>140</v>
      </c>
      <c r="R465" s="2487">
        <v>5</v>
      </c>
      <c r="S465" s="2487">
        <v>5</v>
      </c>
      <c r="T465" s="2487">
        <v>10</v>
      </c>
      <c r="U465" s="348">
        <v>10</v>
      </c>
      <c r="V465" s="2485" t="s">
        <v>4682</v>
      </c>
      <c r="W465" s="2485" t="s">
        <v>3094</v>
      </c>
      <c r="X465" s="2485" t="s">
        <v>4641</v>
      </c>
      <c r="Y465" s="2485" t="s">
        <v>4683</v>
      </c>
      <c r="Z465" s="2485" t="s">
        <v>4684</v>
      </c>
      <c r="AA465" s="347" t="s">
        <v>1560</v>
      </c>
    </row>
    <row r="466" spans="1:27" ht="12.75" customHeight="1">
      <c r="A466" s="8243"/>
      <c r="B466" s="242" t="str">
        <f t="shared" si="11"/>
        <v>Libre acceso52</v>
      </c>
      <c r="D466" s="257" t="s">
        <v>401</v>
      </c>
      <c r="E466" s="2487" t="s">
        <v>340</v>
      </c>
      <c r="F466" s="2487">
        <f t="shared" si="12"/>
        <v>52</v>
      </c>
      <c r="G466" s="2489" t="s">
        <v>1241</v>
      </c>
      <c r="H466" s="2489" t="s">
        <v>3789</v>
      </c>
      <c r="I466" s="351" t="s">
        <v>1165</v>
      </c>
      <c r="J466" s="2487">
        <v>8</v>
      </c>
      <c r="K466" s="2487">
        <v>10</v>
      </c>
      <c r="L466" s="2487">
        <v>12</v>
      </c>
      <c r="M466" s="348">
        <v>14</v>
      </c>
      <c r="N466" s="2487">
        <v>80</v>
      </c>
      <c r="O466" s="2487">
        <v>100</v>
      </c>
      <c r="P466" s="2487">
        <v>120</v>
      </c>
      <c r="Q466" s="348">
        <v>140</v>
      </c>
      <c r="R466" s="2487">
        <v>5</v>
      </c>
      <c r="S466" s="2487">
        <v>5</v>
      </c>
      <c r="T466" s="2487">
        <v>10</v>
      </c>
      <c r="U466" s="348">
        <v>10</v>
      </c>
      <c r="V466" s="2485" t="s">
        <v>4682</v>
      </c>
      <c r="W466" s="2485" t="s">
        <v>4685</v>
      </c>
      <c r="X466" s="2485" t="s">
        <v>4686</v>
      </c>
      <c r="Y466" s="2485" t="s">
        <v>4687</v>
      </c>
      <c r="Z466" s="2485" t="s">
        <v>4688</v>
      </c>
      <c r="AA466" s="347" t="s">
        <v>1560</v>
      </c>
    </row>
    <row r="467" spans="1:27" ht="12.75" customHeight="1">
      <c r="A467" s="8243"/>
      <c r="B467" s="242" t="str">
        <f t="shared" si="11"/>
        <v>Libre acceso52</v>
      </c>
      <c r="D467" s="257" t="s">
        <v>402</v>
      </c>
      <c r="E467" s="2487" t="s">
        <v>340</v>
      </c>
      <c r="F467" s="2487">
        <f t="shared" si="12"/>
        <v>52</v>
      </c>
      <c r="G467" s="2489" t="s">
        <v>1241</v>
      </c>
      <c r="H467" s="2489" t="s">
        <v>1095</v>
      </c>
      <c r="I467" s="351" t="s">
        <v>1165</v>
      </c>
      <c r="J467" s="2487">
        <v>8</v>
      </c>
      <c r="K467" s="2487">
        <v>10</v>
      </c>
      <c r="L467" s="2487">
        <v>13</v>
      </c>
      <c r="M467" s="348">
        <v>16</v>
      </c>
      <c r="N467" s="2487">
        <v>100</v>
      </c>
      <c r="O467" s="2487">
        <v>140</v>
      </c>
      <c r="P467" s="2487">
        <v>180</v>
      </c>
      <c r="Q467" s="348">
        <v>220</v>
      </c>
      <c r="R467" s="2487"/>
      <c r="S467" s="2487"/>
      <c r="T467" s="2487"/>
      <c r="U467" s="348"/>
      <c r="V467" s="2485" t="s">
        <v>4689</v>
      </c>
      <c r="W467" s="2485" t="s">
        <v>4690</v>
      </c>
      <c r="X467" s="2485" t="s">
        <v>4691</v>
      </c>
      <c r="Y467" s="2485" t="s">
        <v>4692</v>
      </c>
      <c r="Z467" s="2485" t="s">
        <v>12994</v>
      </c>
      <c r="AA467" s="347" t="s">
        <v>1561</v>
      </c>
    </row>
    <row r="468" spans="1:27" ht="12.75" customHeight="1">
      <c r="A468" s="8243"/>
      <c r="B468" s="242" t="str">
        <f t="shared" si="11"/>
        <v>Libre acceso52</v>
      </c>
      <c r="D468" s="257" t="s">
        <v>403</v>
      </c>
      <c r="E468" s="2487" t="s">
        <v>340</v>
      </c>
      <c r="F468" s="2487">
        <f t="shared" si="12"/>
        <v>52</v>
      </c>
      <c r="G468" s="2489" t="s">
        <v>1241</v>
      </c>
      <c r="H468" s="2489" t="s">
        <v>1095</v>
      </c>
      <c r="I468" s="351" t="s">
        <v>1165</v>
      </c>
      <c r="J468" s="2487">
        <v>8</v>
      </c>
      <c r="K468" s="2487">
        <v>10</v>
      </c>
      <c r="L468" s="2487">
        <v>13</v>
      </c>
      <c r="M468" s="348">
        <v>15</v>
      </c>
      <c r="N468" s="2487">
        <v>60</v>
      </c>
      <c r="O468" s="2487">
        <v>90</v>
      </c>
      <c r="P468" s="2487">
        <v>120</v>
      </c>
      <c r="Q468" s="348">
        <v>150</v>
      </c>
      <c r="R468" s="2487"/>
      <c r="S468" s="2487"/>
      <c r="T468" s="2487"/>
      <c r="U468" s="348"/>
      <c r="V468" s="2485" t="s">
        <v>4693</v>
      </c>
      <c r="W468" s="2485" t="s">
        <v>4132</v>
      </c>
      <c r="X468" s="2485" t="s">
        <v>4694</v>
      </c>
      <c r="Y468" s="2485" t="s">
        <v>4439</v>
      </c>
      <c r="Z468" s="2485" t="s">
        <v>12995</v>
      </c>
      <c r="AA468" s="347" t="s">
        <v>1554</v>
      </c>
    </row>
    <row r="469" spans="1:27" ht="12.75" customHeight="1">
      <c r="A469" s="8243"/>
      <c r="B469" s="242" t="str">
        <f t="shared" si="11"/>
        <v>Libre acceso52</v>
      </c>
      <c r="D469" s="257" t="s">
        <v>404</v>
      </c>
      <c r="E469" s="2487" t="s">
        <v>340</v>
      </c>
      <c r="F469" s="2487">
        <f t="shared" si="12"/>
        <v>52</v>
      </c>
      <c r="G469" s="2489" t="s">
        <v>2422</v>
      </c>
      <c r="H469" s="2489" t="s">
        <v>1095</v>
      </c>
      <c r="I469" s="351" t="s">
        <v>1165</v>
      </c>
      <c r="J469" s="2487">
        <v>6</v>
      </c>
      <c r="K469" s="2487">
        <v>9</v>
      </c>
      <c r="L469" s="2487">
        <v>12</v>
      </c>
      <c r="M469" s="348">
        <v>15</v>
      </c>
      <c r="N469" s="2487">
        <v>60</v>
      </c>
      <c r="O469" s="2487">
        <v>90</v>
      </c>
      <c r="P469" s="2487">
        <v>120</v>
      </c>
      <c r="Q469" s="348">
        <v>150</v>
      </c>
      <c r="R469" s="2487">
        <v>15</v>
      </c>
      <c r="S469" s="2487">
        <v>20</v>
      </c>
      <c r="T469" s="2487">
        <v>25</v>
      </c>
      <c r="U469" s="348">
        <v>30</v>
      </c>
      <c r="V469" s="2485" t="s">
        <v>3230</v>
      </c>
      <c r="W469" s="2485" t="s">
        <v>3448</v>
      </c>
      <c r="X469" s="2485" t="s">
        <v>4695</v>
      </c>
      <c r="Y469" s="2485" t="s">
        <v>4530</v>
      </c>
      <c r="Z469" s="2485" t="s">
        <v>4696</v>
      </c>
      <c r="AA469" s="347" t="s">
        <v>1561</v>
      </c>
    </row>
    <row r="470" spans="1:27" ht="12.75" customHeight="1">
      <c r="A470" s="8243"/>
      <c r="B470" s="242" t="str">
        <f t="shared" si="11"/>
        <v>Libre acceso52</v>
      </c>
      <c r="D470" s="257" t="s">
        <v>405</v>
      </c>
      <c r="E470" s="2487" t="s">
        <v>340</v>
      </c>
      <c r="F470" s="2487">
        <f t="shared" si="12"/>
        <v>52</v>
      </c>
      <c r="G470" s="2489" t="s">
        <v>1241</v>
      </c>
      <c r="H470" s="2489" t="s">
        <v>1095</v>
      </c>
      <c r="I470" s="351" t="s">
        <v>1165</v>
      </c>
      <c r="J470" s="2487">
        <v>8</v>
      </c>
      <c r="K470" s="2487">
        <v>10</v>
      </c>
      <c r="L470" s="2487">
        <v>12</v>
      </c>
      <c r="M470" s="348">
        <v>15</v>
      </c>
      <c r="N470" s="2487">
        <v>60</v>
      </c>
      <c r="O470" s="2487">
        <v>80</v>
      </c>
      <c r="P470" s="2487">
        <v>100</v>
      </c>
      <c r="Q470" s="348">
        <v>120</v>
      </c>
      <c r="R470" s="2487">
        <v>5</v>
      </c>
      <c r="S470" s="2487">
        <v>5</v>
      </c>
      <c r="T470" s="2487">
        <v>10</v>
      </c>
      <c r="U470" s="348">
        <v>10</v>
      </c>
      <c r="V470" s="2485" t="s">
        <v>4697</v>
      </c>
      <c r="W470" s="2485" t="s">
        <v>4698</v>
      </c>
      <c r="X470" s="2485" t="s">
        <v>4699</v>
      </c>
      <c r="Y470" s="2485" t="s">
        <v>4700</v>
      </c>
      <c r="Z470" s="2485" t="s">
        <v>4701</v>
      </c>
      <c r="AA470" s="347" t="s">
        <v>1464</v>
      </c>
    </row>
    <row r="471" spans="1:27" ht="12.75" customHeight="1">
      <c r="A471" s="8243"/>
      <c r="B471" s="242" t="str">
        <f t="shared" si="11"/>
        <v>Libre acceso52</v>
      </c>
      <c r="D471" s="257" t="s">
        <v>406</v>
      </c>
      <c r="E471" s="2487" t="s">
        <v>340</v>
      </c>
      <c r="F471" s="2487">
        <f t="shared" si="12"/>
        <v>52</v>
      </c>
      <c r="G471" s="2489" t="s">
        <v>1241</v>
      </c>
      <c r="H471" s="2489" t="s">
        <v>1095</v>
      </c>
      <c r="I471" s="351" t="s">
        <v>1165</v>
      </c>
      <c r="J471" s="2487">
        <v>8</v>
      </c>
      <c r="K471" s="2487">
        <v>10</v>
      </c>
      <c r="L471" s="2487">
        <v>12</v>
      </c>
      <c r="M471" s="348">
        <v>14</v>
      </c>
      <c r="N471" s="2487">
        <v>80</v>
      </c>
      <c r="O471" s="2487">
        <v>100</v>
      </c>
      <c r="P471" s="2487">
        <v>120</v>
      </c>
      <c r="Q471" s="348">
        <v>140</v>
      </c>
      <c r="R471" s="2487"/>
      <c r="S471" s="2487"/>
      <c r="T471" s="2487"/>
      <c r="U471" s="348"/>
      <c r="V471" s="2485" t="s">
        <v>4702</v>
      </c>
      <c r="W471" s="2485" t="s">
        <v>4703</v>
      </c>
      <c r="X471" s="2485" t="s">
        <v>4704</v>
      </c>
      <c r="Y471" s="2485" t="s">
        <v>4705</v>
      </c>
      <c r="Z471" s="2485" t="s">
        <v>4706</v>
      </c>
      <c r="AA471" s="347" t="s">
        <v>1554</v>
      </c>
    </row>
    <row r="472" spans="1:27" ht="12.75" customHeight="1">
      <c r="A472" s="8243"/>
      <c r="B472" s="242" t="str">
        <f t="shared" si="11"/>
        <v>Libre acceso52</v>
      </c>
      <c r="D472" s="257" t="s">
        <v>407</v>
      </c>
      <c r="E472" s="2487" t="s">
        <v>340</v>
      </c>
      <c r="F472" s="2487">
        <f t="shared" si="12"/>
        <v>52</v>
      </c>
      <c r="G472" s="2489" t="s">
        <v>2422</v>
      </c>
      <c r="H472" s="2489" t="s">
        <v>1095</v>
      </c>
      <c r="I472" s="351" t="s">
        <v>1165</v>
      </c>
      <c r="J472" s="2487">
        <v>8</v>
      </c>
      <c r="K472" s="2487">
        <v>10</v>
      </c>
      <c r="L472" s="2487">
        <v>12</v>
      </c>
      <c r="M472" s="348">
        <v>15</v>
      </c>
      <c r="N472" s="2487">
        <v>100</v>
      </c>
      <c r="O472" s="2487">
        <v>140</v>
      </c>
      <c r="P472" s="2487">
        <v>180</v>
      </c>
      <c r="Q472" s="348">
        <v>220</v>
      </c>
      <c r="R472" s="2487">
        <v>10</v>
      </c>
      <c r="S472" s="2487">
        <v>15</v>
      </c>
      <c r="T472" s="2487">
        <v>15</v>
      </c>
      <c r="U472" s="348">
        <v>20</v>
      </c>
      <c r="V472" s="2485" t="s">
        <v>4707</v>
      </c>
      <c r="W472" s="2485" t="s">
        <v>4708</v>
      </c>
      <c r="X472" s="2485" t="s">
        <v>4709</v>
      </c>
      <c r="Y472" s="2485" t="s">
        <v>4710</v>
      </c>
      <c r="Z472" s="2485" t="s">
        <v>4711</v>
      </c>
      <c r="AA472" s="347" t="s">
        <v>1565</v>
      </c>
    </row>
    <row r="473" spans="1:27" ht="12.75" customHeight="1">
      <c r="A473" s="8243"/>
      <c r="B473" s="242" t="str">
        <f t="shared" si="11"/>
        <v>Libre acceso52</v>
      </c>
      <c r="D473" s="257" t="s">
        <v>408</v>
      </c>
      <c r="E473" s="2487" t="s">
        <v>340</v>
      </c>
      <c r="F473" s="2487">
        <f t="shared" si="12"/>
        <v>52</v>
      </c>
      <c r="G473" s="2489" t="s">
        <v>1241</v>
      </c>
      <c r="H473" s="2489" t="s">
        <v>1096</v>
      </c>
      <c r="I473" s="351" t="s">
        <v>1165</v>
      </c>
      <c r="J473" s="2487">
        <v>8</v>
      </c>
      <c r="K473" s="2487">
        <v>10</v>
      </c>
      <c r="L473" s="2487">
        <v>13</v>
      </c>
      <c r="M473" s="348">
        <v>16</v>
      </c>
      <c r="N473" s="2487">
        <v>100</v>
      </c>
      <c r="O473" s="2487">
        <v>160</v>
      </c>
      <c r="P473" s="2487">
        <v>240</v>
      </c>
      <c r="Q473" s="348">
        <v>320</v>
      </c>
      <c r="R473" s="2487">
        <v>10</v>
      </c>
      <c r="S473" s="2487">
        <v>20</v>
      </c>
      <c r="T473" s="2487">
        <v>25</v>
      </c>
      <c r="U473" s="348">
        <v>35</v>
      </c>
      <c r="V473" s="2485" t="s">
        <v>4712</v>
      </c>
      <c r="W473" s="2485" t="s">
        <v>4713</v>
      </c>
      <c r="X473" s="2485" t="s">
        <v>4714</v>
      </c>
      <c r="Y473" s="2485" t="s">
        <v>4715</v>
      </c>
      <c r="Z473" s="2485" t="s">
        <v>12996</v>
      </c>
      <c r="AA473" s="347" t="s">
        <v>1558</v>
      </c>
    </row>
    <row r="474" spans="1:27" ht="12.75" customHeight="1">
      <c r="A474" s="8243"/>
      <c r="B474" s="242" t="str">
        <f t="shared" si="11"/>
        <v>Libre acceso52</v>
      </c>
      <c r="D474" s="257" t="s">
        <v>409</v>
      </c>
      <c r="E474" s="2487" t="s">
        <v>340</v>
      </c>
      <c r="F474" s="2487">
        <f t="shared" si="12"/>
        <v>52</v>
      </c>
      <c r="G474" s="2489" t="s">
        <v>1241</v>
      </c>
      <c r="H474" s="2489" t="s">
        <v>1096</v>
      </c>
      <c r="I474" s="351" t="s">
        <v>1165</v>
      </c>
      <c r="J474" s="2487">
        <v>8</v>
      </c>
      <c r="K474" s="2487">
        <v>10</v>
      </c>
      <c r="L474" s="2487">
        <v>12</v>
      </c>
      <c r="M474" s="348">
        <v>14</v>
      </c>
      <c r="N474" s="2487">
        <v>80</v>
      </c>
      <c r="O474" s="2487">
        <v>100</v>
      </c>
      <c r="P474" s="2487">
        <v>120</v>
      </c>
      <c r="Q474" s="348">
        <v>140</v>
      </c>
      <c r="R474" s="2487">
        <v>10</v>
      </c>
      <c r="S474" s="2487">
        <v>10</v>
      </c>
      <c r="T474" s="2487">
        <v>15</v>
      </c>
      <c r="U474" s="348">
        <v>15</v>
      </c>
      <c r="V474" s="2485" t="s">
        <v>4716</v>
      </c>
      <c r="W474" s="2485" t="s">
        <v>4717</v>
      </c>
      <c r="X474" s="2485" t="s">
        <v>4718</v>
      </c>
      <c r="Y474" s="2485" t="s">
        <v>4719</v>
      </c>
      <c r="Z474" s="2485" t="s">
        <v>4720</v>
      </c>
      <c r="AA474" s="347" t="s">
        <v>1560</v>
      </c>
    </row>
    <row r="475" spans="1:27" ht="12.75" customHeight="1">
      <c r="A475" s="8243"/>
      <c r="B475" s="242" t="str">
        <f t="shared" si="11"/>
        <v/>
      </c>
      <c r="D475" s="257" t="s">
        <v>410</v>
      </c>
      <c r="E475" s="2487"/>
      <c r="F475" s="2487"/>
      <c r="G475" s="2489"/>
      <c r="H475" s="2489"/>
      <c r="I475" s="351"/>
      <c r="J475" s="2487"/>
      <c r="K475" s="2487"/>
      <c r="L475" s="2487"/>
      <c r="M475" s="348"/>
      <c r="N475" s="2487"/>
      <c r="O475" s="2487"/>
      <c r="P475" s="2487"/>
      <c r="Q475" s="348"/>
      <c r="R475" s="2487"/>
      <c r="S475" s="2487"/>
      <c r="T475" s="2487"/>
      <c r="U475" s="348"/>
      <c r="V475" s="2485"/>
      <c r="W475" s="2485"/>
      <c r="X475" s="2485"/>
      <c r="Y475" s="2485"/>
      <c r="Z475" s="2485"/>
      <c r="AA475" s="347"/>
    </row>
    <row r="476" spans="1:27" ht="12.75" customHeight="1">
      <c r="A476" s="8243"/>
      <c r="B476" s="242" t="str">
        <f t="shared" si="11"/>
        <v>Libre acceso62</v>
      </c>
      <c r="D476" s="257" t="s">
        <v>411</v>
      </c>
      <c r="E476" s="2487" t="s">
        <v>340</v>
      </c>
      <c r="F476" s="2487">
        <f>F463+10</f>
        <v>62</v>
      </c>
      <c r="G476" s="2489" t="s">
        <v>1241</v>
      </c>
      <c r="H476" s="2489" t="s">
        <v>3789</v>
      </c>
      <c r="I476" s="351" t="s">
        <v>1165</v>
      </c>
      <c r="J476" s="2487">
        <v>8</v>
      </c>
      <c r="K476" s="2487">
        <v>9</v>
      </c>
      <c r="L476" s="2487">
        <v>13</v>
      </c>
      <c r="M476" s="348">
        <v>16</v>
      </c>
      <c r="N476" s="2487">
        <v>140</v>
      </c>
      <c r="O476" s="2487">
        <v>200</v>
      </c>
      <c r="P476" s="2487">
        <v>240</v>
      </c>
      <c r="Q476" s="348">
        <v>280</v>
      </c>
      <c r="R476" s="2487">
        <v>15</v>
      </c>
      <c r="S476" s="2487">
        <v>20</v>
      </c>
      <c r="T476" s="2487">
        <v>25</v>
      </c>
      <c r="U476" s="348">
        <v>30</v>
      </c>
      <c r="V476" s="2485" t="s">
        <v>4721</v>
      </c>
      <c r="W476" s="2485" t="s">
        <v>4722</v>
      </c>
      <c r="X476" s="2485" t="s">
        <v>4723</v>
      </c>
      <c r="Y476" s="2485" t="s">
        <v>4724</v>
      </c>
      <c r="Z476" s="2485" t="s">
        <v>4725</v>
      </c>
      <c r="AA476" s="347" t="s">
        <v>1461</v>
      </c>
    </row>
    <row r="477" spans="1:27" ht="12.75" customHeight="1">
      <c r="A477" s="8243"/>
      <c r="B477" s="242" t="str">
        <f t="shared" si="11"/>
        <v>Libre acceso62</v>
      </c>
      <c r="D477" s="257" t="s">
        <v>412</v>
      </c>
      <c r="E477" s="2487" t="s">
        <v>340</v>
      </c>
      <c r="F477" s="2487">
        <f t="shared" ref="F477:F487" si="13">F464+10</f>
        <v>62</v>
      </c>
      <c r="G477" s="2489" t="s">
        <v>1241</v>
      </c>
      <c r="H477" s="2489" t="s">
        <v>3789</v>
      </c>
      <c r="I477" s="351" t="s">
        <v>1165</v>
      </c>
      <c r="J477" s="2487">
        <v>9</v>
      </c>
      <c r="K477" s="2487">
        <v>11</v>
      </c>
      <c r="L477" s="2487">
        <v>14</v>
      </c>
      <c r="M477" s="348">
        <v>16</v>
      </c>
      <c r="N477" s="2487">
        <v>80</v>
      </c>
      <c r="O477" s="2487">
        <v>100</v>
      </c>
      <c r="P477" s="2487">
        <v>120</v>
      </c>
      <c r="Q477" s="348">
        <v>140</v>
      </c>
      <c r="R477" s="2487">
        <v>10</v>
      </c>
      <c r="S477" s="2487">
        <v>10</v>
      </c>
      <c r="T477" s="2487">
        <v>15</v>
      </c>
      <c r="U477" s="348">
        <v>15</v>
      </c>
      <c r="V477" s="2485" t="s">
        <v>3390</v>
      </c>
      <c r="W477" s="2485" t="s">
        <v>3391</v>
      </c>
      <c r="X477" s="2485" t="s">
        <v>3295</v>
      </c>
      <c r="Y477" s="2485" t="s">
        <v>3153</v>
      </c>
      <c r="Z477" s="2485" t="s">
        <v>4726</v>
      </c>
      <c r="AA477" s="347" t="s">
        <v>1560</v>
      </c>
    </row>
    <row r="478" spans="1:27" ht="12.75" customHeight="1">
      <c r="A478" s="8243"/>
      <c r="B478" s="242" t="str">
        <f t="shared" si="11"/>
        <v>Libre acceso62</v>
      </c>
      <c r="D478" s="257" t="s">
        <v>413</v>
      </c>
      <c r="E478" s="2487" t="s">
        <v>340</v>
      </c>
      <c r="F478" s="2487">
        <f t="shared" si="13"/>
        <v>62</v>
      </c>
      <c r="G478" s="2489" t="s">
        <v>2422</v>
      </c>
      <c r="H478" s="2489" t="s">
        <v>1095</v>
      </c>
      <c r="I478" s="351" t="s">
        <v>1165</v>
      </c>
      <c r="J478" s="2487">
        <v>9</v>
      </c>
      <c r="K478" s="2487">
        <v>11</v>
      </c>
      <c r="L478" s="2487">
        <v>14</v>
      </c>
      <c r="M478" s="348">
        <v>16</v>
      </c>
      <c r="N478" s="2487">
        <v>140</v>
      </c>
      <c r="O478" s="2487">
        <v>200</v>
      </c>
      <c r="P478" s="2487">
        <v>240</v>
      </c>
      <c r="Q478" s="348">
        <v>280</v>
      </c>
      <c r="R478" s="2487">
        <v>15</v>
      </c>
      <c r="S478" s="2487">
        <v>20</v>
      </c>
      <c r="T478" s="2487">
        <v>25</v>
      </c>
      <c r="U478" s="348">
        <v>30</v>
      </c>
      <c r="V478" s="2485" t="s">
        <v>4727</v>
      </c>
      <c r="W478" s="2485" t="s">
        <v>4728</v>
      </c>
      <c r="X478" s="2485" t="s">
        <v>4729</v>
      </c>
      <c r="Y478" s="2485" t="s">
        <v>4730</v>
      </c>
      <c r="Z478" s="2485" t="s">
        <v>4731</v>
      </c>
      <c r="AA478" s="347" t="s">
        <v>1561</v>
      </c>
    </row>
    <row r="479" spans="1:27" ht="12.75" customHeight="1">
      <c r="A479" s="8243"/>
      <c r="B479" s="242" t="str">
        <f t="shared" si="11"/>
        <v>Libre acceso62</v>
      </c>
      <c r="D479" s="257" t="s">
        <v>414</v>
      </c>
      <c r="E479" s="2487" t="s">
        <v>340</v>
      </c>
      <c r="F479" s="2487">
        <f t="shared" si="13"/>
        <v>62</v>
      </c>
      <c r="G479" s="2489" t="s">
        <v>1241</v>
      </c>
      <c r="H479" s="2489" t="s">
        <v>1095</v>
      </c>
      <c r="I479" s="351" t="s">
        <v>1166</v>
      </c>
      <c r="J479" s="2487">
        <v>8</v>
      </c>
      <c r="K479" s="2487">
        <v>11</v>
      </c>
      <c r="L479" s="2487">
        <v>13</v>
      </c>
      <c r="M479" s="348">
        <v>16</v>
      </c>
      <c r="N479" s="2487">
        <v>80</v>
      </c>
      <c r="O479" s="2487">
        <v>100</v>
      </c>
      <c r="P479" s="2487">
        <v>120</v>
      </c>
      <c r="Q479" s="348">
        <v>140</v>
      </c>
      <c r="R479" s="2487">
        <v>20</v>
      </c>
      <c r="S479" s="2487">
        <v>20</v>
      </c>
      <c r="T479" s="2487">
        <v>25</v>
      </c>
      <c r="U479" s="348">
        <v>30</v>
      </c>
      <c r="V479" s="2485" t="s">
        <v>4732</v>
      </c>
      <c r="W479" s="2485" t="s">
        <v>4733</v>
      </c>
      <c r="X479" s="2485" t="s">
        <v>4734</v>
      </c>
      <c r="Y479" s="2485" t="s">
        <v>4735</v>
      </c>
      <c r="Z479" s="2485" t="s">
        <v>4736</v>
      </c>
      <c r="AA479" s="347" t="s">
        <v>1561</v>
      </c>
    </row>
    <row r="480" spans="1:27" ht="12.75" customHeight="1">
      <c r="A480" s="8243"/>
      <c r="B480" s="242" t="str">
        <f t="shared" si="11"/>
        <v>Libre acceso62</v>
      </c>
      <c r="D480" s="257" t="s">
        <v>415</v>
      </c>
      <c r="E480" s="2487" t="s">
        <v>340</v>
      </c>
      <c r="F480" s="2487">
        <f t="shared" si="13"/>
        <v>62</v>
      </c>
      <c r="G480" s="2489" t="s">
        <v>1241</v>
      </c>
      <c r="H480" s="2489" t="s">
        <v>1095</v>
      </c>
      <c r="I480" s="351" t="s">
        <v>1165</v>
      </c>
      <c r="J480" s="2487">
        <v>9</v>
      </c>
      <c r="K480" s="2487">
        <v>11</v>
      </c>
      <c r="L480" s="2487">
        <v>14</v>
      </c>
      <c r="M480" s="348">
        <v>16</v>
      </c>
      <c r="N480" s="2487">
        <v>80</v>
      </c>
      <c r="O480" s="2487">
        <v>160</v>
      </c>
      <c r="P480" s="2487">
        <v>240</v>
      </c>
      <c r="Q480" s="348">
        <v>320</v>
      </c>
      <c r="R480" s="2487">
        <v>5</v>
      </c>
      <c r="S480" s="2487">
        <v>10</v>
      </c>
      <c r="T480" s="2487">
        <v>15</v>
      </c>
      <c r="U480" s="348">
        <v>20</v>
      </c>
      <c r="V480" s="2485" t="s">
        <v>4737</v>
      </c>
      <c r="W480" s="2485" t="s">
        <v>3770</v>
      </c>
      <c r="X480" s="2485" t="s">
        <v>4738</v>
      </c>
      <c r="Y480" s="2485" t="s">
        <v>3771</v>
      </c>
      <c r="Z480" s="2485" t="s">
        <v>4739</v>
      </c>
      <c r="AA480" s="347" t="s">
        <v>1561</v>
      </c>
    </row>
    <row r="481" spans="1:27" ht="12.75" customHeight="1">
      <c r="A481" s="8243"/>
      <c r="B481" s="242" t="str">
        <f t="shared" si="11"/>
        <v>Libre acceso62</v>
      </c>
      <c r="D481" s="257" t="s">
        <v>416</v>
      </c>
      <c r="E481" s="2487" t="s">
        <v>340</v>
      </c>
      <c r="F481" s="2487">
        <f t="shared" si="13"/>
        <v>62</v>
      </c>
      <c r="G481" s="2489" t="s">
        <v>2422</v>
      </c>
      <c r="H481" s="2489" t="s">
        <v>1095</v>
      </c>
      <c r="I481" s="351" t="s">
        <v>1165</v>
      </c>
      <c r="J481" s="2487">
        <v>8</v>
      </c>
      <c r="K481" s="2487">
        <v>11</v>
      </c>
      <c r="L481" s="2487">
        <v>13</v>
      </c>
      <c r="M481" s="348">
        <v>16</v>
      </c>
      <c r="N481" s="2487">
        <v>80</v>
      </c>
      <c r="O481" s="2487">
        <v>120</v>
      </c>
      <c r="P481" s="2487">
        <v>180</v>
      </c>
      <c r="Q481" s="348">
        <v>220</v>
      </c>
      <c r="R481" s="2487">
        <v>5</v>
      </c>
      <c r="S481" s="2487">
        <v>5</v>
      </c>
      <c r="T481" s="2487">
        <v>10</v>
      </c>
      <c r="U481" s="348">
        <v>15</v>
      </c>
      <c r="V481" s="2485" t="s">
        <v>4740</v>
      </c>
      <c r="W481" s="2485" t="s">
        <v>4741</v>
      </c>
      <c r="X481" s="2485" t="s">
        <v>4742</v>
      </c>
      <c r="Y481" s="2485" t="s">
        <v>4743</v>
      </c>
      <c r="Z481" s="2485" t="s">
        <v>4744</v>
      </c>
      <c r="AA481" s="347" t="s">
        <v>9947</v>
      </c>
    </row>
    <row r="482" spans="1:27" ht="12.75" customHeight="1">
      <c r="A482" s="8243"/>
      <c r="B482" s="242" t="str">
        <f t="shared" si="11"/>
        <v>Libre acceso62</v>
      </c>
      <c r="D482" s="257" t="s">
        <v>417</v>
      </c>
      <c r="E482" s="2487" t="s">
        <v>340</v>
      </c>
      <c r="F482" s="2487">
        <f t="shared" si="13"/>
        <v>62</v>
      </c>
      <c r="G482" s="2489" t="s">
        <v>1241</v>
      </c>
      <c r="H482" s="2489" t="s">
        <v>1096</v>
      </c>
      <c r="I482" s="351" t="s">
        <v>1165</v>
      </c>
      <c r="J482" s="2487">
        <v>8</v>
      </c>
      <c r="K482" s="2487">
        <v>11</v>
      </c>
      <c r="L482" s="2487">
        <v>13</v>
      </c>
      <c r="M482" s="348">
        <v>16</v>
      </c>
      <c r="N482" s="2487">
        <v>140</v>
      </c>
      <c r="O482" s="2487">
        <v>200</v>
      </c>
      <c r="P482" s="2487">
        <v>240</v>
      </c>
      <c r="Q482" s="348">
        <v>280</v>
      </c>
      <c r="R482" s="2487"/>
      <c r="S482" s="2487"/>
      <c r="T482" s="2487"/>
      <c r="U482" s="348" t="s">
        <v>3384</v>
      </c>
      <c r="V482" s="2485" t="s">
        <v>4745</v>
      </c>
      <c r="W482" s="2485" t="s">
        <v>4746</v>
      </c>
      <c r="X482" s="2485" t="s">
        <v>4747</v>
      </c>
      <c r="Y482" s="2485" t="s">
        <v>4748</v>
      </c>
      <c r="Z482" s="2485" t="s">
        <v>4749</v>
      </c>
      <c r="AA482" s="347" t="s">
        <v>1565</v>
      </c>
    </row>
    <row r="483" spans="1:27" ht="12.75" customHeight="1">
      <c r="A483" s="8243"/>
      <c r="B483" s="242" t="str">
        <f t="shared" si="11"/>
        <v>Libre acceso62</v>
      </c>
      <c r="D483" s="257" t="s">
        <v>418</v>
      </c>
      <c r="E483" s="2487" t="s">
        <v>340</v>
      </c>
      <c r="F483" s="2487">
        <f t="shared" si="13"/>
        <v>62</v>
      </c>
      <c r="G483" s="2489" t="s">
        <v>1241</v>
      </c>
      <c r="H483" s="2489" t="s">
        <v>1095</v>
      </c>
      <c r="I483" s="351" t="s">
        <v>1165</v>
      </c>
      <c r="J483" s="2487">
        <v>8</v>
      </c>
      <c r="K483" s="2487">
        <v>11</v>
      </c>
      <c r="L483" s="2487">
        <v>13</v>
      </c>
      <c r="M483" s="348">
        <v>16</v>
      </c>
      <c r="N483" s="2487">
        <v>100</v>
      </c>
      <c r="O483" s="2487">
        <v>120</v>
      </c>
      <c r="P483" s="2487">
        <v>140</v>
      </c>
      <c r="Q483" s="348">
        <v>160</v>
      </c>
      <c r="R483" s="2487">
        <v>10</v>
      </c>
      <c r="S483" s="2487">
        <v>15</v>
      </c>
      <c r="T483" s="2487">
        <v>15</v>
      </c>
      <c r="U483" s="348">
        <v>20</v>
      </c>
      <c r="V483" s="2485" t="s">
        <v>4750</v>
      </c>
      <c r="W483" s="2485" t="s">
        <v>4751</v>
      </c>
      <c r="X483" s="2485" t="s">
        <v>4752</v>
      </c>
      <c r="Y483" s="2485" t="s">
        <v>4753</v>
      </c>
      <c r="Z483" s="2485" t="s">
        <v>4754</v>
      </c>
      <c r="AA483" s="347" t="s">
        <v>1558</v>
      </c>
    </row>
    <row r="484" spans="1:27" ht="12.75" customHeight="1">
      <c r="A484" s="8243"/>
      <c r="B484" s="242" t="str">
        <f t="shared" si="11"/>
        <v>Libre acceso62</v>
      </c>
      <c r="D484" s="257" t="s">
        <v>419</v>
      </c>
      <c r="E484" s="2487" t="s">
        <v>340</v>
      </c>
      <c r="F484" s="2487">
        <f t="shared" si="13"/>
        <v>62</v>
      </c>
      <c r="G484" s="2489" t="s">
        <v>1241</v>
      </c>
      <c r="H484" s="2489" t="s">
        <v>1095</v>
      </c>
      <c r="I484" s="351" t="s">
        <v>1165</v>
      </c>
      <c r="J484" s="2487">
        <v>9</v>
      </c>
      <c r="K484" s="2487">
        <v>11</v>
      </c>
      <c r="L484" s="2487">
        <v>14</v>
      </c>
      <c r="M484" s="348">
        <v>16</v>
      </c>
      <c r="N484" s="2487">
        <v>100</v>
      </c>
      <c r="O484" s="2487">
        <v>120</v>
      </c>
      <c r="P484" s="2487">
        <v>140</v>
      </c>
      <c r="Q484" s="348">
        <v>160</v>
      </c>
      <c r="R484" s="2487">
        <v>10</v>
      </c>
      <c r="S484" s="2487">
        <v>10</v>
      </c>
      <c r="T484" s="2487">
        <v>15</v>
      </c>
      <c r="U484" s="348">
        <v>20</v>
      </c>
      <c r="V484" s="2485" t="s">
        <v>4755</v>
      </c>
      <c r="W484" s="2485" t="s">
        <v>4756</v>
      </c>
      <c r="X484" s="2485" t="s">
        <v>4757</v>
      </c>
      <c r="Y484" s="2485" t="s">
        <v>4758</v>
      </c>
      <c r="Z484" s="2485" t="s">
        <v>4759</v>
      </c>
      <c r="AA484" s="347" t="s">
        <v>1561</v>
      </c>
    </row>
    <row r="485" spans="1:27" ht="12.75" customHeight="1">
      <c r="A485" s="8243"/>
      <c r="B485" s="242" t="str">
        <f t="shared" si="11"/>
        <v>Libre acceso62</v>
      </c>
      <c r="D485" s="257" t="s">
        <v>1762</v>
      </c>
      <c r="E485" s="2487" t="s">
        <v>340</v>
      </c>
      <c r="F485" s="2487">
        <f t="shared" si="13"/>
        <v>62</v>
      </c>
      <c r="G485" s="2489" t="s">
        <v>1241</v>
      </c>
      <c r="H485" s="2489" t="s">
        <v>3789</v>
      </c>
      <c r="I485" s="351" t="s">
        <v>1165</v>
      </c>
      <c r="J485" s="2487">
        <v>8</v>
      </c>
      <c r="K485" s="2487">
        <v>11</v>
      </c>
      <c r="L485" s="2487">
        <v>13</v>
      </c>
      <c r="M485" s="348">
        <v>16</v>
      </c>
      <c r="N485" s="2487">
        <v>120</v>
      </c>
      <c r="O485" s="2487">
        <v>160</v>
      </c>
      <c r="P485" s="2487">
        <v>200</v>
      </c>
      <c r="Q485" s="348">
        <v>240</v>
      </c>
      <c r="R485" s="2487"/>
      <c r="S485" s="2487"/>
      <c r="T485" s="2487"/>
      <c r="U485" s="348"/>
      <c r="V485" s="2485" t="s">
        <v>3403</v>
      </c>
      <c r="W485" s="2485" t="s">
        <v>4318</v>
      </c>
      <c r="X485" s="2485" t="s">
        <v>3404</v>
      </c>
      <c r="Y485" s="2485" t="s">
        <v>4319</v>
      </c>
      <c r="Z485" s="2485" t="s">
        <v>12997</v>
      </c>
      <c r="AA485" s="347" t="s">
        <v>1563</v>
      </c>
    </row>
    <row r="486" spans="1:27" ht="12.75" customHeight="1">
      <c r="A486" s="8243"/>
      <c r="B486" s="242" t="str">
        <f t="shared" si="11"/>
        <v>Libre acceso62</v>
      </c>
      <c r="D486" s="257" t="s">
        <v>420</v>
      </c>
      <c r="E486" s="2487" t="s">
        <v>340</v>
      </c>
      <c r="F486" s="2487">
        <f t="shared" si="13"/>
        <v>62</v>
      </c>
      <c r="G486" s="2489" t="s">
        <v>2422</v>
      </c>
      <c r="H486" s="2489" t="s">
        <v>3789</v>
      </c>
      <c r="I486" s="351" t="s">
        <v>1165</v>
      </c>
      <c r="J486" s="2487">
        <v>8</v>
      </c>
      <c r="K486" s="2487">
        <v>11</v>
      </c>
      <c r="L486" s="2487">
        <v>13</v>
      </c>
      <c r="M486" s="348">
        <v>16</v>
      </c>
      <c r="N486" s="2487">
        <v>120</v>
      </c>
      <c r="O486" s="2487">
        <v>180</v>
      </c>
      <c r="P486" s="2487">
        <v>220</v>
      </c>
      <c r="Q486" s="348">
        <v>280</v>
      </c>
      <c r="R486" s="2487">
        <v>15</v>
      </c>
      <c r="S486" s="2487">
        <v>20</v>
      </c>
      <c r="T486" s="2487">
        <v>25</v>
      </c>
      <c r="U486" s="348">
        <v>30</v>
      </c>
      <c r="V486" s="2485" t="s">
        <v>3403</v>
      </c>
      <c r="W486" s="2485" t="s">
        <v>4318</v>
      </c>
      <c r="X486" s="2485" t="s">
        <v>3404</v>
      </c>
      <c r="Y486" s="2485" t="s">
        <v>4319</v>
      </c>
      <c r="Z486" s="2485" t="s">
        <v>4760</v>
      </c>
      <c r="AA486" s="347" t="s">
        <v>1565</v>
      </c>
    </row>
    <row r="487" spans="1:27" ht="12.75" customHeight="1">
      <c r="A487" s="8243"/>
      <c r="B487" s="242" t="str">
        <f t="shared" si="11"/>
        <v>Libre acceso62</v>
      </c>
      <c r="D487" s="257" t="s">
        <v>9946</v>
      </c>
      <c r="E487" s="2487" t="s">
        <v>340</v>
      </c>
      <c r="F487" s="2487">
        <f t="shared" si="13"/>
        <v>62</v>
      </c>
      <c r="G487" s="2489" t="s">
        <v>1241</v>
      </c>
      <c r="H487" s="2489" t="s">
        <v>1095</v>
      </c>
      <c r="I487" s="351" t="s">
        <v>1165</v>
      </c>
      <c r="J487" s="2487">
        <v>9</v>
      </c>
      <c r="K487" s="2487">
        <v>11</v>
      </c>
      <c r="L487" s="2487">
        <v>14</v>
      </c>
      <c r="M487" s="348">
        <v>16</v>
      </c>
      <c r="N487" s="2487">
        <v>100</v>
      </c>
      <c r="O487" s="2487">
        <v>120</v>
      </c>
      <c r="P487" s="2487">
        <v>140</v>
      </c>
      <c r="Q487" s="348">
        <v>160</v>
      </c>
      <c r="R487" s="2487">
        <v>10</v>
      </c>
      <c r="S487" s="2487">
        <v>15</v>
      </c>
      <c r="T487" s="2487">
        <v>15</v>
      </c>
      <c r="U487" s="348">
        <v>20</v>
      </c>
      <c r="V487" s="2485" t="s">
        <v>4755</v>
      </c>
      <c r="W487" s="2485" t="s">
        <v>4756</v>
      </c>
      <c r="X487" s="2485" t="s">
        <v>4757</v>
      </c>
      <c r="Y487" s="2485" t="s">
        <v>4758</v>
      </c>
      <c r="Z487" s="2485" t="s">
        <v>4761</v>
      </c>
      <c r="AA487" s="347" t="s">
        <v>1561</v>
      </c>
    </row>
    <row r="488" spans="1:27" ht="12.75" customHeight="1">
      <c r="A488" s="8243"/>
      <c r="B488" s="242" t="str">
        <f t="shared" si="11"/>
        <v/>
      </c>
      <c r="D488" s="257" t="s">
        <v>421</v>
      </c>
      <c r="E488" s="2487"/>
      <c r="F488" s="2487"/>
      <c r="G488" s="2489"/>
      <c r="H488" s="2489"/>
      <c r="I488" s="351"/>
      <c r="J488" s="2487"/>
      <c r="K488" s="2487"/>
      <c r="L488" s="2487"/>
      <c r="M488" s="348"/>
      <c r="N488" s="2487"/>
      <c r="O488" s="2487"/>
      <c r="P488" s="2487"/>
      <c r="Q488" s="348"/>
      <c r="R488" s="2487"/>
      <c r="S488" s="2487"/>
      <c r="T488" s="2487"/>
      <c r="U488" s="348"/>
      <c r="V488" s="2485"/>
      <c r="W488" s="2485"/>
      <c r="X488" s="2485"/>
      <c r="Y488" s="2485"/>
      <c r="Z488" s="2485"/>
      <c r="AA488" s="347"/>
    </row>
    <row r="489" spans="1:27" ht="12.75" customHeight="1">
      <c r="A489" s="8243"/>
      <c r="B489" s="242" t="str">
        <f t="shared" si="11"/>
        <v>Libre acceso72</v>
      </c>
      <c r="D489" s="257" t="s">
        <v>422</v>
      </c>
      <c r="E489" s="2487" t="s">
        <v>340</v>
      </c>
      <c r="F489" s="2487">
        <f>F476+10</f>
        <v>72</v>
      </c>
      <c r="G489" s="2489" t="s">
        <v>2422</v>
      </c>
      <c r="H489" s="2489" t="s">
        <v>3789</v>
      </c>
      <c r="I489" s="351" t="s">
        <v>1165</v>
      </c>
      <c r="J489" s="2487">
        <v>8</v>
      </c>
      <c r="K489" s="2487">
        <v>11</v>
      </c>
      <c r="L489" s="2487">
        <v>13</v>
      </c>
      <c r="M489" s="348">
        <v>16</v>
      </c>
      <c r="N489" s="2487">
        <v>150</v>
      </c>
      <c r="O489" s="2487">
        <v>200</v>
      </c>
      <c r="P489" s="2487">
        <v>250</v>
      </c>
      <c r="Q489" s="348">
        <v>300</v>
      </c>
      <c r="R489" s="2487">
        <v>15</v>
      </c>
      <c r="S489" s="2487">
        <v>20</v>
      </c>
      <c r="T489" s="2487">
        <v>25</v>
      </c>
      <c r="U489" s="348">
        <v>30</v>
      </c>
      <c r="V489" s="2485" t="s">
        <v>4762</v>
      </c>
      <c r="W489" s="2485" t="s">
        <v>4763</v>
      </c>
      <c r="X489" s="2485" t="s">
        <v>4764</v>
      </c>
      <c r="Y489" s="2485" t="s">
        <v>4765</v>
      </c>
      <c r="Z489" s="2485" t="s">
        <v>4766</v>
      </c>
      <c r="AA489" s="347" t="s">
        <v>9948</v>
      </c>
    </row>
    <row r="490" spans="1:27" ht="12.75" customHeight="1">
      <c r="A490" s="8243"/>
      <c r="B490" s="242" t="str">
        <f t="shared" si="11"/>
        <v>Libre acceso72</v>
      </c>
      <c r="D490" s="257" t="s">
        <v>423</v>
      </c>
      <c r="E490" s="2487" t="s">
        <v>340</v>
      </c>
      <c r="F490" s="2487">
        <f t="shared" ref="F490:F500" si="14">F477+10</f>
        <v>72</v>
      </c>
      <c r="G490" s="2489" t="s">
        <v>1241</v>
      </c>
      <c r="H490" s="2489" t="s">
        <v>1095</v>
      </c>
      <c r="I490" s="351" t="s">
        <v>1165</v>
      </c>
      <c r="J490" s="2487">
        <v>9</v>
      </c>
      <c r="K490" s="2487">
        <v>11</v>
      </c>
      <c r="L490" s="2487">
        <v>13</v>
      </c>
      <c r="M490" s="348">
        <v>16</v>
      </c>
      <c r="N490" s="2487">
        <v>150</v>
      </c>
      <c r="O490" s="2487">
        <v>200</v>
      </c>
      <c r="P490" s="2487">
        <v>250</v>
      </c>
      <c r="Q490" s="348">
        <v>300</v>
      </c>
      <c r="R490" s="2487"/>
      <c r="S490" s="2487"/>
      <c r="T490" s="2487"/>
      <c r="U490" s="348"/>
      <c r="V490" s="2485" t="s">
        <v>4767</v>
      </c>
      <c r="W490" s="2485" t="s">
        <v>4768</v>
      </c>
      <c r="X490" s="2485" t="s">
        <v>4769</v>
      </c>
      <c r="Y490" s="2485" t="s">
        <v>4770</v>
      </c>
      <c r="Z490" s="2485" t="s">
        <v>4771</v>
      </c>
      <c r="AA490" s="347" t="s">
        <v>1461</v>
      </c>
    </row>
    <row r="491" spans="1:27" ht="12.75" customHeight="1">
      <c r="A491" s="8243"/>
      <c r="B491" s="242" t="str">
        <f t="shared" si="11"/>
        <v>Libre acceso72</v>
      </c>
      <c r="D491" s="257" t="s">
        <v>424</v>
      </c>
      <c r="E491" s="2487" t="s">
        <v>340</v>
      </c>
      <c r="F491" s="2487">
        <f t="shared" si="14"/>
        <v>72</v>
      </c>
      <c r="G491" s="2489" t="s">
        <v>1241</v>
      </c>
      <c r="H491" s="2489" t="s">
        <v>3789</v>
      </c>
      <c r="I491" s="351" t="s">
        <v>1165</v>
      </c>
      <c r="J491" s="2487">
        <v>8</v>
      </c>
      <c r="K491" s="2487">
        <v>11</v>
      </c>
      <c r="L491" s="2487">
        <v>13</v>
      </c>
      <c r="M491" s="348">
        <v>16</v>
      </c>
      <c r="N491" s="2487">
        <v>120</v>
      </c>
      <c r="O491" s="2487">
        <v>180</v>
      </c>
      <c r="P491" s="2487">
        <v>240</v>
      </c>
      <c r="Q491" s="348">
        <v>300</v>
      </c>
      <c r="R491" s="2487">
        <v>15</v>
      </c>
      <c r="S491" s="2487">
        <v>20</v>
      </c>
      <c r="T491" s="2487">
        <v>25</v>
      </c>
      <c r="U491" s="348">
        <v>30</v>
      </c>
      <c r="V491" s="2485" t="s">
        <v>3390</v>
      </c>
      <c r="W491" s="2485" t="s">
        <v>3391</v>
      </c>
      <c r="X491" s="2485" t="s">
        <v>3153</v>
      </c>
      <c r="Y491" s="2485" t="s">
        <v>3560</v>
      </c>
      <c r="Z491" s="2485" t="s">
        <v>12998</v>
      </c>
      <c r="AA491" s="347" t="s">
        <v>1464</v>
      </c>
    </row>
    <row r="492" spans="1:27" ht="12.75" customHeight="1">
      <c r="A492" s="8243"/>
      <c r="B492" s="242" t="str">
        <f t="shared" si="11"/>
        <v>Libre acceso72</v>
      </c>
      <c r="D492" s="257" t="s">
        <v>425</v>
      </c>
      <c r="E492" s="2487" t="s">
        <v>340</v>
      </c>
      <c r="F492" s="2487">
        <f t="shared" si="14"/>
        <v>72</v>
      </c>
      <c r="G492" s="2489" t="s">
        <v>1241</v>
      </c>
      <c r="H492" s="2489" t="s">
        <v>4784</v>
      </c>
      <c r="I492" s="351" t="s">
        <v>1166</v>
      </c>
      <c r="J492" s="2487">
        <v>9</v>
      </c>
      <c r="K492" s="2487">
        <v>11</v>
      </c>
      <c r="L492" s="2487">
        <v>13</v>
      </c>
      <c r="M492" s="348">
        <v>16</v>
      </c>
      <c r="N492" s="2487">
        <v>100</v>
      </c>
      <c r="O492" s="2487">
        <v>160</v>
      </c>
      <c r="P492" s="2487">
        <v>220</v>
      </c>
      <c r="Q492" s="348">
        <v>300</v>
      </c>
      <c r="R492" s="2487"/>
      <c r="S492" s="2487"/>
      <c r="T492" s="2487"/>
      <c r="U492" s="348"/>
      <c r="V492" s="2485" t="s">
        <v>3391</v>
      </c>
      <c r="W492" s="2485" t="s">
        <v>3295</v>
      </c>
      <c r="X492" s="2485" t="s">
        <v>3296</v>
      </c>
      <c r="Y492" s="2485" t="s">
        <v>3297</v>
      </c>
      <c r="Z492" s="2485" t="s">
        <v>4785</v>
      </c>
      <c r="AA492" s="347" t="s">
        <v>1468</v>
      </c>
    </row>
    <row r="493" spans="1:27" ht="12.75" customHeight="1">
      <c r="A493" s="8243"/>
      <c r="B493" s="242" t="str">
        <f t="shared" si="11"/>
        <v>Libre acceso72</v>
      </c>
      <c r="D493" s="257" t="s">
        <v>3</v>
      </c>
      <c r="E493" s="2487" t="s">
        <v>340</v>
      </c>
      <c r="F493" s="2487">
        <f t="shared" si="14"/>
        <v>72</v>
      </c>
      <c r="G493" s="2489" t="s">
        <v>1241</v>
      </c>
      <c r="H493" s="2489" t="s">
        <v>1095</v>
      </c>
      <c r="I493" s="351" t="s">
        <v>1165</v>
      </c>
      <c r="J493" s="2487">
        <v>9</v>
      </c>
      <c r="K493" s="2487">
        <v>11</v>
      </c>
      <c r="L493" s="2487">
        <v>13</v>
      </c>
      <c r="M493" s="348">
        <v>16</v>
      </c>
      <c r="N493" s="2487">
        <v>160</v>
      </c>
      <c r="O493" s="2487">
        <v>200</v>
      </c>
      <c r="P493" s="2487">
        <v>240</v>
      </c>
      <c r="Q493" s="348">
        <v>280</v>
      </c>
      <c r="R493" s="2487">
        <v>20</v>
      </c>
      <c r="S493" s="2487">
        <v>20</v>
      </c>
      <c r="T493" s="2487">
        <v>25</v>
      </c>
      <c r="U493" s="348">
        <v>30</v>
      </c>
      <c r="V493" s="2485" t="s">
        <v>4779</v>
      </c>
      <c r="W493" s="2485" t="s">
        <v>4780</v>
      </c>
      <c r="X493" s="2485" t="s">
        <v>4781</v>
      </c>
      <c r="Y493" s="2485" t="s">
        <v>4782</v>
      </c>
      <c r="Z493" s="2485" t="s">
        <v>4783</v>
      </c>
      <c r="AA493" s="347" t="s">
        <v>1563</v>
      </c>
    </row>
    <row r="494" spans="1:27" ht="12.75" customHeight="1">
      <c r="A494" s="8243"/>
      <c r="B494" s="242" t="str">
        <f t="shared" si="11"/>
        <v>Libre acceso72</v>
      </c>
      <c r="D494" s="257" t="s">
        <v>426</v>
      </c>
      <c r="E494" s="2487" t="s">
        <v>340</v>
      </c>
      <c r="F494" s="2487">
        <f t="shared" si="14"/>
        <v>72</v>
      </c>
      <c r="G494" s="2489" t="s">
        <v>1241</v>
      </c>
      <c r="H494" s="2489" t="s">
        <v>3789</v>
      </c>
      <c r="I494" s="351" t="s">
        <v>1165</v>
      </c>
      <c r="J494" s="2487">
        <v>9</v>
      </c>
      <c r="K494" s="2487">
        <v>11</v>
      </c>
      <c r="L494" s="2487">
        <v>13</v>
      </c>
      <c r="M494" s="348">
        <v>16</v>
      </c>
      <c r="N494" s="2487">
        <v>160</v>
      </c>
      <c r="O494" s="2487">
        <v>200</v>
      </c>
      <c r="P494" s="2487">
        <v>240</v>
      </c>
      <c r="Q494" s="348">
        <v>280</v>
      </c>
      <c r="R494" s="2487">
        <v>20</v>
      </c>
      <c r="S494" s="2487">
        <v>20</v>
      </c>
      <c r="T494" s="2487">
        <v>25</v>
      </c>
      <c r="U494" s="348">
        <v>30</v>
      </c>
      <c r="V494" s="2485" t="s">
        <v>3402</v>
      </c>
      <c r="W494" s="2485" t="s">
        <v>3403</v>
      </c>
      <c r="X494" s="2485" t="s">
        <v>4318</v>
      </c>
      <c r="Y494" s="2485" t="s">
        <v>3404</v>
      </c>
      <c r="Z494" s="2485" t="s">
        <v>12999</v>
      </c>
      <c r="AA494" s="347"/>
    </row>
    <row r="495" spans="1:27" ht="12.75" customHeight="1">
      <c r="A495" s="8243"/>
      <c r="B495" s="242" t="str">
        <f t="shared" si="11"/>
        <v>Libre acceso72</v>
      </c>
      <c r="D495" s="257" t="s">
        <v>4772</v>
      </c>
      <c r="E495" s="2487" t="s">
        <v>340</v>
      </c>
      <c r="F495" s="2487">
        <f t="shared" si="14"/>
        <v>72</v>
      </c>
      <c r="G495" s="2489" t="s">
        <v>2422</v>
      </c>
      <c r="H495" s="2489" t="s">
        <v>4773</v>
      </c>
      <c r="I495" s="351" t="s">
        <v>1165</v>
      </c>
      <c r="J495" s="2487">
        <v>9</v>
      </c>
      <c r="K495" s="2487">
        <v>11</v>
      </c>
      <c r="L495" s="2487">
        <v>14</v>
      </c>
      <c r="M495" s="348">
        <v>16</v>
      </c>
      <c r="N495" s="2487">
        <v>100</v>
      </c>
      <c r="O495" s="2487">
        <v>120</v>
      </c>
      <c r="P495" s="2487">
        <v>140</v>
      </c>
      <c r="Q495" s="348">
        <v>160</v>
      </c>
      <c r="R495" s="2487">
        <v>10</v>
      </c>
      <c r="S495" s="2487">
        <v>15</v>
      </c>
      <c r="T495" s="2487">
        <v>15</v>
      </c>
      <c r="U495" s="348">
        <v>20</v>
      </c>
      <c r="V495" s="2485" t="s">
        <v>4774</v>
      </c>
      <c r="W495" s="2485" t="s">
        <v>4775</v>
      </c>
      <c r="X495" s="2485" t="s">
        <v>4776</v>
      </c>
      <c r="Y495" s="2485" t="s">
        <v>4777</v>
      </c>
      <c r="Z495" s="2485" t="s">
        <v>4778</v>
      </c>
      <c r="AA495" s="347" t="s">
        <v>1554</v>
      </c>
    </row>
    <row r="496" spans="1:27" ht="12.75" customHeight="1">
      <c r="A496" s="8243"/>
      <c r="B496" s="242" t="str">
        <f t="shared" si="11"/>
        <v>Libre acceso72</v>
      </c>
      <c r="D496" s="257" t="s">
        <v>9634</v>
      </c>
      <c r="E496" s="2487" t="s">
        <v>340</v>
      </c>
      <c r="F496" s="2487">
        <f t="shared" si="14"/>
        <v>72</v>
      </c>
      <c r="G496" s="2489" t="s">
        <v>1241</v>
      </c>
      <c r="H496" s="2489" t="s">
        <v>1095</v>
      </c>
      <c r="I496" s="351" t="s">
        <v>1165</v>
      </c>
      <c r="J496" s="2487">
        <v>8</v>
      </c>
      <c r="K496" s="2487">
        <v>11</v>
      </c>
      <c r="L496" s="2487">
        <v>13</v>
      </c>
      <c r="M496" s="348">
        <v>16</v>
      </c>
      <c r="N496" s="2487">
        <v>100</v>
      </c>
      <c r="O496" s="2487">
        <v>120</v>
      </c>
      <c r="P496" s="2487">
        <v>140</v>
      </c>
      <c r="Q496" s="348">
        <v>160</v>
      </c>
      <c r="R496" s="2487">
        <v>5</v>
      </c>
      <c r="S496" s="2487">
        <v>10</v>
      </c>
      <c r="T496" s="2487">
        <v>10</v>
      </c>
      <c r="U496" s="348">
        <v>10</v>
      </c>
      <c r="V496" s="2485" t="s">
        <v>4786</v>
      </c>
      <c r="W496" s="2485" t="s">
        <v>4787</v>
      </c>
      <c r="X496" s="2485" t="s">
        <v>4788</v>
      </c>
      <c r="Y496" s="2485" t="s">
        <v>2511</v>
      </c>
      <c r="Z496" s="2485" t="s">
        <v>4789</v>
      </c>
      <c r="AA496" s="347" t="s">
        <v>1558</v>
      </c>
    </row>
    <row r="497" spans="1:27" ht="12.75" customHeight="1">
      <c r="A497" s="8243"/>
      <c r="B497" s="242" t="str">
        <f t="shared" si="11"/>
        <v>Libre acceso72</v>
      </c>
      <c r="D497" s="257" t="s">
        <v>1606</v>
      </c>
      <c r="E497" s="2487" t="s">
        <v>340</v>
      </c>
      <c r="F497" s="2487">
        <f t="shared" si="14"/>
        <v>72</v>
      </c>
      <c r="G497" s="2489" t="s">
        <v>1241</v>
      </c>
      <c r="H497" s="2489" t="s">
        <v>1095</v>
      </c>
      <c r="I497" s="351" t="s">
        <v>1165</v>
      </c>
      <c r="J497" s="2487">
        <v>9</v>
      </c>
      <c r="K497" s="2487">
        <v>11</v>
      </c>
      <c r="L497" s="2487">
        <v>13</v>
      </c>
      <c r="M497" s="348">
        <v>16</v>
      </c>
      <c r="N497" s="2487">
        <v>80</v>
      </c>
      <c r="O497" s="2487">
        <v>120</v>
      </c>
      <c r="P497" s="2487">
        <v>160</v>
      </c>
      <c r="Q497" s="348">
        <v>200</v>
      </c>
      <c r="R497" s="2487">
        <v>10</v>
      </c>
      <c r="S497" s="2487">
        <v>10</v>
      </c>
      <c r="T497" s="2487">
        <v>15</v>
      </c>
      <c r="U497" s="348">
        <v>15</v>
      </c>
      <c r="V497" s="2485" t="s">
        <v>4790</v>
      </c>
      <c r="W497" s="2485" t="s">
        <v>4791</v>
      </c>
      <c r="X497" s="2485" t="s">
        <v>4792</v>
      </c>
      <c r="Y497" s="2485" t="s">
        <v>4793</v>
      </c>
      <c r="Z497" s="2485" t="s">
        <v>4794</v>
      </c>
      <c r="AA497" s="347" t="s">
        <v>1560</v>
      </c>
    </row>
    <row r="498" spans="1:27" ht="12.75" customHeight="1">
      <c r="A498" s="8243"/>
      <c r="B498" s="242" t="str">
        <f t="shared" si="11"/>
        <v>Libre acceso72</v>
      </c>
      <c r="D498" s="257" t="s">
        <v>1603</v>
      </c>
      <c r="E498" s="2487" t="s">
        <v>340</v>
      </c>
      <c r="F498" s="2487">
        <f t="shared" si="14"/>
        <v>72</v>
      </c>
      <c r="G498" s="2489" t="s">
        <v>1241</v>
      </c>
      <c r="H498" s="2489" t="s">
        <v>1095</v>
      </c>
      <c r="I498" s="351" t="s">
        <v>1165</v>
      </c>
      <c r="J498" s="2487">
        <v>9</v>
      </c>
      <c r="K498" s="2487">
        <v>11</v>
      </c>
      <c r="L498" s="2487">
        <v>13</v>
      </c>
      <c r="M498" s="348">
        <v>16</v>
      </c>
      <c r="N498" s="2487">
        <v>80</v>
      </c>
      <c r="O498" s="2487">
        <v>120</v>
      </c>
      <c r="P498" s="2487">
        <v>160</v>
      </c>
      <c r="Q498" s="348">
        <v>200</v>
      </c>
      <c r="R498" s="2487">
        <v>10</v>
      </c>
      <c r="S498" s="2487">
        <v>10</v>
      </c>
      <c r="T498" s="2487">
        <v>15</v>
      </c>
      <c r="U498" s="348">
        <v>15</v>
      </c>
      <c r="V498" s="2485" t="s">
        <v>4795</v>
      </c>
      <c r="W498" s="2485" t="s">
        <v>4796</v>
      </c>
      <c r="X498" s="2485" t="s">
        <v>4797</v>
      </c>
      <c r="Y498" s="2485" t="s">
        <v>4798</v>
      </c>
      <c r="Z498" s="2485" t="s">
        <v>4799</v>
      </c>
      <c r="AA498" s="347" t="s">
        <v>1561</v>
      </c>
    </row>
    <row r="499" spans="1:27" ht="12.75" customHeight="1">
      <c r="A499" s="8243"/>
      <c r="B499" s="242" t="str">
        <f t="shared" si="11"/>
        <v>Libre acceso72</v>
      </c>
      <c r="D499" s="257" t="s">
        <v>427</v>
      </c>
      <c r="E499" s="2487" t="s">
        <v>340</v>
      </c>
      <c r="F499" s="2487">
        <f t="shared" si="14"/>
        <v>72</v>
      </c>
      <c r="G499" s="2489" t="s">
        <v>2422</v>
      </c>
      <c r="H499" s="2489" t="s">
        <v>1096</v>
      </c>
      <c r="I499" s="351" t="s">
        <v>1165</v>
      </c>
      <c r="J499" s="2487">
        <v>9</v>
      </c>
      <c r="K499" s="2487">
        <v>11</v>
      </c>
      <c r="L499" s="2487">
        <v>14</v>
      </c>
      <c r="M499" s="348">
        <v>16</v>
      </c>
      <c r="N499" s="2487">
        <v>200</v>
      </c>
      <c r="O499" s="2487">
        <v>240</v>
      </c>
      <c r="P499" s="2487">
        <v>280</v>
      </c>
      <c r="Q499" s="348">
        <v>320</v>
      </c>
      <c r="R499" s="2487">
        <v>40</v>
      </c>
      <c r="S499" s="2487">
        <v>50</v>
      </c>
      <c r="T499" s="2487">
        <v>60</v>
      </c>
      <c r="U499" s="348">
        <v>65</v>
      </c>
      <c r="V499" s="2485" t="s">
        <v>4362</v>
      </c>
      <c r="W499" s="2485" t="s">
        <v>3570</v>
      </c>
      <c r="X499" s="2485" t="s">
        <v>4363</v>
      </c>
      <c r="Y499" s="2485" t="s">
        <v>4364</v>
      </c>
      <c r="Z499" s="2485" t="s">
        <v>4800</v>
      </c>
      <c r="AA499" s="347"/>
    </row>
    <row r="500" spans="1:27" ht="12.75" customHeight="1">
      <c r="A500" s="8243"/>
      <c r="B500" s="242" t="str">
        <f t="shared" si="11"/>
        <v>Libre acceso72</v>
      </c>
      <c r="D500" s="257" t="s">
        <v>428</v>
      </c>
      <c r="E500" s="2487" t="s">
        <v>340</v>
      </c>
      <c r="F500" s="2487">
        <f t="shared" si="14"/>
        <v>72</v>
      </c>
      <c r="G500" s="2489" t="s">
        <v>1241</v>
      </c>
      <c r="H500" s="2489" t="s">
        <v>1095</v>
      </c>
      <c r="I500" s="351" t="s">
        <v>1165</v>
      </c>
      <c r="J500" s="2487">
        <v>9</v>
      </c>
      <c r="K500" s="2487">
        <v>11</v>
      </c>
      <c r="L500" s="2487">
        <v>13</v>
      </c>
      <c r="M500" s="348">
        <v>16</v>
      </c>
      <c r="N500" s="2487">
        <v>80</v>
      </c>
      <c r="O500" s="2487">
        <v>100</v>
      </c>
      <c r="P500" s="2487">
        <v>120</v>
      </c>
      <c r="Q500" s="348">
        <v>140</v>
      </c>
      <c r="R500" s="2487"/>
      <c r="S500" s="2487"/>
      <c r="T500" s="2487"/>
      <c r="U500" s="348"/>
      <c r="V500" s="2485" t="s">
        <v>4801</v>
      </c>
      <c r="W500" s="2485" t="s">
        <v>4802</v>
      </c>
      <c r="X500" s="2485" t="s">
        <v>4803</v>
      </c>
      <c r="Y500" s="2485" t="s">
        <v>4804</v>
      </c>
      <c r="Z500" s="2485" t="s">
        <v>4805</v>
      </c>
      <c r="AA500" s="347"/>
    </row>
    <row r="501" spans="1:27" ht="12.75" customHeight="1">
      <c r="A501" s="8243"/>
      <c r="B501" s="242" t="str">
        <f t="shared" si="11"/>
        <v/>
      </c>
      <c r="D501" s="257" t="s">
        <v>429</v>
      </c>
      <c r="E501" s="2487"/>
      <c r="F501" s="2487"/>
      <c r="G501" s="2489"/>
      <c r="H501" s="2489"/>
      <c r="I501" s="351"/>
      <c r="J501" s="2487"/>
      <c r="K501" s="2487"/>
      <c r="L501" s="2487"/>
      <c r="M501" s="348"/>
      <c r="N501" s="2487"/>
      <c r="O501" s="2487"/>
      <c r="P501" s="2487"/>
      <c r="Q501" s="348"/>
      <c r="R501" s="2487"/>
      <c r="S501" s="2487"/>
      <c r="T501" s="2487"/>
      <c r="U501" s="348"/>
      <c r="V501" s="2485"/>
      <c r="W501" s="2485"/>
      <c r="X501" s="2485"/>
      <c r="Y501" s="2485"/>
      <c r="Z501" s="2485"/>
      <c r="AA501" s="347"/>
    </row>
    <row r="502" spans="1:27" ht="12.75" customHeight="1">
      <c r="A502" s="8243"/>
      <c r="B502" s="242" t="str">
        <f t="shared" si="11"/>
        <v>Libre acceso82</v>
      </c>
      <c r="D502" s="257" t="s">
        <v>430</v>
      </c>
      <c r="E502" s="2487" t="s">
        <v>340</v>
      </c>
      <c r="F502" s="2487">
        <f>F489+10</f>
        <v>82</v>
      </c>
      <c r="G502" s="2489" t="s">
        <v>2422</v>
      </c>
      <c r="H502" s="2489" t="s">
        <v>1095</v>
      </c>
      <c r="I502" s="351" t="s">
        <v>1165</v>
      </c>
      <c r="J502" s="2487">
        <v>10</v>
      </c>
      <c r="K502" s="2487">
        <v>13</v>
      </c>
      <c r="L502" s="2487">
        <v>15</v>
      </c>
      <c r="M502" s="348">
        <v>17</v>
      </c>
      <c r="N502" s="2487">
        <v>300</v>
      </c>
      <c r="O502" s="2487">
        <v>400</v>
      </c>
      <c r="P502" s="2487">
        <v>500</v>
      </c>
      <c r="Q502" s="348">
        <v>600</v>
      </c>
      <c r="R502" s="2487">
        <v>15</v>
      </c>
      <c r="S502" s="2487">
        <v>20</v>
      </c>
      <c r="T502" s="2487">
        <v>25</v>
      </c>
      <c r="U502" s="348">
        <v>30</v>
      </c>
      <c r="V502" s="2485" t="s">
        <v>3696</v>
      </c>
      <c r="W502" s="2485" t="s">
        <v>4806</v>
      </c>
      <c r="X502" s="2485" t="s">
        <v>4807</v>
      </c>
      <c r="Y502" s="2485" t="s">
        <v>4808</v>
      </c>
      <c r="Z502" s="2485" t="s">
        <v>13000</v>
      </c>
      <c r="AA502" s="347" t="s">
        <v>1561</v>
      </c>
    </row>
    <row r="503" spans="1:27" ht="12.75" customHeight="1">
      <c r="A503" s="8243"/>
      <c r="B503" s="242" t="str">
        <f t="shared" si="11"/>
        <v>Libre acceso82</v>
      </c>
      <c r="D503" s="257" t="s">
        <v>1189</v>
      </c>
      <c r="E503" s="2487" t="s">
        <v>340</v>
      </c>
      <c r="F503" s="2487">
        <f t="shared" ref="F503:F513" si="15">F490+10</f>
        <v>82</v>
      </c>
      <c r="G503" s="2489" t="s">
        <v>1241</v>
      </c>
      <c r="H503" s="2489" t="s">
        <v>1097</v>
      </c>
      <c r="I503" s="351" t="s">
        <v>1165</v>
      </c>
      <c r="J503" s="2487">
        <v>10</v>
      </c>
      <c r="K503" s="2487">
        <v>12</v>
      </c>
      <c r="L503" s="2487">
        <v>14</v>
      </c>
      <c r="M503" s="348">
        <v>16</v>
      </c>
      <c r="N503" s="2487">
        <v>300</v>
      </c>
      <c r="O503" s="2487">
        <v>360</v>
      </c>
      <c r="P503" s="2487">
        <v>420</v>
      </c>
      <c r="Q503" s="348">
        <v>480</v>
      </c>
      <c r="R503" s="2487"/>
      <c r="S503" s="2487"/>
      <c r="T503" s="2487"/>
      <c r="U503" s="348"/>
      <c r="V503" s="2485" t="s">
        <v>4809</v>
      </c>
      <c r="W503" s="2485" t="s">
        <v>4810</v>
      </c>
      <c r="X503" s="2485" t="s">
        <v>4811</v>
      </c>
      <c r="Y503" s="2485" t="s">
        <v>4812</v>
      </c>
      <c r="Z503" s="2485" t="s">
        <v>4813</v>
      </c>
      <c r="AA503" s="347" t="s">
        <v>1554</v>
      </c>
    </row>
    <row r="504" spans="1:27" ht="12.75" customHeight="1">
      <c r="A504" s="8243"/>
      <c r="B504" s="242" t="str">
        <f t="shared" si="11"/>
        <v>Libre acceso82</v>
      </c>
      <c r="D504" s="257" t="s">
        <v>431</v>
      </c>
      <c r="E504" s="2487" t="s">
        <v>340</v>
      </c>
      <c r="F504" s="2487">
        <f t="shared" si="15"/>
        <v>82</v>
      </c>
      <c r="G504" s="2489" t="s">
        <v>1241</v>
      </c>
      <c r="H504" s="2489" t="s">
        <v>1095</v>
      </c>
      <c r="I504" s="351" t="s">
        <v>1165</v>
      </c>
      <c r="J504" s="2487">
        <v>10</v>
      </c>
      <c r="K504" s="2487">
        <v>13</v>
      </c>
      <c r="L504" s="2487">
        <v>15</v>
      </c>
      <c r="M504" s="348">
        <v>17</v>
      </c>
      <c r="N504" s="2487">
        <v>200</v>
      </c>
      <c r="O504" s="2487">
        <v>250</v>
      </c>
      <c r="P504" s="2487">
        <v>320</v>
      </c>
      <c r="Q504" s="348">
        <v>400</v>
      </c>
      <c r="R504" s="2487"/>
      <c r="S504" s="2487"/>
      <c r="T504" s="2487"/>
      <c r="U504" s="348"/>
      <c r="V504" s="2485" t="s">
        <v>3230</v>
      </c>
      <c r="W504" s="2485" t="s">
        <v>3231</v>
      </c>
      <c r="X504" s="2485" t="s">
        <v>3377</v>
      </c>
      <c r="Y504" s="2485" t="s">
        <v>4061</v>
      </c>
      <c r="Z504" s="2485" t="s">
        <v>4814</v>
      </c>
      <c r="AA504" s="347" t="s">
        <v>1560</v>
      </c>
    </row>
    <row r="505" spans="1:27" ht="12.75" customHeight="1">
      <c r="A505" s="8243"/>
      <c r="B505" s="242" t="str">
        <f t="shared" si="11"/>
        <v>Libre acceso82</v>
      </c>
      <c r="D505" s="257" t="s">
        <v>432</v>
      </c>
      <c r="E505" s="2487" t="s">
        <v>340</v>
      </c>
      <c r="F505" s="2487">
        <f t="shared" si="15"/>
        <v>82</v>
      </c>
      <c r="G505" s="2489" t="s">
        <v>2422</v>
      </c>
      <c r="H505" s="2489" t="s">
        <v>1095</v>
      </c>
      <c r="I505" s="351" t="s">
        <v>1165</v>
      </c>
      <c r="J505" s="2487">
        <v>10</v>
      </c>
      <c r="K505" s="2487">
        <v>12</v>
      </c>
      <c r="L505" s="2487">
        <v>14</v>
      </c>
      <c r="M505" s="348">
        <v>16</v>
      </c>
      <c r="N505" s="2487">
        <v>300</v>
      </c>
      <c r="O505" s="2487">
        <v>360</v>
      </c>
      <c r="P505" s="2487">
        <v>420</v>
      </c>
      <c r="Q505" s="348">
        <v>480</v>
      </c>
      <c r="R505" s="2487">
        <v>15</v>
      </c>
      <c r="S505" s="2487">
        <v>20</v>
      </c>
      <c r="T505" s="2487">
        <v>25</v>
      </c>
      <c r="U505" s="348">
        <v>25</v>
      </c>
      <c r="V505" s="2485" t="s">
        <v>3696</v>
      </c>
      <c r="W505" s="2485" t="s">
        <v>4815</v>
      </c>
      <c r="X505" s="2485" t="s">
        <v>4816</v>
      </c>
      <c r="Y505" s="2485" t="s">
        <v>4817</v>
      </c>
      <c r="Z505" s="2485" t="s">
        <v>6632</v>
      </c>
      <c r="AA505" s="347" t="s">
        <v>1563</v>
      </c>
    </row>
    <row r="506" spans="1:27" ht="12.75" customHeight="1">
      <c r="A506" s="8243"/>
      <c r="B506" s="242" t="str">
        <f t="shared" si="11"/>
        <v>Libre acceso82</v>
      </c>
      <c r="D506" s="257" t="s">
        <v>433</v>
      </c>
      <c r="E506" s="2487" t="s">
        <v>340</v>
      </c>
      <c r="F506" s="2487">
        <f t="shared" si="15"/>
        <v>82</v>
      </c>
      <c r="G506" s="2489" t="s">
        <v>2422</v>
      </c>
      <c r="H506" s="2489" t="s">
        <v>1095</v>
      </c>
      <c r="I506" s="351" t="s">
        <v>1165</v>
      </c>
      <c r="J506" s="2487">
        <v>10</v>
      </c>
      <c r="K506" s="2487">
        <v>12</v>
      </c>
      <c r="L506" s="2487">
        <v>14</v>
      </c>
      <c r="M506" s="348">
        <v>16</v>
      </c>
      <c r="N506" s="2487">
        <v>200</v>
      </c>
      <c r="O506" s="2487">
        <v>240</v>
      </c>
      <c r="P506" s="2487">
        <v>280</v>
      </c>
      <c r="Q506" s="348">
        <v>320</v>
      </c>
      <c r="R506" s="2487">
        <v>10</v>
      </c>
      <c r="S506" s="2487">
        <v>15</v>
      </c>
      <c r="T506" s="2487">
        <v>15</v>
      </c>
      <c r="U506" s="348">
        <v>20</v>
      </c>
      <c r="V506" s="2485" t="s">
        <v>3447</v>
      </c>
      <c r="W506" s="2485" t="s">
        <v>3230</v>
      </c>
      <c r="X506" s="2485" t="s">
        <v>3231</v>
      </c>
      <c r="Y506" s="2485" t="s">
        <v>3377</v>
      </c>
      <c r="Z506" s="2485" t="s">
        <v>4818</v>
      </c>
      <c r="AA506" s="347" t="s">
        <v>1563</v>
      </c>
    </row>
    <row r="507" spans="1:27" ht="12.75" customHeight="1">
      <c r="A507" s="8243"/>
      <c r="B507" s="242" t="str">
        <f t="shared" si="11"/>
        <v>Libre acceso82</v>
      </c>
      <c r="D507" s="257" t="s">
        <v>434</v>
      </c>
      <c r="E507" s="2487" t="s">
        <v>340</v>
      </c>
      <c r="F507" s="2487">
        <f t="shared" si="15"/>
        <v>82</v>
      </c>
      <c r="G507" s="2489" t="s">
        <v>2422</v>
      </c>
      <c r="H507" s="2489" t="s">
        <v>1095</v>
      </c>
      <c r="I507" s="351" t="s">
        <v>1165</v>
      </c>
      <c r="J507" s="2487">
        <v>10</v>
      </c>
      <c r="K507" s="2487">
        <v>12</v>
      </c>
      <c r="L507" s="2487">
        <v>14</v>
      </c>
      <c r="M507" s="348">
        <v>16</v>
      </c>
      <c r="N507" s="2487">
        <v>200</v>
      </c>
      <c r="O507" s="2487">
        <v>300</v>
      </c>
      <c r="P507" s="2487">
        <v>360</v>
      </c>
      <c r="Q507" s="348">
        <v>420</v>
      </c>
      <c r="R507" s="2487">
        <v>20</v>
      </c>
      <c r="S507" s="2487">
        <v>30</v>
      </c>
      <c r="T507" s="2487">
        <v>40</v>
      </c>
      <c r="U507" s="348">
        <v>45</v>
      </c>
      <c r="V507" s="2485" t="s">
        <v>4819</v>
      </c>
      <c r="W507" s="2485" t="s">
        <v>4820</v>
      </c>
      <c r="X507" s="2485" t="s">
        <v>4821</v>
      </c>
      <c r="Y507" s="2485" t="s">
        <v>4822</v>
      </c>
      <c r="Z507" s="2485" t="s">
        <v>4823</v>
      </c>
      <c r="AA507" s="347"/>
    </row>
    <row r="508" spans="1:27" ht="12.75" customHeight="1">
      <c r="A508" s="8243"/>
      <c r="B508" s="242" t="str">
        <f t="shared" si="11"/>
        <v>Libre acceso82</v>
      </c>
      <c r="D508" s="257" t="s">
        <v>435</v>
      </c>
      <c r="E508" s="2487" t="s">
        <v>340</v>
      </c>
      <c r="F508" s="2487">
        <f t="shared" si="15"/>
        <v>82</v>
      </c>
      <c r="G508" s="2489" t="s">
        <v>1241</v>
      </c>
      <c r="H508" s="2489" t="s">
        <v>1096</v>
      </c>
      <c r="I508" s="351" t="s">
        <v>1165</v>
      </c>
      <c r="J508" s="2487">
        <v>10</v>
      </c>
      <c r="K508" s="2487">
        <v>12</v>
      </c>
      <c r="L508" s="2487">
        <v>14</v>
      </c>
      <c r="M508" s="348">
        <v>16</v>
      </c>
      <c r="N508" s="2487">
        <v>200</v>
      </c>
      <c r="O508" s="2487">
        <v>280</v>
      </c>
      <c r="P508" s="2487">
        <v>340</v>
      </c>
      <c r="Q508" s="348">
        <v>400</v>
      </c>
      <c r="R508" s="2487"/>
      <c r="S508" s="2487"/>
      <c r="T508" s="2487"/>
      <c r="U508" s="348" t="s">
        <v>3384</v>
      </c>
      <c r="V508" s="2485" t="s">
        <v>4824</v>
      </c>
      <c r="W508" s="2485" t="s">
        <v>4825</v>
      </c>
      <c r="X508" s="2485" t="s">
        <v>4826</v>
      </c>
      <c r="Y508" s="2485" t="s">
        <v>4827</v>
      </c>
      <c r="Z508" s="2485" t="s">
        <v>4828</v>
      </c>
      <c r="AA508" s="347"/>
    </row>
    <row r="509" spans="1:27" ht="12.75" customHeight="1">
      <c r="A509" s="8243"/>
      <c r="B509" s="242" t="str">
        <f t="shared" si="11"/>
        <v>Libre acceso82</v>
      </c>
      <c r="D509" s="257" t="s">
        <v>436</v>
      </c>
      <c r="E509" s="2487" t="s">
        <v>340</v>
      </c>
      <c r="F509" s="2487">
        <f t="shared" si="15"/>
        <v>82</v>
      </c>
      <c r="G509" s="2489" t="s">
        <v>2422</v>
      </c>
      <c r="H509" s="2489" t="s">
        <v>1095</v>
      </c>
      <c r="I509" s="351" t="s">
        <v>1165</v>
      </c>
      <c r="J509" s="2487">
        <v>10</v>
      </c>
      <c r="K509" s="2487">
        <v>13</v>
      </c>
      <c r="L509" s="2487">
        <v>15</v>
      </c>
      <c r="M509" s="348">
        <v>17</v>
      </c>
      <c r="N509" s="2487">
        <v>350</v>
      </c>
      <c r="O509" s="2487">
        <v>420</v>
      </c>
      <c r="P509" s="2487">
        <v>480</v>
      </c>
      <c r="Q509" s="348">
        <v>540</v>
      </c>
      <c r="R509" s="2487">
        <v>70</v>
      </c>
      <c r="S509" s="2487">
        <v>85</v>
      </c>
      <c r="T509" s="2487">
        <v>100</v>
      </c>
      <c r="U509" s="348">
        <v>110</v>
      </c>
      <c r="V509" s="2485" t="s">
        <v>4591</v>
      </c>
      <c r="W509" s="2485" t="s">
        <v>4829</v>
      </c>
      <c r="X509" s="2485" t="s">
        <v>4830</v>
      </c>
      <c r="Y509" s="2485" t="s">
        <v>4831</v>
      </c>
      <c r="Z509" s="2485" t="s">
        <v>4832</v>
      </c>
      <c r="AA509" s="347"/>
    </row>
    <row r="510" spans="1:27" ht="12.75" customHeight="1">
      <c r="A510" s="8243"/>
      <c r="B510" s="242" t="str">
        <f t="shared" si="11"/>
        <v>Libre acceso82</v>
      </c>
      <c r="D510" s="257" t="s">
        <v>437</v>
      </c>
      <c r="E510" s="2487" t="s">
        <v>340</v>
      </c>
      <c r="F510" s="2487">
        <f t="shared" si="15"/>
        <v>82</v>
      </c>
      <c r="G510" s="2489" t="s">
        <v>2422</v>
      </c>
      <c r="H510" s="2489" t="s">
        <v>1095</v>
      </c>
      <c r="I510" s="351" t="s">
        <v>1165</v>
      </c>
      <c r="J510" s="2487">
        <v>10</v>
      </c>
      <c r="K510" s="2487">
        <v>12</v>
      </c>
      <c r="L510" s="2487">
        <v>14</v>
      </c>
      <c r="M510" s="348">
        <v>16</v>
      </c>
      <c r="N510" s="2487">
        <v>200</v>
      </c>
      <c r="O510" s="2487">
        <v>240</v>
      </c>
      <c r="P510" s="2487">
        <v>280</v>
      </c>
      <c r="Q510" s="348">
        <v>320</v>
      </c>
      <c r="R510" s="2487">
        <v>10</v>
      </c>
      <c r="S510" s="2487">
        <v>15</v>
      </c>
      <c r="T510" s="2487">
        <v>20</v>
      </c>
      <c r="U510" s="348">
        <v>20</v>
      </c>
      <c r="V510" s="2485" t="s">
        <v>4833</v>
      </c>
      <c r="W510" s="2485" t="s">
        <v>4834</v>
      </c>
      <c r="X510" s="2485" t="s">
        <v>4835</v>
      </c>
      <c r="Y510" s="2485" t="s">
        <v>4836</v>
      </c>
      <c r="Z510" s="2485" t="s">
        <v>4837</v>
      </c>
      <c r="AA510" s="347" t="s">
        <v>1561</v>
      </c>
    </row>
    <row r="511" spans="1:27" ht="12.75" customHeight="1">
      <c r="A511" s="8243"/>
      <c r="B511" s="242" t="str">
        <f t="shared" si="11"/>
        <v>Libre acceso82</v>
      </c>
      <c r="D511" s="257" t="s">
        <v>438</v>
      </c>
      <c r="E511" s="2487" t="s">
        <v>340</v>
      </c>
      <c r="F511" s="2487">
        <f t="shared" si="15"/>
        <v>82</v>
      </c>
      <c r="G511" s="2489" t="s">
        <v>1241</v>
      </c>
      <c r="H511" s="2489" t="s">
        <v>1096</v>
      </c>
      <c r="I511" s="351" t="s">
        <v>1166</v>
      </c>
      <c r="J511" s="2487">
        <v>10</v>
      </c>
      <c r="K511" s="2487">
        <v>12</v>
      </c>
      <c r="L511" s="2487">
        <v>14</v>
      </c>
      <c r="M511" s="348">
        <v>16</v>
      </c>
      <c r="N511" s="2487">
        <v>150</v>
      </c>
      <c r="O511" s="2487">
        <v>200</v>
      </c>
      <c r="P511" s="2487">
        <v>240</v>
      </c>
      <c r="Q511" s="348">
        <v>280</v>
      </c>
      <c r="R511" s="2487"/>
      <c r="S511" s="2487"/>
      <c r="T511" s="2487"/>
      <c r="U511" s="348" t="s">
        <v>3384</v>
      </c>
      <c r="V511" s="2485" t="s">
        <v>4838</v>
      </c>
      <c r="W511" s="2485" t="s">
        <v>4839</v>
      </c>
      <c r="X511" s="2485" t="s">
        <v>4840</v>
      </c>
      <c r="Y511" s="2485" t="s">
        <v>4841</v>
      </c>
      <c r="Z511" s="2485" t="s">
        <v>4842</v>
      </c>
      <c r="AA511" s="347"/>
    </row>
    <row r="512" spans="1:27" ht="12.75" customHeight="1">
      <c r="A512" s="8243"/>
      <c r="B512" s="242" t="str">
        <f t="shared" si="11"/>
        <v>Libre acceso82</v>
      </c>
      <c r="D512" s="257" t="s">
        <v>80</v>
      </c>
      <c r="E512" s="2487" t="s">
        <v>340</v>
      </c>
      <c r="F512" s="2487">
        <f t="shared" si="15"/>
        <v>82</v>
      </c>
      <c r="G512" s="2489" t="s">
        <v>1241</v>
      </c>
      <c r="H512" s="2489" t="s">
        <v>1095</v>
      </c>
      <c r="I512" s="351" t="s">
        <v>1165</v>
      </c>
      <c r="J512" s="2487">
        <v>10</v>
      </c>
      <c r="K512" s="2487">
        <v>12</v>
      </c>
      <c r="L512" s="2487">
        <v>14</v>
      </c>
      <c r="M512" s="348">
        <v>16</v>
      </c>
      <c r="N512" s="2487">
        <v>300</v>
      </c>
      <c r="O512" s="2487">
        <v>480</v>
      </c>
      <c r="P512" s="2487">
        <v>560</v>
      </c>
      <c r="Q512" s="348">
        <v>640</v>
      </c>
      <c r="R512" s="2487"/>
      <c r="S512" s="2487"/>
      <c r="T512" s="2487"/>
      <c r="U512" s="348" t="s">
        <v>3384</v>
      </c>
      <c r="V512" s="2485" t="s">
        <v>4843</v>
      </c>
      <c r="W512" s="2485" t="s">
        <v>4844</v>
      </c>
      <c r="X512" s="2485" t="s">
        <v>4845</v>
      </c>
      <c r="Y512" s="2485" t="s">
        <v>4846</v>
      </c>
      <c r="Z512" s="2485" t="s">
        <v>4847</v>
      </c>
      <c r="AA512" s="347" t="s">
        <v>1558</v>
      </c>
    </row>
    <row r="513" spans="1:27" ht="12.75" customHeight="1">
      <c r="A513" s="8243"/>
      <c r="B513" s="242" t="str">
        <f t="shared" si="11"/>
        <v>Libre acceso82</v>
      </c>
      <c r="D513" s="257" t="s">
        <v>439</v>
      </c>
      <c r="E513" s="2487" t="s">
        <v>340</v>
      </c>
      <c r="F513" s="2487">
        <f t="shared" si="15"/>
        <v>82</v>
      </c>
      <c r="G513" s="2489" t="s">
        <v>2422</v>
      </c>
      <c r="H513" s="2489" t="s">
        <v>1095</v>
      </c>
      <c r="I513" s="351" t="s">
        <v>1165</v>
      </c>
      <c r="J513" s="2487">
        <v>10</v>
      </c>
      <c r="K513" s="2487">
        <v>12</v>
      </c>
      <c r="L513" s="2487">
        <v>14</v>
      </c>
      <c r="M513" s="348">
        <v>16</v>
      </c>
      <c r="N513" s="2487">
        <v>500</v>
      </c>
      <c r="O513" s="2487">
        <v>600</v>
      </c>
      <c r="P513" s="2487">
        <v>700</v>
      </c>
      <c r="Q513" s="348">
        <v>800</v>
      </c>
      <c r="R513" s="2487">
        <v>25</v>
      </c>
      <c r="S513" s="2487">
        <v>30</v>
      </c>
      <c r="T513" s="2487">
        <v>35</v>
      </c>
      <c r="U513" s="348">
        <v>40</v>
      </c>
      <c r="V513" s="2485" t="s">
        <v>4848</v>
      </c>
      <c r="W513" s="2485" t="s">
        <v>4849</v>
      </c>
      <c r="X513" s="2485" t="s">
        <v>4850</v>
      </c>
      <c r="Y513" s="2485" t="s">
        <v>13001</v>
      </c>
      <c r="Z513" s="2485" t="s">
        <v>4851</v>
      </c>
      <c r="AA513" s="347"/>
    </row>
    <row r="514" spans="1:27" ht="12.75" customHeight="1">
      <c r="A514" s="8243"/>
      <c r="B514" s="242" t="str">
        <f t="shared" si="11"/>
        <v/>
      </c>
      <c r="D514" s="257" t="s">
        <v>440</v>
      </c>
      <c r="E514" s="2487"/>
      <c r="F514" s="2487"/>
      <c r="G514" s="2489"/>
      <c r="H514" s="2489"/>
      <c r="I514" s="351"/>
      <c r="J514" s="2487"/>
      <c r="K514" s="2487"/>
      <c r="L514" s="2487"/>
      <c r="M514" s="348"/>
      <c r="N514" s="2487"/>
      <c r="O514" s="2487"/>
      <c r="P514" s="2487"/>
      <c r="Q514" s="348"/>
      <c r="R514" s="2487"/>
      <c r="S514" s="2487"/>
      <c r="T514" s="2487"/>
      <c r="U514" s="348"/>
      <c r="V514" s="2485"/>
      <c r="W514" s="2485"/>
      <c r="X514" s="2485"/>
      <c r="Y514" s="2485"/>
      <c r="Z514" s="2485"/>
      <c r="AA514" s="347"/>
    </row>
    <row r="515" spans="1:27" ht="12.75" customHeight="1">
      <c r="A515" s="8243"/>
      <c r="B515" s="242" t="str">
        <f t="shared" si="11"/>
        <v>Libre acceso92</v>
      </c>
      <c r="D515" s="257" t="s">
        <v>441</v>
      </c>
      <c r="E515" s="2487" t="s">
        <v>340</v>
      </c>
      <c r="F515" s="2487">
        <f>F502+10</f>
        <v>92</v>
      </c>
      <c r="G515" s="2489" t="s">
        <v>1241</v>
      </c>
      <c r="H515" s="2489" t="s">
        <v>4852</v>
      </c>
      <c r="I515" s="351" t="s">
        <v>1165</v>
      </c>
      <c r="J515" s="2487">
        <v>10</v>
      </c>
      <c r="K515" s="2487">
        <v>12</v>
      </c>
      <c r="L515" s="2487">
        <v>14</v>
      </c>
      <c r="M515" s="348">
        <v>16</v>
      </c>
      <c r="N515" s="2487">
        <v>200</v>
      </c>
      <c r="O515" s="2487">
        <v>300</v>
      </c>
      <c r="P515" s="2487">
        <v>360</v>
      </c>
      <c r="Q515" s="348">
        <v>420</v>
      </c>
      <c r="R515" s="2487"/>
      <c r="S515" s="2487"/>
      <c r="T515" s="2487"/>
      <c r="U515" s="348" t="s">
        <v>3384</v>
      </c>
      <c r="V515" s="2485" t="s">
        <v>4591</v>
      </c>
      <c r="W515" s="2485" t="s">
        <v>4853</v>
      </c>
      <c r="X515" s="2485" t="s">
        <v>4854</v>
      </c>
      <c r="Y515" s="2485" t="s">
        <v>4855</v>
      </c>
      <c r="Z515" s="2485" t="s">
        <v>4856</v>
      </c>
      <c r="AA515" s="347" t="s">
        <v>1561</v>
      </c>
    </row>
    <row r="516" spans="1:27" ht="12.75" customHeight="1">
      <c r="A516" s="8243"/>
      <c r="B516" s="242" t="str">
        <f t="shared" si="11"/>
        <v>Libre acceso92</v>
      </c>
      <c r="D516" s="257" t="s">
        <v>442</v>
      </c>
      <c r="E516" s="2487" t="s">
        <v>340</v>
      </c>
      <c r="F516" s="2487">
        <f t="shared" ref="F516:F526" si="16">F503+10</f>
        <v>92</v>
      </c>
      <c r="G516" s="2489" t="s">
        <v>2422</v>
      </c>
      <c r="H516" s="2489" t="s">
        <v>1095</v>
      </c>
      <c r="I516" s="351" t="s">
        <v>1165</v>
      </c>
      <c r="J516" s="2487">
        <v>11</v>
      </c>
      <c r="K516" s="2487">
        <v>13</v>
      </c>
      <c r="L516" s="2487">
        <v>15</v>
      </c>
      <c r="M516" s="348">
        <v>17</v>
      </c>
      <c r="N516" s="2487">
        <v>300</v>
      </c>
      <c r="O516" s="2487">
        <v>400</v>
      </c>
      <c r="P516" s="2487">
        <v>500</v>
      </c>
      <c r="Q516" s="348">
        <v>600</v>
      </c>
      <c r="R516" s="2487">
        <v>30</v>
      </c>
      <c r="S516" s="2487">
        <v>40</v>
      </c>
      <c r="T516" s="2487">
        <v>50</v>
      </c>
      <c r="U516" s="348">
        <v>60</v>
      </c>
      <c r="V516" s="2485" t="s">
        <v>4857</v>
      </c>
      <c r="W516" s="2485" t="s">
        <v>4858</v>
      </c>
      <c r="X516" s="2485" t="s">
        <v>4859</v>
      </c>
      <c r="Y516" s="2485" t="s">
        <v>4860</v>
      </c>
      <c r="Z516" s="2485" t="s">
        <v>4861</v>
      </c>
      <c r="AA516" s="347"/>
    </row>
    <row r="517" spans="1:27" ht="12.75" customHeight="1">
      <c r="A517" s="8243"/>
      <c r="B517" s="242" t="str">
        <f t="shared" si="11"/>
        <v>Libre acceso92</v>
      </c>
      <c r="D517" s="257" t="s">
        <v>443</v>
      </c>
      <c r="E517" s="2487" t="s">
        <v>340</v>
      </c>
      <c r="F517" s="2487">
        <f t="shared" si="16"/>
        <v>92</v>
      </c>
      <c r="G517" s="2489" t="s">
        <v>1241</v>
      </c>
      <c r="H517" s="2489" t="s">
        <v>1095</v>
      </c>
      <c r="I517" s="351" t="s">
        <v>1165</v>
      </c>
      <c r="J517" s="2487">
        <v>11</v>
      </c>
      <c r="K517" s="2487">
        <v>13</v>
      </c>
      <c r="L517" s="2487">
        <v>15</v>
      </c>
      <c r="M517" s="348">
        <v>17</v>
      </c>
      <c r="N517" s="2487">
        <v>200</v>
      </c>
      <c r="O517" s="2487">
        <v>300</v>
      </c>
      <c r="P517" s="2487">
        <v>400</v>
      </c>
      <c r="Q517" s="348">
        <v>500</v>
      </c>
      <c r="R517" s="2487">
        <v>10</v>
      </c>
      <c r="S517" s="2487">
        <v>15</v>
      </c>
      <c r="T517" s="2487">
        <v>20</v>
      </c>
      <c r="U517" s="348">
        <v>25</v>
      </c>
      <c r="V517" s="2485" t="s">
        <v>4862</v>
      </c>
      <c r="W517" s="2485" t="s">
        <v>4863</v>
      </c>
      <c r="X517" s="2485" t="s">
        <v>4864</v>
      </c>
      <c r="Y517" s="2485" t="s">
        <v>4865</v>
      </c>
      <c r="Z517" s="2485" t="s">
        <v>4866</v>
      </c>
      <c r="AA517" s="347" t="s">
        <v>1554</v>
      </c>
    </row>
    <row r="518" spans="1:27" ht="12.75" customHeight="1">
      <c r="A518" s="8243"/>
      <c r="B518" s="242" t="str">
        <f t="shared" si="11"/>
        <v>Libre acceso92</v>
      </c>
      <c r="D518" s="257" t="s">
        <v>444</v>
      </c>
      <c r="E518" s="2487" t="s">
        <v>340</v>
      </c>
      <c r="F518" s="2487">
        <f t="shared" si="16"/>
        <v>92</v>
      </c>
      <c r="G518" s="2489" t="s">
        <v>1241</v>
      </c>
      <c r="H518" s="2489" t="s">
        <v>1095</v>
      </c>
      <c r="I518" s="351" t="s">
        <v>1165</v>
      </c>
      <c r="J518" s="2487">
        <v>11</v>
      </c>
      <c r="K518" s="2487">
        <v>13</v>
      </c>
      <c r="L518" s="2487">
        <v>15</v>
      </c>
      <c r="M518" s="348">
        <v>17</v>
      </c>
      <c r="N518" s="2487">
        <v>200</v>
      </c>
      <c r="O518" s="2487">
        <v>360</v>
      </c>
      <c r="P518" s="2487">
        <v>420</v>
      </c>
      <c r="Q518" s="348">
        <v>480</v>
      </c>
      <c r="R518" s="2487"/>
      <c r="S518" s="2487"/>
      <c r="T518" s="2487"/>
      <c r="U518" s="348" t="s">
        <v>3384</v>
      </c>
      <c r="V518" s="2485" t="s">
        <v>4867</v>
      </c>
      <c r="W518" s="2485" t="s">
        <v>4868</v>
      </c>
      <c r="X518" s="2485" t="s">
        <v>4869</v>
      </c>
      <c r="Y518" s="2485" t="s">
        <v>4870</v>
      </c>
      <c r="Z518" s="2485" t="s">
        <v>4871</v>
      </c>
      <c r="AA518" s="347"/>
    </row>
    <row r="519" spans="1:27" ht="12.75" customHeight="1">
      <c r="A519" s="8243"/>
      <c r="B519" s="242" t="str">
        <f t="shared" si="11"/>
        <v>Libre acceso92</v>
      </c>
      <c r="D519" s="257" t="s">
        <v>445</v>
      </c>
      <c r="E519" s="2487" t="s">
        <v>340</v>
      </c>
      <c r="F519" s="2487">
        <f t="shared" si="16"/>
        <v>92</v>
      </c>
      <c r="G519" s="2489" t="s">
        <v>1241</v>
      </c>
      <c r="H519" s="2489" t="s">
        <v>3789</v>
      </c>
      <c r="I519" s="351" t="s">
        <v>1165</v>
      </c>
      <c r="J519" s="2487">
        <v>10</v>
      </c>
      <c r="K519" s="2487">
        <v>12</v>
      </c>
      <c r="L519" s="2487">
        <v>14</v>
      </c>
      <c r="M519" s="348">
        <v>16</v>
      </c>
      <c r="N519" s="2487">
        <v>100</v>
      </c>
      <c r="O519" s="2487">
        <v>150</v>
      </c>
      <c r="P519" s="2487">
        <v>200</v>
      </c>
      <c r="Q519" s="348">
        <v>250</v>
      </c>
      <c r="R519" s="2487"/>
      <c r="S519" s="2487"/>
      <c r="T519" s="2487"/>
      <c r="U519" s="348"/>
      <c r="V519" s="2485" t="s">
        <v>3390</v>
      </c>
      <c r="W519" s="2485" t="s">
        <v>3391</v>
      </c>
      <c r="X519" s="2485" t="s">
        <v>3295</v>
      </c>
      <c r="Y519" s="2485" t="s">
        <v>3153</v>
      </c>
      <c r="Z519" s="2485" t="s">
        <v>13002</v>
      </c>
      <c r="AA519" s="347"/>
    </row>
    <row r="520" spans="1:27" ht="12.75" customHeight="1">
      <c r="A520" s="8243"/>
      <c r="B520" s="242" t="str">
        <f t="shared" ref="B520:B583" si="17">E520&amp;F520</f>
        <v>Libre acceso92</v>
      </c>
      <c r="D520" s="257" t="s">
        <v>446</v>
      </c>
      <c r="E520" s="2487" t="s">
        <v>340</v>
      </c>
      <c r="F520" s="2487">
        <f t="shared" si="16"/>
        <v>92</v>
      </c>
      <c r="G520" s="2489" t="s">
        <v>2422</v>
      </c>
      <c r="H520" s="2489" t="s">
        <v>1095</v>
      </c>
      <c r="I520" s="351" t="s">
        <v>1165</v>
      </c>
      <c r="J520" s="2487">
        <v>11</v>
      </c>
      <c r="K520" s="2487">
        <v>13</v>
      </c>
      <c r="L520" s="2487">
        <v>15</v>
      </c>
      <c r="M520" s="348">
        <v>17</v>
      </c>
      <c r="N520" s="2487">
        <v>200</v>
      </c>
      <c r="O520" s="2487">
        <v>360</v>
      </c>
      <c r="P520" s="2487">
        <v>480</v>
      </c>
      <c r="Q520" s="348">
        <v>600</v>
      </c>
      <c r="R520" s="2487">
        <v>20</v>
      </c>
      <c r="S520" s="2487">
        <v>40</v>
      </c>
      <c r="T520" s="2487">
        <v>50</v>
      </c>
      <c r="U520" s="348">
        <v>60</v>
      </c>
      <c r="V520" s="2485" t="s">
        <v>4872</v>
      </c>
      <c r="W520" s="2485" t="s">
        <v>4873</v>
      </c>
      <c r="X520" s="2485" t="s">
        <v>4874</v>
      </c>
      <c r="Y520" s="2485" t="s">
        <v>4875</v>
      </c>
      <c r="Z520" s="2485" t="s">
        <v>4876</v>
      </c>
      <c r="AA520" s="347" t="s">
        <v>1561</v>
      </c>
    </row>
    <row r="521" spans="1:27" ht="12.75" customHeight="1">
      <c r="A521" s="8243"/>
      <c r="B521" s="242" t="str">
        <f t="shared" si="17"/>
        <v>Libre acceso92</v>
      </c>
      <c r="D521" s="257" t="s">
        <v>447</v>
      </c>
      <c r="E521" s="2487" t="s">
        <v>340</v>
      </c>
      <c r="F521" s="2487">
        <f t="shared" si="16"/>
        <v>92</v>
      </c>
      <c r="G521" s="2489" t="s">
        <v>2422</v>
      </c>
      <c r="H521" s="2489" t="s">
        <v>1095</v>
      </c>
      <c r="I521" s="351" t="s">
        <v>1165</v>
      </c>
      <c r="J521" s="2487">
        <v>10</v>
      </c>
      <c r="K521" s="2487">
        <v>12</v>
      </c>
      <c r="L521" s="2487">
        <v>14</v>
      </c>
      <c r="M521" s="348">
        <v>16</v>
      </c>
      <c r="N521" s="2487">
        <v>200</v>
      </c>
      <c r="O521" s="2487">
        <v>300</v>
      </c>
      <c r="P521" s="2487">
        <v>400</v>
      </c>
      <c r="Q521" s="348">
        <v>500</v>
      </c>
      <c r="R521" s="2487">
        <v>30</v>
      </c>
      <c r="S521" s="2487">
        <v>45</v>
      </c>
      <c r="T521" s="2487">
        <v>60</v>
      </c>
      <c r="U521" s="348">
        <v>75</v>
      </c>
      <c r="V521" s="2485" t="s">
        <v>4877</v>
      </c>
      <c r="W521" s="2485" t="s">
        <v>4878</v>
      </c>
      <c r="X521" s="2485" t="s">
        <v>4879</v>
      </c>
      <c r="Y521" s="2485" t="s">
        <v>4880</v>
      </c>
      <c r="Z521" s="2485" t="s">
        <v>4881</v>
      </c>
      <c r="AA521" s="347" t="s">
        <v>1561</v>
      </c>
    </row>
    <row r="522" spans="1:27" ht="12.75" customHeight="1">
      <c r="A522" s="8243"/>
      <c r="B522" s="242" t="str">
        <f t="shared" si="17"/>
        <v>Libre acceso92</v>
      </c>
      <c r="D522" s="257" t="s">
        <v>448</v>
      </c>
      <c r="E522" s="2487" t="s">
        <v>340</v>
      </c>
      <c r="F522" s="2487">
        <f t="shared" si="16"/>
        <v>92</v>
      </c>
      <c r="G522" s="2489" t="s">
        <v>2422</v>
      </c>
      <c r="H522" s="2489" t="s">
        <v>3789</v>
      </c>
      <c r="I522" s="351" t="s">
        <v>1165</v>
      </c>
      <c r="J522" s="2487">
        <v>10</v>
      </c>
      <c r="K522" s="2487">
        <v>12</v>
      </c>
      <c r="L522" s="2487">
        <v>14</v>
      </c>
      <c r="M522" s="348">
        <v>16</v>
      </c>
      <c r="N522" s="2487">
        <v>300</v>
      </c>
      <c r="O522" s="2487">
        <v>400</v>
      </c>
      <c r="P522" s="2487">
        <v>500</v>
      </c>
      <c r="Q522" s="348">
        <v>600</v>
      </c>
      <c r="R522" s="2487">
        <v>30</v>
      </c>
      <c r="S522" s="2487">
        <v>40</v>
      </c>
      <c r="T522" s="2487">
        <v>50</v>
      </c>
      <c r="U522" s="348">
        <v>60</v>
      </c>
      <c r="V522" s="2485" t="s">
        <v>3390</v>
      </c>
      <c r="W522" s="2485" t="s">
        <v>3391</v>
      </c>
      <c r="X522" s="2485" t="s">
        <v>3153</v>
      </c>
      <c r="Y522" s="2485" t="s">
        <v>3560</v>
      </c>
      <c r="Z522" s="2485" t="s">
        <v>13003</v>
      </c>
      <c r="AA522" s="347"/>
    </row>
    <row r="523" spans="1:27" ht="12.75" customHeight="1">
      <c r="A523" s="8243"/>
      <c r="B523" s="242" t="str">
        <f t="shared" si="17"/>
        <v>Libre acceso92</v>
      </c>
      <c r="D523" s="257" t="s">
        <v>449</v>
      </c>
      <c r="E523" s="2487" t="s">
        <v>340</v>
      </c>
      <c r="F523" s="2487">
        <f t="shared" si="16"/>
        <v>92</v>
      </c>
      <c r="G523" s="2489" t="s">
        <v>2422</v>
      </c>
      <c r="H523" s="2489" t="s">
        <v>1096</v>
      </c>
      <c r="I523" s="351" t="s">
        <v>1165</v>
      </c>
      <c r="J523" s="2487">
        <v>11</v>
      </c>
      <c r="K523" s="2487">
        <v>13</v>
      </c>
      <c r="L523" s="2487">
        <v>15</v>
      </c>
      <c r="M523" s="348">
        <v>17</v>
      </c>
      <c r="N523" s="2487">
        <v>300</v>
      </c>
      <c r="O523" s="2487">
        <v>360</v>
      </c>
      <c r="P523" s="2487">
        <v>420</v>
      </c>
      <c r="Q523" s="348">
        <v>480</v>
      </c>
      <c r="R523" s="2487">
        <v>30</v>
      </c>
      <c r="S523" s="2487">
        <v>40</v>
      </c>
      <c r="T523" s="2487">
        <v>45</v>
      </c>
      <c r="U523" s="348">
        <v>50</v>
      </c>
      <c r="V523" s="2485" t="s">
        <v>13004</v>
      </c>
      <c r="W523" s="2485" t="s">
        <v>13005</v>
      </c>
      <c r="X523" s="2485" t="s">
        <v>13006</v>
      </c>
      <c r="Y523" s="2485" t="s">
        <v>13007</v>
      </c>
      <c r="Z523" s="2485" t="s">
        <v>13008</v>
      </c>
      <c r="AA523" s="347" t="s">
        <v>1560</v>
      </c>
    </row>
    <row r="524" spans="1:27" ht="12.75" customHeight="1">
      <c r="A524" s="8243"/>
      <c r="B524" s="242" t="str">
        <f t="shared" si="17"/>
        <v>Libre acceso92</v>
      </c>
      <c r="D524" s="257" t="s">
        <v>450</v>
      </c>
      <c r="E524" s="2487" t="s">
        <v>340</v>
      </c>
      <c r="F524" s="2487">
        <f t="shared" si="16"/>
        <v>92</v>
      </c>
      <c r="G524" s="2489" t="s">
        <v>2422</v>
      </c>
      <c r="H524" s="2489" t="s">
        <v>1096</v>
      </c>
      <c r="I524" s="351" t="s">
        <v>1165</v>
      </c>
      <c r="J524" s="2487">
        <v>12</v>
      </c>
      <c r="K524" s="2487">
        <v>14</v>
      </c>
      <c r="L524" s="2487">
        <v>16</v>
      </c>
      <c r="M524" s="348">
        <v>18</v>
      </c>
      <c r="N524" s="2487">
        <v>450</v>
      </c>
      <c r="O524" s="2487">
        <v>600</v>
      </c>
      <c r="P524" s="2487">
        <v>800</v>
      </c>
      <c r="Q524" s="348">
        <v>1000</v>
      </c>
      <c r="R524" s="2487">
        <v>45</v>
      </c>
      <c r="S524" s="2487">
        <v>60</v>
      </c>
      <c r="T524" s="2487">
        <v>80</v>
      </c>
      <c r="U524" s="348">
        <v>100</v>
      </c>
      <c r="V524" s="2485" t="s">
        <v>4388</v>
      </c>
      <c r="W524" s="2485" t="s">
        <v>4364</v>
      </c>
      <c r="X524" s="2485" t="s">
        <v>4882</v>
      </c>
      <c r="Y524" s="2485" t="s">
        <v>4883</v>
      </c>
      <c r="Z524" s="2485" t="s">
        <v>13009</v>
      </c>
      <c r="AA524" s="347"/>
    </row>
    <row r="525" spans="1:27" ht="12.75" customHeight="1">
      <c r="A525" s="8243"/>
      <c r="B525" s="242" t="str">
        <f t="shared" si="17"/>
        <v>Libre acceso92</v>
      </c>
      <c r="D525" s="257" t="s">
        <v>451</v>
      </c>
      <c r="E525" s="2487" t="s">
        <v>340</v>
      </c>
      <c r="F525" s="2487">
        <f t="shared" si="16"/>
        <v>92</v>
      </c>
      <c r="G525" s="2489" t="s">
        <v>2422</v>
      </c>
      <c r="H525" s="2489" t="s">
        <v>1095</v>
      </c>
      <c r="I525" s="351" t="s">
        <v>1165</v>
      </c>
      <c r="J525" s="2487">
        <v>10</v>
      </c>
      <c r="K525" s="2487">
        <v>12</v>
      </c>
      <c r="L525" s="2487">
        <v>14</v>
      </c>
      <c r="M525" s="348">
        <v>16</v>
      </c>
      <c r="N525" s="2487">
        <v>200</v>
      </c>
      <c r="O525" s="2487">
        <v>300</v>
      </c>
      <c r="P525" s="2487">
        <v>400</v>
      </c>
      <c r="Q525" s="348">
        <v>500</v>
      </c>
      <c r="R525" s="2487">
        <v>50</v>
      </c>
      <c r="S525" s="2487">
        <v>60</v>
      </c>
      <c r="T525" s="2487">
        <v>70</v>
      </c>
      <c r="U525" s="348">
        <v>80</v>
      </c>
      <c r="V525" s="2485" t="s">
        <v>4884</v>
      </c>
      <c r="W525" s="2485" t="s">
        <v>4885</v>
      </c>
      <c r="X525" s="2485" t="s">
        <v>4886</v>
      </c>
      <c r="Y525" s="2485" t="s">
        <v>4887</v>
      </c>
      <c r="Z525" s="2485" t="s">
        <v>4888</v>
      </c>
      <c r="AA525" s="347"/>
    </row>
    <row r="526" spans="1:27" ht="12.75" customHeight="1">
      <c r="A526" s="8243"/>
      <c r="B526" s="242" t="str">
        <f t="shared" si="17"/>
        <v>Libre acceso92</v>
      </c>
      <c r="D526" s="257" t="s">
        <v>452</v>
      </c>
      <c r="E526" s="2487" t="s">
        <v>340</v>
      </c>
      <c r="F526" s="2487">
        <f t="shared" si="16"/>
        <v>92</v>
      </c>
      <c r="G526" s="2489" t="s">
        <v>1241</v>
      </c>
      <c r="H526" s="2489" t="s">
        <v>1096</v>
      </c>
      <c r="I526" s="351" t="s">
        <v>1165</v>
      </c>
      <c r="J526" s="2487">
        <v>12</v>
      </c>
      <c r="K526" s="2487">
        <v>15</v>
      </c>
      <c r="L526" s="2487">
        <v>17</v>
      </c>
      <c r="M526" s="348">
        <v>19</v>
      </c>
      <c r="N526" s="2487">
        <v>600</v>
      </c>
      <c r="O526" s="2487">
        <v>900</v>
      </c>
      <c r="P526" s="2487">
        <v>1200</v>
      </c>
      <c r="Q526" s="348">
        <v>1500</v>
      </c>
      <c r="R526" s="2487"/>
      <c r="S526" s="2487"/>
      <c r="T526" s="2487"/>
      <c r="U526" s="348"/>
      <c r="V526" s="2485" t="s">
        <v>3391</v>
      </c>
      <c r="W526" s="2485" t="s">
        <v>4889</v>
      </c>
      <c r="X526" s="2485" t="s">
        <v>3296</v>
      </c>
      <c r="Y526" s="2485" t="s">
        <v>3297</v>
      </c>
      <c r="Z526" s="2485" t="s">
        <v>4890</v>
      </c>
      <c r="AA526" s="347"/>
    </row>
    <row r="527" spans="1:27" ht="12.75" customHeight="1">
      <c r="A527" s="8243"/>
      <c r="B527" s="242" t="str">
        <f t="shared" si="17"/>
        <v/>
      </c>
      <c r="D527" s="257" t="s">
        <v>453</v>
      </c>
      <c r="E527" s="2487"/>
      <c r="F527" s="2487"/>
      <c r="G527" s="2489"/>
      <c r="H527" s="2489"/>
      <c r="I527" s="351"/>
      <c r="J527" s="2487"/>
      <c r="K527" s="2487"/>
      <c r="L527" s="2487"/>
      <c r="M527" s="348"/>
      <c r="N527" s="2487"/>
      <c r="O527" s="2487"/>
      <c r="P527" s="2487"/>
      <c r="Q527" s="348"/>
      <c r="R527" s="2487"/>
      <c r="S527" s="2487"/>
      <c r="T527" s="2487"/>
      <c r="U527" s="348"/>
      <c r="V527" s="2485"/>
      <c r="W527" s="2485"/>
      <c r="X527" s="2485"/>
      <c r="Y527" s="2485"/>
      <c r="Z527" s="2485"/>
      <c r="AA527" s="347"/>
    </row>
    <row r="528" spans="1:27" ht="12.75" customHeight="1">
      <c r="A528" s="8243"/>
      <c r="B528" s="242" t="str">
        <f t="shared" si="17"/>
        <v>Caos4</v>
      </c>
      <c r="D528" s="257" t="s">
        <v>454</v>
      </c>
      <c r="E528" s="2487" t="s">
        <v>46</v>
      </c>
      <c r="F528" s="2487">
        <v>4</v>
      </c>
      <c r="G528" s="2489" t="s">
        <v>2422</v>
      </c>
      <c r="H528" s="2489" t="s">
        <v>4891</v>
      </c>
      <c r="I528" s="351" t="s">
        <v>1165</v>
      </c>
      <c r="J528" s="2487">
        <v>5</v>
      </c>
      <c r="K528" s="2487">
        <v>8</v>
      </c>
      <c r="L528" s="2487">
        <v>10</v>
      </c>
      <c r="M528" s="348">
        <v>12</v>
      </c>
      <c r="N528" s="2487">
        <v>50</v>
      </c>
      <c r="O528" s="2487">
        <v>80</v>
      </c>
      <c r="P528" s="2487">
        <v>100</v>
      </c>
      <c r="Q528" s="348">
        <v>120</v>
      </c>
      <c r="R528" s="2487">
        <v>5</v>
      </c>
      <c r="S528" s="2487">
        <v>10</v>
      </c>
      <c r="T528" s="2487">
        <v>10</v>
      </c>
      <c r="U528" s="348">
        <v>12</v>
      </c>
      <c r="V528" s="2485" t="s">
        <v>3313</v>
      </c>
      <c r="W528" s="2485" t="s">
        <v>3222</v>
      </c>
      <c r="X528" s="2485" t="s">
        <v>3284</v>
      </c>
      <c r="Y528" s="2485" t="s">
        <v>4892</v>
      </c>
      <c r="Z528" s="2485" t="s">
        <v>4893</v>
      </c>
      <c r="AA528" s="347"/>
    </row>
    <row r="529" spans="1:27" ht="12.75" customHeight="1">
      <c r="A529" s="8243"/>
      <c r="B529" s="242" t="str">
        <f t="shared" si="17"/>
        <v>Caos14</v>
      </c>
      <c r="D529" s="257" t="s">
        <v>455</v>
      </c>
      <c r="E529" s="2487" t="s">
        <v>46</v>
      </c>
      <c r="F529" s="2487">
        <v>14</v>
      </c>
      <c r="G529" s="2489" t="s">
        <v>1241</v>
      </c>
      <c r="H529" s="2489" t="s">
        <v>1095</v>
      </c>
      <c r="I529" s="351" t="s">
        <v>1165</v>
      </c>
      <c r="J529" s="2487">
        <v>6</v>
      </c>
      <c r="K529" s="2487">
        <v>9</v>
      </c>
      <c r="L529" s="2487">
        <v>12</v>
      </c>
      <c r="M529" s="348">
        <v>15</v>
      </c>
      <c r="N529" s="2487">
        <v>60</v>
      </c>
      <c r="O529" s="2487">
        <v>90</v>
      </c>
      <c r="P529" s="2487">
        <v>120</v>
      </c>
      <c r="Q529" s="348">
        <v>150</v>
      </c>
      <c r="R529" s="2487">
        <v>15</v>
      </c>
      <c r="S529" s="2487">
        <v>20</v>
      </c>
      <c r="T529" s="2487">
        <v>25</v>
      </c>
      <c r="U529" s="348">
        <v>30</v>
      </c>
      <c r="V529" s="2485" t="s">
        <v>4894</v>
      </c>
      <c r="W529" s="2485" t="s">
        <v>4895</v>
      </c>
      <c r="X529" s="2485" t="s">
        <v>4896</v>
      </c>
      <c r="Y529" s="2485" t="s">
        <v>4897</v>
      </c>
      <c r="Z529" s="2485" t="s">
        <v>4898</v>
      </c>
      <c r="AA529" s="347"/>
    </row>
    <row r="530" spans="1:27" ht="12.75" customHeight="1">
      <c r="A530" s="8243"/>
      <c r="B530" s="242" t="str">
        <f t="shared" si="17"/>
        <v>Caos24</v>
      </c>
      <c r="D530" s="257" t="s">
        <v>9773</v>
      </c>
      <c r="E530" s="2487" t="s">
        <v>46</v>
      </c>
      <c r="F530" s="2487">
        <v>24</v>
      </c>
      <c r="G530" s="2489" t="s">
        <v>1241</v>
      </c>
      <c r="H530" s="2489" t="s">
        <v>1094</v>
      </c>
      <c r="I530" s="351" t="s">
        <v>1165</v>
      </c>
      <c r="J530" s="2487">
        <v>8</v>
      </c>
      <c r="K530" s="2487">
        <v>10</v>
      </c>
      <c r="L530" s="2487">
        <v>12</v>
      </c>
      <c r="M530" s="348">
        <v>14</v>
      </c>
      <c r="N530" s="2487">
        <v>80</v>
      </c>
      <c r="O530" s="2487">
        <v>100</v>
      </c>
      <c r="P530" s="2487">
        <v>120</v>
      </c>
      <c r="Q530" s="348">
        <v>140</v>
      </c>
      <c r="R530" s="2487">
        <v>20</v>
      </c>
      <c r="S530" s="2487">
        <v>20</v>
      </c>
      <c r="T530" s="2487">
        <v>25</v>
      </c>
      <c r="U530" s="348">
        <v>30</v>
      </c>
      <c r="V530" s="2488" t="s">
        <v>9774</v>
      </c>
      <c r="W530" s="2488" t="s">
        <v>9775</v>
      </c>
      <c r="X530" s="2488" t="s">
        <v>9776</v>
      </c>
      <c r="Y530" s="2488" t="s">
        <v>9777</v>
      </c>
      <c r="Z530" s="2485" t="s">
        <v>4899</v>
      </c>
      <c r="AA530" s="347"/>
    </row>
    <row r="531" spans="1:27" ht="12.75" customHeight="1">
      <c r="A531" s="8243"/>
      <c r="B531" s="242" t="str">
        <f t="shared" si="17"/>
        <v>Caos34</v>
      </c>
      <c r="D531" s="257" t="s">
        <v>456</v>
      </c>
      <c r="E531" s="2487" t="s">
        <v>46</v>
      </c>
      <c r="F531" s="2487">
        <v>34</v>
      </c>
      <c r="G531" s="2489" t="s">
        <v>1241</v>
      </c>
      <c r="H531" s="2489" t="s">
        <v>1094</v>
      </c>
      <c r="I531" s="351" t="s">
        <v>1165</v>
      </c>
      <c r="J531" s="2487">
        <v>8</v>
      </c>
      <c r="K531" s="2487">
        <v>10</v>
      </c>
      <c r="L531" s="2487">
        <v>12</v>
      </c>
      <c r="M531" s="348">
        <v>14</v>
      </c>
      <c r="N531" s="2487">
        <v>80</v>
      </c>
      <c r="O531" s="2487">
        <v>140</v>
      </c>
      <c r="P531" s="2487">
        <v>250</v>
      </c>
      <c r="Q531" s="348">
        <v>400</v>
      </c>
      <c r="R531" s="2487">
        <v>10</v>
      </c>
      <c r="S531" s="2487">
        <v>10</v>
      </c>
      <c r="T531" s="2487">
        <v>15</v>
      </c>
      <c r="U531" s="348">
        <v>15</v>
      </c>
      <c r="V531" s="2485" t="s">
        <v>3390</v>
      </c>
      <c r="W531" s="2485" t="s">
        <v>4900</v>
      </c>
      <c r="X531" s="2485" t="s">
        <v>4901</v>
      </c>
      <c r="Y531" s="2485" t="s">
        <v>3153</v>
      </c>
      <c r="Z531" s="2485" t="s">
        <v>4902</v>
      </c>
      <c r="AA531" s="347"/>
    </row>
    <row r="532" spans="1:27" ht="12.75" customHeight="1">
      <c r="A532" s="8243"/>
      <c r="B532" s="242" t="str">
        <f t="shared" si="17"/>
        <v>Caos44</v>
      </c>
      <c r="D532" s="257" t="s">
        <v>457</v>
      </c>
      <c r="E532" s="2487" t="s">
        <v>46</v>
      </c>
      <c r="F532" s="2487">
        <v>44</v>
      </c>
      <c r="G532" s="2489" t="s">
        <v>1241</v>
      </c>
      <c r="H532" s="2489" t="s">
        <v>1094</v>
      </c>
      <c r="I532" s="351" t="s">
        <v>1165</v>
      </c>
      <c r="J532" s="2487">
        <v>7</v>
      </c>
      <c r="K532" s="2487">
        <v>9</v>
      </c>
      <c r="L532" s="2487">
        <v>12</v>
      </c>
      <c r="M532" s="348">
        <v>14</v>
      </c>
      <c r="N532" s="2487">
        <v>120</v>
      </c>
      <c r="O532" s="2487">
        <v>180</v>
      </c>
      <c r="P532" s="2487">
        <v>280</v>
      </c>
      <c r="Q532" s="348">
        <v>400</v>
      </c>
      <c r="R532" s="2487">
        <v>20</v>
      </c>
      <c r="S532" s="2487">
        <v>20</v>
      </c>
      <c r="T532" s="2487">
        <v>25</v>
      </c>
      <c r="U532" s="348">
        <v>30</v>
      </c>
      <c r="V532" s="2485" t="s">
        <v>4903</v>
      </c>
      <c r="W532" s="2485" t="s">
        <v>4904</v>
      </c>
      <c r="X532" s="2485" t="s">
        <v>4905</v>
      </c>
      <c r="Y532" s="2485" t="s">
        <v>4906</v>
      </c>
      <c r="Z532" s="2485" t="s">
        <v>4907</v>
      </c>
      <c r="AA532" s="347"/>
    </row>
    <row r="533" spans="1:27" ht="12.75" customHeight="1">
      <c r="A533" s="8243"/>
      <c r="B533" s="242" t="str">
        <f t="shared" si="17"/>
        <v>Caos54</v>
      </c>
      <c r="D533" s="257" t="s">
        <v>458</v>
      </c>
      <c r="E533" s="2487" t="s">
        <v>46</v>
      </c>
      <c r="F533" s="2487">
        <v>54</v>
      </c>
      <c r="G533" s="2489" t="s">
        <v>1241</v>
      </c>
      <c r="H533" s="2489" t="s">
        <v>1095</v>
      </c>
      <c r="I533" s="351" t="s">
        <v>1165</v>
      </c>
      <c r="J533" s="2487">
        <v>8</v>
      </c>
      <c r="K533" s="2487">
        <v>10</v>
      </c>
      <c r="L533" s="2487">
        <v>12</v>
      </c>
      <c r="M533" s="348">
        <v>15</v>
      </c>
      <c r="N533" s="2487">
        <v>120</v>
      </c>
      <c r="O533" s="2487">
        <v>200</v>
      </c>
      <c r="P533" s="2487">
        <v>300</v>
      </c>
      <c r="Q533" s="348">
        <v>700</v>
      </c>
      <c r="R533" s="2487" t="s">
        <v>1241</v>
      </c>
      <c r="S533" s="2487" t="s">
        <v>1241</v>
      </c>
      <c r="T533" s="2487" t="s">
        <v>1241</v>
      </c>
      <c r="U533" s="348" t="s">
        <v>1241</v>
      </c>
      <c r="V533" s="2485" t="s">
        <v>3416</v>
      </c>
      <c r="W533" s="2485" t="s">
        <v>3417</v>
      </c>
      <c r="X533" s="2485" t="s">
        <v>3418</v>
      </c>
      <c r="Y533" s="2485" t="s">
        <v>3419</v>
      </c>
      <c r="Z533" s="2485" t="s">
        <v>4908</v>
      </c>
      <c r="AA533" s="347"/>
    </row>
    <row r="534" spans="1:27" ht="12.75" customHeight="1">
      <c r="A534" s="8243"/>
      <c r="B534" s="242" t="str">
        <f t="shared" si="17"/>
        <v>Caos64</v>
      </c>
      <c r="D534" s="257" t="s">
        <v>459</v>
      </c>
      <c r="E534" s="2487" t="s">
        <v>46</v>
      </c>
      <c r="F534" s="2487">
        <v>64</v>
      </c>
      <c r="G534" s="2489" t="s">
        <v>1241</v>
      </c>
      <c r="H534" s="2489" t="s">
        <v>1096</v>
      </c>
      <c r="I534" s="351" t="s">
        <v>1166</v>
      </c>
      <c r="J534" s="2487">
        <v>10</v>
      </c>
      <c r="K534" s="2487">
        <v>12</v>
      </c>
      <c r="L534" s="2487">
        <v>14</v>
      </c>
      <c r="M534" s="348">
        <v>16</v>
      </c>
      <c r="N534" s="2487">
        <v>100</v>
      </c>
      <c r="O534" s="2487">
        <v>200</v>
      </c>
      <c r="P534" s="2487">
        <v>300</v>
      </c>
      <c r="Q534" s="348">
        <v>400</v>
      </c>
      <c r="R534" s="2487" t="s">
        <v>1241</v>
      </c>
      <c r="S534" s="2487" t="s">
        <v>1241</v>
      </c>
      <c r="T534" s="2487" t="s">
        <v>1241</v>
      </c>
      <c r="U534" s="348" t="s">
        <v>1241</v>
      </c>
      <c r="V534" s="2485" t="s">
        <v>3391</v>
      </c>
      <c r="W534" s="2485" t="s">
        <v>4909</v>
      </c>
      <c r="X534" s="2485" t="s">
        <v>4910</v>
      </c>
      <c r="Y534" s="2485" t="s">
        <v>4911</v>
      </c>
      <c r="Z534" s="2485" t="s">
        <v>4912</v>
      </c>
      <c r="AA534" s="347"/>
    </row>
    <row r="535" spans="1:27" ht="12.75" customHeight="1">
      <c r="A535" s="8243"/>
      <c r="B535" s="242" t="str">
        <f t="shared" si="17"/>
        <v>Caos74</v>
      </c>
      <c r="D535" s="257" t="s">
        <v>460</v>
      </c>
      <c r="E535" s="2487" t="s">
        <v>46</v>
      </c>
      <c r="F535" s="2487">
        <v>74</v>
      </c>
      <c r="G535" s="2489" t="s">
        <v>1241</v>
      </c>
      <c r="H535" s="2489" t="s">
        <v>1095</v>
      </c>
      <c r="I535" s="351" t="s">
        <v>1165</v>
      </c>
      <c r="J535" s="2487">
        <v>8</v>
      </c>
      <c r="K535" s="2487">
        <v>11</v>
      </c>
      <c r="L535" s="2487">
        <v>13</v>
      </c>
      <c r="M535" s="348">
        <v>15</v>
      </c>
      <c r="N535" s="2487">
        <v>200</v>
      </c>
      <c r="O535" s="2487">
        <v>400</v>
      </c>
      <c r="P535" s="2487">
        <v>800</v>
      </c>
      <c r="Q535" s="348">
        <v>1200</v>
      </c>
      <c r="R535" s="2487" t="s">
        <v>1241</v>
      </c>
      <c r="S535" s="2487" t="s">
        <v>1241</v>
      </c>
      <c r="T535" s="2487" t="s">
        <v>1241</v>
      </c>
      <c r="U535" s="348" t="s">
        <v>1241</v>
      </c>
      <c r="V535" s="2485" t="s">
        <v>4913</v>
      </c>
      <c r="W535" s="2485" t="s">
        <v>4914</v>
      </c>
      <c r="X535" s="2485" t="s">
        <v>4915</v>
      </c>
      <c r="Y535" s="2485" t="s">
        <v>4916</v>
      </c>
      <c r="Z535" s="2485" t="s">
        <v>4917</v>
      </c>
      <c r="AA535" s="347"/>
    </row>
    <row r="536" spans="1:27" ht="12.75" customHeight="1">
      <c r="A536" s="8243"/>
      <c r="B536" s="242" t="str">
        <f t="shared" si="17"/>
        <v>Caos84</v>
      </c>
      <c r="D536" s="257" t="s">
        <v>461</v>
      </c>
      <c r="E536" s="2487" t="s">
        <v>46</v>
      </c>
      <c r="F536" s="2487">
        <v>84</v>
      </c>
      <c r="G536" s="2489" t="s">
        <v>1241</v>
      </c>
      <c r="H536" s="2489" t="s">
        <v>1095</v>
      </c>
      <c r="I536" s="351" t="s">
        <v>1165</v>
      </c>
      <c r="J536" s="2487">
        <v>11</v>
      </c>
      <c r="K536" s="2487">
        <v>13</v>
      </c>
      <c r="L536" s="2487">
        <v>15</v>
      </c>
      <c r="M536" s="348">
        <v>17</v>
      </c>
      <c r="N536" s="2487">
        <v>300</v>
      </c>
      <c r="O536" s="2487">
        <v>500</v>
      </c>
      <c r="P536" s="2487">
        <v>800</v>
      </c>
      <c r="Q536" s="348">
        <v>1200</v>
      </c>
      <c r="R536" s="2487">
        <v>50</v>
      </c>
      <c r="S536" s="2487">
        <v>60</v>
      </c>
      <c r="T536" s="2487">
        <v>67</v>
      </c>
      <c r="U536" s="348">
        <v>75</v>
      </c>
      <c r="V536" s="2485" t="s">
        <v>4918</v>
      </c>
      <c r="W536" s="2485" t="s">
        <v>4919</v>
      </c>
      <c r="X536" s="2485" t="s">
        <v>4920</v>
      </c>
      <c r="Y536" s="2485" t="s">
        <v>4921</v>
      </c>
      <c r="Z536" s="2485" t="s">
        <v>4922</v>
      </c>
      <c r="AA536" s="347"/>
    </row>
    <row r="537" spans="1:27" ht="12.75" customHeight="1">
      <c r="A537" s="8243"/>
      <c r="B537" s="242" t="str">
        <f t="shared" si="17"/>
        <v>Caos94</v>
      </c>
      <c r="D537" s="257" t="s">
        <v>462</v>
      </c>
      <c r="E537" s="2487" t="s">
        <v>46</v>
      </c>
      <c r="F537" s="2487">
        <v>94</v>
      </c>
      <c r="G537" s="2489" t="s">
        <v>2422</v>
      </c>
      <c r="H537" s="2489" t="s">
        <v>1096</v>
      </c>
      <c r="I537" s="351" t="s">
        <v>1165</v>
      </c>
      <c r="J537" s="2487">
        <v>12</v>
      </c>
      <c r="K537" s="2487">
        <v>14</v>
      </c>
      <c r="L537" s="2487">
        <v>16</v>
      </c>
      <c r="M537" s="348">
        <v>18</v>
      </c>
      <c r="N537" s="2487">
        <v>500</v>
      </c>
      <c r="O537" s="2487">
        <v>900</v>
      </c>
      <c r="P537" s="2487">
        <v>1500</v>
      </c>
      <c r="Q537" s="348">
        <v>2400</v>
      </c>
      <c r="R537" s="2487">
        <v>100</v>
      </c>
      <c r="S537" s="2487">
        <v>180</v>
      </c>
      <c r="T537" s="2487">
        <v>300</v>
      </c>
      <c r="U537" s="348">
        <v>480</v>
      </c>
      <c r="V537" s="2485" t="s">
        <v>4923</v>
      </c>
      <c r="W537" s="2485" t="s">
        <v>4924</v>
      </c>
      <c r="X537" s="2485" t="s">
        <v>4925</v>
      </c>
      <c r="Y537" s="2485" t="s">
        <v>4926</v>
      </c>
      <c r="Z537" s="2485" t="s">
        <v>4927</v>
      </c>
      <c r="AA537" s="347"/>
    </row>
    <row r="538" spans="1:27" ht="12.75" customHeight="1">
      <c r="A538" s="8243"/>
      <c r="B538" s="242" t="str">
        <f t="shared" si="17"/>
        <v/>
      </c>
      <c r="D538" s="257" t="s">
        <v>463</v>
      </c>
      <c r="E538" s="2487"/>
      <c r="F538" s="2487"/>
      <c r="G538" s="2489"/>
      <c r="H538" s="2489"/>
      <c r="I538" s="351"/>
      <c r="J538" s="2487"/>
      <c r="K538" s="2487"/>
      <c r="L538" s="2487"/>
      <c r="M538" s="348"/>
      <c r="N538" s="2487"/>
      <c r="O538" s="2487"/>
      <c r="P538" s="2487"/>
      <c r="Q538" s="348"/>
      <c r="R538" s="2487"/>
      <c r="S538" s="2487"/>
      <c r="T538" s="2487"/>
      <c r="U538" s="348"/>
      <c r="V538" s="2485"/>
      <c r="W538" s="2485"/>
      <c r="X538" s="2485"/>
      <c r="Y538" s="2485"/>
      <c r="Z538" s="2485"/>
      <c r="AA538" s="347"/>
    </row>
    <row r="539" spans="1:27" ht="12.75" customHeight="1">
      <c r="A539" s="8243"/>
      <c r="B539" s="242" t="str">
        <f t="shared" si="17"/>
        <v>Guerra4</v>
      </c>
      <c r="D539" s="257" t="s">
        <v>464</v>
      </c>
      <c r="E539" s="2487" t="s">
        <v>47</v>
      </c>
      <c r="F539" s="2487">
        <v>4</v>
      </c>
      <c r="G539" s="2489" t="s">
        <v>1241</v>
      </c>
      <c r="H539" s="2489" t="s">
        <v>1095</v>
      </c>
      <c r="I539" s="351" t="s">
        <v>1165</v>
      </c>
      <c r="J539" s="2487">
        <v>5</v>
      </c>
      <c r="K539" s="2487">
        <v>8</v>
      </c>
      <c r="L539" s="2487">
        <v>11</v>
      </c>
      <c r="M539" s="348">
        <v>13</v>
      </c>
      <c r="N539" s="2487">
        <v>30</v>
      </c>
      <c r="O539" s="2487">
        <v>60</v>
      </c>
      <c r="P539" s="2487">
        <v>90</v>
      </c>
      <c r="Q539" s="348">
        <v>120</v>
      </c>
      <c r="R539" s="2487" t="s">
        <v>1241</v>
      </c>
      <c r="S539" s="2487" t="s">
        <v>1241</v>
      </c>
      <c r="T539" s="2487" t="s">
        <v>1241</v>
      </c>
      <c r="U539" s="348" t="s">
        <v>1241</v>
      </c>
      <c r="V539" s="2485" t="s">
        <v>4928</v>
      </c>
      <c r="W539" s="2485" t="s">
        <v>4929</v>
      </c>
      <c r="X539" s="2485" t="s">
        <v>4930</v>
      </c>
      <c r="Y539" s="2485" t="s">
        <v>4931</v>
      </c>
      <c r="Z539" s="2485" t="s">
        <v>4932</v>
      </c>
      <c r="AA539" s="347"/>
    </row>
    <row r="540" spans="1:27" ht="12.75" customHeight="1">
      <c r="A540" s="8243"/>
      <c r="B540" s="242" t="str">
        <f t="shared" si="17"/>
        <v>Guerra14</v>
      </c>
      <c r="D540" s="257" t="s">
        <v>465</v>
      </c>
      <c r="E540" s="2487" t="s">
        <v>47</v>
      </c>
      <c r="F540" s="2487">
        <v>14</v>
      </c>
      <c r="G540" s="2489" t="s">
        <v>1241</v>
      </c>
      <c r="H540" s="2489" t="s">
        <v>1095</v>
      </c>
      <c r="I540" s="351" t="s">
        <v>1165</v>
      </c>
      <c r="J540" s="2487">
        <v>6</v>
      </c>
      <c r="K540" s="2487">
        <v>9</v>
      </c>
      <c r="L540" s="2487">
        <v>12</v>
      </c>
      <c r="M540" s="348">
        <v>15</v>
      </c>
      <c r="N540" s="2487">
        <v>40</v>
      </c>
      <c r="O540" s="2487">
        <v>70</v>
      </c>
      <c r="P540" s="2487">
        <v>100</v>
      </c>
      <c r="Q540" s="348">
        <v>130</v>
      </c>
      <c r="R540" s="2487">
        <v>5</v>
      </c>
      <c r="S540" s="2487">
        <v>10</v>
      </c>
      <c r="T540" s="2487">
        <v>10</v>
      </c>
      <c r="U540" s="348">
        <v>15</v>
      </c>
      <c r="V540" s="2485" t="s">
        <v>4933</v>
      </c>
      <c r="W540" s="2485" t="s">
        <v>4934</v>
      </c>
      <c r="X540" s="2485" t="s">
        <v>4935</v>
      </c>
      <c r="Y540" s="2485" t="s">
        <v>4936</v>
      </c>
      <c r="Z540" s="2485" t="s">
        <v>4937</v>
      </c>
      <c r="AA540" s="347"/>
    </row>
    <row r="541" spans="1:27" ht="12.75" customHeight="1">
      <c r="A541" s="8243"/>
      <c r="B541" s="242" t="str">
        <f t="shared" si="17"/>
        <v>Guerra24</v>
      </c>
      <c r="D541" s="257" t="s">
        <v>466</v>
      </c>
      <c r="E541" s="2487" t="s">
        <v>47</v>
      </c>
      <c r="F541" s="2487">
        <v>24</v>
      </c>
      <c r="G541" s="2489" t="s">
        <v>1241</v>
      </c>
      <c r="H541" s="2489" t="s">
        <v>1095</v>
      </c>
      <c r="I541" s="351" t="s">
        <v>1165</v>
      </c>
      <c r="J541" s="2487">
        <v>6</v>
      </c>
      <c r="K541" s="2487">
        <v>9</v>
      </c>
      <c r="L541" s="2487">
        <v>12</v>
      </c>
      <c r="M541" s="348">
        <v>15</v>
      </c>
      <c r="N541" s="2487">
        <v>50</v>
      </c>
      <c r="O541" s="2487">
        <v>90</v>
      </c>
      <c r="P541" s="2487">
        <v>120</v>
      </c>
      <c r="Q541" s="348">
        <v>150</v>
      </c>
      <c r="R541" s="2487">
        <v>5</v>
      </c>
      <c r="S541" s="2487">
        <v>10</v>
      </c>
      <c r="T541" s="2487">
        <v>15</v>
      </c>
      <c r="U541" s="348">
        <v>15</v>
      </c>
      <c r="V541" s="2485" t="s">
        <v>4938</v>
      </c>
      <c r="W541" s="2485" t="s">
        <v>4939</v>
      </c>
      <c r="X541" s="2485" t="s">
        <v>4940</v>
      </c>
      <c r="Y541" s="2485" t="s">
        <v>4941</v>
      </c>
      <c r="Z541" s="2485" t="s">
        <v>4942</v>
      </c>
      <c r="AA541" s="347"/>
    </row>
    <row r="542" spans="1:27" ht="12.75" customHeight="1">
      <c r="A542" s="8243"/>
      <c r="B542" s="242" t="str">
        <f t="shared" si="17"/>
        <v>Guerra34</v>
      </c>
      <c r="D542" s="257" t="s">
        <v>467</v>
      </c>
      <c r="E542" s="2487" t="s">
        <v>47</v>
      </c>
      <c r="F542" s="2487">
        <v>34</v>
      </c>
      <c r="G542" s="2489" t="s">
        <v>1241</v>
      </c>
      <c r="H542" s="2489" t="s">
        <v>1095</v>
      </c>
      <c r="I542" s="351" t="s">
        <v>1165</v>
      </c>
      <c r="J542" s="2487">
        <v>7</v>
      </c>
      <c r="K542" s="2487">
        <v>9</v>
      </c>
      <c r="L542" s="2487">
        <v>12</v>
      </c>
      <c r="M542" s="348">
        <v>15</v>
      </c>
      <c r="N542" s="2487">
        <v>80</v>
      </c>
      <c r="O542" s="2487">
        <v>120</v>
      </c>
      <c r="P542" s="2487">
        <v>160</v>
      </c>
      <c r="Q542" s="348">
        <v>200</v>
      </c>
      <c r="R542" s="2487">
        <v>5</v>
      </c>
      <c r="S542" s="2487">
        <v>15</v>
      </c>
      <c r="T542" s="2487">
        <v>20</v>
      </c>
      <c r="U542" s="348">
        <v>20</v>
      </c>
      <c r="V542" s="2485" t="s">
        <v>4944</v>
      </c>
      <c r="W542" s="2485" t="s">
        <v>4943</v>
      </c>
      <c r="X542" s="2485" t="s">
        <v>4945</v>
      </c>
      <c r="Y542" s="2485" t="s">
        <v>4946</v>
      </c>
      <c r="Z542" s="2485" t="s">
        <v>4947</v>
      </c>
      <c r="AA542" s="347"/>
    </row>
    <row r="543" spans="1:27" ht="12.75" customHeight="1">
      <c r="A543" s="8243"/>
      <c r="B543" s="242" t="str">
        <f t="shared" si="17"/>
        <v>Guerra44</v>
      </c>
      <c r="D543" s="257" t="s">
        <v>468</v>
      </c>
      <c r="E543" s="2487" t="s">
        <v>47</v>
      </c>
      <c r="F543" s="2487">
        <v>44</v>
      </c>
      <c r="G543" s="2489" t="s">
        <v>1241</v>
      </c>
      <c r="H543" s="2489" t="s">
        <v>1095</v>
      </c>
      <c r="I543" s="351" t="s">
        <v>1165</v>
      </c>
      <c r="J543" s="2487">
        <v>7</v>
      </c>
      <c r="K543" s="2487">
        <v>9</v>
      </c>
      <c r="L543" s="2487">
        <v>12</v>
      </c>
      <c r="M543" s="348">
        <v>15</v>
      </c>
      <c r="N543" s="2487">
        <v>80</v>
      </c>
      <c r="O543" s="2487">
        <v>120</v>
      </c>
      <c r="P543" s="2487">
        <v>160</v>
      </c>
      <c r="Q543" s="348">
        <v>200</v>
      </c>
      <c r="R543" s="2487">
        <v>5</v>
      </c>
      <c r="S543" s="2487">
        <v>15</v>
      </c>
      <c r="T543" s="2487">
        <v>20</v>
      </c>
      <c r="U543" s="348">
        <v>20</v>
      </c>
      <c r="V543" s="2485" t="s">
        <v>4948</v>
      </c>
      <c r="W543" s="2485" t="s">
        <v>4949</v>
      </c>
      <c r="X543" s="2485" t="s">
        <v>4950</v>
      </c>
      <c r="Y543" s="2485" t="s">
        <v>4951</v>
      </c>
      <c r="Z543" s="2485" t="s">
        <v>4952</v>
      </c>
      <c r="AA543" s="347"/>
    </row>
    <row r="544" spans="1:27" ht="12.75" customHeight="1">
      <c r="A544" s="8243"/>
      <c r="B544" s="242" t="str">
        <f t="shared" si="17"/>
        <v>Guerra54</v>
      </c>
      <c r="D544" s="257" t="s">
        <v>469</v>
      </c>
      <c r="E544" s="2487" t="s">
        <v>47</v>
      </c>
      <c r="F544" s="2487">
        <v>54</v>
      </c>
      <c r="G544" s="2489" t="s">
        <v>2422</v>
      </c>
      <c r="H544" s="2489" t="s">
        <v>1095</v>
      </c>
      <c r="I544" s="351" t="s">
        <v>1165</v>
      </c>
      <c r="J544" s="2487">
        <v>6</v>
      </c>
      <c r="K544" s="2487">
        <v>9</v>
      </c>
      <c r="L544" s="2487">
        <v>12</v>
      </c>
      <c r="M544" s="348">
        <v>15</v>
      </c>
      <c r="N544" s="2487">
        <v>150</v>
      </c>
      <c r="O544" s="2487">
        <v>200</v>
      </c>
      <c r="P544" s="2487">
        <v>250</v>
      </c>
      <c r="Q544" s="348">
        <v>300</v>
      </c>
      <c r="R544" s="2487">
        <v>30</v>
      </c>
      <c r="S544" s="2487">
        <v>40</v>
      </c>
      <c r="T544" s="2487">
        <v>50</v>
      </c>
      <c r="U544" s="348">
        <v>100</v>
      </c>
      <c r="V544" s="2485" t="s">
        <v>4933</v>
      </c>
      <c r="W544" s="2485" t="s">
        <v>4934</v>
      </c>
      <c r="X544" s="2485" t="s">
        <v>4953</v>
      </c>
      <c r="Y544" s="2485" t="s">
        <v>4936</v>
      </c>
      <c r="Z544" s="2485" t="s">
        <v>4954</v>
      </c>
      <c r="AA544" s="347"/>
    </row>
    <row r="545" spans="1:27" ht="12.75" customHeight="1">
      <c r="A545" s="8243"/>
      <c r="B545" s="242" t="str">
        <f t="shared" si="17"/>
        <v>Guerra64</v>
      </c>
      <c r="D545" s="257" t="s">
        <v>470</v>
      </c>
      <c r="E545" s="2487" t="s">
        <v>47</v>
      </c>
      <c r="F545" s="2487">
        <v>64</v>
      </c>
      <c r="G545" s="2489" t="s">
        <v>1241</v>
      </c>
      <c r="H545" s="2489" t="s">
        <v>1095</v>
      </c>
      <c r="I545" s="351" t="s">
        <v>1165</v>
      </c>
      <c r="J545" s="2487">
        <v>10</v>
      </c>
      <c r="K545" s="2487">
        <v>12</v>
      </c>
      <c r="L545" s="2487">
        <v>14</v>
      </c>
      <c r="M545" s="348">
        <v>16</v>
      </c>
      <c r="N545" s="2487">
        <v>140</v>
      </c>
      <c r="O545" s="2487">
        <v>180</v>
      </c>
      <c r="P545" s="2487">
        <v>240</v>
      </c>
      <c r="Q545" s="348">
        <v>350</v>
      </c>
      <c r="R545" s="2487">
        <v>15</v>
      </c>
      <c r="S545" s="2487">
        <v>15</v>
      </c>
      <c r="T545" s="2487">
        <v>20</v>
      </c>
      <c r="U545" s="348">
        <v>30</v>
      </c>
      <c r="V545" s="2485" t="s">
        <v>4955</v>
      </c>
      <c r="W545" s="2485" t="s">
        <v>4956</v>
      </c>
      <c r="X545" s="2485" t="s">
        <v>4957</v>
      </c>
      <c r="Y545" s="2485" t="s">
        <v>4958</v>
      </c>
      <c r="Z545" s="2485" t="s">
        <v>4959</v>
      </c>
      <c r="AA545" s="347"/>
    </row>
    <row r="546" spans="1:27" ht="12.75" customHeight="1">
      <c r="A546" s="8243"/>
      <c r="B546" s="242" t="str">
        <f t="shared" si="17"/>
        <v>Guerra74</v>
      </c>
      <c r="D546" s="257" t="s">
        <v>471</v>
      </c>
      <c r="E546" s="2487" t="s">
        <v>47</v>
      </c>
      <c r="F546" s="2487">
        <v>74</v>
      </c>
      <c r="G546" s="2489" t="s">
        <v>1241</v>
      </c>
      <c r="H546" s="2489" t="s">
        <v>1095</v>
      </c>
      <c r="I546" s="351" t="s">
        <v>1165</v>
      </c>
      <c r="J546" s="2487">
        <v>8</v>
      </c>
      <c r="K546" s="2487">
        <v>10</v>
      </c>
      <c r="L546" s="2487">
        <v>12</v>
      </c>
      <c r="M546" s="348">
        <v>15</v>
      </c>
      <c r="N546" s="2487">
        <v>150</v>
      </c>
      <c r="O546" s="2487">
        <v>200</v>
      </c>
      <c r="P546" s="2487">
        <v>250</v>
      </c>
      <c r="Q546" s="348">
        <v>300</v>
      </c>
      <c r="R546" s="2487" t="s">
        <v>1241</v>
      </c>
      <c r="S546" s="2487" t="s">
        <v>1241</v>
      </c>
      <c r="T546" s="2487" t="s">
        <v>1241</v>
      </c>
      <c r="U546" s="348" t="s">
        <v>1241</v>
      </c>
      <c r="V546" s="2485" t="s">
        <v>4960</v>
      </c>
      <c r="W546" s="2485" t="s">
        <v>4953</v>
      </c>
      <c r="X546" s="2485" t="s">
        <v>4935</v>
      </c>
      <c r="Y546" s="2485" t="s">
        <v>4936</v>
      </c>
      <c r="Z546" s="2485" t="s">
        <v>4961</v>
      </c>
      <c r="AA546" s="347"/>
    </row>
    <row r="547" spans="1:27" ht="12.75" customHeight="1">
      <c r="A547" s="8243"/>
      <c r="B547" s="242" t="str">
        <f t="shared" si="17"/>
        <v>Guerra84</v>
      </c>
      <c r="D547" s="257" t="s">
        <v>472</v>
      </c>
      <c r="E547" s="2487" t="s">
        <v>47</v>
      </c>
      <c r="F547" s="2487">
        <v>84</v>
      </c>
      <c r="G547" s="2489" t="s">
        <v>1241</v>
      </c>
      <c r="H547" s="2489" t="s">
        <v>1095</v>
      </c>
      <c r="I547" s="351" t="s">
        <v>1166</v>
      </c>
      <c r="J547" s="2487">
        <v>10</v>
      </c>
      <c r="K547" s="2487">
        <v>12</v>
      </c>
      <c r="L547" s="2487">
        <v>15</v>
      </c>
      <c r="M547" s="348">
        <v>18</v>
      </c>
      <c r="N547" s="2487">
        <v>200</v>
      </c>
      <c r="O547" s="2487">
        <v>300</v>
      </c>
      <c r="P547" s="2487">
        <v>400</v>
      </c>
      <c r="Q547" s="348">
        <v>500</v>
      </c>
      <c r="R547" s="2487">
        <v>10</v>
      </c>
      <c r="S547" s="2487">
        <v>15</v>
      </c>
      <c r="T547" s="2487">
        <v>20</v>
      </c>
      <c r="U547" s="348">
        <v>25</v>
      </c>
      <c r="V547" s="2485" t="s">
        <v>4962</v>
      </c>
      <c r="W547" s="2485" t="s">
        <v>4963</v>
      </c>
      <c r="X547" s="2485" t="s">
        <v>4964</v>
      </c>
      <c r="Y547" s="2485" t="s">
        <v>13010</v>
      </c>
      <c r="Z547" s="2485" t="s">
        <v>4966</v>
      </c>
      <c r="AA547" s="347"/>
    </row>
    <row r="548" spans="1:27" ht="12.75" customHeight="1">
      <c r="A548" s="8243"/>
      <c r="B548" s="242" t="str">
        <f t="shared" si="17"/>
        <v>Guerra94</v>
      </c>
      <c r="D548" s="257" t="s">
        <v>473</v>
      </c>
      <c r="E548" s="2487" t="s">
        <v>47</v>
      </c>
      <c r="F548" s="2487">
        <v>94</v>
      </c>
      <c r="G548" s="2489" t="s">
        <v>1241</v>
      </c>
      <c r="H548" s="2489" t="s">
        <v>1095</v>
      </c>
      <c r="I548" s="351" t="s">
        <v>1165</v>
      </c>
      <c r="J548" s="2487">
        <v>14</v>
      </c>
      <c r="K548" s="2487">
        <v>16</v>
      </c>
      <c r="L548" s="2487">
        <v>18</v>
      </c>
      <c r="M548" s="348">
        <v>20</v>
      </c>
      <c r="N548" s="2487">
        <v>250</v>
      </c>
      <c r="O548" s="2487">
        <v>500</v>
      </c>
      <c r="P548" s="2487">
        <v>750</v>
      </c>
      <c r="Q548" s="348">
        <v>1000</v>
      </c>
      <c r="R548" s="2487">
        <v>25</v>
      </c>
      <c r="S548" s="2487">
        <v>50</v>
      </c>
      <c r="T548" s="2487">
        <v>75</v>
      </c>
      <c r="U548" s="348">
        <v>100</v>
      </c>
      <c r="V548" s="2485" t="s">
        <v>4960</v>
      </c>
      <c r="W548" s="2485" t="s">
        <v>4934</v>
      </c>
      <c r="X548" s="2485" t="s">
        <v>4935</v>
      </c>
      <c r="Y548" s="2485" t="s">
        <v>4967</v>
      </c>
      <c r="Z548" s="2485" t="s">
        <v>4968</v>
      </c>
      <c r="AA548" s="347"/>
    </row>
    <row r="549" spans="1:27" ht="12.75" customHeight="1">
      <c r="A549" s="8243"/>
      <c r="B549" s="242" t="str">
        <f t="shared" si="17"/>
        <v/>
      </c>
      <c r="D549" s="257" t="s">
        <v>474</v>
      </c>
      <c r="E549" s="2487"/>
      <c r="F549" s="2487"/>
      <c r="G549" s="2489"/>
      <c r="H549" s="2489"/>
      <c r="I549" s="351"/>
      <c r="J549" s="2487"/>
      <c r="K549" s="2487"/>
      <c r="L549" s="2487"/>
      <c r="M549" s="348"/>
      <c r="N549" s="2487"/>
      <c r="O549" s="2487"/>
      <c r="P549" s="2487"/>
      <c r="Q549" s="348"/>
      <c r="R549" s="2487"/>
      <c r="S549" s="2487"/>
      <c r="T549" s="2487"/>
      <c r="U549" s="348"/>
      <c r="V549" s="2485"/>
      <c r="W549" s="2485"/>
      <c r="X549" s="2485"/>
      <c r="Y549" s="2485"/>
      <c r="Z549" s="2485"/>
      <c r="AA549" s="347"/>
    </row>
    <row r="550" spans="1:27" ht="12.75" customHeight="1">
      <c r="A550" s="8243"/>
      <c r="B550" s="242" t="str">
        <f t="shared" si="17"/>
        <v>Literae4</v>
      </c>
      <c r="D550" s="257" t="s">
        <v>475</v>
      </c>
      <c r="E550" s="2487" t="s">
        <v>48</v>
      </c>
      <c r="F550" s="2487">
        <v>4</v>
      </c>
      <c r="G550" s="2489" t="s">
        <v>2422</v>
      </c>
      <c r="H550" s="2489" t="s">
        <v>1095</v>
      </c>
      <c r="I550" s="351" t="s">
        <v>1165</v>
      </c>
      <c r="J550" s="2487">
        <v>5</v>
      </c>
      <c r="K550" s="2487">
        <v>8</v>
      </c>
      <c r="L550" s="2487">
        <v>10</v>
      </c>
      <c r="M550" s="348">
        <v>12</v>
      </c>
      <c r="N550" s="2487">
        <v>30</v>
      </c>
      <c r="O550" s="2487">
        <v>80</v>
      </c>
      <c r="P550" s="2487">
        <v>100</v>
      </c>
      <c r="Q550" s="348">
        <v>120</v>
      </c>
      <c r="R550" s="2487">
        <v>5</v>
      </c>
      <c r="S550" s="2487">
        <v>10</v>
      </c>
      <c r="T550" s="2487">
        <v>10</v>
      </c>
      <c r="U550" s="348">
        <v>15</v>
      </c>
      <c r="V550" s="2485" t="s">
        <v>4969</v>
      </c>
      <c r="W550" s="2485" t="s">
        <v>4970</v>
      </c>
      <c r="X550" s="2485" t="s">
        <v>4971</v>
      </c>
      <c r="Y550" s="2485" t="s">
        <v>4972</v>
      </c>
      <c r="Z550" s="2485" t="s">
        <v>4973</v>
      </c>
      <c r="AA550" s="347"/>
    </row>
    <row r="551" spans="1:27" ht="12.75" customHeight="1">
      <c r="A551" s="8243"/>
      <c r="B551" s="242" t="str">
        <f t="shared" si="17"/>
        <v>Literae14</v>
      </c>
      <c r="D551" s="257" t="s">
        <v>476</v>
      </c>
      <c r="E551" s="2487" t="s">
        <v>48</v>
      </c>
      <c r="F551" s="2487">
        <v>14</v>
      </c>
      <c r="G551" s="2489" t="s">
        <v>1241</v>
      </c>
      <c r="H551" s="2489" t="s">
        <v>1095</v>
      </c>
      <c r="I551" s="351" t="s">
        <v>1165</v>
      </c>
      <c r="J551" s="2487">
        <v>6</v>
      </c>
      <c r="K551" s="2487">
        <v>9</v>
      </c>
      <c r="L551" s="2487">
        <v>12</v>
      </c>
      <c r="M551" s="348">
        <v>15</v>
      </c>
      <c r="N551" s="2487">
        <v>80</v>
      </c>
      <c r="O551" s="2487">
        <v>140</v>
      </c>
      <c r="P551" s="2487">
        <v>200</v>
      </c>
      <c r="Q551" s="348">
        <v>280</v>
      </c>
      <c r="R551" s="2487" t="s">
        <v>1241</v>
      </c>
      <c r="S551" s="2487" t="s">
        <v>1241</v>
      </c>
      <c r="T551" s="2487" t="s">
        <v>1241</v>
      </c>
      <c r="U551" s="348" t="s">
        <v>1241</v>
      </c>
      <c r="V551" s="2485" t="s">
        <v>4974</v>
      </c>
      <c r="W551" s="2485" t="s">
        <v>4975</v>
      </c>
      <c r="X551" s="2485" t="s">
        <v>4976</v>
      </c>
      <c r="Y551" s="2485" t="s">
        <v>4977</v>
      </c>
      <c r="Z551" s="2485" t="s">
        <v>4978</v>
      </c>
      <c r="AA551" s="347"/>
    </row>
    <row r="552" spans="1:27" ht="12.75" customHeight="1">
      <c r="A552" s="8243"/>
      <c r="B552" s="242" t="str">
        <f t="shared" si="17"/>
        <v>Literae24</v>
      </c>
      <c r="D552" s="257" t="s">
        <v>477</v>
      </c>
      <c r="E552" s="2487" t="s">
        <v>48</v>
      </c>
      <c r="F552" s="2487">
        <v>24</v>
      </c>
      <c r="G552" s="2489" t="s">
        <v>2422</v>
      </c>
      <c r="H552" s="2489" t="s">
        <v>1095</v>
      </c>
      <c r="I552" s="351" t="s">
        <v>1165</v>
      </c>
      <c r="J552" s="2487">
        <v>6</v>
      </c>
      <c r="K552" s="2487">
        <v>9</v>
      </c>
      <c r="L552" s="2487">
        <v>12</v>
      </c>
      <c r="M552" s="348">
        <v>15</v>
      </c>
      <c r="N552" s="2487">
        <v>100</v>
      </c>
      <c r="O552" s="2487">
        <v>180</v>
      </c>
      <c r="P552" s="2487">
        <v>240</v>
      </c>
      <c r="Q552" s="348">
        <v>300</v>
      </c>
      <c r="R552" s="2487">
        <v>15</v>
      </c>
      <c r="S552" s="2487">
        <v>20</v>
      </c>
      <c r="T552" s="2487">
        <v>25</v>
      </c>
      <c r="U552" s="348">
        <v>30</v>
      </c>
      <c r="V552" s="2485" t="s">
        <v>1593</v>
      </c>
      <c r="W552" s="2485" t="s">
        <v>1595</v>
      </c>
      <c r="X552" s="2485" t="s">
        <v>1596</v>
      </c>
      <c r="Y552" s="2485" t="s">
        <v>4979</v>
      </c>
      <c r="Z552" s="2485" t="s">
        <v>4980</v>
      </c>
      <c r="AA552" s="347"/>
    </row>
    <row r="553" spans="1:27" ht="12.75" customHeight="1">
      <c r="A553" s="8243"/>
      <c r="B553" s="242" t="str">
        <f t="shared" si="17"/>
        <v>Literae34</v>
      </c>
      <c r="D553" s="257" t="s">
        <v>478</v>
      </c>
      <c r="E553" s="2487" t="s">
        <v>48</v>
      </c>
      <c r="F553" s="2487">
        <v>34</v>
      </c>
      <c r="G553" s="2489" t="s">
        <v>1241</v>
      </c>
      <c r="H553" s="2489" t="s">
        <v>1096</v>
      </c>
      <c r="I553" s="351" t="s">
        <v>1165</v>
      </c>
      <c r="J553" s="2487">
        <v>6</v>
      </c>
      <c r="K553" s="2487">
        <v>9</v>
      </c>
      <c r="L553" s="2487">
        <v>12</v>
      </c>
      <c r="M553" s="348">
        <v>15</v>
      </c>
      <c r="N553" s="2487">
        <v>120</v>
      </c>
      <c r="O553" s="2487">
        <v>240</v>
      </c>
      <c r="P553" s="2487">
        <v>360</v>
      </c>
      <c r="Q553" s="348">
        <v>480</v>
      </c>
      <c r="R553" s="2487" t="s">
        <v>1241</v>
      </c>
      <c r="S553" s="2487" t="s">
        <v>1241</v>
      </c>
      <c r="T553" s="2487" t="s">
        <v>1241</v>
      </c>
      <c r="U553" s="348" t="s">
        <v>1241</v>
      </c>
      <c r="V553" s="2485" t="s">
        <v>3403</v>
      </c>
      <c r="W553" s="2485" t="s">
        <v>4318</v>
      </c>
      <c r="X553" s="2485" t="s">
        <v>3404</v>
      </c>
      <c r="Y553" s="2485" t="s">
        <v>4319</v>
      </c>
      <c r="Z553" s="2485" t="s">
        <v>4981</v>
      </c>
      <c r="AA553" s="347"/>
    </row>
    <row r="554" spans="1:27" ht="12.75" customHeight="1">
      <c r="A554" s="8243"/>
      <c r="B554" s="242" t="str">
        <f t="shared" si="17"/>
        <v>Literae44</v>
      </c>
      <c r="D554" s="257" t="s">
        <v>479</v>
      </c>
      <c r="E554" s="2487" t="s">
        <v>48</v>
      </c>
      <c r="F554" s="2487">
        <v>44</v>
      </c>
      <c r="G554" s="2489" t="s">
        <v>1241</v>
      </c>
      <c r="H554" s="2489" t="s">
        <v>1424</v>
      </c>
      <c r="I554" s="351" t="s">
        <v>1166</v>
      </c>
      <c r="J554" s="2487">
        <v>8</v>
      </c>
      <c r="K554" s="2487">
        <v>10</v>
      </c>
      <c r="L554" s="2487">
        <v>12</v>
      </c>
      <c r="M554" s="348">
        <v>15</v>
      </c>
      <c r="N554" s="2487">
        <v>150</v>
      </c>
      <c r="O554" s="2487">
        <v>200</v>
      </c>
      <c r="P554" s="2487">
        <v>250</v>
      </c>
      <c r="Q554" s="348">
        <v>300</v>
      </c>
      <c r="R554" s="2487">
        <v>15</v>
      </c>
      <c r="S554" s="2487">
        <v>20</v>
      </c>
      <c r="T554" s="2487">
        <v>25</v>
      </c>
      <c r="U554" s="348">
        <v>30</v>
      </c>
      <c r="V554" s="2485" t="s">
        <v>4982</v>
      </c>
      <c r="W554" s="2485" t="s">
        <v>4983</v>
      </c>
      <c r="X554" s="2485" t="s">
        <v>4984</v>
      </c>
      <c r="Y554" s="2485" t="s">
        <v>4059</v>
      </c>
      <c r="Z554" s="2485" t="s">
        <v>4985</v>
      </c>
      <c r="AA554" s="347"/>
    </row>
    <row r="555" spans="1:27" ht="12.75" customHeight="1">
      <c r="A555" s="8243"/>
      <c r="B555" s="242" t="str">
        <f t="shared" si="17"/>
        <v>Literae54</v>
      </c>
      <c r="D555" s="257" t="s">
        <v>480</v>
      </c>
      <c r="E555" s="2487" t="s">
        <v>48</v>
      </c>
      <c r="F555" s="2487">
        <v>54</v>
      </c>
      <c r="G555" s="2489" t="s">
        <v>1241</v>
      </c>
      <c r="H555" s="2489" t="s">
        <v>1096</v>
      </c>
      <c r="I555" s="351" t="s">
        <v>1165</v>
      </c>
      <c r="J555" s="2487">
        <v>6</v>
      </c>
      <c r="K555" s="2487">
        <v>9</v>
      </c>
      <c r="L555" s="2487">
        <v>12</v>
      </c>
      <c r="M555" s="348">
        <v>15</v>
      </c>
      <c r="N555" s="2487">
        <v>240</v>
      </c>
      <c r="O555" s="2487">
        <v>360</v>
      </c>
      <c r="P555" s="2487">
        <v>480</v>
      </c>
      <c r="Q555" s="348">
        <v>600</v>
      </c>
      <c r="R555" s="2487">
        <v>15</v>
      </c>
      <c r="S555" s="2487">
        <v>20</v>
      </c>
      <c r="T555" s="2487">
        <v>25</v>
      </c>
      <c r="U555" s="348">
        <v>30</v>
      </c>
      <c r="V555" s="2485" t="s">
        <v>4986</v>
      </c>
      <c r="W555" s="2485" t="s">
        <v>4987</v>
      </c>
      <c r="X555" s="2485" t="s">
        <v>4988</v>
      </c>
      <c r="Y555" s="2485" t="s">
        <v>4989</v>
      </c>
      <c r="Z555" s="2485" t="s">
        <v>4990</v>
      </c>
      <c r="AA555" s="347"/>
    </row>
    <row r="556" spans="1:27" ht="12.75" customHeight="1">
      <c r="A556" s="8243"/>
      <c r="B556" s="242" t="str">
        <f t="shared" si="17"/>
        <v>Literae64</v>
      </c>
      <c r="D556" s="257" t="s">
        <v>481</v>
      </c>
      <c r="E556" s="2487" t="s">
        <v>48</v>
      </c>
      <c r="F556" s="2487">
        <v>64</v>
      </c>
      <c r="G556" s="2489" t="s">
        <v>2422</v>
      </c>
      <c r="H556" s="2489" t="s">
        <v>1095</v>
      </c>
      <c r="I556" s="351" t="s">
        <v>1165</v>
      </c>
      <c r="J556" s="2487">
        <v>7</v>
      </c>
      <c r="K556" s="2487">
        <v>10</v>
      </c>
      <c r="L556" s="2487">
        <v>13</v>
      </c>
      <c r="M556" s="348">
        <v>15</v>
      </c>
      <c r="N556" s="2487">
        <v>120</v>
      </c>
      <c r="O556" s="2487">
        <v>260</v>
      </c>
      <c r="P556" s="2487">
        <v>380</v>
      </c>
      <c r="Q556" s="348">
        <v>500</v>
      </c>
      <c r="R556" s="2487">
        <v>10</v>
      </c>
      <c r="S556" s="2487">
        <v>20</v>
      </c>
      <c r="T556" s="2487">
        <v>30</v>
      </c>
      <c r="U556" s="348">
        <v>40</v>
      </c>
      <c r="V556" s="2485" t="s">
        <v>4991</v>
      </c>
      <c r="W556" s="2485" t="s">
        <v>4992</v>
      </c>
      <c r="X556" s="2485" t="s">
        <v>4993</v>
      </c>
      <c r="Y556" s="2485" t="s">
        <v>4994</v>
      </c>
      <c r="Z556" s="2485" t="s">
        <v>4995</v>
      </c>
      <c r="AA556" s="347"/>
    </row>
    <row r="557" spans="1:27" ht="12.75" customHeight="1">
      <c r="A557" s="8243"/>
      <c r="B557" s="242" t="str">
        <f t="shared" si="17"/>
        <v>Literae74</v>
      </c>
      <c r="D557" s="257" t="s">
        <v>482</v>
      </c>
      <c r="E557" s="2487" t="s">
        <v>48</v>
      </c>
      <c r="F557" s="2487">
        <v>74</v>
      </c>
      <c r="G557" s="2489" t="s">
        <v>1241</v>
      </c>
      <c r="H557" s="2489" t="s">
        <v>1095</v>
      </c>
      <c r="I557" s="351" t="s">
        <v>1165</v>
      </c>
      <c r="J557" s="2487">
        <v>10</v>
      </c>
      <c r="K557" s="2487">
        <v>12</v>
      </c>
      <c r="L557" s="2487">
        <v>14</v>
      </c>
      <c r="M557" s="348">
        <v>16</v>
      </c>
      <c r="N557" s="2487">
        <v>280</v>
      </c>
      <c r="O557" s="2487">
        <v>320</v>
      </c>
      <c r="P557" s="2487">
        <v>480</v>
      </c>
      <c r="Q557" s="348">
        <v>700</v>
      </c>
      <c r="R557" s="2487" t="s">
        <v>1241</v>
      </c>
      <c r="S557" s="2487" t="s">
        <v>1241</v>
      </c>
      <c r="T557" s="2487" t="s">
        <v>1241</v>
      </c>
      <c r="U557" s="348" t="s">
        <v>1241</v>
      </c>
      <c r="V557" s="2485" t="s">
        <v>3346</v>
      </c>
      <c r="W557" s="2485" t="s">
        <v>3230</v>
      </c>
      <c r="X557" s="2485" t="s">
        <v>3377</v>
      </c>
      <c r="Y557" s="2485" t="s">
        <v>3378</v>
      </c>
      <c r="Z557" s="2485" t="s">
        <v>4996</v>
      </c>
      <c r="AA557" s="347"/>
    </row>
    <row r="558" spans="1:27" ht="12.75" customHeight="1">
      <c r="A558" s="8243"/>
      <c r="B558" s="242" t="str">
        <f t="shared" si="17"/>
        <v>Literae84</v>
      </c>
      <c r="D558" s="257" t="s">
        <v>483</v>
      </c>
      <c r="E558" s="2487" t="s">
        <v>48</v>
      </c>
      <c r="F558" s="2487">
        <v>84</v>
      </c>
      <c r="G558" s="2489" t="s">
        <v>2422</v>
      </c>
      <c r="H558" s="2489" t="s">
        <v>1095</v>
      </c>
      <c r="I558" s="351" t="s">
        <v>1165</v>
      </c>
      <c r="J558" s="2487">
        <v>10</v>
      </c>
      <c r="K558" s="2487">
        <v>12</v>
      </c>
      <c r="L558" s="2487">
        <v>14</v>
      </c>
      <c r="M558" s="348">
        <v>17</v>
      </c>
      <c r="N558" s="2487">
        <v>400</v>
      </c>
      <c r="O558" s="2487">
        <v>600</v>
      </c>
      <c r="P558" s="2487">
        <v>800</v>
      </c>
      <c r="Q558" s="348">
        <v>1200</v>
      </c>
      <c r="R558" s="2487">
        <v>40</v>
      </c>
      <c r="S558" s="2487">
        <v>60</v>
      </c>
      <c r="T558" s="2487">
        <v>80</v>
      </c>
      <c r="U558" s="348">
        <v>120</v>
      </c>
      <c r="V558" s="2485" t="s">
        <v>3416</v>
      </c>
      <c r="W558" s="2485" t="s">
        <v>3452</v>
      </c>
      <c r="X558" s="2485" t="s">
        <v>4997</v>
      </c>
      <c r="Y558" s="2485" t="s">
        <v>4120</v>
      </c>
      <c r="Z558" s="2485" t="s">
        <v>13011</v>
      </c>
      <c r="AA558" s="347"/>
    </row>
    <row r="559" spans="1:27" ht="12.75" customHeight="1">
      <c r="A559" s="8243"/>
      <c r="B559" s="242" t="str">
        <f t="shared" si="17"/>
        <v>Literae94</v>
      </c>
      <c r="D559" s="257" t="s">
        <v>484</v>
      </c>
      <c r="E559" s="2487" t="s">
        <v>48</v>
      </c>
      <c r="F559" s="2487">
        <v>94</v>
      </c>
      <c r="G559" s="2489" t="s">
        <v>1241</v>
      </c>
      <c r="H559" s="2489" t="s">
        <v>1096</v>
      </c>
      <c r="I559" s="351" t="s">
        <v>1165</v>
      </c>
      <c r="J559" s="2487">
        <v>12</v>
      </c>
      <c r="K559" s="2487">
        <v>15</v>
      </c>
      <c r="L559" s="2487">
        <v>17</v>
      </c>
      <c r="M559" s="348">
        <v>19</v>
      </c>
      <c r="N559" s="2487">
        <v>500</v>
      </c>
      <c r="O559" s="2487">
        <v>900</v>
      </c>
      <c r="P559" s="2487">
        <v>1400</v>
      </c>
      <c r="Q559" s="348">
        <v>2500</v>
      </c>
      <c r="R559" s="2487" t="s">
        <v>1241</v>
      </c>
      <c r="S559" s="2487" t="s">
        <v>1241</v>
      </c>
      <c r="T559" s="2487" t="s">
        <v>1241</v>
      </c>
      <c r="U559" s="348" t="s">
        <v>1241</v>
      </c>
      <c r="V559" s="2485" t="s">
        <v>3390</v>
      </c>
      <c r="W559" s="2485" t="s">
        <v>3391</v>
      </c>
      <c r="X559" s="2485" t="s">
        <v>3295</v>
      </c>
      <c r="Y559" s="2485" t="s">
        <v>3153</v>
      </c>
      <c r="Z559" s="2485" t="s">
        <v>4998</v>
      </c>
      <c r="AA559" s="347"/>
    </row>
    <row r="560" spans="1:27" ht="12.75" customHeight="1">
      <c r="A560" s="8243"/>
      <c r="B560" s="242" t="str">
        <f t="shared" si="17"/>
        <v/>
      </c>
      <c r="D560" s="257" t="s">
        <v>485</v>
      </c>
      <c r="E560" s="2487"/>
      <c r="F560" s="2487"/>
      <c r="G560" s="2489"/>
      <c r="H560" s="2489"/>
      <c r="I560" s="351"/>
      <c r="J560" s="2487"/>
      <c r="K560" s="2487"/>
      <c r="L560" s="2487"/>
      <c r="M560" s="348"/>
      <c r="N560" s="2487"/>
      <c r="O560" s="2487"/>
      <c r="P560" s="2487"/>
      <c r="Q560" s="348"/>
      <c r="R560" s="2487"/>
      <c r="S560" s="2487"/>
      <c r="T560" s="2487"/>
      <c r="U560" s="348"/>
      <c r="V560" s="2485"/>
      <c r="W560" s="2485"/>
      <c r="X560" s="2485"/>
      <c r="Y560" s="2485"/>
      <c r="Z560" s="2485"/>
      <c r="AA560" s="347"/>
    </row>
    <row r="561" spans="1:27" ht="12.75" customHeight="1">
      <c r="A561" s="8243"/>
      <c r="B561" s="242" t="str">
        <f t="shared" si="17"/>
        <v>Muerte4</v>
      </c>
      <c r="D561" s="257" t="s">
        <v>486</v>
      </c>
      <c r="E561" s="2487" t="s">
        <v>49</v>
      </c>
      <c r="F561" s="2487">
        <v>4</v>
      </c>
      <c r="G561" s="2489" t="s">
        <v>1241</v>
      </c>
      <c r="H561" s="2489" t="s">
        <v>1095</v>
      </c>
      <c r="I561" s="351" t="s">
        <v>1165</v>
      </c>
      <c r="J561" s="2487">
        <v>4</v>
      </c>
      <c r="K561" s="2487">
        <v>8</v>
      </c>
      <c r="L561" s="2487">
        <v>10</v>
      </c>
      <c r="M561" s="348">
        <v>12</v>
      </c>
      <c r="N561" s="2487">
        <v>50</v>
      </c>
      <c r="O561" s="2487">
        <v>80</v>
      </c>
      <c r="P561" s="2487">
        <v>100</v>
      </c>
      <c r="Q561" s="348">
        <v>120</v>
      </c>
      <c r="R561" s="2487" t="s">
        <v>1241</v>
      </c>
      <c r="S561" s="2487" t="s">
        <v>1241</v>
      </c>
      <c r="T561" s="2487" t="s">
        <v>1241</v>
      </c>
      <c r="U561" s="348" t="s">
        <v>1241</v>
      </c>
      <c r="V561" s="2485" t="s">
        <v>1590</v>
      </c>
      <c r="W561" s="2485" t="s">
        <v>1593</v>
      </c>
      <c r="X561" s="2485" t="s">
        <v>1595</v>
      </c>
      <c r="Y561" s="2485" t="s">
        <v>1596</v>
      </c>
      <c r="Z561" s="2485" t="s">
        <v>13012</v>
      </c>
      <c r="AA561" s="347"/>
    </row>
    <row r="562" spans="1:27" ht="12.75" customHeight="1">
      <c r="A562" s="8243"/>
      <c r="B562" s="242" t="str">
        <f t="shared" si="17"/>
        <v>Muerte14</v>
      </c>
      <c r="D562" s="257" t="s">
        <v>487</v>
      </c>
      <c r="E562" s="2487" t="s">
        <v>49</v>
      </c>
      <c r="F562" s="2487">
        <v>14</v>
      </c>
      <c r="G562" s="2489" t="s">
        <v>2422</v>
      </c>
      <c r="H562" s="2489" t="s">
        <v>1095</v>
      </c>
      <c r="I562" s="351" t="s">
        <v>1166</v>
      </c>
      <c r="J562" s="2487">
        <v>6</v>
      </c>
      <c r="K562" s="2487">
        <v>9</v>
      </c>
      <c r="L562" s="2487">
        <v>12</v>
      </c>
      <c r="M562" s="348">
        <v>14</v>
      </c>
      <c r="N562" s="2487">
        <v>60</v>
      </c>
      <c r="O562" s="2487">
        <v>90</v>
      </c>
      <c r="P562" s="2487">
        <v>120</v>
      </c>
      <c r="Q562" s="348">
        <v>140</v>
      </c>
      <c r="R562" s="2487">
        <v>10</v>
      </c>
      <c r="S562" s="2487">
        <v>10</v>
      </c>
      <c r="T562" s="2487">
        <v>15</v>
      </c>
      <c r="U562" s="348">
        <v>15</v>
      </c>
      <c r="V562" s="2485" t="s">
        <v>4999</v>
      </c>
      <c r="W562" s="2485" t="s">
        <v>5000</v>
      </c>
      <c r="X562" s="2485" t="s">
        <v>5001</v>
      </c>
      <c r="Y562" s="2485" t="s">
        <v>5002</v>
      </c>
      <c r="Z562" s="2485" t="s">
        <v>5003</v>
      </c>
      <c r="AA562" s="347"/>
    </row>
    <row r="563" spans="1:27" ht="12.75" customHeight="1">
      <c r="A563" s="8243"/>
      <c r="B563" s="242" t="str">
        <f t="shared" si="17"/>
        <v>Muerte24</v>
      </c>
      <c r="D563" s="257" t="s">
        <v>488</v>
      </c>
      <c r="E563" s="2487" t="s">
        <v>49</v>
      </c>
      <c r="F563" s="2487">
        <v>24</v>
      </c>
      <c r="G563" s="2489" t="s">
        <v>1241</v>
      </c>
      <c r="H563" s="2489" t="s">
        <v>3700</v>
      </c>
      <c r="I563" s="351" t="s">
        <v>1165</v>
      </c>
      <c r="J563" s="2487">
        <v>7</v>
      </c>
      <c r="K563" s="2487">
        <v>9</v>
      </c>
      <c r="L563" s="2487">
        <v>11</v>
      </c>
      <c r="M563" s="348">
        <v>13</v>
      </c>
      <c r="N563" s="2487">
        <v>80</v>
      </c>
      <c r="O563" s="2487">
        <v>100</v>
      </c>
      <c r="P563" s="2487">
        <v>120</v>
      </c>
      <c r="Q563" s="348">
        <v>140</v>
      </c>
      <c r="R563" s="2487" t="s">
        <v>1241</v>
      </c>
      <c r="S563" s="2487" t="s">
        <v>1241</v>
      </c>
      <c r="T563" s="2487" t="s">
        <v>1241</v>
      </c>
      <c r="U563" s="348" t="s">
        <v>1241</v>
      </c>
      <c r="V563" s="2485" t="s">
        <v>9227</v>
      </c>
      <c r="W563" s="2485" t="s">
        <v>4762</v>
      </c>
      <c r="X563" s="2485" t="s">
        <v>9228</v>
      </c>
      <c r="Y563" s="2485" t="s">
        <v>5004</v>
      </c>
      <c r="Z563" s="2485" t="s">
        <v>5005</v>
      </c>
      <c r="AA563" s="347"/>
    </row>
    <row r="564" spans="1:27" ht="12.75" customHeight="1">
      <c r="A564" s="8243"/>
      <c r="B564" s="242" t="str">
        <f t="shared" si="17"/>
        <v>Muerte34</v>
      </c>
      <c r="D564" s="4060" t="s">
        <v>417</v>
      </c>
      <c r="E564" s="4029" t="s">
        <v>49</v>
      </c>
      <c r="F564" s="4029">
        <v>34</v>
      </c>
      <c r="G564" s="4030" t="s">
        <v>1241</v>
      </c>
      <c r="H564" s="4030" t="s">
        <v>1095</v>
      </c>
      <c r="I564" s="4061" t="s">
        <v>1165</v>
      </c>
      <c r="J564" s="4029">
        <v>8</v>
      </c>
      <c r="K564" s="4029">
        <v>10</v>
      </c>
      <c r="L564" s="4029">
        <v>12</v>
      </c>
      <c r="M564" s="4062">
        <v>14</v>
      </c>
      <c r="N564" s="4029">
        <v>100</v>
      </c>
      <c r="O564" s="4029">
        <v>250</v>
      </c>
      <c r="P564" s="4029">
        <v>350</v>
      </c>
      <c r="Q564" s="4062">
        <v>500</v>
      </c>
      <c r="R564" s="4029" t="s">
        <v>1241</v>
      </c>
      <c r="S564" s="4029" t="s">
        <v>1241</v>
      </c>
      <c r="T564" s="4029" t="s">
        <v>1241</v>
      </c>
      <c r="U564" s="4029" t="s">
        <v>1241</v>
      </c>
      <c r="V564" s="4065" t="s">
        <v>12848</v>
      </c>
      <c r="W564" s="4065" t="s">
        <v>12849</v>
      </c>
      <c r="X564" s="4065" t="s">
        <v>12850</v>
      </c>
      <c r="Y564" s="4065" t="s">
        <v>12851</v>
      </c>
      <c r="Z564" s="4063" t="s">
        <v>13013</v>
      </c>
      <c r="AA564" s="4064"/>
    </row>
    <row r="565" spans="1:27" ht="12.75" customHeight="1">
      <c r="A565" s="8243"/>
      <c r="B565" s="242" t="str">
        <f t="shared" si="17"/>
        <v>Muerte44</v>
      </c>
      <c r="D565" s="4060" t="s">
        <v>489</v>
      </c>
      <c r="E565" s="4029" t="s">
        <v>49</v>
      </c>
      <c r="F565" s="4029">
        <v>44</v>
      </c>
      <c r="G565" s="4030" t="s">
        <v>1241</v>
      </c>
      <c r="H565" s="4030" t="s">
        <v>1095</v>
      </c>
      <c r="I565" s="4061" t="s">
        <v>1165</v>
      </c>
      <c r="J565" s="4029">
        <v>7</v>
      </c>
      <c r="K565" s="4029">
        <v>9</v>
      </c>
      <c r="L565" s="4029">
        <v>11</v>
      </c>
      <c r="M565" s="4062">
        <v>14</v>
      </c>
      <c r="N565" s="4029">
        <v>100</v>
      </c>
      <c r="O565" s="4029">
        <v>180</v>
      </c>
      <c r="P565" s="4029">
        <v>240</v>
      </c>
      <c r="Q565" s="4062">
        <v>300</v>
      </c>
      <c r="R565" s="4029">
        <v>15</v>
      </c>
      <c r="S565" s="4029">
        <v>20</v>
      </c>
      <c r="T565" s="4029">
        <v>25</v>
      </c>
      <c r="U565" s="4062">
        <v>30</v>
      </c>
      <c r="V565" s="4065" t="s">
        <v>6997</v>
      </c>
      <c r="W565" s="4065" t="s">
        <v>6998</v>
      </c>
      <c r="X565" s="4065" t="s">
        <v>6999</v>
      </c>
      <c r="Y565" s="4065" t="s">
        <v>7001</v>
      </c>
      <c r="Z565" s="4063" t="s">
        <v>12847</v>
      </c>
      <c r="AA565" s="4064"/>
    </row>
    <row r="566" spans="1:27" ht="12.75" customHeight="1">
      <c r="A566" s="8243"/>
      <c r="B566" s="242" t="str">
        <f t="shared" si="17"/>
        <v>Muerte54</v>
      </c>
      <c r="D566" s="257" t="s">
        <v>12852</v>
      </c>
      <c r="E566" s="2487" t="s">
        <v>49</v>
      </c>
      <c r="F566" s="2487">
        <v>54</v>
      </c>
      <c r="G566" s="2489" t="s">
        <v>1241</v>
      </c>
      <c r="H566" s="2489" t="s">
        <v>1095</v>
      </c>
      <c r="I566" s="351" t="s">
        <v>1165</v>
      </c>
      <c r="J566" s="2487">
        <v>7</v>
      </c>
      <c r="K566" s="2487">
        <v>10</v>
      </c>
      <c r="L566" s="2487">
        <v>13</v>
      </c>
      <c r="M566" s="348">
        <v>15</v>
      </c>
      <c r="N566" s="2487">
        <v>80</v>
      </c>
      <c r="O566" s="2487">
        <v>100</v>
      </c>
      <c r="P566" s="2487">
        <v>120</v>
      </c>
      <c r="Q566" s="348">
        <v>150</v>
      </c>
      <c r="R566" s="2487">
        <v>10</v>
      </c>
      <c r="S566" s="2487">
        <v>10</v>
      </c>
      <c r="T566" s="2487">
        <v>15</v>
      </c>
      <c r="U566" s="348">
        <v>15</v>
      </c>
      <c r="V566" s="2485" t="s">
        <v>9480</v>
      </c>
      <c r="W566" s="2485" t="s">
        <v>5006</v>
      </c>
      <c r="X566" s="2485" t="s">
        <v>5007</v>
      </c>
      <c r="Y566" s="2485" t="s">
        <v>5008</v>
      </c>
      <c r="Z566" s="2485" t="s">
        <v>5009</v>
      </c>
      <c r="AA566" s="347"/>
    </row>
    <row r="567" spans="1:27" ht="12.75" customHeight="1">
      <c r="A567" s="8243"/>
      <c r="B567" s="242" t="str">
        <f t="shared" si="17"/>
        <v>Muerte64</v>
      </c>
      <c r="D567" s="4060" t="s">
        <v>12853</v>
      </c>
      <c r="E567" s="4029" t="s">
        <v>49</v>
      </c>
      <c r="F567" s="4029">
        <v>64</v>
      </c>
      <c r="G567" s="4030" t="s">
        <v>2422</v>
      </c>
      <c r="H567" s="4030" t="s">
        <v>1095</v>
      </c>
      <c r="I567" s="4061" t="s">
        <v>1165</v>
      </c>
      <c r="J567" s="4029">
        <v>6</v>
      </c>
      <c r="K567" s="4029">
        <v>9</v>
      </c>
      <c r="L567" s="4029">
        <v>11</v>
      </c>
      <c r="M567" s="4062">
        <v>14</v>
      </c>
      <c r="N567" s="4029">
        <v>100</v>
      </c>
      <c r="O567" s="4029">
        <v>150</v>
      </c>
      <c r="P567" s="4029">
        <v>180</v>
      </c>
      <c r="Q567" s="4062">
        <v>250</v>
      </c>
      <c r="R567" s="4029">
        <v>20</v>
      </c>
      <c r="S567" s="4029">
        <v>30</v>
      </c>
      <c r="T567" s="4029">
        <v>40</v>
      </c>
      <c r="U567" s="4062">
        <v>50</v>
      </c>
      <c r="V567" s="4065" t="s">
        <v>12854</v>
      </c>
      <c r="W567" s="4065" t="s">
        <v>12855</v>
      </c>
      <c r="X567" s="4065" t="s">
        <v>12856</v>
      </c>
      <c r="Y567" s="4065" t="s">
        <v>12857</v>
      </c>
      <c r="Z567" s="4063" t="s">
        <v>12858</v>
      </c>
      <c r="AA567" s="4064"/>
    </row>
    <row r="568" spans="1:27" ht="12.75" customHeight="1">
      <c r="A568" s="8243"/>
      <c r="B568" s="242" t="str">
        <f t="shared" si="17"/>
        <v>Muerte74</v>
      </c>
      <c r="D568" s="257" t="s">
        <v>490</v>
      </c>
      <c r="E568" s="2487" t="s">
        <v>49</v>
      </c>
      <c r="F568" s="2487">
        <v>74</v>
      </c>
      <c r="G568" s="2489" t="s">
        <v>2422</v>
      </c>
      <c r="H568" s="2489" t="s">
        <v>5010</v>
      </c>
      <c r="I568" s="351" t="s">
        <v>1165</v>
      </c>
      <c r="J568" s="2487">
        <v>9</v>
      </c>
      <c r="K568" s="2487">
        <v>11</v>
      </c>
      <c r="L568" s="2487">
        <v>13</v>
      </c>
      <c r="M568" s="348">
        <v>15</v>
      </c>
      <c r="N568" s="2487">
        <v>150</v>
      </c>
      <c r="O568" s="2487">
        <v>250</v>
      </c>
      <c r="P568" s="2487">
        <v>350</v>
      </c>
      <c r="Q568" s="348">
        <v>500</v>
      </c>
      <c r="R568" s="2487">
        <v>15</v>
      </c>
      <c r="S568" s="2487">
        <v>25</v>
      </c>
      <c r="T568" s="2487">
        <v>35</v>
      </c>
      <c r="U568" s="348">
        <v>50</v>
      </c>
      <c r="V568" s="2485" t="s">
        <v>3390</v>
      </c>
      <c r="W568" s="2485" t="s">
        <v>3295</v>
      </c>
      <c r="X568" s="2485" t="s">
        <v>3296</v>
      </c>
      <c r="Y568" s="2485" t="s">
        <v>3297</v>
      </c>
      <c r="Z568" s="2485" t="s">
        <v>9229</v>
      </c>
      <c r="AA568" s="347"/>
    </row>
    <row r="569" spans="1:27" ht="12.75" customHeight="1">
      <c r="A569" s="8243"/>
      <c r="B569" s="242" t="str">
        <f t="shared" si="17"/>
        <v>Muerte84</v>
      </c>
      <c r="D569" s="257" t="s">
        <v>491</v>
      </c>
      <c r="E569" s="2487" t="s">
        <v>49</v>
      </c>
      <c r="F569" s="2487">
        <v>84</v>
      </c>
      <c r="G569" s="2489" t="s">
        <v>1241</v>
      </c>
      <c r="H569" s="2489" t="s">
        <v>3700</v>
      </c>
      <c r="I569" s="351" t="s">
        <v>1166</v>
      </c>
      <c r="J569" s="2487">
        <v>10</v>
      </c>
      <c r="K569" s="2487">
        <v>12</v>
      </c>
      <c r="L569" s="2487">
        <v>14</v>
      </c>
      <c r="M569" s="348">
        <v>16</v>
      </c>
      <c r="N569" s="2487">
        <v>350</v>
      </c>
      <c r="O569" s="2487">
        <v>500</v>
      </c>
      <c r="P569" s="2487">
        <v>800</v>
      </c>
      <c r="Q569" s="348">
        <v>1200</v>
      </c>
      <c r="R569" s="2487">
        <v>15</v>
      </c>
      <c r="S569" s="2487">
        <v>25</v>
      </c>
      <c r="T569" s="2487">
        <v>40</v>
      </c>
      <c r="U569" s="348">
        <v>60</v>
      </c>
      <c r="V569" s="2485" t="s">
        <v>5011</v>
      </c>
      <c r="W569" s="2485" t="s">
        <v>5012</v>
      </c>
      <c r="X569" s="2485" t="s">
        <v>5013</v>
      </c>
      <c r="Y569" s="2485" t="s">
        <v>5014</v>
      </c>
      <c r="Z569" s="2485" t="s">
        <v>5015</v>
      </c>
      <c r="AA569" s="347"/>
    </row>
    <row r="570" spans="1:27" ht="12.75" customHeight="1">
      <c r="A570" s="8243"/>
      <c r="B570" s="242" t="str">
        <f t="shared" si="17"/>
        <v>Muerte94</v>
      </c>
      <c r="D570" s="257" t="s">
        <v>492</v>
      </c>
      <c r="E570" s="2487" t="s">
        <v>49</v>
      </c>
      <c r="F570" s="2487">
        <v>94</v>
      </c>
      <c r="G570" s="2489" t="s">
        <v>2422</v>
      </c>
      <c r="H570" s="2489" t="s">
        <v>3723</v>
      </c>
      <c r="I570" s="351" t="s">
        <v>1165</v>
      </c>
      <c r="J570" s="2487">
        <v>12</v>
      </c>
      <c r="K570" s="2487">
        <v>14</v>
      </c>
      <c r="L570" s="2487">
        <v>16</v>
      </c>
      <c r="M570" s="348">
        <v>18</v>
      </c>
      <c r="N570" s="2487">
        <v>400</v>
      </c>
      <c r="O570" s="2487">
        <v>750</v>
      </c>
      <c r="P570" s="2487">
        <v>1200</v>
      </c>
      <c r="Q570" s="348">
        <v>2000</v>
      </c>
      <c r="R570" s="2487">
        <v>40</v>
      </c>
      <c r="S570" s="2487">
        <v>75</v>
      </c>
      <c r="T570" s="2487">
        <v>120</v>
      </c>
      <c r="U570" s="348">
        <v>200</v>
      </c>
      <c r="V570" s="2485" t="s">
        <v>5016</v>
      </c>
      <c r="W570" s="2485" t="s">
        <v>5017</v>
      </c>
      <c r="X570" s="2485" t="s">
        <v>5018</v>
      </c>
      <c r="Y570" s="2485" t="s">
        <v>5019</v>
      </c>
      <c r="Z570" s="2485" t="s">
        <v>5020</v>
      </c>
      <c r="AA570" s="347"/>
    </row>
    <row r="571" spans="1:27" ht="12.75" customHeight="1">
      <c r="A571" s="8243"/>
      <c r="B571" s="242" t="str">
        <f t="shared" si="17"/>
        <v/>
      </c>
      <c r="D571" s="257" t="s">
        <v>13014</v>
      </c>
      <c r="E571" s="2487"/>
      <c r="F571" s="2487"/>
      <c r="G571" s="2489"/>
      <c r="H571" s="2489"/>
      <c r="I571" s="351"/>
      <c r="J571" s="2487"/>
      <c r="K571" s="2487"/>
      <c r="L571" s="2487"/>
      <c r="M571" s="348"/>
      <c r="N571" s="2487"/>
      <c r="O571" s="2487"/>
      <c r="P571" s="2487"/>
      <c r="Q571" s="348"/>
      <c r="R571" s="2487"/>
      <c r="S571" s="2487"/>
      <c r="T571" s="2487"/>
      <c r="U571" s="348"/>
      <c r="V571" s="2485"/>
      <c r="W571" s="2485"/>
      <c r="X571" s="2485"/>
      <c r="Y571" s="2485"/>
      <c r="Z571" s="2485"/>
      <c r="AA571" s="347"/>
    </row>
    <row r="572" spans="1:27" ht="12.75" customHeight="1">
      <c r="A572" s="8243"/>
      <c r="B572" s="242" t="str">
        <f t="shared" si="17"/>
        <v>Musical4</v>
      </c>
      <c r="D572" s="257" t="s">
        <v>493</v>
      </c>
      <c r="E572" s="2487" t="s">
        <v>50</v>
      </c>
      <c r="F572" s="2487">
        <v>4</v>
      </c>
      <c r="G572" s="2489" t="s">
        <v>1241</v>
      </c>
      <c r="H572" s="2489" t="s">
        <v>1095</v>
      </c>
      <c r="I572" s="351" t="s">
        <v>1165</v>
      </c>
      <c r="J572" s="2487">
        <v>5</v>
      </c>
      <c r="K572" s="2487">
        <v>8</v>
      </c>
      <c r="L572" s="2487">
        <v>10</v>
      </c>
      <c r="M572" s="348">
        <v>12</v>
      </c>
      <c r="N572" s="2487">
        <v>30</v>
      </c>
      <c r="O572" s="2487">
        <v>50</v>
      </c>
      <c r="P572" s="2487">
        <v>70</v>
      </c>
      <c r="Q572" s="348">
        <v>100</v>
      </c>
      <c r="R572" s="2487" t="s">
        <v>1241</v>
      </c>
      <c r="S572" s="2487" t="s">
        <v>1241</v>
      </c>
      <c r="T572" s="2487" t="s">
        <v>1241</v>
      </c>
      <c r="U572" s="348" t="s">
        <v>1241</v>
      </c>
      <c r="V572" s="2485" t="s">
        <v>5021</v>
      </c>
      <c r="W572" s="2485" t="s">
        <v>5022</v>
      </c>
      <c r="X572" s="2485" t="s">
        <v>5023</v>
      </c>
      <c r="Y572" s="2485" t="s">
        <v>5024</v>
      </c>
      <c r="Z572" s="2485" t="s">
        <v>5025</v>
      </c>
      <c r="AA572" s="347"/>
    </row>
    <row r="573" spans="1:27" ht="12.75" customHeight="1">
      <c r="A573" s="8243"/>
      <c r="B573" s="242" t="str">
        <f t="shared" si="17"/>
        <v>Musical14</v>
      </c>
      <c r="D573" s="257" t="s">
        <v>494</v>
      </c>
      <c r="E573" s="2487" t="s">
        <v>50</v>
      </c>
      <c r="F573" s="2487">
        <v>14</v>
      </c>
      <c r="G573" s="2489" t="s">
        <v>1241</v>
      </c>
      <c r="H573" s="2489" t="s">
        <v>1095</v>
      </c>
      <c r="I573" s="351" t="s">
        <v>1165</v>
      </c>
      <c r="J573" s="2487">
        <v>5</v>
      </c>
      <c r="K573" s="2487">
        <v>8</v>
      </c>
      <c r="L573" s="2487">
        <v>10</v>
      </c>
      <c r="M573" s="348">
        <v>12</v>
      </c>
      <c r="N573" s="2487">
        <v>40</v>
      </c>
      <c r="O573" s="2487">
        <v>60</v>
      </c>
      <c r="P573" s="2487">
        <v>80</v>
      </c>
      <c r="Q573" s="348">
        <v>100</v>
      </c>
      <c r="R573" s="2487">
        <v>5</v>
      </c>
      <c r="S573" s="2487">
        <v>5</v>
      </c>
      <c r="T573" s="2487">
        <v>5</v>
      </c>
      <c r="U573" s="348">
        <v>10</v>
      </c>
      <c r="V573" s="2485" t="s">
        <v>4631</v>
      </c>
      <c r="W573" s="2485" t="s">
        <v>5026</v>
      </c>
      <c r="X573" s="2485" t="s">
        <v>4923</v>
      </c>
      <c r="Y573" s="2485" t="s">
        <v>5027</v>
      </c>
      <c r="Z573" s="2485" t="s">
        <v>5028</v>
      </c>
      <c r="AA573" s="347"/>
    </row>
    <row r="574" spans="1:27" ht="12.75" customHeight="1">
      <c r="A574" s="8243"/>
      <c r="B574" s="242" t="str">
        <f t="shared" si="17"/>
        <v>Musical24</v>
      </c>
      <c r="D574" s="257" t="s">
        <v>495</v>
      </c>
      <c r="E574" s="2487" t="s">
        <v>50</v>
      </c>
      <c r="F574" s="2487">
        <v>24</v>
      </c>
      <c r="G574" s="2489" t="s">
        <v>1241</v>
      </c>
      <c r="H574" s="2489" t="s">
        <v>1095</v>
      </c>
      <c r="I574" s="351" t="s">
        <v>1165</v>
      </c>
      <c r="J574" s="2487">
        <v>6</v>
      </c>
      <c r="K574" s="2487">
        <v>8</v>
      </c>
      <c r="L574" s="2487">
        <v>10</v>
      </c>
      <c r="M574" s="348">
        <v>12</v>
      </c>
      <c r="N574" s="2487">
        <v>50</v>
      </c>
      <c r="O574" s="2487">
        <v>70</v>
      </c>
      <c r="P574" s="2487">
        <v>80</v>
      </c>
      <c r="Q574" s="348">
        <v>120</v>
      </c>
      <c r="R574" s="2487">
        <v>5</v>
      </c>
      <c r="S574" s="2487">
        <v>5</v>
      </c>
      <c r="T574" s="2487">
        <v>5</v>
      </c>
      <c r="U574" s="348">
        <v>10</v>
      </c>
      <c r="V574" s="2485" t="s">
        <v>5029</v>
      </c>
      <c r="W574" s="2485" t="s">
        <v>5030</v>
      </c>
      <c r="X574" s="2485" t="s">
        <v>5031</v>
      </c>
      <c r="Y574" s="2485" t="s">
        <v>5032</v>
      </c>
      <c r="Z574" s="2485" t="s">
        <v>5033</v>
      </c>
      <c r="AA574" s="347"/>
    </row>
    <row r="575" spans="1:27" ht="12.75" customHeight="1">
      <c r="A575" s="8243"/>
      <c r="B575" s="242" t="str">
        <f t="shared" si="17"/>
        <v>Musical34</v>
      </c>
      <c r="D575" s="257" t="s">
        <v>496</v>
      </c>
      <c r="E575" s="2487" t="s">
        <v>50</v>
      </c>
      <c r="F575" s="2487">
        <v>34</v>
      </c>
      <c r="G575" s="2489" t="s">
        <v>1241</v>
      </c>
      <c r="H575" s="2489" t="s">
        <v>1093</v>
      </c>
      <c r="I575" s="351" t="s">
        <v>1165</v>
      </c>
      <c r="J575" s="2487">
        <v>7</v>
      </c>
      <c r="K575" s="2487">
        <v>9</v>
      </c>
      <c r="L575" s="2487">
        <v>11</v>
      </c>
      <c r="M575" s="348">
        <v>13</v>
      </c>
      <c r="N575" s="2487">
        <v>60</v>
      </c>
      <c r="O575" s="2487">
        <v>90</v>
      </c>
      <c r="P575" s="2487">
        <v>120</v>
      </c>
      <c r="Q575" s="348">
        <v>150</v>
      </c>
      <c r="R575" s="2487" t="s">
        <v>1241</v>
      </c>
      <c r="S575" s="2487" t="s">
        <v>1241</v>
      </c>
      <c r="T575" s="2487" t="s">
        <v>1241</v>
      </c>
      <c r="U575" s="348" t="s">
        <v>1241</v>
      </c>
      <c r="V575" s="2485" t="s">
        <v>5034</v>
      </c>
      <c r="W575" s="2485" t="s">
        <v>5035</v>
      </c>
      <c r="X575" s="2485" t="s">
        <v>5036</v>
      </c>
      <c r="Y575" s="2485" t="s">
        <v>4614</v>
      </c>
      <c r="Z575" s="2485" t="s">
        <v>9910</v>
      </c>
      <c r="AA575" s="347"/>
    </row>
    <row r="576" spans="1:27" ht="12.75" customHeight="1">
      <c r="A576" s="8243"/>
      <c r="B576" s="242" t="str">
        <f t="shared" si="17"/>
        <v>Musical44</v>
      </c>
      <c r="D576" s="257" t="s">
        <v>497</v>
      </c>
      <c r="E576" s="2487" t="s">
        <v>50</v>
      </c>
      <c r="F576" s="2487">
        <v>44</v>
      </c>
      <c r="G576" s="2489" t="s">
        <v>1241</v>
      </c>
      <c r="H576" s="2489" t="s">
        <v>1096</v>
      </c>
      <c r="I576" s="351" t="s">
        <v>1165</v>
      </c>
      <c r="J576" s="2487">
        <v>7</v>
      </c>
      <c r="K576" s="2487">
        <v>9</v>
      </c>
      <c r="L576" s="2487">
        <v>11</v>
      </c>
      <c r="M576" s="348">
        <v>13</v>
      </c>
      <c r="N576" s="2487">
        <v>100</v>
      </c>
      <c r="O576" s="2487">
        <v>160</v>
      </c>
      <c r="P576" s="2487">
        <v>220</v>
      </c>
      <c r="Q576" s="348">
        <v>280</v>
      </c>
      <c r="R576" s="2487">
        <v>5</v>
      </c>
      <c r="S576" s="2487">
        <v>10</v>
      </c>
      <c r="T576" s="2487">
        <v>15</v>
      </c>
      <c r="U576" s="348">
        <v>20</v>
      </c>
      <c r="V576" s="2485" t="s">
        <v>5037</v>
      </c>
      <c r="W576" s="2485" t="s">
        <v>5038</v>
      </c>
      <c r="X576" s="2485" t="s">
        <v>5039</v>
      </c>
      <c r="Y576" s="2485" t="s">
        <v>5040</v>
      </c>
      <c r="Z576" s="2485" t="s">
        <v>13015</v>
      </c>
      <c r="AA576" s="347"/>
    </row>
    <row r="577" spans="1:27" ht="12.75" customHeight="1">
      <c r="A577" s="8243"/>
      <c r="B577" s="242" t="str">
        <f t="shared" si="17"/>
        <v>Musical54</v>
      </c>
      <c r="D577" s="257" t="s">
        <v>498</v>
      </c>
      <c r="E577" s="2487" t="s">
        <v>50</v>
      </c>
      <c r="F577" s="2487">
        <v>54</v>
      </c>
      <c r="G577" s="2489" t="s">
        <v>1241</v>
      </c>
      <c r="H577" s="2489" t="s">
        <v>1096</v>
      </c>
      <c r="I577" s="351" t="s">
        <v>1165</v>
      </c>
      <c r="J577" s="2487">
        <v>7</v>
      </c>
      <c r="K577" s="2487">
        <v>9</v>
      </c>
      <c r="L577" s="2487">
        <v>11</v>
      </c>
      <c r="M577" s="348">
        <v>13</v>
      </c>
      <c r="N577" s="2487">
        <v>100</v>
      </c>
      <c r="O577" s="2487">
        <v>160</v>
      </c>
      <c r="P577" s="2487">
        <v>220</v>
      </c>
      <c r="Q577" s="348">
        <v>280</v>
      </c>
      <c r="R577" s="2487">
        <v>5</v>
      </c>
      <c r="S577" s="2487">
        <v>10</v>
      </c>
      <c r="T577" s="2487">
        <v>15</v>
      </c>
      <c r="U577" s="348">
        <v>20</v>
      </c>
      <c r="V577" s="2485" t="s">
        <v>5041</v>
      </c>
      <c r="W577" s="2485" t="s">
        <v>5042</v>
      </c>
      <c r="X577" s="2485" t="s">
        <v>5043</v>
      </c>
      <c r="Y577" s="2485" t="s">
        <v>5044</v>
      </c>
      <c r="Z577" s="2485" t="s">
        <v>5045</v>
      </c>
      <c r="AA577" s="347"/>
    </row>
    <row r="578" spans="1:27" ht="12.75" customHeight="1">
      <c r="A578" s="8243"/>
      <c r="B578" s="242" t="str">
        <f t="shared" si="17"/>
        <v>Musical64</v>
      </c>
      <c r="D578" s="257" t="s">
        <v>499</v>
      </c>
      <c r="E578" s="2487" t="s">
        <v>50</v>
      </c>
      <c r="F578" s="2487">
        <v>64</v>
      </c>
      <c r="G578" s="2489" t="s">
        <v>1241</v>
      </c>
      <c r="H578" s="2489" t="s">
        <v>1095</v>
      </c>
      <c r="I578" s="351" t="s">
        <v>1165</v>
      </c>
      <c r="J578" s="2487">
        <v>8</v>
      </c>
      <c r="K578" s="2487">
        <v>10</v>
      </c>
      <c r="L578" s="2487">
        <v>12</v>
      </c>
      <c r="M578" s="348">
        <v>14</v>
      </c>
      <c r="N578" s="2487">
        <v>120</v>
      </c>
      <c r="O578" s="2487">
        <v>180</v>
      </c>
      <c r="P578" s="2487">
        <v>240</v>
      </c>
      <c r="Q578" s="348">
        <v>300</v>
      </c>
      <c r="R578" s="2487">
        <v>5</v>
      </c>
      <c r="S578" s="2487">
        <v>10</v>
      </c>
      <c r="T578" s="2487">
        <v>15</v>
      </c>
      <c r="U578" s="348">
        <v>20</v>
      </c>
      <c r="V578" s="2485" t="s">
        <v>5046</v>
      </c>
      <c r="W578" s="2485" t="s">
        <v>5047</v>
      </c>
      <c r="X578" s="2485" t="s">
        <v>5048</v>
      </c>
      <c r="Y578" s="2485" t="s">
        <v>5049</v>
      </c>
      <c r="Z578" s="2485" t="s">
        <v>5050</v>
      </c>
      <c r="AA578" s="347"/>
    </row>
    <row r="579" spans="1:27" ht="12.75" customHeight="1">
      <c r="A579" s="8243"/>
      <c r="B579" s="242" t="str">
        <f t="shared" si="17"/>
        <v>Musical74</v>
      </c>
      <c r="D579" s="257" t="s">
        <v>500</v>
      </c>
      <c r="E579" s="2487" t="s">
        <v>50</v>
      </c>
      <c r="F579" s="2487">
        <v>74</v>
      </c>
      <c r="G579" s="2489" t="s">
        <v>1241</v>
      </c>
      <c r="H579" s="2489" t="s">
        <v>1095</v>
      </c>
      <c r="I579" s="351" t="s">
        <v>1165</v>
      </c>
      <c r="J579" s="2487">
        <v>8</v>
      </c>
      <c r="K579" s="2487">
        <v>10</v>
      </c>
      <c r="L579" s="2487">
        <v>12</v>
      </c>
      <c r="M579" s="348">
        <v>14</v>
      </c>
      <c r="N579" s="2487">
        <v>120</v>
      </c>
      <c r="O579" s="2487">
        <v>180</v>
      </c>
      <c r="P579" s="2487">
        <v>240</v>
      </c>
      <c r="Q579" s="348">
        <v>300</v>
      </c>
      <c r="R579" s="2487">
        <v>10</v>
      </c>
      <c r="S579" s="2487">
        <v>15</v>
      </c>
      <c r="T579" s="2487">
        <v>20</v>
      </c>
      <c r="U579" s="348">
        <v>30</v>
      </c>
      <c r="V579" s="2485" t="s">
        <v>4021</v>
      </c>
      <c r="W579" s="2485" t="s">
        <v>3221</v>
      </c>
      <c r="X579" s="2485" t="s">
        <v>3313</v>
      </c>
      <c r="Y579" s="2485" t="s">
        <v>3222</v>
      </c>
      <c r="Z579" s="2485" t="s">
        <v>5051</v>
      </c>
      <c r="AA579" s="347"/>
    </row>
    <row r="580" spans="1:27" ht="12.75" customHeight="1">
      <c r="A580" s="8243"/>
      <c r="B580" s="242" t="str">
        <f t="shared" si="17"/>
        <v>Musical84</v>
      </c>
      <c r="D580" s="257" t="s">
        <v>501</v>
      </c>
      <c r="E580" s="2487" t="s">
        <v>50</v>
      </c>
      <c r="F580" s="2487">
        <v>84</v>
      </c>
      <c r="G580" s="2489" t="s">
        <v>1241</v>
      </c>
      <c r="H580" s="2489" t="s">
        <v>1095</v>
      </c>
      <c r="I580" s="351" t="s">
        <v>1165</v>
      </c>
      <c r="J580" s="2487">
        <v>8</v>
      </c>
      <c r="K580" s="2487">
        <v>10</v>
      </c>
      <c r="L580" s="2487">
        <v>12</v>
      </c>
      <c r="M580" s="348">
        <v>14</v>
      </c>
      <c r="N580" s="2487">
        <v>120</v>
      </c>
      <c r="O580" s="2487">
        <v>180</v>
      </c>
      <c r="P580" s="2487">
        <v>240</v>
      </c>
      <c r="Q580" s="348">
        <v>300</v>
      </c>
      <c r="R580" s="2487">
        <v>5</v>
      </c>
      <c r="S580" s="2487">
        <v>10</v>
      </c>
      <c r="T580" s="2487">
        <v>15</v>
      </c>
      <c r="U580" s="348">
        <v>20</v>
      </c>
      <c r="V580" s="2485" t="s">
        <v>5052</v>
      </c>
      <c r="W580" s="2485" t="s">
        <v>5053</v>
      </c>
      <c r="X580" s="2485" t="s">
        <v>5054</v>
      </c>
      <c r="Y580" s="2485" t="s">
        <v>5055</v>
      </c>
      <c r="Z580" s="2485" t="s">
        <v>5056</v>
      </c>
      <c r="AA580" s="347"/>
    </row>
    <row r="581" spans="1:27" ht="12.75" customHeight="1">
      <c r="A581" s="8243"/>
      <c r="B581" s="242" t="str">
        <f t="shared" si="17"/>
        <v>Musical94</v>
      </c>
      <c r="D581" s="257" t="s">
        <v>502</v>
      </c>
      <c r="E581" s="2487" t="s">
        <v>50</v>
      </c>
      <c r="F581" s="2487">
        <v>94</v>
      </c>
      <c r="G581" s="2489" t="s">
        <v>1241</v>
      </c>
      <c r="H581" s="2489" t="s">
        <v>1096</v>
      </c>
      <c r="I581" s="351" t="s">
        <v>1165</v>
      </c>
      <c r="J581" s="2487">
        <v>8</v>
      </c>
      <c r="K581" s="2487">
        <v>10</v>
      </c>
      <c r="L581" s="2487">
        <v>12</v>
      </c>
      <c r="M581" s="348">
        <v>14</v>
      </c>
      <c r="N581" s="2487">
        <v>300</v>
      </c>
      <c r="O581" s="2487">
        <v>450</v>
      </c>
      <c r="P581" s="2487">
        <v>600</v>
      </c>
      <c r="Q581" s="348">
        <v>800</v>
      </c>
      <c r="R581" s="2487">
        <v>5</v>
      </c>
      <c r="S581" s="2487">
        <v>10</v>
      </c>
      <c r="T581" s="2487">
        <v>15</v>
      </c>
      <c r="U581" s="348">
        <v>20</v>
      </c>
      <c r="V581" s="2485" t="s">
        <v>3750</v>
      </c>
      <c r="W581" s="2485" t="s">
        <v>5057</v>
      </c>
      <c r="X581" s="2485" t="s">
        <v>5058</v>
      </c>
      <c r="Y581" s="2485" t="s">
        <v>5059</v>
      </c>
      <c r="Z581" s="2485" t="s">
        <v>5060</v>
      </c>
      <c r="AA581" s="347"/>
    </row>
    <row r="582" spans="1:27" ht="12.75" customHeight="1">
      <c r="A582" s="8243"/>
      <c r="B582" s="242" t="str">
        <f t="shared" si="17"/>
        <v/>
      </c>
      <c r="D582" s="257" t="s">
        <v>503</v>
      </c>
      <c r="E582" s="2487"/>
      <c r="F582" s="2487"/>
      <c r="G582" s="2489"/>
      <c r="H582" s="2489"/>
      <c r="I582" s="351"/>
      <c r="J582" s="2487"/>
      <c r="K582" s="2487"/>
      <c r="L582" s="2487"/>
      <c r="M582" s="348"/>
      <c r="N582" s="2487"/>
      <c r="O582" s="2487"/>
      <c r="P582" s="2487"/>
      <c r="Q582" s="348"/>
      <c r="R582" s="2487"/>
      <c r="S582" s="2487"/>
      <c r="T582" s="2487"/>
      <c r="U582" s="348"/>
      <c r="V582" s="2485"/>
      <c r="W582" s="2485"/>
      <c r="X582" s="2485"/>
      <c r="Y582" s="2485"/>
      <c r="Z582" s="2485"/>
      <c r="AA582" s="347"/>
    </row>
    <row r="583" spans="1:27" ht="12.75" customHeight="1">
      <c r="A583" s="8243"/>
      <c r="B583" s="242" t="str">
        <f t="shared" si="17"/>
        <v>Nobleza4</v>
      </c>
      <c r="D583" s="257" t="s">
        <v>504</v>
      </c>
      <c r="E583" s="2487" t="s">
        <v>51</v>
      </c>
      <c r="F583" s="2487">
        <v>4</v>
      </c>
      <c r="G583" s="2489" t="s">
        <v>2422</v>
      </c>
      <c r="H583" s="2489" t="s">
        <v>1095</v>
      </c>
      <c r="I583" s="351" t="s">
        <v>1165</v>
      </c>
      <c r="J583" s="2487">
        <v>5</v>
      </c>
      <c r="K583" s="2487">
        <v>8</v>
      </c>
      <c r="L583" s="2487">
        <v>10</v>
      </c>
      <c r="M583" s="348">
        <v>12</v>
      </c>
      <c r="N583" s="2487">
        <v>30</v>
      </c>
      <c r="O583" s="2487">
        <v>50</v>
      </c>
      <c r="P583" s="2487">
        <v>80</v>
      </c>
      <c r="Q583" s="348">
        <v>120</v>
      </c>
      <c r="R583" s="2487">
        <v>5</v>
      </c>
      <c r="S583" s="2487">
        <v>5</v>
      </c>
      <c r="T583" s="2487">
        <v>5</v>
      </c>
      <c r="U583" s="348">
        <v>10</v>
      </c>
      <c r="V583" s="2485" t="s">
        <v>3696</v>
      </c>
      <c r="W583" s="2485" t="s">
        <v>5061</v>
      </c>
      <c r="X583" s="2485" t="s">
        <v>5062</v>
      </c>
      <c r="Y583" s="2485" t="s">
        <v>5063</v>
      </c>
      <c r="Z583" s="2485" t="s">
        <v>5064</v>
      </c>
      <c r="AA583" s="347"/>
    </row>
    <row r="584" spans="1:27" ht="12.75" customHeight="1">
      <c r="A584" s="8243"/>
      <c r="B584" s="242" t="str">
        <f t="shared" ref="B584:B647" si="18">E584&amp;F584</f>
        <v>Nobleza14</v>
      </c>
      <c r="D584" s="257" t="s">
        <v>505</v>
      </c>
      <c r="E584" s="2487" t="s">
        <v>51</v>
      </c>
      <c r="F584" s="2487">
        <v>14</v>
      </c>
      <c r="G584" s="2489" t="s">
        <v>2422</v>
      </c>
      <c r="H584" s="2489" t="s">
        <v>5065</v>
      </c>
      <c r="I584" s="351" t="s">
        <v>1165</v>
      </c>
      <c r="J584" s="2487">
        <v>5</v>
      </c>
      <c r="K584" s="2487">
        <v>8</v>
      </c>
      <c r="L584" s="2487">
        <v>10</v>
      </c>
      <c r="M584" s="348">
        <v>12</v>
      </c>
      <c r="N584" s="2487">
        <v>40</v>
      </c>
      <c r="O584" s="2487">
        <v>60</v>
      </c>
      <c r="P584" s="2487">
        <v>90</v>
      </c>
      <c r="Q584" s="348">
        <v>120</v>
      </c>
      <c r="R584" s="2487">
        <v>5</v>
      </c>
      <c r="S584" s="2487">
        <v>5</v>
      </c>
      <c r="T584" s="2487">
        <v>5</v>
      </c>
      <c r="U584" s="348">
        <v>10</v>
      </c>
      <c r="V584" s="2485" t="s">
        <v>5066</v>
      </c>
      <c r="W584" s="2485" t="s">
        <v>9966</v>
      </c>
      <c r="X584" s="2485" t="s">
        <v>9967</v>
      </c>
      <c r="Y584" s="2485" t="s">
        <v>5067</v>
      </c>
      <c r="Z584" s="2485" t="s">
        <v>5068</v>
      </c>
      <c r="AA584" s="347"/>
    </row>
    <row r="585" spans="1:27" ht="12.75" customHeight="1">
      <c r="A585" s="8243"/>
      <c r="B585" s="242" t="str">
        <f t="shared" si="18"/>
        <v>Nobleza24</v>
      </c>
      <c r="D585" s="257" t="s">
        <v>506</v>
      </c>
      <c r="E585" s="2487" t="s">
        <v>51</v>
      </c>
      <c r="F585" s="2487">
        <v>24</v>
      </c>
      <c r="G585" s="2489" t="s">
        <v>1241</v>
      </c>
      <c r="H585" s="2489" t="s">
        <v>1095</v>
      </c>
      <c r="I585" s="351" t="s">
        <v>1165</v>
      </c>
      <c r="J585" s="2487">
        <v>6</v>
      </c>
      <c r="K585" s="2487">
        <v>9</v>
      </c>
      <c r="L585" s="2487">
        <v>11</v>
      </c>
      <c r="M585" s="348">
        <v>13</v>
      </c>
      <c r="N585" s="2487">
        <v>60</v>
      </c>
      <c r="O585" s="2487">
        <v>90</v>
      </c>
      <c r="P585" s="2487">
        <v>120</v>
      </c>
      <c r="Q585" s="348">
        <v>150</v>
      </c>
      <c r="R585" s="2487" t="s">
        <v>1241</v>
      </c>
      <c r="S585" s="2487" t="s">
        <v>1241</v>
      </c>
      <c r="T585" s="2487" t="s">
        <v>1241</v>
      </c>
      <c r="U585" s="348" t="s">
        <v>1241</v>
      </c>
      <c r="V585" s="2485" t="s">
        <v>5069</v>
      </c>
      <c r="W585" s="2485" t="s">
        <v>5070</v>
      </c>
      <c r="X585" s="2485" t="s">
        <v>5071</v>
      </c>
      <c r="Y585" s="2485" t="s">
        <v>5072</v>
      </c>
      <c r="Z585" s="2485" t="s">
        <v>5073</v>
      </c>
      <c r="AA585" s="347"/>
    </row>
    <row r="586" spans="1:27" ht="12.75" customHeight="1">
      <c r="A586" s="8243"/>
      <c r="B586" s="242" t="str">
        <f t="shared" si="18"/>
        <v>Nobleza34</v>
      </c>
      <c r="D586" s="257" t="s">
        <v>507</v>
      </c>
      <c r="E586" s="2487" t="s">
        <v>51</v>
      </c>
      <c r="F586" s="2487">
        <v>34</v>
      </c>
      <c r="G586" s="2489" t="s">
        <v>2422</v>
      </c>
      <c r="H586" s="2489" t="s">
        <v>1095</v>
      </c>
      <c r="I586" s="351" t="s">
        <v>1165</v>
      </c>
      <c r="J586" s="2487">
        <v>6</v>
      </c>
      <c r="K586" s="2487">
        <v>9</v>
      </c>
      <c r="L586" s="2487">
        <v>11</v>
      </c>
      <c r="M586" s="348">
        <v>13</v>
      </c>
      <c r="N586" s="2487">
        <v>60</v>
      </c>
      <c r="O586" s="2487">
        <v>90</v>
      </c>
      <c r="P586" s="2487">
        <v>120</v>
      </c>
      <c r="Q586" s="348">
        <v>150</v>
      </c>
      <c r="R586" s="2487">
        <v>5</v>
      </c>
      <c r="S586" s="2487">
        <v>5</v>
      </c>
      <c r="T586" s="2487">
        <v>5</v>
      </c>
      <c r="U586" s="348">
        <v>10</v>
      </c>
      <c r="V586" s="2485" t="s">
        <v>3696</v>
      </c>
      <c r="W586" s="2485" t="s">
        <v>5074</v>
      </c>
      <c r="X586" s="2485" t="s">
        <v>5075</v>
      </c>
      <c r="Y586" s="2485" t="s">
        <v>5076</v>
      </c>
      <c r="Z586" s="2485" t="s">
        <v>9624</v>
      </c>
      <c r="AA586" s="347"/>
    </row>
    <row r="587" spans="1:27" ht="12.75" customHeight="1">
      <c r="A587" s="8243"/>
      <c r="B587" s="242" t="str">
        <f t="shared" si="18"/>
        <v>Nobleza44</v>
      </c>
      <c r="D587" s="257" t="s">
        <v>508</v>
      </c>
      <c r="E587" s="2487" t="s">
        <v>51</v>
      </c>
      <c r="F587" s="2487">
        <v>44</v>
      </c>
      <c r="G587" s="2489" t="s">
        <v>1241</v>
      </c>
      <c r="H587" s="2489" t="s">
        <v>1096</v>
      </c>
      <c r="I587" s="351" t="s">
        <v>1165</v>
      </c>
      <c r="J587" s="2487">
        <v>7</v>
      </c>
      <c r="K587" s="2487">
        <v>10</v>
      </c>
      <c r="L587" s="2487">
        <v>12</v>
      </c>
      <c r="M587" s="348">
        <v>14</v>
      </c>
      <c r="N587" s="2487">
        <v>80</v>
      </c>
      <c r="O587" s="2487">
        <v>100</v>
      </c>
      <c r="P587" s="2487">
        <v>120</v>
      </c>
      <c r="Q587" s="348">
        <v>140</v>
      </c>
      <c r="R587" s="2487" t="s">
        <v>1241</v>
      </c>
      <c r="S587" s="2487" t="s">
        <v>1241</v>
      </c>
      <c r="T587" s="2487" t="s">
        <v>1241</v>
      </c>
      <c r="U587" s="348" t="s">
        <v>1241</v>
      </c>
      <c r="V587" s="2485" t="s">
        <v>5077</v>
      </c>
      <c r="W587" s="2485" t="s">
        <v>5078</v>
      </c>
      <c r="X587" s="2485" t="s">
        <v>5079</v>
      </c>
      <c r="Y587" s="2485" t="s">
        <v>5080</v>
      </c>
      <c r="Z587" s="2485" t="s">
        <v>5081</v>
      </c>
      <c r="AA587" s="347"/>
    </row>
    <row r="588" spans="1:27" ht="12.75" customHeight="1">
      <c r="A588" s="8243"/>
      <c r="B588" s="242" t="str">
        <f t="shared" si="18"/>
        <v>Nobleza54</v>
      </c>
      <c r="D588" s="257" t="s">
        <v>509</v>
      </c>
      <c r="E588" s="2487" t="s">
        <v>51</v>
      </c>
      <c r="F588" s="2487">
        <v>54</v>
      </c>
      <c r="G588" s="2489" t="s">
        <v>1241</v>
      </c>
      <c r="H588" s="2489" t="s">
        <v>1096</v>
      </c>
      <c r="I588" s="351" t="s">
        <v>1165</v>
      </c>
      <c r="J588" s="2487">
        <v>7</v>
      </c>
      <c r="K588" s="2487">
        <v>10</v>
      </c>
      <c r="L588" s="2487">
        <v>12</v>
      </c>
      <c r="M588" s="348">
        <v>14</v>
      </c>
      <c r="N588" s="2487">
        <v>80</v>
      </c>
      <c r="O588" s="2487">
        <v>100</v>
      </c>
      <c r="P588" s="2487">
        <v>120</v>
      </c>
      <c r="Q588" s="348">
        <v>150</v>
      </c>
      <c r="R588" s="2487">
        <v>10</v>
      </c>
      <c r="S588" s="2487">
        <v>10</v>
      </c>
      <c r="T588" s="2487">
        <v>15</v>
      </c>
      <c r="U588" s="348">
        <v>15</v>
      </c>
      <c r="V588" s="2485" t="s">
        <v>5077</v>
      </c>
      <c r="W588" s="2485" t="s">
        <v>5078</v>
      </c>
      <c r="X588" s="2485" t="s">
        <v>5079</v>
      </c>
      <c r="Y588" s="2485" t="s">
        <v>5080</v>
      </c>
      <c r="Z588" s="2485" t="s">
        <v>5082</v>
      </c>
      <c r="AA588" s="347"/>
    </row>
    <row r="589" spans="1:27" ht="12.75" customHeight="1">
      <c r="A589" s="8243"/>
      <c r="B589" s="242" t="str">
        <f t="shared" si="18"/>
        <v>Nobleza64</v>
      </c>
      <c r="D589" s="257" t="s">
        <v>510</v>
      </c>
      <c r="E589" s="2487" t="s">
        <v>51</v>
      </c>
      <c r="F589" s="2487">
        <v>64</v>
      </c>
      <c r="G589" s="2489" t="s">
        <v>2422</v>
      </c>
      <c r="H589" s="2489" t="s">
        <v>1096</v>
      </c>
      <c r="I589" s="351" t="s">
        <v>1165</v>
      </c>
      <c r="J589" s="2487">
        <v>8</v>
      </c>
      <c r="K589" s="2487">
        <v>11</v>
      </c>
      <c r="L589" s="2487">
        <v>13</v>
      </c>
      <c r="M589" s="348">
        <v>15</v>
      </c>
      <c r="N589" s="2487">
        <v>100</v>
      </c>
      <c r="O589" s="2487">
        <v>150</v>
      </c>
      <c r="P589" s="2487">
        <v>200</v>
      </c>
      <c r="Q589" s="348">
        <v>250</v>
      </c>
      <c r="R589" s="2487">
        <v>5</v>
      </c>
      <c r="S589" s="2487">
        <v>10</v>
      </c>
      <c r="T589" s="2487">
        <v>15</v>
      </c>
      <c r="U589" s="348">
        <v>15</v>
      </c>
      <c r="V589" s="2485" t="s">
        <v>5077</v>
      </c>
      <c r="W589" s="2485" t="s">
        <v>5078</v>
      </c>
      <c r="X589" s="2485" t="s">
        <v>5079</v>
      </c>
      <c r="Y589" s="2485" t="s">
        <v>5080</v>
      </c>
      <c r="Z589" s="2485" t="s">
        <v>5083</v>
      </c>
      <c r="AA589" s="347"/>
    </row>
    <row r="590" spans="1:27" ht="12.75" customHeight="1">
      <c r="A590" s="8243"/>
      <c r="B590" s="242" t="str">
        <f t="shared" si="18"/>
        <v>Nobleza74</v>
      </c>
      <c r="D590" s="257" t="s">
        <v>511</v>
      </c>
      <c r="E590" s="2487" t="s">
        <v>51</v>
      </c>
      <c r="F590" s="2487">
        <v>74</v>
      </c>
      <c r="G590" s="2489" t="s">
        <v>3511</v>
      </c>
      <c r="H590" s="2489" t="s">
        <v>1096</v>
      </c>
      <c r="I590" s="351" t="s">
        <v>1165</v>
      </c>
      <c r="J590" s="2487">
        <v>9</v>
      </c>
      <c r="K590" s="2487">
        <v>12</v>
      </c>
      <c r="L590" s="2487">
        <v>14</v>
      </c>
      <c r="M590" s="348">
        <v>16</v>
      </c>
      <c r="N590" s="2487">
        <v>120</v>
      </c>
      <c r="O590" s="2487">
        <v>150</v>
      </c>
      <c r="P590" s="2487">
        <v>200</v>
      </c>
      <c r="Q590" s="348">
        <v>250</v>
      </c>
      <c r="R590" s="2487">
        <v>10</v>
      </c>
      <c r="S590" s="2487">
        <v>10</v>
      </c>
      <c r="T590" s="2487">
        <v>15</v>
      </c>
      <c r="U590" s="348">
        <v>20</v>
      </c>
      <c r="V590" s="2485" t="s">
        <v>5084</v>
      </c>
      <c r="W590" s="2485" t="s">
        <v>5085</v>
      </c>
      <c r="X590" s="2485" t="s">
        <v>5086</v>
      </c>
      <c r="Y590" s="2485" t="s">
        <v>5087</v>
      </c>
      <c r="Z590" s="2485" t="s">
        <v>5088</v>
      </c>
      <c r="AA590" s="347"/>
    </row>
    <row r="591" spans="1:27" ht="12.75" customHeight="1">
      <c r="A591" s="8243"/>
      <c r="B591" s="242" t="str">
        <f t="shared" si="18"/>
        <v>Nobleza84</v>
      </c>
      <c r="D591" s="257" t="s">
        <v>512</v>
      </c>
      <c r="E591" s="2487" t="s">
        <v>51</v>
      </c>
      <c r="F591" s="2487">
        <v>84</v>
      </c>
      <c r="G591" s="2489" t="s">
        <v>2422</v>
      </c>
      <c r="H591" s="2489" t="s">
        <v>1095</v>
      </c>
      <c r="I591" s="351" t="s">
        <v>1165</v>
      </c>
      <c r="J591" s="2487">
        <v>9</v>
      </c>
      <c r="K591" s="2487">
        <v>12</v>
      </c>
      <c r="L591" s="2487">
        <v>14</v>
      </c>
      <c r="M591" s="348">
        <v>16</v>
      </c>
      <c r="N591" s="2487">
        <v>120</v>
      </c>
      <c r="O591" s="2487">
        <v>150</v>
      </c>
      <c r="P591" s="2487">
        <v>200</v>
      </c>
      <c r="Q591" s="348">
        <v>250</v>
      </c>
      <c r="R591" s="2487">
        <v>15</v>
      </c>
      <c r="S591" s="2487">
        <v>15</v>
      </c>
      <c r="T591" s="2487">
        <v>20</v>
      </c>
      <c r="U591" s="348">
        <v>25</v>
      </c>
      <c r="V591" s="2485" t="s">
        <v>5089</v>
      </c>
      <c r="W591" s="2485" t="s">
        <v>5090</v>
      </c>
      <c r="X591" s="2485" t="s">
        <v>5091</v>
      </c>
      <c r="Y591" s="2485" t="s">
        <v>5092</v>
      </c>
      <c r="Z591" s="2485" t="s">
        <v>5093</v>
      </c>
      <c r="AA591" s="347"/>
    </row>
    <row r="592" spans="1:27" ht="12.75" customHeight="1">
      <c r="A592" s="8243"/>
      <c r="B592" s="242" t="str">
        <f t="shared" si="18"/>
        <v>Nobleza94</v>
      </c>
      <c r="D592" s="257" t="s">
        <v>513</v>
      </c>
      <c r="E592" s="2487" t="s">
        <v>51</v>
      </c>
      <c r="F592" s="2487">
        <v>94</v>
      </c>
      <c r="G592" s="2489" t="s">
        <v>2422</v>
      </c>
      <c r="H592" s="2489" t="s">
        <v>1095</v>
      </c>
      <c r="I592" s="351" t="s">
        <v>1165</v>
      </c>
      <c r="J592" s="2487">
        <v>9</v>
      </c>
      <c r="K592" s="2487">
        <v>12</v>
      </c>
      <c r="L592" s="2487">
        <v>14</v>
      </c>
      <c r="M592" s="348">
        <v>16</v>
      </c>
      <c r="N592" s="2487">
        <v>120</v>
      </c>
      <c r="O592" s="2487">
        <v>150</v>
      </c>
      <c r="P592" s="2487">
        <v>200</v>
      </c>
      <c r="Q592" s="348">
        <v>250</v>
      </c>
      <c r="R592" s="2487">
        <v>10</v>
      </c>
      <c r="S592" s="2487">
        <v>10</v>
      </c>
      <c r="T592" s="2487">
        <v>15</v>
      </c>
      <c r="U592" s="348">
        <v>20</v>
      </c>
      <c r="V592" s="2485" t="s">
        <v>5094</v>
      </c>
      <c r="W592" s="2485" t="s">
        <v>5095</v>
      </c>
      <c r="X592" s="2485" t="s">
        <v>5096</v>
      </c>
      <c r="Y592" s="2485" t="s">
        <v>5097</v>
      </c>
      <c r="Z592" s="2485" t="s">
        <v>5098</v>
      </c>
      <c r="AA592" s="347"/>
    </row>
    <row r="593" spans="1:27" ht="12.75" customHeight="1">
      <c r="A593" s="8243"/>
      <c r="B593" s="242" t="str">
        <f t="shared" si="18"/>
        <v/>
      </c>
      <c r="D593" s="257" t="s">
        <v>514</v>
      </c>
      <c r="E593" s="2487"/>
      <c r="F593" s="2487"/>
      <c r="G593" s="2489"/>
      <c r="H593" s="2489"/>
      <c r="I593" s="351"/>
      <c r="J593" s="2487"/>
      <c r="K593" s="2487"/>
      <c r="L593" s="2487"/>
      <c r="M593" s="348"/>
      <c r="N593" s="2487"/>
      <c r="O593" s="2487"/>
      <c r="P593" s="2487"/>
      <c r="Q593" s="348"/>
      <c r="R593" s="2487"/>
      <c r="S593" s="2487"/>
      <c r="T593" s="2487"/>
      <c r="U593" s="348"/>
      <c r="V593" s="2485"/>
      <c r="W593" s="2485"/>
      <c r="X593" s="2485"/>
      <c r="Y593" s="2485"/>
      <c r="Z593" s="2485"/>
      <c r="AA593" s="347"/>
    </row>
    <row r="594" spans="1:27" ht="12.75" customHeight="1">
      <c r="A594" s="8243"/>
      <c r="B594" s="242" t="str">
        <f t="shared" si="18"/>
        <v>Paz4</v>
      </c>
      <c r="D594" s="257" t="s">
        <v>515</v>
      </c>
      <c r="E594" s="2487" t="s">
        <v>52</v>
      </c>
      <c r="F594" s="2487">
        <v>4</v>
      </c>
      <c r="G594" s="2489" t="s">
        <v>1241</v>
      </c>
      <c r="H594" s="2489" t="s">
        <v>1424</v>
      </c>
      <c r="I594" s="351" t="s">
        <v>1166</v>
      </c>
      <c r="J594" s="2487">
        <v>6</v>
      </c>
      <c r="K594" s="2487">
        <v>8</v>
      </c>
      <c r="L594" s="2487">
        <v>10</v>
      </c>
      <c r="M594" s="348">
        <v>14</v>
      </c>
      <c r="N594" s="2487">
        <v>50</v>
      </c>
      <c r="O594" s="2487">
        <v>100</v>
      </c>
      <c r="P594" s="2487">
        <v>160</v>
      </c>
      <c r="Q594" s="348">
        <v>240</v>
      </c>
      <c r="R594" s="2487">
        <v>5</v>
      </c>
      <c r="S594" s="2487">
        <v>15</v>
      </c>
      <c r="T594" s="2487">
        <v>20</v>
      </c>
      <c r="U594" s="348">
        <v>25</v>
      </c>
      <c r="V594" s="2485" t="s">
        <v>5099</v>
      </c>
      <c r="W594" s="2485" t="s">
        <v>5100</v>
      </c>
      <c r="X594" s="2485" t="s">
        <v>5101</v>
      </c>
      <c r="Y594" s="2485" t="s">
        <v>5102</v>
      </c>
      <c r="Z594" s="2485" t="s">
        <v>5103</v>
      </c>
      <c r="AA594" s="347"/>
    </row>
    <row r="595" spans="1:27" ht="12.75" customHeight="1">
      <c r="A595" s="8243"/>
      <c r="B595" s="242" t="str">
        <f t="shared" si="18"/>
        <v>Paz14</v>
      </c>
      <c r="D595" s="257" t="s">
        <v>516</v>
      </c>
      <c r="E595" s="2487" t="s">
        <v>52</v>
      </c>
      <c r="F595" s="2487">
        <v>14</v>
      </c>
      <c r="G595" s="2489" t="s">
        <v>2422</v>
      </c>
      <c r="H595" s="2489" t="s">
        <v>1095</v>
      </c>
      <c r="I595" s="351" t="s">
        <v>1166</v>
      </c>
      <c r="J595" s="2487">
        <v>6</v>
      </c>
      <c r="K595" s="2487">
        <v>9</v>
      </c>
      <c r="L595" s="2487">
        <v>12</v>
      </c>
      <c r="M595" s="348">
        <v>15</v>
      </c>
      <c r="N595" s="2487">
        <v>120</v>
      </c>
      <c r="O595" s="2487">
        <v>180</v>
      </c>
      <c r="P595" s="2487">
        <v>240</v>
      </c>
      <c r="Q595" s="348">
        <v>300</v>
      </c>
      <c r="R595" s="2487">
        <v>15</v>
      </c>
      <c r="S595" s="2487">
        <v>20</v>
      </c>
      <c r="T595" s="2487">
        <v>25</v>
      </c>
      <c r="U595" s="348">
        <v>30</v>
      </c>
      <c r="V595" s="2485" t="s">
        <v>5104</v>
      </c>
      <c r="W595" s="2485" t="s">
        <v>5105</v>
      </c>
      <c r="X595" s="2485" t="s">
        <v>5106</v>
      </c>
      <c r="Y595" s="2485" t="s">
        <v>5107</v>
      </c>
      <c r="Z595" s="2485" t="s">
        <v>5108</v>
      </c>
      <c r="AA595" s="347"/>
    </row>
    <row r="596" spans="1:27" ht="12.75" customHeight="1">
      <c r="A596" s="8243"/>
      <c r="B596" s="242" t="str">
        <f t="shared" si="18"/>
        <v>Paz24</v>
      </c>
      <c r="D596" s="257" t="s">
        <v>517</v>
      </c>
      <c r="E596" s="2487" t="s">
        <v>52</v>
      </c>
      <c r="F596" s="2487">
        <v>24</v>
      </c>
      <c r="G596" s="2489" t="s">
        <v>1241</v>
      </c>
      <c r="H596" s="2489" t="s">
        <v>1095</v>
      </c>
      <c r="I596" s="351" t="s">
        <v>1165</v>
      </c>
      <c r="J596" s="2487">
        <v>6</v>
      </c>
      <c r="K596" s="2487">
        <v>8</v>
      </c>
      <c r="L596" s="2487">
        <v>10</v>
      </c>
      <c r="M596" s="348">
        <v>12</v>
      </c>
      <c r="N596" s="2487">
        <v>60</v>
      </c>
      <c r="O596" s="2487">
        <v>100</v>
      </c>
      <c r="P596" s="2487">
        <v>140</v>
      </c>
      <c r="Q596" s="348">
        <v>200</v>
      </c>
      <c r="R596" s="2487">
        <v>10</v>
      </c>
      <c r="S596" s="2487">
        <v>10</v>
      </c>
      <c r="T596" s="2487">
        <v>15</v>
      </c>
      <c r="U596" s="348">
        <v>20</v>
      </c>
      <c r="V596" s="2485" t="s">
        <v>5109</v>
      </c>
      <c r="W596" s="2485" t="s">
        <v>5110</v>
      </c>
      <c r="X596" s="2485" t="s">
        <v>5111</v>
      </c>
      <c r="Y596" s="2485" t="s">
        <v>5112</v>
      </c>
      <c r="Z596" s="2485" t="s">
        <v>5113</v>
      </c>
      <c r="AA596" s="347"/>
    </row>
    <row r="597" spans="1:27" ht="12.75" customHeight="1">
      <c r="A597" s="8243"/>
      <c r="B597" s="242" t="str">
        <f t="shared" si="18"/>
        <v>Paz34</v>
      </c>
      <c r="D597" s="257" t="s">
        <v>518</v>
      </c>
      <c r="E597" s="2487" t="s">
        <v>52</v>
      </c>
      <c r="F597" s="2487">
        <v>34</v>
      </c>
      <c r="G597" s="2489" t="s">
        <v>1241</v>
      </c>
      <c r="H597" s="2489" t="s">
        <v>1097</v>
      </c>
      <c r="I597" s="351" t="s">
        <v>1165</v>
      </c>
      <c r="J597" s="2487">
        <v>8</v>
      </c>
      <c r="K597" s="2487">
        <v>10</v>
      </c>
      <c r="L597" s="2487">
        <v>12</v>
      </c>
      <c r="M597" s="348">
        <v>14</v>
      </c>
      <c r="N597" s="2487">
        <v>80</v>
      </c>
      <c r="O597" s="2487">
        <v>100</v>
      </c>
      <c r="P597" s="2487">
        <v>120</v>
      </c>
      <c r="Q597" s="348">
        <v>140</v>
      </c>
      <c r="R597" s="2487">
        <v>10</v>
      </c>
      <c r="S597" s="2487">
        <v>10</v>
      </c>
      <c r="T597" s="2487">
        <v>15</v>
      </c>
      <c r="U597" s="348">
        <v>15</v>
      </c>
      <c r="V597" s="2485" t="s">
        <v>5114</v>
      </c>
      <c r="W597" s="2485" t="s">
        <v>5115</v>
      </c>
      <c r="X597" s="2485" t="s">
        <v>5116</v>
      </c>
      <c r="Y597" s="2485" t="s">
        <v>5117</v>
      </c>
      <c r="Z597" s="2485" t="s">
        <v>5118</v>
      </c>
      <c r="AA597" s="347"/>
    </row>
    <row r="598" spans="1:27" ht="12.75" customHeight="1">
      <c r="A598" s="8243"/>
      <c r="B598" s="242" t="str">
        <f t="shared" si="18"/>
        <v>Paz44</v>
      </c>
      <c r="D598" s="257" t="s">
        <v>519</v>
      </c>
      <c r="E598" s="2487" t="s">
        <v>52</v>
      </c>
      <c r="F598" s="2487">
        <v>44</v>
      </c>
      <c r="G598" s="2489" t="s">
        <v>2422</v>
      </c>
      <c r="H598" s="2489" t="s">
        <v>1096</v>
      </c>
      <c r="I598" s="351" t="s">
        <v>1165</v>
      </c>
      <c r="J598" s="2487">
        <v>8</v>
      </c>
      <c r="K598" s="2487">
        <v>10</v>
      </c>
      <c r="L598" s="2487">
        <v>12</v>
      </c>
      <c r="M598" s="348">
        <v>14</v>
      </c>
      <c r="N598" s="2487">
        <v>160</v>
      </c>
      <c r="O598" s="2487">
        <v>220</v>
      </c>
      <c r="P598" s="2487">
        <v>280</v>
      </c>
      <c r="Q598" s="348">
        <v>300</v>
      </c>
      <c r="R598" s="2487">
        <v>20</v>
      </c>
      <c r="S598" s="2487">
        <v>25</v>
      </c>
      <c r="T598" s="2487">
        <v>30</v>
      </c>
      <c r="U598" s="348">
        <v>30</v>
      </c>
      <c r="V598" s="2485" t="s">
        <v>5114</v>
      </c>
      <c r="W598" s="2485" t="s">
        <v>5115</v>
      </c>
      <c r="X598" s="2485" t="s">
        <v>5116</v>
      </c>
      <c r="Y598" s="2485" t="s">
        <v>5117</v>
      </c>
      <c r="Z598" s="2485" t="s">
        <v>5119</v>
      </c>
      <c r="AA598" s="347"/>
    </row>
    <row r="599" spans="1:27" ht="12.75" customHeight="1">
      <c r="A599" s="8243"/>
      <c r="B599" s="242" t="str">
        <f t="shared" si="18"/>
        <v>Paz54</v>
      </c>
      <c r="D599" s="257" t="s">
        <v>13016</v>
      </c>
      <c r="E599" s="2487" t="s">
        <v>52</v>
      </c>
      <c r="F599" s="2487">
        <v>54</v>
      </c>
      <c r="G599" s="2489" t="s">
        <v>1241</v>
      </c>
      <c r="H599" s="2489" t="s">
        <v>1096</v>
      </c>
      <c r="I599" s="351" t="s">
        <v>1166</v>
      </c>
      <c r="J599" s="2487">
        <v>8</v>
      </c>
      <c r="K599" s="2487">
        <v>10</v>
      </c>
      <c r="L599" s="2487">
        <v>12</v>
      </c>
      <c r="M599" s="348">
        <v>14</v>
      </c>
      <c r="N599" s="2487">
        <v>100</v>
      </c>
      <c r="O599" s="2487">
        <v>180</v>
      </c>
      <c r="P599" s="2487">
        <v>260</v>
      </c>
      <c r="Q599" s="348">
        <v>340</v>
      </c>
      <c r="R599" s="2487" t="s">
        <v>1241</v>
      </c>
      <c r="S599" s="2487" t="s">
        <v>1241</v>
      </c>
      <c r="T599" s="2487" t="s">
        <v>1241</v>
      </c>
      <c r="U599" s="348" t="s">
        <v>1241</v>
      </c>
      <c r="V599" s="2485" t="s">
        <v>3390</v>
      </c>
      <c r="W599" s="2485" t="s">
        <v>3295</v>
      </c>
      <c r="X599" s="2485" t="s">
        <v>3296</v>
      </c>
      <c r="Y599" s="2485" t="s">
        <v>3297</v>
      </c>
      <c r="Z599" s="2485" t="s">
        <v>13017</v>
      </c>
      <c r="AA599" s="347"/>
    </row>
    <row r="600" spans="1:27" ht="12.75" customHeight="1">
      <c r="A600" s="8243"/>
      <c r="B600" s="242" t="str">
        <f t="shared" si="18"/>
        <v>Paz64</v>
      </c>
      <c r="D600" s="257" t="s">
        <v>520</v>
      </c>
      <c r="E600" s="2487" t="s">
        <v>52</v>
      </c>
      <c r="F600" s="2487">
        <v>64</v>
      </c>
      <c r="G600" s="2489" t="s">
        <v>1241</v>
      </c>
      <c r="H600" s="2489" t="s">
        <v>1095</v>
      </c>
      <c r="I600" s="351" t="s">
        <v>1165</v>
      </c>
      <c r="J600" s="2487">
        <v>6</v>
      </c>
      <c r="K600" s="2487">
        <v>9</v>
      </c>
      <c r="L600" s="2487">
        <v>12</v>
      </c>
      <c r="M600" s="348">
        <v>15</v>
      </c>
      <c r="N600" s="2487">
        <v>50</v>
      </c>
      <c r="O600" s="2487">
        <v>80</v>
      </c>
      <c r="P600" s="2487">
        <v>110</v>
      </c>
      <c r="Q600" s="348">
        <v>140</v>
      </c>
      <c r="R600" s="2487">
        <v>10</v>
      </c>
      <c r="S600" s="2487">
        <v>10</v>
      </c>
      <c r="T600" s="2487">
        <v>15</v>
      </c>
      <c r="U600" s="348">
        <v>15</v>
      </c>
      <c r="V600" s="2485" t="s">
        <v>5120</v>
      </c>
      <c r="W600" s="2485" t="s">
        <v>5121</v>
      </c>
      <c r="X600" s="2485" t="s">
        <v>5122</v>
      </c>
      <c r="Y600" s="2485" t="s">
        <v>5123</v>
      </c>
      <c r="Z600" s="2485" t="s">
        <v>5124</v>
      </c>
      <c r="AA600" s="347"/>
    </row>
    <row r="601" spans="1:27" ht="12.75" customHeight="1">
      <c r="A601" s="8243"/>
      <c r="B601" s="242" t="str">
        <f t="shared" si="18"/>
        <v>Paz74</v>
      </c>
      <c r="D601" s="257" t="s">
        <v>521</v>
      </c>
      <c r="E601" s="2487" t="s">
        <v>52</v>
      </c>
      <c r="F601" s="2487">
        <v>74</v>
      </c>
      <c r="G601" s="2489" t="s">
        <v>1241</v>
      </c>
      <c r="H601" s="2489" t="s">
        <v>1424</v>
      </c>
      <c r="I601" s="351" t="s">
        <v>1166</v>
      </c>
      <c r="J601" s="2487">
        <v>9</v>
      </c>
      <c r="K601" s="2487">
        <v>11</v>
      </c>
      <c r="L601" s="2487">
        <v>13</v>
      </c>
      <c r="M601" s="348">
        <v>15</v>
      </c>
      <c r="N601" s="2487">
        <v>150</v>
      </c>
      <c r="O601" s="2487">
        <v>250</v>
      </c>
      <c r="P601" s="2487">
        <v>350</v>
      </c>
      <c r="Q601" s="348">
        <v>450</v>
      </c>
      <c r="R601" s="2487">
        <v>15</v>
      </c>
      <c r="S601" s="2487">
        <v>25</v>
      </c>
      <c r="T601" s="2487">
        <v>35</v>
      </c>
      <c r="U601" s="348">
        <v>45</v>
      </c>
      <c r="V601" s="2485" t="s">
        <v>5125</v>
      </c>
      <c r="W601" s="2485" t="s">
        <v>5126</v>
      </c>
      <c r="X601" s="2485" t="s">
        <v>5127</v>
      </c>
      <c r="Y601" s="2485" t="s">
        <v>5128</v>
      </c>
      <c r="Z601" s="2485" t="s">
        <v>5129</v>
      </c>
      <c r="AA601" s="347"/>
    </row>
    <row r="602" spans="1:27" ht="12.75" customHeight="1">
      <c r="A602" s="8243"/>
      <c r="B602" s="242" t="str">
        <f t="shared" si="18"/>
        <v>Paz84</v>
      </c>
      <c r="D602" s="257" t="s">
        <v>522</v>
      </c>
      <c r="E602" s="2487" t="s">
        <v>52</v>
      </c>
      <c r="F602" s="2487">
        <v>84</v>
      </c>
      <c r="G602" s="2489" t="s">
        <v>1241</v>
      </c>
      <c r="H602" s="2489" t="s">
        <v>1094</v>
      </c>
      <c r="I602" s="351" t="s">
        <v>1165</v>
      </c>
      <c r="J602" s="2487">
        <v>9</v>
      </c>
      <c r="K602" s="2487">
        <v>11</v>
      </c>
      <c r="L602" s="2487">
        <v>13</v>
      </c>
      <c r="M602" s="348">
        <v>15</v>
      </c>
      <c r="N602" s="2487">
        <v>120</v>
      </c>
      <c r="O602" s="2487">
        <v>180</v>
      </c>
      <c r="P602" s="2487">
        <v>240</v>
      </c>
      <c r="Q602" s="348">
        <v>300</v>
      </c>
      <c r="R602" s="2487" t="s">
        <v>1241</v>
      </c>
      <c r="S602" s="2487" t="s">
        <v>1241</v>
      </c>
      <c r="T602" s="2487" t="s">
        <v>1241</v>
      </c>
      <c r="U602" s="348" t="s">
        <v>1241</v>
      </c>
      <c r="V602" s="2485" t="s">
        <v>3390</v>
      </c>
      <c r="W602" s="2485" t="s">
        <v>3391</v>
      </c>
      <c r="X602" s="2485" t="s">
        <v>3295</v>
      </c>
      <c r="Y602" s="2485" t="s">
        <v>3153</v>
      </c>
      <c r="Z602" s="2485" t="s">
        <v>5130</v>
      </c>
      <c r="AA602" s="347"/>
    </row>
    <row r="603" spans="1:27" ht="12.75" customHeight="1">
      <c r="A603" s="8243"/>
      <c r="B603" s="242" t="str">
        <f t="shared" si="18"/>
        <v>Paz94</v>
      </c>
      <c r="D603" s="257" t="s">
        <v>523</v>
      </c>
      <c r="E603" s="2487" t="s">
        <v>52</v>
      </c>
      <c r="F603" s="2487">
        <v>94</v>
      </c>
      <c r="G603" s="2489" t="s">
        <v>2422</v>
      </c>
      <c r="H603" s="2489" t="s">
        <v>1096</v>
      </c>
      <c r="I603" s="351" t="s">
        <v>1165</v>
      </c>
      <c r="J603" s="2487">
        <v>8</v>
      </c>
      <c r="K603" s="2487">
        <v>10</v>
      </c>
      <c r="L603" s="2487">
        <v>12</v>
      </c>
      <c r="M603" s="348">
        <v>14</v>
      </c>
      <c r="N603" s="2487">
        <v>350</v>
      </c>
      <c r="O603" s="2487">
        <v>600</v>
      </c>
      <c r="P603" s="2487">
        <v>1000</v>
      </c>
      <c r="Q603" s="348">
        <v>1600</v>
      </c>
      <c r="R603" s="2487">
        <v>35</v>
      </c>
      <c r="S603" s="2487">
        <v>60</v>
      </c>
      <c r="T603" s="2487">
        <v>100</v>
      </c>
      <c r="U603" s="348">
        <v>160</v>
      </c>
      <c r="V603" s="2485" t="s">
        <v>9781</v>
      </c>
      <c r="W603" s="2485" t="s">
        <v>9782</v>
      </c>
      <c r="X603" s="2485" t="s">
        <v>9783</v>
      </c>
      <c r="Y603" s="2485" t="s">
        <v>9784</v>
      </c>
      <c r="Z603" s="2485" t="s">
        <v>5131</v>
      </c>
      <c r="AA603" s="347"/>
    </row>
    <row r="604" spans="1:27" ht="12.75" customHeight="1">
      <c r="A604" s="8243"/>
      <c r="B604" s="242" t="str">
        <f t="shared" si="18"/>
        <v/>
      </c>
      <c r="D604" s="257" t="s">
        <v>524</v>
      </c>
      <c r="E604" s="2487"/>
      <c r="F604" s="2487"/>
      <c r="G604" s="2489"/>
      <c r="H604" s="2489"/>
      <c r="I604" s="351"/>
      <c r="J604" s="2487"/>
      <c r="K604" s="2487"/>
      <c r="L604" s="2487"/>
      <c r="M604" s="348"/>
      <c r="N604" s="2487"/>
      <c r="O604" s="2487"/>
      <c r="P604" s="2487"/>
      <c r="Q604" s="348"/>
      <c r="R604" s="2487"/>
      <c r="S604" s="2487"/>
      <c r="T604" s="2487"/>
      <c r="U604" s="348"/>
      <c r="V604" s="2485"/>
      <c r="W604" s="2485"/>
      <c r="X604" s="2485"/>
      <c r="Y604" s="2485"/>
      <c r="Z604" s="2485"/>
      <c r="AA604" s="347"/>
    </row>
    <row r="605" spans="1:27" ht="12.75" customHeight="1">
      <c r="A605" s="8243"/>
      <c r="B605" s="242" t="str">
        <f t="shared" si="18"/>
        <v>Pecado4</v>
      </c>
      <c r="D605" s="257" t="s">
        <v>525</v>
      </c>
      <c r="E605" s="2487" t="s">
        <v>53</v>
      </c>
      <c r="F605" s="2487">
        <v>4</v>
      </c>
      <c r="G605" s="2489" t="s">
        <v>1241</v>
      </c>
      <c r="H605" s="2489" t="s">
        <v>1097</v>
      </c>
      <c r="I605" s="351" t="s">
        <v>1165</v>
      </c>
      <c r="J605" s="2487">
        <v>6</v>
      </c>
      <c r="K605" s="2487">
        <v>8</v>
      </c>
      <c r="L605" s="2487">
        <v>10</v>
      </c>
      <c r="M605" s="348">
        <v>12</v>
      </c>
      <c r="N605" s="2487">
        <v>40</v>
      </c>
      <c r="O605" s="2487">
        <v>60</v>
      </c>
      <c r="P605" s="2487">
        <v>90</v>
      </c>
      <c r="Q605" s="348">
        <v>120</v>
      </c>
      <c r="R605" s="2487" t="s">
        <v>1241</v>
      </c>
      <c r="S605" s="2487" t="s">
        <v>1241</v>
      </c>
      <c r="T605" s="2487" t="s">
        <v>1241</v>
      </c>
      <c r="U605" s="348" t="s">
        <v>1241</v>
      </c>
      <c r="V605" s="2485" t="s">
        <v>3390</v>
      </c>
      <c r="W605" s="2485" t="s">
        <v>3391</v>
      </c>
      <c r="X605" s="2485" t="s">
        <v>3295</v>
      </c>
      <c r="Y605" s="2485" t="s">
        <v>3153</v>
      </c>
      <c r="Z605" s="2485" t="s">
        <v>5132</v>
      </c>
      <c r="AA605" s="347"/>
    </row>
    <row r="606" spans="1:27" ht="12.75" customHeight="1">
      <c r="A606" s="8243"/>
      <c r="B606" s="242" t="str">
        <f t="shared" si="18"/>
        <v>Pecado14</v>
      </c>
      <c r="D606" s="257" t="s">
        <v>526</v>
      </c>
      <c r="E606" s="2487" t="s">
        <v>53</v>
      </c>
      <c r="F606" s="2487">
        <v>14</v>
      </c>
      <c r="G606" s="2489" t="s">
        <v>2422</v>
      </c>
      <c r="H606" s="2489" t="s">
        <v>1094</v>
      </c>
      <c r="I606" s="351" t="s">
        <v>1165</v>
      </c>
      <c r="J606" s="2487">
        <v>6</v>
      </c>
      <c r="K606" s="2487">
        <v>8</v>
      </c>
      <c r="L606" s="2487">
        <v>10</v>
      </c>
      <c r="M606" s="348">
        <v>12</v>
      </c>
      <c r="N606" s="2487">
        <v>50</v>
      </c>
      <c r="O606" s="2487">
        <v>70</v>
      </c>
      <c r="P606" s="2487">
        <v>100</v>
      </c>
      <c r="Q606" s="348">
        <v>140</v>
      </c>
      <c r="R606" s="2487">
        <v>5</v>
      </c>
      <c r="S606" s="2487">
        <v>10</v>
      </c>
      <c r="T606" s="2487">
        <v>10</v>
      </c>
      <c r="U606" s="348">
        <v>15</v>
      </c>
      <c r="V606" s="2485" t="s">
        <v>3390</v>
      </c>
      <c r="W606" s="2485" t="s">
        <v>3391</v>
      </c>
      <c r="X606" s="2485" t="s">
        <v>3295</v>
      </c>
      <c r="Y606" s="2485" t="s">
        <v>3153</v>
      </c>
      <c r="Z606" s="2485" t="s">
        <v>5133</v>
      </c>
      <c r="AA606" s="347"/>
    </row>
    <row r="607" spans="1:27" ht="12.75" customHeight="1">
      <c r="A607" s="8243"/>
      <c r="B607" s="242" t="str">
        <f t="shared" si="18"/>
        <v>Pecado24</v>
      </c>
      <c r="D607" s="257" t="s">
        <v>527</v>
      </c>
      <c r="E607" s="2487" t="s">
        <v>53</v>
      </c>
      <c r="F607" s="2487">
        <v>24</v>
      </c>
      <c r="G607" s="2489" t="s">
        <v>1241</v>
      </c>
      <c r="H607" s="2489" t="s">
        <v>1095</v>
      </c>
      <c r="I607" s="351" t="s">
        <v>1165</v>
      </c>
      <c r="J607" s="2487">
        <v>7</v>
      </c>
      <c r="K607" s="2487">
        <v>9</v>
      </c>
      <c r="L607" s="2487">
        <v>11</v>
      </c>
      <c r="M607" s="348">
        <v>13</v>
      </c>
      <c r="N607" s="2487">
        <v>60</v>
      </c>
      <c r="O607" s="2487">
        <v>100</v>
      </c>
      <c r="P607" s="2487">
        <v>140</v>
      </c>
      <c r="Q607" s="348">
        <v>180</v>
      </c>
      <c r="R607" s="2487">
        <v>5</v>
      </c>
      <c r="S607" s="2487">
        <v>5</v>
      </c>
      <c r="T607" s="2487">
        <v>10</v>
      </c>
      <c r="U607" s="348">
        <v>10</v>
      </c>
      <c r="V607" s="2485" t="s">
        <v>5134</v>
      </c>
      <c r="W607" s="2485" t="s">
        <v>5135</v>
      </c>
      <c r="X607" s="2485" t="s">
        <v>5136</v>
      </c>
      <c r="Y607" s="2485" t="s">
        <v>5137</v>
      </c>
      <c r="Z607" s="2485" t="s">
        <v>5138</v>
      </c>
      <c r="AA607" s="347"/>
    </row>
    <row r="608" spans="1:27" ht="12.75" customHeight="1">
      <c r="A608" s="8243"/>
      <c r="B608" s="242" t="str">
        <f t="shared" si="18"/>
        <v>Pecado34</v>
      </c>
      <c r="D608" s="257" t="s">
        <v>528</v>
      </c>
      <c r="E608" s="2487" t="s">
        <v>53</v>
      </c>
      <c r="F608" s="2487">
        <v>34</v>
      </c>
      <c r="G608" s="2489" t="s">
        <v>1241</v>
      </c>
      <c r="H608" s="2489" t="s">
        <v>1094</v>
      </c>
      <c r="I608" s="351" t="s">
        <v>1165</v>
      </c>
      <c r="J608" s="2487">
        <v>7</v>
      </c>
      <c r="K608" s="2487">
        <v>9</v>
      </c>
      <c r="L608" s="2487">
        <v>11</v>
      </c>
      <c r="M608" s="348">
        <v>13</v>
      </c>
      <c r="N608" s="2487">
        <v>60</v>
      </c>
      <c r="O608" s="2487">
        <v>100</v>
      </c>
      <c r="P608" s="2487">
        <v>120</v>
      </c>
      <c r="Q608" s="348">
        <v>150</v>
      </c>
      <c r="R608" s="2487">
        <v>5</v>
      </c>
      <c r="S608" s="2487">
        <v>5</v>
      </c>
      <c r="T608" s="2487">
        <v>10</v>
      </c>
      <c r="U608" s="348">
        <v>10</v>
      </c>
      <c r="V608" s="2485" t="s">
        <v>3391</v>
      </c>
      <c r="W608" s="2485" t="s">
        <v>3295</v>
      </c>
      <c r="X608" s="2485" t="s">
        <v>3153</v>
      </c>
      <c r="Y608" s="2485" t="s">
        <v>3296</v>
      </c>
      <c r="Z608" s="2485" t="s">
        <v>5139</v>
      </c>
      <c r="AA608" s="347"/>
    </row>
    <row r="609" spans="1:27" ht="12.75" customHeight="1">
      <c r="A609" s="8243"/>
      <c r="B609" s="242" t="str">
        <f t="shared" si="18"/>
        <v>Pecado44</v>
      </c>
      <c r="D609" s="257" t="s">
        <v>529</v>
      </c>
      <c r="E609" s="2487" t="s">
        <v>53</v>
      </c>
      <c r="F609" s="2487">
        <v>44</v>
      </c>
      <c r="G609" s="2489" t="s">
        <v>1241</v>
      </c>
      <c r="H609" s="2489" t="s">
        <v>1096</v>
      </c>
      <c r="I609" s="351" t="s">
        <v>1165</v>
      </c>
      <c r="J609" s="2487">
        <v>8</v>
      </c>
      <c r="K609" s="2487">
        <v>10</v>
      </c>
      <c r="L609" s="2487">
        <v>12</v>
      </c>
      <c r="M609" s="348">
        <v>14</v>
      </c>
      <c r="N609" s="2487">
        <v>50</v>
      </c>
      <c r="O609" s="2487">
        <v>80</v>
      </c>
      <c r="P609" s="2487">
        <v>120</v>
      </c>
      <c r="Q609" s="348">
        <v>260</v>
      </c>
      <c r="R609" s="2487" t="s">
        <v>1241</v>
      </c>
      <c r="S609" s="2487" t="s">
        <v>1241</v>
      </c>
      <c r="T609" s="2487" t="s">
        <v>1241</v>
      </c>
      <c r="U609" s="348" t="s">
        <v>1241</v>
      </c>
      <c r="V609" s="2485" t="s">
        <v>5140</v>
      </c>
      <c r="W609" s="2485" t="s">
        <v>5141</v>
      </c>
      <c r="X609" s="2485" t="s">
        <v>5142</v>
      </c>
      <c r="Y609" s="2485" t="s">
        <v>5143</v>
      </c>
      <c r="Z609" s="2485" t="s">
        <v>5144</v>
      </c>
      <c r="AA609" s="347"/>
    </row>
    <row r="610" spans="1:27" ht="12.75" customHeight="1">
      <c r="A610" s="8243"/>
      <c r="B610" s="242" t="str">
        <f t="shared" si="18"/>
        <v>Pecado54</v>
      </c>
      <c r="D610" s="257" t="s">
        <v>530</v>
      </c>
      <c r="E610" s="2487" t="s">
        <v>53</v>
      </c>
      <c r="F610" s="2487">
        <v>54</v>
      </c>
      <c r="G610" s="2489" t="s">
        <v>1241</v>
      </c>
      <c r="H610" s="2489" t="s">
        <v>1095</v>
      </c>
      <c r="I610" s="351" t="s">
        <v>1165</v>
      </c>
      <c r="J610" s="2487">
        <v>7</v>
      </c>
      <c r="K610" s="2487">
        <v>9</v>
      </c>
      <c r="L610" s="2487">
        <v>11</v>
      </c>
      <c r="M610" s="348">
        <v>13</v>
      </c>
      <c r="N610" s="2487">
        <v>60</v>
      </c>
      <c r="O610" s="2487">
        <v>80</v>
      </c>
      <c r="P610" s="2487">
        <v>100</v>
      </c>
      <c r="Q610" s="348">
        <v>120</v>
      </c>
      <c r="R610" s="2487">
        <v>5</v>
      </c>
      <c r="S610" s="2487">
        <v>5</v>
      </c>
      <c r="T610" s="2487">
        <v>10</v>
      </c>
      <c r="U610" s="348">
        <v>10</v>
      </c>
      <c r="V610" s="2485" t="s">
        <v>3425</v>
      </c>
      <c r="W610" s="2485" t="s">
        <v>3390</v>
      </c>
      <c r="X610" s="2485" t="s">
        <v>3391</v>
      </c>
      <c r="Y610" s="2485" t="s">
        <v>3295</v>
      </c>
      <c r="Z610" s="2485" t="s">
        <v>5145</v>
      </c>
      <c r="AA610" s="347"/>
    </row>
    <row r="611" spans="1:27" ht="12.75" customHeight="1">
      <c r="A611" s="8243"/>
      <c r="B611" s="242" t="str">
        <f t="shared" si="18"/>
        <v>Pecado64</v>
      </c>
      <c r="D611" s="257" t="s">
        <v>531</v>
      </c>
      <c r="E611" s="2487" t="s">
        <v>53</v>
      </c>
      <c r="F611" s="2487">
        <v>64</v>
      </c>
      <c r="G611" s="2489" t="s">
        <v>1241</v>
      </c>
      <c r="H611" s="2489" t="s">
        <v>1094</v>
      </c>
      <c r="I611" s="351" t="s">
        <v>1165</v>
      </c>
      <c r="J611" s="2487">
        <v>7</v>
      </c>
      <c r="K611" s="2487">
        <v>9</v>
      </c>
      <c r="L611" s="2487">
        <v>11</v>
      </c>
      <c r="M611" s="348">
        <v>13</v>
      </c>
      <c r="N611" s="2487">
        <v>80</v>
      </c>
      <c r="O611" s="2487">
        <v>100</v>
      </c>
      <c r="P611" s="2487">
        <v>120</v>
      </c>
      <c r="Q611" s="348">
        <v>150</v>
      </c>
      <c r="R611" s="2487">
        <v>5</v>
      </c>
      <c r="S611" s="2487">
        <v>5</v>
      </c>
      <c r="T611" s="2487">
        <v>10</v>
      </c>
      <c r="U611" s="348">
        <v>10</v>
      </c>
      <c r="V611" s="2485" t="s">
        <v>5146</v>
      </c>
      <c r="W611" s="2485" t="s">
        <v>5147</v>
      </c>
      <c r="X611" s="2485" t="s">
        <v>5148</v>
      </c>
      <c r="Y611" s="2485" t="s">
        <v>5149</v>
      </c>
      <c r="Z611" s="2485" t="s">
        <v>13018</v>
      </c>
      <c r="AA611" s="347"/>
    </row>
    <row r="612" spans="1:27" ht="12.75" customHeight="1">
      <c r="A612" s="8243"/>
      <c r="B612" s="242" t="str">
        <f t="shared" si="18"/>
        <v>Pecado74</v>
      </c>
      <c r="D612" s="257" t="s">
        <v>532</v>
      </c>
      <c r="E612" s="2487" t="s">
        <v>53</v>
      </c>
      <c r="F612" s="2487">
        <v>74</v>
      </c>
      <c r="G612" s="2489" t="s">
        <v>1241</v>
      </c>
      <c r="H612" s="2489" t="s">
        <v>1094</v>
      </c>
      <c r="I612" s="351" t="s">
        <v>1165</v>
      </c>
      <c r="J612" s="2487">
        <v>8</v>
      </c>
      <c r="K612" s="2487">
        <v>10</v>
      </c>
      <c r="L612" s="2487">
        <v>12</v>
      </c>
      <c r="M612" s="348">
        <v>14</v>
      </c>
      <c r="N612" s="2487">
        <v>100</v>
      </c>
      <c r="O612" s="2487">
        <v>140</v>
      </c>
      <c r="P612" s="2487">
        <v>180</v>
      </c>
      <c r="Q612" s="348">
        <v>220</v>
      </c>
      <c r="R612" s="2487">
        <v>5</v>
      </c>
      <c r="S612" s="2487">
        <v>5</v>
      </c>
      <c r="T612" s="2487">
        <v>10</v>
      </c>
      <c r="U612" s="348">
        <v>10</v>
      </c>
      <c r="V612" s="2485" t="s">
        <v>3390</v>
      </c>
      <c r="W612" s="2485" t="s">
        <v>3391</v>
      </c>
      <c r="X612" s="2485" t="s">
        <v>3295</v>
      </c>
      <c r="Y612" s="2485" t="s">
        <v>3153</v>
      </c>
      <c r="Z612" s="2485" t="s">
        <v>5150</v>
      </c>
      <c r="AA612" s="347"/>
    </row>
    <row r="613" spans="1:27" ht="12.75" customHeight="1">
      <c r="A613" s="8243"/>
      <c r="B613" s="242" t="str">
        <f t="shared" si="18"/>
        <v>Pecado84</v>
      </c>
      <c r="D613" s="257" t="s">
        <v>533</v>
      </c>
      <c r="E613" s="2487" t="s">
        <v>53</v>
      </c>
      <c r="F613" s="2487">
        <v>84</v>
      </c>
      <c r="G613" s="2489" t="s">
        <v>1241</v>
      </c>
      <c r="H613" s="2489" t="s">
        <v>1094</v>
      </c>
      <c r="I613" s="351" t="s">
        <v>1165</v>
      </c>
      <c r="J613" s="2487">
        <v>9</v>
      </c>
      <c r="K613" s="2487">
        <v>11</v>
      </c>
      <c r="L613" s="2487">
        <v>13</v>
      </c>
      <c r="M613" s="348">
        <v>15</v>
      </c>
      <c r="N613" s="2487">
        <v>100</v>
      </c>
      <c r="O613" s="2487">
        <v>150</v>
      </c>
      <c r="P613" s="2487">
        <v>200</v>
      </c>
      <c r="Q613" s="348">
        <v>250</v>
      </c>
      <c r="R613" s="2487">
        <v>5</v>
      </c>
      <c r="S613" s="2487">
        <v>5</v>
      </c>
      <c r="T613" s="2487">
        <v>10</v>
      </c>
      <c r="U613" s="348">
        <v>10</v>
      </c>
      <c r="V613" s="2485" t="s">
        <v>3390</v>
      </c>
      <c r="W613" s="2485" t="s">
        <v>3391</v>
      </c>
      <c r="X613" s="2485" t="s">
        <v>3295</v>
      </c>
      <c r="Y613" s="2485" t="s">
        <v>3153</v>
      </c>
      <c r="Z613" s="2485" t="s">
        <v>13019</v>
      </c>
      <c r="AA613" s="347"/>
    </row>
    <row r="614" spans="1:27" ht="12.75" customHeight="1">
      <c r="A614" s="8243"/>
      <c r="B614" s="242" t="str">
        <f t="shared" si="18"/>
        <v>Pecado94</v>
      </c>
      <c r="D614" s="257" t="s">
        <v>534</v>
      </c>
      <c r="E614" s="2487" t="s">
        <v>53</v>
      </c>
      <c r="F614" s="2487">
        <v>94</v>
      </c>
      <c r="G614" s="2489" t="s">
        <v>1241</v>
      </c>
      <c r="H614" s="2489" t="s">
        <v>1094</v>
      </c>
      <c r="I614" s="351" t="s">
        <v>1165</v>
      </c>
      <c r="J614" s="2487">
        <v>10</v>
      </c>
      <c r="K614" s="2487">
        <v>12</v>
      </c>
      <c r="L614" s="2487">
        <v>14</v>
      </c>
      <c r="M614" s="348">
        <v>16</v>
      </c>
      <c r="N614" s="2487">
        <v>120</v>
      </c>
      <c r="O614" s="2487">
        <v>180</v>
      </c>
      <c r="P614" s="2487">
        <v>260</v>
      </c>
      <c r="Q614" s="348">
        <v>320</v>
      </c>
      <c r="R614" s="2487" t="s">
        <v>1241</v>
      </c>
      <c r="S614" s="2487" t="s">
        <v>1241</v>
      </c>
      <c r="T614" s="2487" t="s">
        <v>1241</v>
      </c>
      <c r="U614" s="348" t="s">
        <v>1241</v>
      </c>
      <c r="V614" s="2485" t="s">
        <v>3390</v>
      </c>
      <c r="W614" s="2485" t="s">
        <v>3391</v>
      </c>
      <c r="X614" s="2485" t="s">
        <v>3295</v>
      </c>
      <c r="Y614" s="2485" t="s">
        <v>3153</v>
      </c>
      <c r="Z614" s="2485" t="s">
        <v>5151</v>
      </c>
      <c r="AA614" s="347"/>
    </row>
    <row r="615" spans="1:27" ht="12.75" customHeight="1">
      <c r="A615" s="8243"/>
      <c r="B615" s="242" t="str">
        <f t="shared" si="18"/>
        <v/>
      </c>
      <c r="D615" s="257" t="s">
        <v>535</v>
      </c>
      <c r="E615" s="2487"/>
      <c r="F615" s="2487"/>
      <c r="G615" s="2489"/>
      <c r="H615" s="2489"/>
      <c r="I615" s="351"/>
      <c r="J615" s="2487"/>
      <c r="K615" s="2487"/>
      <c r="L615" s="2487"/>
      <c r="M615" s="348"/>
      <c r="N615" s="2487"/>
      <c r="O615" s="2487"/>
      <c r="P615" s="2487"/>
      <c r="Q615" s="348"/>
      <c r="R615" s="2487"/>
      <c r="S615" s="2487"/>
      <c r="T615" s="2487"/>
      <c r="U615" s="348"/>
      <c r="V615" s="2485"/>
      <c r="W615" s="2485"/>
      <c r="X615" s="2485"/>
      <c r="Y615" s="2485"/>
      <c r="Z615" s="2485"/>
      <c r="AA615" s="347"/>
    </row>
    <row r="616" spans="1:27" ht="12.75" customHeight="1">
      <c r="A616" s="8243"/>
      <c r="B616" s="242" t="str">
        <f t="shared" si="18"/>
        <v>Conocimiento4</v>
      </c>
      <c r="D616" s="257" t="s">
        <v>536</v>
      </c>
      <c r="E616" s="2487" t="s">
        <v>54</v>
      </c>
      <c r="F616" s="2487">
        <v>4</v>
      </c>
      <c r="G616" s="2489" t="s">
        <v>1241</v>
      </c>
      <c r="H616" s="2489" t="s">
        <v>1095</v>
      </c>
      <c r="I616" s="351" t="s">
        <v>1165</v>
      </c>
      <c r="J616" s="2487">
        <v>5</v>
      </c>
      <c r="K616" s="2487">
        <v>7</v>
      </c>
      <c r="L616" s="2487">
        <v>9</v>
      </c>
      <c r="M616" s="348">
        <v>11</v>
      </c>
      <c r="N616" s="2487">
        <v>30</v>
      </c>
      <c r="O616" s="2487">
        <v>60</v>
      </c>
      <c r="P616" s="2487">
        <v>90</v>
      </c>
      <c r="Q616" s="348">
        <v>120</v>
      </c>
      <c r="R616" s="2487" t="s">
        <v>1241</v>
      </c>
      <c r="S616" s="2487" t="s">
        <v>1241</v>
      </c>
      <c r="T616" s="2487" t="s">
        <v>1241</v>
      </c>
      <c r="U616" s="348" t="s">
        <v>1241</v>
      </c>
      <c r="V616" s="2485" t="s">
        <v>5152</v>
      </c>
      <c r="W616" s="2485" t="s">
        <v>5153</v>
      </c>
      <c r="X616" s="2485" t="s">
        <v>5154</v>
      </c>
      <c r="Y616" s="2485" t="s">
        <v>5155</v>
      </c>
      <c r="Z616" s="2485" t="s">
        <v>5156</v>
      </c>
      <c r="AA616" s="347"/>
    </row>
    <row r="617" spans="1:27" ht="12.75" customHeight="1">
      <c r="A617" s="8243"/>
      <c r="B617" s="242" t="str">
        <f t="shared" si="18"/>
        <v>Conocimiento14</v>
      </c>
      <c r="D617" s="257" t="s">
        <v>54</v>
      </c>
      <c r="E617" s="2487" t="s">
        <v>54</v>
      </c>
      <c r="F617" s="2487">
        <v>14</v>
      </c>
      <c r="G617" s="2489" t="s">
        <v>1241</v>
      </c>
      <c r="H617" s="2489" t="s">
        <v>1095</v>
      </c>
      <c r="I617" s="351" t="s">
        <v>1165</v>
      </c>
      <c r="J617" s="2487">
        <v>6</v>
      </c>
      <c r="K617" s="2487">
        <v>9</v>
      </c>
      <c r="L617" s="2487">
        <v>11</v>
      </c>
      <c r="M617" s="348">
        <v>13</v>
      </c>
      <c r="N617" s="2487">
        <v>40</v>
      </c>
      <c r="O617" s="2487">
        <v>80</v>
      </c>
      <c r="P617" s="2487">
        <v>120</v>
      </c>
      <c r="Q617" s="348">
        <v>160</v>
      </c>
      <c r="R617" s="2487">
        <v>5</v>
      </c>
      <c r="S617" s="2487">
        <v>10</v>
      </c>
      <c r="T617" s="2487">
        <v>15</v>
      </c>
      <c r="U617" s="348">
        <v>20</v>
      </c>
      <c r="V617" s="2485" t="s">
        <v>5157</v>
      </c>
      <c r="W617" s="2485" t="s">
        <v>5158</v>
      </c>
      <c r="X617" s="2485" t="s">
        <v>5159</v>
      </c>
      <c r="Y617" s="2485" t="s">
        <v>5160</v>
      </c>
      <c r="Z617" s="2485" t="s">
        <v>5161</v>
      </c>
      <c r="AA617" s="347"/>
    </row>
    <row r="618" spans="1:27" ht="12.75" customHeight="1">
      <c r="A618" s="8243"/>
      <c r="B618" s="242" t="str">
        <f t="shared" si="18"/>
        <v>Conocimiento24</v>
      </c>
      <c r="D618" s="257" t="s">
        <v>537</v>
      </c>
      <c r="E618" s="2487" t="s">
        <v>54</v>
      </c>
      <c r="F618" s="2487">
        <v>24</v>
      </c>
      <c r="G618" s="2489" t="s">
        <v>1241</v>
      </c>
      <c r="H618" s="2489" t="s">
        <v>1097</v>
      </c>
      <c r="I618" s="351" t="s">
        <v>1165</v>
      </c>
      <c r="J618" s="2487">
        <v>7</v>
      </c>
      <c r="K618" s="2487">
        <v>9</v>
      </c>
      <c r="L618" s="2487">
        <v>11</v>
      </c>
      <c r="M618" s="348">
        <v>13</v>
      </c>
      <c r="N618" s="2487">
        <v>60</v>
      </c>
      <c r="O618" s="2487">
        <v>100</v>
      </c>
      <c r="P618" s="2487">
        <v>140</v>
      </c>
      <c r="Q618" s="348">
        <v>180</v>
      </c>
      <c r="R618" s="2487" t="s">
        <v>1241</v>
      </c>
      <c r="S618" s="2487" t="s">
        <v>1241</v>
      </c>
      <c r="T618" s="2487" t="s">
        <v>1241</v>
      </c>
      <c r="U618" s="348" t="s">
        <v>1241</v>
      </c>
      <c r="V618" s="2485" t="s">
        <v>3496</v>
      </c>
      <c r="W618" s="2485" t="s">
        <v>3497</v>
      </c>
      <c r="X618" s="2485" t="s">
        <v>3498</v>
      </c>
      <c r="Y618" s="2485" t="s">
        <v>3521</v>
      </c>
      <c r="Z618" s="2485" t="s">
        <v>13020</v>
      </c>
      <c r="AA618" s="347"/>
    </row>
    <row r="619" spans="1:27" ht="12.75" customHeight="1">
      <c r="A619" s="8243"/>
      <c r="B619" s="242" t="str">
        <f t="shared" si="18"/>
        <v>Conocimiento34</v>
      </c>
      <c r="D619" s="257" t="s">
        <v>538</v>
      </c>
      <c r="E619" s="2487" t="s">
        <v>54</v>
      </c>
      <c r="F619" s="2487">
        <v>34</v>
      </c>
      <c r="G619" s="2489" t="s">
        <v>2422</v>
      </c>
      <c r="H619" s="2489" t="s">
        <v>1097</v>
      </c>
      <c r="I619" s="351" t="s">
        <v>1165</v>
      </c>
      <c r="J619" s="2487">
        <v>7</v>
      </c>
      <c r="K619" s="2487">
        <v>9</v>
      </c>
      <c r="L619" s="2487">
        <v>11</v>
      </c>
      <c r="M619" s="348">
        <v>13</v>
      </c>
      <c r="N619" s="2487">
        <v>80</v>
      </c>
      <c r="O619" s="2487">
        <v>120</v>
      </c>
      <c r="P619" s="2487">
        <v>160</v>
      </c>
      <c r="Q619" s="348">
        <v>200</v>
      </c>
      <c r="R619" s="2487">
        <v>10</v>
      </c>
      <c r="S619" s="2487">
        <v>15</v>
      </c>
      <c r="T619" s="2487">
        <v>20</v>
      </c>
      <c r="U619" s="348">
        <v>20</v>
      </c>
      <c r="V619" s="2485" t="s">
        <v>5162</v>
      </c>
      <c r="W619" s="2485" t="s">
        <v>3529</v>
      </c>
      <c r="X619" s="2485" t="s">
        <v>3496</v>
      </c>
      <c r="Y619" s="2485" t="s">
        <v>3497</v>
      </c>
      <c r="Z619" s="2485" t="s">
        <v>5163</v>
      </c>
      <c r="AA619" s="347"/>
    </row>
    <row r="620" spans="1:27" ht="12.75" customHeight="1">
      <c r="A620" s="8243"/>
      <c r="B620" s="242" t="str">
        <f t="shared" si="18"/>
        <v>Conocimiento44</v>
      </c>
      <c r="D620" s="257" t="s">
        <v>539</v>
      </c>
      <c r="E620" s="2487" t="s">
        <v>54</v>
      </c>
      <c r="F620" s="2487">
        <v>44</v>
      </c>
      <c r="G620" s="2489" t="s">
        <v>1241</v>
      </c>
      <c r="H620" s="2489" t="s">
        <v>1095</v>
      </c>
      <c r="I620" s="351" t="s">
        <v>1165</v>
      </c>
      <c r="J620" s="2487">
        <v>8</v>
      </c>
      <c r="K620" s="2487">
        <v>10</v>
      </c>
      <c r="L620" s="2487">
        <v>12</v>
      </c>
      <c r="M620" s="348">
        <v>14</v>
      </c>
      <c r="N620" s="2487">
        <v>100</v>
      </c>
      <c r="O620" s="2487">
        <v>150</v>
      </c>
      <c r="P620" s="2487">
        <v>200</v>
      </c>
      <c r="Q620" s="348">
        <v>250</v>
      </c>
      <c r="R620" s="2487" t="s">
        <v>1241</v>
      </c>
      <c r="S620" s="2487" t="s">
        <v>1241</v>
      </c>
      <c r="T620" s="2487" t="s">
        <v>1241</v>
      </c>
      <c r="U620" s="348" t="s">
        <v>1241</v>
      </c>
      <c r="V620" s="2485" t="s">
        <v>5164</v>
      </c>
      <c r="W620" s="2485" t="s">
        <v>5165</v>
      </c>
      <c r="X620" s="2485" t="s">
        <v>5166</v>
      </c>
      <c r="Y620" s="2485" t="s">
        <v>5167</v>
      </c>
      <c r="Z620" s="2485" t="s">
        <v>5168</v>
      </c>
      <c r="AA620" s="347"/>
    </row>
    <row r="621" spans="1:27" ht="12.75" customHeight="1">
      <c r="A621" s="8243"/>
      <c r="B621" s="242" t="str">
        <f t="shared" si="18"/>
        <v>Conocimiento54</v>
      </c>
      <c r="D621" s="257" t="s">
        <v>540</v>
      </c>
      <c r="E621" s="2487" t="s">
        <v>54</v>
      </c>
      <c r="F621" s="2487">
        <v>54</v>
      </c>
      <c r="G621" s="2489" t="s">
        <v>1241</v>
      </c>
      <c r="H621" s="2489" t="s">
        <v>1096</v>
      </c>
      <c r="I621" s="351" t="s">
        <v>1165</v>
      </c>
      <c r="J621" s="2487">
        <v>7</v>
      </c>
      <c r="K621" s="2487">
        <v>9</v>
      </c>
      <c r="L621" s="2487">
        <v>11</v>
      </c>
      <c r="M621" s="348">
        <v>13</v>
      </c>
      <c r="N621" s="2487">
        <v>80</v>
      </c>
      <c r="O621" s="2487">
        <v>120</v>
      </c>
      <c r="P621" s="2487">
        <v>160</v>
      </c>
      <c r="Q621" s="348">
        <v>200</v>
      </c>
      <c r="R621" s="2487">
        <v>5</v>
      </c>
      <c r="S621" s="2487">
        <v>10</v>
      </c>
      <c r="T621" s="2487">
        <v>20</v>
      </c>
      <c r="U621" s="348">
        <v>20</v>
      </c>
      <c r="V621" s="2485" t="s">
        <v>5169</v>
      </c>
      <c r="W621" s="2485" t="s">
        <v>5170</v>
      </c>
      <c r="X621" s="2485" t="s">
        <v>5171</v>
      </c>
      <c r="Y621" s="2485" t="s">
        <v>5172</v>
      </c>
      <c r="Z621" s="2485" t="s">
        <v>13021</v>
      </c>
      <c r="AA621" s="347"/>
    </row>
    <row r="622" spans="1:27" ht="12.75" customHeight="1">
      <c r="A622" s="8243"/>
      <c r="B622" s="242" t="str">
        <f t="shared" si="18"/>
        <v>Conocimiento64</v>
      </c>
      <c r="D622" s="257" t="s">
        <v>541</v>
      </c>
      <c r="E622" s="2487" t="s">
        <v>54</v>
      </c>
      <c r="F622" s="2487">
        <v>64</v>
      </c>
      <c r="G622" s="2489" t="s">
        <v>2422</v>
      </c>
      <c r="H622" s="2489" t="s">
        <v>1096</v>
      </c>
      <c r="I622" s="351" t="s">
        <v>1165</v>
      </c>
      <c r="J622" s="2487">
        <v>8</v>
      </c>
      <c r="K622" s="2487">
        <v>10</v>
      </c>
      <c r="L622" s="2487">
        <v>12</v>
      </c>
      <c r="M622" s="348">
        <v>14</v>
      </c>
      <c r="N622" s="2487">
        <v>100</v>
      </c>
      <c r="O622" s="2487">
        <v>150</v>
      </c>
      <c r="P622" s="2487">
        <v>200</v>
      </c>
      <c r="Q622" s="348">
        <v>250</v>
      </c>
      <c r="R622" s="2487">
        <v>10</v>
      </c>
      <c r="S622" s="2487">
        <v>20</v>
      </c>
      <c r="T622" s="2487">
        <v>30</v>
      </c>
      <c r="U622" s="348">
        <v>40</v>
      </c>
      <c r="V622" s="2485" t="s">
        <v>5173</v>
      </c>
      <c r="W622" s="2485" t="s">
        <v>5174</v>
      </c>
      <c r="X622" s="2485" t="s">
        <v>5175</v>
      </c>
      <c r="Y622" s="2485" t="s">
        <v>5176</v>
      </c>
      <c r="Z622" s="2485" t="s">
        <v>5177</v>
      </c>
      <c r="AA622" s="347"/>
    </row>
    <row r="623" spans="1:27" ht="12.75" customHeight="1">
      <c r="A623" s="8243"/>
      <c r="B623" s="242" t="str">
        <f t="shared" si="18"/>
        <v>Conocimiento74</v>
      </c>
      <c r="D623" s="257" t="s">
        <v>542</v>
      </c>
      <c r="E623" s="2487" t="s">
        <v>54</v>
      </c>
      <c r="F623" s="2487">
        <v>74</v>
      </c>
      <c r="G623" s="2489" t="s">
        <v>1241</v>
      </c>
      <c r="H623" s="2489" t="s">
        <v>1095</v>
      </c>
      <c r="I623" s="351" t="s">
        <v>1165</v>
      </c>
      <c r="J623" s="2487">
        <v>6</v>
      </c>
      <c r="K623" s="2487">
        <v>9</v>
      </c>
      <c r="L623" s="2487">
        <v>11</v>
      </c>
      <c r="M623" s="348">
        <v>13</v>
      </c>
      <c r="N623" s="2487">
        <v>60</v>
      </c>
      <c r="O623" s="2487">
        <v>100</v>
      </c>
      <c r="P623" s="2487">
        <v>140</v>
      </c>
      <c r="Q623" s="348">
        <v>200</v>
      </c>
      <c r="R623" s="2487">
        <v>5</v>
      </c>
      <c r="S623" s="2487">
        <v>10</v>
      </c>
      <c r="T623" s="2487">
        <v>15</v>
      </c>
      <c r="U623" s="348">
        <v>20</v>
      </c>
      <c r="V623" s="2485" t="s">
        <v>5178</v>
      </c>
      <c r="W623" s="2485" t="s">
        <v>5179</v>
      </c>
      <c r="X623" s="2485" t="s">
        <v>5180</v>
      </c>
      <c r="Y623" s="2485" t="s">
        <v>5181</v>
      </c>
      <c r="Z623" s="2485" t="s">
        <v>5182</v>
      </c>
      <c r="AA623" s="347"/>
    </row>
    <row r="624" spans="1:27" ht="12.75" customHeight="1">
      <c r="A624" s="8243"/>
      <c r="B624" s="242" t="str">
        <f t="shared" si="18"/>
        <v>Conocimiento84</v>
      </c>
      <c r="D624" s="257" t="s">
        <v>543</v>
      </c>
      <c r="E624" s="2487" t="s">
        <v>54</v>
      </c>
      <c r="F624" s="2487">
        <v>84</v>
      </c>
      <c r="G624" s="2489" t="s">
        <v>2422</v>
      </c>
      <c r="H624" s="2489" t="s">
        <v>1094</v>
      </c>
      <c r="I624" s="351" t="s">
        <v>1165</v>
      </c>
      <c r="J624" s="2487">
        <v>8</v>
      </c>
      <c r="K624" s="2487">
        <v>10</v>
      </c>
      <c r="L624" s="2487">
        <v>12</v>
      </c>
      <c r="M624" s="348">
        <v>14</v>
      </c>
      <c r="N624" s="2487">
        <v>100</v>
      </c>
      <c r="O624" s="2487">
        <v>150</v>
      </c>
      <c r="P624" s="2487">
        <v>200</v>
      </c>
      <c r="Q624" s="348">
        <v>250</v>
      </c>
      <c r="R624" s="2487">
        <v>5</v>
      </c>
      <c r="S624" s="2487">
        <v>10</v>
      </c>
      <c r="T624" s="2487">
        <v>15</v>
      </c>
      <c r="U624" s="348">
        <v>20</v>
      </c>
      <c r="V624" s="2485" t="s">
        <v>5183</v>
      </c>
      <c r="W624" s="2485" t="s">
        <v>5184</v>
      </c>
      <c r="X624" s="2485" t="s">
        <v>5185</v>
      </c>
      <c r="Y624" s="2485" t="s">
        <v>5186</v>
      </c>
      <c r="Z624" s="2485" t="s">
        <v>5187</v>
      </c>
      <c r="AA624" s="347"/>
    </row>
    <row r="625" spans="1:27" ht="12.75" customHeight="1">
      <c r="A625" s="8243"/>
      <c r="B625" s="242" t="str">
        <f t="shared" si="18"/>
        <v>Conocimiento94</v>
      </c>
      <c r="D625" s="257" t="s">
        <v>544</v>
      </c>
      <c r="E625" s="2487" t="s">
        <v>54</v>
      </c>
      <c r="F625" s="2487">
        <v>94</v>
      </c>
      <c r="G625" s="2489" t="s">
        <v>1241</v>
      </c>
      <c r="H625" s="2489" t="s">
        <v>1095</v>
      </c>
      <c r="I625" s="351" t="s">
        <v>1165</v>
      </c>
      <c r="J625" s="2487">
        <v>10</v>
      </c>
      <c r="K625" s="2487">
        <v>12</v>
      </c>
      <c r="L625" s="2487">
        <v>14</v>
      </c>
      <c r="M625" s="348">
        <v>16</v>
      </c>
      <c r="N625" s="2487">
        <v>400</v>
      </c>
      <c r="O625" s="2487">
        <v>600</v>
      </c>
      <c r="P625" s="2487">
        <v>800</v>
      </c>
      <c r="Q625" s="348">
        <v>1000</v>
      </c>
      <c r="R625" s="2487">
        <v>40</v>
      </c>
      <c r="S625" s="2487">
        <v>60</v>
      </c>
      <c r="T625" s="2487">
        <v>80</v>
      </c>
      <c r="U625" s="348">
        <v>100</v>
      </c>
      <c r="V625" s="2485" t="s">
        <v>5188</v>
      </c>
      <c r="W625" s="2485" t="s">
        <v>5189</v>
      </c>
      <c r="X625" s="2485" t="s">
        <v>5190</v>
      </c>
      <c r="Y625" s="2485" t="s">
        <v>5191</v>
      </c>
      <c r="Z625" s="2485" t="s">
        <v>5192</v>
      </c>
      <c r="AA625" s="347"/>
    </row>
    <row r="626" spans="1:27" ht="12.75" customHeight="1">
      <c r="A626" s="8243"/>
      <c r="B626" s="242" t="str">
        <f t="shared" si="18"/>
        <v/>
      </c>
      <c r="D626" s="257" t="s">
        <v>545</v>
      </c>
      <c r="E626" s="2487"/>
      <c r="F626" s="2487"/>
      <c r="G626" s="2489"/>
      <c r="H626" s="2489"/>
      <c r="I626" s="351"/>
      <c r="J626" s="2487"/>
      <c r="K626" s="2487"/>
      <c r="L626" s="2487"/>
      <c r="M626" s="348"/>
      <c r="N626" s="2487"/>
      <c r="O626" s="2487"/>
      <c r="P626" s="2487"/>
      <c r="Q626" s="348"/>
      <c r="R626" s="2487"/>
      <c r="S626" s="2487"/>
      <c r="T626" s="2487"/>
      <c r="U626" s="348"/>
      <c r="V626" s="2485"/>
      <c r="W626" s="2485"/>
      <c r="X626" s="2485"/>
      <c r="Y626" s="2485"/>
      <c r="Z626" s="2485"/>
      <c r="AA626" s="347"/>
    </row>
    <row r="627" spans="1:27" ht="12.75" customHeight="1">
      <c r="A627" s="8243"/>
      <c r="B627" s="242" t="str">
        <f t="shared" si="18"/>
        <v>Sangre4</v>
      </c>
      <c r="D627" s="257" t="s">
        <v>546</v>
      </c>
      <c r="E627" s="2487" t="s">
        <v>55</v>
      </c>
      <c r="F627" s="2487">
        <v>4</v>
      </c>
      <c r="G627" s="2489" t="s">
        <v>1241</v>
      </c>
      <c r="H627" s="2489" t="s">
        <v>1094</v>
      </c>
      <c r="I627" s="351" t="s">
        <v>1165</v>
      </c>
      <c r="J627" s="2487">
        <v>5</v>
      </c>
      <c r="K627" s="2487">
        <v>8</v>
      </c>
      <c r="L627" s="2487">
        <v>10</v>
      </c>
      <c r="M627" s="348">
        <v>13</v>
      </c>
      <c r="N627" s="2487">
        <v>30</v>
      </c>
      <c r="O627" s="2487">
        <v>60</v>
      </c>
      <c r="P627" s="2487">
        <v>100</v>
      </c>
      <c r="Q627" s="348">
        <v>150</v>
      </c>
      <c r="R627" s="2487" t="s">
        <v>1241</v>
      </c>
      <c r="S627" s="2487" t="s">
        <v>1241</v>
      </c>
      <c r="T627" s="2487" t="s">
        <v>1241</v>
      </c>
      <c r="U627" s="348" t="s">
        <v>1241</v>
      </c>
      <c r="V627" s="2485" t="s">
        <v>3389</v>
      </c>
      <c r="W627" s="2485" t="s">
        <v>3425</v>
      </c>
      <c r="X627" s="2485" t="s">
        <v>3390</v>
      </c>
      <c r="Y627" s="2485" t="s">
        <v>3295</v>
      </c>
      <c r="Z627" s="2485" t="s">
        <v>5193</v>
      </c>
      <c r="AA627" s="347"/>
    </row>
    <row r="628" spans="1:27" ht="12.75" customHeight="1">
      <c r="A628" s="8243"/>
      <c r="B628" s="242" t="str">
        <f t="shared" si="18"/>
        <v>Sangre14</v>
      </c>
      <c r="D628" s="257" t="s">
        <v>547</v>
      </c>
      <c r="E628" s="2487" t="s">
        <v>55</v>
      </c>
      <c r="F628" s="2487">
        <v>14</v>
      </c>
      <c r="G628" s="2489" t="s">
        <v>1241</v>
      </c>
      <c r="H628" s="2489" t="s">
        <v>1095</v>
      </c>
      <c r="I628" s="351" t="s">
        <v>1165</v>
      </c>
      <c r="J628" s="2487">
        <v>6</v>
      </c>
      <c r="K628" s="2487">
        <v>8</v>
      </c>
      <c r="L628" s="2487">
        <v>10</v>
      </c>
      <c r="M628" s="348">
        <v>13</v>
      </c>
      <c r="N628" s="2487">
        <v>40</v>
      </c>
      <c r="O628" s="2487">
        <v>80</v>
      </c>
      <c r="P628" s="2487">
        <v>120</v>
      </c>
      <c r="Q628" s="348">
        <v>160</v>
      </c>
      <c r="R628" s="2487" t="s">
        <v>1241</v>
      </c>
      <c r="S628" s="2487" t="s">
        <v>1241</v>
      </c>
      <c r="T628" s="2487" t="s">
        <v>1241</v>
      </c>
      <c r="U628" s="348" t="s">
        <v>1241</v>
      </c>
      <c r="V628" s="2485" t="s">
        <v>5194</v>
      </c>
      <c r="W628" s="2485" t="s">
        <v>5195</v>
      </c>
      <c r="X628" s="2485" t="s">
        <v>5196</v>
      </c>
      <c r="Y628" s="2485" t="s">
        <v>5197</v>
      </c>
      <c r="Z628" s="2485" t="s">
        <v>5198</v>
      </c>
      <c r="AA628" s="347"/>
    </row>
    <row r="629" spans="1:27" ht="12.75" customHeight="1">
      <c r="A629" s="8243"/>
      <c r="B629" s="242" t="str">
        <f t="shared" si="18"/>
        <v>Sangre24</v>
      </c>
      <c r="D629" s="257" t="s">
        <v>1771</v>
      </c>
      <c r="E629" s="2487" t="s">
        <v>55</v>
      </c>
      <c r="F629" s="2487">
        <v>24</v>
      </c>
      <c r="G629" s="2489" t="s">
        <v>2422</v>
      </c>
      <c r="H629" s="2489" t="s">
        <v>1095</v>
      </c>
      <c r="I629" s="351" t="s">
        <v>1165</v>
      </c>
      <c r="J629" s="2487">
        <v>6</v>
      </c>
      <c r="K629" s="2487">
        <v>9</v>
      </c>
      <c r="L629" s="2487">
        <v>12</v>
      </c>
      <c r="M629" s="348">
        <v>15</v>
      </c>
      <c r="N629" s="2487">
        <v>50</v>
      </c>
      <c r="O629" s="2487">
        <v>90</v>
      </c>
      <c r="P629" s="2487">
        <v>120</v>
      </c>
      <c r="Q629" s="348">
        <v>150</v>
      </c>
      <c r="R629" s="2487">
        <v>5</v>
      </c>
      <c r="S629" s="2487">
        <v>20</v>
      </c>
      <c r="T629" s="2487">
        <v>25</v>
      </c>
      <c r="U629" s="348">
        <v>30</v>
      </c>
      <c r="V629" s="2485" t="s">
        <v>5199</v>
      </c>
      <c r="W629" s="2485" t="s">
        <v>5200</v>
      </c>
      <c r="X629" s="2485" t="s">
        <v>5201</v>
      </c>
      <c r="Y629" s="2485" t="s">
        <v>5202</v>
      </c>
      <c r="Z629" s="2485" t="s">
        <v>13022</v>
      </c>
      <c r="AA629" s="347"/>
    </row>
    <row r="630" spans="1:27" ht="12.75" customHeight="1">
      <c r="A630" s="8243"/>
      <c r="B630" s="242" t="str">
        <f t="shared" si="18"/>
        <v>Sangre34</v>
      </c>
      <c r="D630" s="257" t="s">
        <v>548</v>
      </c>
      <c r="E630" s="2487" t="s">
        <v>55</v>
      </c>
      <c r="F630" s="2487">
        <v>34</v>
      </c>
      <c r="G630" s="2489" t="s">
        <v>1241</v>
      </c>
      <c r="H630" s="2489" t="s">
        <v>1095</v>
      </c>
      <c r="I630" s="351" t="s">
        <v>1165</v>
      </c>
      <c r="J630" s="2487">
        <v>6</v>
      </c>
      <c r="K630" s="2487">
        <v>9</v>
      </c>
      <c r="L630" s="2487">
        <v>12</v>
      </c>
      <c r="M630" s="348">
        <v>15</v>
      </c>
      <c r="N630" s="2487">
        <v>80</v>
      </c>
      <c r="O630" s="2487">
        <v>120</v>
      </c>
      <c r="P630" s="2487">
        <v>160</v>
      </c>
      <c r="Q630" s="348">
        <v>200</v>
      </c>
      <c r="R630" s="2487">
        <v>10</v>
      </c>
      <c r="S630" s="2487">
        <v>40</v>
      </c>
      <c r="T630" s="2487">
        <v>50</v>
      </c>
      <c r="U630" s="348">
        <v>60</v>
      </c>
      <c r="V630" s="2485" t="s">
        <v>5203</v>
      </c>
      <c r="W630" s="2485" t="s">
        <v>5204</v>
      </c>
      <c r="X630" s="2485" t="s">
        <v>5205</v>
      </c>
      <c r="Y630" s="2485" t="s">
        <v>5206</v>
      </c>
      <c r="Z630" s="2485" t="s">
        <v>5207</v>
      </c>
      <c r="AA630" s="347"/>
    </row>
    <row r="631" spans="1:27" ht="12.75" customHeight="1">
      <c r="A631" s="8243"/>
      <c r="B631" s="242" t="str">
        <f t="shared" si="18"/>
        <v>Sangre44</v>
      </c>
      <c r="D631" s="257" t="s">
        <v>549</v>
      </c>
      <c r="E631" s="2487" t="s">
        <v>55</v>
      </c>
      <c r="F631" s="2487">
        <v>44</v>
      </c>
      <c r="G631" s="2489" t="s">
        <v>1241</v>
      </c>
      <c r="H631" s="2489" t="s">
        <v>1095</v>
      </c>
      <c r="I631" s="351" t="s">
        <v>1165</v>
      </c>
      <c r="J631" s="2487">
        <v>6</v>
      </c>
      <c r="K631" s="2487">
        <v>8</v>
      </c>
      <c r="L631" s="2487">
        <v>10</v>
      </c>
      <c r="M631" s="348">
        <v>12</v>
      </c>
      <c r="N631" s="2487">
        <v>40</v>
      </c>
      <c r="O631" s="2487">
        <v>60</v>
      </c>
      <c r="P631" s="2487">
        <v>80</v>
      </c>
      <c r="Q631" s="348">
        <v>100</v>
      </c>
      <c r="R631" s="2487" t="s">
        <v>1241</v>
      </c>
      <c r="S631" s="2487" t="s">
        <v>1241</v>
      </c>
      <c r="T631" s="2487" t="s">
        <v>1241</v>
      </c>
      <c r="U631" s="348" t="s">
        <v>1241</v>
      </c>
      <c r="V631" s="2485" t="s">
        <v>5208</v>
      </c>
      <c r="W631" s="2485" t="s">
        <v>5209</v>
      </c>
      <c r="X631" s="2485" t="s">
        <v>5210</v>
      </c>
      <c r="Y631" s="2485" t="s">
        <v>5211</v>
      </c>
      <c r="Z631" s="2485" t="s">
        <v>5212</v>
      </c>
      <c r="AA631" s="347"/>
    </row>
    <row r="632" spans="1:27" ht="12.75" customHeight="1">
      <c r="A632" s="8243"/>
      <c r="B632" s="242" t="str">
        <f t="shared" si="18"/>
        <v>Sangre54</v>
      </c>
      <c r="D632" s="257" t="s">
        <v>550</v>
      </c>
      <c r="E632" s="2487" t="s">
        <v>55</v>
      </c>
      <c r="F632" s="2487">
        <v>54</v>
      </c>
      <c r="G632" s="2489" t="s">
        <v>1241</v>
      </c>
      <c r="H632" s="2489" t="s">
        <v>1094</v>
      </c>
      <c r="I632" s="351" t="s">
        <v>1165</v>
      </c>
      <c r="J632" s="2487">
        <v>6</v>
      </c>
      <c r="K632" s="2487">
        <v>9</v>
      </c>
      <c r="L632" s="2487">
        <v>12</v>
      </c>
      <c r="M632" s="348">
        <v>15</v>
      </c>
      <c r="N632" s="2487">
        <v>100</v>
      </c>
      <c r="O632" s="2487">
        <v>150</v>
      </c>
      <c r="P632" s="2487">
        <v>200</v>
      </c>
      <c r="Q632" s="348">
        <v>250</v>
      </c>
      <c r="R632" s="2487">
        <v>10</v>
      </c>
      <c r="S632" s="2487">
        <v>15</v>
      </c>
      <c r="T632" s="2487">
        <v>20</v>
      </c>
      <c r="U632" s="348">
        <v>25</v>
      </c>
      <c r="V632" s="2485" t="s">
        <v>5213</v>
      </c>
      <c r="W632" s="2485" t="s">
        <v>5214</v>
      </c>
      <c r="X632" s="2485" t="s">
        <v>5215</v>
      </c>
      <c r="Y632" s="2485" t="s">
        <v>5216</v>
      </c>
      <c r="Z632" s="2485" t="s">
        <v>5217</v>
      </c>
      <c r="AA632" s="347"/>
    </row>
    <row r="633" spans="1:27" ht="12.75" customHeight="1">
      <c r="A633" s="8243"/>
      <c r="B633" s="242" t="str">
        <f t="shared" si="18"/>
        <v>Sangre64</v>
      </c>
      <c r="D633" s="257" t="s">
        <v>551</v>
      </c>
      <c r="E633" s="2487" t="s">
        <v>55</v>
      </c>
      <c r="F633" s="2487">
        <v>64</v>
      </c>
      <c r="G633" s="2489" t="s">
        <v>1241</v>
      </c>
      <c r="H633" s="2489" t="s">
        <v>1095</v>
      </c>
      <c r="I633" s="351" t="s">
        <v>1165</v>
      </c>
      <c r="J633" s="2487">
        <v>8</v>
      </c>
      <c r="K633" s="2487">
        <v>10</v>
      </c>
      <c r="L633" s="2487">
        <v>12</v>
      </c>
      <c r="M633" s="348">
        <v>15</v>
      </c>
      <c r="N633" s="2487">
        <v>150</v>
      </c>
      <c r="O633" s="2487">
        <v>200</v>
      </c>
      <c r="P633" s="2487">
        <v>250</v>
      </c>
      <c r="Q633" s="348">
        <v>300</v>
      </c>
      <c r="R633" s="2487">
        <v>10</v>
      </c>
      <c r="S633" s="2487">
        <v>10</v>
      </c>
      <c r="T633" s="2487">
        <v>15</v>
      </c>
      <c r="U633" s="348">
        <v>15</v>
      </c>
      <c r="V633" s="2485" t="s">
        <v>5218</v>
      </c>
      <c r="W633" s="2485" t="s">
        <v>5219</v>
      </c>
      <c r="X633" s="2485" t="s">
        <v>5220</v>
      </c>
      <c r="Y633" s="2485" t="s">
        <v>5221</v>
      </c>
      <c r="Z633" s="2485" t="s">
        <v>5222</v>
      </c>
      <c r="AA633" s="347"/>
    </row>
    <row r="634" spans="1:27" ht="12.75" customHeight="1">
      <c r="A634" s="8243"/>
      <c r="B634" s="242" t="str">
        <f t="shared" si="18"/>
        <v>Sangre74</v>
      </c>
      <c r="D634" s="257" t="s">
        <v>552</v>
      </c>
      <c r="E634" s="2487" t="s">
        <v>55</v>
      </c>
      <c r="F634" s="2487">
        <v>74</v>
      </c>
      <c r="G634" s="2489" t="s">
        <v>1241</v>
      </c>
      <c r="H634" s="2489" t="s">
        <v>1094</v>
      </c>
      <c r="I634" s="351" t="s">
        <v>1165</v>
      </c>
      <c r="J634" s="2487">
        <v>10</v>
      </c>
      <c r="K634" s="2487">
        <v>13</v>
      </c>
      <c r="L634" s="2487">
        <v>15</v>
      </c>
      <c r="M634" s="348">
        <v>17</v>
      </c>
      <c r="N634" s="2487">
        <v>280</v>
      </c>
      <c r="O634" s="2487">
        <v>320</v>
      </c>
      <c r="P634" s="2487">
        <v>360</v>
      </c>
      <c r="Q634" s="348">
        <v>400</v>
      </c>
      <c r="R634" s="2487" t="s">
        <v>1241</v>
      </c>
      <c r="S634" s="2487" t="s">
        <v>1241</v>
      </c>
      <c r="T634" s="2487" t="s">
        <v>1241</v>
      </c>
      <c r="U634" s="348" t="s">
        <v>1241</v>
      </c>
      <c r="V634" s="2485" t="s">
        <v>5223</v>
      </c>
      <c r="W634" s="2485" t="s">
        <v>5224</v>
      </c>
      <c r="X634" s="2485" t="s">
        <v>5225</v>
      </c>
      <c r="Y634" s="2485" t="s">
        <v>5226</v>
      </c>
      <c r="Z634" s="2485" t="s">
        <v>13023</v>
      </c>
      <c r="AA634" s="347"/>
    </row>
    <row r="635" spans="1:27" ht="12.75" customHeight="1">
      <c r="A635" s="8243"/>
      <c r="B635" s="242" t="str">
        <f t="shared" si="18"/>
        <v>Sangre84</v>
      </c>
      <c r="D635" s="257" t="s">
        <v>553</v>
      </c>
      <c r="E635" s="2487" t="s">
        <v>55</v>
      </c>
      <c r="F635" s="2487">
        <v>84</v>
      </c>
      <c r="G635" s="2489" t="s">
        <v>1241</v>
      </c>
      <c r="H635" s="2489" t="s">
        <v>1095</v>
      </c>
      <c r="I635" s="351" t="s">
        <v>1166</v>
      </c>
      <c r="J635" s="2487">
        <v>10</v>
      </c>
      <c r="K635" s="2487">
        <v>12</v>
      </c>
      <c r="L635" s="2487">
        <v>15</v>
      </c>
      <c r="M635" s="348">
        <v>17</v>
      </c>
      <c r="N635" s="2487">
        <v>200</v>
      </c>
      <c r="O635" s="2487">
        <v>240</v>
      </c>
      <c r="P635" s="2487">
        <v>300</v>
      </c>
      <c r="Q635" s="348">
        <v>340</v>
      </c>
      <c r="R635" s="2487">
        <v>40</v>
      </c>
      <c r="S635" s="2487">
        <v>50</v>
      </c>
      <c r="T635" s="2487">
        <v>60</v>
      </c>
      <c r="U635" s="348">
        <v>70</v>
      </c>
      <c r="V635" s="2485" t="s">
        <v>5227</v>
      </c>
      <c r="W635" s="2485" t="s">
        <v>5228</v>
      </c>
      <c r="X635" s="2485" t="s">
        <v>5229</v>
      </c>
      <c r="Y635" s="2485" t="s">
        <v>5230</v>
      </c>
      <c r="Z635" s="2485" t="s">
        <v>13024</v>
      </c>
      <c r="AA635" s="347"/>
    </row>
    <row r="636" spans="1:27" ht="12.75" customHeight="1">
      <c r="A636" s="8243"/>
      <c r="B636" s="242" t="str">
        <f t="shared" si="18"/>
        <v>Sangre94</v>
      </c>
      <c r="D636" s="257" t="s">
        <v>554</v>
      </c>
      <c r="E636" s="2487" t="s">
        <v>55</v>
      </c>
      <c r="F636" s="2487">
        <v>94</v>
      </c>
      <c r="G636" s="2489" t="s">
        <v>1241</v>
      </c>
      <c r="H636" s="2489" t="s">
        <v>1094</v>
      </c>
      <c r="I636" s="351" t="s">
        <v>1165</v>
      </c>
      <c r="J636" s="2487">
        <v>10</v>
      </c>
      <c r="K636" s="2487">
        <v>13</v>
      </c>
      <c r="L636" s="2487">
        <v>15</v>
      </c>
      <c r="M636" s="348">
        <v>17</v>
      </c>
      <c r="N636" s="2487">
        <v>280</v>
      </c>
      <c r="O636" s="2487">
        <v>320</v>
      </c>
      <c r="P636" s="2487">
        <v>360</v>
      </c>
      <c r="Q636" s="348">
        <v>400</v>
      </c>
      <c r="R636" s="2487" t="s">
        <v>1241</v>
      </c>
      <c r="S636" s="2487" t="s">
        <v>1241</v>
      </c>
      <c r="T636" s="2487" t="s">
        <v>1241</v>
      </c>
      <c r="U636" s="348" t="s">
        <v>1241</v>
      </c>
      <c r="V636" s="2485" t="s">
        <v>5231</v>
      </c>
      <c r="W636" s="2485" t="s">
        <v>5232</v>
      </c>
      <c r="X636" s="2485" t="s">
        <v>5233</v>
      </c>
      <c r="Y636" s="2485" t="s">
        <v>5234</v>
      </c>
      <c r="Z636" s="2485" t="s">
        <v>5235</v>
      </c>
      <c r="AA636" s="347"/>
    </row>
    <row r="637" spans="1:27" ht="12.75" customHeight="1">
      <c r="A637" s="8243"/>
      <c r="B637" s="242" t="str">
        <f t="shared" si="18"/>
        <v/>
      </c>
      <c r="D637" s="257" t="s">
        <v>555</v>
      </c>
      <c r="E637" s="2487"/>
      <c r="F637" s="2487"/>
      <c r="G637" s="2489"/>
      <c r="H637" s="2489"/>
      <c r="I637" s="351"/>
      <c r="J637" s="2487"/>
      <c r="K637" s="2487"/>
      <c r="L637" s="2487"/>
      <c r="M637" s="348"/>
      <c r="N637" s="2487"/>
      <c r="O637" s="2487"/>
      <c r="P637" s="2487"/>
      <c r="Q637" s="348"/>
      <c r="R637" s="2487"/>
      <c r="S637" s="2487"/>
      <c r="T637" s="2487"/>
      <c r="U637" s="348"/>
      <c r="V637" s="2485"/>
      <c r="W637" s="2485"/>
      <c r="X637" s="2485"/>
      <c r="Y637" s="2485"/>
      <c r="Z637" s="2485"/>
      <c r="AA637" s="347"/>
    </row>
    <row r="638" spans="1:27" ht="12.75" customHeight="1">
      <c r="A638" s="8243"/>
      <c r="B638" s="242" t="str">
        <f t="shared" si="18"/>
        <v>Sueños4</v>
      </c>
      <c r="D638" s="257" t="s">
        <v>556</v>
      </c>
      <c r="E638" s="2487" t="s">
        <v>56</v>
      </c>
      <c r="F638" s="2487">
        <v>4</v>
      </c>
      <c r="G638" s="2489" t="s">
        <v>1241</v>
      </c>
      <c r="H638" s="2489" t="s">
        <v>1097</v>
      </c>
      <c r="I638" s="351" t="s">
        <v>1165</v>
      </c>
      <c r="J638" s="2487">
        <v>5</v>
      </c>
      <c r="K638" s="2487">
        <v>8</v>
      </c>
      <c r="L638" s="2487">
        <v>10</v>
      </c>
      <c r="M638" s="348">
        <v>12</v>
      </c>
      <c r="N638" s="2487">
        <v>40</v>
      </c>
      <c r="O638" s="2487">
        <v>60</v>
      </c>
      <c r="P638" s="2487">
        <v>80</v>
      </c>
      <c r="Q638" s="348">
        <v>100</v>
      </c>
      <c r="R638" s="2487" t="s">
        <v>1241</v>
      </c>
      <c r="S638" s="2487" t="s">
        <v>1241</v>
      </c>
      <c r="T638" s="2487" t="s">
        <v>1241</v>
      </c>
      <c r="U638" s="348" t="s">
        <v>1241</v>
      </c>
      <c r="V638" s="2485" t="s">
        <v>5236</v>
      </c>
      <c r="W638" s="2485" t="s">
        <v>9591</v>
      </c>
      <c r="X638" s="2485" t="s">
        <v>5237</v>
      </c>
      <c r="Y638" s="2485" t="s">
        <v>5238</v>
      </c>
      <c r="Z638" s="2485" t="s">
        <v>9221</v>
      </c>
      <c r="AA638" s="347"/>
    </row>
    <row r="639" spans="1:27" ht="12.75" customHeight="1">
      <c r="A639" s="8243"/>
      <c r="B639" s="242" t="str">
        <f t="shared" si="18"/>
        <v>Sueños14</v>
      </c>
      <c r="D639" s="257" t="s">
        <v>557</v>
      </c>
      <c r="E639" s="2487" t="s">
        <v>56</v>
      </c>
      <c r="F639" s="2487">
        <v>14</v>
      </c>
      <c r="G639" s="2489" t="s">
        <v>2422</v>
      </c>
      <c r="H639" s="2489" t="s">
        <v>1095</v>
      </c>
      <c r="I639" s="351" t="s">
        <v>1165</v>
      </c>
      <c r="J639" s="2487">
        <v>5</v>
      </c>
      <c r="K639" s="2487">
        <v>8</v>
      </c>
      <c r="L639" s="2487">
        <v>10</v>
      </c>
      <c r="M639" s="348">
        <v>12</v>
      </c>
      <c r="N639" s="2487">
        <v>60</v>
      </c>
      <c r="O639" s="2487">
        <v>80</v>
      </c>
      <c r="P639" s="2487">
        <v>100</v>
      </c>
      <c r="Q639" s="348">
        <v>120</v>
      </c>
      <c r="R639" s="2487">
        <v>5</v>
      </c>
      <c r="S639" s="2487">
        <v>5</v>
      </c>
      <c r="T639" s="2487">
        <v>5</v>
      </c>
      <c r="U639" s="348">
        <v>10</v>
      </c>
      <c r="V639" s="2485" t="s">
        <v>5239</v>
      </c>
      <c r="W639" s="2485" t="s">
        <v>5240</v>
      </c>
      <c r="X639" s="2485" t="s">
        <v>5241</v>
      </c>
      <c r="Y639" s="2485" t="s">
        <v>5242</v>
      </c>
      <c r="Z639" s="2485" t="s">
        <v>9222</v>
      </c>
      <c r="AA639" s="347"/>
    </row>
    <row r="640" spans="1:27" ht="12.75" customHeight="1">
      <c r="A640" s="8243"/>
      <c r="B640" s="242" t="str">
        <f t="shared" si="18"/>
        <v>Sueños24</v>
      </c>
      <c r="D640" s="257" t="s">
        <v>558</v>
      </c>
      <c r="E640" s="2487" t="s">
        <v>56</v>
      </c>
      <c r="F640" s="2487">
        <v>24</v>
      </c>
      <c r="G640" s="2489" t="s">
        <v>2422</v>
      </c>
      <c r="H640" s="2489" t="s">
        <v>1094</v>
      </c>
      <c r="I640" s="351" t="s">
        <v>1165</v>
      </c>
      <c r="J640" s="2487">
        <v>6</v>
      </c>
      <c r="K640" s="2487">
        <v>8</v>
      </c>
      <c r="L640" s="2487">
        <v>10</v>
      </c>
      <c r="M640" s="348">
        <v>12</v>
      </c>
      <c r="N640" s="2487">
        <v>60</v>
      </c>
      <c r="O640" s="2487">
        <v>80</v>
      </c>
      <c r="P640" s="2487">
        <v>100</v>
      </c>
      <c r="Q640" s="348">
        <v>120</v>
      </c>
      <c r="R640" s="2487">
        <v>10</v>
      </c>
      <c r="S640" s="2487">
        <v>10</v>
      </c>
      <c r="T640" s="2487">
        <v>10</v>
      </c>
      <c r="U640" s="348">
        <v>15</v>
      </c>
      <c r="V640" s="2485" t="s">
        <v>3391</v>
      </c>
      <c r="W640" s="2485" t="s">
        <v>3295</v>
      </c>
      <c r="X640" s="2485" t="s">
        <v>3153</v>
      </c>
      <c r="Y640" s="2485" t="s">
        <v>9223</v>
      </c>
      <c r="Z640" s="2485" t="s">
        <v>13025</v>
      </c>
      <c r="AA640" s="347"/>
    </row>
    <row r="641" spans="1:27" ht="12.75" customHeight="1">
      <c r="A641" s="8243"/>
      <c r="B641" s="242" t="str">
        <f t="shared" si="18"/>
        <v>Sueños34</v>
      </c>
      <c r="D641" s="257" t="s">
        <v>559</v>
      </c>
      <c r="E641" s="2487" t="s">
        <v>56</v>
      </c>
      <c r="F641" s="2487">
        <v>34</v>
      </c>
      <c r="G641" s="2489" t="s">
        <v>1241</v>
      </c>
      <c r="H641" s="2489" t="s">
        <v>1094</v>
      </c>
      <c r="I641" s="351" t="s">
        <v>1165</v>
      </c>
      <c r="J641" s="2487">
        <v>7</v>
      </c>
      <c r="K641" s="2487">
        <v>9</v>
      </c>
      <c r="L641" s="2487">
        <v>11</v>
      </c>
      <c r="M641" s="348">
        <v>13</v>
      </c>
      <c r="N641" s="2487">
        <v>80</v>
      </c>
      <c r="O641" s="2487">
        <v>100</v>
      </c>
      <c r="P641" s="2487">
        <v>120</v>
      </c>
      <c r="Q641" s="348">
        <v>140</v>
      </c>
      <c r="R641" s="2487">
        <v>10</v>
      </c>
      <c r="S641" s="2487">
        <v>10</v>
      </c>
      <c r="T641" s="2487">
        <v>10</v>
      </c>
      <c r="U641" s="348">
        <v>15</v>
      </c>
      <c r="V641" s="2485" t="s">
        <v>3105</v>
      </c>
      <c r="W641" s="2485" t="s">
        <v>5243</v>
      </c>
      <c r="X641" s="2485" t="s">
        <v>5244</v>
      </c>
      <c r="Y641" s="2485" t="s">
        <v>5245</v>
      </c>
      <c r="Z641" s="2485" t="s">
        <v>9224</v>
      </c>
      <c r="AA641" s="347"/>
    </row>
    <row r="642" spans="1:27" ht="12.75" customHeight="1">
      <c r="A642" s="8243"/>
      <c r="B642" s="242" t="str">
        <f t="shared" si="18"/>
        <v>Sueños44</v>
      </c>
      <c r="D642" s="257" t="s">
        <v>560</v>
      </c>
      <c r="E642" s="2487" t="s">
        <v>56</v>
      </c>
      <c r="F642" s="2487">
        <v>44</v>
      </c>
      <c r="G642" s="2489" t="s">
        <v>2422</v>
      </c>
      <c r="H642" s="2489" t="s">
        <v>1095</v>
      </c>
      <c r="I642" s="351" t="s">
        <v>1165</v>
      </c>
      <c r="J642" s="2487">
        <v>10</v>
      </c>
      <c r="K642" s="2487">
        <v>12</v>
      </c>
      <c r="L642" s="2487">
        <v>14</v>
      </c>
      <c r="M642" s="348">
        <v>16</v>
      </c>
      <c r="N642" s="2487">
        <v>100</v>
      </c>
      <c r="O642" s="2487">
        <v>120</v>
      </c>
      <c r="P642" s="2487">
        <v>140</v>
      </c>
      <c r="Q642" s="348">
        <v>160</v>
      </c>
      <c r="R642" s="2487">
        <v>30</v>
      </c>
      <c r="S642" s="2487">
        <v>30</v>
      </c>
      <c r="T642" s="2487">
        <v>40</v>
      </c>
      <c r="U642" s="348">
        <v>40</v>
      </c>
      <c r="V642" s="2485" t="s">
        <v>5246</v>
      </c>
      <c r="W642" s="2485" t="s">
        <v>5247</v>
      </c>
      <c r="X642" s="2485" t="s">
        <v>5248</v>
      </c>
      <c r="Y642" s="2485" t="s">
        <v>9225</v>
      </c>
      <c r="Z642" s="2485" t="s">
        <v>13026</v>
      </c>
      <c r="AA642" s="347"/>
    </row>
    <row r="643" spans="1:27" ht="12.75" customHeight="1">
      <c r="A643" s="8243"/>
      <c r="B643" s="242" t="str">
        <f t="shared" si="18"/>
        <v>Sueños54</v>
      </c>
      <c r="D643" s="257" t="s">
        <v>561</v>
      </c>
      <c r="E643" s="2487" t="s">
        <v>56</v>
      </c>
      <c r="F643" s="2487">
        <v>54</v>
      </c>
      <c r="G643" s="2489" t="s">
        <v>2422</v>
      </c>
      <c r="H643" s="2489" t="s">
        <v>1094</v>
      </c>
      <c r="I643" s="351" t="s">
        <v>1165</v>
      </c>
      <c r="J643" s="2487">
        <v>7</v>
      </c>
      <c r="K643" s="2487">
        <v>9</v>
      </c>
      <c r="L643" s="2487">
        <v>11</v>
      </c>
      <c r="M643" s="348">
        <v>13</v>
      </c>
      <c r="N643" s="2487">
        <v>100</v>
      </c>
      <c r="O643" s="2487">
        <v>140</v>
      </c>
      <c r="P643" s="2487">
        <v>180</v>
      </c>
      <c r="Q643" s="348">
        <v>240</v>
      </c>
      <c r="R643" s="2487">
        <v>10</v>
      </c>
      <c r="S643" s="2487">
        <v>20</v>
      </c>
      <c r="T643" s="2487">
        <v>20</v>
      </c>
      <c r="U643" s="348">
        <v>25</v>
      </c>
      <c r="V643" s="2485" t="s">
        <v>3389</v>
      </c>
      <c r="W643" s="2485" t="s">
        <v>3425</v>
      </c>
      <c r="X643" s="2485" t="s">
        <v>3390</v>
      </c>
      <c r="Y643" s="2485" t="s">
        <v>3391</v>
      </c>
      <c r="Z643" s="2485" t="s">
        <v>6633</v>
      </c>
      <c r="AA643" s="347"/>
    </row>
    <row r="644" spans="1:27" ht="12.75" customHeight="1">
      <c r="A644" s="8243"/>
      <c r="B644" s="242" t="str">
        <f t="shared" si="18"/>
        <v>Sueños64</v>
      </c>
      <c r="D644" s="257" t="s">
        <v>562</v>
      </c>
      <c r="E644" s="2487" t="s">
        <v>56</v>
      </c>
      <c r="F644" s="2487">
        <v>64</v>
      </c>
      <c r="G644" s="2489" t="s">
        <v>2422</v>
      </c>
      <c r="H644" s="2489" t="s">
        <v>1095</v>
      </c>
      <c r="I644" s="351" t="s">
        <v>1165</v>
      </c>
      <c r="J644" s="2487">
        <v>10</v>
      </c>
      <c r="K644" s="2487">
        <v>12</v>
      </c>
      <c r="L644" s="2487">
        <v>14</v>
      </c>
      <c r="M644" s="348">
        <v>16</v>
      </c>
      <c r="N644" s="2487">
        <v>200</v>
      </c>
      <c r="O644" s="2487">
        <v>240</v>
      </c>
      <c r="P644" s="2487">
        <v>280</v>
      </c>
      <c r="Q644" s="348">
        <v>320</v>
      </c>
      <c r="R644" s="2487">
        <v>40</v>
      </c>
      <c r="S644" s="2487">
        <v>50</v>
      </c>
      <c r="T644" s="2487">
        <v>60</v>
      </c>
      <c r="U644" s="348">
        <v>70</v>
      </c>
      <c r="V644" s="2485" t="s">
        <v>5249</v>
      </c>
      <c r="W644" s="2485" t="s">
        <v>5250</v>
      </c>
      <c r="X644" s="2485" t="s">
        <v>5251</v>
      </c>
      <c r="Y644" s="2485" t="s">
        <v>5252</v>
      </c>
      <c r="Z644" s="2485" t="s">
        <v>5253</v>
      </c>
      <c r="AA644" s="347"/>
    </row>
    <row r="645" spans="1:27" ht="12.75" customHeight="1">
      <c r="A645" s="8243"/>
      <c r="B645" s="242" t="str">
        <f t="shared" si="18"/>
        <v>Sueños74</v>
      </c>
      <c r="D645" s="257" t="s">
        <v>9958</v>
      </c>
      <c r="E645" s="2487" t="s">
        <v>56</v>
      </c>
      <c r="F645" s="2487">
        <v>74</v>
      </c>
      <c r="G645" s="2489" t="s">
        <v>1241</v>
      </c>
      <c r="H645" s="2489" t="s">
        <v>1094</v>
      </c>
      <c r="I645" s="351" t="s">
        <v>1165</v>
      </c>
      <c r="J645" s="2487">
        <v>10</v>
      </c>
      <c r="K645" s="2487">
        <v>12</v>
      </c>
      <c r="L645" s="2487">
        <v>14</v>
      </c>
      <c r="M645" s="348">
        <v>16</v>
      </c>
      <c r="N645" s="2487">
        <v>100</v>
      </c>
      <c r="O645" s="2487">
        <v>120</v>
      </c>
      <c r="P645" s="2487">
        <v>140</v>
      </c>
      <c r="Q645" s="348">
        <v>160</v>
      </c>
      <c r="R645" s="2487" t="s">
        <v>1241</v>
      </c>
      <c r="S645" s="2487" t="s">
        <v>1241</v>
      </c>
      <c r="T645" s="2487" t="s">
        <v>1241</v>
      </c>
      <c r="U645" s="348" t="s">
        <v>1241</v>
      </c>
      <c r="V645" s="2485" t="s">
        <v>3425</v>
      </c>
      <c r="W645" s="2485" t="s">
        <v>3390</v>
      </c>
      <c r="X645" s="2485" t="s">
        <v>3391</v>
      </c>
      <c r="Y645" s="2485" t="s">
        <v>3295</v>
      </c>
      <c r="Z645" s="2485" t="s">
        <v>5254</v>
      </c>
      <c r="AA645" s="347"/>
    </row>
    <row r="646" spans="1:27" ht="12.75" customHeight="1">
      <c r="A646" s="8243"/>
      <c r="B646" s="242" t="str">
        <f t="shared" si="18"/>
        <v>Sueños84</v>
      </c>
      <c r="D646" s="257" t="s">
        <v>563</v>
      </c>
      <c r="E646" s="2487" t="s">
        <v>56</v>
      </c>
      <c r="F646" s="2487">
        <v>84</v>
      </c>
      <c r="G646" s="2489" t="s">
        <v>2422</v>
      </c>
      <c r="H646" s="2489" t="s">
        <v>1095</v>
      </c>
      <c r="I646" s="351" t="s">
        <v>1165</v>
      </c>
      <c r="J646" s="2487">
        <v>13</v>
      </c>
      <c r="K646" s="2487">
        <v>15</v>
      </c>
      <c r="L646" s="2487">
        <v>17</v>
      </c>
      <c r="M646" s="348">
        <v>19</v>
      </c>
      <c r="N646" s="2487">
        <v>400</v>
      </c>
      <c r="O646" s="2487">
        <v>500</v>
      </c>
      <c r="P646" s="2487">
        <v>700</v>
      </c>
      <c r="Q646" s="348">
        <v>900</v>
      </c>
      <c r="R646" s="2487">
        <v>80</v>
      </c>
      <c r="S646" s="2487">
        <v>100</v>
      </c>
      <c r="T646" s="2487">
        <v>140</v>
      </c>
      <c r="U646" s="348">
        <v>180</v>
      </c>
      <c r="V646" s="2485" t="s">
        <v>5255</v>
      </c>
      <c r="W646" s="2485" t="s">
        <v>5256</v>
      </c>
      <c r="X646" s="2485" t="s">
        <v>5257</v>
      </c>
      <c r="Y646" s="2485" t="s">
        <v>5258</v>
      </c>
      <c r="Z646" s="2485" t="s">
        <v>5259</v>
      </c>
      <c r="AA646" s="347"/>
    </row>
    <row r="647" spans="1:27" ht="12.75" customHeight="1">
      <c r="A647" s="8243"/>
      <c r="B647" s="242" t="str">
        <f t="shared" si="18"/>
        <v>Sueños94</v>
      </c>
      <c r="D647" s="257" t="s">
        <v>564</v>
      </c>
      <c r="E647" s="2487" t="s">
        <v>56</v>
      </c>
      <c r="F647" s="2487">
        <v>94</v>
      </c>
      <c r="G647" s="2489" t="s">
        <v>2422</v>
      </c>
      <c r="H647" s="2489" t="s">
        <v>1095</v>
      </c>
      <c r="I647" s="351" t="s">
        <v>1165</v>
      </c>
      <c r="J647" s="2487">
        <v>12</v>
      </c>
      <c r="K647" s="2487">
        <v>14</v>
      </c>
      <c r="L647" s="2487">
        <v>16</v>
      </c>
      <c r="M647" s="348">
        <v>18</v>
      </c>
      <c r="N647" s="2487">
        <v>300</v>
      </c>
      <c r="O647" s="2487">
        <v>600</v>
      </c>
      <c r="P647" s="2487">
        <v>900</v>
      </c>
      <c r="Q647" s="348">
        <v>1200</v>
      </c>
      <c r="R647" s="2487">
        <v>50</v>
      </c>
      <c r="S647" s="2487">
        <v>60</v>
      </c>
      <c r="T647" s="2487">
        <v>65</v>
      </c>
      <c r="U647" s="348">
        <v>75</v>
      </c>
      <c r="V647" s="2485" t="s">
        <v>5260</v>
      </c>
      <c r="W647" s="2485" t="s">
        <v>5261</v>
      </c>
      <c r="X647" s="2485" t="s">
        <v>5262</v>
      </c>
      <c r="Y647" s="2485" t="s">
        <v>5263</v>
      </c>
      <c r="Z647" s="2485" t="s">
        <v>13027</v>
      </c>
      <c r="AA647" s="347"/>
    </row>
    <row r="648" spans="1:27" ht="12.75" customHeight="1">
      <c r="A648" s="8243"/>
      <c r="B648" s="242" t="str">
        <f t="shared" ref="B648:B711" si="19">E648&amp;F648</f>
        <v/>
      </c>
      <c r="D648" s="257" t="s">
        <v>565</v>
      </c>
      <c r="E648" s="2487"/>
      <c r="F648" s="2487"/>
      <c r="G648" s="2489"/>
      <c r="H648" s="2489"/>
      <c r="I648" s="351"/>
      <c r="J648" s="2487"/>
      <c r="K648" s="2487"/>
      <c r="L648" s="2487"/>
      <c r="M648" s="348"/>
      <c r="N648" s="2487"/>
      <c r="O648" s="2487"/>
      <c r="P648" s="2487"/>
      <c r="Q648" s="348"/>
      <c r="R648" s="2487"/>
      <c r="S648" s="2487"/>
      <c r="T648" s="2487"/>
      <c r="U648" s="348"/>
      <c r="V648" s="2485"/>
      <c r="W648" s="2485"/>
      <c r="X648" s="2485"/>
      <c r="Y648" s="2485"/>
      <c r="Z648" s="2485"/>
      <c r="AA648" s="347"/>
    </row>
    <row r="649" spans="1:27" ht="12.75" customHeight="1">
      <c r="A649" s="8243"/>
      <c r="B649" s="242" t="str">
        <f t="shared" si="19"/>
        <v>Tiempo4</v>
      </c>
      <c r="D649" s="257" t="s">
        <v>566</v>
      </c>
      <c r="E649" s="2487" t="s">
        <v>57</v>
      </c>
      <c r="F649" s="2487">
        <v>4</v>
      </c>
      <c r="G649" s="2489" t="s">
        <v>1241</v>
      </c>
      <c r="H649" s="2489" t="s">
        <v>1095</v>
      </c>
      <c r="I649" s="351" t="s">
        <v>1165</v>
      </c>
      <c r="J649" s="2487">
        <v>5</v>
      </c>
      <c r="K649" s="2487">
        <v>7</v>
      </c>
      <c r="L649" s="2487">
        <v>10</v>
      </c>
      <c r="M649" s="348">
        <v>12</v>
      </c>
      <c r="N649" s="2487">
        <v>30</v>
      </c>
      <c r="O649" s="2487">
        <v>50</v>
      </c>
      <c r="P649" s="2487">
        <v>70</v>
      </c>
      <c r="Q649" s="348">
        <v>90</v>
      </c>
      <c r="R649" s="2487" t="s">
        <v>1241</v>
      </c>
      <c r="S649" s="2487" t="s">
        <v>1241</v>
      </c>
      <c r="T649" s="2487" t="s">
        <v>1241</v>
      </c>
      <c r="U649" s="348" t="s">
        <v>1241</v>
      </c>
      <c r="V649" s="2485" t="s">
        <v>5264</v>
      </c>
      <c r="W649" s="2485" t="s">
        <v>13028</v>
      </c>
      <c r="X649" s="2485" t="s">
        <v>5265</v>
      </c>
      <c r="Y649" s="2485" t="s">
        <v>5266</v>
      </c>
      <c r="Z649" s="2485" t="s">
        <v>5267</v>
      </c>
      <c r="AA649" s="347"/>
    </row>
    <row r="650" spans="1:27" ht="12.75" customHeight="1">
      <c r="A650" s="8243"/>
      <c r="B650" s="242" t="str">
        <f t="shared" si="19"/>
        <v>Tiempo14</v>
      </c>
      <c r="D650" s="257" t="s">
        <v>567</v>
      </c>
      <c r="E650" s="2487" t="s">
        <v>57</v>
      </c>
      <c r="F650" s="2487">
        <v>14</v>
      </c>
      <c r="G650" s="2489" t="s">
        <v>1241</v>
      </c>
      <c r="H650" s="2489" t="s">
        <v>1095</v>
      </c>
      <c r="I650" s="351" t="s">
        <v>1165</v>
      </c>
      <c r="J650" s="2487">
        <v>7</v>
      </c>
      <c r="K650" s="2487">
        <v>10</v>
      </c>
      <c r="L650" s="2487">
        <v>12</v>
      </c>
      <c r="M650" s="348">
        <v>15</v>
      </c>
      <c r="N650" s="2487">
        <v>100</v>
      </c>
      <c r="O650" s="2487">
        <v>140</v>
      </c>
      <c r="P650" s="2487">
        <v>180</v>
      </c>
      <c r="Q650" s="348">
        <v>240</v>
      </c>
      <c r="R650" s="2487">
        <v>10</v>
      </c>
      <c r="S650" s="2487">
        <v>15</v>
      </c>
      <c r="T650" s="2487">
        <v>20</v>
      </c>
      <c r="U650" s="348">
        <v>25</v>
      </c>
      <c r="V650" s="2485" t="s">
        <v>5268</v>
      </c>
      <c r="W650" s="2485" t="s">
        <v>5269</v>
      </c>
      <c r="X650" s="2485" t="s">
        <v>5270</v>
      </c>
      <c r="Y650" s="2485" t="s">
        <v>5271</v>
      </c>
      <c r="Z650" s="2485" t="s">
        <v>5272</v>
      </c>
      <c r="AA650" s="347"/>
    </row>
    <row r="651" spans="1:27" ht="12.75" customHeight="1">
      <c r="A651" s="8243"/>
      <c r="B651" s="242" t="str">
        <f t="shared" si="19"/>
        <v>Tiempo24</v>
      </c>
      <c r="D651" s="257" t="s">
        <v>568</v>
      </c>
      <c r="E651" s="2487" t="s">
        <v>57</v>
      </c>
      <c r="F651" s="2487">
        <v>24</v>
      </c>
      <c r="G651" s="2489" t="s">
        <v>1241</v>
      </c>
      <c r="H651" s="2489" t="s">
        <v>1095</v>
      </c>
      <c r="I651" s="351" t="s">
        <v>1165</v>
      </c>
      <c r="J651" s="2487">
        <v>7</v>
      </c>
      <c r="K651" s="2487">
        <v>10</v>
      </c>
      <c r="L651" s="2487">
        <v>12</v>
      </c>
      <c r="M651" s="348">
        <v>15</v>
      </c>
      <c r="N651" s="2487">
        <v>100</v>
      </c>
      <c r="O651" s="2487">
        <v>150</v>
      </c>
      <c r="P651" s="2487">
        <v>200</v>
      </c>
      <c r="Q651" s="348">
        <v>250</v>
      </c>
      <c r="R651" s="2487">
        <v>10</v>
      </c>
      <c r="S651" s="2487">
        <v>15</v>
      </c>
      <c r="T651" s="2487">
        <v>20</v>
      </c>
      <c r="U651" s="348">
        <v>25</v>
      </c>
      <c r="V651" s="2485" t="s">
        <v>5273</v>
      </c>
      <c r="W651" s="2485" t="s">
        <v>5274</v>
      </c>
      <c r="X651" s="2485" t="s">
        <v>5275</v>
      </c>
      <c r="Y651" s="2485" t="s">
        <v>5276</v>
      </c>
      <c r="Z651" s="2485" t="s">
        <v>5277</v>
      </c>
      <c r="AA651" s="347"/>
    </row>
    <row r="652" spans="1:27" ht="12.75" customHeight="1">
      <c r="A652" s="8243"/>
      <c r="B652" s="242" t="str">
        <f t="shared" si="19"/>
        <v>Tiempo34</v>
      </c>
      <c r="D652" s="257" t="s">
        <v>569</v>
      </c>
      <c r="E652" s="2487" t="s">
        <v>57</v>
      </c>
      <c r="F652" s="2487">
        <v>34</v>
      </c>
      <c r="G652" s="2489" t="s">
        <v>1241</v>
      </c>
      <c r="H652" s="2489" t="s">
        <v>1096</v>
      </c>
      <c r="I652" s="351" t="s">
        <v>1165</v>
      </c>
      <c r="J652" s="2487">
        <v>8</v>
      </c>
      <c r="K652" s="2487">
        <v>11</v>
      </c>
      <c r="L652" s="2487">
        <v>13</v>
      </c>
      <c r="M652" s="348">
        <v>15</v>
      </c>
      <c r="N652" s="2487">
        <v>150</v>
      </c>
      <c r="O652" s="2487">
        <v>200</v>
      </c>
      <c r="P652" s="2487">
        <v>280</v>
      </c>
      <c r="Q652" s="348">
        <v>380</v>
      </c>
      <c r="R652" s="2487">
        <v>15</v>
      </c>
      <c r="S652" s="2487">
        <v>20</v>
      </c>
      <c r="T652" s="2487">
        <v>30</v>
      </c>
      <c r="U652" s="348">
        <v>40</v>
      </c>
      <c r="V652" s="2485" t="s">
        <v>5278</v>
      </c>
      <c r="W652" s="2485" t="s">
        <v>5279</v>
      </c>
      <c r="X652" s="2485" t="s">
        <v>5280</v>
      </c>
      <c r="Y652" s="2485" t="s">
        <v>5281</v>
      </c>
      <c r="Z652" s="2485" t="s">
        <v>5282</v>
      </c>
      <c r="AA652" s="347"/>
    </row>
    <row r="653" spans="1:27" ht="12.75" customHeight="1">
      <c r="A653" s="8243"/>
      <c r="B653" s="242" t="str">
        <f t="shared" si="19"/>
        <v>Tiempo44</v>
      </c>
      <c r="D653" s="257" t="s">
        <v>570</v>
      </c>
      <c r="E653" s="2487" t="s">
        <v>57</v>
      </c>
      <c r="F653" s="2487">
        <v>44</v>
      </c>
      <c r="G653" s="2489" t="s">
        <v>2422</v>
      </c>
      <c r="H653" s="2489" t="s">
        <v>1096</v>
      </c>
      <c r="I653" s="351" t="s">
        <v>1165</v>
      </c>
      <c r="J653" s="2487">
        <v>9</v>
      </c>
      <c r="K653" s="2487">
        <v>12</v>
      </c>
      <c r="L653" s="2487">
        <v>14</v>
      </c>
      <c r="M653" s="348">
        <v>16</v>
      </c>
      <c r="N653" s="2487">
        <v>200</v>
      </c>
      <c r="O653" s="2487">
        <v>300</v>
      </c>
      <c r="P653" s="2487">
        <v>400</v>
      </c>
      <c r="Q653" s="348">
        <v>500</v>
      </c>
      <c r="R653" s="2487">
        <v>40</v>
      </c>
      <c r="S653" s="2487">
        <v>60</v>
      </c>
      <c r="T653" s="2487">
        <v>80</v>
      </c>
      <c r="U653" s="348">
        <v>100</v>
      </c>
      <c r="V653" s="2485" t="s">
        <v>5283</v>
      </c>
      <c r="W653" s="2485" t="s">
        <v>5284</v>
      </c>
      <c r="X653" s="2485" t="s">
        <v>5285</v>
      </c>
      <c r="Y653" s="2485" t="s">
        <v>5286</v>
      </c>
      <c r="Z653" s="2485" t="s">
        <v>5287</v>
      </c>
      <c r="AA653" s="347"/>
    </row>
    <row r="654" spans="1:27" ht="12.75" customHeight="1">
      <c r="A654" s="8243"/>
      <c r="B654" s="242" t="str">
        <f t="shared" si="19"/>
        <v>Tiempo54</v>
      </c>
      <c r="D654" s="257" t="s">
        <v>571</v>
      </c>
      <c r="E654" s="2487" t="s">
        <v>57</v>
      </c>
      <c r="F654" s="2487">
        <v>54</v>
      </c>
      <c r="G654" s="2489" t="s">
        <v>1241</v>
      </c>
      <c r="H654" s="2489" t="s">
        <v>1094</v>
      </c>
      <c r="I654" s="351" t="s">
        <v>1165</v>
      </c>
      <c r="J654" s="2487">
        <v>10</v>
      </c>
      <c r="K654" s="2487">
        <v>13</v>
      </c>
      <c r="L654" s="2487">
        <v>15</v>
      </c>
      <c r="M654" s="348">
        <v>17</v>
      </c>
      <c r="N654" s="2487">
        <v>250</v>
      </c>
      <c r="O654" s="2487">
        <v>350</v>
      </c>
      <c r="P654" s="2487">
        <v>450</v>
      </c>
      <c r="Q654" s="348">
        <v>600</v>
      </c>
      <c r="R654" s="2487" t="s">
        <v>1241</v>
      </c>
      <c r="S654" s="2487" t="s">
        <v>1241</v>
      </c>
      <c r="T654" s="2487" t="s">
        <v>1241</v>
      </c>
      <c r="U654" s="348" t="s">
        <v>1241</v>
      </c>
      <c r="V654" s="2485" t="s">
        <v>5288</v>
      </c>
      <c r="W654" s="2485" t="s">
        <v>5289</v>
      </c>
      <c r="X654" s="2485" t="s">
        <v>5290</v>
      </c>
      <c r="Y654" s="2485" t="s">
        <v>5291</v>
      </c>
      <c r="Z654" s="2485" t="s">
        <v>5292</v>
      </c>
      <c r="AA654" s="347"/>
    </row>
    <row r="655" spans="1:27" ht="12.75" customHeight="1">
      <c r="A655" s="8243"/>
      <c r="B655" s="242" t="str">
        <f t="shared" si="19"/>
        <v>Tiempo64</v>
      </c>
      <c r="D655" s="257" t="s">
        <v>572</v>
      </c>
      <c r="E655" s="2487" t="s">
        <v>57</v>
      </c>
      <c r="F655" s="2487">
        <v>64</v>
      </c>
      <c r="G655" s="2489" t="s">
        <v>1241</v>
      </c>
      <c r="H655" s="2489" t="s">
        <v>1095</v>
      </c>
      <c r="I655" s="351" t="s">
        <v>1165</v>
      </c>
      <c r="J655" s="2487">
        <v>11</v>
      </c>
      <c r="K655" s="2487">
        <v>14</v>
      </c>
      <c r="L655" s="2487">
        <v>16</v>
      </c>
      <c r="M655" s="348">
        <v>18</v>
      </c>
      <c r="N655" s="2487">
        <v>200</v>
      </c>
      <c r="O655" s="2487">
        <v>350</v>
      </c>
      <c r="P655" s="2487">
        <v>500</v>
      </c>
      <c r="Q655" s="348">
        <v>800</v>
      </c>
      <c r="R655" s="2487" t="s">
        <v>1241</v>
      </c>
      <c r="S655" s="2487" t="s">
        <v>1241</v>
      </c>
      <c r="T655" s="2487" t="s">
        <v>1241</v>
      </c>
      <c r="U655" s="348" t="s">
        <v>1241</v>
      </c>
      <c r="V655" s="2485" t="s">
        <v>5293</v>
      </c>
      <c r="W655" s="2485" t="s">
        <v>5294</v>
      </c>
      <c r="X655" s="2485" t="s">
        <v>5295</v>
      </c>
      <c r="Y655" s="2485" t="s">
        <v>5296</v>
      </c>
      <c r="Z655" s="2485" t="s">
        <v>5297</v>
      </c>
      <c r="AA655" s="347"/>
    </row>
    <row r="656" spans="1:27" ht="12.75" customHeight="1">
      <c r="A656" s="8243"/>
      <c r="B656" s="242" t="str">
        <f t="shared" si="19"/>
        <v>Tiempo74</v>
      </c>
      <c r="D656" s="257" t="s">
        <v>573</v>
      </c>
      <c r="E656" s="2487" t="s">
        <v>57</v>
      </c>
      <c r="F656" s="2487">
        <v>74</v>
      </c>
      <c r="G656" s="2489" t="s">
        <v>1241</v>
      </c>
      <c r="H656" s="2489" t="s">
        <v>1094</v>
      </c>
      <c r="I656" s="351" t="s">
        <v>1165</v>
      </c>
      <c r="J656" s="2487">
        <v>11</v>
      </c>
      <c r="K656" s="2487">
        <v>14</v>
      </c>
      <c r="L656" s="2487">
        <v>16</v>
      </c>
      <c r="M656" s="348">
        <v>18</v>
      </c>
      <c r="N656" s="2487">
        <v>250</v>
      </c>
      <c r="O656" s="2487">
        <v>350</v>
      </c>
      <c r="P656" s="2487">
        <v>450</v>
      </c>
      <c r="Q656" s="348">
        <v>600</v>
      </c>
      <c r="R656" s="2487" t="s">
        <v>1241</v>
      </c>
      <c r="S656" s="2487" t="s">
        <v>1241</v>
      </c>
      <c r="T656" s="2487" t="s">
        <v>1241</v>
      </c>
      <c r="U656" s="348" t="s">
        <v>1241</v>
      </c>
      <c r="V656" s="2485" t="s">
        <v>5298</v>
      </c>
      <c r="W656" s="2485" t="s">
        <v>5299</v>
      </c>
      <c r="X656" s="2485" t="s">
        <v>5300</v>
      </c>
      <c r="Y656" s="2485" t="s">
        <v>5301</v>
      </c>
      <c r="Z656" s="2485" t="s">
        <v>5302</v>
      </c>
      <c r="AA656" s="347"/>
    </row>
    <row r="657" spans="1:27" ht="12.75" customHeight="1">
      <c r="A657" s="8243"/>
      <c r="B657" s="242" t="str">
        <f t="shared" si="19"/>
        <v>Tiempo84</v>
      </c>
      <c r="D657" s="257" t="s">
        <v>574</v>
      </c>
      <c r="E657" s="2487" t="s">
        <v>57</v>
      </c>
      <c r="F657" s="2487">
        <v>84</v>
      </c>
      <c r="G657" s="2489" t="s">
        <v>1241</v>
      </c>
      <c r="H657" s="2489" t="s">
        <v>1095</v>
      </c>
      <c r="I657" s="351" t="s">
        <v>1165</v>
      </c>
      <c r="J657" s="2487">
        <v>11</v>
      </c>
      <c r="K657" s="2487">
        <v>14</v>
      </c>
      <c r="L657" s="2487">
        <v>16</v>
      </c>
      <c r="M657" s="348">
        <v>18</v>
      </c>
      <c r="N657" s="2487">
        <v>400</v>
      </c>
      <c r="O657" s="2487">
        <v>600</v>
      </c>
      <c r="P657" s="2487">
        <v>900</v>
      </c>
      <c r="Q657" s="348">
        <v>1400</v>
      </c>
      <c r="R657" s="2487">
        <v>40</v>
      </c>
      <c r="S657" s="2487">
        <v>60</v>
      </c>
      <c r="T657" s="2487">
        <v>90</v>
      </c>
      <c r="U657" s="348">
        <v>140</v>
      </c>
      <c r="V657" s="2485" t="s">
        <v>5303</v>
      </c>
      <c r="W657" s="2485" t="s">
        <v>5304</v>
      </c>
      <c r="X657" s="2485" t="s">
        <v>5305</v>
      </c>
      <c r="Y657" s="2485" t="s">
        <v>5306</v>
      </c>
      <c r="Z657" s="2485" t="s">
        <v>5307</v>
      </c>
      <c r="AA657" s="347"/>
    </row>
    <row r="658" spans="1:27" ht="12.75" customHeight="1">
      <c r="A658" s="8243"/>
      <c r="B658" s="242" t="str">
        <f t="shared" si="19"/>
        <v>Tiempo94</v>
      </c>
      <c r="D658" s="257" t="s">
        <v>575</v>
      </c>
      <c r="E658" s="2487" t="s">
        <v>57</v>
      </c>
      <c r="F658" s="2487">
        <v>94</v>
      </c>
      <c r="G658" s="2489" t="s">
        <v>1241</v>
      </c>
      <c r="H658" s="2489" t="s">
        <v>1095</v>
      </c>
      <c r="I658" s="351" t="s">
        <v>1165</v>
      </c>
      <c r="J658" s="2487">
        <v>12</v>
      </c>
      <c r="K658" s="2487">
        <v>15</v>
      </c>
      <c r="L658" s="2487">
        <v>17</v>
      </c>
      <c r="M658" s="348">
        <v>19</v>
      </c>
      <c r="N658" s="2487">
        <v>500</v>
      </c>
      <c r="O658" s="2487">
        <v>800</v>
      </c>
      <c r="P658" s="2487">
        <v>1250</v>
      </c>
      <c r="Q658" s="348">
        <v>2500</v>
      </c>
      <c r="R658" s="2487" t="s">
        <v>1241</v>
      </c>
      <c r="S658" s="2487" t="s">
        <v>1241</v>
      </c>
      <c r="T658" s="2487" t="s">
        <v>1241</v>
      </c>
      <c r="U658" s="348" t="s">
        <v>1241</v>
      </c>
      <c r="V658" s="2485" t="s">
        <v>5308</v>
      </c>
      <c r="W658" s="2485" t="s">
        <v>5309</v>
      </c>
      <c r="X658" s="2485" t="s">
        <v>5310</v>
      </c>
      <c r="Y658" s="2485" t="s">
        <v>5311</v>
      </c>
      <c r="Z658" s="2485" t="s">
        <v>5312</v>
      </c>
      <c r="AA658" s="347"/>
    </row>
    <row r="659" spans="1:27" ht="12.75" customHeight="1">
      <c r="A659" s="8243"/>
      <c r="B659" s="242" t="str">
        <f t="shared" si="19"/>
        <v/>
      </c>
      <c r="D659" s="257" t="s">
        <v>576</v>
      </c>
      <c r="E659" s="2487"/>
      <c r="F659" s="2487"/>
      <c r="G659" s="2489"/>
      <c r="H659" s="2489"/>
      <c r="I659" s="351"/>
      <c r="J659" s="2487"/>
      <c r="K659" s="2487"/>
      <c r="L659" s="2487"/>
      <c r="M659" s="348"/>
      <c r="N659" s="2487"/>
      <c r="O659" s="2487"/>
      <c r="P659" s="2487"/>
      <c r="Q659" s="348"/>
      <c r="R659" s="2487"/>
      <c r="S659" s="2487"/>
      <c r="T659" s="2487"/>
      <c r="U659" s="348"/>
      <c r="V659" s="2485"/>
      <c r="W659" s="2485"/>
      <c r="X659" s="2485"/>
      <c r="Y659" s="2485"/>
      <c r="Z659" s="2485"/>
      <c r="AA659" s="347"/>
    </row>
    <row r="660" spans="1:27" ht="12.75" customHeight="1">
      <c r="A660" s="8243"/>
      <c r="B660" s="242" t="str">
        <f t="shared" si="19"/>
        <v>Umbral4</v>
      </c>
      <c r="D660" s="257" t="s">
        <v>577</v>
      </c>
      <c r="E660" s="2487" t="s">
        <v>1926</v>
      </c>
      <c r="F660" s="2487">
        <v>4</v>
      </c>
      <c r="G660" s="2489" t="s">
        <v>1241</v>
      </c>
      <c r="H660" s="2489" t="s">
        <v>1097</v>
      </c>
      <c r="I660" s="351" t="s">
        <v>1165</v>
      </c>
      <c r="J660" s="2487">
        <v>5</v>
      </c>
      <c r="K660" s="2487">
        <v>8</v>
      </c>
      <c r="L660" s="2487">
        <v>11</v>
      </c>
      <c r="M660" s="348">
        <v>14</v>
      </c>
      <c r="N660" s="2487">
        <v>30</v>
      </c>
      <c r="O660" s="2487">
        <v>60</v>
      </c>
      <c r="P660" s="2487">
        <v>90</v>
      </c>
      <c r="Q660" s="348">
        <v>120</v>
      </c>
      <c r="R660" s="2487">
        <v>5</v>
      </c>
      <c r="S660" s="2487">
        <v>5</v>
      </c>
      <c r="T660" s="2487">
        <v>5</v>
      </c>
      <c r="U660" s="348">
        <v>10</v>
      </c>
      <c r="V660" s="2485" t="s">
        <v>5313</v>
      </c>
      <c r="W660" s="2485" t="s">
        <v>5314</v>
      </c>
      <c r="X660" s="2485" t="s">
        <v>5315</v>
      </c>
      <c r="Y660" s="2485" t="s">
        <v>5316</v>
      </c>
      <c r="Z660" s="2485" t="s">
        <v>13029</v>
      </c>
      <c r="AA660" s="347"/>
    </row>
    <row r="661" spans="1:27" ht="12.75" customHeight="1">
      <c r="A661" s="8243"/>
      <c r="B661" s="242" t="str">
        <f t="shared" si="19"/>
        <v>Umbral14</v>
      </c>
      <c r="D661" s="257" t="s">
        <v>578</v>
      </c>
      <c r="E661" s="2487" t="s">
        <v>1926</v>
      </c>
      <c r="F661" s="2487">
        <v>14</v>
      </c>
      <c r="G661" s="2489" t="s">
        <v>1241</v>
      </c>
      <c r="H661" s="2489" t="s">
        <v>1095</v>
      </c>
      <c r="I661" s="351" t="s">
        <v>1165</v>
      </c>
      <c r="J661" s="2487">
        <v>6</v>
      </c>
      <c r="K661" s="2487">
        <v>9</v>
      </c>
      <c r="L661" s="2487">
        <v>12</v>
      </c>
      <c r="M661" s="348">
        <v>15</v>
      </c>
      <c r="N661" s="2487">
        <v>40</v>
      </c>
      <c r="O661" s="2487">
        <v>70</v>
      </c>
      <c r="P661" s="2487">
        <v>100</v>
      </c>
      <c r="Q661" s="348">
        <v>130</v>
      </c>
      <c r="R661" s="2487" t="s">
        <v>1241</v>
      </c>
      <c r="S661" s="2487" t="s">
        <v>1241</v>
      </c>
      <c r="T661" s="2487" t="s">
        <v>1241</v>
      </c>
      <c r="U661" s="348" t="s">
        <v>1241</v>
      </c>
      <c r="V661" s="2485" t="s">
        <v>3283</v>
      </c>
      <c r="W661" s="2485" t="s">
        <v>5317</v>
      </c>
      <c r="X661" s="2485" t="s">
        <v>3842</v>
      </c>
      <c r="Y661" s="2485" t="s">
        <v>3843</v>
      </c>
      <c r="Z661" s="2485" t="s">
        <v>5318</v>
      </c>
      <c r="AA661" s="347"/>
    </row>
    <row r="662" spans="1:27" ht="12.75" customHeight="1">
      <c r="A662" s="8243"/>
      <c r="B662" s="242" t="str">
        <f t="shared" si="19"/>
        <v>Umbral24</v>
      </c>
      <c r="D662" s="257" t="s">
        <v>579</v>
      </c>
      <c r="E662" s="2487" t="s">
        <v>1926</v>
      </c>
      <c r="F662" s="2487">
        <v>24</v>
      </c>
      <c r="G662" s="2489" t="s">
        <v>1241</v>
      </c>
      <c r="H662" s="2489" t="s">
        <v>1096</v>
      </c>
      <c r="I662" s="351" t="s">
        <v>1165</v>
      </c>
      <c r="J662" s="2487">
        <v>6</v>
      </c>
      <c r="K662" s="2487">
        <v>9</v>
      </c>
      <c r="L662" s="2487">
        <v>12</v>
      </c>
      <c r="M662" s="348">
        <v>15</v>
      </c>
      <c r="N662" s="2487">
        <v>60</v>
      </c>
      <c r="O662" s="2487">
        <v>100</v>
      </c>
      <c r="P662" s="2487">
        <v>160</v>
      </c>
      <c r="Q662" s="348">
        <v>200</v>
      </c>
      <c r="R662" s="2487">
        <v>5</v>
      </c>
      <c r="S662" s="2487">
        <v>5</v>
      </c>
      <c r="T662" s="2487">
        <v>10</v>
      </c>
      <c r="U662" s="348">
        <v>10</v>
      </c>
      <c r="V662" s="2485" t="s">
        <v>3225</v>
      </c>
      <c r="W662" s="2485" t="s">
        <v>3044</v>
      </c>
      <c r="X662" s="2485" t="s">
        <v>5319</v>
      </c>
      <c r="Y662" s="2485" t="s">
        <v>5320</v>
      </c>
      <c r="Z662" s="2485" t="s">
        <v>5321</v>
      </c>
      <c r="AA662" s="347"/>
    </row>
    <row r="663" spans="1:27" ht="12.75" customHeight="1">
      <c r="A663" s="8243"/>
      <c r="B663" s="242" t="str">
        <f t="shared" si="19"/>
        <v>Umbral34</v>
      </c>
      <c r="D663" s="257" t="s">
        <v>580</v>
      </c>
      <c r="E663" s="2487" t="s">
        <v>1926</v>
      </c>
      <c r="F663" s="2487">
        <v>34</v>
      </c>
      <c r="G663" s="2489" t="s">
        <v>1241</v>
      </c>
      <c r="H663" s="2489" t="s">
        <v>1094</v>
      </c>
      <c r="I663" s="351" t="s">
        <v>1165</v>
      </c>
      <c r="J663" s="2487">
        <v>7</v>
      </c>
      <c r="K663" s="2487">
        <v>10</v>
      </c>
      <c r="L663" s="2487">
        <v>13</v>
      </c>
      <c r="M663" s="348">
        <v>15</v>
      </c>
      <c r="N663" s="2487">
        <v>80</v>
      </c>
      <c r="O663" s="2487">
        <v>100</v>
      </c>
      <c r="P663" s="2487">
        <v>120</v>
      </c>
      <c r="Q663" s="348">
        <v>140</v>
      </c>
      <c r="R663" s="2487">
        <v>5</v>
      </c>
      <c r="S663" s="2487">
        <v>10</v>
      </c>
      <c r="T663" s="2487">
        <v>15</v>
      </c>
      <c r="U663" s="348">
        <v>20</v>
      </c>
      <c r="V663" s="2485" t="s">
        <v>4294</v>
      </c>
      <c r="W663" s="2485" t="s">
        <v>4295</v>
      </c>
      <c r="X663" s="2485" t="s">
        <v>4296</v>
      </c>
      <c r="Y663" s="2485" t="s">
        <v>4297</v>
      </c>
      <c r="Z663" s="2485" t="s">
        <v>5322</v>
      </c>
      <c r="AA663" s="347"/>
    </row>
    <row r="664" spans="1:27" ht="12.75" customHeight="1">
      <c r="A664" s="8243"/>
      <c r="B664" s="242" t="str">
        <f t="shared" si="19"/>
        <v>Umbral44</v>
      </c>
      <c r="D664" s="257" t="s">
        <v>581</v>
      </c>
      <c r="E664" s="2487" t="s">
        <v>1926</v>
      </c>
      <c r="F664" s="2487">
        <v>44</v>
      </c>
      <c r="G664" s="2489" t="s">
        <v>2422</v>
      </c>
      <c r="H664" s="2489" t="s">
        <v>1094</v>
      </c>
      <c r="I664" s="351" t="s">
        <v>1165</v>
      </c>
      <c r="J664" s="2487">
        <v>7</v>
      </c>
      <c r="K664" s="2487">
        <v>10</v>
      </c>
      <c r="L664" s="2487">
        <v>13</v>
      </c>
      <c r="M664" s="348">
        <v>15</v>
      </c>
      <c r="N664" s="2487">
        <v>100</v>
      </c>
      <c r="O664" s="2487">
        <v>140</v>
      </c>
      <c r="P664" s="2487">
        <v>180</v>
      </c>
      <c r="Q664" s="348">
        <v>240</v>
      </c>
      <c r="R664" s="2487">
        <v>10</v>
      </c>
      <c r="S664" s="2487">
        <v>15</v>
      </c>
      <c r="T664" s="2487">
        <v>20</v>
      </c>
      <c r="U664" s="348">
        <v>25</v>
      </c>
      <c r="V664" s="2485" t="s">
        <v>4294</v>
      </c>
      <c r="W664" s="2485" t="s">
        <v>4296</v>
      </c>
      <c r="X664" s="2485" t="s">
        <v>5323</v>
      </c>
      <c r="Y664" s="2485" t="s">
        <v>5324</v>
      </c>
      <c r="Z664" s="2485" t="s">
        <v>6634</v>
      </c>
      <c r="AA664" s="347"/>
    </row>
    <row r="665" spans="1:27" ht="12.75" customHeight="1">
      <c r="A665" s="8243"/>
      <c r="B665" s="242" t="str">
        <f t="shared" si="19"/>
        <v>Umbral54</v>
      </c>
      <c r="D665" s="257" t="s">
        <v>582</v>
      </c>
      <c r="E665" s="2487" t="s">
        <v>1926</v>
      </c>
      <c r="F665" s="2487">
        <v>54</v>
      </c>
      <c r="G665" s="2489" t="s">
        <v>2422</v>
      </c>
      <c r="H665" s="2489" t="s">
        <v>1094</v>
      </c>
      <c r="I665" s="351" t="s">
        <v>1165</v>
      </c>
      <c r="J665" s="2487">
        <v>6</v>
      </c>
      <c r="K665" s="2487">
        <v>9</v>
      </c>
      <c r="L665" s="2487">
        <v>12</v>
      </c>
      <c r="M665" s="348">
        <v>15</v>
      </c>
      <c r="N665" s="2487">
        <v>120</v>
      </c>
      <c r="O665" s="2487">
        <v>180</v>
      </c>
      <c r="P665" s="2487">
        <v>240</v>
      </c>
      <c r="Q665" s="348">
        <v>300</v>
      </c>
      <c r="R665" s="2487">
        <v>15</v>
      </c>
      <c r="S665" s="2487">
        <v>20</v>
      </c>
      <c r="T665" s="2487">
        <v>25</v>
      </c>
      <c r="U665" s="348">
        <v>30</v>
      </c>
      <c r="V665" s="2485" t="s">
        <v>5325</v>
      </c>
      <c r="W665" s="2485" t="s">
        <v>5326</v>
      </c>
      <c r="X665" s="2485" t="s">
        <v>5327</v>
      </c>
      <c r="Y665" s="2485" t="s">
        <v>5328</v>
      </c>
      <c r="Z665" s="2485" t="s">
        <v>5329</v>
      </c>
      <c r="AA665" s="347"/>
    </row>
    <row r="666" spans="1:27" ht="12.75" customHeight="1">
      <c r="A666" s="8243"/>
      <c r="B666" s="242" t="str">
        <f t="shared" si="19"/>
        <v>Umbral64</v>
      </c>
      <c r="D666" s="257" t="s">
        <v>583</v>
      </c>
      <c r="E666" s="2487" t="s">
        <v>1926</v>
      </c>
      <c r="F666" s="2487">
        <v>64</v>
      </c>
      <c r="G666" s="2489" t="s">
        <v>1241</v>
      </c>
      <c r="H666" s="2489" t="s">
        <v>1094</v>
      </c>
      <c r="I666" s="351" t="s">
        <v>1165</v>
      </c>
      <c r="J666" s="2487">
        <v>8</v>
      </c>
      <c r="K666" s="2487">
        <v>10</v>
      </c>
      <c r="L666" s="2487">
        <v>12</v>
      </c>
      <c r="M666" s="348">
        <v>15</v>
      </c>
      <c r="N666" s="2487">
        <v>80</v>
      </c>
      <c r="O666" s="2487">
        <v>140</v>
      </c>
      <c r="P666" s="2487">
        <v>200</v>
      </c>
      <c r="Q666" s="348">
        <v>240</v>
      </c>
      <c r="R666" s="2487">
        <v>10</v>
      </c>
      <c r="S666" s="2487">
        <v>15</v>
      </c>
      <c r="T666" s="2487">
        <v>20</v>
      </c>
      <c r="U666" s="348">
        <v>25</v>
      </c>
      <c r="V666" s="2485" t="s">
        <v>5330</v>
      </c>
      <c r="W666" s="2485" t="s">
        <v>5331</v>
      </c>
      <c r="X666" s="2485" t="s">
        <v>5332</v>
      </c>
      <c r="Y666" s="2485" t="s">
        <v>5333</v>
      </c>
      <c r="Z666" s="2485" t="s">
        <v>5334</v>
      </c>
      <c r="AA666" s="347"/>
    </row>
    <row r="667" spans="1:27" ht="12.75" customHeight="1">
      <c r="A667" s="8243"/>
      <c r="B667" s="242" t="str">
        <f t="shared" si="19"/>
        <v>Umbral74</v>
      </c>
      <c r="D667" s="257" t="s">
        <v>584</v>
      </c>
      <c r="E667" s="2487" t="s">
        <v>1926</v>
      </c>
      <c r="F667" s="2487">
        <v>74</v>
      </c>
      <c r="G667" s="2489" t="s">
        <v>1241</v>
      </c>
      <c r="H667" s="2489" t="s">
        <v>1096</v>
      </c>
      <c r="I667" s="351" t="s">
        <v>1165</v>
      </c>
      <c r="J667" s="2487">
        <v>10</v>
      </c>
      <c r="K667" s="2487">
        <v>12</v>
      </c>
      <c r="L667" s="2487">
        <v>14</v>
      </c>
      <c r="M667" s="348">
        <v>16</v>
      </c>
      <c r="N667" s="2487">
        <v>200</v>
      </c>
      <c r="O667" s="2487">
        <v>300</v>
      </c>
      <c r="P667" s="2487">
        <v>400</v>
      </c>
      <c r="Q667" s="348">
        <v>500</v>
      </c>
      <c r="R667" s="2487" t="s">
        <v>1241</v>
      </c>
      <c r="S667" s="2487" t="s">
        <v>1241</v>
      </c>
      <c r="T667" s="2487" t="s">
        <v>1241</v>
      </c>
      <c r="U667" s="348" t="s">
        <v>1241</v>
      </c>
      <c r="V667" s="2485" t="s">
        <v>5320</v>
      </c>
      <c r="W667" s="2485" t="s">
        <v>5335</v>
      </c>
      <c r="X667" s="2485" t="s">
        <v>5336</v>
      </c>
      <c r="Y667" s="2485" t="s">
        <v>5337</v>
      </c>
      <c r="Z667" s="2485" t="s">
        <v>5338</v>
      </c>
      <c r="AA667" s="347"/>
    </row>
    <row r="668" spans="1:27" ht="12.75" customHeight="1">
      <c r="A668" s="8243"/>
      <c r="B668" s="242" t="str">
        <f t="shared" si="19"/>
        <v>Umbral84</v>
      </c>
      <c r="D668" s="257" t="s">
        <v>585</v>
      </c>
      <c r="E668" s="2487" t="s">
        <v>1926</v>
      </c>
      <c r="F668" s="2487">
        <v>84</v>
      </c>
      <c r="G668" s="2489" t="s">
        <v>1241</v>
      </c>
      <c r="H668" s="2489" t="s">
        <v>1096</v>
      </c>
      <c r="I668" s="351" t="s">
        <v>1165</v>
      </c>
      <c r="J668" s="2487">
        <v>10</v>
      </c>
      <c r="K668" s="2487">
        <v>12</v>
      </c>
      <c r="L668" s="2487">
        <v>15</v>
      </c>
      <c r="M668" s="348">
        <v>18</v>
      </c>
      <c r="N668" s="2487">
        <v>150</v>
      </c>
      <c r="O668" s="2487">
        <v>250</v>
      </c>
      <c r="P668" s="2487">
        <v>500</v>
      </c>
      <c r="Q668" s="348">
        <v>700</v>
      </c>
      <c r="R668" s="2487">
        <v>15</v>
      </c>
      <c r="S668" s="2487">
        <v>25</v>
      </c>
      <c r="T668" s="2487">
        <v>50</v>
      </c>
      <c r="U668" s="348">
        <v>70</v>
      </c>
      <c r="V668" s="2485" t="s">
        <v>5339</v>
      </c>
      <c r="W668" s="2485" t="s">
        <v>5340</v>
      </c>
      <c r="X668" s="2485" t="s">
        <v>5341</v>
      </c>
      <c r="Y668" s="2485" t="s">
        <v>5342</v>
      </c>
      <c r="Z668" s="2485" t="s">
        <v>5343</v>
      </c>
      <c r="AA668" s="347"/>
    </row>
    <row r="669" spans="1:27" ht="12.75" customHeight="1">
      <c r="A669" s="8243"/>
      <c r="B669" s="242" t="str">
        <f t="shared" si="19"/>
        <v>Umbral94</v>
      </c>
      <c r="D669" s="257" t="s">
        <v>586</v>
      </c>
      <c r="E669" s="2487" t="s">
        <v>1926</v>
      </c>
      <c r="F669" s="2487">
        <v>94</v>
      </c>
      <c r="G669" s="2489" t="s">
        <v>1241</v>
      </c>
      <c r="H669" s="2489" t="s">
        <v>1096</v>
      </c>
      <c r="I669" s="351" t="s">
        <v>1165</v>
      </c>
      <c r="J669" s="2487">
        <v>11</v>
      </c>
      <c r="K669" s="2487">
        <v>13</v>
      </c>
      <c r="L669" s="2487">
        <v>15</v>
      </c>
      <c r="M669" s="348">
        <v>17</v>
      </c>
      <c r="N669" s="2487">
        <v>250</v>
      </c>
      <c r="O669" s="2487">
        <v>350</v>
      </c>
      <c r="P669" s="2487">
        <v>450</v>
      </c>
      <c r="Q669" s="348">
        <v>600</v>
      </c>
      <c r="R669" s="2487" t="s">
        <v>1241</v>
      </c>
      <c r="S669" s="2487" t="s">
        <v>1241</v>
      </c>
      <c r="T669" s="2487" t="s">
        <v>1241</v>
      </c>
      <c r="U669" s="348" t="s">
        <v>1241</v>
      </c>
      <c r="V669" s="2485" t="s">
        <v>3403</v>
      </c>
      <c r="W669" s="2485" t="s">
        <v>4318</v>
      </c>
      <c r="X669" s="2485" t="s">
        <v>3405</v>
      </c>
      <c r="Y669" s="2485" t="s">
        <v>5344</v>
      </c>
      <c r="Z669" s="2485" t="s">
        <v>5345</v>
      </c>
      <c r="AA669" s="347"/>
    </row>
    <row r="670" spans="1:27" ht="12.75" customHeight="1">
      <c r="A670" s="8243"/>
      <c r="B670" s="242" t="str">
        <f t="shared" si="19"/>
        <v/>
      </c>
      <c r="D670" s="257" t="s">
        <v>587</v>
      </c>
      <c r="E670" s="2487"/>
      <c r="F670" s="2487"/>
      <c r="G670" s="2489"/>
      <c r="H670" s="2489"/>
      <c r="I670" s="351"/>
      <c r="J670" s="2487"/>
      <c r="K670" s="2487"/>
      <c r="L670" s="2487"/>
      <c r="M670" s="348"/>
      <c r="N670" s="2487"/>
      <c r="O670" s="2487"/>
      <c r="P670" s="2487"/>
      <c r="Q670" s="348"/>
      <c r="R670" s="2487"/>
      <c r="S670" s="2487"/>
      <c r="T670" s="2487"/>
      <c r="U670" s="348"/>
      <c r="V670" s="2485"/>
      <c r="W670" s="2485"/>
      <c r="X670" s="2485"/>
      <c r="Y670" s="2485"/>
      <c r="Z670" s="2485"/>
      <c r="AA670" s="347"/>
    </row>
    <row r="671" spans="1:27" ht="12.75" customHeight="1">
      <c r="A671" s="8243"/>
      <c r="B671" s="242" t="str">
        <f t="shared" si="19"/>
        <v>Vacío4</v>
      </c>
      <c r="D671" s="257" t="s">
        <v>588</v>
      </c>
      <c r="E671" s="2487" t="s">
        <v>58</v>
      </c>
      <c r="F671" s="2487">
        <v>4</v>
      </c>
      <c r="G671" s="2489" t="s">
        <v>1241</v>
      </c>
      <c r="H671" s="2489" t="s">
        <v>1094</v>
      </c>
      <c r="I671" s="351" t="s">
        <v>1165</v>
      </c>
      <c r="J671" s="2487">
        <v>5</v>
      </c>
      <c r="K671" s="2487">
        <v>8</v>
      </c>
      <c r="L671" s="2487">
        <v>11</v>
      </c>
      <c r="M671" s="348">
        <v>14</v>
      </c>
      <c r="N671" s="2487">
        <v>30</v>
      </c>
      <c r="O671" s="2487">
        <v>60</v>
      </c>
      <c r="P671" s="2487">
        <v>90</v>
      </c>
      <c r="Q671" s="348">
        <v>120</v>
      </c>
      <c r="R671" s="2487" t="s">
        <v>1241</v>
      </c>
      <c r="S671" s="2487" t="s">
        <v>1241</v>
      </c>
      <c r="T671" s="2487" t="s">
        <v>1241</v>
      </c>
      <c r="U671" s="348" t="s">
        <v>1241</v>
      </c>
      <c r="V671" s="2485" t="s">
        <v>5346</v>
      </c>
      <c r="W671" s="2485" t="s">
        <v>5347</v>
      </c>
      <c r="X671" s="2485" t="s">
        <v>5348</v>
      </c>
      <c r="Y671" s="2485" t="s">
        <v>5349</v>
      </c>
      <c r="Z671" s="2485" t="s">
        <v>5350</v>
      </c>
      <c r="AA671" s="347"/>
    </row>
    <row r="672" spans="1:27" ht="12.75" customHeight="1">
      <c r="A672" s="8243"/>
      <c r="B672" s="242" t="str">
        <f t="shared" si="19"/>
        <v>Vacío14</v>
      </c>
      <c r="D672" s="257" t="s">
        <v>589</v>
      </c>
      <c r="E672" s="2487" t="s">
        <v>58</v>
      </c>
      <c r="F672" s="2487">
        <v>14</v>
      </c>
      <c r="G672" s="2489" t="s">
        <v>1241</v>
      </c>
      <c r="H672" s="2489" t="s">
        <v>1093</v>
      </c>
      <c r="I672" s="351" t="s">
        <v>1165</v>
      </c>
      <c r="J672" s="2487">
        <v>6</v>
      </c>
      <c r="K672" s="2487">
        <v>9</v>
      </c>
      <c r="L672" s="2487">
        <v>12</v>
      </c>
      <c r="M672" s="348">
        <v>15</v>
      </c>
      <c r="N672" s="2487">
        <v>30</v>
      </c>
      <c r="O672" s="2487">
        <v>60</v>
      </c>
      <c r="P672" s="2487">
        <v>90</v>
      </c>
      <c r="Q672" s="348">
        <v>120</v>
      </c>
      <c r="R672" s="2487" t="s">
        <v>1241</v>
      </c>
      <c r="S672" s="2487" t="s">
        <v>1241</v>
      </c>
      <c r="T672" s="2487" t="s">
        <v>1241</v>
      </c>
      <c r="U672" s="348" t="s">
        <v>1241</v>
      </c>
      <c r="V672" s="2485" t="s">
        <v>5351</v>
      </c>
      <c r="W672" s="2485" t="s">
        <v>5352</v>
      </c>
      <c r="X672" s="2485" t="s">
        <v>5353</v>
      </c>
      <c r="Y672" s="2485" t="s">
        <v>5354</v>
      </c>
      <c r="Z672" s="2485" t="s">
        <v>5355</v>
      </c>
      <c r="AA672" s="347"/>
    </row>
    <row r="673" spans="1:27" ht="12.75" customHeight="1">
      <c r="A673" s="8243"/>
      <c r="B673" s="242" t="str">
        <f t="shared" si="19"/>
        <v>Vacío24</v>
      </c>
      <c r="D673" s="257" t="s">
        <v>590</v>
      </c>
      <c r="E673" s="2487" t="s">
        <v>58</v>
      </c>
      <c r="F673" s="2487">
        <v>24</v>
      </c>
      <c r="G673" s="2489" t="s">
        <v>1241</v>
      </c>
      <c r="H673" s="2489" t="s">
        <v>1424</v>
      </c>
      <c r="I673" s="351" t="s">
        <v>1166</v>
      </c>
      <c r="J673" s="2487">
        <v>6</v>
      </c>
      <c r="K673" s="2487">
        <v>9</v>
      </c>
      <c r="L673" s="2487">
        <v>12</v>
      </c>
      <c r="M673" s="348">
        <v>15</v>
      </c>
      <c r="N673" s="2487">
        <v>50</v>
      </c>
      <c r="O673" s="2487">
        <v>90</v>
      </c>
      <c r="P673" s="2487">
        <v>120</v>
      </c>
      <c r="Q673" s="348">
        <v>150</v>
      </c>
      <c r="R673" s="2487">
        <v>5</v>
      </c>
      <c r="S673" s="2487">
        <v>20</v>
      </c>
      <c r="T673" s="2487">
        <v>25</v>
      </c>
      <c r="U673" s="348">
        <v>30</v>
      </c>
      <c r="V673" s="2485" t="s">
        <v>5356</v>
      </c>
      <c r="W673" s="2485" t="s">
        <v>5357</v>
      </c>
      <c r="X673" s="2485" t="s">
        <v>5358</v>
      </c>
      <c r="Y673" s="2485" t="s">
        <v>5359</v>
      </c>
      <c r="Z673" s="2485" t="s">
        <v>5360</v>
      </c>
      <c r="AA673" s="347"/>
    </row>
    <row r="674" spans="1:27" ht="12.75" customHeight="1">
      <c r="A674" s="8243"/>
      <c r="B674" s="242" t="str">
        <f t="shared" si="19"/>
        <v>Vacío34</v>
      </c>
      <c r="D674" s="257" t="s">
        <v>591</v>
      </c>
      <c r="E674" s="2487" t="s">
        <v>58</v>
      </c>
      <c r="F674" s="2487">
        <v>34</v>
      </c>
      <c r="G674" s="2489" t="s">
        <v>1241</v>
      </c>
      <c r="H674" s="2489" t="s">
        <v>1096</v>
      </c>
      <c r="I674" s="351" t="s">
        <v>1165</v>
      </c>
      <c r="J674" s="2487">
        <v>7</v>
      </c>
      <c r="K674" s="2487">
        <v>10</v>
      </c>
      <c r="L674" s="2487">
        <v>13</v>
      </c>
      <c r="M674" s="348">
        <v>15</v>
      </c>
      <c r="N674" s="2487">
        <v>80</v>
      </c>
      <c r="O674" s="2487">
        <v>120</v>
      </c>
      <c r="P674" s="2487">
        <v>180</v>
      </c>
      <c r="Q674" s="348">
        <v>240</v>
      </c>
      <c r="R674" s="2487">
        <v>5</v>
      </c>
      <c r="S674" s="2487">
        <v>10</v>
      </c>
      <c r="T674" s="2487">
        <v>15</v>
      </c>
      <c r="U674" s="348">
        <v>20</v>
      </c>
      <c r="V674" s="2485" t="s">
        <v>5361</v>
      </c>
      <c r="W674" s="2485" t="s">
        <v>4303</v>
      </c>
      <c r="X674" s="2485" t="s">
        <v>5362</v>
      </c>
      <c r="Y674" s="2485" t="s">
        <v>5363</v>
      </c>
      <c r="Z674" s="2485" t="s">
        <v>13030</v>
      </c>
      <c r="AA674" s="347"/>
    </row>
    <row r="675" spans="1:27" ht="12.75" customHeight="1">
      <c r="A675" s="8243"/>
      <c r="B675" s="242" t="str">
        <f t="shared" si="19"/>
        <v>Vacío44</v>
      </c>
      <c r="D675" s="257" t="s">
        <v>7913</v>
      </c>
      <c r="E675" s="2487" t="s">
        <v>58</v>
      </c>
      <c r="F675" s="2487">
        <v>44</v>
      </c>
      <c r="G675" s="2489" t="s">
        <v>1241</v>
      </c>
      <c r="H675" s="2489" t="s">
        <v>1093</v>
      </c>
      <c r="I675" s="351" t="s">
        <v>1165</v>
      </c>
      <c r="J675" s="2487">
        <v>6</v>
      </c>
      <c r="K675" s="2487">
        <v>9</v>
      </c>
      <c r="L675" s="2487">
        <v>12</v>
      </c>
      <c r="M675" s="348">
        <v>15</v>
      </c>
      <c r="N675" s="2487">
        <v>100</v>
      </c>
      <c r="O675" s="2487">
        <v>150</v>
      </c>
      <c r="P675" s="2487">
        <v>200</v>
      </c>
      <c r="Q675" s="348">
        <v>250</v>
      </c>
      <c r="R675" s="2487">
        <v>5</v>
      </c>
      <c r="S675" s="2487">
        <v>10</v>
      </c>
      <c r="T675" s="2487">
        <v>10</v>
      </c>
      <c r="U675" s="348">
        <v>15</v>
      </c>
      <c r="V675" s="2485" t="s">
        <v>4371</v>
      </c>
      <c r="W675" s="2485" t="s">
        <v>3078</v>
      </c>
      <c r="X675" s="2485" t="s">
        <v>5364</v>
      </c>
      <c r="Y675" s="2485" t="s">
        <v>3816</v>
      </c>
      <c r="Z675" s="2485" t="s">
        <v>13031</v>
      </c>
      <c r="AA675" s="347"/>
    </row>
    <row r="676" spans="1:27" ht="12.75" customHeight="1">
      <c r="A676" s="8243"/>
      <c r="B676" s="242" t="str">
        <f t="shared" si="19"/>
        <v>Vacío54</v>
      </c>
      <c r="D676" s="257" t="s">
        <v>592</v>
      </c>
      <c r="E676" s="2487" t="s">
        <v>58</v>
      </c>
      <c r="F676" s="2487">
        <v>54</v>
      </c>
      <c r="G676" s="2489" t="s">
        <v>2422</v>
      </c>
      <c r="H676" s="2489" t="s">
        <v>1095</v>
      </c>
      <c r="I676" s="351" t="s">
        <v>1165</v>
      </c>
      <c r="J676" s="2487">
        <v>6</v>
      </c>
      <c r="K676" s="2487">
        <v>9</v>
      </c>
      <c r="L676" s="2487">
        <v>12</v>
      </c>
      <c r="M676" s="348">
        <v>15</v>
      </c>
      <c r="N676" s="2487">
        <v>120</v>
      </c>
      <c r="O676" s="2487">
        <v>180</v>
      </c>
      <c r="P676" s="2487">
        <v>240</v>
      </c>
      <c r="Q676" s="348">
        <v>350</v>
      </c>
      <c r="R676" s="2487">
        <v>15</v>
      </c>
      <c r="S676" s="2487">
        <v>20</v>
      </c>
      <c r="T676" s="2487">
        <v>25</v>
      </c>
      <c r="U676" s="348">
        <v>35</v>
      </c>
      <c r="V676" s="2485" t="s">
        <v>13032</v>
      </c>
      <c r="W676" s="2485" t="s">
        <v>13033</v>
      </c>
      <c r="X676" s="2485" t="s">
        <v>13034</v>
      </c>
      <c r="Y676" s="2485" t="s">
        <v>13035</v>
      </c>
      <c r="Z676" s="2485" t="s">
        <v>13036</v>
      </c>
      <c r="AA676" s="347"/>
    </row>
    <row r="677" spans="1:27" ht="12.75" customHeight="1">
      <c r="A677" s="8243"/>
      <c r="B677" s="242" t="str">
        <f t="shared" si="19"/>
        <v>Vacío64</v>
      </c>
      <c r="D677" s="257" t="s">
        <v>593</v>
      </c>
      <c r="E677" s="2487" t="s">
        <v>58</v>
      </c>
      <c r="F677" s="2487">
        <v>64</v>
      </c>
      <c r="G677" s="2489" t="s">
        <v>1241</v>
      </c>
      <c r="H677" s="2489" t="s">
        <v>1096</v>
      </c>
      <c r="I677" s="351" t="s">
        <v>1165</v>
      </c>
      <c r="J677" s="2487">
        <v>8</v>
      </c>
      <c r="K677" s="2487">
        <v>10</v>
      </c>
      <c r="L677" s="2487">
        <v>12</v>
      </c>
      <c r="M677" s="348">
        <v>15</v>
      </c>
      <c r="N677" s="2487">
        <v>150</v>
      </c>
      <c r="O677" s="2487">
        <v>250</v>
      </c>
      <c r="P677" s="2487">
        <v>350</v>
      </c>
      <c r="Q677" s="348">
        <v>500</v>
      </c>
      <c r="R677" s="2487">
        <v>15</v>
      </c>
      <c r="S677" s="2487">
        <v>25</v>
      </c>
      <c r="T677" s="2487">
        <v>35</v>
      </c>
      <c r="U677" s="348">
        <v>50</v>
      </c>
      <c r="V677" s="2485" t="s">
        <v>5365</v>
      </c>
      <c r="W677" s="2485" t="s">
        <v>5366</v>
      </c>
      <c r="X677" s="2485" t="s">
        <v>5367</v>
      </c>
      <c r="Y677" s="2485" t="s">
        <v>5368</v>
      </c>
      <c r="Z677" s="2485" t="s">
        <v>13037</v>
      </c>
      <c r="AA677" s="347"/>
    </row>
    <row r="678" spans="1:27" ht="12.75" customHeight="1">
      <c r="A678" s="8243"/>
      <c r="B678" s="242" t="str">
        <f t="shared" si="19"/>
        <v>Vacío74</v>
      </c>
      <c r="D678" s="257" t="s">
        <v>594</v>
      </c>
      <c r="E678" s="2487" t="s">
        <v>58</v>
      </c>
      <c r="F678" s="2487">
        <v>74</v>
      </c>
      <c r="G678" s="2489" t="s">
        <v>1241</v>
      </c>
      <c r="H678" s="2489" t="s">
        <v>1093</v>
      </c>
      <c r="I678" s="351" t="s">
        <v>1165</v>
      </c>
      <c r="J678" s="2487">
        <v>10</v>
      </c>
      <c r="K678" s="2487">
        <v>12</v>
      </c>
      <c r="L678" s="2487">
        <v>14</v>
      </c>
      <c r="M678" s="348">
        <v>16</v>
      </c>
      <c r="N678" s="2487">
        <v>140</v>
      </c>
      <c r="O678" s="2487">
        <v>200</v>
      </c>
      <c r="P678" s="2487">
        <v>280</v>
      </c>
      <c r="Q678" s="348">
        <v>400</v>
      </c>
      <c r="R678" s="2487">
        <v>15</v>
      </c>
      <c r="S678" s="2487">
        <v>20</v>
      </c>
      <c r="T678" s="2487">
        <v>30</v>
      </c>
      <c r="U678" s="348">
        <v>40</v>
      </c>
      <c r="V678" s="2485" t="s">
        <v>5369</v>
      </c>
      <c r="W678" s="2485" t="s">
        <v>5370</v>
      </c>
      <c r="X678" s="2485" t="s">
        <v>5371</v>
      </c>
      <c r="Y678" s="2485" t="s">
        <v>5372</v>
      </c>
      <c r="Z678" s="2485" t="s">
        <v>5373</v>
      </c>
      <c r="AA678" s="347"/>
    </row>
    <row r="679" spans="1:27" ht="12.75" customHeight="1">
      <c r="A679" s="8243"/>
      <c r="B679" s="242" t="str">
        <f t="shared" si="19"/>
        <v>Vacío84</v>
      </c>
      <c r="D679" s="257" t="s">
        <v>595</v>
      </c>
      <c r="E679" s="2487" t="s">
        <v>58</v>
      </c>
      <c r="F679" s="2487">
        <v>84</v>
      </c>
      <c r="G679" s="2489" t="s">
        <v>1241</v>
      </c>
      <c r="H679" s="2489" t="s">
        <v>1093</v>
      </c>
      <c r="I679" s="351" t="s">
        <v>1165</v>
      </c>
      <c r="J679" s="2487">
        <v>14</v>
      </c>
      <c r="K679" s="2487">
        <v>16</v>
      </c>
      <c r="L679" s="2487">
        <v>18</v>
      </c>
      <c r="M679" s="348">
        <v>20</v>
      </c>
      <c r="N679" s="2487">
        <v>250</v>
      </c>
      <c r="O679" s="2487">
        <v>500</v>
      </c>
      <c r="P679" s="2487">
        <v>750</v>
      </c>
      <c r="Q679" s="348">
        <v>1000</v>
      </c>
      <c r="R679" s="2487" t="s">
        <v>1241</v>
      </c>
      <c r="S679" s="2487" t="s">
        <v>1241</v>
      </c>
      <c r="T679" s="2487" t="s">
        <v>1241</v>
      </c>
      <c r="U679" s="348" t="s">
        <v>1241</v>
      </c>
      <c r="V679" s="2485" t="s">
        <v>5374</v>
      </c>
      <c r="W679" s="2485" t="s">
        <v>5375</v>
      </c>
      <c r="X679" s="2485" t="s">
        <v>5376</v>
      </c>
      <c r="Y679" s="2485" t="s">
        <v>5377</v>
      </c>
      <c r="Z679" s="2485" t="s">
        <v>5378</v>
      </c>
      <c r="AA679" s="347"/>
    </row>
    <row r="680" spans="1:27" ht="12.75" customHeight="1" thickBot="1">
      <c r="A680" s="8243"/>
      <c r="B680" s="242" t="str">
        <f t="shared" si="19"/>
        <v>Vacío94</v>
      </c>
      <c r="D680" s="2490" t="s">
        <v>596</v>
      </c>
      <c r="E680" s="353" t="s">
        <v>58</v>
      </c>
      <c r="F680" s="353">
        <v>94</v>
      </c>
      <c r="G680" s="354" t="s">
        <v>1241</v>
      </c>
      <c r="H680" s="354" t="s">
        <v>1095</v>
      </c>
      <c r="I680" s="355" t="s">
        <v>1166</v>
      </c>
      <c r="J680" s="353">
        <v>11</v>
      </c>
      <c r="K680" s="353">
        <v>13</v>
      </c>
      <c r="L680" s="353">
        <v>15</v>
      </c>
      <c r="M680" s="356">
        <v>18</v>
      </c>
      <c r="N680" s="353">
        <v>300</v>
      </c>
      <c r="O680" s="353">
        <v>500</v>
      </c>
      <c r="P680" s="353">
        <v>800</v>
      </c>
      <c r="Q680" s="356">
        <v>1200</v>
      </c>
      <c r="R680" s="353">
        <v>30</v>
      </c>
      <c r="S680" s="353">
        <v>50</v>
      </c>
      <c r="T680" s="353">
        <v>80</v>
      </c>
      <c r="U680" s="356">
        <v>120</v>
      </c>
      <c r="V680" s="357" t="s">
        <v>5379</v>
      </c>
      <c r="W680" s="357" t="s">
        <v>5380</v>
      </c>
      <c r="X680" s="357" t="s">
        <v>5381</v>
      </c>
      <c r="Y680" s="357" t="s">
        <v>5382</v>
      </c>
      <c r="Z680" s="357" t="s">
        <v>5383</v>
      </c>
      <c r="AA680" s="358"/>
    </row>
    <row r="681" spans="1:27" ht="12.75" customHeight="1">
      <c r="B681" s="242" t="str">
        <f t="shared" si="19"/>
        <v/>
      </c>
      <c r="D681" s="4028" t="s">
        <v>12666</v>
      </c>
      <c r="E681" s="4028"/>
      <c r="F681" s="4029"/>
      <c r="G681" s="4030"/>
      <c r="H681" s="4030"/>
      <c r="I681" s="4030"/>
      <c r="J681" s="4028"/>
      <c r="K681" s="4028"/>
      <c r="L681" s="4028"/>
      <c r="M681" s="4028"/>
      <c r="N681" s="4028"/>
      <c r="O681" s="4028"/>
      <c r="P681" s="4028"/>
      <c r="Q681" s="4028"/>
      <c r="R681" s="4028"/>
      <c r="S681" s="4028"/>
      <c r="T681" s="4028"/>
      <c r="U681" s="4028"/>
      <c r="V681" s="4028"/>
      <c r="W681" s="4028"/>
      <c r="X681" s="4028"/>
      <c r="Y681" s="4028"/>
      <c r="Z681" s="4028"/>
      <c r="AA681" s="4028"/>
    </row>
    <row r="682" spans="1:27" ht="12.75" customHeight="1">
      <c r="B682" s="242" t="str">
        <f t="shared" si="19"/>
        <v>Olvido4</v>
      </c>
      <c r="D682" s="4028" t="s">
        <v>12667</v>
      </c>
      <c r="E682" s="4031" t="s">
        <v>1762</v>
      </c>
      <c r="F682" s="4031">
        <v>4</v>
      </c>
      <c r="G682" s="4031" t="s">
        <v>1241</v>
      </c>
      <c r="H682" s="4031" t="s">
        <v>1095</v>
      </c>
      <c r="I682" s="4031" t="s">
        <v>1165</v>
      </c>
      <c r="J682" s="4031">
        <v>5</v>
      </c>
      <c r="K682" s="4031">
        <v>7</v>
      </c>
      <c r="L682" s="4031">
        <v>9</v>
      </c>
      <c r="M682" s="4031">
        <v>11</v>
      </c>
      <c r="N682" s="4031">
        <v>50</v>
      </c>
      <c r="O682" s="4031">
        <v>90</v>
      </c>
      <c r="P682" s="4031">
        <v>130</v>
      </c>
      <c r="Q682" s="4031">
        <v>160</v>
      </c>
      <c r="R682" s="4031" t="s">
        <v>1241</v>
      </c>
      <c r="S682" s="4031" t="s">
        <v>1241</v>
      </c>
      <c r="T682" s="4031" t="s">
        <v>1241</v>
      </c>
      <c r="U682" s="4031" t="s">
        <v>1241</v>
      </c>
      <c r="V682" s="4084" t="s">
        <v>12786</v>
      </c>
      <c r="W682" s="4084" t="s">
        <v>12787</v>
      </c>
      <c r="X682" s="4083" t="s">
        <v>12788</v>
      </c>
      <c r="Y682" s="4083" t="s">
        <v>12789</v>
      </c>
      <c r="Z682" s="4085" t="s">
        <v>12790</v>
      </c>
      <c r="AA682" s="4083"/>
    </row>
    <row r="683" spans="1:27" ht="12.75" customHeight="1">
      <c r="B683" s="242" t="str">
        <f t="shared" si="19"/>
        <v>Olvido14</v>
      </c>
      <c r="D683" s="4028" t="s">
        <v>12668</v>
      </c>
      <c r="E683" s="4031" t="s">
        <v>1762</v>
      </c>
      <c r="F683" s="4031">
        <v>14</v>
      </c>
      <c r="G683" s="4031" t="s">
        <v>1241</v>
      </c>
      <c r="H683" s="4031" t="s">
        <v>1096</v>
      </c>
      <c r="I683" s="4031" t="s">
        <v>1165</v>
      </c>
      <c r="J683" s="4031">
        <v>5</v>
      </c>
      <c r="K683" s="4031">
        <v>8</v>
      </c>
      <c r="L683" s="4031">
        <v>10</v>
      </c>
      <c r="M683" s="4031">
        <v>12</v>
      </c>
      <c r="N683" s="4031">
        <v>50</v>
      </c>
      <c r="O683" s="4031">
        <v>80</v>
      </c>
      <c r="P683" s="4031">
        <v>110</v>
      </c>
      <c r="Q683" s="4031">
        <v>150</v>
      </c>
      <c r="R683" s="4031" t="s">
        <v>1241</v>
      </c>
      <c r="S683" s="4031" t="s">
        <v>1241</v>
      </c>
      <c r="T683" s="4031" t="s">
        <v>1241</v>
      </c>
      <c r="U683" s="4031" t="s">
        <v>1241</v>
      </c>
      <c r="V683" s="4083" t="s">
        <v>12791</v>
      </c>
      <c r="W683" s="4083" t="s">
        <v>12792</v>
      </c>
      <c r="X683" s="4083" t="s">
        <v>12794</v>
      </c>
      <c r="Y683" s="4083" t="s">
        <v>12793</v>
      </c>
      <c r="Z683" s="4085" t="s">
        <v>13038</v>
      </c>
      <c r="AA683" s="4083"/>
    </row>
    <row r="684" spans="1:27" ht="12.75" customHeight="1">
      <c r="B684" s="242" t="str">
        <f t="shared" si="19"/>
        <v>Olvido24</v>
      </c>
      <c r="D684" s="4028" t="s">
        <v>12669</v>
      </c>
      <c r="E684" s="4031" t="s">
        <v>1762</v>
      </c>
      <c r="F684" s="4031">
        <v>24</v>
      </c>
      <c r="G684" s="4031" t="s">
        <v>1241</v>
      </c>
      <c r="H684" s="4031" t="s">
        <v>1095</v>
      </c>
      <c r="I684" s="4031" t="s">
        <v>1165</v>
      </c>
      <c r="J684" s="4031">
        <v>7</v>
      </c>
      <c r="K684" s="4031">
        <v>9</v>
      </c>
      <c r="L684" s="4031">
        <v>11</v>
      </c>
      <c r="M684" s="4031">
        <v>13</v>
      </c>
      <c r="N684" s="4031">
        <v>50</v>
      </c>
      <c r="O684" s="4031">
        <v>90</v>
      </c>
      <c r="P684" s="4031">
        <v>140</v>
      </c>
      <c r="Q684" s="4031">
        <v>200</v>
      </c>
      <c r="R684" s="4031" t="s">
        <v>1241</v>
      </c>
      <c r="S684" s="4031" t="s">
        <v>1241</v>
      </c>
      <c r="T684" s="4031" t="s">
        <v>1241</v>
      </c>
      <c r="U684" s="4031" t="s">
        <v>1241</v>
      </c>
      <c r="V684" s="4083" t="s">
        <v>3390</v>
      </c>
      <c r="W684" s="4083" t="s">
        <v>3391</v>
      </c>
      <c r="X684" s="4083" t="s">
        <v>3295</v>
      </c>
      <c r="Y684" s="4083" t="s">
        <v>3153</v>
      </c>
      <c r="Z684" s="4085" t="s">
        <v>13039</v>
      </c>
      <c r="AA684" s="4083"/>
    </row>
    <row r="685" spans="1:27" ht="12.75" customHeight="1">
      <c r="B685" s="242" t="str">
        <f t="shared" si="19"/>
        <v>Olvido34</v>
      </c>
      <c r="D685" s="4028" t="s">
        <v>12670</v>
      </c>
      <c r="E685" s="4031" t="s">
        <v>1762</v>
      </c>
      <c r="F685" s="4031">
        <v>34</v>
      </c>
      <c r="G685" s="4031" t="s">
        <v>2422</v>
      </c>
      <c r="H685" s="4031" t="s">
        <v>1096</v>
      </c>
      <c r="I685" s="4031" t="s">
        <v>1165</v>
      </c>
      <c r="J685" s="4031">
        <v>8</v>
      </c>
      <c r="K685" s="4031">
        <v>10</v>
      </c>
      <c r="L685" s="4031">
        <v>12</v>
      </c>
      <c r="M685" s="4031">
        <v>14</v>
      </c>
      <c r="N685" s="4031">
        <v>100</v>
      </c>
      <c r="O685" s="4031">
        <v>150</v>
      </c>
      <c r="P685" s="4031">
        <v>200</v>
      </c>
      <c r="Q685" s="4031">
        <v>250</v>
      </c>
      <c r="R685" s="4031">
        <v>5</v>
      </c>
      <c r="S685" s="4031">
        <v>10</v>
      </c>
      <c r="T685" s="4031">
        <v>15</v>
      </c>
      <c r="U685" s="4031">
        <v>20</v>
      </c>
      <c r="V685" s="4083" t="s">
        <v>3391</v>
      </c>
      <c r="W685" s="4083" t="s">
        <v>3295</v>
      </c>
      <c r="X685" s="4083" t="s">
        <v>3153</v>
      </c>
      <c r="Y685" s="4083" t="s">
        <v>3297</v>
      </c>
      <c r="Z685" s="4085" t="s">
        <v>12795</v>
      </c>
      <c r="AA685" s="4083"/>
    </row>
    <row r="686" spans="1:27" ht="12.75" customHeight="1">
      <c r="B686" s="242" t="str">
        <f t="shared" si="19"/>
        <v>Olvido44</v>
      </c>
      <c r="D686" s="4028" t="s">
        <v>12671</v>
      </c>
      <c r="E686" s="4031" t="s">
        <v>1762</v>
      </c>
      <c r="F686" s="4031">
        <v>44</v>
      </c>
      <c r="G686" s="4031" t="s">
        <v>2422</v>
      </c>
      <c r="H686" s="4031" t="s">
        <v>1094</v>
      </c>
      <c r="I686" s="4031" t="s">
        <v>1165</v>
      </c>
      <c r="J686" s="4031">
        <v>7</v>
      </c>
      <c r="K686" s="4031">
        <v>9</v>
      </c>
      <c r="L686" s="4031">
        <v>11</v>
      </c>
      <c r="M686" s="4031">
        <v>13</v>
      </c>
      <c r="N686" s="4031">
        <v>80</v>
      </c>
      <c r="O686" s="4031">
        <v>120</v>
      </c>
      <c r="P686" s="4031">
        <v>150</v>
      </c>
      <c r="Q686" s="4031">
        <v>200</v>
      </c>
      <c r="R686" s="4031">
        <v>5</v>
      </c>
      <c r="S686" s="4031">
        <v>10</v>
      </c>
      <c r="T686" s="4031">
        <v>15</v>
      </c>
      <c r="U686" s="4031">
        <v>20</v>
      </c>
      <c r="V686" s="4083" t="s">
        <v>3390</v>
      </c>
      <c r="W686" s="4083" t="s">
        <v>3391</v>
      </c>
      <c r="X686" s="4083" t="s">
        <v>3153</v>
      </c>
      <c r="Y686" s="4083" t="s">
        <v>3297</v>
      </c>
      <c r="Z686" s="4085" t="s">
        <v>13040</v>
      </c>
      <c r="AA686" s="4083"/>
    </row>
    <row r="687" spans="1:27" ht="12.75" customHeight="1">
      <c r="B687" s="242" t="str">
        <f t="shared" si="19"/>
        <v>Olvido54</v>
      </c>
      <c r="D687" s="4028" t="s">
        <v>12672</v>
      </c>
      <c r="E687" s="4031" t="s">
        <v>1762</v>
      </c>
      <c r="F687" s="4031">
        <v>54</v>
      </c>
      <c r="G687" s="4031" t="s">
        <v>1241</v>
      </c>
      <c r="H687" s="4031" t="s">
        <v>1096</v>
      </c>
      <c r="I687" s="4031" t="s">
        <v>1165</v>
      </c>
      <c r="J687" s="4031">
        <v>7</v>
      </c>
      <c r="K687" s="4031">
        <v>9</v>
      </c>
      <c r="L687" s="4031">
        <v>11</v>
      </c>
      <c r="M687" s="4031">
        <v>13</v>
      </c>
      <c r="N687" s="4031">
        <v>150</v>
      </c>
      <c r="O687" s="4031">
        <v>250</v>
      </c>
      <c r="P687" s="4031">
        <v>350</v>
      </c>
      <c r="Q687" s="4031">
        <v>450</v>
      </c>
      <c r="R687" s="4031" t="s">
        <v>1241</v>
      </c>
      <c r="S687" s="4031" t="s">
        <v>1241</v>
      </c>
      <c r="T687" s="4031" t="s">
        <v>1241</v>
      </c>
      <c r="U687" s="4031" t="s">
        <v>1241</v>
      </c>
      <c r="V687" s="4083" t="s">
        <v>13092</v>
      </c>
      <c r="W687" s="4083" t="s">
        <v>13093</v>
      </c>
      <c r="X687" s="4083" t="s">
        <v>13094</v>
      </c>
      <c r="Y687" s="4083" t="s">
        <v>13095</v>
      </c>
      <c r="Z687" s="4085" t="s">
        <v>13041</v>
      </c>
      <c r="AA687" s="4083"/>
    </row>
    <row r="688" spans="1:27" ht="12.75" customHeight="1">
      <c r="B688" s="242" t="str">
        <f t="shared" si="19"/>
        <v>Olvido64</v>
      </c>
      <c r="D688" s="4028" t="s">
        <v>12673</v>
      </c>
      <c r="E688" s="4031" t="s">
        <v>1762</v>
      </c>
      <c r="F688" s="4031">
        <v>64</v>
      </c>
      <c r="G688" s="4031" t="s">
        <v>1241</v>
      </c>
      <c r="H688" s="4031" t="s">
        <v>1094</v>
      </c>
      <c r="I688" s="4031" t="s">
        <v>1165</v>
      </c>
      <c r="J688" s="4031">
        <v>9</v>
      </c>
      <c r="K688" s="4031">
        <v>11</v>
      </c>
      <c r="L688" s="4031">
        <v>13</v>
      </c>
      <c r="M688" s="4031">
        <v>15</v>
      </c>
      <c r="N688" s="4031">
        <v>70</v>
      </c>
      <c r="O688" s="4031">
        <v>90</v>
      </c>
      <c r="P688" s="4031">
        <v>120</v>
      </c>
      <c r="Q688" s="4031">
        <v>200</v>
      </c>
      <c r="R688" s="4031" t="s">
        <v>1241</v>
      </c>
      <c r="S688" s="4031" t="s">
        <v>1241</v>
      </c>
      <c r="T688" s="4031" t="s">
        <v>1241</v>
      </c>
      <c r="U688" s="4031" t="s">
        <v>1241</v>
      </c>
      <c r="V688" s="4083" t="s">
        <v>3403</v>
      </c>
      <c r="W688" s="4083" t="s">
        <v>4318</v>
      </c>
      <c r="X688" s="4083" t="s">
        <v>4319</v>
      </c>
      <c r="Y688" s="4083" t="s">
        <v>3405</v>
      </c>
      <c r="Z688" s="4085" t="s">
        <v>13042</v>
      </c>
      <c r="AA688" s="4083"/>
    </row>
    <row r="689" spans="2:27" ht="12.75" customHeight="1">
      <c r="B689" s="242" t="str">
        <f t="shared" si="19"/>
        <v>Olvido74</v>
      </c>
      <c r="D689" s="4028" t="s">
        <v>12674</v>
      </c>
      <c r="E689" s="4031" t="s">
        <v>1762</v>
      </c>
      <c r="F689" s="4031">
        <v>74</v>
      </c>
      <c r="G689" s="4031" t="s">
        <v>1241</v>
      </c>
      <c r="H689" s="4031" t="s">
        <v>1094</v>
      </c>
      <c r="I689" s="4031" t="s">
        <v>1165</v>
      </c>
      <c r="J689" s="4031">
        <v>10</v>
      </c>
      <c r="K689" s="4031">
        <v>12</v>
      </c>
      <c r="L689" s="4031">
        <v>14</v>
      </c>
      <c r="M689" s="4031">
        <v>16</v>
      </c>
      <c r="N689" s="4031">
        <v>100</v>
      </c>
      <c r="O689" s="4031">
        <v>200</v>
      </c>
      <c r="P689" s="4031">
        <v>300</v>
      </c>
      <c r="Q689" s="4031">
        <v>400</v>
      </c>
      <c r="R689" s="4031" t="s">
        <v>1241</v>
      </c>
      <c r="S689" s="4031" t="s">
        <v>1241</v>
      </c>
      <c r="T689" s="4031" t="s">
        <v>1241</v>
      </c>
      <c r="U689" s="4031" t="s">
        <v>1241</v>
      </c>
      <c r="V689" s="4083" t="s">
        <v>13096</v>
      </c>
      <c r="W689" s="4083" t="s">
        <v>13097</v>
      </c>
      <c r="X689" s="4083" t="s">
        <v>13098</v>
      </c>
      <c r="Y689" s="4083" t="s">
        <v>13099</v>
      </c>
      <c r="Z689" s="4085" t="s">
        <v>12796</v>
      </c>
      <c r="AA689" s="4083"/>
    </row>
    <row r="690" spans="2:27" ht="12.75" customHeight="1">
      <c r="B690" s="242" t="str">
        <f t="shared" si="19"/>
        <v>Olvido84</v>
      </c>
      <c r="D690" s="4028" t="s">
        <v>12675</v>
      </c>
      <c r="E690" s="4031" t="s">
        <v>1762</v>
      </c>
      <c r="F690" s="4031">
        <v>84</v>
      </c>
      <c r="G690" s="4031" t="s">
        <v>1241</v>
      </c>
      <c r="H690" s="4031" t="s">
        <v>1094</v>
      </c>
      <c r="I690" s="4031" t="s">
        <v>1165</v>
      </c>
      <c r="J690" s="4031">
        <v>11</v>
      </c>
      <c r="K690" s="4031">
        <v>13</v>
      </c>
      <c r="L690" s="4031">
        <v>15</v>
      </c>
      <c r="M690" s="4031">
        <v>17</v>
      </c>
      <c r="N690" s="4031">
        <v>150</v>
      </c>
      <c r="O690" s="4031">
        <v>300</v>
      </c>
      <c r="P690" s="4031">
        <v>500</v>
      </c>
      <c r="Q690" s="4031">
        <v>750</v>
      </c>
      <c r="R690" s="4031" t="s">
        <v>1241</v>
      </c>
      <c r="S690" s="4031" t="s">
        <v>1241</v>
      </c>
      <c r="T690" s="4031" t="s">
        <v>1241</v>
      </c>
      <c r="U690" s="4031" t="s">
        <v>1241</v>
      </c>
      <c r="V690" s="4083" t="s">
        <v>3390</v>
      </c>
      <c r="W690" s="4083" t="s">
        <v>3391</v>
      </c>
      <c r="X690" s="4083" t="s">
        <v>3153</v>
      </c>
      <c r="Y690" s="4083" t="s">
        <v>3297</v>
      </c>
      <c r="Z690" s="4085" t="s">
        <v>13043</v>
      </c>
      <c r="AA690" s="4083"/>
    </row>
    <row r="691" spans="2:27" ht="12.75" customHeight="1">
      <c r="B691" s="242" t="str">
        <f t="shared" si="19"/>
        <v>Olvido94</v>
      </c>
      <c r="D691" s="4028" t="s">
        <v>12676</v>
      </c>
      <c r="E691" s="4031" t="s">
        <v>1762</v>
      </c>
      <c r="F691" s="4031">
        <v>94</v>
      </c>
      <c r="G691" s="4031" t="s">
        <v>1241</v>
      </c>
      <c r="H691" s="4031" t="s">
        <v>1094</v>
      </c>
      <c r="I691" s="4031" t="s">
        <v>1165</v>
      </c>
      <c r="J691" s="4031">
        <v>12</v>
      </c>
      <c r="K691" s="4031">
        <v>14</v>
      </c>
      <c r="L691" s="4031">
        <v>16</v>
      </c>
      <c r="M691" s="4031">
        <v>18</v>
      </c>
      <c r="N691" s="4031">
        <v>200</v>
      </c>
      <c r="O691" s="4031">
        <v>1200</v>
      </c>
      <c r="P691" s="4031">
        <v>1500</v>
      </c>
      <c r="Q691" s="4031">
        <v>2000</v>
      </c>
      <c r="R691" s="4031" t="s">
        <v>1241</v>
      </c>
      <c r="S691" s="4031" t="s">
        <v>1241</v>
      </c>
      <c r="T691" s="4031" t="s">
        <v>1241</v>
      </c>
      <c r="U691" s="4031" t="s">
        <v>1241</v>
      </c>
      <c r="V691" s="4083" t="s">
        <v>13100</v>
      </c>
      <c r="W691" s="4083" t="s">
        <v>13101</v>
      </c>
      <c r="X691" s="4083" t="s">
        <v>13102</v>
      </c>
      <c r="Y691" s="4083" t="s">
        <v>13103</v>
      </c>
      <c r="Z691" s="4085" t="s">
        <v>12797</v>
      </c>
      <c r="AA691" s="4083"/>
    </row>
    <row r="692" spans="2:27" ht="12.75" customHeight="1">
      <c r="B692" s="242" t="str">
        <f t="shared" si="19"/>
        <v/>
      </c>
      <c r="D692" s="4028" t="s">
        <v>12677</v>
      </c>
      <c r="E692" s="4083"/>
      <c r="F692" s="4031"/>
      <c r="G692" s="4031"/>
      <c r="H692" s="4031"/>
      <c r="I692" s="4031"/>
      <c r="J692" s="4031"/>
      <c r="K692" s="4031"/>
      <c r="L692" s="4031"/>
      <c r="M692" s="4031"/>
      <c r="N692" s="4031"/>
      <c r="O692" s="4031"/>
      <c r="P692" s="4031"/>
      <c r="Q692" s="4031"/>
      <c r="R692" s="4083"/>
      <c r="S692" s="4083"/>
      <c r="T692" s="4083"/>
      <c r="U692" s="4083"/>
      <c r="V692" s="4083"/>
      <c r="W692" s="4083"/>
      <c r="X692" s="4083"/>
      <c r="Y692" s="4083"/>
      <c r="Z692" s="4085"/>
      <c r="AA692" s="4083"/>
    </row>
    <row r="693" spans="2:27" ht="12.75" customHeight="1">
      <c r="B693" s="242" t="str">
        <f t="shared" si="19"/>
        <v>Curación4</v>
      </c>
      <c r="D693" s="4028" t="s">
        <v>12678</v>
      </c>
      <c r="E693" s="4031" t="s">
        <v>6067</v>
      </c>
      <c r="F693" s="4031">
        <v>4</v>
      </c>
      <c r="G693" s="4031" t="s">
        <v>1241</v>
      </c>
      <c r="H693" s="4031" t="s">
        <v>1097</v>
      </c>
      <c r="I693" s="4031" t="s">
        <v>1165</v>
      </c>
      <c r="J693" s="4031">
        <v>5</v>
      </c>
      <c r="K693" s="4031">
        <v>7</v>
      </c>
      <c r="L693" s="4031">
        <v>9</v>
      </c>
      <c r="M693" s="4031">
        <v>11</v>
      </c>
      <c r="N693" s="4031">
        <v>30</v>
      </c>
      <c r="O693" s="4031">
        <v>50</v>
      </c>
      <c r="P693" s="4031">
        <v>70</v>
      </c>
      <c r="Q693" s="4031">
        <v>100</v>
      </c>
      <c r="R693" s="4031">
        <v>5</v>
      </c>
      <c r="S693" s="4031">
        <v>5</v>
      </c>
      <c r="T693" s="4031">
        <v>10</v>
      </c>
      <c r="U693" s="4031">
        <v>10</v>
      </c>
      <c r="V693" s="4083" t="s">
        <v>13127</v>
      </c>
      <c r="W693" s="4083" t="s">
        <v>13129</v>
      </c>
      <c r="X693" s="4083" t="s">
        <v>13128</v>
      </c>
      <c r="Y693" s="4083" t="s">
        <v>13130</v>
      </c>
      <c r="Z693" s="4085" t="s">
        <v>12798</v>
      </c>
      <c r="AA693" s="4083"/>
    </row>
    <row r="694" spans="2:27" ht="12.75" customHeight="1">
      <c r="B694" s="242" t="str">
        <f t="shared" si="19"/>
        <v>Curación14</v>
      </c>
      <c r="D694" s="4028" t="s">
        <v>12859</v>
      </c>
      <c r="E694" s="4031" t="s">
        <v>6067</v>
      </c>
      <c r="F694" s="4031">
        <v>14</v>
      </c>
      <c r="G694" s="4031" t="s">
        <v>2422</v>
      </c>
      <c r="H694" s="4031" t="s">
        <v>1095</v>
      </c>
      <c r="I694" s="4031" t="s">
        <v>1165</v>
      </c>
      <c r="J694" s="4031">
        <v>5</v>
      </c>
      <c r="K694" s="4031">
        <v>8</v>
      </c>
      <c r="L694" s="4031">
        <v>10</v>
      </c>
      <c r="M694" s="4031">
        <v>12</v>
      </c>
      <c r="N694" s="4031">
        <v>40</v>
      </c>
      <c r="O694" s="4031">
        <v>80</v>
      </c>
      <c r="P694" s="4031">
        <v>120</v>
      </c>
      <c r="Q694" s="4031">
        <v>140</v>
      </c>
      <c r="R694" s="4031">
        <v>10</v>
      </c>
      <c r="S694" s="4031">
        <v>15</v>
      </c>
      <c r="T694" s="4031">
        <v>20</v>
      </c>
      <c r="U694" s="4031">
        <v>25</v>
      </c>
      <c r="V694" s="4083" t="s">
        <v>13131</v>
      </c>
      <c r="W694" s="4083" t="s">
        <v>13132</v>
      </c>
      <c r="X694" s="4083" t="s">
        <v>13133</v>
      </c>
      <c r="Y694" s="4083" t="s">
        <v>13134</v>
      </c>
      <c r="Z694" s="4085" t="s">
        <v>12799</v>
      </c>
      <c r="AA694" s="4083"/>
    </row>
    <row r="695" spans="2:27" ht="12.75" customHeight="1">
      <c r="B695" s="242" t="str">
        <f t="shared" si="19"/>
        <v>Curación24</v>
      </c>
      <c r="D695" s="4028" t="s">
        <v>12679</v>
      </c>
      <c r="E695" s="4031" t="s">
        <v>6067</v>
      </c>
      <c r="F695" s="4031">
        <v>24</v>
      </c>
      <c r="G695" s="4031" t="s">
        <v>1241</v>
      </c>
      <c r="H695" s="4031" t="s">
        <v>1095</v>
      </c>
      <c r="I695" s="4031" t="s">
        <v>1165</v>
      </c>
      <c r="J695" s="4031">
        <v>5</v>
      </c>
      <c r="K695" s="4031">
        <v>7</v>
      </c>
      <c r="L695" s="4031">
        <v>9</v>
      </c>
      <c r="M695" s="4031">
        <v>11</v>
      </c>
      <c r="N695" s="4031">
        <v>80</v>
      </c>
      <c r="O695" s="4031">
        <v>100</v>
      </c>
      <c r="P695" s="4031">
        <v>150</v>
      </c>
      <c r="Q695" s="4031">
        <v>200</v>
      </c>
      <c r="R695" s="4031">
        <v>10</v>
      </c>
      <c r="S695" s="4031">
        <v>10</v>
      </c>
      <c r="T695" s="4031">
        <v>15</v>
      </c>
      <c r="U695" s="4031">
        <v>20</v>
      </c>
      <c r="V695" s="4083" t="s">
        <v>13135</v>
      </c>
      <c r="W695" s="4083" t="s">
        <v>13136</v>
      </c>
      <c r="X695" s="4083" t="s">
        <v>13137</v>
      </c>
      <c r="Y695" s="4083" t="s">
        <v>13138</v>
      </c>
      <c r="Z695" s="4085" t="s">
        <v>13044</v>
      </c>
      <c r="AA695" s="4083"/>
    </row>
    <row r="696" spans="2:27" ht="12.75" customHeight="1">
      <c r="B696" s="242" t="str">
        <f t="shared" si="19"/>
        <v>Curación34</v>
      </c>
      <c r="D696" s="4028" t="s">
        <v>12680</v>
      </c>
      <c r="E696" s="4031" t="s">
        <v>6067</v>
      </c>
      <c r="F696" s="4031">
        <v>34</v>
      </c>
      <c r="G696" s="4031" t="s">
        <v>1241</v>
      </c>
      <c r="H696" s="4031" t="s">
        <v>10605</v>
      </c>
      <c r="I696" s="4031" t="s">
        <v>1165</v>
      </c>
      <c r="J696" s="4031">
        <v>7</v>
      </c>
      <c r="K696" s="4031">
        <v>9</v>
      </c>
      <c r="L696" s="4031">
        <v>11</v>
      </c>
      <c r="M696" s="4031">
        <v>13</v>
      </c>
      <c r="N696" s="4031">
        <v>50</v>
      </c>
      <c r="O696" s="4031">
        <v>100</v>
      </c>
      <c r="P696" s="4031">
        <v>150</v>
      </c>
      <c r="Q696" s="4031">
        <v>200</v>
      </c>
      <c r="R696" s="4031" t="s">
        <v>1241</v>
      </c>
      <c r="S696" s="4031" t="s">
        <v>1241</v>
      </c>
      <c r="T696" s="4031" t="s">
        <v>1241</v>
      </c>
      <c r="U696" s="4031" t="s">
        <v>1241</v>
      </c>
      <c r="V696" s="4083" t="s">
        <v>13139</v>
      </c>
      <c r="W696" s="4083" t="s">
        <v>13140</v>
      </c>
      <c r="X696" s="4083" t="s">
        <v>13141</v>
      </c>
      <c r="Y696" s="4083" t="s">
        <v>13142</v>
      </c>
      <c r="Z696" s="4085" t="s">
        <v>12800</v>
      </c>
      <c r="AA696" s="4083"/>
    </row>
    <row r="697" spans="2:27" ht="12.75" customHeight="1">
      <c r="B697" s="242" t="str">
        <f t="shared" si="19"/>
        <v>Curación44</v>
      </c>
      <c r="D697" s="4028" t="s">
        <v>12681</v>
      </c>
      <c r="E697" s="4031" t="s">
        <v>6067</v>
      </c>
      <c r="F697" s="4031">
        <v>44</v>
      </c>
      <c r="G697" s="4031" t="s">
        <v>2422</v>
      </c>
      <c r="H697" s="4031" t="s">
        <v>1097</v>
      </c>
      <c r="I697" s="4031" t="s">
        <v>1165</v>
      </c>
      <c r="J697" s="4031">
        <v>7</v>
      </c>
      <c r="K697" s="4031">
        <v>9</v>
      </c>
      <c r="L697" s="4031">
        <v>11</v>
      </c>
      <c r="M697" s="4031">
        <v>13</v>
      </c>
      <c r="N697" s="4031">
        <v>120</v>
      </c>
      <c r="O697" s="4031">
        <v>250</v>
      </c>
      <c r="P697" s="4031">
        <v>350</v>
      </c>
      <c r="Q697" s="4031">
        <v>500</v>
      </c>
      <c r="R697" s="4031">
        <v>5</v>
      </c>
      <c r="S697" s="4031">
        <v>10</v>
      </c>
      <c r="T697" s="4031">
        <v>10</v>
      </c>
      <c r="U697" s="4031">
        <v>15</v>
      </c>
      <c r="V697" s="4083" t="s">
        <v>13143</v>
      </c>
      <c r="W697" s="4083" t="s">
        <v>13144</v>
      </c>
      <c r="X697" s="4083" t="s">
        <v>13145</v>
      </c>
      <c r="Y697" s="4083" t="s">
        <v>13146</v>
      </c>
      <c r="Z697" s="4085" t="s">
        <v>12801</v>
      </c>
      <c r="AA697" s="4083"/>
    </row>
    <row r="698" spans="2:27" ht="12.75" customHeight="1">
      <c r="B698" s="242" t="str">
        <f t="shared" si="19"/>
        <v>Curación54</v>
      </c>
      <c r="D698" s="4028" t="s">
        <v>12682</v>
      </c>
      <c r="E698" s="4031" t="s">
        <v>6067</v>
      </c>
      <c r="F698" s="4031">
        <v>54</v>
      </c>
      <c r="G698" s="4031" t="s">
        <v>2422</v>
      </c>
      <c r="H698" s="4031" t="s">
        <v>1095</v>
      </c>
      <c r="I698" s="4031" t="s">
        <v>1165</v>
      </c>
      <c r="J698" s="4031">
        <v>8</v>
      </c>
      <c r="K698" s="4031">
        <v>10</v>
      </c>
      <c r="L698" s="4031">
        <v>12</v>
      </c>
      <c r="M698" s="4031">
        <v>14</v>
      </c>
      <c r="N698" s="4031">
        <v>50</v>
      </c>
      <c r="O698" s="4031">
        <v>100</v>
      </c>
      <c r="P698" s="4031">
        <v>150</v>
      </c>
      <c r="Q698" s="4031">
        <v>200</v>
      </c>
      <c r="R698" s="4031">
        <v>5</v>
      </c>
      <c r="S698" s="4031">
        <v>5</v>
      </c>
      <c r="T698" s="4031">
        <v>10</v>
      </c>
      <c r="U698" s="4031">
        <v>15</v>
      </c>
      <c r="V698" s="4083" t="s">
        <v>13146</v>
      </c>
      <c r="W698" s="4083" t="s">
        <v>13147</v>
      </c>
      <c r="X698" s="4083" t="s">
        <v>13148</v>
      </c>
      <c r="Y698" s="4083" t="s">
        <v>13149</v>
      </c>
      <c r="Z698" s="4085" t="s">
        <v>12802</v>
      </c>
      <c r="AA698" s="4083"/>
    </row>
    <row r="699" spans="2:27" ht="12.75" customHeight="1">
      <c r="B699" s="242" t="str">
        <f t="shared" si="19"/>
        <v>Curación64</v>
      </c>
      <c r="D699" s="4028" t="s">
        <v>12683</v>
      </c>
      <c r="E699" s="4031" t="s">
        <v>6067</v>
      </c>
      <c r="F699" s="4031">
        <v>64</v>
      </c>
      <c r="G699" s="4031" t="s">
        <v>1241</v>
      </c>
      <c r="H699" s="4031" t="s">
        <v>1095</v>
      </c>
      <c r="I699" s="4031" t="s">
        <v>1165</v>
      </c>
      <c r="J699" s="4031">
        <v>8</v>
      </c>
      <c r="K699" s="4031">
        <v>10</v>
      </c>
      <c r="L699" s="4031">
        <v>13</v>
      </c>
      <c r="M699" s="4031">
        <v>15</v>
      </c>
      <c r="N699" s="4031">
        <v>80</v>
      </c>
      <c r="O699" s="4031">
        <v>120</v>
      </c>
      <c r="P699" s="4031">
        <v>250</v>
      </c>
      <c r="Q699" s="4031">
        <v>300</v>
      </c>
      <c r="R699" s="4031">
        <v>10</v>
      </c>
      <c r="S699" s="4031">
        <v>15</v>
      </c>
      <c r="T699" s="4031">
        <v>20</v>
      </c>
      <c r="U699" s="4031">
        <v>25</v>
      </c>
      <c r="V699" s="4083" t="s">
        <v>13150</v>
      </c>
      <c r="W699" s="4083" t="s">
        <v>13151</v>
      </c>
      <c r="X699" s="4083" t="s">
        <v>13152</v>
      </c>
      <c r="Y699" s="4083" t="s">
        <v>13153</v>
      </c>
      <c r="Z699" s="4085" t="s">
        <v>13045</v>
      </c>
      <c r="AA699" s="4083"/>
    </row>
    <row r="700" spans="2:27" ht="12.75" customHeight="1">
      <c r="B700" s="242" t="str">
        <f t="shared" si="19"/>
        <v>Curación74</v>
      </c>
      <c r="D700" s="4028" t="s">
        <v>12684</v>
      </c>
      <c r="E700" s="4031" t="s">
        <v>6067</v>
      </c>
      <c r="F700" s="4031">
        <v>74</v>
      </c>
      <c r="G700" s="4031" t="s">
        <v>1241</v>
      </c>
      <c r="H700" s="4031" t="s">
        <v>1095</v>
      </c>
      <c r="I700" s="4031" t="s">
        <v>1165</v>
      </c>
      <c r="J700" s="4031">
        <v>11</v>
      </c>
      <c r="K700" s="4031">
        <v>13</v>
      </c>
      <c r="L700" s="4031">
        <v>15</v>
      </c>
      <c r="M700" s="4031">
        <v>17</v>
      </c>
      <c r="N700" s="4031">
        <v>150</v>
      </c>
      <c r="O700" s="4031">
        <v>300</v>
      </c>
      <c r="P700" s="4031">
        <v>500</v>
      </c>
      <c r="Q700" s="4031">
        <v>750</v>
      </c>
      <c r="R700" s="4031">
        <v>10</v>
      </c>
      <c r="S700" s="4031">
        <v>15</v>
      </c>
      <c r="T700" s="4031">
        <v>20</v>
      </c>
      <c r="U700" s="4031">
        <v>25</v>
      </c>
      <c r="V700" s="4083" t="s">
        <v>13154</v>
      </c>
      <c r="W700" s="4083" t="s">
        <v>13155</v>
      </c>
      <c r="X700" s="4083" t="s">
        <v>13156</v>
      </c>
      <c r="Y700" s="4083" t="s">
        <v>13157</v>
      </c>
      <c r="Z700" s="4085" t="s">
        <v>12803</v>
      </c>
      <c r="AA700" s="4083"/>
    </row>
    <row r="701" spans="2:27" ht="12.75" customHeight="1">
      <c r="B701" s="242" t="str">
        <f t="shared" si="19"/>
        <v>Curación84</v>
      </c>
      <c r="D701" s="4028" t="s">
        <v>12685</v>
      </c>
      <c r="E701" s="4031" t="s">
        <v>6067</v>
      </c>
      <c r="F701" s="4031">
        <v>84</v>
      </c>
      <c r="G701" s="4031" t="s">
        <v>2422</v>
      </c>
      <c r="H701" s="4031" t="s">
        <v>1095</v>
      </c>
      <c r="I701" s="4031" t="s">
        <v>1165</v>
      </c>
      <c r="J701" s="4031">
        <v>12</v>
      </c>
      <c r="K701" s="4031">
        <v>14</v>
      </c>
      <c r="L701" s="4031">
        <v>16</v>
      </c>
      <c r="M701" s="4031">
        <v>18</v>
      </c>
      <c r="N701" s="4031">
        <v>450</v>
      </c>
      <c r="O701" s="4031">
        <v>900</v>
      </c>
      <c r="P701" s="4031">
        <v>1200</v>
      </c>
      <c r="Q701" s="4031">
        <v>1500</v>
      </c>
      <c r="R701" s="4031">
        <v>20</v>
      </c>
      <c r="S701" s="4031">
        <v>40</v>
      </c>
      <c r="T701" s="4031">
        <v>60</v>
      </c>
      <c r="U701" s="4031">
        <v>80</v>
      </c>
      <c r="V701" s="4083" t="s">
        <v>3829</v>
      </c>
      <c r="W701" s="4083" t="s">
        <v>13158</v>
      </c>
      <c r="X701" s="4083"/>
      <c r="Y701" s="4083" t="s">
        <v>13159</v>
      </c>
      <c r="Z701" s="4085" t="s">
        <v>12804</v>
      </c>
      <c r="AA701" s="4083"/>
    </row>
    <row r="702" spans="2:27" ht="12.75" customHeight="1">
      <c r="B702" s="242" t="str">
        <f t="shared" si="19"/>
        <v>Curación94</v>
      </c>
      <c r="D702" s="4028" t="s">
        <v>12686</v>
      </c>
      <c r="E702" s="4031" t="s">
        <v>6067</v>
      </c>
      <c r="F702" s="4031">
        <v>94</v>
      </c>
      <c r="G702" s="4031" t="s">
        <v>1241</v>
      </c>
      <c r="H702" s="4031" t="s">
        <v>1095</v>
      </c>
      <c r="I702" s="4031" t="s">
        <v>1165</v>
      </c>
      <c r="J702" s="4031">
        <v>13</v>
      </c>
      <c r="K702" s="4031">
        <v>15</v>
      </c>
      <c r="L702" s="4031">
        <v>17</v>
      </c>
      <c r="M702" s="4031">
        <v>19</v>
      </c>
      <c r="N702" s="4031">
        <v>500</v>
      </c>
      <c r="O702" s="4031">
        <v>750</v>
      </c>
      <c r="P702" s="4031">
        <v>1200</v>
      </c>
      <c r="Q702" s="4031">
        <v>1700</v>
      </c>
      <c r="R702" s="4031" t="s">
        <v>1241</v>
      </c>
      <c r="S702" s="4031" t="s">
        <v>1241</v>
      </c>
      <c r="T702" s="4031" t="s">
        <v>1241</v>
      </c>
      <c r="U702" s="4031" t="s">
        <v>1241</v>
      </c>
      <c r="V702" s="4083" t="s">
        <v>3732</v>
      </c>
      <c r="W702" s="4083" t="s">
        <v>3223</v>
      </c>
      <c r="X702" s="4083" t="s">
        <v>3314</v>
      </c>
      <c r="Y702" s="4083" t="s">
        <v>8648</v>
      </c>
      <c r="Z702" s="4085" t="s">
        <v>12805</v>
      </c>
      <c r="AA702" s="4083"/>
    </row>
    <row r="703" spans="2:27" ht="12.75" customHeight="1">
      <c r="B703" s="242" t="str">
        <f t="shared" si="19"/>
        <v/>
      </c>
      <c r="D703" s="4028" t="s">
        <v>12688</v>
      </c>
      <c r="E703" s="4083"/>
      <c r="F703" s="4031"/>
      <c r="G703" s="4031"/>
      <c r="H703" s="4031"/>
      <c r="I703" s="4031"/>
      <c r="J703" s="4031"/>
      <c r="K703" s="4031"/>
      <c r="L703" s="4031"/>
      <c r="M703" s="4031"/>
      <c r="N703" s="4031"/>
      <c r="O703" s="4031"/>
      <c r="P703" s="4031"/>
      <c r="Q703" s="4031"/>
      <c r="R703" s="4083"/>
      <c r="S703" s="4083"/>
      <c r="T703" s="4083"/>
      <c r="U703" s="4083"/>
      <c r="V703" s="4083"/>
      <c r="W703" s="4083"/>
      <c r="X703" s="4083"/>
      <c r="Y703" s="4083"/>
      <c r="Z703" s="4085"/>
      <c r="AA703" s="4083"/>
    </row>
    <row r="704" spans="2:27" ht="12.75" customHeight="1">
      <c r="B704" s="242" t="str">
        <f t="shared" si="19"/>
        <v>Espacio4</v>
      </c>
      <c r="D704" s="4028" t="s">
        <v>1929</v>
      </c>
      <c r="E704" s="4031" t="s">
        <v>12687</v>
      </c>
      <c r="F704" s="4031">
        <v>4</v>
      </c>
      <c r="G704" s="4031" t="s">
        <v>1241</v>
      </c>
      <c r="H704" s="4031" t="s">
        <v>1095</v>
      </c>
      <c r="I704" s="4031" t="s">
        <v>1165</v>
      </c>
      <c r="J704" s="4031">
        <v>5</v>
      </c>
      <c r="K704" s="4031">
        <v>7</v>
      </c>
      <c r="L704" s="4031">
        <v>9</v>
      </c>
      <c r="M704" s="4031">
        <v>11</v>
      </c>
      <c r="N704" s="4031">
        <v>20</v>
      </c>
      <c r="O704" s="4031">
        <v>60</v>
      </c>
      <c r="P704" s="4031">
        <v>80</v>
      </c>
      <c r="Q704" s="4031">
        <v>120</v>
      </c>
      <c r="R704" s="4031" t="s">
        <v>1241</v>
      </c>
      <c r="S704" s="4031" t="s">
        <v>1241</v>
      </c>
      <c r="T704" s="4031" t="s">
        <v>1241</v>
      </c>
      <c r="U704" s="4031" t="s">
        <v>1241</v>
      </c>
      <c r="V704" s="4083" t="s">
        <v>13160</v>
      </c>
      <c r="W704" s="4083" t="s">
        <v>13161</v>
      </c>
      <c r="X704" s="4083" t="s">
        <v>13162</v>
      </c>
      <c r="Y704" s="4083" t="s">
        <v>13163</v>
      </c>
      <c r="Z704" s="4085" t="s">
        <v>12806</v>
      </c>
      <c r="AA704" s="4083"/>
    </row>
    <row r="705" spans="2:27" ht="12.75" customHeight="1">
      <c r="B705" s="242" t="str">
        <f t="shared" si="19"/>
        <v>Espacio14</v>
      </c>
      <c r="D705" s="4028" t="s">
        <v>12689</v>
      </c>
      <c r="E705" s="4031" t="s">
        <v>12687</v>
      </c>
      <c r="F705" s="4031">
        <v>14</v>
      </c>
      <c r="G705" s="4031" t="s">
        <v>1241</v>
      </c>
      <c r="H705" s="4031" t="s">
        <v>1096</v>
      </c>
      <c r="I705" s="4031" t="s">
        <v>1165</v>
      </c>
      <c r="J705" s="4031">
        <v>6</v>
      </c>
      <c r="K705" s="4031">
        <v>8</v>
      </c>
      <c r="L705" s="4031">
        <v>10</v>
      </c>
      <c r="M705" s="4031">
        <v>12</v>
      </c>
      <c r="N705" s="4031">
        <v>80</v>
      </c>
      <c r="O705" s="4031">
        <v>120</v>
      </c>
      <c r="P705" s="4031">
        <v>180</v>
      </c>
      <c r="Q705" s="4031">
        <v>250</v>
      </c>
      <c r="R705" s="4031">
        <v>10</v>
      </c>
      <c r="S705" s="4031">
        <v>10</v>
      </c>
      <c r="T705" s="4031">
        <v>15</v>
      </c>
      <c r="U705" s="4031">
        <v>20</v>
      </c>
      <c r="V705" s="4083" t="s">
        <v>13164</v>
      </c>
      <c r="W705" s="4083" t="s">
        <v>13165</v>
      </c>
      <c r="X705" s="4083" t="s">
        <v>13166</v>
      </c>
      <c r="Y705" s="4083" t="s">
        <v>13167</v>
      </c>
      <c r="Z705" s="4085" t="s">
        <v>13046</v>
      </c>
      <c r="AA705" s="4083"/>
    </row>
    <row r="706" spans="2:27" ht="12.75" customHeight="1">
      <c r="B706" s="242" t="str">
        <f t="shared" si="19"/>
        <v>Espacio24</v>
      </c>
      <c r="D706" s="4028" t="s">
        <v>12690</v>
      </c>
      <c r="E706" s="4031" t="s">
        <v>12687</v>
      </c>
      <c r="F706" s="4031">
        <v>24</v>
      </c>
      <c r="G706" s="4031" t="s">
        <v>1241</v>
      </c>
      <c r="H706" s="4031" t="s">
        <v>1093</v>
      </c>
      <c r="I706" s="4031" t="s">
        <v>1165</v>
      </c>
      <c r="J706" s="4031">
        <v>5</v>
      </c>
      <c r="K706" s="4031">
        <v>7</v>
      </c>
      <c r="L706" s="4031">
        <v>9</v>
      </c>
      <c r="M706" s="4031">
        <v>11</v>
      </c>
      <c r="N706" s="4031">
        <v>50</v>
      </c>
      <c r="O706" s="4031">
        <v>80</v>
      </c>
      <c r="P706" s="4031">
        <v>100</v>
      </c>
      <c r="Q706" s="4031">
        <v>150</v>
      </c>
      <c r="R706" s="4031">
        <v>5</v>
      </c>
      <c r="S706" s="4031">
        <v>5</v>
      </c>
      <c r="T706" s="4031">
        <v>10</v>
      </c>
      <c r="U706" s="4031">
        <v>15</v>
      </c>
      <c r="V706" s="4083" t="s">
        <v>13168</v>
      </c>
      <c r="W706" s="4083" t="s">
        <v>13169</v>
      </c>
      <c r="X706" s="4083" t="s">
        <v>13170</v>
      </c>
      <c r="Y706" s="4083" t="s">
        <v>13171</v>
      </c>
      <c r="Z706" s="4085" t="s">
        <v>13047</v>
      </c>
      <c r="AA706" s="4083"/>
    </row>
    <row r="707" spans="2:27" ht="12.75" customHeight="1">
      <c r="B707" s="242" t="str">
        <f t="shared" si="19"/>
        <v>Espacio34</v>
      </c>
      <c r="D707" s="4028" t="s">
        <v>12691</v>
      </c>
      <c r="E707" s="4031" t="s">
        <v>12687</v>
      </c>
      <c r="F707" s="4031">
        <v>34</v>
      </c>
      <c r="G707" s="4031" t="s">
        <v>1241</v>
      </c>
      <c r="H707" s="4031" t="s">
        <v>1095</v>
      </c>
      <c r="I707" s="4031" t="s">
        <v>1165</v>
      </c>
      <c r="J707" s="4031">
        <v>7</v>
      </c>
      <c r="K707" s="4031">
        <v>9</v>
      </c>
      <c r="L707" s="4031">
        <v>11</v>
      </c>
      <c r="M707" s="4031">
        <v>13</v>
      </c>
      <c r="N707" s="4031">
        <v>100</v>
      </c>
      <c r="O707" s="4031">
        <v>120</v>
      </c>
      <c r="P707" s="4031">
        <v>180</v>
      </c>
      <c r="Q707" s="4031">
        <v>300</v>
      </c>
      <c r="R707" s="4031">
        <v>10</v>
      </c>
      <c r="S707" s="4031">
        <v>10</v>
      </c>
      <c r="T707" s="4031">
        <v>15</v>
      </c>
      <c r="U707" s="4031">
        <v>20</v>
      </c>
      <c r="V707" s="4083" t="s">
        <v>13172</v>
      </c>
      <c r="W707" s="4083" t="s">
        <v>13173</v>
      </c>
      <c r="X707" s="4083" t="s">
        <v>13174</v>
      </c>
      <c r="Y707" s="4083" t="s">
        <v>13175</v>
      </c>
      <c r="Z707" s="4085" t="s">
        <v>13048</v>
      </c>
      <c r="AA707" s="4083"/>
    </row>
    <row r="708" spans="2:27" ht="12.75" customHeight="1">
      <c r="B708" s="242" t="str">
        <f t="shared" si="19"/>
        <v>Espacio44</v>
      </c>
      <c r="D708" s="4028" t="s">
        <v>12692</v>
      </c>
      <c r="E708" s="4031" t="s">
        <v>12687</v>
      </c>
      <c r="F708" s="4031">
        <v>44</v>
      </c>
      <c r="G708" s="4031" t="s">
        <v>2422</v>
      </c>
      <c r="H708" s="4031" t="s">
        <v>1096</v>
      </c>
      <c r="I708" s="4031" t="s">
        <v>1165</v>
      </c>
      <c r="J708" s="4031">
        <v>7</v>
      </c>
      <c r="K708" s="4031">
        <v>9</v>
      </c>
      <c r="L708" s="4031">
        <v>11</v>
      </c>
      <c r="M708" s="4031">
        <v>13</v>
      </c>
      <c r="N708" s="4031">
        <v>150</v>
      </c>
      <c r="O708" s="4031">
        <v>200</v>
      </c>
      <c r="P708" s="4031">
        <v>250</v>
      </c>
      <c r="Q708" s="4031">
        <v>350</v>
      </c>
      <c r="R708" s="4031">
        <v>15</v>
      </c>
      <c r="S708" s="4031">
        <v>20</v>
      </c>
      <c r="T708" s="4031">
        <v>25</v>
      </c>
      <c r="U708" s="4031">
        <v>30</v>
      </c>
      <c r="V708" s="4083" t="s">
        <v>13176</v>
      </c>
      <c r="W708" s="4083" t="s">
        <v>13177</v>
      </c>
      <c r="X708" s="4083" t="s">
        <v>13178</v>
      </c>
      <c r="Y708" s="4083" t="s">
        <v>13179</v>
      </c>
      <c r="Z708" s="4085" t="s">
        <v>13049</v>
      </c>
      <c r="AA708" s="4083"/>
    </row>
    <row r="709" spans="2:27" ht="12.75" customHeight="1">
      <c r="B709" s="242" t="str">
        <f t="shared" si="19"/>
        <v>Espacio54</v>
      </c>
      <c r="D709" s="4028" t="s">
        <v>12693</v>
      </c>
      <c r="E709" s="4031" t="s">
        <v>12687</v>
      </c>
      <c r="F709" s="4031">
        <v>54</v>
      </c>
      <c r="G709" s="4031" t="s">
        <v>1241</v>
      </c>
      <c r="H709" s="4031" t="s">
        <v>1095</v>
      </c>
      <c r="I709" s="4031" t="s">
        <v>1165</v>
      </c>
      <c r="J709" s="4031">
        <v>9</v>
      </c>
      <c r="K709" s="4031">
        <v>11</v>
      </c>
      <c r="L709" s="4031">
        <v>13</v>
      </c>
      <c r="M709" s="4031">
        <v>15</v>
      </c>
      <c r="N709" s="4031">
        <v>120</v>
      </c>
      <c r="O709" s="4031">
        <v>180</v>
      </c>
      <c r="P709" s="4031">
        <v>250</v>
      </c>
      <c r="Q709" s="4031">
        <v>350</v>
      </c>
      <c r="R709" s="4031">
        <v>15</v>
      </c>
      <c r="S709" s="4031">
        <v>20</v>
      </c>
      <c r="T709" s="4031">
        <v>25</v>
      </c>
      <c r="U709" s="4031">
        <v>30</v>
      </c>
      <c r="V709" s="4083" t="s">
        <v>13180</v>
      </c>
      <c r="W709" s="4083" t="s">
        <v>13181</v>
      </c>
      <c r="X709" s="4083" t="s">
        <v>13182</v>
      </c>
      <c r="Y709" s="4083" t="s">
        <v>13183</v>
      </c>
      <c r="Z709" s="4085" t="s">
        <v>12807</v>
      </c>
      <c r="AA709" s="4083"/>
    </row>
    <row r="710" spans="2:27" ht="12.75" customHeight="1">
      <c r="B710" s="242" t="str">
        <f t="shared" si="19"/>
        <v>Espacio64</v>
      </c>
      <c r="D710" s="4028" t="s">
        <v>12694</v>
      </c>
      <c r="E710" s="4031" t="s">
        <v>12687</v>
      </c>
      <c r="F710" s="4031">
        <v>64</v>
      </c>
      <c r="G710" s="4031" t="s">
        <v>2422</v>
      </c>
      <c r="H710" s="4031" t="s">
        <v>1095</v>
      </c>
      <c r="I710" s="4031" t="s">
        <v>1165</v>
      </c>
      <c r="J710" s="4031">
        <v>11</v>
      </c>
      <c r="K710" s="4031">
        <v>13</v>
      </c>
      <c r="L710" s="4031">
        <v>15</v>
      </c>
      <c r="M710" s="4031">
        <v>17</v>
      </c>
      <c r="N710" s="4031">
        <v>300</v>
      </c>
      <c r="O710" s="4031">
        <v>500</v>
      </c>
      <c r="P710" s="4031">
        <v>750</v>
      </c>
      <c r="Q710" s="4087">
        <v>1200</v>
      </c>
      <c r="R710" s="4031">
        <v>10</v>
      </c>
      <c r="S710" s="4031">
        <v>20</v>
      </c>
      <c r="T710" s="4031">
        <v>30</v>
      </c>
      <c r="U710" s="4031">
        <v>40</v>
      </c>
      <c r="V710" s="4083" t="s">
        <v>4021</v>
      </c>
      <c r="W710" s="4083" t="s">
        <v>3222</v>
      </c>
      <c r="X710" s="4083" t="s">
        <v>3223</v>
      </c>
      <c r="Y710" s="4083" t="s">
        <v>3314</v>
      </c>
      <c r="Z710" s="4085" t="s">
        <v>13050</v>
      </c>
      <c r="AA710" s="4083"/>
    </row>
    <row r="711" spans="2:27" ht="12.75" customHeight="1">
      <c r="B711" s="242" t="str">
        <f t="shared" si="19"/>
        <v>Espacio74</v>
      </c>
      <c r="D711" s="4028" t="s">
        <v>12695</v>
      </c>
      <c r="E711" s="4031" t="s">
        <v>12687</v>
      </c>
      <c r="F711" s="4031">
        <v>74</v>
      </c>
      <c r="G711" s="4031" t="s">
        <v>2422</v>
      </c>
      <c r="H711" s="4031" t="s">
        <v>1095</v>
      </c>
      <c r="I711" s="4031" t="s">
        <v>1165</v>
      </c>
      <c r="J711" s="4031">
        <v>12</v>
      </c>
      <c r="K711" s="4031">
        <v>14</v>
      </c>
      <c r="L711" s="4031">
        <v>16</v>
      </c>
      <c r="M711" s="4031">
        <v>18</v>
      </c>
      <c r="N711" s="4031">
        <v>300</v>
      </c>
      <c r="O711" s="4031">
        <v>500</v>
      </c>
      <c r="P711" s="4031">
        <v>850</v>
      </c>
      <c r="Q711" s="4087">
        <v>1000</v>
      </c>
      <c r="R711" s="4031" t="s">
        <v>1241</v>
      </c>
      <c r="S711" s="4031" t="s">
        <v>1241</v>
      </c>
      <c r="T711" s="4031" t="s">
        <v>1241</v>
      </c>
      <c r="U711" s="4031" t="s">
        <v>1241</v>
      </c>
      <c r="V711" s="4083" t="s">
        <v>13184</v>
      </c>
      <c r="W711" s="4083" t="s">
        <v>13185</v>
      </c>
      <c r="X711" s="4083" t="s">
        <v>13186</v>
      </c>
      <c r="Y711" s="4083" t="s">
        <v>13187</v>
      </c>
      <c r="Z711" s="4085" t="s">
        <v>13051</v>
      </c>
      <c r="AA711" s="4083"/>
    </row>
    <row r="712" spans="2:27" ht="12.75" customHeight="1">
      <c r="B712" s="242" t="str">
        <f t="shared" ref="B712:B775" si="20">E712&amp;F712</f>
        <v>Espacio84</v>
      </c>
      <c r="D712" s="4028" t="s">
        <v>12696</v>
      </c>
      <c r="E712" s="4031" t="s">
        <v>12687</v>
      </c>
      <c r="F712" s="4031">
        <v>84</v>
      </c>
      <c r="G712" s="4031" t="s">
        <v>1241</v>
      </c>
      <c r="H712" s="4031" t="s">
        <v>1093</v>
      </c>
      <c r="I712" s="4031" t="s">
        <v>1165</v>
      </c>
      <c r="J712" s="4031">
        <v>13</v>
      </c>
      <c r="K712" s="4031">
        <v>15</v>
      </c>
      <c r="L712" s="4031">
        <v>17</v>
      </c>
      <c r="M712" s="4031">
        <v>19</v>
      </c>
      <c r="N712" s="4031">
        <v>800</v>
      </c>
      <c r="O712" s="4087">
        <v>1200</v>
      </c>
      <c r="P712" s="4087">
        <v>1800</v>
      </c>
      <c r="Q712" s="4087">
        <v>2500</v>
      </c>
      <c r="R712" s="4031">
        <v>10</v>
      </c>
      <c r="S712" s="4031">
        <v>20</v>
      </c>
      <c r="T712" s="4031">
        <v>30</v>
      </c>
      <c r="U712" s="4031">
        <v>40</v>
      </c>
      <c r="V712" s="4083" t="s">
        <v>13190</v>
      </c>
      <c r="W712" s="4083" t="s">
        <v>13189</v>
      </c>
      <c r="X712" s="4083" t="s">
        <v>13189</v>
      </c>
      <c r="Y712" s="4083" t="s">
        <v>13188</v>
      </c>
      <c r="Z712" s="4085" t="s">
        <v>12808</v>
      </c>
      <c r="AA712" s="4083"/>
    </row>
    <row r="713" spans="2:27" ht="12.75" customHeight="1">
      <c r="B713" s="242" t="str">
        <f t="shared" si="20"/>
        <v>Espacio94</v>
      </c>
      <c r="D713" s="4028" t="s">
        <v>12697</v>
      </c>
      <c r="E713" s="4031" t="s">
        <v>12687</v>
      </c>
      <c r="F713" s="4031">
        <v>94</v>
      </c>
      <c r="G713" s="4031" t="s">
        <v>1241</v>
      </c>
      <c r="H713" s="4031" t="s">
        <v>1095</v>
      </c>
      <c r="I713" s="4031" t="s">
        <v>1165</v>
      </c>
      <c r="J713" s="4031">
        <v>14</v>
      </c>
      <c r="K713" s="4031">
        <v>16</v>
      </c>
      <c r="L713" s="4031">
        <v>18</v>
      </c>
      <c r="M713" s="4031">
        <v>20</v>
      </c>
      <c r="N713" s="4087">
        <v>1000</v>
      </c>
      <c r="O713" s="4087">
        <v>1700</v>
      </c>
      <c r="P713" s="4087">
        <v>2500</v>
      </c>
      <c r="Q713" s="4087">
        <v>3000</v>
      </c>
      <c r="R713" s="4031" t="s">
        <v>1241</v>
      </c>
      <c r="S713" s="4031" t="s">
        <v>1241</v>
      </c>
      <c r="T713" s="4031" t="s">
        <v>1241</v>
      </c>
      <c r="U713" s="4031" t="s">
        <v>1241</v>
      </c>
      <c r="V713" s="4083" t="s">
        <v>13191</v>
      </c>
      <c r="W713" s="4083" t="s">
        <v>13192</v>
      </c>
      <c r="X713" s="4083" t="s">
        <v>13193</v>
      </c>
      <c r="Y713" s="4083" t="s">
        <v>13194</v>
      </c>
      <c r="Z713" s="4085" t="s">
        <v>13052</v>
      </c>
      <c r="AA713" s="4083"/>
    </row>
    <row r="714" spans="2:27" ht="12.75" customHeight="1">
      <c r="B714" s="242" t="str">
        <f t="shared" si="20"/>
        <v/>
      </c>
      <c r="D714" s="4028" t="s">
        <v>12698</v>
      </c>
      <c r="E714" s="4083"/>
      <c r="F714" s="4031"/>
      <c r="G714" s="4031"/>
      <c r="H714" s="4031"/>
      <c r="I714" s="4031"/>
      <c r="J714" s="4031"/>
      <c r="K714" s="4031"/>
      <c r="L714" s="4031"/>
      <c r="M714" s="4031"/>
      <c r="N714" s="4031"/>
      <c r="O714" s="4031"/>
      <c r="P714" s="4031"/>
      <c r="Q714" s="4031"/>
      <c r="R714" s="4083"/>
      <c r="S714" s="4083"/>
      <c r="T714" s="4083"/>
      <c r="U714" s="4083"/>
      <c r="V714" s="4083"/>
      <c r="W714" s="4083"/>
      <c r="X714" s="4083"/>
      <c r="Y714" s="4083"/>
      <c r="Z714" s="4085"/>
      <c r="AA714" s="4083"/>
    </row>
    <row r="715" spans="2:27" ht="12.75" customHeight="1">
      <c r="B715" s="242" t="str">
        <f t="shared" si="20"/>
        <v>Ley4</v>
      </c>
      <c r="D715" s="4028" t="s">
        <v>12699</v>
      </c>
      <c r="E715" s="4031" t="s">
        <v>2405</v>
      </c>
      <c r="F715" s="4031">
        <v>4</v>
      </c>
      <c r="G715" s="4031" t="s">
        <v>2422</v>
      </c>
      <c r="H715" s="4031" t="s">
        <v>1095</v>
      </c>
      <c r="I715" s="4031" t="s">
        <v>1165</v>
      </c>
      <c r="J715" s="4031">
        <v>5</v>
      </c>
      <c r="K715" s="4031">
        <v>7</v>
      </c>
      <c r="L715" s="4031">
        <v>9</v>
      </c>
      <c r="M715" s="4031">
        <v>11</v>
      </c>
      <c r="N715" s="4031">
        <v>30</v>
      </c>
      <c r="O715" s="4031">
        <v>80</v>
      </c>
      <c r="P715" s="4031">
        <v>120</v>
      </c>
      <c r="Q715" s="4031">
        <v>150</v>
      </c>
      <c r="R715" s="4031">
        <v>5</v>
      </c>
      <c r="S715" s="4031">
        <v>10</v>
      </c>
      <c r="T715" s="4031">
        <v>15</v>
      </c>
      <c r="U715" s="4031">
        <v>20</v>
      </c>
      <c r="V715" s="4083" t="s">
        <v>13195</v>
      </c>
      <c r="W715" s="4083" t="s">
        <v>13196</v>
      </c>
      <c r="X715" s="4083" t="s">
        <v>13197</v>
      </c>
      <c r="Y715" s="4083" t="s">
        <v>13198</v>
      </c>
      <c r="Z715" s="4085" t="s">
        <v>12809</v>
      </c>
      <c r="AA715" s="4083"/>
    </row>
    <row r="716" spans="2:27" ht="12.75" customHeight="1">
      <c r="B716" s="242" t="str">
        <f t="shared" si="20"/>
        <v>Ley14</v>
      </c>
      <c r="D716" s="4028" t="s">
        <v>12700</v>
      </c>
      <c r="E716" s="4031" t="s">
        <v>2405</v>
      </c>
      <c r="F716" s="4031">
        <v>14</v>
      </c>
      <c r="G716" s="4031" t="s">
        <v>1241</v>
      </c>
      <c r="H716" s="4031" t="s">
        <v>1095</v>
      </c>
      <c r="I716" s="4031" t="s">
        <v>1165</v>
      </c>
      <c r="J716" s="4031">
        <v>6</v>
      </c>
      <c r="K716" s="4031">
        <v>8</v>
      </c>
      <c r="L716" s="4031">
        <v>10</v>
      </c>
      <c r="M716" s="4031">
        <v>12</v>
      </c>
      <c r="N716" s="4031">
        <v>50</v>
      </c>
      <c r="O716" s="4031">
        <v>80</v>
      </c>
      <c r="P716" s="4031">
        <v>120</v>
      </c>
      <c r="Q716" s="4031">
        <v>150</v>
      </c>
      <c r="R716" s="4031" t="s">
        <v>1241</v>
      </c>
      <c r="S716" s="4031" t="s">
        <v>1241</v>
      </c>
      <c r="T716" s="4031" t="s">
        <v>1241</v>
      </c>
      <c r="U716" s="4031" t="s">
        <v>1241</v>
      </c>
      <c r="V716" s="4083" t="s">
        <v>13199</v>
      </c>
      <c r="W716" s="4083" t="s">
        <v>13200</v>
      </c>
      <c r="X716" s="4083" t="s">
        <v>13201</v>
      </c>
      <c r="Y716" s="4083" t="s">
        <v>13202</v>
      </c>
      <c r="Z716" s="4085" t="s">
        <v>12810</v>
      </c>
      <c r="AA716" s="4083"/>
    </row>
    <row r="717" spans="2:27" ht="12.75" customHeight="1">
      <c r="B717" s="242" t="str">
        <f t="shared" si="20"/>
        <v>Ley24</v>
      </c>
      <c r="D717" s="4028" t="s">
        <v>12701</v>
      </c>
      <c r="E717" s="4031" t="s">
        <v>2405</v>
      </c>
      <c r="F717" s="4031">
        <v>24</v>
      </c>
      <c r="G717" s="4031" t="s">
        <v>1241</v>
      </c>
      <c r="H717" s="4031" t="s">
        <v>1097</v>
      </c>
      <c r="I717" s="4031" t="s">
        <v>1165</v>
      </c>
      <c r="J717" s="4031">
        <v>6</v>
      </c>
      <c r="K717" s="4031">
        <v>8</v>
      </c>
      <c r="L717" s="4031">
        <v>10</v>
      </c>
      <c r="M717" s="4031">
        <v>12</v>
      </c>
      <c r="N717" s="4031">
        <v>50</v>
      </c>
      <c r="O717" s="4031">
        <v>100</v>
      </c>
      <c r="P717" s="4031">
        <v>150</v>
      </c>
      <c r="Q717" s="4031">
        <v>200</v>
      </c>
      <c r="R717" s="4031">
        <v>5</v>
      </c>
      <c r="S717" s="4031">
        <v>5</v>
      </c>
      <c r="T717" s="4031">
        <v>10</v>
      </c>
      <c r="U717" s="4031">
        <v>10</v>
      </c>
      <c r="V717" s="4083" t="s">
        <v>4151</v>
      </c>
      <c r="W717" s="4083" t="s">
        <v>13203</v>
      </c>
      <c r="X717" s="4083" t="s">
        <v>13204</v>
      </c>
      <c r="Y717" s="4083" t="s">
        <v>3568</v>
      </c>
      <c r="Z717" s="4085" t="s">
        <v>12811</v>
      </c>
      <c r="AA717" s="4083"/>
    </row>
    <row r="718" spans="2:27" ht="12.75" customHeight="1">
      <c r="B718" s="242" t="str">
        <f t="shared" si="20"/>
        <v>Ley34</v>
      </c>
      <c r="D718" s="4028" t="s">
        <v>12702</v>
      </c>
      <c r="E718" s="4031" t="s">
        <v>2405</v>
      </c>
      <c r="F718" s="4031">
        <v>34</v>
      </c>
      <c r="G718" s="4031" t="s">
        <v>2422</v>
      </c>
      <c r="H718" s="4031" t="s">
        <v>1095</v>
      </c>
      <c r="I718" s="4031" t="s">
        <v>1165</v>
      </c>
      <c r="J718" s="4031">
        <v>6</v>
      </c>
      <c r="K718" s="4031">
        <v>8</v>
      </c>
      <c r="L718" s="4031">
        <v>11</v>
      </c>
      <c r="M718" s="4031">
        <v>13</v>
      </c>
      <c r="N718" s="4031">
        <v>80</v>
      </c>
      <c r="O718" s="4031">
        <v>150</v>
      </c>
      <c r="P718" s="4031">
        <v>200</v>
      </c>
      <c r="Q718" s="4031">
        <v>300</v>
      </c>
      <c r="R718" s="4031">
        <v>5</v>
      </c>
      <c r="S718" s="4031">
        <v>10</v>
      </c>
      <c r="T718" s="4031">
        <v>15</v>
      </c>
      <c r="U718" s="4031">
        <v>20</v>
      </c>
      <c r="V718" s="4083" t="s">
        <v>13205</v>
      </c>
      <c r="W718" s="4083" t="s">
        <v>13206</v>
      </c>
      <c r="X718" s="4083" t="s">
        <v>13207</v>
      </c>
      <c r="Y718" s="4083" t="s">
        <v>13208</v>
      </c>
      <c r="Z718" s="4085" t="s">
        <v>12812</v>
      </c>
      <c r="AA718" s="4083"/>
    </row>
    <row r="719" spans="2:27" ht="12.75" customHeight="1">
      <c r="B719" s="242" t="str">
        <f t="shared" si="20"/>
        <v>Ley44</v>
      </c>
      <c r="D719" s="4028" t="s">
        <v>12703</v>
      </c>
      <c r="E719" s="4031" t="s">
        <v>2405</v>
      </c>
      <c r="F719" s="4031">
        <v>44</v>
      </c>
      <c r="G719" s="4031" t="s">
        <v>1241</v>
      </c>
      <c r="H719" s="4031" t="s">
        <v>1096</v>
      </c>
      <c r="I719" s="4031" t="s">
        <v>1165</v>
      </c>
      <c r="J719" s="4031">
        <v>7</v>
      </c>
      <c r="K719" s="4031">
        <v>9</v>
      </c>
      <c r="L719" s="4031">
        <v>11</v>
      </c>
      <c r="M719" s="4031">
        <v>13</v>
      </c>
      <c r="N719" s="4031">
        <v>50</v>
      </c>
      <c r="O719" s="4031">
        <v>120</v>
      </c>
      <c r="P719" s="4031">
        <v>180</v>
      </c>
      <c r="Q719" s="4031">
        <v>250</v>
      </c>
      <c r="R719" s="4031" t="s">
        <v>1241</v>
      </c>
      <c r="S719" s="4031" t="s">
        <v>1241</v>
      </c>
      <c r="T719" s="4031" t="s">
        <v>1241</v>
      </c>
      <c r="U719" s="4031" t="s">
        <v>1241</v>
      </c>
      <c r="V719" s="4083" t="s">
        <v>13209</v>
      </c>
      <c r="W719" s="4083" t="s">
        <v>13210</v>
      </c>
      <c r="X719" s="4083" t="s">
        <v>13211</v>
      </c>
      <c r="Y719" s="4083" t="s">
        <v>13212</v>
      </c>
      <c r="Z719" s="4085" t="s">
        <v>12813</v>
      </c>
      <c r="AA719" s="4083"/>
    </row>
    <row r="720" spans="2:27" ht="12.75" customHeight="1">
      <c r="B720" s="242" t="str">
        <f t="shared" si="20"/>
        <v>Ley54</v>
      </c>
      <c r="D720" s="4028" t="s">
        <v>12704</v>
      </c>
      <c r="E720" s="4031" t="s">
        <v>2405</v>
      </c>
      <c r="F720" s="4031">
        <v>54</v>
      </c>
      <c r="G720" s="4031" t="s">
        <v>2422</v>
      </c>
      <c r="H720" s="4031" t="s">
        <v>1096</v>
      </c>
      <c r="I720" s="4031" t="s">
        <v>1165</v>
      </c>
      <c r="J720" s="4031">
        <v>8</v>
      </c>
      <c r="K720" s="4031">
        <v>10</v>
      </c>
      <c r="L720" s="4031">
        <v>12</v>
      </c>
      <c r="M720" s="4031">
        <v>14</v>
      </c>
      <c r="N720" s="4031">
        <v>120</v>
      </c>
      <c r="O720" s="4031">
        <v>180</v>
      </c>
      <c r="P720" s="4031">
        <v>240</v>
      </c>
      <c r="Q720" s="4031">
        <v>280</v>
      </c>
      <c r="R720" s="4031">
        <v>10</v>
      </c>
      <c r="S720" s="4031">
        <v>15</v>
      </c>
      <c r="T720" s="4031">
        <v>20</v>
      </c>
      <c r="U720" s="4031">
        <v>25</v>
      </c>
      <c r="V720" s="4083" t="s">
        <v>13212</v>
      </c>
      <c r="W720" s="4083" t="s">
        <v>3566</v>
      </c>
      <c r="X720" s="4083" t="s">
        <v>13213</v>
      </c>
      <c r="Y720" s="4083" t="s">
        <v>4153</v>
      </c>
      <c r="Z720" s="4085" t="s">
        <v>12814</v>
      </c>
      <c r="AA720" s="4083"/>
    </row>
    <row r="721" spans="2:27" ht="12.75" customHeight="1">
      <c r="B721" s="242" t="str">
        <f t="shared" si="20"/>
        <v>Ley64</v>
      </c>
      <c r="D721" s="4028" t="s">
        <v>12705</v>
      </c>
      <c r="E721" s="4031" t="s">
        <v>2405</v>
      </c>
      <c r="F721" s="4031">
        <v>64</v>
      </c>
      <c r="G721" s="4031" t="s">
        <v>1241</v>
      </c>
      <c r="H721" s="4031" t="s">
        <v>1093</v>
      </c>
      <c r="I721" s="4031" t="s">
        <v>1165</v>
      </c>
      <c r="J721" s="4031">
        <v>8</v>
      </c>
      <c r="K721" s="4031">
        <v>10</v>
      </c>
      <c r="L721" s="4031">
        <v>13</v>
      </c>
      <c r="M721" s="4031">
        <v>15</v>
      </c>
      <c r="N721" s="4031">
        <v>150</v>
      </c>
      <c r="O721" s="4031">
        <v>300</v>
      </c>
      <c r="P721" s="4031">
        <v>450</v>
      </c>
      <c r="Q721" s="4031">
        <v>600</v>
      </c>
      <c r="R721" s="4031">
        <v>15</v>
      </c>
      <c r="S721" s="4031">
        <v>20</v>
      </c>
      <c r="T721" s="4031">
        <v>25</v>
      </c>
      <c r="U721" s="4031">
        <v>30</v>
      </c>
      <c r="V721" s="4083" t="s">
        <v>5431</v>
      </c>
      <c r="W721" s="4083" t="s">
        <v>5432</v>
      </c>
      <c r="X721" s="4083" t="s">
        <v>13104</v>
      </c>
      <c r="Y721" s="4083" t="s">
        <v>13105</v>
      </c>
      <c r="Z721" s="4085" t="s">
        <v>13053</v>
      </c>
      <c r="AA721" s="4083"/>
    </row>
    <row r="722" spans="2:27" ht="12.75" customHeight="1">
      <c r="B722" s="242" t="str">
        <f t="shared" si="20"/>
        <v>Ley74</v>
      </c>
      <c r="D722" s="4028" t="s">
        <v>12706</v>
      </c>
      <c r="E722" s="4031" t="s">
        <v>2405</v>
      </c>
      <c r="F722" s="4031">
        <v>74</v>
      </c>
      <c r="G722" s="4031" t="s">
        <v>2422</v>
      </c>
      <c r="H722" s="4031" t="s">
        <v>1095</v>
      </c>
      <c r="I722" s="4031" t="s">
        <v>1165</v>
      </c>
      <c r="J722" s="4031">
        <v>9</v>
      </c>
      <c r="K722" s="4031">
        <v>11</v>
      </c>
      <c r="L722" s="4031">
        <v>14</v>
      </c>
      <c r="M722" s="4031">
        <v>17</v>
      </c>
      <c r="N722" s="4031">
        <v>100</v>
      </c>
      <c r="O722" s="4031">
        <v>150</v>
      </c>
      <c r="P722" s="4031">
        <v>300</v>
      </c>
      <c r="Q722" s="4031">
        <v>450</v>
      </c>
      <c r="R722" s="4031">
        <v>10</v>
      </c>
      <c r="S722" s="4031">
        <v>20</v>
      </c>
      <c r="T722" s="4031">
        <v>20</v>
      </c>
      <c r="U722" s="4031">
        <v>30</v>
      </c>
      <c r="V722" s="4083" t="s">
        <v>3390</v>
      </c>
      <c r="W722" s="4083" t="s">
        <v>3391</v>
      </c>
      <c r="X722" s="4083" t="s">
        <v>3153</v>
      </c>
      <c r="Y722" s="4083" t="s">
        <v>3296</v>
      </c>
      <c r="Z722" s="4085" t="s">
        <v>12815</v>
      </c>
      <c r="AA722" s="4083"/>
    </row>
    <row r="723" spans="2:27" ht="12.75" customHeight="1">
      <c r="B723" s="242" t="str">
        <f t="shared" si="20"/>
        <v>Ley84</v>
      </c>
      <c r="D723" s="4028" t="s">
        <v>12707</v>
      </c>
      <c r="E723" s="4031" t="s">
        <v>2405</v>
      </c>
      <c r="F723" s="4031">
        <v>84</v>
      </c>
      <c r="G723" s="4031" t="s">
        <v>2422</v>
      </c>
      <c r="H723" s="4031" t="s">
        <v>1093</v>
      </c>
      <c r="I723" s="4031" t="s">
        <v>1165</v>
      </c>
      <c r="J723" s="4031">
        <v>11</v>
      </c>
      <c r="K723" s="4031">
        <v>13</v>
      </c>
      <c r="L723" s="4031">
        <v>15</v>
      </c>
      <c r="M723" s="4031">
        <v>17</v>
      </c>
      <c r="N723" s="4031">
        <v>100</v>
      </c>
      <c r="O723" s="4031">
        <v>200</v>
      </c>
      <c r="P723" s="4031">
        <v>300</v>
      </c>
      <c r="Q723" s="4031">
        <v>400</v>
      </c>
      <c r="R723" s="4031">
        <v>10</v>
      </c>
      <c r="S723" s="4031">
        <v>15</v>
      </c>
      <c r="T723" s="4031">
        <v>20</v>
      </c>
      <c r="U723" s="4031">
        <v>25</v>
      </c>
      <c r="V723" s="4083" t="s">
        <v>4615</v>
      </c>
      <c r="W723" s="4083" t="s">
        <v>4371</v>
      </c>
      <c r="X723" s="4083" t="s">
        <v>3531</v>
      </c>
      <c r="Y723" s="4083" t="s">
        <v>3247</v>
      </c>
      <c r="Z723" s="4085" t="s">
        <v>13054</v>
      </c>
      <c r="AA723" s="4083"/>
    </row>
    <row r="724" spans="2:27" ht="12.75" customHeight="1">
      <c r="B724" s="242" t="str">
        <f t="shared" si="20"/>
        <v>Ley94</v>
      </c>
      <c r="D724" s="4028" t="s">
        <v>12708</v>
      </c>
      <c r="E724" s="4031" t="s">
        <v>2405</v>
      </c>
      <c r="F724" s="4031">
        <v>94</v>
      </c>
      <c r="G724" s="4031" t="s">
        <v>2422</v>
      </c>
      <c r="H724" s="4031" t="s">
        <v>1096</v>
      </c>
      <c r="I724" s="4031" t="s">
        <v>1165</v>
      </c>
      <c r="J724" s="4031">
        <v>12</v>
      </c>
      <c r="K724" s="4031">
        <v>14</v>
      </c>
      <c r="L724" s="4031">
        <v>16</v>
      </c>
      <c r="M724" s="4031">
        <v>18</v>
      </c>
      <c r="N724" s="4031">
        <v>500</v>
      </c>
      <c r="O724" s="4031">
        <v>750</v>
      </c>
      <c r="P724" s="4087">
        <v>1200</v>
      </c>
      <c r="Q724" s="4087">
        <v>1500</v>
      </c>
      <c r="R724" s="4031">
        <v>15</v>
      </c>
      <c r="S724" s="4031">
        <v>20</v>
      </c>
      <c r="T724" s="4031">
        <v>25</v>
      </c>
      <c r="U724" s="4031" t="s">
        <v>1241</v>
      </c>
      <c r="V724" s="4083" t="s">
        <v>13106</v>
      </c>
      <c r="W724" s="4083" t="s">
        <v>13107</v>
      </c>
      <c r="X724" s="4083" t="s">
        <v>13108</v>
      </c>
      <c r="Y724" s="4083" t="s">
        <v>13109</v>
      </c>
      <c r="Z724" s="4085" t="s">
        <v>12816</v>
      </c>
      <c r="AA724" s="4083"/>
    </row>
    <row r="725" spans="2:27" ht="12.75" customHeight="1">
      <c r="B725" s="242" t="str">
        <f t="shared" si="20"/>
        <v/>
      </c>
      <c r="D725" s="4028" t="s">
        <v>12709</v>
      </c>
      <c r="E725" s="4083"/>
      <c r="F725" s="4031"/>
      <c r="G725" s="4031"/>
      <c r="H725" s="4031"/>
      <c r="I725" s="4031"/>
      <c r="J725" s="4031"/>
      <c r="K725" s="4031"/>
      <c r="L725" s="4031"/>
      <c r="M725" s="4031"/>
      <c r="N725" s="4031"/>
      <c r="O725" s="4031"/>
      <c r="P725" s="4031"/>
      <c r="Q725" s="4031"/>
      <c r="R725" s="4083"/>
      <c r="S725" s="4083"/>
      <c r="T725" s="4083"/>
      <c r="U725" s="4083"/>
      <c r="V725" s="4083"/>
      <c r="W725" s="4083"/>
      <c r="X725" s="4083"/>
      <c r="Y725" s="4083"/>
      <c r="Z725" s="4085"/>
      <c r="AA725" s="4083"/>
    </row>
    <row r="726" spans="2:27" ht="12.75" customHeight="1">
      <c r="B726" s="242" t="str">
        <f t="shared" si="20"/>
        <v>Energía4</v>
      </c>
      <c r="D726" s="4028" t="s">
        <v>151</v>
      </c>
      <c r="E726" s="4031" t="s">
        <v>73</v>
      </c>
      <c r="F726" s="4031">
        <v>4</v>
      </c>
      <c r="G726" s="4031" t="s">
        <v>2422</v>
      </c>
      <c r="H726" s="4031" t="s">
        <v>1097</v>
      </c>
      <c r="I726" s="4031" t="s">
        <v>1165</v>
      </c>
      <c r="J726" s="4031">
        <v>5</v>
      </c>
      <c r="K726" s="4031">
        <v>9</v>
      </c>
      <c r="L726" s="4031">
        <v>9</v>
      </c>
      <c r="M726" s="4031">
        <v>11</v>
      </c>
      <c r="N726" s="4031">
        <v>30</v>
      </c>
      <c r="O726" s="4031">
        <v>50</v>
      </c>
      <c r="P726" s="4031">
        <v>80</v>
      </c>
      <c r="Q726" s="4031">
        <v>120</v>
      </c>
      <c r="R726" s="4031">
        <v>5</v>
      </c>
      <c r="S726" s="4031">
        <v>10</v>
      </c>
      <c r="T726" s="4031">
        <v>10</v>
      </c>
      <c r="U726" s="4031">
        <v>15</v>
      </c>
      <c r="V726" s="4083" t="s">
        <v>4151</v>
      </c>
      <c r="W726" s="4083" t="s">
        <v>13203</v>
      </c>
      <c r="X726" s="4083" t="s">
        <v>13204</v>
      </c>
      <c r="Y726" s="4083" t="s">
        <v>3568</v>
      </c>
      <c r="Z726" s="4085" t="s">
        <v>12817</v>
      </c>
      <c r="AA726" s="4083"/>
    </row>
    <row r="727" spans="2:27" ht="12.75" customHeight="1">
      <c r="B727" s="242" t="str">
        <f t="shared" si="20"/>
        <v>Energía14</v>
      </c>
      <c r="D727" s="4028" t="s">
        <v>12710</v>
      </c>
      <c r="E727" s="4031" t="s">
        <v>73</v>
      </c>
      <c r="F727" s="4031">
        <v>14</v>
      </c>
      <c r="G727" s="4031" t="s">
        <v>1241</v>
      </c>
      <c r="H727" s="4031" t="s">
        <v>1095</v>
      </c>
      <c r="I727" s="4031" t="s">
        <v>1165</v>
      </c>
      <c r="J727" s="4031">
        <v>5</v>
      </c>
      <c r="K727" s="4031">
        <v>7</v>
      </c>
      <c r="L727" s="4031">
        <v>9</v>
      </c>
      <c r="M727" s="4031">
        <v>12</v>
      </c>
      <c r="N727" s="4031">
        <v>50</v>
      </c>
      <c r="O727" s="4031">
        <v>70</v>
      </c>
      <c r="P727" s="4031">
        <v>100</v>
      </c>
      <c r="Q727" s="4031">
        <v>130</v>
      </c>
      <c r="R727" s="4031">
        <v>10</v>
      </c>
      <c r="S727" s="4031">
        <v>10</v>
      </c>
      <c r="T727" s="4031">
        <v>15</v>
      </c>
      <c r="U727" s="4031">
        <v>20</v>
      </c>
      <c r="V727" s="4083" t="s">
        <v>3335</v>
      </c>
      <c r="W727" s="4083" t="s">
        <v>3336</v>
      </c>
      <c r="X727" s="4083" t="s">
        <v>3998</v>
      </c>
      <c r="Y727" s="4083" t="s">
        <v>3337</v>
      </c>
      <c r="Z727" s="4085" t="s">
        <v>13055</v>
      </c>
      <c r="AA727" s="4083"/>
    </row>
    <row r="728" spans="2:27" ht="12.75" customHeight="1">
      <c r="B728" s="242" t="str">
        <f t="shared" si="20"/>
        <v>Energía24</v>
      </c>
      <c r="D728" s="4028" t="s">
        <v>159</v>
      </c>
      <c r="E728" s="4031" t="s">
        <v>73</v>
      </c>
      <c r="F728" s="4031">
        <v>24</v>
      </c>
      <c r="G728" s="4031" t="s">
        <v>1241</v>
      </c>
      <c r="H728" s="4031" t="s">
        <v>1095</v>
      </c>
      <c r="I728" s="4031" t="s">
        <v>1165</v>
      </c>
      <c r="J728" s="4031">
        <v>6</v>
      </c>
      <c r="K728" s="4031">
        <v>8</v>
      </c>
      <c r="L728" s="4031">
        <v>9</v>
      </c>
      <c r="M728" s="4031">
        <v>11</v>
      </c>
      <c r="N728" s="4031">
        <v>60</v>
      </c>
      <c r="O728" s="4031">
        <v>80</v>
      </c>
      <c r="P728" s="4031">
        <v>120</v>
      </c>
      <c r="Q728" s="4031">
        <v>140</v>
      </c>
      <c r="R728" s="4031">
        <v>5</v>
      </c>
      <c r="S728" s="4031">
        <v>5</v>
      </c>
      <c r="T728" s="4031">
        <v>10</v>
      </c>
      <c r="U728" s="4031">
        <v>15</v>
      </c>
      <c r="V728" s="4083" t="s">
        <v>13214</v>
      </c>
      <c r="W728" s="4083" t="s">
        <v>13215</v>
      </c>
      <c r="X728" s="4083" t="s">
        <v>13216</v>
      </c>
      <c r="Y728" s="4083" t="s">
        <v>13217</v>
      </c>
      <c r="Z728" s="4085" t="s">
        <v>13056</v>
      </c>
      <c r="AA728" s="4083"/>
    </row>
    <row r="729" spans="2:27" ht="12.75" customHeight="1">
      <c r="B729" s="242" t="str">
        <f t="shared" si="20"/>
        <v>Energía34</v>
      </c>
      <c r="D729" s="4028" t="s">
        <v>12711</v>
      </c>
      <c r="E729" s="4031" t="s">
        <v>73</v>
      </c>
      <c r="F729" s="4031">
        <v>34</v>
      </c>
      <c r="G729" s="4031" t="s">
        <v>1241</v>
      </c>
      <c r="H729" s="4031" t="s">
        <v>1093</v>
      </c>
      <c r="I729" s="4031" t="s">
        <v>1165</v>
      </c>
      <c r="J729" s="4031">
        <v>7</v>
      </c>
      <c r="K729" s="4031">
        <v>9</v>
      </c>
      <c r="L729" s="4031">
        <v>11</v>
      </c>
      <c r="M729" s="4031">
        <v>13</v>
      </c>
      <c r="N729" s="4031">
        <v>60</v>
      </c>
      <c r="O729" s="4031">
        <v>80</v>
      </c>
      <c r="P729" s="4031">
        <v>120</v>
      </c>
      <c r="Q729" s="4031">
        <v>150</v>
      </c>
      <c r="R729" s="4031" t="s">
        <v>1241</v>
      </c>
      <c r="S729" s="4031" t="s">
        <v>1241</v>
      </c>
      <c r="T729" s="4031" t="s">
        <v>1241</v>
      </c>
      <c r="U729" s="4031" t="s">
        <v>1241</v>
      </c>
      <c r="V729" s="4083" t="s">
        <v>3922</v>
      </c>
      <c r="W729" s="4083" t="s">
        <v>4371</v>
      </c>
      <c r="X729" s="4083" t="s">
        <v>3246</v>
      </c>
      <c r="Y729" s="4083" t="s">
        <v>3247</v>
      </c>
      <c r="Z729" s="4085" t="s">
        <v>12818</v>
      </c>
      <c r="AA729" s="4083"/>
    </row>
    <row r="730" spans="2:27" ht="12.75" customHeight="1">
      <c r="B730" s="242" t="str">
        <f t="shared" si="20"/>
        <v>Energía44</v>
      </c>
      <c r="D730" s="4028" t="s">
        <v>12712</v>
      </c>
      <c r="E730" s="4031" t="s">
        <v>73</v>
      </c>
      <c r="F730" s="4031">
        <v>44</v>
      </c>
      <c r="G730" s="4031" t="s">
        <v>1241</v>
      </c>
      <c r="H730" s="4031" t="s">
        <v>1094</v>
      </c>
      <c r="I730" s="4031" t="s">
        <v>1165</v>
      </c>
      <c r="J730" s="4031">
        <v>7</v>
      </c>
      <c r="K730" s="4031">
        <v>9</v>
      </c>
      <c r="L730" s="4031">
        <v>11</v>
      </c>
      <c r="M730" s="4031">
        <v>13</v>
      </c>
      <c r="N730" s="4031">
        <v>100</v>
      </c>
      <c r="O730" s="4031">
        <v>150</v>
      </c>
      <c r="P730" s="4031">
        <v>200</v>
      </c>
      <c r="Q730" s="4031">
        <v>300</v>
      </c>
      <c r="R730" s="4031" t="s">
        <v>1241</v>
      </c>
      <c r="S730" s="4031" t="s">
        <v>1241</v>
      </c>
      <c r="T730" s="4031" t="s">
        <v>1241</v>
      </c>
      <c r="U730" s="4031" t="s">
        <v>1241</v>
      </c>
      <c r="V730" s="4083" t="s">
        <v>13218</v>
      </c>
      <c r="W730" s="4083" t="s">
        <v>13219</v>
      </c>
      <c r="X730" s="4083" t="s">
        <v>13220</v>
      </c>
      <c r="Y730" s="4083" t="s">
        <v>13221</v>
      </c>
      <c r="Z730" s="4085" t="s">
        <v>13057</v>
      </c>
      <c r="AA730" s="4083"/>
    </row>
    <row r="731" spans="2:27" ht="12.75" customHeight="1">
      <c r="B731" s="242" t="str">
        <f t="shared" si="20"/>
        <v>Energía54</v>
      </c>
      <c r="D731" s="4028" t="s">
        <v>12713</v>
      </c>
      <c r="E731" s="4031" t="s">
        <v>73</v>
      </c>
      <c r="F731" s="4031">
        <v>54</v>
      </c>
      <c r="G731" s="4031" t="s">
        <v>1241</v>
      </c>
      <c r="H731" s="4031" t="s">
        <v>1095</v>
      </c>
      <c r="I731" s="4031" t="s">
        <v>1165</v>
      </c>
      <c r="J731" s="4031">
        <v>7</v>
      </c>
      <c r="K731" s="4031">
        <v>9</v>
      </c>
      <c r="L731" s="4031">
        <v>12</v>
      </c>
      <c r="M731" s="4031">
        <v>14</v>
      </c>
      <c r="N731" s="4031">
        <v>300</v>
      </c>
      <c r="O731" s="4031">
        <v>400</v>
      </c>
      <c r="P731" s="4031">
        <v>500</v>
      </c>
      <c r="Q731" s="4031">
        <v>600</v>
      </c>
      <c r="R731" s="4031">
        <v>10</v>
      </c>
      <c r="S731" s="4031">
        <v>15</v>
      </c>
      <c r="T731" s="4031">
        <v>20</v>
      </c>
      <c r="U731" s="4031">
        <v>25</v>
      </c>
      <c r="V731" s="4083" t="s">
        <v>13222</v>
      </c>
      <c r="W731" s="4083" t="s">
        <v>13223</v>
      </c>
      <c r="X731" s="4083" t="s">
        <v>13224</v>
      </c>
      <c r="Y731" s="4083" t="s">
        <v>13225</v>
      </c>
      <c r="Z731" s="4085" t="s">
        <v>12819</v>
      </c>
      <c r="AA731" s="4083"/>
    </row>
    <row r="732" spans="2:27" ht="12.75" customHeight="1">
      <c r="B732" s="242" t="str">
        <f t="shared" si="20"/>
        <v>Energía64</v>
      </c>
      <c r="D732" s="4028" t="s">
        <v>12714</v>
      </c>
      <c r="E732" s="4031" t="s">
        <v>73</v>
      </c>
      <c r="F732" s="4031">
        <v>64</v>
      </c>
      <c r="G732" s="4031" t="s">
        <v>1241</v>
      </c>
      <c r="H732" s="4031" t="s">
        <v>1095</v>
      </c>
      <c r="I732" s="4031" t="s">
        <v>1165</v>
      </c>
      <c r="J732" s="4031">
        <v>8</v>
      </c>
      <c r="K732" s="4031">
        <v>10</v>
      </c>
      <c r="L732" s="4031">
        <v>12</v>
      </c>
      <c r="M732" s="4031">
        <v>14</v>
      </c>
      <c r="N732" s="4031">
        <v>90</v>
      </c>
      <c r="O732" s="4031">
        <v>140</v>
      </c>
      <c r="P732" s="4031">
        <v>200</v>
      </c>
      <c r="Q732" s="4031">
        <v>250</v>
      </c>
      <c r="R732" s="4031">
        <v>10</v>
      </c>
      <c r="S732" s="4031">
        <v>20</v>
      </c>
      <c r="T732" s="4031">
        <v>25</v>
      </c>
      <c r="U732" s="4031">
        <v>30</v>
      </c>
      <c r="V732" s="4083" t="s">
        <v>13226</v>
      </c>
      <c r="W732" s="4083" t="s">
        <v>13227</v>
      </c>
      <c r="X732" s="4083" t="s">
        <v>13228</v>
      </c>
      <c r="Y732" s="4083" t="s">
        <v>13229</v>
      </c>
      <c r="Z732" s="4085" t="s">
        <v>12820</v>
      </c>
      <c r="AA732" s="4083"/>
    </row>
    <row r="733" spans="2:27" ht="12.75" customHeight="1">
      <c r="B733" s="242" t="str">
        <f t="shared" si="20"/>
        <v>Energía74</v>
      </c>
      <c r="D733" s="4028" t="s">
        <v>9293</v>
      </c>
      <c r="E733" s="4031" t="s">
        <v>73</v>
      </c>
      <c r="F733" s="4031">
        <v>74</v>
      </c>
      <c r="G733" s="4031" t="s">
        <v>1241</v>
      </c>
      <c r="H733" s="4031" t="s">
        <v>1095</v>
      </c>
      <c r="I733" s="4031" t="s">
        <v>1165</v>
      </c>
      <c r="J733" s="4031">
        <v>9</v>
      </c>
      <c r="K733" s="4031">
        <v>11</v>
      </c>
      <c r="L733" s="4031">
        <v>13</v>
      </c>
      <c r="M733" s="4031">
        <v>15</v>
      </c>
      <c r="N733" s="4031">
        <v>50</v>
      </c>
      <c r="O733" s="4031">
        <v>100</v>
      </c>
      <c r="P733" s="4031">
        <v>150</v>
      </c>
      <c r="Q733" s="4031">
        <v>200</v>
      </c>
      <c r="R733" s="4031" t="s">
        <v>1241</v>
      </c>
      <c r="S733" s="4031" t="s">
        <v>1241</v>
      </c>
      <c r="T733" s="4031" t="s">
        <v>1241</v>
      </c>
      <c r="U733" s="4031" t="s">
        <v>1241</v>
      </c>
      <c r="V733" s="4083" t="s">
        <v>13230</v>
      </c>
      <c r="W733" s="4083" t="s">
        <v>13231</v>
      </c>
      <c r="X733" s="4083" t="s">
        <v>13232</v>
      </c>
      <c r="Y733" s="4083" t="s">
        <v>13233</v>
      </c>
      <c r="Z733" s="4085" t="s">
        <v>12821</v>
      </c>
      <c r="AA733" s="4083"/>
    </row>
    <row r="734" spans="2:27" ht="12.75" customHeight="1">
      <c r="B734" s="242" t="str">
        <f t="shared" si="20"/>
        <v>Energía84</v>
      </c>
      <c r="D734" s="4028" t="s">
        <v>12715</v>
      </c>
      <c r="E734" s="4031" t="s">
        <v>73</v>
      </c>
      <c r="F734" s="4031">
        <v>84</v>
      </c>
      <c r="G734" s="4031" t="s">
        <v>1241</v>
      </c>
      <c r="H734" s="4031" t="s">
        <v>1094</v>
      </c>
      <c r="I734" s="4031" t="s">
        <v>1165</v>
      </c>
      <c r="J734" s="4031">
        <v>9</v>
      </c>
      <c r="K734" s="4031">
        <v>12</v>
      </c>
      <c r="L734" s="4031">
        <v>14</v>
      </c>
      <c r="M734" s="4031">
        <v>16</v>
      </c>
      <c r="N734" s="4031">
        <v>300</v>
      </c>
      <c r="O734" s="4031">
        <v>500</v>
      </c>
      <c r="P734" s="4031">
        <v>750</v>
      </c>
      <c r="Q734" s="4087">
        <v>1000</v>
      </c>
      <c r="R734" s="4031" t="s">
        <v>1241</v>
      </c>
      <c r="S734" s="4031" t="s">
        <v>1241</v>
      </c>
      <c r="T734" s="4031" t="s">
        <v>1241</v>
      </c>
      <c r="U734" s="4031" t="s">
        <v>1241</v>
      </c>
      <c r="V734" s="4083" t="s">
        <v>3391</v>
      </c>
      <c r="W734" s="4083" t="s">
        <v>3153</v>
      </c>
      <c r="X734" s="4083" t="s">
        <v>3296</v>
      </c>
      <c r="Y734" s="4083" t="s">
        <v>3297</v>
      </c>
      <c r="Z734" s="4085" t="s">
        <v>13058</v>
      </c>
      <c r="AA734" s="4083"/>
    </row>
    <row r="735" spans="2:27" ht="12.75" customHeight="1">
      <c r="B735" s="242" t="str">
        <f t="shared" si="20"/>
        <v>Energía94</v>
      </c>
      <c r="D735" s="4028" t="s">
        <v>10272</v>
      </c>
      <c r="E735" s="4031" t="s">
        <v>73</v>
      </c>
      <c r="F735" s="4031">
        <v>94</v>
      </c>
      <c r="G735" s="4031" t="s">
        <v>1241</v>
      </c>
      <c r="H735" s="4031" t="s">
        <v>1093</v>
      </c>
      <c r="I735" s="4031" t="s">
        <v>1165</v>
      </c>
      <c r="J735" s="4031">
        <v>11</v>
      </c>
      <c r="K735" s="4031">
        <v>13</v>
      </c>
      <c r="L735" s="4031">
        <v>15</v>
      </c>
      <c r="M735" s="4031">
        <v>17</v>
      </c>
      <c r="N735" s="4031">
        <v>500</v>
      </c>
      <c r="O735" s="4031">
        <v>800</v>
      </c>
      <c r="P735" s="4087">
        <v>1500</v>
      </c>
      <c r="Q735" s="4087">
        <v>2000</v>
      </c>
      <c r="R735" s="4031">
        <v>10</v>
      </c>
      <c r="S735" s="4031">
        <v>15</v>
      </c>
      <c r="T735" s="4031">
        <v>20</v>
      </c>
      <c r="U735" s="4031">
        <v>25</v>
      </c>
      <c r="V735" s="4083" t="s">
        <v>13234</v>
      </c>
      <c r="W735" s="4083" t="s">
        <v>13235</v>
      </c>
      <c r="X735" s="4083" t="s">
        <v>13236</v>
      </c>
      <c r="Y735" s="4083" t="s">
        <v>13237</v>
      </c>
      <c r="Z735" s="4085" t="s">
        <v>12822</v>
      </c>
      <c r="AA735" s="4083"/>
    </row>
    <row r="736" spans="2:27" ht="12.75" customHeight="1">
      <c r="B736" s="242" t="str">
        <f t="shared" si="20"/>
        <v/>
      </c>
      <c r="D736" s="4028" t="s">
        <v>12716</v>
      </c>
      <c r="E736" s="4031"/>
      <c r="F736" s="4031"/>
      <c r="G736" s="4031"/>
      <c r="H736" s="4031"/>
      <c r="I736" s="4031"/>
      <c r="J736" s="4031"/>
      <c r="K736" s="4031"/>
      <c r="L736" s="4031"/>
      <c r="M736" s="4031"/>
      <c r="N736" s="4031"/>
      <c r="O736" s="4031"/>
      <c r="P736" s="4031"/>
      <c r="Q736" s="4031"/>
      <c r="R736" s="4083"/>
      <c r="S736" s="4083"/>
      <c r="T736" s="4083"/>
      <c r="U736" s="4083"/>
      <c r="V736" s="4083"/>
      <c r="W736" s="4083"/>
      <c r="X736" s="4083"/>
      <c r="Y736" s="4083"/>
      <c r="Z736" s="4085"/>
      <c r="AA736" s="4083"/>
    </row>
    <row r="737" spans="2:27" ht="12.75" customHeight="1">
      <c r="B737" s="242" t="str">
        <f t="shared" si="20"/>
        <v>Apuestas4</v>
      </c>
      <c r="D737" s="4028" t="s">
        <v>12717</v>
      </c>
      <c r="E737" s="4031" t="s">
        <v>12747</v>
      </c>
      <c r="F737" s="4031">
        <v>4</v>
      </c>
      <c r="G737" s="4031" t="s">
        <v>2422</v>
      </c>
      <c r="H737" s="4031" t="s">
        <v>1095</v>
      </c>
      <c r="I737" s="4031" t="s">
        <v>1165</v>
      </c>
      <c r="J737" s="4031">
        <v>5</v>
      </c>
      <c r="K737" s="4031">
        <v>8</v>
      </c>
      <c r="L737" s="4031">
        <v>10</v>
      </c>
      <c r="M737" s="4031">
        <v>12</v>
      </c>
      <c r="N737" s="4031">
        <v>40</v>
      </c>
      <c r="O737" s="4031">
        <v>80</v>
      </c>
      <c r="P737" s="4031">
        <v>120</v>
      </c>
      <c r="Q737" s="4031">
        <v>150</v>
      </c>
      <c r="R737" s="4031">
        <v>5</v>
      </c>
      <c r="S737" s="4031">
        <v>10</v>
      </c>
      <c r="T737" s="4031">
        <v>10</v>
      </c>
      <c r="U737" s="4031">
        <v>15</v>
      </c>
      <c r="V737" s="4083" t="s">
        <v>13238</v>
      </c>
      <c r="W737" s="4083" t="s">
        <v>13239</v>
      </c>
      <c r="X737" s="4083" t="s">
        <v>13240</v>
      </c>
      <c r="Y737" s="4083" t="s">
        <v>13241</v>
      </c>
      <c r="Z737" s="4085" t="s">
        <v>12823</v>
      </c>
      <c r="AA737" s="4083"/>
    </row>
    <row r="738" spans="2:27" ht="12.75" customHeight="1">
      <c r="B738" s="242" t="str">
        <f t="shared" si="20"/>
        <v>Apuestas14</v>
      </c>
      <c r="D738" s="4028" t="s">
        <v>12718</v>
      </c>
      <c r="E738" s="4031" t="s">
        <v>12747</v>
      </c>
      <c r="F738" s="4031">
        <v>14</v>
      </c>
      <c r="G738" s="4031" t="s">
        <v>1241</v>
      </c>
      <c r="H738" s="4031" t="s">
        <v>1095</v>
      </c>
      <c r="I738" s="4031" t="s">
        <v>1165</v>
      </c>
      <c r="J738" s="4031">
        <v>6</v>
      </c>
      <c r="K738" s="4031">
        <v>8</v>
      </c>
      <c r="L738" s="4031">
        <v>10</v>
      </c>
      <c r="M738" s="4031">
        <v>12</v>
      </c>
      <c r="N738" s="4031">
        <v>60</v>
      </c>
      <c r="O738" s="4031">
        <v>100</v>
      </c>
      <c r="P738" s="4031">
        <v>150</v>
      </c>
      <c r="Q738" s="4031">
        <v>200</v>
      </c>
      <c r="R738" s="4031" t="s">
        <v>1241</v>
      </c>
      <c r="S738" s="4031" t="s">
        <v>1241</v>
      </c>
      <c r="T738" s="4031" t="s">
        <v>1241</v>
      </c>
      <c r="U738" s="4031" t="s">
        <v>1241</v>
      </c>
      <c r="V738" s="4084" t="s">
        <v>13242</v>
      </c>
      <c r="W738" s="4084" t="s">
        <v>13243</v>
      </c>
      <c r="X738" s="4084" t="s">
        <v>13244</v>
      </c>
      <c r="Y738" s="4084" t="s">
        <v>13245</v>
      </c>
      <c r="Z738" s="4085" t="s">
        <v>13059</v>
      </c>
      <c r="AA738" s="4083"/>
    </row>
    <row r="739" spans="2:27" ht="12.75" customHeight="1">
      <c r="B739" s="242" t="str">
        <f t="shared" si="20"/>
        <v>Apuestas24</v>
      </c>
      <c r="D739" s="4028" t="s">
        <v>12719</v>
      </c>
      <c r="E739" s="4031" t="s">
        <v>12747</v>
      </c>
      <c r="F739" s="4031">
        <v>24</v>
      </c>
      <c r="G739" s="4031" t="s">
        <v>2422</v>
      </c>
      <c r="H739" s="4031" t="s">
        <v>1095</v>
      </c>
      <c r="I739" s="4031" t="s">
        <v>1165</v>
      </c>
      <c r="J739" s="4031">
        <v>6</v>
      </c>
      <c r="K739" s="4031">
        <v>8</v>
      </c>
      <c r="L739" s="4031">
        <v>10</v>
      </c>
      <c r="M739" s="4031">
        <v>12</v>
      </c>
      <c r="N739" s="4031">
        <v>50</v>
      </c>
      <c r="O739" s="4031">
        <v>100</v>
      </c>
      <c r="P739" s="4031">
        <v>120</v>
      </c>
      <c r="Q739" s="4031">
        <v>180</v>
      </c>
      <c r="R739" s="4031">
        <v>10</v>
      </c>
      <c r="S739" s="4031">
        <v>10</v>
      </c>
      <c r="T739" s="4031">
        <v>15</v>
      </c>
      <c r="U739" s="4031">
        <v>20</v>
      </c>
      <c r="V739" s="4083" t="s">
        <v>13246</v>
      </c>
      <c r="W739" s="4083" t="s">
        <v>13247</v>
      </c>
      <c r="X739" s="4083" t="s">
        <v>13248</v>
      </c>
      <c r="Y739" s="4083" t="s">
        <v>13249</v>
      </c>
      <c r="Z739" s="4085" t="s">
        <v>12824</v>
      </c>
      <c r="AA739" s="4083"/>
    </row>
    <row r="740" spans="2:27" ht="12.75" customHeight="1">
      <c r="B740" s="242" t="str">
        <f t="shared" si="20"/>
        <v>Apuestas34</v>
      </c>
      <c r="D740" s="4028" t="s">
        <v>12720</v>
      </c>
      <c r="E740" s="4031" t="s">
        <v>12747</v>
      </c>
      <c r="F740" s="4031">
        <v>34</v>
      </c>
      <c r="G740" s="4031" t="s">
        <v>1241</v>
      </c>
      <c r="H740" s="4031" t="s">
        <v>1093</v>
      </c>
      <c r="I740" s="4031" t="s">
        <v>1165</v>
      </c>
      <c r="J740" s="4031">
        <v>7</v>
      </c>
      <c r="K740" s="4031">
        <v>9</v>
      </c>
      <c r="L740" s="4031">
        <v>11</v>
      </c>
      <c r="M740" s="4031">
        <v>13</v>
      </c>
      <c r="N740" s="4031">
        <v>80</v>
      </c>
      <c r="O740" s="4031">
        <v>150</v>
      </c>
      <c r="P740" s="4031">
        <v>200</v>
      </c>
      <c r="Q740" s="4031">
        <v>300</v>
      </c>
      <c r="R740" s="4031" t="s">
        <v>1241</v>
      </c>
      <c r="S740" s="4031" t="s">
        <v>1241</v>
      </c>
      <c r="T740" s="4031" t="s">
        <v>1241</v>
      </c>
      <c r="U740" s="4031" t="s">
        <v>1241</v>
      </c>
      <c r="V740" s="4083" t="s">
        <v>13250</v>
      </c>
      <c r="W740" s="4083" t="s">
        <v>13251</v>
      </c>
      <c r="X740" s="4083" t="s">
        <v>13252</v>
      </c>
      <c r="Y740" s="4083" t="s">
        <v>13253</v>
      </c>
      <c r="Z740" s="4085" t="s">
        <v>12825</v>
      </c>
      <c r="AA740" s="4083"/>
    </row>
    <row r="741" spans="2:27" ht="12.75" customHeight="1">
      <c r="B741" s="242" t="str">
        <f t="shared" si="20"/>
        <v>Apuestas44</v>
      </c>
      <c r="D741" s="4028" t="s">
        <v>12721</v>
      </c>
      <c r="E741" s="4031" t="s">
        <v>12747</v>
      </c>
      <c r="F741" s="4031">
        <v>44</v>
      </c>
      <c r="G741" s="4031" t="s">
        <v>1241</v>
      </c>
      <c r="H741" s="4031" t="s">
        <v>1094</v>
      </c>
      <c r="I741" s="4031" t="s">
        <v>1165</v>
      </c>
      <c r="J741" s="4031">
        <v>7</v>
      </c>
      <c r="K741" s="4031">
        <v>9</v>
      </c>
      <c r="L741" s="4031">
        <v>11</v>
      </c>
      <c r="M741" s="4031">
        <v>13</v>
      </c>
      <c r="N741" s="4031">
        <v>80</v>
      </c>
      <c r="O741" s="4031">
        <v>150</v>
      </c>
      <c r="P741" s="4031">
        <v>200</v>
      </c>
      <c r="Q741" s="4031">
        <v>300</v>
      </c>
      <c r="R741" s="4031" t="s">
        <v>1241</v>
      </c>
      <c r="S741" s="4031" t="s">
        <v>1241</v>
      </c>
      <c r="T741" s="4031" t="s">
        <v>1241</v>
      </c>
      <c r="U741" s="4031" t="s">
        <v>1241</v>
      </c>
      <c r="V741" s="4083" t="s">
        <v>13254</v>
      </c>
      <c r="W741" s="4083" t="s">
        <v>13255</v>
      </c>
      <c r="X741" s="4083" t="s">
        <v>13256</v>
      </c>
      <c r="Y741" s="4083" t="s">
        <v>13257</v>
      </c>
      <c r="Z741" s="4085" t="s">
        <v>12826</v>
      </c>
      <c r="AA741" s="4083"/>
    </row>
    <row r="742" spans="2:27" ht="12.75" customHeight="1">
      <c r="B742" s="242" t="str">
        <f t="shared" si="20"/>
        <v>Apuestas54</v>
      </c>
      <c r="D742" s="4028" t="s">
        <v>12722</v>
      </c>
      <c r="E742" s="4031" t="s">
        <v>12747</v>
      </c>
      <c r="F742" s="4031">
        <v>54</v>
      </c>
      <c r="G742" s="4031" t="s">
        <v>1241</v>
      </c>
      <c r="H742" s="4031" t="s">
        <v>1095</v>
      </c>
      <c r="I742" s="4031" t="s">
        <v>1165</v>
      </c>
      <c r="J742" s="4031">
        <v>7</v>
      </c>
      <c r="K742" s="4031">
        <v>11</v>
      </c>
      <c r="L742" s="4031">
        <v>13</v>
      </c>
      <c r="M742" s="4031">
        <v>15</v>
      </c>
      <c r="N742" s="4031">
        <v>80</v>
      </c>
      <c r="O742" s="4031">
        <v>150</v>
      </c>
      <c r="P742" s="4031">
        <v>200</v>
      </c>
      <c r="Q742" s="4031">
        <v>300</v>
      </c>
      <c r="R742" s="4031">
        <v>10</v>
      </c>
      <c r="S742" s="4031">
        <v>15</v>
      </c>
      <c r="T742" s="4031">
        <v>20</v>
      </c>
      <c r="U742" s="4031">
        <v>25</v>
      </c>
      <c r="V742" s="4083" t="s">
        <v>13258</v>
      </c>
      <c r="W742" s="4083" t="s">
        <v>13259</v>
      </c>
      <c r="X742" s="4083" t="s">
        <v>13260</v>
      </c>
      <c r="Y742" s="4083" t="s">
        <v>13261</v>
      </c>
      <c r="Z742" s="4085"/>
      <c r="AA742" s="4083"/>
    </row>
    <row r="743" spans="2:27" ht="12.75" customHeight="1">
      <c r="B743" s="242" t="str">
        <f t="shared" si="20"/>
        <v>Apuestas64</v>
      </c>
      <c r="D743" s="4028" t="s">
        <v>12723</v>
      </c>
      <c r="E743" s="4031" t="s">
        <v>12747</v>
      </c>
      <c r="F743" s="4031">
        <v>64</v>
      </c>
      <c r="G743" s="4031" t="s">
        <v>1241</v>
      </c>
      <c r="H743" s="4031" t="s">
        <v>1095</v>
      </c>
      <c r="I743" s="4031" t="s">
        <v>1165</v>
      </c>
      <c r="J743" s="4031">
        <v>9</v>
      </c>
      <c r="K743" s="4031">
        <v>11</v>
      </c>
      <c r="L743" s="4031">
        <v>13</v>
      </c>
      <c r="M743" s="4031">
        <v>15</v>
      </c>
      <c r="N743" s="4031">
        <v>100</v>
      </c>
      <c r="O743" s="4031">
        <v>250</v>
      </c>
      <c r="P743" s="4031">
        <v>350</v>
      </c>
      <c r="Q743" s="4031">
        <v>500</v>
      </c>
      <c r="R743" s="4031" t="s">
        <v>1241</v>
      </c>
      <c r="S743" s="4031" t="s">
        <v>1241</v>
      </c>
      <c r="T743" s="4031" t="s">
        <v>1241</v>
      </c>
      <c r="U743" s="4031" t="s">
        <v>1241</v>
      </c>
      <c r="V743" s="4083" t="s">
        <v>3829</v>
      </c>
      <c r="W743" s="4083" t="s">
        <v>13262</v>
      </c>
      <c r="X743" s="4083" t="s">
        <v>13263</v>
      </c>
      <c r="Y743" s="4083" t="s">
        <v>13264</v>
      </c>
      <c r="Z743" s="4085" t="s">
        <v>12827</v>
      </c>
      <c r="AA743" s="4083"/>
    </row>
    <row r="744" spans="2:27" ht="12.75" customHeight="1">
      <c r="B744" s="242" t="str">
        <f t="shared" si="20"/>
        <v>Apuestas74</v>
      </c>
      <c r="D744" s="4028" t="s">
        <v>12724</v>
      </c>
      <c r="E744" s="4031" t="s">
        <v>12747</v>
      </c>
      <c r="F744" s="4031">
        <v>74</v>
      </c>
      <c r="G744" s="4031" t="s">
        <v>1241</v>
      </c>
      <c r="H744" s="4031" t="s">
        <v>1095</v>
      </c>
      <c r="I744" s="4031" t="s">
        <v>1165</v>
      </c>
      <c r="J744" s="4031">
        <v>8</v>
      </c>
      <c r="K744" s="4031">
        <v>12</v>
      </c>
      <c r="L744" s="4031">
        <v>14</v>
      </c>
      <c r="M744" s="4031">
        <v>16</v>
      </c>
      <c r="N744" s="4031">
        <v>150</v>
      </c>
      <c r="O744" s="4031">
        <v>250</v>
      </c>
      <c r="P744" s="4031">
        <v>350</v>
      </c>
      <c r="Q744" s="4031">
        <v>500</v>
      </c>
      <c r="R744" s="4031" t="s">
        <v>1241</v>
      </c>
      <c r="S744" s="4031" t="s">
        <v>1241</v>
      </c>
      <c r="T744" s="4031" t="s">
        <v>1241</v>
      </c>
      <c r="U744" s="4031" t="s">
        <v>1241</v>
      </c>
      <c r="V744" s="4083" t="s">
        <v>13265</v>
      </c>
      <c r="W744" s="4083" t="s">
        <v>13266</v>
      </c>
      <c r="X744" s="4083" t="s">
        <v>13267</v>
      </c>
      <c r="Y744" s="4083" t="s">
        <v>13268</v>
      </c>
      <c r="Z744" s="4085" t="s">
        <v>13060</v>
      </c>
      <c r="AA744" s="4083"/>
    </row>
    <row r="745" spans="2:27" ht="12.75" customHeight="1">
      <c r="B745" s="242" t="str">
        <f t="shared" si="20"/>
        <v>Apuestas84</v>
      </c>
      <c r="D745" s="4028" t="s">
        <v>12725</v>
      </c>
      <c r="E745" s="4031" t="s">
        <v>12747</v>
      </c>
      <c r="F745" s="4031">
        <v>84</v>
      </c>
      <c r="G745" s="4031" t="s">
        <v>1241</v>
      </c>
      <c r="H745" s="4031" t="s">
        <v>1095</v>
      </c>
      <c r="I745" s="4031" t="s">
        <v>1165</v>
      </c>
      <c r="J745" s="4031">
        <v>10</v>
      </c>
      <c r="K745" s="4031">
        <v>13</v>
      </c>
      <c r="L745" s="4031">
        <v>15</v>
      </c>
      <c r="M745" s="4031">
        <v>17</v>
      </c>
      <c r="N745" s="4031">
        <v>200</v>
      </c>
      <c r="O745" s="4031">
        <v>450</v>
      </c>
      <c r="P745" s="4031">
        <v>600</v>
      </c>
      <c r="Q745" s="4031">
        <v>750</v>
      </c>
      <c r="R745" s="4031">
        <v>20</v>
      </c>
      <c r="S745" s="4031">
        <v>30</v>
      </c>
      <c r="T745" s="4031">
        <v>40</v>
      </c>
      <c r="U745" s="4031">
        <v>50</v>
      </c>
      <c r="V745" s="4083" t="s">
        <v>3829</v>
      </c>
      <c r="W745" s="4083" t="s">
        <v>13269</v>
      </c>
      <c r="X745" s="4083" t="s">
        <v>13270</v>
      </c>
      <c r="Y745" s="4083" t="s">
        <v>13271</v>
      </c>
      <c r="Z745" s="4085" t="s">
        <v>12828</v>
      </c>
      <c r="AA745" s="4083"/>
    </row>
    <row r="746" spans="2:27" ht="12.75" customHeight="1">
      <c r="B746" s="242" t="str">
        <f t="shared" si="20"/>
        <v>Apuestas94</v>
      </c>
      <c r="D746" s="4028" t="s">
        <v>12726</v>
      </c>
      <c r="E746" s="4031" t="s">
        <v>12747</v>
      </c>
      <c r="F746" s="4031">
        <v>94</v>
      </c>
      <c r="G746" s="4031" t="s">
        <v>1241</v>
      </c>
      <c r="H746" s="4031" t="s">
        <v>1095</v>
      </c>
      <c r="I746" s="4031" t="s">
        <v>1165</v>
      </c>
      <c r="J746" s="4031">
        <v>13</v>
      </c>
      <c r="K746" s="4031">
        <v>15</v>
      </c>
      <c r="L746" s="4031">
        <v>17</v>
      </c>
      <c r="M746" s="4031">
        <v>19</v>
      </c>
      <c r="N746" s="4031">
        <v>500</v>
      </c>
      <c r="O746" s="4087">
        <v>1200</v>
      </c>
      <c r="P746" s="4087">
        <v>2000</v>
      </c>
      <c r="Q746" s="4087">
        <v>3000</v>
      </c>
      <c r="R746" s="4031" t="s">
        <v>1241</v>
      </c>
      <c r="S746" s="4031" t="s">
        <v>1241</v>
      </c>
      <c r="T746" s="4031" t="s">
        <v>1241</v>
      </c>
      <c r="U746" s="4031" t="s">
        <v>1241</v>
      </c>
      <c r="V746" s="4083" t="s">
        <v>13272</v>
      </c>
      <c r="W746" s="4083" t="s">
        <v>13273</v>
      </c>
      <c r="X746" s="4083" t="s">
        <v>13274</v>
      </c>
      <c r="Y746" s="4083" t="s">
        <v>13275</v>
      </c>
      <c r="Z746" s="4085" t="s">
        <v>13061</v>
      </c>
      <c r="AA746" s="4083"/>
    </row>
    <row r="747" spans="2:27" ht="12.75" customHeight="1">
      <c r="B747" s="242" t="str">
        <f t="shared" si="20"/>
        <v/>
      </c>
      <c r="D747" s="4028" t="s">
        <v>12727</v>
      </c>
      <c r="E747" s="4031"/>
      <c r="F747" s="4031"/>
      <c r="G747" s="4031"/>
      <c r="H747" s="4031"/>
      <c r="I747" s="4031"/>
      <c r="J747" s="4031"/>
      <c r="K747" s="4031"/>
      <c r="L747" s="4031"/>
      <c r="M747" s="4031"/>
      <c r="N747" s="4031"/>
      <c r="O747" s="4031"/>
      <c r="P747" s="4031"/>
      <c r="Q747" s="4031"/>
      <c r="R747" s="4083"/>
      <c r="S747" s="4083"/>
      <c r="T747" s="4083"/>
      <c r="U747" s="4083"/>
      <c r="V747" s="4083"/>
      <c r="W747" s="4083"/>
      <c r="X747" s="4083"/>
      <c r="Y747" s="4083"/>
      <c r="Z747" s="4085"/>
      <c r="AA747" s="4083"/>
    </row>
    <row r="748" spans="2:27" ht="12.75" customHeight="1">
      <c r="B748" s="242" t="str">
        <f t="shared" si="20"/>
        <v>Gemas4</v>
      </c>
      <c r="D748" s="4028" t="s">
        <v>12728</v>
      </c>
      <c r="E748" s="4031" t="s">
        <v>12748</v>
      </c>
      <c r="F748" s="4031">
        <v>4</v>
      </c>
      <c r="G748" s="4031" t="s">
        <v>2422</v>
      </c>
      <c r="H748" s="4031" t="s">
        <v>1095</v>
      </c>
      <c r="I748" s="4031" t="s">
        <v>1165</v>
      </c>
      <c r="J748" s="4031">
        <v>5</v>
      </c>
      <c r="K748" s="4031">
        <v>7</v>
      </c>
      <c r="L748" s="4031">
        <v>9</v>
      </c>
      <c r="M748" s="4031">
        <v>11</v>
      </c>
      <c r="N748" s="4031">
        <v>30</v>
      </c>
      <c r="O748" s="4031">
        <v>50</v>
      </c>
      <c r="P748" s="4031">
        <v>80</v>
      </c>
      <c r="Q748" s="4031">
        <v>120</v>
      </c>
      <c r="R748" s="4031">
        <v>10</v>
      </c>
      <c r="S748" s="4031">
        <v>10</v>
      </c>
      <c r="T748" s="4031">
        <v>15</v>
      </c>
      <c r="U748" s="4031">
        <v>20</v>
      </c>
      <c r="V748" s="4083" t="s">
        <v>13276</v>
      </c>
      <c r="W748" s="4083" t="s">
        <v>13277</v>
      </c>
      <c r="X748" s="4083" t="s">
        <v>13279</v>
      </c>
      <c r="Y748" s="4083" t="s">
        <v>13278</v>
      </c>
      <c r="Z748" s="4085" t="s">
        <v>12829</v>
      </c>
      <c r="AA748" s="4083"/>
    </row>
    <row r="749" spans="2:27" ht="12.75" customHeight="1">
      <c r="B749" s="242" t="str">
        <f t="shared" si="20"/>
        <v>Gemas14</v>
      </c>
      <c r="D749" s="4028" t="s">
        <v>149</v>
      </c>
      <c r="E749" s="4031" t="s">
        <v>12748</v>
      </c>
      <c r="F749" s="4031">
        <v>14</v>
      </c>
      <c r="G749" s="4031" t="s">
        <v>1241</v>
      </c>
      <c r="H749" s="4031" t="s">
        <v>1095</v>
      </c>
      <c r="I749" s="4031" t="s">
        <v>1165</v>
      </c>
      <c r="J749" s="4031">
        <v>6</v>
      </c>
      <c r="K749" s="4031">
        <v>8</v>
      </c>
      <c r="L749" s="4031">
        <v>10</v>
      </c>
      <c r="M749" s="4031">
        <v>12</v>
      </c>
      <c r="N749" s="4031">
        <v>50</v>
      </c>
      <c r="O749" s="4031">
        <v>60</v>
      </c>
      <c r="P749" s="4031">
        <v>70</v>
      </c>
      <c r="Q749" s="4031">
        <v>80</v>
      </c>
      <c r="R749" s="4031" t="s">
        <v>1241</v>
      </c>
      <c r="S749" s="4031" t="s">
        <v>1241</v>
      </c>
      <c r="T749" s="4031" t="s">
        <v>1241</v>
      </c>
      <c r="U749" s="4031" t="s">
        <v>1241</v>
      </c>
      <c r="V749" s="4083" t="s">
        <v>13280</v>
      </c>
      <c r="W749" s="4083" t="s">
        <v>13281</v>
      </c>
      <c r="X749" s="4083" t="s">
        <v>13282</v>
      </c>
      <c r="Y749" s="4083" t="s">
        <v>13283</v>
      </c>
      <c r="Z749" s="4085" t="s">
        <v>12830</v>
      </c>
      <c r="AA749" s="4083"/>
    </row>
    <row r="750" spans="2:27" ht="12.75" customHeight="1">
      <c r="B750" s="242" t="str">
        <f t="shared" si="20"/>
        <v>Gemas24</v>
      </c>
      <c r="D750" s="4028" t="s">
        <v>12729</v>
      </c>
      <c r="E750" s="4031" t="s">
        <v>12748</v>
      </c>
      <c r="F750" s="4031">
        <v>24</v>
      </c>
      <c r="G750" s="4031" t="s">
        <v>2422</v>
      </c>
      <c r="H750" s="4031" t="s">
        <v>1097</v>
      </c>
      <c r="I750" s="4031" t="s">
        <v>1165</v>
      </c>
      <c r="J750" s="4031">
        <v>6</v>
      </c>
      <c r="K750" s="4031">
        <v>8</v>
      </c>
      <c r="L750" s="4031">
        <v>11</v>
      </c>
      <c r="M750" s="4031">
        <v>13</v>
      </c>
      <c r="N750" s="4031">
        <v>30</v>
      </c>
      <c r="O750" s="4031">
        <v>60</v>
      </c>
      <c r="P750" s="4031">
        <v>90</v>
      </c>
      <c r="Q750" s="4031">
        <v>120</v>
      </c>
      <c r="R750" s="4031">
        <v>5</v>
      </c>
      <c r="S750" s="4031">
        <v>10</v>
      </c>
      <c r="T750" s="4031">
        <v>15</v>
      </c>
      <c r="U750" s="4031">
        <v>20</v>
      </c>
      <c r="V750" s="4083" t="s">
        <v>13284</v>
      </c>
      <c r="W750" s="4083" t="s">
        <v>13285</v>
      </c>
      <c r="X750" s="4083" t="s">
        <v>13286</v>
      </c>
      <c r="Y750" s="4083" t="s">
        <v>13286</v>
      </c>
      <c r="Z750" s="4085" t="s">
        <v>12831</v>
      </c>
      <c r="AA750" s="4083"/>
    </row>
    <row r="751" spans="2:27" ht="12.75" customHeight="1">
      <c r="B751" s="242" t="str">
        <f t="shared" si="20"/>
        <v>Gemas34</v>
      </c>
      <c r="D751" s="4028" t="s">
        <v>12730</v>
      </c>
      <c r="E751" s="4031" t="s">
        <v>12748</v>
      </c>
      <c r="F751" s="4031">
        <v>34</v>
      </c>
      <c r="G751" s="4031" t="s">
        <v>1241</v>
      </c>
      <c r="H751" s="4031" t="s">
        <v>1093</v>
      </c>
      <c r="I751" s="4031" t="s">
        <v>1165</v>
      </c>
      <c r="J751" s="4031">
        <v>6</v>
      </c>
      <c r="K751" s="4031">
        <v>8</v>
      </c>
      <c r="L751" s="4031">
        <v>11</v>
      </c>
      <c r="M751" s="4031">
        <v>14</v>
      </c>
      <c r="N751" s="4031">
        <v>50</v>
      </c>
      <c r="O751" s="4031">
        <v>100</v>
      </c>
      <c r="P751" s="4031">
        <v>150</v>
      </c>
      <c r="Q751" s="4031">
        <v>200</v>
      </c>
      <c r="R751" s="4031" t="s">
        <v>1241</v>
      </c>
      <c r="S751" s="4031" t="s">
        <v>1241</v>
      </c>
      <c r="T751" s="4031" t="s">
        <v>1241</v>
      </c>
      <c r="U751" s="4031" t="s">
        <v>1241</v>
      </c>
      <c r="V751" s="4083" t="s">
        <v>13250</v>
      </c>
      <c r="W751" s="4083" t="s">
        <v>13251</v>
      </c>
      <c r="X751" s="4083" t="s">
        <v>13252</v>
      </c>
      <c r="Y751" s="4083" t="s">
        <v>13253</v>
      </c>
      <c r="Z751" s="4085" t="s">
        <v>12832</v>
      </c>
      <c r="AA751" s="4083"/>
    </row>
    <row r="752" spans="2:27" ht="12.75" customHeight="1">
      <c r="B752" s="242" t="str">
        <f t="shared" si="20"/>
        <v>Gemas44</v>
      </c>
      <c r="D752" s="4028" t="s">
        <v>12731</v>
      </c>
      <c r="E752" s="4031" t="s">
        <v>12748</v>
      </c>
      <c r="F752" s="4031">
        <v>44</v>
      </c>
      <c r="G752" s="4031" t="s">
        <v>2422</v>
      </c>
      <c r="H752" s="4031" t="s">
        <v>1424</v>
      </c>
      <c r="I752" s="4031" t="s">
        <v>1165</v>
      </c>
      <c r="J752" s="4031">
        <v>7</v>
      </c>
      <c r="K752" s="4031">
        <v>9</v>
      </c>
      <c r="L752" s="4031">
        <v>12</v>
      </c>
      <c r="M752" s="4031">
        <v>14</v>
      </c>
      <c r="N752" s="4031">
        <v>100</v>
      </c>
      <c r="O752" s="4031">
        <v>200</v>
      </c>
      <c r="P752" s="4031">
        <v>300</v>
      </c>
      <c r="Q752" s="4031">
        <v>400</v>
      </c>
      <c r="R752" s="4031">
        <v>10</v>
      </c>
      <c r="S752" s="4031">
        <v>10</v>
      </c>
      <c r="T752" s="4031">
        <v>15</v>
      </c>
      <c r="U752" s="4031">
        <v>20</v>
      </c>
      <c r="V752" s="4083" t="s">
        <v>8741</v>
      </c>
      <c r="W752" s="4083" t="s">
        <v>13287</v>
      </c>
      <c r="X752" s="4083" t="s">
        <v>13288</v>
      </c>
      <c r="Y752" s="4083" t="s">
        <v>13289</v>
      </c>
      <c r="Z752" s="4085" t="s">
        <v>12833</v>
      </c>
      <c r="AA752" s="4083"/>
    </row>
    <row r="753" spans="2:27" ht="12.75" customHeight="1">
      <c r="B753" s="242" t="str">
        <f t="shared" si="20"/>
        <v>Gemas54</v>
      </c>
      <c r="D753" s="4028" t="s">
        <v>12732</v>
      </c>
      <c r="E753" s="4031" t="s">
        <v>12748</v>
      </c>
      <c r="F753" s="4031">
        <v>54</v>
      </c>
      <c r="G753" s="4031" t="s">
        <v>2422</v>
      </c>
      <c r="H753" s="4031" t="s">
        <v>1093</v>
      </c>
      <c r="I753" s="4031" t="s">
        <v>1165</v>
      </c>
      <c r="J753" s="4031">
        <v>8</v>
      </c>
      <c r="K753" s="4031">
        <v>10</v>
      </c>
      <c r="L753" s="4031">
        <v>12</v>
      </c>
      <c r="M753" s="4031">
        <v>14</v>
      </c>
      <c r="N753" s="4031">
        <v>80</v>
      </c>
      <c r="O753" s="4031">
        <v>120</v>
      </c>
      <c r="P753" s="4031">
        <v>150</v>
      </c>
      <c r="Q753" s="4031">
        <v>240</v>
      </c>
      <c r="R753" s="4031">
        <v>10</v>
      </c>
      <c r="S753" s="4031">
        <v>10</v>
      </c>
      <c r="T753" s="4031">
        <v>15</v>
      </c>
      <c r="U753" s="4031">
        <v>20</v>
      </c>
      <c r="V753" s="4083" t="s">
        <v>13290</v>
      </c>
      <c r="W753" s="4083" t="s">
        <v>13291</v>
      </c>
      <c r="X753" s="4083" t="s">
        <v>13292</v>
      </c>
      <c r="Y753" s="4083" t="s">
        <v>13293</v>
      </c>
      <c r="Z753" s="4085" t="s">
        <v>13062</v>
      </c>
      <c r="AA753" s="4083"/>
    </row>
    <row r="754" spans="2:27" ht="12.75" customHeight="1">
      <c r="B754" s="242" t="str">
        <f t="shared" si="20"/>
        <v>Gemas64</v>
      </c>
      <c r="D754" s="4028" t="s">
        <v>12733</v>
      </c>
      <c r="E754" s="4031" t="s">
        <v>12748</v>
      </c>
      <c r="F754" s="4031">
        <v>64</v>
      </c>
      <c r="G754" s="4031" t="s">
        <v>2422</v>
      </c>
      <c r="H754" s="4031" t="s">
        <v>1095</v>
      </c>
      <c r="I754" s="4031" t="s">
        <v>1165</v>
      </c>
      <c r="J754" s="4031">
        <v>8</v>
      </c>
      <c r="K754" s="4031">
        <v>10</v>
      </c>
      <c r="L754" s="4031">
        <v>12</v>
      </c>
      <c r="M754" s="4031">
        <v>14</v>
      </c>
      <c r="N754" s="4031">
        <v>150</v>
      </c>
      <c r="O754" s="4031">
        <v>300</v>
      </c>
      <c r="P754" s="4031">
        <v>450</v>
      </c>
      <c r="Q754" s="4031">
        <v>600</v>
      </c>
      <c r="R754" s="4031">
        <v>10</v>
      </c>
      <c r="S754" s="4031">
        <v>15</v>
      </c>
      <c r="T754" s="4031">
        <v>15</v>
      </c>
      <c r="U754" s="4031">
        <v>20</v>
      </c>
      <c r="V754" s="4083" t="s">
        <v>13294</v>
      </c>
      <c r="W754" s="4083" t="s">
        <v>13295</v>
      </c>
      <c r="X754" s="4083" t="s">
        <v>13296</v>
      </c>
      <c r="Y754" s="4083" t="s">
        <v>13297</v>
      </c>
      <c r="Z754" s="4085" t="s">
        <v>13063</v>
      </c>
      <c r="AA754" s="4083"/>
    </row>
    <row r="755" spans="2:27" ht="12.75" customHeight="1">
      <c r="B755" s="242" t="str">
        <f t="shared" si="20"/>
        <v>Gemas74</v>
      </c>
      <c r="D755" s="4028" t="s">
        <v>12734</v>
      </c>
      <c r="E755" s="4031" t="s">
        <v>12748</v>
      </c>
      <c r="F755" s="4031">
        <v>74</v>
      </c>
      <c r="G755" s="4031" t="s">
        <v>1241</v>
      </c>
      <c r="H755" s="4031" t="s">
        <v>1095</v>
      </c>
      <c r="I755" s="4031" t="s">
        <v>1165</v>
      </c>
      <c r="J755" s="4031">
        <v>8</v>
      </c>
      <c r="K755" s="4031">
        <v>11</v>
      </c>
      <c r="L755" s="4031">
        <v>13</v>
      </c>
      <c r="M755" s="4031">
        <v>15</v>
      </c>
      <c r="N755" s="4031">
        <v>30</v>
      </c>
      <c r="O755" s="4031">
        <v>50</v>
      </c>
      <c r="P755" s="4031">
        <v>80</v>
      </c>
      <c r="Q755" s="4031">
        <v>120</v>
      </c>
      <c r="R755" s="4031" t="s">
        <v>1241</v>
      </c>
      <c r="S755" s="4031" t="s">
        <v>1241</v>
      </c>
      <c r="T755" s="4031" t="s">
        <v>1241</v>
      </c>
      <c r="U755" s="4031" t="s">
        <v>1241</v>
      </c>
      <c r="V755" s="4083" t="s">
        <v>3829</v>
      </c>
      <c r="W755" s="4083" t="s">
        <v>13298</v>
      </c>
      <c r="X755" s="4083" t="s">
        <v>13299</v>
      </c>
      <c r="Y755" s="4083" t="s">
        <v>13300</v>
      </c>
      <c r="Z755" s="4085" t="s">
        <v>12834</v>
      </c>
      <c r="AA755" s="4083"/>
    </row>
    <row r="756" spans="2:27" ht="12.75" customHeight="1">
      <c r="B756" s="242" t="str">
        <f t="shared" si="20"/>
        <v>Gemas84</v>
      </c>
      <c r="D756" s="4028" t="s">
        <v>9395</v>
      </c>
      <c r="E756" s="4031" t="s">
        <v>12748</v>
      </c>
      <c r="F756" s="4031">
        <v>84</v>
      </c>
      <c r="G756" s="4031" t="s">
        <v>1241</v>
      </c>
      <c r="H756" s="4031" t="s">
        <v>1095</v>
      </c>
      <c r="I756" s="4031" t="s">
        <v>1165</v>
      </c>
      <c r="J756" s="4031">
        <v>9</v>
      </c>
      <c r="K756" s="4031">
        <v>11</v>
      </c>
      <c r="L756" s="4031">
        <v>13</v>
      </c>
      <c r="M756" s="4031">
        <v>15</v>
      </c>
      <c r="N756" s="4031">
        <v>300</v>
      </c>
      <c r="O756" s="4031">
        <v>500</v>
      </c>
      <c r="P756" s="4031">
        <v>700</v>
      </c>
      <c r="Q756" s="4087">
        <v>1200</v>
      </c>
      <c r="R756" s="4031" t="s">
        <v>1241</v>
      </c>
      <c r="S756" s="4031" t="s">
        <v>1241</v>
      </c>
      <c r="T756" s="4031" t="s">
        <v>1241</v>
      </c>
      <c r="U756" s="4031" t="s">
        <v>1241</v>
      </c>
      <c r="V756" s="4083" t="s">
        <v>13301</v>
      </c>
      <c r="W756" s="4083" t="s">
        <v>13302</v>
      </c>
      <c r="X756" s="4083" t="s">
        <v>13303</v>
      </c>
      <c r="Y756" s="4083" t="s">
        <v>13304</v>
      </c>
      <c r="Z756" s="4085" t="s">
        <v>12835</v>
      </c>
      <c r="AA756" s="4083"/>
    </row>
    <row r="757" spans="2:27" ht="12.75" customHeight="1">
      <c r="B757" s="242" t="str">
        <f t="shared" si="20"/>
        <v>Gemas94</v>
      </c>
      <c r="D757" s="4028" t="s">
        <v>12735</v>
      </c>
      <c r="E757" s="4031" t="s">
        <v>12748</v>
      </c>
      <c r="F757" s="4031">
        <v>94</v>
      </c>
      <c r="G757" s="4031" t="s">
        <v>1241</v>
      </c>
      <c r="H757" s="4031" t="s">
        <v>1093</v>
      </c>
      <c r="I757" s="4031" t="s">
        <v>1165</v>
      </c>
      <c r="J757" s="4031">
        <v>11</v>
      </c>
      <c r="K757" s="4031">
        <v>13</v>
      </c>
      <c r="L757" s="4031">
        <v>15</v>
      </c>
      <c r="M757" s="4031">
        <v>17</v>
      </c>
      <c r="N757" s="4031">
        <v>500</v>
      </c>
      <c r="O757" s="4031">
        <v>750</v>
      </c>
      <c r="P757" s="4087">
        <v>1200</v>
      </c>
      <c r="Q757" s="4087">
        <v>2000</v>
      </c>
      <c r="R757" s="4031" t="s">
        <v>1241</v>
      </c>
      <c r="S757" s="4031" t="s">
        <v>1241</v>
      </c>
      <c r="T757" s="4031" t="s">
        <v>1241</v>
      </c>
      <c r="U757" s="4031" t="s">
        <v>1241</v>
      </c>
      <c r="V757" s="4083" t="s">
        <v>13305</v>
      </c>
      <c r="W757" s="4083" t="s">
        <v>13306</v>
      </c>
      <c r="X757" s="4083" t="s">
        <v>13306</v>
      </c>
      <c r="Y757" s="4083" t="s">
        <v>13307</v>
      </c>
      <c r="Z757" s="4085" t="s">
        <v>12836</v>
      </c>
      <c r="AA757" s="4083"/>
    </row>
    <row r="758" spans="2:27" ht="12.75" customHeight="1">
      <c r="B758" s="242" t="str">
        <f t="shared" si="20"/>
        <v/>
      </c>
      <c r="D758" s="4028" t="s">
        <v>12736</v>
      </c>
      <c r="E758" s="4031"/>
      <c r="F758" s="4031"/>
      <c r="G758" s="4031"/>
      <c r="H758" s="4031"/>
      <c r="I758" s="4031"/>
      <c r="J758" s="4031"/>
      <c r="K758" s="4031"/>
      <c r="L758" s="4031"/>
      <c r="M758" s="4031"/>
      <c r="N758" s="4031"/>
      <c r="O758" s="4031"/>
      <c r="P758" s="4031"/>
      <c r="Q758" s="4031"/>
      <c r="R758" s="4083"/>
      <c r="S758" s="4083"/>
      <c r="T758" s="4083"/>
      <c r="U758" s="4083"/>
      <c r="V758" s="4083"/>
      <c r="W758" s="4083"/>
      <c r="X758" s="4083"/>
      <c r="Y758" s="4083"/>
      <c r="Z758" s="4085"/>
      <c r="AA758" s="4083"/>
    </row>
    <row r="759" spans="2:27" ht="12.75" customHeight="1">
      <c r="B759" s="242" t="str">
        <f t="shared" si="20"/>
        <v>Fantasía4</v>
      </c>
      <c r="D759" s="4028" t="s">
        <v>13064</v>
      </c>
      <c r="E759" s="4031" t="s">
        <v>12749</v>
      </c>
      <c r="F759" s="4031">
        <v>4</v>
      </c>
      <c r="G759" s="4031" t="s">
        <v>2422</v>
      </c>
      <c r="H759" s="4031" t="s">
        <v>1097</v>
      </c>
      <c r="I759" s="4031" t="s">
        <v>1165</v>
      </c>
      <c r="J759" s="4031">
        <v>5</v>
      </c>
      <c r="K759" s="4031">
        <v>7</v>
      </c>
      <c r="L759" s="4031">
        <v>9</v>
      </c>
      <c r="M759" s="4031">
        <v>11</v>
      </c>
      <c r="N759" s="4031">
        <v>40</v>
      </c>
      <c r="O759" s="4031">
        <v>80</v>
      </c>
      <c r="P759" s="4031">
        <v>120</v>
      </c>
      <c r="Q759" s="4031">
        <v>150</v>
      </c>
      <c r="R759" s="4031">
        <v>5</v>
      </c>
      <c r="S759" s="4031">
        <v>5</v>
      </c>
      <c r="T759" s="4031">
        <v>10</v>
      </c>
      <c r="U759" s="4031">
        <v>10</v>
      </c>
      <c r="V759" s="4083" t="s">
        <v>4151</v>
      </c>
      <c r="W759" s="4083" t="s">
        <v>13203</v>
      </c>
      <c r="X759" s="4083" t="s">
        <v>13204</v>
      </c>
      <c r="Y759" s="4083" t="s">
        <v>3568</v>
      </c>
      <c r="Z759" s="4085" t="s">
        <v>12837</v>
      </c>
      <c r="AA759" s="4083"/>
    </row>
    <row r="760" spans="2:27" ht="12.75" customHeight="1">
      <c r="B760" s="242" t="str">
        <f t="shared" si="20"/>
        <v>Fantasía14</v>
      </c>
      <c r="D760" s="4028" t="s">
        <v>12737</v>
      </c>
      <c r="E760" s="4031" t="s">
        <v>12749</v>
      </c>
      <c r="F760" s="4031">
        <v>14</v>
      </c>
      <c r="G760" s="4031" t="s">
        <v>1241</v>
      </c>
      <c r="H760" s="4031" t="s">
        <v>1094</v>
      </c>
      <c r="I760" s="4031" t="s">
        <v>1165</v>
      </c>
      <c r="J760" s="4031">
        <v>6</v>
      </c>
      <c r="K760" s="4031">
        <v>8</v>
      </c>
      <c r="L760" s="4031">
        <v>10</v>
      </c>
      <c r="M760" s="4031">
        <v>12</v>
      </c>
      <c r="N760" s="4031">
        <v>60</v>
      </c>
      <c r="O760" s="4031">
        <v>100</v>
      </c>
      <c r="P760" s="4031">
        <v>140</v>
      </c>
      <c r="Q760" s="4031">
        <v>180</v>
      </c>
      <c r="R760" s="4031" t="s">
        <v>1241</v>
      </c>
      <c r="S760" s="4031" t="s">
        <v>1241</v>
      </c>
      <c r="T760" s="4031" t="s">
        <v>1241</v>
      </c>
      <c r="U760" s="4031" t="s">
        <v>1241</v>
      </c>
      <c r="V760" s="4083" t="s">
        <v>3389</v>
      </c>
      <c r="W760" s="4083" t="s">
        <v>3425</v>
      </c>
      <c r="X760" s="4083" t="s">
        <v>3390</v>
      </c>
      <c r="Y760" s="4083" t="s">
        <v>3391</v>
      </c>
      <c r="Z760" s="4085" t="s">
        <v>13065</v>
      </c>
      <c r="AA760" s="4083"/>
    </row>
    <row r="761" spans="2:27" ht="12.75" customHeight="1">
      <c r="B761" s="242" t="str">
        <f t="shared" si="20"/>
        <v>Fantasía24</v>
      </c>
      <c r="D761" s="4028" t="s">
        <v>12738</v>
      </c>
      <c r="E761" s="4031" t="s">
        <v>12749</v>
      </c>
      <c r="F761" s="4031">
        <v>24</v>
      </c>
      <c r="G761" s="4031" t="s">
        <v>1241</v>
      </c>
      <c r="H761" s="4031" t="s">
        <v>1095</v>
      </c>
      <c r="I761" s="4031" t="s">
        <v>1165</v>
      </c>
      <c r="J761" s="4031">
        <v>7</v>
      </c>
      <c r="K761" s="4031">
        <v>9</v>
      </c>
      <c r="L761" s="4031">
        <v>11</v>
      </c>
      <c r="M761" s="4031">
        <v>13</v>
      </c>
      <c r="N761" s="4031">
        <v>50</v>
      </c>
      <c r="O761" s="4031">
        <v>100</v>
      </c>
      <c r="P761" s="4031">
        <v>140</v>
      </c>
      <c r="Q761" s="4031">
        <v>180</v>
      </c>
      <c r="R761" s="4031" t="s">
        <v>1241</v>
      </c>
      <c r="S761" s="4031" t="s">
        <v>1241</v>
      </c>
      <c r="T761" s="4031" t="s">
        <v>1241</v>
      </c>
      <c r="U761" s="4031" t="s">
        <v>1241</v>
      </c>
      <c r="V761" s="4083" t="s">
        <v>13110</v>
      </c>
      <c r="W761" s="4083" t="s">
        <v>13111</v>
      </c>
      <c r="X761" s="4083" t="s">
        <v>13112</v>
      </c>
      <c r="Y761" s="4083" t="s">
        <v>13113</v>
      </c>
      <c r="Z761" s="4085" t="s">
        <v>12838</v>
      </c>
      <c r="AA761" s="4083"/>
    </row>
    <row r="762" spans="2:27" ht="12.75" customHeight="1">
      <c r="B762" s="242" t="str">
        <f t="shared" si="20"/>
        <v>Fantasía34</v>
      </c>
      <c r="D762" s="4028" t="s">
        <v>899</v>
      </c>
      <c r="E762" s="4031" t="s">
        <v>12749</v>
      </c>
      <c r="F762" s="4031">
        <v>34</v>
      </c>
      <c r="G762" s="4031" t="s">
        <v>1241</v>
      </c>
      <c r="H762" s="4031" t="s">
        <v>1424</v>
      </c>
      <c r="I762" s="4031" t="s">
        <v>1165</v>
      </c>
      <c r="J762" s="4031">
        <v>6</v>
      </c>
      <c r="K762" s="4031">
        <v>9</v>
      </c>
      <c r="L762" s="4031">
        <v>10</v>
      </c>
      <c r="M762" s="4031">
        <v>13</v>
      </c>
      <c r="N762" s="4031">
        <v>60</v>
      </c>
      <c r="O762" s="4031">
        <v>90</v>
      </c>
      <c r="P762" s="4031">
        <v>120</v>
      </c>
      <c r="Q762" s="4031">
        <v>180</v>
      </c>
      <c r="R762" s="4031">
        <v>10</v>
      </c>
      <c r="S762" s="4031">
        <v>15</v>
      </c>
      <c r="T762" s="4031">
        <v>20</v>
      </c>
      <c r="U762" s="4031">
        <v>25</v>
      </c>
      <c r="V762" s="4083" t="s">
        <v>14147</v>
      </c>
      <c r="W762" s="4083" t="s">
        <v>14148</v>
      </c>
      <c r="X762" s="4083" t="s">
        <v>13308</v>
      </c>
      <c r="Y762" s="4083" t="s">
        <v>13309</v>
      </c>
      <c r="Z762" s="4085" t="s">
        <v>12839</v>
      </c>
      <c r="AA762" s="4083"/>
    </row>
    <row r="763" spans="2:27" ht="12.75" customHeight="1">
      <c r="B763" s="242" t="str">
        <f t="shared" si="20"/>
        <v>Fantasía44</v>
      </c>
      <c r="D763" s="4028" t="s">
        <v>13066</v>
      </c>
      <c r="E763" s="4031" t="s">
        <v>12749</v>
      </c>
      <c r="F763" s="4031">
        <v>44</v>
      </c>
      <c r="G763" s="4031" t="s">
        <v>2422</v>
      </c>
      <c r="H763" s="4031" t="s">
        <v>1095</v>
      </c>
      <c r="I763" s="4031" t="s">
        <v>1165</v>
      </c>
      <c r="J763" s="4031">
        <v>7</v>
      </c>
      <c r="K763" s="4031">
        <v>10</v>
      </c>
      <c r="L763" s="4031">
        <v>12</v>
      </c>
      <c r="M763" s="4031">
        <v>14</v>
      </c>
      <c r="N763" s="4031">
        <v>100</v>
      </c>
      <c r="O763" s="4031">
        <v>140</v>
      </c>
      <c r="P763" s="4031">
        <v>180</v>
      </c>
      <c r="Q763" s="4031">
        <v>250</v>
      </c>
      <c r="R763" s="4031">
        <v>20</v>
      </c>
      <c r="S763" s="4031">
        <v>30</v>
      </c>
      <c r="T763" s="4031">
        <v>40</v>
      </c>
      <c r="U763" s="4031">
        <v>60</v>
      </c>
      <c r="V763" s="4083" t="s">
        <v>3829</v>
      </c>
      <c r="W763" s="4083" t="s">
        <v>13310</v>
      </c>
      <c r="X763" s="4083" t="s">
        <v>13311</v>
      </c>
      <c r="Y763" s="4083" t="s">
        <v>13312</v>
      </c>
      <c r="Z763" s="4085" t="s">
        <v>13067</v>
      </c>
      <c r="AA763" s="4083"/>
    </row>
    <row r="764" spans="2:27" ht="12.75" customHeight="1">
      <c r="B764" s="242" t="str">
        <f t="shared" si="20"/>
        <v>Fantasía54</v>
      </c>
      <c r="D764" s="4028" t="s">
        <v>12739</v>
      </c>
      <c r="E764" s="4031" t="s">
        <v>12749</v>
      </c>
      <c r="F764" s="4031">
        <v>54</v>
      </c>
      <c r="G764" s="4031" t="s">
        <v>2422</v>
      </c>
      <c r="H764" s="4031" t="s">
        <v>1095</v>
      </c>
      <c r="I764" s="4031" t="s">
        <v>1165</v>
      </c>
      <c r="J764" s="4031">
        <v>9</v>
      </c>
      <c r="K764" s="4031">
        <v>11</v>
      </c>
      <c r="L764" s="4031">
        <v>13</v>
      </c>
      <c r="M764" s="4031">
        <v>15</v>
      </c>
      <c r="N764" s="4031">
        <v>200</v>
      </c>
      <c r="O764" s="4031">
        <v>400</v>
      </c>
      <c r="P764" s="4031">
        <v>600</v>
      </c>
      <c r="Q764" s="4031">
        <v>800</v>
      </c>
      <c r="R764" s="4031">
        <v>20</v>
      </c>
      <c r="S764" s="4031">
        <v>30</v>
      </c>
      <c r="T764" s="4031">
        <v>40</v>
      </c>
      <c r="U764" s="4031">
        <v>50</v>
      </c>
      <c r="V764" s="4083" t="s">
        <v>13313</v>
      </c>
      <c r="W764" s="4083" t="s">
        <v>13314</v>
      </c>
      <c r="X764" s="4083" t="s">
        <v>13315</v>
      </c>
      <c r="Y764" s="4083" t="s">
        <v>13316</v>
      </c>
      <c r="Z764" s="4085" t="s">
        <v>12840</v>
      </c>
      <c r="AA764" s="4083"/>
    </row>
    <row r="765" spans="2:27" ht="12.75" customHeight="1">
      <c r="B765" s="242" t="str">
        <f t="shared" si="20"/>
        <v>Fantasía64</v>
      </c>
      <c r="D765" s="4028" t="s">
        <v>12740</v>
      </c>
      <c r="E765" s="4031" t="s">
        <v>12749</v>
      </c>
      <c r="F765" s="4031">
        <v>64</v>
      </c>
      <c r="G765" s="4031" t="s">
        <v>1241</v>
      </c>
      <c r="H765" s="4031" t="s">
        <v>1095</v>
      </c>
      <c r="I765" s="4031" t="s">
        <v>1165</v>
      </c>
      <c r="J765" s="4031">
        <v>9</v>
      </c>
      <c r="K765" s="4031">
        <v>13</v>
      </c>
      <c r="L765" s="4031">
        <v>15</v>
      </c>
      <c r="M765" s="4031">
        <v>17</v>
      </c>
      <c r="N765" s="4031">
        <v>150</v>
      </c>
      <c r="O765" s="4031">
        <v>300</v>
      </c>
      <c r="P765" s="4031">
        <v>450</v>
      </c>
      <c r="Q765" s="4031">
        <v>700</v>
      </c>
      <c r="R765" s="4031">
        <v>10</v>
      </c>
      <c r="S765" s="4031">
        <v>20</v>
      </c>
      <c r="T765" s="4031">
        <v>30</v>
      </c>
      <c r="U765" s="4031">
        <v>40</v>
      </c>
      <c r="V765" s="4083" t="s">
        <v>13114</v>
      </c>
      <c r="W765" s="4083" t="s">
        <v>13115</v>
      </c>
      <c r="X765" s="4083" t="s">
        <v>13116</v>
      </c>
      <c r="Y765" s="4083" t="s">
        <v>13117</v>
      </c>
      <c r="Z765" s="4085" t="s">
        <v>12841</v>
      </c>
      <c r="AA765" s="4083"/>
    </row>
    <row r="766" spans="2:27" ht="12.75" customHeight="1">
      <c r="B766" s="242" t="str">
        <f t="shared" si="20"/>
        <v>Fantasía74</v>
      </c>
      <c r="D766" s="4028" t="s">
        <v>12741</v>
      </c>
      <c r="E766" s="4031" t="s">
        <v>12749</v>
      </c>
      <c r="F766" s="4031">
        <v>74</v>
      </c>
      <c r="G766" s="4031" t="s">
        <v>2422</v>
      </c>
      <c r="H766" s="4031" t="s">
        <v>1095</v>
      </c>
      <c r="I766" s="4031" t="s">
        <v>1165</v>
      </c>
      <c r="J766" s="4031">
        <v>9</v>
      </c>
      <c r="K766" s="4031">
        <v>11</v>
      </c>
      <c r="L766" s="4031">
        <v>13</v>
      </c>
      <c r="M766" s="4031">
        <v>15</v>
      </c>
      <c r="N766" s="4031">
        <v>150</v>
      </c>
      <c r="O766" s="4031">
        <v>250</v>
      </c>
      <c r="P766" s="4031">
        <v>400</v>
      </c>
      <c r="Q766" s="4031">
        <v>600</v>
      </c>
      <c r="R766" s="4031">
        <v>20</v>
      </c>
      <c r="S766" s="4031">
        <v>30</v>
      </c>
      <c r="T766" s="4031">
        <v>40</v>
      </c>
      <c r="U766" s="4031">
        <v>50</v>
      </c>
      <c r="V766" s="4083" t="s">
        <v>13118</v>
      </c>
      <c r="W766" s="4083" t="s">
        <v>13119</v>
      </c>
      <c r="X766" s="4083" t="s">
        <v>13120</v>
      </c>
      <c r="Y766" s="4083" t="s">
        <v>13121</v>
      </c>
      <c r="Z766" s="4085" t="s">
        <v>12842</v>
      </c>
      <c r="AA766" s="4083"/>
    </row>
    <row r="767" spans="2:27" ht="12.75" customHeight="1">
      <c r="B767" s="242" t="str">
        <f t="shared" si="20"/>
        <v>Fantasía84</v>
      </c>
      <c r="D767" s="4028" t="s">
        <v>12742</v>
      </c>
      <c r="E767" s="4031" t="s">
        <v>12749</v>
      </c>
      <c r="F767" s="4031">
        <v>84</v>
      </c>
      <c r="G767" s="4031" t="s">
        <v>1241</v>
      </c>
      <c r="H767" s="4031" t="s">
        <v>1095</v>
      </c>
      <c r="I767" s="4031" t="s">
        <v>1165</v>
      </c>
      <c r="J767" s="4031">
        <v>11</v>
      </c>
      <c r="K767" s="4031">
        <v>13</v>
      </c>
      <c r="L767" s="4087">
        <v>15</v>
      </c>
      <c r="M767" s="4087">
        <v>17</v>
      </c>
      <c r="N767" s="4031">
        <v>400</v>
      </c>
      <c r="O767" s="4031">
        <v>700</v>
      </c>
      <c r="P767" s="4087">
        <v>1200</v>
      </c>
      <c r="Q767" s="4087">
        <v>2000</v>
      </c>
      <c r="R767" s="4031">
        <v>30</v>
      </c>
      <c r="S767" s="4031">
        <v>40</v>
      </c>
      <c r="T767" s="4031">
        <v>60</v>
      </c>
      <c r="U767" s="4031">
        <v>80</v>
      </c>
      <c r="V767" s="4083" t="s">
        <v>13317</v>
      </c>
      <c r="W767" s="4083" t="s">
        <v>13318</v>
      </c>
      <c r="X767" s="4083" t="s">
        <v>13319</v>
      </c>
      <c r="Y767" s="4083" t="s">
        <v>13320</v>
      </c>
      <c r="Z767" s="4085" t="s">
        <v>12843</v>
      </c>
      <c r="AA767" s="4083"/>
    </row>
    <row r="768" spans="2:27" ht="12.75" customHeight="1">
      <c r="B768" s="242" t="str">
        <f t="shared" si="20"/>
        <v>Fantasía94</v>
      </c>
      <c r="D768" s="4028" t="s">
        <v>12743</v>
      </c>
      <c r="E768" s="4031" t="s">
        <v>12749</v>
      </c>
      <c r="F768" s="4031">
        <v>94</v>
      </c>
      <c r="G768" s="4031" t="s">
        <v>1241</v>
      </c>
      <c r="H768" s="4031" t="s">
        <v>1095</v>
      </c>
      <c r="I768" s="4031" t="s">
        <v>1165</v>
      </c>
      <c r="J768" s="4031">
        <v>12</v>
      </c>
      <c r="K768" s="4031">
        <v>14</v>
      </c>
      <c r="L768" s="4031">
        <v>16</v>
      </c>
      <c r="M768" s="4031">
        <v>18</v>
      </c>
      <c r="N768" s="4087">
        <v>1000</v>
      </c>
      <c r="O768" s="4087">
        <v>2000</v>
      </c>
      <c r="P768" s="4087">
        <v>3000</v>
      </c>
      <c r="Q768" s="4087">
        <v>5000</v>
      </c>
      <c r="R768" s="4031" t="s">
        <v>1241</v>
      </c>
      <c r="S768" s="4031" t="s">
        <v>1241</v>
      </c>
      <c r="T768" s="4031" t="s">
        <v>1241</v>
      </c>
      <c r="U768" s="4031" t="s">
        <v>1241</v>
      </c>
      <c r="V768" s="4083" t="s">
        <v>3829</v>
      </c>
      <c r="W768" s="4083" t="s">
        <v>13321</v>
      </c>
      <c r="X768" s="4083" t="s">
        <v>13322</v>
      </c>
      <c r="Y768" s="4083" t="s">
        <v>13323</v>
      </c>
      <c r="Z768" s="4085" t="s">
        <v>12844</v>
      </c>
      <c r="AA768" s="4083"/>
    </row>
    <row r="769" spans="2:27" ht="12.75" customHeight="1">
      <c r="B769" s="242" t="str">
        <f t="shared" si="20"/>
        <v/>
      </c>
      <c r="D769" s="4028" t="s">
        <v>12744</v>
      </c>
      <c r="E769" s="4031"/>
      <c r="F769" s="4031"/>
      <c r="G769" s="4031"/>
      <c r="H769" s="4031"/>
      <c r="I769" s="4031"/>
      <c r="J769" s="4031"/>
      <c r="K769" s="4031"/>
      <c r="L769" s="4031"/>
      <c r="M769" s="4031"/>
      <c r="N769" s="4031"/>
      <c r="O769" s="4031"/>
      <c r="P769" s="4031"/>
      <c r="Q769" s="4031"/>
      <c r="R769" s="4083"/>
      <c r="S769" s="4083"/>
      <c r="T769" s="4083"/>
      <c r="U769" s="4083"/>
      <c r="V769" s="4083"/>
      <c r="W769" s="4083"/>
      <c r="X769" s="4083"/>
      <c r="Y769" s="4083"/>
      <c r="Z769" s="4085"/>
      <c r="AA769" s="4083"/>
    </row>
    <row r="770" spans="2:27" ht="12.75" customHeight="1">
      <c r="B770" s="242" t="str">
        <f t="shared" si="20"/>
        <v>Estaciones4</v>
      </c>
      <c r="D770" s="4028" t="s">
        <v>12745</v>
      </c>
      <c r="E770" s="4031" t="s">
        <v>12750</v>
      </c>
      <c r="F770" s="4031">
        <v>4</v>
      </c>
      <c r="G770" s="4031" t="s">
        <v>2422</v>
      </c>
      <c r="H770" s="4031" t="s">
        <v>1095</v>
      </c>
      <c r="I770" s="4031" t="s">
        <v>1165</v>
      </c>
      <c r="J770" s="4031">
        <v>5</v>
      </c>
      <c r="K770" s="4031">
        <v>7</v>
      </c>
      <c r="L770" s="4031">
        <v>9</v>
      </c>
      <c r="M770" s="4031">
        <v>11</v>
      </c>
      <c r="N770" s="4031">
        <v>30</v>
      </c>
      <c r="O770" s="4031">
        <v>50</v>
      </c>
      <c r="P770" s="4031">
        <v>80</v>
      </c>
      <c r="Q770" s="4031">
        <v>110</v>
      </c>
      <c r="R770" s="4031">
        <v>5</v>
      </c>
      <c r="S770" s="4031">
        <v>10</v>
      </c>
      <c r="T770" s="4031">
        <v>10</v>
      </c>
      <c r="U770" s="4031">
        <v>15</v>
      </c>
      <c r="V770" s="4083" t="s">
        <v>3829</v>
      </c>
      <c r="W770" s="4083" t="s">
        <v>12760</v>
      </c>
      <c r="X770" s="4083" t="s">
        <v>12761</v>
      </c>
      <c r="Y770" s="4083" t="s">
        <v>12762</v>
      </c>
      <c r="Z770" s="4085" t="s">
        <v>12759</v>
      </c>
      <c r="AA770" s="4086"/>
    </row>
    <row r="771" spans="2:27" ht="12.75" customHeight="1">
      <c r="B771" s="242" t="str">
        <f t="shared" si="20"/>
        <v>Estaciones14</v>
      </c>
      <c r="D771" s="4028" t="s">
        <v>12751</v>
      </c>
      <c r="E771" s="4031" t="s">
        <v>12750</v>
      </c>
      <c r="F771" s="4031">
        <v>14</v>
      </c>
      <c r="G771" s="4031" t="s">
        <v>2422</v>
      </c>
      <c r="H771" s="4031" t="s">
        <v>1095</v>
      </c>
      <c r="I771" s="4031" t="s">
        <v>1165</v>
      </c>
      <c r="J771" s="4031">
        <v>5</v>
      </c>
      <c r="K771" s="4031">
        <v>8</v>
      </c>
      <c r="L771" s="4031">
        <v>10</v>
      </c>
      <c r="M771" s="4031">
        <v>12</v>
      </c>
      <c r="N771" s="4031">
        <v>40</v>
      </c>
      <c r="O771" s="4031">
        <v>70</v>
      </c>
      <c r="P771" s="4031">
        <v>110</v>
      </c>
      <c r="Q771" s="4031">
        <v>140</v>
      </c>
      <c r="R771" s="4031">
        <v>5</v>
      </c>
      <c r="S771" s="4031">
        <v>10</v>
      </c>
      <c r="T771" s="4031">
        <v>15</v>
      </c>
      <c r="U771" s="4031">
        <v>20</v>
      </c>
      <c r="V771" s="4083" t="s">
        <v>4021</v>
      </c>
      <c r="W771" s="4083" t="s">
        <v>3221</v>
      </c>
      <c r="X771" s="4083" t="s">
        <v>3313</v>
      </c>
      <c r="Y771" s="4083" t="s">
        <v>3222</v>
      </c>
      <c r="Z771" s="4085" t="s">
        <v>12763</v>
      </c>
      <c r="AA771" s="4086"/>
    </row>
    <row r="772" spans="2:27" ht="12.75" customHeight="1">
      <c r="B772" s="242" t="str">
        <f t="shared" si="20"/>
        <v>Estaciones24</v>
      </c>
      <c r="D772" s="4028" t="s">
        <v>12755</v>
      </c>
      <c r="E772" s="4031" t="s">
        <v>12750</v>
      </c>
      <c r="F772" s="4031">
        <v>24</v>
      </c>
      <c r="G772" s="4031" t="s">
        <v>1241</v>
      </c>
      <c r="H772" s="4031" t="s">
        <v>1094</v>
      </c>
      <c r="I772" s="4031" t="s">
        <v>1165</v>
      </c>
      <c r="J772" s="4031">
        <v>6</v>
      </c>
      <c r="K772" s="4031">
        <v>8</v>
      </c>
      <c r="L772" s="4031">
        <v>10</v>
      </c>
      <c r="M772" s="4031">
        <v>12</v>
      </c>
      <c r="N772" s="4031">
        <v>50</v>
      </c>
      <c r="O772" s="4031">
        <v>80</v>
      </c>
      <c r="P772" s="4031">
        <v>100</v>
      </c>
      <c r="Q772" s="4031">
        <v>120</v>
      </c>
      <c r="R772" s="4031">
        <v>10</v>
      </c>
      <c r="S772" s="4031">
        <v>15</v>
      </c>
      <c r="T772" s="4031">
        <v>20</v>
      </c>
      <c r="U772" s="4031">
        <v>25</v>
      </c>
      <c r="V772" s="4083" t="s">
        <v>12764</v>
      </c>
      <c r="W772" s="4083" t="s">
        <v>12765</v>
      </c>
      <c r="X772" s="4083" t="s">
        <v>12766</v>
      </c>
      <c r="Y772" s="4083" t="s">
        <v>12767</v>
      </c>
      <c r="Z772" s="4085" t="s">
        <v>13068</v>
      </c>
      <c r="AA772" s="4086"/>
    </row>
    <row r="773" spans="2:27" ht="12.75" customHeight="1">
      <c r="B773" s="242" t="str">
        <f t="shared" si="20"/>
        <v>Estaciones34</v>
      </c>
      <c r="D773" s="4028" t="s">
        <v>12758</v>
      </c>
      <c r="E773" s="4031" t="s">
        <v>12750</v>
      </c>
      <c r="F773" s="4031">
        <v>34</v>
      </c>
      <c r="G773" s="4031" t="s">
        <v>1241</v>
      </c>
      <c r="H773" s="4031" t="s">
        <v>1095</v>
      </c>
      <c r="I773" s="4031" t="s">
        <v>1165</v>
      </c>
      <c r="J773" s="4031">
        <v>7</v>
      </c>
      <c r="K773" s="4031">
        <v>9</v>
      </c>
      <c r="L773" s="4031">
        <v>11</v>
      </c>
      <c r="M773" s="4031">
        <v>13</v>
      </c>
      <c r="N773" s="4031">
        <v>100</v>
      </c>
      <c r="O773" s="4031">
        <v>250</v>
      </c>
      <c r="P773" s="4031">
        <v>350</v>
      </c>
      <c r="Q773" s="4031">
        <v>500</v>
      </c>
      <c r="R773" s="4031">
        <v>15</v>
      </c>
      <c r="S773" s="4031">
        <v>20</v>
      </c>
      <c r="T773" s="4031">
        <v>25</v>
      </c>
      <c r="U773" s="4031">
        <v>30</v>
      </c>
      <c r="V773" s="4083" t="s">
        <v>12768</v>
      </c>
      <c r="W773" s="4083" t="s">
        <v>12769</v>
      </c>
      <c r="X773" s="4083" t="s">
        <v>12770</v>
      </c>
      <c r="Y773" s="4083" t="s">
        <v>12771</v>
      </c>
      <c r="Z773" s="4085" t="s">
        <v>13069</v>
      </c>
      <c r="AA773" s="4086"/>
    </row>
    <row r="774" spans="2:27" ht="12.75" customHeight="1">
      <c r="B774" s="242" t="str">
        <f t="shared" si="20"/>
        <v>Estaciones44</v>
      </c>
      <c r="D774" s="4028" t="s">
        <v>12754</v>
      </c>
      <c r="E774" s="4031" t="s">
        <v>12750</v>
      </c>
      <c r="F774" s="4031">
        <v>44</v>
      </c>
      <c r="G774" s="4031" t="s">
        <v>1241</v>
      </c>
      <c r="H774" s="4031" t="s">
        <v>1093</v>
      </c>
      <c r="I774" s="4031" t="s">
        <v>1165</v>
      </c>
      <c r="J774" s="4031">
        <v>7</v>
      </c>
      <c r="K774" s="4031">
        <v>9</v>
      </c>
      <c r="L774" s="4031">
        <v>11</v>
      </c>
      <c r="M774" s="4031">
        <v>13</v>
      </c>
      <c r="N774" s="4031">
        <v>50</v>
      </c>
      <c r="O774" s="4031">
        <v>80</v>
      </c>
      <c r="P774" s="4031">
        <v>120</v>
      </c>
      <c r="Q774" s="4031">
        <v>140</v>
      </c>
      <c r="R774" s="4031">
        <v>5</v>
      </c>
      <c r="S774" s="4031">
        <v>5</v>
      </c>
      <c r="T774" s="4031">
        <v>10</v>
      </c>
      <c r="U774" s="4031">
        <v>15</v>
      </c>
      <c r="V774" s="4083" t="s">
        <v>12773</v>
      </c>
      <c r="W774" s="4083" t="s">
        <v>12776</v>
      </c>
      <c r="X774" s="4083" t="s">
        <v>12774</v>
      </c>
      <c r="Y774" s="4083" t="s">
        <v>12775</v>
      </c>
      <c r="Z774" s="4085" t="s">
        <v>12772</v>
      </c>
      <c r="AA774" s="4086"/>
    </row>
    <row r="775" spans="2:27" ht="12.75" customHeight="1">
      <c r="B775" s="242" t="str">
        <f t="shared" si="20"/>
        <v>Estaciones54</v>
      </c>
      <c r="D775" s="4028" t="s">
        <v>12752</v>
      </c>
      <c r="E775" s="4031" t="s">
        <v>12750</v>
      </c>
      <c r="F775" s="4031">
        <v>54</v>
      </c>
      <c r="G775" s="4031" t="s">
        <v>1241</v>
      </c>
      <c r="H775" s="4031" t="s">
        <v>1095</v>
      </c>
      <c r="I775" s="4031" t="s">
        <v>1165</v>
      </c>
      <c r="J775" s="4031">
        <v>8</v>
      </c>
      <c r="K775" s="4031">
        <v>10</v>
      </c>
      <c r="L775" s="4031">
        <v>13</v>
      </c>
      <c r="M775" s="4031">
        <v>15</v>
      </c>
      <c r="N775" s="4031">
        <v>50</v>
      </c>
      <c r="O775" s="4031">
        <v>80</v>
      </c>
      <c r="P775" s="4031">
        <v>100</v>
      </c>
      <c r="Q775" s="4031">
        <v>120</v>
      </c>
      <c r="R775" s="4031">
        <v>20</v>
      </c>
      <c r="S775" s="4031">
        <v>30</v>
      </c>
      <c r="T775" s="4031">
        <v>40</v>
      </c>
      <c r="U775" s="4031">
        <v>60</v>
      </c>
      <c r="V775" s="4083" t="s">
        <v>12777</v>
      </c>
      <c r="W775" s="4083" t="s">
        <v>12778</v>
      </c>
      <c r="X775" s="4083" t="s">
        <v>12779</v>
      </c>
      <c r="Y775" s="4083" t="s">
        <v>12780</v>
      </c>
      <c r="Z775" s="4085" t="s">
        <v>13070</v>
      </c>
      <c r="AA775" s="4086"/>
    </row>
    <row r="776" spans="2:27" ht="12.75" customHeight="1">
      <c r="B776" s="242" t="str">
        <f t="shared" ref="B776:B779" si="21">E776&amp;F776</f>
        <v>Estaciones64</v>
      </c>
      <c r="D776" s="4028" t="s">
        <v>12756</v>
      </c>
      <c r="E776" s="4031" t="s">
        <v>12750</v>
      </c>
      <c r="F776" s="4031">
        <v>64</v>
      </c>
      <c r="G776" s="4031" t="s">
        <v>1241</v>
      </c>
      <c r="H776" s="4031" t="s">
        <v>1095</v>
      </c>
      <c r="I776" s="4031" t="s">
        <v>1165</v>
      </c>
      <c r="J776" s="4031">
        <v>8</v>
      </c>
      <c r="K776" s="4031">
        <v>10</v>
      </c>
      <c r="L776" s="4031">
        <v>12</v>
      </c>
      <c r="M776" s="4031">
        <v>15</v>
      </c>
      <c r="N776" s="4031">
        <v>50</v>
      </c>
      <c r="O776" s="4031">
        <v>80</v>
      </c>
      <c r="P776" s="4031">
        <v>100</v>
      </c>
      <c r="Q776" s="4031">
        <v>130</v>
      </c>
      <c r="R776" s="4031" t="s">
        <v>1241</v>
      </c>
      <c r="S776" s="4031" t="s">
        <v>1241</v>
      </c>
      <c r="T776" s="4031" t="s">
        <v>1241</v>
      </c>
      <c r="U776" s="4031" t="s">
        <v>1241</v>
      </c>
      <c r="V776" s="4084" t="s">
        <v>12782</v>
      </c>
      <c r="W776" s="4084" t="s">
        <v>12783</v>
      </c>
      <c r="X776" s="4084" t="s">
        <v>12784</v>
      </c>
      <c r="Y776" s="4084" t="s">
        <v>12785</v>
      </c>
      <c r="Z776" s="4085" t="s">
        <v>12781</v>
      </c>
      <c r="AA776" s="4086"/>
    </row>
    <row r="777" spans="2:27" ht="12.75" customHeight="1">
      <c r="B777" s="242" t="str">
        <f t="shared" si="21"/>
        <v>Estaciones74</v>
      </c>
      <c r="D777" s="4028" t="s">
        <v>12757</v>
      </c>
      <c r="E777" s="4031" t="s">
        <v>12750</v>
      </c>
      <c r="F777" s="4031">
        <v>74</v>
      </c>
      <c r="G777" s="4031" t="s">
        <v>2422</v>
      </c>
      <c r="H777" s="4031" t="s">
        <v>1095</v>
      </c>
      <c r="I777" s="4031" t="s">
        <v>1165</v>
      </c>
      <c r="J777" s="4031">
        <v>8</v>
      </c>
      <c r="K777" s="4031">
        <v>11</v>
      </c>
      <c r="L777" s="4031">
        <v>13</v>
      </c>
      <c r="M777" s="4031">
        <v>15</v>
      </c>
      <c r="N777" s="4031">
        <v>100</v>
      </c>
      <c r="O777" s="4031">
        <v>140</v>
      </c>
      <c r="P777" s="4031">
        <v>180</v>
      </c>
      <c r="Q777" s="4031">
        <v>240</v>
      </c>
      <c r="R777" s="4031">
        <v>10</v>
      </c>
      <c r="S777" s="4031">
        <v>20</v>
      </c>
      <c r="T777" s="4031">
        <v>30</v>
      </c>
      <c r="U777" s="4031">
        <v>40</v>
      </c>
      <c r="V777" s="4083" t="s">
        <v>5034</v>
      </c>
      <c r="W777" s="4083" t="s">
        <v>5035</v>
      </c>
      <c r="X777" s="4083" t="s">
        <v>5036</v>
      </c>
      <c r="Y777" s="4083" t="s">
        <v>4614</v>
      </c>
      <c r="Z777" s="4085" t="s">
        <v>13071</v>
      </c>
      <c r="AA777" s="4086"/>
    </row>
    <row r="778" spans="2:27" ht="12.75" customHeight="1">
      <c r="B778" s="242" t="str">
        <f t="shared" si="21"/>
        <v>Estaciones84</v>
      </c>
      <c r="D778" s="4028" t="s">
        <v>12753</v>
      </c>
      <c r="E778" s="4031" t="s">
        <v>12750</v>
      </c>
      <c r="F778" s="4031">
        <v>84</v>
      </c>
      <c r="G778" s="4031" t="s">
        <v>1241</v>
      </c>
      <c r="H778" s="4031" t="s">
        <v>1096</v>
      </c>
      <c r="I778" s="4031" t="s">
        <v>1165</v>
      </c>
      <c r="J778" s="4031">
        <v>11</v>
      </c>
      <c r="K778" s="4031">
        <v>13</v>
      </c>
      <c r="L778" s="4031">
        <v>15</v>
      </c>
      <c r="M778" s="4031">
        <v>17</v>
      </c>
      <c r="N778" s="4031">
        <v>200</v>
      </c>
      <c r="O778" s="4031">
        <v>350</v>
      </c>
      <c r="P778" s="4031">
        <v>500</v>
      </c>
      <c r="Q778" s="4031">
        <v>600</v>
      </c>
      <c r="R778" s="4031">
        <v>30</v>
      </c>
      <c r="S778" s="4031">
        <v>40</v>
      </c>
      <c r="T778" s="4031">
        <v>50</v>
      </c>
      <c r="U778" s="4031">
        <v>60</v>
      </c>
      <c r="V778" s="4083" t="s">
        <v>3105</v>
      </c>
      <c r="W778" s="4083" t="s">
        <v>13122</v>
      </c>
      <c r="X778" s="4083" t="s">
        <v>5244</v>
      </c>
      <c r="Y778" s="4083" t="s">
        <v>13123</v>
      </c>
      <c r="Z778" s="4085" t="s">
        <v>12845</v>
      </c>
      <c r="AA778" s="4086"/>
    </row>
    <row r="779" spans="2:27" ht="12.75" customHeight="1">
      <c r="B779" s="242" t="str">
        <f t="shared" si="21"/>
        <v>Estaciones94</v>
      </c>
      <c r="D779" s="4028" t="s">
        <v>12746</v>
      </c>
      <c r="E779" s="4031" t="s">
        <v>12750</v>
      </c>
      <c r="F779" s="4031">
        <v>94</v>
      </c>
      <c r="G779" s="4031" t="s">
        <v>2422</v>
      </c>
      <c r="H779" s="4031" t="s">
        <v>1095</v>
      </c>
      <c r="I779" s="4031" t="s">
        <v>1165</v>
      </c>
      <c r="J779" s="4031">
        <v>12</v>
      </c>
      <c r="K779" s="4031">
        <v>14</v>
      </c>
      <c r="L779" s="4031">
        <v>16</v>
      </c>
      <c r="M779" s="4031">
        <v>18</v>
      </c>
      <c r="N779" s="4031">
        <v>500</v>
      </c>
      <c r="O779" s="4031">
        <v>800</v>
      </c>
      <c r="P779" s="4087">
        <v>1000</v>
      </c>
      <c r="Q779" s="4087">
        <v>1500</v>
      </c>
      <c r="R779" s="4031">
        <v>60</v>
      </c>
      <c r="S779" s="4031">
        <v>80</v>
      </c>
      <c r="T779" s="4031">
        <v>100</v>
      </c>
      <c r="U779" s="4031">
        <v>200</v>
      </c>
      <c r="V779" s="4083" t="s">
        <v>3829</v>
      </c>
      <c r="W779" s="4083" t="s">
        <v>13124</v>
      </c>
      <c r="X779" s="4083" t="s">
        <v>13125</v>
      </c>
      <c r="Y779" s="4083" t="s">
        <v>13126</v>
      </c>
      <c r="Z779" s="4085" t="s">
        <v>12846</v>
      </c>
      <c r="AA779" s="4086"/>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AK475"/>
  <sheetViews>
    <sheetView zoomScale="70" zoomScaleNormal="70" workbookViewId="0">
      <selection activeCell="C5" sqref="C5:C12"/>
    </sheetView>
  </sheetViews>
  <sheetFormatPr baseColWidth="10"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9" width="11.7109375" customWidth="1"/>
  </cols>
  <sheetData>
    <row r="1" spans="1:16" ht="13.5" thickBot="1">
      <c r="A1" s="264">
        <v>1</v>
      </c>
    </row>
    <row r="2" spans="1:16" ht="12.75" customHeight="1">
      <c r="A2" s="265">
        <v>2</v>
      </c>
      <c r="C2" s="6071" t="s">
        <v>2409</v>
      </c>
      <c r="D2" s="6072"/>
      <c r="E2" s="6072"/>
      <c r="F2" s="6072"/>
      <c r="G2" s="6073"/>
      <c r="I2" s="6118" t="s">
        <v>2410</v>
      </c>
      <c r="J2" s="6122"/>
      <c r="L2" s="8251" t="s">
        <v>2411</v>
      </c>
    </row>
    <row r="3" spans="1:16">
      <c r="A3" s="265">
        <v>3</v>
      </c>
      <c r="C3" s="6118"/>
      <c r="D3" s="6122"/>
      <c r="E3" s="6122"/>
      <c r="F3" s="6122"/>
      <c r="G3" s="6123"/>
      <c r="I3" s="6118"/>
      <c r="J3" s="6122"/>
      <c r="L3" s="8252"/>
    </row>
    <row r="4" spans="1:16" ht="13.5" thickBot="1">
      <c r="A4" s="265">
        <v>4</v>
      </c>
      <c r="C4" s="266" t="s">
        <v>2412</v>
      </c>
      <c r="D4" s="709" t="s">
        <v>2413</v>
      </c>
      <c r="E4" s="710" t="s">
        <v>2414</v>
      </c>
      <c r="F4" s="710" t="s">
        <v>2415</v>
      </c>
      <c r="G4" s="711" t="s">
        <v>1300</v>
      </c>
      <c r="I4" s="267" t="s">
        <v>2416</v>
      </c>
      <c r="J4" s="268" t="s">
        <v>2417</v>
      </c>
      <c r="L4" s="269" t="s">
        <v>1241</v>
      </c>
    </row>
    <row r="5" spans="1:16" ht="13.5" thickTop="1">
      <c r="A5" s="265">
        <v>5</v>
      </c>
      <c r="C5" s="712" t="s">
        <v>1461</v>
      </c>
      <c r="D5" s="713" t="s">
        <v>2418</v>
      </c>
      <c r="E5" s="714" t="s">
        <v>2419</v>
      </c>
      <c r="F5" s="714" t="s">
        <v>2420</v>
      </c>
      <c r="G5" s="715" t="s">
        <v>2421</v>
      </c>
      <c r="I5" s="270">
        <v>0</v>
      </c>
      <c r="J5" s="271">
        <v>20</v>
      </c>
      <c r="L5" s="1952" t="s">
        <v>2422</v>
      </c>
    </row>
    <row r="6" spans="1:16" ht="13.5" thickBot="1">
      <c r="A6" s="265">
        <v>6</v>
      </c>
      <c r="C6" s="716" t="s">
        <v>1464</v>
      </c>
      <c r="D6" s="717" t="s">
        <v>2423</v>
      </c>
      <c r="E6" s="718" t="s">
        <v>2424</v>
      </c>
      <c r="F6" s="718" t="s">
        <v>2425</v>
      </c>
      <c r="G6" s="719" t="s">
        <v>2426</v>
      </c>
      <c r="I6" s="272">
        <v>50</v>
      </c>
      <c r="J6" s="273">
        <v>30</v>
      </c>
      <c r="L6" s="1953" t="s">
        <v>9961</v>
      </c>
      <c r="P6" t="str" cm="1">
        <f t="array" ref="P6:P16">Mejoras_Estaciones</f>
        <v>&gt; ESTACIONES</v>
      </c>
    </row>
    <row r="7" spans="1:16">
      <c r="A7" s="265">
        <v>7</v>
      </c>
      <c r="C7" s="720" t="s">
        <v>1468</v>
      </c>
      <c r="D7" s="721" t="s">
        <v>2427</v>
      </c>
      <c r="E7" s="718" t="s">
        <v>2428</v>
      </c>
      <c r="F7" s="718" t="s">
        <v>2429</v>
      </c>
      <c r="G7" s="719" t="s">
        <v>2430</v>
      </c>
      <c r="I7" s="272">
        <v>100</v>
      </c>
      <c r="J7" s="273">
        <v>40</v>
      </c>
      <c r="P7" t="str">
        <v>Estación dual</v>
      </c>
    </row>
    <row r="8" spans="1:16">
      <c r="A8" s="265">
        <v>8</v>
      </c>
      <c r="C8" s="716" t="s">
        <v>1558</v>
      </c>
      <c r="D8" s="717" t="s">
        <v>2431</v>
      </c>
      <c r="E8" s="718" t="s">
        <v>2432</v>
      </c>
      <c r="F8" s="718" t="s">
        <v>2433</v>
      </c>
      <c r="G8" s="719" t="s">
        <v>2434</v>
      </c>
      <c r="I8" s="270">
        <v>150</v>
      </c>
      <c r="J8" s="271">
        <v>50</v>
      </c>
      <c r="P8" t="str">
        <v>Tormenta primaveral</v>
      </c>
    </row>
    <row r="9" spans="1:16">
      <c r="A9" s="265">
        <v>9</v>
      </c>
      <c r="C9" s="720" t="s">
        <v>1553</v>
      </c>
      <c r="D9" s="721" t="s">
        <v>2435</v>
      </c>
      <c r="E9" s="718" t="s">
        <v>2436</v>
      </c>
      <c r="F9" s="718" t="s">
        <v>2437</v>
      </c>
      <c r="G9" s="719" t="s">
        <v>2438</v>
      </c>
      <c r="I9" s="272">
        <v>200</v>
      </c>
      <c r="J9" s="273">
        <v>60</v>
      </c>
      <c r="P9" t="str">
        <v>Congelar</v>
      </c>
    </row>
    <row r="10" spans="1:16">
      <c r="A10" s="265">
        <v>10</v>
      </c>
      <c r="C10" s="716" t="s">
        <v>1554</v>
      </c>
      <c r="D10" s="717" t="s">
        <v>2439</v>
      </c>
      <c r="E10" s="718" t="s">
        <v>2440</v>
      </c>
      <c r="F10" s="718" t="s">
        <v>2441</v>
      </c>
      <c r="G10" s="719" t="s">
        <v>2442</v>
      </c>
      <c r="I10" s="272">
        <v>250</v>
      </c>
      <c r="J10" s="273">
        <v>70</v>
      </c>
      <c r="P10" t="str">
        <v>Espíritu del verano</v>
      </c>
    </row>
    <row r="11" spans="1:16">
      <c r="A11" s="265">
        <v>11</v>
      </c>
      <c r="C11" s="720" t="s">
        <v>2443</v>
      </c>
      <c r="D11" s="721" t="s">
        <v>2444</v>
      </c>
      <c r="E11" s="718" t="s">
        <v>2445</v>
      </c>
      <c r="F11" s="718" t="s">
        <v>2446</v>
      </c>
      <c r="G11" s="719" t="s">
        <v>2447</v>
      </c>
      <c r="I11" s="270">
        <v>300</v>
      </c>
      <c r="J11" s="271">
        <v>80</v>
      </c>
      <c r="P11" t="str">
        <v>Hojas al caer</v>
      </c>
    </row>
    <row r="12" spans="1:16">
      <c r="A12" s="265">
        <v>12</v>
      </c>
      <c r="C12" s="716" t="s">
        <v>1565</v>
      </c>
      <c r="D12" s="717" t="s">
        <v>2448</v>
      </c>
      <c r="E12" s="718" t="s">
        <v>2449</v>
      </c>
      <c r="F12" s="718" t="s">
        <v>2450</v>
      </c>
      <c r="G12" s="719" t="s">
        <v>2451</v>
      </c>
      <c r="I12" s="272">
        <v>350</v>
      </c>
      <c r="J12" s="273">
        <v>90</v>
      </c>
      <c r="P12" t="str">
        <v>Entendimiento racial</v>
      </c>
    </row>
    <row r="13" spans="1:16" ht="13.5" thickBot="1">
      <c r="A13" s="265">
        <v>13</v>
      </c>
      <c r="C13" s="4133" t="s">
        <v>47</v>
      </c>
      <c r="D13" s="4134" t="s">
        <v>13332</v>
      </c>
      <c r="E13" s="4134" t="s">
        <v>13355</v>
      </c>
      <c r="F13" s="4134" t="s">
        <v>13378</v>
      </c>
      <c r="G13" s="4135" t="s">
        <v>13401</v>
      </c>
      <c r="I13" s="274">
        <v>400</v>
      </c>
      <c r="J13" s="275">
        <v>100</v>
      </c>
      <c r="P13" t="str">
        <v>Estancar</v>
      </c>
    </row>
    <row r="14" spans="1:16">
      <c r="A14" s="265">
        <v>14</v>
      </c>
      <c r="C14" s="4136" t="s">
        <v>58</v>
      </c>
      <c r="D14" s="4137" t="s">
        <v>13333</v>
      </c>
      <c r="E14" s="4137" t="s">
        <v>13356</v>
      </c>
      <c r="F14" s="4137" t="s">
        <v>13379</v>
      </c>
      <c r="G14" s="4138" t="s">
        <v>13402</v>
      </c>
      <c r="P14" t="str">
        <v>Señora de las Estaciones</v>
      </c>
    </row>
    <row r="15" spans="1:16">
      <c r="A15" s="265">
        <v>15</v>
      </c>
      <c r="C15" s="4139" t="s">
        <v>51</v>
      </c>
      <c r="D15" s="4137" t="s">
        <v>13334</v>
      </c>
      <c r="E15" s="4137" t="s">
        <v>13357</v>
      </c>
      <c r="F15" s="4137" t="s">
        <v>13380</v>
      </c>
      <c r="G15" s="4138" t="s">
        <v>13877</v>
      </c>
      <c r="P15" t="str">
        <v>Conocimiento estacional</v>
      </c>
    </row>
    <row r="16" spans="1:16">
      <c r="A16" s="265">
        <v>16</v>
      </c>
      <c r="C16" s="4136" t="s">
        <v>1926</v>
      </c>
      <c r="D16" s="4137" t="s">
        <v>13335</v>
      </c>
      <c r="E16" s="4137" t="s">
        <v>13358</v>
      </c>
      <c r="F16" s="4137" t="s">
        <v>13381</v>
      </c>
      <c r="G16" s="4138" t="s">
        <v>13422</v>
      </c>
      <c r="P16" t="str">
        <v>Habilidades mejoradas</v>
      </c>
    </row>
    <row r="17" spans="1:7">
      <c r="A17" s="265">
        <v>17</v>
      </c>
      <c r="C17" s="4139" t="s">
        <v>48</v>
      </c>
      <c r="D17" s="4137" t="s">
        <v>13336</v>
      </c>
      <c r="E17" s="4137" t="s">
        <v>13359</v>
      </c>
      <c r="F17" s="4137" t="s">
        <v>13382</v>
      </c>
      <c r="G17" s="4138" t="s">
        <v>13403</v>
      </c>
    </row>
    <row r="18" spans="1:7">
      <c r="A18" s="265">
        <v>18</v>
      </c>
      <c r="C18" s="4136" t="s">
        <v>54</v>
      </c>
      <c r="D18" s="4137" t="s">
        <v>13337</v>
      </c>
      <c r="E18" s="4137" t="s">
        <v>13360</v>
      </c>
      <c r="F18" s="4137" t="s">
        <v>13383</v>
      </c>
      <c r="G18" s="4138" t="s">
        <v>13404</v>
      </c>
    </row>
    <row r="19" spans="1:7">
      <c r="A19" s="265">
        <v>19</v>
      </c>
      <c r="C19" s="4139" t="s">
        <v>55</v>
      </c>
      <c r="D19" s="4137" t="s">
        <v>13338</v>
      </c>
      <c r="E19" s="4137" t="s">
        <v>13361</v>
      </c>
      <c r="F19" s="4137" t="s">
        <v>13384</v>
      </c>
      <c r="G19" s="4138" t="s">
        <v>13405</v>
      </c>
    </row>
    <row r="20" spans="1:7">
      <c r="A20" s="265">
        <v>20</v>
      </c>
      <c r="C20" s="4136" t="s">
        <v>57</v>
      </c>
      <c r="D20" s="4137" t="s">
        <v>13339</v>
      </c>
      <c r="E20" s="4137" t="s">
        <v>13362</v>
      </c>
      <c r="F20" s="4137" t="s">
        <v>13385</v>
      </c>
      <c r="G20" s="4138" t="s">
        <v>13406</v>
      </c>
    </row>
    <row r="21" spans="1:7">
      <c r="A21" s="265">
        <v>21</v>
      </c>
      <c r="C21" s="4139" t="s">
        <v>52</v>
      </c>
      <c r="D21" s="4137" t="s">
        <v>13340</v>
      </c>
      <c r="E21" s="4137" t="s">
        <v>13363</v>
      </c>
      <c r="F21" s="4137" t="s">
        <v>13386</v>
      </c>
      <c r="G21" s="4138" t="s">
        <v>13407</v>
      </c>
    </row>
    <row r="22" spans="1:7">
      <c r="A22" s="265">
        <v>22</v>
      </c>
      <c r="C22" s="4136" t="s">
        <v>56</v>
      </c>
      <c r="D22" s="4137" t="s">
        <v>13341</v>
      </c>
      <c r="E22" s="4137" t="s">
        <v>13364</v>
      </c>
      <c r="F22" s="4137" t="s">
        <v>13387</v>
      </c>
      <c r="G22" s="4138" t="s">
        <v>13408</v>
      </c>
    </row>
    <row r="23" spans="1:7">
      <c r="A23" s="265">
        <v>23</v>
      </c>
      <c r="C23" s="4139" t="s">
        <v>49</v>
      </c>
      <c r="D23" s="4137" t="s">
        <v>13342</v>
      </c>
      <c r="E23" s="4137" t="s">
        <v>13365</v>
      </c>
      <c r="F23" s="4137" t="s">
        <v>13388</v>
      </c>
      <c r="G23" s="4138" t="s">
        <v>13409</v>
      </c>
    </row>
    <row r="24" spans="1:7">
      <c r="A24" s="265">
        <v>24</v>
      </c>
      <c r="C24" s="4136" t="s">
        <v>46</v>
      </c>
      <c r="D24" s="4137" t="s">
        <v>13343</v>
      </c>
      <c r="E24" s="4137" t="s">
        <v>13366</v>
      </c>
      <c r="F24" s="4137" t="s">
        <v>13389</v>
      </c>
      <c r="G24" s="4138" t="s">
        <v>13410</v>
      </c>
    </row>
    <row r="25" spans="1:7">
      <c r="A25" s="265">
        <v>25</v>
      </c>
      <c r="C25" s="4139" t="s">
        <v>50</v>
      </c>
      <c r="D25" s="4137" t="s">
        <v>13344</v>
      </c>
      <c r="E25" s="4137" t="s">
        <v>13367</v>
      </c>
      <c r="F25" s="4137" t="s">
        <v>13390</v>
      </c>
      <c r="G25" s="4138" t="s">
        <v>13411</v>
      </c>
    </row>
    <row r="26" spans="1:7">
      <c r="A26" s="265">
        <v>26</v>
      </c>
      <c r="C26" s="4136" t="s">
        <v>53</v>
      </c>
      <c r="D26" s="4137" t="s">
        <v>13345</v>
      </c>
      <c r="E26" s="4137" t="s">
        <v>13368</v>
      </c>
      <c r="F26" s="4137" t="s">
        <v>13391</v>
      </c>
      <c r="G26" s="4138" t="s">
        <v>13412</v>
      </c>
    </row>
    <row r="27" spans="1:7">
      <c r="A27" s="265">
        <v>27</v>
      </c>
      <c r="C27" s="4139" t="s">
        <v>1762</v>
      </c>
      <c r="D27" s="4137" t="s">
        <v>13346</v>
      </c>
      <c r="E27" s="4137" t="s">
        <v>13369</v>
      </c>
      <c r="F27" s="4137" t="s">
        <v>13392</v>
      </c>
      <c r="G27" s="4138" t="s">
        <v>13413</v>
      </c>
    </row>
    <row r="28" spans="1:7">
      <c r="A28" s="265">
        <v>28</v>
      </c>
      <c r="C28" s="4136" t="s">
        <v>6067</v>
      </c>
      <c r="D28" s="4137" t="s">
        <v>13347</v>
      </c>
      <c r="E28" s="4137" t="s">
        <v>13370</v>
      </c>
      <c r="F28" s="4137" t="s">
        <v>13393</v>
      </c>
      <c r="G28" s="4138" t="s">
        <v>13414</v>
      </c>
    </row>
    <row r="29" spans="1:7">
      <c r="A29" s="265">
        <v>29</v>
      </c>
      <c r="C29" s="4139" t="s">
        <v>12687</v>
      </c>
      <c r="D29" s="4137" t="s">
        <v>13348</v>
      </c>
      <c r="E29" s="4137" t="s">
        <v>13371</v>
      </c>
      <c r="F29" s="4137" t="s">
        <v>13394</v>
      </c>
      <c r="G29" s="4138" t="s">
        <v>13415</v>
      </c>
    </row>
    <row r="30" spans="1:7">
      <c r="A30" s="265">
        <v>30</v>
      </c>
      <c r="C30" s="4136" t="s">
        <v>2405</v>
      </c>
      <c r="D30" s="4137" t="s">
        <v>13349</v>
      </c>
      <c r="E30" s="4137" t="s">
        <v>13372</v>
      </c>
      <c r="F30" s="4137" t="s">
        <v>13395</v>
      </c>
      <c r="G30" s="4138" t="s">
        <v>13416</v>
      </c>
    </row>
    <row r="31" spans="1:7">
      <c r="A31" s="265">
        <v>31</v>
      </c>
      <c r="C31" s="4139" t="s">
        <v>73</v>
      </c>
      <c r="D31" s="4137" t="s">
        <v>13350</v>
      </c>
      <c r="E31" s="4137" t="s">
        <v>13373</v>
      </c>
      <c r="F31" s="4137" t="s">
        <v>13396</v>
      </c>
      <c r="G31" s="4138" t="s">
        <v>13417</v>
      </c>
    </row>
    <row r="32" spans="1:7">
      <c r="A32" s="265">
        <v>32</v>
      </c>
      <c r="C32" s="4139" t="s">
        <v>12747</v>
      </c>
      <c r="D32" s="4137" t="s">
        <v>13351</v>
      </c>
      <c r="E32" s="4137" t="s">
        <v>13374</v>
      </c>
      <c r="F32" s="4137" t="s">
        <v>13397</v>
      </c>
      <c r="G32" s="4138" t="s">
        <v>13418</v>
      </c>
    </row>
    <row r="33" spans="1:37">
      <c r="A33" s="265">
        <v>33</v>
      </c>
      <c r="C33" s="4139" t="s">
        <v>12748</v>
      </c>
      <c r="D33" s="4137" t="s">
        <v>13352</v>
      </c>
      <c r="E33" s="4137" t="s">
        <v>13375</v>
      </c>
      <c r="F33" s="4137" t="s">
        <v>13398</v>
      </c>
      <c r="G33" s="4138" t="s">
        <v>13419</v>
      </c>
    </row>
    <row r="34" spans="1:37">
      <c r="A34" s="265">
        <v>34</v>
      </c>
      <c r="C34" s="4139" t="s">
        <v>12749</v>
      </c>
      <c r="D34" s="4137" t="s">
        <v>13353</v>
      </c>
      <c r="E34" s="4137" t="s">
        <v>13376</v>
      </c>
      <c r="F34" s="4137" t="s">
        <v>13399</v>
      </c>
      <c r="G34" s="4138" t="s">
        <v>13421</v>
      </c>
    </row>
    <row r="35" spans="1:37" ht="13.5" thickBot="1">
      <c r="A35" s="265">
        <v>35</v>
      </c>
      <c r="C35" s="4140" t="s">
        <v>12750</v>
      </c>
      <c r="D35" s="4141" t="s">
        <v>13354</v>
      </c>
      <c r="E35" s="4141" t="s">
        <v>13377</v>
      </c>
      <c r="F35" s="4141" t="s">
        <v>13400</v>
      </c>
      <c r="G35" s="4142" t="s">
        <v>13420</v>
      </c>
    </row>
    <row r="36" spans="1:37">
      <c r="A36" s="265">
        <v>36</v>
      </c>
    </row>
    <row r="37" spans="1:37" ht="12.75" customHeight="1" thickBot="1">
      <c r="A37" s="265">
        <v>37</v>
      </c>
    </row>
    <row r="38" spans="1:37" ht="12.75" customHeight="1">
      <c r="A38" s="265">
        <v>38</v>
      </c>
      <c r="C38" s="6071" t="s">
        <v>2096</v>
      </c>
      <c r="D38" s="6073"/>
      <c r="F38" s="8253" t="s">
        <v>2452</v>
      </c>
      <c r="G38" s="6122"/>
      <c r="H38" s="6122"/>
      <c r="I38" s="6122"/>
      <c r="J38" s="6122"/>
      <c r="K38" s="6122"/>
      <c r="L38" s="6122"/>
      <c r="M38" s="6122"/>
      <c r="N38" s="6122"/>
      <c r="O38" s="6122"/>
      <c r="P38" s="6122"/>
      <c r="Q38" s="6122"/>
      <c r="R38" s="6122"/>
      <c r="S38" s="6122"/>
      <c r="T38" s="6122"/>
      <c r="U38" s="6122"/>
      <c r="V38" s="6122"/>
      <c r="W38" s="6122"/>
      <c r="X38" s="6122"/>
      <c r="Y38" s="6122"/>
      <c r="Z38" s="6122"/>
      <c r="AA38" s="6122"/>
      <c r="AB38" s="6122"/>
      <c r="AC38" s="6122"/>
      <c r="AD38" s="6122"/>
      <c r="AE38" s="6122"/>
      <c r="AF38" s="6122"/>
      <c r="AG38" s="6122"/>
      <c r="AH38" s="6122"/>
      <c r="AI38" s="6122"/>
      <c r="AJ38" s="6122"/>
      <c r="AK38" s="6122"/>
    </row>
    <row r="39" spans="1:37">
      <c r="A39" s="265">
        <v>39</v>
      </c>
      <c r="C39" s="6118"/>
      <c r="D39" s="6123"/>
      <c r="F39" s="8253"/>
      <c r="G39" s="6122"/>
      <c r="H39" s="6122"/>
      <c r="I39" s="6122"/>
      <c r="J39" s="6122"/>
      <c r="K39" s="6122"/>
      <c r="L39" s="6122"/>
      <c r="M39" s="6122"/>
      <c r="N39" s="6122"/>
      <c r="O39" s="6122"/>
      <c r="P39" s="6122"/>
      <c r="Q39" s="6122"/>
      <c r="R39" s="6122"/>
      <c r="S39" s="6122"/>
      <c r="T39" s="6122"/>
      <c r="U39" s="6122"/>
      <c r="V39" s="6122"/>
      <c r="W39" s="6122"/>
      <c r="X39" s="6122"/>
      <c r="Y39" s="6122"/>
      <c r="Z39" s="6122"/>
      <c r="AA39" s="6122"/>
      <c r="AB39" s="6122"/>
      <c r="AC39" s="6122"/>
      <c r="AD39" s="6122"/>
      <c r="AE39" s="6122"/>
      <c r="AF39" s="6122"/>
      <c r="AG39" s="6122"/>
      <c r="AH39" s="6122"/>
      <c r="AI39" s="6122"/>
      <c r="AJ39" s="6122"/>
      <c r="AK39" s="6122"/>
    </row>
    <row r="40" spans="1:37">
      <c r="A40" s="265">
        <v>40</v>
      </c>
      <c r="C40" s="279" t="s">
        <v>1300</v>
      </c>
      <c r="D40" s="277" t="s">
        <v>2097</v>
      </c>
      <c r="E40" s="278">
        <v>1</v>
      </c>
      <c r="F40" s="279"/>
      <c r="G40" s="280" t="s">
        <v>1461</v>
      </c>
      <c r="H40" s="281" t="s">
        <v>1464</v>
      </c>
      <c r="I40" s="282" t="s">
        <v>1468</v>
      </c>
      <c r="J40" s="281" t="s">
        <v>1558</v>
      </c>
      <c r="K40" s="282" t="s">
        <v>1553</v>
      </c>
      <c r="L40" s="281" t="s">
        <v>1554</v>
      </c>
      <c r="M40" s="282" t="s">
        <v>2443</v>
      </c>
      <c r="N40" s="4143" t="s">
        <v>1565</v>
      </c>
      <c r="O40" s="4145" t="s">
        <v>47</v>
      </c>
      <c r="P40" s="4145" t="s">
        <v>58</v>
      </c>
      <c r="Q40" s="4145" t="s">
        <v>51</v>
      </c>
      <c r="R40" s="4145" t="s">
        <v>1926</v>
      </c>
      <c r="S40" s="4145" t="s">
        <v>48</v>
      </c>
      <c r="T40" s="4145" t="s">
        <v>54</v>
      </c>
      <c r="U40" s="4145" t="s">
        <v>55</v>
      </c>
      <c r="V40" s="4145" t="s">
        <v>57</v>
      </c>
      <c r="W40" s="4145" t="s">
        <v>52</v>
      </c>
      <c r="X40" s="4145" t="s">
        <v>56</v>
      </c>
      <c r="Y40" s="4145" t="s">
        <v>49</v>
      </c>
      <c r="Z40" s="4145" t="s">
        <v>46</v>
      </c>
      <c r="AA40" s="4145" t="s">
        <v>50</v>
      </c>
      <c r="AB40" s="4145" t="s">
        <v>53</v>
      </c>
      <c r="AC40" s="4145" t="s">
        <v>1762</v>
      </c>
      <c r="AD40" s="4145" t="s">
        <v>6067</v>
      </c>
      <c r="AE40" s="4145" t="s">
        <v>12687</v>
      </c>
      <c r="AF40" s="4145" t="s">
        <v>2405</v>
      </c>
      <c r="AG40" s="4145" t="s">
        <v>73</v>
      </c>
      <c r="AH40" s="4145" t="s">
        <v>12747</v>
      </c>
      <c r="AI40" s="4145" t="s">
        <v>12748</v>
      </c>
      <c r="AJ40" s="4145" t="s">
        <v>12749</v>
      </c>
      <c r="AK40" s="4146" t="s">
        <v>12750</v>
      </c>
    </row>
    <row r="41" spans="1:37">
      <c r="A41" s="265">
        <v>41</v>
      </c>
      <c r="C41" s="2125" t="s">
        <v>1233</v>
      </c>
      <c r="D41" s="283">
        <f>Sheele!$F$37</f>
        <v>0</v>
      </c>
      <c r="E41" s="278">
        <v>2</v>
      </c>
      <c r="F41" s="284" t="s">
        <v>2454</v>
      </c>
      <c r="G41" s="285">
        <v>8</v>
      </c>
      <c r="H41" s="285">
        <v>8</v>
      </c>
      <c r="I41" s="285">
        <v>6</v>
      </c>
      <c r="J41" s="285">
        <v>6</v>
      </c>
      <c r="K41" s="285">
        <v>5</v>
      </c>
      <c r="L41" s="286">
        <v>5</v>
      </c>
      <c r="M41" s="285">
        <v>7</v>
      </c>
      <c r="N41" s="285">
        <v>6</v>
      </c>
      <c r="O41" s="4044">
        <v>6</v>
      </c>
      <c r="P41" s="4044">
        <v>9</v>
      </c>
      <c r="Q41" s="4044">
        <v>7</v>
      </c>
      <c r="R41" s="4044">
        <v>4</v>
      </c>
      <c r="S41" s="4044">
        <v>7</v>
      </c>
      <c r="T41" s="4044">
        <v>6</v>
      </c>
      <c r="U41" s="4044">
        <v>9</v>
      </c>
      <c r="V41" s="4044">
        <v>7</v>
      </c>
      <c r="W41" s="4044">
        <v>4</v>
      </c>
      <c r="X41" s="4044">
        <v>7</v>
      </c>
      <c r="Y41" s="4044">
        <v>5</v>
      </c>
      <c r="Z41" s="4044" t="e">
        <f>Personalización!#REF!</f>
        <v>#REF!</v>
      </c>
      <c r="AA41" s="4044">
        <v>9</v>
      </c>
      <c r="AB41" s="4044">
        <v>7</v>
      </c>
      <c r="AC41" s="4044">
        <v>8</v>
      </c>
      <c r="AD41" s="4044">
        <v>8</v>
      </c>
      <c r="AE41" s="4044">
        <v>7</v>
      </c>
      <c r="AF41" s="4044">
        <v>6</v>
      </c>
      <c r="AG41" s="4044">
        <v>9</v>
      </c>
      <c r="AH41" s="4044">
        <v>5</v>
      </c>
      <c r="AI41" s="4044">
        <v>7</v>
      </c>
      <c r="AJ41" s="4044">
        <v>7</v>
      </c>
      <c r="AK41" s="4147">
        <v>6</v>
      </c>
    </row>
    <row r="42" spans="1:37">
      <c r="A42" s="265">
        <v>42</v>
      </c>
      <c r="C42" s="2125" t="s">
        <v>1357</v>
      </c>
      <c r="D42" s="283">
        <f>Sheele!$F$38</f>
        <v>0</v>
      </c>
      <c r="E42" s="278">
        <v>3</v>
      </c>
      <c r="F42" s="284" t="s">
        <v>2456</v>
      </c>
      <c r="G42" s="285">
        <v>2</v>
      </c>
      <c r="H42" s="285">
        <v>3</v>
      </c>
      <c r="I42" s="285">
        <v>4</v>
      </c>
      <c r="J42" s="285">
        <v>5</v>
      </c>
      <c r="K42" s="285">
        <v>2</v>
      </c>
      <c r="L42" s="286">
        <v>2</v>
      </c>
      <c r="M42" s="285">
        <v>3</v>
      </c>
      <c r="N42" s="285">
        <v>2</v>
      </c>
      <c r="O42" s="4044">
        <v>5</v>
      </c>
      <c r="P42" s="4044">
        <v>3</v>
      </c>
      <c r="Q42" s="4044">
        <v>2</v>
      </c>
      <c r="R42" s="4044">
        <v>2</v>
      </c>
      <c r="S42" s="4044">
        <v>1</v>
      </c>
      <c r="T42" s="4044">
        <v>2</v>
      </c>
      <c r="U42" s="4044">
        <v>3</v>
      </c>
      <c r="V42" s="4044">
        <v>2</v>
      </c>
      <c r="W42" s="4044">
        <v>5</v>
      </c>
      <c r="X42" s="4044">
        <v>2</v>
      </c>
      <c r="Y42" s="4044">
        <v>3</v>
      </c>
      <c r="Z42" s="4044" t="e">
        <f>Personalización!#REF!</f>
        <v>#REF!</v>
      </c>
      <c r="AA42" s="4044">
        <v>2</v>
      </c>
      <c r="AB42" s="4044">
        <v>2</v>
      </c>
      <c r="AC42" s="4044">
        <v>2</v>
      </c>
      <c r="AD42" s="4044">
        <v>2</v>
      </c>
      <c r="AE42" s="4044">
        <v>4</v>
      </c>
      <c r="AF42" s="4044">
        <v>2</v>
      </c>
      <c r="AG42" s="4044">
        <v>5</v>
      </c>
      <c r="AH42" s="4044">
        <v>2</v>
      </c>
      <c r="AI42" s="4044">
        <v>2</v>
      </c>
      <c r="AJ42" s="4044">
        <v>2</v>
      </c>
      <c r="AK42" s="4147">
        <v>3</v>
      </c>
    </row>
    <row r="43" spans="1:37">
      <c r="A43" s="265">
        <v>43</v>
      </c>
      <c r="C43" s="2125" t="s">
        <v>1238</v>
      </c>
      <c r="D43" s="283">
        <f>Sheele!$F$39</f>
        <v>0</v>
      </c>
      <c r="E43" s="278">
        <v>4</v>
      </c>
      <c r="F43" s="284" t="s">
        <v>2458</v>
      </c>
      <c r="G43" s="285">
        <v>8</v>
      </c>
      <c r="H43" s="285">
        <v>6</v>
      </c>
      <c r="I43" s="285">
        <v>5</v>
      </c>
      <c r="J43" s="285">
        <v>6</v>
      </c>
      <c r="K43" s="285">
        <v>6</v>
      </c>
      <c r="L43" s="286">
        <v>6</v>
      </c>
      <c r="M43" s="285">
        <v>6</v>
      </c>
      <c r="N43" s="285">
        <v>8</v>
      </c>
      <c r="O43" s="4044">
        <v>7</v>
      </c>
      <c r="P43" s="4044">
        <v>7</v>
      </c>
      <c r="Q43" s="4044">
        <v>6</v>
      </c>
      <c r="R43" s="4044">
        <v>6</v>
      </c>
      <c r="S43" s="4044">
        <v>6</v>
      </c>
      <c r="T43" s="4044">
        <v>5</v>
      </c>
      <c r="U43" s="4044">
        <v>9</v>
      </c>
      <c r="V43" s="4044">
        <v>6</v>
      </c>
      <c r="W43" s="4044">
        <v>8</v>
      </c>
      <c r="X43" s="4044">
        <v>4</v>
      </c>
      <c r="Y43" s="4044">
        <v>9</v>
      </c>
      <c r="Z43" s="4044" t="e">
        <f>Personalización!#REF!</f>
        <v>#REF!</v>
      </c>
      <c r="AA43" s="4044">
        <v>9</v>
      </c>
      <c r="AB43" s="4044">
        <v>9</v>
      </c>
      <c r="AC43" s="4044">
        <v>6</v>
      </c>
      <c r="AD43" s="4044">
        <v>6</v>
      </c>
      <c r="AE43" s="4044">
        <v>6</v>
      </c>
      <c r="AF43" s="4044">
        <v>6</v>
      </c>
      <c r="AG43" s="4044">
        <v>8</v>
      </c>
      <c r="AH43" s="4044">
        <v>9</v>
      </c>
      <c r="AI43" s="4044">
        <v>10</v>
      </c>
      <c r="AJ43" s="4044">
        <v>6</v>
      </c>
      <c r="AK43" s="4147">
        <v>7</v>
      </c>
    </row>
    <row r="44" spans="1:37">
      <c r="A44" s="265">
        <v>44</v>
      </c>
      <c r="C44" s="2125" t="s">
        <v>1243</v>
      </c>
      <c r="D44" s="283">
        <f>Sheele!$F$40</f>
        <v>0</v>
      </c>
      <c r="E44" s="278">
        <v>5</v>
      </c>
      <c r="F44" s="284" t="s">
        <v>2460</v>
      </c>
      <c r="G44" s="285">
        <v>2</v>
      </c>
      <c r="H44" s="285">
        <v>3</v>
      </c>
      <c r="I44" s="285">
        <v>4</v>
      </c>
      <c r="J44" s="285">
        <v>6</v>
      </c>
      <c r="K44" s="285">
        <v>2</v>
      </c>
      <c r="L44" s="286">
        <v>2</v>
      </c>
      <c r="M44" s="285">
        <v>4</v>
      </c>
      <c r="N44" s="285">
        <v>2</v>
      </c>
      <c r="O44" s="4044">
        <v>8</v>
      </c>
      <c r="P44" s="4044">
        <v>3</v>
      </c>
      <c r="Q44" s="4044">
        <v>3</v>
      </c>
      <c r="R44" s="4044">
        <v>3</v>
      </c>
      <c r="S44" s="4044">
        <v>2</v>
      </c>
      <c r="T44" s="4044">
        <v>4</v>
      </c>
      <c r="U44" s="4044">
        <v>3</v>
      </c>
      <c r="V44" s="4044">
        <v>2</v>
      </c>
      <c r="W44" s="4044">
        <v>4</v>
      </c>
      <c r="X44" s="4044">
        <v>2</v>
      </c>
      <c r="Y44" s="4044">
        <v>2</v>
      </c>
      <c r="Z44" s="4044" t="e">
        <f>Personalización!#REF!</f>
        <v>#REF!</v>
      </c>
      <c r="AA44" s="4044">
        <v>2</v>
      </c>
      <c r="AB44" s="4044">
        <v>2</v>
      </c>
      <c r="AC44" s="4044">
        <v>2</v>
      </c>
      <c r="AD44" s="4044">
        <v>3</v>
      </c>
      <c r="AE44" s="4044">
        <v>5</v>
      </c>
      <c r="AF44" s="4044">
        <v>3</v>
      </c>
      <c r="AG44" s="4044">
        <v>3</v>
      </c>
      <c r="AH44" s="4044">
        <v>2</v>
      </c>
      <c r="AI44" s="4044">
        <v>4</v>
      </c>
      <c r="AJ44" s="4044">
        <v>3</v>
      </c>
      <c r="AK44" s="4147">
        <v>3</v>
      </c>
    </row>
    <row r="45" spans="1:37">
      <c r="A45" s="265">
        <v>45</v>
      </c>
      <c r="C45" s="2125" t="s">
        <v>1245</v>
      </c>
      <c r="D45" s="283">
        <f>Sheele!$H$37</f>
        <v>0</v>
      </c>
      <c r="E45" s="278">
        <v>6</v>
      </c>
      <c r="F45" s="284" t="s">
        <v>2462</v>
      </c>
      <c r="G45" s="285">
        <v>8</v>
      </c>
      <c r="H45" s="285">
        <v>8</v>
      </c>
      <c r="I45" s="285">
        <v>7</v>
      </c>
      <c r="J45" s="285">
        <v>6</v>
      </c>
      <c r="K45" s="285">
        <v>9</v>
      </c>
      <c r="L45" s="286">
        <v>9</v>
      </c>
      <c r="M45" s="285">
        <v>7</v>
      </c>
      <c r="N45" s="285">
        <v>9</v>
      </c>
      <c r="O45" s="4044">
        <v>7</v>
      </c>
      <c r="P45" s="4044">
        <v>6</v>
      </c>
      <c r="Q45" s="4044">
        <v>8</v>
      </c>
      <c r="R45" s="4044">
        <v>7</v>
      </c>
      <c r="S45" s="4044">
        <v>9</v>
      </c>
      <c r="T45" s="4044">
        <v>10</v>
      </c>
      <c r="U45" s="4044">
        <v>5</v>
      </c>
      <c r="V45" s="4044">
        <v>9</v>
      </c>
      <c r="W45" s="4044">
        <v>9</v>
      </c>
      <c r="X45" s="4044">
        <v>6</v>
      </c>
      <c r="Y45" s="4044">
        <v>8</v>
      </c>
      <c r="Z45" s="4044" t="e">
        <f>Personalización!#REF!</f>
        <v>#REF!</v>
      </c>
      <c r="AA45" s="4044">
        <v>8</v>
      </c>
      <c r="AB45" s="4044">
        <v>9</v>
      </c>
      <c r="AC45" s="4044">
        <v>8</v>
      </c>
      <c r="AD45" s="4044">
        <v>6</v>
      </c>
      <c r="AE45" s="4044">
        <v>7</v>
      </c>
      <c r="AF45" s="4044">
        <v>9</v>
      </c>
      <c r="AG45" s="4044">
        <v>5</v>
      </c>
      <c r="AH45" s="4044">
        <v>10</v>
      </c>
      <c r="AI45" s="4044">
        <v>6</v>
      </c>
      <c r="AJ45" s="4044">
        <v>7</v>
      </c>
      <c r="AK45" s="4147">
        <v>9</v>
      </c>
    </row>
    <row r="46" spans="1:37">
      <c r="A46" s="265">
        <v>46</v>
      </c>
      <c r="C46" s="2125" t="s">
        <v>1248</v>
      </c>
      <c r="D46" s="283">
        <f>Sheele!$H$38</f>
        <v>0</v>
      </c>
      <c r="E46" s="278">
        <v>7</v>
      </c>
      <c r="F46" s="284" t="s">
        <v>2464</v>
      </c>
      <c r="G46" s="285">
        <v>6</v>
      </c>
      <c r="H46" s="285">
        <v>6</v>
      </c>
      <c r="I46" s="285">
        <v>5</v>
      </c>
      <c r="J46" s="285">
        <v>6</v>
      </c>
      <c r="K46" s="285">
        <v>7</v>
      </c>
      <c r="L46" s="286">
        <v>7</v>
      </c>
      <c r="M46" s="285">
        <v>8</v>
      </c>
      <c r="N46" s="285">
        <v>10</v>
      </c>
      <c r="O46" s="4044">
        <v>5</v>
      </c>
      <c r="P46" s="4044">
        <v>5</v>
      </c>
      <c r="Q46" s="4044">
        <v>8</v>
      </c>
      <c r="R46" s="4044">
        <v>10</v>
      </c>
      <c r="S46" s="4044">
        <v>9</v>
      </c>
      <c r="T46" s="4044">
        <v>8</v>
      </c>
      <c r="U46" s="4044">
        <v>5</v>
      </c>
      <c r="V46" s="4044">
        <v>7</v>
      </c>
      <c r="W46" s="4044">
        <v>5</v>
      </c>
      <c r="X46" s="4044">
        <v>9</v>
      </c>
      <c r="Y46" s="4044">
        <v>6</v>
      </c>
      <c r="Z46" s="4044" t="e">
        <f>Personalización!#REF!</f>
        <v>#REF!</v>
      </c>
      <c r="AA46" s="4044">
        <v>5</v>
      </c>
      <c r="AB46" s="4044">
        <v>7</v>
      </c>
      <c r="AC46" s="4044">
        <v>6</v>
      </c>
      <c r="AD46" s="4044">
        <v>6</v>
      </c>
      <c r="AE46" s="4044">
        <v>8</v>
      </c>
      <c r="AF46" s="4044">
        <v>9</v>
      </c>
      <c r="AG46" s="4044">
        <v>5</v>
      </c>
      <c r="AH46" s="4044">
        <v>6</v>
      </c>
      <c r="AI46" s="4044">
        <v>7</v>
      </c>
      <c r="AJ46" s="4044">
        <v>6</v>
      </c>
      <c r="AK46" s="4147">
        <v>6</v>
      </c>
    </row>
    <row r="47" spans="1:37">
      <c r="A47" s="265">
        <v>47</v>
      </c>
      <c r="C47" s="2125" t="s">
        <v>1250</v>
      </c>
      <c r="D47" s="283">
        <f>Sheele!$H$39</f>
        <v>0</v>
      </c>
      <c r="E47" s="278">
        <v>8</v>
      </c>
      <c r="F47" s="284" t="s">
        <v>2466</v>
      </c>
      <c r="G47" s="285">
        <v>8</v>
      </c>
      <c r="H47" s="285">
        <v>8</v>
      </c>
      <c r="I47" s="285">
        <v>8</v>
      </c>
      <c r="J47" s="285">
        <v>8</v>
      </c>
      <c r="K47" s="285">
        <v>9</v>
      </c>
      <c r="L47" s="286">
        <v>9</v>
      </c>
      <c r="M47" s="285">
        <v>8</v>
      </c>
      <c r="N47" s="285">
        <v>8</v>
      </c>
      <c r="O47" s="4044">
        <v>8</v>
      </c>
      <c r="P47" s="4044">
        <v>8</v>
      </c>
      <c r="Q47" s="4044">
        <v>9</v>
      </c>
      <c r="R47" s="4044">
        <v>8</v>
      </c>
      <c r="S47" s="4044">
        <v>8</v>
      </c>
      <c r="T47" s="4044">
        <v>8</v>
      </c>
      <c r="U47" s="4044">
        <v>8</v>
      </c>
      <c r="V47" s="4044">
        <v>8</v>
      </c>
      <c r="W47" s="4044">
        <v>8</v>
      </c>
      <c r="X47" s="4044">
        <v>10</v>
      </c>
      <c r="Y47" s="4044">
        <v>8</v>
      </c>
      <c r="Z47" s="4044" t="e">
        <f>Personalización!#REF!</f>
        <v>#REF!</v>
      </c>
      <c r="AA47" s="4044">
        <v>9</v>
      </c>
      <c r="AB47" s="4044">
        <v>8</v>
      </c>
      <c r="AC47" s="4044">
        <v>9</v>
      </c>
      <c r="AD47" s="4044">
        <v>8</v>
      </c>
      <c r="AE47" s="4044">
        <v>8</v>
      </c>
      <c r="AF47" s="4044">
        <v>8</v>
      </c>
      <c r="AG47" s="4044">
        <v>7</v>
      </c>
      <c r="AH47" s="4044">
        <v>8</v>
      </c>
      <c r="AI47" s="4044">
        <v>7</v>
      </c>
      <c r="AJ47" s="4044">
        <v>10</v>
      </c>
      <c r="AK47" s="4147">
        <v>8</v>
      </c>
    </row>
    <row r="48" spans="1:37" ht="13.5" thickBot="1">
      <c r="A48" s="265">
        <v>48</v>
      </c>
      <c r="C48" s="2126" t="s">
        <v>1251</v>
      </c>
      <c r="D48" s="287">
        <f>Sheele!$H$40</f>
        <v>0</v>
      </c>
      <c r="E48" s="278">
        <v>9</v>
      </c>
      <c r="F48" s="288" t="s">
        <v>2468</v>
      </c>
      <c r="G48" s="289">
        <v>6</v>
      </c>
      <c r="H48" s="289">
        <v>6</v>
      </c>
      <c r="I48" s="289">
        <v>5</v>
      </c>
      <c r="J48" s="289">
        <v>6</v>
      </c>
      <c r="K48" s="289">
        <v>8</v>
      </c>
      <c r="L48" s="290">
        <v>8</v>
      </c>
      <c r="M48" s="289">
        <v>6</v>
      </c>
      <c r="N48" s="4144">
        <v>7</v>
      </c>
      <c r="O48" s="4045">
        <v>6</v>
      </c>
      <c r="P48" s="4045">
        <v>9</v>
      </c>
      <c r="Q48" s="4045">
        <v>6</v>
      </c>
      <c r="R48" s="4045">
        <v>9</v>
      </c>
      <c r="S48" s="4045">
        <v>6</v>
      </c>
      <c r="T48" s="4045">
        <v>6</v>
      </c>
      <c r="U48" s="4045">
        <v>7</v>
      </c>
      <c r="V48" s="4045">
        <v>7</v>
      </c>
      <c r="W48" s="4045">
        <v>7</v>
      </c>
      <c r="X48" s="4045">
        <v>8</v>
      </c>
      <c r="Y48" s="4045">
        <v>8</v>
      </c>
      <c r="Z48" s="4045" t="e">
        <f>Personalización!#REF!</f>
        <v>#REF!</v>
      </c>
      <c r="AA48" s="4045">
        <v>6</v>
      </c>
      <c r="AB48" s="4045">
        <v>4</v>
      </c>
      <c r="AC48" s="4045">
        <v>7</v>
      </c>
      <c r="AD48" s="4045">
        <v>10</v>
      </c>
      <c r="AE48" s="4045">
        <v>5</v>
      </c>
      <c r="AF48" s="4045">
        <v>7</v>
      </c>
      <c r="AG48" s="4045">
        <v>6</v>
      </c>
      <c r="AH48" s="4045">
        <v>7</v>
      </c>
      <c r="AI48" s="4045">
        <v>6</v>
      </c>
      <c r="AJ48" s="4045">
        <v>7</v>
      </c>
      <c r="AK48" s="4148">
        <v>7</v>
      </c>
    </row>
    <row r="49" spans="1:37">
      <c r="A49" s="265">
        <v>49</v>
      </c>
      <c r="G49" s="3389">
        <f>SUMPRODUCT(G41:G48)/8</f>
        <v>6</v>
      </c>
      <c r="H49" s="3389">
        <f t="shared" ref="H49:AK49" si="0">SUMPRODUCT(H41:H48)/8</f>
        <v>6</v>
      </c>
      <c r="I49" s="3389">
        <f t="shared" si="0"/>
        <v>5.5</v>
      </c>
      <c r="J49" s="3389">
        <f t="shared" si="0"/>
        <v>6.125</v>
      </c>
      <c r="K49" s="3389">
        <f t="shared" si="0"/>
        <v>6</v>
      </c>
      <c r="L49" s="3389">
        <f t="shared" si="0"/>
        <v>6</v>
      </c>
      <c r="M49" s="3389">
        <f t="shared" si="0"/>
        <v>6.125</v>
      </c>
      <c r="N49" s="3389">
        <f t="shared" si="0"/>
        <v>6.5</v>
      </c>
      <c r="O49" s="3389">
        <f t="shared" si="0"/>
        <v>6.5</v>
      </c>
      <c r="P49" s="3389">
        <f t="shared" si="0"/>
        <v>6.25</v>
      </c>
      <c r="Q49" s="3389">
        <f t="shared" si="0"/>
        <v>6.125</v>
      </c>
      <c r="R49" s="3389">
        <f t="shared" si="0"/>
        <v>6.125</v>
      </c>
      <c r="S49" s="3389">
        <f t="shared" si="0"/>
        <v>6</v>
      </c>
      <c r="T49" s="3389">
        <f t="shared" si="0"/>
        <v>6.125</v>
      </c>
      <c r="U49" s="3389">
        <f t="shared" si="0"/>
        <v>6.125</v>
      </c>
      <c r="V49" s="3389">
        <f t="shared" si="0"/>
        <v>6</v>
      </c>
      <c r="W49" s="3389">
        <f t="shared" si="0"/>
        <v>6.25</v>
      </c>
      <c r="X49" s="3389">
        <f t="shared" si="0"/>
        <v>6</v>
      </c>
      <c r="Y49" s="3389">
        <f t="shared" si="0"/>
        <v>6.125</v>
      </c>
      <c r="Z49" s="3389" t="e">
        <f t="shared" si="0"/>
        <v>#REF!</v>
      </c>
      <c r="AA49" s="3389">
        <f t="shared" si="0"/>
        <v>6.25</v>
      </c>
      <c r="AB49" s="3389">
        <f t="shared" si="0"/>
        <v>6</v>
      </c>
      <c r="AC49" s="3389">
        <f t="shared" si="0"/>
        <v>6</v>
      </c>
      <c r="AD49" s="3389">
        <f t="shared" si="0"/>
        <v>6.125</v>
      </c>
      <c r="AE49" s="3389">
        <f t="shared" si="0"/>
        <v>6.25</v>
      </c>
      <c r="AF49" s="3389">
        <f t="shared" si="0"/>
        <v>6.25</v>
      </c>
      <c r="AG49" s="3389">
        <f t="shared" si="0"/>
        <v>6</v>
      </c>
      <c r="AH49" s="3389">
        <f t="shared" si="0"/>
        <v>6.125</v>
      </c>
      <c r="AI49" s="3389">
        <f t="shared" si="0"/>
        <v>6.125</v>
      </c>
      <c r="AJ49" s="3389">
        <f t="shared" si="0"/>
        <v>6</v>
      </c>
      <c r="AK49" s="3389">
        <f t="shared" si="0"/>
        <v>6.125</v>
      </c>
    </row>
    <row r="50" spans="1:37" ht="13.5" thickBot="1">
      <c r="A50" s="265">
        <v>50</v>
      </c>
      <c r="G50" s="3389"/>
      <c r="H50" s="3389"/>
      <c r="I50" s="3389"/>
      <c r="J50" s="3389"/>
      <c r="K50" s="3389"/>
      <c r="L50" s="3389"/>
      <c r="M50" s="3389"/>
      <c r="N50" s="3389"/>
      <c r="O50" s="3389"/>
      <c r="P50" s="3389"/>
      <c r="Q50" s="3389"/>
      <c r="R50" s="3389"/>
      <c r="S50" s="3389"/>
      <c r="T50" s="3389"/>
      <c r="U50" s="3389"/>
      <c r="V50" s="3389"/>
      <c r="W50" s="3389"/>
      <c r="X50" s="3389"/>
      <c r="Y50" s="3389"/>
      <c r="Z50" s="3389"/>
      <c r="AA50" s="3389"/>
      <c r="AB50" s="3389"/>
      <c r="AC50" s="3389"/>
      <c r="AD50" s="3389"/>
      <c r="AE50" s="3389"/>
      <c r="AF50" s="3389"/>
      <c r="AG50" s="3389"/>
      <c r="AH50" s="3389"/>
      <c r="AI50" s="3389"/>
      <c r="AJ50" s="3389"/>
      <c r="AK50" s="3389"/>
    </row>
    <row r="51" spans="1:37" ht="15.75" customHeight="1">
      <c r="A51" s="265">
        <v>51</v>
      </c>
      <c r="C51" s="8253" t="s">
        <v>2469</v>
      </c>
      <c r="D51" s="6122"/>
      <c r="E51" s="6122"/>
      <c r="F51" s="6122"/>
      <c r="G51" s="6122"/>
      <c r="H51" s="6122"/>
      <c r="I51" s="6122"/>
      <c r="J51" s="6122"/>
      <c r="K51" s="6122"/>
      <c r="L51" s="6122"/>
      <c r="M51" s="6122"/>
      <c r="N51" s="6122"/>
      <c r="O51" s="6122"/>
      <c r="P51" s="6122"/>
      <c r="Q51" s="6122"/>
      <c r="R51" s="6122"/>
      <c r="S51" s="6122"/>
      <c r="T51" s="6122"/>
      <c r="U51" s="6122"/>
      <c r="V51" s="6122"/>
      <c r="W51" s="6122"/>
      <c r="X51" s="6122"/>
      <c r="Y51" s="6122"/>
      <c r="Z51" s="6122"/>
      <c r="AA51" s="6122"/>
      <c r="AB51" s="6122"/>
      <c r="AC51" s="6122"/>
      <c r="AD51" s="6122"/>
      <c r="AE51" s="6122"/>
      <c r="AF51" s="6122"/>
      <c r="AG51" s="6122"/>
      <c r="AH51" s="6122"/>
      <c r="AJ51" s="6071" t="s">
        <v>9924</v>
      </c>
      <c r="AK51" s="6073"/>
    </row>
    <row r="52" spans="1:37" ht="12.75" customHeight="1" thickBot="1">
      <c r="A52" s="265">
        <v>52</v>
      </c>
      <c r="C52" s="8253"/>
      <c r="D52" s="6122"/>
      <c r="E52" s="6122"/>
      <c r="F52" s="6122"/>
      <c r="G52" s="6122"/>
      <c r="H52" s="6122"/>
      <c r="I52" s="6122"/>
      <c r="J52" s="6122"/>
      <c r="K52" s="6122"/>
      <c r="L52" s="6122"/>
      <c r="M52" s="6122"/>
      <c r="N52" s="6122"/>
      <c r="O52" s="6122"/>
      <c r="P52" s="6122"/>
      <c r="Q52" s="6122"/>
      <c r="R52" s="6122"/>
      <c r="S52" s="6122"/>
      <c r="T52" s="6122"/>
      <c r="U52" s="6122"/>
      <c r="V52" s="6122"/>
      <c r="W52" s="6122"/>
      <c r="X52" s="6122"/>
      <c r="Y52" s="6122"/>
      <c r="Z52" s="6122"/>
      <c r="AA52" s="6122"/>
      <c r="AB52" s="6122"/>
      <c r="AC52" s="6122"/>
      <c r="AD52" s="6122"/>
      <c r="AE52" s="6122"/>
      <c r="AF52" s="6122"/>
      <c r="AG52" s="6122"/>
      <c r="AH52" s="6122"/>
      <c r="AJ52" s="6120"/>
      <c r="AK52" s="8244"/>
    </row>
    <row r="53" spans="1:37" ht="12.75" customHeight="1">
      <c r="A53" s="265">
        <v>53</v>
      </c>
      <c r="B53" s="441">
        <v>1</v>
      </c>
      <c r="C53" s="421" t="s">
        <v>1235</v>
      </c>
      <c r="D53" s="276" t="s">
        <v>1461</v>
      </c>
      <c r="E53" s="291" t="s">
        <v>1464</v>
      </c>
      <c r="F53" s="276" t="s">
        <v>1468</v>
      </c>
      <c r="G53" s="291" t="s">
        <v>1558</v>
      </c>
      <c r="H53" s="276" t="s">
        <v>1553</v>
      </c>
      <c r="I53" s="291" t="s">
        <v>1554</v>
      </c>
      <c r="J53" s="276" t="s">
        <v>2443</v>
      </c>
      <c r="K53" s="292" t="s">
        <v>1565</v>
      </c>
      <c r="L53" s="4066" t="s">
        <v>47</v>
      </c>
      <c r="M53" s="276" t="s">
        <v>58</v>
      </c>
      <c r="N53" s="276" t="s">
        <v>51</v>
      </c>
      <c r="O53" s="276" t="s">
        <v>1926</v>
      </c>
      <c r="P53" s="276" t="s">
        <v>48</v>
      </c>
      <c r="Q53" s="276" t="s">
        <v>54</v>
      </c>
      <c r="R53" s="276" t="s">
        <v>55</v>
      </c>
      <c r="S53" s="276" t="s">
        <v>57</v>
      </c>
      <c r="T53" s="276" t="s">
        <v>52</v>
      </c>
      <c r="U53" s="276" t="s">
        <v>56</v>
      </c>
      <c r="V53" s="276" t="s">
        <v>49</v>
      </c>
      <c r="W53" s="276" t="s">
        <v>46</v>
      </c>
      <c r="X53" s="276" t="s">
        <v>50</v>
      </c>
      <c r="Y53" s="276" t="s">
        <v>53</v>
      </c>
      <c r="Z53" s="276" t="s">
        <v>1762</v>
      </c>
      <c r="AA53" s="276" t="s">
        <v>6067</v>
      </c>
      <c r="AB53" s="276" t="s">
        <v>12687</v>
      </c>
      <c r="AC53" s="276" t="s">
        <v>2405</v>
      </c>
      <c r="AD53" s="276" t="s">
        <v>73</v>
      </c>
      <c r="AE53" s="276" t="s">
        <v>12747</v>
      </c>
      <c r="AF53" s="276" t="s">
        <v>12748</v>
      </c>
      <c r="AG53" s="276" t="s">
        <v>12749</v>
      </c>
      <c r="AH53" s="276" t="s">
        <v>12750</v>
      </c>
      <c r="AJ53" s="2461" t="str">
        <f t="shared" ref="AJ53:AJ70" si="1">C115</f>
        <v>&gt; ESOTÉRICAS</v>
      </c>
      <c r="AK53" s="2462"/>
    </row>
    <row r="54" spans="1:37" ht="12.75" customHeight="1">
      <c r="A54" s="265">
        <v>54</v>
      </c>
      <c r="B54" s="441">
        <v>2</v>
      </c>
      <c r="C54" s="425" t="s">
        <v>1264</v>
      </c>
      <c r="D54" s="429">
        <v>60</v>
      </c>
      <c r="E54" s="429"/>
      <c r="F54" s="429">
        <v>20</v>
      </c>
      <c r="G54" s="429"/>
      <c r="H54" s="429"/>
      <c r="I54" s="429"/>
      <c r="J54" s="429"/>
      <c r="K54" s="430"/>
      <c r="L54" s="433"/>
      <c r="M54" s="433"/>
      <c r="N54" s="433"/>
      <c r="O54" s="433"/>
      <c r="P54" s="433"/>
      <c r="Q54" s="433"/>
      <c r="R54" s="433"/>
      <c r="S54" s="433"/>
      <c r="T54" s="433"/>
      <c r="U54" s="433"/>
      <c r="V54" s="433"/>
      <c r="W54" s="2140">
        <f>IFERROR(IF(VLOOKUP(Sheele!O11,Personalización!#REF!,3,FALSE),VLOOKUP(Sheele!O11,Personalización!#REF!,3,FALSE),0),0)</f>
        <v>0</v>
      </c>
      <c r="X54" s="433"/>
      <c r="Y54" s="433"/>
      <c r="Z54" s="2140">
        <f>IFERROR(IF(VLOOKUP(Sheele!O11,Personalización!#REF!,4,FALSE),VLOOKUP(Sheele!O11,Personalización!#REF!,4,FALSE),0),0)</f>
        <v>0</v>
      </c>
      <c r="AA54" s="433"/>
      <c r="AB54" s="433"/>
      <c r="AC54" s="433"/>
      <c r="AD54" s="433">
        <v>80</v>
      </c>
      <c r="AE54" s="433"/>
      <c r="AF54" s="433"/>
      <c r="AG54" s="433"/>
      <c r="AH54" s="433"/>
      <c r="AJ54" s="1209" t="str">
        <f t="shared" si="1"/>
        <v>Naturaleza espiritual</v>
      </c>
      <c r="AK54" s="1150"/>
    </row>
    <row r="55" spans="1:37">
      <c r="A55" s="265">
        <v>55</v>
      </c>
      <c r="B55" s="441">
        <v>3</v>
      </c>
      <c r="C55" s="424" t="s">
        <v>1265</v>
      </c>
      <c r="D55" s="431"/>
      <c r="E55" s="431"/>
      <c r="F55" s="431"/>
      <c r="G55" s="431"/>
      <c r="H55" s="431"/>
      <c r="I55" s="431"/>
      <c r="J55" s="431"/>
      <c r="K55" s="432"/>
      <c r="L55" s="431"/>
      <c r="M55" s="431"/>
      <c r="N55" s="431"/>
      <c r="O55" s="431"/>
      <c r="P55" s="431"/>
      <c r="Q55" s="431"/>
      <c r="R55" s="431"/>
      <c r="S55" s="431"/>
      <c r="T55" s="431"/>
      <c r="U55" s="431"/>
      <c r="V55" s="431"/>
      <c r="W55" s="4218">
        <f>IFERROR(IF(VLOOKUP(Sheele!O12,Personalización!#REF!,3,FALSE),VLOOKUP(Sheele!O12,Personalización!#REF!,3,FALSE),0),0)</f>
        <v>0</v>
      </c>
      <c r="X55" s="431"/>
      <c r="Y55" s="431"/>
      <c r="Z55" s="4218">
        <f>IFERROR(IF(VLOOKUP(Sheele!O12,Personalización!#REF!,4,FALSE),VLOOKUP(Sheele!O12,Personalización!#REF!,4,FALSE),0),0)</f>
        <v>0</v>
      </c>
      <c r="AA55" s="431"/>
      <c r="AB55" s="431"/>
      <c r="AC55" s="431"/>
      <c r="AD55" s="431">
        <v>80</v>
      </c>
      <c r="AE55" s="431"/>
      <c r="AF55" s="431"/>
      <c r="AG55" s="431"/>
      <c r="AH55" s="431"/>
      <c r="AJ55" s="1209" t="str">
        <f t="shared" si="1"/>
        <v>Sentidos Vinculados</v>
      </c>
      <c r="AK55" s="1150"/>
    </row>
    <row r="56" spans="1:37">
      <c r="A56" s="265">
        <v>56</v>
      </c>
      <c r="B56" s="441">
        <v>4</v>
      </c>
      <c r="C56" s="423" t="s">
        <v>1268</v>
      </c>
      <c r="D56" s="433"/>
      <c r="E56" s="433"/>
      <c r="F56" s="433"/>
      <c r="G56" s="433"/>
      <c r="H56" s="433"/>
      <c r="I56" s="433"/>
      <c r="J56" s="433"/>
      <c r="K56" s="434"/>
      <c r="L56" s="433"/>
      <c r="M56" s="433"/>
      <c r="N56" s="433"/>
      <c r="O56" s="433"/>
      <c r="P56" s="433"/>
      <c r="Q56" s="433"/>
      <c r="R56" s="433"/>
      <c r="S56" s="433"/>
      <c r="T56" s="433"/>
      <c r="U56" s="433"/>
      <c r="V56" s="433"/>
      <c r="W56" s="2140">
        <f>IFERROR(IF(VLOOKUP(Sheele!O13,Personalización!#REF!,3,FALSE),VLOOKUP(Sheele!O13,Personalización!#REF!,3,FALSE),0),0)</f>
        <v>0</v>
      </c>
      <c r="X56" s="433"/>
      <c r="Y56" s="433"/>
      <c r="Z56" s="2140">
        <f>IFERROR(IF(VLOOKUP(Sheele!O13,Personalización!#REF!,4,FALSE),VLOOKUP(Sheele!O13,Personalización!#REF!,4,FALSE),0),0)</f>
        <v>0</v>
      </c>
      <c r="AA56" s="433"/>
      <c r="AB56" s="433"/>
      <c r="AC56" s="433"/>
      <c r="AD56" s="433"/>
      <c r="AE56" s="433"/>
      <c r="AF56" s="433"/>
      <c r="AG56" s="433"/>
      <c r="AH56" s="433"/>
      <c r="AJ56" s="1209" t="str">
        <f t="shared" si="1"/>
        <v>Desvinculado Esp.</v>
      </c>
      <c r="AK56" s="1150"/>
    </row>
    <row r="57" spans="1:37">
      <c r="A57" s="265">
        <v>57</v>
      </c>
      <c r="B57" s="441">
        <v>5</v>
      </c>
      <c r="C57" s="424" t="s">
        <v>1272</v>
      </c>
      <c r="D57" s="431"/>
      <c r="E57" s="431"/>
      <c r="F57" s="431"/>
      <c r="G57" s="431"/>
      <c r="H57" s="431"/>
      <c r="I57" s="431"/>
      <c r="J57" s="431"/>
      <c r="K57" s="432"/>
      <c r="L57" s="431"/>
      <c r="M57" s="431"/>
      <c r="N57" s="431"/>
      <c r="O57" s="431"/>
      <c r="P57" s="431"/>
      <c r="Q57" s="431"/>
      <c r="R57" s="431"/>
      <c r="S57" s="431"/>
      <c r="T57" s="431"/>
      <c r="U57" s="431"/>
      <c r="V57" s="431"/>
      <c r="W57" s="4218">
        <f>IFERROR(IF(VLOOKUP(Sheele!O14,Personalización!#REF!,3,FALSE),VLOOKUP(Sheele!O14,Personalización!#REF!,3,FALSE),0),0)</f>
        <v>0</v>
      </c>
      <c r="X57" s="431"/>
      <c r="Y57" s="431"/>
      <c r="Z57" s="4218">
        <f>IFERROR(IF(VLOOKUP(Sheele!O14,Personalización!#REF!,4,FALSE),VLOOKUP(Sheele!O14,Personalización!#REF!,4,FALSE),0),0)</f>
        <v>0</v>
      </c>
      <c r="AA57" s="431"/>
      <c r="AB57" s="431"/>
      <c r="AC57" s="431"/>
      <c r="AD57" s="431"/>
      <c r="AE57" s="431"/>
      <c r="AF57" s="431"/>
      <c r="AG57" s="431"/>
      <c r="AH57" s="431"/>
      <c r="AJ57" s="1209" t="str">
        <f t="shared" si="1"/>
        <v>Vinculación de Vida</v>
      </c>
      <c r="AK57" s="1150"/>
    </row>
    <row r="58" spans="1:37">
      <c r="A58" s="265">
        <v>58</v>
      </c>
      <c r="B58" s="441">
        <v>6</v>
      </c>
      <c r="C58" s="423" t="s">
        <v>1275</v>
      </c>
      <c r="D58" s="433"/>
      <c r="E58" s="433"/>
      <c r="F58" s="433"/>
      <c r="G58" s="433"/>
      <c r="H58" s="433"/>
      <c r="I58" s="433"/>
      <c r="J58" s="433"/>
      <c r="K58" s="434"/>
      <c r="L58" s="433"/>
      <c r="M58" s="433"/>
      <c r="N58" s="433"/>
      <c r="O58" s="433"/>
      <c r="P58" s="433"/>
      <c r="Q58" s="433"/>
      <c r="R58" s="433"/>
      <c r="S58" s="433"/>
      <c r="T58" s="433"/>
      <c r="U58" s="433"/>
      <c r="V58" s="433"/>
      <c r="W58" s="2140">
        <f>IFERROR(IF(VLOOKUP(Sheele!O15,Personalización!#REF!,3,FALSE),VLOOKUP(Sheele!O15,Personalización!#REF!,3,FALSE),0),0)</f>
        <v>0</v>
      </c>
      <c r="X58" s="433"/>
      <c r="Y58" s="433"/>
      <c r="Z58" s="2140">
        <f>IFERROR(IF(VLOOKUP(Sheele!O15,Personalización!#REF!,4,FALSE),VLOOKUP(Sheele!O15,Personalización!#REF!,4,FALSE),0),0)</f>
        <v>0</v>
      </c>
      <c r="AA58" s="433"/>
      <c r="AB58" s="433"/>
      <c r="AC58" s="433"/>
      <c r="AD58" s="433"/>
      <c r="AE58" s="433"/>
      <c r="AF58" s="433"/>
      <c r="AG58" s="433"/>
      <c r="AH58" s="433"/>
      <c r="AJ58" s="1209" t="str">
        <f t="shared" si="1"/>
        <v>Elementalismo</v>
      </c>
      <c r="AK58" s="1150"/>
    </row>
    <row r="59" spans="1:37">
      <c r="A59" s="265">
        <v>59</v>
      </c>
      <c r="B59" s="441">
        <v>7</v>
      </c>
      <c r="C59" s="424" t="s">
        <v>1278</v>
      </c>
      <c r="D59" s="431"/>
      <c r="E59" s="431"/>
      <c r="F59" s="431"/>
      <c r="G59" s="431"/>
      <c r="H59" s="431"/>
      <c r="I59" s="431"/>
      <c r="J59" s="431"/>
      <c r="K59" s="432"/>
      <c r="L59" s="431"/>
      <c r="M59" s="431"/>
      <c r="N59" s="431"/>
      <c r="O59" s="431"/>
      <c r="P59" s="431"/>
      <c r="Q59" s="431"/>
      <c r="R59" s="431"/>
      <c r="S59" s="431"/>
      <c r="T59" s="431"/>
      <c r="U59" s="431"/>
      <c r="V59" s="431"/>
      <c r="W59" s="4218">
        <f>IFERROR(IF(VLOOKUP(Sheele!O16,Personalización!#REF!,3,FALSE),VLOOKUP(Sheele!O16,Personalización!#REF!,3,FALSE),0),0)</f>
        <v>0</v>
      </c>
      <c r="X59" s="431"/>
      <c r="Y59" s="431"/>
      <c r="Z59" s="4218">
        <f>IFERROR(IF(VLOOKUP(Sheele!O16,Personalización!#REF!,4,FALSE),VLOOKUP(Sheele!O16,Personalización!#REF!,4,FALSE),0),0)</f>
        <v>0</v>
      </c>
      <c r="AA59" s="431"/>
      <c r="AB59" s="431"/>
      <c r="AC59" s="431"/>
      <c r="AD59" s="431"/>
      <c r="AE59" s="431"/>
      <c r="AF59" s="431"/>
      <c r="AG59" s="431"/>
      <c r="AH59" s="431"/>
      <c r="AJ59" s="1209" t="str">
        <f t="shared" si="1"/>
        <v>&gt; FORMA DE ALMA</v>
      </c>
      <c r="AK59" s="1150"/>
    </row>
    <row r="60" spans="1:37" ht="12.75" customHeight="1">
      <c r="A60" s="265">
        <v>60</v>
      </c>
      <c r="B60" s="441">
        <v>8</v>
      </c>
      <c r="C60" s="423" t="s">
        <v>5858</v>
      </c>
      <c r="D60" s="433"/>
      <c r="E60" s="433"/>
      <c r="F60" s="433"/>
      <c r="G60" s="433"/>
      <c r="H60" s="433"/>
      <c r="I60" s="433"/>
      <c r="J60" s="433"/>
      <c r="K60" s="434"/>
      <c r="L60" s="433"/>
      <c r="M60" s="433"/>
      <c r="N60" s="433"/>
      <c r="O60" s="433"/>
      <c r="P60" s="433"/>
      <c r="Q60" s="433"/>
      <c r="R60" s="433"/>
      <c r="S60" s="433"/>
      <c r="T60" s="433"/>
      <c r="U60" s="433"/>
      <c r="V60" s="433"/>
      <c r="W60" s="2140">
        <f>IFERROR(IF(VLOOKUP(Sheele!O17,Personalización!#REF!,3,FALSE),VLOOKUP(Sheele!O17,Personalización!#REF!,3,FALSE),0),0)</f>
        <v>0</v>
      </c>
      <c r="X60" s="433"/>
      <c r="Y60" s="433"/>
      <c r="Z60" s="2140">
        <f>IFERROR(IF(VLOOKUP(Sheele!O17,Personalización!#REF!,4,FALSE),VLOOKUP(Sheele!O17,Personalización!#REF!,4,FALSE),0),0)</f>
        <v>0</v>
      </c>
      <c r="AA60" s="433"/>
      <c r="AB60" s="433"/>
      <c r="AC60" s="433"/>
      <c r="AD60" s="433">
        <v>60</v>
      </c>
      <c r="AE60" s="433"/>
      <c r="AF60" s="433"/>
      <c r="AG60" s="433"/>
      <c r="AH60" s="433"/>
      <c r="AJ60" s="1209" t="str">
        <f t="shared" si="1"/>
        <v>Forma de Alma</v>
      </c>
      <c r="AK60" s="1150"/>
    </row>
    <row r="61" spans="1:37">
      <c r="A61" s="265">
        <v>61</v>
      </c>
      <c r="B61" s="441">
        <v>9</v>
      </c>
      <c r="C61" s="427" t="s">
        <v>1282</v>
      </c>
      <c r="D61" s="437"/>
      <c r="E61" s="437"/>
      <c r="F61" s="437"/>
      <c r="G61" s="437"/>
      <c r="H61" s="437">
        <v>20</v>
      </c>
      <c r="I61" s="437"/>
      <c r="J61" s="437">
        <v>20</v>
      </c>
      <c r="K61" s="438"/>
      <c r="L61" s="4152"/>
      <c r="M61" s="4153"/>
      <c r="N61" s="4153">
        <v>80</v>
      </c>
      <c r="O61" s="4153"/>
      <c r="P61" s="4153"/>
      <c r="Q61" s="4153"/>
      <c r="R61" s="4153">
        <v>80</v>
      </c>
      <c r="S61" s="4153"/>
      <c r="T61" s="4153"/>
      <c r="U61" s="4153">
        <v>40</v>
      </c>
      <c r="V61" s="4153"/>
      <c r="W61" s="4218">
        <f>IFERROR(IF(VLOOKUP(Sheele!O18,Personalización!#REF!,3,FALSE),VLOOKUP(Sheele!O18,Personalización!#REF!,3,FALSE),0),0)</f>
        <v>0</v>
      </c>
      <c r="X61" s="4153">
        <v>60</v>
      </c>
      <c r="Y61" s="4153">
        <v>40</v>
      </c>
      <c r="Z61" s="4218">
        <f>IFERROR(IF(VLOOKUP(Sheele!O18,Personalización!#REF!,4,FALSE),VLOOKUP(Sheele!O18,Personalización!#REF!,4,FALSE),0),0)</f>
        <v>0</v>
      </c>
      <c r="AA61" s="4153"/>
      <c r="AB61" s="4153"/>
      <c r="AC61" s="4153"/>
      <c r="AD61" s="4153">
        <v>80</v>
      </c>
      <c r="AE61" s="4153">
        <v>50</v>
      </c>
      <c r="AF61" s="4153"/>
      <c r="AG61" s="4153"/>
      <c r="AH61" s="4153"/>
      <c r="AJ61" s="1209" t="str">
        <f t="shared" si="1"/>
        <v>Transformación mejorada</v>
      </c>
      <c r="AK61" s="1150"/>
    </row>
    <row r="62" spans="1:37">
      <c r="A62" s="265">
        <v>62</v>
      </c>
      <c r="B62" s="441">
        <v>10</v>
      </c>
      <c r="C62" s="423" t="s">
        <v>1284</v>
      </c>
      <c r="D62" s="433"/>
      <c r="E62" s="433"/>
      <c r="F62" s="433"/>
      <c r="G62" s="433"/>
      <c r="H62" s="433"/>
      <c r="I62" s="433">
        <v>20</v>
      </c>
      <c r="J62" s="433"/>
      <c r="K62" s="434"/>
      <c r="L62" s="433">
        <v>60</v>
      </c>
      <c r="M62" s="433">
        <v>60</v>
      </c>
      <c r="N62" s="433">
        <v>60</v>
      </c>
      <c r="O62" s="433"/>
      <c r="P62" s="433"/>
      <c r="Q62" s="433"/>
      <c r="R62" s="433"/>
      <c r="S62" s="433">
        <v>40</v>
      </c>
      <c r="T62" s="433"/>
      <c r="U62" s="433">
        <v>20</v>
      </c>
      <c r="V62" s="433">
        <v>30</v>
      </c>
      <c r="W62" s="2140">
        <f>IFERROR(IF(VLOOKUP(Sheele!O19,Personalización!#REF!,3,FALSE),VLOOKUP(Sheele!O19,Personalización!#REF!,3,FALSE),0),0)</f>
        <v>0</v>
      </c>
      <c r="X62" s="433"/>
      <c r="Y62" s="433">
        <v>30</v>
      </c>
      <c r="Z62" s="2140">
        <f>IFERROR(IF(VLOOKUP(Sheele!O19,Personalización!#REF!,4,FALSE),VLOOKUP(Sheele!O19,Personalización!#REF!,4,FALSE),0),0)</f>
        <v>0</v>
      </c>
      <c r="AA62" s="433"/>
      <c r="AB62" s="433"/>
      <c r="AC62" s="433">
        <v>40</v>
      </c>
      <c r="AD62" s="433"/>
      <c r="AE62" s="433">
        <v>60</v>
      </c>
      <c r="AF62" s="433"/>
      <c r="AG62" s="433"/>
      <c r="AH62" s="433">
        <v>40</v>
      </c>
      <c r="AJ62" s="1209" t="str">
        <f t="shared" si="1"/>
        <v>Poderes Mejorados</v>
      </c>
      <c r="AK62" s="1150"/>
    </row>
    <row r="63" spans="1:37">
      <c r="A63" s="265">
        <v>63</v>
      </c>
      <c r="B63" s="441">
        <v>11</v>
      </c>
      <c r="C63" s="424" t="s">
        <v>1287</v>
      </c>
      <c r="D63" s="431"/>
      <c r="E63" s="431"/>
      <c r="F63" s="431"/>
      <c r="G63" s="431"/>
      <c r="H63" s="431"/>
      <c r="I63" s="431"/>
      <c r="J63" s="431"/>
      <c r="K63" s="432"/>
      <c r="L63" s="431">
        <v>80</v>
      </c>
      <c r="M63" s="431"/>
      <c r="N63" s="431"/>
      <c r="O63" s="431"/>
      <c r="P63" s="431"/>
      <c r="Q63" s="431"/>
      <c r="R63" s="431"/>
      <c r="S63" s="431"/>
      <c r="T63" s="431">
        <v>60</v>
      </c>
      <c r="U63" s="431"/>
      <c r="V63" s="431"/>
      <c r="W63" s="4218">
        <f>IFERROR(IF(VLOOKUP(Sheele!O20,Personalización!#REF!,3,FALSE),VLOOKUP(Sheele!O20,Personalización!#REF!,3,FALSE),0),0)</f>
        <v>0</v>
      </c>
      <c r="X63" s="431"/>
      <c r="Y63" s="431"/>
      <c r="Z63" s="4218">
        <f>IFERROR(IF(VLOOKUP(Sheele!O20,Personalización!#REF!,4,FALSE),VLOOKUP(Sheele!O20,Personalización!#REF!,4,FALSE),0),0)</f>
        <v>0</v>
      </c>
      <c r="AA63" s="431"/>
      <c r="AB63" s="431"/>
      <c r="AC63" s="431"/>
      <c r="AD63" s="431"/>
      <c r="AE63" s="431"/>
      <c r="AF63" s="431"/>
      <c r="AG63" s="431"/>
      <c r="AH63" s="431"/>
      <c r="AJ63" s="1209" t="str">
        <f t="shared" si="1"/>
        <v>Forma Mayor</v>
      </c>
      <c r="AK63" s="1150"/>
    </row>
    <row r="64" spans="1:37">
      <c r="A64" s="265">
        <v>64</v>
      </c>
      <c r="B64" s="441">
        <v>12</v>
      </c>
      <c r="C64" s="423" t="s">
        <v>1289</v>
      </c>
      <c r="D64" s="433"/>
      <c r="E64" s="433">
        <v>40</v>
      </c>
      <c r="F64" s="433"/>
      <c r="G64" s="433"/>
      <c r="H64" s="433">
        <v>20</v>
      </c>
      <c r="I64" s="433"/>
      <c r="J64" s="433">
        <v>20</v>
      </c>
      <c r="K64" s="434">
        <v>80</v>
      </c>
      <c r="L64" s="433"/>
      <c r="M64" s="433"/>
      <c r="N64" s="433">
        <v>80</v>
      </c>
      <c r="O64" s="433"/>
      <c r="P64" s="433">
        <v>20</v>
      </c>
      <c r="Q64" s="433"/>
      <c r="R64" s="433"/>
      <c r="S64" s="433"/>
      <c r="T64" s="433">
        <v>80</v>
      </c>
      <c r="U64" s="433"/>
      <c r="V64" s="433"/>
      <c r="W64" s="2140">
        <f>IFERROR(IF(VLOOKUP(Sheele!O21,Personalización!#REF!,3,FALSE),VLOOKUP(Sheele!O21,Personalización!#REF!,3,FALSE),0),0)</f>
        <v>0</v>
      </c>
      <c r="X64" s="433"/>
      <c r="Y64" s="433">
        <v>40</v>
      </c>
      <c r="Z64" s="2140">
        <f>IFERROR(IF(VLOOKUP(Sheele!O21,Personalización!#REF!,4,FALSE),VLOOKUP(Sheele!O21,Personalización!#REF!,4,FALSE),0),0)</f>
        <v>0</v>
      </c>
      <c r="AA64" s="433"/>
      <c r="AB64" s="433"/>
      <c r="AC64" s="433">
        <v>40</v>
      </c>
      <c r="AD64" s="433">
        <v>50</v>
      </c>
      <c r="AE64" s="433"/>
      <c r="AF64" s="433"/>
      <c r="AG64" s="433"/>
      <c r="AH64" s="433">
        <v>30</v>
      </c>
      <c r="AJ64" s="1209" t="str">
        <f t="shared" si="1"/>
        <v>&gt; MAGIA</v>
      </c>
      <c r="AK64" s="1150"/>
    </row>
    <row r="65" spans="1:37">
      <c r="A65" s="265">
        <v>65</v>
      </c>
      <c r="B65" s="441">
        <v>13</v>
      </c>
      <c r="C65" s="424" t="s">
        <v>685</v>
      </c>
      <c r="D65" s="431"/>
      <c r="E65" s="431"/>
      <c r="F65" s="431"/>
      <c r="G65" s="431"/>
      <c r="H65" s="431"/>
      <c r="I65" s="431"/>
      <c r="J65" s="431"/>
      <c r="K65" s="432"/>
      <c r="L65" s="431"/>
      <c r="M65" s="431"/>
      <c r="N65" s="431"/>
      <c r="O65" s="431"/>
      <c r="P65" s="431"/>
      <c r="Q65" s="431"/>
      <c r="R65" s="431"/>
      <c r="S65" s="431"/>
      <c r="T65" s="431"/>
      <c r="U65" s="431"/>
      <c r="V65" s="431"/>
      <c r="W65" s="4218">
        <f>IFERROR(IF(VLOOKUP(Sheele!O22,Personalización!#REF!,3,FALSE),VLOOKUP(Sheele!O22,Personalización!#REF!,3,FALSE),0),0)</f>
        <v>0</v>
      </c>
      <c r="X65" s="431"/>
      <c r="Y65" s="431"/>
      <c r="Z65" s="4218">
        <f>IFERROR(IF(VLOOKUP(Sheele!O22,Personalización!#REF!,4,FALSE),VLOOKUP(Sheele!O22,Personalización!#REF!,4,FALSE),0),0)</f>
        <v>0</v>
      </c>
      <c r="AA65" s="431">
        <v>40</v>
      </c>
      <c r="AB65" s="431"/>
      <c r="AC65" s="431"/>
      <c r="AD65" s="431"/>
      <c r="AE65" s="431"/>
      <c r="AF65" s="431"/>
      <c r="AG65" s="431"/>
      <c r="AH65" s="431"/>
      <c r="AJ65" s="1209" t="str">
        <f t="shared" si="1"/>
        <v>Proyección Mejorada</v>
      </c>
      <c r="AK65" s="1150"/>
    </row>
    <row r="66" spans="1:37">
      <c r="A66" s="265">
        <v>66</v>
      </c>
      <c r="B66" s="441">
        <v>14</v>
      </c>
      <c r="C66" s="423" t="s">
        <v>686</v>
      </c>
      <c r="D66" s="433"/>
      <c r="E66" s="433"/>
      <c r="F66" s="433"/>
      <c r="G66" s="433"/>
      <c r="H66" s="433"/>
      <c r="I66" s="433"/>
      <c r="J66" s="433"/>
      <c r="K66" s="434"/>
      <c r="L66" s="433"/>
      <c r="M66" s="433"/>
      <c r="N66" s="433"/>
      <c r="O66" s="433"/>
      <c r="P66" s="433"/>
      <c r="Q66" s="433"/>
      <c r="R66" s="433"/>
      <c r="S66" s="433"/>
      <c r="T66" s="433"/>
      <c r="U66" s="433"/>
      <c r="V66" s="433"/>
      <c r="W66" s="2140">
        <f>IFERROR(IF(VLOOKUP(Sheele!O23,Personalización!#REF!,3,FALSE),VLOOKUP(Sheele!O23,Personalización!#REF!,3,FALSE),0),0)</f>
        <v>0</v>
      </c>
      <c r="X66" s="433"/>
      <c r="Y66" s="433"/>
      <c r="Z66" s="2140">
        <f>IFERROR(IF(VLOOKUP(Sheele!O23,Personalización!#REF!,4,FALSE),VLOOKUP(Sheele!O23,Personalización!#REF!,4,FALSE),0),0)</f>
        <v>0</v>
      </c>
      <c r="AA66" s="433"/>
      <c r="AB66" s="433"/>
      <c r="AC66" s="433"/>
      <c r="AD66" s="433"/>
      <c r="AE66" s="433"/>
      <c r="AF66" s="433"/>
      <c r="AG66" s="433"/>
      <c r="AH66" s="433"/>
      <c r="AJ66" s="1209" t="str">
        <f t="shared" si="1"/>
        <v>Conjuros Mejorados</v>
      </c>
      <c r="AK66" s="1150"/>
    </row>
    <row r="67" spans="1:37" ht="12.75" customHeight="1">
      <c r="A67" s="265">
        <v>67</v>
      </c>
      <c r="B67" s="441">
        <v>15</v>
      </c>
      <c r="C67" s="426" t="s">
        <v>687</v>
      </c>
      <c r="D67" s="435"/>
      <c r="E67" s="435"/>
      <c r="F67" s="435"/>
      <c r="G67" s="435"/>
      <c r="H67" s="435"/>
      <c r="I67" s="435"/>
      <c r="J67" s="435"/>
      <c r="K67" s="436"/>
      <c r="L67" s="431"/>
      <c r="M67" s="431"/>
      <c r="N67" s="431">
        <v>80</v>
      </c>
      <c r="O67" s="431"/>
      <c r="P67" s="431"/>
      <c r="Q67" s="431"/>
      <c r="R67" s="431">
        <v>40</v>
      </c>
      <c r="S67" s="431"/>
      <c r="T67" s="431">
        <v>40</v>
      </c>
      <c r="U67" s="431"/>
      <c r="V67" s="431"/>
      <c r="W67" s="4218">
        <f>IFERROR(IF(VLOOKUP(Sheele!O24,Personalización!#REF!,3,FALSE),VLOOKUP(Sheele!O24,Personalización!#REF!,3,FALSE),0),0)</f>
        <v>0</v>
      </c>
      <c r="X67" s="431"/>
      <c r="Y67" s="431"/>
      <c r="Z67" s="4218">
        <f>IFERROR(IF(VLOOKUP(Sheele!O24,Personalización!#REF!,4,FALSE),VLOOKUP(Sheele!O24,Personalización!#REF!,4,FALSE),0),0)</f>
        <v>0</v>
      </c>
      <c r="AA67" s="431"/>
      <c r="AB67" s="431"/>
      <c r="AC67" s="431"/>
      <c r="AD67" s="431"/>
      <c r="AE67" s="431">
        <v>30</v>
      </c>
      <c r="AF67" s="431"/>
      <c r="AG67" s="431"/>
      <c r="AH67" s="431"/>
      <c r="AJ67" s="1209" t="str">
        <f t="shared" si="1"/>
        <v>Acumulación Mejorada</v>
      </c>
      <c r="AK67" s="1150"/>
    </row>
    <row r="68" spans="1:37" ht="15.75" customHeight="1">
      <c r="A68" s="265">
        <v>68</v>
      </c>
      <c r="B68" s="441">
        <v>16</v>
      </c>
      <c r="C68" s="425" t="s">
        <v>1291</v>
      </c>
      <c r="D68" s="429">
        <v>30</v>
      </c>
      <c r="E68" s="429">
        <v>40</v>
      </c>
      <c r="F68" s="429">
        <v>40</v>
      </c>
      <c r="G68" s="429">
        <v>30</v>
      </c>
      <c r="H68" s="429">
        <v>80</v>
      </c>
      <c r="I68" s="429">
        <v>60</v>
      </c>
      <c r="J68" s="429">
        <v>40</v>
      </c>
      <c r="K68" s="430">
        <v>40</v>
      </c>
      <c r="L68" s="429">
        <v>40</v>
      </c>
      <c r="M68" s="429">
        <v>40</v>
      </c>
      <c r="N68" s="429">
        <v>40</v>
      </c>
      <c r="O68" s="429">
        <v>80</v>
      </c>
      <c r="P68" s="429">
        <v>20</v>
      </c>
      <c r="Q68" s="429">
        <v>30</v>
      </c>
      <c r="R68" s="429">
        <v>20</v>
      </c>
      <c r="S68" s="429">
        <v>40</v>
      </c>
      <c r="T68" s="429">
        <v>60</v>
      </c>
      <c r="U68" s="429">
        <v>30</v>
      </c>
      <c r="V68" s="429">
        <v>30</v>
      </c>
      <c r="W68" s="2140">
        <f>IFERROR(IF(VLOOKUP(Sheele!O25,Personalización!#REF!,3,FALSE),VLOOKUP(Sheele!O25,Personalización!#REF!,3,FALSE),0),0)</f>
        <v>0</v>
      </c>
      <c r="X68" s="429">
        <v>40</v>
      </c>
      <c r="Y68" s="429"/>
      <c r="Z68" s="2140">
        <f>IFERROR(IF(VLOOKUP(Sheele!O25,Personalización!#REF!,4,FALSE),VLOOKUP(Sheele!O25,Personalización!#REF!,4,FALSE),0),0)</f>
        <v>0</v>
      </c>
      <c r="AA68" s="429">
        <v>40</v>
      </c>
      <c r="AB68" s="429">
        <v>30</v>
      </c>
      <c r="AC68" s="429">
        <v>30</v>
      </c>
      <c r="AD68" s="429"/>
      <c r="AE68" s="429">
        <v>30</v>
      </c>
      <c r="AF68" s="429"/>
      <c r="AG68" s="429">
        <v>40</v>
      </c>
      <c r="AH68" s="429">
        <v>50</v>
      </c>
      <c r="AJ68" s="1209" t="str">
        <f t="shared" si="1"/>
        <v>&gt; POTENCIACIÓN</v>
      </c>
      <c r="AK68" s="1150"/>
    </row>
    <row r="69" spans="1:37" ht="12.75" customHeight="1">
      <c r="A69" s="265">
        <v>69</v>
      </c>
      <c r="B69" s="441">
        <v>17</v>
      </c>
      <c r="C69" s="424" t="s">
        <v>1292</v>
      </c>
      <c r="D69" s="431">
        <v>10</v>
      </c>
      <c r="E69" s="431">
        <v>20</v>
      </c>
      <c r="F69" s="431">
        <v>20</v>
      </c>
      <c r="G69" s="431">
        <v>10</v>
      </c>
      <c r="H69" s="431">
        <v>60</v>
      </c>
      <c r="I69" s="431">
        <v>40</v>
      </c>
      <c r="J69" s="431">
        <v>20</v>
      </c>
      <c r="K69" s="432">
        <v>20</v>
      </c>
      <c r="L69" s="431"/>
      <c r="M69" s="431">
        <v>40</v>
      </c>
      <c r="N69" s="431"/>
      <c r="O69" s="431">
        <v>80</v>
      </c>
      <c r="P69" s="431">
        <v>40</v>
      </c>
      <c r="Q69" s="431">
        <v>30</v>
      </c>
      <c r="R69" s="431"/>
      <c r="S69" s="431">
        <v>30</v>
      </c>
      <c r="T69" s="431"/>
      <c r="U69" s="431"/>
      <c r="V69" s="431">
        <v>30</v>
      </c>
      <c r="W69" s="4218">
        <f>IFERROR(IF(VLOOKUP(Sheele!O26,Personalización!#REF!,3,FALSE),VLOOKUP(Sheele!O26,Personalización!#REF!,3,FALSE),0),0)</f>
        <v>0</v>
      </c>
      <c r="X69" s="431">
        <v>40</v>
      </c>
      <c r="Y69" s="431"/>
      <c r="Z69" s="4218">
        <f>IFERROR(IF(VLOOKUP(Sheele!O26,Personalización!#REF!,4,FALSE),VLOOKUP(Sheele!O26,Personalización!#REF!,4,FALSE),0),0)</f>
        <v>0</v>
      </c>
      <c r="AA69" s="431"/>
      <c r="AB69" s="431">
        <v>30</v>
      </c>
      <c r="AC69" s="431">
        <v>30</v>
      </c>
      <c r="AD69" s="431"/>
      <c r="AE69" s="431">
        <v>20</v>
      </c>
      <c r="AF69" s="431"/>
      <c r="AG69" s="431"/>
      <c r="AH69" s="431"/>
      <c r="AJ69" s="1209" t="str">
        <f t="shared" si="1"/>
        <v>Aguante Mejorado</v>
      </c>
      <c r="AK69" s="1150"/>
    </row>
    <row r="70" spans="1:37" ht="12.75" customHeight="1">
      <c r="A70" s="265">
        <v>70</v>
      </c>
      <c r="B70" s="441">
        <v>18</v>
      </c>
      <c r="C70" s="428" t="s">
        <v>1293</v>
      </c>
      <c r="D70" s="439"/>
      <c r="E70" s="439"/>
      <c r="F70" s="439"/>
      <c r="G70" s="439">
        <v>10</v>
      </c>
      <c r="H70" s="439"/>
      <c r="I70" s="439"/>
      <c r="J70" s="439"/>
      <c r="K70" s="440"/>
      <c r="L70" s="4150">
        <v>40</v>
      </c>
      <c r="M70" s="4151"/>
      <c r="N70" s="4151"/>
      <c r="O70" s="4151">
        <v>80</v>
      </c>
      <c r="P70" s="4151"/>
      <c r="Q70" s="4151"/>
      <c r="R70" s="4151"/>
      <c r="S70" s="4151"/>
      <c r="T70" s="4151"/>
      <c r="U70" s="4151"/>
      <c r="V70" s="4151"/>
      <c r="W70" s="2140">
        <f>IFERROR(IF(VLOOKUP(Sheele!O27,Personalización!#REF!,3,FALSE),VLOOKUP(Sheele!O27,Personalización!#REF!,3,FALSE),0),0)</f>
        <v>0</v>
      </c>
      <c r="X70" s="4151"/>
      <c r="Y70" s="4151"/>
      <c r="Z70" s="2140">
        <f>IFERROR(IF(VLOOKUP(Sheele!O27,Personalización!#REF!,4,FALSE),VLOOKUP(Sheele!O27,Personalización!#REF!,4,FALSE),0),0)</f>
        <v>0</v>
      </c>
      <c r="AA70" s="4151"/>
      <c r="AB70" s="4151">
        <v>40</v>
      </c>
      <c r="AC70" s="4151"/>
      <c r="AD70" s="4151">
        <v>50</v>
      </c>
      <c r="AE70" s="4151"/>
      <c r="AF70" s="4151"/>
      <c r="AG70" s="4151"/>
      <c r="AH70" s="4151">
        <v>40</v>
      </c>
      <c r="AJ70" s="1209" t="str">
        <f t="shared" si="1"/>
        <v>Potenciación Mejorada</v>
      </c>
      <c r="AK70" s="1150"/>
    </row>
    <row r="71" spans="1:37" ht="12.75" customHeight="1">
      <c r="A71" s="265">
        <v>71</v>
      </c>
      <c r="B71" s="441">
        <v>19</v>
      </c>
      <c r="C71" s="427" t="s">
        <v>1295</v>
      </c>
      <c r="D71" s="437"/>
      <c r="E71" s="437"/>
      <c r="F71" s="437"/>
      <c r="G71" s="437"/>
      <c r="H71" s="437">
        <v>20</v>
      </c>
      <c r="I71" s="437"/>
      <c r="J71" s="437">
        <v>40</v>
      </c>
      <c r="K71" s="438"/>
      <c r="L71" s="431"/>
      <c r="M71" s="431"/>
      <c r="N71" s="431"/>
      <c r="O71" s="431"/>
      <c r="P71" s="431"/>
      <c r="Q71" s="431">
        <v>20</v>
      </c>
      <c r="R71" s="431"/>
      <c r="S71" s="431"/>
      <c r="T71" s="431"/>
      <c r="U71" s="431"/>
      <c r="V71" s="431"/>
      <c r="W71" s="4218">
        <f>IFERROR(IF(VLOOKUP(Sheele!O28,Personalización!#REF!,3,FALSE),VLOOKUP(Sheele!O28,Personalización!#REF!,3,FALSE),0),0)</f>
        <v>0</v>
      </c>
      <c r="X71" s="431"/>
      <c r="Y71" s="431"/>
      <c r="Z71" s="4218">
        <f>IFERROR(IF(VLOOKUP(Sheele!O28,Personalización!#REF!,4,FALSE),VLOOKUP(Sheele!O28,Personalización!#REF!,4,FALSE),0),0)</f>
        <v>0</v>
      </c>
      <c r="AA71" s="431"/>
      <c r="AB71" s="431"/>
      <c r="AC71" s="431"/>
      <c r="AD71" s="431"/>
      <c r="AE71" s="431"/>
      <c r="AF71" s="431"/>
      <c r="AG71" s="431">
        <v>30</v>
      </c>
      <c r="AH71" s="431"/>
      <c r="AJ71" s="1209" t="str" cm="1">
        <f t="array" aca="1" ref="AJ71" ca="1">INDEX(INDIRECT("Mejoras_"&amp;Sheele!$M$5),A1)</f>
        <v>&gt; AIRE</v>
      </c>
      <c r="AK71" s="1150"/>
    </row>
    <row r="72" spans="1:37">
      <c r="A72" s="265">
        <v>72</v>
      </c>
      <c r="B72" s="441">
        <v>20</v>
      </c>
      <c r="C72" s="423" t="s">
        <v>1296</v>
      </c>
      <c r="D72" s="433"/>
      <c r="E72" s="433"/>
      <c r="F72" s="433"/>
      <c r="G72" s="433">
        <v>80</v>
      </c>
      <c r="H72" s="433"/>
      <c r="I72" s="433"/>
      <c r="J72" s="433"/>
      <c r="K72" s="434"/>
      <c r="L72" s="433"/>
      <c r="M72" s="433"/>
      <c r="N72" s="433"/>
      <c r="O72" s="433"/>
      <c r="P72" s="433"/>
      <c r="Q72" s="433">
        <v>20</v>
      </c>
      <c r="R72" s="433">
        <v>30</v>
      </c>
      <c r="S72" s="433"/>
      <c r="T72" s="433"/>
      <c r="U72" s="433"/>
      <c r="V72" s="433"/>
      <c r="W72" s="2140">
        <f>IFERROR(IF(VLOOKUP(Sheele!O29,Personalización!#REF!,3,FALSE),VLOOKUP(Sheele!O29,Personalización!#REF!,3,FALSE),0),0)</f>
        <v>0</v>
      </c>
      <c r="X72" s="433"/>
      <c r="Y72" s="433"/>
      <c r="Z72" s="2140">
        <f>IFERROR(IF(VLOOKUP(Sheele!O29,Personalización!#REF!,4,FALSE),VLOOKUP(Sheele!O29,Personalización!#REF!,4,FALSE),0),0)</f>
        <v>0</v>
      </c>
      <c r="AA72" s="433">
        <v>80</v>
      </c>
      <c r="AB72" s="433">
        <v>60</v>
      </c>
      <c r="AC72" s="433"/>
      <c r="AD72" s="433"/>
      <c r="AE72" s="433"/>
      <c r="AF72" s="433">
        <v>80</v>
      </c>
      <c r="AG72" s="433"/>
      <c r="AH72" s="433"/>
      <c r="AJ72" s="1209" t="str" cm="1">
        <f t="array" aca="1" ref="AJ72" ca="1">IFERROR(INDEX(INDIRECT("Mejoras_"&amp;Sheele!$M$5),A2),"")</f>
        <v>Trueno del Alma</v>
      </c>
      <c r="AK72" s="1150"/>
    </row>
    <row r="73" spans="1:37" ht="16.5" customHeight="1">
      <c r="A73" s="265">
        <v>73</v>
      </c>
      <c r="B73" s="441">
        <v>21</v>
      </c>
      <c r="C73" s="424" t="s">
        <v>2405</v>
      </c>
      <c r="D73" s="431"/>
      <c r="E73" s="431"/>
      <c r="F73" s="431"/>
      <c r="G73" s="431"/>
      <c r="H73" s="431"/>
      <c r="I73" s="431"/>
      <c r="J73" s="431"/>
      <c r="K73" s="432"/>
      <c r="L73" s="431"/>
      <c r="M73" s="431"/>
      <c r="N73" s="431"/>
      <c r="O73" s="431"/>
      <c r="P73" s="431"/>
      <c r="Q73" s="431">
        <v>20</v>
      </c>
      <c r="R73" s="431"/>
      <c r="S73" s="431"/>
      <c r="T73" s="431"/>
      <c r="U73" s="431"/>
      <c r="V73" s="431"/>
      <c r="W73" s="4218">
        <f>IFERROR(IF(VLOOKUP(Sheele!O30,Personalización!#REF!,3,FALSE),VLOOKUP(Sheele!O30,Personalización!#REF!,3,FALSE),0),0)</f>
        <v>0</v>
      </c>
      <c r="X73" s="431"/>
      <c r="Y73" s="431">
        <v>20</v>
      </c>
      <c r="Z73" s="4218">
        <f>IFERROR(IF(VLOOKUP(Sheele!O30,Personalización!#REF!,4,FALSE),VLOOKUP(Sheele!O30,Personalización!#REF!,4,FALSE),0),0)</f>
        <v>0</v>
      </c>
      <c r="AA73" s="431"/>
      <c r="AB73" s="431"/>
      <c r="AC73" s="431">
        <v>80</v>
      </c>
      <c r="AD73" s="431"/>
      <c r="AE73" s="431"/>
      <c r="AF73" s="431"/>
      <c r="AG73" s="431"/>
      <c r="AH73" s="431"/>
      <c r="AJ73" s="1209" t="str" cm="1">
        <f t="array" aca="1" ref="AJ73" ca="1">IFERROR(INDEX(INDIRECT("Mejoras_"&amp;Sheele!$M$5),A3),"")</f>
        <v>Vendaval Afilado</v>
      </c>
      <c r="AK73" s="1150"/>
    </row>
    <row r="74" spans="1:37">
      <c r="A74" s="265">
        <v>74</v>
      </c>
      <c r="B74" s="441">
        <v>22</v>
      </c>
      <c r="C74" s="423" t="s">
        <v>1297</v>
      </c>
      <c r="D74" s="433"/>
      <c r="E74" s="433"/>
      <c r="F74" s="433"/>
      <c r="G74" s="433"/>
      <c r="H74" s="433"/>
      <c r="I74" s="433"/>
      <c r="J74" s="433">
        <v>80</v>
      </c>
      <c r="K74" s="434"/>
      <c r="L74" s="4149"/>
      <c r="M74" s="433"/>
      <c r="N74" s="433"/>
      <c r="O74" s="433"/>
      <c r="P74" s="433"/>
      <c r="Q74" s="433">
        <v>20</v>
      </c>
      <c r="R74" s="433">
        <v>60</v>
      </c>
      <c r="S74" s="433"/>
      <c r="T74" s="433"/>
      <c r="U74" s="433"/>
      <c r="V74" s="433">
        <v>40</v>
      </c>
      <c r="W74" s="2140">
        <f>IFERROR(IF(VLOOKUP(Sheele!O31,Personalización!#REF!,3,FALSE),VLOOKUP(Sheele!O31,Personalización!#REF!,3,FALSE),0),0)</f>
        <v>0</v>
      </c>
      <c r="X74" s="433"/>
      <c r="Y74" s="433"/>
      <c r="Z74" s="2140">
        <f>IFERROR(IF(VLOOKUP(Sheele!O31,Personalización!#REF!,4,FALSE),VLOOKUP(Sheele!O31,Personalización!#REF!,4,FALSE),0),0)</f>
        <v>0</v>
      </c>
      <c r="AA74" s="433">
        <v>80</v>
      </c>
      <c r="AB74" s="433"/>
      <c r="AC74" s="433"/>
      <c r="AD74" s="433"/>
      <c r="AE74" s="433"/>
      <c r="AF74" s="433"/>
      <c r="AG74" s="433">
        <v>30</v>
      </c>
      <c r="AH74" s="433">
        <v>80</v>
      </c>
      <c r="AJ74" s="1209" t="str" cm="1">
        <f t="array" aca="1" ref="AJ74" ca="1">IFERROR(INDEX(INDIRECT("Mejoras_"&amp;Sheele!$M$5),A4),"")</f>
        <v>Velocidad Absoluta</v>
      </c>
      <c r="AK74" s="1150"/>
    </row>
    <row r="75" spans="1:37">
      <c r="A75" s="265">
        <v>75</v>
      </c>
      <c r="B75" s="441">
        <v>23</v>
      </c>
      <c r="C75" s="424" t="s">
        <v>1299</v>
      </c>
      <c r="D75" s="431"/>
      <c r="E75" s="431"/>
      <c r="F75" s="431"/>
      <c r="G75" s="431"/>
      <c r="H75" s="431"/>
      <c r="I75" s="431"/>
      <c r="J75" s="431"/>
      <c r="K75" s="432"/>
      <c r="L75" s="431"/>
      <c r="M75" s="431"/>
      <c r="N75" s="431"/>
      <c r="O75" s="431"/>
      <c r="P75" s="431"/>
      <c r="Q75" s="431">
        <v>20</v>
      </c>
      <c r="R75" s="431"/>
      <c r="S75" s="431"/>
      <c r="T75" s="431"/>
      <c r="U75" s="431"/>
      <c r="V75" s="431"/>
      <c r="W75" s="4218">
        <f>IFERROR(IF(VLOOKUP(Sheele!O32,Personalización!#REF!,3,FALSE),VLOOKUP(Sheele!O32,Personalización!#REF!,3,FALSE),0),0)</f>
        <v>0</v>
      </c>
      <c r="X75" s="431"/>
      <c r="Y75" s="431"/>
      <c r="Z75" s="4218">
        <f>IFERROR(IF(VLOOKUP(Sheele!O32,Personalización!#REF!,4,FALSE),VLOOKUP(Sheele!O32,Personalización!#REF!,4,FALSE),0),0)</f>
        <v>0</v>
      </c>
      <c r="AA75" s="431"/>
      <c r="AB75" s="431"/>
      <c r="AC75" s="431"/>
      <c r="AD75" s="431"/>
      <c r="AE75" s="431"/>
      <c r="AF75" s="431"/>
      <c r="AG75" s="431"/>
      <c r="AH75" s="431"/>
      <c r="AJ75" s="1209" t="str" cm="1">
        <f t="array" aca="1" ref="AJ75" ca="1">IFERROR(INDEX(INDIRECT("Mejoras_"&amp;Sheele!$M$5),A5),"")</f>
        <v>Mano de Aire</v>
      </c>
      <c r="AK75" s="1150"/>
    </row>
    <row r="76" spans="1:37">
      <c r="A76" s="265">
        <v>76</v>
      </c>
      <c r="B76" s="441">
        <v>24</v>
      </c>
      <c r="C76" s="423" t="s">
        <v>688</v>
      </c>
      <c r="D76" s="433"/>
      <c r="E76" s="433"/>
      <c r="F76" s="433"/>
      <c r="G76" s="433"/>
      <c r="H76" s="433"/>
      <c r="I76" s="433"/>
      <c r="J76" s="433"/>
      <c r="K76" s="434"/>
      <c r="L76" s="433">
        <v>80</v>
      </c>
      <c r="M76" s="433"/>
      <c r="N76" s="433"/>
      <c r="O76" s="433"/>
      <c r="P76" s="433"/>
      <c r="Q76" s="433">
        <v>20</v>
      </c>
      <c r="R76" s="433"/>
      <c r="S76" s="433"/>
      <c r="T76" s="433"/>
      <c r="U76" s="433"/>
      <c r="V76" s="433"/>
      <c r="W76" s="2140">
        <f>IFERROR(IF(VLOOKUP(Sheele!O33,Personalización!#REF!,3,FALSE),VLOOKUP(Sheele!O33,Personalización!#REF!,3,FALSE),0),0)</f>
        <v>0</v>
      </c>
      <c r="X76" s="433"/>
      <c r="Y76" s="433"/>
      <c r="Z76" s="2140">
        <f>IFERROR(IF(VLOOKUP(Sheele!O33,Personalización!#REF!,4,FALSE),VLOOKUP(Sheele!O33,Personalización!#REF!,4,FALSE),0),0)</f>
        <v>0</v>
      </c>
      <c r="AA76" s="433"/>
      <c r="AB76" s="433"/>
      <c r="AC76" s="433"/>
      <c r="AD76" s="433"/>
      <c r="AE76" s="433">
        <v>80</v>
      </c>
      <c r="AF76" s="433"/>
      <c r="AG76" s="433"/>
      <c r="AH76" s="433"/>
      <c r="AJ76" s="1209" t="str" cm="1">
        <f t="array" aca="1" ref="AJ76" ca="1">IFERROR(INDEX(INDIRECT("Mejoras_"&amp;Sheele!$M$5),A6),"")</f>
        <v>Teletransporte</v>
      </c>
      <c r="AK76" s="1150"/>
    </row>
    <row r="77" spans="1:37">
      <c r="A77" s="265">
        <v>77</v>
      </c>
      <c r="B77" s="441">
        <v>25</v>
      </c>
      <c r="C77" s="424" t="s">
        <v>1302</v>
      </c>
      <c r="D77" s="431"/>
      <c r="E77" s="431"/>
      <c r="F77" s="431"/>
      <c r="G77" s="431"/>
      <c r="H77" s="431"/>
      <c r="I77" s="431"/>
      <c r="J77" s="431">
        <v>20</v>
      </c>
      <c r="K77" s="432"/>
      <c r="L77" s="431"/>
      <c r="M77" s="431"/>
      <c r="N77" s="431"/>
      <c r="O77" s="431"/>
      <c r="P77" s="431">
        <v>20</v>
      </c>
      <c r="Q77" s="431">
        <v>20</v>
      </c>
      <c r="R77" s="431">
        <v>60</v>
      </c>
      <c r="S77" s="431"/>
      <c r="T77" s="431"/>
      <c r="U77" s="431"/>
      <c r="V77" s="431">
        <v>80</v>
      </c>
      <c r="W77" s="4218">
        <f>IFERROR(IF(VLOOKUP(Sheele!O34,Personalización!#REF!,3,FALSE),VLOOKUP(Sheele!O34,Personalización!#REF!,3,FALSE),0),0)</f>
        <v>0</v>
      </c>
      <c r="X77" s="431"/>
      <c r="Y77" s="431"/>
      <c r="Z77" s="4218">
        <f>IFERROR(IF(VLOOKUP(Sheele!O34,Personalización!#REF!,4,FALSE),VLOOKUP(Sheele!O34,Personalización!#REF!,4,FALSE),0),0)</f>
        <v>0</v>
      </c>
      <c r="AA77" s="431">
        <v>80</v>
      </c>
      <c r="AB77" s="431"/>
      <c r="AC77" s="431"/>
      <c r="AD77" s="431"/>
      <c r="AE77" s="431"/>
      <c r="AF77" s="431"/>
      <c r="AG77" s="431"/>
      <c r="AH77" s="431"/>
      <c r="AJ77" s="1209" t="str" cm="1">
        <f t="array" aca="1" ref="AJ77" ca="1">IFERROR(INDEX(INDIRECT("Mejoras_"&amp;Sheele!$M$5),A7),"")</f>
        <v>Vuelo Mejorado</v>
      </c>
      <c r="AK77" s="1150"/>
    </row>
    <row r="78" spans="1:37">
      <c r="A78" s="265">
        <v>78</v>
      </c>
      <c r="B78" s="441">
        <v>26</v>
      </c>
      <c r="C78" s="423" t="s">
        <v>1303</v>
      </c>
      <c r="D78" s="433"/>
      <c r="E78" s="433"/>
      <c r="F78" s="433"/>
      <c r="G78" s="433">
        <v>20</v>
      </c>
      <c r="H78" s="433"/>
      <c r="I78" s="433"/>
      <c r="J78" s="433"/>
      <c r="K78" s="434"/>
      <c r="L78" s="433"/>
      <c r="M78" s="433"/>
      <c r="N78" s="433"/>
      <c r="O78" s="433"/>
      <c r="P78" s="433"/>
      <c r="Q78" s="433">
        <v>20</v>
      </c>
      <c r="R78" s="433">
        <v>40</v>
      </c>
      <c r="S78" s="433"/>
      <c r="T78" s="433"/>
      <c r="U78" s="433">
        <v>40</v>
      </c>
      <c r="V78" s="433"/>
      <c r="W78" s="2140">
        <f>IFERROR(IF(VLOOKUP(Sheele!O35,Personalización!#REF!,3,FALSE),VLOOKUP(Sheele!O35,Personalización!#REF!,3,FALSE),0),0)</f>
        <v>0</v>
      </c>
      <c r="X78" s="433"/>
      <c r="Y78" s="433"/>
      <c r="Z78" s="2140">
        <f>IFERROR(IF(VLOOKUP(Sheele!O35,Personalización!#REF!,4,FALSE),VLOOKUP(Sheele!O35,Personalización!#REF!,4,FALSE),0),0)</f>
        <v>0</v>
      </c>
      <c r="AA78" s="433"/>
      <c r="AB78" s="433"/>
      <c r="AC78" s="433"/>
      <c r="AD78" s="433"/>
      <c r="AE78" s="433"/>
      <c r="AF78" s="433"/>
      <c r="AG78" s="433"/>
      <c r="AH78" s="433"/>
      <c r="AJ78" s="1209" t="str" cm="1">
        <f t="array" aca="1" ref="AJ78" ca="1">IFERROR(INDEX(INDIRECT("Mejoras_"&amp;Sheele!$M$5),A8),"")</f>
        <v>Proyectiles Potenciados</v>
      </c>
      <c r="AK78" s="1150"/>
    </row>
    <row r="79" spans="1:37">
      <c r="A79" s="265">
        <v>79</v>
      </c>
      <c r="B79" s="441">
        <v>27</v>
      </c>
      <c r="C79" s="424" t="s">
        <v>1304</v>
      </c>
      <c r="D79" s="431"/>
      <c r="E79" s="431">
        <v>60</v>
      </c>
      <c r="F79" s="431"/>
      <c r="G79" s="431"/>
      <c r="H79" s="431"/>
      <c r="I79" s="431"/>
      <c r="J79" s="431"/>
      <c r="K79" s="432"/>
      <c r="L79" s="431">
        <v>60</v>
      </c>
      <c r="M79" s="431"/>
      <c r="N79" s="431"/>
      <c r="O79" s="431"/>
      <c r="P79" s="431"/>
      <c r="Q79" s="431">
        <v>20</v>
      </c>
      <c r="R79" s="431"/>
      <c r="S79" s="431"/>
      <c r="T79" s="431"/>
      <c r="U79" s="431"/>
      <c r="V79" s="431"/>
      <c r="W79" s="4218">
        <f>IFERROR(IF(VLOOKUP(Sheele!O36,Personalización!#REF!,3,FALSE),VLOOKUP(Sheele!O36,Personalización!#REF!,3,FALSE),0),0)</f>
        <v>0</v>
      </c>
      <c r="X79" s="431"/>
      <c r="Y79" s="431"/>
      <c r="Z79" s="4218">
        <f>IFERROR(IF(VLOOKUP(Sheele!O36,Personalización!#REF!,4,FALSE),VLOOKUP(Sheele!O36,Personalización!#REF!,4,FALSE),0),0)</f>
        <v>0</v>
      </c>
      <c r="AA79" s="431"/>
      <c r="AB79" s="431">
        <v>80</v>
      </c>
      <c r="AC79" s="431"/>
      <c r="AD79" s="431"/>
      <c r="AE79" s="431"/>
      <c r="AF79" s="431"/>
      <c r="AG79" s="431"/>
      <c r="AH79" s="431"/>
      <c r="AJ79" s="1209" t="str" cm="1">
        <f t="array" aca="1" ref="AJ79" ca="1">IFERROR(INDEX(INDIRECT("Mejoras_"&amp;Sheele!$M$5),A9),"")</f>
        <v>Hab. Mejoradas (Aire)</v>
      </c>
      <c r="AK79" s="1150"/>
    </row>
    <row r="80" spans="1:37">
      <c r="A80" s="265">
        <v>80</v>
      </c>
      <c r="B80" s="441">
        <v>28</v>
      </c>
      <c r="C80" s="423" t="s">
        <v>1305</v>
      </c>
      <c r="D80" s="433"/>
      <c r="E80" s="433"/>
      <c r="F80" s="433"/>
      <c r="G80" s="433"/>
      <c r="H80" s="433"/>
      <c r="I80" s="433"/>
      <c r="J80" s="433"/>
      <c r="K80" s="434"/>
      <c r="L80" s="4149"/>
      <c r="M80" s="433">
        <v>60</v>
      </c>
      <c r="N80" s="433"/>
      <c r="O80" s="433">
        <v>60</v>
      </c>
      <c r="P80" s="433"/>
      <c r="Q80" s="433">
        <v>20</v>
      </c>
      <c r="R80" s="433"/>
      <c r="S80" s="433">
        <v>40</v>
      </c>
      <c r="T80" s="433"/>
      <c r="U80" s="433"/>
      <c r="V80" s="433">
        <v>80</v>
      </c>
      <c r="W80" s="2140">
        <f>IFERROR(IF(VLOOKUP(Sheele!O37,Personalización!#REF!,3,FALSE),VLOOKUP(Sheele!O37,Personalización!#REF!,3,FALSE),0),0)</f>
        <v>0</v>
      </c>
      <c r="X80" s="433"/>
      <c r="Y80" s="433"/>
      <c r="Z80" s="2140">
        <f>IFERROR(IF(VLOOKUP(Sheele!O37,Personalización!#REF!,4,FALSE),VLOOKUP(Sheele!O37,Personalización!#REF!,4,FALSE),0),0)</f>
        <v>0</v>
      </c>
      <c r="AA80" s="433"/>
      <c r="AB80" s="433"/>
      <c r="AC80" s="433">
        <v>40</v>
      </c>
      <c r="AD80" s="433"/>
      <c r="AE80" s="433"/>
      <c r="AF80" s="433"/>
      <c r="AG80" s="433">
        <v>80</v>
      </c>
      <c r="AH80" s="433">
        <v>80</v>
      </c>
      <c r="AJ80" s="1209" t="str" cm="1">
        <f t="array" aca="1" ref="AJ80" ca="1">IFERROR(INDEX(INDIRECT("Mejoras_"&amp;Sheele!$M$5),A10),"")</f>
        <v>Forma eléctrica</v>
      </c>
      <c r="AK80" s="1150"/>
    </row>
    <row r="81" spans="1:37" ht="13.5" thickBot="1">
      <c r="A81" s="265">
        <v>81</v>
      </c>
      <c r="B81" s="441">
        <v>29</v>
      </c>
      <c r="C81" s="424" t="s">
        <v>1306</v>
      </c>
      <c r="D81" s="431"/>
      <c r="E81" s="431"/>
      <c r="F81" s="431"/>
      <c r="G81" s="431">
        <v>20</v>
      </c>
      <c r="H81" s="431"/>
      <c r="I81" s="431"/>
      <c r="J81" s="431"/>
      <c r="K81" s="432"/>
      <c r="L81" s="431"/>
      <c r="M81" s="431"/>
      <c r="N81" s="431"/>
      <c r="O81" s="431"/>
      <c r="P81" s="431"/>
      <c r="Q81" s="431">
        <v>20</v>
      </c>
      <c r="R81" s="431"/>
      <c r="S81" s="431"/>
      <c r="T81" s="431"/>
      <c r="U81" s="431"/>
      <c r="V81" s="431"/>
      <c r="W81" s="4218">
        <f>IFERROR(IF(VLOOKUP(Sheele!O38,Personalización!#REF!,3,FALSE),VLOOKUP(Sheele!O38,Personalización!#REF!,3,FALSE),0),0)</f>
        <v>0</v>
      </c>
      <c r="X81" s="431"/>
      <c r="Y81" s="431">
        <v>20</v>
      </c>
      <c r="Z81" s="4218">
        <f>IFERROR(IF(VLOOKUP(Sheele!O38,Personalización!#REF!,4,FALSE),VLOOKUP(Sheele!O38,Personalización!#REF!,4,FALSE),0),0)</f>
        <v>0</v>
      </c>
      <c r="AA81" s="431">
        <v>40</v>
      </c>
      <c r="AB81" s="431"/>
      <c r="AC81" s="431">
        <v>60</v>
      </c>
      <c r="AD81" s="431"/>
      <c r="AE81" s="431"/>
      <c r="AF81" s="431"/>
      <c r="AG81" s="431"/>
      <c r="AH81" s="431"/>
      <c r="AJ81" s="1210" t="str" cm="1">
        <f t="array" aca="1" ref="AJ81" ca="1">IFERROR(INDEX(INDIRECT("Mejoras_"&amp;Sheele!$M$5),A11),"")</f>
        <v>Reacción Veloz</v>
      </c>
      <c r="AK81" s="1155"/>
    </row>
    <row r="82" spans="1:37" ht="12.75" customHeight="1">
      <c r="A82" s="265">
        <v>82</v>
      </c>
      <c r="B82" s="441">
        <v>30</v>
      </c>
      <c r="C82" s="4157" t="s">
        <v>1307</v>
      </c>
      <c r="D82" s="433">
        <v>80</v>
      </c>
      <c r="E82" s="433">
        <v>80</v>
      </c>
      <c r="F82" s="433">
        <v>80</v>
      </c>
      <c r="G82" s="433">
        <v>60</v>
      </c>
      <c r="H82" s="433">
        <v>100</v>
      </c>
      <c r="I82" s="433">
        <v>100</v>
      </c>
      <c r="J82" s="433">
        <v>80</v>
      </c>
      <c r="K82" s="4158">
        <v>80</v>
      </c>
      <c r="L82" s="433">
        <v>60</v>
      </c>
      <c r="M82" s="433">
        <v>80</v>
      </c>
      <c r="N82" s="433">
        <v>60</v>
      </c>
      <c r="O82" s="433">
        <v>80</v>
      </c>
      <c r="P82" s="433">
        <v>60</v>
      </c>
      <c r="Q82" s="433">
        <v>20</v>
      </c>
      <c r="R82" s="433">
        <v>60</v>
      </c>
      <c r="S82" s="433">
        <v>60</v>
      </c>
      <c r="T82" s="433">
        <v>60</v>
      </c>
      <c r="U82" s="433">
        <v>60</v>
      </c>
      <c r="V82" s="433">
        <v>60</v>
      </c>
      <c r="W82" s="2140">
        <f>IFERROR(IF(VLOOKUP(Sheele!O39,Personalización!#REF!,3,FALSE),VLOOKUP(Sheele!O39,Personalización!#REF!,3,FALSE),0),0)</f>
        <v>0</v>
      </c>
      <c r="X82" s="433">
        <v>60</v>
      </c>
      <c r="Y82" s="433">
        <v>60</v>
      </c>
      <c r="Z82" s="2140">
        <f>IFERROR(IF(VLOOKUP(Sheele!O39,Personalización!#REF!,4,FALSE),VLOOKUP(Sheele!O39,Personalización!#REF!,4,FALSE),0),0)</f>
        <v>0</v>
      </c>
      <c r="AA82" s="433">
        <v>60</v>
      </c>
      <c r="AB82" s="433">
        <v>60</v>
      </c>
      <c r="AC82" s="433">
        <v>60</v>
      </c>
      <c r="AD82" s="433">
        <v>60</v>
      </c>
      <c r="AE82" s="433">
        <v>60</v>
      </c>
      <c r="AF82" s="433">
        <v>60</v>
      </c>
      <c r="AG82" s="433">
        <v>80</v>
      </c>
      <c r="AH82" s="433">
        <v>60</v>
      </c>
    </row>
    <row r="83" spans="1:37">
      <c r="A83" s="265">
        <v>83</v>
      </c>
      <c r="B83" s="441">
        <v>31</v>
      </c>
      <c r="C83" s="4159" t="s">
        <v>10029</v>
      </c>
      <c r="D83" s="4155"/>
      <c r="E83" s="4155"/>
      <c r="F83" s="4155"/>
      <c r="G83" s="4155"/>
      <c r="H83" s="4155"/>
      <c r="I83" s="4155"/>
      <c r="J83" s="4155"/>
      <c r="K83" s="4160"/>
      <c r="L83" s="4154"/>
      <c r="M83" s="4155">
        <v>40</v>
      </c>
      <c r="N83" s="4155"/>
      <c r="O83" s="4155"/>
      <c r="P83" s="4155"/>
      <c r="Q83" s="4155">
        <v>20</v>
      </c>
      <c r="R83" s="4155"/>
      <c r="S83" s="4155"/>
      <c r="T83" s="4155"/>
      <c r="U83" s="4155"/>
      <c r="V83" s="4155"/>
      <c r="W83" s="4218">
        <f>IFERROR(IF(VLOOKUP(Sheele!O40,Personalización!#REF!,3,FALSE),VLOOKUP(Sheele!O40,Personalización!#REF!,3,FALSE),0),0)</f>
        <v>0</v>
      </c>
      <c r="X83" s="4155"/>
      <c r="Y83" s="4155"/>
      <c r="Z83" s="4218">
        <f>IFERROR(IF(VLOOKUP(Sheele!O40,Personalización!#REF!,4,FALSE),VLOOKUP(Sheele!O40,Personalización!#REF!,4,FALSE),0),0)</f>
        <v>0</v>
      </c>
      <c r="AA83" s="4155"/>
      <c r="AB83" s="4155"/>
      <c r="AC83" s="4155"/>
      <c r="AD83" s="4155"/>
      <c r="AE83" s="4155"/>
      <c r="AF83" s="4155"/>
      <c r="AG83" s="4155"/>
      <c r="AH83" s="4155"/>
    </row>
    <row r="84" spans="1:37">
      <c r="A84" s="265">
        <v>84</v>
      </c>
      <c r="B84" s="441">
        <v>32</v>
      </c>
      <c r="C84" s="423" t="s">
        <v>1309</v>
      </c>
      <c r="D84" s="433"/>
      <c r="E84" s="433">
        <v>40</v>
      </c>
      <c r="F84" s="433"/>
      <c r="G84" s="433"/>
      <c r="H84" s="433"/>
      <c r="I84" s="433"/>
      <c r="J84" s="433"/>
      <c r="K84" s="434"/>
      <c r="L84" s="4149"/>
      <c r="M84" s="433"/>
      <c r="N84" s="433"/>
      <c r="O84" s="433">
        <v>40</v>
      </c>
      <c r="P84" s="433"/>
      <c r="Q84" s="433"/>
      <c r="R84" s="433"/>
      <c r="S84" s="433"/>
      <c r="T84" s="433">
        <v>40</v>
      </c>
      <c r="U84" s="433"/>
      <c r="V84" s="433"/>
      <c r="W84" s="2140">
        <f>IFERROR(IF(VLOOKUP(Sheele!O41,Personalización!#REF!,3,FALSE),VLOOKUP(Sheele!O41,Personalización!#REF!,3,FALSE),0),0)</f>
        <v>0</v>
      </c>
      <c r="X84" s="433"/>
      <c r="Y84" s="433"/>
      <c r="Z84" s="2140">
        <f>IFERROR(IF(VLOOKUP(Sheele!O41,Personalización!#REF!,4,FALSE),VLOOKUP(Sheele!O41,Personalización!#REF!,4,FALSE),0),0)</f>
        <v>0</v>
      </c>
      <c r="AA84" s="433"/>
      <c r="AB84" s="433"/>
      <c r="AC84" s="433"/>
      <c r="AD84" s="433"/>
      <c r="AE84" s="433"/>
      <c r="AF84" s="433"/>
      <c r="AG84" s="433"/>
      <c r="AH84" s="433"/>
    </row>
    <row r="85" spans="1:37" ht="12.75" customHeight="1">
      <c r="A85" s="265">
        <v>85</v>
      </c>
      <c r="B85" s="441">
        <v>33</v>
      </c>
      <c r="C85" s="4161" t="s">
        <v>1310</v>
      </c>
      <c r="D85" s="431"/>
      <c r="E85" s="431"/>
      <c r="F85" s="431">
        <v>20</v>
      </c>
      <c r="G85" s="431">
        <v>60</v>
      </c>
      <c r="H85" s="431"/>
      <c r="I85" s="431"/>
      <c r="J85" s="431"/>
      <c r="K85" s="4162"/>
      <c r="L85" s="4156"/>
      <c r="M85" s="431"/>
      <c r="N85" s="431"/>
      <c r="O85" s="431"/>
      <c r="P85" s="431"/>
      <c r="Q85" s="431"/>
      <c r="R85" s="431"/>
      <c r="S85" s="431"/>
      <c r="T85" s="431"/>
      <c r="U85" s="431"/>
      <c r="V85" s="431"/>
      <c r="W85" s="4218">
        <f>IFERROR(IF(VLOOKUP(Sheele!O42,Personalización!#REF!,3,FALSE),VLOOKUP(Sheele!O42,Personalización!#REF!,3,FALSE),0),0)</f>
        <v>0</v>
      </c>
      <c r="X85" s="431"/>
      <c r="Y85" s="431"/>
      <c r="Z85" s="4218">
        <f>IFERROR(IF(VLOOKUP(Sheele!O42,Personalización!#REF!,4,FALSE),VLOOKUP(Sheele!O42,Personalización!#REF!,4,FALSE),0),0)</f>
        <v>0</v>
      </c>
      <c r="AA85" s="431"/>
      <c r="AB85" s="431"/>
      <c r="AC85" s="431"/>
      <c r="AD85" s="431"/>
      <c r="AE85" s="431"/>
      <c r="AF85" s="431"/>
      <c r="AG85" s="431"/>
      <c r="AH85" s="431"/>
    </row>
    <row r="86" spans="1:37">
      <c r="A86" s="265">
        <v>86</v>
      </c>
      <c r="B86" s="441">
        <v>34</v>
      </c>
      <c r="C86" s="4157" t="s">
        <v>1313</v>
      </c>
      <c r="D86" s="433"/>
      <c r="E86" s="433"/>
      <c r="F86" s="433">
        <v>20</v>
      </c>
      <c r="G86" s="433">
        <v>40</v>
      </c>
      <c r="H86" s="433"/>
      <c r="I86" s="433"/>
      <c r="J86" s="433"/>
      <c r="K86" s="4158"/>
      <c r="L86" s="433"/>
      <c r="M86" s="433"/>
      <c r="N86" s="433"/>
      <c r="O86" s="433"/>
      <c r="P86" s="433"/>
      <c r="Q86" s="433"/>
      <c r="R86" s="433"/>
      <c r="S86" s="433"/>
      <c r="T86" s="433">
        <v>60</v>
      </c>
      <c r="U86" s="433"/>
      <c r="V86" s="433"/>
      <c r="W86" s="2140">
        <f>IFERROR(IF(VLOOKUP(Sheele!O43,Personalización!#REF!,3,FALSE),VLOOKUP(Sheele!O43,Personalización!#REF!,3,FALSE),0),0)</f>
        <v>0</v>
      </c>
      <c r="X86" s="433"/>
      <c r="Y86" s="433"/>
      <c r="Z86" s="2140">
        <f>IFERROR(IF(VLOOKUP(Sheele!O43,Personalización!#REF!,4,FALSE),VLOOKUP(Sheele!O43,Personalización!#REF!,4,FALSE),0),0)</f>
        <v>0</v>
      </c>
      <c r="AA86" s="433"/>
      <c r="AB86" s="433"/>
      <c r="AC86" s="433"/>
      <c r="AD86" s="433"/>
      <c r="AE86" s="433"/>
      <c r="AF86" s="433"/>
      <c r="AG86" s="433"/>
      <c r="AH86" s="433"/>
    </row>
    <row r="87" spans="1:37">
      <c r="A87" s="265">
        <v>87</v>
      </c>
      <c r="B87" s="441">
        <v>35</v>
      </c>
      <c r="C87" s="4163" t="s">
        <v>1317</v>
      </c>
      <c r="D87" s="4153"/>
      <c r="E87" s="4153"/>
      <c r="F87" s="4153"/>
      <c r="G87" s="4153">
        <v>20</v>
      </c>
      <c r="H87" s="4153"/>
      <c r="I87" s="4153"/>
      <c r="J87" s="4153"/>
      <c r="K87" s="4164"/>
      <c r="L87" s="4153"/>
      <c r="M87" s="4153"/>
      <c r="N87" s="4153"/>
      <c r="O87" s="4153"/>
      <c r="P87" s="4153"/>
      <c r="Q87" s="4153"/>
      <c r="R87" s="4153"/>
      <c r="S87" s="4153"/>
      <c r="T87" s="4153"/>
      <c r="U87" s="4153"/>
      <c r="V87" s="4153"/>
      <c r="W87" s="4218">
        <f>IFERROR(IF(VLOOKUP(Sheele!O44,Personalización!#REF!,3,FALSE),VLOOKUP(Sheele!O44,Personalización!#REF!,3,FALSE),0),0)</f>
        <v>0</v>
      </c>
      <c r="X87" s="4153"/>
      <c r="Y87" s="4153"/>
      <c r="Z87" s="4218">
        <f>IFERROR(IF(VLOOKUP(Sheele!O44,Personalización!#REF!,4,FALSE),VLOOKUP(Sheele!O44,Personalización!#REF!,4,FALSE),0),0)</f>
        <v>0</v>
      </c>
      <c r="AA87" s="4153"/>
      <c r="AB87" s="4153"/>
      <c r="AC87" s="4153"/>
      <c r="AD87" s="4153"/>
      <c r="AE87" s="4153"/>
      <c r="AF87" s="4153"/>
      <c r="AG87" s="4153"/>
      <c r="AH87" s="4153"/>
    </row>
    <row r="88" spans="1:37">
      <c r="A88" s="265">
        <v>88</v>
      </c>
      <c r="B88" s="441">
        <v>36</v>
      </c>
      <c r="C88" s="423" t="s">
        <v>1319</v>
      </c>
      <c r="D88" s="433"/>
      <c r="E88" s="433"/>
      <c r="F88" s="433"/>
      <c r="G88" s="433"/>
      <c r="H88" s="433"/>
      <c r="I88" s="433"/>
      <c r="J88" s="433"/>
      <c r="K88" s="434">
        <v>20</v>
      </c>
      <c r="L88" s="433"/>
      <c r="M88" s="433"/>
      <c r="N88" s="433"/>
      <c r="O88" s="433"/>
      <c r="P88" s="433"/>
      <c r="Q88" s="433"/>
      <c r="R88" s="433"/>
      <c r="S88" s="433"/>
      <c r="T88" s="433"/>
      <c r="U88" s="433"/>
      <c r="V88" s="433"/>
      <c r="W88" s="2140">
        <f>IFERROR(IF(VLOOKUP(Sheele!O45,Personalización!#REF!,3,FALSE),VLOOKUP(Sheele!O45,Personalización!#REF!,3,FALSE),0),0)</f>
        <v>0</v>
      </c>
      <c r="X88" s="433"/>
      <c r="Y88" s="433"/>
      <c r="Z88" s="2140">
        <f>IFERROR(IF(VLOOKUP(Sheele!O45,Personalización!#REF!,4,FALSE),VLOOKUP(Sheele!O45,Personalización!#REF!,4,FALSE),0),0)</f>
        <v>0</v>
      </c>
      <c r="AA88" s="433"/>
      <c r="AB88" s="433"/>
      <c r="AC88" s="433"/>
      <c r="AD88" s="433"/>
      <c r="AE88" s="433"/>
      <c r="AF88" s="433"/>
      <c r="AG88" s="433"/>
      <c r="AH88" s="433"/>
    </row>
    <row r="89" spans="1:37">
      <c r="A89" s="265">
        <v>89</v>
      </c>
      <c r="B89" s="441">
        <v>37</v>
      </c>
      <c r="C89" s="424" t="s">
        <v>1321</v>
      </c>
      <c r="D89" s="431"/>
      <c r="E89" s="431"/>
      <c r="F89" s="431"/>
      <c r="G89" s="431"/>
      <c r="H89" s="431"/>
      <c r="I89" s="431">
        <v>20</v>
      </c>
      <c r="J89" s="431"/>
      <c r="K89" s="432">
        <v>20</v>
      </c>
      <c r="L89" s="431"/>
      <c r="M89" s="431"/>
      <c r="N89" s="431"/>
      <c r="O89" s="431">
        <v>60</v>
      </c>
      <c r="P89" s="431"/>
      <c r="Q89" s="431"/>
      <c r="R89" s="431">
        <v>20</v>
      </c>
      <c r="S89" s="431"/>
      <c r="T89" s="431"/>
      <c r="U89" s="431"/>
      <c r="V89" s="431"/>
      <c r="W89" s="4218">
        <f>IFERROR(IF(VLOOKUP(Sheele!O46,Personalización!#REF!,3,FALSE),VLOOKUP(Sheele!O46,Personalización!#REF!,3,FALSE),0),0)</f>
        <v>0</v>
      </c>
      <c r="X89" s="431"/>
      <c r="Y89" s="431">
        <v>40</v>
      </c>
      <c r="Z89" s="4218">
        <f>IFERROR(IF(VLOOKUP(Sheele!O46,Personalización!#REF!,4,FALSE),VLOOKUP(Sheele!O46,Personalización!#REF!,4,FALSE),0),0)</f>
        <v>0</v>
      </c>
      <c r="AA89" s="431"/>
      <c r="AB89" s="431"/>
      <c r="AC89" s="431"/>
      <c r="AD89" s="431"/>
      <c r="AE89" s="431"/>
      <c r="AF89" s="431"/>
      <c r="AG89" s="431"/>
      <c r="AH89" s="431"/>
    </row>
    <row r="90" spans="1:37">
      <c r="A90" s="265">
        <v>90</v>
      </c>
      <c r="B90" s="441">
        <v>38</v>
      </c>
      <c r="C90" s="423" t="s">
        <v>1323</v>
      </c>
      <c r="D90" s="433">
        <v>40</v>
      </c>
      <c r="E90" s="433"/>
      <c r="F90" s="433"/>
      <c r="G90" s="433"/>
      <c r="H90" s="433"/>
      <c r="I90" s="433">
        <v>60</v>
      </c>
      <c r="J90" s="433"/>
      <c r="K90" s="434">
        <v>20</v>
      </c>
      <c r="L90" s="433"/>
      <c r="M90" s="433"/>
      <c r="N90" s="433"/>
      <c r="O90" s="433"/>
      <c r="P90" s="433"/>
      <c r="Q90" s="433"/>
      <c r="R90" s="433"/>
      <c r="S90" s="433">
        <v>20</v>
      </c>
      <c r="T90" s="433"/>
      <c r="U90" s="433"/>
      <c r="V90" s="433"/>
      <c r="W90" s="2140">
        <f>IFERROR(IF(VLOOKUP(Sheele!O47,Personalización!#REF!,3,FALSE),VLOOKUP(Sheele!O47,Personalización!#REF!,3,FALSE),0),0)</f>
        <v>0</v>
      </c>
      <c r="X90" s="433"/>
      <c r="Y90" s="433"/>
      <c r="Z90" s="2140">
        <f>IFERROR(IF(VLOOKUP(Sheele!O47,Personalización!#REF!,4,FALSE),VLOOKUP(Sheele!O47,Personalización!#REF!,4,FALSE),0),0)</f>
        <v>0</v>
      </c>
      <c r="AA90" s="433"/>
      <c r="AB90" s="433"/>
      <c r="AC90" s="433"/>
      <c r="AD90" s="433"/>
      <c r="AE90" s="433">
        <v>60</v>
      </c>
      <c r="AF90" s="433"/>
      <c r="AG90" s="433"/>
      <c r="AH90" s="433"/>
    </row>
    <row r="91" spans="1:37">
      <c r="A91" s="265">
        <v>91</v>
      </c>
      <c r="B91" s="441">
        <v>39</v>
      </c>
      <c r="C91" s="424" t="s">
        <v>1325</v>
      </c>
      <c r="D91" s="431"/>
      <c r="E91" s="431"/>
      <c r="F91" s="431"/>
      <c r="G91" s="431"/>
      <c r="H91" s="431"/>
      <c r="I91" s="431">
        <v>60</v>
      </c>
      <c r="J91" s="431"/>
      <c r="K91" s="432">
        <v>20</v>
      </c>
      <c r="L91" s="431"/>
      <c r="M91" s="431"/>
      <c r="N91" s="431"/>
      <c r="O91" s="431">
        <v>60</v>
      </c>
      <c r="P91" s="431"/>
      <c r="Q91" s="431"/>
      <c r="R91" s="431">
        <v>30</v>
      </c>
      <c r="S91" s="431"/>
      <c r="T91" s="431"/>
      <c r="U91" s="431"/>
      <c r="V91" s="431"/>
      <c r="W91" s="4218">
        <f>IFERROR(IF(VLOOKUP(Sheele!O48,Personalización!#REF!,3,FALSE),VLOOKUP(Sheele!O48,Personalización!#REF!,3,FALSE),0),0)</f>
        <v>0</v>
      </c>
      <c r="X91" s="431"/>
      <c r="Y91" s="431">
        <v>40</v>
      </c>
      <c r="Z91" s="4218">
        <f>IFERROR(IF(VLOOKUP(Sheele!O48,Personalización!#REF!,4,FALSE),VLOOKUP(Sheele!O48,Personalización!#REF!,4,FALSE),0),0)</f>
        <v>0</v>
      </c>
      <c r="AA91" s="431"/>
      <c r="AB91" s="431"/>
      <c r="AC91" s="431"/>
      <c r="AD91" s="431"/>
      <c r="AE91" s="431">
        <v>40</v>
      </c>
      <c r="AF91" s="431"/>
      <c r="AG91" s="431"/>
      <c r="AH91" s="431"/>
    </row>
    <row r="92" spans="1:37" ht="16.5" customHeight="1">
      <c r="A92" s="265">
        <v>92</v>
      </c>
      <c r="B92" s="441">
        <v>40</v>
      </c>
      <c r="C92" s="423" t="s">
        <v>1327</v>
      </c>
      <c r="D92" s="433"/>
      <c r="E92" s="433"/>
      <c r="F92" s="433"/>
      <c r="G92" s="433"/>
      <c r="H92" s="433"/>
      <c r="I92" s="433"/>
      <c r="J92" s="433"/>
      <c r="K92" s="434"/>
      <c r="L92" s="433"/>
      <c r="M92" s="433"/>
      <c r="N92" s="433"/>
      <c r="O92" s="433"/>
      <c r="P92" s="433"/>
      <c r="Q92" s="433"/>
      <c r="R92" s="433"/>
      <c r="S92" s="433"/>
      <c r="T92" s="433"/>
      <c r="U92" s="433"/>
      <c r="V92" s="433"/>
      <c r="W92" s="2140">
        <f>IFERROR(IF(VLOOKUP(Sheele!O49,Personalización!#REF!,3,FALSE),VLOOKUP(Sheele!O49,Personalización!#REF!,3,FALSE),0),0)</f>
        <v>0</v>
      </c>
      <c r="X92" s="433"/>
      <c r="Y92" s="433"/>
      <c r="Z92" s="2140">
        <f>IFERROR(IF(VLOOKUP(Sheele!O49,Personalización!#REF!,4,FALSE),VLOOKUP(Sheele!O49,Personalización!#REF!,4,FALSE),0),0)</f>
        <v>0</v>
      </c>
      <c r="AA92" s="433"/>
      <c r="AB92" s="433"/>
      <c r="AC92" s="433"/>
      <c r="AD92" s="433"/>
      <c r="AE92" s="433"/>
      <c r="AF92" s="433"/>
      <c r="AG92" s="433"/>
      <c r="AH92" s="433"/>
    </row>
    <row r="93" spans="1:37">
      <c r="A93" s="265">
        <v>93</v>
      </c>
      <c r="B93" s="441">
        <v>41</v>
      </c>
      <c r="C93" s="4159" t="s">
        <v>1328</v>
      </c>
      <c r="D93" s="4155"/>
      <c r="E93" s="4155">
        <v>20</v>
      </c>
      <c r="F93" s="4155"/>
      <c r="G93" s="4155"/>
      <c r="H93" s="4155"/>
      <c r="I93" s="4155"/>
      <c r="J93" s="4155">
        <v>80</v>
      </c>
      <c r="K93" s="4160"/>
      <c r="L93" s="4154"/>
      <c r="M93" s="4155"/>
      <c r="N93" s="4155"/>
      <c r="O93" s="4155"/>
      <c r="P93" s="4155"/>
      <c r="Q93" s="4155"/>
      <c r="R93" s="4155"/>
      <c r="S93" s="4155"/>
      <c r="T93" s="4155"/>
      <c r="U93" s="4155"/>
      <c r="V93" s="4155"/>
      <c r="W93" s="4218">
        <f>IFERROR(IF(VLOOKUP(Sheele!O50,Personalización!#REF!,3,FALSE),VLOOKUP(Sheele!O50,Personalización!#REF!,3,FALSE),0),0)</f>
        <v>0</v>
      </c>
      <c r="X93" s="4155"/>
      <c r="Y93" s="4155"/>
      <c r="Z93" s="4218">
        <f>IFERROR(IF(VLOOKUP(Sheele!O50,Personalización!#REF!,4,FALSE),VLOOKUP(Sheele!O50,Personalización!#REF!,4,FALSE),0),0)</f>
        <v>0</v>
      </c>
      <c r="AA93" s="4155"/>
      <c r="AB93" s="4155"/>
      <c r="AC93" s="4155">
        <v>30</v>
      </c>
      <c r="AD93" s="4155"/>
      <c r="AE93" s="4155"/>
      <c r="AF93" s="4155"/>
      <c r="AG93" s="4155"/>
      <c r="AH93" s="4155"/>
    </row>
    <row r="94" spans="1:37">
      <c r="A94" s="265">
        <v>94</v>
      </c>
      <c r="B94" s="441">
        <v>42</v>
      </c>
      <c r="C94" s="423" t="s">
        <v>1330</v>
      </c>
      <c r="D94" s="433"/>
      <c r="E94" s="433"/>
      <c r="F94" s="433"/>
      <c r="G94" s="433"/>
      <c r="H94" s="433">
        <v>20</v>
      </c>
      <c r="I94" s="433"/>
      <c r="J94" s="433"/>
      <c r="K94" s="434"/>
      <c r="L94" s="4149"/>
      <c r="M94" s="433"/>
      <c r="N94" s="433">
        <v>40</v>
      </c>
      <c r="O94" s="433"/>
      <c r="P94" s="433">
        <v>80</v>
      </c>
      <c r="Q94" s="433"/>
      <c r="R94" s="433"/>
      <c r="S94" s="433"/>
      <c r="T94" s="433"/>
      <c r="U94" s="433"/>
      <c r="V94" s="433"/>
      <c r="W94" s="2140">
        <f>IFERROR(IF(VLOOKUP(Sheele!O51,Personalización!#REF!,3,FALSE),VLOOKUP(Sheele!O51,Personalización!#REF!,3,FALSE),0),0)</f>
        <v>0</v>
      </c>
      <c r="X94" s="433"/>
      <c r="Y94" s="433"/>
      <c r="Z94" s="2140">
        <f>IFERROR(IF(VLOOKUP(Sheele!O51,Personalización!#REF!,4,FALSE),VLOOKUP(Sheele!O51,Personalización!#REF!,4,FALSE),0),0)</f>
        <v>0</v>
      </c>
      <c r="AA94" s="433"/>
      <c r="AB94" s="433">
        <v>30</v>
      </c>
      <c r="AC94" s="433"/>
      <c r="AD94" s="433"/>
      <c r="AE94" s="433"/>
      <c r="AF94" s="433">
        <v>40</v>
      </c>
      <c r="AG94" s="433">
        <v>60</v>
      </c>
      <c r="AH94" s="433"/>
    </row>
    <row r="95" spans="1:37">
      <c r="A95" s="265">
        <v>95</v>
      </c>
      <c r="B95" s="441">
        <v>43</v>
      </c>
      <c r="C95" s="424" t="s">
        <v>1331</v>
      </c>
      <c r="D95" s="431">
        <v>40</v>
      </c>
      <c r="E95" s="431"/>
      <c r="F95" s="431"/>
      <c r="G95" s="431"/>
      <c r="H95" s="431"/>
      <c r="I95" s="431"/>
      <c r="J95" s="431"/>
      <c r="K95" s="432"/>
      <c r="L95" s="4156"/>
      <c r="M95" s="431"/>
      <c r="N95" s="431">
        <v>40</v>
      </c>
      <c r="O95" s="431"/>
      <c r="P95" s="431"/>
      <c r="Q95" s="431"/>
      <c r="R95" s="431"/>
      <c r="S95" s="431"/>
      <c r="T95" s="431"/>
      <c r="U95" s="431"/>
      <c r="V95" s="431"/>
      <c r="W95" s="4218">
        <f>IFERROR(IF(VLOOKUP(Sheele!O52,Personalización!#REF!,3,FALSE),VLOOKUP(Sheele!O52,Personalización!#REF!,3,FALSE),0),0)</f>
        <v>0</v>
      </c>
      <c r="X95" s="431">
        <v>40</v>
      </c>
      <c r="Y95" s="431"/>
      <c r="Z95" s="4218">
        <f>IFERROR(IF(VLOOKUP(Sheele!O52,Personalización!#REF!,4,FALSE),VLOOKUP(Sheele!O52,Personalización!#REF!,4,FALSE),0),0)</f>
        <v>0</v>
      </c>
      <c r="AA95" s="431"/>
      <c r="AB95" s="431"/>
      <c r="AC95" s="431"/>
      <c r="AD95" s="431"/>
      <c r="AE95" s="431"/>
      <c r="AF95" s="431"/>
      <c r="AG95" s="431"/>
      <c r="AH95" s="431"/>
    </row>
    <row r="96" spans="1:37">
      <c r="A96" s="265">
        <v>96</v>
      </c>
      <c r="B96" s="441">
        <v>44</v>
      </c>
      <c r="C96" s="423" t="s">
        <v>1332</v>
      </c>
      <c r="D96" s="433"/>
      <c r="E96" s="433"/>
      <c r="F96" s="433">
        <v>20</v>
      </c>
      <c r="G96" s="433">
        <v>20</v>
      </c>
      <c r="H96" s="433"/>
      <c r="I96" s="433"/>
      <c r="J96" s="433"/>
      <c r="K96" s="434"/>
      <c r="L96" s="4149"/>
      <c r="M96" s="433"/>
      <c r="N96" s="433"/>
      <c r="O96" s="433"/>
      <c r="P96" s="433"/>
      <c r="Q96" s="433"/>
      <c r="R96" s="433"/>
      <c r="S96" s="433"/>
      <c r="T96" s="433"/>
      <c r="U96" s="433"/>
      <c r="V96" s="433"/>
      <c r="W96" s="2140">
        <f>IFERROR(IF(VLOOKUP(Sheele!O53,Personalización!#REF!,3,FALSE),VLOOKUP(Sheele!O53,Personalización!#REF!,3,FALSE),0),0)</f>
        <v>0</v>
      </c>
      <c r="X96" s="433"/>
      <c r="Y96" s="433"/>
      <c r="Z96" s="2140">
        <f>IFERROR(IF(VLOOKUP(Sheele!O53,Personalización!#REF!,4,FALSE),VLOOKUP(Sheele!O53,Personalización!#REF!,4,FALSE),0),0)</f>
        <v>0</v>
      </c>
      <c r="AA96" s="433"/>
      <c r="AB96" s="433"/>
      <c r="AC96" s="433"/>
      <c r="AD96" s="433"/>
      <c r="AE96" s="433"/>
      <c r="AF96" s="433"/>
      <c r="AG96" s="433"/>
      <c r="AH96" s="433"/>
    </row>
    <row r="97" spans="1:34">
      <c r="A97" s="265">
        <v>97</v>
      </c>
      <c r="B97" s="441">
        <v>45</v>
      </c>
      <c r="C97" s="424" t="s">
        <v>682</v>
      </c>
      <c r="D97" s="431"/>
      <c r="E97" s="431"/>
      <c r="F97" s="431"/>
      <c r="G97" s="431"/>
      <c r="H97" s="431"/>
      <c r="I97" s="431"/>
      <c r="J97" s="431"/>
      <c r="K97" s="432"/>
      <c r="L97" s="4156"/>
      <c r="M97" s="431"/>
      <c r="N97" s="431"/>
      <c r="O97" s="431"/>
      <c r="P97" s="431"/>
      <c r="Q97" s="431"/>
      <c r="R97" s="431"/>
      <c r="S97" s="431"/>
      <c r="T97" s="431"/>
      <c r="U97" s="431">
        <v>20</v>
      </c>
      <c r="V97" s="431"/>
      <c r="W97" s="4218">
        <f>IFERROR(IF(VLOOKUP(Sheele!O54,Personalización!#REF!,3,FALSE),VLOOKUP(Sheele!O54,Personalización!#REF!,3,FALSE),0),0)</f>
        <v>0</v>
      </c>
      <c r="X97" s="431"/>
      <c r="Y97" s="431"/>
      <c r="Z97" s="4218">
        <f>IFERROR(IF(VLOOKUP(Sheele!O54,Personalización!#REF!,4,FALSE),VLOOKUP(Sheele!O54,Personalización!#REF!,4,FALSE),0),0)</f>
        <v>0</v>
      </c>
      <c r="AA97" s="431"/>
      <c r="AB97" s="431"/>
      <c r="AC97" s="431"/>
      <c r="AD97" s="431"/>
      <c r="AE97" s="431"/>
      <c r="AF97" s="431">
        <v>60</v>
      </c>
      <c r="AG97" s="431"/>
      <c r="AH97" s="431"/>
    </row>
    <row r="98" spans="1:34">
      <c r="A98" s="265">
        <v>98</v>
      </c>
      <c r="B98" s="441">
        <v>46</v>
      </c>
      <c r="C98" s="423" t="s">
        <v>683</v>
      </c>
      <c r="D98" s="433"/>
      <c r="E98" s="433"/>
      <c r="F98" s="433"/>
      <c r="G98" s="433"/>
      <c r="H98" s="433"/>
      <c r="I98" s="433"/>
      <c r="J98" s="433"/>
      <c r="K98" s="434"/>
      <c r="L98" s="4149"/>
      <c r="M98" s="433"/>
      <c r="N98" s="433"/>
      <c r="O98" s="433"/>
      <c r="P98" s="433"/>
      <c r="Q98" s="433"/>
      <c r="R98" s="433">
        <v>40</v>
      </c>
      <c r="S98" s="433"/>
      <c r="T98" s="433"/>
      <c r="U98" s="433"/>
      <c r="V98" s="433"/>
      <c r="W98" s="2140">
        <f>IFERROR(IF(VLOOKUP(Sheele!O55,Personalización!#REF!,3,FALSE),VLOOKUP(Sheele!O55,Personalización!#REF!,3,FALSE),0),0)</f>
        <v>0</v>
      </c>
      <c r="X98" s="433"/>
      <c r="Y98" s="433"/>
      <c r="Z98" s="2140">
        <f>IFERROR(IF(VLOOKUP(Sheele!O55,Personalización!#REF!,4,FALSE),VLOOKUP(Sheele!O55,Personalización!#REF!,4,FALSE),0),0)</f>
        <v>0</v>
      </c>
      <c r="AA98" s="433"/>
      <c r="AB98" s="433"/>
      <c r="AC98" s="433"/>
      <c r="AD98" s="433"/>
      <c r="AE98" s="433"/>
      <c r="AF98" s="433"/>
      <c r="AG98" s="433"/>
      <c r="AH98" s="433"/>
    </row>
    <row r="99" spans="1:34">
      <c r="A99" s="265">
        <v>99</v>
      </c>
      <c r="B99" s="441">
        <v>47</v>
      </c>
      <c r="C99" s="424" t="s">
        <v>684</v>
      </c>
      <c r="D99" s="431"/>
      <c r="E99" s="431"/>
      <c r="F99" s="431"/>
      <c r="G99" s="431"/>
      <c r="H99" s="431"/>
      <c r="I99" s="431"/>
      <c r="J99" s="431"/>
      <c r="K99" s="432"/>
      <c r="L99" s="4156"/>
      <c r="M99" s="431"/>
      <c r="N99" s="431"/>
      <c r="O99" s="431"/>
      <c r="P99" s="431"/>
      <c r="Q99" s="431"/>
      <c r="R99" s="431"/>
      <c r="S99" s="431"/>
      <c r="T99" s="431"/>
      <c r="U99" s="431"/>
      <c r="V99" s="431"/>
      <c r="W99" s="4218">
        <f>IFERROR(IF(VLOOKUP(Sheele!O56,Personalización!#REF!,3,FALSE),VLOOKUP(Sheele!O56,Personalización!#REF!,3,FALSE),0),0)</f>
        <v>0</v>
      </c>
      <c r="X99" s="431"/>
      <c r="Y99" s="431"/>
      <c r="Z99" s="4218">
        <f>IFERROR(IF(VLOOKUP(Sheele!O56,Personalización!#REF!,4,FALSE),VLOOKUP(Sheele!O56,Personalización!#REF!,4,FALSE),0),0)</f>
        <v>0</v>
      </c>
      <c r="AA99" s="431"/>
      <c r="AB99" s="431"/>
      <c r="AC99" s="431"/>
      <c r="AD99" s="431"/>
      <c r="AE99" s="431"/>
      <c r="AF99" s="431"/>
      <c r="AG99" s="431"/>
      <c r="AH99" s="431"/>
    </row>
    <row r="100" spans="1:34">
      <c r="A100" s="265">
        <v>100</v>
      </c>
      <c r="B100" s="441">
        <v>48</v>
      </c>
      <c r="C100" s="423" t="s">
        <v>1333</v>
      </c>
      <c r="D100" s="433"/>
      <c r="E100" s="433"/>
      <c r="F100" s="433"/>
      <c r="G100" s="433"/>
      <c r="H100" s="433">
        <v>20</v>
      </c>
      <c r="I100" s="433"/>
      <c r="J100" s="433"/>
      <c r="K100" s="434"/>
      <c r="L100" s="4149"/>
      <c r="M100" s="433"/>
      <c r="N100" s="433">
        <v>40</v>
      </c>
      <c r="O100" s="433"/>
      <c r="P100" s="433"/>
      <c r="Q100" s="433"/>
      <c r="R100" s="433"/>
      <c r="S100" s="433"/>
      <c r="T100" s="433"/>
      <c r="U100" s="433"/>
      <c r="V100" s="433"/>
      <c r="W100" s="2140">
        <f>IFERROR(IF(VLOOKUP(Sheele!O57,Personalización!#REF!,3,FALSE),VLOOKUP(Sheele!O57,Personalización!#REF!,3,FALSE),0),0)</f>
        <v>0</v>
      </c>
      <c r="X100" s="433">
        <v>80</v>
      </c>
      <c r="Y100" s="433"/>
      <c r="Z100" s="2140">
        <f>IFERROR(IF(VLOOKUP(Sheele!O57,Personalización!#REF!,4,FALSE),VLOOKUP(Sheele!O57,Personalización!#REF!,4,FALSE),0),0)</f>
        <v>0</v>
      </c>
      <c r="AA100" s="433"/>
      <c r="AB100" s="433"/>
      <c r="AC100" s="433"/>
      <c r="AD100" s="433"/>
      <c r="AE100" s="433"/>
      <c r="AF100" s="433"/>
      <c r="AG100" s="433"/>
      <c r="AH100" s="433"/>
    </row>
    <row r="101" spans="1:34">
      <c r="A101" s="265">
        <v>101</v>
      </c>
      <c r="B101" s="441">
        <v>49</v>
      </c>
      <c r="C101" s="424" t="s">
        <v>1335</v>
      </c>
      <c r="D101" s="431">
        <v>20</v>
      </c>
      <c r="E101" s="431"/>
      <c r="F101" s="431"/>
      <c r="G101" s="431"/>
      <c r="H101" s="431"/>
      <c r="I101" s="431">
        <v>20</v>
      </c>
      <c r="J101" s="431"/>
      <c r="K101" s="432"/>
      <c r="L101" s="4156"/>
      <c r="M101" s="431"/>
      <c r="N101" s="431"/>
      <c r="O101" s="431"/>
      <c r="P101" s="431"/>
      <c r="Q101" s="431"/>
      <c r="R101" s="431"/>
      <c r="S101" s="431"/>
      <c r="T101" s="431"/>
      <c r="U101" s="431"/>
      <c r="V101" s="431"/>
      <c r="W101" s="4218">
        <f>IFERROR(IF(VLOOKUP(Sheele!O58,Personalización!#REF!,3,FALSE),VLOOKUP(Sheele!O58,Personalización!#REF!,3,FALSE),0),0)</f>
        <v>0</v>
      </c>
      <c r="X101" s="431">
        <v>40</v>
      </c>
      <c r="Y101" s="431"/>
      <c r="Z101" s="4218">
        <f>IFERROR(IF(VLOOKUP(Sheele!O58,Personalización!#REF!,4,FALSE),VLOOKUP(Sheele!O58,Personalización!#REF!,4,FALSE),0),0)</f>
        <v>0</v>
      </c>
      <c r="AA101" s="431"/>
      <c r="AB101" s="431"/>
      <c r="AC101" s="431"/>
      <c r="AD101" s="431"/>
      <c r="AE101" s="431">
        <v>30</v>
      </c>
      <c r="AF101" s="431">
        <v>50</v>
      </c>
      <c r="AG101" s="431"/>
      <c r="AH101" s="431"/>
    </row>
    <row r="102" spans="1:34">
      <c r="A102" s="265">
        <v>102</v>
      </c>
      <c r="B102" s="441">
        <v>50</v>
      </c>
      <c r="C102" s="423" t="s">
        <v>5859</v>
      </c>
      <c r="D102" s="433"/>
      <c r="E102" s="433"/>
      <c r="F102" s="433"/>
      <c r="G102" s="433"/>
      <c r="H102" s="433"/>
      <c r="I102" s="433"/>
      <c r="J102" s="433"/>
      <c r="K102" s="434"/>
      <c r="L102" s="4149"/>
      <c r="M102" s="433"/>
      <c r="N102" s="433"/>
      <c r="O102" s="433"/>
      <c r="P102" s="433"/>
      <c r="Q102" s="433"/>
      <c r="R102" s="433"/>
      <c r="S102" s="433"/>
      <c r="T102" s="433"/>
      <c r="U102" s="433"/>
      <c r="V102" s="433"/>
      <c r="W102" s="2140">
        <f>IFERROR(IF(VLOOKUP(Sheele!O59,Personalización!#REF!,3,FALSE),VLOOKUP(Sheele!O59,Personalización!#REF!,3,FALSE),0),0)</f>
        <v>0</v>
      </c>
      <c r="X102" s="433"/>
      <c r="Y102" s="433"/>
      <c r="Z102" s="2140">
        <f>IFERROR(IF(VLOOKUP(Sheele!O59,Personalización!#REF!,4,FALSE),VLOOKUP(Sheele!O59,Personalización!#REF!,4,FALSE),0),0)</f>
        <v>0</v>
      </c>
      <c r="AA102" s="433"/>
      <c r="AB102" s="433"/>
      <c r="AC102" s="433"/>
      <c r="AD102" s="433"/>
      <c r="AE102" s="433"/>
      <c r="AF102" s="433"/>
      <c r="AG102" s="433"/>
      <c r="AH102" s="433"/>
    </row>
    <row r="103" spans="1:34">
      <c r="A103" s="265">
        <v>103</v>
      </c>
      <c r="B103" s="441">
        <v>51</v>
      </c>
      <c r="C103" s="424" t="s">
        <v>5860</v>
      </c>
      <c r="D103" s="431"/>
      <c r="E103" s="431"/>
      <c r="F103" s="431"/>
      <c r="G103" s="431"/>
      <c r="H103" s="431"/>
      <c r="I103" s="431"/>
      <c r="J103" s="431"/>
      <c r="K103" s="432"/>
      <c r="L103" s="4156"/>
      <c r="M103" s="431"/>
      <c r="N103" s="431"/>
      <c r="O103" s="431"/>
      <c r="P103" s="431"/>
      <c r="Q103" s="431"/>
      <c r="R103" s="431"/>
      <c r="S103" s="431"/>
      <c r="T103" s="431"/>
      <c r="U103" s="431"/>
      <c r="V103" s="431"/>
      <c r="W103" s="4218">
        <f>IFERROR(IF(VLOOKUP(Sheele!O60,Personalización!#REF!,3,FALSE),VLOOKUP(Sheele!O60,Personalización!#REF!,3,FALSE),0),0)</f>
        <v>0</v>
      </c>
      <c r="X103" s="431"/>
      <c r="Y103" s="431"/>
      <c r="Z103" s="4218">
        <f>IFERROR(IF(VLOOKUP(Sheele!O60,Personalización!#REF!,4,FALSE),VLOOKUP(Sheele!O60,Personalización!#REF!,4,FALSE),0),0)</f>
        <v>0</v>
      </c>
      <c r="AA103" s="431"/>
      <c r="AB103" s="431"/>
      <c r="AC103" s="431"/>
      <c r="AD103" s="431"/>
      <c r="AE103" s="431"/>
      <c r="AF103" s="431">
        <v>80</v>
      </c>
      <c r="AG103" s="431"/>
      <c r="AH103" s="431"/>
    </row>
    <row r="104" spans="1:34">
      <c r="A104" s="265">
        <v>104</v>
      </c>
      <c r="B104" s="441">
        <v>52</v>
      </c>
      <c r="C104" s="4157" t="s">
        <v>5861</v>
      </c>
      <c r="D104" s="433"/>
      <c r="E104" s="433"/>
      <c r="F104" s="433"/>
      <c r="G104" s="433"/>
      <c r="H104" s="433"/>
      <c r="I104" s="433"/>
      <c r="J104" s="433"/>
      <c r="K104" s="4158"/>
      <c r="L104" s="4149"/>
      <c r="M104" s="433"/>
      <c r="N104" s="433"/>
      <c r="O104" s="433"/>
      <c r="P104" s="433"/>
      <c r="Q104" s="433"/>
      <c r="R104" s="433"/>
      <c r="S104" s="433"/>
      <c r="T104" s="433"/>
      <c r="U104" s="433"/>
      <c r="V104" s="433"/>
      <c r="W104" s="2140">
        <f>IFERROR(IF(VLOOKUP(Sheele!O61,Personalización!#REF!,3,FALSE),VLOOKUP(Sheele!O61,Personalización!#REF!,3,FALSE),0),0)</f>
        <v>0</v>
      </c>
      <c r="X104" s="433"/>
      <c r="Y104" s="433"/>
      <c r="Z104" s="2140">
        <f>IFERROR(IF(VLOOKUP(Sheele!O61,Personalización!#REF!,4,FALSE),VLOOKUP(Sheele!O61,Personalización!#REF!,4,FALSE),0),0)</f>
        <v>0</v>
      </c>
      <c r="AA104" s="433"/>
      <c r="AB104" s="433"/>
      <c r="AC104" s="433"/>
      <c r="AD104" s="433"/>
      <c r="AE104" s="433"/>
      <c r="AF104" s="433"/>
      <c r="AG104" s="433"/>
      <c r="AH104" s="433"/>
    </row>
    <row r="105" spans="1:34">
      <c r="A105" s="265">
        <v>105</v>
      </c>
      <c r="B105" s="441">
        <v>53</v>
      </c>
      <c r="C105" s="4159" t="s">
        <v>5862</v>
      </c>
      <c r="D105" s="4155"/>
      <c r="E105" s="4155"/>
      <c r="F105" s="4155"/>
      <c r="G105" s="4155"/>
      <c r="H105" s="4155"/>
      <c r="I105" s="4155"/>
      <c r="J105" s="4155"/>
      <c r="K105" s="4160"/>
      <c r="L105" s="4155"/>
      <c r="M105" s="4155"/>
      <c r="N105" s="4155"/>
      <c r="O105" s="4155"/>
      <c r="P105" s="4155"/>
      <c r="Q105" s="4155"/>
      <c r="R105" s="4155"/>
      <c r="S105" s="4155"/>
      <c r="T105" s="4155"/>
      <c r="U105" s="4155"/>
      <c r="V105" s="4155"/>
      <c r="W105" s="4218">
        <f>IFERROR(IF(VLOOKUP(Sheele!O62,Personalización!#REF!,3,FALSE),VLOOKUP(Sheele!O62,Personalización!#REF!,3,FALSE),0),0)</f>
        <v>0</v>
      </c>
      <c r="X105" s="4155"/>
      <c r="Y105" s="4155"/>
      <c r="Z105" s="4218">
        <f>IFERROR(IF(VLOOKUP(Sheele!O62,Personalización!#REF!,4,FALSE),VLOOKUP(Sheele!O62,Personalización!#REF!,4,FALSE),0),0)</f>
        <v>0</v>
      </c>
      <c r="AA105" s="4155"/>
      <c r="AB105" s="4155"/>
      <c r="AC105" s="4155"/>
      <c r="AD105" s="4155"/>
      <c r="AE105" s="4155"/>
      <c r="AF105" s="4155"/>
      <c r="AG105" s="4155"/>
      <c r="AH105" s="4155"/>
    </row>
    <row r="106" spans="1:34">
      <c r="A106" s="265">
        <v>106</v>
      </c>
      <c r="B106" s="441">
        <v>54</v>
      </c>
      <c r="C106" s="423" t="str">
        <f>IF(PDs!E196="","",PDs!E196)</f>
        <v/>
      </c>
      <c r="D106" s="433"/>
      <c r="E106" s="433"/>
      <c r="F106" s="433"/>
      <c r="G106" s="433"/>
      <c r="H106" s="433"/>
      <c r="I106" s="433"/>
      <c r="J106" s="433"/>
      <c r="K106" s="434"/>
      <c r="L106" s="433"/>
      <c r="M106" s="433"/>
      <c r="N106" s="433"/>
      <c r="O106" s="433"/>
      <c r="P106" s="433"/>
      <c r="Q106" s="433"/>
      <c r="R106" s="433"/>
      <c r="S106" s="433"/>
      <c r="T106" s="433"/>
      <c r="U106" s="433"/>
      <c r="V106" s="433"/>
      <c r="W106" s="2140">
        <f>IFERROR(IF(VLOOKUP(Sheele!O63,Personalización!#REF!,3,FALSE),VLOOKUP(Sheele!O63,Personalización!#REF!,3,FALSE),0),0)</f>
        <v>0</v>
      </c>
      <c r="X106" s="433"/>
      <c r="Y106" s="433"/>
      <c r="Z106" s="2140">
        <f>IFERROR(IF(VLOOKUP(Sheele!O63,Personalización!#REF!,4,FALSE),VLOOKUP(Sheele!O63,Personalización!#REF!,4,FALSE),0),0)</f>
        <v>0</v>
      </c>
      <c r="AA106" s="433"/>
      <c r="AB106" s="433"/>
      <c r="AC106" s="433"/>
      <c r="AD106" s="433"/>
      <c r="AE106" s="433"/>
      <c r="AF106" s="433"/>
      <c r="AG106" s="433"/>
      <c r="AH106" s="433"/>
    </row>
    <row r="107" spans="1:34">
      <c r="A107" s="265">
        <v>107</v>
      </c>
      <c r="B107" s="441">
        <v>55</v>
      </c>
      <c r="C107" s="424" t="str">
        <f>IF(PDs!E197="","",PDs!E197)</f>
        <v/>
      </c>
      <c r="D107" s="431"/>
      <c r="E107" s="431"/>
      <c r="F107" s="431"/>
      <c r="G107" s="431"/>
      <c r="H107" s="431"/>
      <c r="I107" s="431"/>
      <c r="J107" s="431"/>
      <c r="K107" s="432"/>
      <c r="L107" s="431"/>
      <c r="M107" s="431"/>
      <c r="N107" s="431"/>
      <c r="O107" s="431"/>
      <c r="P107" s="431"/>
      <c r="Q107" s="431"/>
      <c r="R107" s="431"/>
      <c r="S107" s="431"/>
      <c r="T107" s="431"/>
      <c r="U107" s="431"/>
      <c r="V107" s="431"/>
      <c r="W107" s="4218">
        <f>IFERROR(IF(VLOOKUP(Sheele!O64,Personalización!#REF!,3,FALSE),VLOOKUP(Sheele!O64,Personalización!#REF!,3,FALSE),0),0)</f>
        <v>0</v>
      </c>
      <c r="X107" s="431"/>
      <c r="Y107" s="431"/>
      <c r="Z107" s="4218">
        <f>IFERROR(IF(VLOOKUP(Sheele!O64,Personalización!#REF!,4,FALSE),VLOOKUP(Sheele!O64,Personalización!#REF!,4,FALSE),0),0)</f>
        <v>0</v>
      </c>
      <c r="AA107" s="431"/>
      <c r="AB107" s="431"/>
      <c r="AC107" s="431"/>
      <c r="AD107" s="431"/>
      <c r="AE107" s="431"/>
      <c r="AF107" s="431"/>
      <c r="AG107" s="431"/>
      <c r="AH107" s="431"/>
    </row>
    <row r="108" spans="1:34">
      <c r="A108" s="265">
        <v>108</v>
      </c>
      <c r="B108" s="441">
        <v>56</v>
      </c>
      <c r="C108" s="423" t="str">
        <f>IF(PDs!E198="","",PDs!E198)</f>
        <v/>
      </c>
      <c r="D108" s="433"/>
      <c r="E108" s="433"/>
      <c r="F108" s="433"/>
      <c r="G108" s="433"/>
      <c r="H108" s="433"/>
      <c r="I108" s="433"/>
      <c r="J108" s="433"/>
      <c r="K108" s="434"/>
      <c r="L108" s="433"/>
      <c r="M108" s="433"/>
      <c r="N108" s="433"/>
      <c r="O108" s="433"/>
      <c r="P108" s="433"/>
      <c r="Q108" s="433"/>
      <c r="R108" s="433"/>
      <c r="S108" s="433"/>
      <c r="T108" s="433"/>
      <c r="U108" s="433"/>
      <c r="V108" s="433"/>
      <c r="W108" s="2140">
        <f>IFERROR(IF(VLOOKUP(Sheele!O65,Personalización!#REF!,3,FALSE),VLOOKUP(Sheele!O65,Personalización!#REF!,3,FALSE),0),0)</f>
        <v>0</v>
      </c>
      <c r="X108" s="433"/>
      <c r="Y108" s="433"/>
      <c r="Z108" s="2140">
        <f>IFERROR(IF(VLOOKUP(Sheele!O65,Personalización!#REF!,4,FALSE),VLOOKUP(Sheele!O65,Personalización!#REF!,4,FALSE),0),0)</f>
        <v>0</v>
      </c>
      <c r="AA108" s="433"/>
      <c r="AB108" s="433"/>
      <c r="AC108" s="433"/>
      <c r="AD108" s="433"/>
      <c r="AE108" s="433"/>
      <c r="AF108" s="433"/>
      <c r="AG108" s="433"/>
      <c r="AH108" s="433"/>
    </row>
    <row r="109" spans="1:34">
      <c r="A109" s="265">
        <v>109</v>
      </c>
      <c r="B109" s="441">
        <v>57</v>
      </c>
      <c r="C109" s="424" t="str">
        <f>IF(PDs!E199="","",PDs!E199)</f>
        <v/>
      </c>
      <c r="D109" s="431"/>
      <c r="E109" s="431"/>
      <c r="F109" s="431"/>
      <c r="G109" s="431"/>
      <c r="H109" s="431"/>
      <c r="I109" s="431"/>
      <c r="J109" s="431"/>
      <c r="K109" s="432"/>
      <c r="L109" s="431"/>
      <c r="M109" s="431"/>
      <c r="N109" s="431"/>
      <c r="O109" s="431"/>
      <c r="P109" s="431"/>
      <c r="Q109" s="431"/>
      <c r="R109" s="431"/>
      <c r="S109" s="431"/>
      <c r="T109" s="431"/>
      <c r="U109" s="431"/>
      <c r="V109" s="431"/>
      <c r="W109" s="4218">
        <f>IFERROR(IF(VLOOKUP(Sheele!O66,Personalización!#REF!,3,FALSE),VLOOKUP(Sheele!O66,Personalización!#REF!,3,FALSE),0),0)</f>
        <v>0</v>
      </c>
      <c r="X109" s="431"/>
      <c r="Y109" s="431"/>
      <c r="Z109" s="4218">
        <f>IFERROR(IF(VLOOKUP(Sheele!O66,Personalización!#REF!,4,FALSE),VLOOKUP(Sheele!O66,Personalización!#REF!,4,FALSE),0),0)</f>
        <v>0</v>
      </c>
      <c r="AA109" s="431"/>
      <c r="AB109" s="431"/>
      <c r="AC109" s="431"/>
      <c r="AD109" s="431"/>
      <c r="AE109" s="431"/>
      <c r="AF109" s="431"/>
      <c r="AG109" s="431"/>
      <c r="AH109" s="431"/>
    </row>
    <row r="110" spans="1:34" ht="13.5" thickBot="1">
      <c r="A110" s="265">
        <v>110</v>
      </c>
      <c r="B110" s="441">
        <v>58</v>
      </c>
      <c r="C110" s="471" t="str">
        <f>IF(PDs!E200="","",PDs!E200)</f>
        <v/>
      </c>
      <c r="D110" s="472"/>
      <c r="E110" s="472"/>
      <c r="F110" s="472"/>
      <c r="G110" s="472"/>
      <c r="H110" s="472"/>
      <c r="I110" s="472"/>
      <c r="J110" s="472"/>
      <c r="K110" s="473"/>
      <c r="L110" s="433"/>
      <c r="M110" s="433"/>
      <c r="N110" s="433"/>
      <c r="O110" s="433"/>
      <c r="P110" s="433"/>
      <c r="Q110" s="433"/>
      <c r="R110" s="433"/>
      <c r="S110" s="433"/>
      <c r="T110" s="433"/>
      <c r="U110" s="433"/>
      <c r="V110" s="433"/>
      <c r="W110" s="2140">
        <f>IFERROR(IF(VLOOKUP(Sheele!O67,Personalización!#REF!,3,FALSE),VLOOKUP(Sheele!O67,Personalización!#REF!,3,FALSE),0),0)</f>
        <v>0</v>
      </c>
      <c r="X110" s="433"/>
      <c r="Y110" s="433"/>
      <c r="Z110" s="2140">
        <f>IFERROR(IF(VLOOKUP(Sheele!O67,Personalización!#REF!,4,FALSE),VLOOKUP(Sheele!O67,Personalización!#REF!,4,FALSE),0),0)</f>
        <v>0</v>
      </c>
      <c r="AA110" s="433"/>
      <c r="AB110" s="433"/>
      <c r="AC110" s="433"/>
      <c r="AD110" s="433"/>
      <c r="AE110" s="433"/>
      <c r="AF110" s="433"/>
      <c r="AG110" s="433"/>
      <c r="AH110" s="433"/>
    </row>
    <row r="111" spans="1:34">
      <c r="A111" s="265">
        <v>111</v>
      </c>
      <c r="C111" s="937" t="str">
        <f>IF(PDs!E201="","",PDs!E201)</f>
        <v/>
      </c>
      <c r="D111" s="937"/>
      <c r="E111" s="937"/>
      <c r="F111" s="937"/>
      <c r="G111" s="937"/>
      <c r="H111" s="937"/>
      <c r="I111" s="937"/>
      <c r="J111" s="937"/>
      <c r="K111" s="937"/>
      <c r="L111" s="937"/>
      <c r="M111" s="937"/>
      <c r="N111" s="937"/>
      <c r="O111" s="937"/>
      <c r="P111" s="937"/>
      <c r="Q111" s="937"/>
      <c r="R111" s="937"/>
      <c r="S111" s="937"/>
      <c r="T111" s="937"/>
      <c r="U111" s="937"/>
      <c r="V111" s="937"/>
      <c r="W111" s="937"/>
      <c r="X111" s="937"/>
      <c r="Y111" s="937"/>
      <c r="Z111" s="4218">
        <f>IFERROR(IF(VLOOKUP(Sheele!O68,Personalización!#REF!,4,FALSE),VLOOKUP(Sheele!O68,Personalización!#REF!,4,FALSE),0),0)</f>
        <v>0</v>
      </c>
      <c r="AA111" s="937"/>
      <c r="AB111" s="937"/>
      <c r="AC111" s="937"/>
      <c r="AD111" s="937"/>
      <c r="AE111" s="937"/>
      <c r="AF111" s="937"/>
      <c r="AG111" s="937"/>
      <c r="AH111" s="937"/>
    </row>
    <row r="112" spans="1:34" ht="13.5" thickBot="1">
      <c r="A112" s="265">
        <v>112</v>
      </c>
      <c r="D112">
        <f>SUM(D54:D111)/52</f>
        <v>5.384615384615385</v>
      </c>
      <c r="E112">
        <f t="shared" ref="E112:AH112" si="2">SUM(E54:E111)/52</f>
        <v>5.7692307692307692</v>
      </c>
      <c r="F112">
        <f t="shared" si="2"/>
        <v>4.2307692307692308</v>
      </c>
      <c r="G112">
        <f t="shared" si="2"/>
        <v>7.115384615384615</v>
      </c>
      <c r="H112">
        <f t="shared" si="2"/>
        <v>6.5384615384615383</v>
      </c>
      <c r="I112">
        <f t="shared" si="2"/>
        <v>7.3076923076923075</v>
      </c>
      <c r="J112">
        <f t="shared" si="2"/>
        <v>7.6923076923076925</v>
      </c>
      <c r="K112">
        <f t="shared" si="2"/>
        <v>5.7692307692307692</v>
      </c>
      <c r="L112">
        <f t="shared" si="2"/>
        <v>8.0769230769230766</v>
      </c>
      <c r="M112">
        <f t="shared" si="2"/>
        <v>6.1538461538461542</v>
      </c>
      <c r="N112">
        <f t="shared" si="2"/>
        <v>10</v>
      </c>
      <c r="O112">
        <f t="shared" si="2"/>
        <v>10.384615384615385</v>
      </c>
      <c r="P112">
        <f t="shared" si="2"/>
        <v>4.615384615384615</v>
      </c>
      <c r="Q112">
        <f t="shared" si="2"/>
        <v>6.1538461538461542</v>
      </c>
      <c r="R112">
        <f t="shared" si="2"/>
        <v>9.2307692307692299</v>
      </c>
      <c r="S112">
        <f t="shared" si="2"/>
        <v>4.4230769230769234</v>
      </c>
      <c r="T112">
        <f t="shared" si="2"/>
        <v>7.6923076923076925</v>
      </c>
      <c r="U112">
        <f t="shared" si="2"/>
        <v>4.0384615384615383</v>
      </c>
      <c r="V112">
        <f t="shared" si="2"/>
        <v>6.7307692307692308</v>
      </c>
      <c r="W112">
        <f t="shared" si="2"/>
        <v>0</v>
      </c>
      <c r="X112">
        <f t="shared" si="2"/>
        <v>6.9230769230769234</v>
      </c>
      <c r="Y112">
        <f t="shared" si="2"/>
        <v>5.5769230769230766</v>
      </c>
      <c r="Z112">
        <f t="shared" si="2"/>
        <v>0</v>
      </c>
      <c r="AA112">
        <f t="shared" si="2"/>
        <v>8.0769230769230766</v>
      </c>
      <c r="AB112">
        <f t="shared" si="2"/>
        <v>6.3461538461538458</v>
      </c>
      <c r="AC112">
        <f t="shared" si="2"/>
        <v>7.884615384615385</v>
      </c>
      <c r="AD112">
        <f t="shared" si="2"/>
        <v>8.8461538461538467</v>
      </c>
      <c r="AE112">
        <f t="shared" si="2"/>
        <v>8.8461538461538467</v>
      </c>
      <c r="AF112">
        <f t="shared" si="2"/>
        <v>7.115384615384615</v>
      </c>
      <c r="AG112">
        <f t="shared" si="2"/>
        <v>6.1538461538461542</v>
      </c>
      <c r="AH112">
        <f t="shared" si="2"/>
        <v>7.3076923076923075</v>
      </c>
    </row>
    <row r="113" spans="1:31" ht="15.75">
      <c r="A113" s="265">
        <v>113</v>
      </c>
      <c r="C113" s="8256" t="s">
        <v>2470</v>
      </c>
      <c r="D113" s="8257"/>
      <c r="E113" s="8257"/>
      <c r="F113" s="8257"/>
      <c r="G113" s="293" t="s">
        <v>2471</v>
      </c>
      <c r="H113" s="294"/>
      <c r="I113" s="295"/>
      <c r="J113" s="295"/>
      <c r="K113" s="295"/>
      <c r="L113" s="295"/>
      <c r="M113" s="295"/>
      <c r="N113" s="295"/>
      <c r="O113" s="295"/>
      <c r="P113" s="295"/>
      <c r="Q113" s="295"/>
      <c r="R113" s="8245" t="s">
        <v>2472</v>
      </c>
      <c r="T113" s="8295" t="s">
        <v>2597</v>
      </c>
      <c r="U113" s="8296"/>
      <c r="V113" s="8296"/>
      <c r="W113" s="8296"/>
      <c r="X113" s="8296"/>
      <c r="Y113" s="8296"/>
      <c r="Z113" s="8296"/>
      <c r="AA113" s="8296"/>
      <c r="AB113" s="8296"/>
      <c r="AC113" s="8296"/>
      <c r="AD113" s="8296"/>
      <c r="AE113" s="8297"/>
    </row>
    <row r="114" spans="1:31" ht="13.5" thickBot="1">
      <c r="A114" s="265">
        <v>114</v>
      </c>
      <c r="C114" s="8247" t="s">
        <v>2473</v>
      </c>
      <c r="D114" s="8247"/>
      <c r="E114" s="8247"/>
      <c r="F114" s="297" t="s">
        <v>2097</v>
      </c>
      <c r="G114" s="296" t="s">
        <v>2474</v>
      </c>
      <c r="H114" s="297" t="s">
        <v>2475</v>
      </c>
      <c r="I114" s="276"/>
      <c r="J114" s="276"/>
      <c r="K114" s="276"/>
      <c r="L114" s="8248" t="s">
        <v>1408</v>
      </c>
      <c r="M114" s="8248"/>
      <c r="N114" s="8248"/>
      <c r="O114" s="8248"/>
      <c r="P114" s="8248"/>
      <c r="Q114" s="8248"/>
      <c r="R114" s="8246"/>
      <c r="T114" s="8298"/>
      <c r="U114" s="8299"/>
      <c r="V114" s="8299"/>
      <c r="W114" s="8299"/>
      <c r="X114" s="8299"/>
      <c r="Y114" s="8299"/>
      <c r="Z114" s="8299"/>
      <c r="AA114" s="8299"/>
      <c r="AB114" s="8299"/>
      <c r="AC114" s="8299"/>
      <c r="AD114" s="8299"/>
      <c r="AE114" s="8300"/>
    </row>
    <row r="115" spans="1:31">
      <c r="A115" s="265">
        <v>115</v>
      </c>
      <c r="B115" s="298">
        <f>H115</f>
        <v>0</v>
      </c>
      <c r="C115" s="598" t="s">
        <v>2476</v>
      </c>
      <c r="D115" s="598"/>
      <c r="E115" s="598"/>
      <c r="F115" s="599"/>
      <c r="G115" s="600"/>
      <c r="H115" s="600"/>
      <c r="I115" s="600"/>
      <c r="J115" s="600"/>
      <c r="K115" s="600"/>
      <c r="L115" s="601"/>
      <c r="M115" s="600"/>
      <c r="N115" s="600"/>
      <c r="O115" s="600"/>
      <c r="P115" s="600"/>
      <c r="Q115" s="600"/>
      <c r="R115" s="602"/>
      <c r="T115" s="420"/>
      <c r="U115" s="410">
        <v>1</v>
      </c>
      <c r="V115" s="410">
        <v>2</v>
      </c>
      <c r="W115" s="410">
        <v>3</v>
      </c>
      <c r="X115" s="410">
        <v>4</v>
      </c>
      <c r="Y115" s="410">
        <v>5</v>
      </c>
      <c r="Z115" s="410">
        <v>6</v>
      </c>
      <c r="AA115" s="410">
        <v>7</v>
      </c>
      <c r="AB115" s="410">
        <v>8</v>
      </c>
      <c r="AC115" s="418" t="s">
        <v>5826</v>
      </c>
      <c r="AD115" s="8276" t="s">
        <v>2598</v>
      </c>
      <c r="AE115" s="8277"/>
    </row>
    <row r="116" spans="1:31">
      <c r="A116" s="265">
        <v>116</v>
      </c>
      <c r="B116" s="301">
        <f t="shared" ref="B116:B178" si="3">H116</f>
        <v>0</v>
      </c>
      <c r="C116" s="299" t="s">
        <v>2477</v>
      </c>
      <c r="D116" s="299" t="s">
        <v>2477</v>
      </c>
      <c r="E116" s="299"/>
      <c r="F116" s="300">
        <f>COUNTIF(Sheele!$C$25:$H$36,C116)</f>
        <v>0</v>
      </c>
      <c r="G116" s="285">
        <v>1</v>
      </c>
      <c r="H116" s="285">
        <f>IF(OR($F116=0,$G116=0),0,MAX($H$115:H115)+1)</f>
        <v>0</v>
      </c>
      <c r="I116" s="285" t="s">
        <v>1315</v>
      </c>
      <c r="J116" s="594" t="s">
        <v>1315</v>
      </c>
      <c r="K116" s="285" t="s">
        <v>1315</v>
      </c>
      <c r="L116" s="8249" t="s">
        <v>2478</v>
      </c>
      <c r="M116" s="8250"/>
      <c r="N116" s="8250"/>
      <c r="O116" s="8250"/>
      <c r="P116" s="8250"/>
      <c r="Q116" s="8250"/>
      <c r="R116" s="603" t="s">
        <v>1315</v>
      </c>
      <c r="T116" s="417"/>
      <c r="U116" s="8274" t="s">
        <v>1461</v>
      </c>
      <c r="V116" s="8275"/>
      <c r="W116" s="419" t="str">
        <f t="array" ref="W116:Z116">TRANSPOSE(U117:V120)</f>
        <v>Vuelo Místico 10</v>
      </c>
      <c r="X116" s="419" t="str">
        <v>Movimiento Defensivo</v>
      </c>
      <c r="Y116" s="419" t="str">
        <v xml:space="preserve"> </v>
      </c>
      <c r="Z116" s="419" t="str">
        <v xml:space="preserve"> </v>
      </c>
      <c r="AA116" s="419"/>
      <c r="AB116" s="2145"/>
      <c r="AC116" s="413"/>
      <c r="AD116" s="8278"/>
      <c r="AE116" s="8279"/>
    </row>
    <row r="117" spans="1:31">
      <c r="A117" s="265">
        <v>117</v>
      </c>
      <c r="B117" s="301">
        <f t="shared" si="3"/>
        <v>0</v>
      </c>
      <c r="C117" s="299" t="s">
        <v>2479</v>
      </c>
      <c r="D117" s="299" t="s">
        <v>2479</v>
      </c>
      <c r="E117" s="299"/>
      <c r="F117" s="300">
        <f>COUNTIF(Sheele!$C$25:$H$36,C117)</f>
        <v>0</v>
      </c>
      <c r="G117" s="285">
        <v>1</v>
      </c>
      <c r="H117" s="285">
        <f>IF(OR($F117=0,$G117=0),0,MAX($H$115:H116)+1)</f>
        <v>0</v>
      </c>
      <c r="I117" s="285" t="s">
        <v>1315</v>
      </c>
      <c r="J117" s="285" t="s">
        <v>1315</v>
      </c>
      <c r="K117" s="285" t="s">
        <v>1315</v>
      </c>
      <c r="L117" s="8249" t="s">
        <v>2480</v>
      </c>
      <c r="M117" s="8250"/>
      <c r="N117" s="8250"/>
      <c r="O117" s="8250"/>
      <c r="P117" s="8250"/>
      <c r="Q117" s="8250"/>
      <c r="R117" s="603" t="s">
        <v>1315</v>
      </c>
      <c r="T117" s="307"/>
      <c r="U117" s="8270" t="s">
        <v>2599</v>
      </c>
      <c r="V117" s="8271"/>
      <c r="W117" s="8282" t="s">
        <v>2600</v>
      </c>
      <c r="X117" s="8282"/>
      <c r="Y117" s="8282"/>
      <c r="Z117" s="8282"/>
      <c r="AA117" s="8282"/>
      <c r="AB117" s="8282"/>
      <c r="AC117" s="300" t="s">
        <v>1315</v>
      </c>
      <c r="AD117" s="8280">
        <v>10</v>
      </c>
      <c r="AE117" s="8281"/>
    </row>
    <row r="118" spans="1:31">
      <c r="A118" s="265">
        <v>118</v>
      </c>
      <c r="B118" s="301">
        <f t="shared" si="3"/>
        <v>0</v>
      </c>
      <c r="C118" s="313" t="s">
        <v>8218</v>
      </c>
      <c r="D118" s="313" t="s">
        <v>8218</v>
      </c>
      <c r="E118" s="299"/>
      <c r="F118" s="300">
        <f>COUNTIF(Sheele!$C$25:$H$36,C118)</f>
        <v>0</v>
      </c>
      <c r="G118" s="285">
        <v>1</v>
      </c>
      <c r="H118" s="285">
        <f>IF(OR($F118=0,$G118=0),0,MAX($H$115:H117)+1)</f>
        <v>0</v>
      </c>
      <c r="I118" s="285" t="s">
        <v>1315</v>
      </c>
      <c r="J118" s="594" t="s">
        <v>1315</v>
      </c>
      <c r="K118" s="285" t="s">
        <v>1315</v>
      </c>
      <c r="L118" s="8249" t="s">
        <v>2481</v>
      </c>
      <c r="M118" s="8250"/>
      <c r="N118" s="8250"/>
      <c r="O118" s="8250"/>
      <c r="P118" s="8250"/>
      <c r="Q118" s="8250"/>
      <c r="R118" s="603" t="s">
        <v>1315</v>
      </c>
      <c r="T118" s="307"/>
      <c r="U118" s="8270" t="s">
        <v>2601</v>
      </c>
      <c r="V118" s="8271"/>
      <c r="W118" s="8282" t="s">
        <v>2602</v>
      </c>
      <c r="X118" s="8283"/>
      <c r="Y118" s="8283"/>
      <c r="Z118" s="8283"/>
      <c r="AA118" s="8283"/>
      <c r="AB118" s="8283"/>
      <c r="AC118" s="300" t="s">
        <v>1315</v>
      </c>
      <c r="AD118" s="8280"/>
      <c r="AE118" s="8281"/>
    </row>
    <row r="119" spans="1:31">
      <c r="A119" s="265">
        <v>119</v>
      </c>
      <c r="B119" s="301">
        <f t="shared" si="3"/>
        <v>0</v>
      </c>
      <c r="C119" s="299" t="s">
        <v>2482</v>
      </c>
      <c r="D119" s="299" t="s">
        <v>2482</v>
      </c>
      <c r="E119" s="299"/>
      <c r="F119" s="300">
        <f>COUNTIF(Sheele!$C$25:$H$36,C119)</f>
        <v>0</v>
      </c>
      <c r="G119" s="285">
        <v>1</v>
      </c>
      <c r="H119" s="285">
        <f>IF(OR($F119=0,$G119=0),0,MAX($H$115:H118)+1)</f>
        <v>0</v>
      </c>
      <c r="I119" s="285" t="s">
        <v>1315</v>
      </c>
      <c r="J119" s="594" t="s">
        <v>1315</v>
      </c>
      <c r="K119" s="285" t="s">
        <v>1315</v>
      </c>
      <c r="L119" s="8254" t="s">
        <v>9176</v>
      </c>
      <c r="M119" s="8250"/>
      <c r="N119" s="8250"/>
      <c r="O119" s="8250"/>
      <c r="P119" s="8250"/>
      <c r="Q119" s="8250"/>
      <c r="R119" s="603" t="s">
        <v>1315</v>
      </c>
      <c r="T119" s="270"/>
      <c r="U119" s="8272" t="s">
        <v>2603</v>
      </c>
      <c r="V119" s="8273"/>
      <c r="W119" s="8282"/>
      <c r="X119" s="8283"/>
      <c r="Y119" s="8283"/>
      <c r="Z119" s="8283"/>
      <c r="AA119" s="8283"/>
      <c r="AB119" s="8283"/>
      <c r="AC119" s="300"/>
      <c r="AD119" s="8249"/>
      <c r="AE119" s="8288"/>
    </row>
    <row r="120" spans="1:31">
      <c r="A120" s="265">
        <v>120</v>
      </c>
      <c r="B120" s="301">
        <f t="shared" si="3"/>
        <v>0</v>
      </c>
      <c r="C120" s="299" t="s">
        <v>2483</v>
      </c>
      <c r="D120" s="299" t="s">
        <v>2483</v>
      </c>
      <c r="E120" s="299"/>
      <c r="F120" s="300">
        <f>COUNTIF(Sheele!$C$25:$H$36,C120)</f>
        <v>0</v>
      </c>
      <c r="G120" s="285">
        <v>1</v>
      </c>
      <c r="H120" s="285">
        <f>IF(OR($F120=0,$G120=0),0,MAX($H$115:H119)+1)</f>
        <v>0</v>
      </c>
      <c r="I120" s="285" t="s">
        <v>1315</v>
      </c>
      <c r="J120" s="285" t="s">
        <v>1315</v>
      </c>
      <c r="K120" s="285" t="s">
        <v>1315</v>
      </c>
      <c r="L120" s="8255" t="s">
        <v>9177</v>
      </c>
      <c r="M120" s="8250"/>
      <c r="N120" s="8250"/>
      <c r="O120" s="8250"/>
      <c r="P120" s="8250"/>
      <c r="Q120" s="8250"/>
      <c r="R120" s="603" t="s">
        <v>1315</v>
      </c>
      <c r="T120" s="270"/>
      <c r="U120" s="8272" t="s">
        <v>2603</v>
      </c>
      <c r="V120" s="8273"/>
      <c r="W120" s="8282"/>
      <c r="X120" s="8283"/>
      <c r="Y120" s="8283"/>
      <c r="Z120" s="8283"/>
      <c r="AA120" s="8283"/>
      <c r="AB120" s="8283"/>
      <c r="AC120" s="300"/>
      <c r="AD120" s="8249"/>
      <c r="AE120" s="8288"/>
    </row>
    <row r="121" spans="1:31">
      <c r="A121" s="265">
        <v>121</v>
      </c>
      <c r="B121" s="301">
        <f t="shared" si="3"/>
        <v>0</v>
      </c>
      <c r="C121" s="313" t="s">
        <v>9919</v>
      </c>
      <c r="D121" s="299"/>
      <c r="E121" s="299"/>
      <c r="F121" s="300"/>
      <c r="G121" s="285"/>
      <c r="H121" s="285"/>
      <c r="I121" s="285" t="s">
        <v>1315</v>
      </c>
      <c r="J121" s="594" t="s">
        <v>1315</v>
      </c>
      <c r="K121" s="285" t="s">
        <v>1315</v>
      </c>
      <c r="L121" s="8249"/>
      <c r="M121" s="8250"/>
      <c r="N121" s="8250"/>
      <c r="O121" s="8250"/>
      <c r="P121" s="8250"/>
      <c r="Q121" s="8250"/>
      <c r="R121" s="604"/>
      <c r="T121" s="417"/>
      <c r="U121" s="8274" t="s">
        <v>1464</v>
      </c>
      <c r="V121" s="8275"/>
      <c r="W121" s="419" t="str">
        <f t="array" ref="W121:Z121">TRANSPOSE(U122:V125)</f>
        <v>Vuelo Místico 4</v>
      </c>
      <c r="X121" s="419" t="str">
        <v>Movimiento Acuático</v>
      </c>
      <c r="Y121" s="419" t="str">
        <v>Respiración Acuática</v>
      </c>
      <c r="Z121" s="419" t="str">
        <v>Resistencia Física</v>
      </c>
      <c r="AA121" s="419"/>
      <c r="AB121" s="2145"/>
      <c r="AC121" s="416"/>
      <c r="AD121" s="8284"/>
      <c r="AE121" s="8285"/>
    </row>
    <row r="122" spans="1:31">
      <c r="A122" s="265">
        <v>122</v>
      </c>
      <c r="B122" s="301">
        <f t="shared" si="3"/>
        <v>0</v>
      </c>
      <c r="C122" s="299" t="s">
        <v>2484</v>
      </c>
      <c r="D122" s="299" t="s">
        <v>2484</v>
      </c>
      <c r="E122" s="299"/>
      <c r="F122" s="300">
        <f>COUNTIF(Sheele!$C$25:$H$36,C122)</f>
        <v>0</v>
      </c>
      <c r="G122" s="285"/>
      <c r="H122" s="285">
        <f>IF(OR($F122=0,$G122=0),0,MAX($H$115:H121)+1)</f>
        <v>0</v>
      </c>
      <c r="I122" s="285" t="s">
        <v>1315</v>
      </c>
      <c r="J122" s="285" t="s">
        <v>1315</v>
      </c>
      <c r="K122" s="285" t="s">
        <v>1315</v>
      </c>
      <c r="L122" s="8254" t="s">
        <v>9178</v>
      </c>
      <c r="M122" s="8250"/>
      <c r="N122" s="8250"/>
      <c r="O122" s="8250"/>
      <c r="P122" s="8250"/>
      <c r="Q122" s="8250"/>
      <c r="R122" s="604"/>
      <c r="T122" s="307"/>
      <c r="U122" s="8270" t="s">
        <v>2604</v>
      </c>
      <c r="V122" s="8271"/>
      <c r="W122" s="8282" t="s">
        <v>2605</v>
      </c>
      <c r="X122" s="8282"/>
      <c r="Y122" s="8282"/>
      <c r="Z122" s="8282"/>
      <c r="AA122" s="8282"/>
      <c r="AB122" s="8282"/>
      <c r="AC122" s="300" t="s">
        <v>1315</v>
      </c>
      <c r="AD122" s="8280">
        <v>4</v>
      </c>
      <c r="AE122" s="8281"/>
    </row>
    <row r="123" spans="1:31">
      <c r="A123" s="265">
        <v>123</v>
      </c>
      <c r="B123" s="301">
        <f t="shared" si="3"/>
        <v>0</v>
      </c>
      <c r="C123" s="299" t="s">
        <v>2485</v>
      </c>
      <c r="D123" s="299" t="s">
        <v>2485</v>
      </c>
      <c r="E123" s="299"/>
      <c r="F123" s="300">
        <f>COUNTIF(Sheele!$C$25:$H$36,C123)</f>
        <v>0</v>
      </c>
      <c r="G123" s="285"/>
      <c r="H123" s="285">
        <f>IF(OR($F123=0,$G123=0),0,MAX($H$115:H122)+1)</f>
        <v>0</v>
      </c>
      <c r="I123" s="285" t="s">
        <v>1315</v>
      </c>
      <c r="J123" s="285" t="s">
        <v>1315</v>
      </c>
      <c r="K123" s="285" t="s">
        <v>1315</v>
      </c>
      <c r="L123" s="8254" t="s">
        <v>9179</v>
      </c>
      <c r="M123" s="8250"/>
      <c r="N123" s="8250"/>
      <c r="O123" s="8250"/>
      <c r="P123" s="8250"/>
      <c r="Q123" s="8250"/>
      <c r="R123" s="604"/>
      <c r="T123" s="307"/>
      <c r="U123" s="8270" t="s">
        <v>2606</v>
      </c>
      <c r="V123" s="8271"/>
      <c r="W123" s="8282" t="s">
        <v>2607</v>
      </c>
      <c r="X123" s="8283"/>
      <c r="Y123" s="8283"/>
      <c r="Z123" s="8283"/>
      <c r="AA123" s="8283"/>
      <c r="AB123" s="8283"/>
      <c r="AC123" s="300" t="s">
        <v>1315</v>
      </c>
      <c r="AD123" s="8280"/>
      <c r="AE123" s="8281"/>
    </row>
    <row r="124" spans="1:31">
      <c r="A124" s="265">
        <v>124</v>
      </c>
      <c r="B124" s="301">
        <f t="shared" si="3"/>
        <v>0</v>
      </c>
      <c r="C124" s="299" t="s">
        <v>2486</v>
      </c>
      <c r="D124" s="299" t="s">
        <v>2486</v>
      </c>
      <c r="E124" s="299"/>
      <c r="F124" s="300">
        <f>COUNTIF(Sheele!$C$25:$H$36,C124)</f>
        <v>0</v>
      </c>
      <c r="G124" s="285"/>
      <c r="H124" s="285">
        <f>IF(OR($F124=0,$G124=0),0,MAX($H$115:H123)+1)</f>
        <v>0</v>
      </c>
      <c r="I124" s="285" t="s">
        <v>1315</v>
      </c>
      <c r="J124" s="594" t="s">
        <v>1315</v>
      </c>
      <c r="K124" s="285" t="s">
        <v>1315</v>
      </c>
      <c r="L124" s="8249" t="s">
        <v>2487</v>
      </c>
      <c r="M124" s="8250"/>
      <c r="N124" s="8250"/>
      <c r="O124" s="8250"/>
      <c r="P124" s="8250"/>
      <c r="Q124" s="8250"/>
      <c r="R124" s="604"/>
      <c r="T124" s="270"/>
      <c r="U124" s="8272" t="s">
        <v>2608</v>
      </c>
      <c r="V124" s="8273"/>
      <c r="W124" s="8282" t="s">
        <v>2609</v>
      </c>
      <c r="X124" s="8283"/>
      <c r="Y124" s="8283"/>
      <c r="Z124" s="8283"/>
      <c r="AA124" s="8283"/>
      <c r="AB124" s="8283"/>
      <c r="AC124" s="300" t="s">
        <v>1315</v>
      </c>
      <c r="AD124" s="8280"/>
      <c r="AE124" s="8281"/>
    </row>
    <row r="125" spans="1:31">
      <c r="A125" s="265">
        <v>125</v>
      </c>
      <c r="B125" s="301">
        <f t="shared" si="3"/>
        <v>0</v>
      </c>
      <c r="C125" s="299" t="s">
        <v>2488</v>
      </c>
      <c r="D125" s="299" t="s">
        <v>2488</v>
      </c>
      <c r="E125" s="302"/>
      <c r="F125" s="300">
        <f>COUNTIF(Sheele!$C$25:$H$36,C125)</f>
        <v>0</v>
      </c>
      <c r="G125" s="285"/>
      <c r="H125" s="285">
        <f>IF(OR($F125=0,$G125=0),0,MAX($H$115:H124)+1)</f>
        <v>0</v>
      </c>
      <c r="I125" s="285" t="s">
        <v>1315</v>
      </c>
      <c r="J125" s="594" t="s">
        <v>1315</v>
      </c>
      <c r="K125" s="285" t="s">
        <v>1315</v>
      </c>
      <c r="L125" s="8262" t="s">
        <v>2489</v>
      </c>
      <c r="M125" s="8250"/>
      <c r="N125" s="8250"/>
      <c r="O125" s="8250"/>
      <c r="P125" s="8250"/>
      <c r="Q125" s="8250"/>
      <c r="R125" s="604"/>
      <c r="T125" s="270"/>
      <c r="U125" s="8272" t="s">
        <v>2610</v>
      </c>
      <c r="V125" s="8273"/>
      <c r="W125" s="8282" t="s">
        <v>2611</v>
      </c>
      <c r="X125" s="8283"/>
      <c r="Y125" s="8283"/>
      <c r="Z125" s="8283"/>
      <c r="AA125" s="8283"/>
      <c r="AB125" s="8283"/>
      <c r="AC125" s="300" t="s">
        <v>1315</v>
      </c>
      <c r="AD125" s="8280"/>
      <c r="AE125" s="8281"/>
    </row>
    <row r="126" spans="1:31">
      <c r="A126" s="265">
        <v>126</v>
      </c>
      <c r="B126" s="301">
        <f t="shared" si="3"/>
        <v>0</v>
      </c>
      <c r="C126" s="313" t="s">
        <v>9920</v>
      </c>
      <c r="D126" s="299"/>
      <c r="E126" s="299"/>
      <c r="F126" s="300"/>
      <c r="G126" s="285"/>
      <c r="H126" s="285"/>
      <c r="I126" s="285" t="s">
        <v>1315</v>
      </c>
      <c r="J126" s="285" t="s">
        <v>1315</v>
      </c>
      <c r="K126" s="285" t="s">
        <v>1315</v>
      </c>
      <c r="L126" s="8249"/>
      <c r="M126" s="8250"/>
      <c r="N126" s="8250"/>
      <c r="O126" s="8250"/>
      <c r="P126" s="8250"/>
      <c r="Q126" s="8250"/>
      <c r="R126" s="604"/>
      <c r="T126" s="417"/>
      <c r="U126" s="8274" t="s">
        <v>1468</v>
      </c>
      <c r="V126" s="8275"/>
      <c r="W126" s="419" t="str">
        <f t="array" ref="W126:Z126">TRANSPOSE(U127:V130)</f>
        <v>Vuelo Místico 6</v>
      </c>
      <c r="X126" s="419" t="str">
        <v>Control de Llamas</v>
      </c>
      <c r="Y126" s="419" t="str">
        <v xml:space="preserve"> </v>
      </c>
      <c r="Z126" s="419" t="str">
        <v xml:space="preserve"> </v>
      </c>
      <c r="AA126" s="419"/>
      <c r="AB126" s="2145"/>
      <c r="AC126" s="416"/>
      <c r="AD126" s="8284"/>
      <c r="AE126" s="8285"/>
    </row>
    <row r="127" spans="1:31">
      <c r="A127" s="265">
        <v>127</v>
      </c>
      <c r="B127" s="301">
        <f t="shared" si="3"/>
        <v>0</v>
      </c>
      <c r="C127" s="299" t="s">
        <v>2490</v>
      </c>
      <c r="D127" s="299" t="s">
        <v>2490</v>
      </c>
      <c r="E127" s="299"/>
      <c r="F127" s="300">
        <f>COUNTIF(Sheele!$C$25:$H$36,C127)</f>
        <v>0</v>
      </c>
      <c r="G127" s="285"/>
      <c r="H127" s="285">
        <f>IF(OR($F127=0,$G127=0),0,MAX($H$115:H126)+1)</f>
        <v>0</v>
      </c>
      <c r="I127" s="285" t="s">
        <v>1315</v>
      </c>
      <c r="J127" s="594" t="s">
        <v>1315</v>
      </c>
      <c r="K127" s="285" t="s">
        <v>1315</v>
      </c>
      <c r="L127" s="8255" t="s">
        <v>9180</v>
      </c>
      <c r="M127" s="8250"/>
      <c r="N127" s="8250"/>
      <c r="O127" s="8250"/>
      <c r="P127" s="8250"/>
      <c r="Q127" s="8250"/>
      <c r="R127" s="603" t="s">
        <v>1315</v>
      </c>
      <c r="T127" s="307"/>
      <c r="U127" s="8270" t="s">
        <v>2612</v>
      </c>
      <c r="V127" s="8271"/>
      <c r="W127" s="8282" t="s">
        <v>2613</v>
      </c>
      <c r="X127" s="8282"/>
      <c r="Y127" s="8282"/>
      <c r="Z127" s="8282"/>
      <c r="AA127" s="8282"/>
      <c r="AB127" s="8282"/>
      <c r="AC127" s="300" t="s">
        <v>1315</v>
      </c>
      <c r="AD127" s="8280">
        <v>6</v>
      </c>
      <c r="AE127" s="8281"/>
    </row>
    <row r="128" spans="1:31">
      <c r="A128" s="265">
        <v>128</v>
      </c>
      <c r="B128" s="301">
        <f t="shared" si="3"/>
        <v>0</v>
      </c>
      <c r="C128" s="299" t="s">
        <v>2491</v>
      </c>
      <c r="D128" s="299" t="s">
        <v>2491</v>
      </c>
      <c r="E128" s="299"/>
      <c r="F128" s="300">
        <f>COUNTIF(Sheele!$C$25:$H$36,C128)</f>
        <v>0</v>
      </c>
      <c r="G128" s="285"/>
      <c r="H128" s="285">
        <f>IF(OR($F128=0,$G128=0),0,MAX($H$115:H127)+1)</f>
        <v>0</v>
      </c>
      <c r="I128" s="285" t="s">
        <v>1315</v>
      </c>
      <c r="J128" s="285" t="s">
        <v>1315</v>
      </c>
      <c r="K128" s="285" t="s">
        <v>1315</v>
      </c>
      <c r="L128" s="8262" t="s">
        <v>2492</v>
      </c>
      <c r="M128" s="8250"/>
      <c r="N128" s="8250"/>
      <c r="O128" s="8250"/>
      <c r="P128" s="8250"/>
      <c r="Q128" s="8250"/>
      <c r="R128" s="603" t="s">
        <v>1315</v>
      </c>
      <c r="T128" s="307"/>
      <c r="U128" s="8270" t="s">
        <v>2614</v>
      </c>
      <c r="V128" s="8271"/>
      <c r="W128" s="8282" t="str">
        <f>"Controlar llamas de intensidades no superiores a "&amp;Sheele!G16/2&amp;". Puede atacar con ellas."</f>
        <v>Controlar llamas de intensidades no superiores a 4. Puede atacar con ellas.</v>
      </c>
      <c r="X128" s="8283"/>
      <c r="Y128" s="8283"/>
      <c r="Z128" s="8283"/>
      <c r="AA128" s="8283"/>
      <c r="AB128" s="8283"/>
      <c r="AC128" s="300" t="s">
        <v>1315</v>
      </c>
      <c r="AD128" s="8280"/>
      <c r="AE128" s="8281"/>
    </row>
    <row r="129" spans="1:31">
      <c r="A129" s="265">
        <v>129</v>
      </c>
      <c r="B129" s="301">
        <f t="shared" si="3"/>
        <v>0</v>
      </c>
      <c r="C129" s="299" t="s">
        <v>2493</v>
      </c>
      <c r="D129" s="299" t="s">
        <v>2493</v>
      </c>
      <c r="E129" s="299"/>
      <c r="F129" s="300">
        <f>COUNTIF(Sheele!$C$25:$H$36,C129)</f>
        <v>0</v>
      </c>
      <c r="G129" s="285"/>
      <c r="H129" s="285">
        <f>IF(OR($F129=0,$G129=0),0,MAX($H$115:H128)+1)</f>
        <v>0</v>
      </c>
      <c r="I129" s="285" t="s">
        <v>1315</v>
      </c>
      <c r="J129" s="594" t="s">
        <v>1315</v>
      </c>
      <c r="K129" s="285" t="s">
        <v>1315</v>
      </c>
      <c r="L129" s="8262" t="s">
        <v>2494</v>
      </c>
      <c r="M129" s="8250"/>
      <c r="N129" s="8250"/>
      <c r="O129" s="8250"/>
      <c r="P129" s="8250"/>
      <c r="Q129" s="8250"/>
      <c r="R129" s="603" t="s">
        <v>1315</v>
      </c>
      <c r="T129" s="270"/>
      <c r="U129" s="8272" t="s">
        <v>2603</v>
      </c>
      <c r="V129" s="8273"/>
      <c r="W129" s="8282"/>
      <c r="X129" s="8283"/>
      <c r="Y129" s="8283"/>
      <c r="Z129" s="8283"/>
      <c r="AA129" s="8283"/>
      <c r="AB129" s="8283"/>
      <c r="AC129" s="300"/>
      <c r="AD129" s="8249"/>
      <c r="AE129" s="8288"/>
    </row>
    <row r="130" spans="1:31">
      <c r="A130" s="265">
        <v>130</v>
      </c>
      <c r="B130" s="301">
        <f t="shared" si="3"/>
        <v>0</v>
      </c>
      <c r="C130" s="313" t="s">
        <v>9921</v>
      </c>
      <c r="D130" s="299"/>
      <c r="E130" s="299"/>
      <c r="F130" s="300"/>
      <c r="G130" s="285"/>
      <c r="H130" s="285"/>
      <c r="I130" s="285" t="s">
        <v>1315</v>
      </c>
      <c r="J130" s="285" t="s">
        <v>1315</v>
      </c>
      <c r="K130" s="285" t="s">
        <v>1315</v>
      </c>
      <c r="L130" s="8249"/>
      <c r="M130" s="8250"/>
      <c r="N130" s="8250"/>
      <c r="O130" s="8250"/>
      <c r="P130" s="8250"/>
      <c r="Q130" s="8250"/>
      <c r="R130" s="604"/>
      <c r="T130" s="270"/>
      <c r="U130" s="8272" t="s">
        <v>2603</v>
      </c>
      <c r="V130" s="8273"/>
      <c r="W130" s="8282"/>
      <c r="X130" s="8283"/>
      <c r="Y130" s="8283"/>
      <c r="Z130" s="8283"/>
      <c r="AA130" s="8283"/>
      <c r="AB130" s="8283"/>
      <c r="AC130" s="300"/>
      <c r="AD130" s="8249"/>
      <c r="AE130" s="8288"/>
    </row>
    <row r="131" spans="1:31">
      <c r="A131" s="265">
        <v>131</v>
      </c>
      <c r="B131" s="301">
        <f t="shared" si="3"/>
        <v>0</v>
      </c>
      <c r="C131" s="299" t="s">
        <v>2495</v>
      </c>
      <c r="D131" s="299" t="s">
        <v>2495</v>
      </c>
      <c r="E131" s="299"/>
      <c r="F131" s="300">
        <f>COUNTIF(Sheele!$C$25:$H$36,C131)</f>
        <v>0</v>
      </c>
      <c r="G131" s="285"/>
      <c r="H131" s="285">
        <f>IF(OR($F131=0,$G131=0),0,MAX($H$115:H130)+1)</f>
        <v>0</v>
      </c>
      <c r="I131" s="285" t="s">
        <v>1315</v>
      </c>
      <c r="J131" s="594" t="s">
        <v>1315</v>
      </c>
      <c r="K131" s="285" t="s">
        <v>1315</v>
      </c>
      <c r="L131" s="8249" t="str">
        <f>"Los puntos de vida se incrementan a Presencia·4 ("&amp;Sheele!L28*4&amp;")"</f>
        <v>Los puntos de vida se incrementan a Presencia·4 (120)</v>
      </c>
      <c r="M131" s="8250"/>
      <c r="N131" s="8250"/>
      <c r="O131" s="8250"/>
      <c r="P131" s="8250"/>
      <c r="Q131" s="8250"/>
      <c r="R131" s="603" t="s">
        <v>1315</v>
      </c>
      <c r="T131" s="417"/>
      <c r="U131" s="8274" t="s">
        <v>1558</v>
      </c>
      <c r="V131" s="8275"/>
      <c r="W131" s="419" t="str">
        <f t="array" ref="W131:Z131">TRANSPOSE(U132:V135)</f>
        <v>Vuelo Místico 4</v>
      </c>
      <c r="X131" s="419" t="str">
        <v>Resistencia</v>
      </c>
      <c r="Y131" s="419" t="str">
        <v xml:space="preserve"> </v>
      </c>
      <c r="Z131" s="419" t="str">
        <v xml:space="preserve"> </v>
      </c>
      <c r="AA131" s="419"/>
      <c r="AB131" s="2145"/>
      <c r="AC131" s="416"/>
      <c r="AD131" s="8284"/>
      <c r="AE131" s="8285"/>
    </row>
    <row r="132" spans="1:31" ht="13.5" thickBot="1">
      <c r="A132" s="265">
        <v>132</v>
      </c>
      <c r="B132" s="301">
        <f t="shared" si="3"/>
        <v>0</v>
      </c>
      <c r="C132" s="299" t="s">
        <v>2496</v>
      </c>
      <c r="D132" s="299" t="s">
        <v>2496</v>
      </c>
      <c r="E132" s="299"/>
      <c r="F132" s="300">
        <f>COUNTIF(Sheele!$C$25:$H$36,C132)</f>
        <v>0</v>
      </c>
      <c r="G132" s="285"/>
      <c r="H132" s="285">
        <f>IF(OR($F132=0,$G132=0),0,MAX($H$115:H131)+1)</f>
        <v>0</v>
      </c>
      <c r="I132" s="285" t="s">
        <v>1315</v>
      </c>
      <c r="J132" s="285" t="s">
        <v>1315</v>
      </c>
      <c r="K132" s="285" t="s">
        <v>1315</v>
      </c>
      <c r="L132" s="8262" t="s">
        <v>2497</v>
      </c>
      <c r="M132" s="8250"/>
      <c r="N132" s="8250"/>
      <c r="O132" s="8250"/>
      <c r="P132" s="8250"/>
      <c r="Q132" s="8250"/>
      <c r="R132" s="603" t="s">
        <v>1315</v>
      </c>
      <c r="T132" s="307"/>
      <c r="U132" s="8270" t="s">
        <v>2604</v>
      </c>
      <c r="V132" s="8271"/>
      <c r="W132" s="8282" t="s">
        <v>2605</v>
      </c>
      <c r="X132" s="8282"/>
      <c r="Y132" s="8282"/>
      <c r="Z132" s="8282"/>
      <c r="AA132" s="8282"/>
      <c r="AB132" s="8282"/>
      <c r="AC132" s="300" t="s">
        <v>1315</v>
      </c>
      <c r="AD132" s="8280">
        <v>4</v>
      </c>
      <c r="AE132" s="8281"/>
    </row>
    <row r="133" spans="1:31" ht="13.5" thickBot="1">
      <c r="A133" s="265">
        <v>133</v>
      </c>
      <c r="B133" s="301">
        <f>G133</f>
        <v>0</v>
      </c>
      <c r="C133" s="8259" t="s">
        <v>2498</v>
      </c>
      <c r="D133" s="8260"/>
      <c r="E133" s="8260"/>
      <c r="F133" s="2129" t="s">
        <v>2499</v>
      </c>
      <c r="G133" s="2130"/>
      <c r="H133" s="2131">
        <f>COUNTIF(H115:H132,"&gt;0")</f>
        <v>0</v>
      </c>
      <c r="I133" s="305"/>
      <c r="J133" s="605"/>
      <c r="K133" s="605"/>
      <c r="L133" s="605"/>
      <c r="M133" s="305"/>
      <c r="N133" s="605"/>
      <c r="O133" s="605"/>
      <c r="P133" s="605"/>
      <c r="Q133" s="305"/>
      <c r="R133" s="606"/>
      <c r="T133" s="307"/>
      <c r="U133" s="8270" t="s">
        <v>2560</v>
      </c>
      <c r="V133" s="8271"/>
      <c r="W133" s="8282" t="s">
        <v>2615</v>
      </c>
      <c r="X133" s="8283"/>
      <c r="Y133" s="8283"/>
      <c r="Z133" s="8283"/>
      <c r="AA133" s="8283"/>
      <c r="AB133" s="8283"/>
      <c r="AC133" s="300" t="s">
        <v>1315</v>
      </c>
      <c r="AD133" s="8280"/>
      <c r="AE133" s="8281"/>
    </row>
    <row r="134" spans="1:31">
      <c r="A134" s="265">
        <v>134</v>
      </c>
      <c r="B134" s="595">
        <f t="shared" si="3"/>
        <v>0</v>
      </c>
      <c r="C134" s="2144" t="s">
        <v>262</v>
      </c>
      <c r="D134" s="2132"/>
      <c r="E134" s="2132"/>
      <c r="F134" s="2133"/>
      <c r="G134" s="2134"/>
      <c r="H134" s="2135"/>
      <c r="I134" s="2134" t="s">
        <v>2500</v>
      </c>
      <c r="J134" s="2135" t="s">
        <v>2501</v>
      </c>
      <c r="K134" s="2136" t="s">
        <v>1425</v>
      </c>
      <c r="L134" s="8261" t="s">
        <v>1408</v>
      </c>
      <c r="M134" s="8261"/>
      <c r="N134" s="8261"/>
      <c r="O134" s="8261"/>
      <c r="P134" s="8261"/>
      <c r="Q134" s="8261"/>
      <c r="R134" s="2137"/>
      <c r="T134" s="270"/>
      <c r="U134" s="8272" t="s">
        <v>2603</v>
      </c>
      <c r="V134" s="8273"/>
      <c r="W134" s="8282"/>
      <c r="X134" s="8283"/>
      <c r="Y134" s="8283"/>
      <c r="Z134" s="8283"/>
      <c r="AA134" s="8283"/>
      <c r="AB134" s="8283"/>
      <c r="AC134" s="300"/>
      <c r="AD134" s="8249"/>
      <c r="AE134" s="8288"/>
    </row>
    <row r="135" spans="1:31">
      <c r="A135" s="265">
        <v>135</v>
      </c>
      <c r="B135" s="595">
        <f t="shared" si="3"/>
        <v>0</v>
      </c>
      <c r="C135" s="307" t="s">
        <v>2502</v>
      </c>
      <c r="D135" s="304" t="s">
        <v>2502</v>
      </c>
      <c r="E135" s="304"/>
      <c r="F135" s="300">
        <f>COUNTIF(Sheele!$C$25:$H$36,C135)</f>
        <v>0</v>
      </c>
      <c r="G135" s="285">
        <v>1</v>
      </c>
      <c r="H135" s="285">
        <f>IF(OR($F135=0,$G135=0),0,MAX($H$134:H134)+1)</f>
        <v>0</v>
      </c>
      <c r="I135" s="2120">
        <v>250</v>
      </c>
      <c r="J135" s="285">
        <f>50+Sheele!F46</f>
        <v>110</v>
      </c>
      <c r="K135" s="2124">
        <f>Sheele!L28*2</f>
        <v>60</v>
      </c>
      <c r="L135" s="8250" t="s">
        <v>2503</v>
      </c>
      <c r="M135" s="8250"/>
      <c r="N135" s="8250"/>
      <c r="O135" s="8250"/>
      <c r="P135" s="8250"/>
      <c r="Q135" s="8250"/>
      <c r="R135" s="603" t="s">
        <v>1315</v>
      </c>
      <c r="T135" s="270"/>
      <c r="U135" s="8272" t="s">
        <v>2603</v>
      </c>
      <c r="V135" s="8273"/>
      <c r="W135" s="8282"/>
      <c r="X135" s="8283"/>
      <c r="Y135" s="8283"/>
      <c r="Z135" s="8283"/>
      <c r="AA135" s="8283"/>
      <c r="AB135" s="8283"/>
      <c r="AC135" s="300"/>
      <c r="AD135" s="8249"/>
      <c r="AE135" s="8288"/>
    </row>
    <row r="136" spans="1:31">
      <c r="A136" s="265">
        <v>136</v>
      </c>
      <c r="B136" s="595">
        <f t="shared" si="3"/>
        <v>0</v>
      </c>
      <c r="C136" s="307" t="s">
        <v>2504</v>
      </c>
      <c r="D136" s="304" t="s">
        <v>2504</v>
      </c>
      <c r="E136" s="304"/>
      <c r="F136" s="300">
        <f>COUNTIF(Sheele!$C$25:$H$36,C136)</f>
        <v>0</v>
      </c>
      <c r="G136" s="285">
        <v>1</v>
      </c>
      <c r="H136" s="285">
        <f>IF(OR($F136=0,$G136=0),0,MAX($H$134:H135)+1)</f>
        <v>0</v>
      </c>
      <c r="I136" s="2120">
        <v>100</v>
      </c>
      <c r="J136" s="285">
        <f>Sheele!F46</f>
        <v>60</v>
      </c>
      <c r="K136" s="2124">
        <v>60</v>
      </c>
      <c r="L136" s="8250" t="s">
        <v>2505</v>
      </c>
      <c r="M136" s="8250"/>
      <c r="N136" s="8250"/>
      <c r="O136" s="8250"/>
      <c r="P136" s="8250"/>
      <c r="Q136" s="8250"/>
      <c r="R136" s="603" t="s">
        <v>1315</v>
      </c>
      <c r="T136" s="417"/>
      <c r="U136" s="8274" t="s">
        <v>1553</v>
      </c>
      <c r="V136" s="8275"/>
      <c r="W136" s="419" t="str">
        <f t="array" ref="W136:Z136">TRANSPOSE(U137:V140)</f>
        <v>Vuelo  Místico 6</v>
      </c>
      <c r="X136" s="419" t="str">
        <v>Visión de Luz</v>
      </c>
      <c r="Y136" s="419" t="str">
        <v>Luminosa</v>
      </c>
      <c r="Z136" s="419" t="str">
        <v xml:space="preserve"> </v>
      </c>
      <c r="AA136" s="419"/>
      <c r="AB136" s="2145"/>
      <c r="AC136" s="416"/>
      <c r="AD136" s="8284"/>
      <c r="AE136" s="8285"/>
    </row>
    <row r="137" spans="1:31">
      <c r="A137" s="265">
        <v>137</v>
      </c>
      <c r="B137" s="595">
        <f t="shared" si="3"/>
        <v>0</v>
      </c>
      <c r="C137" s="307" t="s">
        <v>2506</v>
      </c>
      <c r="D137" s="304" t="s">
        <v>2506</v>
      </c>
      <c r="E137" s="304"/>
      <c r="F137" s="300">
        <f>COUNTIF(Sheele!$C$25:$H$36,C137)</f>
        <v>0</v>
      </c>
      <c r="G137" s="285">
        <v>1</v>
      </c>
      <c r="H137" s="285">
        <f>IF(OR($F137=0,$G137=0),0,MAX($H$134:H136)+1)</f>
        <v>0</v>
      </c>
      <c r="I137" s="2120">
        <v>100</v>
      </c>
      <c r="J137" s="285" t="s">
        <v>1315</v>
      </c>
      <c r="K137" s="2124" t="s">
        <v>1315</v>
      </c>
      <c r="L137" s="8250" t="s">
        <v>2507</v>
      </c>
      <c r="M137" s="8250"/>
      <c r="N137" s="8250"/>
      <c r="O137" s="8250"/>
      <c r="P137" s="8250"/>
      <c r="Q137" s="8250"/>
      <c r="R137" s="603" t="s">
        <v>1315</v>
      </c>
      <c r="T137" s="307"/>
      <c r="U137" s="8270" t="s">
        <v>2616</v>
      </c>
      <c r="V137" s="8271"/>
      <c r="W137" s="8282" t="s">
        <v>2613</v>
      </c>
      <c r="X137" s="8282"/>
      <c r="Y137" s="8282"/>
      <c r="Z137" s="8282"/>
      <c r="AA137" s="8282"/>
      <c r="AB137" s="8282"/>
      <c r="AC137" s="300" t="s">
        <v>1315</v>
      </c>
      <c r="AD137" s="8280">
        <v>6</v>
      </c>
      <c r="AE137" s="8281"/>
    </row>
    <row r="138" spans="1:31">
      <c r="A138" s="265">
        <v>138</v>
      </c>
      <c r="B138" s="595">
        <f t="shared" si="3"/>
        <v>0</v>
      </c>
      <c r="C138" s="307" t="s">
        <v>2508</v>
      </c>
      <c r="D138" s="304" t="s">
        <v>2508</v>
      </c>
      <c r="E138" s="304"/>
      <c r="F138" s="300">
        <f>COUNTIF(Sheele!$C$25:$H$36,C138)</f>
        <v>0</v>
      </c>
      <c r="G138" s="285">
        <v>1</v>
      </c>
      <c r="H138" s="285">
        <f>IF(OR($F138=0,$G138=0),0,MAX($H$134:H137)+1)</f>
        <v>0</v>
      </c>
      <c r="I138" s="2121" t="s">
        <v>9184</v>
      </c>
      <c r="J138" s="285">
        <f>Sheele!F46</f>
        <v>60</v>
      </c>
      <c r="K138" s="2124" t="str">
        <f>"x +"&amp;Sheele!H16</f>
        <v>x +10</v>
      </c>
      <c r="L138" s="8258" t="s">
        <v>9183</v>
      </c>
      <c r="M138" s="8250"/>
      <c r="N138" s="8250"/>
      <c r="O138" s="8250"/>
      <c r="P138" s="8250"/>
      <c r="Q138" s="8250"/>
      <c r="R138" s="603" t="s">
        <v>1315</v>
      </c>
      <c r="T138" s="307"/>
      <c r="U138" s="8270" t="s">
        <v>2617</v>
      </c>
      <c r="V138" s="8271"/>
      <c r="W138" s="8282" t="s">
        <v>2618</v>
      </c>
      <c r="X138" s="8283"/>
      <c r="Y138" s="8283"/>
      <c r="Z138" s="8283"/>
      <c r="AA138" s="8283"/>
      <c r="AB138" s="8283"/>
      <c r="AC138" s="300" t="s">
        <v>1315</v>
      </c>
      <c r="AD138" s="8280"/>
      <c r="AE138" s="8281"/>
    </row>
    <row r="139" spans="1:31">
      <c r="A139" s="265">
        <v>139</v>
      </c>
      <c r="B139" s="595">
        <f t="shared" si="3"/>
        <v>0</v>
      </c>
      <c r="C139" s="307" t="s">
        <v>80</v>
      </c>
      <c r="D139" s="304" t="s">
        <v>80</v>
      </c>
      <c r="E139" s="304"/>
      <c r="F139" s="300">
        <f>COUNTIF(Sheele!$C$25:$H$36,C139)</f>
        <v>0</v>
      </c>
      <c r="G139" s="285">
        <v>1</v>
      </c>
      <c r="H139" s="285">
        <f>IF(OR($F139=0,$G139=0),0,MAX($H$134:H138)+1)</f>
        <v>0</v>
      </c>
      <c r="I139" s="2120" t="s">
        <v>1315</v>
      </c>
      <c r="J139" s="285" t="s">
        <v>1315</v>
      </c>
      <c r="K139" s="2124" t="s">
        <v>1315</v>
      </c>
      <c r="L139" s="8250" t="s">
        <v>2509</v>
      </c>
      <c r="M139" s="8250"/>
      <c r="N139" s="8250"/>
      <c r="O139" s="8250"/>
      <c r="P139" s="8250"/>
      <c r="Q139" s="8250"/>
      <c r="R139" s="603" t="s">
        <v>1315</v>
      </c>
      <c r="T139" s="270"/>
      <c r="U139" s="8272" t="s">
        <v>2619</v>
      </c>
      <c r="V139" s="8273"/>
      <c r="W139" s="8282" t="s">
        <v>2620</v>
      </c>
      <c r="X139" s="8283"/>
      <c r="Y139" s="8283"/>
      <c r="Z139" s="8283"/>
      <c r="AA139" s="8283"/>
      <c r="AB139" s="8283"/>
      <c r="AC139" s="300" t="s">
        <v>1315</v>
      </c>
      <c r="AD139" s="8280"/>
      <c r="AE139" s="8281"/>
    </row>
    <row r="140" spans="1:31">
      <c r="A140" s="265">
        <v>140</v>
      </c>
      <c r="B140" s="595">
        <f t="shared" si="3"/>
        <v>0</v>
      </c>
      <c r="C140" s="307" t="s">
        <v>2510</v>
      </c>
      <c r="D140" s="304" t="s">
        <v>2510</v>
      </c>
      <c r="E140" s="304"/>
      <c r="F140" s="300">
        <f>COUNTIF(Sheele!$C$25:$H$36,C140)</f>
        <v>0</v>
      </c>
      <c r="G140" s="285"/>
      <c r="H140" s="285">
        <f>IF(OR($F140=0,$G140=0),0,MAX($H$134:H139)+1)</f>
        <v>0</v>
      </c>
      <c r="I140" s="2120" t="s">
        <v>1315</v>
      </c>
      <c r="J140" s="285" t="s">
        <v>1315</v>
      </c>
      <c r="K140" s="2124" t="s">
        <v>1315</v>
      </c>
      <c r="L140" s="8250" t="s">
        <v>2511</v>
      </c>
      <c r="M140" s="8250"/>
      <c r="N140" s="8250"/>
      <c r="O140" s="8250"/>
      <c r="P140" s="8250"/>
      <c r="Q140" s="8250"/>
      <c r="R140" s="603" t="s">
        <v>1315</v>
      </c>
      <c r="T140" s="270"/>
      <c r="U140" s="8272" t="s">
        <v>2603</v>
      </c>
      <c r="V140" s="8273"/>
      <c r="W140" s="8282"/>
      <c r="X140" s="8283"/>
      <c r="Y140" s="8283"/>
      <c r="Z140" s="8283"/>
      <c r="AA140" s="8283"/>
      <c r="AB140" s="8283"/>
      <c r="AC140" s="300"/>
      <c r="AD140" s="8249"/>
      <c r="AE140" s="8288"/>
    </row>
    <row r="141" spans="1:31">
      <c r="A141" s="265">
        <v>141</v>
      </c>
      <c r="B141" s="595">
        <f t="shared" si="3"/>
        <v>0</v>
      </c>
      <c r="C141" s="307" t="s">
        <v>2512</v>
      </c>
      <c r="D141" s="304" t="s">
        <v>2512</v>
      </c>
      <c r="E141" s="304"/>
      <c r="F141" s="300">
        <f>COUNTIF(Sheele!$C$25:$H$36,C141)</f>
        <v>0</v>
      </c>
      <c r="G141" s="285">
        <v>1</v>
      </c>
      <c r="H141" s="285">
        <f>IF(OR($F141=0,$G141=0),0,MAX($H$134:H140)+1)</f>
        <v>0</v>
      </c>
      <c r="I141" s="2120" t="s">
        <v>1315</v>
      </c>
      <c r="J141" s="285" t="s">
        <v>1315</v>
      </c>
      <c r="K141" s="2124" t="s">
        <v>1315</v>
      </c>
      <c r="L141" s="8263" t="str">
        <f>"+2 FUE al alcance y +"&amp;Sheele!H16&amp;" al daño de proyectiles de quien esté en contacto con ella."</f>
        <v>+2 FUE al alcance y +10 al daño de proyectiles de quien esté en contacto con ella.</v>
      </c>
      <c r="M141" s="8250"/>
      <c r="N141" s="8250"/>
      <c r="O141" s="8250"/>
      <c r="P141" s="8250"/>
      <c r="Q141" s="8250"/>
      <c r="R141" s="603" t="s">
        <v>1241</v>
      </c>
      <c r="T141" s="417"/>
      <c r="U141" s="8274" t="s">
        <v>1554</v>
      </c>
      <c r="V141" s="8275"/>
      <c r="W141" s="419" t="str">
        <f t="array" ref="W141:Z141">TRANSPOSE(U142:V145)</f>
        <v>Vuelo Místico 8</v>
      </c>
      <c r="X141" s="419" t="str">
        <v>Visión oscura</v>
      </c>
      <c r="Y141" s="419" t="str">
        <v>Invisible en la Sombra</v>
      </c>
      <c r="Z141" s="419" t="str">
        <v xml:space="preserve"> </v>
      </c>
      <c r="AA141" s="419"/>
      <c r="AB141" s="2145"/>
      <c r="AC141" s="416"/>
      <c r="AD141" s="8284"/>
      <c r="AE141" s="8285"/>
    </row>
    <row r="142" spans="1:31">
      <c r="A142" s="265">
        <v>142</v>
      </c>
      <c r="B142" s="595">
        <f t="shared" si="3"/>
        <v>0</v>
      </c>
      <c r="C142" s="307" t="s">
        <v>9925</v>
      </c>
      <c r="D142" s="304" t="s">
        <v>2513</v>
      </c>
      <c r="E142" s="304"/>
      <c r="F142" s="300">
        <f>COUNTIF(Sheele!$C$25:$H$36,C142)</f>
        <v>0</v>
      </c>
      <c r="G142" s="285"/>
      <c r="H142" s="285">
        <f>IF(OR($F142=0,$G142=0),0,MAX($H$134:H141)+1)</f>
        <v>0</v>
      </c>
      <c r="I142" s="2120" t="s">
        <v>1315</v>
      </c>
      <c r="J142" s="285" t="s">
        <v>1315</v>
      </c>
      <c r="K142" s="2124" t="s">
        <v>1315</v>
      </c>
      <c r="L142" s="8263" t="s">
        <v>2514</v>
      </c>
      <c r="M142" s="8250"/>
      <c r="N142" s="8250"/>
      <c r="O142" s="8250"/>
      <c r="P142" s="8250"/>
      <c r="Q142" s="8250"/>
      <c r="R142" s="603" t="s">
        <v>1315</v>
      </c>
      <c r="T142" s="307"/>
      <c r="U142" s="8270" t="s">
        <v>2621</v>
      </c>
      <c r="V142" s="8271"/>
      <c r="W142" s="8282" t="s">
        <v>2622</v>
      </c>
      <c r="X142" s="8282"/>
      <c r="Y142" s="8282"/>
      <c r="Z142" s="8282"/>
      <c r="AA142" s="8282"/>
      <c r="AB142" s="8282"/>
      <c r="AC142" s="300" t="s">
        <v>1315</v>
      </c>
      <c r="AD142" s="8280">
        <v>8</v>
      </c>
      <c r="AE142" s="8281"/>
    </row>
    <row r="143" spans="1:31">
      <c r="A143" s="265">
        <v>143</v>
      </c>
      <c r="B143" s="595">
        <f t="shared" si="3"/>
        <v>0</v>
      </c>
      <c r="C143" s="307" t="s">
        <v>2515</v>
      </c>
      <c r="D143" s="304" t="s">
        <v>2515</v>
      </c>
      <c r="E143" s="304"/>
      <c r="F143" s="300">
        <f>COUNTIF(Sheele!$C$25:$H$36,C143)</f>
        <v>0</v>
      </c>
      <c r="G143" s="285">
        <v>1</v>
      </c>
      <c r="H143" s="285">
        <f>IF(OR($F143=0,$G143=0),0,MAX($H$134:H142)+1)</f>
        <v>0</v>
      </c>
      <c r="I143" s="2122" t="s">
        <v>9185</v>
      </c>
      <c r="J143" s="285" t="s">
        <v>1315</v>
      </c>
      <c r="K143" s="2124" t="s">
        <v>1315</v>
      </c>
      <c r="L143" s="8250" t="str">
        <f>"Inmune a ataques físicos. Aquel en contacto RF "&amp;Sheele!L28*2+Sheele!H16&amp;" o sufre [Nv de fracaso] daño."</f>
        <v>Inmune a ataques físicos. Aquel en contacto RF 70 o sufre [Nv de fracaso] daño.</v>
      </c>
      <c r="M143" s="8250"/>
      <c r="N143" s="8250"/>
      <c r="O143" s="8250"/>
      <c r="P143" s="8250"/>
      <c r="Q143" s="8250"/>
      <c r="R143" s="603" t="s">
        <v>1315</v>
      </c>
      <c r="T143" s="307"/>
      <c r="U143" s="8270" t="s">
        <v>2623</v>
      </c>
      <c r="V143" s="8271"/>
      <c r="W143" s="8282" t="s">
        <v>2624</v>
      </c>
      <c r="X143" s="8283"/>
      <c r="Y143" s="8283"/>
      <c r="Z143" s="8283"/>
      <c r="AA143" s="8283"/>
      <c r="AB143" s="8283"/>
      <c r="AC143" s="300" t="s">
        <v>1315</v>
      </c>
      <c r="AD143" s="8280"/>
      <c r="AE143" s="8281"/>
    </row>
    <row r="144" spans="1:31">
      <c r="A144" s="265">
        <v>144</v>
      </c>
      <c r="B144" s="595">
        <f t="shared" si="3"/>
        <v>0</v>
      </c>
      <c r="C144" s="307" t="s">
        <v>2516</v>
      </c>
      <c r="D144" s="304" t="s">
        <v>2516</v>
      </c>
      <c r="E144" s="304"/>
      <c r="F144" s="300">
        <f>COUNTIF(Sheele!$C$25:$H$36,C144)</f>
        <v>0</v>
      </c>
      <c r="G144" s="285"/>
      <c r="H144" s="285">
        <f>IF(OR($F144=0,$G144=0),0,MAX($H$134:H143)+1)</f>
        <v>0</v>
      </c>
      <c r="I144" s="2120" t="s">
        <v>1315</v>
      </c>
      <c r="J144" s="285" t="s">
        <v>1315</v>
      </c>
      <c r="K144" s="2124" t="s">
        <v>1315</v>
      </c>
      <c r="L144" s="8264" t="s">
        <v>2517</v>
      </c>
      <c r="M144" s="8265"/>
      <c r="N144" s="8265"/>
      <c r="O144" s="8265"/>
      <c r="P144" s="8265"/>
      <c r="Q144" s="8265"/>
      <c r="R144" s="603" t="s">
        <v>1315</v>
      </c>
      <c r="T144" s="270"/>
      <c r="U144" s="8272" t="s">
        <v>2625</v>
      </c>
      <c r="V144" s="8273"/>
      <c r="W144" s="8282" t="s">
        <v>2626</v>
      </c>
      <c r="X144" s="8283"/>
      <c r="Y144" s="8283"/>
      <c r="Z144" s="8283"/>
      <c r="AA144" s="8283"/>
      <c r="AB144" s="8283"/>
      <c r="AC144" s="300" t="s">
        <v>1315</v>
      </c>
      <c r="AD144" s="8280"/>
      <c r="AE144" s="8281"/>
    </row>
    <row r="145" spans="1:31">
      <c r="A145" s="265">
        <v>145</v>
      </c>
      <c r="B145" s="595">
        <f t="shared" si="3"/>
        <v>0</v>
      </c>
      <c r="C145" s="2143" t="s">
        <v>263</v>
      </c>
      <c r="D145" s="305"/>
      <c r="E145" s="305"/>
      <c r="F145" s="2128"/>
      <c r="G145" s="2127"/>
      <c r="H145" s="2138"/>
      <c r="I145" s="306" t="s">
        <v>2500</v>
      </c>
      <c r="J145" s="2139" t="s">
        <v>2501</v>
      </c>
      <c r="K145" s="303" t="s">
        <v>1425</v>
      </c>
      <c r="L145" s="8266" t="s">
        <v>1408</v>
      </c>
      <c r="M145" s="8266"/>
      <c r="N145" s="8266"/>
      <c r="O145" s="8266"/>
      <c r="P145" s="8266"/>
      <c r="Q145" s="8266"/>
      <c r="R145" s="606"/>
      <c r="T145" s="270"/>
      <c r="U145" s="8272" t="s">
        <v>2603</v>
      </c>
      <c r="V145" s="8273"/>
      <c r="W145" s="8282"/>
      <c r="X145" s="8283"/>
      <c r="Y145" s="8283"/>
      <c r="Z145" s="8283"/>
      <c r="AA145" s="8283"/>
      <c r="AB145" s="8283"/>
      <c r="AC145" s="300"/>
      <c r="AD145" s="8249"/>
      <c r="AE145" s="8288"/>
    </row>
    <row r="146" spans="1:31">
      <c r="A146" s="265">
        <v>146</v>
      </c>
      <c r="B146" s="595">
        <f t="shared" si="3"/>
        <v>0</v>
      </c>
      <c r="C146" s="307" t="s">
        <v>2518</v>
      </c>
      <c r="D146" s="304" t="s">
        <v>2518</v>
      </c>
      <c r="E146" s="304"/>
      <c r="F146" s="300">
        <f>COUNTIF(Sheele!$C$25:$H$36,C146)</f>
        <v>0</v>
      </c>
      <c r="G146" s="285">
        <v>1</v>
      </c>
      <c r="H146" s="285">
        <f>IF(OR($F146=0,$G146=0),0,MAX($H$134:H145)+1)</f>
        <v>0</v>
      </c>
      <c r="I146" s="2121" t="s">
        <v>9181</v>
      </c>
      <c r="J146" s="285">
        <f>Sheele!F46</f>
        <v>60</v>
      </c>
      <c r="K146" s="2124">
        <v>50</v>
      </c>
      <c r="L146" s="8258" t="s">
        <v>9182</v>
      </c>
      <c r="M146" s="8250"/>
      <c r="N146" s="8250"/>
      <c r="O146" s="8250"/>
      <c r="P146" s="8250"/>
      <c r="Q146" s="8250"/>
      <c r="R146" s="603" t="s">
        <v>1315</v>
      </c>
      <c r="T146" s="417"/>
      <c r="U146" s="8274" t="s">
        <v>2443</v>
      </c>
      <c r="V146" s="8275"/>
      <c r="W146" s="419" t="str">
        <f t="array" ref="W146:Z146">TRANSPOSE(U147:V150)</f>
        <v>Vuelo Místico 6</v>
      </c>
      <c r="X146" s="419" t="str">
        <v>Naturaleza Sanadora</v>
      </c>
      <c r="Y146" s="419" t="str">
        <v xml:space="preserve"> </v>
      </c>
      <c r="Z146" s="419" t="str">
        <v xml:space="preserve"> </v>
      </c>
      <c r="AA146" s="419"/>
      <c r="AB146" s="2145"/>
      <c r="AC146" s="416"/>
      <c r="AD146" s="8284"/>
      <c r="AE146" s="8285"/>
    </row>
    <row r="147" spans="1:31">
      <c r="A147" s="265">
        <v>147</v>
      </c>
      <c r="B147" s="595">
        <f t="shared" si="3"/>
        <v>0</v>
      </c>
      <c r="C147" s="307" t="s">
        <v>2519</v>
      </c>
      <c r="D147" s="304" t="s">
        <v>2519</v>
      </c>
      <c r="E147" s="304"/>
      <c r="F147" s="300">
        <f>COUNTIF(Sheele!$C$25:$H$36,C147)</f>
        <v>0</v>
      </c>
      <c r="G147" s="285">
        <v>1</v>
      </c>
      <c r="H147" s="285">
        <f>IF(OR($F147=0,$G147=0),0,MAX($H$134:H146)+1)</f>
        <v>0</v>
      </c>
      <c r="I147" s="2121" t="s">
        <v>9181</v>
      </c>
      <c r="J147" s="285">
        <f>Sheele!F46</f>
        <v>60</v>
      </c>
      <c r="K147" s="2124">
        <f>Sheele!L28</f>
        <v>30</v>
      </c>
      <c r="L147" s="8250" t="str">
        <f>"CON. Área "&amp;Sheele!L28&amp;"m. Impacto FUE "&amp;Sheele!G16&amp;". Aquellos en contacto son inmunes."</f>
        <v>CON. Área 30m. Impacto FUE 8. Aquellos en contacto son inmunes.</v>
      </c>
      <c r="M147" s="8250"/>
      <c r="N147" s="8250"/>
      <c r="O147" s="8250"/>
      <c r="P147" s="8250"/>
      <c r="Q147" s="8250"/>
      <c r="R147" s="603" t="s">
        <v>1315</v>
      </c>
      <c r="T147" s="307"/>
      <c r="U147" s="8270" t="s">
        <v>2612</v>
      </c>
      <c r="V147" s="8271"/>
      <c r="W147" s="8282" t="s">
        <v>2613</v>
      </c>
      <c r="X147" s="8282"/>
      <c r="Y147" s="8282"/>
      <c r="Z147" s="8282"/>
      <c r="AA147" s="8282"/>
      <c r="AB147" s="8282"/>
      <c r="AC147" s="300" t="s">
        <v>1315</v>
      </c>
      <c r="AD147" s="8280">
        <v>6</v>
      </c>
      <c r="AE147" s="8281"/>
    </row>
    <row r="148" spans="1:31">
      <c r="A148" s="265">
        <v>148</v>
      </c>
      <c r="B148" s="595">
        <f t="shared" si="3"/>
        <v>0</v>
      </c>
      <c r="C148" s="307" t="s">
        <v>2520</v>
      </c>
      <c r="D148" s="304" t="s">
        <v>2520</v>
      </c>
      <c r="E148" s="304"/>
      <c r="F148" s="300">
        <f>COUNTIF(Sheele!$C$25:$H$36,C148)</f>
        <v>0</v>
      </c>
      <c r="G148" s="285">
        <v>1</v>
      </c>
      <c r="H148" s="285">
        <f>IF(OR($F148=0,$G148=0),0,MAX($H$134:H147)+1)</f>
        <v>0</v>
      </c>
      <c r="I148" s="2120">
        <v>30</v>
      </c>
      <c r="J148" s="285" t="s">
        <v>1315</v>
      </c>
      <c r="K148" s="2124" t="s">
        <v>1315</v>
      </c>
      <c r="L148" s="8258" t="s">
        <v>9186</v>
      </c>
      <c r="M148" s="8250"/>
      <c r="N148" s="8250"/>
      <c r="O148" s="8250"/>
      <c r="P148" s="8250"/>
      <c r="Q148" s="8250"/>
      <c r="R148" s="603" t="s">
        <v>1315</v>
      </c>
      <c r="T148" s="307"/>
      <c r="U148" s="8270" t="s">
        <v>2627</v>
      </c>
      <c r="V148" s="8271"/>
      <c r="W148" s="8282" t="s">
        <v>2628</v>
      </c>
      <c r="X148" s="8283"/>
      <c r="Y148" s="8283"/>
      <c r="Z148" s="8283"/>
      <c r="AA148" s="8283"/>
      <c r="AB148" s="8283"/>
      <c r="AC148" s="300" t="s">
        <v>1315</v>
      </c>
      <c r="AD148" s="8280"/>
      <c r="AE148" s="8281"/>
    </row>
    <row r="149" spans="1:31">
      <c r="A149" s="265">
        <v>125</v>
      </c>
      <c r="B149" s="595">
        <f t="shared" si="3"/>
        <v>0</v>
      </c>
      <c r="C149" s="307" t="s">
        <v>2521</v>
      </c>
      <c r="D149" s="304" t="s">
        <v>2521</v>
      </c>
      <c r="E149" s="304"/>
      <c r="F149" s="300">
        <f>COUNTIF(Sheele!$C$25:$H$36,C149)</f>
        <v>0</v>
      </c>
      <c r="G149" s="285">
        <v>1</v>
      </c>
      <c r="H149" s="285">
        <f>IF(OR($F149=0,$G149=0),0,MAX($H$134:H148)+1)</f>
        <v>0</v>
      </c>
      <c r="I149" s="2120">
        <v>100</v>
      </c>
      <c r="J149" s="2140" t="s">
        <v>3048</v>
      </c>
      <c r="K149" s="2124" t="s">
        <v>1315</v>
      </c>
      <c r="L149" s="8250" t="str">
        <f>"50m. RM o RF "&amp;Sheele!L28*2+Sheele!H16&amp;"- 5*[TA FRI]. Parálisis parcial (completa si se falla por 40+)"</f>
        <v>50m. RM o RF 70- 5*[TA FRI]. Parálisis parcial (completa si se falla por 40+)</v>
      </c>
      <c r="M149" s="8250"/>
      <c r="N149" s="8250"/>
      <c r="O149" s="8250"/>
      <c r="P149" s="8250"/>
      <c r="Q149" s="8250"/>
      <c r="R149" s="603" t="s">
        <v>1315</v>
      </c>
      <c r="T149" s="270"/>
      <c r="U149" s="8272" t="s">
        <v>2603</v>
      </c>
      <c r="V149" s="8273"/>
      <c r="W149" s="8282"/>
      <c r="X149" s="8283"/>
      <c r="Y149" s="8283"/>
      <c r="Z149" s="8283"/>
      <c r="AA149" s="8283"/>
      <c r="AB149" s="8283"/>
      <c r="AC149" s="300"/>
      <c r="AD149" s="8249"/>
      <c r="AE149" s="8288"/>
    </row>
    <row r="150" spans="1:31">
      <c r="A150" s="265">
        <v>126</v>
      </c>
      <c r="B150" s="595">
        <f t="shared" si="3"/>
        <v>0</v>
      </c>
      <c r="C150" s="307" t="s">
        <v>2522</v>
      </c>
      <c r="D150" s="304" t="s">
        <v>2522</v>
      </c>
      <c r="E150" s="304"/>
      <c r="F150" s="300">
        <f>COUNTIF(Sheele!$C$25:$H$36,C150)</f>
        <v>0</v>
      </c>
      <c r="G150" s="285">
        <v>1</v>
      </c>
      <c r="H150" s="285">
        <f>IF(OR($F150=0,$G150=0),0,MAX($H$134:H149)+1)</f>
        <v>0</v>
      </c>
      <c r="I150" s="2120">
        <v>150</v>
      </c>
      <c r="J150" s="285">
        <f>Sheele!F46+50</f>
        <v>110</v>
      </c>
      <c r="K150" s="2124" t="s">
        <v>1315</v>
      </c>
      <c r="L150" s="8250" t="s">
        <v>2523</v>
      </c>
      <c r="M150" s="8250"/>
      <c r="N150" s="8250"/>
      <c r="O150" s="8250"/>
      <c r="P150" s="8250"/>
      <c r="Q150" s="8250"/>
      <c r="R150" s="603" t="s">
        <v>1315</v>
      </c>
      <c r="T150" s="270"/>
      <c r="U150" s="8272" t="s">
        <v>2603</v>
      </c>
      <c r="V150" s="8273"/>
      <c r="W150" s="8282"/>
      <c r="X150" s="8283"/>
      <c r="Y150" s="8283"/>
      <c r="Z150" s="8283"/>
      <c r="AA150" s="8283"/>
      <c r="AB150" s="8283"/>
      <c r="AC150" s="300"/>
      <c r="AD150" s="8249"/>
      <c r="AE150" s="8288"/>
    </row>
    <row r="151" spans="1:31">
      <c r="A151" s="265">
        <v>127</v>
      </c>
      <c r="B151" s="595">
        <f t="shared" si="3"/>
        <v>0</v>
      </c>
      <c r="C151" s="307" t="s">
        <v>9926</v>
      </c>
      <c r="D151" s="304" t="s">
        <v>2524</v>
      </c>
      <c r="E151" s="304"/>
      <c r="F151" s="300">
        <f>COUNTIF(Sheele!$C$25:$H$36,C151)</f>
        <v>0</v>
      </c>
      <c r="G151" s="285"/>
      <c r="H151" s="285">
        <f>IF(OR($F151=0,$G151=0),0,MAX($H$134:H150)+1)</f>
        <v>0</v>
      </c>
      <c r="I151" s="2120" t="s">
        <v>1315</v>
      </c>
      <c r="J151" s="285" t="s">
        <v>1315</v>
      </c>
      <c r="K151" s="2124" t="s">
        <v>1315</v>
      </c>
      <c r="L151" s="8258" t="s">
        <v>9187</v>
      </c>
      <c r="M151" s="8250"/>
      <c r="N151" s="8250"/>
      <c r="O151" s="8250"/>
      <c r="P151" s="8250"/>
      <c r="Q151" s="8250"/>
      <c r="R151" s="603" t="s">
        <v>1315</v>
      </c>
      <c r="T151" s="417"/>
      <c r="U151" s="8274" t="s">
        <v>1565</v>
      </c>
      <c r="V151" s="8275"/>
      <c r="W151" s="419" t="str">
        <f t="array" ref="W151:Z151">TRANSPOSE(U152:V155)</f>
        <v>Vuelo Místico 6</v>
      </c>
      <c r="X151" s="419" t="str">
        <v>La que Todo lo Ve</v>
      </c>
      <c r="Y151" s="419" t="str">
        <v>Destellos de Ilusión</v>
      </c>
      <c r="Z151" s="419" t="str">
        <v xml:space="preserve"> </v>
      </c>
      <c r="AA151" s="419"/>
      <c r="AB151" s="2145"/>
      <c r="AC151" s="416"/>
      <c r="AD151" s="8284"/>
      <c r="AE151" s="8285"/>
    </row>
    <row r="152" spans="1:31">
      <c r="A152" s="265">
        <v>128</v>
      </c>
      <c r="B152" s="595">
        <f t="shared" si="3"/>
        <v>0</v>
      </c>
      <c r="C152" s="307" t="s">
        <v>2525</v>
      </c>
      <c r="D152" s="304" t="s">
        <v>2525</v>
      </c>
      <c r="E152" s="304"/>
      <c r="F152" s="300">
        <f>COUNTIF(Sheele!$C$25:$H$36,C152)</f>
        <v>0</v>
      </c>
      <c r="G152" s="285">
        <v>1</v>
      </c>
      <c r="H152" s="285">
        <f>IF(OR($F152=0,$G152=0),0,MAX($H$134:H151)+1)</f>
        <v>0</v>
      </c>
      <c r="I152" s="2120"/>
      <c r="J152" s="285" t="s">
        <v>1315</v>
      </c>
      <c r="K152" s="2124" t="s">
        <v>1315</v>
      </c>
      <c r="L152" s="8250" t="s">
        <v>2526</v>
      </c>
      <c r="M152" s="8250"/>
      <c r="N152" s="8250"/>
      <c r="O152" s="8250"/>
      <c r="P152" s="8250"/>
      <c r="Q152" s="8250"/>
      <c r="R152" s="603" t="s">
        <v>1241</v>
      </c>
      <c r="T152" s="307"/>
      <c r="U152" s="8270" t="s">
        <v>2612</v>
      </c>
      <c r="V152" s="8271"/>
      <c r="W152" s="8282" t="s">
        <v>2613</v>
      </c>
      <c r="X152" s="8282"/>
      <c r="Y152" s="8282"/>
      <c r="Z152" s="8282"/>
      <c r="AA152" s="8282"/>
      <c r="AB152" s="8282"/>
      <c r="AC152" s="300" t="s">
        <v>1315</v>
      </c>
      <c r="AD152" s="8280">
        <v>6</v>
      </c>
      <c r="AE152" s="8281"/>
    </row>
    <row r="153" spans="1:31">
      <c r="A153" s="265">
        <v>129</v>
      </c>
      <c r="B153" s="595">
        <f t="shared" si="3"/>
        <v>0</v>
      </c>
      <c r="C153" s="307" t="s">
        <v>9927</v>
      </c>
      <c r="D153" s="304" t="s">
        <v>2513</v>
      </c>
      <c r="E153" s="304"/>
      <c r="F153" s="300">
        <f>COUNTIF(Sheele!$C$25:$H$36,C153)</f>
        <v>0</v>
      </c>
      <c r="G153" s="285"/>
      <c r="H153" s="285">
        <f>IF(OR($F153=0,$G153=0),0,MAX($H$134:H152)+1)</f>
        <v>0</v>
      </c>
      <c r="I153" s="2120" t="s">
        <v>1315</v>
      </c>
      <c r="J153" s="285" t="s">
        <v>1315</v>
      </c>
      <c r="K153" s="2124" t="s">
        <v>1315</v>
      </c>
      <c r="L153" s="8263" t="s">
        <v>2514</v>
      </c>
      <c r="M153" s="8250"/>
      <c r="N153" s="8250"/>
      <c r="O153" s="8250"/>
      <c r="P153" s="8250"/>
      <c r="Q153" s="8250"/>
      <c r="R153" s="603" t="s">
        <v>1315</v>
      </c>
      <c r="T153" s="307"/>
      <c r="U153" s="8270" t="s">
        <v>2629</v>
      </c>
      <c r="V153" s="8271"/>
      <c r="W153" s="8282" t="s">
        <v>2630</v>
      </c>
      <c r="X153" s="8283"/>
      <c r="Y153" s="8283"/>
      <c r="Z153" s="8283"/>
      <c r="AA153" s="8283"/>
      <c r="AB153" s="8283"/>
      <c r="AC153" s="300" t="s">
        <v>1315</v>
      </c>
      <c r="AD153" s="8280"/>
      <c r="AE153" s="8281"/>
    </row>
    <row r="154" spans="1:31">
      <c r="A154" s="265">
        <v>130</v>
      </c>
      <c r="B154" s="595">
        <f t="shared" si="3"/>
        <v>0</v>
      </c>
      <c r="C154" s="307" t="s">
        <v>2527</v>
      </c>
      <c r="D154" s="304" t="s">
        <v>2527</v>
      </c>
      <c r="E154" s="304"/>
      <c r="F154" s="300">
        <f>COUNTIF(Sheele!$C$25:$H$36,C154)</f>
        <v>0</v>
      </c>
      <c r="G154" s="285">
        <v>1</v>
      </c>
      <c r="H154" s="285">
        <f>IF(OR($F154=0,$G154=0),0,MAX($H$134:H153)+1)</f>
        <v>0</v>
      </c>
      <c r="I154" s="2120">
        <v>10</v>
      </c>
      <c r="J154" s="285" t="s">
        <v>1315</v>
      </c>
      <c r="K154" s="2124" t="s">
        <v>1315</v>
      </c>
      <c r="L154" s="8250" t="s">
        <v>2528</v>
      </c>
      <c r="M154" s="8250"/>
      <c r="N154" s="8250"/>
      <c r="O154" s="8250"/>
      <c r="P154" s="8250"/>
      <c r="Q154" s="8250"/>
      <c r="R154" s="603" t="s">
        <v>1315</v>
      </c>
      <c r="T154" s="270"/>
      <c r="U154" s="8272" t="s">
        <v>2631</v>
      </c>
      <c r="V154" s="8273"/>
      <c r="W154" s="8282" t="s">
        <v>2632</v>
      </c>
      <c r="X154" s="8283"/>
      <c r="Y154" s="8283"/>
      <c r="Z154" s="8283"/>
      <c r="AA154" s="8283"/>
      <c r="AB154" s="8283"/>
      <c r="AC154" s="300" t="s">
        <v>1315</v>
      </c>
      <c r="AD154" s="8280"/>
      <c r="AE154" s="8281"/>
    </row>
    <row r="155" spans="1:31" ht="13.5" thickBot="1">
      <c r="A155" s="265">
        <v>131</v>
      </c>
      <c r="B155" s="595">
        <f t="shared" si="3"/>
        <v>0</v>
      </c>
      <c r="C155" s="307" t="s">
        <v>1228</v>
      </c>
      <c r="D155" s="304" t="s">
        <v>1228</v>
      </c>
      <c r="E155" s="304"/>
      <c r="F155" s="300">
        <f>COUNTIF(Sheele!$C$25:$H$36,C155)</f>
        <v>0</v>
      </c>
      <c r="G155" s="285"/>
      <c r="H155" s="285">
        <f>IF(OR($F155=0,$G155=0),0,MAX($H$134:H154)+1)</f>
        <v>0</v>
      </c>
      <c r="I155" s="2120" t="s">
        <v>1315</v>
      </c>
      <c r="J155" s="285" t="s">
        <v>1315</v>
      </c>
      <c r="K155" s="2124" t="s">
        <v>1315</v>
      </c>
      <c r="L155" s="8267" t="s">
        <v>9188</v>
      </c>
      <c r="M155" s="8265"/>
      <c r="N155" s="8265"/>
      <c r="O155" s="8265"/>
      <c r="P155" s="8265"/>
      <c r="Q155" s="8265"/>
      <c r="R155" s="603" t="s">
        <v>1315</v>
      </c>
      <c r="T155" s="414"/>
      <c r="U155" s="8291" t="s">
        <v>2603</v>
      </c>
      <c r="V155" s="8292"/>
      <c r="W155" s="8289"/>
      <c r="X155" s="8290"/>
      <c r="Y155" s="8290"/>
      <c r="Z155" s="8290"/>
      <c r="AA155" s="8290"/>
      <c r="AB155" s="8290"/>
      <c r="AC155" s="415"/>
      <c r="AD155" s="8293"/>
      <c r="AE155" s="8294"/>
    </row>
    <row r="156" spans="1:31">
      <c r="A156" s="265">
        <v>132</v>
      </c>
      <c r="B156" s="595">
        <f t="shared" si="3"/>
        <v>0</v>
      </c>
      <c r="C156" s="2142" t="s">
        <v>264</v>
      </c>
      <c r="D156" s="305"/>
      <c r="E156" s="305"/>
      <c r="F156" s="2128"/>
      <c r="G156" s="2127"/>
      <c r="H156" s="2138"/>
      <c r="I156" s="306" t="s">
        <v>2500</v>
      </c>
      <c r="J156" s="2139" t="s">
        <v>2501</v>
      </c>
      <c r="K156" s="303" t="s">
        <v>1425</v>
      </c>
      <c r="L156" s="8266" t="s">
        <v>1408</v>
      </c>
      <c r="M156" s="8266"/>
      <c r="N156" s="8266"/>
      <c r="O156" s="8266"/>
      <c r="P156" s="8266"/>
      <c r="Q156" s="8266"/>
      <c r="R156" s="606"/>
      <c r="T156" s="417"/>
      <c r="U156" s="8318" t="s">
        <v>47</v>
      </c>
      <c r="V156" s="8319"/>
      <c r="W156" s="4176" t="str">
        <f t="array" ref="W156:Z156">TRANSPOSE(U157:V160)</f>
        <v>Vuelo Místico 6</v>
      </c>
      <c r="X156" s="4176" t="str">
        <v>Acorazado</v>
      </c>
      <c r="Y156" s="4176" t="str">
        <v xml:space="preserve"> </v>
      </c>
      <c r="Z156" s="4176" t="str">
        <v xml:space="preserve"> </v>
      </c>
      <c r="AA156" s="4176"/>
      <c r="AB156" s="4177"/>
      <c r="AC156" s="4178"/>
      <c r="AD156" s="8320"/>
      <c r="AE156" s="8321"/>
    </row>
    <row r="157" spans="1:31">
      <c r="A157" s="265">
        <v>133</v>
      </c>
      <c r="B157" s="595">
        <f t="shared" si="3"/>
        <v>0</v>
      </c>
      <c r="C157" s="307" t="s">
        <v>2529</v>
      </c>
      <c r="D157" s="304" t="s">
        <v>2529</v>
      </c>
      <c r="E157" s="304"/>
      <c r="F157" s="300">
        <f>COUNTIF(Sheele!$C$25:$H$36,C157)</f>
        <v>0</v>
      </c>
      <c r="G157" s="285">
        <v>1</v>
      </c>
      <c r="H157" s="285">
        <f>IF(OR($F157=0,$G157=0),0,MAX($H$134:H156)+1)</f>
        <v>0</v>
      </c>
      <c r="I157" s="2120">
        <v>100</v>
      </c>
      <c r="J157" s="285">
        <f>Sheele!F46+50</f>
        <v>110</v>
      </c>
      <c r="K157" s="2124">
        <f>Sheele!L28*2</f>
        <v>60</v>
      </c>
      <c r="L157" s="8258" t="s">
        <v>9189</v>
      </c>
      <c r="M157" s="8250"/>
      <c r="N157" s="8250"/>
      <c r="O157" s="8250"/>
      <c r="P157" s="8250"/>
      <c r="Q157" s="8250"/>
      <c r="R157" s="603" t="s">
        <v>1315</v>
      </c>
      <c r="T157" s="4174"/>
      <c r="U157" s="8322" t="s">
        <v>2612</v>
      </c>
      <c r="V157" s="8323"/>
      <c r="W157" s="8324" t="s">
        <v>2613</v>
      </c>
      <c r="X157" s="8324"/>
      <c r="Y157" s="8324"/>
      <c r="Z157" s="8324"/>
      <c r="AA157" s="8324"/>
      <c r="AB157" s="8324"/>
      <c r="AC157" s="4130" t="s">
        <v>1315</v>
      </c>
      <c r="AD157" s="8310">
        <v>6</v>
      </c>
      <c r="AE157" s="8325"/>
    </row>
    <row r="158" spans="1:31">
      <c r="A158" s="265">
        <v>134</v>
      </c>
      <c r="B158" s="595">
        <f t="shared" si="3"/>
        <v>0</v>
      </c>
      <c r="C158" s="307" t="s">
        <v>2530</v>
      </c>
      <c r="D158" s="304" t="s">
        <v>2530</v>
      </c>
      <c r="E158" s="304"/>
      <c r="F158" s="300">
        <f>COUNTIF(Sheele!$C$25:$H$36,C158)</f>
        <v>0</v>
      </c>
      <c r="G158" s="285">
        <v>1</v>
      </c>
      <c r="H158" s="285">
        <f>IF(OR($F158=0,$G158=0),0,MAX($H$134:H157)+1)</f>
        <v>0</v>
      </c>
      <c r="I158" s="2120">
        <v>100</v>
      </c>
      <c r="J158" s="2140" t="s">
        <v>3048</v>
      </c>
      <c r="K158" s="2124" t="s">
        <v>1315</v>
      </c>
      <c r="L158" s="8250" t="str">
        <f>"50m. Tira 1d100+ "&amp;Sheele!L28*2+Sheele!H16&amp;" en 'Tabla 76: En llamas' (Core p.234)"</f>
        <v>50m. Tira 1d100+ 70 en 'Tabla 76: En llamas' (Core p.234)</v>
      </c>
      <c r="M158" s="8250"/>
      <c r="N158" s="8250"/>
      <c r="O158" s="8250"/>
      <c r="P158" s="8250"/>
      <c r="Q158" s="8250"/>
      <c r="R158" s="603" t="s">
        <v>1315</v>
      </c>
      <c r="T158" s="4174"/>
      <c r="U158" s="8322" t="s">
        <v>13423</v>
      </c>
      <c r="V158" s="8323"/>
      <c r="W158" s="8324" t="s">
        <v>13424</v>
      </c>
      <c r="X158" s="8326"/>
      <c r="Y158" s="8326"/>
      <c r="Z158" s="8326"/>
      <c r="AA158" s="8326"/>
      <c r="AB158" s="8326"/>
      <c r="AC158" s="4130" t="s">
        <v>1315</v>
      </c>
      <c r="AD158" s="8310"/>
      <c r="AE158" s="8325"/>
    </row>
    <row r="159" spans="1:31">
      <c r="A159" s="265">
        <v>135</v>
      </c>
      <c r="B159" s="595">
        <f t="shared" si="3"/>
        <v>0</v>
      </c>
      <c r="C159" s="307" t="s">
        <v>2531</v>
      </c>
      <c r="D159" s="304" t="s">
        <v>2531</v>
      </c>
      <c r="E159" s="304"/>
      <c r="F159" s="300">
        <f>COUNTIF(Sheele!$C$25:$H$36,C159)</f>
        <v>0</v>
      </c>
      <c r="G159" s="285">
        <v>1</v>
      </c>
      <c r="H159" s="285">
        <f>IF(OR($F159=0,$G159=0),0,MAX($H$134:H158)+1)</f>
        <v>0</v>
      </c>
      <c r="I159" s="2120">
        <v>50</v>
      </c>
      <c r="J159" s="285" t="s">
        <v>1315</v>
      </c>
      <c r="K159" s="2124" t="s">
        <v>1315</v>
      </c>
      <c r="L159" s="8258" t="s">
        <v>9190</v>
      </c>
      <c r="M159" s="8250"/>
      <c r="N159" s="8250"/>
      <c r="O159" s="8250"/>
      <c r="P159" s="8250"/>
      <c r="Q159" s="8250"/>
      <c r="R159" s="603" t="s">
        <v>1315</v>
      </c>
      <c r="T159" s="4175"/>
      <c r="U159" s="8327" t="s">
        <v>2603</v>
      </c>
      <c r="V159" s="8328"/>
      <c r="W159" s="8324"/>
      <c r="X159" s="8326"/>
      <c r="Y159" s="8326"/>
      <c r="Z159" s="8326"/>
      <c r="AA159" s="8326"/>
      <c r="AB159" s="8326"/>
      <c r="AC159" s="4130" t="s">
        <v>1315</v>
      </c>
      <c r="AD159" s="8310"/>
      <c r="AE159" s="8325"/>
    </row>
    <row r="160" spans="1:31">
      <c r="A160" s="265">
        <v>136</v>
      </c>
      <c r="B160" s="595">
        <f t="shared" si="3"/>
        <v>0</v>
      </c>
      <c r="C160" s="307" t="s">
        <v>2532</v>
      </c>
      <c r="D160" s="304" t="s">
        <v>2532</v>
      </c>
      <c r="E160" s="304"/>
      <c r="F160" s="300">
        <f>COUNTIF(Sheele!$C$25:$H$36,C160)</f>
        <v>0</v>
      </c>
      <c r="G160" s="285">
        <v>1</v>
      </c>
      <c r="H160" s="285">
        <f>IF(OR($F160=0,$G160=0),0,MAX($H$134:H159)+1)</f>
        <v>0</v>
      </c>
      <c r="I160" s="2120">
        <v>50</v>
      </c>
      <c r="J160" s="285">
        <f>Sheele!F46</f>
        <v>60</v>
      </c>
      <c r="K160" s="2124" t="str">
        <f>Sheele!L28&amp;"+10*"</f>
        <v>30+10*</v>
      </c>
      <c r="L160" s="8250" t="str">
        <f>"CAL. Área "&amp;Sheele!G17&amp;"*[# ataques sucesivos] m. Daño "&amp;Sheele!L28&amp;"+10*[# ataques sucesivos] "</f>
        <v xml:space="preserve">CAL. Área 6*[# ataques sucesivos] m. Daño 30+10*[# ataques sucesivos] </v>
      </c>
      <c r="M160" s="8250"/>
      <c r="N160" s="8250"/>
      <c r="O160" s="8250"/>
      <c r="P160" s="8250"/>
      <c r="Q160" s="8250"/>
      <c r="R160" s="603" t="s">
        <v>1315</v>
      </c>
      <c r="T160" s="4179"/>
      <c r="U160" s="8327" t="s">
        <v>2603</v>
      </c>
      <c r="V160" s="8328"/>
      <c r="W160" s="8324"/>
      <c r="X160" s="8326"/>
      <c r="Y160" s="8326"/>
      <c r="Z160" s="8326"/>
      <c r="AA160" s="8326"/>
      <c r="AB160" s="8326"/>
      <c r="AC160" s="4130"/>
      <c r="AD160" s="8329"/>
      <c r="AE160" s="8330"/>
    </row>
    <row r="161" spans="1:31">
      <c r="A161" s="265">
        <v>137</v>
      </c>
      <c r="B161" s="595">
        <f t="shared" si="3"/>
        <v>0</v>
      </c>
      <c r="C161" s="307" t="s">
        <v>2533</v>
      </c>
      <c r="D161" s="304" t="s">
        <v>2533</v>
      </c>
      <c r="E161" s="304"/>
      <c r="F161" s="300">
        <f>COUNTIF(Sheele!$C$25:$H$36,C161)</f>
        <v>0</v>
      </c>
      <c r="G161" s="285">
        <v>1</v>
      </c>
      <c r="H161" s="285">
        <f>IF(OR($F161=0,$G161=0),0,MAX($H$134:H160)+1)</f>
        <v>0</v>
      </c>
      <c r="I161" s="2120" t="s">
        <v>1315</v>
      </c>
      <c r="J161" s="285">
        <f>Sheele!F46</f>
        <v>60</v>
      </c>
      <c r="K161" s="2064" t="s">
        <v>9191</v>
      </c>
      <c r="L161" s="8250" t="str">
        <f>"La Sheele controla el fuego de hasta "&amp;Sheele!G16&amp;" intensidades. Puede atacar con él."</f>
        <v>La Sheele controla el fuego de hasta 8 intensidades. Puede atacar con él.</v>
      </c>
      <c r="M161" s="8250"/>
      <c r="N161" s="8250"/>
      <c r="O161" s="8250"/>
      <c r="P161" s="8250"/>
      <c r="Q161" s="8250"/>
      <c r="R161" s="603" t="s">
        <v>1315</v>
      </c>
      <c r="T161" s="4180"/>
      <c r="U161" s="8331" t="s">
        <v>58</v>
      </c>
      <c r="V161" s="8332"/>
      <c r="W161" s="4181" t="str">
        <f t="array" ref="W161:Z161">TRANSPOSE(U162:V165)</f>
        <v>Vuelo Místico 8</v>
      </c>
      <c r="X161" s="4181" t="str">
        <v>Ojos del vacío</v>
      </c>
      <c r="Y161" s="4181" t="str">
        <v>Salto dimensional</v>
      </c>
      <c r="Z161" s="4181" t="str">
        <v xml:space="preserve"> </v>
      </c>
      <c r="AA161" s="4181"/>
      <c r="AB161" s="4182"/>
      <c r="AC161" s="4178"/>
      <c r="AD161" s="8333"/>
      <c r="AE161" s="8334"/>
    </row>
    <row r="162" spans="1:31">
      <c r="A162" s="265">
        <v>138</v>
      </c>
      <c r="B162" s="595">
        <f t="shared" si="3"/>
        <v>0</v>
      </c>
      <c r="C162" s="307" t="s">
        <v>9928</v>
      </c>
      <c r="D162" s="304" t="s">
        <v>2513</v>
      </c>
      <c r="E162" s="304"/>
      <c r="F162" s="300">
        <f>COUNTIF(Sheele!$C$25:$H$36,C162)</f>
        <v>0</v>
      </c>
      <c r="G162" s="285"/>
      <c r="H162" s="285">
        <f>IF(OR($F162=0,$G162=0),0,MAX($H$134:H161)+1)</f>
        <v>0</v>
      </c>
      <c r="I162" s="2120" t="s">
        <v>1315</v>
      </c>
      <c r="J162" s="285" t="s">
        <v>1315</v>
      </c>
      <c r="K162" s="2124" t="s">
        <v>1315</v>
      </c>
      <c r="L162" s="8263" t="s">
        <v>2514</v>
      </c>
      <c r="M162" s="8250"/>
      <c r="N162" s="8250"/>
      <c r="O162" s="8250"/>
      <c r="P162" s="8250"/>
      <c r="Q162" s="8250"/>
      <c r="R162" s="603" t="s">
        <v>1315</v>
      </c>
      <c r="T162" s="4126"/>
      <c r="U162" s="8322" t="s">
        <v>2621</v>
      </c>
      <c r="V162" s="8323"/>
      <c r="W162" s="8324" t="s">
        <v>2622</v>
      </c>
      <c r="X162" s="8324"/>
      <c r="Y162" s="8324"/>
      <c r="Z162" s="8324"/>
      <c r="AA162" s="8324"/>
      <c r="AB162" s="8324"/>
      <c r="AC162" s="4130" t="s">
        <v>1315</v>
      </c>
      <c r="AD162" s="8310">
        <v>8</v>
      </c>
      <c r="AE162" s="8335"/>
    </row>
    <row r="163" spans="1:31">
      <c r="A163" s="265">
        <v>139</v>
      </c>
      <c r="B163" s="595">
        <f t="shared" si="3"/>
        <v>0</v>
      </c>
      <c r="C163" s="307" t="s">
        <v>2534</v>
      </c>
      <c r="D163" s="304" t="s">
        <v>2534</v>
      </c>
      <c r="E163" s="304"/>
      <c r="F163" s="300">
        <f>COUNTIF(Sheele!$C$25:$H$36,C163)</f>
        <v>0</v>
      </c>
      <c r="G163" s="285">
        <v>1</v>
      </c>
      <c r="H163" s="285">
        <f>IF(OR($F163=0,$G163=0),0,MAX($H$134:H162)+1)</f>
        <v>0</v>
      </c>
      <c r="I163" s="2120" t="s">
        <v>1315</v>
      </c>
      <c r="J163" s="594" t="s">
        <v>1315</v>
      </c>
      <c r="K163" s="2124" t="s">
        <v>1315</v>
      </c>
      <c r="L163" s="8250" t="str">
        <f>"En contacto: Obtiene crítico secundario CAL, y +"&amp;Sheele!H16&amp;" daño."</f>
        <v>En contacto: Obtiene crítico secundario CAL, y +10 daño.</v>
      </c>
      <c r="M163" s="8250"/>
      <c r="N163" s="8250"/>
      <c r="O163" s="8250"/>
      <c r="P163" s="8250"/>
      <c r="Q163" s="8250"/>
      <c r="R163" s="603" t="s">
        <v>1241</v>
      </c>
      <c r="T163" s="4126"/>
      <c r="U163" s="8322" t="s">
        <v>13425</v>
      </c>
      <c r="V163" s="8323"/>
      <c r="W163" s="8324" t="s">
        <v>13430</v>
      </c>
      <c r="X163" s="8326"/>
      <c r="Y163" s="8326"/>
      <c r="Z163" s="8326"/>
      <c r="AA163" s="8326"/>
      <c r="AB163" s="8326"/>
      <c r="AC163" s="4130" t="s">
        <v>1315</v>
      </c>
      <c r="AD163" s="8310"/>
      <c r="AE163" s="8335"/>
    </row>
    <row r="164" spans="1:31">
      <c r="A164" s="265">
        <v>140</v>
      </c>
      <c r="B164" s="595">
        <f t="shared" si="3"/>
        <v>0</v>
      </c>
      <c r="C164" s="307" t="s">
        <v>2535</v>
      </c>
      <c r="D164" s="304" t="s">
        <v>2535</v>
      </c>
      <c r="E164" s="304"/>
      <c r="F164" s="300">
        <f>COUNTIF(Sheele!$C$25:$H$36,C164)</f>
        <v>0</v>
      </c>
      <c r="G164" s="285">
        <v>1</v>
      </c>
      <c r="H164" s="285">
        <f>IF(OR($F164=0,$G164=0),0,MAX($H$134:H163)+1)</f>
        <v>0</v>
      </c>
      <c r="I164" s="2122" t="s">
        <v>9185</v>
      </c>
      <c r="J164" s="594" t="s">
        <v>1315</v>
      </c>
      <c r="K164" s="2124" t="s">
        <v>1315</v>
      </c>
      <c r="L164" s="8250" t="str">
        <f>"A voluntad, solo vulnerable a energía o frío. En contacto: RF "&amp;Sheele!L28*2+Sheele!H16&amp;" o [Nv de fracaso] daño."</f>
        <v>A voluntad, solo vulnerable a energía o frío. En contacto: RF 70 o [Nv de fracaso] daño.</v>
      </c>
      <c r="M164" s="8250"/>
      <c r="N164" s="8250"/>
      <c r="O164" s="8250"/>
      <c r="P164" s="8250"/>
      <c r="Q164" s="8250"/>
      <c r="R164" s="603" t="s">
        <v>1315</v>
      </c>
      <c r="T164" s="4179"/>
      <c r="U164" s="8327" t="s">
        <v>13426</v>
      </c>
      <c r="V164" s="8328"/>
      <c r="W164" s="8324" t="s">
        <v>13439</v>
      </c>
      <c r="X164" s="8326"/>
      <c r="Y164" s="8326"/>
      <c r="Z164" s="8326"/>
      <c r="AA164" s="8326"/>
      <c r="AB164" s="8326"/>
      <c r="AC164" s="4130" t="s">
        <v>1315</v>
      </c>
      <c r="AD164" s="8310"/>
      <c r="AE164" s="8335"/>
    </row>
    <row r="165" spans="1:31">
      <c r="A165" s="265">
        <v>141</v>
      </c>
      <c r="B165" s="595">
        <f t="shared" si="3"/>
        <v>0</v>
      </c>
      <c r="C165" s="307" t="s">
        <v>2536</v>
      </c>
      <c r="D165" s="304" t="s">
        <v>2536</v>
      </c>
      <c r="E165" s="304"/>
      <c r="F165" s="300">
        <f>COUNTIF(Sheele!$C$25:$H$36,C165)</f>
        <v>0</v>
      </c>
      <c r="G165" s="285">
        <v>1</v>
      </c>
      <c r="H165" s="285">
        <f>IF(OR($F165=0,$G165=0),0,MAX($H$134:H164)+1)</f>
        <v>0</v>
      </c>
      <c r="I165" s="2120" t="s">
        <v>1315</v>
      </c>
      <c r="J165" s="285" t="s">
        <v>1315</v>
      </c>
      <c r="K165" s="2124" t="s">
        <v>1315</v>
      </c>
      <c r="L165" s="8263" t="s">
        <v>2538</v>
      </c>
      <c r="M165" s="8250"/>
      <c r="N165" s="8250"/>
      <c r="O165" s="8250"/>
      <c r="P165" s="8250"/>
      <c r="Q165" s="8250"/>
      <c r="R165" s="603" t="s">
        <v>1241</v>
      </c>
      <c r="T165" s="4184"/>
      <c r="U165" s="8336" t="s">
        <v>2603</v>
      </c>
      <c r="V165" s="8337"/>
      <c r="W165" s="8338"/>
      <c r="X165" s="8339"/>
      <c r="Y165" s="8339"/>
      <c r="Z165" s="8339"/>
      <c r="AA165" s="8339"/>
      <c r="AB165" s="8339"/>
      <c r="AC165" s="4185"/>
      <c r="AD165" s="8340"/>
      <c r="AE165" s="8341"/>
    </row>
    <row r="166" spans="1:31">
      <c r="A166" s="265">
        <v>142</v>
      </c>
      <c r="B166" s="595">
        <f t="shared" si="3"/>
        <v>0</v>
      </c>
      <c r="C166" s="307" t="s">
        <v>2539</v>
      </c>
      <c r="D166" s="304" t="s">
        <v>2539</v>
      </c>
      <c r="E166" s="304"/>
      <c r="F166" s="300">
        <f>COUNTIF(Sheele!$C$25:$H$36,C166)</f>
        <v>0</v>
      </c>
      <c r="G166" s="285"/>
      <c r="H166" s="285">
        <f>IF(OR($F166=0,$G166=0),0,MAX($H$134:H165)+1)</f>
        <v>0</v>
      </c>
      <c r="I166" s="2120" t="s">
        <v>1315</v>
      </c>
      <c r="J166" s="594" t="s">
        <v>1315</v>
      </c>
      <c r="K166" s="2124" t="s">
        <v>1315</v>
      </c>
      <c r="L166" s="8264" t="s">
        <v>2540</v>
      </c>
      <c r="M166" s="8265"/>
      <c r="N166" s="8265"/>
      <c r="O166" s="8265"/>
      <c r="P166" s="8265"/>
      <c r="Q166" s="8265"/>
      <c r="R166" s="603" t="s">
        <v>1315</v>
      </c>
      <c r="T166" s="4180"/>
      <c r="U166" s="8331" t="s">
        <v>51</v>
      </c>
      <c r="V166" s="8332"/>
      <c r="W166" s="4181" t="str">
        <f t="array" ref="W166:Z166">TRANSPOSE(U167:V170)</f>
        <v>Vuelo Místico 8</v>
      </c>
      <c r="X166" s="4181" t="str">
        <v>Belleza absoluta</v>
      </c>
      <c r="Y166" s="4181" t="str">
        <v>Alta alcurnia</v>
      </c>
      <c r="Z166" s="4181" t="str">
        <v xml:space="preserve"> </v>
      </c>
      <c r="AA166" s="4181"/>
      <c r="AB166" s="4182"/>
      <c r="AC166" s="4178"/>
      <c r="AD166" s="8333"/>
      <c r="AE166" s="8334"/>
    </row>
    <row r="167" spans="1:31">
      <c r="A167" s="265">
        <v>143</v>
      </c>
      <c r="B167" s="595">
        <f t="shared" si="3"/>
        <v>0</v>
      </c>
      <c r="C167" s="2142" t="s">
        <v>265</v>
      </c>
      <c r="D167" s="305"/>
      <c r="E167" s="305"/>
      <c r="F167" s="2128"/>
      <c r="G167" s="2127"/>
      <c r="H167" s="2138"/>
      <c r="I167" s="306" t="s">
        <v>2500</v>
      </c>
      <c r="J167" s="2139" t="s">
        <v>2501</v>
      </c>
      <c r="K167" s="303" t="s">
        <v>1425</v>
      </c>
      <c r="L167" s="8266" t="s">
        <v>1408</v>
      </c>
      <c r="M167" s="8266"/>
      <c r="N167" s="8266"/>
      <c r="O167" s="8266"/>
      <c r="P167" s="8266"/>
      <c r="Q167" s="8266"/>
      <c r="R167" s="606"/>
      <c r="T167" s="4126"/>
      <c r="U167" s="8322" t="s">
        <v>2621</v>
      </c>
      <c r="V167" s="8323"/>
      <c r="W167" s="8324" t="s">
        <v>2622</v>
      </c>
      <c r="X167" s="8324"/>
      <c r="Y167" s="8324"/>
      <c r="Z167" s="8324"/>
      <c r="AA167" s="8324"/>
      <c r="AB167" s="8324"/>
      <c r="AC167" s="4130" t="s">
        <v>1315</v>
      </c>
      <c r="AD167" s="8310">
        <v>8</v>
      </c>
      <c r="AE167" s="8335"/>
    </row>
    <row r="168" spans="1:31">
      <c r="A168" s="265">
        <v>144</v>
      </c>
      <c r="B168" s="595">
        <f t="shared" si="3"/>
        <v>0</v>
      </c>
      <c r="C168" s="307" t="s">
        <v>2541</v>
      </c>
      <c r="D168" s="304" t="s">
        <v>2541</v>
      </c>
      <c r="E168" s="304"/>
      <c r="F168" s="300">
        <f>COUNTIF(Sheele!$C$25:$H$36,C168)</f>
        <v>0</v>
      </c>
      <c r="G168" s="285">
        <v>1</v>
      </c>
      <c r="H168" s="285">
        <f>IF(OR($F168=0,$G168=0),0,MAX($H$134:H167)+1)</f>
        <v>0</v>
      </c>
      <c r="I168" s="2120">
        <v>150</v>
      </c>
      <c r="J168" s="285" t="s">
        <v>1315</v>
      </c>
      <c r="K168" s="2124">
        <f>MROUND(Sheele!L28*3,10)</f>
        <v>90</v>
      </c>
      <c r="L168" s="8258" t="s">
        <v>9206</v>
      </c>
      <c r="M168" s="8250"/>
      <c r="N168" s="8250"/>
      <c r="O168" s="8250"/>
      <c r="P168" s="8250"/>
      <c r="Q168" s="8250"/>
      <c r="R168" s="603" t="s">
        <v>1315</v>
      </c>
      <c r="T168" s="4126"/>
      <c r="U168" s="8322" t="s">
        <v>13427</v>
      </c>
      <c r="V168" s="8323"/>
      <c r="W168" s="8324" t="s">
        <v>13428</v>
      </c>
      <c r="X168" s="8326"/>
      <c r="Y168" s="8326"/>
      <c r="Z168" s="8326"/>
      <c r="AA168" s="8326"/>
      <c r="AB168" s="8326"/>
      <c r="AC168" s="4130" t="s">
        <v>1315</v>
      </c>
      <c r="AD168" s="8310"/>
      <c r="AE168" s="8335"/>
    </row>
    <row r="169" spans="1:31">
      <c r="A169" s="265">
        <v>145</v>
      </c>
      <c r="B169" s="595">
        <f t="shared" si="3"/>
        <v>0</v>
      </c>
      <c r="C169" s="307" t="s">
        <v>2542</v>
      </c>
      <c r="D169" s="304" t="s">
        <v>2542</v>
      </c>
      <c r="E169" s="304"/>
      <c r="F169" s="300">
        <f>COUNTIF(Sheele!$C$25:$H$36,C169)</f>
        <v>0</v>
      </c>
      <c r="G169" s="285">
        <v>1</v>
      </c>
      <c r="H169" s="285">
        <f>IF(OR($F169=0,$G169=0),0,MAX($H$134:H168)+1)</f>
        <v>0</v>
      </c>
      <c r="I169" s="2120">
        <v>150</v>
      </c>
      <c r="J169" s="2140" t="s">
        <v>3048</v>
      </c>
      <c r="K169" s="2124" t="s">
        <v>1315</v>
      </c>
      <c r="L169" s="8250" t="str">
        <f>"Área 25m. RM "&amp;Sheele!L28*2+Sheele!H16&amp;": -50 turno y x0.5 movimiento. En contacto: Inmune."</f>
        <v>Área 25m. RM 70: -50 turno y x0.5 movimiento. En contacto: Inmune.</v>
      </c>
      <c r="M169" s="8250"/>
      <c r="N169" s="8250"/>
      <c r="O169" s="8250"/>
      <c r="P169" s="8250"/>
      <c r="Q169" s="8250"/>
      <c r="R169" s="603" t="s">
        <v>1315</v>
      </c>
      <c r="T169" s="4179"/>
      <c r="U169" s="8327" t="s">
        <v>13431</v>
      </c>
      <c r="V169" s="8328"/>
      <c r="W169" s="8324" t="s">
        <v>13432</v>
      </c>
      <c r="X169" s="8326"/>
      <c r="Y169" s="8326"/>
      <c r="Z169" s="8326"/>
      <c r="AA169" s="8326"/>
      <c r="AB169" s="8326"/>
      <c r="AC169" s="4130" t="s">
        <v>1315</v>
      </c>
      <c r="AD169" s="8310"/>
      <c r="AE169" s="8335"/>
    </row>
    <row r="170" spans="1:31">
      <c r="A170" s="265">
        <v>146</v>
      </c>
      <c r="B170" s="595">
        <f t="shared" si="3"/>
        <v>0</v>
      </c>
      <c r="C170" s="307" t="s">
        <v>2543</v>
      </c>
      <c r="D170" s="304" t="s">
        <v>2543</v>
      </c>
      <c r="E170" s="304"/>
      <c r="F170" s="300">
        <f>COUNTIF(Sheele!$C$25:$H$36,C170)</f>
        <v>0</v>
      </c>
      <c r="G170" s="285">
        <v>1</v>
      </c>
      <c r="H170" s="285">
        <f>IF(OR($F170=0,$G170=0),0,MAX($H$134:H169)+1)</f>
        <v>0</v>
      </c>
      <c r="I170" s="2120">
        <v>150</v>
      </c>
      <c r="J170" s="285" t="s">
        <v>1315</v>
      </c>
      <c r="K170" s="308" t="s">
        <v>1315</v>
      </c>
      <c r="L170" s="8258" t="s">
        <v>9192</v>
      </c>
      <c r="M170" s="8250"/>
      <c r="N170" s="8250"/>
      <c r="O170" s="8250"/>
      <c r="P170" s="8250"/>
      <c r="Q170" s="8250"/>
      <c r="R170" s="603" t="s">
        <v>1315</v>
      </c>
      <c r="T170" s="4184"/>
      <c r="U170" s="8336" t="s">
        <v>2603</v>
      </c>
      <c r="V170" s="8337"/>
      <c r="W170" s="8338"/>
      <c r="X170" s="8339"/>
      <c r="Y170" s="8339"/>
      <c r="Z170" s="8339"/>
      <c r="AA170" s="8339"/>
      <c r="AB170" s="8339"/>
      <c r="AC170" s="4185"/>
      <c r="AD170" s="8340"/>
      <c r="AE170" s="8341"/>
    </row>
    <row r="171" spans="1:31">
      <c r="A171" s="265">
        <v>147</v>
      </c>
      <c r="B171" s="595">
        <f t="shared" si="3"/>
        <v>0</v>
      </c>
      <c r="C171" s="307" t="s">
        <v>2544</v>
      </c>
      <c r="D171" s="304" t="s">
        <v>2544</v>
      </c>
      <c r="E171" s="304"/>
      <c r="F171" s="300">
        <f>COUNTIF(Sheele!$C$25:$H$36,C171)</f>
        <v>0</v>
      </c>
      <c r="G171" s="285">
        <v>1</v>
      </c>
      <c r="H171" s="285">
        <f>IF(OR($F171=0,$G171=0),0,MAX($H$134:H170)+1)</f>
        <v>0</v>
      </c>
      <c r="I171" s="2120">
        <v>80</v>
      </c>
      <c r="J171" s="285" t="s">
        <v>1315</v>
      </c>
      <c r="K171" s="2124" t="s">
        <v>1315</v>
      </c>
      <c r="L171" s="8250" t="str">
        <f>"Area "&amp;Sheele!L28*2&amp;"m. Construcciones e individuos sobre el suelo control de AGI "&amp;Sheele!E13*2&amp;" o derribados"</f>
        <v>Area 60m. Construcciones e individuos sobre el suelo control de AGI 4 o derribados</v>
      </c>
      <c r="M171" s="8250"/>
      <c r="N171" s="8250"/>
      <c r="O171" s="8250"/>
      <c r="P171" s="8250"/>
      <c r="Q171" s="8250"/>
      <c r="R171" s="603" t="s">
        <v>1315</v>
      </c>
      <c r="T171" s="4180"/>
      <c r="U171" s="8331" t="s">
        <v>1926</v>
      </c>
      <c r="V171" s="8332"/>
      <c r="W171" s="4181" t="str">
        <f t="array" ref="W171:Z171">TRANSPOSE(U172:V175)</f>
        <v>Vuelo Místico 4</v>
      </c>
      <c r="X171" s="4181" t="str">
        <v>Ojos de la locura</v>
      </c>
      <c r="Y171" s="4181" t="str">
        <v xml:space="preserve"> </v>
      </c>
      <c r="Z171" s="4181" t="str">
        <v xml:space="preserve"> </v>
      </c>
      <c r="AA171" s="4181"/>
      <c r="AB171" s="4182"/>
      <c r="AC171" s="4178"/>
      <c r="AD171" s="8333"/>
      <c r="AE171" s="8334"/>
    </row>
    <row r="172" spans="1:31">
      <c r="A172" s="265">
        <v>148</v>
      </c>
      <c r="B172" s="595">
        <f t="shared" si="3"/>
        <v>0</v>
      </c>
      <c r="C172" s="307" t="s">
        <v>2545</v>
      </c>
      <c r="D172" s="304" t="s">
        <v>2545</v>
      </c>
      <c r="E172" s="304"/>
      <c r="F172" s="300">
        <f>COUNTIF(Sheele!$C$25:$H$36,C172)</f>
        <v>0</v>
      </c>
      <c r="G172" s="285"/>
      <c r="H172" s="285">
        <f>IF(OR($F172=0,$G172=0),0,MAX($H$134:H171)+1)</f>
        <v>0</v>
      </c>
      <c r="I172" s="2120" t="s">
        <v>1315</v>
      </c>
      <c r="J172" s="285" t="s">
        <v>1315</v>
      </c>
      <c r="K172" s="308" t="s">
        <v>1315</v>
      </c>
      <c r="L172" s="8263" t="s">
        <v>2546</v>
      </c>
      <c r="M172" s="8250"/>
      <c r="N172" s="8250"/>
      <c r="O172" s="8250"/>
      <c r="P172" s="8250"/>
      <c r="Q172" s="8250"/>
      <c r="R172" s="603" t="s">
        <v>1315</v>
      </c>
      <c r="T172" s="4126"/>
      <c r="U172" s="8322" t="s">
        <v>2604</v>
      </c>
      <c r="V172" s="8323"/>
      <c r="W172" s="8324" t="s">
        <v>2605</v>
      </c>
      <c r="X172" s="8324"/>
      <c r="Y172" s="8324"/>
      <c r="Z172" s="8324"/>
      <c r="AA172" s="8324"/>
      <c r="AB172" s="8324"/>
      <c r="AC172" s="4130" t="s">
        <v>1315</v>
      </c>
      <c r="AD172" s="8310">
        <v>4</v>
      </c>
      <c r="AE172" s="8335"/>
    </row>
    <row r="173" spans="1:31">
      <c r="A173" s="265">
        <v>149</v>
      </c>
      <c r="B173" s="595">
        <f t="shared" si="3"/>
        <v>0</v>
      </c>
      <c r="C173" s="307" t="s">
        <v>2547</v>
      </c>
      <c r="D173" s="304" t="s">
        <v>2547</v>
      </c>
      <c r="E173" s="304"/>
      <c r="F173" s="300">
        <f>COUNTIF(Sheele!$C$25:$H$36,C173)</f>
        <v>0</v>
      </c>
      <c r="G173" s="285">
        <v>1</v>
      </c>
      <c r="H173" s="285">
        <f>IF(OR($F173=0,$G173=0),0,MAX($H$134:H172)+1)</f>
        <v>0</v>
      </c>
      <c r="I173" s="2120" t="s">
        <v>1315</v>
      </c>
      <c r="J173" s="285" t="s">
        <v>1315</v>
      </c>
      <c r="K173" s="2124" t="s">
        <v>1315</v>
      </c>
      <c r="L173" s="8258" t="s">
        <v>9193</v>
      </c>
      <c r="M173" s="8250"/>
      <c r="N173" s="8250"/>
      <c r="O173" s="8250"/>
      <c r="P173" s="8250"/>
      <c r="Q173" s="8250"/>
      <c r="R173" s="603" t="s">
        <v>1241</v>
      </c>
      <c r="T173" s="4126"/>
      <c r="U173" s="8322" t="s">
        <v>13433</v>
      </c>
      <c r="V173" s="8323"/>
      <c r="W173" s="8324" t="s">
        <v>13434</v>
      </c>
      <c r="X173" s="8326"/>
      <c r="Y173" s="8326"/>
      <c r="Z173" s="8326"/>
      <c r="AA173" s="8326"/>
      <c r="AB173" s="8326"/>
      <c r="AC173" s="4130" t="s">
        <v>1315</v>
      </c>
      <c r="AD173" s="8310"/>
      <c r="AE173" s="8335"/>
    </row>
    <row r="174" spans="1:31">
      <c r="A174" s="265">
        <v>150</v>
      </c>
      <c r="B174" s="595">
        <f t="shared" si="3"/>
        <v>0</v>
      </c>
      <c r="C174" s="307" t="s">
        <v>2548</v>
      </c>
      <c r="D174" s="304" t="s">
        <v>2548</v>
      </c>
      <c r="E174" s="304"/>
      <c r="F174" s="300">
        <f>COUNTIF(Sheele!$C$25:$H$36,C174)</f>
        <v>0</v>
      </c>
      <c r="G174" s="285">
        <v>1</v>
      </c>
      <c r="H174" s="285">
        <f>IF(OR($F174=0,$G174=0),0,MAX($H$134:H173)+1)</f>
        <v>0</v>
      </c>
      <c r="I174" s="2120">
        <v>150</v>
      </c>
      <c r="J174" s="594">
        <f>Sheele!F46+50</f>
        <v>110</v>
      </c>
      <c r="K174" s="2124"/>
      <c r="L174" s="8250" t="str">
        <f>"100m. Si &gt;0%, Control FUE "&amp;Sheele!E13+Sheele!E16+Sheele!E17&amp;"-[TA CON]: 10*[Nv de fracaso] daño (*5 si Acumulación)"</f>
        <v>100m. Si &gt;0%, Control FUE 16-[TA CON]: 10*[Nv de fracaso] daño (*5 si Acumulación)</v>
      </c>
      <c r="M174" s="8250"/>
      <c r="N174" s="8250"/>
      <c r="O174" s="8250"/>
      <c r="P174" s="8250"/>
      <c r="Q174" s="8250"/>
      <c r="R174" s="603" t="s">
        <v>1315</v>
      </c>
      <c r="T174" s="4179"/>
      <c r="U174" s="8327" t="s">
        <v>2603</v>
      </c>
      <c r="V174" s="8328"/>
      <c r="W174" s="8324"/>
      <c r="X174" s="8326"/>
      <c r="Y174" s="8326"/>
      <c r="Z174" s="8326"/>
      <c r="AA174" s="8326"/>
      <c r="AB174" s="8326"/>
      <c r="AC174" s="4130" t="s">
        <v>1315</v>
      </c>
      <c r="AD174" s="8310"/>
      <c r="AE174" s="8335"/>
    </row>
    <row r="175" spans="1:31">
      <c r="A175" s="265">
        <v>151</v>
      </c>
      <c r="B175" s="595">
        <f t="shared" si="3"/>
        <v>0</v>
      </c>
      <c r="C175" s="307" t="s">
        <v>9929</v>
      </c>
      <c r="D175" s="304" t="s">
        <v>2513</v>
      </c>
      <c r="E175" s="304"/>
      <c r="F175" s="300">
        <f>COUNTIF(Sheele!$C$25:$H$36,C175)</f>
        <v>0</v>
      </c>
      <c r="G175" s="285"/>
      <c r="H175" s="285">
        <f>IF(OR($F175=0,$G175=0),0,MAX($H$134:H174)+1)</f>
        <v>0</v>
      </c>
      <c r="I175" s="2120" t="s">
        <v>1315</v>
      </c>
      <c r="J175" s="594" t="s">
        <v>1315</v>
      </c>
      <c r="K175" s="2124" t="s">
        <v>1315</v>
      </c>
      <c r="L175" s="8263" t="s">
        <v>2514</v>
      </c>
      <c r="M175" s="8250"/>
      <c r="N175" s="8250"/>
      <c r="O175" s="8250"/>
      <c r="P175" s="8250"/>
      <c r="Q175" s="8250"/>
      <c r="R175" s="603" t="s">
        <v>1315</v>
      </c>
      <c r="T175" s="4184"/>
      <c r="U175" s="8336" t="s">
        <v>2603</v>
      </c>
      <c r="V175" s="8337"/>
      <c r="W175" s="8338"/>
      <c r="X175" s="8339"/>
      <c r="Y175" s="8339"/>
      <c r="Z175" s="8339"/>
      <c r="AA175" s="8339"/>
      <c r="AB175" s="8339"/>
      <c r="AC175" s="4185"/>
      <c r="AD175" s="8340"/>
      <c r="AE175" s="8341"/>
    </row>
    <row r="176" spans="1:31">
      <c r="A176" s="265">
        <v>152</v>
      </c>
      <c r="B176" s="595">
        <f t="shared" si="3"/>
        <v>0</v>
      </c>
      <c r="C176" s="307" t="s">
        <v>2549</v>
      </c>
      <c r="D176" s="304" t="s">
        <v>2549</v>
      </c>
      <c r="E176" s="304"/>
      <c r="F176" s="300">
        <f>COUNTIF(Sheele!$C$25:$H$36,C176)</f>
        <v>0</v>
      </c>
      <c r="G176" s="285">
        <v>1</v>
      </c>
      <c r="H176" s="285">
        <f>IF(OR($F176=0,$G176=0),0,MAX($H$134:H175)+1)</f>
        <v>0</v>
      </c>
      <c r="I176" s="2120" t="s">
        <v>1315</v>
      </c>
      <c r="J176" s="285" t="s">
        <v>1315</v>
      </c>
      <c r="K176" s="2124" t="s">
        <v>1315</v>
      </c>
      <c r="L176" s="8250" t="str">
        <f>"Movimiento subterráneo de Tipo "&amp;Sheele!J20</f>
        <v>Movimiento subterráneo de Tipo 8</v>
      </c>
      <c r="M176" s="8250"/>
      <c r="N176" s="8250"/>
      <c r="O176" s="8250"/>
      <c r="P176" s="8250"/>
      <c r="Q176" s="8250"/>
      <c r="R176" s="603" t="s">
        <v>1315</v>
      </c>
      <c r="T176" s="4180"/>
      <c r="U176" s="8331" t="s">
        <v>48</v>
      </c>
      <c r="V176" s="8332"/>
      <c r="W176" s="4181" t="str">
        <f t="array" ref="W176:Z176">TRANSPOSE(U177:V180)</f>
        <v>Vuelo Místico 10</v>
      </c>
      <c r="X176" s="4181" t="str">
        <v>Grimorio portátil</v>
      </c>
      <c r="Y176" s="4181" t="str">
        <v>Rápida como el papel</v>
      </c>
      <c r="Z176" s="4181" t="str">
        <v>Superfragilidad</v>
      </c>
      <c r="AA176" s="4181"/>
      <c r="AB176" s="4182"/>
      <c r="AC176" s="4178"/>
      <c r="AD176" s="8333"/>
      <c r="AE176" s="8334"/>
    </row>
    <row r="177" spans="1:31">
      <c r="A177" s="265">
        <v>153</v>
      </c>
      <c r="B177" s="595">
        <f t="shared" si="3"/>
        <v>0</v>
      </c>
      <c r="C177" s="307" t="s">
        <v>2550</v>
      </c>
      <c r="D177" s="304" t="s">
        <v>2550</v>
      </c>
      <c r="E177" s="304"/>
      <c r="F177" s="300">
        <f>COUNTIF(Sheele!$C$25:$H$36,C177)</f>
        <v>0</v>
      </c>
      <c r="G177" s="285">
        <v>1</v>
      </c>
      <c r="H177" s="285">
        <f>IF(OR($F177=0,$G177=0),0,MAX($H$134:H176)+1)</f>
        <v>0</v>
      </c>
      <c r="I177" s="2120" t="s">
        <v>1315</v>
      </c>
      <c r="J177" s="285" t="s">
        <v>1315</v>
      </c>
      <c r="K177" s="2124" t="s">
        <v>1315</v>
      </c>
      <c r="L177" s="8265" t="s">
        <v>2551</v>
      </c>
      <c r="M177" s="8265"/>
      <c r="N177" s="8265"/>
      <c r="O177" s="8265"/>
      <c r="P177" s="8265"/>
      <c r="Q177" s="8265"/>
      <c r="R177" s="603" t="s">
        <v>1241</v>
      </c>
      <c r="T177" s="4126"/>
      <c r="U177" s="8322" t="s">
        <v>2599</v>
      </c>
      <c r="V177" s="8323"/>
      <c r="W177" s="8324" t="s">
        <v>2600</v>
      </c>
      <c r="X177" s="8324"/>
      <c r="Y177" s="8324"/>
      <c r="Z177" s="8324"/>
      <c r="AA177" s="8324"/>
      <c r="AB177" s="8324"/>
      <c r="AC177" s="4130" t="s">
        <v>1315</v>
      </c>
      <c r="AD177" s="8310">
        <v>10</v>
      </c>
      <c r="AE177" s="8335"/>
    </row>
    <row r="178" spans="1:31">
      <c r="A178" s="265">
        <v>154</v>
      </c>
      <c r="B178" s="595">
        <f t="shared" si="3"/>
        <v>0</v>
      </c>
      <c r="C178" s="2142" t="s">
        <v>200</v>
      </c>
      <c r="D178" s="305"/>
      <c r="E178" s="305"/>
      <c r="F178" s="2128"/>
      <c r="G178" s="2127"/>
      <c r="H178" s="2138"/>
      <c r="I178" s="306" t="s">
        <v>2500</v>
      </c>
      <c r="J178" s="2139" t="s">
        <v>2501</v>
      </c>
      <c r="K178" s="303" t="s">
        <v>1425</v>
      </c>
      <c r="L178" s="8266" t="s">
        <v>1408</v>
      </c>
      <c r="M178" s="8266"/>
      <c r="N178" s="8266"/>
      <c r="O178" s="8266"/>
      <c r="P178" s="8266"/>
      <c r="Q178" s="8266"/>
      <c r="R178" s="606"/>
      <c r="T178" s="4126"/>
      <c r="U178" s="8322" t="s">
        <v>13435</v>
      </c>
      <c r="V178" s="8323"/>
      <c r="W178" s="8324" t="s">
        <v>13438</v>
      </c>
      <c r="X178" s="8326"/>
      <c r="Y178" s="8326"/>
      <c r="Z178" s="8326"/>
      <c r="AA178" s="8326"/>
      <c r="AB178" s="8326"/>
      <c r="AC178" s="4130" t="s">
        <v>1315</v>
      </c>
      <c r="AD178" s="8310"/>
      <c r="AE178" s="8335"/>
    </row>
    <row r="179" spans="1:31" ht="15.75" customHeight="1">
      <c r="A179" s="265">
        <v>155</v>
      </c>
      <c r="B179" s="595">
        <f t="shared" ref="B179:B242" si="4">H179</f>
        <v>0</v>
      </c>
      <c r="C179" s="307" t="s">
        <v>2552</v>
      </c>
      <c r="D179" s="304" t="s">
        <v>2552</v>
      </c>
      <c r="E179" s="304"/>
      <c r="F179" s="300">
        <f>COUNTIF(Sheele!$C$25:$H$36,C179)</f>
        <v>0</v>
      </c>
      <c r="G179" s="285">
        <v>1</v>
      </c>
      <c r="H179" s="285">
        <f>IF(OR($F179=0,$G179=0),0,MAX($H$134:H178)+1)</f>
        <v>0</v>
      </c>
      <c r="I179" s="2120">
        <v>250</v>
      </c>
      <c r="J179" s="285">
        <f>Sheele!F46</f>
        <v>60</v>
      </c>
      <c r="K179" s="2124">
        <v>40</v>
      </c>
      <c r="L179" s="8250" t="str">
        <f>"Crea "&amp;Sheele!G16&amp;" proyectiles durante "&amp;Sheele!G17&amp;" asaltos. Máximo "&amp;ROUNDDOWN(Sheele!G12/2,0)&amp;" ataques/ turno. Ataca en ENE."</f>
        <v>Crea 8 proyectiles durante 6 asaltos. Máximo 4 ataques/ turno. Ataca en ENE.</v>
      </c>
      <c r="M179" s="8250"/>
      <c r="N179" s="8250"/>
      <c r="O179" s="8250"/>
      <c r="P179" s="8250"/>
      <c r="Q179" s="8250"/>
      <c r="R179" s="603" t="s">
        <v>1315</v>
      </c>
      <c r="T179" s="4179"/>
      <c r="U179" s="8327" t="s">
        <v>13436</v>
      </c>
      <c r="V179" s="8328"/>
      <c r="W179" s="8324" t="s">
        <v>13429</v>
      </c>
      <c r="X179" s="8326"/>
      <c r="Y179" s="8326"/>
      <c r="Z179" s="8326"/>
      <c r="AA179" s="8326"/>
      <c r="AB179" s="8326"/>
      <c r="AC179" s="4130" t="s">
        <v>1315</v>
      </c>
      <c r="AD179" s="8310"/>
      <c r="AE179" s="8335"/>
    </row>
    <row r="180" spans="1:31" ht="12.75" customHeight="1">
      <c r="A180" s="265">
        <v>156</v>
      </c>
      <c r="B180" s="595">
        <f t="shared" si="4"/>
        <v>0</v>
      </c>
      <c r="C180" s="307" t="s">
        <v>2553</v>
      </c>
      <c r="D180" s="304" t="s">
        <v>2553</v>
      </c>
      <c r="E180" s="304"/>
      <c r="F180" s="300">
        <f>COUNTIF(Sheele!$C$25:$H$36,C180)</f>
        <v>0</v>
      </c>
      <c r="G180" s="285">
        <v>1</v>
      </c>
      <c r="H180" s="285">
        <f>IF(OR($F180=0,$G180=0),0,MAX($H$134:H179)+1)</f>
        <v>0</v>
      </c>
      <c r="I180" s="2120">
        <v>250</v>
      </c>
      <c r="J180" s="285" t="str">
        <f>Sheele!F46&amp;"+"</f>
        <v>60+</v>
      </c>
      <c r="K180" s="2124">
        <f>Sheele!L28*2</f>
        <v>60</v>
      </c>
      <c r="L180" s="8250" t="str">
        <f>"ENE. +15 Proy. cada asalto que lo prepare, máximo "&amp;Sheele!G16&amp;"."</f>
        <v>ENE. +15 Proy. cada asalto que lo prepare, máximo 8.</v>
      </c>
      <c r="M180" s="8250"/>
      <c r="N180" s="8250"/>
      <c r="O180" s="8250"/>
      <c r="P180" s="8250"/>
      <c r="Q180" s="8250"/>
      <c r="R180" s="603" t="s">
        <v>1315</v>
      </c>
      <c r="T180" s="4184"/>
      <c r="U180" s="8336" t="s">
        <v>13437</v>
      </c>
      <c r="V180" s="8337"/>
      <c r="W180" s="8338" t="s">
        <v>13440</v>
      </c>
      <c r="X180" s="8339"/>
      <c r="Y180" s="8339"/>
      <c r="Z180" s="8339"/>
      <c r="AA180" s="8339"/>
      <c r="AB180" s="8339"/>
      <c r="AC180" s="4185"/>
      <c r="AD180" s="8340"/>
      <c r="AE180" s="8341"/>
    </row>
    <row r="181" spans="1:31">
      <c r="A181" s="265">
        <v>157</v>
      </c>
      <c r="B181" s="595">
        <f t="shared" si="4"/>
        <v>0</v>
      </c>
      <c r="C181" s="307" t="s">
        <v>251</v>
      </c>
      <c r="D181" s="304" t="s">
        <v>251</v>
      </c>
      <c r="E181" s="304"/>
      <c r="F181" s="300">
        <f>COUNTIF(Sheele!$C$25:$H$36,C181)</f>
        <v>0</v>
      </c>
      <c r="G181" s="285">
        <v>1</v>
      </c>
      <c r="H181" s="285">
        <f>IF(OR($F181=0,$G181=0),0,MAX($H$134:H180)+1)</f>
        <v>0</v>
      </c>
      <c r="I181" s="2120">
        <v>250</v>
      </c>
      <c r="J181" s="594" t="s">
        <v>1315</v>
      </c>
      <c r="K181" s="2124" t="s">
        <v>1315</v>
      </c>
      <c r="L181" s="8250" t="str">
        <f>"5 asaltos. +"&amp;Sheele!H16*2&amp;" a toda acción y al ACT transferible. Después, -50 ata (10/ asalto)"</f>
        <v>5 asaltos. +20 a toda acción y al ACT transferible. Después, -50 ata (10/ asalto)</v>
      </c>
      <c r="M181" s="8250"/>
      <c r="N181" s="8250"/>
      <c r="O181" s="8250"/>
      <c r="P181" s="8250"/>
      <c r="Q181" s="8250"/>
      <c r="R181" s="603" t="s">
        <v>1315</v>
      </c>
      <c r="T181" s="4180"/>
      <c r="U181" s="8331" t="s">
        <v>54</v>
      </c>
      <c r="V181" s="8332"/>
      <c r="W181" s="4181" t="str">
        <f t="array" ref="W181:Z181">TRANSPOSE(U182:V185)</f>
        <v>Vuelo Místico 6</v>
      </c>
      <c r="X181" s="4181" t="str">
        <v>Ojos del conocimiento</v>
      </c>
      <c r="Y181" s="4181" t="str">
        <v xml:space="preserve"> </v>
      </c>
      <c r="Z181" s="4181" t="str">
        <v xml:space="preserve"> </v>
      </c>
      <c r="AA181" s="4181"/>
      <c r="AB181" s="4182"/>
      <c r="AC181" s="4178"/>
      <c r="AD181" s="8333"/>
      <c r="AE181" s="8334"/>
    </row>
    <row r="182" spans="1:31">
      <c r="A182" s="265">
        <v>158</v>
      </c>
      <c r="B182" s="595">
        <f t="shared" si="4"/>
        <v>0</v>
      </c>
      <c r="C182" s="307" t="s">
        <v>2554</v>
      </c>
      <c r="D182" s="304" t="s">
        <v>2554</v>
      </c>
      <c r="E182" s="304"/>
      <c r="F182" s="300">
        <f>COUNTIF(Sheele!$C$25:$H$36,C182)</f>
        <v>0</v>
      </c>
      <c r="G182" s="285">
        <v>1</v>
      </c>
      <c r="H182" s="285">
        <f>IF(OR($F182=0,$G182=0),0,MAX($H$134:H181)+1)</f>
        <v>0</v>
      </c>
      <c r="I182" s="2120">
        <v>10</v>
      </c>
      <c r="J182" s="285" t="s">
        <v>1315</v>
      </c>
      <c r="K182" s="2124" t="s">
        <v>1315</v>
      </c>
      <c r="L182" s="8250" t="str">
        <f>"Cura "&amp;Sheele!L28&amp;" PV o elimina penalizadores por el mismo valor. 1 uso/ persona/ día."</f>
        <v>Cura 30 PV o elimina penalizadores por el mismo valor. 1 uso/ persona/ día.</v>
      </c>
      <c r="M182" s="8250"/>
      <c r="N182" s="8250"/>
      <c r="O182" s="8250"/>
      <c r="P182" s="8250"/>
      <c r="Q182" s="8250"/>
      <c r="R182" s="603" t="s">
        <v>1315</v>
      </c>
      <c r="T182" s="4126"/>
      <c r="U182" s="8322" t="s">
        <v>2612</v>
      </c>
      <c r="V182" s="8323"/>
      <c r="W182" s="8324" t="s">
        <v>2613</v>
      </c>
      <c r="X182" s="8324"/>
      <c r="Y182" s="8324"/>
      <c r="Z182" s="8324"/>
      <c r="AA182" s="8324"/>
      <c r="AB182" s="8324"/>
      <c r="AC182" s="4130" t="s">
        <v>1315</v>
      </c>
      <c r="AD182" s="8310">
        <v>6</v>
      </c>
      <c r="AE182" s="8335"/>
    </row>
    <row r="183" spans="1:31">
      <c r="A183" s="265">
        <v>159</v>
      </c>
      <c r="B183" s="595">
        <f t="shared" si="4"/>
        <v>0</v>
      </c>
      <c r="C183" s="307" t="s">
        <v>2555</v>
      </c>
      <c r="D183" s="304" t="s">
        <v>2555</v>
      </c>
      <c r="E183" s="304"/>
      <c r="F183" s="300">
        <f>COUNTIF(Sheele!$C$25:$H$36,C183)</f>
        <v>0</v>
      </c>
      <c r="G183" s="285">
        <v>1</v>
      </c>
      <c r="H183" s="285">
        <f>IF(OR($F183=0,$G183=0),0,MAX($H$134:H182)+1)</f>
        <v>0</v>
      </c>
      <c r="I183" s="2120" t="s">
        <v>1315</v>
      </c>
      <c r="J183" s="594" t="s">
        <v>1315</v>
      </c>
      <c r="K183" s="2124" t="s">
        <v>1315</v>
      </c>
      <c r="L183" s="8250" t="s">
        <v>2556</v>
      </c>
      <c r="M183" s="8250"/>
      <c r="N183" s="8250"/>
      <c r="O183" s="8250"/>
      <c r="P183" s="8250"/>
      <c r="Q183" s="8250"/>
      <c r="R183" s="603" t="s">
        <v>1315</v>
      </c>
      <c r="T183" s="4126"/>
      <c r="U183" s="8322" t="s">
        <v>13441</v>
      </c>
      <c r="V183" s="8323"/>
      <c r="W183" s="8324" t="s">
        <v>13442</v>
      </c>
      <c r="X183" s="8326"/>
      <c r="Y183" s="8326"/>
      <c r="Z183" s="8326"/>
      <c r="AA183" s="8326"/>
      <c r="AB183" s="8326"/>
      <c r="AC183" s="4130" t="s">
        <v>1315</v>
      </c>
      <c r="AD183" s="8310"/>
      <c r="AE183" s="8335"/>
    </row>
    <row r="184" spans="1:31">
      <c r="A184" s="265">
        <v>160</v>
      </c>
      <c r="B184" s="595">
        <f t="shared" si="4"/>
        <v>0</v>
      </c>
      <c r="C184" s="307" t="s">
        <v>1097</v>
      </c>
      <c r="D184" s="304" t="s">
        <v>1097</v>
      </c>
      <c r="E184" s="304"/>
      <c r="F184" s="300">
        <f>COUNTIF(Sheele!$C$25:$H$36,C184)</f>
        <v>0</v>
      </c>
      <c r="G184" s="285"/>
      <c r="H184" s="285">
        <f>IF(OR($F184=0,$G184=0),0,MAX($H$134:H183)+1)</f>
        <v>0</v>
      </c>
      <c r="I184" s="2120" t="s">
        <v>1315</v>
      </c>
      <c r="J184" s="285" t="s">
        <v>1315</v>
      </c>
      <c r="K184" s="2124" t="s">
        <v>1315</v>
      </c>
      <c r="L184" s="8263" t="s">
        <v>2557</v>
      </c>
      <c r="M184" s="8250"/>
      <c r="N184" s="8250"/>
      <c r="O184" s="8250"/>
      <c r="P184" s="8250"/>
      <c r="Q184" s="8250"/>
      <c r="R184" s="603" t="s">
        <v>1315</v>
      </c>
      <c r="T184" s="4179"/>
      <c r="U184" s="8327" t="s">
        <v>2603</v>
      </c>
      <c r="V184" s="8328"/>
      <c r="W184" s="8324"/>
      <c r="X184" s="8326"/>
      <c r="Y184" s="8326"/>
      <c r="Z184" s="8326"/>
      <c r="AA184" s="8326"/>
      <c r="AB184" s="8326"/>
      <c r="AC184" s="4130" t="s">
        <v>1315</v>
      </c>
      <c r="AD184" s="8310"/>
      <c r="AE184" s="8335"/>
    </row>
    <row r="185" spans="1:31">
      <c r="A185" s="265">
        <v>161</v>
      </c>
      <c r="B185" s="595">
        <f t="shared" si="4"/>
        <v>0</v>
      </c>
      <c r="C185" s="307" t="s">
        <v>2558</v>
      </c>
      <c r="D185" s="304" t="s">
        <v>2558</v>
      </c>
      <c r="E185" s="304"/>
      <c r="F185" s="300">
        <f>COUNTIF(Sheele!$C$25:$H$36,C185)</f>
        <v>0</v>
      </c>
      <c r="G185" s="285">
        <v>1</v>
      </c>
      <c r="H185" s="285">
        <f>IF(OR($F185=0,$G185=0),0,MAX($H$134:H184)+1)</f>
        <v>0</v>
      </c>
      <c r="I185" s="2120" t="s">
        <v>1315</v>
      </c>
      <c r="J185" s="594" t="s">
        <v>1315</v>
      </c>
      <c r="K185" s="2124" t="s">
        <v>1315</v>
      </c>
      <c r="L185" s="8268" t="s">
        <v>9194</v>
      </c>
      <c r="M185" s="8250"/>
      <c r="N185" s="8250"/>
      <c r="O185" s="8250"/>
      <c r="P185" s="8250"/>
      <c r="Q185" s="8250"/>
      <c r="R185" s="603" t="s">
        <v>1241</v>
      </c>
      <c r="T185" s="4184"/>
      <c r="U185" s="8336" t="s">
        <v>2603</v>
      </c>
      <c r="V185" s="8337"/>
      <c r="W185" s="8338"/>
      <c r="X185" s="8339"/>
      <c r="Y185" s="8339"/>
      <c r="Z185" s="8339"/>
      <c r="AA185" s="8339"/>
      <c r="AB185" s="8339"/>
      <c r="AC185" s="4185"/>
      <c r="AD185" s="8340"/>
      <c r="AE185" s="8341"/>
    </row>
    <row r="186" spans="1:31">
      <c r="A186" s="265">
        <v>162</v>
      </c>
      <c r="B186" s="595">
        <f t="shared" si="4"/>
        <v>0</v>
      </c>
      <c r="C186" s="307" t="s">
        <v>9930</v>
      </c>
      <c r="D186" s="304" t="s">
        <v>2513</v>
      </c>
      <c r="E186" s="304"/>
      <c r="F186" s="300">
        <f>COUNTIF(Sheele!$C$25:$H$36,C186)</f>
        <v>0</v>
      </c>
      <c r="G186" s="285"/>
      <c r="H186" s="285">
        <f>IF(OR($F186=0,$G186=0),0,MAX($H$134:H185)+1)</f>
        <v>0</v>
      </c>
      <c r="I186" s="2120" t="s">
        <v>1315</v>
      </c>
      <c r="J186" s="285" t="s">
        <v>1315</v>
      </c>
      <c r="K186" s="2124" t="s">
        <v>1315</v>
      </c>
      <c r="L186" s="8263" t="s">
        <v>2514</v>
      </c>
      <c r="M186" s="8250"/>
      <c r="N186" s="8250"/>
      <c r="O186" s="8250"/>
      <c r="P186" s="8250"/>
      <c r="Q186" s="8250"/>
      <c r="R186" s="603" t="s">
        <v>1315</v>
      </c>
      <c r="T186" s="4180"/>
      <c r="U186" s="8331" t="s">
        <v>55</v>
      </c>
      <c r="V186" s="8332"/>
      <c r="W186" s="4181" t="str">
        <f t="array" ref="W186:Z186">TRANSPOSE(U187:V190)</f>
        <v>Vuelo Místico 10</v>
      </c>
      <c r="X186" s="4181" t="str">
        <v>Cuerpo maleable</v>
      </c>
      <c r="Y186" s="4181" t="str">
        <v>Vínculo vital</v>
      </c>
      <c r="Z186" s="4181" t="str">
        <v xml:space="preserve"> </v>
      </c>
      <c r="AA186" s="4181"/>
      <c r="AB186" s="4182"/>
      <c r="AC186" s="4178"/>
      <c r="AD186" s="8333"/>
      <c r="AE186" s="8334"/>
    </row>
    <row r="187" spans="1:31">
      <c r="A187" s="265">
        <v>163</v>
      </c>
      <c r="B187" s="595">
        <f t="shared" si="4"/>
        <v>0</v>
      </c>
      <c r="C187" s="307" t="s">
        <v>2559</v>
      </c>
      <c r="D187" s="304" t="s">
        <v>2559</v>
      </c>
      <c r="E187" s="304"/>
      <c r="F187" s="300">
        <f>COUNTIF(Sheele!$C$25:$H$36,C187)</f>
        <v>0</v>
      </c>
      <c r="G187" s="285">
        <v>1</v>
      </c>
      <c r="H187" s="285">
        <f>IF(OR($F187=0,$G187=0),0,MAX($H$134:H186)+1)</f>
        <v>0</v>
      </c>
      <c r="I187" s="2120" t="s">
        <v>1315</v>
      </c>
      <c r="J187" s="594" t="s">
        <v>1315</v>
      </c>
      <c r="K187" s="2124" t="s">
        <v>1315</v>
      </c>
      <c r="L187" s="8250" t="str">
        <f>"A voluntad. Inmune a ataques físicos. Puede cegar a quien la mire, RM "&amp;Sheele!L28*2+Sheele!H16&amp;". Ver"</f>
        <v>A voluntad. Inmune a ataques físicos. Puede cegar a quien la mire, RM 70. Ver</v>
      </c>
      <c r="M187" s="8250"/>
      <c r="N187" s="8250"/>
      <c r="O187" s="8250"/>
      <c r="P187" s="8250"/>
      <c r="Q187" s="8250"/>
      <c r="R187" s="603" t="s">
        <v>1315</v>
      </c>
      <c r="T187" s="4126"/>
      <c r="U187" s="8322" t="s">
        <v>2599</v>
      </c>
      <c r="V187" s="8323"/>
      <c r="W187" s="8324" t="s">
        <v>2600</v>
      </c>
      <c r="X187" s="8324"/>
      <c r="Y187" s="8324"/>
      <c r="Z187" s="8324"/>
      <c r="AA187" s="8324"/>
      <c r="AB187" s="8324"/>
      <c r="AC187" s="4130" t="s">
        <v>1315</v>
      </c>
      <c r="AD187" s="8310">
        <v>10</v>
      </c>
      <c r="AE187" s="8335"/>
    </row>
    <row r="188" spans="1:31">
      <c r="A188" s="265">
        <v>164</v>
      </c>
      <c r="B188" s="595">
        <f t="shared" si="4"/>
        <v>0</v>
      </c>
      <c r="C188" s="307" t="s">
        <v>2560</v>
      </c>
      <c r="D188" s="304" t="s">
        <v>2560</v>
      </c>
      <c r="E188" s="304"/>
      <c r="F188" s="300">
        <f>COUNTIF(Sheele!$C$25:$H$36,C188)</f>
        <v>0</v>
      </c>
      <c r="G188" s="285"/>
      <c r="H188" s="285">
        <f>IF(OR($F188=0,$G188=0),0,MAX($H$134:H187)+1)</f>
        <v>0</v>
      </c>
      <c r="I188" s="2120" t="s">
        <v>1315</v>
      </c>
      <c r="J188" s="285" t="s">
        <v>1315</v>
      </c>
      <c r="K188" s="2124" t="s">
        <v>1315</v>
      </c>
      <c r="L188" s="8269" t="s">
        <v>9195</v>
      </c>
      <c r="M188" s="8265"/>
      <c r="N188" s="8265"/>
      <c r="O188" s="8265"/>
      <c r="P188" s="8265"/>
      <c r="Q188" s="8265"/>
      <c r="R188" s="603" t="s">
        <v>1315</v>
      </c>
      <c r="T188" s="4126"/>
      <c r="U188" s="8322" t="s">
        <v>13443</v>
      </c>
      <c r="V188" s="8323"/>
      <c r="W188" s="8324" t="s">
        <v>13444</v>
      </c>
      <c r="X188" s="8326"/>
      <c r="Y188" s="8326"/>
      <c r="Z188" s="8326"/>
      <c r="AA188" s="8326"/>
      <c r="AB188" s="8326"/>
      <c r="AC188" s="4130" t="s">
        <v>1315</v>
      </c>
      <c r="AD188" s="8310"/>
      <c r="AE188" s="8335"/>
    </row>
    <row r="189" spans="1:31">
      <c r="A189" s="265">
        <v>165</v>
      </c>
      <c r="B189" s="595">
        <f t="shared" si="4"/>
        <v>0</v>
      </c>
      <c r="C189" s="2142" t="s">
        <v>253</v>
      </c>
      <c r="D189" s="305"/>
      <c r="E189" s="305"/>
      <c r="F189" s="2128"/>
      <c r="G189" s="2127"/>
      <c r="H189" s="2138"/>
      <c r="I189" s="306" t="s">
        <v>2500</v>
      </c>
      <c r="J189" s="2139" t="s">
        <v>2501</v>
      </c>
      <c r="K189" s="303" t="s">
        <v>1425</v>
      </c>
      <c r="L189" s="8266" t="s">
        <v>1408</v>
      </c>
      <c r="M189" s="8266"/>
      <c r="N189" s="8266"/>
      <c r="O189" s="8266"/>
      <c r="P189" s="8266"/>
      <c r="Q189" s="8266"/>
      <c r="R189" s="606"/>
      <c r="T189" s="4179"/>
      <c r="U189" s="8327" t="s">
        <v>13445</v>
      </c>
      <c r="V189" s="8328"/>
      <c r="W189" s="8324" t="s">
        <v>13446</v>
      </c>
      <c r="X189" s="8326"/>
      <c r="Y189" s="8326"/>
      <c r="Z189" s="8326"/>
      <c r="AA189" s="8326"/>
      <c r="AB189" s="8326"/>
      <c r="AC189" s="4130" t="s">
        <v>1315</v>
      </c>
      <c r="AD189" s="8310"/>
      <c r="AE189" s="8335"/>
    </row>
    <row r="190" spans="1:31">
      <c r="A190" s="265">
        <v>166</v>
      </c>
      <c r="B190" s="595">
        <f t="shared" si="4"/>
        <v>0</v>
      </c>
      <c r="C190" s="307" t="s">
        <v>2561</v>
      </c>
      <c r="D190" s="304" t="s">
        <v>2561</v>
      </c>
      <c r="E190" s="304"/>
      <c r="F190" s="300">
        <f>COUNTIF(Sheele!$C$25:$H$36,C190)</f>
        <v>0</v>
      </c>
      <c r="G190" s="285"/>
      <c r="H190" s="285">
        <f>IF(OR($F190=0,$G190=0),0,MAX($H$134:H189)+1)</f>
        <v>0</v>
      </c>
      <c r="I190" s="2120"/>
      <c r="J190" s="285"/>
      <c r="K190" s="2124"/>
      <c r="L190" s="8286" t="s">
        <v>2562</v>
      </c>
      <c r="M190" s="8287"/>
      <c r="N190" s="8287"/>
      <c r="O190" s="8287"/>
      <c r="P190" s="8287"/>
      <c r="Q190" s="8287"/>
      <c r="R190" s="603" t="s">
        <v>1315</v>
      </c>
      <c r="T190" s="4184"/>
      <c r="U190" s="8336" t="s">
        <v>2603</v>
      </c>
      <c r="V190" s="8337"/>
      <c r="W190" s="8338"/>
      <c r="X190" s="8339"/>
      <c r="Y190" s="8339"/>
      <c r="Z190" s="8339"/>
      <c r="AA190" s="8339"/>
      <c r="AB190" s="8339"/>
      <c r="AC190" s="4185"/>
      <c r="AD190" s="8340"/>
      <c r="AE190" s="8341"/>
    </row>
    <row r="191" spans="1:31">
      <c r="A191" s="265">
        <v>167</v>
      </c>
      <c r="B191" s="595">
        <f t="shared" si="4"/>
        <v>0</v>
      </c>
      <c r="C191" s="307" t="s">
        <v>2563</v>
      </c>
      <c r="D191" s="304" t="s">
        <v>2563</v>
      </c>
      <c r="E191" s="304"/>
      <c r="F191" s="300">
        <f>COUNTIF(Sheele!$C$25:$H$36,C191)</f>
        <v>0</v>
      </c>
      <c r="G191" s="285">
        <v>1</v>
      </c>
      <c r="H191" s="285">
        <f>IF(OR($F191=0,$G191=0),0,MAX($H$134:H190)+1)</f>
        <v>0</v>
      </c>
      <c r="I191" s="2120">
        <v>300</v>
      </c>
      <c r="J191" s="285">
        <f>Sheele!$F$46+100</f>
        <v>160</v>
      </c>
      <c r="K191" s="2124">
        <f>Sheele!L28*2</f>
        <v>60</v>
      </c>
      <c r="L191" s="8258" t="s">
        <v>9196</v>
      </c>
      <c r="M191" s="8250"/>
      <c r="N191" s="8250"/>
      <c r="O191" s="8250"/>
      <c r="P191" s="8250"/>
      <c r="Q191" s="8250"/>
      <c r="R191" s="603" t="s">
        <v>1315</v>
      </c>
      <c r="T191" s="4180"/>
      <c r="U191" s="8331" t="s">
        <v>57</v>
      </c>
      <c r="V191" s="8332"/>
      <c r="W191" s="4181" t="str">
        <f t="array" ref="W191:Z191">TRANSPOSE(U192:V195)</f>
        <v>Vuelo Místico 8</v>
      </c>
      <c r="X191" s="4181" t="str">
        <v>Observar el tiempo</v>
      </c>
      <c r="Y191" s="4181" t="str">
        <v xml:space="preserve"> </v>
      </c>
      <c r="Z191" s="4181" t="str">
        <v xml:space="preserve"> </v>
      </c>
      <c r="AA191" s="4181"/>
      <c r="AB191" s="4182"/>
      <c r="AC191" s="4178"/>
      <c r="AD191" s="8333"/>
      <c r="AE191" s="8334"/>
    </row>
    <row r="192" spans="1:31">
      <c r="A192" s="265">
        <v>168</v>
      </c>
      <c r="B192" s="595">
        <f t="shared" si="4"/>
        <v>0</v>
      </c>
      <c r="C192" s="307" t="s">
        <v>2564</v>
      </c>
      <c r="D192" s="304" t="s">
        <v>2564</v>
      </c>
      <c r="E192" s="304"/>
      <c r="F192" s="300">
        <f>COUNTIF(Sheele!$C$25:$H$36,C192)</f>
        <v>0</v>
      </c>
      <c r="G192" s="285">
        <v>1</v>
      </c>
      <c r="H192" s="285">
        <f>IF(OR($F192=0,$G192=0),0,MAX($H$134:H191)+1)</f>
        <v>0</v>
      </c>
      <c r="I192" s="2120">
        <v>250</v>
      </c>
      <c r="J192" s="285">
        <f>Sheele!$F$48</f>
        <v>60</v>
      </c>
      <c r="K192" s="2124" t="s">
        <v>1315</v>
      </c>
      <c r="L192" s="8250" t="str">
        <f>"Defensa. RM "&amp;Sheele!L28*2+Sheele!H16&amp;": -50 a toda acción que se recupera a 10/asalto"</f>
        <v>Defensa. RM 70: -50 a toda acción que se recupera a 10/asalto</v>
      </c>
      <c r="M192" s="8250"/>
      <c r="N192" s="8250"/>
      <c r="O192" s="8250"/>
      <c r="P192" s="8250"/>
      <c r="Q192" s="8250"/>
      <c r="R192" s="603" t="s">
        <v>1315</v>
      </c>
      <c r="T192" s="4126"/>
      <c r="U192" s="8322" t="s">
        <v>2621</v>
      </c>
      <c r="V192" s="8323"/>
      <c r="W192" s="8324" t="s">
        <v>2622</v>
      </c>
      <c r="X192" s="8324"/>
      <c r="Y192" s="8324"/>
      <c r="Z192" s="8324"/>
      <c r="AA192" s="8324"/>
      <c r="AB192" s="8324"/>
      <c r="AC192" s="4130" t="s">
        <v>1315</v>
      </c>
      <c r="AD192" s="8310">
        <v>8</v>
      </c>
      <c r="AE192" s="8335"/>
    </row>
    <row r="193" spans="1:31">
      <c r="A193" s="265">
        <v>169</v>
      </c>
      <c r="B193" s="595">
        <f t="shared" si="4"/>
        <v>0</v>
      </c>
      <c r="C193" s="307" t="s">
        <v>2565</v>
      </c>
      <c r="D193" s="304" t="s">
        <v>2565</v>
      </c>
      <c r="E193" s="304"/>
      <c r="F193" s="300">
        <f>COUNTIF(Sheele!$C$25:$H$36,C193)</f>
        <v>0</v>
      </c>
      <c r="G193" s="285">
        <v>1</v>
      </c>
      <c r="H193" s="285">
        <f>IF(OR($F193=0,$G193=0),0,MAX($H$134:H192)+1)</f>
        <v>0</v>
      </c>
      <c r="I193" s="2120">
        <v>20</v>
      </c>
      <c r="J193" s="285" t="s">
        <v>1315</v>
      </c>
      <c r="K193" s="2124" t="s">
        <v>1315</v>
      </c>
      <c r="L193" s="8250" t="s">
        <v>2566</v>
      </c>
      <c r="M193" s="8250"/>
      <c r="N193" s="8250"/>
      <c r="O193" s="8250"/>
      <c r="P193" s="8250"/>
      <c r="Q193" s="8250"/>
      <c r="R193" s="603" t="s">
        <v>1315</v>
      </c>
      <c r="T193" s="4126"/>
      <c r="U193" s="8322" t="s">
        <v>13448</v>
      </c>
      <c r="V193" s="8323"/>
      <c r="W193" s="8324" t="s">
        <v>13447</v>
      </c>
      <c r="X193" s="8326"/>
      <c r="Y193" s="8326"/>
      <c r="Z193" s="8326"/>
      <c r="AA193" s="8326"/>
      <c r="AB193" s="8326"/>
      <c r="AC193" s="4130" t="s">
        <v>1315</v>
      </c>
      <c r="AD193" s="8310"/>
      <c r="AE193" s="8335"/>
    </row>
    <row r="194" spans="1:31">
      <c r="A194" s="265">
        <v>170</v>
      </c>
      <c r="B194" s="595">
        <f t="shared" si="4"/>
        <v>0</v>
      </c>
      <c r="C194" s="307" t="s">
        <v>2567</v>
      </c>
      <c r="D194" s="304" t="s">
        <v>2567</v>
      </c>
      <c r="E194" s="304"/>
      <c r="F194" s="300">
        <f>COUNTIF(Sheele!$C$25:$H$36,C194)</f>
        <v>0</v>
      </c>
      <c r="G194" s="285">
        <v>1</v>
      </c>
      <c r="H194" s="285">
        <f>IF(OR($F194=0,$G194=0),0,MAX($H$134:H193)+1)</f>
        <v>0</v>
      </c>
      <c r="I194" s="2120">
        <v>200</v>
      </c>
      <c r="J194" s="285" t="s">
        <v>1315</v>
      </c>
      <c r="K194" s="2124" t="s">
        <v>1315</v>
      </c>
      <c r="L194" s="8250" t="str">
        <f>"Automático 50m. RM "&amp;Sheele!L28*2&amp;": -"&amp;Sheele!H16*2&amp;" a toda acción."</f>
        <v>Automático 50m. RM 60: -20 a toda acción.</v>
      </c>
      <c r="M194" s="8250"/>
      <c r="N194" s="8250"/>
      <c r="O194" s="8250"/>
      <c r="P194" s="8250"/>
      <c r="Q194" s="8250"/>
      <c r="R194" s="603" t="s">
        <v>1315</v>
      </c>
      <c r="T194" s="4179"/>
      <c r="U194" s="8327" t="s">
        <v>2603</v>
      </c>
      <c r="V194" s="8328"/>
      <c r="W194" s="8324"/>
      <c r="X194" s="8326"/>
      <c r="Y194" s="8326"/>
      <c r="Z194" s="8326"/>
      <c r="AA194" s="8326"/>
      <c r="AB194" s="8326"/>
      <c r="AC194" s="4130" t="s">
        <v>1315</v>
      </c>
      <c r="AD194" s="8310"/>
      <c r="AE194" s="8335"/>
    </row>
    <row r="195" spans="1:31">
      <c r="A195" s="265">
        <v>171</v>
      </c>
      <c r="B195" s="595">
        <f t="shared" si="4"/>
        <v>0</v>
      </c>
      <c r="C195" s="307" t="s">
        <v>2568</v>
      </c>
      <c r="D195" s="304" t="s">
        <v>2568</v>
      </c>
      <c r="E195" s="304"/>
      <c r="F195" s="300">
        <f>COUNTIF(Sheele!$C$25:$H$36,C195)</f>
        <v>0</v>
      </c>
      <c r="G195" s="285">
        <v>1</v>
      </c>
      <c r="H195" s="285">
        <f>IF(OR($F195=0,$G195=0),0,MAX($H$134:H194)+1)</f>
        <v>0</v>
      </c>
      <c r="I195" s="2120">
        <v>250</v>
      </c>
      <c r="J195" s="285" t="s">
        <v>1315</v>
      </c>
      <c r="K195" s="2124" t="s">
        <v>1315</v>
      </c>
      <c r="L195" s="8250" t="str">
        <f>"5 asaltos. +"&amp;Sheele!H16*2&amp;" ATA y al ACT trasferible. Al finalizar, -50 ATA (-10/asalto)"</f>
        <v>5 asaltos. +20 ATA y al ACT trasferible. Al finalizar, -50 ATA (-10/asalto)</v>
      </c>
      <c r="M195" s="8250"/>
      <c r="N195" s="8250"/>
      <c r="O195" s="8250"/>
      <c r="P195" s="8250"/>
      <c r="Q195" s="8250"/>
      <c r="R195" s="603" t="s">
        <v>1315</v>
      </c>
      <c r="T195" s="4184"/>
      <c r="U195" s="8336" t="s">
        <v>2603</v>
      </c>
      <c r="V195" s="8337"/>
      <c r="W195" s="8338"/>
      <c r="X195" s="8339"/>
      <c r="Y195" s="8339"/>
      <c r="Z195" s="8339"/>
      <c r="AA195" s="8339"/>
      <c r="AB195" s="8339"/>
      <c r="AC195" s="4185"/>
      <c r="AD195" s="8340"/>
      <c r="AE195" s="8341"/>
    </row>
    <row r="196" spans="1:31">
      <c r="A196" s="265">
        <v>172</v>
      </c>
      <c r="B196" s="595">
        <f t="shared" si="4"/>
        <v>0</v>
      </c>
      <c r="C196" s="307" t="s">
        <v>2569</v>
      </c>
      <c r="D196" s="304" t="s">
        <v>2569</v>
      </c>
      <c r="E196" s="304"/>
      <c r="F196" s="300">
        <f>COUNTIF(Sheele!$C$25:$H$36,C196)</f>
        <v>0</v>
      </c>
      <c r="G196" s="285">
        <v>1</v>
      </c>
      <c r="H196" s="285">
        <f>IF(OR($F196=0,$G196=0),0,MAX($H$134:H195)+1)</f>
        <v>0</v>
      </c>
      <c r="I196" s="2120" t="s">
        <v>1315</v>
      </c>
      <c r="J196" s="594" t="s">
        <v>1315</v>
      </c>
      <c r="K196" s="2124" t="s">
        <v>1315</v>
      </c>
      <c r="L196" s="8250" t="str">
        <f>"Objetivo durmiendo. RM "&amp;Sheele!L28*2+Sheele!H16&amp;" o malos sueños. En la Vigilia es más potente. Ver"</f>
        <v>Objetivo durmiendo. RM 70 o malos sueños. En la Vigilia es más potente. Ver</v>
      </c>
      <c r="M196" s="8250"/>
      <c r="N196" s="8250"/>
      <c r="O196" s="8250"/>
      <c r="P196" s="8250"/>
      <c r="Q196" s="8250"/>
      <c r="R196" s="603" t="s">
        <v>1315</v>
      </c>
      <c r="T196" s="4180"/>
      <c r="U196" s="8331" t="s">
        <v>52</v>
      </c>
      <c r="V196" s="8332"/>
      <c r="W196" s="4181" t="str">
        <f t="array" ref="W196:Z196">TRANSPOSE(U197:V200)</f>
        <v>Vuelo Místico 6</v>
      </c>
      <c r="X196" s="4181" t="str">
        <v>Aura de serenidad</v>
      </c>
      <c r="Y196" s="4181" t="str">
        <v>Vulnerable a lo hostil</v>
      </c>
      <c r="Z196" s="4181" t="str">
        <v xml:space="preserve"> </v>
      </c>
      <c r="AA196" s="4181"/>
      <c r="AB196" s="4182"/>
      <c r="AC196" s="4178"/>
      <c r="AD196" s="8333"/>
      <c r="AE196" s="8334"/>
    </row>
    <row r="197" spans="1:31">
      <c r="A197" s="265">
        <v>173</v>
      </c>
      <c r="B197" s="595">
        <f t="shared" si="4"/>
        <v>0</v>
      </c>
      <c r="C197" s="307" t="s">
        <v>2570</v>
      </c>
      <c r="D197" s="304" t="s">
        <v>2570</v>
      </c>
      <c r="E197" s="304"/>
      <c r="F197" s="300">
        <f>COUNTIF(Sheele!$C$25:$H$36,C197)</f>
        <v>0</v>
      </c>
      <c r="G197" s="285">
        <v>1</v>
      </c>
      <c r="H197" s="285">
        <f>IF(OR($F197=0,$G197=0),0,MAX($H$134:H196)+1)</f>
        <v>0</v>
      </c>
      <c r="I197" s="2120" t="s">
        <v>1315</v>
      </c>
      <c r="J197" s="285" t="s">
        <v>1315</v>
      </c>
      <c r="K197" s="2124" t="s">
        <v>1315</v>
      </c>
      <c r="L197" s="8258" t="s">
        <v>9197</v>
      </c>
      <c r="M197" s="8250"/>
      <c r="N197" s="8250"/>
      <c r="O197" s="8250"/>
      <c r="P197" s="8250"/>
      <c r="Q197" s="8250"/>
      <c r="R197" s="603" t="s">
        <v>1241</v>
      </c>
      <c r="T197" s="4126"/>
      <c r="U197" s="8322" t="s">
        <v>2612</v>
      </c>
      <c r="V197" s="8323"/>
      <c r="W197" s="8324" t="s">
        <v>2613</v>
      </c>
      <c r="X197" s="8324"/>
      <c r="Y197" s="8324"/>
      <c r="Z197" s="8324"/>
      <c r="AA197" s="8324"/>
      <c r="AB197" s="8324"/>
      <c r="AC197" s="4130" t="s">
        <v>1315</v>
      </c>
      <c r="AD197" s="8310">
        <v>6</v>
      </c>
      <c r="AE197" s="8335"/>
    </row>
    <row r="198" spans="1:31">
      <c r="A198" s="265">
        <v>174</v>
      </c>
      <c r="B198" s="595">
        <f t="shared" si="4"/>
        <v>0</v>
      </c>
      <c r="C198" s="307" t="s">
        <v>9931</v>
      </c>
      <c r="D198" s="304" t="s">
        <v>2513</v>
      </c>
      <c r="E198" s="304"/>
      <c r="F198" s="300">
        <f>COUNTIF(Sheele!$C$25:$H$36,C198)</f>
        <v>0</v>
      </c>
      <c r="G198" s="285"/>
      <c r="H198" s="285">
        <f>IF(OR($F198=0,$G198=0),0,MAX($H$134:H197)+1)</f>
        <v>0</v>
      </c>
      <c r="I198" s="2120" t="s">
        <v>1315</v>
      </c>
      <c r="J198" s="594" t="s">
        <v>1315</v>
      </c>
      <c r="K198" s="2124" t="s">
        <v>1315</v>
      </c>
      <c r="L198" s="8263" t="s">
        <v>2514</v>
      </c>
      <c r="M198" s="8250"/>
      <c r="N198" s="8250"/>
      <c r="O198" s="8250"/>
      <c r="P198" s="8250"/>
      <c r="Q198" s="8250"/>
      <c r="R198" s="603" t="s">
        <v>1315</v>
      </c>
      <c r="T198" s="4126"/>
      <c r="U198" s="8322" t="s">
        <v>13452</v>
      </c>
      <c r="V198" s="8323"/>
      <c r="W198" s="8324" t="s">
        <v>13449</v>
      </c>
      <c r="X198" s="8326"/>
      <c r="Y198" s="8326"/>
      <c r="Z198" s="8326"/>
      <c r="AA198" s="8326"/>
      <c r="AB198" s="8326"/>
      <c r="AC198" s="4130" t="s">
        <v>1315</v>
      </c>
      <c r="AD198" s="8310"/>
      <c r="AE198" s="8335"/>
    </row>
    <row r="199" spans="1:31">
      <c r="A199" s="265">
        <v>175</v>
      </c>
      <c r="B199" s="595">
        <f t="shared" si="4"/>
        <v>0</v>
      </c>
      <c r="C199" s="307" t="s">
        <v>2571</v>
      </c>
      <c r="D199" s="304" t="s">
        <v>2571</v>
      </c>
      <c r="E199" s="304"/>
      <c r="F199" s="300">
        <f>COUNTIF(Sheele!$C$25:$H$36,C199)</f>
        <v>0</v>
      </c>
      <c r="G199" s="285">
        <v>1</v>
      </c>
      <c r="H199" s="285">
        <f>IF(OR($F199=0,$G199=0),0,MAX($H$134:H198)+1)</f>
        <v>0</v>
      </c>
      <c r="I199" s="2120" t="s">
        <v>1315</v>
      </c>
      <c r="J199" s="285" t="s">
        <v>1315</v>
      </c>
      <c r="K199" s="2124">
        <f>Sheele!L28+Sheele!H13</f>
        <v>10</v>
      </c>
      <c r="L199" s="8265" t="str">
        <f>"Puede atacar y defender usando su proyección. Daño base [Presencia]+[Bono Fue]"</f>
        <v>Puede atacar y defender usando su proyección. Daño base [Presencia]+[Bono Fue]</v>
      </c>
      <c r="M199" s="8265"/>
      <c r="N199" s="8265"/>
      <c r="O199" s="8265"/>
      <c r="P199" s="8265"/>
      <c r="Q199" s="8265"/>
      <c r="R199" s="603"/>
      <c r="T199" s="4179"/>
      <c r="U199" s="8327" t="s">
        <v>13451</v>
      </c>
      <c r="V199" s="8328"/>
      <c r="W199" s="8324" t="s">
        <v>13450</v>
      </c>
      <c r="X199" s="8326"/>
      <c r="Y199" s="8326"/>
      <c r="Z199" s="8326"/>
      <c r="AA199" s="8326"/>
      <c r="AB199" s="8326"/>
      <c r="AC199" s="4130" t="s">
        <v>1315</v>
      </c>
      <c r="AD199" s="8310"/>
      <c r="AE199" s="8335"/>
    </row>
    <row r="200" spans="1:31">
      <c r="A200" s="265">
        <v>176</v>
      </c>
      <c r="B200" s="595">
        <f t="shared" si="4"/>
        <v>0</v>
      </c>
      <c r="C200" s="2142" t="s">
        <v>9922</v>
      </c>
      <c r="D200" s="305"/>
      <c r="E200" s="305"/>
      <c r="F200" s="2128"/>
      <c r="G200" s="2127"/>
      <c r="H200" s="2138"/>
      <c r="I200" s="306" t="s">
        <v>2500</v>
      </c>
      <c r="J200" s="2139" t="s">
        <v>2501</v>
      </c>
      <c r="K200" s="303" t="s">
        <v>1425</v>
      </c>
      <c r="L200" s="8266" t="s">
        <v>1408</v>
      </c>
      <c r="M200" s="8266"/>
      <c r="N200" s="8266"/>
      <c r="O200" s="8266"/>
      <c r="P200" s="8266"/>
      <c r="Q200" s="8266"/>
      <c r="R200" s="606"/>
      <c r="T200" s="4184"/>
      <c r="U200" s="8336" t="s">
        <v>2603</v>
      </c>
      <c r="V200" s="8337"/>
      <c r="W200" s="8338"/>
      <c r="X200" s="8339"/>
      <c r="Y200" s="8339"/>
      <c r="Z200" s="8339"/>
      <c r="AA200" s="8339"/>
      <c r="AB200" s="8339"/>
      <c r="AC200" s="4185"/>
      <c r="AD200" s="8340"/>
      <c r="AE200" s="8341"/>
    </row>
    <row r="201" spans="1:31">
      <c r="A201" s="265">
        <v>177</v>
      </c>
      <c r="B201" s="595">
        <f t="shared" si="4"/>
        <v>0</v>
      </c>
      <c r="C201" s="307" t="s">
        <v>2572</v>
      </c>
      <c r="D201" s="304" t="s">
        <v>2572</v>
      </c>
      <c r="E201" s="304"/>
      <c r="F201" s="300">
        <f>COUNTIF(Sheele!$C$25:$H$36,C201)</f>
        <v>0</v>
      </c>
      <c r="G201" s="285">
        <v>1</v>
      </c>
      <c r="H201" s="285">
        <f>IF(OR($F201=0,$G201=0),0,MAX($H$134:H200)+1)</f>
        <v>0</v>
      </c>
      <c r="I201" s="2121" t="s">
        <v>9198</v>
      </c>
      <c r="J201" s="285">
        <f>50+Sheele!F46</f>
        <v>110</v>
      </c>
      <c r="K201" s="308" t="s">
        <v>1315</v>
      </c>
      <c r="L201" s="8250" t="str">
        <f>"Presa de FUE "&amp;Sheele!G16&amp;". Se puede mantener pagando el coste de zeon."</f>
        <v>Presa de FUE 8. Se puede mantener pagando el coste de zeon.</v>
      </c>
      <c r="M201" s="8250"/>
      <c r="N201" s="8250"/>
      <c r="O201" s="8250"/>
      <c r="P201" s="8250"/>
      <c r="Q201" s="8250"/>
      <c r="R201" s="603" t="s">
        <v>1315</v>
      </c>
      <c r="T201" s="4180"/>
      <c r="U201" s="8331" t="s">
        <v>56</v>
      </c>
      <c r="V201" s="8332"/>
      <c r="W201" s="4181" t="str">
        <f t="array" ref="W201:Z201">TRANSPOSE(U202:V205)</f>
        <v>Vuelo Místico 8</v>
      </c>
      <c r="X201" s="4181" t="str">
        <v>Entre realidades</v>
      </c>
      <c r="Y201" s="4181" t="str">
        <v>Dualidad</v>
      </c>
      <c r="Z201" s="4181" t="str">
        <v>Afinidad</v>
      </c>
      <c r="AA201" s="4181"/>
      <c r="AB201" s="4182"/>
      <c r="AC201" s="4178"/>
      <c r="AD201" s="8333"/>
      <c r="AE201" s="8334"/>
    </row>
    <row r="202" spans="1:31">
      <c r="A202" s="265">
        <v>178</v>
      </c>
      <c r="B202" s="595">
        <f t="shared" si="4"/>
        <v>0</v>
      </c>
      <c r="C202" s="307" t="s">
        <v>2573</v>
      </c>
      <c r="D202" s="304" t="s">
        <v>2573</v>
      </c>
      <c r="E202" s="304"/>
      <c r="F202" s="300">
        <f>COUNTIF(Sheele!$C$25:$H$36,C202)</f>
        <v>0</v>
      </c>
      <c r="G202" s="285">
        <v>1</v>
      </c>
      <c r="H202" s="285">
        <f>IF(OR($F202=0,$G202=0),0,MAX($H$134:H201)+1)</f>
        <v>0</v>
      </c>
      <c r="I202" s="2120">
        <v>150</v>
      </c>
      <c r="J202" s="594">
        <f>Sheele!$F$48+50</f>
        <v>110</v>
      </c>
      <c r="K202" s="2124" t="s">
        <v>1315</v>
      </c>
      <c r="L202" s="8250" t="str">
        <f>"Escudo sobrenatural "&amp;10*Sheele!L28&amp;" PV, que dura máximo "&amp;Sheele!G17&amp;" asaltos."</f>
        <v>Escudo sobrenatural 300 PV, que dura máximo 6 asaltos.</v>
      </c>
      <c r="M202" s="8250"/>
      <c r="N202" s="8250"/>
      <c r="O202" s="8250"/>
      <c r="P202" s="8250"/>
      <c r="Q202" s="8250"/>
      <c r="R202" s="603" t="s">
        <v>1315</v>
      </c>
      <c r="T202" s="4126"/>
      <c r="U202" s="8322" t="s">
        <v>2621</v>
      </c>
      <c r="V202" s="8323"/>
      <c r="W202" s="8324" t="s">
        <v>2622</v>
      </c>
      <c r="X202" s="8324"/>
      <c r="Y202" s="8324"/>
      <c r="Z202" s="8324"/>
      <c r="AA202" s="8324"/>
      <c r="AB202" s="8324"/>
      <c r="AC202" s="4130" t="s">
        <v>1315</v>
      </c>
      <c r="AD202" s="8310">
        <v>8</v>
      </c>
      <c r="AE202" s="8335"/>
    </row>
    <row r="203" spans="1:31">
      <c r="A203" s="265">
        <v>179</v>
      </c>
      <c r="B203" s="595">
        <f t="shared" si="4"/>
        <v>0</v>
      </c>
      <c r="C203" s="307" t="s">
        <v>2574</v>
      </c>
      <c r="D203" s="304" t="s">
        <v>2574</v>
      </c>
      <c r="E203" s="304"/>
      <c r="F203" s="300">
        <f>COUNTIF(Sheele!$C$25:$H$36,C203)</f>
        <v>0</v>
      </c>
      <c r="G203" s="285">
        <v>1</v>
      </c>
      <c r="H203" s="285">
        <f>IF(OR($F203=0,$G203=0),0,MAX($H$134:H202)+1)</f>
        <v>0</v>
      </c>
      <c r="I203" s="2120">
        <v>50</v>
      </c>
      <c r="J203" s="594" t="s">
        <v>1315</v>
      </c>
      <c r="K203" s="2124" t="s">
        <v>1315</v>
      </c>
      <c r="L203" s="8250" t="s">
        <v>2575</v>
      </c>
      <c r="M203" s="8250"/>
      <c r="N203" s="8250"/>
      <c r="O203" s="8250"/>
      <c r="P203" s="8250"/>
      <c r="Q203" s="8250"/>
      <c r="R203" s="603" t="s">
        <v>1315</v>
      </c>
      <c r="T203" s="4126"/>
      <c r="U203" s="8322" t="s">
        <v>13453</v>
      </c>
      <c r="V203" s="8323"/>
      <c r="W203" s="8324" t="s">
        <v>13454</v>
      </c>
      <c r="X203" s="8326"/>
      <c r="Y203" s="8326"/>
      <c r="Z203" s="8326"/>
      <c r="AA203" s="8326"/>
      <c r="AB203" s="8326"/>
      <c r="AC203" s="4130" t="s">
        <v>1315</v>
      </c>
      <c r="AD203" s="8310"/>
      <c r="AE203" s="8335"/>
    </row>
    <row r="204" spans="1:31" ht="12.75" customHeight="1">
      <c r="A204" s="265">
        <v>180</v>
      </c>
      <c r="B204" s="595">
        <f t="shared" si="4"/>
        <v>0</v>
      </c>
      <c r="C204" s="307" t="s">
        <v>2576</v>
      </c>
      <c r="D204" s="304" t="s">
        <v>2576</v>
      </c>
      <c r="E204" s="304"/>
      <c r="F204" s="300">
        <f>COUNTIF(Sheele!$C$25:$H$36,C204)</f>
        <v>0</v>
      </c>
      <c r="G204" s="285">
        <v>1</v>
      </c>
      <c r="H204" s="285">
        <f>IF(OR($F204=0,$G204=0),0,MAX($H$134:H203)+1)</f>
        <v>0</v>
      </c>
      <c r="I204" s="2120">
        <v>10</v>
      </c>
      <c r="J204" s="285" t="s">
        <v>1315</v>
      </c>
      <c r="K204" s="2124" t="s">
        <v>1315</v>
      </c>
      <c r="L204" s="8250" t="str">
        <f>"Cura "&amp;Sheele!L28*2&amp;" PV. 1 uso/ persona/ día."</f>
        <v>Cura 60 PV. 1 uso/ persona/ día.</v>
      </c>
      <c r="M204" s="8250"/>
      <c r="N204" s="8250"/>
      <c r="O204" s="8250"/>
      <c r="P204" s="8250"/>
      <c r="Q204" s="8250"/>
      <c r="R204" s="603" t="s">
        <v>1315</v>
      </c>
      <c r="T204" s="4179"/>
      <c r="U204" s="8327" t="s">
        <v>2594</v>
      </c>
      <c r="V204" s="8328"/>
      <c r="W204" s="8324" t="s">
        <v>13455</v>
      </c>
      <c r="X204" s="8326"/>
      <c r="Y204" s="8326"/>
      <c r="Z204" s="8326"/>
      <c r="AA204" s="8326"/>
      <c r="AB204" s="8326"/>
      <c r="AC204" s="4130" t="s">
        <v>1315</v>
      </c>
      <c r="AD204" s="8310"/>
      <c r="AE204" s="8335"/>
    </row>
    <row r="205" spans="1:31" ht="13.5" customHeight="1">
      <c r="A205" s="265">
        <v>181</v>
      </c>
      <c r="B205" s="595">
        <f t="shared" si="4"/>
        <v>0</v>
      </c>
      <c r="C205" s="307" t="s">
        <v>2519</v>
      </c>
      <c r="D205" s="304" t="s">
        <v>2519</v>
      </c>
      <c r="E205" s="304"/>
      <c r="F205" s="300">
        <f>COUNTIF(Sheele!$C$25:$H$36,C205)</f>
        <v>0</v>
      </c>
      <c r="G205" s="285">
        <v>1</v>
      </c>
      <c r="H205" s="285">
        <f>IF(OR($F205=0,$G205=0),0,MAX($H$134:H204)+1)</f>
        <v>0</v>
      </c>
      <c r="I205" s="2120">
        <v>150</v>
      </c>
      <c r="J205" s="285">
        <f>Sheele!F46</f>
        <v>60</v>
      </c>
      <c r="K205" s="2124">
        <f>Sheele!L28</f>
        <v>30</v>
      </c>
      <c r="L205" s="8258" t="s">
        <v>9199</v>
      </c>
      <c r="M205" s="8250"/>
      <c r="N205" s="8250"/>
      <c r="O205" s="8250"/>
      <c r="P205" s="8250"/>
      <c r="Q205" s="8250"/>
      <c r="R205" s="603" t="s">
        <v>1315</v>
      </c>
      <c r="T205" s="4184"/>
      <c r="U205" s="8336" t="s">
        <v>1115</v>
      </c>
      <c r="V205" s="8337"/>
      <c r="W205" s="8338" t="s">
        <v>13456</v>
      </c>
      <c r="X205" s="8339"/>
      <c r="Y205" s="8339"/>
      <c r="Z205" s="8339"/>
      <c r="AA205" s="8339"/>
      <c r="AB205" s="8339"/>
      <c r="AC205" s="4185"/>
      <c r="AD205" s="8340"/>
      <c r="AE205" s="8341"/>
    </row>
    <row r="206" spans="1:31">
      <c r="A206" s="265">
        <v>182</v>
      </c>
      <c r="B206" s="595">
        <f t="shared" si="4"/>
        <v>0</v>
      </c>
      <c r="C206" s="307" t="s">
        <v>2577</v>
      </c>
      <c r="D206" s="304" t="s">
        <v>2577</v>
      </c>
      <c r="E206" s="304"/>
      <c r="F206" s="300">
        <f>COUNTIF(Sheele!$C$25:$H$36,C206)</f>
        <v>0</v>
      </c>
      <c r="G206" s="285">
        <v>1</v>
      </c>
      <c r="H206" s="285">
        <f>IF(OR($F206=0,$G206=0),0,MAX($H$134:H205)+1)</f>
        <v>0</v>
      </c>
      <c r="I206" s="2123" t="s">
        <v>1315</v>
      </c>
      <c r="J206" s="285" t="s">
        <v>1315</v>
      </c>
      <c r="K206" s="2124" t="s">
        <v>1315</v>
      </c>
      <c r="L206" s="8263" t="s">
        <v>2578</v>
      </c>
      <c r="M206" s="8250"/>
      <c r="N206" s="8250"/>
      <c r="O206" s="8250"/>
      <c r="P206" s="8250"/>
      <c r="Q206" s="8250"/>
      <c r="R206" s="603" t="s">
        <v>1241</v>
      </c>
      <c r="T206" s="4180"/>
      <c r="U206" s="8331" t="s">
        <v>49</v>
      </c>
      <c r="V206" s="8332"/>
      <c r="W206" s="4181" t="str">
        <f t="array" ref="W206:Z206">TRANSPOSE(U207:V210)</f>
        <v>Vuelo Místico 6</v>
      </c>
      <c r="X206" s="4181" t="str">
        <v>Experta funeraria</v>
      </c>
      <c r="Y206" s="4181" t="str">
        <v>Aes Sedai</v>
      </c>
      <c r="Z206" s="4181" t="str">
        <v xml:space="preserve"> </v>
      </c>
      <c r="AA206" s="4181"/>
      <c r="AB206" s="4182"/>
      <c r="AC206" s="4178"/>
      <c r="AD206" s="8333"/>
      <c r="AE206" s="8334"/>
    </row>
    <row r="207" spans="1:31">
      <c r="A207" s="265">
        <v>183</v>
      </c>
      <c r="B207" s="595">
        <f t="shared" si="4"/>
        <v>0</v>
      </c>
      <c r="C207" s="307" t="s">
        <v>2579</v>
      </c>
      <c r="D207" s="304" t="s">
        <v>2579</v>
      </c>
      <c r="E207" s="304"/>
      <c r="F207" s="300">
        <f>COUNTIF(Sheele!$C$25:$H$36,C207)</f>
        <v>0</v>
      </c>
      <c r="G207" s="285">
        <v>1</v>
      </c>
      <c r="H207" s="285">
        <f>IF(OR($F207=0,$G207=0),0,MAX($H$134:H206)+1)</f>
        <v>0</v>
      </c>
      <c r="I207" s="2123" t="s">
        <v>1315</v>
      </c>
      <c r="J207" s="594" t="s">
        <v>1315</v>
      </c>
      <c r="K207" s="2124" t="s">
        <v>1315</v>
      </c>
      <c r="L207" s="8258" t="s">
        <v>9200</v>
      </c>
      <c r="M207" s="8250"/>
      <c r="N207" s="8250"/>
      <c r="O207" s="8250"/>
      <c r="P207" s="8250"/>
      <c r="Q207" s="8250"/>
      <c r="R207" s="603" t="s">
        <v>1241</v>
      </c>
      <c r="T207" s="4126"/>
      <c r="U207" s="8322" t="s">
        <v>2612</v>
      </c>
      <c r="V207" s="8323"/>
      <c r="W207" s="8324" t="s">
        <v>2613</v>
      </c>
      <c r="X207" s="8324"/>
      <c r="Y207" s="8324"/>
      <c r="Z207" s="8324"/>
      <c r="AA207" s="8324"/>
      <c r="AB207" s="8324"/>
      <c r="AC207" s="4130" t="s">
        <v>1315</v>
      </c>
      <c r="AD207" s="8310">
        <v>6</v>
      </c>
      <c r="AE207" s="8335"/>
    </row>
    <row r="208" spans="1:31">
      <c r="A208" s="265">
        <v>184</v>
      </c>
      <c r="B208" s="595">
        <f t="shared" si="4"/>
        <v>0</v>
      </c>
      <c r="C208" s="307" t="s">
        <v>9932</v>
      </c>
      <c r="D208" s="304" t="s">
        <v>2513</v>
      </c>
      <c r="E208" s="304"/>
      <c r="F208" s="300">
        <f>COUNTIF(Sheele!$C$25:$H$36,C208)</f>
        <v>0</v>
      </c>
      <c r="G208" s="285"/>
      <c r="H208" s="285">
        <f>IF(OR($F208=0,$G208=0),0,MAX($H$134:H207)+1)</f>
        <v>0</v>
      </c>
      <c r="I208" s="2120" t="s">
        <v>1315</v>
      </c>
      <c r="J208" s="594" t="s">
        <v>1315</v>
      </c>
      <c r="K208" s="2124" t="s">
        <v>1315</v>
      </c>
      <c r="L208" s="8263" t="s">
        <v>2514</v>
      </c>
      <c r="M208" s="8250"/>
      <c r="N208" s="8250"/>
      <c r="O208" s="8250"/>
      <c r="P208" s="8250"/>
      <c r="Q208" s="8250"/>
      <c r="R208" s="603" t="s">
        <v>1315</v>
      </c>
      <c r="T208" s="4126"/>
      <c r="U208" s="8322" t="s">
        <v>13457</v>
      </c>
      <c r="V208" s="8323"/>
      <c r="W208" s="8324" t="s">
        <v>13460</v>
      </c>
      <c r="X208" s="8326"/>
      <c r="Y208" s="8326"/>
      <c r="Z208" s="8326"/>
      <c r="AA208" s="8326"/>
      <c r="AB208" s="8326"/>
      <c r="AC208" s="4130" t="s">
        <v>1315</v>
      </c>
      <c r="AD208" s="8310"/>
      <c r="AE208" s="8335"/>
    </row>
    <row r="209" spans="1:31">
      <c r="A209" s="265">
        <v>185</v>
      </c>
      <c r="B209" s="595">
        <f t="shared" si="4"/>
        <v>0</v>
      </c>
      <c r="C209" s="307" t="s">
        <v>2580</v>
      </c>
      <c r="D209" s="304" t="s">
        <v>2580</v>
      </c>
      <c r="E209" s="304"/>
      <c r="F209" s="300">
        <f>COUNTIF(Sheele!$C$25:$H$36,C209)</f>
        <v>0</v>
      </c>
      <c r="G209" s="285">
        <v>1</v>
      </c>
      <c r="H209" s="285">
        <f>IF(OR($F209=0,$G209=0),0,MAX($H$134:H208)+1)</f>
        <v>0</v>
      </c>
      <c r="I209" s="2121" t="s">
        <v>9202</v>
      </c>
      <c r="J209" s="594" t="s">
        <v>1315</v>
      </c>
      <c r="K209" s="2124" t="s">
        <v>1315</v>
      </c>
      <c r="L209" s="8258" t="s">
        <v>9201</v>
      </c>
      <c r="M209" s="8250"/>
      <c r="N209" s="8250"/>
      <c r="O209" s="8250"/>
      <c r="P209" s="8250"/>
      <c r="Q209" s="8250"/>
      <c r="R209" s="603" t="s">
        <v>1315</v>
      </c>
      <c r="T209" s="4179"/>
      <c r="U209" s="8327" t="s">
        <v>13458</v>
      </c>
      <c r="V209" s="8328"/>
      <c r="W209" s="8324" t="s">
        <v>13459</v>
      </c>
      <c r="X209" s="8326"/>
      <c r="Y209" s="8326"/>
      <c r="Z209" s="8326"/>
      <c r="AA209" s="8326"/>
      <c r="AB209" s="8326"/>
      <c r="AC209" s="4130" t="s">
        <v>1315</v>
      </c>
      <c r="AD209" s="8310"/>
      <c r="AE209" s="8335"/>
    </row>
    <row r="210" spans="1:31">
      <c r="A210" s="265">
        <v>186</v>
      </c>
      <c r="B210" s="595">
        <f t="shared" si="4"/>
        <v>0</v>
      </c>
      <c r="C210" s="307" t="s">
        <v>2581</v>
      </c>
      <c r="D210" s="304" t="s">
        <v>2581</v>
      </c>
      <c r="E210" s="304"/>
      <c r="F210" s="300">
        <f>COUNTIF(Sheele!$C$25:$H$36,C210)</f>
        <v>0</v>
      </c>
      <c r="G210" s="285"/>
      <c r="H210" s="285">
        <f>IF(OR($F210=0,$G210=0),0,MAX($H$134:H209)+1)</f>
        <v>0</v>
      </c>
      <c r="I210" s="2120" t="s">
        <v>1315</v>
      </c>
      <c r="J210" s="594" t="s">
        <v>1315</v>
      </c>
      <c r="K210" s="2124" t="s">
        <v>1315</v>
      </c>
      <c r="L210" s="8264" t="s">
        <v>2582</v>
      </c>
      <c r="M210" s="8265"/>
      <c r="N210" s="8265"/>
      <c r="O210" s="8265"/>
      <c r="P210" s="8265"/>
      <c r="Q210" s="8265"/>
      <c r="R210" s="603" t="s">
        <v>1315</v>
      </c>
      <c r="T210" s="4184"/>
      <c r="U210" s="8336" t="s">
        <v>2603</v>
      </c>
      <c r="V210" s="8337"/>
      <c r="W210" s="8338"/>
      <c r="X210" s="8339"/>
      <c r="Y210" s="8339"/>
      <c r="Z210" s="8339"/>
      <c r="AA210" s="8339"/>
      <c r="AB210" s="8339"/>
      <c r="AC210" s="4185"/>
      <c r="AD210" s="8340"/>
      <c r="AE210" s="8341"/>
    </row>
    <row r="211" spans="1:31">
      <c r="A211" s="265">
        <v>187</v>
      </c>
      <c r="B211" s="595">
        <f t="shared" si="4"/>
        <v>0</v>
      </c>
      <c r="C211" s="2142" t="s">
        <v>9923</v>
      </c>
      <c r="D211" s="305"/>
      <c r="E211" s="305"/>
      <c r="F211" s="2128"/>
      <c r="G211" s="2127"/>
      <c r="H211" s="2138"/>
      <c r="I211" s="306" t="s">
        <v>2500</v>
      </c>
      <c r="J211" s="2139" t="s">
        <v>2501</v>
      </c>
      <c r="K211" s="303" t="s">
        <v>1425</v>
      </c>
      <c r="L211" s="8266" t="s">
        <v>1408</v>
      </c>
      <c r="M211" s="8266"/>
      <c r="N211" s="8266"/>
      <c r="O211" s="8266"/>
      <c r="P211" s="8266"/>
      <c r="Q211" s="8266"/>
      <c r="R211" s="606"/>
      <c r="T211" s="4180"/>
      <c r="U211" s="8331" t="s">
        <v>46</v>
      </c>
      <c r="V211" s="8332"/>
      <c r="W211" s="4181" t="str">
        <f t="array" ref="W211:Z211">TRANSPOSE(U212:V215)</f>
        <v>Vuelo Místico 6</v>
      </c>
      <c r="X211" s="4181" t="str">
        <v>Indeterminación</v>
      </c>
      <c r="Y211" s="4181" t="str">
        <v xml:space="preserve"> </v>
      </c>
      <c r="Z211" s="4181" t="str">
        <v xml:space="preserve"> </v>
      </c>
      <c r="AA211" s="4181"/>
      <c r="AB211" s="4182"/>
      <c r="AC211" s="4178"/>
      <c r="AD211" s="8333"/>
      <c r="AE211" s="8334"/>
    </row>
    <row r="212" spans="1:31">
      <c r="A212" s="265">
        <v>188</v>
      </c>
      <c r="B212" s="595">
        <f t="shared" si="4"/>
        <v>0</v>
      </c>
      <c r="C212" s="307" t="s">
        <v>2583</v>
      </c>
      <c r="D212" s="304" t="s">
        <v>2583</v>
      </c>
      <c r="E212" s="304"/>
      <c r="F212" s="300">
        <f>COUNTIF(Sheele!$C$25:$H$36,C212)</f>
        <v>0</v>
      </c>
      <c r="G212" s="285">
        <v>1</v>
      </c>
      <c r="H212" s="285">
        <f>IF(OR($F212=0,$G212=0),0,MAX($H$134:H211)+1)</f>
        <v>0</v>
      </c>
      <c r="I212" s="2120">
        <v>100</v>
      </c>
      <c r="J212" s="285">
        <f>Sheele!F46+50</f>
        <v>110</v>
      </c>
      <c r="K212" s="2124">
        <f>Sheele!L28*2</f>
        <v>60</v>
      </c>
      <c r="L212" s="8258" t="s">
        <v>2584</v>
      </c>
      <c r="M212" s="8250"/>
      <c r="N212" s="8250"/>
      <c r="O212" s="8250"/>
      <c r="P212" s="8250"/>
      <c r="Q212" s="8250"/>
      <c r="R212" s="603" t="s">
        <v>1315</v>
      </c>
      <c r="T212" s="4126"/>
      <c r="U212" s="8322" t="s">
        <v>2612</v>
      </c>
      <c r="V212" s="8323"/>
      <c r="W212" s="8324" t="s">
        <v>2613</v>
      </c>
      <c r="X212" s="8324"/>
      <c r="Y212" s="8324"/>
      <c r="Z212" s="8324"/>
      <c r="AA212" s="8324"/>
      <c r="AB212" s="8324"/>
      <c r="AC212" s="4130" t="s">
        <v>1315</v>
      </c>
      <c r="AD212" s="8310">
        <v>6</v>
      </c>
      <c r="AE212" s="8335"/>
    </row>
    <row r="213" spans="1:31">
      <c r="A213" s="265">
        <v>189</v>
      </c>
      <c r="B213" s="595">
        <f t="shared" si="4"/>
        <v>0</v>
      </c>
      <c r="C213" s="307" t="s">
        <v>2585</v>
      </c>
      <c r="D213" s="304" t="s">
        <v>2585</v>
      </c>
      <c r="E213" s="304"/>
      <c r="F213" s="300">
        <f>COUNTIF(Sheele!$C$25:$H$36,C213)</f>
        <v>0</v>
      </c>
      <c r="G213" s="285">
        <v>1</v>
      </c>
      <c r="H213" s="285">
        <f>IF(OR($F213=0,$G213=0),0,MAX($H$134:H212)+1)</f>
        <v>0</v>
      </c>
      <c r="I213" s="2120">
        <v>200</v>
      </c>
      <c r="J213" s="594" t="s">
        <v>1315</v>
      </c>
      <c r="K213" s="2124" t="s">
        <v>1315</v>
      </c>
      <c r="L213" s="8258" t="s">
        <v>9203</v>
      </c>
      <c r="M213" s="8250"/>
      <c r="N213" s="8250"/>
      <c r="O213" s="8250"/>
      <c r="P213" s="8250"/>
      <c r="Q213" s="8250"/>
      <c r="R213" s="603" t="s">
        <v>1315</v>
      </c>
      <c r="T213" s="4126"/>
      <c r="U213" s="8322" t="s">
        <v>13461</v>
      </c>
      <c r="V213" s="8323"/>
      <c r="W213" s="8324" t="s">
        <v>13462</v>
      </c>
      <c r="X213" s="8326"/>
      <c r="Y213" s="8326"/>
      <c r="Z213" s="8326"/>
      <c r="AA213" s="8326"/>
      <c r="AB213" s="8326"/>
      <c r="AC213" s="4130" t="s">
        <v>1315</v>
      </c>
      <c r="AD213" s="8310"/>
      <c r="AE213" s="8335"/>
    </row>
    <row r="214" spans="1:31">
      <c r="A214" s="265">
        <v>190</v>
      </c>
      <c r="B214" s="595">
        <f t="shared" si="4"/>
        <v>0</v>
      </c>
      <c r="C214" s="307" t="s">
        <v>2586</v>
      </c>
      <c r="D214" s="304" t="s">
        <v>2586</v>
      </c>
      <c r="E214" s="304"/>
      <c r="F214" s="300">
        <f>COUNTIF(Sheele!$C$25:$H$36,C214)</f>
        <v>0</v>
      </c>
      <c r="G214" s="285">
        <v>1</v>
      </c>
      <c r="H214" s="285">
        <f>IF(OR($F214=0,$G214=0),0,MAX($H$134:H213)+1)</f>
        <v>0</v>
      </c>
      <c r="I214" s="2120" t="s">
        <v>1315</v>
      </c>
      <c r="J214" s="594" t="s">
        <v>1315</v>
      </c>
      <c r="K214" s="2124" t="s">
        <v>1315</v>
      </c>
      <c r="L214" s="8250" t="s">
        <v>2587</v>
      </c>
      <c r="M214" s="8250"/>
      <c r="N214" s="8250"/>
      <c r="O214" s="8250"/>
      <c r="P214" s="8250"/>
      <c r="Q214" s="8250"/>
      <c r="R214" s="603" t="s">
        <v>1315</v>
      </c>
      <c r="T214" s="4179"/>
      <c r="U214" s="8327" t="s">
        <v>2603</v>
      </c>
      <c r="V214" s="8328"/>
      <c r="W214" s="8324"/>
      <c r="X214" s="8326"/>
      <c r="Y214" s="8326"/>
      <c r="Z214" s="8326"/>
      <c r="AA214" s="8326"/>
      <c r="AB214" s="8326"/>
      <c r="AC214" s="4130" t="s">
        <v>1315</v>
      </c>
      <c r="AD214" s="8310"/>
      <c r="AE214" s="8335"/>
    </row>
    <row r="215" spans="1:31">
      <c r="A215" s="265">
        <v>191</v>
      </c>
      <c r="B215" s="595">
        <f t="shared" si="4"/>
        <v>0</v>
      </c>
      <c r="C215" s="307" t="s">
        <v>2588</v>
      </c>
      <c r="D215" s="304" t="s">
        <v>2588</v>
      </c>
      <c r="E215" s="304"/>
      <c r="F215" s="300">
        <f>COUNTIF(Sheele!$C$25:$H$36,C215)</f>
        <v>0</v>
      </c>
      <c r="G215" s="285">
        <v>1</v>
      </c>
      <c r="H215" s="285">
        <f>IF(OR($F215=0,$G215=0),0,MAX($H$134:H214)+1)</f>
        <v>0</v>
      </c>
      <c r="I215" s="2120">
        <v>100</v>
      </c>
      <c r="J215" s="2141" t="s">
        <v>3048</v>
      </c>
      <c r="K215" s="2124" t="s">
        <v>1315</v>
      </c>
      <c r="L215" s="8250" t="str">
        <f>"Área 25m. RM "&amp;Sheele!L28*2+Sheele!H16&amp;": -[fracaso] Hab. PER y -0.5*[fracaso] ata. En contacto: Inmune"</f>
        <v>Área 25m. RM 70: -[fracaso] Hab. PER y -0.5*[fracaso] ata. En contacto: Inmune</v>
      </c>
      <c r="M215" s="8250"/>
      <c r="N215" s="8250"/>
      <c r="O215" s="8250"/>
      <c r="P215" s="8250"/>
      <c r="Q215" s="8250"/>
      <c r="R215" s="603" t="s">
        <v>1315</v>
      </c>
      <c r="T215" s="4184"/>
      <c r="U215" s="8336" t="s">
        <v>2603</v>
      </c>
      <c r="V215" s="8337"/>
      <c r="W215" s="8338"/>
      <c r="X215" s="8339"/>
      <c r="Y215" s="8339"/>
      <c r="Z215" s="8339"/>
      <c r="AA215" s="8339"/>
      <c r="AB215" s="8339"/>
      <c r="AC215" s="4185"/>
      <c r="AD215" s="8340"/>
      <c r="AE215" s="8341"/>
    </row>
    <row r="216" spans="1:31">
      <c r="A216" s="265">
        <v>192</v>
      </c>
      <c r="B216" s="595">
        <f t="shared" si="4"/>
        <v>0</v>
      </c>
      <c r="C216" s="307" t="s">
        <v>2589</v>
      </c>
      <c r="D216" s="304" t="s">
        <v>2589</v>
      </c>
      <c r="E216" s="304"/>
      <c r="F216" s="300">
        <f>COUNTIF(Sheele!$C$25:$H$36,C216)</f>
        <v>0</v>
      </c>
      <c r="G216" s="285">
        <v>1</v>
      </c>
      <c r="H216" s="285">
        <f>IF(OR($F216=0,$G216=0),0,MAX($H$134:H215)+1)</f>
        <v>0</v>
      </c>
      <c r="I216" s="2120" t="s">
        <v>1315</v>
      </c>
      <c r="J216" s="594" t="s">
        <v>1315</v>
      </c>
      <c r="K216" s="2124" t="s">
        <v>1315</v>
      </c>
      <c r="L216" s="8250" t="s">
        <v>2590</v>
      </c>
      <c r="M216" s="8250"/>
      <c r="N216" s="8250"/>
      <c r="O216" s="8250"/>
      <c r="P216" s="8250"/>
      <c r="Q216" s="8250"/>
      <c r="R216" s="603" t="s">
        <v>1315</v>
      </c>
      <c r="T216" s="4180"/>
      <c r="U216" s="8331" t="s">
        <v>50</v>
      </c>
      <c r="V216" s="8332"/>
      <c r="W216" s="4181" t="str">
        <f t="array" ref="W216:Z216">TRANSPOSE(U217:V220)</f>
        <v>Vuelo Místico 10</v>
      </c>
      <c r="X216" s="4181" t="str">
        <v>Pitch perfecto</v>
      </c>
      <c r="Y216" s="4181" t="str">
        <v>La increíble minipartitura de Robin</v>
      </c>
      <c r="Z216" s="4181" t="str">
        <v xml:space="preserve"> </v>
      </c>
      <c r="AA216" s="4181"/>
      <c r="AB216" s="4182"/>
      <c r="AC216" s="4178"/>
      <c r="AD216" s="8333"/>
      <c r="AE216" s="8334"/>
    </row>
    <row r="217" spans="1:31">
      <c r="A217" s="265">
        <v>193</v>
      </c>
      <c r="B217" s="595">
        <f t="shared" si="4"/>
        <v>0</v>
      </c>
      <c r="C217" s="307" t="s">
        <v>2591</v>
      </c>
      <c r="D217" s="304" t="s">
        <v>2591</v>
      </c>
      <c r="E217" s="304"/>
      <c r="F217" s="300">
        <f>COUNTIF(Sheele!$C$25:$H$36,C217)</f>
        <v>0</v>
      </c>
      <c r="G217" s="285">
        <v>1</v>
      </c>
      <c r="H217" s="285">
        <f>IF(OR($F217=0,$G217=0),0,MAX($H$134:H216)+1)</f>
        <v>0</v>
      </c>
      <c r="I217" s="2120" t="s">
        <v>1315</v>
      </c>
      <c r="J217" s="594" t="s">
        <v>1315</v>
      </c>
      <c r="K217" s="2124" t="s">
        <v>1315</v>
      </c>
      <c r="L217" s="8263" t="s">
        <v>2592</v>
      </c>
      <c r="M217" s="8250"/>
      <c r="N217" s="8250"/>
      <c r="O217" s="8250"/>
      <c r="P217" s="8250"/>
      <c r="Q217" s="8250"/>
      <c r="R217" s="603" t="s">
        <v>1241</v>
      </c>
      <c r="T217" s="4126"/>
      <c r="U217" s="8322" t="s">
        <v>2599</v>
      </c>
      <c r="V217" s="8323"/>
      <c r="W217" s="8324" t="s">
        <v>2600</v>
      </c>
      <c r="X217" s="8324"/>
      <c r="Y217" s="8324"/>
      <c r="Z217" s="8324"/>
      <c r="AA217" s="8324"/>
      <c r="AB217" s="8324"/>
      <c r="AC217" s="4130" t="s">
        <v>1315</v>
      </c>
      <c r="AD217" s="8310">
        <v>10</v>
      </c>
      <c r="AE217" s="8335"/>
    </row>
    <row r="218" spans="1:31">
      <c r="A218" s="265">
        <v>194</v>
      </c>
      <c r="B218" s="595">
        <f t="shared" si="4"/>
        <v>0</v>
      </c>
      <c r="C218" s="307" t="s">
        <v>2593</v>
      </c>
      <c r="D218" s="304" t="s">
        <v>2593</v>
      </c>
      <c r="E218" s="304"/>
      <c r="F218" s="300">
        <f>COUNTIF(Sheele!$C$25:$H$36,C218)</f>
        <v>0</v>
      </c>
      <c r="G218" s="285">
        <v>1</v>
      </c>
      <c r="H218" s="285">
        <f>IF(OR($F218=0,$G218=0),0,MAX($H$134:H217)+1)</f>
        <v>0</v>
      </c>
      <c r="I218" s="2120">
        <v>200</v>
      </c>
      <c r="J218" s="594" t="str">
        <f>"+10/c"</f>
        <v>+10/c</v>
      </c>
      <c r="K218" s="2124" t="s">
        <v>1315</v>
      </c>
      <c r="L218" s="8250" t="str">
        <f>"Defensa. Crea "&amp;Sheele!G16&amp;" copias. Se desvanece 1/ turno y 1/ defensa. Ver."</f>
        <v>Defensa. Crea 8 copias. Se desvanece 1/ turno y 1/ defensa. Ver.</v>
      </c>
      <c r="M218" s="8250"/>
      <c r="N218" s="8250"/>
      <c r="O218" s="8250"/>
      <c r="P218" s="8250"/>
      <c r="Q218" s="8250"/>
      <c r="R218" s="603" t="s">
        <v>1315</v>
      </c>
      <c r="T218" s="4126"/>
      <c r="U218" s="8322" t="s">
        <v>13463</v>
      </c>
      <c r="V218" s="8323"/>
      <c r="W218" s="8324" t="s">
        <v>13465</v>
      </c>
      <c r="X218" s="8326"/>
      <c r="Y218" s="8326"/>
      <c r="Z218" s="8326"/>
      <c r="AA218" s="8326"/>
      <c r="AB218" s="8326"/>
      <c r="AC218" s="4130" t="s">
        <v>1315</v>
      </c>
      <c r="AD218" s="8310"/>
      <c r="AE218" s="8335"/>
    </row>
    <row r="219" spans="1:31">
      <c r="A219" s="265">
        <v>195</v>
      </c>
      <c r="B219" s="595">
        <f t="shared" si="4"/>
        <v>0</v>
      </c>
      <c r="C219" s="307" t="s">
        <v>2594</v>
      </c>
      <c r="D219" s="304" t="s">
        <v>2594</v>
      </c>
      <c r="E219" s="304"/>
      <c r="F219" s="300">
        <f>COUNTIF(Sheele!$C$25:$H$36,C219)</f>
        <v>0</v>
      </c>
      <c r="G219" s="285">
        <v>1</v>
      </c>
      <c r="H219" s="285">
        <f>IF(OR($F219=0,$G219=0),0,MAX($H$134:H218)+1)</f>
        <v>0</v>
      </c>
      <c r="I219" s="2120" t="s">
        <v>1315</v>
      </c>
      <c r="J219" s="594" t="s">
        <v>1315</v>
      </c>
      <c r="K219" s="2124" t="s">
        <v>1315</v>
      </c>
      <c r="L219" s="8258" t="s">
        <v>9204</v>
      </c>
      <c r="M219" s="8250"/>
      <c r="N219" s="8250"/>
      <c r="O219" s="8250"/>
      <c r="P219" s="8250"/>
      <c r="Q219" s="8250"/>
      <c r="R219" s="603"/>
      <c r="T219" s="4179"/>
      <c r="U219" s="8327" t="s">
        <v>13464</v>
      </c>
      <c r="V219" s="8328"/>
      <c r="W219" s="8324" t="s">
        <v>13466</v>
      </c>
      <c r="X219" s="8326"/>
      <c r="Y219" s="8326"/>
      <c r="Z219" s="8326"/>
      <c r="AA219" s="8326"/>
      <c r="AB219" s="8326"/>
      <c r="AC219" s="4130" t="s">
        <v>1315</v>
      </c>
      <c r="AD219" s="8310"/>
      <c r="AE219" s="8335"/>
    </row>
    <row r="220" spans="1:31">
      <c r="A220" s="265">
        <v>196</v>
      </c>
      <c r="B220" s="595">
        <f t="shared" si="4"/>
        <v>0</v>
      </c>
      <c r="C220" s="307" t="s">
        <v>9933</v>
      </c>
      <c r="D220" s="304" t="s">
        <v>2513</v>
      </c>
      <c r="E220" s="304"/>
      <c r="F220" s="300">
        <f>COUNTIF(Sheele!$C$25:$H$36,C220)</f>
        <v>0</v>
      </c>
      <c r="G220" s="285"/>
      <c r="H220" s="285">
        <f>IF(OR($F220=0,$G220=0),0,MAX($H$134:H219)+1)</f>
        <v>0</v>
      </c>
      <c r="I220" s="2120" t="s">
        <v>1315</v>
      </c>
      <c r="J220" s="594" t="s">
        <v>1315</v>
      </c>
      <c r="K220" s="2124" t="s">
        <v>1315</v>
      </c>
      <c r="L220" s="8263" t="s">
        <v>2514</v>
      </c>
      <c r="M220" s="8250"/>
      <c r="N220" s="8250"/>
      <c r="O220" s="8250"/>
      <c r="P220" s="8250"/>
      <c r="Q220" s="8250"/>
      <c r="R220" s="603" t="s">
        <v>1315</v>
      </c>
      <c r="T220" s="4184"/>
      <c r="U220" s="8336" t="s">
        <v>2603</v>
      </c>
      <c r="V220" s="8337"/>
      <c r="W220" s="8338"/>
      <c r="X220" s="8339"/>
      <c r="Y220" s="8339"/>
      <c r="Z220" s="8339"/>
      <c r="AA220" s="8339"/>
      <c r="AB220" s="8339"/>
      <c r="AC220" s="4185"/>
      <c r="AD220" s="8340"/>
      <c r="AE220" s="8341"/>
    </row>
    <row r="221" spans="1:31">
      <c r="A221" s="265">
        <v>197</v>
      </c>
      <c r="B221" s="595">
        <f t="shared" si="4"/>
        <v>0</v>
      </c>
      <c r="C221" s="3966" t="s">
        <v>2595</v>
      </c>
      <c r="D221" s="304" t="s">
        <v>2595</v>
      </c>
      <c r="E221" s="304"/>
      <c r="F221" s="300">
        <f>COUNTIF(Sheele!$C$25:$H$36,C221)</f>
        <v>0</v>
      </c>
      <c r="G221" s="285">
        <v>1</v>
      </c>
      <c r="H221" s="285">
        <f>IF(OR($F221=0,$G221=0),0,MAX($H$134:H220)+1)</f>
        <v>0</v>
      </c>
      <c r="I221" s="2121" t="s">
        <v>9205</v>
      </c>
      <c r="J221" s="594" t="s">
        <v>1315</v>
      </c>
      <c r="K221" s="2124" t="s">
        <v>1315</v>
      </c>
      <c r="L221" s="8250" t="str">
        <f>"A voluntad. Solo vulnerable a destrucción de sortilegios (Base, valor zeonico "&amp;Sheele!J10&amp;")"</f>
        <v>A voluntad. Solo vulnerable a destrucción de sortilegios (Base, valor zeonico 60)</v>
      </c>
      <c r="M221" s="8250"/>
      <c r="N221" s="8250"/>
      <c r="O221" s="8250"/>
      <c r="P221" s="8250"/>
      <c r="Q221" s="8250"/>
      <c r="R221" s="603"/>
      <c r="T221" s="4180"/>
      <c r="U221" s="8331" t="s">
        <v>53</v>
      </c>
      <c r="V221" s="8332"/>
      <c r="W221" s="4181" t="str">
        <f t="array" ref="W221:Z221">TRANSPOSE(U222:V225)</f>
        <v>Vuelo Místico 6</v>
      </c>
      <c r="X221" s="4181" t="str">
        <v>Hija de Lilith</v>
      </c>
      <c r="Y221" s="4181" t="str">
        <v>Repudio eclesiástico</v>
      </c>
      <c r="Z221" s="4181" t="str">
        <v xml:space="preserve"> </v>
      </c>
      <c r="AA221" s="4181"/>
      <c r="AB221" s="4182"/>
      <c r="AC221" s="4178"/>
      <c r="AD221" s="8333"/>
      <c r="AE221" s="8334"/>
    </row>
    <row r="222" spans="1:31">
      <c r="A222" s="265">
        <v>198</v>
      </c>
      <c r="B222" s="595">
        <f>H222</f>
        <v>0</v>
      </c>
      <c r="C222" s="4127" t="s">
        <v>463</v>
      </c>
      <c r="D222" s="305"/>
      <c r="E222" s="4128"/>
      <c r="F222" s="2128"/>
      <c r="G222" s="2127"/>
      <c r="H222" s="2138"/>
      <c r="I222" s="306" t="s">
        <v>2500</v>
      </c>
      <c r="J222" s="2139" t="s">
        <v>2501</v>
      </c>
      <c r="K222" s="303" t="s">
        <v>1425</v>
      </c>
      <c r="L222" s="8301" t="s">
        <v>1408</v>
      </c>
      <c r="M222" s="8302"/>
      <c r="N222" s="8302"/>
      <c r="O222" s="8302"/>
      <c r="P222" s="8302"/>
      <c r="Q222" s="8303"/>
      <c r="R222" s="606"/>
      <c r="T222" s="4126"/>
      <c r="U222" s="8322" t="s">
        <v>2612</v>
      </c>
      <c r="V222" s="8323"/>
      <c r="W222" s="8324" t="s">
        <v>2613</v>
      </c>
      <c r="X222" s="8324"/>
      <c r="Y222" s="8324"/>
      <c r="Z222" s="8324"/>
      <c r="AA222" s="8324"/>
      <c r="AB222" s="8324"/>
      <c r="AC222" s="4130" t="s">
        <v>1315</v>
      </c>
      <c r="AD222" s="8310">
        <v>6</v>
      </c>
      <c r="AE222" s="8335"/>
    </row>
    <row r="223" spans="1:31">
      <c r="A223" s="265">
        <v>199</v>
      </c>
      <c r="B223" s="595">
        <f>H223</f>
        <v>0</v>
      </c>
      <c r="C223" s="4126" t="s">
        <v>13072</v>
      </c>
      <c r="D223" s="3869" t="s">
        <v>13072</v>
      </c>
      <c r="E223" s="4129"/>
      <c r="F223" s="4130">
        <f>COUNTIF(Sheele!$C$25:$H$36,C223)</f>
        <v>0</v>
      </c>
      <c r="G223" s="4044">
        <v>1</v>
      </c>
      <c r="H223" s="4189">
        <f>IF(OR($F223=0,$G223=0),0,MAX($H$134:H222)+1)</f>
        <v>0</v>
      </c>
      <c r="I223" s="4044">
        <v>50</v>
      </c>
      <c r="J223" s="4044" t="s">
        <v>1315</v>
      </c>
      <c r="K223" s="4131" t="s">
        <v>1315</v>
      </c>
      <c r="L223" s="8307" t="s">
        <v>13324</v>
      </c>
      <c r="M223" s="8308"/>
      <c r="N223" s="8308"/>
      <c r="O223" s="8308"/>
      <c r="P223" s="8308"/>
      <c r="Q223" s="8309"/>
      <c r="R223" s="4132" t="s">
        <v>1315</v>
      </c>
      <c r="T223" s="4126"/>
      <c r="U223" s="8322" t="s">
        <v>13467</v>
      </c>
      <c r="V223" s="8323"/>
      <c r="W223" s="8324" t="s">
        <v>13470</v>
      </c>
      <c r="X223" s="8326"/>
      <c r="Y223" s="8326"/>
      <c r="Z223" s="8326"/>
      <c r="AA223" s="8326"/>
      <c r="AB223" s="8326"/>
      <c r="AC223" s="4130" t="s">
        <v>1315</v>
      </c>
      <c r="AD223" s="8310"/>
      <c r="AE223" s="8335"/>
    </row>
    <row r="224" spans="1:31">
      <c r="A224" s="265">
        <v>200</v>
      </c>
      <c r="B224" s="595">
        <f t="shared" si="4"/>
        <v>0</v>
      </c>
      <c r="C224" s="4126" t="s">
        <v>227</v>
      </c>
      <c r="D224" s="3869" t="s">
        <v>227</v>
      </c>
      <c r="E224" s="4129"/>
      <c r="F224" s="4130">
        <f>COUNTIF(Sheele!$C$25:$H$36,C224)</f>
        <v>0</v>
      </c>
      <c r="G224" s="4044">
        <v>1</v>
      </c>
      <c r="H224" s="4189">
        <f>IF(OR($F224=0,$G224=0),0,MAX($H$134:H223)+1)</f>
        <v>0</v>
      </c>
      <c r="I224" s="4044">
        <v>100</v>
      </c>
      <c r="J224" s="4044" t="s">
        <v>1315</v>
      </c>
      <c r="K224" s="4131" t="s">
        <v>1315</v>
      </c>
      <c r="L224" s="8310" t="s">
        <v>13325</v>
      </c>
      <c r="M224" s="8311"/>
      <c r="N224" s="8311"/>
      <c r="O224" s="8311"/>
      <c r="P224" s="8311"/>
      <c r="Q224" s="8312"/>
      <c r="R224" s="4132" t="s">
        <v>1315</v>
      </c>
      <c r="T224" s="4179"/>
      <c r="U224" s="8327" t="s">
        <v>13468</v>
      </c>
      <c r="V224" s="8328"/>
      <c r="W224" s="8324" t="s">
        <v>13469</v>
      </c>
      <c r="X224" s="8326"/>
      <c r="Y224" s="8326"/>
      <c r="Z224" s="8326"/>
      <c r="AA224" s="8326"/>
      <c r="AB224" s="8326"/>
      <c r="AC224" s="4130" t="s">
        <v>1315</v>
      </c>
      <c r="AD224" s="8310"/>
      <c r="AE224" s="8335"/>
    </row>
    <row r="225" spans="1:31">
      <c r="A225" s="265">
        <v>201</v>
      </c>
      <c r="B225" s="595">
        <f t="shared" si="4"/>
        <v>0</v>
      </c>
      <c r="C225" s="4126" t="s">
        <v>13073</v>
      </c>
      <c r="D225" s="3869" t="s">
        <v>13073</v>
      </c>
      <c r="E225" s="4129"/>
      <c r="F225" s="4130">
        <f>COUNTIF(Sheele!$C$25:$H$36,C225)</f>
        <v>0</v>
      </c>
      <c r="G225" s="4044">
        <v>1</v>
      </c>
      <c r="H225" s="4189">
        <f>IF(OR($F225=0,$G225=0),0,MAX($H$134:H224)+1)</f>
        <v>0</v>
      </c>
      <c r="I225" s="4044" t="s">
        <v>1315</v>
      </c>
      <c r="J225" s="4044">
        <f>Sheele!F46+50</f>
        <v>110</v>
      </c>
      <c r="K225" s="4131">
        <v>60</v>
      </c>
      <c r="L225" s="8310" t="s">
        <v>13330</v>
      </c>
      <c r="M225" s="8311"/>
      <c r="N225" s="8311"/>
      <c r="O225" s="8311"/>
      <c r="P225" s="8311"/>
      <c r="Q225" s="8312"/>
      <c r="R225" s="4132" t="s">
        <v>1315</v>
      </c>
      <c r="T225" s="4184"/>
      <c r="U225" s="8336" t="s">
        <v>2603</v>
      </c>
      <c r="V225" s="8337"/>
      <c r="W225" s="8338"/>
      <c r="X225" s="8339"/>
      <c r="Y225" s="8339"/>
      <c r="Z225" s="8339"/>
      <c r="AA225" s="8339"/>
      <c r="AB225" s="8339"/>
      <c r="AC225" s="4185"/>
      <c r="AD225" s="8340"/>
      <c r="AE225" s="8341"/>
    </row>
    <row r="226" spans="1:31">
      <c r="A226" s="265">
        <v>202</v>
      </c>
      <c r="B226" s="595">
        <f t="shared" si="4"/>
        <v>0</v>
      </c>
      <c r="C226" s="4126" t="s">
        <v>13074</v>
      </c>
      <c r="D226" s="3869" t="s">
        <v>13074</v>
      </c>
      <c r="E226" s="4129"/>
      <c r="F226" s="4130">
        <f>COUNTIF(Sheele!$C$25:$H$36,C226)</f>
        <v>0</v>
      </c>
      <c r="G226" s="4044">
        <v>1</v>
      </c>
      <c r="H226" s="4189">
        <f>IF(OR($F226=0,$G226=0),0,MAX($H$134:H225)+1)</f>
        <v>0</v>
      </c>
      <c r="I226" s="4044" t="s">
        <v>1315</v>
      </c>
      <c r="J226" s="4044" t="s">
        <v>1315</v>
      </c>
      <c r="K226" s="4131" t="s">
        <v>1315</v>
      </c>
      <c r="L226" s="8310" t="s">
        <v>13326</v>
      </c>
      <c r="M226" s="8311"/>
      <c r="N226" s="8311"/>
      <c r="O226" s="8311"/>
      <c r="P226" s="8311"/>
      <c r="Q226" s="8312"/>
      <c r="R226" s="4132" t="s">
        <v>1315</v>
      </c>
      <c r="T226" s="4180"/>
      <c r="U226" s="8331" t="s">
        <v>1762</v>
      </c>
      <c r="V226" s="8332"/>
      <c r="W226" s="4181" t="str">
        <f t="array" ref="W226:Z226">TRANSPOSE(U227:V230)</f>
        <v>Vuelo Místico 8</v>
      </c>
      <c r="X226" s="4181" t="str">
        <v>Pensamiento vacuo</v>
      </c>
      <c r="Y226" s="4181" t="str">
        <v xml:space="preserve"> </v>
      </c>
      <c r="Z226" s="4181" t="str">
        <v xml:space="preserve"> </v>
      </c>
      <c r="AA226" s="4181"/>
      <c r="AB226" s="4182"/>
      <c r="AC226" s="4178"/>
      <c r="AD226" s="8333"/>
      <c r="AE226" s="8334"/>
    </row>
    <row r="227" spans="1:31">
      <c r="A227" s="265">
        <v>203</v>
      </c>
      <c r="B227" s="595">
        <f t="shared" si="4"/>
        <v>0</v>
      </c>
      <c r="C227" s="4126" t="s">
        <v>13075</v>
      </c>
      <c r="D227" s="3869" t="s">
        <v>13075</v>
      </c>
      <c r="E227" s="4129"/>
      <c r="F227" s="4130">
        <f>COUNTIF(Sheele!$C$25:$H$36,C227)</f>
        <v>0</v>
      </c>
      <c r="G227" s="4044">
        <v>1</v>
      </c>
      <c r="H227" s="4189">
        <f>IF(OR($F227=0,$G227=0),0,MAX($H$134:H226)+1)</f>
        <v>0</v>
      </c>
      <c r="I227" s="4044" t="s">
        <v>1315</v>
      </c>
      <c r="J227" s="4044" t="s">
        <v>1315</v>
      </c>
      <c r="K227" s="4131" t="s">
        <v>1315</v>
      </c>
      <c r="L227" s="8310" t="s">
        <v>13327</v>
      </c>
      <c r="M227" s="8311"/>
      <c r="N227" s="8311"/>
      <c r="O227" s="8311"/>
      <c r="P227" s="8311"/>
      <c r="Q227" s="8312"/>
      <c r="R227" s="4132" t="s">
        <v>1315</v>
      </c>
      <c r="T227" s="4126"/>
      <c r="U227" s="8322" t="s">
        <v>2621</v>
      </c>
      <c r="V227" s="8323"/>
      <c r="W227" s="8324" t="s">
        <v>2622</v>
      </c>
      <c r="X227" s="8324"/>
      <c r="Y227" s="8324"/>
      <c r="Z227" s="8324"/>
      <c r="AA227" s="8324"/>
      <c r="AB227" s="8324"/>
      <c r="AC227" s="4130" t="s">
        <v>1315</v>
      </c>
      <c r="AD227" s="8310">
        <v>8</v>
      </c>
      <c r="AE227" s="8335"/>
    </row>
    <row r="228" spans="1:31">
      <c r="A228" s="265">
        <v>204</v>
      </c>
      <c r="B228" s="595">
        <f t="shared" si="4"/>
        <v>0</v>
      </c>
      <c r="C228" s="4126" t="s">
        <v>13076</v>
      </c>
      <c r="D228" s="3869" t="s">
        <v>13076</v>
      </c>
      <c r="E228" s="4129"/>
      <c r="F228" s="4130">
        <f>COUNTIF(Sheele!$C$25:$H$36,C228)</f>
        <v>0</v>
      </c>
      <c r="G228" s="4044"/>
      <c r="H228" s="4189">
        <f>IF(OR($F228=0,$G228=0),0,MAX($H$134:H227)+1)</f>
        <v>0</v>
      </c>
      <c r="I228" s="4044" t="s">
        <v>1315</v>
      </c>
      <c r="J228" s="4044" t="s">
        <v>1315</v>
      </c>
      <c r="K228" s="4131" t="s">
        <v>1315</v>
      </c>
      <c r="L228" s="8310" t="s">
        <v>13328</v>
      </c>
      <c r="M228" s="8311"/>
      <c r="N228" s="8311"/>
      <c r="O228" s="8311"/>
      <c r="P228" s="8311"/>
      <c r="Q228" s="8312"/>
      <c r="R228" s="4132" t="s">
        <v>1315</v>
      </c>
      <c r="T228" s="4126"/>
      <c r="U228" s="8322" t="s">
        <v>13471</v>
      </c>
      <c r="V228" s="8323"/>
      <c r="W228" s="8324" t="s">
        <v>13472</v>
      </c>
      <c r="X228" s="8326"/>
      <c r="Y228" s="8326"/>
      <c r="Z228" s="8326"/>
      <c r="AA228" s="8326"/>
      <c r="AB228" s="8326"/>
      <c r="AC228" s="4130" t="s">
        <v>1315</v>
      </c>
      <c r="AD228" s="8310"/>
      <c r="AE228" s="8335"/>
    </row>
    <row r="229" spans="1:31">
      <c r="A229" s="265">
        <v>205</v>
      </c>
      <c r="B229" s="595">
        <f t="shared" si="4"/>
        <v>0</v>
      </c>
      <c r="C229" s="4126" t="s">
        <v>13077</v>
      </c>
      <c r="D229" s="3869" t="s">
        <v>13077</v>
      </c>
      <c r="E229" s="4129"/>
      <c r="F229" s="4130">
        <f>COUNTIF(Sheele!$C$25:$H$36,C229)</f>
        <v>0</v>
      </c>
      <c r="G229" s="4044">
        <v>1</v>
      </c>
      <c r="H229" s="4189">
        <f>IF(OR($F229=0,$G229=0),0,MAX($H$134:H228)+1)</f>
        <v>0</v>
      </c>
      <c r="I229" s="4044" t="s">
        <v>1315</v>
      </c>
      <c r="J229" s="4044" t="s">
        <v>1315</v>
      </c>
      <c r="K229" s="4131">
        <f>Presencia_final+IF(F226=0,10,15)</f>
        <v>40</v>
      </c>
      <c r="L229" s="8310" t="s">
        <v>13329</v>
      </c>
      <c r="M229" s="8311"/>
      <c r="N229" s="8311"/>
      <c r="O229" s="8311"/>
      <c r="P229" s="8311"/>
      <c r="Q229" s="8312"/>
      <c r="R229" s="4132" t="s">
        <v>1315</v>
      </c>
      <c r="T229" s="4179"/>
      <c r="U229" s="8327" t="s">
        <v>2603</v>
      </c>
      <c r="V229" s="8328"/>
      <c r="W229" s="8324"/>
      <c r="X229" s="8326"/>
      <c r="Y229" s="8326"/>
      <c r="Z229" s="8326"/>
      <c r="AA229" s="8326"/>
      <c r="AB229" s="8326"/>
      <c r="AC229" s="4130" t="s">
        <v>1315</v>
      </c>
      <c r="AD229" s="8310"/>
      <c r="AE229" s="8335"/>
    </row>
    <row r="230" spans="1:31">
      <c r="A230" s="265">
        <v>206</v>
      </c>
      <c r="B230" s="595">
        <f t="shared" si="4"/>
        <v>0</v>
      </c>
      <c r="C230" s="4126" t="s">
        <v>13078</v>
      </c>
      <c r="D230" s="3869" t="s">
        <v>13078</v>
      </c>
      <c r="E230" s="4129"/>
      <c r="F230" s="4130">
        <f>COUNTIF(Sheele!$C$25:$H$36,C230)</f>
        <v>0</v>
      </c>
      <c r="G230" s="4044">
        <v>1</v>
      </c>
      <c r="H230" s="4189">
        <f>IF(OR($F230=0,$G230=0),0,MAX($H$134:H229)+1)</f>
        <v>0</v>
      </c>
      <c r="I230" s="4044">
        <v>200</v>
      </c>
      <c r="J230" s="4044" t="s">
        <v>3048</v>
      </c>
      <c r="K230" s="4131" t="s">
        <v>1315</v>
      </c>
      <c r="L230" s="8310" t="str">
        <f>IF(F230&lt;=1,"En radio de 10 metros, RM 100 o Ceguera Parcial por 5 asaltos",IF(F230=2,"En radio de 20 metros, RM 120 o Ceguera Parcial por 5 asaltos","En radio de 30 metros, RM 140 o Ceguera Parcial por 5 asaltos"))</f>
        <v>En radio de 10 metros, RM 100 o Ceguera Parcial por 5 asaltos</v>
      </c>
      <c r="M230" s="8311"/>
      <c r="N230" s="8311"/>
      <c r="O230" s="8311"/>
      <c r="P230" s="8311"/>
      <c r="Q230" s="8312"/>
      <c r="R230" s="4132" t="s">
        <v>1315</v>
      </c>
      <c r="T230" s="4184"/>
      <c r="U230" s="8336" t="s">
        <v>2603</v>
      </c>
      <c r="V230" s="8337"/>
      <c r="W230" s="8338"/>
      <c r="X230" s="8339"/>
      <c r="Y230" s="8339"/>
      <c r="Z230" s="8339"/>
      <c r="AA230" s="8339"/>
      <c r="AB230" s="8339"/>
      <c r="AC230" s="4185"/>
      <c r="AD230" s="8340"/>
      <c r="AE230" s="8341"/>
    </row>
    <row r="231" spans="1:31">
      <c r="A231" s="265">
        <v>207</v>
      </c>
      <c r="B231" s="595">
        <f t="shared" si="4"/>
        <v>0</v>
      </c>
      <c r="C231" s="4126" t="s">
        <v>13079</v>
      </c>
      <c r="D231" s="3869" t="s">
        <v>13079</v>
      </c>
      <c r="E231" s="4129"/>
      <c r="F231" s="4130">
        <f>COUNTIF(Sheele!$C$25:$H$36,C231)</f>
        <v>0</v>
      </c>
      <c r="G231" s="4044">
        <v>1</v>
      </c>
      <c r="H231" s="4189">
        <f>IF(OR($F231=0,$G231=0),0,MAX($H$134:H230)+1)</f>
        <v>0</v>
      </c>
      <c r="I231" s="4044" t="s">
        <v>1315</v>
      </c>
      <c r="J231" s="4044" t="s">
        <v>1315</v>
      </c>
      <c r="K231" s="4131" t="s">
        <v>1315</v>
      </c>
      <c r="L231" s="8310" t="s">
        <v>13331</v>
      </c>
      <c r="M231" s="8311"/>
      <c r="N231" s="8311"/>
      <c r="O231" s="8311"/>
      <c r="P231" s="8311"/>
      <c r="Q231" s="8312"/>
      <c r="R231" s="4132" t="s">
        <v>1315</v>
      </c>
      <c r="T231" s="4180"/>
      <c r="U231" s="8331" t="s">
        <v>6067</v>
      </c>
      <c r="V231" s="8332"/>
      <c r="W231" s="4181" t="str">
        <f t="array" ref="W231:Z231">TRANSPOSE(U232:V235)</f>
        <v>Vuelo Místico 8</v>
      </c>
      <c r="X231" s="4181" t="str">
        <v>Equipo completo</v>
      </c>
      <c r="Y231" s="4181" t="str">
        <v xml:space="preserve"> </v>
      </c>
      <c r="Z231" s="4181" t="str">
        <v xml:space="preserve"> </v>
      </c>
      <c r="AA231" s="4181"/>
      <c r="AB231" s="4182"/>
      <c r="AC231" s="4178"/>
      <c r="AD231" s="8333"/>
      <c r="AE231" s="8334"/>
    </row>
    <row r="232" spans="1:31">
      <c r="A232" s="265">
        <v>208</v>
      </c>
      <c r="B232" s="595">
        <f t="shared" si="4"/>
        <v>0</v>
      </c>
      <c r="C232" s="4126" t="s">
        <v>13080</v>
      </c>
      <c r="D232" s="3869" t="s">
        <v>13080</v>
      </c>
      <c r="E232" s="4129"/>
      <c r="F232" s="4130">
        <f>COUNTIF(Sheele!$C$25:$H$36,C232)</f>
        <v>0</v>
      </c>
      <c r="G232" s="3869"/>
      <c r="H232" s="4189">
        <f>IF(OR($F232=0,$G232=0),0,MAX($H$134:H231)+1)</f>
        <v>0</v>
      </c>
      <c r="I232" s="4044" t="s">
        <v>1315</v>
      </c>
      <c r="J232" s="4044" t="s">
        <v>1315</v>
      </c>
      <c r="K232" s="4131" t="s">
        <v>1315</v>
      </c>
      <c r="L232" s="8313" t="s">
        <v>2514</v>
      </c>
      <c r="M232" s="8314"/>
      <c r="N232" s="8314"/>
      <c r="O232" s="8314"/>
      <c r="P232" s="8314"/>
      <c r="Q232" s="8315"/>
      <c r="R232" s="4132" t="s">
        <v>1315</v>
      </c>
      <c r="T232" s="4126"/>
      <c r="U232" s="8322" t="s">
        <v>2621</v>
      </c>
      <c r="V232" s="8323"/>
      <c r="W232" s="8324" t="s">
        <v>2622</v>
      </c>
      <c r="X232" s="8324"/>
      <c r="Y232" s="8324"/>
      <c r="Z232" s="8324"/>
      <c r="AA232" s="8324"/>
      <c r="AB232" s="8324"/>
      <c r="AC232" s="4130" t="s">
        <v>1315</v>
      </c>
      <c r="AD232" s="8310">
        <v>8</v>
      </c>
      <c r="AE232" s="8335"/>
    </row>
    <row r="233" spans="1:31">
      <c r="A233" s="265">
        <v>209</v>
      </c>
      <c r="B233" s="595">
        <f t="shared" si="4"/>
        <v>0</v>
      </c>
      <c r="C233" s="4127" t="s">
        <v>13081</v>
      </c>
      <c r="D233" s="305"/>
      <c r="E233" s="4128"/>
      <c r="F233" s="2128"/>
      <c r="G233" s="2127"/>
      <c r="H233" s="4213"/>
      <c r="I233" s="306" t="s">
        <v>2500</v>
      </c>
      <c r="J233" s="2139" t="s">
        <v>2501</v>
      </c>
      <c r="K233" s="303" t="s">
        <v>1425</v>
      </c>
      <c r="L233" s="8304" t="s">
        <v>1408</v>
      </c>
      <c r="M233" s="8305"/>
      <c r="N233" s="8305"/>
      <c r="O233" s="8305"/>
      <c r="P233" s="8305"/>
      <c r="Q233" s="8306"/>
      <c r="R233" s="606"/>
      <c r="T233" s="4126"/>
      <c r="U233" s="8322" t="s">
        <v>13473</v>
      </c>
      <c r="V233" s="8323"/>
      <c r="W233" s="8324" t="s">
        <v>13474</v>
      </c>
      <c r="X233" s="8326"/>
      <c r="Y233" s="8326"/>
      <c r="Z233" s="8326"/>
      <c r="AA233" s="8326"/>
      <c r="AB233" s="8326"/>
      <c r="AC233" s="4130" t="s">
        <v>1315</v>
      </c>
      <c r="AD233" s="8310"/>
      <c r="AE233" s="8335"/>
    </row>
    <row r="234" spans="1:31">
      <c r="A234" s="265">
        <v>210</v>
      </c>
      <c r="B234" s="595">
        <f t="shared" si="4"/>
        <v>0</v>
      </c>
      <c r="C234" s="4126" t="s">
        <v>13082</v>
      </c>
      <c r="D234" s="3869" t="s">
        <v>13082</v>
      </c>
      <c r="E234" s="4129"/>
      <c r="F234" s="4130">
        <f>COUNTIF(Sheele!$C$25:$H$36,C234)</f>
        <v>0</v>
      </c>
      <c r="G234" s="4044">
        <v>1</v>
      </c>
      <c r="H234" s="4189">
        <f>IF(OR($F234=0,$G234=0),0,MAX($H$134:H233)+1)</f>
        <v>0</v>
      </c>
      <c r="I234" s="4044">
        <v>150</v>
      </c>
      <c r="J234" s="4044">
        <f>Sheele!$F$46+50</f>
        <v>110</v>
      </c>
      <c r="K234" s="4131" t="s">
        <v>1315</v>
      </c>
      <c r="L234" s="8316" t="s">
        <v>13496</v>
      </c>
      <c r="M234" s="8308"/>
      <c r="N234" s="8308"/>
      <c r="O234" s="8308"/>
      <c r="P234" s="8308"/>
      <c r="Q234" s="8309"/>
      <c r="R234" s="4132" t="s">
        <v>1315</v>
      </c>
      <c r="T234" s="4179"/>
      <c r="U234" s="8327" t="s">
        <v>2603</v>
      </c>
      <c r="V234" s="8328"/>
      <c r="W234" s="8324"/>
      <c r="X234" s="8326"/>
      <c r="Y234" s="8326"/>
      <c r="Z234" s="8326"/>
      <c r="AA234" s="8326"/>
      <c r="AB234" s="8326"/>
      <c r="AC234" s="4130" t="s">
        <v>1315</v>
      </c>
      <c r="AD234" s="8310"/>
      <c r="AE234" s="8335"/>
    </row>
    <row r="235" spans="1:31">
      <c r="A235" s="265">
        <v>211</v>
      </c>
      <c r="B235" s="595">
        <f t="shared" si="4"/>
        <v>0</v>
      </c>
      <c r="C235" s="4126" t="s">
        <v>13083</v>
      </c>
      <c r="D235" s="3869" t="s">
        <v>13083</v>
      </c>
      <c r="E235" s="4129"/>
      <c r="F235" s="4130">
        <f>COUNTIF(Sheele!$C$25:$H$36,C235)</f>
        <v>0</v>
      </c>
      <c r="G235" s="4044">
        <v>1</v>
      </c>
      <c r="H235" s="4189">
        <f>IF(OR($F235=0,$G235=0),0,MAX($H$134:H234)+1)</f>
        <v>0</v>
      </c>
      <c r="I235" s="4044">
        <v>200</v>
      </c>
      <c r="J235" s="4044" t="s">
        <v>3048</v>
      </c>
      <c r="K235" s="4131" t="s">
        <v>1315</v>
      </c>
      <c r="L235" s="8310" t="s">
        <v>13497</v>
      </c>
      <c r="M235" s="8311"/>
      <c r="N235" s="8311"/>
      <c r="O235" s="8311"/>
      <c r="P235" s="8311"/>
      <c r="Q235" s="8312"/>
      <c r="R235" s="4132" t="s">
        <v>1315</v>
      </c>
      <c r="T235" s="4184"/>
      <c r="U235" s="8336" t="s">
        <v>2603</v>
      </c>
      <c r="V235" s="8337"/>
      <c r="W235" s="8338"/>
      <c r="X235" s="8339"/>
      <c r="Y235" s="8339"/>
      <c r="Z235" s="8339"/>
      <c r="AA235" s="8339"/>
      <c r="AB235" s="8339"/>
      <c r="AC235" s="4185"/>
      <c r="AD235" s="8340"/>
      <c r="AE235" s="8341"/>
    </row>
    <row r="236" spans="1:31">
      <c r="A236" s="265">
        <v>212</v>
      </c>
      <c r="B236" s="595">
        <f t="shared" si="4"/>
        <v>0</v>
      </c>
      <c r="C236" s="4126" t="s">
        <v>13084</v>
      </c>
      <c r="D236" s="3869" t="s">
        <v>13084</v>
      </c>
      <c r="E236" s="4129"/>
      <c r="F236" s="4130">
        <f>COUNTIF(Sheele!$C$25:$H$36,C236)</f>
        <v>0</v>
      </c>
      <c r="G236" s="4044">
        <v>1</v>
      </c>
      <c r="H236" s="4189">
        <f>IF(OR($F236=0,$G236=0),0,MAX($H$134:H235)+1)</f>
        <v>0</v>
      </c>
      <c r="I236" s="4044" t="s">
        <v>1315</v>
      </c>
      <c r="J236" s="4044" t="s">
        <v>1315</v>
      </c>
      <c r="K236" s="4131" t="s">
        <v>1315</v>
      </c>
      <c r="L236" s="8310" t="s">
        <v>13498</v>
      </c>
      <c r="M236" s="8311"/>
      <c r="N236" s="8311"/>
      <c r="O236" s="8311"/>
      <c r="P236" s="8311"/>
      <c r="Q236" s="8312"/>
      <c r="R236" s="4132" t="s">
        <v>1315</v>
      </c>
      <c r="T236" s="4180"/>
      <c r="U236" s="8331" t="s">
        <v>12687</v>
      </c>
      <c r="V236" s="8332"/>
      <c r="W236" s="4181" t="str">
        <f t="array" ref="W236:Z236">TRANSPOSE(U237:V240)</f>
        <v>Vuelo Místico 8</v>
      </c>
      <c r="X236" s="4181" t="str">
        <v>Vara de medir</v>
      </c>
      <c r="Y236" s="4181" t="str">
        <v xml:space="preserve"> </v>
      </c>
      <c r="Z236" s="4181" t="str">
        <v xml:space="preserve"> </v>
      </c>
      <c r="AA236" s="4181"/>
      <c r="AB236" s="4182"/>
      <c r="AC236" s="4178"/>
      <c r="AD236" s="8333"/>
      <c r="AE236" s="8334"/>
    </row>
    <row r="237" spans="1:31">
      <c r="A237" s="265">
        <v>213</v>
      </c>
      <c r="B237" s="595">
        <f t="shared" si="4"/>
        <v>0</v>
      </c>
      <c r="C237" s="4126" t="s">
        <v>13085</v>
      </c>
      <c r="D237" s="3869" t="s">
        <v>13085</v>
      </c>
      <c r="E237" s="4129"/>
      <c r="F237" s="4130">
        <f>COUNTIF(Sheele!$C$25:$H$36,C237)</f>
        <v>0</v>
      </c>
      <c r="G237" s="4044">
        <v>1</v>
      </c>
      <c r="H237" s="4189">
        <f>IF(OR($F237=0,$G237=0),0,MAX($H$134:H236)+1)</f>
        <v>0</v>
      </c>
      <c r="I237" s="4044" t="s">
        <v>13506</v>
      </c>
      <c r="J237" s="4044" t="s">
        <v>1315</v>
      </c>
      <c r="K237" s="4131" t="s">
        <v>1315</v>
      </c>
      <c r="L237" s="8310" t="s">
        <v>13499</v>
      </c>
      <c r="M237" s="8311"/>
      <c r="N237" s="8311"/>
      <c r="O237" s="8311"/>
      <c r="P237" s="8311"/>
      <c r="Q237" s="8312"/>
      <c r="R237" s="4132" t="s">
        <v>1315</v>
      </c>
      <c r="T237" s="4126"/>
      <c r="U237" s="8322" t="s">
        <v>2621</v>
      </c>
      <c r="V237" s="8323"/>
      <c r="W237" s="8324" t="s">
        <v>2622</v>
      </c>
      <c r="X237" s="8324"/>
      <c r="Y237" s="8324"/>
      <c r="Z237" s="8324"/>
      <c r="AA237" s="8324"/>
      <c r="AB237" s="8324"/>
      <c r="AC237" s="4130" t="s">
        <v>1315</v>
      </c>
      <c r="AD237" s="8310">
        <v>8</v>
      </c>
      <c r="AE237" s="8335"/>
    </row>
    <row r="238" spans="1:31">
      <c r="A238" s="265">
        <v>214</v>
      </c>
      <c r="B238" s="595">
        <f t="shared" si="4"/>
        <v>0</v>
      </c>
      <c r="C238" s="4126" t="s">
        <v>13086</v>
      </c>
      <c r="D238" s="3869" t="s">
        <v>13086</v>
      </c>
      <c r="E238" s="4129"/>
      <c r="F238" s="4130">
        <f>COUNTIF(Sheele!$C$25:$H$36,C238)</f>
        <v>0</v>
      </c>
      <c r="G238" s="4044">
        <v>1</v>
      </c>
      <c r="H238" s="4189">
        <f>IF(OR($F238=0,$G238=0),0,MAX($H$134:H237)+1)</f>
        <v>0</v>
      </c>
      <c r="I238" s="4044" t="s">
        <v>13506</v>
      </c>
      <c r="J238" s="4044" t="s">
        <v>1315</v>
      </c>
      <c r="K238" s="4131" t="s">
        <v>1315</v>
      </c>
      <c r="L238" s="8310" t="s">
        <v>13500</v>
      </c>
      <c r="M238" s="8311"/>
      <c r="N238" s="8311"/>
      <c r="O238" s="8311"/>
      <c r="P238" s="8311"/>
      <c r="Q238" s="8312"/>
      <c r="R238" s="4132" t="s">
        <v>1315</v>
      </c>
      <c r="T238" s="4126"/>
      <c r="U238" s="8322" t="s">
        <v>13475</v>
      </c>
      <c r="V238" s="8323"/>
      <c r="W238" s="8324" t="s">
        <v>13476</v>
      </c>
      <c r="X238" s="8326"/>
      <c r="Y238" s="8326"/>
      <c r="Z238" s="8326"/>
      <c r="AA238" s="8326"/>
      <c r="AB238" s="8326"/>
      <c r="AC238" s="4130" t="s">
        <v>1315</v>
      </c>
      <c r="AD238" s="8310"/>
      <c r="AE238" s="8335"/>
    </row>
    <row r="239" spans="1:31">
      <c r="A239" s="265">
        <v>215</v>
      </c>
      <c r="B239" s="595">
        <f t="shared" si="4"/>
        <v>0</v>
      </c>
      <c r="C239" s="4126" t="s">
        <v>13087</v>
      </c>
      <c r="D239" s="3869" t="s">
        <v>13087</v>
      </c>
      <c r="E239" s="4129"/>
      <c r="F239" s="4130">
        <f>COUNTIF(Sheele!$C$25:$H$36,C239)</f>
        <v>0</v>
      </c>
      <c r="G239" s="4044">
        <v>1</v>
      </c>
      <c r="H239" s="4189">
        <f>IF(OR($F239=0,$G239=0),0,MAX($H$134:H238)+1)</f>
        <v>0</v>
      </c>
      <c r="I239" s="4044" t="s">
        <v>1315</v>
      </c>
      <c r="J239" s="4044">
        <f>Sheele!$F$46+50</f>
        <v>110</v>
      </c>
      <c r="K239" s="4131" t="s">
        <v>1315</v>
      </c>
      <c r="L239" s="8310" t="s">
        <v>13501</v>
      </c>
      <c r="M239" s="8311"/>
      <c r="N239" s="8311"/>
      <c r="O239" s="8311"/>
      <c r="P239" s="8311"/>
      <c r="Q239" s="8312"/>
      <c r="R239" s="4132" t="s">
        <v>1315</v>
      </c>
      <c r="T239" s="4179"/>
      <c r="U239" s="8327" t="s">
        <v>2603</v>
      </c>
      <c r="V239" s="8328"/>
      <c r="W239" s="8324"/>
      <c r="X239" s="8326"/>
      <c r="Y239" s="8326"/>
      <c r="Z239" s="8326"/>
      <c r="AA239" s="8326"/>
      <c r="AB239" s="8326"/>
      <c r="AC239" s="4130" t="s">
        <v>1315</v>
      </c>
      <c r="AD239" s="8310"/>
      <c r="AE239" s="8335"/>
    </row>
    <row r="240" spans="1:31">
      <c r="A240" s="265">
        <v>216</v>
      </c>
      <c r="B240" s="595">
        <f t="shared" si="4"/>
        <v>0</v>
      </c>
      <c r="C240" s="4126" t="s">
        <v>13088</v>
      </c>
      <c r="D240" s="3869" t="s">
        <v>13088</v>
      </c>
      <c r="E240" s="4129"/>
      <c r="F240" s="4130">
        <f>COUNTIF(Sheele!$C$25:$H$36,C240)</f>
        <v>0</v>
      </c>
      <c r="G240" s="4044">
        <v>1</v>
      </c>
      <c r="H240" s="4189">
        <f>IF(OR($F240=0,$G240=0),0,MAX($H$134:H239)+1)</f>
        <v>0</v>
      </c>
      <c r="I240" s="4044">
        <v>250</v>
      </c>
      <c r="J240" s="4044">
        <f>Sheele!$F$46+50</f>
        <v>110</v>
      </c>
      <c r="K240" s="4131" t="s">
        <v>1315</v>
      </c>
      <c r="L240" s="8310" t="s">
        <v>13502</v>
      </c>
      <c r="M240" s="8311"/>
      <c r="N240" s="8311"/>
      <c r="O240" s="8311"/>
      <c r="P240" s="8311"/>
      <c r="Q240" s="8312"/>
      <c r="R240" s="4132" t="s">
        <v>1315</v>
      </c>
      <c r="T240" s="4184"/>
      <c r="U240" s="8336" t="s">
        <v>2603</v>
      </c>
      <c r="V240" s="8337"/>
      <c r="W240" s="8338"/>
      <c r="X240" s="8339"/>
      <c r="Y240" s="8339"/>
      <c r="Z240" s="8339"/>
      <c r="AA240" s="8339"/>
      <c r="AB240" s="8339"/>
      <c r="AC240" s="4185"/>
      <c r="AD240" s="8340"/>
      <c r="AE240" s="8341"/>
    </row>
    <row r="241" spans="1:31">
      <c r="A241" s="265">
        <v>217</v>
      </c>
      <c r="B241" s="595">
        <f t="shared" si="4"/>
        <v>0</v>
      </c>
      <c r="C241" s="4126" t="s">
        <v>13089</v>
      </c>
      <c r="D241" s="3869" t="s">
        <v>13089</v>
      </c>
      <c r="E241" s="4129"/>
      <c r="F241" s="4130">
        <f>COUNTIF(Sheele!$C$25:$H$36,C241)</f>
        <v>0</v>
      </c>
      <c r="G241" s="4044"/>
      <c r="H241" s="4189">
        <f>IF(OR($F241=0,$G241=0),0,MAX($H$134:H240)+1)</f>
        <v>0</v>
      </c>
      <c r="I241" s="4044" t="s">
        <v>1315</v>
      </c>
      <c r="J241" s="4044" t="s">
        <v>1315</v>
      </c>
      <c r="K241" s="4131" t="s">
        <v>1315</v>
      </c>
      <c r="L241" s="8317" t="s">
        <v>13503</v>
      </c>
      <c r="M241" s="8311"/>
      <c r="N241" s="8311"/>
      <c r="O241" s="8311"/>
      <c r="P241" s="8311"/>
      <c r="Q241" s="8312"/>
      <c r="R241" s="4132" t="s">
        <v>1315</v>
      </c>
      <c r="T241" s="4180"/>
      <c r="U241" s="8331" t="s">
        <v>2405</v>
      </c>
      <c r="V241" s="8332"/>
      <c r="W241" s="4181" t="str">
        <f t="array" ref="W241:Z241">TRANSPOSE(U242:V245)</f>
        <v>Vuelo Místico 6</v>
      </c>
      <c r="X241" s="4181" t="str">
        <v>Lady Legisladora</v>
      </c>
      <c r="Y241" s="4181" t="str">
        <v xml:space="preserve"> </v>
      </c>
      <c r="Z241" s="4181" t="str">
        <v xml:space="preserve"> </v>
      </c>
      <c r="AA241" s="4181"/>
      <c r="AB241" s="4182"/>
      <c r="AC241" s="4178"/>
      <c r="AD241" s="8333"/>
      <c r="AE241" s="8334"/>
    </row>
    <row r="242" spans="1:31">
      <c r="A242" s="265">
        <v>218</v>
      </c>
      <c r="B242" s="595">
        <f t="shared" si="4"/>
        <v>0</v>
      </c>
      <c r="C242" s="4126" t="s">
        <v>439</v>
      </c>
      <c r="D242" s="3869" t="s">
        <v>439</v>
      </c>
      <c r="E242" s="4129"/>
      <c r="F242" s="4130">
        <f>COUNTIF(Sheele!$C$25:$H$36,C242)</f>
        <v>0</v>
      </c>
      <c r="G242" s="4044">
        <v>1</v>
      </c>
      <c r="H242" s="4189">
        <f>IF(OR($F242=0,$G242=0),0,MAX($H$134:H241)+1)</f>
        <v>0</v>
      </c>
      <c r="I242" s="4044" t="s">
        <v>13505</v>
      </c>
      <c r="J242" s="4044" t="s">
        <v>1315</v>
      </c>
      <c r="K242" s="4131" t="s">
        <v>1315</v>
      </c>
      <c r="L242" s="8310" t="s">
        <v>13504</v>
      </c>
      <c r="M242" s="8311"/>
      <c r="N242" s="8311"/>
      <c r="O242" s="8311"/>
      <c r="P242" s="8311"/>
      <c r="Q242" s="8312"/>
      <c r="R242" s="4132" t="s">
        <v>1315</v>
      </c>
      <c r="T242" s="4126"/>
      <c r="U242" s="8322" t="s">
        <v>2612</v>
      </c>
      <c r="V242" s="8323"/>
      <c r="W242" s="8324" t="s">
        <v>2613</v>
      </c>
      <c r="X242" s="8324"/>
      <c r="Y242" s="8324"/>
      <c r="Z242" s="8324"/>
      <c r="AA242" s="8324"/>
      <c r="AB242" s="8324"/>
      <c r="AC242" s="4130" t="s">
        <v>1315</v>
      </c>
      <c r="AD242" s="8310">
        <v>6</v>
      </c>
      <c r="AE242" s="8335"/>
    </row>
    <row r="243" spans="1:31">
      <c r="A243" s="265">
        <v>219</v>
      </c>
      <c r="B243" s="595">
        <f t="shared" ref="B243:B306" si="5">H243</f>
        <v>0</v>
      </c>
      <c r="C243" s="4126" t="s">
        <v>13080</v>
      </c>
      <c r="D243" s="3869" t="s">
        <v>13080</v>
      </c>
      <c r="E243" s="4129"/>
      <c r="F243" s="4130">
        <f>COUNTIF(Sheele!$C$25:$H$36,C243)</f>
        <v>0</v>
      </c>
      <c r="G243" s="3869"/>
      <c r="H243" s="4189">
        <f>IF(OR($F243=0,$G243=0),0,MAX($H$134:H242)+1)</f>
        <v>0</v>
      </c>
      <c r="I243" s="4044" t="s">
        <v>1315</v>
      </c>
      <c r="J243" s="4044" t="s">
        <v>1315</v>
      </c>
      <c r="K243" s="4131" t="s">
        <v>1315</v>
      </c>
      <c r="L243" s="8313" t="s">
        <v>2514</v>
      </c>
      <c r="M243" s="8314"/>
      <c r="N243" s="8314"/>
      <c r="O243" s="8314"/>
      <c r="P243" s="8314"/>
      <c r="Q243" s="8315"/>
      <c r="R243" s="4132" t="s">
        <v>1315</v>
      </c>
      <c r="T243" s="4126"/>
      <c r="U243" s="8322" t="s">
        <v>13478</v>
      </c>
      <c r="V243" s="8323"/>
      <c r="W243" s="8324" t="s">
        <v>13477</v>
      </c>
      <c r="X243" s="8326"/>
      <c r="Y243" s="8326"/>
      <c r="Z243" s="8326"/>
      <c r="AA243" s="8326"/>
      <c r="AB243" s="8326"/>
      <c r="AC243" s="4130" t="s">
        <v>1315</v>
      </c>
      <c r="AD243" s="8310"/>
      <c r="AE243" s="8335"/>
    </row>
    <row r="244" spans="1:31">
      <c r="A244" s="265">
        <v>220</v>
      </c>
      <c r="B244" s="595">
        <f t="shared" si="5"/>
        <v>0</v>
      </c>
      <c r="C244" s="2142" t="s">
        <v>503</v>
      </c>
      <c r="D244" s="305"/>
      <c r="E244" s="305"/>
      <c r="F244" s="2128"/>
      <c r="G244" s="2127"/>
      <c r="H244" s="4213"/>
      <c r="I244" s="306" t="s">
        <v>2500</v>
      </c>
      <c r="J244" s="2139" t="s">
        <v>2501</v>
      </c>
      <c r="K244" s="303" t="s">
        <v>1425</v>
      </c>
      <c r="L244" s="8304" t="s">
        <v>1408</v>
      </c>
      <c r="M244" s="8305"/>
      <c r="N244" s="8305"/>
      <c r="O244" s="8305"/>
      <c r="P244" s="8305"/>
      <c r="Q244" s="8306"/>
      <c r="R244" s="606"/>
      <c r="T244" s="4179"/>
      <c r="U244" s="8327" t="s">
        <v>2603</v>
      </c>
      <c r="V244" s="8328"/>
      <c r="W244" s="8324"/>
      <c r="X244" s="8326"/>
      <c r="Y244" s="8326"/>
      <c r="Z244" s="8326"/>
      <c r="AA244" s="8326"/>
      <c r="AB244" s="8326"/>
      <c r="AC244" s="4130" t="s">
        <v>1315</v>
      </c>
      <c r="AD244" s="8310"/>
      <c r="AE244" s="8335"/>
    </row>
    <row r="245" spans="1:31">
      <c r="A245" s="265">
        <v>221</v>
      </c>
      <c r="B245" s="595">
        <f t="shared" si="5"/>
        <v>0</v>
      </c>
      <c r="C245" s="4126" t="s">
        <v>13508</v>
      </c>
      <c r="D245" s="3869" t="s">
        <v>13508</v>
      </c>
      <c r="E245" s="4129"/>
      <c r="F245" s="4130">
        <f>COUNTIF(Sheele!$C$25:$H$36,C245)</f>
        <v>0</v>
      </c>
      <c r="G245" s="4044">
        <v>1</v>
      </c>
      <c r="H245" s="4189">
        <f>IF(OR($F245=0,$G245=0),0,MAX($H$134:H244)+1)</f>
        <v>0</v>
      </c>
      <c r="I245" s="4044">
        <v>50</v>
      </c>
      <c r="J245" s="4044" t="s">
        <v>1315</v>
      </c>
      <c r="K245" s="4131" t="s">
        <v>1315</v>
      </c>
      <c r="L245" s="8316" t="s">
        <v>13507</v>
      </c>
      <c r="M245" s="8308"/>
      <c r="N245" s="8308"/>
      <c r="O245" s="8308"/>
      <c r="P245" s="8308"/>
      <c r="Q245" s="8309"/>
      <c r="R245" s="4132" t="s">
        <v>1315</v>
      </c>
      <c r="T245" s="4184"/>
      <c r="U245" s="8336" t="s">
        <v>2603</v>
      </c>
      <c r="V245" s="8337"/>
      <c r="W245" s="8338"/>
      <c r="X245" s="8339"/>
      <c r="Y245" s="8339"/>
      <c r="Z245" s="8339"/>
      <c r="AA245" s="8339"/>
      <c r="AB245" s="8339"/>
      <c r="AC245" s="4185"/>
      <c r="AD245" s="8340"/>
      <c r="AE245" s="8341"/>
    </row>
    <row r="246" spans="1:31">
      <c r="A246" s="265">
        <v>222</v>
      </c>
      <c r="B246" s="595">
        <f t="shared" si="5"/>
        <v>0</v>
      </c>
      <c r="C246" s="4126" t="s">
        <v>13515</v>
      </c>
      <c r="D246" s="3869" t="s">
        <v>13515</v>
      </c>
      <c r="E246" s="4129"/>
      <c r="F246" s="4130">
        <f>COUNTIF(Sheele!$C$25:$H$36,C246)</f>
        <v>0</v>
      </c>
      <c r="G246" s="4044">
        <v>1</v>
      </c>
      <c r="H246" s="4189">
        <f>IF(OR($F246=0,$G246=0),0,MAX($H$134:H245)+1)</f>
        <v>0</v>
      </c>
      <c r="I246" s="4044">
        <v>200</v>
      </c>
      <c r="J246" s="4044" t="s">
        <v>1315</v>
      </c>
      <c r="K246" s="4131" t="s">
        <v>1315</v>
      </c>
      <c r="L246" s="8310" t="s">
        <v>13509</v>
      </c>
      <c r="M246" s="8311"/>
      <c r="N246" s="8311"/>
      <c r="O246" s="8311"/>
      <c r="P246" s="8311"/>
      <c r="Q246" s="8312"/>
      <c r="R246" s="4132" t="s">
        <v>1315</v>
      </c>
      <c r="T246" s="4180"/>
      <c r="U246" s="8331" t="s">
        <v>73</v>
      </c>
      <c r="V246" s="8332"/>
      <c r="W246" s="4181" t="str">
        <f t="array" ref="W246:Z246">TRANSPOSE(U247:V250)</f>
        <v>Vuelo Místico 10</v>
      </c>
      <c r="X246" s="4181" t="str">
        <v>Circuito infinito</v>
      </c>
      <c r="Y246" s="4181" t="str">
        <v>Atleta celestial</v>
      </c>
      <c r="Z246" s="4181" t="str">
        <v xml:space="preserve"> </v>
      </c>
      <c r="AA246" s="4181"/>
      <c r="AB246" s="4182"/>
      <c r="AC246" s="4178"/>
      <c r="AD246" s="8333"/>
      <c r="AE246" s="8334"/>
    </row>
    <row r="247" spans="1:31">
      <c r="A247" s="265">
        <v>223</v>
      </c>
      <c r="B247" s="595">
        <f t="shared" si="5"/>
        <v>0</v>
      </c>
      <c r="C247" s="4126" t="s">
        <v>9282</v>
      </c>
      <c r="D247" s="3869" t="s">
        <v>9282</v>
      </c>
      <c r="E247" s="4129"/>
      <c r="F247" s="4130">
        <f>COUNTIF(Sheele!$C$25:$H$36,C247)</f>
        <v>0</v>
      </c>
      <c r="G247" s="4044">
        <v>1</v>
      </c>
      <c r="H247" s="4189">
        <f>IF(OR($F247=0,$G247=0),0,MAX($H$134:H246)+1)</f>
        <v>0</v>
      </c>
      <c r="I247" s="4044" t="s">
        <v>13510</v>
      </c>
      <c r="J247" s="4044" t="s">
        <v>1315</v>
      </c>
      <c r="K247" s="4131" t="s">
        <v>1315</v>
      </c>
      <c r="L247" s="8310" t="s">
        <v>13511</v>
      </c>
      <c r="M247" s="8311"/>
      <c r="N247" s="8311"/>
      <c r="O247" s="8311"/>
      <c r="P247" s="8311"/>
      <c r="Q247" s="8312"/>
      <c r="R247" s="4132" t="s">
        <v>1315</v>
      </c>
      <c r="T247" s="4126"/>
      <c r="U247" s="8322" t="s">
        <v>2599</v>
      </c>
      <c r="V247" s="8323"/>
      <c r="W247" s="8324" t="s">
        <v>2600</v>
      </c>
      <c r="X247" s="8324"/>
      <c r="Y247" s="8324"/>
      <c r="Z247" s="8324"/>
      <c r="AA247" s="8324"/>
      <c r="AB247" s="8324"/>
      <c r="AC247" s="4130" t="s">
        <v>1315</v>
      </c>
      <c r="AD247" s="8310">
        <v>10</v>
      </c>
      <c r="AE247" s="8335"/>
    </row>
    <row r="248" spans="1:31">
      <c r="A248" s="265">
        <v>224</v>
      </c>
      <c r="B248" s="595">
        <f t="shared" si="5"/>
        <v>0</v>
      </c>
      <c r="C248" s="4126" t="s">
        <v>13517</v>
      </c>
      <c r="D248" s="3869" t="s">
        <v>13517</v>
      </c>
      <c r="E248" s="4129"/>
      <c r="F248" s="4130">
        <f>COUNTIF(Sheele!$C$25:$H$36,C248)</f>
        <v>0</v>
      </c>
      <c r="G248" s="4044"/>
      <c r="H248" s="4189">
        <f>IF(OR($F248=0,$G248=0),0,MAX($H$134:H247)+1)</f>
        <v>0</v>
      </c>
      <c r="I248" s="4044" t="s">
        <v>1315</v>
      </c>
      <c r="J248" s="4044" t="s">
        <v>1315</v>
      </c>
      <c r="K248" s="4131" t="s">
        <v>1315</v>
      </c>
      <c r="L248" s="8317" t="s">
        <v>13878</v>
      </c>
      <c r="M248" s="8311"/>
      <c r="N248" s="8311"/>
      <c r="O248" s="8311"/>
      <c r="P248" s="8311"/>
      <c r="Q248" s="8312"/>
      <c r="R248" s="4132" t="s">
        <v>1315</v>
      </c>
      <c r="T248" s="4126"/>
      <c r="U248" s="8322" t="s">
        <v>10196</v>
      </c>
      <c r="V248" s="8323"/>
      <c r="W248" s="8324" t="s">
        <v>13480</v>
      </c>
      <c r="X248" s="8326"/>
      <c r="Y248" s="8326"/>
      <c r="Z248" s="8326"/>
      <c r="AA248" s="8326"/>
      <c r="AB248" s="8326"/>
      <c r="AC248" s="4130" t="s">
        <v>1315</v>
      </c>
      <c r="AD248" s="8310"/>
      <c r="AE248" s="8335"/>
    </row>
    <row r="249" spans="1:31">
      <c r="A249" s="265">
        <v>225</v>
      </c>
      <c r="B249" s="595">
        <f t="shared" si="5"/>
        <v>0</v>
      </c>
      <c r="C249" s="4126" t="s">
        <v>13516</v>
      </c>
      <c r="D249" s="3869" t="s">
        <v>13516</v>
      </c>
      <c r="E249" s="4129"/>
      <c r="F249" s="4130">
        <f>COUNTIF(Sheele!$C$25:$H$36,C249)</f>
        <v>0</v>
      </c>
      <c r="G249" s="4044">
        <v>1</v>
      </c>
      <c r="H249" s="4189">
        <f>IF(OR($F249=0,$G249=0),0,MAX($H$134:H248)+1)</f>
        <v>0</v>
      </c>
      <c r="I249" s="4044">
        <v>100</v>
      </c>
      <c r="J249" s="4044" t="s">
        <v>3048</v>
      </c>
      <c r="K249" s="4131" t="s">
        <v>1315</v>
      </c>
      <c r="L249" s="8310" t="s">
        <v>13512</v>
      </c>
      <c r="M249" s="8311"/>
      <c r="N249" s="8311"/>
      <c r="O249" s="8311"/>
      <c r="P249" s="8311"/>
      <c r="Q249" s="8312"/>
      <c r="R249" s="4132" t="s">
        <v>1315</v>
      </c>
      <c r="T249" s="4179"/>
      <c r="U249" s="8327" t="s">
        <v>13479</v>
      </c>
      <c r="V249" s="8328"/>
      <c r="W249" s="8324" t="s">
        <v>13481</v>
      </c>
      <c r="X249" s="8326"/>
      <c r="Y249" s="8326"/>
      <c r="Z249" s="8326"/>
      <c r="AA249" s="8326"/>
      <c r="AB249" s="8326"/>
      <c r="AC249" s="4130" t="s">
        <v>1315</v>
      </c>
      <c r="AD249" s="8310"/>
      <c r="AE249" s="8335"/>
    </row>
    <row r="250" spans="1:31">
      <c r="A250" s="265">
        <v>226</v>
      </c>
      <c r="B250" s="595">
        <f t="shared" si="5"/>
        <v>0</v>
      </c>
      <c r="C250" s="4126" t="s">
        <v>13514</v>
      </c>
      <c r="D250" s="3869" t="s">
        <v>13514</v>
      </c>
      <c r="E250" s="4129"/>
      <c r="F250" s="4130">
        <f>COUNTIF(Sheele!$C$25:$H$36,C250)</f>
        <v>0</v>
      </c>
      <c r="G250" s="4044">
        <v>1</v>
      </c>
      <c r="H250" s="4189">
        <f>IF(OR($F250=0,$G250=0),0,MAX($H$134:H249)+1)</f>
        <v>0</v>
      </c>
      <c r="I250" s="4044" t="s">
        <v>1315</v>
      </c>
      <c r="J250" s="4044" t="s">
        <v>1315</v>
      </c>
      <c r="K250" s="4131" t="s">
        <v>1315</v>
      </c>
      <c r="L250" s="8310" t="s">
        <v>13513</v>
      </c>
      <c r="M250" s="8311"/>
      <c r="N250" s="8311"/>
      <c r="O250" s="8311"/>
      <c r="P250" s="8311"/>
      <c r="Q250" s="8312"/>
      <c r="R250" s="4132" t="s">
        <v>1315</v>
      </c>
      <c r="T250" s="4184"/>
      <c r="U250" s="8336" t="s">
        <v>2603</v>
      </c>
      <c r="V250" s="8337"/>
      <c r="W250" s="8338"/>
      <c r="X250" s="8339"/>
      <c r="Y250" s="8339"/>
      <c r="Z250" s="8339"/>
      <c r="AA250" s="8339"/>
      <c r="AB250" s="8339"/>
      <c r="AC250" s="4185"/>
      <c r="AD250" s="8340"/>
      <c r="AE250" s="8341"/>
    </row>
    <row r="251" spans="1:31">
      <c r="A251" s="265">
        <v>227</v>
      </c>
      <c r="B251" s="595">
        <f t="shared" si="5"/>
        <v>0</v>
      </c>
      <c r="C251" s="4126" t="s">
        <v>2337</v>
      </c>
      <c r="D251" s="3869" t="s">
        <v>2337</v>
      </c>
      <c r="E251" s="4129"/>
      <c r="F251" s="4130">
        <f>COUNTIF(Sheele!$C$25:$H$36,C251)</f>
        <v>0</v>
      </c>
      <c r="G251" s="4044">
        <v>1</v>
      </c>
      <c r="H251" s="4189">
        <f>IF(OR($F251=0,$G251=0),0,MAX($H$134:H250)+1)</f>
        <v>0</v>
      </c>
      <c r="I251" s="4044">
        <v>150</v>
      </c>
      <c r="J251" s="4044" t="s">
        <v>3048</v>
      </c>
      <c r="K251" s="4131" t="s">
        <v>1315</v>
      </c>
      <c r="L251" s="8310" t="s">
        <v>13518</v>
      </c>
      <c r="M251" s="8311"/>
      <c r="N251" s="8311"/>
      <c r="O251" s="8311"/>
      <c r="P251" s="8311"/>
      <c r="Q251" s="8312"/>
      <c r="R251" s="4132" t="s">
        <v>1315</v>
      </c>
      <c r="T251" s="4180"/>
      <c r="U251" s="8331" t="s">
        <v>12747</v>
      </c>
      <c r="V251" s="8332"/>
      <c r="W251" s="4181" t="str">
        <f t="array" ref="W251:Z251">TRANSPOSE(U252:V255)</f>
        <v>Vuelo Místico 8</v>
      </c>
      <c r="X251" s="4181" t="str">
        <v>Las vueltas de la vida</v>
      </c>
      <c r="Y251" s="4181" t="str">
        <v>La apostadora definitiva</v>
      </c>
      <c r="Z251" s="4181" t="str">
        <v xml:space="preserve"> </v>
      </c>
      <c r="AA251" s="4181"/>
      <c r="AB251" s="4182"/>
      <c r="AC251" s="4178"/>
      <c r="AD251" s="8333"/>
      <c r="AE251" s="8334"/>
    </row>
    <row r="252" spans="1:31">
      <c r="A252" s="265">
        <v>228</v>
      </c>
      <c r="B252" s="595">
        <f t="shared" si="5"/>
        <v>0</v>
      </c>
      <c r="C252" s="4126" t="s">
        <v>13522</v>
      </c>
      <c r="D252" s="3869" t="s">
        <v>13522</v>
      </c>
      <c r="E252" s="4129"/>
      <c r="F252" s="4130">
        <f>COUNTIF(Sheele!$C$25:$H$36,C252)</f>
        <v>0</v>
      </c>
      <c r="G252" s="4044">
        <v>1</v>
      </c>
      <c r="H252" s="4189">
        <f>IF(OR($F252=0,$G252=0),0,MAX($H$134:H251)+1)</f>
        <v>0</v>
      </c>
      <c r="I252" s="4044">
        <v>150</v>
      </c>
      <c r="J252" s="4044">
        <f>Sheele!$F$46+50</f>
        <v>110</v>
      </c>
      <c r="K252" s="4131" t="s">
        <v>1315</v>
      </c>
      <c r="L252" s="8310" t="s">
        <v>13519</v>
      </c>
      <c r="M252" s="8311"/>
      <c r="N252" s="8311"/>
      <c r="O252" s="8311"/>
      <c r="P252" s="8311"/>
      <c r="Q252" s="8312"/>
      <c r="R252" s="4132" t="s">
        <v>1315</v>
      </c>
      <c r="T252" s="4126"/>
      <c r="U252" s="8322" t="s">
        <v>2621</v>
      </c>
      <c r="V252" s="8323"/>
      <c r="W252" s="8324" t="s">
        <v>2622</v>
      </c>
      <c r="X252" s="8324"/>
      <c r="Y252" s="8324"/>
      <c r="Z252" s="8324"/>
      <c r="AA252" s="8324"/>
      <c r="AB252" s="8324"/>
      <c r="AC252" s="4130" t="s">
        <v>1315</v>
      </c>
      <c r="AD252" s="8310">
        <v>8</v>
      </c>
      <c r="AE252" s="8335"/>
    </row>
    <row r="253" spans="1:31">
      <c r="A253" s="265">
        <v>229</v>
      </c>
      <c r="B253" s="595">
        <f t="shared" si="5"/>
        <v>0</v>
      </c>
      <c r="C253" s="4126" t="s">
        <v>13521</v>
      </c>
      <c r="D253" s="3869" t="s">
        <v>13521</v>
      </c>
      <c r="E253" s="4129"/>
      <c r="F253" s="4130">
        <f>COUNTIF(Sheele!$C$25:$H$36,C253)</f>
        <v>0</v>
      </c>
      <c r="G253" s="4044">
        <v>1</v>
      </c>
      <c r="H253" s="4189">
        <f>IF(OR($F253=0,$G253=0),0,MAX($H$134:H252)+1)</f>
        <v>0</v>
      </c>
      <c r="I253" s="4044" t="s">
        <v>1315</v>
      </c>
      <c r="J253" s="4044" t="s">
        <v>1315</v>
      </c>
      <c r="K253" s="4131" t="s">
        <v>1315</v>
      </c>
      <c r="L253" s="8310" t="s">
        <v>13520</v>
      </c>
      <c r="M253" s="8311"/>
      <c r="N253" s="8311"/>
      <c r="O253" s="8311"/>
      <c r="P253" s="8311"/>
      <c r="Q253" s="8312"/>
      <c r="R253" s="4132" t="s">
        <v>1315</v>
      </c>
      <c r="T253" s="4126"/>
      <c r="U253" s="8322" t="s">
        <v>13482</v>
      </c>
      <c r="V253" s="8323"/>
      <c r="W253" s="8324" t="s">
        <v>13484</v>
      </c>
      <c r="X253" s="8326"/>
      <c r="Y253" s="8326"/>
      <c r="Z253" s="8326"/>
      <c r="AA253" s="8326"/>
      <c r="AB253" s="8326"/>
      <c r="AC253" s="4130" t="s">
        <v>1315</v>
      </c>
      <c r="AD253" s="8310"/>
      <c r="AE253" s="8335"/>
    </row>
    <row r="254" spans="1:31">
      <c r="A254" s="265">
        <v>230</v>
      </c>
      <c r="B254" s="595">
        <f t="shared" si="5"/>
        <v>0</v>
      </c>
      <c r="C254" s="4126" t="s">
        <v>13080</v>
      </c>
      <c r="D254" s="3869"/>
      <c r="E254" s="4129"/>
      <c r="F254" s="4130">
        <f>COUNTIF(Sheele!$C$25:$H$36,C254)</f>
        <v>0</v>
      </c>
      <c r="G254" s="3869"/>
      <c r="H254" s="4189">
        <f>IF(OR($F254=0,$G254=0),0,MAX($H$134:H253)+1)</f>
        <v>0</v>
      </c>
      <c r="I254" s="4044" t="s">
        <v>1315</v>
      </c>
      <c r="J254" s="4044" t="s">
        <v>1315</v>
      </c>
      <c r="K254" s="4131" t="s">
        <v>1315</v>
      </c>
      <c r="L254" s="8313" t="s">
        <v>2514</v>
      </c>
      <c r="M254" s="8314"/>
      <c r="N254" s="8314"/>
      <c r="O254" s="8314"/>
      <c r="P254" s="8314"/>
      <c r="Q254" s="8315"/>
      <c r="R254" s="4132" t="s">
        <v>1315</v>
      </c>
      <c r="T254" s="4179"/>
      <c r="U254" s="8327" t="s">
        <v>13483</v>
      </c>
      <c r="V254" s="8328"/>
      <c r="W254" s="8324" t="s">
        <v>13485</v>
      </c>
      <c r="X254" s="8326"/>
      <c r="Y254" s="8326"/>
      <c r="Z254" s="8326"/>
      <c r="AA254" s="8326"/>
      <c r="AB254" s="8326"/>
      <c r="AC254" s="4130" t="s">
        <v>1315</v>
      </c>
      <c r="AD254" s="8310"/>
      <c r="AE254" s="8335"/>
    </row>
    <row r="255" spans="1:31">
      <c r="A255" s="265">
        <v>231</v>
      </c>
      <c r="B255" s="595">
        <f t="shared" si="5"/>
        <v>0</v>
      </c>
      <c r="C255" s="4127" t="s">
        <v>576</v>
      </c>
      <c r="D255" s="305"/>
      <c r="E255" s="305"/>
      <c r="F255" s="2128"/>
      <c r="G255" s="2127"/>
      <c r="H255" s="4213"/>
      <c r="I255" s="306" t="s">
        <v>2500</v>
      </c>
      <c r="J255" s="2139" t="s">
        <v>2501</v>
      </c>
      <c r="K255" s="303" t="s">
        <v>1425</v>
      </c>
      <c r="L255" s="8304" t="s">
        <v>1408</v>
      </c>
      <c r="M255" s="8305"/>
      <c r="N255" s="8305"/>
      <c r="O255" s="8305"/>
      <c r="P255" s="8305"/>
      <c r="Q255" s="8306"/>
      <c r="R255" s="606"/>
      <c r="T255" s="4184"/>
      <c r="U255" s="8336" t="s">
        <v>2603</v>
      </c>
      <c r="V255" s="8337"/>
      <c r="W255" s="8338"/>
      <c r="X255" s="8339"/>
      <c r="Y255" s="8339"/>
      <c r="Z255" s="8339"/>
      <c r="AA255" s="8339"/>
      <c r="AB255" s="8339"/>
      <c r="AC255" s="4185"/>
      <c r="AD255" s="8340"/>
      <c r="AE255" s="8341"/>
    </row>
    <row r="256" spans="1:31">
      <c r="A256" s="265">
        <v>232</v>
      </c>
      <c r="B256" s="595">
        <f t="shared" si="5"/>
        <v>0</v>
      </c>
      <c r="C256" s="4126" t="s">
        <v>13523</v>
      </c>
      <c r="D256" s="3869" t="s">
        <v>13523</v>
      </c>
      <c r="E256" s="4129"/>
      <c r="F256" s="4130">
        <f>COUNTIF(Sheele!$C$25:$H$36,C256)</f>
        <v>0</v>
      </c>
      <c r="G256" s="4044">
        <v>1</v>
      </c>
      <c r="H256" s="4189">
        <f>IF(OR($F256=0,$G256=0),0,MAX($H$134:H255)+1)</f>
        <v>0</v>
      </c>
      <c r="I256" s="4044">
        <v>50</v>
      </c>
      <c r="J256" s="4044" t="s">
        <v>1315</v>
      </c>
      <c r="K256" s="4131" t="s">
        <v>1315</v>
      </c>
      <c r="L256" s="8316" t="s">
        <v>13682</v>
      </c>
      <c r="M256" s="8308"/>
      <c r="N256" s="8308"/>
      <c r="O256" s="8308"/>
      <c r="P256" s="8308"/>
      <c r="Q256" s="8309"/>
      <c r="R256" s="4132" t="s">
        <v>1315</v>
      </c>
      <c r="T256" s="4180"/>
      <c r="U256" s="8331" t="s">
        <v>12748</v>
      </c>
      <c r="V256" s="8332"/>
      <c r="W256" s="4181" t="str">
        <f t="array" ref="W256:Z256">TRANSPOSE(U257:V260)</f>
        <v>Vuelo Místico 4</v>
      </c>
      <c r="X256" s="4181" t="str">
        <v>Naturaleza mineral</v>
      </c>
      <c r="Y256" s="4181" t="str">
        <v>Cuerpo de diamante</v>
      </c>
      <c r="Z256" s="4181" t="str">
        <v xml:space="preserve"> </v>
      </c>
      <c r="AA256" s="4181"/>
      <c r="AB256" s="4182"/>
      <c r="AC256" s="4178"/>
      <c r="AD256" s="8333"/>
      <c r="AE256" s="8334"/>
    </row>
    <row r="257" spans="1:31">
      <c r="A257" s="265">
        <v>233</v>
      </c>
      <c r="B257" s="595">
        <f t="shared" si="5"/>
        <v>0</v>
      </c>
      <c r="C257" s="4126" t="s">
        <v>13524</v>
      </c>
      <c r="D257" s="3869" t="s">
        <v>13524</v>
      </c>
      <c r="E257" s="4129"/>
      <c r="F257" s="4130">
        <f>COUNTIF(Sheele!$C$25:$H$36,C257)</f>
        <v>0</v>
      </c>
      <c r="G257" s="4044">
        <v>1</v>
      </c>
      <c r="H257" s="4189">
        <f>IF(OR($F257=0,$G257=0),0,MAX($H$134:H256)+1)</f>
        <v>0</v>
      </c>
      <c r="I257" s="4044" t="s">
        <v>1315</v>
      </c>
      <c r="J257" s="4044" t="s">
        <v>1315</v>
      </c>
      <c r="K257" s="4131" t="s">
        <v>1315</v>
      </c>
      <c r="L257" s="8310" t="s">
        <v>13683</v>
      </c>
      <c r="M257" s="8311"/>
      <c r="N257" s="8311"/>
      <c r="O257" s="8311"/>
      <c r="P257" s="8311"/>
      <c r="Q257" s="8312"/>
      <c r="R257" s="4132" t="s">
        <v>1315</v>
      </c>
      <c r="T257" s="4126"/>
      <c r="U257" s="8322" t="s">
        <v>2604</v>
      </c>
      <c r="V257" s="8323"/>
      <c r="W257" s="8324" t="s">
        <v>2605</v>
      </c>
      <c r="X257" s="8324"/>
      <c r="Y257" s="8324"/>
      <c r="Z257" s="8324"/>
      <c r="AA257" s="8324"/>
      <c r="AB257" s="8324"/>
      <c r="AC257" s="4130" t="s">
        <v>1315</v>
      </c>
      <c r="AD257" s="8310">
        <v>8</v>
      </c>
      <c r="AE257" s="8335"/>
    </row>
    <row r="258" spans="1:31">
      <c r="A258" s="265">
        <v>234</v>
      </c>
      <c r="B258" s="595">
        <f t="shared" si="5"/>
        <v>0</v>
      </c>
      <c r="C258" s="4126" t="s">
        <v>13525</v>
      </c>
      <c r="D258" s="3869" t="s">
        <v>13525</v>
      </c>
      <c r="E258" s="4129"/>
      <c r="F258" s="4130">
        <f>COUNTIF(Sheele!$C$25:$H$36,C258)</f>
        <v>0</v>
      </c>
      <c r="G258" s="4044">
        <v>1</v>
      </c>
      <c r="H258" s="4189">
        <f>IF(OR($F258=0,$G258=0),0,MAX($H$134:H257)+1)</f>
        <v>0</v>
      </c>
      <c r="I258" s="4044">
        <v>100</v>
      </c>
      <c r="J258" s="4044">
        <f>Sheele!$F$46+50</f>
        <v>110</v>
      </c>
      <c r="K258" s="4131" t="s">
        <v>1315</v>
      </c>
      <c r="L258" s="8310" t="s">
        <v>13684</v>
      </c>
      <c r="M258" s="8311"/>
      <c r="N258" s="8311"/>
      <c r="O258" s="8311"/>
      <c r="P258" s="8311"/>
      <c r="Q258" s="8312"/>
      <c r="R258" s="4132" t="s">
        <v>1315</v>
      </c>
      <c r="T258" s="4126"/>
      <c r="U258" s="8322" t="s">
        <v>13492</v>
      </c>
      <c r="V258" s="8323"/>
      <c r="W258" s="8324" t="s">
        <v>13495</v>
      </c>
      <c r="X258" s="8326"/>
      <c r="Y258" s="8326"/>
      <c r="Z258" s="8326"/>
      <c r="AA258" s="8326"/>
      <c r="AB258" s="8326"/>
      <c r="AC258" s="4130" t="s">
        <v>1315</v>
      </c>
      <c r="AD258" s="8310"/>
      <c r="AE258" s="8335"/>
    </row>
    <row r="259" spans="1:31">
      <c r="A259" s="265">
        <v>235</v>
      </c>
      <c r="B259" s="595">
        <f t="shared" si="5"/>
        <v>0</v>
      </c>
      <c r="C259" s="4126" t="s">
        <v>13526</v>
      </c>
      <c r="D259" s="3869" t="s">
        <v>13526</v>
      </c>
      <c r="E259" s="4129"/>
      <c r="F259" s="4130">
        <f>COUNTIF(Sheele!$C$25:$H$36,C259)</f>
        <v>0</v>
      </c>
      <c r="G259" s="4044">
        <v>1</v>
      </c>
      <c r="H259" s="4189">
        <f>IF(OR($F259=0,$G259=0),0,MAX($H$134:H258)+1)</f>
        <v>0</v>
      </c>
      <c r="I259" s="4044" t="s">
        <v>1315</v>
      </c>
      <c r="J259" s="4044" t="s">
        <v>1315</v>
      </c>
      <c r="K259" s="4131" t="s">
        <v>1315</v>
      </c>
      <c r="L259" s="8310" t="s">
        <v>13685</v>
      </c>
      <c r="M259" s="8311"/>
      <c r="N259" s="8311"/>
      <c r="O259" s="8311"/>
      <c r="P259" s="8311"/>
      <c r="Q259" s="8312"/>
      <c r="R259" s="4132" t="s">
        <v>1315</v>
      </c>
      <c r="T259" s="4179"/>
      <c r="U259" s="8327" t="s">
        <v>13493</v>
      </c>
      <c r="V259" s="8328"/>
      <c r="W259" s="8324" t="s">
        <v>13494</v>
      </c>
      <c r="X259" s="8326"/>
      <c r="Y259" s="8326"/>
      <c r="Z259" s="8326"/>
      <c r="AA259" s="8326"/>
      <c r="AB259" s="8326"/>
      <c r="AC259" s="4130" t="s">
        <v>1315</v>
      </c>
      <c r="AD259" s="8310"/>
      <c r="AE259" s="8335"/>
    </row>
    <row r="260" spans="1:31">
      <c r="A260" s="265">
        <v>236</v>
      </c>
      <c r="B260" s="595">
        <f t="shared" si="5"/>
        <v>0</v>
      </c>
      <c r="C260" s="4126" t="s">
        <v>13527</v>
      </c>
      <c r="D260" s="3869" t="s">
        <v>13527</v>
      </c>
      <c r="E260" s="4129"/>
      <c r="F260" s="4130">
        <f>COUNTIF(Sheele!$C$25:$H$36,C260)</f>
        <v>0</v>
      </c>
      <c r="G260" s="4044">
        <v>1</v>
      </c>
      <c r="H260" s="4189">
        <f>IF(OR($F260=0,$G260=0),0,MAX($H$134:H259)+1)</f>
        <v>0</v>
      </c>
      <c r="I260" s="4044">
        <v>80</v>
      </c>
      <c r="J260" s="4044">
        <f>Sheele!$F$46</f>
        <v>60</v>
      </c>
      <c r="K260" s="4131" t="s">
        <v>1315</v>
      </c>
      <c r="L260" s="8310" t="s">
        <v>13686</v>
      </c>
      <c r="M260" s="8311"/>
      <c r="N260" s="8311"/>
      <c r="O260" s="8311"/>
      <c r="P260" s="8311"/>
      <c r="Q260" s="8312"/>
      <c r="R260" s="4132" t="s">
        <v>1315</v>
      </c>
      <c r="T260" s="4184"/>
      <c r="U260" s="8336" t="s">
        <v>2603</v>
      </c>
      <c r="V260" s="8337"/>
      <c r="W260" s="8338"/>
      <c r="X260" s="8339"/>
      <c r="Y260" s="8339"/>
      <c r="Z260" s="8339"/>
      <c r="AA260" s="8339"/>
      <c r="AB260" s="8339"/>
      <c r="AC260" s="4185"/>
      <c r="AD260" s="8340"/>
      <c r="AE260" s="8341"/>
    </row>
    <row r="261" spans="1:31">
      <c r="A261" s="265">
        <v>237</v>
      </c>
      <c r="B261" s="595">
        <f t="shared" si="5"/>
        <v>0</v>
      </c>
      <c r="C261" s="4126" t="s">
        <v>13531</v>
      </c>
      <c r="D261" s="3869" t="s">
        <v>13531</v>
      </c>
      <c r="E261" s="4129"/>
      <c r="F261" s="4130">
        <f>COUNTIF(Sheele!$C$25:$H$36,C261)</f>
        <v>0</v>
      </c>
      <c r="G261" s="4044">
        <v>1</v>
      </c>
      <c r="H261" s="4189">
        <f>IF(OR($F261=0,$G261=0),0,MAX($H$134:H260)+1)</f>
        <v>0</v>
      </c>
      <c r="I261" s="4044">
        <v>250</v>
      </c>
      <c r="J261" s="4044" t="s">
        <v>3048</v>
      </c>
      <c r="K261" s="4131" t="s">
        <v>1315</v>
      </c>
      <c r="L261" s="8310" t="s">
        <v>13687</v>
      </c>
      <c r="M261" s="8311"/>
      <c r="N261" s="8311"/>
      <c r="O261" s="8311"/>
      <c r="P261" s="8311"/>
      <c r="Q261" s="8312"/>
      <c r="R261" s="4132" t="s">
        <v>1315</v>
      </c>
      <c r="T261" s="4180"/>
      <c r="U261" s="8331" t="s">
        <v>12749</v>
      </c>
      <c r="V261" s="8332"/>
      <c r="W261" s="4181" t="str">
        <f t="array" ref="W261:Z261">TRANSPOSE(U262:V265)</f>
        <v>Vuelo Místico 8</v>
      </c>
      <c r="X261" s="4181" t="str">
        <v>El saber fantástico</v>
      </c>
      <c r="Y261" s="4181" t="str">
        <v>Los cuentos más allá</v>
      </c>
      <c r="Z261" s="4181" t="str">
        <v xml:space="preserve"> </v>
      </c>
      <c r="AA261" s="4181"/>
      <c r="AB261" s="4182"/>
      <c r="AC261" s="4178"/>
      <c r="AD261" s="8333"/>
      <c r="AE261" s="8334"/>
    </row>
    <row r="262" spans="1:31">
      <c r="A262" s="265">
        <v>238</v>
      </c>
      <c r="B262" s="595">
        <f t="shared" si="5"/>
        <v>0</v>
      </c>
      <c r="C262" s="4126" t="s">
        <v>13528</v>
      </c>
      <c r="D262" s="3869" t="s">
        <v>13528</v>
      </c>
      <c r="E262" s="4129"/>
      <c r="F262" s="4130">
        <f>COUNTIF(Sheele!$C$25:$H$36,C262)</f>
        <v>0</v>
      </c>
      <c r="G262" s="4044">
        <v>1</v>
      </c>
      <c r="H262" s="4189">
        <f>IF(OR($F262=0,$G262=0),0,MAX($H$134:H261)+1)</f>
        <v>0</v>
      </c>
      <c r="I262" s="4044">
        <v>300</v>
      </c>
      <c r="J262" s="4044">
        <f>Sheele!$F$46</f>
        <v>60</v>
      </c>
      <c r="K262" s="4131" t="s">
        <v>1315</v>
      </c>
      <c r="L262" s="8310" t="s">
        <v>13690</v>
      </c>
      <c r="M262" s="8311"/>
      <c r="N262" s="8311"/>
      <c r="O262" s="8311"/>
      <c r="P262" s="8311"/>
      <c r="Q262" s="8312"/>
      <c r="R262" s="4132" t="s">
        <v>1315</v>
      </c>
      <c r="T262" s="4126"/>
      <c r="U262" s="8322" t="s">
        <v>2621</v>
      </c>
      <c r="V262" s="8323"/>
      <c r="W262" s="8324" t="s">
        <v>2622</v>
      </c>
      <c r="X262" s="8324"/>
      <c r="Y262" s="8324"/>
      <c r="Z262" s="8324"/>
      <c r="AA262" s="8324"/>
      <c r="AB262" s="8324"/>
      <c r="AC262" s="4130" t="s">
        <v>1315</v>
      </c>
      <c r="AD262" s="8310">
        <v>8</v>
      </c>
      <c r="AE262" s="8335"/>
    </row>
    <row r="263" spans="1:31">
      <c r="A263" s="265">
        <v>239</v>
      </c>
      <c r="B263" s="595">
        <f t="shared" si="5"/>
        <v>0</v>
      </c>
      <c r="C263" s="4126" t="s">
        <v>13529</v>
      </c>
      <c r="D263" s="3869" t="s">
        <v>13529</v>
      </c>
      <c r="E263" s="4129"/>
      <c r="F263" s="4130">
        <f>COUNTIF(Sheele!$C$25:$H$36,C263)</f>
        <v>0</v>
      </c>
      <c r="G263" s="4044">
        <v>1</v>
      </c>
      <c r="H263" s="4189">
        <f>IF(OR($F263=0,$G263=0),0,MAX($H$134:H262)+1)</f>
        <v>0</v>
      </c>
      <c r="I263" s="4044" t="s">
        <v>1315</v>
      </c>
      <c r="J263" s="4044" t="s">
        <v>1315</v>
      </c>
      <c r="K263" s="4131" t="s">
        <v>1315</v>
      </c>
      <c r="L263" s="8317" t="s">
        <v>13688</v>
      </c>
      <c r="M263" s="8311"/>
      <c r="N263" s="8311"/>
      <c r="O263" s="8311"/>
      <c r="P263" s="8311"/>
      <c r="Q263" s="8312"/>
      <c r="R263" s="4132" t="s">
        <v>1315</v>
      </c>
      <c r="T263" s="4126"/>
      <c r="U263" s="8322" t="s">
        <v>13486</v>
      </c>
      <c r="V263" s="8323"/>
      <c r="W263" s="8324" t="s">
        <v>13489</v>
      </c>
      <c r="X263" s="8326"/>
      <c r="Y263" s="8326"/>
      <c r="Z263" s="8326"/>
      <c r="AA263" s="8326"/>
      <c r="AB263" s="8326"/>
      <c r="AC263" s="4130" t="s">
        <v>1315</v>
      </c>
      <c r="AD263" s="8310"/>
      <c r="AE263" s="8335"/>
    </row>
    <row r="264" spans="1:31">
      <c r="A264" s="265">
        <v>240</v>
      </c>
      <c r="B264" s="595">
        <f t="shared" si="5"/>
        <v>0</v>
      </c>
      <c r="C264" s="4126" t="s">
        <v>13530</v>
      </c>
      <c r="D264" s="3869" t="s">
        <v>13530</v>
      </c>
      <c r="E264" s="4129"/>
      <c r="F264" s="4130">
        <f>COUNTIF(Sheele!$C$25:$H$36,C264)</f>
        <v>0</v>
      </c>
      <c r="G264" s="4044">
        <v>1</v>
      </c>
      <c r="H264" s="4189">
        <f>IF(OR($F264=0,$G264=0),0,MAX($H$134:H263)+1)</f>
        <v>0</v>
      </c>
      <c r="I264" s="4044" t="s">
        <v>1315</v>
      </c>
      <c r="J264" s="4044" t="s">
        <v>1315</v>
      </c>
      <c r="K264" s="4131" t="s">
        <v>1315</v>
      </c>
      <c r="L264" s="8310" t="s">
        <v>13689</v>
      </c>
      <c r="M264" s="8311"/>
      <c r="N264" s="8311"/>
      <c r="O264" s="8311"/>
      <c r="P264" s="8311"/>
      <c r="Q264" s="8312"/>
      <c r="R264" s="4132" t="s">
        <v>1315</v>
      </c>
      <c r="T264" s="4179"/>
      <c r="U264" s="8327" t="s">
        <v>13487</v>
      </c>
      <c r="V264" s="8328"/>
      <c r="W264" s="8324" t="s">
        <v>13488</v>
      </c>
      <c r="X264" s="8326"/>
      <c r="Y264" s="8326"/>
      <c r="Z264" s="8326"/>
      <c r="AA264" s="8326"/>
      <c r="AB264" s="8326"/>
      <c r="AC264" s="4130" t="s">
        <v>1315</v>
      </c>
      <c r="AD264" s="8310"/>
      <c r="AE264" s="8335"/>
    </row>
    <row r="265" spans="1:31">
      <c r="A265" s="265">
        <v>241</v>
      </c>
      <c r="B265" s="595">
        <f t="shared" si="5"/>
        <v>0</v>
      </c>
      <c r="C265" s="4126" t="s">
        <v>13080</v>
      </c>
      <c r="D265" s="3869" t="s">
        <v>13080</v>
      </c>
      <c r="E265" s="4129"/>
      <c r="F265" s="4130">
        <f>COUNTIF(Sheele!$C$25:$H$36,C265)</f>
        <v>0</v>
      </c>
      <c r="G265" s="3869"/>
      <c r="H265" s="4189">
        <f>IF(OR($F265=0,$G265=0),0,MAX($H$134:H264)+1)</f>
        <v>0</v>
      </c>
      <c r="I265" s="4044" t="s">
        <v>1315</v>
      </c>
      <c r="J265" s="4044" t="s">
        <v>1315</v>
      </c>
      <c r="K265" s="4131" t="s">
        <v>1315</v>
      </c>
      <c r="L265" s="8313" t="s">
        <v>2514</v>
      </c>
      <c r="M265" s="8314"/>
      <c r="N265" s="8314"/>
      <c r="O265" s="8314"/>
      <c r="P265" s="8314"/>
      <c r="Q265" s="8315"/>
      <c r="R265" s="4132" t="s">
        <v>1315</v>
      </c>
      <c r="T265" s="4184"/>
      <c r="U265" s="8336" t="s">
        <v>2603</v>
      </c>
      <c r="V265" s="8337"/>
      <c r="W265" s="8338"/>
      <c r="X265" s="8339"/>
      <c r="Y265" s="8339"/>
      <c r="Z265" s="8339"/>
      <c r="AA265" s="8339"/>
      <c r="AB265" s="8339"/>
      <c r="AC265" s="4185"/>
      <c r="AD265" s="8340"/>
      <c r="AE265" s="8341"/>
    </row>
    <row r="266" spans="1:31">
      <c r="A266" s="265">
        <v>242</v>
      </c>
      <c r="B266" s="595">
        <f t="shared" si="5"/>
        <v>0</v>
      </c>
      <c r="C266" s="4127" t="s">
        <v>474</v>
      </c>
      <c r="D266" s="305"/>
      <c r="E266" s="305"/>
      <c r="F266" s="2128"/>
      <c r="G266" s="2127"/>
      <c r="H266" s="4213"/>
      <c r="I266" s="306" t="s">
        <v>2500</v>
      </c>
      <c r="J266" s="2139" t="s">
        <v>2501</v>
      </c>
      <c r="K266" s="303" t="s">
        <v>1425</v>
      </c>
      <c r="L266" s="8304" t="s">
        <v>1408</v>
      </c>
      <c r="M266" s="8305"/>
      <c r="N266" s="8305"/>
      <c r="O266" s="8305"/>
      <c r="P266" s="8305"/>
      <c r="Q266" s="8306"/>
      <c r="R266" s="606"/>
      <c r="T266" s="4180"/>
      <c r="U266" s="8331" t="s">
        <v>12750</v>
      </c>
      <c r="V266" s="8332"/>
      <c r="W266" s="4181" t="str">
        <f t="array" ref="W266:Z266">TRANSPOSE(U267:V270)</f>
        <v>Vuelo Místico 6</v>
      </c>
      <c r="X266" s="4181" t="str">
        <v>Transmutación estacional</v>
      </c>
      <c r="Y266" s="4181" t="str">
        <v xml:space="preserve"> </v>
      </c>
      <c r="Z266" s="4181" t="str">
        <v xml:space="preserve"> </v>
      </c>
      <c r="AA266" s="4181"/>
      <c r="AB266" s="4182"/>
      <c r="AC266" s="4178"/>
      <c r="AD266" s="8333"/>
      <c r="AE266" s="8334"/>
    </row>
    <row r="267" spans="1:31">
      <c r="A267" s="265">
        <v>243</v>
      </c>
      <c r="B267" s="595">
        <f t="shared" si="5"/>
        <v>0</v>
      </c>
      <c r="C267" s="4126" t="s">
        <v>13532</v>
      </c>
      <c r="D267" s="3869" t="s">
        <v>13532</v>
      </c>
      <c r="E267" s="4129"/>
      <c r="F267" s="4130">
        <f>COUNTIF(Sheele!$C$25:$H$36,C267)</f>
        <v>0</v>
      </c>
      <c r="G267" s="4044">
        <v>1</v>
      </c>
      <c r="H267" s="4189">
        <f>IF(OR($F267=0,$G267=0),0,MAX($H$134:H266)+1)</f>
        <v>0</v>
      </c>
      <c r="I267" s="4044" t="s">
        <v>1315</v>
      </c>
      <c r="J267" s="4044">
        <f>Sheele!$F$46+50</f>
        <v>110</v>
      </c>
      <c r="K267" s="4131">
        <v>20</v>
      </c>
      <c r="L267" s="8316" t="s">
        <v>13691</v>
      </c>
      <c r="M267" s="8308"/>
      <c r="N267" s="8308"/>
      <c r="O267" s="8308"/>
      <c r="P267" s="8308"/>
      <c r="Q267" s="8309"/>
      <c r="R267" s="4132" t="s">
        <v>1315</v>
      </c>
      <c r="T267" s="4126"/>
      <c r="U267" s="8322" t="s">
        <v>2612</v>
      </c>
      <c r="V267" s="8323"/>
      <c r="W267" s="8324" t="s">
        <v>2613</v>
      </c>
      <c r="X267" s="8324"/>
      <c r="Y267" s="8324"/>
      <c r="Z267" s="8324"/>
      <c r="AA267" s="8324"/>
      <c r="AB267" s="8324"/>
      <c r="AC267" s="4130" t="s">
        <v>1315</v>
      </c>
      <c r="AD267" s="8310">
        <v>6</v>
      </c>
      <c r="AE267" s="8335"/>
    </row>
    <row r="268" spans="1:31">
      <c r="A268" s="265">
        <v>244</v>
      </c>
      <c r="B268" s="595">
        <f t="shared" si="5"/>
        <v>0</v>
      </c>
      <c r="C268" s="4126" t="s">
        <v>13533</v>
      </c>
      <c r="D268" s="3869" t="s">
        <v>13533</v>
      </c>
      <c r="E268" s="4129"/>
      <c r="F268" s="4130">
        <f>COUNTIF(Sheele!$C$25:$H$36,C268)</f>
        <v>0</v>
      </c>
      <c r="G268" s="4044">
        <v>1</v>
      </c>
      <c r="H268" s="4189">
        <f>IF(OR($F268=0,$G268=0),0,MAX($H$134:H267)+1)</f>
        <v>0</v>
      </c>
      <c r="I268" s="4044" t="s">
        <v>1315</v>
      </c>
      <c r="J268" s="4044" t="s">
        <v>1315</v>
      </c>
      <c r="K268" s="4131" t="s">
        <v>1315</v>
      </c>
      <c r="L268" s="8317" t="s">
        <v>13692</v>
      </c>
      <c r="M268" s="8311"/>
      <c r="N268" s="8311"/>
      <c r="O268" s="8311"/>
      <c r="P268" s="8311"/>
      <c r="Q268" s="8312"/>
      <c r="R268" s="4132" t="s">
        <v>1315</v>
      </c>
      <c r="T268" s="4126"/>
      <c r="U268" s="8322" t="s">
        <v>13490</v>
      </c>
      <c r="V268" s="8323"/>
      <c r="W268" s="8324" t="s">
        <v>13491</v>
      </c>
      <c r="X268" s="8326"/>
      <c r="Y268" s="8326"/>
      <c r="Z268" s="8326"/>
      <c r="AA268" s="8326"/>
      <c r="AB268" s="8326"/>
      <c r="AC268" s="4130" t="s">
        <v>1315</v>
      </c>
      <c r="AD268" s="8310"/>
      <c r="AE268" s="8335"/>
    </row>
    <row r="269" spans="1:31">
      <c r="A269" s="265">
        <v>245</v>
      </c>
      <c r="B269" s="595">
        <f t="shared" si="5"/>
        <v>0</v>
      </c>
      <c r="C269" s="4126" t="s">
        <v>13534</v>
      </c>
      <c r="D269" s="3869" t="s">
        <v>13534</v>
      </c>
      <c r="E269" s="4129"/>
      <c r="F269" s="4130">
        <f>COUNTIF(Sheele!$C$25:$H$36,C269)</f>
        <v>0</v>
      </c>
      <c r="G269" s="4044">
        <v>1</v>
      </c>
      <c r="H269" s="4189">
        <f>IF(OR($F269=0,$G269=0),0,MAX($H$134:H268)+1)</f>
        <v>0</v>
      </c>
      <c r="I269" s="4044" t="s">
        <v>13694</v>
      </c>
      <c r="J269" s="4044" t="s">
        <v>1315</v>
      </c>
      <c r="K269" s="4131" t="s">
        <v>1315</v>
      </c>
      <c r="L269" s="8310" t="s">
        <v>13693</v>
      </c>
      <c r="M269" s="8311"/>
      <c r="N269" s="8311"/>
      <c r="O269" s="8311"/>
      <c r="P269" s="8311"/>
      <c r="Q269" s="8312"/>
      <c r="R269" s="4132" t="s">
        <v>1315</v>
      </c>
      <c r="T269" s="4179"/>
      <c r="U269" s="8327" t="s">
        <v>2603</v>
      </c>
      <c r="V269" s="8328"/>
      <c r="W269" s="8324"/>
      <c r="X269" s="8326"/>
      <c r="Y269" s="8326"/>
      <c r="Z269" s="8326"/>
      <c r="AA269" s="8326"/>
      <c r="AB269" s="8326"/>
      <c r="AC269" s="4130" t="s">
        <v>1315</v>
      </c>
      <c r="AD269" s="8310"/>
      <c r="AE269" s="8335"/>
    </row>
    <row r="270" spans="1:31" ht="13.5" thickBot="1">
      <c r="A270" s="265">
        <v>246</v>
      </c>
      <c r="B270" s="595">
        <f t="shared" si="5"/>
        <v>0</v>
      </c>
      <c r="C270" s="4126" t="s">
        <v>13535</v>
      </c>
      <c r="D270" s="3869" t="s">
        <v>13535</v>
      </c>
      <c r="E270" s="4129"/>
      <c r="F270" s="4130">
        <f>COUNTIF(Sheele!$C$25:$H$36,C270)</f>
        <v>0</v>
      </c>
      <c r="G270" s="4044">
        <v>1</v>
      </c>
      <c r="H270" s="4189">
        <f>IF(OR($F270=0,$G270=0),0,MAX($H$134:H269)+1)</f>
        <v>0</v>
      </c>
      <c r="I270" s="4044" t="s">
        <v>9198</v>
      </c>
      <c r="J270" s="4044" t="s">
        <v>3048</v>
      </c>
      <c r="K270" s="4131" t="s">
        <v>1315</v>
      </c>
      <c r="L270" s="8310" t="s">
        <v>13695</v>
      </c>
      <c r="M270" s="8311"/>
      <c r="N270" s="8311"/>
      <c r="O270" s="8311"/>
      <c r="P270" s="8311"/>
      <c r="Q270" s="8312"/>
      <c r="R270" s="4132" t="s">
        <v>1315</v>
      </c>
      <c r="T270" s="4217"/>
      <c r="U270" s="8342" t="s">
        <v>2603</v>
      </c>
      <c r="V270" s="8343"/>
      <c r="W270" s="8344"/>
      <c r="X270" s="8345"/>
      <c r="Y270" s="8345"/>
      <c r="Z270" s="8345"/>
      <c r="AA270" s="8345"/>
      <c r="AB270" s="8345"/>
      <c r="AC270" s="4183"/>
      <c r="AD270" s="8346"/>
      <c r="AE270" s="8347"/>
    </row>
    <row r="271" spans="1:31">
      <c r="A271" s="265">
        <v>247</v>
      </c>
      <c r="B271" s="595">
        <f t="shared" si="5"/>
        <v>0</v>
      </c>
      <c r="C271" s="4126" t="s">
        <v>13536</v>
      </c>
      <c r="D271" s="3869" t="s">
        <v>13536</v>
      </c>
      <c r="E271" s="4129"/>
      <c r="F271" s="4130">
        <f>COUNTIF(Sheele!$C$25:$H$36,C271)</f>
        <v>0</v>
      </c>
      <c r="G271" s="4044">
        <v>1</v>
      </c>
      <c r="H271" s="4189">
        <f>IF(OR($F271=0,$G271=0),0,MAX($H$134:H270)+1)</f>
        <v>0</v>
      </c>
      <c r="I271" s="4044" t="s">
        <v>13696</v>
      </c>
      <c r="J271" s="4044" t="s">
        <v>3048</v>
      </c>
      <c r="K271" s="4131" t="s">
        <v>1315</v>
      </c>
      <c r="L271" s="8310" t="s">
        <v>13697</v>
      </c>
      <c r="M271" s="8311"/>
      <c r="N271" s="8311"/>
      <c r="O271" s="8311"/>
      <c r="P271" s="8311"/>
      <c r="Q271" s="8312"/>
      <c r="R271" s="4132" t="s">
        <v>1315</v>
      </c>
    </row>
    <row r="272" spans="1:31">
      <c r="A272" s="265">
        <v>248</v>
      </c>
      <c r="B272" s="595">
        <f t="shared" si="5"/>
        <v>0</v>
      </c>
      <c r="C272" s="4126" t="s">
        <v>13537</v>
      </c>
      <c r="D272" s="3869" t="s">
        <v>13537</v>
      </c>
      <c r="E272" s="4129"/>
      <c r="F272" s="4130">
        <f>COUNTIF(Sheele!$C$25:$H$36,C272)</f>
        <v>0</v>
      </c>
      <c r="G272" s="4044">
        <v>1</v>
      </c>
      <c r="H272" s="4189">
        <f>IF(OR($F272=0,$G272=0),0,MAX($H$134:H271)+1)</f>
        <v>0</v>
      </c>
      <c r="I272" s="4044" t="s">
        <v>9198</v>
      </c>
      <c r="J272" s="4044" t="s">
        <v>3048</v>
      </c>
      <c r="K272" s="4131" t="s">
        <v>1315</v>
      </c>
      <c r="L272" s="8310" t="s">
        <v>13698</v>
      </c>
      <c r="M272" s="8311"/>
      <c r="N272" s="8311"/>
      <c r="O272" s="8311"/>
      <c r="P272" s="8311"/>
      <c r="Q272" s="8312"/>
      <c r="R272" s="4132" t="s">
        <v>1315</v>
      </c>
    </row>
    <row r="273" spans="1:18">
      <c r="A273" s="265">
        <v>249</v>
      </c>
      <c r="B273" s="595">
        <f t="shared" si="5"/>
        <v>0</v>
      </c>
      <c r="C273" s="4126" t="s">
        <v>13538</v>
      </c>
      <c r="D273" s="3869" t="s">
        <v>13538</v>
      </c>
      <c r="E273" s="4129"/>
      <c r="F273" s="4130">
        <f>COUNTIF(Sheele!$C$25:$H$36,C273)</f>
        <v>0</v>
      </c>
      <c r="G273" s="4044">
        <v>1</v>
      </c>
      <c r="H273" s="4189">
        <f>IF(OR($F273=0,$G273=0),0,MAX($H$134:H272)+1)</f>
        <v>0</v>
      </c>
      <c r="I273" s="4044" t="s">
        <v>13699</v>
      </c>
      <c r="J273" s="4044" t="s">
        <v>3048</v>
      </c>
      <c r="K273" s="4131" t="s">
        <v>1315</v>
      </c>
      <c r="L273" s="8310" t="s">
        <v>13700</v>
      </c>
      <c r="M273" s="8311"/>
      <c r="N273" s="8311"/>
      <c r="O273" s="8311"/>
      <c r="P273" s="8311"/>
      <c r="Q273" s="8312"/>
      <c r="R273" s="4132" t="s">
        <v>1315</v>
      </c>
    </row>
    <row r="274" spans="1:18">
      <c r="A274" s="265">
        <v>250</v>
      </c>
      <c r="B274" s="595">
        <f t="shared" si="5"/>
        <v>0</v>
      </c>
      <c r="C274" s="4126" t="s">
        <v>13539</v>
      </c>
      <c r="D274" s="3869" t="s">
        <v>13539</v>
      </c>
      <c r="E274" s="4129"/>
      <c r="F274" s="4130">
        <f>COUNTIF(Sheele!$C$25:$H$36,C274)</f>
        <v>0</v>
      </c>
      <c r="G274" s="4044">
        <v>1</v>
      </c>
      <c r="H274" s="4189">
        <f>IF(OR($F274=0,$G274=0),0,MAX($H$134:H273)+1)</f>
        <v>0</v>
      </c>
      <c r="I274" s="4044" t="s">
        <v>9198</v>
      </c>
      <c r="J274" s="4044" t="s">
        <v>1315</v>
      </c>
      <c r="K274" s="4131" t="s">
        <v>1315</v>
      </c>
      <c r="L274" s="8310" t="s">
        <v>13701</v>
      </c>
      <c r="M274" s="8311"/>
      <c r="N274" s="8311"/>
      <c r="O274" s="8311"/>
      <c r="P274" s="8311"/>
      <c r="Q274" s="8312"/>
      <c r="R274" s="4132" t="s">
        <v>1315</v>
      </c>
    </row>
    <row r="275" spans="1:18">
      <c r="A275" s="265">
        <v>251</v>
      </c>
      <c r="B275" s="595">
        <f t="shared" si="5"/>
        <v>0</v>
      </c>
      <c r="C275" s="4126" t="s">
        <v>13540</v>
      </c>
      <c r="D275" s="3869" t="s">
        <v>13540</v>
      </c>
      <c r="E275" s="4129"/>
      <c r="F275" s="4130">
        <f>COUNTIF(Sheele!$C$25:$H$36,C275)</f>
        <v>0</v>
      </c>
      <c r="G275" s="4044"/>
      <c r="H275" s="4189">
        <f>IF(OR($F275=0,$G275=0),0,MAX($H$134:H274)+1)</f>
        <v>0</v>
      </c>
      <c r="I275" s="4044" t="s">
        <v>1315</v>
      </c>
      <c r="J275" s="4044" t="s">
        <v>1315</v>
      </c>
      <c r="K275" s="4131" t="s">
        <v>1315</v>
      </c>
      <c r="L275" s="8310" t="s">
        <v>13879</v>
      </c>
      <c r="M275" s="8311"/>
      <c r="N275" s="8311"/>
      <c r="O275" s="8311"/>
      <c r="P275" s="8311"/>
      <c r="Q275" s="8312"/>
      <c r="R275" s="4132" t="s">
        <v>1315</v>
      </c>
    </row>
    <row r="276" spans="1:18">
      <c r="A276" s="265">
        <v>252</v>
      </c>
      <c r="B276" s="595">
        <f t="shared" si="5"/>
        <v>0</v>
      </c>
      <c r="C276" s="4126" t="s">
        <v>13080</v>
      </c>
      <c r="D276" s="3869" t="s">
        <v>13080</v>
      </c>
      <c r="E276" s="4129"/>
      <c r="F276" s="4130">
        <f>COUNTIF(Sheele!$C$25:$H$36,C276)</f>
        <v>0</v>
      </c>
      <c r="G276" s="3869"/>
      <c r="H276" s="4189">
        <f>IF(OR($F276=0,$G276=0),0,MAX($H$134:H275)+1)</f>
        <v>0</v>
      </c>
      <c r="I276" s="4044" t="s">
        <v>1315</v>
      </c>
      <c r="J276" s="4044" t="s">
        <v>1315</v>
      </c>
      <c r="K276" s="4131" t="s">
        <v>1315</v>
      </c>
      <c r="L276" s="8313" t="s">
        <v>2514</v>
      </c>
      <c r="M276" s="8314"/>
      <c r="N276" s="8314"/>
      <c r="O276" s="8314"/>
      <c r="P276" s="8314"/>
      <c r="Q276" s="8315"/>
      <c r="R276" s="4132" t="s">
        <v>1315</v>
      </c>
    </row>
    <row r="277" spans="1:18">
      <c r="A277" s="265">
        <v>253</v>
      </c>
      <c r="B277" s="595">
        <f t="shared" si="5"/>
        <v>0</v>
      </c>
      <c r="C277" s="4127" t="s">
        <v>535</v>
      </c>
      <c r="D277" s="4215"/>
      <c r="E277" s="305"/>
      <c r="F277" s="2128"/>
      <c r="G277" s="2127"/>
      <c r="H277" s="4213"/>
      <c r="I277" s="306" t="s">
        <v>2500</v>
      </c>
      <c r="J277" s="2139" t="s">
        <v>2501</v>
      </c>
      <c r="K277" s="303" t="s">
        <v>1425</v>
      </c>
      <c r="L277" s="8304" t="s">
        <v>1408</v>
      </c>
      <c r="M277" s="8305"/>
      <c r="N277" s="8305"/>
      <c r="O277" s="8305"/>
      <c r="P277" s="8305"/>
      <c r="Q277" s="8306"/>
      <c r="R277" s="606"/>
    </row>
    <row r="278" spans="1:18">
      <c r="A278" s="265">
        <v>254</v>
      </c>
      <c r="B278" s="595">
        <f t="shared" si="5"/>
        <v>0</v>
      </c>
      <c r="C278" s="4126" t="s">
        <v>13541</v>
      </c>
      <c r="D278" s="3869" t="s">
        <v>13541</v>
      </c>
      <c r="E278" s="4129"/>
      <c r="F278" s="4130">
        <f>COUNTIF(Sheele!$C$25:$H$36,C278)</f>
        <v>0</v>
      </c>
      <c r="G278" s="4044">
        <v>1</v>
      </c>
      <c r="H278" s="4189">
        <f>IF(OR($F278=0,$G278=0),0,MAX($H$134:H277)+1)</f>
        <v>0</v>
      </c>
      <c r="I278" s="4044" t="s">
        <v>1315</v>
      </c>
      <c r="J278" s="4044" t="s">
        <v>1315</v>
      </c>
      <c r="K278" s="4131" t="s">
        <v>1315</v>
      </c>
      <c r="L278" s="8316" t="s">
        <v>13702</v>
      </c>
      <c r="M278" s="8308"/>
      <c r="N278" s="8308"/>
      <c r="O278" s="8308"/>
      <c r="P278" s="8308"/>
      <c r="Q278" s="8309"/>
      <c r="R278" s="4132" t="s">
        <v>1315</v>
      </c>
    </row>
    <row r="279" spans="1:18">
      <c r="A279" s="265">
        <v>255</v>
      </c>
      <c r="B279" s="595">
        <f t="shared" si="5"/>
        <v>0</v>
      </c>
      <c r="C279" s="4126" t="s">
        <v>198</v>
      </c>
      <c r="D279" s="3869" t="s">
        <v>198</v>
      </c>
      <c r="E279" s="4129"/>
      <c r="F279" s="4130">
        <f>COUNTIF(Sheele!$C$25:$H$36,C279)</f>
        <v>0</v>
      </c>
      <c r="G279" s="4044">
        <v>1</v>
      </c>
      <c r="H279" s="4189">
        <f>IF(OR($F279=0,$G279=0),0,MAX($H$134:H278)+1)</f>
        <v>0</v>
      </c>
      <c r="I279" s="4044" t="s">
        <v>13704</v>
      </c>
      <c r="J279" s="4044" t="s">
        <v>1315</v>
      </c>
      <c r="K279" s="4131" t="s">
        <v>1315</v>
      </c>
      <c r="L279" s="8310" t="s">
        <v>13703</v>
      </c>
      <c r="M279" s="8311"/>
      <c r="N279" s="8311"/>
      <c r="O279" s="8311"/>
      <c r="P279" s="8311"/>
      <c r="Q279" s="8312"/>
      <c r="R279" s="4132" t="s">
        <v>1315</v>
      </c>
    </row>
    <row r="280" spans="1:18">
      <c r="A280" s="265">
        <v>256</v>
      </c>
      <c r="B280" s="595">
        <f t="shared" si="5"/>
        <v>0</v>
      </c>
      <c r="C280" s="4126" t="s">
        <v>13543</v>
      </c>
      <c r="D280" s="3869" t="s">
        <v>13543</v>
      </c>
      <c r="E280" s="4129"/>
      <c r="F280" s="4130">
        <f>COUNTIF(Sheele!$C$25:$H$36,C280)</f>
        <v>0</v>
      </c>
      <c r="G280" s="4044">
        <v>1</v>
      </c>
      <c r="H280" s="4189">
        <f>IF(OR($F280=0,$G280=0),0,MAX($H$134:H279)+1)</f>
        <v>0</v>
      </c>
      <c r="I280" s="4044" t="s">
        <v>1315</v>
      </c>
      <c r="J280" s="4044" t="s">
        <v>1315</v>
      </c>
      <c r="K280" s="4131" t="s">
        <v>1315</v>
      </c>
      <c r="L280" s="8310" t="s">
        <v>13705</v>
      </c>
      <c r="M280" s="8311"/>
      <c r="N280" s="8311"/>
      <c r="O280" s="8311"/>
      <c r="P280" s="8311"/>
      <c r="Q280" s="8312"/>
      <c r="R280" s="4132" t="s">
        <v>1315</v>
      </c>
    </row>
    <row r="281" spans="1:18">
      <c r="A281" s="265">
        <v>257</v>
      </c>
      <c r="B281" s="595">
        <f t="shared" si="5"/>
        <v>0</v>
      </c>
      <c r="C281" s="4126" t="s">
        <v>13542</v>
      </c>
      <c r="D281" s="3869" t="s">
        <v>13542</v>
      </c>
      <c r="E281" s="4129"/>
      <c r="F281" s="4130">
        <f>COUNTIF(Sheele!$C$25:$H$36,C281)</f>
        <v>0</v>
      </c>
      <c r="G281" s="4044">
        <v>1</v>
      </c>
      <c r="H281" s="4189">
        <f>IF(OR($F281=0,$G281=0),0,MAX($H$134:H280)+1)</f>
        <v>0</v>
      </c>
      <c r="I281" s="4044" t="s">
        <v>1315</v>
      </c>
      <c r="J281" s="4044" t="s">
        <v>3048</v>
      </c>
      <c r="K281" s="4131" t="s">
        <v>1315</v>
      </c>
      <c r="L281" s="8310" t="s">
        <v>13706</v>
      </c>
      <c r="M281" s="8311"/>
      <c r="N281" s="8311"/>
      <c r="O281" s="8311"/>
      <c r="P281" s="8311"/>
      <c r="Q281" s="8312"/>
      <c r="R281" s="4132" t="s">
        <v>1315</v>
      </c>
    </row>
    <row r="282" spans="1:18">
      <c r="A282" s="265">
        <v>258</v>
      </c>
      <c r="B282" s="595">
        <f t="shared" si="5"/>
        <v>0</v>
      </c>
      <c r="C282" s="4126" t="s">
        <v>13544</v>
      </c>
      <c r="D282" s="3869" t="s">
        <v>13544</v>
      </c>
      <c r="E282" s="4129"/>
      <c r="F282" s="4130">
        <f>COUNTIF(Sheele!$C$25:$H$36,C282)</f>
        <v>0</v>
      </c>
      <c r="G282" s="4044">
        <v>1</v>
      </c>
      <c r="H282" s="4189">
        <f>IF(OR($F282=0,$G282=0),0,MAX($H$134:H281)+1)</f>
        <v>0</v>
      </c>
      <c r="I282" s="4044">
        <v>100</v>
      </c>
      <c r="J282" s="4044" t="s">
        <v>1315</v>
      </c>
      <c r="K282" s="4131" t="s">
        <v>1315</v>
      </c>
      <c r="L282" s="8310" t="s">
        <v>13707</v>
      </c>
      <c r="M282" s="8311"/>
      <c r="N282" s="8311"/>
      <c r="O282" s="8311"/>
      <c r="P282" s="8311"/>
      <c r="Q282" s="8312"/>
      <c r="R282" s="4132" t="s">
        <v>1315</v>
      </c>
    </row>
    <row r="283" spans="1:18">
      <c r="A283" s="265">
        <v>259</v>
      </c>
      <c r="B283" s="595">
        <f t="shared" si="5"/>
        <v>0</v>
      </c>
      <c r="C283" s="4126" t="s">
        <v>13545</v>
      </c>
      <c r="D283" s="3869" t="s">
        <v>13545</v>
      </c>
      <c r="E283" s="4129"/>
      <c r="F283" s="4130">
        <f>COUNTIF(Sheele!$C$25:$H$36,C283)</f>
        <v>0</v>
      </c>
      <c r="G283" s="4044">
        <v>1</v>
      </c>
      <c r="H283" s="4189">
        <f>IF(OR($F283=0,$G283=0),0,MAX($H$134:H282)+1)</f>
        <v>0</v>
      </c>
      <c r="I283" s="4044" t="s">
        <v>1315</v>
      </c>
      <c r="J283" s="4044" t="s">
        <v>1315</v>
      </c>
      <c r="K283" s="4131" t="s">
        <v>1315</v>
      </c>
      <c r="L283" s="8310" t="s">
        <v>13708</v>
      </c>
      <c r="M283" s="8311"/>
      <c r="N283" s="8311"/>
      <c r="O283" s="8311"/>
      <c r="P283" s="8311"/>
      <c r="Q283" s="8312"/>
      <c r="R283" s="4132" t="s">
        <v>1315</v>
      </c>
    </row>
    <row r="284" spans="1:18">
      <c r="A284" s="265">
        <v>260</v>
      </c>
      <c r="B284" s="595">
        <f t="shared" si="5"/>
        <v>0</v>
      </c>
      <c r="C284" s="4126" t="s">
        <v>13546</v>
      </c>
      <c r="D284" s="3869" t="s">
        <v>13546</v>
      </c>
      <c r="E284" s="4129"/>
      <c r="F284" s="4130">
        <f>COUNTIF(Sheele!$C$25:$H$36,C284)</f>
        <v>0</v>
      </c>
      <c r="G284" s="4044">
        <v>1</v>
      </c>
      <c r="H284" s="4189">
        <f>IF(OR($F284=0,$G284=0),0,MAX($H$134:H283)+1)</f>
        <v>0</v>
      </c>
      <c r="I284" s="4044" t="s">
        <v>9205</v>
      </c>
      <c r="J284" s="4044" t="s">
        <v>1315</v>
      </c>
      <c r="K284" s="4131" t="s">
        <v>1315</v>
      </c>
      <c r="L284" s="8317" t="s">
        <v>13709</v>
      </c>
      <c r="M284" s="8311"/>
      <c r="N284" s="8311"/>
      <c r="O284" s="8311"/>
      <c r="P284" s="8311"/>
      <c r="Q284" s="8312"/>
      <c r="R284" s="4132" t="s">
        <v>1315</v>
      </c>
    </row>
    <row r="285" spans="1:18">
      <c r="A285" s="265">
        <v>261</v>
      </c>
      <c r="B285" s="595">
        <f t="shared" si="5"/>
        <v>0</v>
      </c>
      <c r="C285" s="4126" t="s">
        <v>13547</v>
      </c>
      <c r="D285" s="3869" t="s">
        <v>13547</v>
      </c>
      <c r="E285" s="4129"/>
      <c r="F285" s="4130">
        <f>COUNTIF(Sheele!$C$25:$H$36,C285)</f>
        <v>0</v>
      </c>
      <c r="G285" s="4044">
        <v>1</v>
      </c>
      <c r="H285" s="4189">
        <f>IF(OR($F285=0,$G285=0),0,MAX($H$134:H284)+1)</f>
        <v>0</v>
      </c>
      <c r="I285" s="4044" t="s">
        <v>13711</v>
      </c>
      <c r="J285" s="4044" t="s">
        <v>1315</v>
      </c>
      <c r="K285" s="4131" t="s">
        <v>1315</v>
      </c>
      <c r="L285" s="8310" t="s">
        <v>13710</v>
      </c>
      <c r="M285" s="8311"/>
      <c r="N285" s="8311"/>
      <c r="O285" s="8311"/>
      <c r="P285" s="8311"/>
      <c r="Q285" s="8312"/>
      <c r="R285" s="4132" t="s">
        <v>1315</v>
      </c>
    </row>
    <row r="286" spans="1:18">
      <c r="A286" s="265">
        <v>262</v>
      </c>
      <c r="B286" s="595">
        <f t="shared" si="5"/>
        <v>0</v>
      </c>
      <c r="C286" s="4126" t="s">
        <v>13548</v>
      </c>
      <c r="D286" s="3869" t="s">
        <v>13548</v>
      </c>
      <c r="E286" s="4129"/>
      <c r="F286" s="4130">
        <f>COUNTIF(Sheele!$C$25:$H$36,C286)</f>
        <v>0</v>
      </c>
      <c r="G286" s="4044">
        <v>1</v>
      </c>
      <c r="H286" s="4189">
        <f>IF(OR($F286=0,$G286=0),0,MAX($H$134:H285)+1)</f>
        <v>0</v>
      </c>
      <c r="I286" s="4044">
        <v>200</v>
      </c>
      <c r="J286" s="4044" t="s">
        <v>3048</v>
      </c>
      <c r="K286" s="4131" t="s">
        <v>1315</v>
      </c>
      <c r="L286" s="8310" t="s">
        <v>13712</v>
      </c>
      <c r="M286" s="8311"/>
      <c r="N286" s="8311"/>
      <c r="O286" s="8311"/>
      <c r="P286" s="8311"/>
      <c r="Q286" s="8312"/>
      <c r="R286" s="4132" t="s">
        <v>1315</v>
      </c>
    </row>
    <row r="287" spans="1:18">
      <c r="A287" s="265">
        <v>263</v>
      </c>
      <c r="B287" s="595">
        <f t="shared" si="5"/>
        <v>0</v>
      </c>
      <c r="C287" s="4126" t="s">
        <v>13080</v>
      </c>
      <c r="D287" s="3869" t="s">
        <v>13080</v>
      </c>
      <c r="E287" s="4129"/>
      <c r="F287" s="4130">
        <f>COUNTIF(Sheele!$C$25:$H$36,C287)</f>
        <v>0</v>
      </c>
      <c r="G287" s="3869"/>
      <c r="H287" s="4189">
        <f>IF(OR($F287=0,$G287=0),0,MAX($H$134:H286)+1)</f>
        <v>0</v>
      </c>
      <c r="I287" s="4044" t="s">
        <v>1315</v>
      </c>
      <c r="J287" s="4044" t="s">
        <v>1315</v>
      </c>
      <c r="K287" s="4131" t="s">
        <v>1315</v>
      </c>
      <c r="L287" s="8313" t="s">
        <v>2514</v>
      </c>
      <c r="M287" s="8314"/>
      <c r="N287" s="8314"/>
      <c r="O287" s="8314"/>
      <c r="P287" s="8314"/>
      <c r="Q287" s="8315"/>
      <c r="R287" s="4132" t="s">
        <v>1315</v>
      </c>
    </row>
    <row r="288" spans="1:18">
      <c r="A288" s="265">
        <v>264</v>
      </c>
      <c r="B288" s="595">
        <f t="shared" si="5"/>
        <v>0</v>
      </c>
      <c r="C288" s="4127" t="s">
        <v>545</v>
      </c>
      <c r="D288" s="4215"/>
      <c r="E288" s="305"/>
      <c r="F288" s="2128"/>
      <c r="G288" s="2127"/>
      <c r="H288" s="4213"/>
      <c r="I288" s="306" t="s">
        <v>2500</v>
      </c>
      <c r="J288" s="2139" t="s">
        <v>2501</v>
      </c>
      <c r="K288" s="303" t="s">
        <v>1425</v>
      </c>
      <c r="L288" s="8304" t="s">
        <v>1408</v>
      </c>
      <c r="M288" s="8305"/>
      <c r="N288" s="8305"/>
      <c r="O288" s="8305"/>
      <c r="P288" s="8305"/>
      <c r="Q288" s="8306"/>
      <c r="R288" s="606"/>
    </row>
    <row r="289" spans="1:18">
      <c r="A289" s="265">
        <v>265</v>
      </c>
      <c r="B289" s="595">
        <f t="shared" si="5"/>
        <v>0</v>
      </c>
      <c r="C289" s="4126" t="s">
        <v>13549</v>
      </c>
      <c r="D289" s="3869" t="s">
        <v>13549</v>
      </c>
      <c r="E289" s="4129"/>
      <c r="F289" s="4130">
        <f>COUNTIF(Sheele!$C$25:$H$36,C289)</f>
        <v>0</v>
      </c>
      <c r="G289" s="4044">
        <v>1</v>
      </c>
      <c r="H289" s="4189">
        <f>IF(OR($F289=0,$G289=0),0,MAX($H$134:H288)+1)</f>
        <v>0</v>
      </c>
      <c r="I289" s="4044">
        <v>25</v>
      </c>
      <c r="J289" s="4044" t="s">
        <v>1315</v>
      </c>
      <c r="K289" s="4131" t="s">
        <v>1315</v>
      </c>
      <c r="L289" s="8316" t="s">
        <v>13713</v>
      </c>
      <c r="M289" s="8308"/>
      <c r="N289" s="8308"/>
      <c r="O289" s="8308"/>
      <c r="P289" s="8308"/>
      <c r="Q289" s="8309"/>
      <c r="R289" s="4132" t="s">
        <v>1315</v>
      </c>
    </row>
    <row r="290" spans="1:18">
      <c r="A290" s="265">
        <v>266</v>
      </c>
      <c r="B290" s="595">
        <f t="shared" si="5"/>
        <v>0</v>
      </c>
      <c r="C290" s="4126" t="s">
        <v>13550</v>
      </c>
      <c r="D290" s="3869" t="s">
        <v>13550</v>
      </c>
      <c r="E290" s="4129"/>
      <c r="F290" s="4130">
        <f>COUNTIF(Sheele!$C$25:$H$36,C290)</f>
        <v>0</v>
      </c>
      <c r="G290" s="4044">
        <v>1</v>
      </c>
      <c r="H290" s="4189">
        <f>IF(OR($F290=0,$G290=0),0,MAX($H$134:H289)+1)</f>
        <v>0</v>
      </c>
      <c r="I290" s="4044">
        <v>200</v>
      </c>
      <c r="J290" s="4044">
        <f>Sheele!$F$46</f>
        <v>60</v>
      </c>
      <c r="K290" s="4131" t="s">
        <v>1315</v>
      </c>
      <c r="L290" s="8310" t="s">
        <v>13714</v>
      </c>
      <c r="M290" s="8311"/>
      <c r="N290" s="8311"/>
      <c r="O290" s="8311"/>
      <c r="P290" s="8311"/>
      <c r="Q290" s="8312"/>
      <c r="R290" s="4132" t="s">
        <v>1315</v>
      </c>
    </row>
    <row r="291" spans="1:18">
      <c r="A291" s="265">
        <v>267</v>
      </c>
      <c r="B291" s="595">
        <f t="shared" si="5"/>
        <v>0</v>
      </c>
      <c r="C291" s="4126" t="s">
        <v>13551</v>
      </c>
      <c r="D291" s="3869" t="s">
        <v>13551</v>
      </c>
      <c r="E291" s="4129"/>
      <c r="F291" s="4130">
        <f>COUNTIF(Sheele!$C$25:$H$36,C291)</f>
        <v>0</v>
      </c>
      <c r="G291" s="4044">
        <v>1</v>
      </c>
      <c r="H291" s="4189">
        <f>IF(OR($F291=0,$G291=0),0,MAX($H$134:H290)+1)</f>
        <v>0</v>
      </c>
      <c r="I291" s="4044">
        <v>150</v>
      </c>
      <c r="J291" s="4044">
        <f>Sheele!$F$46</f>
        <v>60</v>
      </c>
      <c r="K291" s="4131" t="s">
        <v>1315</v>
      </c>
      <c r="L291" s="8310" t="s">
        <v>13715</v>
      </c>
      <c r="M291" s="8311"/>
      <c r="N291" s="8311"/>
      <c r="O291" s="8311"/>
      <c r="P291" s="8311"/>
      <c r="Q291" s="8312"/>
      <c r="R291" s="4132" t="s">
        <v>1315</v>
      </c>
    </row>
    <row r="292" spans="1:18">
      <c r="A292" s="265">
        <v>268</v>
      </c>
      <c r="B292" s="595">
        <f t="shared" si="5"/>
        <v>0</v>
      </c>
      <c r="C292" s="4126" t="s">
        <v>13552</v>
      </c>
      <c r="D292" s="3869" t="s">
        <v>13552</v>
      </c>
      <c r="E292" s="4129"/>
      <c r="F292" s="4130">
        <f>COUNTIF(Sheele!$C$25:$H$36,C292)</f>
        <v>0</v>
      </c>
      <c r="G292" s="4044">
        <v>1</v>
      </c>
      <c r="H292" s="4189">
        <f>IF(OR($F292=0,$G292=0),0,MAX($H$134:H291)+1)</f>
        <v>0</v>
      </c>
      <c r="I292" s="4044" t="s">
        <v>13717</v>
      </c>
      <c r="J292" s="4044" t="s">
        <v>1315</v>
      </c>
      <c r="K292" s="4131" t="s">
        <v>1315</v>
      </c>
      <c r="L292" s="8317" t="s">
        <v>13716</v>
      </c>
      <c r="M292" s="8311"/>
      <c r="N292" s="8311"/>
      <c r="O292" s="8311"/>
      <c r="P292" s="8311"/>
      <c r="Q292" s="8312"/>
      <c r="R292" s="4132" t="s">
        <v>1315</v>
      </c>
    </row>
    <row r="293" spans="1:18">
      <c r="A293" s="265">
        <v>269</v>
      </c>
      <c r="B293" s="595">
        <f t="shared" si="5"/>
        <v>0</v>
      </c>
      <c r="C293" s="4126" t="s">
        <v>547</v>
      </c>
      <c r="D293" s="3869" t="s">
        <v>547</v>
      </c>
      <c r="E293" s="4129"/>
      <c r="F293" s="4130">
        <f>COUNTIF(Sheele!$C$25:$H$36,C293)</f>
        <v>0</v>
      </c>
      <c r="G293" s="4044">
        <v>1</v>
      </c>
      <c r="H293" s="4189">
        <f>IF(OR($F293=0,$G293=0),0,MAX($H$134:H292)+1)</f>
        <v>0</v>
      </c>
      <c r="I293" s="4044" t="s">
        <v>1315</v>
      </c>
      <c r="J293" s="4044" t="s">
        <v>1315</v>
      </c>
      <c r="K293" s="4131" t="s">
        <v>1315</v>
      </c>
      <c r="L293" s="8310" t="s">
        <v>13718</v>
      </c>
      <c r="M293" s="8311"/>
      <c r="N293" s="8311"/>
      <c r="O293" s="8311"/>
      <c r="P293" s="8311"/>
      <c r="Q293" s="8312"/>
      <c r="R293" s="4132" t="s">
        <v>1315</v>
      </c>
    </row>
    <row r="294" spans="1:18">
      <c r="A294" s="265">
        <v>270</v>
      </c>
      <c r="B294" s="595">
        <f t="shared" si="5"/>
        <v>0</v>
      </c>
      <c r="C294" s="4126" t="s">
        <v>13553</v>
      </c>
      <c r="D294" s="3869" t="s">
        <v>13553</v>
      </c>
      <c r="E294" s="4129"/>
      <c r="F294" s="4130">
        <f>COUNTIF(Sheele!$C$25:$H$36,C294)</f>
        <v>0</v>
      </c>
      <c r="G294" s="4044">
        <v>1</v>
      </c>
      <c r="H294" s="4189">
        <f>IF(OR($F294=0,$G294=0),0,MAX($H$134:H293)+1)</f>
        <v>0</v>
      </c>
      <c r="I294" s="4044">
        <v>50</v>
      </c>
      <c r="J294" s="4044" t="s">
        <v>1315</v>
      </c>
      <c r="K294" s="4131" t="s">
        <v>1315</v>
      </c>
      <c r="L294" s="8310" t="s">
        <v>13719</v>
      </c>
      <c r="M294" s="8311"/>
      <c r="N294" s="8311"/>
      <c r="O294" s="8311"/>
      <c r="P294" s="8311"/>
      <c r="Q294" s="8312"/>
      <c r="R294" s="4132" t="s">
        <v>1315</v>
      </c>
    </row>
    <row r="295" spans="1:18">
      <c r="A295" s="265">
        <v>271</v>
      </c>
      <c r="B295" s="595">
        <f t="shared" si="5"/>
        <v>0</v>
      </c>
      <c r="C295" s="4126" t="s">
        <v>551</v>
      </c>
      <c r="D295" s="3869" t="s">
        <v>551</v>
      </c>
      <c r="E295" s="4129"/>
      <c r="F295" s="4130">
        <f>COUNTIF(Sheele!$C$25:$H$36,C295)</f>
        <v>0</v>
      </c>
      <c r="G295" s="4044">
        <v>1</v>
      </c>
      <c r="H295" s="4189">
        <f>IF(OR($F295=0,$G295=0),0,MAX($H$134:H294)+1)</f>
        <v>0</v>
      </c>
      <c r="I295" s="4044" t="s">
        <v>1315</v>
      </c>
      <c r="J295" s="4044" t="s">
        <v>1315</v>
      </c>
      <c r="K295" s="4131" t="s">
        <v>1315</v>
      </c>
      <c r="L295" s="8310" t="s">
        <v>13720</v>
      </c>
      <c r="M295" s="8311"/>
      <c r="N295" s="8311"/>
      <c r="O295" s="8311"/>
      <c r="P295" s="8311"/>
      <c r="Q295" s="8312"/>
      <c r="R295" s="4132" t="s">
        <v>1315</v>
      </c>
    </row>
    <row r="296" spans="1:18">
      <c r="A296" s="265">
        <v>272</v>
      </c>
      <c r="B296" s="595">
        <f t="shared" si="5"/>
        <v>0</v>
      </c>
      <c r="C296" s="4126" t="s">
        <v>13554</v>
      </c>
      <c r="D296" s="3869" t="s">
        <v>13554</v>
      </c>
      <c r="E296" s="4129"/>
      <c r="F296" s="4130">
        <f>COUNTIF(Sheele!$C$25:$H$36,C296)</f>
        <v>0</v>
      </c>
      <c r="G296" s="4044">
        <v>1</v>
      </c>
      <c r="H296" s="4189">
        <f>IF(OR($F296=0,$G296=0),0,MAX($H$134:H295)+1)</f>
        <v>0</v>
      </c>
      <c r="I296" s="4044" t="s">
        <v>1315</v>
      </c>
      <c r="J296" s="4044" t="s">
        <v>1315</v>
      </c>
      <c r="K296" s="4131" t="s">
        <v>1315</v>
      </c>
      <c r="L296" s="8310" t="s">
        <v>13721</v>
      </c>
      <c r="M296" s="8311"/>
      <c r="N296" s="8311"/>
      <c r="O296" s="8311"/>
      <c r="P296" s="8311"/>
      <c r="Q296" s="8312"/>
      <c r="R296" s="4132" t="s">
        <v>1315</v>
      </c>
    </row>
    <row r="297" spans="1:18">
      <c r="A297" s="265">
        <v>273</v>
      </c>
      <c r="B297" s="595">
        <f t="shared" si="5"/>
        <v>0</v>
      </c>
      <c r="C297" s="4126" t="s">
        <v>13555</v>
      </c>
      <c r="D297" s="3869" t="s">
        <v>13555</v>
      </c>
      <c r="E297" s="4129"/>
      <c r="F297" s="4130">
        <f>COUNTIF(Sheele!$C$25:$H$36,C297)</f>
        <v>0</v>
      </c>
      <c r="G297" s="4044"/>
      <c r="H297" s="4189">
        <f>IF(OR($F297=0,$G297=0),0,MAX($H$134:H296)+1)</f>
        <v>0</v>
      </c>
      <c r="I297" s="4044" t="s">
        <v>1315</v>
      </c>
      <c r="J297" s="4044" t="s">
        <v>1315</v>
      </c>
      <c r="K297" s="4131" t="s">
        <v>1315</v>
      </c>
      <c r="L297" s="8317" t="s">
        <v>13722</v>
      </c>
      <c r="M297" s="8311"/>
      <c r="N297" s="8311"/>
      <c r="O297" s="8311"/>
      <c r="P297" s="8311"/>
      <c r="Q297" s="8312"/>
      <c r="R297" s="4132" t="s">
        <v>1315</v>
      </c>
    </row>
    <row r="298" spans="1:18">
      <c r="A298" s="265">
        <v>274</v>
      </c>
      <c r="B298" s="595">
        <f t="shared" si="5"/>
        <v>0</v>
      </c>
      <c r="C298" s="4126" t="s">
        <v>13080</v>
      </c>
      <c r="D298" s="3869" t="s">
        <v>13080</v>
      </c>
      <c r="E298" s="4129"/>
      <c r="F298" s="4130">
        <f>COUNTIF(Sheele!$C$25:$H$36,C298)</f>
        <v>0</v>
      </c>
      <c r="G298" s="3869"/>
      <c r="H298" s="4189">
        <f>IF(OR($F298=0,$G298=0),0,MAX($H$134:H297)+1)</f>
        <v>0</v>
      </c>
      <c r="I298" s="4044" t="s">
        <v>1315</v>
      </c>
      <c r="J298" s="4044" t="s">
        <v>1315</v>
      </c>
      <c r="K298" s="4131" t="s">
        <v>1315</v>
      </c>
      <c r="L298" s="8313" t="s">
        <v>2514</v>
      </c>
      <c r="M298" s="8314"/>
      <c r="N298" s="8314"/>
      <c r="O298" s="8314"/>
      <c r="P298" s="8314"/>
      <c r="Q298" s="8315"/>
      <c r="R298" s="4132" t="s">
        <v>1315</v>
      </c>
    </row>
    <row r="299" spans="1:18">
      <c r="A299" s="265">
        <v>275</v>
      </c>
      <c r="B299" s="595">
        <f t="shared" si="5"/>
        <v>0</v>
      </c>
      <c r="C299" s="4127" t="s">
        <v>565</v>
      </c>
      <c r="D299" s="4215"/>
      <c r="E299" s="305"/>
      <c r="F299" s="2128"/>
      <c r="G299" s="2127"/>
      <c r="H299" s="4213"/>
      <c r="I299" s="306" t="s">
        <v>2500</v>
      </c>
      <c r="J299" s="2139" t="s">
        <v>2501</v>
      </c>
      <c r="K299" s="303" t="s">
        <v>1425</v>
      </c>
      <c r="L299" s="8304" t="s">
        <v>1408</v>
      </c>
      <c r="M299" s="8305"/>
      <c r="N299" s="8305"/>
      <c r="O299" s="8305"/>
      <c r="P299" s="8305"/>
      <c r="Q299" s="8306"/>
      <c r="R299" s="606"/>
    </row>
    <row r="300" spans="1:18">
      <c r="A300" s="265">
        <v>276</v>
      </c>
      <c r="B300" s="595">
        <f t="shared" si="5"/>
        <v>0</v>
      </c>
      <c r="C300" s="4126" t="s">
        <v>13556</v>
      </c>
      <c r="D300" s="3869" t="s">
        <v>13556</v>
      </c>
      <c r="E300" s="4129"/>
      <c r="F300" s="4130">
        <f>COUNTIF(Sheele!$C$25:$H$36,C300)</f>
        <v>0</v>
      </c>
      <c r="G300" s="4044">
        <v>1</v>
      </c>
      <c r="H300" s="4189">
        <f>IF(OR($F300=0,$G300=0),0,MAX($H$134:H299)+1)</f>
        <v>0</v>
      </c>
      <c r="I300" s="4044">
        <v>100</v>
      </c>
      <c r="J300" s="4044" t="s">
        <v>3048</v>
      </c>
      <c r="K300" s="4131" t="s">
        <v>1315</v>
      </c>
      <c r="L300" s="8316" t="s">
        <v>13723</v>
      </c>
      <c r="M300" s="8308"/>
      <c r="N300" s="8308"/>
      <c r="O300" s="8308"/>
      <c r="P300" s="8308"/>
      <c r="Q300" s="8309"/>
      <c r="R300" s="4132" t="s">
        <v>1315</v>
      </c>
    </row>
    <row r="301" spans="1:18">
      <c r="A301" s="265">
        <v>277</v>
      </c>
      <c r="B301" s="595">
        <f t="shared" si="5"/>
        <v>0</v>
      </c>
      <c r="C301" s="4126" t="s">
        <v>13557</v>
      </c>
      <c r="D301" s="3869" t="s">
        <v>13557</v>
      </c>
      <c r="E301" s="4129"/>
      <c r="F301" s="4130">
        <f>COUNTIF(Sheele!$C$25:$H$36,C301)</f>
        <v>0</v>
      </c>
      <c r="G301" s="4044">
        <v>1</v>
      </c>
      <c r="H301" s="4189">
        <f>IF(OR($F301=0,$G301=0),0,MAX($H$134:H300)+1)</f>
        <v>0</v>
      </c>
      <c r="I301" s="4044">
        <v>150</v>
      </c>
      <c r="J301" s="4044" t="s">
        <v>1315</v>
      </c>
      <c r="K301" s="4131" t="s">
        <v>1315</v>
      </c>
      <c r="L301" s="8310" t="s">
        <v>13724</v>
      </c>
      <c r="M301" s="8311"/>
      <c r="N301" s="8311"/>
      <c r="O301" s="8311"/>
      <c r="P301" s="8311"/>
      <c r="Q301" s="8312"/>
      <c r="R301" s="4132" t="s">
        <v>1315</v>
      </c>
    </row>
    <row r="302" spans="1:18">
      <c r="A302" s="265">
        <v>278</v>
      </c>
      <c r="B302" s="595">
        <f t="shared" si="5"/>
        <v>0</v>
      </c>
      <c r="C302" s="4126" t="s">
        <v>13558</v>
      </c>
      <c r="D302" s="3869" t="s">
        <v>13558</v>
      </c>
      <c r="E302" s="4129"/>
      <c r="F302" s="4130">
        <f>COUNTIF(Sheele!$C$25:$H$36,C302)</f>
        <v>0</v>
      </c>
      <c r="G302" s="4044">
        <v>1</v>
      </c>
      <c r="H302" s="4189">
        <f>IF(OR($F302=0,$G302=0),0,MAX($H$134:H301)+1)</f>
        <v>0</v>
      </c>
      <c r="I302" s="4044" t="s">
        <v>1315</v>
      </c>
      <c r="J302" s="4044" t="s">
        <v>1315</v>
      </c>
      <c r="K302" s="4131" t="s">
        <v>1315</v>
      </c>
      <c r="L302" s="8310" t="s">
        <v>13725</v>
      </c>
      <c r="M302" s="8311"/>
      <c r="N302" s="8311"/>
      <c r="O302" s="8311"/>
      <c r="P302" s="8311"/>
      <c r="Q302" s="8312"/>
      <c r="R302" s="4132" t="s">
        <v>1315</v>
      </c>
    </row>
    <row r="303" spans="1:18">
      <c r="A303" s="265">
        <v>279</v>
      </c>
      <c r="B303" s="595">
        <f t="shared" si="5"/>
        <v>0</v>
      </c>
      <c r="C303" s="4126" t="s">
        <v>13559</v>
      </c>
      <c r="D303" s="3869" t="s">
        <v>13559</v>
      </c>
      <c r="E303" s="4129"/>
      <c r="F303" s="4130">
        <f>COUNTIF(Sheele!$C$25:$H$36,C303)</f>
        <v>0</v>
      </c>
      <c r="G303" s="4044">
        <v>1</v>
      </c>
      <c r="H303" s="4189">
        <f>IF(OR($F303=0,$G303=0),0,MAX($H$134:H302)+1)</f>
        <v>0</v>
      </c>
      <c r="I303" s="4044">
        <v>300</v>
      </c>
      <c r="J303" s="4044">
        <f>Sheele!$F$46+50</f>
        <v>110</v>
      </c>
      <c r="K303" s="4131" t="s">
        <v>1315</v>
      </c>
      <c r="L303" s="8310" t="s">
        <v>13726</v>
      </c>
      <c r="M303" s="8311"/>
      <c r="N303" s="8311"/>
      <c r="O303" s="8311"/>
      <c r="P303" s="8311"/>
      <c r="Q303" s="8312"/>
      <c r="R303" s="4132" t="s">
        <v>1315</v>
      </c>
    </row>
    <row r="304" spans="1:18">
      <c r="A304" s="265">
        <v>280</v>
      </c>
      <c r="B304" s="595">
        <f t="shared" si="5"/>
        <v>0</v>
      </c>
      <c r="C304" s="4126" t="s">
        <v>13560</v>
      </c>
      <c r="D304" s="3869" t="s">
        <v>13560</v>
      </c>
      <c r="E304" s="4129"/>
      <c r="F304" s="4130">
        <f>COUNTIF(Sheele!$C$25:$H$36,C304)</f>
        <v>0</v>
      </c>
      <c r="G304" s="4044">
        <v>1</v>
      </c>
      <c r="H304" s="4189">
        <f>IF(OR($F304=0,$G304=0),0,MAX($H$134:H303)+1)</f>
        <v>0</v>
      </c>
      <c r="I304" s="4044">
        <v>350</v>
      </c>
      <c r="J304" s="4044" t="s">
        <v>1315</v>
      </c>
      <c r="K304" s="4131" t="s">
        <v>1315</v>
      </c>
      <c r="L304" s="8310" t="s">
        <v>13727</v>
      </c>
      <c r="M304" s="8311"/>
      <c r="N304" s="8311"/>
      <c r="O304" s="8311"/>
      <c r="P304" s="8311"/>
      <c r="Q304" s="8312"/>
      <c r="R304" s="4132" t="s">
        <v>1315</v>
      </c>
    </row>
    <row r="305" spans="1:18">
      <c r="A305" s="265">
        <v>281</v>
      </c>
      <c r="B305" s="595">
        <f t="shared" si="5"/>
        <v>0</v>
      </c>
      <c r="C305" s="4126" t="s">
        <v>13561</v>
      </c>
      <c r="D305" s="3869" t="s">
        <v>13561</v>
      </c>
      <c r="E305" s="4129"/>
      <c r="F305" s="4130">
        <f>COUNTIF(Sheele!$C$25:$H$36,C305)</f>
        <v>0</v>
      </c>
      <c r="G305" s="4044">
        <v>1</v>
      </c>
      <c r="H305" s="4189">
        <f>IF(OR($F305=0,$G305=0),0,MAX($H$134:H304)+1)</f>
        <v>0</v>
      </c>
      <c r="I305" s="4044" t="s">
        <v>1315</v>
      </c>
      <c r="J305" s="4044" t="s">
        <v>1315</v>
      </c>
      <c r="K305" s="4131" t="s">
        <v>1315</v>
      </c>
      <c r="L305" s="8310" t="s">
        <v>13728</v>
      </c>
      <c r="M305" s="8311"/>
      <c r="N305" s="8311"/>
      <c r="O305" s="8311"/>
      <c r="P305" s="8311"/>
      <c r="Q305" s="8312"/>
      <c r="R305" s="4132" t="s">
        <v>1315</v>
      </c>
    </row>
    <row r="306" spans="1:18">
      <c r="A306" s="265">
        <v>282</v>
      </c>
      <c r="B306" s="595">
        <f t="shared" si="5"/>
        <v>0</v>
      </c>
      <c r="C306" s="4126" t="s">
        <v>566</v>
      </c>
      <c r="D306" s="3869" t="s">
        <v>566</v>
      </c>
      <c r="E306" s="4129"/>
      <c r="F306" s="4130">
        <f>COUNTIF(Sheele!$C$25:$H$36,C306)</f>
        <v>0</v>
      </c>
      <c r="G306" s="4044">
        <v>1</v>
      </c>
      <c r="H306" s="4189">
        <f>IF(OR($F306=0,$G306=0),0,MAX($H$134:H305)+1)</f>
        <v>0</v>
      </c>
      <c r="I306" s="4044">
        <v>100</v>
      </c>
      <c r="J306" s="4044" t="s">
        <v>1315</v>
      </c>
      <c r="K306" s="4131" t="s">
        <v>1315</v>
      </c>
      <c r="L306" s="8317" t="s">
        <v>13729</v>
      </c>
      <c r="M306" s="8311"/>
      <c r="N306" s="8311"/>
      <c r="O306" s="8311"/>
      <c r="P306" s="8311"/>
      <c r="Q306" s="8312"/>
      <c r="R306" s="4132" t="s">
        <v>1315</v>
      </c>
    </row>
    <row r="307" spans="1:18">
      <c r="A307" s="265">
        <v>283</v>
      </c>
      <c r="B307" s="595">
        <f t="shared" ref="B307:B370" si="6">H307</f>
        <v>0</v>
      </c>
      <c r="C307" s="4126" t="s">
        <v>13562</v>
      </c>
      <c r="D307" s="3869" t="s">
        <v>13562</v>
      </c>
      <c r="E307" s="4129"/>
      <c r="F307" s="4130">
        <f>COUNTIF(Sheele!$C$25:$H$36,C307)</f>
        <v>0</v>
      </c>
      <c r="G307" s="4044">
        <v>1</v>
      </c>
      <c r="H307" s="4189">
        <f>IF(OR($F307=0,$G307=0),0,MAX($H$134:H306)+1)</f>
        <v>0</v>
      </c>
      <c r="I307" s="4044" t="s">
        <v>13731</v>
      </c>
      <c r="J307" s="4044">
        <f>Sheele!$F$46+50</f>
        <v>110</v>
      </c>
      <c r="K307" s="4131" t="s">
        <v>1315</v>
      </c>
      <c r="L307" s="8310" t="s">
        <v>13730</v>
      </c>
      <c r="M307" s="8311"/>
      <c r="N307" s="8311"/>
      <c r="O307" s="8311"/>
      <c r="P307" s="8311"/>
      <c r="Q307" s="8312"/>
      <c r="R307" s="4132" t="s">
        <v>1315</v>
      </c>
    </row>
    <row r="308" spans="1:18">
      <c r="A308" s="265">
        <v>284</v>
      </c>
      <c r="B308" s="595">
        <f t="shared" si="6"/>
        <v>0</v>
      </c>
      <c r="C308" s="4126" t="s">
        <v>13563</v>
      </c>
      <c r="D308" s="3869" t="s">
        <v>13563</v>
      </c>
      <c r="E308" s="4129"/>
      <c r="F308" s="4130">
        <f>COUNTIF(Sheele!$C$25:$H$36,C308)</f>
        <v>0</v>
      </c>
      <c r="G308" s="4044">
        <v>1</v>
      </c>
      <c r="H308" s="4189">
        <f>IF(OR($F308=0,$G308=0),0,MAX($H$134:H307)+1)</f>
        <v>0</v>
      </c>
      <c r="I308" s="4044" t="s">
        <v>1315</v>
      </c>
      <c r="J308" s="4044" t="s">
        <v>1315</v>
      </c>
      <c r="K308" s="4131" t="s">
        <v>1315</v>
      </c>
      <c r="L308" s="8310" t="s">
        <v>13732</v>
      </c>
      <c r="M308" s="8311"/>
      <c r="N308" s="8311"/>
      <c r="O308" s="8311"/>
      <c r="P308" s="8311"/>
      <c r="Q308" s="8312"/>
      <c r="R308" s="4132" t="s">
        <v>1315</v>
      </c>
    </row>
    <row r="309" spans="1:18">
      <c r="A309" s="265">
        <v>285</v>
      </c>
      <c r="B309" s="595">
        <f t="shared" si="6"/>
        <v>0</v>
      </c>
      <c r="C309" s="4126" t="s">
        <v>13080</v>
      </c>
      <c r="D309" s="3869" t="s">
        <v>13080</v>
      </c>
      <c r="E309" s="4129"/>
      <c r="F309" s="4130">
        <f>COUNTIF(Sheele!$C$25:$H$36,C309)</f>
        <v>0</v>
      </c>
      <c r="G309" s="3869"/>
      <c r="H309" s="4189">
        <f>IF(OR($F309=0,$G309=0),0,MAX($H$134:H308)+1)</f>
        <v>0</v>
      </c>
      <c r="I309" s="4044" t="s">
        <v>1315</v>
      </c>
      <c r="J309" s="4044" t="s">
        <v>1315</v>
      </c>
      <c r="K309" s="4131" t="s">
        <v>1315</v>
      </c>
      <c r="L309" s="8313" t="s">
        <v>2514</v>
      </c>
      <c r="M309" s="8314"/>
      <c r="N309" s="8314"/>
      <c r="O309" s="8314"/>
      <c r="P309" s="8314"/>
      <c r="Q309" s="8315"/>
      <c r="R309" s="4132" t="s">
        <v>1315</v>
      </c>
    </row>
    <row r="310" spans="1:18">
      <c r="A310" s="265">
        <v>286</v>
      </c>
      <c r="B310" s="595">
        <f t="shared" si="6"/>
        <v>0</v>
      </c>
      <c r="C310" s="4127" t="s">
        <v>514</v>
      </c>
      <c r="D310" s="4215"/>
      <c r="E310" s="305"/>
      <c r="F310" s="2128"/>
      <c r="G310" s="2127"/>
      <c r="H310" s="4213"/>
      <c r="I310" s="306" t="s">
        <v>2500</v>
      </c>
      <c r="J310" s="2139" t="s">
        <v>2501</v>
      </c>
      <c r="K310" s="303" t="s">
        <v>1425</v>
      </c>
      <c r="L310" s="8304" t="s">
        <v>1408</v>
      </c>
      <c r="M310" s="8305"/>
      <c r="N310" s="8305"/>
      <c r="O310" s="8305"/>
      <c r="P310" s="8305"/>
      <c r="Q310" s="8306"/>
      <c r="R310" s="606"/>
    </row>
    <row r="311" spans="1:18">
      <c r="A311" s="265">
        <v>287</v>
      </c>
      <c r="B311" s="595">
        <f t="shared" si="6"/>
        <v>0</v>
      </c>
      <c r="C311" s="4126" t="s">
        <v>13564</v>
      </c>
      <c r="D311" s="3869" t="s">
        <v>13564</v>
      </c>
      <c r="E311" s="4129"/>
      <c r="F311" s="4130">
        <f>COUNTIF(Sheele!$C$25:$H$36,C311)</f>
        <v>0</v>
      </c>
      <c r="G311" s="4044">
        <v>1</v>
      </c>
      <c r="H311" s="4189">
        <f>IF(OR($F311=0,$G311=0),0,MAX($H$134:H310)+1)</f>
        <v>0</v>
      </c>
      <c r="I311" s="4044" t="s">
        <v>1315</v>
      </c>
      <c r="J311" s="4044" t="s">
        <v>1315</v>
      </c>
      <c r="K311" s="4131" t="s">
        <v>1315</v>
      </c>
      <c r="L311" s="8316" t="s">
        <v>13733</v>
      </c>
      <c r="M311" s="8308"/>
      <c r="N311" s="8308"/>
      <c r="O311" s="8308"/>
      <c r="P311" s="8308"/>
      <c r="Q311" s="8309"/>
      <c r="R311" s="4132" t="s">
        <v>1315</v>
      </c>
    </row>
    <row r="312" spans="1:18">
      <c r="A312" s="265">
        <v>288</v>
      </c>
      <c r="B312" s="595">
        <f t="shared" si="6"/>
        <v>0</v>
      </c>
      <c r="C312" s="4126" t="s">
        <v>13565</v>
      </c>
      <c r="D312" s="3869" t="s">
        <v>13565</v>
      </c>
      <c r="E312" s="4129"/>
      <c r="F312" s="4130">
        <f>COUNTIF(Sheele!$C$25:$H$36,C312)</f>
        <v>0</v>
      </c>
      <c r="G312" s="4044">
        <v>1</v>
      </c>
      <c r="H312" s="4189">
        <f>IF(OR($F312=0,$G312=0),0,MAX($H$134:H311)+1)</f>
        <v>0</v>
      </c>
      <c r="I312" s="4044">
        <v>150</v>
      </c>
      <c r="J312" s="4044" t="s">
        <v>3048</v>
      </c>
      <c r="K312" s="4131" t="s">
        <v>1315</v>
      </c>
      <c r="L312" s="8310" t="s">
        <v>13734</v>
      </c>
      <c r="M312" s="8311"/>
      <c r="N312" s="8311"/>
      <c r="O312" s="8311"/>
      <c r="P312" s="8311"/>
      <c r="Q312" s="8312"/>
      <c r="R312" s="4132" t="s">
        <v>1315</v>
      </c>
    </row>
    <row r="313" spans="1:18">
      <c r="A313" s="265">
        <v>289</v>
      </c>
      <c r="B313" s="595">
        <f t="shared" si="6"/>
        <v>0</v>
      </c>
      <c r="C313" s="4126" t="s">
        <v>363</v>
      </c>
      <c r="D313" s="3869" t="s">
        <v>363</v>
      </c>
      <c r="E313" s="4129"/>
      <c r="F313" s="4130">
        <f>COUNTIF(Sheele!$C$25:$H$36,C313)</f>
        <v>0</v>
      </c>
      <c r="G313" s="4044">
        <v>1</v>
      </c>
      <c r="H313" s="4189">
        <f>IF(OR($F313=0,$G313=0),0,MAX($H$134:H312)+1)</f>
        <v>0</v>
      </c>
      <c r="I313" s="4044">
        <v>150</v>
      </c>
      <c r="J313" s="4044" t="s">
        <v>3048</v>
      </c>
      <c r="K313" s="4131" t="s">
        <v>1315</v>
      </c>
      <c r="L313" s="8310" t="s">
        <v>13735</v>
      </c>
      <c r="M313" s="8311"/>
      <c r="N313" s="8311"/>
      <c r="O313" s="8311"/>
      <c r="P313" s="8311"/>
      <c r="Q313" s="8312"/>
      <c r="R313" s="4132" t="s">
        <v>1315</v>
      </c>
    </row>
    <row r="314" spans="1:18">
      <c r="A314" s="265">
        <v>290</v>
      </c>
      <c r="B314" s="595">
        <f t="shared" si="6"/>
        <v>0</v>
      </c>
      <c r="C314" s="4126" t="s">
        <v>899</v>
      </c>
      <c r="D314" s="3869" t="s">
        <v>899</v>
      </c>
      <c r="E314" s="4129"/>
      <c r="F314" s="4130">
        <f>COUNTIF(Sheele!$C$25:$H$36,C314)</f>
        <v>0</v>
      </c>
      <c r="G314" s="4044">
        <v>1</v>
      </c>
      <c r="H314" s="4189">
        <f>IF(OR($F314=0,$G314=0),0,MAX($H$134:H313)+1)</f>
        <v>0</v>
      </c>
      <c r="I314" s="4044" t="s">
        <v>1315</v>
      </c>
      <c r="J314" s="4044" t="s">
        <v>1315</v>
      </c>
      <c r="K314" s="4131" t="s">
        <v>1315</v>
      </c>
      <c r="L314" s="8310" t="s">
        <v>13736</v>
      </c>
      <c r="M314" s="8311"/>
      <c r="N314" s="8311"/>
      <c r="O314" s="8311"/>
      <c r="P314" s="8311"/>
      <c r="Q314" s="8312"/>
      <c r="R314" s="4132" t="s">
        <v>1315</v>
      </c>
    </row>
    <row r="315" spans="1:18">
      <c r="A315" s="265">
        <v>291</v>
      </c>
      <c r="B315" s="595">
        <f t="shared" si="6"/>
        <v>0</v>
      </c>
      <c r="C315" s="4126" t="s">
        <v>13566</v>
      </c>
      <c r="D315" s="3869" t="s">
        <v>13566</v>
      </c>
      <c r="E315" s="4129"/>
      <c r="F315" s="4130">
        <f>COUNTIF(Sheele!$C$25:$H$36,C315)</f>
        <v>0</v>
      </c>
      <c r="G315" s="4044">
        <v>1</v>
      </c>
      <c r="H315" s="4189">
        <f>IF(OR($F315=0,$G315=0),0,MAX($H$134:H314)+1)</f>
        <v>0</v>
      </c>
      <c r="I315" s="4044" t="s">
        <v>9198</v>
      </c>
      <c r="J315" s="4044" t="s">
        <v>1315</v>
      </c>
      <c r="K315" s="4131" t="s">
        <v>1315</v>
      </c>
      <c r="L315" s="8310" t="s">
        <v>13737</v>
      </c>
      <c r="M315" s="8311"/>
      <c r="N315" s="8311"/>
      <c r="O315" s="8311"/>
      <c r="P315" s="8311"/>
      <c r="Q315" s="8312"/>
      <c r="R315" s="4132" t="s">
        <v>1315</v>
      </c>
    </row>
    <row r="316" spans="1:18">
      <c r="A316" s="265">
        <v>292</v>
      </c>
      <c r="B316" s="595">
        <f t="shared" si="6"/>
        <v>0</v>
      </c>
      <c r="C316" s="4126" t="s">
        <v>13567</v>
      </c>
      <c r="D316" s="3869" t="s">
        <v>13567</v>
      </c>
      <c r="E316" s="4129"/>
      <c r="F316" s="4130">
        <f>COUNTIF(Sheele!$C$25:$H$36,C316)</f>
        <v>0</v>
      </c>
      <c r="G316" s="4044">
        <v>1</v>
      </c>
      <c r="H316" s="4189">
        <f>IF(OR($F316=0,$G316=0),0,MAX($H$134:H315)+1)</f>
        <v>0</v>
      </c>
      <c r="I316" s="4044">
        <v>100</v>
      </c>
      <c r="J316" s="4044" t="s">
        <v>1315</v>
      </c>
      <c r="K316" s="4131" t="s">
        <v>1315</v>
      </c>
      <c r="L316" s="8310" t="s">
        <v>13738</v>
      </c>
      <c r="M316" s="8311"/>
      <c r="N316" s="8311"/>
      <c r="O316" s="8311"/>
      <c r="P316" s="8311"/>
      <c r="Q316" s="8312"/>
      <c r="R316" s="4132" t="s">
        <v>1315</v>
      </c>
    </row>
    <row r="317" spans="1:18">
      <c r="A317" s="265">
        <v>293</v>
      </c>
      <c r="B317" s="595">
        <f t="shared" si="6"/>
        <v>0</v>
      </c>
      <c r="C317" s="4126" t="s">
        <v>13568</v>
      </c>
      <c r="D317" s="3869" t="s">
        <v>13568</v>
      </c>
      <c r="E317" s="4129"/>
      <c r="F317" s="4130">
        <f>COUNTIF(Sheele!$C$25:$H$36,C317)</f>
        <v>0</v>
      </c>
      <c r="G317" s="4044"/>
      <c r="H317" s="4189">
        <f>IF(OR($F317=0,$G317=0),0,MAX($H$134:H316)+1)</f>
        <v>0</v>
      </c>
      <c r="I317" s="4044" t="s">
        <v>1315</v>
      </c>
      <c r="J317" s="4044" t="s">
        <v>1315</v>
      </c>
      <c r="K317" s="4131" t="s">
        <v>1315</v>
      </c>
      <c r="L317" s="8317" t="s">
        <v>13880</v>
      </c>
      <c r="M317" s="8311"/>
      <c r="N317" s="8311"/>
      <c r="O317" s="8311"/>
      <c r="P317" s="8311"/>
      <c r="Q317" s="8312"/>
      <c r="R317" s="4132" t="s">
        <v>1315</v>
      </c>
    </row>
    <row r="318" spans="1:18">
      <c r="A318" s="265">
        <v>294</v>
      </c>
      <c r="B318" s="595">
        <f t="shared" si="6"/>
        <v>0</v>
      </c>
      <c r="C318" s="4126" t="s">
        <v>13569</v>
      </c>
      <c r="D318" s="3869" t="s">
        <v>13569</v>
      </c>
      <c r="E318" s="4129"/>
      <c r="F318" s="4130">
        <f>COUNTIF(Sheele!$C$25:$H$36,C318)</f>
        <v>0</v>
      </c>
      <c r="G318" s="4044">
        <v>1</v>
      </c>
      <c r="H318" s="4189">
        <f>IF(OR($F318=0,$G318=0),0,MAX($H$134:H317)+1)</f>
        <v>0</v>
      </c>
      <c r="I318" s="4044">
        <v>100</v>
      </c>
      <c r="J318" s="4044" t="s">
        <v>1315</v>
      </c>
      <c r="K318" s="4131" t="s">
        <v>1315</v>
      </c>
      <c r="L318" s="8317" t="s">
        <v>13739</v>
      </c>
      <c r="M318" s="8311"/>
      <c r="N318" s="8311"/>
      <c r="O318" s="8311"/>
      <c r="P318" s="8311"/>
      <c r="Q318" s="8312"/>
      <c r="R318" s="4132" t="s">
        <v>1315</v>
      </c>
    </row>
    <row r="319" spans="1:18">
      <c r="A319" s="265">
        <v>295</v>
      </c>
      <c r="B319" s="595">
        <f t="shared" si="6"/>
        <v>0</v>
      </c>
      <c r="C319" s="4126" t="s">
        <v>13570</v>
      </c>
      <c r="D319" s="3869" t="s">
        <v>13570</v>
      </c>
      <c r="E319" s="4129"/>
      <c r="F319" s="4130">
        <f>COUNTIF(Sheele!$C$25:$H$36,C319)</f>
        <v>0</v>
      </c>
      <c r="G319" s="4044">
        <v>1</v>
      </c>
      <c r="H319" s="4189">
        <f>IF(OR($F319=0,$G319=0),0,MAX($H$134:H318)+1)</f>
        <v>0</v>
      </c>
      <c r="I319" s="4044" t="s">
        <v>1315</v>
      </c>
      <c r="J319" s="4044" t="s">
        <v>1315</v>
      </c>
      <c r="K319" s="4131" t="s">
        <v>1315</v>
      </c>
      <c r="L319" s="8310" t="s">
        <v>13740</v>
      </c>
      <c r="M319" s="8311"/>
      <c r="N319" s="8311"/>
      <c r="O319" s="8311"/>
      <c r="P319" s="8311"/>
      <c r="Q319" s="8312"/>
      <c r="R319" s="4132" t="s">
        <v>1315</v>
      </c>
    </row>
    <row r="320" spans="1:18">
      <c r="A320" s="265">
        <v>296</v>
      </c>
      <c r="B320" s="595">
        <f t="shared" si="6"/>
        <v>0</v>
      </c>
      <c r="C320" s="4126" t="s">
        <v>13080</v>
      </c>
      <c r="D320" s="3869" t="s">
        <v>13080</v>
      </c>
      <c r="E320" s="4129"/>
      <c r="F320" s="4130">
        <f>COUNTIF(Sheele!$C$25:$H$36,C320)</f>
        <v>0</v>
      </c>
      <c r="G320" s="3869"/>
      <c r="H320" s="4189">
        <f>IF(OR($F320=0,$G320=0),0,MAX($H$134:H319)+1)</f>
        <v>0</v>
      </c>
      <c r="I320" s="4044" t="s">
        <v>1315</v>
      </c>
      <c r="J320" s="4044" t="s">
        <v>1315</v>
      </c>
      <c r="K320" s="4131" t="s">
        <v>1315</v>
      </c>
      <c r="L320" s="8313" t="s">
        <v>2514</v>
      </c>
      <c r="M320" s="8314"/>
      <c r="N320" s="8314"/>
      <c r="O320" s="8314"/>
      <c r="P320" s="8314"/>
      <c r="Q320" s="8315"/>
      <c r="R320" s="4132" t="s">
        <v>1315</v>
      </c>
    </row>
    <row r="321" spans="1:18">
      <c r="A321" s="265">
        <v>297</v>
      </c>
      <c r="B321" s="595">
        <f t="shared" si="6"/>
        <v>0</v>
      </c>
      <c r="C321" s="4127" t="s">
        <v>555</v>
      </c>
      <c r="D321" s="4215"/>
      <c r="E321" s="305"/>
      <c r="F321" s="2128"/>
      <c r="G321" s="2127"/>
      <c r="H321" s="4213"/>
      <c r="I321" s="306" t="s">
        <v>2500</v>
      </c>
      <c r="J321" s="2139" t="s">
        <v>2501</v>
      </c>
      <c r="K321" s="303" t="s">
        <v>1425</v>
      </c>
      <c r="L321" s="8304" t="s">
        <v>1408</v>
      </c>
      <c r="M321" s="8305"/>
      <c r="N321" s="8305"/>
      <c r="O321" s="8305"/>
      <c r="P321" s="8305"/>
      <c r="Q321" s="8306"/>
      <c r="R321" s="606"/>
    </row>
    <row r="322" spans="1:18">
      <c r="A322" s="265">
        <v>298</v>
      </c>
      <c r="B322" s="595">
        <f t="shared" si="6"/>
        <v>0</v>
      </c>
      <c r="C322" s="4126" t="str">
        <f>IF(Sheele!$M$6="Sueños","Adormecer","Atormentar")</f>
        <v>Atormentar</v>
      </c>
      <c r="D322" s="3869" t="str">
        <f>IF(Sheele!$M$6="Sueños","Adormecer","Atormentar")</f>
        <v>Atormentar</v>
      </c>
      <c r="E322" s="4129"/>
      <c r="F322" s="4130">
        <f>COUNTIF(Sheele!$C$25:$H$36,C322)</f>
        <v>0</v>
      </c>
      <c r="G322" s="4044">
        <v>1</v>
      </c>
      <c r="H322" s="4189">
        <f>IF(OR($F322=0,$G322=0),0,MAX($H$134:H321)+1)</f>
        <v>0</v>
      </c>
      <c r="I322" s="4044">
        <v>80</v>
      </c>
      <c r="J322" s="4044">
        <f>Sheele!$F$46</f>
        <v>60</v>
      </c>
      <c r="K322" s="4131" t="s">
        <v>1315</v>
      </c>
      <c r="L322" s="8316" t="str">
        <f>IF(Sheele!$M$6="Sueños","Proyecta un ataque anímico. RM 120 o solo podrá realizar acciones pasivas.","Proyecta un ataque anímico. RM 120 o perderá 3 puntos de cansancio.")</f>
        <v>Proyecta un ataque anímico. RM 120 o perderá 3 puntos de cansancio.</v>
      </c>
      <c r="M322" s="8308"/>
      <c r="N322" s="8308"/>
      <c r="O322" s="8308"/>
      <c r="P322" s="8308"/>
      <c r="Q322" s="8309"/>
      <c r="R322" s="4132" t="s">
        <v>1315</v>
      </c>
    </row>
    <row r="323" spans="1:18">
      <c r="A323" s="265">
        <v>299</v>
      </c>
      <c r="B323" s="595">
        <f t="shared" si="6"/>
        <v>0</v>
      </c>
      <c r="C323" s="4126" t="str">
        <f>IF(Sheele!$M$6="Sueños","Vigilante Onírico","Ojos de Morfeo")</f>
        <v>Ojos de Morfeo</v>
      </c>
      <c r="D323" s="3869" t="str">
        <f>IF(Sheele!$M$6="Sueños","Vigilante Onírico","Ojos de Morfeo")</f>
        <v>Ojos de Morfeo</v>
      </c>
      <c r="E323" s="4129"/>
      <c r="F323" s="4130">
        <f>COUNTIF(Sheele!$C$25:$H$36,C323)</f>
        <v>0</v>
      </c>
      <c r="G323" s="4044">
        <v>1</v>
      </c>
      <c r="H323" s="4189">
        <f>IF(OR($F323=0,$G323=0),0,MAX($H$134:H322)+1)</f>
        <v>0</v>
      </c>
      <c r="I323" s="4044" t="str">
        <f>IF(Sheele!$M$6="Sueños","50 (10)","-")</f>
        <v>-</v>
      </c>
      <c r="J323" s="4044" t="s">
        <v>1315</v>
      </c>
      <c r="K323" s="4131" t="s">
        <v>1315</v>
      </c>
      <c r="L323" s="8310" t="str">
        <f>IF(Sheele!$M$6="Sueños","Es capaz de observar la Vigilia como una acción activa.","Observa de forma pasiva lo que el resto sueña comúnmente, incluso aunque no estén dormidos.")</f>
        <v>Observa de forma pasiva lo que el resto sueña comúnmente, incluso aunque no estén dormidos.</v>
      </c>
      <c r="M323" s="8311"/>
      <c r="N323" s="8311"/>
      <c r="O323" s="8311"/>
      <c r="P323" s="8311"/>
      <c r="Q323" s="8312"/>
      <c r="R323" s="4132" t="s">
        <v>1315</v>
      </c>
    </row>
    <row r="324" spans="1:18">
      <c r="A324" s="265">
        <v>300</v>
      </c>
      <c r="B324" s="595">
        <f t="shared" si="6"/>
        <v>0</v>
      </c>
      <c r="C324" s="4126" t="str">
        <f>IF(Sheele!$M$6="Sueños","Reforzar la membrana","Manifestar")</f>
        <v>Manifestar</v>
      </c>
      <c r="D324" s="3869" t="str">
        <f>IF(Sheele!$M$6="Sueños","Reforzar la membrana","Manifestar")</f>
        <v>Manifestar</v>
      </c>
      <c r="E324" s="4129"/>
      <c r="F324" s="4130">
        <f>COUNTIF(Sheele!$C$25:$H$36,C324)</f>
        <v>0</v>
      </c>
      <c r="G324" s="4044">
        <v>1</v>
      </c>
      <c r="H324" s="4189">
        <f>IF(OR($F324=0,$G324=0),0,MAX($H$134:H323)+1)</f>
        <v>0</v>
      </c>
      <c r="I324" s="4044" t="s">
        <v>13746</v>
      </c>
      <c r="J324" s="4044" t="s">
        <v>1315</v>
      </c>
      <c r="K324" s="4131" t="s">
        <v>1315</v>
      </c>
      <c r="L324" s="8310" t="str">
        <f>IF(Sheele!$M$6="Sueños","Reduce en 40 todas las habilidades de convocatoria que se lancen cerca.","Aumenta en 20 las habilidades de convocatoria que se lancen cerca.")</f>
        <v>Aumenta en 20 las habilidades de convocatoria que se lancen cerca.</v>
      </c>
      <c r="M324" s="8311"/>
      <c r="N324" s="8311"/>
      <c r="O324" s="8311"/>
      <c r="P324" s="8311"/>
      <c r="Q324" s="8312"/>
      <c r="R324" s="4132" t="s">
        <v>1315</v>
      </c>
    </row>
    <row r="325" spans="1:18">
      <c r="A325" s="265">
        <v>301</v>
      </c>
      <c r="B325" s="595">
        <f t="shared" si="6"/>
        <v>0</v>
      </c>
      <c r="C325" s="4126" t="str">
        <f>IF(Sheele!$M$6="Sueños","Internar en el sueño","Descarga de pesadilla")</f>
        <v>Descarga de pesadilla</v>
      </c>
      <c r="D325" s="3869" t="str">
        <f>IF(Sheele!$M$6="Sueños","Internar en el sueño","Descarga de pesadilla")</f>
        <v>Descarga de pesadilla</v>
      </c>
      <c r="E325" s="4129"/>
      <c r="F325" s="4130">
        <f>COUNTIF(Sheele!$C$25:$H$36,C325)</f>
        <v>0</v>
      </c>
      <c r="G325" s="4044">
        <v>1</v>
      </c>
      <c r="H325" s="4189">
        <f>IF(OR($F325=0,$G325=0),0,MAX($H$134:H324)+1)</f>
        <v>0</v>
      </c>
      <c r="I325" s="4044">
        <v>100</v>
      </c>
      <c r="J325" s="4044" t="s">
        <v>1315</v>
      </c>
      <c r="K325" s="4131" t="str">
        <f>IF(Sheele!$M$6="Sueños","-","60")</f>
        <v>60</v>
      </c>
      <c r="L325" s="8310" t="str">
        <f>IF(Sheele!$M$6="Sueños","Proyecta un ataque anímico. RM 140 o se duerme horas igual al nivel de fallo.","Proyecta un ataque visible que se considera daño fantasmal.")</f>
        <v>Proyecta un ataque visible que se considera daño fantasmal.</v>
      </c>
      <c r="M325" s="8311"/>
      <c r="N325" s="8311"/>
      <c r="O325" s="8311"/>
      <c r="P325" s="8311"/>
      <c r="Q325" s="8312"/>
      <c r="R325" s="4132" t="s">
        <v>1315</v>
      </c>
    </row>
    <row r="326" spans="1:18">
      <c r="A326" s="265">
        <v>302</v>
      </c>
      <c r="B326" s="595">
        <f t="shared" si="6"/>
        <v>0</v>
      </c>
      <c r="C326" s="4126" t="str">
        <f>IF(Sheele!$M$6="Sueños","Potenciación lumínica","Potenciación oscura")</f>
        <v>Potenciación oscura</v>
      </c>
      <c r="D326" s="3869" t="str">
        <f>IF(Sheele!$M$6="Sueños","Potenciación lumínica","Potenciación oscura")</f>
        <v>Potenciación oscura</v>
      </c>
      <c r="E326" s="4129"/>
      <c r="F326" s="4130">
        <f>COUNTIF(Sheele!$C$25:$H$36,C326)</f>
        <v>0</v>
      </c>
      <c r="G326" s="4044">
        <v>1</v>
      </c>
      <c r="H326" s="4189">
        <f>IF(OR($F326=0,$G326=0),0,MAX($H$134:H325)+1)</f>
        <v>0</v>
      </c>
      <c r="I326" s="4044" t="s">
        <v>1315</v>
      </c>
      <c r="J326" s="4044" t="s">
        <v>1315</v>
      </c>
      <c r="K326" s="4131" t="s">
        <v>1315</v>
      </c>
      <c r="L326" s="8310" t="str">
        <f>IF(Sheele!$M$6="Sueños","+20 a su ACT en zonas de la Vigilia afines a la luz, y un +10 en su reflejo en el mundo real","+20 a su ACT en zonas de la Vigilia afines a la oscuridad, y un +10 en su reflejo en el mundo real.")</f>
        <v>+20 a su ACT en zonas de la Vigilia afines a la oscuridad, y un +10 en su reflejo en el mundo real.</v>
      </c>
      <c r="M326" s="8311"/>
      <c r="N326" s="8311"/>
      <c r="O326" s="8311"/>
      <c r="P326" s="8311"/>
      <c r="Q326" s="8312"/>
      <c r="R326" s="4132" t="s">
        <v>1315</v>
      </c>
    </row>
    <row r="327" spans="1:18">
      <c r="A327" s="265">
        <v>303</v>
      </c>
      <c r="B327" s="595">
        <f t="shared" si="6"/>
        <v>0</v>
      </c>
      <c r="C327" s="4126" t="s">
        <v>13574</v>
      </c>
      <c r="D327" s="3869" t="s">
        <v>13574</v>
      </c>
      <c r="E327" s="4129"/>
      <c r="F327" s="4130">
        <f>COUNTIF(Sheele!$C$25:$H$36,C327)</f>
        <v>0</v>
      </c>
      <c r="G327" s="4044">
        <v>1</v>
      </c>
      <c r="H327" s="4189">
        <f>IF(OR($F327=0,$G327=0),0,MAX($H$134:H326)+1)</f>
        <v>0</v>
      </c>
      <c r="I327" s="4044" t="s">
        <v>1315</v>
      </c>
      <c r="J327" s="4044" t="s">
        <v>1315</v>
      </c>
      <c r="K327" s="4131" t="s">
        <v>1315</v>
      </c>
      <c r="L327" s="8310" t="s">
        <v>13742</v>
      </c>
      <c r="M327" s="8311"/>
      <c r="N327" s="8311"/>
      <c r="O327" s="8311"/>
      <c r="P327" s="8311"/>
      <c r="Q327" s="8312"/>
      <c r="R327" s="4132" t="s">
        <v>1315</v>
      </c>
    </row>
    <row r="328" spans="1:18">
      <c r="A328" s="265">
        <v>304</v>
      </c>
      <c r="B328" s="595">
        <f t="shared" si="6"/>
        <v>0</v>
      </c>
      <c r="C328" s="4126" t="s">
        <v>13573</v>
      </c>
      <c r="D328" s="3869" t="s">
        <v>13573</v>
      </c>
      <c r="E328" s="4129"/>
      <c r="F328" s="4130">
        <f>COUNTIF(Sheele!$C$25:$H$36,C328)</f>
        <v>0</v>
      </c>
      <c r="G328" s="4044">
        <v>1</v>
      </c>
      <c r="H328" s="4189">
        <f>IF(OR($F328=0,$G328=0),0,MAX($H$134:H327)+1)</f>
        <v>0</v>
      </c>
      <c r="I328" s="4044" t="s">
        <v>1315</v>
      </c>
      <c r="J328" s="4044" t="s">
        <v>1315</v>
      </c>
      <c r="K328" s="4131" t="s">
        <v>1315</v>
      </c>
      <c r="L328" s="8310" t="s">
        <v>13743</v>
      </c>
      <c r="M328" s="8311"/>
      <c r="N328" s="8311"/>
      <c r="O328" s="8311"/>
      <c r="P328" s="8311"/>
      <c r="Q328" s="8312"/>
      <c r="R328" s="4132" t="s">
        <v>1315</v>
      </c>
    </row>
    <row r="329" spans="1:18">
      <c r="A329" s="265">
        <v>305</v>
      </c>
      <c r="B329" s="595">
        <f t="shared" si="6"/>
        <v>0</v>
      </c>
      <c r="C329" s="4126" t="s">
        <v>13572</v>
      </c>
      <c r="D329" s="3869" t="s">
        <v>13572</v>
      </c>
      <c r="E329" s="4129"/>
      <c r="F329" s="4130">
        <f>COUNTIF(Sheele!$C$25:$H$36,C329)</f>
        <v>0</v>
      </c>
      <c r="G329" s="4044">
        <v>1</v>
      </c>
      <c r="H329" s="4189">
        <f>IF(OR($F329=0,$G329=0),0,MAX($H$134:H328)+1)</f>
        <v>0</v>
      </c>
      <c r="I329" s="4044" t="s">
        <v>1315</v>
      </c>
      <c r="J329" s="4044" t="s">
        <v>1315</v>
      </c>
      <c r="K329" s="4131" t="s">
        <v>1315</v>
      </c>
      <c r="L329" s="8317" t="s">
        <v>13744</v>
      </c>
      <c r="M329" s="8311"/>
      <c r="N329" s="8311"/>
      <c r="O329" s="8311"/>
      <c r="P329" s="8311"/>
      <c r="Q329" s="8312"/>
      <c r="R329" s="4132" t="s">
        <v>1315</v>
      </c>
    </row>
    <row r="330" spans="1:18">
      <c r="A330" s="265">
        <v>306</v>
      </c>
      <c r="B330" s="595">
        <f t="shared" si="6"/>
        <v>0</v>
      </c>
      <c r="C330" s="4126" t="s">
        <v>13571</v>
      </c>
      <c r="D330" s="3869" t="s">
        <v>13571</v>
      </c>
      <c r="E330" s="4129"/>
      <c r="F330" s="4130">
        <f>COUNTIF(Sheele!$C$25:$H$36,C330)</f>
        <v>0</v>
      </c>
      <c r="G330" s="4044">
        <v>1</v>
      </c>
      <c r="H330" s="4189">
        <f>IF(OR($F330=0,$G330=0),0,MAX($H$134:H329)+1)</f>
        <v>0</v>
      </c>
      <c r="I330" s="4044" t="s">
        <v>1315</v>
      </c>
      <c r="J330" s="4044" t="s">
        <v>1315</v>
      </c>
      <c r="K330" s="4131" t="s">
        <v>1315</v>
      </c>
      <c r="L330" s="8310" t="s">
        <v>13745</v>
      </c>
      <c r="M330" s="8311"/>
      <c r="N330" s="8311"/>
      <c r="O330" s="8311"/>
      <c r="P330" s="8311"/>
      <c r="Q330" s="8312"/>
      <c r="R330" s="4132" t="s">
        <v>1315</v>
      </c>
    </row>
    <row r="331" spans="1:18">
      <c r="A331" s="265">
        <v>307</v>
      </c>
      <c r="B331" s="595">
        <f t="shared" si="6"/>
        <v>0</v>
      </c>
      <c r="C331" s="4126" t="s">
        <v>13080</v>
      </c>
      <c r="D331" s="3869" t="s">
        <v>13080</v>
      </c>
      <c r="E331" s="4129"/>
      <c r="F331" s="4130">
        <f>COUNTIF(Sheele!$C$25:$H$36,C331)</f>
        <v>0</v>
      </c>
      <c r="G331" s="3869"/>
      <c r="H331" s="4189">
        <f>IF(OR($F331=0,$G331=0),0,MAX($H$134:H330)+1)</f>
        <v>0</v>
      </c>
      <c r="I331" s="4044" t="s">
        <v>1315</v>
      </c>
      <c r="J331" s="4044" t="s">
        <v>1315</v>
      </c>
      <c r="K331" s="4131" t="s">
        <v>1315</v>
      </c>
      <c r="L331" s="8313" t="s">
        <v>2514</v>
      </c>
      <c r="M331" s="8314"/>
      <c r="N331" s="8314"/>
      <c r="O331" s="8314"/>
      <c r="P331" s="8314"/>
      <c r="Q331" s="8315"/>
      <c r="R331" s="4132" t="s">
        <v>1315</v>
      </c>
    </row>
    <row r="332" spans="1:18">
      <c r="A332" s="265">
        <v>308</v>
      </c>
      <c r="B332" s="595">
        <f t="shared" si="6"/>
        <v>0</v>
      </c>
      <c r="C332" s="4127" t="s">
        <v>485</v>
      </c>
      <c r="D332" s="4215"/>
      <c r="E332" s="305"/>
      <c r="F332" s="2128"/>
      <c r="G332" s="2127"/>
      <c r="H332" s="4213"/>
      <c r="I332" s="306" t="s">
        <v>2500</v>
      </c>
      <c r="J332" s="2139" t="s">
        <v>2501</v>
      </c>
      <c r="K332" s="303" t="s">
        <v>1425</v>
      </c>
      <c r="L332" s="8304" t="s">
        <v>1408</v>
      </c>
      <c r="M332" s="8305"/>
      <c r="N332" s="8305"/>
      <c r="O332" s="8305"/>
      <c r="P332" s="8305"/>
      <c r="Q332" s="8306"/>
      <c r="R332" s="606"/>
    </row>
    <row r="333" spans="1:18">
      <c r="A333" s="265">
        <v>309</v>
      </c>
      <c r="B333" s="595">
        <f t="shared" si="6"/>
        <v>0</v>
      </c>
      <c r="C333" s="4126" t="s">
        <v>13575</v>
      </c>
      <c r="D333" s="3869" t="s">
        <v>13575</v>
      </c>
      <c r="E333" s="4129"/>
      <c r="F333" s="4130">
        <f>COUNTIF(Sheele!$C$25:$H$36,C333)</f>
        <v>0</v>
      </c>
      <c r="G333" s="4044">
        <v>1</v>
      </c>
      <c r="H333" s="4189">
        <f>IF(OR($F333=0,$G333=0),0,MAX($H$134:H332)+1)</f>
        <v>0</v>
      </c>
      <c r="I333" s="4044" t="s">
        <v>13748</v>
      </c>
      <c r="J333" s="4044" t="s">
        <v>1315</v>
      </c>
      <c r="K333" s="4131" t="s">
        <v>1315</v>
      </c>
      <c r="L333" s="8316" t="s">
        <v>13747</v>
      </c>
      <c r="M333" s="8308"/>
      <c r="N333" s="8308"/>
      <c r="O333" s="8308"/>
      <c r="P333" s="8308"/>
      <c r="Q333" s="8309"/>
      <c r="R333" s="4132" t="s">
        <v>1315</v>
      </c>
    </row>
    <row r="334" spans="1:18">
      <c r="A334" s="265">
        <v>310</v>
      </c>
      <c r="B334" s="595">
        <f t="shared" si="6"/>
        <v>0</v>
      </c>
      <c r="C334" s="4126" t="s">
        <v>6001</v>
      </c>
      <c r="D334" s="3869" t="s">
        <v>6001</v>
      </c>
      <c r="E334" s="4129"/>
      <c r="F334" s="4130">
        <f>COUNTIF(Sheele!$C$25:$H$36,C334)</f>
        <v>0</v>
      </c>
      <c r="G334" s="4044">
        <v>1</v>
      </c>
      <c r="H334" s="4189">
        <f>IF(OR($F334=0,$G334=0),0,MAX($H$134:H333)+1)</f>
        <v>0</v>
      </c>
      <c r="I334" s="4044" t="s">
        <v>1315</v>
      </c>
      <c r="J334" s="4044" t="s">
        <v>3048</v>
      </c>
      <c r="K334" s="4131" t="s">
        <v>1315</v>
      </c>
      <c r="L334" s="8310" t="s">
        <v>13749</v>
      </c>
      <c r="M334" s="8311"/>
      <c r="N334" s="8311"/>
      <c r="O334" s="8311"/>
      <c r="P334" s="8311"/>
      <c r="Q334" s="8312"/>
      <c r="R334" s="4132" t="s">
        <v>1315</v>
      </c>
    </row>
    <row r="335" spans="1:18">
      <c r="A335" s="265">
        <v>311</v>
      </c>
      <c r="B335" s="595">
        <f t="shared" si="6"/>
        <v>0</v>
      </c>
      <c r="C335" s="4126" t="s">
        <v>13576</v>
      </c>
      <c r="D335" s="3869" t="s">
        <v>13576</v>
      </c>
      <c r="E335" s="4129"/>
      <c r="F335" s="4130">
        <f>COUNTIF(Sheele!$C$25:$H$36,C335)</f>
        <v>0</v>
      </c>
      <c r="G335" s="4044">
        <v>1</v>
      </c>
      <c r="H335" s="4189">
        <f>IF(OR($F335=0,$G335=0),0,MAX($H$134:H334)+1)</f>
        <v>0</v>
      </c>
      <c r="I335" s="4044" t="s">
        <v>1315</v>
      </c>
      <c r="J335" s="4044" t="s">
        <v>1315</v>
      </c>
      <c r="K335" s="4131" t="s">
        <v>1315</v>
      </c>
      <c r="L335" s="8310" t="s">
        <v>13750</v>
      </c>
      <c r="M335" s="8311"/>
      <c r="N335" s="8311"/>
      <c r="O335" s="8311"/>
      <c r="P335" s="8311"/>
      <c r="Q335" s="8312"/>
      <c r="R335" s="4132" t="s">
        <v>1315</v>
      </c>
    </row>
    <row r="336" spans="1:18">
      <c r="A336" s="265">
        <v>312</v>
      </c>
      <c r="B336" s="595">
        <f t="shared" si="6"/>
        <v>0</v>
      </c>
      <c r="C336" s="4126" t="s">
        <v>13577</v>
      </c>
      <c r="D336" s="3869" t="s">
        <v>13577</v>
      </c>
      <c r="E336" s="4129"/>
      <c r="F336" s="4130">
        <f>COUNTIF(Sheele!$C$25:$H$36,C336)</f>
        <v>0</v>
      </c>
      <c r="G336" s="4044">
        <v>1</v>
      </c>
      <c r="H336" s="4189">
        <f>IF(OR($F336=0,$G336=0),0,MAX($H$134:H335)+1)</f>
        <v>0</v>
      </c>
      <c r="I336" s="4044">
        <v>300</v>
      </c>
      <c r="J336" s="4044">
        <f>Sheele!$F$46</f>
        <v>60</v>
      </c>
      <c r="K336" s="4131">
        <f>Presencia_final/2</f>
        <v>15</v>
      </c>
      <c r="L336" s="8310" t="s">
        <v>13751</v>
      </c>
      <c r="M336" s="8311"/>
      <c r="N336" s="8311"/>
      <c r="O336" s="8311"/>
      <c r="P336" s="8311"/>
      <c r="Q336" s="8312"/>
      <c r="R336" s="4132" t="s">
        <v>1315</v>
      </c>
    </row>
    <row r="337" spans="1:18">
      <c r="A337" s="265">
        <v>313</v>
      </c>
      <c r="B337" s="595">
        <f t="shared" si="6"/>
        <v>0</v>
      </c>
      <c r="C337" s="4126" t="s">
        <v>13578</v>
      </c>
      <c r="D337" s="3869" t="s">
        <v>13578</v>
      </c>
      <c r="E337" s="4129"/>
      <c r="F337" s="4130">
        <f>COUNTIF(Sheele!$C$25:$H$36,C337)</f>
        <v>0</v>
      </c>
      <c r="G337" s="4044">
        <v>1</v>
      </c>
      <c r="H337" s="4189">
        <f>IF(OR($F337=0,$G337=0),0,MAX($H$134:H336)+1)</f>
        <v>0</v>
      </c>
      <c r="I337" s="4044" t="s">
        <v>1315</v>
      </c>
      <c r="J337" s="4044" t="s">
        <v>3048</v>
      </c>
      <c r="K337" s="4131" t="s">
        <v>1315</v>
      </c>
      <c r="L337" s="8310" t="s">
        <v>13752</v>
      </c>
      <c r="M337" s="8311"/>
      <c r="N337" s="8311"/>
      <c r="O337" s="8311"/>
      <c r="P337" s="8311"/>
      <c r="Q337" s="8312"/>
      <c r="R337" s="4132" t="s">
        <v>1315</v>
      </c>
    </row>
    <row r="338" spans="1:18">
      <c r="A338" s="265">
        <v>314</v>
      </c>
      <c r="B338" s="595">
        <f t="shared" si="6"/>
        <v>0</v>
      </c>
      <c r="C338" s="4126" t="s">
        <v>13579</v>
      </c>
      <c r="D338" s="3869" t="s">
        <v>13579</v>
      </c>
      <c r="E338" s="4129"/>
      <c r="F338" s="4130">
        <f>COUNTIF(Sheele!$C$25:$H$36,C338)</f>
        <v>0</v>
      </c>
      <c r="G338" s="4044">
        <v>1</v>
      </c>
      <c r="H338" s="4189">
        <f>IF(OR($F338=0,$G338=0),0,MAX($H$134:H337)+1)</f>
        <v>0</v>
      </c>
      <c r="I338" s="4044">
        <v>300</v>
      </c>
      <c r="J338" s="4044" t="s">
        <v>1315</v>
      </c>
      <c r="K338" s="4131" t="s">
        <v>1315</v>
      </c>
      <c r="L338" s="8310" t="s">
        <v>13753</v>
      </c>
      <c r="M338" s="8311"/>
      <c r="N338" s="8311"/>
      <c r="O338" s="8311"/>
      <c r="P338" s="8311"/>
      <c r="Q338" s="8312"/>
      <c r="R338" s="4132" t="s">
        <v>1315</v>
      </c>
    </row>
    <row r="339" spans="1:18">
      <c r="A339" s="265">
        <v>315</v>
      </c>
      <c r="B339" s="595">
        <f t="shared" si="6"/>
        <v>0</v>
      </c>
      <c r="C339" s="4126" t="s">
        <v>13580</v>
      </c>
      <c r="D339" s="3869" t="s">
        <v>13580</v>
      </c>
      <c r="E339" s="4129"/>
      <c r="F339" s="4130">
        <f>COUNTIF(Sheele!$C$25:$H$36,C339)</f>
        <v>0</v>
      </c>
      <c r="G339" s="4044">
        <v>1</v>
      </c>
      <c r="H339" s="4189">
        <f>IF(OR($F339=0,$G339=0),0,MAX($H$134:H338)+1)</f>
        <v>0</v>
      </c>
      <c r="I339" s="4044" t="s">
        <v>13755</v>
      </c>
      <c r="J339" s="4044" t="s">
        <v>1315</v>
      </c>
      <c r="K339" s="4131" t="s">
        <v>1315</v>
      </c>
      <c r="L339" s="8317" t="s">
        <v>13754</v>
      </c>
      <c r="M339" s="8311"/>
      <c r="N339" s="8311"/>
      <c r="O339" s="8311"/>
      <c r="P339" s="8311"/>
      <c r="Q339" s="8312"/>
      <c r="R339" s="4132" t="s">
        <v>1315</v>
      </c>
    </row>
    <row r="340" spans="1:18">
      <c r="A340" s="265">
        <v>316</v>
      </c>
      <c r="B340" s="595">
        <f t="shared" si="6"/>
        <v>0</v>
      </c>
      <c r="C340" s="4126" t="s">
        <v>13581</v>
      </c>
      <c r="D340" s="3869" t="s">
        <v>13581</v>
      </c>
      <c r="E340" s="4129"/>
      <c r="F340" s="4130">
        <f>COUNTIF(Sheele!$C$25:$H$36,C340)</f>
        <v>0</v>
      </c>
      <c r="G340" s="4044"/>
      <c r="H340" s="4189">
        <f>IF(OR($F340=0,$G340=0),0,MAX($H$134:H339)+1)</f>
        <v>0</v>
      </c>
      <c r="I340" s="4044" t="s">
        <v>1315</v>
      </c>
      <c r="J340" s="4044" t="s">
        <v>1315</v>
      </c>
      <c r="K340" s="4131" t="s">
        <v>1315</v>
      </c>
      <c r="L340" s="8317" t="s">
        <v>13756</v>
      </c>
      <c r="M340" s="8311"/>
      <c r="N340" s="8311"/>
      <c r="O340" s="8311"/>
      <c r="P340" s="8311"/>
      <c r="Q340" s="8312"/>
      <c r="R340" s="4132" t="s">
        <v>1315</v>
      </c>
    </row>
    <row r="341" spans="1:18">
      <c r="A341" s="265">
        <v>317</v>
      </c>
      <c r="B341" s="595">
        <f t="shared" si="6"/>
        <v>0</v>
      </c>
      <c r="C341" s="4126" t="s">
        <v>218</v>
      </c>
      <c r="D341" s="3869" t="s">
        <v>218</v>
      </c>
      <c r="E341" s="4129"/>
      <c r="F341" s="4130">
        <f>COUNTIF(Sheele!$C$25:$H$36,C341)</f>
        <v>0</v>
      </c>
      <c r="G341" s="4044">
        <v>1</v>
      </c>
      <c r="H341" s="4189">
        <f>IF(OR($F341=0,$G341=0),0,MAX($H$134:H340)+1)</f>
        <v>0</v>
      </c>
      <c r="I341" s="4044">
        <v>150</v>
      </c>
      <c r="J341" s="4044" t="s">
        <v>1315</v>
      </c>
      <c r="K341" s="4131" t="s">
        <v>1315</v>
      </c>
      <c r="L341" s="8310" t="s">
        <v>13757</v>
      </c>
      <c r="M341" s="8311"/>
      <c r="N341" s="8311"/>
      <c r="O341" s="8311"/>
      <c r="P341" s="8311"/>
      <c r="Q341" s="8312"/>
      <c r="R341" s="4132" t="s">
        <v>1315</v>
      </c>
    </row>
    <row r="342" spans="1:18">
      <c r="A342" s="265">
        <v>318</v>
      </c>
      <c r="B342" s="595">
        <f t="shared" si="6"/>
        <v>0</v>
      </c>
      <c r="C342" s="4126" t="s">
        <v>13080</v>
      </c>
      <c r="D342" s="3869" t="s">
        <v>13080</v>
      </c>
      <c r="E342" s="4129"/>
      <c r="F342" s="4130">
        <f>COUNTIF(Sheele!$C$25:$H$36,C342)</f>
        <v>0</v>
      </c>
      <c r="G342" s="3869"/>
      <c r="H342" s="4189">
        <f>IF(OR($F342=0,$G342=0),0,MAX($H$134:H341)+1)</f>
        <v>0</v>
      </c>
      <c r="I342" s="4044" t="s">
        <v>1315</v>
      </c>
      <c r="J342" s="4044" t="s">
        <v>1315</v>
      </c>
      <c r="K342" s="4131" t="s">
        <v>1315</v>
      </c>
      <c r="L342" s="8313" t="s">
        <v>2514</v>
      </c>
      <c r="M342" s="8314"/>
      <c r="N342" s="8314"/>
      <c r="O342" s="8314"/>
      <c r="P342" s="8314"/>
      <c r="Q342" s="8315"/>
      <c r="R342" s="4132" t="s">
        <v>1315</v>
      </c>
    </row>
    <row r="343" spans="1:18">
      <c r="A343" s="265">
        <v>319</v>
      </c>
      <c r="B343" s="595">
        <f t="shared" si="6"/>
        <v>0</v>
      </c>
      <c r="C343" s="4127" t="s">
        <v>453</v>
      </c>
      <c r="D343" s="4215"/>
      <c r="E343" s="305"/>
      <c r="F343" s="2128"/>
      <c r="G343" s="2127"/>
      <c r="H343" s="4213"/>
      <c r="I343" s="306" t="s">
        <v>2500</v>
      </c>
      <c r="J343" s="2139" t="s">
        <v>2501</v>
      </c>
      <c r="K343" s="303" t="s">
        <v>1425</v>
      </c>
      <c r="L343" s="8304" t="s">
        <v>1408</v>
      </c>
      <c r="M343" s="8305"/>
      <c r="N343" s="8305"/>
      <c r="O343" s="8305"/>
      <c r="P343" s="8305"/>
      <c r="Q343" s="8306"/>
      <c r="R343" s="606"/>
    </row>
    <row r="344" spans="1:18">
      <c r="A344" s="265">
        <v>320</v>
      </c>
      <c r="B344" s="595">
        <f t="shared" si="6"/>
        <v>0</v>
      </c>
      <c r="C344" s="4126" t="s">
        <v>13582</v>
      </c>
      <c r="D344" s="3869" t="s">
        <v>13582</v>
      </c>
      <c r="E344" s="4129"/>
      <c r="F344" s="4130">
        <f>COUNTIF(Sheele!$C$25:$H$36,C344)</f>
        <v>0</v>
      </c>
      <c r="G344" s="4044">
        <v>1</v>
      </c>
      <c r="H344" s="4189">
        <f>IF(OR($F344=0,$G344=0),0,MAX($H$134:H343)+1)</f>
        <v>0</v>
      </c>
      <c r="I344" s="4044">
        <v>250</v>
      </c>
      <c r="J344" s="4044" t="s">
        <v>3048</v>
      </c>
      <c r="K344" s="4131" t="s">
        <v>1315</v>
      </c>
      <c r="L344" s="8316" t="s">
        <v>13758</v>
      </c>
      <c r="M344" s="8308"/>
      <c r="N344" s="8308"/>
      <c r="O344" s="8308"/>
      <c r="P344" s="8308"/>
      <c r="Q344" s="8309"/>
      <c r="R344" s="4132" t="s">
        <v>1315</v>
      </c>
    </row>
    <row r="345" spans="1:18">
      <c r="A345" s="265">
        <v>321</v>
      </c>
      <c r="B345" s="595">
        <f t="shared" si="6"/>
        <v>0</v>
      </c>
      <c r="C345" s="4126" t="s">
        <v>13583</v>
      </c>
      <c r="D345" s="3869" t="s">
        <v>13583</v>
      </c>
      <c r="E345" s="4129"/>
      <c r="F345" s="4130">
        <f>COUNTIF(Sheele!$C$25:$H$36,C345)</f>
        <v>0</v>
      </c>
      <c r="G345" s="4044">
        <v>1</v>
      </c>
      <c r="H345" s="4189">
        <f>IF(OR($F345=0,$G345=0),0,MAX($H$134:H344)+1)</f>
        <v>0</v>
      </c>
      <c r="I345" s="4044" t="s">
        <v>13759</v>
      </c>
      <c r="J345" s="4044" t="s">
        <v>1315</v>
      </c>
      <c r="K345" s="4131" t="s">
        <v>1315</v>
      </c>
      <c r="L345" s="8310" t="s">
        <v>13760</v>
      </c>
      <c r="M345" s="8311"/>
      <c r="N345" s="8311"/>
      <c r="O345" s="8311"/>
      <c r="P345" s="8311"/>
      <c r="Q345" s="8312"/>
      <c r="R345" s="4132" t="s">
        <v>1315</v>
      </c>
    </row>
    <row r="346" spans="1:18">
      <c r="A346" s="265">
        <v>322</v>
      </c>
      <c r="B346" s="595">
        <f t="shared" si="6"/>
        <v>0</v>
      </c>
      <c r="C346" s="4126" t="s">
        <v>6124</v>
      </c>
      <c r="D346" s="3869" t="s">
        <v>6124</v>
      </c>
      <c r="E346" s="4129"/>
      <c r="F346" s="4130">
        <f>COUNTIF(Sheele!$C$25:$H$36,C346)</f>
        <v>0</v>
      </c>
      <c r="G346" s="4044">
        <v>1</v>
      </c>
      <c r="H346" s="4189">
        <f>IF(OR($F346=0,$G346=0),0,MAX($H$134:H345)+1)</f>
        <v>0</v>
      </c>
      <c r="I346" s="4044">
        <v>150</v>
      </c>
      <c r="J346" s="4044">
        <f>Sheele!$F$46</f>
        <v>60</v>
      </c>
      <c r="K346" s="4131" t="s">
        <v>1315</v>
      </c>
      <c r="L346" s="8310" t="s">
        <v>13761</v>
      </c>
      <c r="M346" s="8311"/>
      <c r="N346" s="8311"/>
      <c r="O346" s="8311"/>
      <c r="P346" s="8311"/>
      <c r="Q346" s="8312"/>
      <c r="R346" s="4132" t="s">
        <v>1315</v>
      </c>
    </row>
    <row r="347" spans="1:18">
      <c r="A347" s="265">
        <v>323</v>
      </c>
      <c r="B347" s="595">
        <f t="shared" si="6"/>
        <v>0</v>
      </c>
      <c r="C347" s="4126" t="s">
        <v>13584</v>
      </c>
      <c r="D347" s="3869" t="s">
        <v>13584</v>
      </c>
      <c r="E347" s="4129"/>
      <c r="F347" s="4130">
        <f>COUNTIF(Sheele!$C$25:$H$36,C347)</f>
        <v>0</v>
      </c>
      <c r="G347" s="4044">
        <v>1</v>
      </c>
      <c r="H347" s="4189">
        <f>IF(OR($F347=0,$G347=0),0,MAX($H$134:H346)+1)</f>
        <v>0</v>
      </c>
      <c r="I347" s="4044" t="s">
        <v>13763</v>
      </c>
      <c r="J347" s="4044" t="s">
        <v>1315</v>
      </c>
      <c r="K347" s="4131" t="s">
        <v>1315</v>
      </c>
      <c r="L347" s="8310" t="s">
        <v>13762</v>
      </c>
      <c r="M347" s="8311"/>
      <c r="N347" s="8311"/>
      <c r="O347" s="8311"/>
      <c r="P347" s="8311"/>
      <c r="Q347" s="8312"/>
      <c r="R347" s="4132" t="s">
        <v>1315</v>
      </c>
    </row>
    <row r="348" spans="1:18">
      <c r="A348" s="265">
        <v>324</v>
      </c>
      <c r="B348" s="595">
        <f t="shared" si="6"/>
        <v>0</v>
      </c>
      <c r="C348" s="4126" t="s">
        <v>6130</v>
      </c>
      <c r="D348" s="3869" t="s">
        <v>6130</v>
      </c>
      <c r="E348" s="4129"/>
      <c r="F348" s="4130">
        <f>COUNTIF(Sheele!$C$25:$H$36,C348)</f>
        <v>0</v>
      </c>
      <c r="G348" s="4044">
        <v>1</v>
      </c>
      <c r="H348" s="4189">
        <f>IF(OR($F348=0,$G348=0),0,MAX($H$134:H347)+1)</f>
        <v>0</v>
      </c>
      <c r="I348" s="4044" t="s">
        <v>13699</v>
      </c>
      <c r="J348" s="4044" t="s">
        <v>1315</v>
      </c>
      <c r="K348" s="4131" t="s">
        <v>1315</v>
      </c>
      <c r="L348" s="8310" t="s">
        <v>13764</v>
      </c>
      <c r="M348" s="8311"/>
      <c r="N348" s="8311"/>
      <c r="O348" s="8311"/>
      <c r="P348" s="8311"/>
      <c r="Q348" s="8312"/>
      <c r="R348" s="4132" t="s">
        <v>1315</v>
      </c>
    </row>
    <row r="349" spans="1:18">
      <c r="A349" s="265">
        <v>325</v>
      </c>
      <c r="B349" s="595">
        <f t="shared" si="6"/>
        <v>0</v>
      </c>
      <c r="C349" s="4126" t="s">
        <v>13585</v>
      </c>
      <c r="D349" s="3869" t="s">
        <v>13585</v>
      </c>
      <c r="E349" s="4129"/>
      <c r="F349" s="4130">
        <f>COUNTIF(Sheele!$C$25:$H$36,C349)</f>
        <v>0</v>
      </c>
      <c r="G349" s="4044">
        <v>1</v>
      </c>
      <c r="H349" s="4189">
        <f>IF(OR($F349=0,$G349=0),0,MAX($H$134:H348)+1)</f>
        <v>0</v>
      </c>
      <c r="I349" s="4044">
        <v>100</v>
      </c>
      <c r="J349" s="4044" t="s">
        <v>1315</v>
      </c>
      <c r="K349" s="4131" t="s">
        <v>1315</v>
      </c>
      <c r="L349" s="8310" t="s">
        <v>13765</v>
      </c>
      <c r="M349" s="8311"/>
      <c r="N349" s="8311"/>
      <c r="O349" s="8311"/>
      <c r="P349" s="8311"/>
      <c r="Q349" s="8312"/>
      <c r="R349" s="4132" t="s">
        <v>1315</v>
      </c>
    </row>
    <row r="350" spans="1:18">
      <c r="A350" s="265">
        <v>326</v>
      </c>
      <c r="B350" s="595">
        <f t="shared" si="6"/>
        <v>0</v>
      </c>
      <c r="C350" s="4126" t="s">
        <v>6126</v>
      </c>
      <c r="D350" s="3869" t="s">
        <v>6126</v>
      </c>
      <c r="E350" s="4129"/>
      <c r="F350" s="4130">
        <f>COUNTIF(Sheele!$C$25:$H$36,C350)</f>
        <v>0</v>
      </c>
      <c r="G350" s="4044">
        <v>1</v>
      </c>
      <c r="H350" s="4189">
        <f>IF(OR($F350=0,$G350=0),0,MAX($H$134:H349)+1)</f>
        <v>0</v>
      </c>
      <c r="I350" s="4044" t="s">
        <v>1315</v>
      </c>
      <c r="J350" s="4044" t="s">
        <v>1315</v>
      </c>
      <c r="K350" s="4131" t="s">
        <v>1315</v>
      </c>
      <c r="L350" s="8310" t="s">
        <v>13766</v>
      </c>
      <c r="M350" s="8311"/>
      <c r="N350" s="8311"/>
      <c r="O350" s="8311"/>
      <c r="P350" s="8311"/>
      <c r="Q350" s="8312"/>
      <c r="R350" s="4132" t="s">
        <v>1315</v>
      </c>
    </row>
    <row r="351" spans="1:18">
      <c r="A351" s="265">
        <v>327</v>
      </c>
      <c r="B351" s="595">
        <f t="shared" si="6"/>
        <v>0</v>
      </c>
      <c r="C351" s="4126" t="s">
        <v>13586</v>
      </c>
      <c r="D351" s="3869" t="s">
        <v>13586</v>
      </c>
      <c r="E351" s="4129"/>
      <c r="F351" s="4130">
        <f>COUNTIF(Sheele!$C$25:$H$36,C351)</f>
        <v>0</v>
      </c>
      <c r="G351" s="4044">
        <v>1</v>
      </c>
      <c r="H351" s="4189">
        <f>IF(OR($F351=0,$G351=0),0,MAX($H$134:H350)+1)</f>
        <v>0</v>
      </c>
      <c r="I351" s="4044" t="s">
        <v>1315</v>
      </c>
      <c r="J351" s="4044" t="s">
        <v>1315</v>
      </c>
      <c r="K351" s="4131" t="s">
        <v>1315</v>
      </c>
      <c r="L351" s="8310" t="s">
        <v>13767</v>
      </c>
      <c r="M351" s="8311"/>
      <c r="N351" s="8311"/>
      <c r="O351" s="8311"/>
      <c r="P351" s="8311"/>
      <c r="Q351" s="8312"/>
      <c r="R351" s="4132" t="s">
        <v>1315</v>
      </c>
    </row>
    <row r="352" spans="1:18">
      <c r="A352" s="265">
        <v>328</v>
      </c>
      <c r="B352" s="595">
        <f t="shared" si="6"/>
        <v>0</v>
      </c>
      <c r="C352" s="4126" t="s">
        <v>13587</v>
      </c>
      <c r="D352" s="3869" t="s">
        <v>13587</v>
      </c>
      <c r="E352" s="4129"/>
      <c r="F352" s="4130">
        <f>COUNTIF(Sheele!$C$25:$H$36,C352)</f>
        <v>0</v>
      </c>
      <c r="G352" s="4044"/>
      <c r="H352" s="4189">
        <f>IF(OR($F352=0,$G352=0),0,MAX($H$134:H351)+1)</f>
        <v>0</v>
      </c>
      <c r="I352" s="4044" t="s">
        <v>1315</v>
      </c>
      <c r="J352" s="4044" t="s">
        <v>1315</v>
      </c>
      <c r="K352" s="4131" t="s">
        <v>1315</v>
      </c>
      <c r="L352" s="8317" t="s">
        <v>13768</v>
      </c>
      <c r="M352" s="8311"/>
      <c r="N352" s="8311"/>
      <c r="O352" s="8311"/>
      <c r="P352" s="8311"/>
      <c r="Q352" s="8312"/>
      <c r="R352" s="4132" t="s">
        <v>1315</v>
      </c>
    </row>
    <row r="353" spans="1:18">
      <c r="A353" s="265">
        <v>329</v>
      </c>
      <c r="B353" s="595">
        <f t="shared" si="6"/>
        <v>0</v>
      </c>
      <c r="C353" s="4126" t="s">
        <v>13080</v>
      </c>
      <c r="D353" s="3869" t="s">
        <v>13080</v>
      </c>
      <c r="E353" s="4129"/>
      <c r="F353" s="4130">
        <f>COUNTIF(Sheele!$C$25:$H$36,C353)</f>
        <v>0</v>
      </c>
      <c r="G353" s="3869"/>
      <c r="H353" s="4189">
        <f>IF(OR($F353=0,$G353=0),0,MAX($H$134:H352)+1)</f>
        <v>0</v>
      </c>
      <c r="I353" s="4044" t="s">
        <v>1315</v>
      </c>
      <c r="J353" s="4044" t="s">
        <v>1315</v>
      </c>
      <c r="K353" s="4131" t="s">
        <v>1315</v>
      </c>
      <c r="L353" s="8313" t="s">
        <v>2514</v>
      </c>
      <c r="M353" s="8314"/>
      <c r="N353" s="8314"/>
      <c r="O353" s="8314"/>
      <c r="P353" s="8314"/>
      <c r="Q353" s="8315"/>
      <c r="R353" s="4132" t="s">
        <v>1315</v>
      </c>
    </row>
    <row r="354" spans="1:18">
      <c r="A354" s="265">
        <v>330</v>
      </c>
      <c r="B354" s="595">
        <f t="shared" si="6"/>
        <v>0</v>
      </c>
      <c r="C354" s="4127" t="s">
        <v>13589</v>
      </c>
      <c r="D354" s="4215"/>
      <c r="E354" s="305"/>
      <c r="F354" s="2128"/>
      <c r="G354" s="2127"/>
      <c r="H354" s="4213"/>
      <c r="I354" s="306" t="s">
        <v>2500</v>
      </c>
      <c r="J354" s="2139" t="s">
        <v>2501</v>
      </c>
      <c r="K354" s="303" t="s">
        <v>1425</v>
      </c>
      <c r="L354" s="8304" t="s">
        <v>1408</v>
      </c>
      <c r="M354" s="8305"/>
      <c r="N354" s="8305"/>
      <c r="O354" s="8305"/>
      <c r="P354" s="8305"/>
      <c r="Q354" s="8306"/>
      <c r="R354" s="606"/>
    </row>
    <row r="355" spans="1:18">
      <c r="A355" s="265">
        <v>331</v>
      </c>
      <c r="B355" s="595">
        <f t="shared" si="6"/>
        <v>0</v>
      </c>
      <c r="C355" s="4126" t="s">
        <v>13588</v>
      </c>
      <c r="D355" s="3869" t="s">
        <v>13588</v>
      </c>
      <c r="E355" s="4129"/>
      <c r="F355" s="4130">
        <f>COUNTIF(Sheele!$C$25:$H$36,C355)</f>
        <v>0</v>
      </c>
      <c r="G355" s="4044">
        <v>1</v>
      </c>
      <c r="H355" s="4189">
        <f>IF(OR($F355=0,$G355=0),0,MAX($H$134:H354)+1)</f>
        <v>0</v>
      </c>
      <c r="I355" s="4044" t="s">
        <v>13748</v>
      </c>
      <c r="J355" s="4044" t="s">
        <v>1315</v>
      </c>
      <c r="K355" s="4131" t="s">
        <v>1315</v>
      </c>
      <c r="L355" s="8307" t="s">
        <v>13769</v>
      </c>
      <c r="M355" s="8308"/>
      <c r="N355" s="8308"/>
      <c r="O355" s="8308"/>
      <c r="P355" s="8308"/>
      <c r="Q355" s="8309"/>
      <c r="R355" s="4132" t="s">
        <v>1315</v>
      </c>
    </row>
    <row r="356" spans="1:18">
      <c r="A356" s="265">
        <v>332</v>
      </c>
      <c r="B356" s="595">
        <f t="shared" si="6"/>
        <v>0</v>
      </c>
      <c r="C356" s="4126" t="s">
        <v>506</v>
      </c>
      <c r="D356" s="3869" t="s">
        <v>506</v>
      </c>
      <c r="E356" s="4129"/>
      <c r="F356" s="4130">
        <f>COUNTIF(Sheele!$C$25:$H$36,C356)</f>
        <v>0</v>
      </c>
      <c r="G356" s="4044"/>
      <c r="H356" s="4189">
        <f>IF(OR($F356=0,$G356=0),0,MAX($H$134:H355)+1)</f>
        <v>0</v>
      </c>
      <c r="I356" s="4044" t="s">
        <v>1315</v>
      </c>
      <c r="J356" s="4044" t="s">
        <v>1315</v>
      </c>
      <c r="K356" s="4131" t="s">
        <v>1315</v>
      </c>
      <c r="L356" s="8317" t="s">
        <v>13770</v>
      </c>
      <c r="M356" s="8311"/>
      <c r="N356" s="8311"/>
      <c r="O356" s="8311"/>
      <c r="P356" s="8311"/>
      <c r="Q356" s="8312"/>
      <c r="R356" s="4132" t="s">
        <v>1315</v>
      </c>
    </row>
    <row r="357" spans="1:18">
      <c r="A357" s="265">
        <v>333</v>
      </c>
      <c r="B357" s="595">
        <f t="shared" si="6"/>
        <v>0</v>
      </c>
      <c r="C357" s="4126" t="s">
        <v>13590</v>
      </c>
      <c r="D357" s="3869" t="s">
        <v>13590</v>
      </c>
      <c r="E357" s="4129"/>
      <c r="F357" s="4130">
        <f>COUNTIF(Sheele!$C$25:$H$36,C357)</f>
        <v>0</v>
      </c>
      <c r="G357" s="4044">
        <v>1</v>
      </c>
      <c r="H357" s="4189">
        <f>IF(OR($F357=0,$G357=0),0,MAX($H$134:H356)+1)</f>
        <v>0</v>
      </c>
      <c r="I357" s="4044" t="s">
        <v>1315</v>
      </c>
      <c r="J357" s="4044" t="s">
        <v>1315</v>
      </c>
      <c r="K357" s="4131" t="s">
        <v>1315</v>
      </c>
      <c r="L357" s="8310" t="s">
        <v>13771</v>
      </c>
      <c r="M357" s="8311"/>
      <c r="N357" s="8311"/>
      <c r="O357" s="8311"/>
      <c r="P357" s="8311"/>
      <c r="Q357" s="8312"/>
      <c r="R357" s="4132" t="s">
        <v>1315</v>
      </c>
    </row>
    <row r="358" spans="1:18">
      <c r="A358" s="265">
        <v>334</v>
      </c>
      <c r="B358" s="595">
        <f t="shared" si="6"/>
        <v>0</v>
      </c>
      <c r="C358" s="4126" t="s">
        <v>13591</v>
      </c>
      <c r="D358" s="3869" t="s">
        <v>13591</v>
      </c>
      <c r="E358" s="4129"/>
      <c r="F358" s="4130">
        <f>COUNTIF(Sheele!$C$25:$H$36,C358)</f>
        <v>0</v>
      </c>
      <c r="G358" s="4044">
        <v>1</v>
      </c>
      <c r="H358" s="4189">
        <f>IF(OR($F358=0,$G358=0),0,MAX($H$134:H357)+1)</f>
        <v>0</v>
      </c>
      <c r="I358" s="4044" t="s">
        <v>1315</v>
      </c>
      <c r="J358" s="4044" t="s">
        <v>1315</v>
      </c>
      <c r="K358" s="4131" t="s">
        <v>1315</v>
      </c>
      <c r="L358" s="8317" t="s">
        <v>13772</v>
      </c>
      <c r="M358" s="8311"/>
      <c r="N358" s="8311"/>
      <c r="O358" s="8311"/>
      <c r="P358" s="8311"/>
      <c r="Q358" s="8312"/>
      <c r="R358" s="4132" t="s">
        <v>1315</v>
      </c>
    </row>
    <row r="359" spans="1:18">
      <c r="A359" s="265">
        <v>335</v>
      </c>
      <c r="B359" s="595">
        <f t="shared" si="6"/>
        <v>0</v>
      </c>
      <c r="C359" s="4126" t="s">
        <v>13592</v>
      </c>
      <c r="D359" s="3869" t="s">
        <v>13592</v>
      </c>
      <c r="E359" s="4129"/>
      <c r="F359" s="4130">
        <f>COUNTIF(Sheele!$C$25:$H$36,C359)</f>
        <v>0</v>
      </c>
      <c r="G359" s="4044">
        <v>1</v>
      </c>
      <c r="H359" s="4189">
        <f>IF(OR($F359=0,$G359=0),0,MAX($H$134:H358)+1)</f>
        <v>0</v>
      </c>
      <c r="I359" s="4044" t="s">
        <v>1315</v>
      </c>
      <c r="J359" s="4044" t="s">
        <v>1315</v>
      </c>
      <c r="K359" s="4131" t="s">
        <v>1315</v>
      </c>
      <c r="L359" s="8310" t="s">
        <v>13773</v>
      </c>
      <c r="M359" s="8311"/>
      <c r="N359" s="8311"/>
      <c r="O359" s="8311"/>
      <c r="P359" s="8311"/>
      <c r="Q359" s="8312"/>
      <c r="R359" s="4132" t="s">
        <v>1315</v>
      </c>
    </row>
    <row r="360" spans="1:18">
      <c r="A360" s="265">
        <v>336</v>
      </c>
      <c r="B360" s="595">
        <f t="shared" si="6"/>
        <v>0</v>
      </c>
      <c r="C360" s="4126" t="s">
        <v>13593</v>
      </c>
      <c r="D360" s="3869" t="s">
        <v>13593</v>
      </c>
      <c r="E360" s="4129"/>
      <c r="F360" s="4130">
        <f>COUNTIF(Sheele!$C$25:$H$36,C360)</f>
        <v>0</v>
      </c>
      <c r="G360" s="4044">
        <v>1</v>
      </c>
      <c r="H360" s="4189">
        <f>IF(OR($F360=0,$G360=0),0,MAX($H$134:H359)+1)</f>
        <v>0</v>
      </c>
      <c r="I360" s="4044" t="s">
        <v>1315</v>
      </c>
      <c r="J360" s="4044">
        <f>Sheele!$F$46+IF(Sheele!S52="-",0,Sheele!$F$46/2)</f>
        <v>60</v>
      </c>
      <c r="K360" s="4131" t="s">
        <v>1315</v>
      </c>
      <c r="L360" s="8310" t="s">
        <v>13774</v>
      </c>
      <c r="M360" s="8311"/>
      <c r="N360" s="8311"/>
      <c r="O360" s="8311"/>
      <c r="P360" s="8311"/>
      <c r="Q360" s="8312"/>
      <c r="R360" s="4132" t="s">
        <v>1315</v>
      </c>
    </row>
    <row r="361" spans="1:18">
      <c r="A361" s="265">
        <v>337</v>
      </c>
      <c r="B361" s="595">
        <f t="shared" si="6"/>
        <v>0</v>
      </c>
      <c r="C361" s="4126" t="s">
        <v>13594</v>
      </c>
      <c r="D361" s="3869" t="s">
        <v>13594</v>
      </c>
      <c r="E361" s="4129"/>
      <c r="F361" s="4130">
        <f>COUNTIF(Sheele!$C$25:$H$36,C361)</f>
        <v>0</v>
      </c>
      <c r="G361" s="4044">
        <v>1</v>
      </c>
      <c r="H361" s="4189">
        <f>IF(OR($F361=0,$G361=0),0,MAX($H$134:H360)+1)</f>
        <v>0</v>
      </c>
      <c r="I361" s="4044" t="s">
        <v>1315</v>
      </c>
      <c r="J361" s="4044" t="s">
        <v>1315</v>
      </c>
      <c r="K361" s="4131" t="s">
        <v>1315</v>
      </c>
      <c r="L361" s="8310" t="s">
        <v>13775</v>
      </c>
      <c r="M361" s="8311"/>
      <c r="N361" s="8311"/>
      <c r="O361" s="8311"/>
      <c r="P361" s="8311"/>
      <c r="Q361" s="8312"/>
      <c r="R361" s="4132" t="s">
        <v>1315</v>
      </c>
    </row>
    <row r="362" spans="1:18">
      <c r="A362" s="265">
        <v>338</v>
      </c>
      <c r="B362" s="595">
        <f t="shared" si="6"/>
        <v>0</v>
      </c>
      <c r="C362" s="4126" t="s">
        <v>13595</v>
      </c>
      <c r="D362" s="3869" t="s">
        <v>13595</v>
      </c>
      <c r="E362" s="4129"/>
      <c r="F362" s="4130">
        <f>COUNTIF(Sheele!$C$25:$H$36,C362)</f>
        <v>0</v>
      </c>
      <c r="G362" s="4044">
        <v>1</v>
      </c>
      <c r="H362" s="4189">
        <f>IF(OR($F362=0,$G362=0),0,MAX($H$134:H361)+1)</f>
        <v>0</v>
      </c>
      <c r="I362" s="4044">
        <v>100</v>
      </c>
      <c r="J362" s="4044" t="s">
        <v>1315</v>
      </c>
      <c r="K362" s="4131" t="s">
        <v>1315</v>
      </c>
      <c r="L362" s="8310" t="s">
        <v>13776</v>
      </c>
      <c r="M362" s="8311"/>
      <c r="N362" s="8311"/>
      <c r="O362" s="8311"/>
      <c r="P362" s="8311"/>
      <c r="Q362" s="8312"/>
      <c r="R362" s="4132" t="s">
        <v>1315</v>
      </c>
    </row>
    <row r="363" spans="1:18">
      <c r="A363" s="265">
        <v>339</v>
      </c>
      <c r="B363" s="595">
        <f t="shared" si="6"/>
        <v>0</v>
      </c>
      <c r="C363" s="4126" t="s">
        <v>13596</v>
      </c>
      <c r="D363" s="3869" t="s">
        <v>13596</v>
      </c>
      <c r="E363" s="4129"/>
      <c r="F363" s="4130">
        <f>COUNTIF(Sheele!$C$25:$H$36,C363)</f>
        <v>0</v>
      </c>
      <c r="G363" s="4044">
        <v>1</v>
      </c>
      <c r="H363" s="4189">
        <f>IF(OR($F363=0,$G363=0),0,MAX($H$134:H362)+1)</f>
        <v>0</v>
      </c>
      <c r="I363" s="4044">
        <v>100</v>
      </c>
      <c r="J363" s="4044" t="s">
        <v>1315</v>
      </c>
      <c r="K363" s="4131" t="s">
        <v>1315</v>
      </c>
      <c r="L363" s="8310" t="s">
        <v>13777</v>
      </c>
      <c r="M363" s="8311"/>
      <c r="N363" s="8311"/>
      <c r="O363" s="8311"/>
      <c r="P363" s="8311"/>
      <c r="Q363" s="8312"/>
      <c r="R363" s="4132" t="s">
        <v>1315</v>
      </c>
    </row>
    <row r="364" spans="1:18">
      <c r="A364" s="265">
        <v>340</v>
      </c>
      <c r="B364" s="595">
        <f t="shared" si="6"/>
        <v>0</v>
      </c>
      <c r="C364" s="4126" t="s">
        <v>13080</v>
      </c>
      <c r="D364" s="3869" t="s">
        <v>13080</v>
      </c>
      <c r="E364" s="4129"/>
      <c r="F364" s="4130">
        <f>COUNTIF(Sheele!$C$25:$H$36,C364)</f>
        <v>0</v>
      </c>
      <c r="G364" s="3869"/>
      <c r="H364" s="4189">
        <f>IF(OR($F364=0,$G364=0),0,MAX($H$134:H363)+1)</f>
        <v>0</v>
      </c>
      <c r="I364" s="4044" t="s">
        <v>1315</v>
      </c>
      <c r="J364" s="4044" t="s">
        <v>1315</v>
      </c>
      <c r="K364" s="4131" t="s">
        <v>1315</v>
      </c>
      <c r="L364" s="8313" t="s">
        <v>2514</v>
      </c>
      <c r="M364" s="8314"/>
      <c r="N364" s="8314"/>
      <c r="O364" s="8314"/>
      <c r="P364" s="8314"/>
      <c r="Q364" s="8315"/>
      <c r="R364" s="4132" t="s">
        <v>1315</v>
      </c>
    </row>
    <row r="365" spans="1:18">
      <c r="A365" s="265">
        <v>341</v>
      </c>
      <c r="B365" s="595">
        <f t="shared" si="6"/>
        <v>0</v>
      </c>
      <c r="C365" s="4127" t="s">
        <v>524</v>
      </c>
      <c r="D365" s="4215"/>
      <c r="E365" s="305"/>
      <c r="F365" s="2128"/>
      <c r="G365" s="2127"/>
      <c r="H365" s="4213"/>
      <c r="I365" s="306" t="s">
        <v>2500</v>
      </c>
      <c r="J365" s="2139" t="s">
        <v>2501</v>
      </c>
      <c r="K365" s="303" t="s">
        <v>1425</v>
      </c>
      <c r="L365" s="8304" t="s">
        <v>1408</v>
      </c>
      <c r="M365" s="8305"/>
      <c r="N365" s="8305"/>
      <c r="O365" s="8305"/>
      <c r="P365" s="8305"/>
      <c r="Q365" s="8306"/>
      <c r="R365" s="606"/>
    </row>
    <row r="366" spans="1:18">
      <c r="A366" s="265">
        <v>342</v>
      </c>
      <c r="B366" s="595">
        <f t="shared" si="6"/>
        <v>0</v>
      </c>
      <c r="C366" s="4126" t="s">
        <v>13597</v>
      </c>
      <c r="D366" s="3869" t="s">
        <v>13597</v>
      </c>
      <c r="E366" s="4129"/>
      <c r="F366" s="4130">
        <f>COUNTIF(Sheele!$C$25:$H$36,C366)</f>
        <v>0</v>
      </c>
      <c r="G366" s="4044">
        <v>1</v>
      </c>
      <c r="H366" s="4189">
        <f>IF(OR($F366=0,$G366=0),0,MAX($H$134:H365)+1)</f>
        <v>0</v>
      </c>
      <c r="I366" s="4044" t="s">
        <v>1315</v>
      </c>
      <c r="J366" s="4044" t="s">
        <v>1315</v>
      </c>
      <c r="K366" s="4131" t="s">
        <v>1315</v>
      </c>
      <c r="L366" s="8316" t="s">
        <v>13778</v>
      </c>
      <c r="M366" s="8308"/>
      <c r="N366" s="8308"/>
      <c r="O366" s="8308"/>
      <c r="P366" s="8308"/>
      <c r="Q366" s="8309"/>
      <c r="R366" s="4132" t="s">
        <v>1315</v>
      </c>
    </row>
    <row r="367" spans="1:18">
      <c r="A367" s="265">
        <v>343</v>
      </c>
      <c r="B367" s="595">
        <f t="shared" si="6"/>
        <v>0</v>
      </c>
      <c r="C367" s="4126" t="s">
        <v>13598</v>
      </c>
      <c r="D367" s="3869" t="s">
        <v>13598</v>
      </c>
      <c r="E367" s="4129"/>
      <c r="F367" s="4130">
        <f>COUNTIF(Sheele!$C$25:$H$36,C367)</f>
        <v>0</v>
      </c>
      <c r="G367" s="4044">
        <v>1</v>
      </c>
      <c r="H367" s="4189">
        <f>IF(OR($F367=0,$G367=0),0,MAX($H$134:H366)+1)</f>
        <v>0</v>
      </c>
      <c r="I367" s="4044">
        <v>200</v>
      </c>
      <c r="J367" s="4044">
        <f>Sheele!$F$46</f>
        <v>60</v>
      </c>
      <c r="K367" s="4131" t="s">
        <v>1315</v>
      </c>
      <c r="L367" s="8310" t="s">
        <v>13779</v>
      </c>
      <c r="M367" s="8311"/>
      <c r="N367" s="8311"/>
      <c r="O367" s="8311"/>
      <c r="P367" s="8311"/>
      <c r="Q367" s="8312"/>
      <c r="R367" s="4132" t="s">
        <v>1315</v>
      </c>
    </row>
    <row r="368" spans="1:18">
      <c r="A368" s="265">
        <v>344</v>
      </c>
      <c r="B368" s="595">
        <f t="shared" si="6"/>
        <v>0</v>
      </c>
      <c r="C368" s="4126" t="s">
        <v>13599</v>
      </c>
      <c r="D368" s="3869" t="s">
        <v>13599</v>
      </c>
      <c r="E368" s="4129"/>
      <c r="F368" s="4130">
        <f>COUNTIF(Sheele!$C$25:$H$36,C368)</f>
        <v>0</v>
      </c>
      <c r="G368" s="4044">
        <v>1</v>
      </c>
      <c r="H368" s="4189">
        <f>IF(OR($F368=0,$G368=0),0,MAX($H$134:H367)+1)</f>
        <v>0</v>
      </c>
      <c r="I368" s="4044" t="s">
        <v>13781</v>
      </c>
      <c r="J368" s="4044" t="s">
        <v>1315</v>
      </c>
      <c r="K368" s="4131" t="s">
        <v>1315</v>
      </c>
      <c r="L368" s="8310" t="s">
        <v>13780</v>
      </c>
      <c r="M368" s="8311"/>
      <c r="N368" s="8311"/>
      <c r="O368" s="8311"/>
      <c r="P368" s="8311"/>
      <c r="Q368" s="8312"/>
      <c r="R368" s="4132" t="s">
        <v>1315</v>
      </c>
    </row>
    <row r="369" spans="1:18">
      <c r="A369" s="265">
        <v>345</v>
      </c>
      <c r="B369" s="595">
        <f t="shared" si="6"/>
        <v>0</v>
      </c>
      <c r="C369" s="4126" t="s">
        <v>13600</v>
      </c>
      <c r="D369" s="3869" t="s">
        <v>13600</v>
      </c>
      <c r="E369" s="4129"/>
      <c r="F369" s="4130">
        <f>COUNTIF(Sheele!$C$25:$H$36,C369)</f>
        <v>0</v>
      </c>
      <c r="G369" s="4044">
        <v>1</v>
      </c>
      <c r="H369" s="4189">
        <f>IF(OR($F369=0,$G369=0),0,MAX($H$134:H368)+1)</f>
        <v>0</v>
      </c>
      <c r="I369" s="4044">
        <v>200</v>
      </c>
      <c r="J369" s="4044" t="s">
        <v>1315</v>
      </c>
      <c r="K369" s="4131">
        <v>60</v>
      </c>
      <c r="L369" s="8310" t="s">
        <v>13782</v>
      </c>
      <c r="M369" s="8311"/>
      <c r="N369" s="8311"/>
      <c r="O369" s="8311"/>
      <c r="P369" s="8311"/>
      <c r="Q369" s="8312"/>
      <c r="R369" s="4132" t="s">
        <v>1315</v>
      </c>
    </row>
    <row r="370" spans="1:18">
      <c r="A370" s="265">
        <v>346</v>
      </c>
      <c r="B370" s="595">
        <f t="shared" si="6"/>
        <v>0</v>
      </c>
      <c r="C370" s="4126" t="s">
        <v>13601</v>
      </c>
      <c r="D370" s="3869" t="s">
        <v>13601</v>
      </c>
      <c r="E370" s="4129"/>
      <c r="F370" s="4130">
        <f>COUNTIF(Sheele!$C$25:$H$36,C370)</f>
        <v>0</v>
      </c>
      <c r="G370" s="4044">
        <v>1</v>
      </c>
      <c r="H370" s="4189">
        <f>IF(OR($F370=0,$G370=0),0,MAX($H$134:H369)+1)</f>
        <v>0</v>
      </c>
      <c r="I370" s="4044" t="s">
        <v>1315</v>
      </c>
      <c r="J370" s="4044" t="s">
        <v>1315</v>
      </c>
      <c r="K370" s="4131" t="s">
        <v>1315</v>
      </c>
      <c r="L370" s="8317" t="s">
        <v>13783</v>
      </c>
      <c r="M370" s="8311"/>
      <c r="N370" s="8311"/>
      <c r="O370" s="8311"/>
      <c r="P370" s="8311"/>
      <c r="Q370" s="8312"/>
      <c r="R370" s="4132" t="s">
        <v>1315</v>
      </c>
    </row>
    <row r="371" spans="1:18">
      <c r="A371" s="265">
        <v>347</v>
      </c>
      <c r="B371" s="595">
        <f t="shared" ref="B371:B434" si="7">H371</f>
        <v>0</v>
      </c>
      <c r="C371" s="4126" t="s">
        <v>13602</v>
      </c>
      <c r="D371" s="3869" t="s">
        <v>13602</v>
      </c>
      <c r="E371" s="4129"/>
      <c r="F371" s="4130">
        <f>COUNTIF(Sheele!$C$25:$H$36,C371)</f>
        <v>0</v>
      </c>
      <c r="G371" s="4044">
        <v>1</v>
      </c>
      <c r="H371" s="4189">
        <f>IF(OR($F371=0,$G371=0),0,MAX($H$134:H370)+1)</f>
        <v>0</v>
      </c>
      <c r="I371" s="4044">
        <v>100</v>
      </c>
      <c r="J371" s="4044" t="s">
        <v>1315</v>
      </c>
      <c r="K371" s="4131" t="s">
        <v>1315</v>
      </c>
      <c r="L371" s="8310" t="s">
        <v>13784</v>
      </c>
      <c r="M371" s="8311"/>
      <c r="N371" s="8311"/>
      <c r="O371" s="8311"/>
      <c r="P371" s="8311"/>
      <c r="Q371" s="8312"/>
      <c r="R371" s="4132" t="s">
        <v>1315</v>
      </c>
    </row>
    <row r="372" spans="1:18">
      <c r="A372" s="265">
        <v>348</v>
      </c>
      <c r="B372" s="595">
        <f t="shared" si="7"/>
        <v>0</v>
      </c>
      <c r="C372" s="4126" t="s">
        <v>13603</v>
      </c>
      <c r="D372" s="3869" t="s">
        <v>13603</v>
      </c>
      <c r="E372" s="4129"/>
      <c r="F372" s="4130">
        <f>COUNTIF(Sheele!$C$25:$H$36,C372)</f>
        <v>0</v>
      </c>
      <c r="G372" s="4044">
        <v>1</v>
      </c>
      <c r="H372" s="4189">
        <f>IF(OR($F372=0,$G372=0),0,MAX($H$134:H371)+1)</f>
        <v>0</v>
      </c>
      <c r="I372" s="4044" t="s">
        <v>1315</v>
      </c>
      <c r="J372" s="4044" t="s">
        <v>1315</v>
      </c>
      <c r="K372" s="4131" t="s">
        <v>1315</v>
      </c>
      <c r="L372" s="8310" t="s">
        <v>13785</v>
      </c>
      <c r="M372" s="8311"/>
      <c r="N372" s="8311"/>
      <c r="O372" s="8311"/>
      <c r="P372" s="8311"/>
      <c r="Q372" s="8312"/>
      <c r="R372" s="4132" t="s">
        <v>1315</v>
      </c>
    </row>
    <row r="373" spans="1:18">
      <c r="A373" s="265">
        <v>349</v>
      </c>
      <c r="B373" s="595">
        <f t="shared" si="7"/>
        <v>0</v>
      </c>
      <c r="C373" s="4126" t="s">
        <v>13604</v>
      </c>
      <c r="D373" s="3869" t="s">
        <v>13604</v>
      </c>
      <c r="E373" s="4129"/>
      <c r="F373" s="4130">
        <f>COUNTIF(Sheele!$C$25:$H$36,C373)</f>
        <v>0</v>
      </c>
      <c r="G373" s="4044">
        <v>1</v>
      </c>
      <c r="H373" s="4189">
        <f>IF(OR($F373=0,$G373=0),0,MAX($H$134:H372)+1)</f>
        <v>0</v>
      </c>
      <c r="I373" s="4044" t="s">
        <v>1315</v>
      </c>
      <c r="J373" s="4044" t="s">
        <v>1315</v>
      </c>
      <c r="K373" s="4131" t="s">
        <v>1315</v>
      </c>
      <c r="L373" s="8310" t="s">
        <v>13786</v>
      </c>
      <c r="M373" s="8311"/>
      <c r="N373" s="8311"/>
      <c r="O373" s="8311"/>
      <c r="P373" s="8311"/>
      <c r="Q373" s="8312"/>
      <c r="R373" s="4132" t="s">
        <v>1315</v>
      </c>
    </row>
    <row r="374" spans="1:18">
      <c r="A374" s="265">
        <v>350</v>
      </c>
      <c r="B374" s="595">
        <f t="shared" si="7"/>
        <v>0</v>
      </c>
      <c r="C374" s="4126" t="s">
        <v>13605</v>
      </c>
      <c r="D374" s="3869" t="s">
        <v>13605</v>
      </c>
      <c r="E374" s="4129"/>
      <c r="F374" s="4130">
        <f>COUNTIF(Sheele!$C$25:$H$36,C374)</f>
        <v>0</v>
      </c>
      <c r="G374" s="4044">
        <v>1</v>
      </c>
      <c r="H374" s="4189">
        <f>IF(OR($F374=0,$G374=0),0,MAX($H$134:H373)+1)</f>
        <v>0</v>
      </c>
      <c r="I374" s="4044" t="s">
        <v>1315</v>
      </c>
      <c r="J374" s="4044" t="s">
        <v>1315</v>
      </c>
      <c r="K374" s="4131" t="s">
        <v>1315</v>
      </c>
      <c r="L374" s="8317" t="s">
        <v>13787</v>
      </c>
      <c r="M374" s="8311"/>
      <c r="N374" s="8311"/>
      <c r="O374" s="8311"/>
      <c r="P374" s="8311"/>
      <c r="Q374" s="8312"/>
      <c r="R374" s="4132" t="s">
        <v>1315</v>
      </c>
    </row>
    <row r="375" spans="1:18">
      <c r="A375" s="265">
        <v>351</v>
      </c>
      <c r="B375" s="595">
        <f t="shared" si="7"/>
        <v>0</v>
      </c>
      <c r="C375" s="4126" t="s">
        <v>13080</v>
      </c>
      <c r="D375" s="3869" t="s">
        <v>13080</v>
      </c>
      <c r="E375" s="4129"/>
      <c r="F375" s="4130">
        <f>COUNTIF(Sheele!$C$25:$H$36,C375)</f>
        <v>0</v>
      </c>
      <c r="G375" s="3869"/>
      <c r="H375" s="4189">
        <f>IF(OR($F375=0,$G375=0),0,MAX($H$134:H374)+1)</f>
        <v>0</v>
      </c>
      <c r="I375" s="4044" t="s">
        <v>1315</v>
      </c>
      <c r="J375" s="4044" t="s">
        <v>1315</v>
      </c>
      <c r="K375" s="4131" t="s">
        <v>1315</v>
      </c>
      <c r="L375" s="8313" t="s">
        <v>2514</v>
      </c>
      <c r="M375" s="8314"/>
      <c r="N375" s="8314"/>
      <c r="O375" s="8314"/>
      <c r="P375" s="8314"/>
      <c r="Q375" s="8315"/>
      <c r="R375" s="4132" t="s">
        <v>1315</v>
      </c>
    </row>
    <row r="376" spans="1:18">
      <c r="A376" s="265">
        <v>352</v>
      </c>
      <c r="B376" s="595">
        <f t="shared" si="7"/>
        <v>0</v>
      </c>
      <c r="C376" s="4127" t="s">
        <v>12666</v>
      </c>
      <c r="D376" s="4215"/>
      <c r="E376" s="305"/>
      <c r="F376" s="2128"/>
      <c r="G376" s="2127"/>
      <c r="H376" s="4213"/>
      <c r="I376" s="306" t="s">
        <v>2500</v>
      </c>
      <c r="J376" s="2139" t="s">
        <v>2501</v>
      </c>
      <c r="K376" s="303" t="s">
        <v>1425</v>
      </c>
      <c r="L376" s="8304" t="s">
        <v>1408</v>
      </c>
      <c r="M376" s="8305"/>
      <c r="N376" s="8305"/>
      <c r="O376" s="8305"/>
      <c r="P376" s="8305"/>
      <c r="Q376" s="8306"/>
      <c r="R376" s="606"/>
    </row>
    <row r="377" spans="1:18">
      <c r="A377" s="265">
        <v>353</v>
      </c>
      <c r="B377" s="595">
        <f t="shared" si="7"/>
        <v>0</v>
      </c>
      <c r="C377" s="4126" t="s">
        <v>13606</v>
      </c>
      <c r="D377" s="3869" t="s">
        <v>13606</v>
      </c>
      <c r="E377" s="4129"/>
      <c r="F377" s="4130">
        <f>COUNTIF(Sheele!$C$25:$H$36,C377)</f>
        <v>0</v>
      </c>
      <c r="G377" s="4044">
        <v>1</v>
      </c>
      <c r="H377" s="4189">
        <f>IF(OR($F377=0,$G377=0),0,MAX($H$134:H376)+1)</f>
        <v>0</v>
      </c>
      <c r="I377" s="4044" t="s">
        <v>1315</v>
      </c>
      <c r="J377" s="4044" t="s">
        <v>1315</v>
      </c>
      <c r="K377" s="4131" t="s">
        <v>1315</v>
      </c>
      <c r="L377" s="8316" t="s">
        <v>13788</v>
      </c>
      <c r="M377" s="8308"/>
      <c r="N377" s="8308"/>
      <c r="O377" s="8308"/>
      <c r="P377" s="8308"/>
      <c r="Q377" s="8309"/>
      <c r="R377" s="4132" t="s">
        <v>1315</v>
      </c>
    </row>
    <row r="378" spans="1:18">
      <c r="A378" s="265">
        <v>354</v>
      </c>
      <c r="B378" s="595">
        <f t="shared" si="7"/>
        <v>0</v>
      </c>
      <c r="C378" s="4126" t="s">
        <v>13607</v>
      </c>
      <c r="D378" s="3869" t="s">
        <v>13607</v>
      </c>
      <c r="E378" s="4129"/>
      <c r="F378" s="4130">
        <f>COUNTIF(Sheele!$C$25:$H$36,C378)</f>
        <v>0</v>
      </c>
      <c r="G378" s="4044">
        <v>1</v>
      </c>
      <c r="H378" s="4189">
        <f>IF(OR($F378=0,$G378=0),0,MAX($H$134:H377)+1)</f>
        <v>0</v>
      </c>
      <c r="I378" s="4044" t="s">
        <v>1315</v>
      </c>
      <c r="J378" s="4044" t="s">
        <v>3048</v>
      </c>
      <c r="K378" s="4131" t="s">
        <v>1315</v>
      </c>
      <c r="L378" s="8310" t="s">
        <v>13789</v>
      </c>
      <c r="M378" s="8311"/>
      <c r="N378" s="8311"/>
      <c r="O378" s="8311"/>
      <c r="P378" s="8311"/>
      <c r="Q378" s="8312"/>
      <c r="R378" s="4132" t="s">
        <v>1315</v>
      </c>
    </row>
    <row r="379" spans="1:18">
      <c r="A379" s="265">
        <v>355</v>
      </c>
      <c r="B379" s="595">
        <f t="shared" si="7"/>
        <v>0</v>
      </c>
      <c r="C379" s="4126" t="s">
        <v>13608</v>
      </c>
      <c r="D379" s="3869" t="s">
        <v>13608</v>
      </c>
      <c r="E379" s="4129"/>
      <c r="F379" s="4130">
        <f>COUNTIF(Sheele!$C$25:$H$36,C379)</f>
        <v>0</v>
      </c>
      <c r="G379" s="4044">
        <v>1</v>
      </c>
      <c r="H379" s="4189">
        <f>IF(OR($F379=0,$G379=0),0,MAX($H$134:H378)+1)</f>
        <v>0</v>
      </c>
      <c r="I379" s="4044">
        <v>100</v>
      </c>
      <c r="J379" s="4044">
        <f>Sheele!$F$46+50</f>
        <v>110</v>
      </c>
      <c r="K379" s="4131" t="s">
        <v>1315</v>
      </c>
      <c r="L379" s="8310" t="s">
        <v>13790</v>
      </c>
      <c r="M379" s="8311"/>
      <c r="N379" s="8311"/>
      <c r="O379" s="8311"/>
      <c r="P379" s="8311"/>
      <c r="Q379" s="8312"/>
      <c r="R379" s="4132" t="s">
        <v>1315</v>
      </c>
    </row>
    <row r="380" spans="1:18">
      <c r="A380" s="265">
        <v>356</v>
      </c>
      <c r="B380" s="595">
        <f t="shared" si="7"/>
        <v>0</v>
      </c>
      <c r="C380" s="4126" t="s">
        <v>13609</v>
      </c>
      <c r="D380" s="3869" t="s">
        <v>13609</v>
      </c>
      <c r="E380" s="4129"/>
      <c r="F380" s="4130">
        <f>COUNTIF(Sheele!$C$25:$H$36,C380)</f>
        <v>0</v>
      </c>
      <c r="G380" s="4044">
        <v>1</v>
      </c>
      <c r="H380" s="4189">
        <f>IF(OR($F380=0,$G380=0),0,MAX($H$134:H379)+1)</f>
        <v>0</v>
      </c>
      <c r="I380" s="4044" t="s">
        <v>1315</v>
      </c>
      <c r="J380" s="4044" t="s">
        <v>1315</v>
      </c>
      <c r="K380" s="4131" t="s">
        <v>1315</v>
      </c>
      <c r="L380" s="8310" t="s">
        <v>13791</v>
      </c>
      <c r="M380" s="8311"/>
      <c r="N380" s="8311"/>
      <c r="O380" s="8311"/>
      <c r="P380" s="8311"/>
      <c r="Q380" s="8312"/>
      <c r="R380" s="4132" t="s">
        <v>1315</v>
      </c>
    </row>
    <row r="381" spans="1:18">
      <c r="A381" s="265">
        <v>357</v>
      </c>
      <c r="B381" s="595">
        <f t="shared" si="7"/>
        <v>0</v>
      </c>
      <c r="C381" s="4126" t="s">
        <v>13610</v>
      </c>
      <c r="D381" s="3869" t="s">
        <v>13610</v>
      </c>
      <c r="E381" s="4129"/>
      <c r="F381" s="4130">
        <f>COUNTIF(Sheele!$C$25:$H$36,C381)</f>
        <v>0</v>
      </c>
      <c r="G381" s="4044">
        <v>1</v>
      </c>
      <c r="H381" s="4189">
        <f>IF(OR($F381=0,$G381=0),0,MAX($H$134:H380)+1)</f>
        <v>0</v>
      </c>
      <c r="I381" s="4044">
        <v>200</v>
      </c>
      <c r="J381" s="4044">
        <f>Sheele!$F$46</f>
        <v>60</v>
      </c>
      <c r="K381" s="4131" t="s">
        <v>1315</v>
      </c>
      <c r="L381" s="8310" t="s">
        <v>13792</v>
      </c>
      <c r="M381" s="8311"/>
      <c r="N381" s="8311"/>
      <c r="O381" s="8311"/>
      <c r="P381" s="8311"/>
      <c r="Q381" s="8312"/>
      <c r="R381" s="4132" t="s">
        <v>1315</v>
      </c>
    </row>
    <row r="382" spans="1:18">
      <c r="A382" s="265">
        <v>358</v>
      </c>
      <c r="B382" s="595">
        <f t="shared" si="7"/>
        <v>0</v>
      </c>
      <c r="C382" s="4126" t="s">
        <v>13611</v>
      </c>
      <c r="D382" s="3869" t="s">
        <v>13611</v>
      </c>
      <c r="E382" s="4129"/>
      <c r="F382" s="4130">
        <f>COUNTIF(Sheele!$C$25:$H$36,C382)</f>
        <v>0</v>
      </c>
      <c r="G382" s="4044">
        <v>1</v>
      </c>
      <c r="H382" s="4189">
        <f>IF(OR($F382=0,$G382=0),0,MAX($H$134:H381)+1)</f>
        <v>0</v>
      </c>
      <c r="I382" s="4044">
        <v>100</v>
      </c>
      <c r="J382" s="4044" t="s">
        <v>3048</v>
      </c>
      <c r="K382" s="4131" t="s">
        <v>1315</v>
      </c>
      <c r="L382" s="8310" t="s">
        <v>13793</v>
      </c>
      <c r="M382" s="8311"/>
      <c r="N382" s="8311"/>
      <c r="O382" s="8311"/>
      <c r="P382" s="8311"/>
      <c r="Q382" s="8312"/>
      <c r="R382" s="4132" t="s">
        <v>1315</v>
      </c>
    </row>
    <row r="383" spans="1:18">
      <c r="A383" s="265">
        <v>359</v>
      </c>
      <c r="B383" s="595">
        <f t="shared" si="7"/>
        <v>0</v>
      </c>
      <c r="C383" s="4126" t="s">
        <v>13612</v>
      </c>
      <c r="D383" s="3869" t="s">
        <v>13612</v>
      </c>
      <c r="E383" s="4129"/>
      <c r="F383" s="4130">
        <f>COUNTIF(Sheele!$C$25:$H$36,C383)</f>
        <v>0</v>
      </c>
      <c r="G383" s="4044">
        <v>1</v>
      </c>
      <c r="H383" s="4189">
        <f>IF(OR($F383=0,$G383=0),0,MAX($H$134:H382)+1)</f>
        <v>0</v>
      </c>
      <c r="I383" s="4044" t="s">
        <v>1315</v>
      </c>
      <c r="J383" s="4044" t="s">
        <v>1315</v>
      </c>
      <c r="K383" s="4131" t="s">
        <v>1315</v>
      </c>
      <c r="L383" s="8310" t="s">
        <v>13794</v>
      </c>
      <c r="M383" s="8311"/>
      <c r="N383" s="8311"/>
      <c r="O383" s="8311"/>
      <c r="P383" s="8311"/>
      <c r="Q383" s="8312"/>
      <c r="R383" s="4132" t="s">
        <v>1315</v>
      </c>
    </row>
    <row r="384" spans="1:18">
      <c r="A384" s="265">
        <v>360</v>
      </c>
      <c r="B384" s="595">
        <f t="shared" si="7"/>
        <v>0</v>
      </c>
      <c r="C384" s="4126" t="s">
        <v>13613</v>
      </c>
      <c r="D384" s="3869" t="s">
        <v>13613</v>
      </c>
      <c r="E384" s="4129"/>
      <c r="F384" s="4130">
        <f>COUNTIF(Sheele!$C$25:$H$36,C384)</f>
        <v>0</v>
      </c>
      <c r="G384" s="4044"/>
      <c r="H384" s="4189">
        <f>IF(OR($F384=0,$G384=0),0,MAX($H$134:H383)+1)</f>
        <v>0</v>
      </c>
      <c r="I384" s="4044" t="s">
        <v>1315</v>
      </c>
      <c r="J384" s="4044" t="s">
        <v>1315</v>
      </c>
      <c r="K384" s="4131" t="s">
        <v>1315</v>
      </c>
      <c r="L384" s="8317" t="s">
        <v>13795</v>
      </c>
      <c r="M384" s="8311"/>
      <c r="N384" s="8311"/>
      <c r="O384" s="8311"/>
      <c r="P384" s="8311"/>
      <c r="Q384" s="8312"/>
      <c r="R384" s="4132" t="s">
        <v>1315</v>
      </c>
    </row>
    <row r="385" spans="1:18">
      <c r="A385" s="265">
        <v>361</v>
      </c>
      <c r="B385" s="595">
        <f t="shared" si="7"/>
        <v>0</v>
      </c>
      <c r="C385" s="4126" t="s">
        <v>13614</v>
      </c>
      <c r="D385" s="3869" t="s">
        <v>13614</v>
      </c>
      <c r="E385" s="4129"/>
      <c r="F385" s="4130">
        <f>COUNTIF(Sheele!$C$25:$H$36,C385)</f>
        <v>0</v>
      </c>
      <c r="G385" s="4044">
        <v>1</v>
      </c>
      <c r="H385" s="4189">
        <f>IF(OR($F385=0,$G385=0),0,MAX($H$134:H384)+1)</f>
        <v>0</v>
      </c>
      <c r="I385" s="4044" t="s">
        <v>1315</v>
      </c>
      <c r="J385" s="4044" t="s">
        <v>1315</v>
      </c>
      <c r="K385" s="4131" t="s">
        <v>1315</v>
      </c>
      <c r="L385" s="8310" t="s">
        <v>13796</v>
      </c>
      <c r="M385" s="8311"/>
      <c r="N385" s="8311"/>
      <c r="O385" s="8311"/>
      <c r="P385" s="8311"/>
      <c r="Q385" s="8312"/>
      <c r="R385" s="4132" t="s">
        <v>1315</v>
      </c>
    </row>
    <row r="386" spans="1:18">
      <c r="A386" s="265">
        <v>362</v>
      </c>
      <c r="B386" s="595">
        <f t="shared" si="7"/>
        <v>0</v>
      </c>
      <c r="C386" s="4126" t="s">
        <v>13080</v>
      </c>
      <c r="D386" s="3869" t="s">
        <v>13080</v>
      </c>
      <c r="E386" s="4129"/>
      <c r="F386" s="4130">
        <f>COUNTIF(Sheele!$C$25:$H$36,C386)</f>
        <v>0</v>
      </c>
      <c r="G386" s="3869"/>
      <c r="H386" s="4189">
        <f>IF(OR($F386=0,$G386=0),0,MAX($H$134:H385)+1)</f>
        <v>0</v>
      </c>
      <c r="I386" s="4044" t="s">
        <v>1315</v>
      </c>
      <c r="J386" s="4044" t="s">
        <v>1315</v>
      </c>
      <c r="K386" s="4131" t="s">
        <v>1315</v>
      </c>
      <c r="L386" s="8313" t="s">
        <v>2514</v>
      </c>
      <c r="M386" s="8314"/>
      <c r="N386" s="8314"/>
      <c r="O386" s="8314"/>
      <c r="P386" s="8314"/>
      <c r="Q386" s="8315"/>
      <c r="R386" s="4132" t="s">
        <v>1315</v>
      </c>
    </row>
    <row r="387" spans="1:18">
      <c r="A387" s="265">
        <v>363</v>
      </c>
      <c r="B387" s="595">
        <f t="shared" si="7"/>
        <v>0</v>
      </c>
      <c r="C387" s="4127" t="s">
        <v>12677</v>
      </c>
      <c r="D387" s="4215"/>
      <c r="E387" s="305"/>
      <c r="F387" s="2128"/>
      <c r="G387" s="2127"/>
      <c r="H387" s="4213"/>
      <c r="I387" s="306" t="s">
        <v>2500</v>
      </c>
      <c r="J387" s="2139" t="s">
        <v>2501</v>
      </c>
      <c r="K387" s="303" t="s">
        <v>1425</v>
      </c>
      <c r="L387" s="8304" t="s">
        <v>1408</v>
      </c>
      <c r="M387" s="8305"/>
      <c r="N387" s="8305"/>
      <c r="O387" s="8305"/>
      <c r="P387" s="8305"/>
      <c r="Q387" s="8306"/>
      <c r="R387" s="606"/>
    </row>
    <row r="388" spans="1:18">
      <c r="A388" s="265">
        <v>364</v>
      </c>
      <c r="B388" s="595">
        <f t="shared" si="7"/>
        <v>0</v>
      </c>
      <c r="C388" s="4126" t="s">
        <v>1503</v>
      </c>
      <c r="D388" s="3869" t="s">
        <v>1503</v>
      </c>
      <c r="E388" s="4129"/>
      <c r="F388" s="4130">
        <f>COUNTIF(Sheele!$C$25:$H$36,C388)</f>
        <v>0</v>
      </c>
      <c r="G388" s="4044">
        <v>1</v>
      </c>
      <c r="H388" s="4189">
        <f>IF(OR($F388=0,$G388=0),0,MAX($H$134:H387)+1)</f>
        <v>0</v>
      </c>
      <c r="I388" s="4044" t="s">
        <v>1315</v>
      </c>
      <c r="J388" s="4044" t="s">
        <v>1315</v>
      </c>
      <c r="K388" s="4131" t="s">
        <v>1315</v>
      </c>
      <c r="L388" s="8316" t="s">
        <v>13797</v>
      </c>
      <c r="M388" s="8308"/>
      <c r="N388" s="8308"/>
      <c r="O388" s="8308"/>
      <c r="P388" s="8308"/>
      <c r="Q388" s="8309"/>
      <c r="R388" s="4132" t="s">
        <v>1315</v>
      </c>
    </row>
    <row r="389" spans="1:18">
      <c r="A389" s="265">
        <v>365</v>
      </c>
      <c r="B389" s="595">
        <f t="shared" si="7"/>
        <v>0</v>
      </c>
      <c r="C389" s="4126" t="s">
        <v>13615</v>
      </c>
      <c r="D389" s="3869" t="s">
        <v>13615</v>
      </c>
      <c r="E389" s="4129"/>
      <c r="F389" s="4130">
        <f>COUNTIF(Sheele!$C$25:$H$36,C389)</f>
        <v>0</v>
      </c>
      <c r="G389" s="4044">
        <v>1</v>
      </c>
      <c r="H389" s="4189">
        <f>IF(OR($F389=0,$G389=0),0,MAX($H$134:H388)+1)</f>
        <v>0</v>
      </c>
      <c r="I389" s="4044" t="s">
        <v>1315</v>
      </c>
      <c r="J389" s="4044" t="s">
        <v>1315</v>
      </c>
      <c r="K389" s="4131" t="s">
        <v>1315</v>
      </c>
      <c r="L389" s="8310" t="s">
        <v>13798</v>
      </c>
      <c r="M389" s="8311"/>
      <c r="N389" s="8311"/>
      <c r="O389" s="8311"/>
      <c r="P389" s="8311"/>
      <c r="Q389" s="8312"/>
      <c r="R389" s="4132" t="s">
        <v>1315</v>
      </c>
    </row>
    <row r="390" spans="1:18">
      <c r="A390" s="265">
        <v>366</v>
      </c>
      <c r="B390" s="595">
        <f t="shared" si="7"/>
        <v>0</v>
      </c>
      <c r="C390" s="4126" t="s">
        <v>13616</v>
      </c>
      <c r="D390" s="3869" t="s">
        <v>13616</v>
      </c>
      <c r="E390" s="4129"/>
      <c r="F390" s="4130">
        <f>COUNTIF(Sheele!$C$25:$H$36,C390)</f>
        <v>0</v>
      </c>
      <c r="G390" s="4044">
        <v>1</v>
      </c>
      <c r="H390" s="4189">
        <f>IF(OR($F390=0,$G390=0),0,MAX($H$134:H389)+1)</f>
        <v>0</v>
      </c>
      <c r="I390" s="4044" t="s">
        <v>13799</v>
      </c>
      <c r="J390" s="4044" t="s">
        <v>1315</v>
      </c>
      <c r="K390" s="4131" t="s">
        <v>1315</v>
      </c>
      <c r="L390" s="8317" t="s">
        <v>13800</v>
      </c>
      <c r="M390" s="8311"/>
      <c r="N390" s="8311"/>
      <c r="O390" s="8311"/>
      <c r="P390" s="8311"/>
      <c r="Q390" s="8312"/>
      <c r="R390" s="4132" t="s">
        <v>1315</v>
      </c>
    </row>
    <row r="391" spans="1:18">
      <c r="A391" s="265">
        <v>367</v>
      </c>
      <c r="B391" s="595">
        <f t="shared" si="7"/>
        <v>0</v>
      </c>
      <c r="C391" s="4126" t="s">
        <v>13617</v>
      </c>
      <c r="D391" s="3869" t="s">
        <v>13617</v>
      </c>
      <c r="E391" s="4129"/>
      <c r="F391" s="4130">
        <f>COUNTIF(Sheele!$C$25:$H$36,C391)</f>
        <v>0</v>
      </c>
      <c r="G391" s="4044">
        <v>1</v>
      </c>
      <c r="H391" s="4189">
        <f>IF(OR($F391=0,$G391=0),0,MAX($H$134:H390)+1)</f>
        <v>0</v>
      </c>
      <c r="I391" s="4044" t="s">
        <v>1315</v>
      </c>
      <c r="J391" s="4044" t="s">
        <v>1315</v>
      </c>
      <c r="K391" s="4131" t="s">
        <v>1315</v>
      </c>
      <c r="L391" s="8310" t="s">
        <v>13801</v>
      </c>
      <c r="M391" s="8311"/>
      <c r="N391" s="8311"/>
      <c r="O391" s="8311"/>
      <c r="P391" s="8311"/>
      <c r="Q391" s="8312"/>
      <c r="R391" s="4132" t="s">
        <v>1315</v>
      </c>
    </row>
    <row r="392" spans="1:18">
      <c r="A392" s="265">
        <v>368</v>
      </c>
      <c r="B392" s="595">
        <f t="shared" si="7"/>
        <v>0</v>
      </c>
      <c r="C392" s="4126" t="s">
        <v>13618</v>
      </c>
      <c r="D392" s="3869" t="s">
        <v>13618</v>
      </c>
      <c r="E392" s="4129"/>
      <c r="F392" s="4130">
        <f>COUNTIF(Sheele!$C$25:$H$36,C392)</f>
        <v>0</v>
      </c>
      <c r="G392" s="4044">
        <v>1</v>
      </c>
      <c r="H392" s="4189">
        <f>IF(OR($F392=0,$G392=0),0,MAX($H$134:H391)+1)</f>
        <v>0</v>
      </c>
      <c r="I392" s="4044" t="s">
        <v>1315</v>
      </c>
      <c r="J392" s="4044" t="s">
        <v>1315</v>
      </c>
      <c r="K392" s="4131" t="s">
        <v>1315</v>
      </c>
      <c r="L392" s="8310" t="s">
        <v>13802</v>
      </c>
      <c r="M392" s="8311"/>
      <c r="N392" s="8311"/>
      <c r="O392" s="8311"/>
      <c r="P392" s="8311"/>
      <c r="Q392" s="8312"/>
      <c r="R392" s="4132" t="s">
        <v>1315</v>
      </c>
    </row>
    <row r="393" spans="1:18">
      <c r="A393" s="265">
        <v>369</v>
      </c>
      <c r="B393" s="595">
        <f t="shared" si="7"/>
        <v>0</v>
      </c>
      <c r="C393" s="4126" t="s">
        <v>13619</v>
      </c>
      <c r="D393" s="3869" t="s">
        <v>13619</v>
      </c>
      <c r="E393" s="4129"/>
      <c r="F393" s="4130">
        <f>COUNTIF(Sheele!$C$25:$H$36,C393)</f>
        <v>0</v>
      </c>
      <c r="G393" s="4044">
        <v>1</v>
      </c>
      <c r="H393" s="4189">
        <f>IF(OR($F393=0,$G393=0),0,MAX($H$134:H392)+1)</f>
        <v>0</v>
      </c>
      <c r="I393" s="4044" t="s">
        <v>1315</v>
      </c>
      <c r="J393" s="4044" t="s">
        <v>1315</v>
      </c>
      <c r="K393" s="4131" t="s">
        <v>1315</v>
      </c>
      <c r="L393" s="8310" t="s">
        <v>13803</v>
      </c>
      <c r="M393" s="8311"/>
      <c r="N393" s="8311"/>
      <c r="O393" s="8311"/>
      <c r="P393" s="8311"/>
      <c r="Q393" s="8312"/>
      <c r="R393" s="4132" t="s">
        <v>1315</v>
      </c>
    </row>
    <row r="394" spans="1:18">
      <c r="A394" s="265">
        <v>370</v>
      </c>
      <c r="B394" s="595">
        <f t="shared" si="7"/>
        <v>0</v>
      </c>
      <c r="C394" s="4126" t="s">
        <v>13620</v>
      </c>
      <c r="D394" s="3869" t="s">
        <v>13620</v>
      </c>
      <c r="E394" s="4129"/>
      <c r="F394" s="4130">
        <f>COUNTIF(Sheele!$C$25:$H$36,C394)</f>
        <v>0</v>
      </c>
      <c r="G394" s="4044">
        <v>1</v>
      </c>
      <c r="H394" s="4189">
        <f>IF(OR($F394=0,$G394=0),0,MAX($H$134:H393)+1)</f>
        <v>0</v>
      </c>
      <c r="I394" s="4044" t="s">
        <v>1315</v>
      </c>
      <c r="J394" s="4044" t="s">
        <v>1315</v>
      </c>
      <c r="K394" s="4131" t="s">
        <v>1315</v>
      </c>
      <c r="L394" s="8310" t="s">
        <v>13804</v>
      </c>
      <c r="M394" s="8311"/>
      <c r="N394" s="8311"/>
      <c r="O394" s="8311"/>
      <c r="P394" s="8311"/>
      <c r="Q394" s="8312"/>
      <c r="R394" s="4132" t="s">
        <v>1315</v>
      </c>
    </row>
    <row r="395" spans="1:18">
      <c r="A395" s="265">
        <v>371</v>
      </c>
      <c r="B395" s="595">
        <f t="shared" si="7"/>
        <v>0</v>
      </c>
      <c r="C395" s="4126" t="s">
        <v>13621</v>
      </c>
      <c r="D395" s="3869" t="s">
        <v>13621</v>
      </c>
      <c r="E395" s="4129"/>
      <c r="F395" s="4130">
        <f>COUNTIF(Sheele!$C$25:$H$36,C395)</f>
        <v>0</v>
      </c>
      <c r="G395" s="4044">
        <v>1</v>
      </c>
      <c r="H395" s="4189">
        <f>IF(OR($F395=0,$G395=0),0,MAX($H$134:H394)+1)</f>
        <v>0</v>
      </c>
      <c r="I395" s="4044" t="s">
        <v>9198</v>
      </c>
      <c r="J395" s="4044" t="s">
        <v>1315</v>
      </c>
      <c r="K395" s="4131" t="s">
        <v>1315</v>
      </c>
      <c r="L395" s="8310" t="s">
        <v>13805</v>
      </c>
      <c r="M395" s="8311"/>
      <c r="N395" s="8311"/>
      <c r="O395" s="8311"/>
      <c r="P395" s="8311"/>
      <c r="Q395" s="8312"/>
      <c r="R395" s="4132" t="s">
        <v>1315</v>
      </c>
    </row>
    <row r="396" spans="1:18">
      <c r="A396" s="265">
        <v>372</v>
      </c>
      <c r="B396" s="595">
        <f t="shared" si="7"/>
        <v>0</v>
      </c>
      <c r="C396" s="4126" t="s">
        <v>13622</v>
      </c>
      <c r="D396" s="3869" t="s">
        <v>13622</v>
      </c>
      <c r="E396" s="4129"/>
      <c r="F396" s="4130">
        <f>COUNTIF(Sheele!$C$25:$H$36,C396)</f>
        <v>0</v>
      </c>
      <c r="G396" s="4044"/>
      <c r="H396" s="4189">
        <f>IF(OR($F396=0,$G396=0),0,MAX($H$134:H395)+1)</f>
        <v>0</v>
      </c>
      <c r="I396" s="4044" t="s">
        <v>1315</v>
      </c>
      <c r="J396" s="4044" t="s">
        <v>1315</v>
      </c>
      <c r="K396" s="4131" t="s">
        <v>1315</v>
      </c>
      <c r="L396" s="8317" t="s">
        <v>13806</v>
      </c>
      <c r="M396" s="8311"/>
      <c r="N396" s="8311"/>
      <c r="O396" s="8311"/>
      <c r="P396" s="8311"/>
      <c r="Q396" s="8312"/>
      <c r="R396" s="4132" t="s">
        <v>1315</v>
      </c>
    </row>
    <row r="397" spans="1:18">
      <c r="A397" s="265">
        <v>373</v>
      </c>
      <c r="B397" s="595">
        <f t="shared" si="7"/>
        <v>0</v>
      </c>
      <c r="C397" s="4126" t="s">
        <v>13080</v>
      </c>
      <c r="D397" s="3869" t="s">
        <v>13080</v>
      </c>
      <c r="E397" s="4129"/>
      <c r="F397" s="4130">
        <f>COUNTIF(Sheele!$C$25:$H$36,C397)</f>
        <v>0</v>
      </c>
      <c r="G397" s="3869"/>
      <c r="H397" s="4189">
        <f>IF(OR($F397=0,$G397=0),0,MAX($H$134:H396)+1)</f>
        <v>0</v>
      </c>
      <c r="I397" s="4044" t="s">
        <v>1315</v>
      </c>
      <c r="J397" s="4044" t="s">
        <v>1315</v>
      </c>
      <c r="K397" s="4131" t="s">
        <v>1315</v>
      </c>
      <c r="L397" s="8313" t="s">
        <v>2514</v>
      </c>
      <c r="M397" s="8314"/>
      <c r="N397" s="8314"/>
      <c r="O397" s="8314"/>
      <c r="P397" s="8314"/>
      <c r="Q397" s="8315"/>
      <c r="R397" s="4132" t="s">
        <v>1315</v>
      </c>
    </row>
    <row r="398" spans="1:18">
      <c r="A398" s="265">
        <v>374</v>
      </c>
      <c r="B398" s="595">
        <f t="shared" si="7"/>
        <v>0</v>
      </c>
      <c r="C398" s="4127" t="s">
        <v>12688</v>
      </c>
      <c r="D398" s="4215"/>
      <c r="E398" s="305"/>
      <c r="F398" s="2128"/>
      <c r="G398" s="2127"/>
      <c r="H398" s="4213"/>
      <c r="I398" s="306" t="s">
        <v>2500</v>
      </c>
      <c r="J398" s="2139" t="s">
        <v>2501</v>
      </c>
      <c r="K398" s="303" t="s">
        <v>1425</v>
      </c>
      <c r="L398" s="8304" t="s">
        <v>1408</v>
      </c>
      <c r="M398" s="8305"/>
      <c r="N398" s="8305"/>
      <c r="O398" s="8305"/>
      <c r="P398" s="8305"/>
      <c r="Q398" s="8306"/>
      <c r="R398" s="606"/>
    </row>
    <row r="399" spans="1:18">
      <c r="A399" s="265">
        <v>375</v>
      </c>
      <c r="B399" s="595">
        <f t="shared" si="7"/>
        <v>0</v>
      </c>
      <c r="C399" s="4126" t="s">
        <v>13623</v>
      </c>
      <c r="D399" s="3869" t="s">
        <v>13623</v>
      </c>
      <c r="E399" s="4129"/>
      <c r="F399" s="4130">
        <f>COUNTIF(Sheele!$C$25:$H$36,C399)</f>
        <v>0</v>
      </c>
      <c r="G399" s="4044">
        <v>1</v>
      </c>
      <c r="H399" s="4189">
        <f>IF(OR($F399=0,$G399=0),0,MAX($H$134:H398)+1)</f>
        <v>0</v>
      </c>
      <c r="I399" s="4044">
        <v>50</v>
      </c>
      <c r="J399" s="4044">
        <f>Sheele!$F$46</f>
        <v>60</v>
      </c>
      <c r="K399" s="4131" t="s">
        <v>1315</v>
      </c>
      <c r="L399" s="8316" t="s">
        <v>13807</v>
      </c>
      <c r="M399" s="8308"/>
      <c r="N399" s="8308"/>
      <c r="O399" s="8308"/>
      <c r="P399" s="8308"/>
      <c r="Q399" s="8309"/>
      <c r="R399" s="4132" t="s">
        <v>1315</v>
      </c>
    </row>
    <row r="400" spans="1:18">
      <c r="A400" s="265">
        <v>376</v>
      </c>
      <c r="B400" s="595">
        <f t="shared" si="7"/>
        <v>0</v>
      </c>
      <c r="C400" s="4126" t="s">
        <v>13624</v>
      </c>
      <c r="D400" s="3869" t="s">
        <v>13624</v>
      </c>
      <c r="E400" s="4129"/>
      <c r="F400" s="4130">
        <f>COUNTIF(Sheele!$C$25:$H$36,C400)</f>
        <v>0</v>
      </c>
      <c r="G400" s="4044">
        <v>1</v>
      </c>
      <c r="H400" s="4189">
        <f>IF(OR($F400=0,$G400=0),0,MAX($H$134:H399)+1)</f>
        <v>0</v>
      </c>
      <c r="I400" s="4044">
        <v>100</v>
      </c>
      <c r="J400" s="4044" t="s">
        <v>1315</v>
      </c>
      <c r="K400" s="4131" t="s">
        <v>1315</v>
      </c>
      <c r="L400" s="8310" t="s">
        <v>13808</v>
      </c>
      <c r="M400" s="8311"/>
      <c r="N400" s="8311"/>
      <c r="O400" s="8311"/>
      <c r="P400" s="8311"/>
      <c r="Q400" s="8312"/>
      <c r="R400" s="4132" t="s">
        <v>1315</v>
      </c>
    </row>
    <row r="401" spans="1:18">
      <c r="A401" s="265">
        <v>377</v>
      </c>
      <c r="B401" s="595">
        <f t="shared" si="7"/>
        <v>0</v>
      </c>
      <c r="C401" s="4126" t="s">
        <v>13625</v>
      </c>
      <c r="D401" s="3869" t="s">
        <v>13625</v>
      </c>
      <c r="E401" s="4129"/>
      <c r="F401" s="4130">
        <f>COUNTIF(Sheele!$C$25:$H$36,C401)</f>
        <v>0</v>
      </c>
      <c r="G401" s="4044">
        <v>1</v>
      </c>
      <c r="H401" s="4189">
        <f>IF(OR($F401=0,$G401=0),0,MAX($H$134:H400)+1)</f>
        <v>0</v>
      </c>
      <c r="I401" s="4044" t="s">
        <v>1315</v>
      </c>
      <c r="J401" s="4044" t="s">
        <v>1315</v>
      </c>
      <c r="K401" s="4131" t="s">
        <v>1315</v>
      </c>
      <c r="L401" s="8310" t="s">
        <v>13809</v>
      </c>
      <c r="M401" s="8311"/>
      <c r="N401" s="8311"/>
      <c r="O401" s="8311"/>
      <c r="P401" s="8311"/>
      <c r="Q401" s="8312"/>
      <c r="R401" s="4132" t="s">
        <v>1315</v>
      </c>
    </row>
    <row r="402" spans="1:18">
      <c r="A402" s="265">
        <v>378</v>
      </c>
      <c r="B402" s="595">
        <f t="shared" si="7"/>
        <v>0</v>
      </c>
      <c r="C402" s="4126" t="s">
        <v>13626</v>
      </c>
      <c r="D402" s="3869" t="s">
        <v>13626</v>
      </c>
      <c r="E402" s="4129"/>
      <c r="F402" s="4130">
        <f>COUNTIF(Sheele!$C$25:$H$36,C402)</f>
        <v>0</v>
      </c>
      <c r="G402" s="4044">
        <v>1</v>
      </c>
      <c r="H402" s="4189">
        <f>IF(OR($F402=0,$G402=0),0,MAX($H$134:H401)+1)</f>
        <v>0</v>
      </c>
      <c r="I402" s="4044">
        <v>50</v>
      </c>
      <c r="J402" s="4044" t="s">
        <v>1315</v>
      </c>
      <c r="K402" s="4131" t="s">
        <v>1315</v>
      </c>
      <c r="L402" s="8310" t="s">
        <v>13810</v>
      </c>
      <c r="M402" s="8311"/>
      <c r="N402" s="8311"/>
      <c r="O402" s="8311"/>
      <c r="P402" s="8311"/>
      <c r="Q402" s="8312"/>
      <c r="R402" s="4132" t="s">
        <v>1315</v>
      </c>
    </row>
    <row r="403" spans="1:18">
      <c r="A403" s="265">
        <v>379</v>
      </c>
      <c r="B403" s="595">
        <f t="shared" si="7"/>
        <v>0</v>
      </c>
      <c r="C403" s="4126" t="s">
        <v>13627</v>
      </c>
      <c r="D403" s="3869" t="s">
        <v>13627</v>
      </c>
      <c r="E403" s="4129"/>
      <c r="F403" s="4130">
        <f>COUNTIF(Sheele!$C$25:$H$36,C403)</f>
        <v>0</v>
      </c>
      <c r="G403" s="4044">
        <v>1</v>
      </c>
      <c r="H403" s="4189">
        <f>IF(OR($F403=0,$G403=0),0,MAX($H$134:H402)+1)</f>
        <v>0</v>
      </c>
      <c r="I403" s="4044" t="s">
        <v>13812</v>
      </c>
      <c r="J403" s="4044" t="s">
        <v>1315</v>
      </c>
      <c r="K403" s="4131" t="s">
        <v>1315</v>
      </c>
      <c r="L403" s="8310" t="s">
        <v>13811</v>
      </c>
      <c r="M403" s="8311"/>
      <c r="N403" s="8311"/>
      <c r="O403" s="8311"/>
      <c r="P403" s="8311"/>
      <c r="Q403" s="8312"/>
      <c r="R403" s="4132" t="s">
        <v>1315</v>
      </c>
    </row>
    <row r="404" spans="1:18">
      <c r="A404" s="265">
        <v>380</v>
      </c>
      <c r="B404" s="595">
        <f t="shared" si="7"/>
        <v>0</v>
      </c>
      <c r="C404" s="4126" t="s">
        <v>10321</v>
      </c>
      <c r="D404" s="3869" t="s">
        <v>10321</v>
      </c>
      <c r="E404" s="4129"/>
      <c r="F404" s="4130">
        <f>COUNTIF(Sheele!$C$25:$H$36,C404)</f>
        <v>0</v>
      </c>
      <c r="G404" s="4044">
        <v>1</v>
      </c>
      <c r="H404" s="4189">
        <f>IF(OR($F404=0,$G404=0),0,MAX($H$134:H403)+1)</f>
        <v>0</v>
      </c>
      <c r="I404" s="4044">
        <v>250</v>
      </c>
      <c r="J404" s="4044" t="s">
        <v>3048</v>
      </c>
      <c r="K404" s="4131" t="s">
        <v>1315</v>
      </c>
      <c r="L404" s="8310" t="s">
        <v>13813</v>
      </c>
      <c r="M404" s="8311"/>
      <c r="N404" s="8311"/>
      <c r="O404" s="8311"/>
      <c r="P404" s="8311"/>
      <c r="Q404" s="8312"/>
      <c r="R404" s="4132" t="s">
        <v>1315</v>
      </c>
    </row>
    <row r="405" spans="1:18">
      <c r="A405" s="265">
        <v>381</v>
      </c>
      <c r="B405" s="595">
        <f t="shared" si="7"/>
        <v>0</v>
      </c>
      <c r="C405" s="4126" t="s">
        <v>13628</v>
      </c>
      <c r="D405" s="3869" t="s">
        <v>13628</v>
      </c>
      <c r="E405" s="4129"/>
      <c r="F405" s="4130">
        <f>COUNTIF(Sheele!$C$25:$H$36,C405)</f>
        <v>0</v>
      </c>
      <c r="G405" s="4044">
        <v>1</v>
      </c>
      <c r="H405" s="4189">
        <f>IF(OR($F405=0,$G405=0),0,MAX($H$134:H404)+1)</f>
        <v>0</v>
      </c>
      <c r="I405" s="4044" t="s">
        <v>1315</v>
      </c>
      <c r="J405" s="4044" t="s">
        <v>1315</v>
      </c>
      <c r="K405" s="4131" t="s">
        <v>1315</v>
      </c>
      <c r="L405" s="8310" t="s">
        <v>13814</v>
      </c>
      <c r="M405" s="8311"/>
      <c r="N405" s="8311"/>
      <c r="O405" s="8311"/>
      <c r="P405" s="8311"/>
      <c r="Q405" s="8312"/>
      <c r="R405" s="4132" t="s">
        <v>1315</v>
      </c>
    </row>
    <row r="406" spans="1:18">
      <c r="A406" s="265">
        <v>382</v>
      </c>
      <c r="B406" s="595">
        <f t="shared" si="7"/>
        <v>0</v>
      </c>
      <c r="C406" s="4126" t="s">
        <v>13629</v>
      </c>
      <c r="D406" s="3869" t="s">
        <v>13629</v>
      </c>
      <c r="E406" s="4129"/>
      <c r="F406" s="4130">
        <f>COUNTIF(Sheele!$C$25:$H$36,C406)</f>
        <v>0</v>
      </c>
      <c r="G406" s="4044">
        <v>1</v>
      </c>
      <c r="H406" s="4189">
        <f>IF(OR($F406=0,$G406=0),0,MAX($H$134:H405)+1)</f>
        <v>0</v>
      </c>
      <c r="I406" s="4044" t="s">
        <v>1315</v>
      </c>
      <c r="J406" s="4044" t="s">
        <v>1315</v>
      </c>
      <c r="K406" s="4131" t="s">
        <v>1315</v>
      </c>
      <c r="L406" s="8310" t="s">
        <v>13815</v>
      </c>
      <c r="M406" s="8311"/>
      <c r="N406" s="8311"/>
      <c r="O406" s="8311"/>
      <c r="P406" s="8311"/>
      <c r="Q406" s="8312"/>
      <c r="R406" s="4132" t="s">
        <v>1315</v>
      </c>
    </row>
    <row r="407" spans="1:18">
      <c r="A407" s="265">
        <v>383</v>
      </c>
      <c r="B407" s="595">
        <f t="shared" si="7"/>
        <v>0</v>
      </c>
      <c r="C407" s="4126" t="s">
        <v>13630</v>
      </c>
      <c r="D407" s="3869" t="s">
        <v>13630</v>
      </c>
      <c r="E407" s="4129"/>
      <c r="F407" s="4130">
        <f>COUNTIF(Sheele!$C$25:$H$36,C407)</f>
        <v>0</v>
      </c>
      <c r="G407" s="4044"/>
      <c r="H407" s="4189">
        <f>IF(OR($F407=0,$G407=0),0,MAX($H$134:H406)+1)</f>
        <v>0</v>
      </c>
      <c r="I407" s="4044" t="s">
        <v>1315</v>
      </c>
      <c r="J407" s="4044" t="s">
        <v>1315</v>
      </c>
      <c r="K407" s="4131" t="s">
        <v>1315</v>
      </c>
      <c r="L407" s="8317" t="s">
        <v>13816</v>
      </c>
      <c r="M407" s="8311"/>
      <c r="N407" s="8311"/>
      <c r="O407" s="8311"/>
      <c r="P407" s="8311"/>
      <c r="Q407" s="8312"/>
      <c r="R407" s="4132" t="s">
        <v>1315</v>
      </c>
    </row>
    <row r="408" spans="1:18">
      <c r="A408" s="265">
        <v>384</v>
      </c>
      <c r="B408" s="595">
        <f t="shared" si="7"/>
        <v>0</v>
      </c>
      <c r="C408" s="4126" t="s">
        <v>13080</v>
      </c>
      <c r="D408" s="3869" t="s">
        <v>13080</v>
      </c>
      <c r="E408" s="4129"/>
      <c r="F408" s="4130">
        <f>COUNTIF(Sheele!$C$25:$H$36,C408)</f>
        <v>0</v>
      </c>
      <c r="G408" s="3869"/>
      <c r="H408" s="4189">
        <f>IF(OR($F408=0,$G408=0),0,MAX($H$134:H407)+1)</f>
        <v>0</v>
      </c>
      <c r="I408" s="4044" t="s">
        <v>1315</v>
      </c>
      <c r="J408" s="4044" t="s">
        <v>1315</v>
      </c>
      <c r="K408" s="4131" t="s">
        <v>1315</v>
      </c>
      <c r="L408" s="8313" t="s">
        <v>2514</v>
      </c>
      <c r="M408" s="8314"/>
      <c r="N408" s="8314"/>
      <c r="O408" s="8314"/>
      <c r="P408" s="8314"/>
      <c r="Q408" s="8315"/>
      <c r="R408" s="4132" t="s">
        <v>1315</v>
      </c>
    </row>
    <row r="409" spans="1:18">
      <c r="A409" s="265">
        <v>385</v>
      </c>
      <c r="B409" s="595">
        <f t="shared" si="7"/>
        <v>0</v>
      </c>
      <c r="C409" s="4127" t="s">
        <v>12698</v>
      </c>
      <c r="D409" s="4215"/>
      <c r="E409" s="305"/>
      <c r="F409" s="2128"/>
      <c r="G409" s="2127"/>
      <c r="H409" s="4213"/>
      <c r="I409" s="306" t="s">
        <v>2500</v>
      </c>
      <c r="J409" s="2139" t="s">
        <v>2501</v>
      </c>
      <c r="K409" s="303" t="s">
        <v>1425</v>
      </c>
      <c r="L409" s="8304" t="s">
        <v>1408</v>
      </c>
      <c r="M409" s="8305"/>
      <c r="N409" s="8305"/>
      <c r="O409" s="8305"/>
      <c r="P409" s="8305"/>
      <c r="Q409" s="8306"/>
      <c r="R409" s="606"/>
    </row>
    <row r="410" spans="1:18">
      <c r="A410" s="265">
        <v>386</v>
      </c>
      <c r="B410" s="595">
        <f t="shared" si="7"/>
        <v>0</v>
      </c>
      <c r="C410" s="4126" t="s">
        <v>13631</v>
      </c>
      <c r="D410" s="3869" t="s">
        <v>13631</v>
      </c>
      <c r="E410" s="4129"/>
      <c r="F410" s="4130">
        <f>COUNTIF(Sheele!$C$25:$H$36,C410)</f>
        <v>0</v>
      </c>
      <c r="G410" s="4044">
        <v>1</v>
      </c>
      <c r="H410" s="4189">
        <f>IF(OR($F410=0,$G410=0),0,MAX($H$134:H409)+1)</f>
        <v>0</v>
      </c>
      <c r="I410" s="4044" t="s">
        <v>13818</v>
      </c>
      <c r="J410" s="4044" t="s">
        <v>1315</v>
      </c>
      <c r="K410" s="4131" t="s">
        <v>1315</v>
      </c>
      <c r="L410" s="8316" t="s">
        <v>13817</v>
      </c>
      <c r="M410" s="8308"/>
      <c r="N410" s="8308"/>
      <c r="O410" s="8308"/>
      <c r="P410" s="8308"/>
      <c r="Q410" s="8309"/>
      <c r="R410" s="4132" t="s">
        <v>1315</v>
      </c>
    </row>
    <row r="411" spans="1:18">
      <c r="A411" s="265">
        <v>387</v>
      </c>
      <c r="B411" s="595">
        <f t="shared" si="7"/>
        <v>0</v>
      </c>
      <c r="C411" s="4126" t="s">
        <v>13632</v>
      </c>
      <c r="D411" s="3869" t="s">
        <v>13632</v>
      </c>
      <c r="E411" s="4129"/>
      <c r="F411" s="4130">
        <f>COUNTIF(Sheele!$C$25:$H$36,C411)</f>
        <v>0</v>
      </c>
      <c r="G411" s="4044">
        <v>1</v>
      </c>
      <c r="H411" s="4189">
        <f>IF(OR($F411=0,$G411=0),0,MAX($H$134:H410)+1)</f>
        <v>0</v>
      </c>
      <c r="I411" s="4044" t="s">
        <v>13820</v>
      </c>
      <c r="J411" s="4044" t="s">
        <v>1315</v>
      </c>
      <c r="K411" s="4131" t="s">
        <v>1315</v>
      </c>
      <c r="L411" s="8310" t="s">
        <v>13819</v>
      </c>
      <c r="M411" s="8311"/>
      <c r="N411" s="8311"/>
      <c r="O411" s="8311"/>
      <c r="P411" s="8311"/>
      <c r="Q411" s="8312"/>
      <c r="R411" s="4132" t="s">
        <v>1315</v>
      </c>
    </row>
    <row r="412" spans="1:18">
      <c r="A412" s="265">
        <v>388</v>
      </c>
      <c r="B412" s="595">
        <f t="shared" si="7"/>
        <v>0</v>
      </c>
      <c r="C412" s="4126" t="s">
        <v>13633</v>
      </c>
      <c r="D412" s="3869" t="s">
        <v>13633</v>
      </c>
      <c r="E412" s="4129"/>
      <c r="F412" s="4130">
        <f>COUNTIF(Sheele!$C$25:$H$36,C412)</f>
        <v>0</v>
      </c>
      <c r="G412" s="4044">
        <v>1</v>
      </c>
      <c r="H412" s="4189">
        <f>IF(OR($F412=0,$G412=0),0,MAX($H$134:H411)+1)</f>
        <v>0</v>
      </c>
      <c r="I412" s="4044" t="s">
        <v>1315</v>
      </c>
      <c r="J412" s="4044" t="s">
        <v>1315</v>
      </c>
      <c r="K412" s="4131" t="s">
        <v>1315</v>
      </c>
      <c r="L412" s="8310" t="s">
        <v>13821</v>
      </c>
      <c r="M412" s="8311"/>
      <c r="N412" s="8311"/>
      <c r="O412" s="8311"/>
      <c r="P412" s="8311"/>
      <c r="Q412" s="8312"/>
      <c r="R412" s="4132" t="s">
        <v>1315</v>
      </c>
    </row>
    <row r="413" spans="1:18">
      <c r="A413" s="265">
        <v>389</v>
      </c>
      <c r="B413" s="595">
        <f t="shared" si="7"/>
        <v>0</v>
      </c>
      <c r="C413" s="4126" t="s">
        <v>13634</v>
      </c>
      <c r="D413" s="3869" t="s">
        <v>13634</v>
      </c>
      <c r="E413" s="4129"/>
      <c r="F413" s="4130">
        <f>COUNTIF(Sheele!$C$25:$H$36,C413)</f>
        <v>0</v>
      </c>
      <c r="G413" s="4044">
        <v>1</v>
      </c>
      <c r="H413" s="4189">
        <f>IF(OR($F413=0,$G413=0),0,MAX($H$134:H412)+1)</f>
        <v>0</v>
      </c>
      <c r="I413" s="4044" t="s">
        <v>13822</v>
      </c>
      <c r="J413" s="4044" t="s">
        <v>3048</v>
      </c>
      <c r="K413" s="4131" t="s">
        <v>1315</v>
      </c>
      <c r="L413" s="8310" t="s">
        <v>13823</v>
      </c>
      <c r="M413" s="8311"/>
      <c r="N413" s="8311"/>
      <c r="O413" s="8311"/>
      <c r="P413" s="8311"/>
      <c r="Q413" s="8312"/>
      <c r="R413" s="4132" t="s">
        <v>1315</v>
      </c>
    </row>
    <row r="414" spans="1:18">
      <c r="A414" s="265">
        <v>390</v>
      </c>
      <c r="B414" s="595">
        <f t="shared" si="7"/>
        <v>0</v>
      </c>
      <c r="C414" s="4126" t="s">
        <v>13635</v>
      </c>
      <c r="D414" s="3869" t="s">
        <v>13635</v>
      </c>
      <c r="E414" s="4129"/>
      <c r="F414" s="4130">
        <f>COUNTIF(Sheele!$C$25:$H$36,C414)</f>
        <v>0</v>
      </c>
      <c r="G414" s="4044">
        <v>1</v>
      </c>
      <c r="H414" s="4189">
        <f>IF(OR($F414=0,$G414=0),0,MAX($H$134:H413)+1)</f>
        <v>0</v>
      </c>
      <c r="I414" s="4044" t="s">
        <v>1315</v>
      </c>
      <c r="J414" s="4044" t="s">
        <v>1315</v>
      </c>
      <c r="K414" s="4131" t="s">
        <v>1315</v>
      </c>
      <c r="L414" s="8310" t="s">
        <v>13824</v>
      </c>
      <c r="M414" s="8311"/>
      <c r="N414" s="8311"/>
      <c r="O414" s="8311"/>
      <c r="P414" s="8311"/>
      <c r="Q414" s="8312"/>
      <c r="R414" s="4132" t="s">
        <v>1315</v>
      </c>
    </row>
    <row r="415" spans="1:18">
      <c r="A415" s="265">
        <v>391</v>
      </c>
      <c r="B415" s="595">
        <f t="shared" si="7"/>
        <v>0</v>
      </c>
      <c r="C415" s="4126" t="s">
        <v>13636</v>
      </c>
      <c r="D415" s="3869" t="s">
        <v>13636</v>
      </c>
      <c r="E415" s="4129"/>
      <c r="F415" s="4130">
        <f>COUNTIF(Sheele!$C$25:$H$36,C415)</f>
        <v>0</v>
      </c>
      <c r="G415" s="4044">
        <v>1</v>
      </c>
      <c r="H415" s="4189">
        <f>IF(OR($F415=0,$G415=0),0,MAX($H$134:H414)+1)</f>
        <v>0</v>
      </c>
      <c r="I415" s="4044">
        <v>250</v>
      </c>
      <c r="J415" s="4044" t="s">
        <v>1315</v>
      </c>
      <c r="K415" s="4131" t="s">
        <v>1315</v>
      </c>
      <c r="L415" s="8310" t="s">
        <v>13825</v>
      </c>
      <c r="M415" s="8311"/>
      <c r="N415" s="8311"/>
      <c r="O415" s="8311"/>
      <c r="P415" s="8311"/>
      <c r="Q415" s="8312"/>
      <c r="R415" s="4132" t="s">
        <v>1315</v>
      </c>
    </row>
    <row r="416" spans="1:18">
      <c r="A416" s="265">
        <v>392</v>
      </c>
      <c r="B416" s="595">
        <f t="shared" si="7"/>
        <v>0</v>
      </c>
      <c r="C416" s="4126" t="s">
        <v>13637</v>
      </c>
      <c r="D416" s="3869" t="s">
        <v>13637</v>
      </c>
      <c r="E416" s="4129"/>
      <c r="F416" s="4130">
        <f>COUNTIF(Sheele!$C$25:$H$36,C416)</f>
        <v>0</v>
      </c>
      <c r="G416" s="4044">
        <v>1</v>
      </c>
      <c r="H416" s="4189">
        <f>IF(OR($F416=0,$G416=0),0,MAX($H$134:H415)+1)</f>
        <v>0</v>
      </c>
      <c r="I416" s="4044" t="s">
        <v>13826</v>
      </c>
      <c r="J416" s="4044" t="s">
        <v>1315</v>
      </c>
      <c r="K416" s="4131" t="s">
        <v>1315</v>
      </c>
      <c r="L416" s="8310" t="s">
        <v>13827</v>
      </c>
      <c r="M416" s="8311"/>
      <c r="N416" s="8311"/>
      <c r="O416" s="8311"/>
      <c r="P416" s="8311"/>
      <c r="Q416" s="8312"/>
      <c r="R416" s="4132" t="s">
        <v>1315</v>
      </c>
    </row>
    <row r="417" spans="1:18">
      <c r="A417" s="265">
        <v>393</v>
      </c>
      <c r="B417" s="595">
        <f t="shared" si="7"/>
        <v>0</v>
      </c>
      <c r="C417" s="4126" t="s">
        <v>13638</v>
      </c>
      <c r="D417" s="3869" t="s">
        <v>13638</v>
      </c>
      <c r="E417" s="4129"/>
      <c r="F417" s="4130">
        <f>COUNTIF(Sheele!$C$25:$H$36,C417)</f>
        <v>0</v>
      </c>
      <c r="G417" s="4044">
        <v>1</v>
      </c>
      <c r="H417" s="4189">
        <f>IF(OR($F417=0,$G417=0),0,MAX($H$134:H416)+1)</f>
        <v>0</v>
      </c>
      <c r="I417" s="4044" t="s">
        <v>1315</v>
      </c>
      <c r="J417" s="4044" t="s">
        <v>1315</v>
      </c>
      <c r="K417" s="4131" t="s">
        <v>1315</v>
      </c>
      <c r="L417" s="8317" t="s">
        <v>13828</v>
      </c>
      <c r="M417" s="8311"/>
      <c r="N417" s="8311"/>
      <c r="O417" s="8311"/>
      <c r="P417" s="8311"/>
      <c r="Q417" s="8312"/>
      <c r="R417" s="4132" t="s">
        <v>1315</v>
      </c>
    </row>
    <row r="418" spans="1:18">
      <c r="A418" s="265">
        <v>394</v>
      </c>
      <c r="B418" s="595">
        <f t="shared" si="7"/>
        <v>0</v>
      </c>
      <c r="C418" s="4126" t="s">
        <v>13639</v>
      </c>
      <c r="D418" s="3869" t="s">
        <v>13639</v>
      </c>
      <c r="E418" s="4129"/>
      <c r="F418" s="4130">
        <f>COUNTIF(Sheele!$C$25:$H$36,C418)</f>
        <v>0</v>
      </c>
      <c r="G418" s="4044"/>
      <c r="H418" s="4189">
        <f>IF(OR($F418=0,$G418=0),0,MAX($H$134:H417)+1)</f>
        <v>0</v>
      </c>
      <c r="I418" s="4044" t="s">
        <v>1315</v>
      </c>
      <c r="J418" s="4044" t="s">
        <v>1315</v>
      </c>
      <c r="K418" s="4131" t="s">
        <v>1315</v>
      </c>
      <c r="L418" s="8317" t="s">
        <v>13829</v>
      </c>
      <c r="M418" s="8311"/>
      <c r="N418" s="8311"/>
      <c r="O418" s="8311"/>
      <c r="P418" s="8311"/>
      <c r="Q418" s="8312"/>
      <c r="R418" s="4132" t="s">
        <v>1315</v>
      </c>
    </row>
    <row r="419" spans="1:18">
      <c r="A419" s="265">
        <v>395</v>
      </c>
      <c r="B419" s="595">
        <f t="shared" si="7"/>
        <v>0</v>
      </c>
      <c r="C419" s="4126" t="s">
        <v>13080</v>
      </c>
      <c r="D419" s="3869" t="s">
        <v>13080</v>
      </c>
      <c r="E419" s="4129"/>
      <c r="F419" s="4130">
        <f>COUNTIF(Sheele!$C$25:$H$36,C419)</f>
        <v>0</v>
      </c>
      <c r="G419" s="3869"/>
      <c r="H419" s="4189">
        <f>IF(OR($F419=0,$G419=0),0,MAX($H$134:H418)+1)</f>
        <v>0</v>
      </c>
      <c r="I419" s="4044" t="s">
        <v>1315</v>
      </c>
      <c r="J419" s="4044" t="s">
        <v>1315</v>
      </c>
      <c r="K419" s="4131" t="s">
        <v>1315</v>
      </c>
      <c r="L419" s="8313" t="s">
        <v>2514</v>
      </c>
      <c r="M419" s="8314"/>
      <c r="N419" s="8314"/>
      <c r="O419" s="8314"/>
      <c r="P419" s="8314"/>
      <c r="Q419" s="8315"/>
      <c r="R419" s="4132" t="s">
        <v>1315</v>
      </c>
    </row>
    <row r="420" spans="1:18">
      <c r="A420" s="265">
        <v>396</v>
      </c>
      <c r="B420" s="595">
        <f t="shared" si="7"/>
        <v>0</v>
      </c>
      <c r="C420" s="4127" t="s">
        <v>12709</v>
      </c>
      <c r="D420" s="4215"/>
      <c r="E420" s="305"/>
      <c r="F420" s="2128"/>
      <c r="G420" s="2127"/>
      <c r="H420" s="4213"/>
      <c r="I420" s="306" t="s">
        <v>2500</v>
      </c>
      <c r="J420" s="2139" t="s">
        <v>2501</v>
      </c>
      <c r="K420" s="303" t="s">
        <v>1425</v>
      </c>
      <c r="L420" s="8304" t="s">
        <v>1408</v>
      </c>
      <c r="M420" s="8305"/>
      <c r="N420" s="8305"/>
      <c r="O420" s="8305"/>
      <c r="P420" s="8305"/>
      <c r="Q420" s="8306"/>
      <c r="R420" s="606"/>
    </row>
    <row r="421" spans="1:18">
      <c r="A421" s="265">
        <v>397</v>
      </c>
      <c r="B421" s="595">
        <f t="shared" si="7"/>
        <v>0</v>
      </c>
      <c r="C421" s="4126" t="s">
        <v>13640</v>
      </c>
      <c r="D421" s="3869" t="s">
        <v>13640</v>
      </c>
      <c r="E421" s="4129"/>
      <c r="F421" s="4130">
        <f>COUNTIF(Sheele!$C$25:$H$36,C421)</f>
        <v>0</v>
      </c>
      <c r="G421" s="4044">
        <v>1</v>
      </c>
      <c r="H421" s="4189">
        <f>IF(OR($F421=0,$G421=0),0,MAX($H$134:H420)+1)</f>
        <v>0</v>
      </c>
      <c r="I421" s="4044" t="s">
        <v>1315</v>
      </c>
      <c r="J421" s="4044" t="s">
        <v>1315</v>
      </c>
      <c r="K421" s="4131" t="s">
        <v>1315</v>
      </c>
      <c r="L421" s="8316" t="s">
        <v>13830</v>
      </c>
      <c r="M421" s="8308"/>
      <c r="N421" s="8308"/>
      <c r="O421" s="8308"/>
      <c r="P421" s="8308"/>
      <c r="Q421" s="8309"/>
      <c r="R421" s="4132" t="s">
        <v>1315</v>
      </c>
    </row>
    <row r="422" spans="1:18">
      <c r="A422" s="265">
        <v>398</v>
      </c>
      <c r="B422" s="595">
        <f t="shared" si="7"/>
        <v>0</v>
      </c>
      <c r="C422" s="4126" t="s">
        <v>13641</v>
      </c>
      <c r="D422" s="3869" t="s">
        <v>13641</v>
      </c>
      <c r="E422" s="4129"/>
      <c r="F422" s="4130">
        <f>COUNTIF(Sheele!$C$25:$H$36,C422)</f>
        <v>0</v>
      </c>
      <c r="G422" s="4044">
        <v>1</v>
      </c>
      <c r="H422" s="4189">
        <f>IF(OR($F422=0,$G422=0),0,MAX($H$134:H421)+1)</f>
        <v>0</v>
      </c>
      <c r="I422" s="4044" t="s">
        <v>1315</v>
      </c>
      <c r="J422" s="4044" t="s">
        <v>1315</v>
      </c>
      <c r="K422" s="4131" t="s">
        <v>1315</v>
      </c>
      <c r="L422" s="8310" t="s">
        <v>13831</v>
      </c>
      <c r="M422" s="8311"/>
      <c r="N422" s="8311"/>
      <c r="O422" s="8311"/>
      <c r="P422" s="8311"/>
      <c r="Q422" s="8312"/>
      <c r="R422" s="4132" t="s">
        <v>1315</v>
      </c>
    </row>
    <row r="423" spans="1:18">
      <c r="A423" s="265">
        <v>399</v>
      </c>
      <c r="B423" s="595">
        <f t="shared" si="7"/>
        <v>0</v>
      </c>
      <c r="C423" s="4126" t="s">
        <v>13642</v>
      </c>
      <c r="D423" s="3869" t="s">
        <v>13642</v>
      </c>
      <c r="E423" s="4129"/>
      <c r="F423" s="4130">
        <f>COUNTIF(Sheele!$C$25:$H$36,C423)</f>
        <v>0</v>
      </c>
      <c r="G423" s="4044">
        <v>1</v>
      </c>
      <c r="H423" s="4189">
        <f>IF(OR($F423=0,$G423=0),0,MAX($H$134:H422)+1)</f>
        <v>0</v>
      </c>
      <c r="I423" s="4044">
        <v>150</v>
      </c>
      <c r="J423" s="4044" t="s">
        <v>1315</v>
      </c>
      <c r="K423" s="4131" t="s">
        <v>1315</v>
      </c>
      <c r="L423" s="8310" t="s">
        <v>13832</v>
      </c>
      <c r="M423" s="8311"/>
      <c r="N423" s="8311"/>
      <c r="O423" s="8311"/>
      <c r="P423" s="8311"/>
      <c r="Q423" s="8312"/>
      <c r="R423" s="4132" t="s">
        <v>1315</v>
      </c>
    </row>
    <row r="424" spans="1:18">
      <c r="A424" s="265">
        <v>400</v>
      </c>
      <c r="B424" s="595">
        <f t="shared" si="7"/>
        <v>0</v>
      </c>
      <c r="C424" s="4126" t="s">
        <v>13643</v>
      </c>
      <c r="D424" s="3869" t="s">
        <v>13643</v>
      </c>
      <c r="E424" s="4129"/>
      <c r="F424" s="4130">
        <f>COUNTIF(Sheele!$C$25:$H$36,C424)</f>
        <v>0</v>
      </c>
      <c r="G424" s="4044"/>
      <c r="H424" s="4189">
        <f>IF(OR($F424=0,$G424=0),0,MAX($H$134:H423)+1)</f>
        <v>0</v>
      </c>
      <c r="I424" s="4044" t="s">
        <v>1315</v>
      </c>
      <c r="J424" s="4044" t="s">
        <v>1315</v>
      </c>
      <c r="K424" s="4131" t="s">
        <v>1315</v>
      </c>
      <c r="L424" s="8317" t="s">
        <v>13833</v>
      </c>
      <c r="M424" s="8311"/>
      <c r="N424" s="8311"/>
      <c r="O424" s="8311"/>
      <c r="P424" s="8311"/>
      <c r="Q424" s="8312"/>
      <c r="R424" s="4132" t="s">
        <v>1315</v>
      </c>
    </row>
    <row r="425" spans="1:18">
      <c r="A425" s="265">
        <v>401</v>
      </c>
      <c r="B425" s="595">
        <f t="shared" si="7"/>
        <v>0</v>
      </c>
      <c r="C425" s="4126" t="s">
        <v>13644</v>
      </c>
      <c r="D425" s="3869" t="s">
        <v>13644</v>
      </c>
      <c r="E425" s="4129"/>
      <c r="F425" s="4130">
        <f>COUNTIF(Sheele!$C$25:$H$36,C425)</f>
        <v>0</v>
      </c>
      <c r="G425" s="4044">
        <v>1</v>
      </c>
      <c r="H425" s="4189">
        <f>IF(OR($F425=0,$G425=0),0,MAX($H$134:H424)+1)</f>
        <v>0</v>
      </c>
      <c r="I425" s="4044" t="s">
        <v>1315</v>
      </c>
      <c r="J425" s="4044" t="s">
        <v>1315</v>
      </c>
      <c r="K425" s="4131" t="s">
        <v>1315</v>
      </c>
      <c r="L425" s="8310" t="s">
        <v>13834</v>
      </c>
      <c r="M425" s="8311"/>
      <c r="N425" s="8311"/>
      <c r="O425" s="8311"/>
      <c r="P425" s="8311"/>
      <c r="Q425" s="8312"/>
      <c r="R425" s="4132" t="s">
        <v>1315</v>
      </c>
    </row>
    <row r="426" spans="1:18">
      <c r="A426" s="265">
        <v>402</v>
      </c>
      <c r="B426" s="595">
        <f t="shared" si="7"/>
        <v>0</v>
      </c>
      <c r="C426" s="4126" t="s">
        <v>13645</v>
      </c>
      <c r="D426" s="3869" t="s">
        <v>13645</v>
      </c>
      <c r="E426" s="4129"/>
      <c r="F426" s="4130">
        <f>COUNTIF(Sheele!$C$25:$H$36,C426)</f>
        <v>0</v>
      </c>
      <c r="G426" s="4044">
        <v>1</v>
      </c>
      <c r="H426" s="4189">
        <f>IF(OR($F426=0,$G426=0),0,MAX($H$134:H425)+1)</f>
        <v>0</v>
      </c>
      <c r="I426" s="4044" t="s">
        <v>1315</v>
      </c>
      <c r="J426" s="4044" t="s">
        <v>1315</v>
      </c>
      <c r="K426" s="4131">
        <f>Presencia_final</f>
        <v>30</v>
      </c>
      <c r="L426" s="8310" t="s">
        <v>13835</v>
      </c>
      <c r="M426" s="8311"/>
      <c r="N426" s="8311"/>
      <c r="O426" s="8311"/>
      <c r="P426" s="8311"/>
      <c r="Q426" s="8312"/>
      <c r="R426" s="4132" t="s">
        <v>1315</v>
      </c>
    </row>
    <row r="427" spans="1:18">
      <c r="A427" s="265">
        <v>403</v>
      </c>
      <c r="B427" s="595">
        <f t="shared" si="7"/>
        <v>0</v>
      </c>
      <c r="C427" s="4126" t="s">
        <v>13646</v>
      </c>
      <c r="D427" s="3869" t="s">
        <v>13646</v>
      </c>
      <c r="E427" s="4129"/>
      <c r="F427" s="4130">
        <f>COUNTIF(Sheele!$C$25:$H$36,C427)</f>
        <v>0</v>
      </c>
      <c r="G427" s="4044">
        <v>1</v>
      </c>
      <c r="H427" s="4189">
        <f>IF(OR($F427=0,$G427=0),0,MAX($H$134:H426)+1)</f>
        <v>0</v>
      </c>
      <c r="I427" s="4044">
        <v>150</v>
      </c>
      <c r="J427" s="4044" t="s">
        <v>1315</v>
      </c>
      <c r="K427" s="4131">
        <v>60</v>
      </c>
      <c r="L427" s="8310" t="s">
        <v>13836</v>
      </c>
      <c r="M427" s="8311"/>
      <c r="N427" s="8311"/>
      <c r="O427" s="8311"/>
      <c r="P427" s="8311"/>
      <c r="Q427" s="8312"/>
      <c r="R427" s="4132" t="s">
        <v>1315</v>
      </c>
    </row>
    <row r="428" spans="1:18">
      <c r="A428" s="265">
        <v>404</v>
      </c>
      <c r="B428" s="595">
        <f t="shared" si="7"/>
        <v>0</v>
      </c>
      <c r="C428" s="4126" t="s">
        <v>13647</v>
      </c>
      <c r="D428" s="3869" t="s">
        <v>13647</v>
      </c>
      <c r="E428" s="4129"/>
      <c r="F428" s="4130">
        <f>COUNTIF(Sheele!$C$25:$H$36,C428)</f>
        <v>0</v>
      </c>
      <c r="G428" s="4044">
        <v>1</v>
      </c>
      <c r="H428" s="4189">
        <f>IF(OR($F428=0,$G428=0),0,MAX($H$134:H427)+1)</f>
        <v>0</v>
      </c>
      <c r="I428" s="4044" t="s">
        <v>1315</v>
      </c>
      <c r="J428" s="4044" t="s">
        <v>1315</v>
      </c>
      <c r="K428" s="4131" t="s">
        <v>1315</v>
      </c>
      <c r="L428" s="8310" t="s">
        <v>13837</v>
      </c>
      <c r="M428" s="8311"/>
      <c r="N428" s="8311"/>
      <c r="O428" s="8311"/>
      <c r="P428" s="8311"/>
      <c r="Q428" s="8312"/>
      <c r="R428" s="4132" t="s">
        <v>1315</v>
      </c>
    </row>
    <row r="429" spans="1:18">
      <c r="A429" s="265">
        <v>405</v>
      </c>
      <c r="B429" s="595">
        <f t="shared" si="7"/>
        <v>0</v>
      </c>
      <c r="C429" s="4126" t="s">
        <v>13648</v>
      </c>
      <c r="D429" s="3869" t="s">
        <v>13648</v>
      </c>
      <c r="E429" s="4129"/>
      <c r="F429" s="4130">
        <f>COUNTIF(Sheele!$C$25:$H$36,C429)</f>
        <v>0</v>
      </c>
      <c r="G429" s="4044">
        <v>1</v>
      </c>
      <c r="H429" s="4189">
        <f>IF(OR($F429=0,$G429=0),0,MAX($H$134:H428)+1)</f>
        <v>0</v>
      </c>
      <c r="I429" s="4044" t="s">
        <v>1315</v>
      </c>
      <c r="J429" s="4044" t="s">
        <v>1315</v>
      </c>
      <c r="K429" s="4131" t="s">
        <v>1315</v>
      </c>
      <c r="L429" s="8317" t="s">
        <v>13838</v>
      </c>
      <c r="M429" s="8311"/>
      <c r="N429" s="8311"/>
      <c r="O429" s="8311"/>
      <c r="P429" s="8311"/>
      <c r="Q429" s="8312"/>
      <c r="R429" s="4132" t="s">
        <v>1315</v>
      </c>
    </row>
    <row r="430" spans="1:18">
      <c r="A430" s="265">
        <v>406</v>
      </c>
      <c r="B430" s="595">
        <f t="shared" si="7"/>
        <v>0</v>
      </c>
      <c r="C430" s="4126" t="s">
        <v>13080</v>
      </c>
      <c r="D430" s="3869" t="s">
        <v>13080</v>
      </c>
      <c r="E430" s="4129"/>
      <c r="F430" s="4130">
        <f>COUNTIF(Sheele!$C$25:$H$36,C430)</f>
        <v>0</v>
      </c>
      <c r="G430" s="3869"/>
      <c r="H430" s="4189">
        <f>IF(OR($F430=0,$G430=0),0,MAX($H$134:H429)+1)</f>
        <v>0</v>
      </c>
      <c r="I430" s="4044" t="s">
        <v>1315</v>
      </c>
      <c r="J430" s="4044" t="s">
        <v>1315</v>
      </c>
      <c r="K430" s="4131" t="s">
        <v>1315</v>
      </c>
      <c r="L430" s="8313" t="s">
        <v>2514</v>
      </c>
      <c r="M430" s="8314"/>
      <c r="N430" s="8314"/>
      <c r="O430" s="8314"/>
      <c r="P430" s="8314"/>
      <c r="Q430" s="8315"/>
      <c r="R430" s="4132" t="s">
        <v>1315</v>
      </c>
    </row>
    <row r="431" spans="1:18">
      <c r="A431" s="265">
        <v>407</v>
      </c>
      <c r="B431" s="595">
        <f t="shared" si="7"/>
        <v>0</v>
      </c>
      <c r="C431" s="4127" t="s">
        <v>12716</v>
      </c>
      <c r="D431" s="4215"/>
      <c r="E431" s="305"/>
      <c r="F431" s="2128"/>
      <c r="G431" s="2127"/>
      <c r="H431" s="4213"/>
      <c r="I431" s="306" t="s">
        <v>2500</v>
      </c>
      <c r="J431" s="2139" t="s">
        <v>2501</v>
      </c>
      <c r="K431" s="303" t="s">
        <v>1425</v>
      </c>
      <c r="L431" s="8304" t="s">
        <v>1408</v>
      </c>
      <c r="M431" s="8305"/>
      <c r="N431" s="8305"/>
      <c r="O431" s="8305"/>
      <c r="P431" s="8305"/>
      <c r="Q431" s="8306"/>
      <c r="R431" s="606"/>
    </row>
    <row r="432" spans="1:18">
      <c r="A432" s="265">
        <v>408</v>
      </c>
      <c r="B432" s="595">
        <f t="shared" si="7"/>
        <v>0</v>
      </c>
      <c r="C432" s="4126" t="s">
        <v>13649</v>
      </c>
      <c r="D432" s="3869" t="s">
        <v>13649</v>
      </c>
      <c r="E432" s="4129"/>
      <c r="F432" s="4130">
        <f>COUNTIF(Sheele!$C$25:$H$36,C432)</f>
        <v>0</v>
      </c>
      <c r="G432" s="4044">
        <v>1</v>
      </c>
      <c r="H432" s="4189">
        <f>IF(OR($F432=0,$G432=0),0,MAX($H$134:H431)+1)</f>
        <v>0</v>
      </c>
      <c r="I432" s="4044" t="s">
        <v>9198</v>
      </c>
      <c r="J432" s="4044">
        <f>Sheele!$F$46</f>
        <v>60</v>
      </c>
      <c r="K432" s="4131" t="s">
        <v>1315</v>
      </c>
      <c r="L432" s="8316" t="s">
        <v>13839</v>
      </c>
      <c r="M432" s="8308"/>
      <c r="N432" s="8308"/>
      <c r="O432" s="8308"/>
      <c r="P432" s="8308"/>
      <c r="Q432" s="8309"/>
      <c r="R432" s="4132" t="s">
        <v>1315</v>
      </c>
    </row>
    <row r="433" spans="1:18">
      <c r="A433" s="265">
        <v>409</v>
      </c>
      <c r="B433" s="595">
        <f t="shared" si="7"/>
        <v>0</v>
      </c>
      <c r="C433" s="4126" t="s">
        <v>13650</v>
      </c>
      <c r="D433" s="3869" t="s">
        <v>13650</v>
      </c>
      <c r="E433" s="4129"/>
      <c r="F433" s="4130">
        <f>COUNTIF(Sheele!$C$25:$H$36,C433)</f>
        <v>0</v>
      </c>
      <c r="G433" s="4044">
        <v>1</v>
      </c>
      <c r="H433" s="4189">
        <f>IF(OR($F433=0,$G433=0),0,MAX($H$134:H432)+1)</f>
        <v>0</v>
      </c>
      <c r="I433" s="4044" t="s">
        <v>1315</v>
      </c>
      <c r="J433" s="4044">
        <f>Sheele!$F$46</f>
        <v>60</v>
      </c>
      <c r="K433" s="4131" t="s">
        <v>1315</v>
      </c>
      <c r="L433" s="8310" t="s">
        <v>13840</v>
      </c>
      <c r="M433" s="8311"/>
      <c r="N433" s="8311"/>
      <c r="O433" s="8311"/>
      <c r="P433" s="8311"/>
      <c r="Q433" s="8312"/>
      <c r="R433" s="4132" t="s">
        <v>1315</v>
      </c>
    </row>
    <row r="434" spans="1:18">
      <c r="A434" s="265">
        <v>410</v>
      </c>
      <c r="B434" s="595">
        <f t="shared" si="7"/>
        <v>0</v>
      </c>
      <c r="C434" s="4126" t="s">
        <v>13651</v>
      </c>
      <c r="D434" s="3869" t="s">
        <v>13651</v>
      </c>
      <c r="E434" s="4129"/>
      <c r="F434" s="4130">
        <f>COUNTIF(Sheele!$C$25:$H$36,C434)</f>
        <v>0</v>
      </c>
      <c r="G434" s="4044">
        <v>1</v>
      </c>
      <c r="H434" s="4189">
        <f>IF(OR($F434=0,$G434=0),0,MAX($H$134:H433)+1)</f>
        <v>0</v>
      </c>
      <c r="I434" s="4044" t="s">
        <v>1315</v>
      </c>
      <c r="J434" s="4044" t="s">
        <v>1315</v>
      </c>
      <c r="K434" s="4131" t="s">
        <v>1315</v>
      </c>
      <c r="L434" s="8317" t="s">
        <v>13841</v>
      </c>
      <c r="M434" s="8311"/>
      <c r="N434" s="8311"/>
      <c r="O434" s="8311"/>
      <c r="P434" s="8311"/>
      <c r="Q434" s="8312"/>
      <c r="R434" s="4132" t="s">
        <v>1315</v>
      </c>
    </row>
    <row r="435" spans="1:18">
      <c r="A435" s="265">
        <v>411</v>
      </c>
      <c r="B435" s="595">
        <f t="shared" ref="B435:B474" si="8">H435</f>
        <v>0</v>
      </c>
      <c r="C435" s="4126" t="s">
        <v>13652</v>
      </c>
      <c r="D435" s="3869" t="s">
        <v>13652</v>
      </c>
      <c r="E435" s="4129"/>
      <c r="F435" s="4130">
        <f>COUNTIF(Sheele!$C$25:$H$36,C435)</f>
        <v>0</v>
      </c>
      <c r="G435" s="4044">
        <v>1</v>
      </c>
      <c r="H435" s="4189">
        <f>IF(OR($F435=0,$G435=0),0,MAX($H$134:H434)+1)</f>
        <v>0</v>
      </c>
      <c r="I435" s="4044">
        <v>50</v>
      </c>
      <c r="J435" s="4044" t="s">
        <v>1315</v>
      </c>
      <c r="K435" s="4131" t="s">
        <v>1315</v>
      </c>
      <c r="L435" s="8310" t="s">
        <v>13842</v>
      </c>
      <c r="M435" s="8311"/>
      <c r="N435" s="8311"/>
      <c r="O435" s="8311"/>
      <c r="P435" s="8311"/>
      <c r="Q435" s="8312"/>
      <c r="R435" s="4132" t="s">
        <v>1315</v>
      </c>
    </row>
    <row r="436" spans="1:18">
      <c r="A436" s="265">
        <v>412</v>
      </c>
      <c r="B436" s="595">
        <f t="shared" si="8"/>
        <v>0</v>
      </c>
      <c r="C436" s="4126" t="s">
        <v>13653</v>
      </c>
      <c r="D436" s="3869" t="s">
        <v>13653</v>
      </c>
      <c r="E436" s="4129"/>
      <c r="F436" s="4130">
        <f>COUNTIF(Sheele!$C$25:$H$36,C436)</f>
        <v>0</v>
      </c>
      <c r="G436" s="4044">
        <v>1</v>
      </c>
      <c r="H436" s="4189">
        <f>IF(OR($F436=0,$G436=0),0,MAX($H$134:H435)+1)</f>
        <v>0</v>
      </c>
      <c r="I436" s="4044" t="s">
        <v>1315</v>
      </c>
      <c r="J436" s="4044" t="s">
        <v>1315</v>
      </c>
      <c r="K436" s="4131" t="s">
        <v>1315</v>
      </c>
      <c r="L436" s="8310" t="s">
        <v>13843</v>
      </c>
      <c r="M436" s="8311"/>
      <c r="N436" s="8311"/>
      <c r="O436" s="8311"/>
      <c r="P436" s="8311"/>
      <c r="Q436" s="8312"/>
      <c r="R436" s="4132" t="s">
        <v>1315</v>
      </c>
    </row>
    <row r="437" spans="1:18">
      <c r="A437" s="265">
        <v>413</v>
      </c>
      <c r="B437" s="595">
        <f t="shared" si="8"/>
        <v>0</v>
      </c>
      <c r="C437" s="4126" t="s">
        <v>13654</v>
      </c>
      <c r="D437" s="3869" t="s">
        <v>13654</v>
      </c>
      <c r="E437" s="4129"/>
      <c r="F437" s="4130">
        <f>COUNTIF(Sheele!$C$25:$H$36,C437)</f>
        <v>0</v>
      </c>
      <c r="G437" s="4044">
        <v>1</v>
      </c>
      <c r="H437" s="4189">
        <f>IF(OR($F437=0,$G437=0),0,MAX($H$134:H436)+1)</f>
        <v>0</v>
      </c>
      <c r="I437" s="4044">
        <v>50</v>
      </c>
      <c r="J437" s="4044" t="s">
        <v>1315</v>
      </c>
      <c r="K437" s="4131" t="s">
        <v>1315</v>
      </c>
      <c r="L437" s="8310" t="s">
        <v>13844</v>
      </c>
      <c r="M437" s="8311"/>
      <c r="N437" s="8311"/>
      <c r="O437" s="8311"/>
      <c r="P437" s="8311"/>
      <c r="Q437" s="8312"/>
      <c r="R437" s="4132" t="s">
        <v>1315</v>
      </c>
    </row>
    <row r="438" spans="1:18">
      <c r="A438" s="265">
        <v>414</v>
      </c>
      <c r="B438" s="595">
        <f t="shared" si="8"/>
        <v>0</v>
      </c>
      <c r="C438" s="4126" t="s">
        <v>13655</v>
      </c>
      <c r="D438" s="3869" t="s">
        <v>13655</v>
      </c>
      <c r="E438" s="4129"/>
      <c r="F438" s="4130">
        <f>COUNTIF(Sheele!$C$25:$H$36,C438)</f>
        <v>0</v>
      </c>
      <c r="G438" s="4044">
        <v>1</v>
      </c>
      <c r="H438" s="4189">
        <f>IF(OR($F438=0,$G438=0),0,MAX($H$134:H437)+1)</f>
        <v>0</v>
      </c>
      <c r="I438" s="4044" t="s">
        <v>1315</v>
      </c>
      <c r="J438" s="4044" t="s">
        <v>1315</v>
      </c>
      <c r="K438" s="4131" t="s">
        <v>1315</v>
      </c>
      <c r="L438" s="8310" t="s">
        <v>13845</v>
      </c>
      <c r="M438" s="8311"/>
      <c r="N438" s="8311"/>
      <c r="O438" s="8311"/>
      <c r="P438" s="8311"/>
      <c r="Q438" s="8312"/>
      <c r="R438" s="4132" t="s">
        <v>1315</v>
      </c>
    </row>
    <row r="439" spans="1:18">
      <c r="A439" s="265">
        <v>415</v>
      </c>
      <c r="B439" s="595">
        <f t="shared" si="8"/>
        <v>0</v>
      </c>
      <c r="C439" s="4126" t="s">
        <v>13657</v>
      </c>
      <c r="D439" s="3869" t="s">
        <v>13657</v>
      </c>
      <c r="E439" s="4129"/>
      <c r="F439" s="4130">
        <f>COUNTIF(Sheele!$C$25:$H$36,C439)</f>
        <v>0</v>
      </c>
      <c r="G439" s="4044">
        <v>1</v>
      </c>
      <c r="H439" s="4189">
        <f>IF(OR($F439=0,$G439=0),0,MAX($H$134:H438)+1)</f>
        <v>0</v>
      </c>
      <c r="I439" s="4044" t="s">
        <v>1315</v>
      </c>
      <c r="J439" s="4044" t="s">
        <v>1315</v>
      </c>
      <c r="K439" s="4131" t="s">
        <v>1315</v>
      </c>
      <c r="L439" s="8310" t="s">
        <v>13846</v>
      </c>
      <c r="M439" s="8311"/>
      <c r="N439" s="8311"/>
      <c r="O439" s="8311"/>
      <c r="P439" s="8311"/>
      <c r="Q439" s="8312"/>
      <c r="R439" s="4132" t="s">
        <v>1315</v>
      </c>
    </row>
    <row r="440" spans="1:18">
      <c r="A440" s="265">
        <v>416</v>
      </c>
      <c r="B440" s="595">
        <f t="shared" si="8"/>
        <v>0</v>
      </c>
      <c r="C440" s="4126" t="s">
        <v>13656</v>
      </c>
      <c r="D440" s="3869" t="s">
        <v>13656</v>
      </c>
      <c r="E440" s="4129"/>
      <c r="F440" s="4130">
        <f>COUNTIF(Sheele!$C$25:$H$36,C440)</f>
        <v>0</v>
      </c>
      <c r="G440" s="4044">
        <v>1</v>
      </c>
      <c r="H440" s="4189">
        <f>IF(OR($F440=0,$G440=0),0,MAX($H$134:H439)+1)</f>
        <v>0</v>
      </c>
      <c r="I440" s="4044" t="s">
        <v>1315</v>
      </c>
      <c r="J440" s="4044" t="s">
        <v>1315</v>
      </c>
      <c r="K440" s="4131" t="s">
        <v>1315</v>
      </c>
      <c r="L440" s="8317" t="s">
        <v>13847</v>
      </c>
      <c r="M440" s="8311"/>
      <c r="N440" s="8311"/>
      <c r="O440" s="8311"/>
      <c r="P440" s="8311"/>
      <c r="Q440" s="8312"/>
      <c r="R440" s="4132" t="s">
        <v>1315</v>
      </c>
    </row>
    <row r="441" spans="1:18">
      <c r="A441" s="265">
        <v>417</v>
      </c>
      <c r="B441" s="595">
        <f t="shared" si="8"/>
        <v>0</v>
      </c>
      <c r="C441" s="4126" t="s">
        <v>13080</v>
      </c>
      <c r="D441" s="3869" t="s">
        <v>13080</v>
      </c>
      <c r="E441" s="4129"/>
      <c r="F441" s="4130">
        <f>COUNTIF(Sheele!$C$25:$H$36,C441)</f>
        <v>0</v>
      </c>
      <c r="G441" s="3869"/>
      <c r="H441" s="4189">
        <f>IF(OR($F441=0,$G441=0),0,MAX($H$134:H440)+1)</f>
        <v>0</v>
      </c>
      <c r="I441" s="4044" t="s">
        <v>1315</v>
      </c>
      <c r="J441" s="4044" t="s">
        <v>1315</v>
      </c>
      <c r="K441" s="4131" t="s">
        <v>1315</v>
      </c>
      <c r="L441" s="8313" t="s">
        <v>2514</v>
      </c>
      <c r="M441" s="8314"/>
      <c r="N441" s="8314"/>
      <c r="O441" s="8314"/>
      <c r="P441" s="8314"/>
      <c r="Q441" s="8315"/>
      <c r="R441" s="4132" t="s">
        <v>1315</v>
      </c>
    </row>
    <row r="442" spans="1:18">
      <c r="A442" s="265">
        <v>418</v>
      </c>
      <c r="B442" s="595">
        <f t="shared" si="8"/>
        <v>0</v>
      </c>
      <c r="C442" s="4127" t="s">
        <v>12727</v>
      </c>
      <c r="D442" s="4215"/>
      <c r="E442" s="305"/>
      <c r="F442" s="2128"/>
      <c r="G442" s="2127"/>
      <c r="H442" s="4213"/>
      <c r="I442" s="306" t="s">
        <v>2500</v>
      </c>
      <c r="J442" s="2139" t="s">
        <v>2501</v>
      </c>
      <c r="K442" s="303" t="s">
        <v>1425</v>
      </c>
      <c r="L442" s="8304" t="s">
        <v>1408</v>
      </c>
      <c r="M442" s="8305"/>
      <c r="N442" s="8305"/>
      <c r="O442" s="8305"/>
      <c r="P442" s="8305"/>
      <c r="Q442" s="8306"/>
      <c r="R442" s="606"/>
    </row>
    <row r="443" spans="1:18">
      <c r="A443" s="265">
        <v>419</v>
      </c>
      <c r="B443" s="595">
        <f t="shared" si="8"/>
        <v>0</v>
      </c>
      <c r="C443" s="4126" t="s">
        <v>13658</v>
      </c>
      <c r="D443" s="3869" t="s">
        <v>13658</v>
      </c>
      <c r="E443" s="4129"/>
      <c r="F443" s="4130">
        <f>COUNTIF(Sheele!$C$25:$H$36,C443)</f>
        <v>0</v>
      </c>
      <c r="G443" s="4044">
        <v>1</v>
      </c>
      <c r="H443" s="4189">
        <f>IF(OR($F443=0,$G443=0),0,MAX($H$134:H442)+1)</f>
        <v>0</v>
      </c>
      <c r="I443" s="4044" t="s">
        <v>1315</v>
      </c>
      <c r="J443" s="4044" t="s">
        <v>1315</v>
      </c>
      <c r="K443" s="4131" t="s">
        <v>1315</v>
      </c>
      <c r="L443" s="8316" t="s">
        <v>13848</v>
      </c>
      <c r="M443" s="8308"/>
      <c r="N443" s="8308"/>
      <c r="O443" s="8308"/>
      <c r="P443" s="8308"/>
      <c r="Q443" s="8309"/>
      <c r="R443" s="4132" t="s">
        <v>1315</v>
      </c>
    </row>
    <row r="444" spans="1:18">
      <c r="A444" s="265">
        <v>420</v>
      </c>
      <c r="B444" s="595">
        <f t="shared" si="8"/>
        <v>0</v>
      </c>
      <c r="C444" s="4126" t="s">
        <v>13659</v>
      </c>
      <c r="D444" s="3869" t="s">
        <v>13659</v>
      </c>
      <c r="E444" s="4129"/>
      <c r="F444" s="4130">
        <f>COUNTIF(Sheele!$C$25:$H$36,C444)</f>
        <v>0</v>
      </c>
      <c r="G444" s="4044">
        <v>1</v>
      </c>
      <c r="H444" s="4189">
        <f>IF(OR($F444=0,$G444=0),0,MAX($H$134:H443)+1)</f>
        <v>0</v>
      </c>
      <c r="I444" s="4044" t="s">
        <v>1315</v>
      </c>
      <c r="J444" s="4044" t="s">
        <v>1315</v>
      </c>
      <c r="K444" s="4131" t="s">
        <v>1315</v>
      </c>
      <c r="L444" s="8310" t="s">
        <v>13849</v>
      </c>
      <c r="M444" s="8311"/>
      <c r="N444" s="8311"/>
      <c r="O444" s="8311"/>
      <c r="P444" s="8311"/>
      <c r="Q444" s="8312"/>
      <c r="R444" s="4132" t="s">
        <v>1315</v>
      </c>
    </row>
    <row r="445" spans="1:18">
      <c r="A445" s="265">
        <v>421</v>
      </c>
      <c r="B445" s="595">
        <f t="shared" si="8"/>
        <v>0</v>
      </c>
      <c r="C445" s="4126" t="s">
        <v>13660</v>
      </c>
      <c r="D445" s="3869" t="s">
        <v>13660</v>
      </c>
      <c r="E445" s="4129"/>
      <c r="F445" s="4130">
        <f>COUNTIF(Sheele!$C$25:$H$36,C445)</f>
        <v>0</v>
      </c>
      <c r="G445" s="4044">
        <v>1</v>
      </c>
      <c r="H445" s="4189">
        <f>IF(OR($F445=0,$G445=0),0,MAX($H$134:H444)+1)</f>
        <v>0</v>
      </c>
      <c r="I445" s="4044" t="s">
        <v>1315</v>
      </c>
      <c r="J445" s="4044" t="s">
        <v>1315</v>
      </c>
      <c r="K445" s="4131" t="s">
        <v>1315</v>
      </c>
      <c r="L445" s="8310" t="s">
        <v>13850</v>
      </c>
      <c r="M445" s="8311"/>
      <c r="N445" s="8311"/>
      <c r="O445" s="8311"/>
      <c r="P445" s="8311"/>
      <c r="Q445" s="8312"/>
      <c r="R445" s="4132" t="s">
        <v>1315</v>
      </c>
    </row>
    <row r="446" spans="1:18">
      <c r="A446" s="265">
        <v>422</v>
      </c>
      <c r="B446" s="595">
        <f t="shared" si="8"/>
        <v>0</v>
      </c>
      <c r="C446" s="4126" t="s">
        <v>7206</v>
      </c>
      <c r="D446" s="3869" t="s">
        <v>7206</v>
      </c>
      <c r="E446" s="4129"/>
      <c r="F446" s="4130">
        <f>COUNTIF(Sheele!$C$25:$H$36,C446)</f>
        <v>0</v>
      </c>
      <c r="G446" s="4044">
        <v>1</v>
      </c>
      <c r="H446" s="4189">
        <f>IF(OR($F446=0,$G446=0),0,MAX($H$134:H445)+1)</f>
        <v>0</v>
      </c>
      <c r="I446" s="4044" t="s">
        <v>1315</v>
      </c>
      <c r="J446" s="4044" t="s">
        <v>1315</v>
      </c>
      <c r="K446" s="4131" t="s">
        <v>1315</v>
      </c>
      <c r="L446" s="8310" t="s">
        <v>13851</v>
      </c>
      <c r="M446" s="8311"/>
      <c r="N446" s="8311"/>
      <c r="O446" s="8311"/>
      <c r="P446" s="8311"/>
      <c r="Q446" s="8312"/>
      <c r="R446" s="4132" t="s">
        <v>1315</v>
      </c>
    </row>
    <row r="447" spans="1:18">
      <c r="A447" s="265">
        <v>423</v>
      </c>
      <c r="B447" s="595">
        <f t="shared" si="8"/>
        <v>0</v>
      </c>
      <c r="C447" s="4126" t="s">
        <v>133</v>
      </c>
      <c r="D447" s="3869" t="s">
        <v>133</v>
      </c>
      <c r="E447" s="4129"/>
      <c r="F447" s="4130">
        <f>COUNTIF(Sheele!$C$25:$H$36,C447)</f>
        <v>0</v>
      </c>
      <c r="G447" s="4044">
        <v>1</v>
      </c>
      <c r="H447" s="4189">
        <f>IF(OR($F447=0,$G447=0),0,MAX($H$134:H446)+1)</f>
        <v>0</v>
      </c>
      <c r="I447" s="4044">
        <v>200</v>
      </c>
      <c r="J447" s="4044">
        <f>Sheele!$F$46</f>
        <v>60</v>
      </c>
      <c r="K447" s="4131" t="s">
        <v>1315</v>
      </c>
      <c r="L447" s="8310" t="s">
        <v>13852</v>
      </c>
      <c r="M447" s="8311"/>
      <c r="N447" s="8311"/>
      <c r="O447" s="8311"/>
      <c r="P447" s="8311"/>
      <c r="Q447" s="8312"/>
      <c r="R447" s="4132" t="s">
        <v>1315</v>
      </c>
    </row>
    <row r="448" spans="1:18">
      <c r="A448" s="265">
        <v>424</v>
      </c>
      <c r="B448" s="595">
        <f t="shared" si="8"/>
        <v>0</v>
      </c>
      <c r="C448" s="4126" t="s">
        <v>13661</v>
      </c>
      <c r="D448" s="3869" t="s">
        <v>13661</v>
      </c>
      <c r="E448" s="4129"/>
      <c r="F448" s="4130">
        <f>COUNTIF(Sheele!$C$25:$H$36,C448)</f>
        <v>0</v>
      </c>
      <c r="G448" s="4044">
        <v>1</v>
      </c>
      <c r="H448" s="4189">
        <f>IF(OR($F448=0,$G448=0),0,MAX($H$134:H447)+1)</f>
        <v>0</v>
      </c>
      <c r="I448" s="4044">
        <v>100</v>
      </c>
      <c r="J448" s="4044">
        <f>Sheele!$F$46</f>
        <v>60</v>
      </c>
      <c r="K448" s="4131">
        <v>50</v>
      </c>
      <c r="L448" s="8310" t="s">
        <v>13853</v>
      </c>
      <c r="M448" s="8311"/>
      <c r="N448" s="8311"/>
      <c r="O448" s="8311"/>
      <c r="P448" s="8311"/>
      <c r="Q448" s="8312"/>
      <c r="R448" s="4132" t="s">
        <v>1315</v>
      </c>
    </row>
    <row r="449" spans="1:18">
      <c r="A449" s="265">
        <v>425</v>
      </c>
      <c r="B449" s="595">
        <f t="shared" si="8"/>
        <v>0</v>
      </c>
      <c r="C449" s="4126" t="s">
        <v>13662</v>
      </c>
      <c r="D449" s="3869" t="s">
        <v>13662</v>
      </c>
      <c r="E449" s="4129"/>
      <c r="F449" s="4130">
        <f>COUNTIF(Sheele!$C$25:$H$36,C449)</f>
        <v>0</v>
      </c>
      <c r="G449" s="4044">
        <v>1</v>
      </c>
      <c r="H449" s="4189">
        <f>IF(OR($F449=0,$G449=0),0,MAX($H$134:H448)+1)</f>
        <v>0</v>
      </c>
      <c r="I449" s="4044">
        <v>250</v>
      </c>
      <c r="J449" s="4044" t="s">
        <v>1315</v>
      </c>
      <c r="K449" s="4131" t="s">
        <v>1315</v>
      </c>
      <c r="L449" s="8310" t="s">
        <v>13854</v>
      </c>
      <c r="M449" s="8311"/>
      <c r="N449" s="8311"/>
      <c r="O449" s="8311"/>
      <c r="P449" s="8311"/>
      <c r="Q449" s="8312"/>
      <c r="R449" s="4132" t="s">
        <v>1315</v>
      </c>
    </row>
    <row r="450" spans="1:18">
      <c r="A450" s="265">
        <v>426</v>
      </c>
      <c r="B450" s="595">
        <f t="shared" si="8"/>
        <v>0</v>
      </c>
      <c r="C450" s="4126" t="s">
        <v>13663</v>
      </c>
      <c r="D450" s="3869" t="s">
        <v>13663</v>
      </c>
      <c r="E450" s="4129"/>
      <c r="F450" s="4130">
        <f>COUNTIF(Sheele!$C$25:$H$36,C450)</f>
        <v>0</v>
      </c>
      <c r="G450" s="4044"/>
      <c r="H450" s="4189">
        <f>IF(OR($F450=0,$G450=0),0,MAX($H$134:H449)+1)</f>
        <v>0</v>
      </c>
      <c r="I450" s="4044" t="s">
        <v>1315</v>
      </c>
      <c r="J450" s="4044" t="s">
        <v>1315</v>
      </c>
      <c r="K450" s="4131" t="s">
        <v>1315</v>
      </c>
      <c r="L450" s="8317" t="s">
        <v>13855</v>
      </c>
      <c r="M450" s="8311"/>
      <c r="N450" s="8311"/>
      <c r="O450" s="8311"/>
      <c r="P450" s="8311"/>
      <c r="Q450" s="8312"/>
      <c r="R450" s="4132" t="s">
        <v>1315</v>
      </c>
    </row>
    <row r="451" spans="1:18">
      <c r="A451" s="265">
        <v>427</v>
      </c>
      <c r="B451" s="595">
        <f t="shared" si="8"/>
        <v>0</v>
      </c>
      <c r="C451" s="4126" t="s">
        <v>13664</v>
      </c>
      <c r="D451" s="3869" t="s">
        <v>13664</v>
      </c>
      <c r="E451" s="4129"/>
      <c r="F451" s="4130">
        <f>COUNTIF(Sheele!$C$25:$H$36,C451)</f>
        <v>0</v>
      </c>
      <c r="G451" s="4044">
        <v>1</v>
      </c>
      <c r="H451" s="4189">
        <f>IF(OR($F451=0,$G451=0),0,MAX($H$134:H450)+1)</f>
        <v>0</v>
      </c>
      <c r="I451" s="4044" t="s">
        <v>1315</v>
      </c>
      <c r="J451" s="4044" t="s">
        <v>1315</v>
      </c>
      <c r="K451" s="4131" t="s">
        <v>1315</v>
      </c>
      <c r="L451" s="8310" t="s">
        <v>13856</v>
      </c>
      <c r="M451" s="8311"/>
      <c r="N451" s="8311"/>
      <c r="O451" s="8311"/>
      <c r="P451" s="8311"/>
      <c r="Q451" s="8312"/>
      <c r="R451" s="4132" t="s">
        <v>1315</v>
      </c>
    </row>
    <row r="452" spans="1:18">
      <c r="A452" s="265">
        <v>428</v>
      </c>
      <c r="B452" s="595">
        <f t="shared" si="8"/>
        <v>0</v>
      </c>
      <c r="C452" s="4126" t="s">
        <v>13080</v>
      </c>
      <c r="D452" s="3869" t="s">
        <v>13080</v>
      </c>
      <c r="E452" s="4129"/>
      <c r="F452" s="4130">
        <f>COUNTIF(Sheele!$C$25:$H$36,C452)</f>
        <v>0</v>
      </c>
      <c r="G452" s="3869"/>
      <c r="H452" s="4189">
        <f>IF(OR($F452=0,$G452=0),0,MAX($H$134:H451)+1)</f>
        <v>0</v>
      </c>
      <c r="I452" s="4044" t="s">
        <v>1315</v>
      </c>
      <c r="J452" s="4044" t="s">
        <v>1315</v>
      </c>
      <c r="K452" s="4131" t="s">
        <v>1315</v>
      </c>
      <c r="L452" s="8313" t="s">
        <v>2514</v>
      </c>
      <c r="M452" s="8314"/>
      <c r="N452" s="8314"/>
      <c r="O452" s="8314"/>
      <c r="P452" s="8314"/>
      <c r="Q452" s="8315"/>
      <c r="R452" s="4132" t="s">
        <v>1315</v>
      </c>
    </row>
    <row r="453" spans="1:18">
      <c r="A453" s="265">
        <v>429</v>
      </c>
      <c r="B453" s="595">
        <f t="shared" si="8"/>
        <v>0</v>
      </c>
      <c r="C453" s="4127" t="s">
        <v>12736</v>
      </c>
      <c r="D453" s="4215"/>
      <c r="E453" s="305"/>
      <c r="F453" s="2128"/>
      <c r="G453" s="2127"/>
      <c r="H453" s="303"/>
      <c r="I453" s="306" t="s">
        <v>2500</v>
      </c>
      <c r="J453" s="2139" t="s">
        <v>2501</v>
      </c>
      <c r="K453" s="303" t="s">
        <v>1425</v>
      </c>
      <c r="L453" s="8304" t="s">
        <v>1408</v>
      </c>
      <c r="M453" s="8305"/>
      <c r="N453" s="8305"/>
      <c r="O453" s="8305"/>
      <c r="P453" s="8305"/>
      <c r="Q453" s="8306"/>
      <c r="R453" s="606"/>
    </row>
    <row r="454" spans="1:18">
      <c r="A454" s="265">
        <v>430</v>
      </c>
      <c r="B454" s="595">
        <f t="shared" si="8"/>
        <v>0</v>
      </c>
      <c r="C454" s="4126" t="s">
        <v>13665</v>
      </c>
      <c r="D454" s="3869" t="s">
        <v>13665</v>
      </c>
      <c r="E454" s="4129"/>
      <c r="F454" s="4130">
        <f>COUNTIF(Sheele!$C$25:$H$36,C454)</f>
        <v>0</v>
      </c>
      <c r="G454" s="4044">
        <v>1</v>
      </c>
      <c r="H454" s="4189">
        <f>IF(OR($F454=0,$G454=0),0,MAX($H$134:H453)+1)</f>
        <v>0</v>
      </c>
      <c r="I454" s="4044" t="s">
        <v>1315</v>
      </c>
      <c r="J454" s="4044" t="s">
        <v>1315</v>
      </c>
      <c r="K454" s="4131" t="s">
        <v>1315</v>
      </c>
      <c r="L454" s="8316" t="s">
        <v>13876</v>
      </c>
      <c r="M454" s="8308"/>
      <c r="N454" s="8308"/>
      <c r="O454" s="8308"/>
      <c r="P454" s="8308"/>
      <c r="Q454" s="8309"/>
      <c r="R454" s="4132" t="s">
        <v>1315</v>
      </c>
    </row>
    <row r="455" spans="1:18">
      <c r="A455" s="265">
        <v>431</v>
      </c>
      <c r="B455" s="595">
        <f t="shared" si="8"/>
        <v>0</v>
      </c>
      <c r="C455" s="4126" t="s">
        <v>13666</v>
      </c>
      <c r="D455" s="3869" t="s">
        <v>13666</v>
      </c>
      <c r="E455" s="4129"/>
      <c r="F455" s="4130">
        <f>COUNTIF(Sheele!$C$25:$H$36,C455)</f>
        <v>0</v>
      </c>
      <c r="G455" s="4044">
        <v>1</v>
      </c>
      <c r="H455" s="4189">
        <f>IF(OR($F455=0,$G455=0),0,MAX($H$134:H454)+1)</f>
        <v>0</v>
      </c>
      <c r="I455" s="4044" t="s">
        <v>1315</v>
      </c>
      <c r="J455" s="4044" t="s">
        <v>1315</v>
      </c>
      <c r="K455" s="4131" t="s">
        <v>1315</v>
      </c>
      <c r="L455" s="8310" t="s">
        <v>13857</v>
      </c>
      <c r="M455" s="8311"/>
      <c r="N455" s="8311"/>
      <c r="O455" s="8311"/>
      <c r="P455" s="8311"/>
      <c r="Q455" s="8312"/>
      <c r="R455" s="4132" t="s">
        <v>1315</v>
      </c>
    </row>
    <row r="456" spans="1:18">
      <c r="A456" s="265">
        <v>432</v>
      </c>
      <c r="B456" s="595">
        <f t="shared" si="8"/>
        <v>0</v>
      </c>
      <c r="C456" s="4126" t="s">
        <v>13673</v>
      </c>
      <c r="D456" s="3869" t="s">
        <v>13673</v>
      </c>
      <c r="E456" s="4129"/>
      <c r="F456" s="4130">
        <f>COUNTIF(Sheele!$C$25:$H$36,C456)</f>
        <v>0</v>
      </c>
      <c r="G456" s="4044">
        <v>1</v>
      </c>
      <c r="H456" s="4189">
        <f>IF(OR($F456=0,$G456=0),0,MAX($H$134:H455)+1)</f>
        <v>0</v>
      </c>
      <c r="I456" s="4044">
        <v>200</v>
      </c>
      <c r="J456" s="4044" t="s">
        <v>1315</v>
      </c>
      <c r="K456" s="4131" t="s">
        <v>1315</v>
      </c>
      <c r="L456" s="8310" t="s">
        <v>13858</v>
      </c>
      <c r="M456" s="8311"/>
      <c r="N456" s="8311"/>
      <c r="O456" s="8311"/>
      <c r="P456" s="8311"/>
      <c r="Q456" s="8312"/>
      <c r="R456" s="4132" t="s">
        <v>1315</v>
      </c>
    </row>
    <row r="457" spans="1:18">
      <c r="A457" s="265">
        <v>433</v>
      </c>
      <c r="B457" s="595">
        <f t="shared" si="8"/>
        <v>0</v>
      </c>
      <c r="C457" s="4126" t="s">
        <v>13667</v>
      </c>
      <c r="D457" s="3869" t="s">
        <v>13667</v>
      </c>
      <c r="E457" s="4129"/>
      <c r="F457" s="4130">
        <f>COUNTIF(Sheele!$C$25:$H$36,C457)</f>
        <v>0</v>
      </c>
      <c r="G457" s="4044">
        <v>1</v>
      </c>
      <c r="H457" s="4189">
        <f>IF(OR($F457=0,$G457=0),0,MAX($H$134:H456)+1)</f>
        <v>0</v>
      </c>
      <c r="I457" s="4044" t="s">
        <v>13859</v>
      </c>
      <c r="J457" s="4044" t="s">
        <v>1315</v>
      </c>
      <c r="K457" s="4131" t="s">
        <v>1315</v>
      </c>
      <c r="L457" s="8310" t="s">
        <v>13860</v>
      </c>
      <c r="M457" s="8311"/>
      <c r="N457" s="8311"/>
      <c r="O457" s="8311"/>
      <c r="P457" s="8311"/>
      <c r="Q457" s="8312"/>
      <c r="R457" s="4132" t="s">
        <v>1315</v>
      </c>
    </row>
    <row r="458" spans="1:18">
      <c r="A458" s="265">
        <v>434</v>
      </c>
      <c r="B458" s="595">
        <f t="shared" si="8"/>
        <v>0</v>
      </c>
      <c r="C458" s="4126" t="s">
        <v>13668</v>
      </c>
      <c r="D458" s="3869" t="s">
        <v>13668</v>
      </c>
      <c r="E458" s="4129"/>
      <c r="F458" s="4130">
        <f>COUNTIF(Sheele!$C$25:$H$36,C458)</f>
        <v>0</v>
      </c>
      <c r="G458" s="4044">
        <v>1</v>
      </c>
      <c r="H458" s="4189">
        <f>IF(OR($F458=0,$G458=0),0,MAX($H$134:H457)+1)</f>
        <v>0</v>
      </c>
      <c r="I458" s="4044">
        <v>150</v>
      </c>
      <c r="J458" s="4044" t="s">
        <v>1315</v>
      </c>
      <c r="K458" s="4131" t="s">
        <v>1315</v>
      </c>
      <c r="L458" s="8310" t="s">
        <v>13861</v>
      </c>
      <c r="M458" s="8311"/>
      <c r="N458" s="8311"/>
      <c r="O458" s="8311"/>
      <c r="P458" s="8311"/>
      <c r="Q458" s="8312"/>
      <c r="R458" s="4132" t="s">
        <v>1315</v>
      </c>
    </row>
    <row r="459" spans="1:18">
      <c r="A459" s="265">
        <v>435</v>
      </c>
      <c r="B459" s="595">
        <f t="shared" si="8"/>
        <v>0</v>
      </c>
      <c r="C459" s="4126" t="s">
        <v>13669</v>
      </c>
      <c r="D459" s="3869" t="s">
        <v>13669</v>
      </c>
      <c r="E459" s="4129"/>
      <c r="F459" s="4130">
        <f>COUNTIF(Sheele!$C$25:$H$36,C459)</f>
        <v>0</v>
      </c>
      <c r="G459" s="4044">
        <v>1</v>
      </c>
      <c r="H459" s="4189">
        <f>IF(OR($F459=0,$G459=0),0,MAX($H$134:H458)+1)</f>
        <v>0</v>
      </c>
      <c r="I459" s="4044" t="s">
        <v>13863</v>
      </c>
      <c r="J459" s="4044" t="s">
        <v>1315</v>
      </c>
      <c r="K459" s="4131" t="s">
        <v>1315</v>
      </c>
      <c r="L459" s="8310" t="s">
        <v>13862</v>
      </c>
      <c r="M459" s="8311"/>
      <c r="N459" s="8311"/>
      <c r="O459" s="8311"/>
      <c r="P459" s="8311"/>
      <c r="Q459" s="8312"/>
      <c r="R459" s="4132" t="s">
        <v>1315</v>
      </c>
    </row>
    <row r="460" spans="1:18">
      <c r="A460" s="265">
        <v>436</v>
      </c>
      <c r="B460" s="595">
        <f t="shared" si="8"/>
        <v>0</v>
      </c>
      <c r="C460" s="4126" t="s">
        <v>13670</v>
      </c>
      <c r="D460" s="3869" t="s">
        <v>13670</v>
      </c>
      <c r="E460" s="4129"/>
      <c r="F460" s="4130">
        <f>COUNTIF(Sheele!$C$25:$H$36,C460)</f>
        <v>0</v>
      </c>
      <c r="G460" s="4044">
        <v>1</v>
      </c>
      <c r="H460" s="4189">
        <f>IF(OR($F460=0,$G460=0),0,MAX($H$134:H459)+1)</f>
        <v>0</v>
      </c>
      <c r="I460" s="4044" t="s">
        <v>1315</v>
      </c>
      <c r="J460" s="4044" t="s">
        <v>1315</v>
      </c>
      <c r="K460" s="4131" t="s">
        <v>1315</v>
      </c>
      <c r="L460" s="8310" t="s">
        <v>13864</v>
      </c>
      <c r="M460" s="8311"/>
      <c r="N460" s="8311"/>
      <c r="O460" s="8311"/>
      <c r="P460" s="8311"/>
      <c r="Q460" s="8312"/>
      <c r="R460" s="4132" t="s">
        <v>1315</v>
      </c>
    </row>
    <row r="461" spans="1:18">
      <c r="A461" s="265">
        <v>437</v>
      </c>
      <c r="B461" s="595">
        <f t="shared" si="8"/>
        <v>0</v>
      </c>
      <c r="C461" s="4126" t="s">
        <v>13671</v>
      </c>
      <c r="D461" s="3869" t="s">
        <v>13671</v>
      </c>
      <c r="E461" s="4129"/>
      <c r="F461" s="4130">
        <f>COUNTIF(Sheele!$C$25:$H$36,C461)</f>
        <v>0</v>
      </c>
      <c r="G461" s="4044">
        <v>1</v>
      </c>
      <c r="H461" s="4189">
        <f>IF(OR($F461=0,$G461=0),0,MAX($H$134:H460)+1)</f>
        <v>0</v>
      </c>
      <c r="I461" s="4044" t="s">
        <v>1315</v>
      </c>
      <c r="J461" s="4044" t="s">
        <v>1315</v>
      </c>
      <c r="K461" s="4131" t="s">
        <v>1315</v>
      </c>
      <c r="L461" s="8317" t="s">
        <v>13865</v>
      </c>
      <c r="M461" s="8311"/>
      <c r="N461" s="8311"/>
      <c r="O461" s="8311"/>
      <c r="P461" s="8311"/>
      <c r="Q461" s="8312"/>
      <c r="R461" s="4132" t="s">
        <v>1315</v>
      </c>
    </row>
    <row r="462" spans="1:18">
      <c r="A462" s="265">
        <v>438</v>
      </c>
      <c r="B462" s="595">
        <f t="shared" si="8"/>
        <v>0</v>
      </c>
      <c r="C462" s="4126" t="s">
        <v>13672</v>
      </c>
      <c r="D462" s="3869" t="s">
        <v>13672</v>
      </c>
      <c r="E462" s="4129"/>
      <c r="F462" s="4130">
        <f>COUNTIF(Sheele!$C$25:$H$36,C462)</f>
        <v>0</v>
      </c>
      <c r="G462" s="4044">
        <v>1</v>
      </c>
      <c r="H462" s="4189">
        <f>IF(OR($F462=0,$G462=0),0,MAX($H$134:H461)+1)</f>
        <v>0</v>
      </c>
      <c r="I462" s="4044">
        <v>50</v>
      </c>
      <c r="J462" s="4044" t="s">
        <v>1315</v>
      </c>
      <c r="K462" s="4131" t="s">
        <v>1315</v>
      </c>
      <c r="L462" s="8310" t="s">
        <v>13866</v>
      </c>
      <c r="M462" s="8311"/>
      <c r="N462" s="8311"/>
      <c r="O462" s="8311"/>
      <c r="P462" s="8311"/>
      <c r="Q462" s="8312"/>
      <c r="R462" s="4132" t="s">
        <v>1315</v>
      </c>
    </row>
    <row r="463" spans="1:18">
      <c r="A463" s="265">
        <v>439</v>
      </c>
      <c r="B463" s="595">
        <f t="shared" si="8"/>
        <v>0</v>
      </c>
      <c r="C463" s="4126" t="s">
        <v>13080</v>
      </c>
      <c r="D463" s="3869" t="s">
        <v>13080</v>
      </c>
      <c r="E463" s="4129"/>
      <c r="F463" s="4130">
        <f>COUNTIF(Sheele!$C$25:$H$36,C463)</f>
        <v>0</v>
      </c>
      <c r="G463" s="3869"/>
      <c r="H463" s="4189">
        <f>IF(OR($F463=0,$G463=0),0,MAX($H$134:H462)+1)</f>
        <v>0</v>
      </c>
      <c r="I463" s="4044" t="s">
        <v>1315</v>
      </c>
      <c r="J463" s="4044" t="s">
        <v>1315</v>
      </c>
      <c r="K463" s="4131" t="s">
        <v>1315</v>
      </c>
      <c r="L463" s="8313" t="s">
        <v>2514</v>
      </c>
      <c r="M463" s="8314"/>
      <c r="N463" s="8314"/>
      <c r="O463" s="8314"/>
      <c r="P463" s="8314"/>
      <c r="Q463" s="8315"/>
      <c r="R463" s="4132" t="s">
        <v>1315</v>
      </c>
    </row>
    <row r="464" spans="1:18">
      <c r="A464" s="265">
        <v>440</v>
      </c>
      <c r="B464" s="595">
        <f t="shared" si="8"/>
        <v>0</v>
      </c>
      <c r="C464" s="4127" t="s">
        <v>12744</v>
      </c>
      <c r="D464" s="4215"/>
      <c r="E464" s="305"/>
      <c r="F464" s="2128"/>
      <c r="G464" s="2127"/>
      <c r="H464" s="4213"/>
      <c r="I464" s="306" t="s">
        <v>2500</v>
      </c>
      <c r="J464" s="2139" t="s">
        <v>2501</v>
      </c>
      <c r="K464" s="303" t="s">
        <v>1425</v>
      </c>
      <c r="L464" s="8304" t="s">
        <v>1408</v>
      </c>
      <c r="M464" s="8305"/>
      <c r="N464" s="8305"/>
      <c r="O464" s="8305"/>
      <c r="P464" s="8305"/>
      <c r="Q464" s="8306"/>
      <c r="R464" s="606"/>
    </row>
    <row r="465" spans="1:18">
      <c r="A465" s="265">
        <v>441</v>
      </c>
      <c r="B465" s="595">
        <f t="shared" si="8"/>
        <v>0</v>
      </c>
      <c r="C465" s="4126" t="s">
        <v>13674</v>
      </c>
      <c r="D465" s="3869" t="s">
        <v>13674</v>
      </c>
      <c r="E465" s="4129"/>
      <c r="F465" s="4130">
        <f>COUNTIF(Sheele!$C$25:$H$36,C465)</f>
        <v>0</v>
      </c>
      <c r="G465" s="4044">
        <v>1</v>
      </c>
      <c r="H465" s="4189">
        <f>IF(OR($F465=0,$G465=0),0,MAX($H$134:H464)+1)</f>
        <v>0</v>
      </c>
      <c r="I465" s="4044" t="s">
        <v>1315</v>
      </c>
      <c r="J465" s="4044" t="s">
        <v>1315</v>
      </c>
      <c r="K465" s="4131" t="s">
        <v>1315</v>
      </c>
      <c r="L465" s="8316" t="s">
        <v>13867</v>
      </c>
      <c r="M465" s="8308"/>
      <c r="N465" s="8308"/>
      <c r="O465" s="8308"/>
      <c r="P465" s="8308"/>
      <c r="Q465" s="8309"/>
      <c r="R465" s="4132" t="s">
        <v>1315</v>
      </c>
    </row>
    <row r="466" spans="1:18">
      <c r="A466" s="265">
        <v>442</v>
      </c>
      <c r="B466" s="595">
        <f t="shared" si="8"/>
        <v>0</v>
      </c>
      <c r="C466" s="4126" t="s">
        <v>13675</v>
      </c>
      <c r="D466" s="3869" t="s">
        <v>13675</v>
      </c>
      <c r="E466" s="4129"/>
      <c r="F466" s="4130">
        <f>COUNTIF(Sheele!$C$25:$H$36,C466)</f>
        <v>0</v>
      </c>
      <c r="G466" s="4044">
        <v>1</v>
      </c>
      <c r="H466" s="4189">
        <f>IF(OR($F466=0,$G466=0),0,MAX($H$134:H465)+1)</f>
        <v>0</v>
      </c>
      <c r="I466" s="4044">
        <v>200</v>
      </c>
      <c r="J466" s="4044" t="s">
        <v>1315</v>
      </c>
      <c r="K466" s="4131" t="s">
        <v>1315</v>
      </c>
      <c r="L466" s="8310" t="s">
        <v>13868</v>
      </c>
      <c r="M466" s="8311"/>
      <c r="N466" s="8311"/>
      <c r="O466" s="8311"/>
      <c r="P466" s="8311"/>
      <c r="Q466" s="8312"/>
      <c r="R466" s="4132" t="s">
        <v>1315</v>
      </c>
    </row>
    <row r="467" spans="1:18">
      <c r="A467" s="265">
        <v>443</v>
      </c>
      <c r="B467" s="595">
        <f t="shared" si="8"/>
        <v>0</v>
      </c>
      <c r="C467" s="4126" t="s">
        <v>129</v>
      </c>
      <c r="D467" s="3869" t="s">
        <v>129</v>
      </c>
      <c r="E467" s="4129"/>
      <c r="F467" s="4130">
        <f>COUNTIF(Sheele!$C$25:$H$36,C467)</f>
        <v>0</v>
      </c>
      <c r="G467" s="4044">
        <v>1</v>
      </c>
      <c r="H467" s="4189">
        <f>IF(OR($F467=0,$G467=0),0,MAX($H$134:H466)+1)</f>
        <v>0</v>
      </c>
      <c r="I467" s="4044">
        <v>200</v>
      </c>
      <c r="J467" s="4044">
        <f>Sheele!$F$46</f>
        <v>60</v>
      </c>
      <c r="K467" s="4131" t="s">
        <v>1315</v>
      </c>
      <c r="L467" s="8310" t="s">
        <v>13874</v>
      </c>
      <c r="M467" s="8311"/>
      <c r="N467" s="8311"/>
      <c r="O467" s="8311"/>
      <c r="P467" s="8311"/>
      <c r="Q467" s="8312"/>
      <c r="R467" s="4132" t="s">
        <v>1315</v>
      </c>
    </row>
    <row r="468" spans="1:18">
      <c r="A468" s="265">
        <v>444</v>
      </c>
      <c r="B468" s="595">
        <f t="shared" si="8"/>
        <v>0</v>
      </c>
      <c r="C468" s="4126" t="s">
        <v>13676</v>
      </c>
      <c r="D468" s="3869" t="s">
        <v>13676</v>
      </c>
      <c r="E468" s="4129"/>
      <c r="F468" s="4130">
        <f>COUNTIF(Sheele!$C$25:$H$36,C468)</f>
        <v>0</v>
      </c>
      <c r="G468" s="4044">
        <v>1</v>
      </c>
      <c r="H468" s="4189">
        <f>IF(OR($F468=0,$G468=0),0,MAX($H$134:H467)+1)</f>
        <v>0</v>
      </c>
      <c r="I468" s="4044" t="s">
        <v>13746</v>
      </c>
      <c r="J468" s="4044" t="s">
        <v>1315</v>
      </c>
      <c r="K468" s="4131" t="s">
        <v>1315</v>
      </c>
      <c r="L468" s="8310" t="s">
        <v>13873</v>
      </c>
      <c r="M468" s="8311"/>
      <c r="N468" s="8311"/>
      <c r="O468" s="8311"/>
      <c r="P468" s="8311"/>
      <c r="Q468" s="8312"/>
      <c r="R468" s="4132" t="s">
        <v>1315</v>
      </c>
    </row>
    <row r="469" spans="1:18">
      <c r="A469" s="265">
        <v>445</v>
      </c>
      <c r="B469" s="595">
        <f t="shared" si="8"/>
        <v>0</v>
      </c>
      <c r="C469" s="4126" t="s">
        <v>13677</v>
      </c>
      <c r="D469" s="3869" t="s">
        <v>13677</v>
      </c>
      <c r="E469" s="4129"/>
      <c r="F469" s="4130">
        <f>COUNTIF(Sheele!$C$25:$H$36,C469)</f>
        <v>0</v>
      </c>
      <c r="G469" s="4044">
        <v>1</v>
      </c>
      <c r="H469" s="4189">
        <f>IF(OR($F469=0,$G469=0),0,MAX($H$134:H468)+1)</f>
        <v>0</v>
      </c>
      <c r="I469" s="4044">
        <v>150</v>
      </c>
      <c r="J469" s="4044">
        <f>Sheele!$F$46+50</f>
        <v>110</v>
      </c>
      <c r="K469" s="4131">
        <v>40</v>
      </c>
      <c r="L469" s="8310" t="s">
        <v>13875</v>
      </c>
      <c r="M469" s="8311"/>
      <c r="N469" s="8311"/>
      <c r="O469" s="8311"/>
      <c r="P469" s="8311"/>
      <c r="Q469" s="8312"/>
      <c r="R469" s="4132" t="s">
        <v>1315</v>
      </c>
    </row>
    <row r="470" spans="1:18">
      <c r="A470" s="265">
        <v>446</v>
      </c>
      <c r="B470" s="595">
        <f t="shared" si="8"/>
        <v>0</v>
      </c>
      <c r="C470" s="4126" t="s">
        <v>13678</v>
      </c>
      <c r="D470" s="3869" t="s">
        <v>13678</v>
      </c>
      <c r="E470" s="4129"/>
      <c r="F470" s="4130">
        <f>COUNTIF(Sheele!$C$25:$H$36,C470)</f>
        <v>0</v>
      </c>
      <c r="G470" s="4044">
        <v>1</v>
      </c>
      <c r="H470" s="4189">
        <f>IF(OR($F470=0,$G470=0),0,MAX($H$134:H469)+1)</f>
        <v>0</v>
      </c>
      <c r="I470" s="4044" t="s">
        <v>1315</v>
      </c>
      <c r="J470" s="4044" t="s">
        <v>1315</v>
      </c>
      <c r="K470" s="4131" t="s">
        <v>1315</v>
      </c>
      <c r="L470" s="8310" t="s">
        <v>13869</v>
      </c>
      <c r="M470" s="8311"/>
      <c r="N470" s="8311"/>
      <c r="O470" s="8311"/>
      <c r="P470" s="8311"/>
      <c r="Q470" s="8312"/>
      <c r="R470" s="4132" t="s">
        <v>1315</v>
      </c>
    </row>
    <row r="471" spans="1:18">
      <c r="A471" s="265">
        <v>447</v>
      </c>
      <c r="B471" s="595">
        <f t="shared" si="8"/>
        <v>0</v>
      </c>
      <c r="C471" s="4126" t="s">
        <v>13679</v>
      </c>
      <c r="D471" s="3869" t="s">
        <v>13679</v>
      </c>
      <c r="E471" s="4129"/>
      <c r="F471" s="4130">
        <f>COUNTIF(Sheele!$C$25:$H$36,C471)</f>
        <v>0</v>
      </c>
      <c r="G471" s="4044">
        <v>1</v>
      </c>
      <c r="H471" s="4189">
        <f>IF(OR($F471=0,$G471=0),0,MAX($H$134:H470)+1)</f>
        <v>0</v>
      </c>
      <c r="I471" s="4044" t="s">
        <v>1315</v>
      </c>
      <c r="J471" s="4044" t="s">
        <v>1315</v>
      </c>
      <c r="K471" s="4131" t="s">
        <v>1315</v>
      </c>
      <c r="L471" s="8310" t="s">
        <v>13872</v>
      </c>
      <c r="M471" s="8311"/>
      <c r="N471" s="8311"/>
      <c r="O471" s="8311"/>
      <c r="P471" s="8311"/>
      <c r="Q471" s="8312"/>
      <c r="R471" s="4132" t="s">
        <v>1315</v>
      </c>
    </row>
    <row r="472" spans="1:18">
      <c r="A472" s="265">
        <v>448</v>
      </c>
      <c r="B472" s="595">
        <f t="shared" si="8"/>
        <v>0</v>
      </c>
      <c r="C472" s="4126" t="s">
        <v>13680</v>
      </c>
      <c r="D472" s="3869" t="s">
        <v>13680</v>
      </c>
      <c r="E472" s="4129"/>
      <c r="F472" s="4130">
        <f>COUNTIF(Sheele!$C$25:$H$36,C472)</f>
        <v>0</v>
      </c>
      <c r="G472" s="4044">
        <v>1</v>
      </c>
      <c r="H472" s="4189">
        <f>IF(OR($F472=0,$G472=0),0,MAX($H$134:H471)+1)</f>
        <v>0</v>
      </c>
      <c r="I472" s="4044" t="s">
        <v>9198</v>
      </c>
      <c r="J472" s="4044" t="s">
        <v>1315</v>
      </c>
      <c r="K472" s="4131" t="s">
        <v>1315</v>
      </c>
      <c r="L472" s="8310" t="s">
        <v>13870</v>
      </c>
      <c r="M472" s="8311"/>
      <c r="N472" s="8311"/>
      <c r="O472" s="8311"/>
      <c r="P472" s="8311"/>
      <c r="Q472" s="8312"/>
      <c r="R472" s="4132" t="s">
        <v>1315</v>
      </c>
    </row>
    <row r="473" spans="1:18">
      <c r="A473" s="265">
        <v>449</v>
      </c>
      <c r="B473" s="595">
        <f t="shared" si="8"/>
        <v>0</v>
      </c>
      <c r="C473" s="4126" t="s">
        <v>13681</v>
      </c>
      <c r="D473" s="3869" t="s">
        <v>13681</v>
      </c>
      <c r="E473" s="4129"/>
      <c r="F473" s="4130">
        <f>COUNTIF(Sheele!$C$25:$H$36,C473)</f>
        <v>0</v>
      </c>
      <c r="G473" s="4044"/>
      <c r="H473" s="4189">
        <f>IF(OR($F473=0,$G473=0),0,MAX($H$134:H472)+1)</f>
        <v>0</v>
      </c>
      <c r="I473" s="4044" t="s">
        <v>1315</v>
      </c>
      <c r="J473" s="4044" t="s">
        <v>1315</v>
      </c>
      <c r="K473" s="4131" t="s">
        <v>1315</v>
      </c>
      <c r="L473" s="8317" t="s">
        <v>13871</v>
      </c>
      <c r="M473" s="8311"/>
      <c r="N473" s="8311"/>
      <c r="O473" s="8311"/>
      <c r="P473" s="8311"/>
      <c r="Q473" s="8312"/>
      <c r="R473" s="4132" t="s">
        <v>1315</v>
      </c>
    </row>
    <row r="474" spans="1:18" ht="13.5" thickBot="1">
      <c r="A474" s="265">
        <v>450</v>
      </c>
      <c r="B474" s="595">
        <f t="shared" si="8"/>
        <v>0</v>
      </c>
      <c r="C474" s="4186" t="s">
        <v>13080</v>
      </c>
      <c r="D474" s="4216" t="s">
        <v>13080</v>
      </c>
      <c r="E474" s="4187"/>
      <c r="F474" s="4183">
        <f>COUNTIF(Sheele!$C$25:$H$36,C474)</f>
        <v>0</v>
      </c>
      <c r="G474" s="4042"/>
      <c r="H474" s="4214">
        <f>IF(OR($F474=0,$G474=0),0,MAX($H$134:H473)+1)</f>
        <v>0</v>
      </c>
      <c r="I474" s="4045" t="s">
        <v>1315</v>
      </c>
      <c r="J474" s="4045" t="s">
        <v>1315</v>
      </c>
      <c r="K474" s="4188" t="s">
        <v>1315</v>
      </c>
      <c r="L474" s="8348" t="s">
        <v>2514</v>
      </c>
      <c r="M474" s="8349"/>
      <c r="N474" s="8349"/>
      <c r="O474" s="8349"/>
      <c r="P474" s="8349"/>
      <c r="Q474" s="8350"/>
      <c r="R474" s="4132" t="s">
        <v>1315</v>
      </c>
    </row>
    <row r="475" spans="1:18" ht="13.5" thickBot="1">
      <c r="F475" s="596" t="s">
        <v>2596</v>
      </c>
      <c r="G475" s="597"/>
      <c r="H475" s="287">
        <f>COUNTIF(H135:H474,"&gt;0")</f>
        <v>0</v>
      </c>
    </row>
  </sheetData>
  <sheetProtection selectLockedCells="1"/>
  <mergeCells count="806">
    <mergeCell ref="L468:Q468"/>
    <mergeCell ref="L469:Q469"/>
    <mergeCell ref="L470:Q470"/>
    <mergeCell ref="L471:Q471"/>
    <mergeCell ref="L472:Q472"/>
    <mergeCell ref="L473:Q473"/>
    <mergeCell ref="L474:Q474"/>
    <mergeCell ref="L458:Q458"/>
    <mergeCell ref="L459:Q459"/>
    <mergeCell ref="L460:Q460"/>
    <mergeCell ref="L461:Q461"/>
    <mergeCell ref="L462:Q462"/>
    <mergeCell ref="L463:Q463"/>
    <mergeCell ref="L464:Q464"/>
    <mergeCell ref="L465:Q465"/>
    <mergeCell ref="L466:Q466"/>
    <mergeCell ref="L450:Q450"/>
    <mergeCell ref="L451:Q451"/>
    <mergeCell ref="L452:Q452"/>
    <mergeCell ref="L453:Q453"/>
    <mergeCell ref="L454:Q454"/>
    <mergeCell ref="L455:Q455"/>
    <mergeCell ref="L456:Q456"/>
    <mergeCell ref="L457:Q457"/>
    <mergeCell ref="L467:Q467"/>
    <mergeCell ref="L441:Q441"/>
    <mergeCell ref="L442:Q442"/>
    <mergeCell ref="L443:Q443"/>
    <mergeCell ref="L444:Q444"/>
    <mergeCell ref="L445:Q445"/>
    <mergeCell ref="L446:Q446"/>
    <mergeCell ref="L447:Q447"/>
    <mergeCell ref="L448:Q448"/>
    <mergeCell ref="L449:Q449"/>
    <mergeCell ref="L432:Q432"/>
    <mergeCell ref="L433:Q433"/>
    <mergeCell ref="L434:Q434"/>
    <mergeCell ref="L435:Q435"/>
    <mergeCell ref="L436:Q436"/>
    <mergeCell ref="L437:Q437"/>
    <mergeCell ref="L438:Q438"/>
    <mergeCell ref="L439:Q439"/>
    <mergeCell ref="L440:Q440"/>
    <mergeCell ref="L423:Q423"/>
    <mergeCell ref="L424:Q424"/>
    <mergeCell ref="L426:Q426"/>
    <mergeCell ref="L427:Q427"/>
    <mergeCell ref="L428:Q428"/>
    <mergeCell ref="L429:Q429"/>
    <mergeCell ref="L430:Q430"/>
    <mergeCell ref="L425:Q425"/>
    <mergeCell ref="L431:Q431"/>
    <mergeCell ref="L414:Q414"/>
    <mergeCell ref="L416:Q416"/>
    <mergeCell ref="L417:Q417"/>
    <mergeCell ref="L418:Q418"/>
    <mergeCell ref="L419:Q419"/>
    <mergeCell ref="L420:Q420"/>
    <mergeCell ref="L415:Q415"/>
    <mergeCell ref="L421:Q421"/>
    <mergeCell ref="L422:Q422"/>
    <mergeCell ref="L406:Q406"/>
    <mergeCell ref="L407:Q407"/>
    <mergeCell ref="L408:Q408"/>
    <mergeCell ref="L409:Q409"/>
    <mergeCell ref="L410:Q410"/>
    <mergeCell ref="L405:Q405"/>
    <mergeCell ref="L411:Q411"/>
    <mergeCell ref="L412:Q412"/>
    <mergeCell ref="L413:Q413"/>
    <mergeCell ref="L397:Q397"/>
    <mergeCell ref="L398:Q398"/>
    <mergeCell ref="L399:Q399"/>
    <mergeCell ref="L400:Q400"/>
    <mergeCell ref="L395:Q395"/>
    <mergeCell ref="L401:Q401"/>
    <mergeCell ref="L402:Q402"/>
    <mergeCell ref="L403:Q403"/>
    <mergeCell ref="L404:Q404"/>
    <mergeCell ref="L388:Q388"/>
    <mergeCell ref="L389:Q389"/>
    <mergeCell ref="L390:Q390"/>
    <mergeCell ref="L385:Q385"/>
    <mergeCell ref="L391:Q391"/>
    <mergeCell ref="L392:Q392"/>
    <mergeCell ref="L393:Q393"/>
    <mergeCell ref="L394:Q394"/>
    <mergeCell ref="L396:Q396"/>
    <mergeCell ref="L378:Q378"/>
    <mergeCell ref="L379:Q379"/>
    <mergeCell ref="L380:Q380"/>
    <mergeCell ref="L381:Q381"/>
    <mergeCell ref="L382:Q382"/>
    <mergeCell ref="L383:Q383"/>
    <mergeCell ref="L384:Q384"/>
    <mergeCell ref="L386:Q386"/>
    <mergeCell ref="L387:Q387"/>
    <mergeCell ref="L368:Q368"/>
    <mergeCell ref="L369:Q369"/>
    <mergeCell ref="L370:Q370"/>
    <mergeCell ref="L371:Q371"/>
    <mergeCell ref="L372:Q372"/>
    <mergeCell ref="L373:Q373"/>
    <mergeCell ref="L374:Q374"/>
    <mergeCell ref="L376:Q376"/>
    <mergeCell ref="L377:Q377"/>
    <mergeCell ref="L358:Q358"/>
    <mergeCell ref="L359:Q359"/>
    <mergeCell ref="L360:Q360"/>
    <mergeCell ref="L361:Q361"/>
    <mergeCell ref="L362:Q362"/>
    <mergeCell ref="L363:Q363"/>
    <mergeCell ref="L364:Q364"/>
    <mergeCell ref="L366:Q366"/>
    <mergeCell ref="L367:Q367"/>
    <mergeCell ref="L348:Q348"/>
    <mergeCell ref="L349:Q349"/>
    <mergeCell ref="L350:Q350"/>
    <mergeCell ref="L351:Q351"/>
    <mergeCell ref="L352:Q352"/>
    <mergeCell ref="L353:Q353"/>
    <mergeCell ref="L354:Q354"/>
    <mergeCell ref="L356:Q356"/>
    <mergeCell ref="L357:Q357"/>
    <mergeCell ref="L338:Q338"/>
    <mergeCell ref="L339:Q339"/>
    <mergeCell ref="L340:Q340"/>
    <mergeCell ref="L341:Q341"/>
    <mergeCell ref="L342:Q342"/>
    <mergeCell ref="L343:Q343"/>
    <mergeCell ref="L344:Q344"/>
    <mergeCell ref="L346:Q346"/>
    <mergeCell ref="L347:Q347"/>
    <mergeCell ref="L328:Q328"/>
    <mergeCell ref="L329:Q329"/>
    <mergeCell ref="L330:Q330"/>
    <mergeCell ref="L331:Q331"/>
    <mergeCell ref="L332:Q332"/>
    <mergeCell ref="L333:Q333"/>
    <mergeCell ref="L334:Q334"/>
    <mergeCell ref="L336:Q336"/>
    <mergeCell ref="L337:Q337"/>
    <mergeCell ref="L318:Q318"/>
    <mergeCell ref="L319:Q319"/>
    <mergeCell ref="L320:Q320"/>
    <mergeCell ref="L321:Q321"/>
    <mergeCell ref="L322:Q322"/>
    <mergeCell ref="L323:Q323"/>
    <mergeCell ref="L324:Q324"/>
    <mergeCell ref="L326:Q326"/>
    <mergeCell ref="L327:Q327"/>
    <mergeCell ref="AD260:AE260"/>
    <mergeCell ref="U263:V263"/>
    <mergeCell ref="W263:AB263"/>
    <mergeCell ref="AD263:AE263"/>
    <mergeCell ref="U264:V264"/>
    <mergeCell ref="W264:AB264"/>
    <mergeCell ref="AD264:AE264"/>
    <mergeCell ref="U265:V265"/>
    <mergeCell ref="W265:AB265"/>
    <mergeCell ref="AD265:AE265"/>
    <mergeCell ref="U270:V270"/>
    <mergeCell ref="W270:AB270"/>
    <mergeCell ref="AD270:AE270"/>
    <mergeCell ref="U266:V266"/>
    <mergeCell ref="AD266:AE266"/>
    <mergeCell ref="U267:V267"/>
    <mergeCell ref="W267:AB267"/>
    <mergeCell ref="AD267:AE267"/>
    <mergeCell ref="U268:V268"/>
    <mergeCell ref="W268:AB268"/>
    <mergeCell ref="AD268:AE268"/>
    <mergeCell ref="W269:AB269"/>
    <mergeCell ref="AD269:AE269"/>
    <mergeCell ref="U269:V269"/>
    <mergeCell ref="U254:V254"/>
    <mergeCell ref="W254:AB254"/>
    <mergeCell ref="AD254:AE254"/>
    <mergeCell ref="U255:V255"/>
    <mergeCell ref="W255:AB255"/>
    <mergeCell ref="AD255:AE255"/>
    <mergeCell ref="U261:V261"/>
    <mergeCell ref="AD261:AE261"/>
    <mergeCell ref="U262:V262"/>
    <mergeCell ref="W262:AB262"/>
    <mergeCell ref="AD262:AE262"/>
    <mergeCell ref="U256:V256"/>
    <mergeCell ref="AD256:AE256"/>
    <mergeCell ref="U257:V257"/>
    <mergeCell ref="W257:AB257"/>
    <mergeCell ref="AD257:AE257"/>
    <mergeCell ref="U258:V258"/>
    <mergeCell ref="W258:AB258"/>
    <mergeCell ref="AD258:AE258"/>
    <mergeCell ref="U259:V259"/>
    <mergeCell ref="W259:AB259"/>
    <mergeCell ref="AD259:AE259"/>
    <mergeCell ref="U260:V260"/>
    <mergeCell ref="W260:AB260"/>
    <mergeCell ref="U250:V250"/>
    <mergeCell ref="W250:AB250"/>
    <mergeCell ref="AD250:AE250"/>
    <mergeCell ref="U251:V251"/>
    <mergeCell ref="AD251:AE251"/>
    <mergeCell ref="U252:V252"/>
    <mergeCell ref="W252:AB252"/>
    <mergeCell ref="AD252:AE252"/>
    <mergeCell ref="U253:V253"/>
    <mergeCell ref="W253:AB253"/>
    <mergeCell ref="AD253:AE253"/>
    <mergeCell ref="U246:V246"/>
    <mergeCell ref="AD246:AE246"/>
    <mergeCell ref="U247:V247"/>
    <mergeCell ref="W247:AB247"/>
    <mergeCell ref="AD247:AE247"/>
    <mergeCell ref="U248:V248"/>
    <mergeCell ref="W248:AB248"/>
    <mergeCell ref="AD248:AE248"/>
    <mergeCell ref="U249:V249"/>
    <mergeCell ref="W249:AB249"/>
    <mergeCell ref="AD249:AE249"/>
    <mergeCell ref="U243:V243"/>
    <mergeCell ref="W243:AB243"/>
    <mergeCell ref="AD243:AE243"/>
    <mergeCell ref="U244:V244"/>
    <mergeCell ref="W244:AB244"/>
    <mergeCell ref="AD244:AE244"/>
    <mergeCell ref="U245:V245"/>
    <mergeCell ref="W245:AB245"/>
    <mergeCell ref="AD245:AE245"/>
    <mergeCell ref="U239:V239"/>
    <mergeCell ref="W239:AB239"/>
    <mergeCell ref="AD239:AE239"/>
    <mergeCell ref="U240:V240"/>
    <mergeCell ref="W240:AB240"/>
    <mergeCell ref="AD240:AE240"/>
    <mergeCell ref="U241:V241"/>
    <mergeCell ref="AD241:AE241"/>
    <mergeCell ref="U242:V242"/>
    <mergeCell ref="W242:AB242"/>
    <mergeCell ref="AD242:AE242"/>
    <mergeCell ref="U236:V236"/>
    <mergeCell ref="AD236:AE236"/>
    <mergeCell ref="U237:V237"/>
    <mergeCell ref="W237:AB237"/>
    <mergeCell ref="AD237:AE237"/>
    <mergeCell ref="U238:V238"/>
    <mergeCell ref="W238:AB238"/>
    <mergeCell ref="AD238:AE238"/>
    <mergeCell ref="U233:V233"/>
    <mergeCell ref="W233:AB233"/>
    <mergeCell ref="AD233:AE233"/>
    <mergeCell ref="U234:V234"/>
    <mergeCell ref="W234:AB234"/>
    <mergeCell ref="AD234:AE234"/>
    <mergeCell ref="U235:V235"/>
    <mergeCell ref="W235:AB235"/>
    <mergeCell ref="AD235:AE235"/>
    <mergeCell ref="U231:V231"/>
    <mergeCell ref="AD231:AE231"/>
    <mergeCell ref="U232:V232"/>
    <mergeCell ref="W232:AB232"/>
    <mergeCell ref="AD232:AE232"/>
    <mergeCell ref="U226:V226"/>
    <mergeCell ref="AD226:AE226"/>
    <mergeCell ref="U227:V227"/>
    <mergeCell ref="W227:AB227"/>
    <mergeCell ref="AD227:AE227"/>
    <mergeCell ref="U228:V228"/>
    <mergeCell ref="W228:AB228"/>
    <mergeCell ref="AD228:AE228"/>
    <mergeCell ref="U229:V229"/>
    <mergeCell ref="W229:AB229"/>
    <mergeCell ref="AD229:AE229"/>
    <mergeCell ref="U224:V224"/>
    <mergeCell ref="W224:AB224"/>
    <mergeCell ref="AD224:AE224"/>
    <mergeCell ref="U225:V225"/>
    <mergeCell ref="W225:AB225"/>
    <mergeCell ref="AD225:AE225"/>
    <mergeCell ref="U230:V230"/>
    <mergeCell ref="W230:AB230"/>
    <mergeCell ref="AD230:AE230"/>
    <mergeCell ref="U220:V220"/>
    <mergeCell ref="W220:AB220"/>
    <mergeCell ref="AD220:AE220"/>
    <mergeCell ref="U221:V221"/>
    <mergeCell ref="AD221:AE221"/>
    <mergeCell ref="U222:V222"/>
    <mergeCell ref="W222:AB222"/>
    <mergeCell ref="AD222:AE222"/>
    <mergeCell ref="U223:V223"/>
    <mergeCell ref="W223:AB223"/>
    <mergeCell ref="AD223:AE223"/>
    <mergeCell ref="U216:V216"/>
    <mergeCell ref="AD216:AE216"/>
    <mergeCell ref="U217:V217"/>
    <mergeCell ref="W217:AB217"/>
    <mergeCell ref="AD217:AE217"/>
    <mergeCell ref="U218:V218"/>
    <mergeCell ref="W218:AB218"/>
    <mergeCell ref="AD218:AE218"/>
    <mergeCell ref="U219:V219"/>
    <mergeCell ref="W219:AB219"/>
    <mergeCell ref="AD219:AE219"/>
    <mergeCell ref="U213:V213"/>
    <mergeCell ref="W213:AB213"/>
    <mergeCell ref="AD213:AE213"/>
    <mergeCell ref="U214:V214"/>
    <mergeCell ref="W214:AB214"/>
    <mergeCell ref="AD214:AE214"/>
    <mergeCell ref="U215:V215"/>
    <mergeCell ref="W215:AB215"/>
    <mergeCell ref="AD215:AE215"/>
    <mergeCell ref="U209:V209"/>
    <mergeCell ref="W209:AB209"/>
    <mergeCell ref="AD209:AE209"/>
    <mergeCell ref="U210:V210"/>
    <mergeCell ref="W210:AB210"/>
    <mergeCell ref="AD210:AE210"/>
    <mergeCell ref="U211:V211"/>
    <mergeCell ref="AD211:AE211"/>
    <mergeCell ref="U212:V212"/>
    <mergeCell ref="W212:AB212"/>
    <mergeCell ref="AD212:AE212"/>
    <mergeCell ref="U205:V205"/>
    <mergeCell ref="W205:AB205"/>
    <mergeCell ref="AD205:AE205"/>
    <mergeCell ref="U206:V206"/>
    <mergeCell ref="AD206:AE206"/>
    <mergeCell ref="U207:V207"/>
    <mergeCell ref="W207:AB207"/>
    <mergeCell ref="AD207:AE207"/>
    <mergeCell ref="U208:V208"/>
    <mergeCell ref="W208:AB208"/>
    <mergeCell ref="AD208:AE208"/>
    <mergeCell ref="U201:V201"/>
    <mergeCell ref="AD201:AE201"/>
    <mergeCell ref="U202:V202"/>
    <mergeCell ref="W202:AB202"/>
    <mergeCell ref="AD202:AE202"/>
    <mergeCell ref="U203:V203"/>
    <mergeCell ref="W203:AB203"/>
    <mergeCell ref="AD203:AE203"/>
    <mergeCell ref="U204:V204"/>
    <mergeCell ref="W204:AB204"/>
    <mergeCell ref="AD204:AE204"/>
    <mergeCell ref="U198:V198"/>
    <mergeCell ref="W198:AB198"/>
    <mergeCell ref="AD198:AE198"/>
    <mergeCell ref="U199:V199"/>
    <mergeCell ref="W199:AB199"/>
    <mergeCell ref="AD199:AE199"/>
    <mergeCell ref="U200:V200"/>
    <mergeCell ref="W200:AB200"/>
    <mergeCell ref="AD200:AE200"/>
    <mergeCell ref="U194:V194"/>
    <mergeCell ref="W194:AB194"/>
    <mergeCell ref="AD194:AE194"/>
    <mergeCell ref="U195:V195"/>
    <mergeCell ref="W195:AB195"/>
    <mergeCell ref="AD195:AE195"/>
    <mergeCell ref="U196:V196"/>
    <mergeCell ref="AD196:AE196"/>
    <mergeCell ref="U197:V197"/>
    <mergeCell ref="W197:AB197"/>
    <mergeCell ref="AD197:AE197"/>
    <mergeCell ref="U190:V190"/>
    <mergeCell ref="W190:AB190"/>
    <mergeCell ref="AD190:AE190"/>
    <mergeCell ref="U191:V191"/>
    <mergeCell ref="AD191:AE191"/>
    <mergeCell ref="U192:V192"/>
    <mergeCell ref="W192:AB192"/>
    <mergeCell ref="AD192:AE192"/>
    <mergeCell ref="U193:V193"/>
    <mergeCell ref="W193:AB193"/>
    <mergeCell ref="AD193:AE193"/>
    <mergeCell ref="U186:V186"/>
    <mergeCell ref="AD186:AE186"/>
    <mergeCell ref="U187:V187"/>
    <mergeCell ref="W187:AB187"/>
    <mergeCell ref="AD187:AE187"/>
    <mergeCell ref="U188:V188"/>
    <mergeCell ref="W188:AB188"/>
    <mergeCell ref="AD188:AE188"/>
    <mergeCell ref="U189:V189"/>
    <mergeCell ref="W189:AB189"/>
    <mergeCell ref="AD189:AE189"/>
    <mergeCell ref="U183:V183"/>
    <mergeCell ref="W183:AB183"/>
    <mergeCell ref="AD183:AE183"/>
    <mergeCell ref="U184:V184"/>
    <mergeCell ref="W184:AB184"/>
    <mergeCell ref="AD184:AE184"/>
    <mergeCell ref="U185:V185"/>
    <mergeCell ref="W185:AB185"/>
    <mergeCell ref="AD185:AE185"/>
    <mergeCell ref="U179:V179"/>
    <mergeCell ref="W179:AB179"/>
    <mergeCell ref="AD179:AE179"/>
    <mergeCell ref="U180:V180"/>
    <mergeCell ref="W180:AB180"/>
    <mergeCell ref="AD180:AE180"/>
    <mergeCell ref="U181:V181"/>
    <mergeCell ref="AD181:AE181"/>
    <mergeCell ref="U182:V182"/>
    <mergeCell ref="W182:AB182"/>
    <mergeCell ref="AD182:AE182"/>
    <mergeCell ref="U175:V175"/>
    <mergeCell ref="W175:AB175"/>
    <mergeCell ref="AD175:AE175"/>
    <mergeCell ref="U176:V176"/>
    <mergeCell ref="AD176:AE176"/>
    <mergeCell ref="U177:V177"/>
    <mergeCell ref="W177:AB177"/>
    <mergeCell ref="AD177:AE177"/>
    <mergeCell ref="U178:V178"/>
    <mergeCell ref="W178:AB178"/>
    <mergeCell ref="AD178:AE178"/>
    <mergeCell ref="U171:V171"/>
    <mergeCell ref="AD171:AE171"/>
    <mergeCell ref="U172:V172"/>
    <mergeCell ref="W172:AB172"/>
    <mergeCell ref="AD172:AE172"/>
    <mergeCell ref="U173:V173"/>
    <mergeCell ref="W173:AB173"/>
    <mergeCell ref="AD173:AE173"/>
    <mergeCell ref="U174:V174"/>
    <mergeCell ref="W174:AB174"/>
    <mergeCell ref="AD174:AE174"/>
    <mergeCell ref="U168:V168"/>
    <mergeCell ref="W168:AB168"/>
    <mergeCell ref="AD168:AE168"/>
    <mergeCell ref="U169:V169"/>
    <mergeCell ref="W169:AB169"/>
    <mergeCell ref="AD169:AE169"/>
    <mergeCell ref="U170:V170"/>
    <mergeCell ref="W170:AB170"/>
    <mergeCell ref="AD170:AE170"/>
    <mergeCell ref="U164:V164"/>
    <mergeCell ref="W164:AB164"/>
    <mergeCell ref="AD164:AE164"/>
    <mergeCell ref="U165:V165"/>
    <mergeCell ref="W165:AB165"/>
    <mergeCell ref="AD165:AE165"/>
    <mergeCell ref="U166:V166"/>
    <mergeCell ref="AD166:AE166"/>
    <mergeCell ref="U167:V167"/>
    <mergeCell ref="W167:AB167"/>
    <mergeCell ref="AD167:AE167"/>
    <mergeCell ref="U160:V160"/>
    <mergeCell ref="W160:AB160"/>
    <mergeCell ref="AD160:AE160"/>
    <mergeCell ref="U161:V161"/>
    <mergeCell ref="AD161:AE161"/>
    <mergeCell ref="U162:V162"/>
    <mergeCell ref="W162:AB162"/>
    <mergeCell ref="AD162:AE162"/>
    <mergeCell ref="U163:V163"/>
    <mergeCell ref="W163:AB163"/>
    <mergeCell ref="AD163:AE163"/>
    <mergeCell ref="U156:V156"/>
    <mergeCell ref="AD156:AE156"/>
    <mergeCell ref="U157:V157"/>
    <mergeCell ref="W157:AB157"/>
    <mergeCell ref="AD157:AE157"/>
    <mergeCell ref="U158:V158"/>
    <mergeCell ref="W158:AB158"/>
    <mergeCell ref="AD158:AE158"/>
    <mergeCell ref="U159:V159"/>
    <mergeCell ref="W159:AB159"/>
    <mergeCell ref="AD159:AE159"/>
    <mergeCell ref="L291:Q291"/>
    <mergeCell ref="L292:Q292"/>
    <mergeCell ref="L293:Q293"/>
    <mergeCell ref="L294:Q294"/>
    <mergeCell ref="L295:Q295"/>
    <mergeCell ref="L296:Q296"/>
    <mergeCell ref="L297:Q297"/>
    <mergeCell ref="L298:Q298"/>
    <mergeCell ref="L226:Q226"/>
    <mergeCell ref="L281:Q281"/>
    <mergeCell ref="L282:Q282"/>
    <mergeCell ref="L283:Q283"/>
    <mergeCell ref="L284:Q284"/>
    <mergeCell ref="L285:Q285"/>
    <mergeCell ref="L286:Q286"/>
    <mergeCell ref="L287:Q287"/>
    <mergeCell ref="L289:Q289"/>
    <mergeCell ref="L290:Q290"/>
    <mergeCell ref="L271:Q271"/>
    <mergeCell ref="L272:Q272"/>
    <mergeCell ref="L273:Q273"/>
    <mergeCell ref="L274:Q274"/>
    <mergeCell ref="L275:Q275"/>
    <mergeCell ref="L276:Q276"/>
    <mergeCell ref="L278:Q278"/>
    <mergeCell ref="L279:Q279"/>
    <mergeCell ref="L280:Q280"/>
    <mergeCell ref="L261:Q261"/>
    <mergeCell ref="L262:Q262"/>
    <mergeCell ref="L263:Q263"/>
    <mergeCell ref="L264:Q264"/>
    <mergeCell ref="L265:Q265"/>
    <mergeCell ref="L267:Q267"/>
    <mergeCell ref="L268:Q268"/>
    <mergeCell ref="L269:Q269"/>
    <mergeCell ref="L270:Q270"/>
    <mergeCell ref="L251:Q251"/>
    <mergeCell ref="L252:Q252"/>
    <mergeCell ref="L253:Q253"/>
    <mergeCell ref="L254:Q254"/>
    <mergeCell ref="L256:Q256"/>
    <mergeCell ref="L257:Q257"/>
    <mergeCell ref="L258:Q258"/>
    <mergeCell ref="L259:Q259"/>
    <mergeCell ref="L260:Q260"/>
    <mergeCell ref="L241:Q241"/>
    <mergeCell ref="L242:Q242"/>
    <mergeCell ref="L243:Q243"/>
    <mergeCell ref="L245:Q245"/>
    <mergeCell ref="L246:Q246"/>
    <mergeCell ref="L247:Q247"/>
    <mergeCell ref="L248:Q248"/>
    <mergeCell ref="L249:Q249"/>
    <mergeCell ref="L250:Q250"/>
    <mergeCell ref="L305:Q305"/>
    <mergeCell ref="L315:Q315"/>
    <mergeCell ref="L325:Q325"/>
    <mergeCell ref="L335:Q335"/>
    <mergeCell ref="L345:Q345"/>
    <mergeCell ref="L355:Q355"/>
    <mergeCell ref="L365:Q365"/>
    <mergeCell ref="L375:Q375"/>
    <mergeCell ref="L300:Q300"/>
    <mergeCell ref="L301:Q301"/>
    <mergeCell ref="L302:Q302"/>
    <mergeCell ref="L303:Q303"/>
    <mergeCell ref="L304:Q304"/>
    <mergeCell ref="L306:Q306"/>
    <mergeCell ref="L307:Q307"/>
    <mergeCell ref="L308:Q308"/>
    <mergeCell ref="L309:Q309"/>
    <mergeCell ref="L310:Q310"/>
    <mergeCell ref="L311:Q311"/>
    <mergeCell ref="L312:Q312"/>
    <mergeCell ref="L313:Q313"/>
    <mergeCell ref="L314:Q314"/>
    <mergeCell ref="L316:Q316"/>
    <mergeCell ref="L317:Q317"/>
    <mergeCell ref="L222:Q222"/>
    <mergeCell ref="L233:Q233"/>
    <mergeCell ref="L244:Q244"/>
    <mergeCell ref="L255:Q255"/>
    <mergeCell ref="L266:Q266"/>
    <mergeCell ref="L277:Q277"/>
    <mergeCell ref="L288:Q288"/>
    <mergeCell ref="L299:Q299"/>
    <mergeCell ref="L223:Q223"/>
    <mergeCell ref="L224:Q224"/>
    <mergeCell ref="L225:Q225"/>
    <mergeCell ref="L227:Q227"/>
    <mergeCell ref="L228:Q228"/>
    <mergeCell ref="L229:Q229"/>
    <mergeCell ref="L230:Q230"/>
    <mergeCell ref="L231:Q231"/>
    <mergeCell ref="L232:Q232"/>
    <mergeCell ref="L234:Q234"/>
    <mergeCell ref="L235:Q235"/>
    <mergeCell ref="L236:Q236"/>
    <mergeCell ref="L237:Q237"/>
    <mergeCell ref="L238:Q238"/>
    <mergeCell ref="L239:Q239"/>
    <mergeCell ref="L240:Q240"/>
    <mergeCell ref="AD153:AE153"/>
    <mergeCell ref="AD154:AE154"/>
    <mergeCell ref="AD155:AE155"/>
    <mergeCell ref="T113:AE114"/>
    <mergeCell ref="AD144:AE144"/>
    <mergeCell ref="AD145:AE145"/>
    <mergeCell ref="AD146:AE146"/>
    <mergeCell ref="AD147:AE147"/>
    <mergeCell ref="AD148:AE148"/>
    <mergeCell ref="AD149:AE149"/>
    <mergeCell ref="AD150:AE150"/>
    <mergeCell ref="AD151:AE151"/>
    <mergeCell ref="AD152:AE152"/>
    <mergeCell ref="AD128:AE128"/>
    <mergeCell ref="AD129:AE129"/>
    <mergeCell ref="AD130:AE130"/>
    <mergeCell ref="AD131:AE131"/>
    <mergeCell ref="AD132:AE132"/>
    <mergeCell ref="AD133:AE133"/>
    <mergeCell ref="AD134:AE134"/>
    <mergeCell ref="AD135:AE135"/>
    <mergeCell ref="AD136:AE136"/>
    <mergeCell ref="AD119:AE119"/>
    <mergeCell ref="AD120:AE120"/>
    <mergeCell ref="AD123:AE123"/>
    <mergeCell ref="AD124:AE124"/>
    <mergeCell ref="AD125:AE125"/>
    <mergeCell ref="AD126:AE126"/>
    <mergeCell ref="AD127:AE127"/>
    <mergeCell ref="U147:V147"/>
    <mergeCell ref="U148:V148"/>
    <mergeCell ref="U124:V124"/>
    <mergeCell ref="U125:V125"/>
    <mergeCell ref="U126:V126"/>
    <mergeCell ref="U127:V127"/>
    <mergeCell ref="U128:V128"/>
    <mergeCell ref="U129:V129"/>
    <mergeCell ref="U130:V130"/>
    <mergeCell ref="U131:V131"/>
    <mergeCell ref="U132:V132"/>
    <mergeCell ref="W135:AB135"/>
    <mergeCell ref="W137:AB137"/>
    <mergeCell ref="W138:AB138"/>
    <mergeCell ref="W139:AB139"/>
    <mergeCell ref="W140:AB140"/>
    <mergeCell ref="AD137:AE137"/>
    <mergeCell ref="AD138:AE138"/>
    <mergeCell ref="AD139:AE139"/>
    <mergeCell ref="U149:V149"/>
    <mergeCell ref="U150:V150"/>
    <mergeCell ref="U151:V151"/>
    <mergeCell ref="U152:V152"/>
    <mergeCell ref="U153:V153"/>
    <mergeCell ref="U154:V154"/>
    <mergeCell ref="U155:V155"/>
    <mergeCell ref="U133:V133"/>
    <mergeCell ref="U134:V134"/>
    <mergeCell ref="U135:V135"/>
    <mergeCell ref="U136:V136"/>
    <mergeCell ref="U137:V137"/>
    <mergeCell ref="U138:V138"/>
    <mergeCell ref="U139:V139"/>
    <mergeCell ref="U140:V140"/>
    <mergeCell ref="U141:V141"/>
    <mergeCell ref="U142:V142"/>
    <mergeCell ref="U143:V143"/>
    <mergeCell ref="U144:V144"/>
    <mergeCell ref="U145:V145"/>
    <mergeCell ref="U146:V146"/>
    <mergeCell ref="W153:AB153"/>
    <mergeCell ref="W154:AB154"/>
    <mergeCell ref="W155:AB155"/>
    <mergeCell ref="W147:AB147"/>
    <mergeCell ref="W148:AB148"/>
    <mergeCell ref="W149:AB149"/>
    <mergeCell ref="W150:AB150"/>
    <mergeCell ref="W152:AB152"/>
    <mergeCell ref="W142:AB142"/>
    <mergeCell ref="W143:AB143"/>
    <mergeCell ref="W144:AB144"/>
    <mergeCell ref="W145:AB145"/>
    <mergeCell ref="AD140:AE140"/>
    <mergeCell ref="AD141:AE141"/>
    <mergeCell ref="AD142:AE142"/>
    <mergeCell ref="AD143:AE143"/>
    <mergeCell ref="W129:AB129"/>
    <mergeCell ref="W130:AB130"/>
    <mergeCell ref="W132:AB132"/>
    <mergeCell ref="W133:AB133"/>
    <mergeCell ref="W134:AB134"/>
    <mergeCell ref="W124:AB124"/>
    <mergeCell ref="W125:AB125"/>
    <mergeCell ref="W127:AB127"/>
    <mergeCell ref="W128:AB128"/>
    <mergeCell ref="W117:AB117"/>
    <mergeCell ref="W118:AB118"/>
    <mergeCell ref="W119:AB119"/>
    <mergeCell ref="W120:AB120"/>
    <mergeCell ref="W122:AB122"/>
    <mergeCell ref="U123:V123"/>
    <mergeCell ref="U116:V116"/>
    <mergeCell ref="AD115:AE115"/>
    <mergeCell ref="AD116:AE116"/>
    <mergeCell ref="AD117:AE117"/>
    <mergeCell ref="AD118:AE118"/>
    <mergeCell ref="L213:Q213"/>
    <mergeCell ref="L214:Q214"/>
    <mergeCell ref="L215:Q215"/>
    <mergeCell ref="W123:AB123"/>
    <mergeCell ref="AD121:AE121"/>
    <mergeCell ref="AD122:AE122"/>
    <mergeCell ref="L195:Q195"/>
    <mergeCell ref="L196:Q196"/>
    <mergeCell ref="L197:Q197"/>
    <mergeCell ref="L198:Q198"/>
    <mergeCell ref="L199:Q199"/>
    <mergeCell ref="L200:Q200"/>
    <mergeCell ref="L189:Q189"/>
    <mergeCell ref="L190:Q190"/>
    <mergeCell ref="L191:Q191"/>
    <mergeCell ref="L192:Q192"/>
    <mergeCell ref="L193:Q193"/>
    <mergeCell ref="L194:Q194"/>
    <mergeCell ref="L216:Q216"/>
    <mergeCell ref="L217:Q217"/>
    <mergeCell ref="L218:Q218"/>
    <mergeCell ref="L219:Q219"/>
    <mergeCell ref="L220:Q220"/>
    <mergeCell ref="L221:Q221"/>
    <mergeCell ref="U117:V117"/>
    <mergeCell ref="U118:V118"/>
    <mergeCell ref="U119:V119"/>
    <mergeCell ref="U120:V120"/>
    <mergeCell ref="U121:V121"/>
    <mergeCell ref="U122:V122"/>
    <mergeCell ref="L207:Q207"/>
    <mergeCell ref="L208:Q208"/>
    <mergeCell ref="L209:Q209"/>
    <mergeCell ref="L210:Q210"/>
    <mergeCell ref="L211:Q211"/>
    <mergeCell ref="L212:Q212"/>
    <mergeCell ref="L201:Q201"/>
    <mergeCell ref="L202:Q202"/>
    <mergeCell ref="L203:Q203"/>
    <mergeCell ref="L204:Q204"/>
    <mergeCell ref="L205:Q205"/>
    <mergeCell ref="L206:Q206"/>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61:Q161"/>
    <mergeCell ref="L162:Q162"/>
    <mergeCell ref="L163:Q163"/>
    <mergeCell ref="L164:Q164"/>
    <mergeCell ref="L153:Q153"/>
    <mergeCell ref="L154:Q154"/>
    <mergeCell ref="L155:Q155"/>
    <mergeCell ref="L156:Q156"/>
    <mergeCell ref="L157:Q157"/>
    <mergeCell ref="L158:Q158"/>
    <mergeCell ref="L152:Q152"/>
    <mergeCell ref="L141:Q141"/>
    <mergeCell ref="L142:Q142"/>
    <mergeCell ref="L143:Q143"/>
    <mergeCell ref="L144:Q144"/>
    <mergeCell ref="L145:Q145"/>
    <mergeCell ref="L146:Q146"/>
    <mergeCell ref="L159:Q159"/>
    <mergeCell ref="L160:Q160"/>
    <mergeCell ref="L140:Q140"/>
    <mergeCell ref="L130:Q130"/>
    <mergeCell ref="L131:Q131"/>
    <mergeCell ref="L132:Q132"/>
    <mergeCell ref="L147:Q147"/>
    <mergeCell ref="L148:Q148"/>
    <mergeCell ref="L149:Q149"/>
    <mergeCell ref="L150:Q150"/>
    <mergeCell ref="L151:Q151"/>
    <mergeCell ref="L118:Q118"/>
    <mergeCell ref="L119:Q119"/>
    <mergeCell ref="L120:Q120"/>
    <mergeCell ref="C113:F113"/>
    <mergeCell ref="L135:Q135"/>
    <mergeCell ref="L136:Q136"/>
    <mergeCell ref="L137:Q137"/>
    <mergeCell ref="L138:Q138"/>
    <mergeCell ref="L139:Q139"/>
    <mergeCell ref="C133:E133"/>
    <mergeCell ref="L134:Q134"/>
    <mergeCell ref="L124:Q124"/>
    <mergeCell ref="L125:Q125"/>
    <mergeCell ref="L126:Q126"/>
    <mergeCell ref="L127:Q127"/>
    <mergeCell ref="L128:Q128"/>
    <mergeCell ref="L129:Q129"/>
    <mergeCell ref="L121:Q121"/>
    <mergeCell ref="L122:Q122"/>
    <mergeCell ref="L123:Q123"/>
    <mergeCell ref="AJ51:AK52"/>
    <mergeCell ref="R113:R114"/>
    <mergeCell ref="C114:E114"/>
    <mergeCell ref="L114:Q114"/>
    <mergeCell ref="L116:Q116"/>
    <mergeCell ref="L117:Q117"/>
    <mergeCell ref="C2:G3"/>
    <mergeCell ref="I2:J3"/>
    <mergeCell ref="L2:L3"/>
    <mergeCell ref="C38:D39"/>
    <mergeCell ref="F38:AK39"/>
    <mergeCell ref="C51:AH52"/>
  </mergeCells>
  <pageMargins left="0.7" right="0.7" top="0.75" bottom="0.75" header="0.3" footer="0.3"/>
  <pageSetup paperSize="9" orientation="portrait" horizontalDpi="3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A110" zoomScale="86" zoomScaleNormal="86" workbookViewId="0">
      <selection activeCell="B135" sqref="B132:D135"/>
    </sheetView>
  </sheetViews>
  <sheetFormatPr baseColWidth="10" defaultColWidth="11.42578125" defaultRowHeight="12.75"/>
  <cols>
    <col min="1" max="1" width="4.42578125" customWidth="1"/>
    <col min="2" max="2" width="22.85546875" customWidth="1"/>
    <col min="3" max="3" width="8.5703125" style="215"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c r="A1">
        <v>1</v>
      </c>
      <c r="B1" s="332">
        <v>1</v>
      </c>
      <c r="C1" s="334">
        <v>2</v>
      </c>
      <c r="D1" s="334">
        <v>1</v>
      </c>
      <c r="E1" s="334">
        <v>2</v>
      </c>
      <c r="F1" s="334">
        <v>3</v>
      </c>
      <c r="G1" s="334">
        <v>4</v>
      </c>
      <c r="H1" s="334">
        <v>5</v>
      </c>
      <c r="I1" s="334">
        <v>6</v>
      </c>
      <c r="J1" s="334">
        <v>7</v>
      </c>
      <c r="K1" s="334">
        <v>8</v>
      </c>
      <c r="L1" s="334">
        <v>9</v>
      </c>
      <c r="M1" s="334">
        <v>10</v>
      </c>
      <c r="N1" s="334">
        <v>11</v>
      </c>
      <c r="O1" s="334">
        <v>12</v>
      </c>
      <c r="P1" s="334">
        <v>13</v>
      </c>
      <c r="AB1" s="3303"/>
      <c r="AC1" s="3303"/>
      <c r="AD1" s="3303"/>
      <c r="AE1" s="3303"/>
      <c r="AF1" s="3303"/>
      <c r="AG1" s="3303"/>
      <c r="AH1" s="3303"/>
      <c r="AI1" s="3303"/>
      <c r="AJ1" s="3303"/>
      <c r="AK1" s="3303"/>
      <c r="AL1" s="3303"/>
      <c r="AM1" s="3303"/>
      <c r="AN1" s="3303" t="s">
        <v>10554</v>
      </c>
      <c r="AO1" s="3303"/>
      <c r="AP1" s="3303"/>
      <c r="AQ1" s="3303"/>
      <c r="AR1" s="3303"/>
      <c r="AS1" s="3303"/>
      <c r="AT1" s="3303"/>
      <c r="AU1" s="3303"/>
      <c r="AV1" s="3303"/>
      <c r="AW1" s="3303"/>
      <c r="AX1" s="3303"/>
      <c r="AY1" s="3303"/>
      <c r="AZ1" s="3303"/>
      <c r="BA1" s="3303"/>
      <c r="BB1" s="3303"/>
      <c r="BC1" s="3303"/>
      <c r="BD1" s="3303"/>
      <c r="BE1" s="3303"/>
      <c r="BF1" s="3303"/>
      <c r="BG1" s="3303"/>
      <c r="BH1" s="3303"/>
    </row>
    <row r="2" spans="1:61" ht="13.5" thickBot="1">
      <c r="A2">
        <v>2</v>
      </c>
      <c r="B2" s="8365" t="s">
        <v>10555</v>
      </c>
      <c r="C2" s="8366"/>
      <c r="D2" s="8366"/>
      <c r="E2" s="8366"/>
      <c r="F2" s="8366"/>
      <c r="G2" s="8366"/>
      <c r="H2" s="8366"/>
      <c r="I2" s="8366"/>
      <c r="J2" s="8366"/>
      <c r="K2" s="8366"/>
      <c r="L2" s="8366"/>
      <c r="M2" s="8366"/>
      <c r="N2" s="8366"/>
      <c r="O2" s="8366"/>
      <c r="P2" s="8366"/>
      <c r="Q2" s="8367"/>
      <c r="S2" s="3305"/>
      <c r="V2" s="3306" t="s">
        <v>10556</v>
      </c>
      <c r="X2" s="8353" t="s">
        <v>10457</v>
      </c>
      <c r="Y2" s="8355"/>
      <c r="Z2" s="8354"/>
      <c r="AA2" s="3304"/>
      <c r="AB2" s="8368" t="s">
        <v>10557</v>
      </c>
      <c r="AC2" s="8368"/>
      <c r="AD2" s="8368"/>
      <c r="AE2" s="8368"/>
      <c r="AF2" s="8368"/>
      <c r="AG2" s="8368"/>
      <c r="AH2" s="8368"/>
      <c r="AI2" s="8368"/>
      <c r="AJ2" s="8368"/>
      <c r="AK2" s="8368"/>
      <c r="AL2" s="8368"/>
      <c r="AM2" s="8368"/>
      <c r="AN2" s="8368"/>
      <c r="AO2" s="8368"/>
      <c r="AP2" s="8368"/>
      <c r="AQ2" s="8368"/>
      <c r="AR2" s="8368"/>
      <c r="AS2" s="8368"/>
      <c r="AT2" s="8368"/>
      <c r="AU2" s="8368"/>
      <c r="AV2" s="8368"/>
      <c r="AW2" s="8368"/>
      <c r="AX2" s="8368"/>
      <c r="AY2" s="8368"/>
      <c r="AZ2" s="8368"/>
      <c r="BA2" s="8368"/>
      <c r="BB2" s="8368"/>
      <c r="BC2" s="8368"/>
      <c r="BD2" s="8368"/>
      <c r="BE2" s="8368"/>
      <c r="BF2" s="8368"/>
      <c r="BG2" s="8368"/>
      <c r="BH2" s="8369"/>
    </row>
    <row r="3" spans="1:61">
      <c r="A3">
        <v>3</v>
      </c>
      <c r="B3" s="8370" t="s">
        <v>10558</v>
      </c>
      <c r="C3" s="8371"/>
      <c r="D3" s="8372" t="s">
        <v>10442</v>
      </c>
      <c r="E3" s="8373"/>
      <c r="F3" s="3407" t="s">
        <v>1952</v>
      </c>
      <c r="G3" s="3407" t="s">
        <v>1403</v>
      </c>
      <c r="H3" s="3407" t="s">
        <v>10559</v>
      </c>
      <c r="I3" s="3407" t="s">
        <v>1243</v>
      </c>
      <c r="J3" s="3407" t="s">
        <v>6759</v>
      </c>
      <c r="K3" s="3407" t="s">
        <v>6489</v>
      </c>
      <c r="L3" s="3407" t="s">
        <v>1425</v>
      </c>
      <c r="M3" s="3407" t="s">
        <v>8163</v>
      </c>
      <c r="N3" s="3407" t="s">
        <v>10560</v>
      </c>
      <c r="O3" s="3407" t="s">
        <v>1755</v>
      </c>
      <c r="P3" s="3407" t="s">
        <v>10561</v>
      </c>
      <c r="Q3" s="3408" t="s">
        <v>10562</v>
      </c>
      <c r="V3" s="3308" t="s">
        <v>10563</v>
      </c>
      <c r="X3" s="3309" t="s">
        <v>6651</v>
      </c>
      <c r="Y3" s="3310" t="s">
        <v>10564</v>
      </c>
      <c r="Z3" s="3311"/>
      <c r="AA3" s="3304"/>
      <c r="AB3" s="8351" t="s">
        <v>10565</v>
      </c>
      <c r="AC3" s="8351"/>
      <c r="AD3" s="8351"/>
      <c r="AE3" s="8351"/>
      <c r="AF3" s="8351"/>
      <c r="AG3" s="8351"/>
      <c r="AH3" s="8351"/>
      <c r="AI3" s="8351"/>
      <c r="AJ3" s="8351"/>
      <c r="AK3" s="8351"/>
      <c r="AL3" s="8351"/>
      <c r="AM3" s="8351"/>
      <c r="AN3" s="8351"/>
      <c r="AO3" s="8351"/>
      <c r="AP3" s="8351"/>
      <c r="AQ3" s="8351"/>
      <c r="AR3" s="8351"/>
      <c r="AS3" s="8351"/>
      <c r="AT3" s="3312" t="s">
        <v>10558</v>
      </c>
      <c r="AU3" s="3307" t="s">
        <v>10566</v>
      </c>
      <c r="AV3" s="3313" t="s">
        <v>10567</v>
      </c>
      <c r="AW3" s="3312" t="s">
        <v>10558</v>
      </c>
      <c r="AX3" s="3307" t="s">
        <v>10566</v>
      </c>
      <c r="AY3" s="3313" t="s">
        <v>10567</v>
      </c>
      <c r="AZ3" s="3312" t="s">
        <v>10558</v>
      </c>
      <c r="BA3" s="3307" t="s">
        <v>10566</v>
      </c>
      <c r="BB3" s="3313" t="s">
        <v>10567</v>
      </c>
      <c r="BC3" s="3312" t="s">
        <v>10558</v>
      </c>
      <c r="BD3" s="3307" t="s">
        <v>10566</v>
      </c>
      <c r="BE3" s="3313" t="s">
        <v>10567</v>
      </c>
      <c r="BF3" s="3312" t="s">
        <v>10558</v>
      </c>
      <c r="BG3" s="3307" t="s">
        <v>10566</v>
      </c>
      <c r="BH3" s="3314" t="s">
        <v>10567</v>
      </c>
      <c r="BI3" s="3315"/>
    </row>
    <row r="4" spans="1:61" ht="13.5" thickBot="1">
      <c r="A4">
        <v>4</v>
      </c>
      <c r="B4" s="307" t="str">
        <f>VLOOKUP(A1,$C$4:$D$22,2,0)</f>
        <v>Acero</v>
      </c>
      <c r="C4" s="286">
        <f>COUNTIF($D$4:$D$22,"&lt;="&amp;D4)-COUNTIF($D$4:$D$22,"*&gt;*")</f>
        <v>12</v>
      </c>
      <c r="D4" s="3413" t="s">
        <v>10803</v>
      </c>
      <c r="E4" s="2334"/>
      <c r="F4" s="2334">
        <v>10</v>
      </c>
      <c r="G4" s="2334">
        <v>40</v>
      </c>
      <c r="H4" s="2334">
        <v>0</v>
      </c>
      <c r="I4" s="2334">
        <v>4</v>
      </c>
      <c r="J4" s="2334">
        <v>4</v>
      </c>
      <c r="K4" s="2334">
        <v>-40</v>
      </c>
      <c r="L4" s="2334">
        <v>5</v>
      </c>
      <c r="M4" s="2334">
        <v>2</v>
      </c>
      <c r="N4" s="2334">
        <v>40</v>
      </c>
      <c r="O4" s="2334">
        <v>8</v>
      </c>
      <c r="P4" s="2334">
        <v>1</v>
      </c>
      <c r="Q4" s="3338"/>
      <c r="V4" s="3319" t="s">
        <v>10568</v>
      </c>
      <c r="X4" s="3320" t="s">
        <v>1264</v>
      </c>
      <c r="Y4" s="2786">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3321">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3304"/>
      <c r="AB4" s="3322" t="s">
        <v>8356</v>
      </c>
      <c r="AC4" s="937"/>
      <c r="AD4" s="937" t="str">
        <f>RIGHT(AB7,LEN(AB7)-FIND(",",AB7))</f>
        <v>Brutalidad,Arma especializada,Ataque especial,Torpe,Debilidad,Marioneta,</v>
      </c>
      <c r="AE4" s="937" t="str">
        <f>RIGHT(AD4,LEN(AD4)-FIND(",",AD4))</f>
        <v>Arma especializada,Ataque especial,Torpe,Debilidad,Marioneta,</v>
      </c>
      <c r="AF4" s="937" t="str">
        <f t="shared" ref="AF4:AR4" si="0">RIGHT(AE4,LEN(AE4)-FIND(",",AE4))</f>
        <v>Ataque especial,Torpe,Debilidad,Marioneta,</v>
      </c>
      <c r="AG4" s="937" t="str">
        <f t="shared" si="0"/>
        <v>Torpe,Debilidad,Marioneta,</v>
      </c>
      <c r="AH4" s="937" t="str">
        <f t="shared" si="0"/>
        <v>Debilidad,Marioneta,</v>
      </c>
      <c r="AI4" s="937" t="str">
        <f t="shared" si="0"/>
        <v>Marioneta,</v>
      </c>
      <c r="AJ4" s="937" t="str">
        <f t="shared" si="0"/>
        <v/>
      </c>
      <c r="AK4" s="937" t="e">
        <f t="shared" si="0"/>
        <v>#VALUE!</v>
      </c>
      <c r="AL4" s="937" t="e">
        <f t="shared" si="0"/>
        <v>#VALUE!</v>
      </c>
      <c r="AM4" s="937" t="e">
        <f t="shared" si="0"/>
        <v>#VALUE!</v>
      </c>
      <c r="AN4" s="937" t="e">
        <f t="shared" si="0"/>
        <v>#VALUE!</v>
      </c>
      <c r="AO4" s="937" t="e">
        <f t="shared" si="0"/>
        <v>#VALUE!</v>
      </c>
      <c r="AP4" s="937" t="e">
        <f t="shared" si="0"/>
        <v>#VALUE!</v>
      </c>
      <c r="AQ4" s="937" t="e">
        <f t="shared" si="0"/>
        <v>#VALUE!</v>
      </c>
      <c r="AR4" s="937" t="e">
        <f t="shared" si="0"/>
        <v>#VALUE!</v>
      </c>
      <c r="AS4" s="3323" t="e">
        <f>RIGHT($AR$4,LEN($AR$4)-FIND(",",$AR$4))</f>
        <v>#VALUE!</v>
      </c>
      <c r="AT4" s="3324" t="str">
        <f t="shared" ref="AT4:AT37" si="1">IFERROR(VLOOKUP(A1,$AU$4:$AV$37,2,0),"x")</f>
        <v>Arma especializada</v>
      </c>
      <c r="AU4" s="215">
        <f t="shared" ref="AU4:AU37" si="2">COUNTIF($AV$4:$AV$37,"&lt;="&amp;AV4)-COUNTIF($AV$4:$AV$37,"*&gt;*")</f>
        <v>5</v>
      </c>
      <c r="AV4" t="str">
        <f>$AC$5</f>
        <v>Destructor</v>
      </c>
      <c r="AW4" s="3324" t="str">
        <f>IFERROR(VLOOKUP(A1,$AX$4:$AY$37,2,0),"x")</f>
        <v>x</v>
      </c>
      <c r="AX4" s="215">
        <f>COUNTIF($AY$4:$AY$37,"&lt;="&amp;AY4)-COUNTIF($AY$4:$AY$37,"*&gt;*")</f>
        <v>34</v>
      </c>
      <c r="AY4" t="str">
        <f>$AC$10</f>
        <v>x</v>
      </c>
      <c r="AZ4" s="3324" t="str">
        <f>IFERROR(VLOOKUP(A1,BA4:BB37,2,0),"x")</f>
        <v>x</v>
      </c>
      <c r="BA4" s="215">
        <f>COUNTIF($BB$4:$BB$37,"&lt;="&amp;BB4)-COUNTIF($BB$4:$BB$37,"*&gt;*")</f>
        <v>34</v>
      </c>
      <c r="BB4" t="str">
        <f>$AC$15</f>
        <v>x</v>
      </c>
      <c r="BC4" s="3324" t="str">
        <f>IFERROR(VLOOKUP(A1,$BD$4:$BE$37,2,0),"x")</f>
        <v>x</v>
      </c>
      <c r="BD4" s="215">
        <f>COUNTIF($BE$4:$BE$37,"&lt;="&amp;BE4)-COUNTIF($BE$4:$BE$37,"*&gt;*")</f>
        <v>34</v>
      </c>
      <c r="BE4" t="str">
        <f>$AC$20</f>
        <v>x</v>
      </c>
      <c r="BF4" s="3324" t="str">
        <f>IFERROR(VLOOKUP(A1,$BG$4:$BH$37,2,0),"x")</f>
        <v>x</v>
      </c>
      <c r="BG4" s="215">
        <f>COUNTIF($BH$4:$BH$37,"&lt;="&amp;BH4)-COUNTIF($BH$4:$BH$37,"*&gt;*")</f>
        <v>34</v>
      </c>
      <c r="BH4" s="3304" t="str">
        <f>$AC$25</f>
        <v>x</v>
      </c>
    </row>
    <row r="5" spans="1:61">
      <c r="A5">
        <v>5</v>
      </c>
      <c r="B5" s="307" t="str">
        <f t="shared" ref="B5:B22" si="3">VLOOKUP(A2,$C$4:$D$22,2,0)</f>
        <v>Acero blanco</v>
      </c>
      <c r="C5" s="286">
        <f t="shared" ref="C5:C22" si="4">COUNTIF($D$4:$D$22,"&lt;="&amp;D5)-COUNTIF($D$4:$D$22,"*&gt;*")</f>
        <v>16</v>
      </c>
      <c r="D5" s="1209" t="s">
        <v>10804</v>
      </c>
      <c r="E5" s="286"/>
      <c r="F5" s="286">
        <v>15</v>
      </c>
      <c r="G5" s="286">
        <v>45</v>
      </c>
      <c r="H5" s="286">
        <v>0</v>
      </c>
      <c r="I5" s="286">
        <v>4</v>
      </c>
      <c r="J5" s="286">
        <v>5</v>
      </c>
      <c r="K5" s="286">
        <v>-30</v>
      </c>
      <c r="L5" s="286">
        <v>5</v>
      </c>
      <c r="M5" s="286">
        <v>3</v>
      </c>
      <c r="N5" s="286">
        <v>50</v>
      </c>
      <c r="O5" s="286">
        <v>8</v>
      </c>
      <c r="P5" s="286">
        <v>0</v>
      </c>
      <c r="Q5" s="3338"/>
      <c r="X5" s="3320" t="s">
        <v>1265</v>
      </c>
      <c r="Y5" s="2786">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3321">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3304"/>
      <c r="AB5" s="3325" t="str">
        <f>IF(Constructos!$D$46="","",Constructos!$D$46)</f>
        <v>Guerrero</v>
      </c>
      <c r="AC5" s="937" t="str">
        <f>IFERROR(LEFT(AB7,FIND(",",AB7)-1),"x")</f>
        <v>Destructor</v>
      </c>
      <c r="AD5" s="937" t="str">
        <f>IFERROR(LEFT(AD4,FIND(",",AD4)-1),"X")</f>
        <v>Brutalidad</v>
      </c>
      <c r="AE5" s="937" t="str">
        <f>IFERROR(LEFT(AE4,FIND(",",AE4)-1),"X")</f>
        <v>Arma especializada</v>
      </c>
      <c r="AF5" s="937" t="str">
        <f t="shared" ref="AF5:AS5" si="5">IFERROR(LEFT(AF4,FIND(",",AF4)-1),"x")</f>
        <v>Ataque especial</v>
      </c>
      <c r="AG5" s="937" t="str">
        <f t="shared" si="5"/>
        <v>Torpe</v>
      </c>
      <c r="AH5" s="937" t="str">
        <f t="shared" si="5"/>
        <v>Debilidad</v>
      </c>
      <c r="AI5" s="937" t="str">
        <f t="shared" si="5"/>
        <v>Marioneta</v>
      </c>
      <c r="AJ5" s="937" t="str">
        <f t="shared" si="5"/>
        <v>x</v>
      </c>
      <c r="AK5" s="937" t="str">
        <f t="shared" si="5"/>
        <v>x</v>
      </c>
      <c r="AL5" s="937" t="str">
        <f t="shared" si="5"/>
        <v>x</v>
      </c>
      <c r="AM5" s="937" t="str">
        <f t="shared" si="5"/>
        <v>x</v>
      </c>
      <c r="AN5" s="937" t="str">
        <f t="shared" si="5"/>
        <v>x</v>
      </c>
      <c r="AO5" s="937" t="str">
        <f t="shared" si="5"/>
        <v>x</v>
      </c>
      <c r="AP5" s="937" t="str">
        <f t="shared" si="5"/>
        <v>x</v>
      </c>
      <c r="AQ5" s="937" t="str">
        <f t="shared" si="5"/>
        <v>x</v>
      </c>
      <c r="AR5" s="937" t="str">
        <f t="shared" si="5"/>
        <v>x</v>
      </c>
      <c r="AS5" s="3323" t="str">
        <f t="shared" si="5"/>
        <v>x</v>
      </c>
      <c r="AT5" s="3324" t="str">
        <f t="shared" si="1"/>
        <v>Ataque especial</v>
      </c>
      <c r="AU5" s="215">
        <f t="shared" si="2"/>
        <v>3</v>
      </c>
      <c r="AV5" s="2787" t="str">
        <f>$AD$5</f>
        <v>Brutalidad</v>
      </c>
      <c r="AW5" s="3324" t="str">
        <f t="shared" ref="AW5:AW37" si="6">IFERROR(VLOOKUP(A2,$AX$4:$AY$37,2,0),"x")</f>
        <v>x</v>
      </c>
      <c r="AX5" s="215">
        <f t="shared" ref="AX5:AX37" si="7">COUNTIF($AY$4:$AY$37,"&lt;="&amp;AY5)-COUNTIF($AY$4:$AY$37,"*&gt;*")</f>
        <v>34</v>
      </c>
      <c r="AY5" s="2787" t="str">
        <f>$AD$10</f>
        <v>X</v>
      </c>
      <c r="AZ5" s="3324" t="str">
        <f>IFERROR(VLOOKUP(A2,BA4:BB37,2,0),"x")</f>
        <v>x</v>
      </c>
      <c r="BA5" s="215">
        <f t="shared" ref="BA5:BA37" si="8">COUNTIF($BB$4:$BB$37,"&lt;="&amp;BB5)-COUNTIF($BB$4:$BB$37,"*&gt;*")</f>
        <v>34</v>
      </c>
      <c r="BB5" s="2787" t="str">
        <f>$AD$15</f>
        <v>X</v>
      </c>
      <c r="BC5" s="3324" t="str">
        <f t="shared" ref="BC5:BC37" si="9">IFERROR(VLOOKUP(A2,$BD$4:$BE$37,2,0),"x")</f>
        <v>x</v>
      </c>
      <c r="BD5" s="215">
        <f t="shared" ref="BD5:BD37" si="10">COUNTIF($BE$4:$BE$37,"&lt;="&amp;BE5)-COUNTIF($BE$4:$BE$37,"*&gt;*")</f>
        <v>34</v>
      </c>
      <c r="BE5" s="2787" t="str">
        <f>$AD$20</f>
        <v>X</v>
      </c>
      <c r="BF5" s="3324" t="str">
        <f t="shared" ref="BF5:BF37" si="11">IFERROR(VLOOKUP(A2,$BG$4:$BH$37,2,0),"x")</f>
        <v>x</v>
      </c>
      <c r="BG5" s="215">
        <f t="shared" ref="BG5:BG37" si="12">COUNTIF($BH$4:$BH$37,"&lt;="&amp;BH5)-COUNTIF($BH$4:$BH$37,"*&gt;*")</f>
        <v>34</v>
      </c>
      <c r="BH5" s="3318" t="str">
        <f>$AD$25</f>
        <v>X</v>
      </c>
    </row>
    <row r="6" spans="1:61" ht="13.5" thickBot="1">
      <c r="A6">
        <v>6</v>
      </c>
      <c r="B6" s="307" t="str">
        <f t="shared" si="3"/>
        <v>Acero negro</v>
      </c>
      <c r="C6" s="286">
        <f t="shared" si="4"/>
        <v>5</v>
      </c>
      <c r="D6" s="1209" t="s">
        <v>10805</v>
      </c>
      <c r="E6" s="286"/>
      <c r="F6" s="286">
        <v>15</v>
      </c>
      <c r="G6" s="286">
        <v>45</v>
      </c>
      <c r="H6" s="286">
        <v>0</v>
      </c>
      <c r="I6" s="286">
        <v>6</v>
      </c>
      <c r="J6" s="286">
        <v>4</v>
      </c>
      <c r="K6" s="286">
        <v>-30</v>
      </c>
      <c r="L6" s="286">
        <v>10</v>
      </c>
      <c r="M6" s="286">
        <v>3</v>
      </c>
      <c r="N6" s="286">
        <v>50</v>
      </c>
      <c r="O6" s="286">
        <v>8</v>
      </c>
      <c r="P6" s="286">
        <v>2</v>
      </c>
      <c r="Q6" s="3338"/>
      <c r="X6" s="3320" t="s">
        <v>1268</v>
      </c>
      <c r="Y6" s="2786">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3321">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3304"/>
      <c r="AB6" s="3322" t="s">
        <v>483</v>
      </c>
      <c r="AC6" s="937" t="e">
        <f>RIGHT(AS4,LEN(AS4)-FIND(",",AS4))</f>
        <v>#VALUE!</v>
      </c>
      <c r="AD6" s="937" t="e">
        <f>RIGHT(AC6,LEN(AC6)-FIND(",",AC6))</f>
        <v>#VALUE!</v>
      </c>
      <c r="AE6" s="937" t="e">
        <f t="shared" ref="AE6:AS6" si="13">RIGHT(AD6,LEN(AD6)-FIND(",",AD6))</f>
        <v>#VALUE!</v>
      </c>
      <c r="AF6" s="937" t="e">
        <f t="shared" si="13"/>
        <v>#VALUE!</v>
      </c>
      <c r="AG6" s="937" t="e">
        <f t="shared" si="13"/>
        <v>#VALUE!</v>
      </c>
      <c r="AH6" s="937" t="e">
        <f t="shared" si="13"/>
        <v>#VALUE!</v>
      </c>
      <c r="AI6" s="937" t="e">
        <f t="shared" si="13"/>
        <v>#VALUE!</v>
      </c>
      <c r="AJ6" s="937" t="e">
        <f t="shared" si="13"/>
        <v>#VALUE!</v>
      </c>
      <c r="AK6" s="937" t="e">
        <f t="shared" si="13"/>
        <v>#VALUE!</v>
      </c>
      <c r="AL6" s="937" t="e">
        <f t="shared" si="13"/>
        <v>#VALUE!</v>
      </c>
      <c r="AM6" s="937" t="e">
        <f t="shared" si="13"/>
        <v>#VALUE!</v>
      </c>
      <c r="AN6" s="937" t="e">
        <f t="shared" si="13"/>
        <v>#VALUE!</v>
      </c>
      <c r="AO6" s="937" t="e">
        <f t="shared" si="13"/>
        <v>#VALUE!</v>
      </c>
      <c r="AP6" s="937" t="e">
        <f t="shared" si="13"/>
        <v>#VALUE!</v>
      </c>
      <c r="AQ6" s="937" t="e">
        <f t="shared" si="13"/>
        <v>#VALUE!</v>
      </c>
      <c r="AR6" s="937" t="e">
        <f t="shared" si="13"/>
        <v>#VALUE!</v>
      </c>
      <c r="AS6" s="937" t="e">
        <f t="shared" si="13"/>
        <v>#VALUE!</v>
      </c>
      <c r="AT6" s="3324" t="str">
        <f t="shared" si="1"/>
        <v>Brutalidad</v>
      </c>
      <c r="AU6" s="215">
        <f t="shared" si="2"/>
        <v>1</v>
      </c>
      <c r="AV6" s="2787" t="str">
        <f>$AE$5</f>
        <v>Arma especializada</v>
      </c>
      <c r="AW6" s="3324" t="str">
        <f t="shared" si="6"/>
        <v>x</v>
      </c>
      <c r="AX6" s="215">
        <f t="shared" si="7"/>
        <v>34</v>
      </c>
      <c r="AY6" s="2787" t="str">
        <f>$AE$10</f>
        <v>X</v>
      </c>
      <c r="AZ6" s="3324" t="str">
        <f>IFERROR(VLOOKUP(A3,BA4:BB37,2,0),"x")</f>
        <v>x</v>
      </c>
      <c r="BA6" s="215">
        <f t="shared" si="8"/>
        <v>34</v>
      </c>
      <c r="BB6" s="2787" t="str">
        <f>$AE$15</f>
        <v>X</v>
      </c>
      <c r="BC6" s="3324" t="str">
        <f t="shared" si="9"/>
        <v>x</v>
      </c>
      <c r="BD6" s="215">
        <f t="shared" si="10"/>
        <v>34</v>
      </c>
      <c r="BE6" s="2787" t="str">
        <f>$AE$20</f>
        <v>X</v>
      </c>
      <c r="BF6" s="3324" t="str">
        <f t="shared" si="11"/>
        <v>x</v>
      </c>
      <c r="BG6" s="215">
        <f t="shared" si="12"/>
        <v>34</v>
      </c>
      <c r="BH6" s="3318" t="str">
        <f>$AE$25</f>
        <v>X</v>
      </c>
    </row>
    <row r="7" spans="1:61">
      <c r="A7">
        <v>7</v>
      </c>
      <c r="B7" s="307" t="str">
        <f t="shared" si="3"/>
        <v>Arenisca</v>
      </c>
      <c r="C7" s="286">
        <f t="shared" si="4"/>
        <v>19</v>
      </c>
      <c r="D7" s="3413" t="s">
        <v>10806</v>
      </c>
      <c r="E7" s="2334"/>
      <c r="F7" s="2334">
        <v>20</v>
      </c>
      <c r="G7" s="2334">
        <v>60</v>
      </c>
      <c r="H7" s="2334">
        <v>0</v>
      </c>
      <c r="I7" s="2334">
        <v>6</v>
      </c>
      <c r="J7" s="2334">
        <v>5</v>
      </c>
      <c r="K7" s="2334">
        <v>-60</v>
      </c>
      <c r="L7" s="2334">
        <v>10</v>
      </c>
      <c r="M7" s="2334">
        <v>2</v>
      </c>
      <c r="N7" s="2334">
        <v>60</v>
      </c>
      <c r="O7" s="2334">
        <v>10</v>
      </c>
      <c r="P7" s="2334">
        <v>-2</v>
      </c>
      <c r="Q7" s="3338"/>
      <c r="V7" s="3409" t="s">
        <v>10422</v>
      </c>
      <c r="X7" s="3320" t="s">
        <v>1272</v>
      </c>
      <c r="Y7" s="2786">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3321">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3304"/>
      <c r="AB7" s="3145" t="str">
        <f>VLOOKUP(AB5,Constructos_Atributos,4,0)</f>
        <v>Destructor,Brutalidad,Arma especializada,Ataque especial,Torpe,Debilidad,Marioneta,</v>
      </c>
      <c r="AC7" s="937" t="str">
        <f t="shared" ref="AC7:AS7" si="14">IFERROR(LEFT(AC6,FIND(",",AC6)-1),"x")</f>
        <v>x</v>
      </c>
      <c r="AD7" s="937" t="str">
        <f t="shared" si="14"/>
        <v>x</v>
      </c>
      <c r="AE7" s="937" t="str">
        <f t="shared" si="14"/>
        <v>x</v>
      </c>
      <c r="AF7" s="937" t="str">
        <f t="shared" si="14"/>
        <v>x</v>
      </c>
      <c r="AG7" s="937" t="str">
        <f t="shared" si="14"/>
        <v>x</v>
      </c>
      <c r="AH7" s="937" t="str">
        <f t="shared" si="14"/>
        <v>x</v>
      </c>
      <c r="AI7" s="937" t="str">
        <f t="shared" si="14"/>
        <v>x</v>
      </c>
      <c r="AJ7" s="937" t="str">
        <f t="shared" si="14"/>
        <v>x</v>
      </c>
      <c r="AK7" s="937" t="str">
        <f t="shared" si="14"/>
        <v>x</v>
      </c>
      <c r="AL7" s="937" t="str">
        <f t="shared" si="14"/>
        <v>x</v>
      </c>
      <c r="AM7" s="937" t="str">
        <f t="shared" si="14"/>
        <v>x</v>
      </c>
      <c r="AN7" s="937" t="str">
        <f t="shared" si="14"/>
        <v>x</v>
      </c>
      <c r="AO7" s="937" t="str">
        <f t="shared" si="14"/>
        <v>x</v>
      </c>
      <c r="AP7" s="937" t="str">
        <f t="shared" si="14"/>
        <v>x</v>
      </c>
      <c r="AQ7" s="937" t="str">
        <f t="shared" si="14"/>
        <v>x</v>
      </c>
      <c r="AR7" s="937" t="str">
        <f t="shared" si="14"/>
        <v>x</v>
      </c>
      <c r="AS7" s="937" t="str">
        <f t="shared" si="14"/>
        <v>x</v>
      </c>
      <c r="AT7" s="3324" t="str">
        <f t="shared" si="1"/>
        <v>Debilidad</v>
      </c>
      <c r="AU7" s="215">
        <f t="shared" si="2"/>
        <v>2</v>
      </c>
      <c r="AV7" s="2787" t="str">
        <f>$AF$5</f>
        <v>Ataque especial</v>
      </c>
      <c r="AW7" s="3324" t="str">
        <f t="shared" si="6"/>
        <v>x</v>
      </c>
      <c r="AX7" s="215">
        <f t="shared" si="7"/>
        <v>34</v>
      </c>
      <c r="AY7" s="2787" t="str">
        <f>$AF$10</f>
        <v>x</v>
      </c>
      <c r="AZ7" s="3324" t="str">
        <f>IFERROR(VLOOKUP(A4,BA4:BB37,2,0),"x")</f>
        <v>x</v>
      </c>
      <c r="BA7" s="215">
        <f t="shared" si="8"/>
        <v>34</v>
      </c>
      <c r="BB7" s="2787" t="str">
        <f>$AF$15</f>
        <v>x</v>
      </c>
      <c r="BC7" s="3324" t="str">
        <f t="shared" si="9"/>
        <v>x</v>
      </c>
      <c r="BD7" s="215">
        <f t="shared" si="10"/>
        <v>34</v>
      </c>
      <c r="BE7" s="2787" t="str">
        <f>$AF$20</f>
        <v>x</v>
      </c>
      <c r="BF7" s="3324" t="str">
        <f t="shared" si="11"/>
        <v>x</v>
      </c>
      <c r="BG7" s="215">
        <f t="shared" si="12"/>
        <v>34</v>
      </c>
      <c r="BH7" s="3318" t="str">
        <f>$AF$25</f>
        <v>x</v>
      </c>
    </row>
    <row r="8" spans="1:61">
      <c r="A8">
        <v>8</v>
      </c>
      <c r="B8" s="307" t="str">
        <f t="shared" si="3"/>
        <v>Ébano azote negro</v>
      </c>
      <c r="C8" s="286">
        <f t="shared" si="4"/>
        <v>4</v>
      </c>
      <c r="D8" s="1209" t="s">
        <v>10807</v>
      </c>
      <c r="E8" s="286"/>
      <c r="F8" s="286">
        <v>25</v>
      </c>
      <c r="G8" s="286">
        <v>65</v>
      </c>
      <c r="H8" s="286">
        <v>0</v>
      </c>
      <c r="I8" s="286">
        <v>6</v>
      </c>
      <c r="J8" s="286">
        <v>5</v>
      </c>
      <c r="K8" s="286">
        <v>-50</v>
      </c>
      <c r="L8" s="286">
        <v>10</v>
      </c>
      <c r="M8" s="286">
        <v>3</v>
      </c>
      <c r="N8" s="286">
        <v>70</v>
      </c>
      <c r="O8" s="286">
        <v>10</v>
      </c>
      <c r="P8" s="286">
        <v>-1</v>
      </c>
      <c r="Q8" s="3338"/>
      <c r="V8" s="3410" t="s">
        <v>77</v>
      </c>
      <c r="X8" s="3320" t="s">
        <v>1275</v>
      </c>
      <c r="Y8" s="2786">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3321">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3304"/>
      <c r="AB8" s="8351" t="s">
        <v>10569</v>
      </c>
      <c r="AC8" s="8351"/>
      <c r="AD8" s="8351"/>
      <c r="AE8" s="8351"/>
      <c r="AF8" s="8351"/>
      <c r="AG8" s="8351"/>
      <c r="AH8" s="8351"/>
      <c r="AI8" s="8351"/>
      <c r="AJ8" s="8351"/>
      <c r="AK8" s="8351"/>
      <c r="AL8" s="8351"/>
      <c r="AM8" s="8351"/>
      <c r="AN8" s="8351"/>
      <c r="AO8" s="8351"/>
      <c r="AP8" s="8351"/>
      <c r="AQ8" s="8351"/>
      <c r="AR8" s="8351"/>
      <c r="AS8" s="8352"/>
      <c r="AT8" s="3324" t="str">
        <f t="shared" si="1"/>
        <v>Destructor</v>
      </c>
      <c r="AU8" s="215">
        <f t="shared" si="2"/>
        <v>7</v>
      </c>
      <c r="AV8" s="2787" t="str">
        <f>$AG$5</f>
        <v>Torpe</v>
      </c>
      <c r="AW8" s="3324" t="str">
        <f t="shared" si="6"/>
        <v>x</v>
      </c>
      <c r="AX8" s="215">
        <f t="shared" si="7"/>
        <v>34</v>
      </c>
      <c r="AY8" s="2787" t="str">
        <f>$AG$10</f>
        <v>x</v>
      </c>
      <c r="AZ8" s="3324" t="str">
        <f>IFERROR(VLOOKUP(A5,BA4:BB37,2,0),"x")</f>
        <v>x</v>
      </c>
      <c r="BA8" s="215">
        <f t="shared" si="8"/>
        <v>34</v>
      </c>
      <c r="BB8" s="2787" t="str">
        <f>$AG$15</f>
        <v>x</v>
      </c>
      <c r="BC8" s="3324" t="str">
        <f t="shared" si="9"/>
        <v>x</v>
      </c>
      <c r="BD8" s="215">
        <f t="shared" si="10"/>
        <v>34</v>
      </c>
      <c r="BE8" s="2787" t="str">
        <f>$AG$20</f>
        <v>x</v>
      </c>
      <c r="BF8" s="3324" t="str">
        <f t="shared" si="11"/>
        <v>x</v>
      </c>
      <c r="BG8" s="215">
        <f t="shared" si="12"/>
        <v>34</v>
      </c>
      <c r="BH8" s="3318" t="str">
        <f>$AG$25</f>
        <v>x</v>
      </c>
    </row>
    <row r="9" spans="1:61" ht="25.5">
      <c r="A9">
        <v>9</v>
      </c>
      <c r="B9" s="307" t="str">
        <f t="shared" si="3"/>
        <v>Elektra</v>
      </c>
      <c r="C9" s="286">
        <f t="shared" si="4"/>
        <v>7</v>
      </c>
      <c r="D9" s="1209" t="s">
        <v>10808</v>
      </c>
      <c r="E9" s="286"/>
      <c r="F9" s="286">
        <v>25</v>
      </c>
      <c r="G9" s="286">
        <v>65</v>
      </c>
      <c r="H9" s="286">
        <v>0</v>
      </c>
      <c r="I9" s="286">
        <v>5</v>
      </c>
      <c r="J9" s="286">
        <v>6</v>
      </c>
      <c r="K9" s="286">
        <v>-40</v>
      </c>
      <c r="L9" s="286">
        <v>10</v>
      </c>
      <c r="M9" s="286">
        <v>3</v>
      </c>
      <c r="N9" s="286">
        <v>70</v>
      </c>
      <c r="O9" s="286">
        <v>10</v>
      </c>
      <c r="P9" s="286">
        <v>-1</v>
      </c>
      <c r="Q9" s="3338"/>
      <c r="V9" s="3410" t="s">
        <v>70</v>
      </c>
      <c r="X9" s="3320" t="s">
        <v>1278</v>
      </c>
      <c r="Y9" s="2786">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3321">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3304"/>
      <c r="AB9" s="3322" t="s">
        <v>8356</v>
      </c>
      <c r="AC9" s="937"/>
      <c r="AD9" s="937" t="e">
        <f>RIGHT(AB12,LEN(AB12)-FIND(",",AB12))</f>
        <v>#N/A</v>
      </c>
      <c r="AE9" s="937" t="e">
        <f t="shared" ref="AE9:AN9" si="15">RIGHT(AD9,LEN(AD9)-FIND(",",AD9))</f>
        <v>#N/A</v>
      </c>
      <c r="AF9" s="937" t="e">
        <f t="shared" si="15"/>
        <v>#N/A</v>
      </c>
      <c r="AG9" s="937" t="e">
        <f t="shared" si="15"/>
        <v>#N/A</v>
      </c>
      <c r="AH9" s="937" t="e">
        <f t="shared" si="15"/>
        <v>#N/A</v>
      </c>
      <c r="AI9" s="937" t="e">
        <f t="shared" si="15"/>
        <v>#N/A</v>
      </c>
      <c r="AJ9" s="937" t="e">
        <f t="shared" si="15"/>
        <v>#N/A</v>
      </c>
      <c r="AK9" s="937" t="e">
        <f t="shared" si="15"/>
        <v>#N/A</v>
      </c>
      <c r="AL9" s="937" t="e">
        <f t="shared" si="15"/>
        <v>#N/A</v>
      </c>
      <c r="AM9" s="937" t="e">
        <f t="shared" si="15"/>
        <v>#N/A</v>
      </c>
      <c r="AN9" s="937" t="e">
        <f t="shared" si="15"/>
        <v>#N/A</v>
      </c>
      <c r="AO9" s="937" t="e">
        <f>RIGHT(AN9,LEN(AN9)-FIND(",",AN9))</f>
        <v>#N/A</v>
      </c>
      <c r="AP9" s="937" t="e">
        <f>RIGHT(AO9,LEN(AO9)-FIND(",",AO9))</f>
        <v>#N/A</v>
      </c>
      <c r="AQ9" s="937" t="e">
        <f>RIGHT(AP9,LEN(AP9)-FIND(",",AP9))</f>
        <v>#N/A</v>
      </c>
      <c r="AR9" s="937" t="e">
        <f>RIGHT(AQ9,LEN(AQ9)-FIND(",",AQ9))</f>
        <v>#N/A</v>
      </c>
      <c r="AS9" s="3323" t="e">
        <f>RIGHT(AR9,LEN(AR9)-FIND(",",AR9))</f>
        <v>#N/A</v>
      </c>
      <c r="AT9" s="3324" t="str">
        <f t="shared" si="1"/>
        <v>Marioneta</v>
      </c>
      <c r="AU9" s="215">
        <f t="shared" si="2"/>
        <v>4</v>
      </c>
      <c r="AV9" s="2787" t="str">
        <f>$AH$5</f>
        <v>Debilidad</v>
      </c>
      <c r="AW9" s="3324" t="str">
        <f t="shared" si="6"/>
        <v>x</v>
      </c>
      <c r="AX9" s="215">
        <f t="shared" si="7"/>
        <v>34</v>
      </c>
      <c r="AY9" s="2787" t="str">
        <f>$AH$10</f>
        <v>x</v>
      </c>
      <c r="AZ9" s="3324" t="str">
        <f>IFERROR(VLOOKUP(A6,BA4:BB37,2,0),"x")</f>
        <v>x</v>
      </c>
      <c r="BA9" s="215">
        <f t="shared" si="8"/>
        <v>34</v>
      </c>
      <c r="BB9" s="2787" t="str">
        <f>$AH$15</f>
        <v>x</v>
      </c>
      <c r="BC9" s="3324" t="str">
        <f t="shared" si="9"/>
        <v>x</v>
      </c>
      <c r="BD9" s="215">
        <f t="shared" si="10"/>
        <v>34</v>
      </c>
      <c r="BE9" s="2787" t="str">
        <f>$AH$20</f>
        <v>x</v>
      </c>
      <c r="BF9" s="3324" t="str">
        <f t="shared" si="11"/>
        <v>x</v>
      </c>
      <c r="BG9" s="215">
        <f t="shared" si="12"/>
        <v>34</v>
      </c>
      <c r="BH9" s="3318" t="str">
        <f>$AH$25</f>
        <v>x</v>
      </c>
    </row>
    <row r="10" spans="1:61">
      <c r="A10">
        <v>10</v>
      </c>
      <c r="B10" s="307" t="str">
        <f t="shared" si="3"/>
        <v>Granito</v>
      </c>
      <c r="C10" s="286">
        <f t="shared" si="4"/>
        <v>9</v>
      </c>
      <c r="D10" s="3413" t="s">
        <v>10352</v>
      </c>
      <c r="E10" s="2334"/>
      <c r="F10" s="2334">
        <v>10</v>
      </c>
      <c r="G10" s="2334">
        <v>40</v>
      </c>
      <c r="H10" s="2334">
        <v>0</v>
      </c>
      <c r="I10" s="2334">
        <v>4</v>
      </c>
      <c r="J10" s="2334">
        <v>6</v>
      </c>
      <c r="K10" s="2334">
        <v>-30</v>
      </c>
      <c r="L10" s="2334">
        <v>5</v>
      </c>
      <c r="M10" s="2334">
        <v>3</v>
      </c>
      <c r="N10" s="2334">
        <v>60</v>
      </c>
      <c r="O10" s="2334">
        <v>16</v>
      </c>
      <c r="P10" s="2334">
        <v>0</v>
      </c>
      <c r="Q10" s="3338"/>
      <c r="V10" s="3410" t="s">
        <v>73</v>
      </c>
      <c r="X10" s="3320" t="s">
        <v>5858</v>
      </c>
      <c r="Y10" s="2786">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3321">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3304"/>
      <c r="AB10" s="3327" t="str">
        <f>IF(Constructos!$K$46="","",Constructos!$K$46)</f>
        <v/>
      </c>
      <c r="AC10" s="937" t="str">
        <f>IFERROR(LEFT(AB12,FIND(",",AB12)-1),"x")</f>
        <v>x</v>
      </c>
      <c r="AD10" s="937" t="str">
        <f>IFERROR(LEFT(AD9,FIND(",",AD9)-1),"X")</f>
        <v>X</v>
      </c>
      <c r="AE10" s="937" t="str">
        <f>IFERROR(LEFT(AE9,FIND(",",AE9)-1),"X")</f>
        <v>X</v>
      </c>
      <c r="AF10" s="937" t="str">
        <f t="shared" ref="AF10:AN10" si="16">IFERROR(LEFT(AF9,FIND(",",AF9)-1),"x")</f>
        <v>x</v>
      </c>
      <c r="AG10" s="937" t="str">
        <f t="shared" si="16"/>
        <v>x</v>
      </c>
      <c r="AH10" s="937" t="str">
        <f t="shared" si="16"/>
        <v>x</v>
      </c>
      <c r="AI10" s="937" t="str">
        <f t="shared" si="16"/>
        <v>x</v>
      </c>
      <c r="AJ10" s="937" t="str">
        <f t="shared" si="16"/>
        <v>x</v>
      </c>
      <c r="AK10" s="937" t="str">
        <f t="shared" si="16"/>
        <v>x</v>
      </c>
      <c r="AL10" s="937" t="str">
        <f t="shared" si="16"/>
        <v>x</v>
      </c>
      <c r="AM10" s="937" t="str">
        <f t="shared" si="16"/>
        <v>x</v>
      </c>
      <c r="AN10" s="937" t="str">
        <f t="shared" si="16"/>
        <v>x</v>
      </c>
      <c r="AO10" s="937" t="str">
        <f>IFERROR(LEFT(AO9,FIND(",",AO9)-1),"x")</f>
        <v>x</v>
      </c>
      <c r="AP10" s="937" t="str">
        <f>IFERROR(LEFT(AP9,FIND(",",AP9)-1),"x")</f>
        <v>x</v>
      </c>
      <c r="AQ10" s="937" t="str">
        <f>IFERROR(LEFT(AQ9,FIND(",",AQ9)-1),"x")</f>
        <v>x</v>
      </c>
      <c r="AR10" s="937" t="str">
        <f>IFERROR(LEFT(AR9,FIND(",",AR9)-1),"x")</f>
        <v>x</v>
      </c>
      <c r="AS10" s="3323" t="str">
        <f>IFERROR(LEFT(AS9,FIND(",",AS9)-1),"x")</f>
        <v>x</v>
      </c>
      <c r="AT10" s="3324" t="str">
        <f t="shared" si="1"/>
        <v>Torpe</v>
      </c>
      <c r="AU10" s="215">
        <f t="shared" si="2"/>
        <v>6</v>
      </c>
      <c r="AV10" s="2787" t="str">
        <f>$AI$5</f>
        <v>Marioneta</v>
      </c>
      <c r="AW10" s="3324" t="str">
        <f t="shared" si="6"/>
        <v>x</v>
      </c>
      <c r="AX10" s="215">
        <f t="shared" si="7"/>
        <v>34</v>
      </c>
      <c r="AY10" s="2787" t="str">
        <f>$AI$10</f>
        <v>x</v>
      </c>
      <c r="AZ10" s="3324" t="str">
        <f>IFERROR(VLOOKUP(A7,BA4:BB37,2,0),"x")</f>
        <v>x</v>
      </c>
      <c r="BA10" s="215">
        <f t="shared" si="8"/>
        <v>34</v>
      </c>
      <c r="BB10" s="2787" t="str">
        <f>$AI$15</f>
        <v>x</v>
      </c>
      <c r="BC10" s="3324" t="str">
        <f t="shared" si="9"/>
        <v>x</v>
      </c>
      <c r="BD10" s="215">
        <f t="shared" si="10"/>
        <v>34</v>
      </c>
      <c r="BE10" s="2787" t="str">
        <f>$AI$20</f>
        <v>x</v>
      </c>
      <c r="BF10" s="3324" t="str">
        <f t="shared" si="11"/>
        <v>x</v>
      </c>
      <c r="BG10" s="215">
        <f t="shared" si="12"/>
        <v>34</v>
      </c>
      <c r="BH10" s="3318" t="str">
        <f>$AI$25</f>
        <v>x</v>
      </c>
    </row>
    <row r="11" spans="1:61" ht="25.5">
      <c r="A11">
        <v>11</v>
      </c>
      <c r="B11" s="307" t="str">
        <f t="shared" si="3"/>
        <v>Hierro</v>
      </c>
      <c r="C11" s="286">
        <f t="shared" si="4"/>
        <v>8</v>
      </c>
      <c r="D11" s="3413" t="s">
        <v>10353</v>
      </c>
      <c r="E11" s="2334"/>
      <c r="F11" s="2334">
        <v>25</v>
      </c>
      <c r="G11" s="2334">
        <v>80</v>
      </c>
      <c r="H11" s="2334">
        <v>60</v>
      </c>
      <c r="I11" s="2334">
        <v>6</v>
      </c>
      <c r="J11" s="2334">
        <v>6</v>
      </c>
      <c r="K11" s="2334">
        <v>-25</v>
      </c>
      <c r="L11" s="2334">
        <v>20</v>
      </c>
      <c r="M11" s="2334">
        <v>4</v>
      </c>
      <c r="N11" s="2334">
        <v>80</v>
      </c>
      <c r="O11" s="2334">
        <v>20</v>
      </c>
      <c r="P11" s="2334">
        <v>-3</v>
      </c>
      <c r="Q11" s="3338"/>
      <c r="V11" s="3410" t="s">
        <v>10570</v>
      </c>
      <c r="X11" s="3320" t="s">
        <v>1282</v>
      </c>
      <c r="Y11" s="2786">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3321">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3304"/>
      <c r="AB11" s="3145" t="s">
        <v>483</v>
      </c>
      <c r="AC11" s="937" t="e">
        <f>RIGHT(AS9,LEN(AS9)-FIND(",",AS9))</f>
        <v>#N/A</v>
      </c>
      <c r="AD11" s="937" t="e">
        <f>RIGHT(AC11,LEN(AC11)-FIND(",",AC11))</f>
        <v>#N/A</v>
      </c>
      <c r="AE11" s="937" t="e">
        <f t="shared" ref="AE11:AS11" si="17">RIGHT(AD11,LEN(AD11)-FIND(",",AD11))</f>
        <v>#N/A</v>
      </c>
      <c r="AF11" s="937" t="e">
        <f t="shared" si="17"/>
        <v>#N/A</v>
      </c>
      <c r="AG11" s="937" t="e">
        <f t="shared" si="17"/>
        <v>#N/A</v>
      </c>
      <c r="AH11" s="937" t="e">
        <f t="shared" si="17"/>
        <v>#N/A</v>
      </c>
      <c r="AI11" s="937" t="e">
        <f t="shared" si="17"/>
        <v>#N/A</v>
      </c>
      <c r="AJ11" s="937" t="e">
        <f t="shared" si="17"/>
        <v>#N/A</v>
      </c>
      <c r="AK11" s="937" t="e">
        <f t="shared" si="17"/>
        <v>#N/A</v>
      </c>
      <c r="AL11" s="937" t="e">
        <f t="shared" si="17"/>
        <v>#N/A</v>
      </c>
      <c r="AM11" s="937" t="e">
        <f t="shared" si="17"/>
        <v>#N/A</v>
      </c>
      <c r="AN11" s="937" t="e">
        <f t="shared" si="17"/>
        <v>#N/A</v>
      </c>
      <c r="AO11" s="937" t="e">
        <f t="shared" si="17"/>
        <v>#N/A</v>
      </c>
      <c r="AP11" s="937" t="e">
        <f t="shared" si="17"/>
        <v>#N/A</v>
      </c>
      <c r="AQ11" s="937" t="e">
        <f t="shared" si="17"/>
        <v>#N/A</v>
      </c>
      <c r="AR11" s="937" t="e">
        <f t="shared" si="17"/>
        <v>#N/A</v>
      </c>
      <c r="AS11" s="937" t="e">
        <f t="shared" si="17"/>
        <v>#N/A</v>
      </c>
      <c r="AT11" s="3324" t="str">
        <f t="shared" si="1"/>
        <v>x</v>
      </c>
      <c r="AU11" s="215">
        <f t="shared" si="2"/>
        <v>34</v>
      </c>
      <c r="AV11" s="2787" t="str">
        <f>$AJ$5</f>
        <v>x</v>
      </c>
      <c r="AW11" s="3324" t="str">
        <f t="shared" si="6"/>
        <v>x</v>
      </c>
      <c r="AX11" s="215">
        <f t="shared" si="7"/>
        <v>34</v>
      </c>
      <c r="AY11" s="2787" t="str">
        <f>$AJ$10</f>
        <v>x</v>
      </c>
      <c r="AZ11" s="3324" t="str">
        <f>IFERROR(VLOOKUP(A8,BA4:BB37,2,0),"x")</f>
        <v>x</v>
      </c>
      <c r="BA11" s="215">
        <f t="shared" si="8"/>
        <v>34</v>
      </c>
      <c r="BB11" s="2787" t="str">
        <f>$AJ$15</f>
        <v>x</v>
      </c>
      <c r="BC11" s="3324" t="str">
        <f t="shared" si="9"/>
        <v>x</v>
      </c>
      <c r="BD11" s="215">
        <f t="shared" si="10"/>
        <v>34</v>
      </c>
      <c r="BE11" s="2787" t="str">
        <f>$AJ$20</f>
        <v>x</v>
      </c>
      <c r="BF11" s="3324" t="str">
        <f t="shared" si="11"/>
        <v>x</v>
      </c>
      <c r="BG11" s="215">
        <f t="shared" si="12"/>
        <v>34</v>
      </c>
      <c r="BH11" s="3318" t="str">
        <f>$AJ$25</f>
        <v>x</v>
      </c>
    </row>
    <row r="12" spans="1:61" ht="25.5">
      <c r="A12">
        <v>12</v>
      </c>
      <c r="B12" s="307" t="str">
        <f t="shared" si="3"/>
        <v>Hueso</v>
      </c>
      <c r="C12" s="286">
        <f t="shared" si="4"/>
        <v>1</v>
      </c>
      <c r="D12" s="3413" t="s">
        <v>10354</v>
      </c>
      <c r="E12" s="2334"/>
      <c r="F12" s="2334">
        <v>30</v>
      </c>
      <c r="G12" s="2334">
        <v>100</v>
      </c>
      <c r="H12" s="2334">
        <v>80</v>
      </c>
      <c r="I12" s="2334">
        <v>7</v>
      </c>
      <c r="J12" s="2334">
        <v>7</v>
      </c>
      <c r="K12" s="2334">
        <v>-20</v>
      </c>
      <c r="L12" s="2334">
        <v>20</v>
      </c>
      <c r="M12" s="2334">
        <v>5</v>
      </c>
      <c r="N12" s="2334">
        <v>100</v>
      </c>
      <c r="O12" s="2334">
        <v>24</v>
      </c>
      <c r="P12" s="2334">
        <v>-2</v>
      </c>
      <c r="Q12" s="3338"/>
      <c r="V12" s="3410" t="s">
        <v>10571</v>
      </c>
      <c r="X12" s="3320" t="s">
        <v>1284</v>
      </c>
      <c r="Y12" s="2786">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3321">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3304"/>
      <c r="AB12" s="3327" t="e">
        <f>VLOOKUP(AB10,Constructos_Atributos,4,0)</f>
        <v>#N/A</v>
      </c>
      <c r="AC12" s="937" t="str">
        <f t="shared" ref="AC12:AS12" si="18">IFERROR(LEFT(AC11,FIND(",",AC11)-1),"x")</f>
        <v>x</v>
      </c>
      <c r="AD12" s="937" t="str">
        <f t="shared" si="18"/>
        <v>x</v>
      </c>
      <c r="AE12" s="937" t="str">
        <f t="shared" si="18"/>
        <v>x</v>
      </c>
      <c r="AF12" s="937" t="str">
        <f t="shared" si="18"/>
        <v>x</v>
      </c>
      <c r="AG12" s="937" t="str">
        <f t="shared" si="18"/>
        <v>x</v>
      </c>
      <c r="AH12" s="937" t="str">
        <f t="shared" si="18"/>
        <v>x</v>
      </c>
      <c r="AI12" s="937" t="str">
        <f t="shared" si="18"/>
        <v>x</v>
      </c>
      <c r="AJ12" s="937" t="str">
        <f t="shared" si="18"/>
        <v>x</v>
      </c>
      <c r="AK12" s="937" t="str">
        <f t="shared" si="18"/>
        <v>x</v>
      </c>
      <c r="AL12" s="937" t="str">
        <f t="shared" si="18"/>
        <v>x</v>
      </c>
      <c r="AM12" s="937" t="str">
        <f t="shared" si="18"/>
        <v>x</v>
      </c>
      <c r="AN12" s="937" t="str">
        <f t="shared" si="18"/>
        <v>x</v>
      </c>
      <c r="AO12" s="937" t="str">
        <f t="shared" si="18"/>
        <v>x</v>
      </c>
      <c r="AP12" s="937" t="str">
        <f t="shared" si="18"/>
        <v>x</v>
      </c>
      <c r="AQ12" s="937" t="str">
        <f t="shared" si="18"/>
        <v>x</v>
      </c>
      <c r="AR12" s="937" t="str">
        <f t="shared" si="18"/>
        <v>x</v>
      </c>
      <c r="AS12" s="937" t="str">
        <f t="shared" si="18"/>
        <v>x</v>
      </c>
      <c r="AT12" s="3324" t="str">
        <f t="shared" si="1"/>
        <v>x</v>
      </c>
      <c r="AU12" s="215">
        <f t="shared" si="2"/>
        <v>34</v>
      </c>
      <c r="AV12" s="2787" t="str">
        <f>$AK$5</f>
        <v>x</v>
      </c>
      <c r="AW12" s="3324" t="str">
        <f t="shared" si="6"/>
        <v>x</v>
      </c>
      <c r="AX12" s="215">
        <f t="shared" si="7"/>
        <v>34</v>
      </c>
      <c r="AY12" s="2787" t="str">
        <f>$AK$10</f>
        <v>x</v>
      </c>
      <c r="AZ12" s="3324" t="str">
        <f>IFERROR(VLOOKUP(A9,BA4:BB37,2,0),"x")</f>
        <v>x</v>
      </c>
      <c r="BA12" s="215">
        <f t="shared" si="8"/>
        <v>34</v>
      </c>
      <c r="BB12" s="2787" t="str">
        <f>$AK$15</f>
        <v>x</v>
      </c>
      <c r="BC12" s="3324" t="str">
        <f t="shared" si="9"/>
        <v>x</v>
      </c>
      <c r="BD12" s="215">
        <f t="shared" si="10"/>
        <v>34</v>
      </c>
      <c r="BE12" s="2787" t="str">
        <f>$AK$20</f>
        <v>x</v>
      </c>
      <c r="BF12" s="3324" t="str">
        <f t="shared" si="11"/>
        <v>x</v>
      </c>
      <c r="BG12" s="215">
        <f t="shared" si="12"/>
        <v>34</v>
      </c>
      <c r="BH12" s="3318" t="str">
        <f>$AK$25</f>
        <v>x</v>
      </c>
    </row>
    <row r="13" spans="1:61" ht="25.5">
      <c r="A13">
        <v>13</v>
      </c>
      <c r="B13" s="307" t="str">
        <f t="shared" si="3"/>
        <v>Iluminati</v>
      </c>
      <c r="C13" s="286">
        <f t="shared" si="4"/>
        <v>3</v>
      </c>
      <c r="D13" s="3413" t="s">
        <v>10355</v>
      </c>
      <c r="E13" s="2334"/>
      <c r="F13" s="2334">
        <v>30</v>
      </c>
      <c r="G13" s="2334">
        <v>120</v>
      </c>
      <c r="H13" s="2334">
        <v>100</v>
      </c>
      <c r="I13" s="2334">
        <v>8</v>
      </c>
      <c r="J13" s="2334">
        <v>7</v>
      </c>
      <c r="K13" s="2334">
        <v>-15</v>
      </c>
      <c r="L13" s="2334">
        <v>30</v>
      </c>
      <c r="M13" s="2334">
        <v>6</v>
      </c>
      <c r="N13" s="2334">
        <v>100</v>
      </c>
      <c r="O13" s="2334">
        <v>24</v>
      </c>
      <c r="P13" s="2334">
        <v>-1</v>
      </c>
      <c r="Q13" s="3338"/>
      <c r="V13" s="3410" t="s">
        <v>10572</v>
      </c>
      <c r="X13" s="3320" t="s">
        <v>1287</v>
      </c>
      <c r="Y13" s="2786">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3321">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3304"/>
      <c r="AB13" s="8351" t="s">
        <v>10573</v>
      </c>
      <c r="AC13" s="8351"/>
      <c r="AD13" s="8351"/>
      <c r="AE13" s="8351"/>
      <c r="AF13" s="8351"/>
      <c r="AG13" s="8351"/>
      <c r="AH13" s="8351"/>
      <c r="AI13" s="8351"/>
      <c r="AJ13" s="8351"/>
      <c r="AK13" s="8351"/>
      <c r="AL13" s="8351"/>
      <c r="AM13" s="8351"/>
      <c r="AN13" s="8351"/>
      <c r="AO13" s="8351"/>
      <c r="AP13" s="8351"/>
      <c r="AQ13" s="8351"/>
      <c r="AR13" s="8351"/>
      <c r="AS13" s="8351"/>
      <c r="AT13" s="3324" t="str">
        <f t="shared" si="1"/>
        <v>x</v>
      </c>
      <c r="AU13" s="215">
        <f t="shared" si="2"/>
        <v>34</v>
      </c>
      <c r="AV13" s="2787" t="str">
        <f>$AL$5</f>
        <v>x</v>
      </c>
      <c r="AW13" s="3324" t="str">
        <f t="shared" si="6"/>
        <v>x</v>
      </c>
      <c r="AX13" s="215">
        <f t="shared" si="7"/>
        <v>34</v>
      </c>
      <c r="AY13" s="2787" t="str">
        <f>$AL$10</f>
        <v>x</v>
      </c>
      <c r="AZ13" s="3324" t="str">
        <f>IFERROR(VLOOKUP(A10,BA4:BB37,2,0),"x")</f>
        <v>x</v>
      </c>
      <c r="BA13" s="215">
        <f t="shared" si="8"/>
        <v>34</v>
      </c>
      <c r="BB13" s="2787" t="str">
        <f>$AL$15</f>
        <v>x</v>
      </c>
      <c r="BC13" s="3324" t="str">
        <f t="shared" si="9"/>
        <v>x</v>
      </c>
      <c r="BD13" s="215">
        <f t="shared" si="10"/>
        <v>34</v>
      </c>
      <c r="BE13" s="2787" t="str">
        <f>$AL$20</f>
        <v>x</v>
      </c>
      <c r="BF13" s="3324" t="str">
        <f t="shared" si="11"/>
        <v>x</v>
      </c>
      <c r="BG13" s="215">
        <f t="shared" si="12"/>
        <v>34</v>
      </c>
      <c r="BH13" s="3318" t="str">
        <f>$AL$25</f>
        <v>x</v>
      </c>
    </row>
    <row r="14" spans="1:61">
      <c r="A14">
        <v>14</v>
      </c>
      <c r="B14" s="307" t="str">
        <f t="shared" si="3"/>
        <v>Lumina</v>
      </c>
      <c r="C14" s="286">
        <f t="shared" si="4"/>
        <v>10</v>
      </c>
      <c r="D14" s="3413" t="s">
        <v>10356</v>
      </c>
      <c r="E14" s="2334"/>
      <c r="F14" s="2334">
        <v>40</v>
      </c>
      <c r="G14" s="2334">
        <v>140</v>
      </c>
      <c r="H14" s="2334">
        <v>140</v>
      </c>
      <c r="I14" s="2334">
        <v>8</v>
      </c>
      <c r="J14" s="2334">
        <v>8</v>
      </c>
      <c r="K14" s="2334">
        <v>-10</v>
      </c>
      <c r="L14" s="2334">
        <v>40</v>
      </c>
      <c r="M14" s="2334">
        <v>7</v>
      </c>
      <c r="N14" s="2334">
        <v>120</v>
      </c>
      <c r="O14" s="2334">
        <v>27</v>
      </c>
      <c r="P14" s="2334">
        <v>0</v>
      </c>
      <c r="Q14" s="3338"/>
      <c r="V14" s="3410" t="s">
        <v>1553</v>
      </c>
      <c r="X14" s="3320" t="s">
        <v>1289</v>
      </c>
      <c r="Y14" s="2786">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3321">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3304"/>
      <c r="AB14" s="3322" t="s">
        <v>8356</v>
      </c>
      <c r="AC14" s="937"/>
      <c r="AD14" s="937" t="e">
        <f>RIGHT(AB17,LEN(AB17)-FIND(",",AB17))</f>
        <v>#N/A</v>
      </c>
      <c r="AE14" s="937" t="e">
        <f t="shared" ref="AE14:AN14" si="19">RIGHT(AD14,LEN(AD14)-FIND(",",AD14))</f>
        <v>#N/A</v>
      </c>
      <c r="AF14" s="937" t="e">
        <f t="shared" si="19"/>
        <v>#N/A</v>
      </c>
      <c r="AG14" s="937" t="e">
        <f t="shared" si="19"/>
        <v>#N/A</v>
      </c>
      <c r="AH14" s="937" t="e">
        <f t="shared" si="19"/>
        <v>#N/A</v>
      </c>
      <c r="AI14" s="937" t="e">
        <f t="shared" si="19"/>
        <v>#N/A</v>
      </c>
      <c r="AJ14" s="937" t="e">
        <f t="shared" si="19"/>
        <v>#N/A</v>
      </c>
      <c r="AK14" s="937" t="e">
        <f t="shared" si="19"/>
        <v>#N/A</v>
      </c>
      <c r="AL14" s="937" t="e">
        <f t="shared" si="19"/>
        <v>#N/A</v>
      </c>
      <c r="AM14" s="937" t="e">
        <f t="shared" si="19"/>
        <v>#N/A</v>
      </c>
      <c r="AN14" s="937" t="e">
        <f t="shared" si="19"/>
        <v>#N/A</v>
      </c>
      <c r="AO14" s="937" t="e">
        <f>RIGHT(AN14,LEN(AN14)-FIND(",",AN14))</f>
        <v>#N/A</v>
      </c>
      <c r="AP14" s="937" t="e">
        <f>RIGHT(AO14,LEN(AO14)-FIND(",",AO14))</f>
        <v>#N/A</v>
      </c>
      <c r="AQ14" s="937" t="e">
        <f>RIGHT(AP14,LEN(AP14)-FIND(",",AP14))</f>
        <v>#N/A</v>
      </c>
      <c r="AR14" s="937" t="e">
        <f>RIGHT(AQ14,LEN(AQ14)-FIND(",",AQ14))</f>
        <v>#N/A</v>
      </c>
      <c r="AS14" s="937" t="e">
        <f>RIGHT(AR14,LEN(AR14)-FIND(",",AR14))</f>
        <v>#N/A</v>
      </c>
      <c r="AT14" s="3324" t="str">
        <f t="shared" si="1"/>
        <v>x</v>
      </c>
      <c r="AU14" s="215">
        <f t="shared" si="2"/>
        <v>34</v>
      </c>
      <c r="AV14" s="2787" t="str">
        <f>$AM$5</f>
        <v>x</v>
      </c>
      <c r="AW14" s="3324" t="str">
        <f t="shared" si="6"/>
        <v>x</v>
      </c>
      <c r="AX14" s="215">
        <f t="shared" si="7"/>
        <v>34</v>
      </c>
      <c r="AY14" s="2787" t="str">
        <f>$AM$10</f>
        <v>x</v>
      </c>
      <c r="AZ14" s="3324" t="str">
        <f>IFERROR(VLOOKUP(A11,BA4:BB37,2,0),"x")</f>
        <v>x</v>
      </c>
      <c r="BA14" s="215">
        <f t="shared" si="8"/>
        <v>34</v>
      </c>
      <c r="BB14" s="2787" t="str">
        <f>$AM$15</f>
        <v>x</v>
      </c>
      <c r="BC14" s="3324" t="str">
        <f t="shared" si="9"/>
        <v>x</v>
      </c>
      <c r="BD14" s="215">
        <f t="shared" si="10"/>
        <v>34</v>
      </c>
      <c r="BE14" s="2787" t="str">
        <f>$AM$20</f>
        <v>x</v>
      </c>
      <c r="BF14" s="3324" t="str">
        <f t="shared" si="11"/>
        <v>x</v>
      </c>
      <c r="BG14" s="215">
        <f t="shared" si="12"/>
        <v>34</v>
      </c>
      <c r="BH14" s="3318" t="str">
        <f>$AM$25</f>
        <v>x</v>
      </c>
    </row>
    <row r="15" spans="1:61" ht="25.5">
      <c r="A15">
        <v>15</v>
      </c>
      <c r="B15" s="307" t="str">
        <f t="shared" si="3"/>
        <v>Madera común</v>
      </c>
      <c r="C15" s="286">
        <f t="shared" si="4"/>
        <v>2</v>
      </c>
      <c r="D15" s="3413" t="s">
        <v>10357</v>
      </c>
      <c r="E15" s="2334"/>
      <c r="F15" s="2334">
        <v>40</v>
      </c>
      <c r="G15" s="2334">
        <v>160</v>
      </c>
      <c r="H15" s="2334">
        <v>120</v>
      </c>
      <c r="I15" s="2334">
        <v>8</v>
      </c>
      <c r="J15" s="2334">
        <v>7</v>
      </c>
      <c r="K15" s="2334">
        <v>-15</v>
      </c>
      <c r="L15" s="2334">
        <v>20</v>
      </c>
      <c r="M15" s="2334">
        <v>6</v>
      </c>
      <c r="N15" s="2334">
        <v>100</v>
      </c>
      <c r="O15" s="2334">
        <v>26</v>
      </c>
      <c r="P15" s="2334">
        <v>-1</v>
      </c>
      <c r="Q15" s="3338"/>
      <c r="V15" s="3410" t="s">
        <v>68</v>
      </c>
      <c r="X15" s="3320" t="s">
        <v>685</v>
      </c>
      <c r="Y15" s="2786">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3321">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3304"/>
      <c r="AB15" s="3330" t="str">
        <f>IF(Constructos!$D$64="","",Constructos!$D$64)</f>
        <v/>
      </c>
      <c r="AC15" s="937" t="str">
        <f>IFERROR(LEFT(AB17,FIND(",",AB17)-1),"x")</f>
        <v>x</v>
      </c>
      <c r="AD15" s="937" t="str">
        <f>IFERROR(LEFT(AD14,FIND(",",AD14)-1),"X")</f>
        <v>X</v>
      </c>
      <c r="AE15" s="937" t="str">
        <f>IFERROR(LEFT(AE14,FIND(",",AE14)-1),"X")</f>
        <v>X</v>
      </c>
      <c r="AF15" s="937" t="str">
        <f t="shared" ref="AF15:AN15" si="20">IFERROR(LEFT(AF14,FIND(",",AF14)-1),"x")</f>
        <v>x</v>
      </c>
      <c r="AG15" s="937" t="str">
        <f t="shared" si="20"/>
        <v>x</v>
      </c>
      <c r="AH15" s="937" t="str">
        <f t="shared" si="20"/>
        <v>x</v>
      </c>
      <c r="AI15" s="937" t="str">
        <f t="shared" si="20"/>
        <v>x</v>
      </c>
      <c r="AJ15" s="937" t="str">
        <f t="shared" si="20"/>
        <v>x</v>
      </c>
      <c r="AK15" s="937" t="str">
        <f t="shared" si="20"/>
        <v>x</v>
      </c>
      <c r="AL15" s="937" t="str">
        <f t="shared" si="20"/>
        <v>x</v>
      </c>
      <c r="AM15" s="937" t="str">
        <f t="shared" si="20"/>
        <v>x</v>
      </c>
      <c r="AN15" s="937" t="str">
        <f t="shared" si="20"/>
        <v>x</v>
      </c>
      <c r="AO15" s="937" t="str">
        <f>IFERROR(LEFT(AO14,FIND(",",AO14)-1),"x")</f>
        <v>x</v>
      </c>
      <c r="AP15" s="937" t="str">
        <f>IFERROR(LEFT(AP14,FIND(",",AP14)-1),"x")</f>
        <v>x</v>
      </c>
      <c r="AQ15" s="937" t="str">
        <f>IFERROR(LEFT(AQ14,FIND(",",AQ14)-1),"x")</f>
        <v>x</v>
      </c>
      <c r="AR15" s="937" t="str">
        <f>IFERROR(LEFT(AR14,FIND(",",AR14)-1),"x")</f>
        <v>x</v>
      </c>
      <c r="AS15" s="937" t="str">
        <f>IFERROR(LEFT(AS14,FIND(",",AS14)-1),"x")</f>
        <v>x</v>
      </c>
      <c r="AT15" s="3324" t="str">
        <f t="shared" si="1"/>
        <v>x</v>
      </c>
      <c r="AU15" s="215">
        <f t="shared" si="2"/>
        <v>34</v>
      </c>
      <c r="AV15" s="2787" t="str">
        <f>$AN$5</f>
        <v>x</v>
      </c>
      <c r="AW15" s="3324" t="str">
        <f t="shared" si="6"/>
        <v>x</v>
      </c>
      <c r="AX15" s="215">
        <f t="shared" si="7"/>
        <v>34</v>
      </c>
      <c r="AY15" s="2787" t="str">
        <f>$AN$10</f>
        <v>x</v>
      </c>
      <c r="AZ15" s="3324" t="str">
        <f>IFERROR(VLOOKUP(A12,BA4:BB37,2,0),"x")</f>
        <v>x</v>
      </c>
      <c r="BA15" s="215">
        <f t="shared" si="8"/>
        <v>34</v>
      </c>
      <c r="BB15" s="2787" t="str">
        <f>$AN$15</f>
        <v>x</v>
      </c>
      <c r="BC15" s="3324" t="str">
        <f t="shared" si="9"/>
        <v>x</v>
      </c>
      <c r="BD15" s="215">
        <f t="shared" si="10"/>
        <v>34</v>
      </c>
      <c r="BE15" s="2787" t="str">
        <f>$AN$20</f>
        <v>x</v>
      </c>
      <c r="BF15" s="3324" t="str">
        <f t="shared" si="11"/>
        <v>x</v>
      </c>
      <c r="BG15" s="215">
        <f t="shared" si="12"/>
        <v>34</v>
      </c>
      <c r="BH15" s="3318" t="str">
        <f>$AN$25</f>
        <v>x</v>
      </c>
    </row>
    <row r="16" spans="1:61">
      <c r="A16">
        <v>16</v>
      </c>
      <c r="B16" s="307" t="str">
        <f t="shared" si="3"/>
        <v>Madera de Ghestal</v>
      </c>
      <c r="C16" s="286">
        <f t="shared" si="4"/>
        <v>6</v>
      </c>
      <c r="D16" s="3413" t="s">
        <v>10358</v>
      </c>
      <c r="E16" s="2334"/>
      <c r="F16" s="2334">
        <v>50</v>
      </c>
      <c r="G16" s="2334">
        <v>180</v>
      </c>
      <c r="H16" s="2334">
        <v>120</v>
      </c>
      <c r="I16" s="2334">
        <v>9</v>
      </c>
      <c r="J16" s="2334">
        <v>10</v>
      </c>
      <c r="K16" s="2334">
        <v>0</v>
      </c>
      <c r="L16" s="2334">
        <v>30</v>
      </c>
      <c r="M16" s="2334">
        <v>7</v>
      </c>
      <c r="N16" s="2334">
        <v>140</v>
      </c>
      <c r="O16" s="2334">
        <v>28</v>
      </c>
      <c r="P16" s="2334">
        <v>0</v>
      </c>
      <c r="Q16" s="3338"/>
      <c r="V16" s="3410" t="s">
        <v>76</v>
      </c>
      <c r="X16" s="3320" t="s">
        <v>686</v>
      </c>
      <c r="Y16" s="2786">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3321">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3304"/>
      <c r="AB16" s="3322" t="s">
        <v>483</v>
      </c>
      <c r="AC16" s="937" t="e">
        <f>RIGHT(AS14,LEN(AS14)-FIND(",",AS14))</f>
        <v>#N/A</v>
      </c>
      <c r="AD16" s="937" t="e">
        <f>RIGHT(AC16,LEN(AC16)-FIND(",",AC16))</f>
        <v>#N/A</v>
      </c>
      <c r="AE16" s="937" t="e">
        <f t="shared" ref="AE16:AS16" si="21">RIGHT(AD16,LEN(AD16)-FIND(",",AD16))</f>
        <v>#N/A</v>
      </c>
      <c r="AF16" s="937" t="e">
        <f t="shared" si="21"/>
        <v>#N/A</v>
      </c>
      <c r="AG16" s="937" t="e">
        <f t="shared" si="21"/>
        <v>#N/A</v>
      </c>
      <c r="AH16" s="937" t="e">
        <f t="shared" si="21"/>
        <v>#N/A</v>
      </c>
      <c r="AI16" s="937" t="e">
        <f t="shared" si="21"/>
        <v>#N/A</v>
      </c>
      <c r="AJ16" s="937" t="e">
        <f t="shared" si="21"/>
        <v>#N/A</v>
      </c>
      <c r="AK16" s="937" t="e">
        <f t="shared" si="21"/>
        <v>#N/A</v>
      </c>
      <c r="AL16" s="937" t="e">
        <f t="shared" si="21"/>
        <v>#N/A</v>
      </c>
      <c r="AM16" s="937" t="e">
        <f t="shared" si="21"/>
        <v>#N/A</v>
      </c>
      <c r="AN16" s="937" t="e">
        <f t="shared" si="21"/>
        <v>#N/A</v>
      </c>
      <c r="AO16" s="937" t="e">
        <f t="shared" si="21"/>
        <v>#N/A</v>
      </c>
      <c r="AP16" s="937" t="e">
        <f t="shared" si="21"/>
        <v>#N/A</v>
      </c>
      <c r="AQ16" s="937" t="e">
        <f t="shared" si="21"/>
        <v>#N/A</v>
      </c>
      <c r="AR16" s="937" t="e">
        <f t="shared" si="21"/>
        <v>#N/A</v>
      </c>
      <c r="AS16" s="937" t="e">
        <f t="shared" si="21"/>
        <v>#N/A</v>
      </c>
      <c r="AT16" s="3324" t="str">
        <f t="shared" si="1"/>
        <v>x</v>
      </c>
      <c r="AU16" s="215">
        <f t="shared" si="2"/>
        <v>34</v>
      </c>
      <c r="AV16" s="2787" t="str">
        <f>$AO$5</f>
        <v>x</v>
      </c>
      <c r="AW16" s="3324" t="str">
        <f t="shared" si="6"/>
        <v>x</v>
      </c>
      <c r="AX16" s="215">
        <f t="shared" si="7"/>
        <v>34</v>
      </c>
      <c r="AY16" s="2787" t="str">
        <f>$AO$10</f>
        <v>x</v>
      </c>
      <c r="AZ16" s="3324" t="str">
        <f>IFERROR(VLOOKUP(A13,BA4:BB37,2,0),"x")</f>
        <v>x</v>
      </c>
      <c r="BA16" s="215">
        <f t="shared" si="8"/>
        <v>34</v>
      </c>
      <c r="BB16" s="2787" t="str">
        <f>$AO$15</f>
        <v>x</v>
      </c>
      <c r="BC16" s="3324" t="str">
        <f t="shared" si="9"/>
        <v>x</v>
      </c>
      <c r="BD16" s="215">
        <f t="shared" si="10"/>
        <v>34</v>
      </c>
      <c r="BE16" s="2787" t="str">
        <f>$AO$20</f>
        <v>x</v>
      </c>
      <c r="BF16" s="3324" t="str">
        <f t="shared" si="11"/>
        <v>x</v>
      </c>
      <c r="BG16" s="215">
        <f t="shared" si="12"/>
        <v>34</v>
      </c>
      <c r="BH16" s="3318" t="str">
        <f>$AO$25</f>
        <v>x</v>
      </c>
    </row>
    <row r="17" spans="1:60">
      <c r="A17">
        <v>17</v>
      </c>
      <c r="B17" s="307" t="str">
        <f t="shared" si="3"/>
        <v>Malebolgia</v>
      </c>
      <c r="C17" s="286">
        <f t="shared" si="4"/>
        <v>11</v>
      </c>
      <c r="D17" s="3413" t="s">
        <v>10809</v>
      </c>
      <c r="E17" s="286"/>
      <c r="F17" s="286">
        <v>60</v>
      </c>
      <c r="G17" s="286">
        <v>200</v>
      </c>
      <c r="H17" s="286">
        <v>140</v>
      </c>
      <c r="I17" s="286">
        <v>10</v>
      </c>
      <c r="J17" s="286">
        <v>11</v>
      </c>
      <c r="K17" s="286">
        <v>10</v>
      </c>
      <c r="L17" s="286">
        <v>40</v>
      </c>
      <c r="M17" s="286">
        <v>7</v>
      </c>
      <c r="N17" s="286">
        <v>160</v>
      </c>
      <c r="O17" s="286">
        <v>26</v>
      </c>
      <c r="P17" s="286">
        <v>0</v>
      </c>
      <c r="Q17" s="3338"/>
      <c r="S17" s="3331"/>
      <c r="U17" s="3331"/>
      <c r="V17" s="3410" t="s">
        <v>74</v>
      </c>
      <c r="X17" s="3320" t="s">
        <v>687</v>
      </c>
      <c r="Y17" s="2786">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3321">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3304"/>
      <c r="AB17" s="3330" t="e">
        <f>VLOOKUP(AB15,Constructos_Atributos,4,0)</f>
        <v>#N/A</v>
      </c>
      <c r="AC17" s="937" t="str">
        <f t="shared" ref="AC17:AS17" si="22">IFERROR(LEFT(AC16,FIND(",",AC16)-1),"x")</f>
        <v>x</v>
      </c>
      <c r="AD17" s="937" t="str">
        <f t="shared" si="22"/>
        <v>x</v>
      </c>
      <c r="AE17" s="937" t="str">
        <f t="shared" si="22"/>
        <v>x</v>
      </c>
      <c r="AF17" s="937" t="str">
        <f t="shared" si="22"/>
        <v>x</v>
      </c>
      <c r="AG17" s="937" t="str">
        <f t="shared" si="22"/>
        <v>x</v>
      </c>
      <c r="AH17" s="937" t="str">
        <f t="shared" si="22"/>
        <v>x</v>
      </c>
      <c r="AI17" s="937" t="str">
        <f t="shared" si="22"/>
        <v>x</v>
      </c>
      <c r="AJ17" s="937" t="str">
        <f t="shared" si="22"/>
        <v>x</v>
      </c>
      <c r="AK17" s="937" t="str">
        <f t="shared" si="22"/>
        <v>x</v>
      </c>
      <c r="AL17" s="937" t="str">
        <f t="shared" si="22"/>
        <v>x</v>
      </c>
      <c r="AM17" s="937" t="str">
        <f t="shared" si="22"/>
        <v>x</v>
      </c>
      <c r="AN17" s="937" t="str">
        <f t="shared" si="22"/>
        <v>x</v>
      </c>
      <c r="AO17" s="937" t="str">
        <f t="shared" si="22"/>
        <v>x</v>
      </c>
      <c r="AP17" s="937" t="str">
        <f t="shared" si="22"/>
        <v>x</v>
      </c>
      <c r="AQ17" s="937" t="str">
        <f t="shared" si="22"/>
        <v>x</v>
      </c>
      <c r="AR17" s="937" t="str">
        <f t="shared" si="22"/>
        <v>x</v>
      </c>
      <c r="AS17" s="937" t="str">
        <f t="shared" si="22"/>
        <v>x</v>
      </c>
      <c r="AT17" s="3324" t="str">
        <f t="shared" si="1"/>
        <v>x</v>
      </c>
      <c r="AU17" s="215">
        <f t="shared" si="2"/>
        <v>34</v>
      </c>
      <c r="AV17" s="2787" t="str">
        <f>$AP$5</f>
        <v>x</v>
      </c>
      <c r="AW17" s="3324" t="str">
        <f t="shared" si="6"/>
        <v>x</v>
      </c>
      <c r="AX17" s="215">
        <f t="shared" si="7"/>
        <v>34</v>
      </c>
      <c r="AY17" s="2787" t="str">
        <f>$AP$10</f>
        <v>x</v>
      </c>
      <c r="AZ17" s="3324" t="str">
        <f>IFERROR(VLOOKUP(A14,BA4:BB37,2,0),"x")</f>
        <v>x</v>
      </c>
      <c r="BA17" s="215">
        <f t="shared" si="8"/>
        <v>34</v>
      </c>
      <c r="BB17" s="2787" t="str">
        <f>$AP$15</f>
        <v>x</v>
      </c>
      <c r="BC17" s="3324" t="str">
        <f t="shared" si="9"/>
        <v>x</v>
      </c>
      <c r="BD17" s="215">
        <f t="shared" si="10"/>
        <v>34</v>
      </c>
      <c r="BE17" s="2787" t="str">
        <f>$AP$20</f>
        <v>x</v>
      </c>
      <c r="BF17" s="3324" t="str">
        <f t="shared" si="11"/>
        <v>x</v>
      </c>
      <c r="BG17" s="215">
        <f t="shared" si="12"/>
        <v>34</v>
      </c>
      <c r="BH17" s="3318" t="str">
        <f>$AP$25</f>
        <v>x</v>
      </c>
    </row>
    <row r="18" spans="1:60">
      <c r="A18">
        <v>18</v>
      </c>
      <c r="B18" s="307" t="str">
        <f t="shared" si="3"/>
        <v>Metal estelar</v>
      </c>
      <c r="C18" s="286">
        <f t="shared" si="4"/>
        <v>17</v>
      </c>
      <c r="D18" s="3413" t="s">
        <v>10810</v>
      </c>
      <c r="E18" s="286"/>
      <c r="F18" s="286">
        <v>60</v>
      </c>
      <c r="G18" s="286">
        <v>200</v>
      </c>
      <c r="H18" s="286">
        <v>140</v>
      </c>
      <c r="I18" s="286">
        <v>11</v>
      </c>
      <c r="J18" s="286">
        <v>10</v>
      </c>
      <c r="K18" s="286">
        <v>10</v>
      </c>
      <c r="L18" s="286">
        <v>40</v>
      </c>
      <c r="M18" s="286">
        <v>7</v>
      </c>
      <c r="N18" s="286">
        <v>160</v>
      </c>
      <c r="O18" s="286">
        <v>26</v>
      </c>
      <c r="P18" s="286">
        <v>0</v>
      </c>
      <c r="Q18" s="3338"/>
      <c r="R18" s="3305"/>
      <c r="S18" s="3305"/>
      <c r="V18" s="3410" t="s">
        <v>64</v>
      </c>
      <c r="X18" s="3320" t="s">
        <v>1291</v>
      </c>
      <c r="Y18" s="2786">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3321">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3332"/>
      <c r="AB18" s="8351" t="s">
        <v>10576</v>
      </c>
      <c r="AC18" s="8351"/>
      <c r="AD18" s="8351"/>
      <c r="AE18" s="8351"/>
      <c r="AF18" s="8351"/>
      <c r="AG18" s="8351"/>
      <c r="AH18" s="8351"/>
      <c r="AI18" s="8351"/>
      <c r="AJ18" s="8351"/>
      <c r="AK18" s="8351"/>
      <c r="AL18" s="8351"/>
      <c r="AM18" s="8351"/>
      <c r="AN18" s="8351"/>
      <c r="AO18" s="8351"/>
      <c r="AP18" s="8351"/>
      <c r="AQ18" s="8351"/>
      <c r="AR18" s="8351"/>
      <c r="AS18" s="8352"/>
      <c r="AT18" s="3324" t="str">
        <f t="shared" si="1"/>
        <v>x</v>
      </c>
      <c r="AU18" s="215">
        <f t="shared" si="2"/>
        <v>34</v>
      </c>
      <c r="AV18" s="2787" t="str">
        <f>$AQ$5</f>
        <v>x</v>
      </c>
      <c r="AW18" s="3324" t="str">
        <f t="shared" si="6"/>
        <v>x</v>
      </c>
      <c r="AX18" s="215">
        <f t="shared" si="7"/>
        <v>34</v>
      </c>
      <c r="AY18" s="2787" t="str">
        <f>$AQ$10</f>
        <v>x</v>
      </c>
      <c r="AZ18" s="3324" t="str">
        <f>IFERROR(VLOOKUP(A15,BA4:BB37,2,0),"x")</f>
        <v>x</v>
      </c>
      <c r="BA18" s="215">
        <f t="shared" si="8"/>
        <v>34</v>
      </c>
      <c r="BB18" s="2787" t="str">
        <f>$AQ$15</f>
        <v>x</v>
      </c>
      <c r="BC18" s="3324" t="str">
        <f t="shared" si="9"/>
        <v>x</v>
      </c>
      <c r="BD18" s="215">
        <f t="shared" si="10"/>
        <v>34</v>
      </c>
      <c r="BE18" s="2787" t="str">
        <f>$AQ$20</f>
        <v>x</v>
      </c>
      <c r="BF18" s="3324" t="str">
        <f t="shared" si="11"/>
        <v>x</v>
      </c>
      <c r="BG18" s="215">
        <f t="shared" si="12"/>
        <v>34</v>
      </c>
      <c r="BH18" s="3318" t="str">
        <f>$AQ$25</f>
        <v>x</v>
      </c>
    </row>
    <row r="19" spans="1:60" ht="25.5">
      <c r="A19">
        <v>19</v>
      </c>
      <c r="B19" s="307" t="str">
        <f t="shared" si="3"/>
        <v xml:space="preserve">Nogal </v>
      </c>
      <c r="C19" s="286">
        <f t="shared" si="4"/>
        <v>18</v>
      </c>
      <c r="D19" s="3413" t="s">
        <v>10811</v>
      </c>
      <c r="E19" s="286"/>
      <c r="F19" s="286">
        <v>40</v>
      </c>
      <c r="G19" s="286">
        <v>130</v>
      </c>
      <c r="H19" s="286">
        <v>120</v>
      </c>
      <c r="I19" s="286">
        <v>8</v>
      </c>
      <c r="J19" s="286">
        <v>9</v>
      </c>
      <c r="K19" s="286">
        <v>15</v>
      </c>
      <c r="L19" s="286">
        <v>20</v>
      </c>
      <c r="M19" s="286">
        <v>8</v>
      </c>
      <c r="N19" s="286">
        <v>120</v>
      </c>
      <c r="O19" s="286">
        <v>22</v>
      </c>
      <c r="P19" s="286">
        <v>1</v>
      </c>
      <c r="Q19" s="3338"/>
      <c r="V19" s="3410" t="s">
        <v>66</v>
      </c>
      <c r="X19" s="3320" t="s">
        <v>1292</v>
      </c>
      <c r="Y19" s="2786">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3321">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3304"/>
      <c r="AB19" s="3322" t="s">
        <v>8356</v>
      </c>
      <c r="AC19" s="937"/>
      <c r="AD19" s="937" t="e">
        <f>RIGHT(AB22,LEN(AB22)-FIND(",",AB22))</f>
        <v>#N/A</v>
      </c>
      <c r="AE19" s="937" t="e">
        <f t="shared" ref="AE19:AN19" si="23">RIGHT(AD19,LEN(AD19)-FIND(",",AD19))</f>
        <v>#N/A</v>
      </c>
      <c r="AF19" s="937" t="e">
        <f t="shared" si="23"/>
        <v>#N/A</v>
      </c>
      <c r="AG19" s="937" t="e">
        <f t="shared" si="23"/>
        <v>#N/A</v>
      </c>
      <c r="AH19" s="937" t="e">
        <f t="shared" si="23"/>
        <v>#N/A</v>
      </c>
      <c r="AI19" s="937" t="e">
        <f t="shared" si="23"/>
        <v>#N/A</v>
      </c>
      <c r="AJ19" s="937" t="e">
        <f t="shared" si="23"/>
        <v>#N/A</v>
      </c>
      <c r="AK19" s="937" t="e">
        <f t="shared" si="23"/>
        <v>#N/A</v>
      </c>
      <c r="AL19" s="937" t="e">
        <f t="shared" si="23"/>
        <v>#N/A</v>
      </c>
      <c r="AM19" s="937" t="e">
        <f t="shared" si="23"/>
        <v>#N/A</v>
      </c>
      <c r="AN19" s="937" t="e">
        <f t="shared" si="23"/>
        <v>#N/A</v>
      </c>
      <c r="AO19" s="937" t="e">
        <f>RIGHT(AN19,LEN(AN19)-FIND(",",AN19))</f>
        <v>#N/A</v>
      </c>
      <c r="AP19" s="937" t="e">
        <f>RIGHT(AO19,LEN(AO19)-FIND(",",AO19))</f>
        <v>#N/A</v>
      </c>
      <c r="AQ19" s="937" t="e">
        <f>RIGHT(AP19,LEN(AP19)-FIND(",",AP19))</f>
        <v>#N/A</v>
      </c>
      <c r="AR19" s="937" t="e">
        <f>RIGHT(AQ19,LEN(AQ19)-FIND(",",AQ19))</f>
        <v>#N/A</v>
      </c>
      <c r="AS19" s="3323" t="e">
        <f>RIGHT(AR19,LEN(AR19)-FIND(",",AR19))</f>
        <v>#N/A</v>
      </c>
      <c r="AT19" s="3324" t="str">
        <f t="shared" si="1"/>
        <v>x</v>
      </c>
      <c r="AU19" s="215">
        <f t="shared" si="2"/>
        <v>34</v>
      </c>
      <c r="AV19" s="2787" t="str">
        <f>$AR$5</f>
        <v>x</v>
      </c>
      <c r="AW19" s="3324" t="str">
        <f t="shared" si="6"/>
        <v>x</v>
      </c>
      <c r="AX19" s="215">
        <f t="shared" si="7"/>
        <v>34</v>
      </c>
      <c r="AY19" s="2787" t="str">
        <f>$AR$10</f>
        <v>x</v>
      </c>
      <c r="AZ19" s="3324" t="str">
        <f>IFERROR(VLOOKUP(A16,BA4:BB37,2,0),"x")</f>
        <v>x</v>
      </c>
      <c r="BA19" s="215">
        <f t="shared" si="8"/>
        <v>34</v>
      </c>
      <c r="BB19" s="2787" t="str">
        <f>$AR$15</f>
        <v>x</v>
      </c>
      <c r="BC19" s="3324" t="str">
        <f t="shared" si="9"/>
        <v>x</v>
      </c>
      <c r="BD19" s="215">
        <f t="shared" si="10"/>
        <v>34</v>
      </c>
      <c r="BE19" s="2787" t="str">
        <f>$AR$20</f>
        <v>x</v>
      </c>
      <c r="BF19" s="3324" t="str">
        <f t="shared" si="11"/>
        <v>x</v>
      </c>
      <c r="BG19" s="215">
        <f t="shared" si="12"/>
        <v>34</v>
      </c>
      <c r="BH19" s="3318" t="str">
        <f>$AR$25</f>
        <v>x</v>
      </c>
    </row>
    <row r="20" spans="1:60" ht="25.5">
      <c r="A20">
        <v>20</v>
      </c>
      <c r="B20" s="307" t="str">
        <f t="shared" si="3"/>
        <v>Nyx</v>
      </c>
      <c r="C20" s="286">
        <f t="shared" si="4"/>
        <v>13</v>
      </c>
      <c r="D20" s="3413" t="s">
        <v>10359</v>
      </c>
      <c r="E20" s="2334"/>
      <c r="F20" s="2334">
        <v>60</v>
      </c>
      <c r="G20" s="2334">
        <v>250</v>
      </c>
      <c r="H20" s="2334">
        <v>140</v>
      </c>
      <c r="I20" s="2334">
        <v>10</v>
      </c>
      <c r="J20" s="2334">
        <v>11</v>
      </c>
      <c r="K20" s="2334">
        <v>10</v>
      </c>
      <c r="L20" s="2334">
        <v>40</v>
      </c>
      <c r="M20" s="2334">
        <v>8</v>
      </c>
      <c r="N20" s="2334">
        <v>160</v>
      </c>
      <c r="O20" s="2334">
        <v>32</v>
      </c>
      <c r="P20" s="2334">
        <v>1</v>
      </c>
      <c r="Q20" s="3338"/>
      <c r="S20" s="510"/>
      <c r="V20" s="3410" t="s">
        <v>80</v>
      </c>
      <c r="X20" s="3320" t="s">
        <v>1293</v>
      </c>
      <c r="Y20" s="2786">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3321">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3304"/>
      <c r="AB20" s="3330" t="str">
        <f>IF(Constructos!$K$64="","",Constructos!$K$64)</f>
        <v/>
      </c>
      <c r="AC20" s="937" t="str">
        <f>IFERROR(LEFT(AB22,FIND(",",AB22)-1),"x")</f>
        <v>x</v>
      </c>
      <c r="AD20" s="937" t="str">
        <f>IFERROR(LEFT(AD19,FIND(",",AD19)-1),"X")</f>
        <v>X</v>
      </c>
      <c r="AE20" s="937" t="str">
        <f>IFERROR(LEFT(AE19,FIND(",",AE19)-1),"X")</f>
        <v>X</v>
      </c>
      <c r="AF20" s="937" t="str">
        <f t="shared" ref="AF20:AN20" si="24">IFERROR(LEFT(AF19,FIND(",",AF19)-1),"x")</f>
        <v>x</v>
      </c>
      <c r="AG20" s="937" t="str">
        <f t="shared" si="24"/>
        <v>x</v>
      </c>
      <c r="AH20" s="937" t="str">
        <f t="shared" si="24"/>
        <v>x</v>
      </c>
      <c r="AI20" s="937" t="str">
        <f t="shared" si="24"/>
        <v>x</v>
      </c>
      <c r="AJ20" s="937" t="str">
        <f t="shared" si="24"/>
        <v>x</v>
      </c>
      <c r="AK20" s="937" t="str">
        <f t="shared" si="24"/>
        <v>x</v>
      </c>
      <c r="AL20" s="937" t="str">
        <f t="shared" si="24"/>
        <v>x</v>
      </c>
      <c r="AM20" s="937" t="str">
        <f t="shared" si="24"/>
        <v>x</v>
      </c>
      <c r="AN20" s="937" t="str">
        <f t="shared" si="24"/>
        <v>x</v>
      </c>
      <c r="AO20" s="937" t="str">
        <f>IFERROR(LEFT(AO19,FIND(",",AO19)-1),"x")</f>
        <v>x</v>
      </c>
      <c r="AP20" s="937" t="str">
        <f>IFERROR(LEFT(AP19,FIND(",",AP19)-1),"x")</f>
        <v>x</v>
      </c>
      <c r="AQ20" s="937" t="str">
        <f>IFERROR(LEFT(AQ19,FIND(",",AQ19)-1),"x")</f>
        <v>x</v>
      </c>
      <c r="AR20" s="937" t="str">
        <f>IFERROR(LEFT(AR19,FIND(",",AR19)-1),"x")</f>
        <v>x</v>
      </c>
      <c r="AS20" s="3323" t="str">
        <f>IFERROR(LEFT(AS19,FIND(",",AS19)-1),"x")</f>
        <v>x</v>
      </c>
      <c r="AT20" s="3324" t="str">
        <f t="shared" si="1"/>
        <v>x</v>
      </c>
      <c r="AU20" s="215">
        <f t="shared" si="2"/>
        <v>34</v>
      </c>
      <c r="AV20" s="2787" t="str">
        <f>$AS$5</f>
        <v>x</v>
      </c>
      <c r="AW20" s="3324" t="str">
        <f t="shared" si="6"/>
        <v>x</v>
      </c>
      <c r="AX20" s="215">
        <f t="shared" si="7"/>
        <v>34</v>
      </c>
      <c r="AY20" s="2787" t="str">
        <f>$AS$10</f>
        <v>x</v>
      </c>
      <c r="AZ20" s="3324" t="str">
        <f>IFERROR(VLOOKUP(A17,BA4:BB37,2,0),"x")</f>
        <v>x</v>
      </c>
      <c r="BA20" s="215">
        <f t="shared" si="8"/>
        <v>34</v>
      </c>
      <c r="BB20" s="2787" t="str">
        <f>$AS$15</f>
        <v>x</v>
      </c>
      <c r="BC20" s="3324" t="str">
        <f t="shared" si="9"/>
        <v>x</v>
      </c>
      <c r="BD20" s="215">
        <f t="shared" si="10"/>
        <v>34</v>
      </c>
      <c r="BE20" s="2787" t="str">
        <f>$AS$20</f>
        <v>x</v>
      </c>
      <c r="BF20" s="3324" t="str">
        <f t="shared" si="11"/>
        <v>x</v>
      </c>
      <c r="BG20" s="215">
        <f t="shared" si="12"/>
        <v>34</v>
      </c>
      <c r="BH20" s="3318" t="str">
        <f>$AS$25</f>
        <v>x</v>
      </c>
    </row>
    <row r="21" spans="1:60">
      <c r="A21">
        <v>21</v>
      </c>
      <c r="B21" s="307" t="str">
        <f t="shared" si="3"/>
        <v>Oro y plata</v>
      </c>
      <c r="C21" s="286">
        <f t="shared" si="4"/>
        <v>14</v>
      </c>
      <c r="D21" s="3413" t="s">
        <v>10360</v>
      </c>
      <c r="E21" s="2334"/>
      <c r="F21" s="2334">
        <v>80</v>
      </c>
      <c r="G21" s="2334">
        <v>300</v>
      </c>
      <c r="H21" s="2334">
        <v>160</v>
      </c>
      <c r="I21" s="2334">
        <v>9</v>
      </c>
      <c r="J21" s="2334">
        <v>13</v>
      </c>
      <c r="K21" s="2334">
        <v>10</v>
      </c>
      <c r="L21" s="2334">
        <v>50</v>
      </c>
      <c r="M21" s="2334">
        <v>9</v>
      </c>
      <c r="N21" s="2334">
        <v>160</v>
      </c>
      <c r="O21" s="2334">
        <v>33</v>
      </c>
      <c r="P21" s="2334">
        <v>1</v>
      </c>
      <c r="Q21" s="3338"/>
      <c r="S21" s="3343"/>
      <c r="V21" s="3410" t="s">
        <v>10050</v>
      </c>
      <c r="X21" s="3320" t="s">
        <v>1295</v>
      </c>
      <c r="Y21" s="2786">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3321">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3345"/>
      <c r="AB21" s="3322" t="s">
        <v>483</v>
      </c>
      <c r="AC21" s="937" t="e">
        <f>RIGHT(AS19,LEN(AS19)-FIND(",",AS19))</f>
        <v>#N/A</v>
      </c>
      <c r="AD21" s="937" t="e">
        <f>RIGHT(AC21,LEN(AC21)-FIND(",",AC21))</f>
        <v>#N/A</v>
      </c>
      <c r="AE21" s="937" t="e">
        <f t="shared" ref="AE21:AS21" si="25">RIGHT(AD21,LEN(AD21)-FIND(",",AD21))</f>
        <v>#N/A</v>
      </c>
      <c r="AF21" s="937" t="e">
        <f t="shared" si="25"/>
        <v>#N/A</v>
      </c>
      <c r="AG21" s="937" t="e">
        <f t="shared" si="25"/>
        <v>#N/A</v>
      </c>
      <c r="AH21" s="937" t="e">
        <f t="shared" si="25"/>
        <v>#N/A</v>
      </c>
      <c r="AI21" s="937" t="e">
        <f t="shared" si="25"/>
        <v>#N/A</v>
      </c>
      <c r="AJ21" s="937" t="e">
        <f t="shared" si="25"/>
        <v>#N/A</v>
      </c>
      <c r="AK21" s="937" t="e">
        <f t="shared" si="25"/>
        <v>#N/A</v>
      </c>
      <c r="AL21" s="937" t="e">
        <f t="shared" si="25"/>
        <v>#N/A</v>
      </c>
      <c r="AM21" s="937" t="e">
        <f t="shared" si="25"/>
        <v>#N/A</v>
      </c>
      <c r="AN21" s="937" t="e">
        <f t="shared" si="25"/>
        <v>#N/A</v>
      </c>
      <c r="AO21" s="937" t="e">
        <f t="shared" si="25"/>
        <v>#N/A</v>
      </c>
      <c r="AP21" s="937" t="e">
        <f t="shared" si="25"/>
        <v>#N/A</v>
      </c>
      <c r="AQ21" s="937" t="e">
        <f t="shared" si="25"/>
        <v>#N/A</v>
      </c>
      <c r="AR21" s="937" t="e">
        <f t="shared" si="25"/>
        <v>#N/A</v>
      </c>
      <c r="AS21" s="937" t="e">
        <f t="shared" si="25"/>
        <v>#N/A</v>
      </c>
      <c r="AT21" s="3324" t="str">
        <f t="shared" si="1"/>
        <v>x</v>
      </c>
      <c r="AU21" s="215">
        <f t="shared" si="2"/>
        <v>34</v>
      </c>
      <c r="AV21" s="2787" t="str">
        <f>$AC$7</f>
        <v>x</v>
      </c>
      <c r="AW21" s="3324" t="str">
        <f t="shared" si="6"/>
        <v>x</v>
      </c>
      <c r="AX21" s="215">
        <f t="shared" si="7"/>
        <v>34</v>
      </c>
      <c r="AY21" s="2787" t="str">
        <f>$AC$12</f>
        <v>x</v>
      </c>
      <c r="AZ21" s="3324" t="str">
        <f>IFERROR(VLOOKUP(A18,BA4:BB37,2,0),"x")</f>
        <v>x</v>
      </c>
      <c r="BA21" s="215">
        <f t="shared" si="8"/>
        <v>34</v>
      </c>
      <c r="BB21" s="2787" t="str">
        <f>$AC$17</f>
        <v>x</v>
      </c>
      <c r="BC21" s="3324" t="str">
        <f t="shared" si="9"/>
        <v>x</v>
      </c>
      <c r="BD21" s="215">
        <f t="shared" si="10"/>
        <v>34</v>
      </c>
      <c r="BE21" s="2787" t="str">
        <f>$AC$22</f>
        <v>x</v>
      </c>
      <c r="BF21" s="3324" t="str">
        <f t="shared" si="11"/>
        <v>x</v>
      </c>
      <c r="BG21" s="215">
        <f t="shared" si="12"/>
        <v>34</v>
      </c>
      <c r="BH21" s="3318" t="str">
        <f>$AC$27</f>
        <v>x</v>
      </c>
    </row>
    <row r="22" spans="1:60" ht="26.25" thickBot="1">
      <c r="A22">
        <v>22</v>
      </c>
      <c r="B22" s="610" t="str">
        <f t="shared" si="3"/>
        <v>Piedra común</v>
      </c>
      <c r="C22" s="3405">
        <f t="shared" si="4"/>
        <v>15</v>
      </c>
      <c r="D22" s="3414" t="s">
        <v>10361</v>
      </c>
      <c r="E22" s="3406"/>
      <c r="F22" s="3406">
        <v>100</v>
      </c>
      <c r="G22" s="3406">
        <v>500</v>
      </c>
      <c r="H22" s="3406">
        <v>180</v>
      </c>
      <c r="I22" s="3406">
        <v>11</v>
      </c>
      <c r="J22" s="3406">
        <v>15</v>
      </c>
      <c r="K22" s="3406">
        <v>20</v>
      </c>
      <c r="L22" s="3406">
        <v>50</v>
      </c>
      <c r="M22" s="3406">
        <v>10</v>
      </c>
      <c r="N22" s="3406">
        <v>180</v>
      </c>
      <c r="O22" s="3406">
        <v>34</v>
      </c>
      <c r="P22" s="3406">
        <v>2</v>
      </c>
      <c r="Q22" s="3412"/>
      <c r="S22" s="510"/>
      <c r="V22" s="3410" t="s">
        <v>10587</v>
      </c>
      <c r="X22" s="3320" t="s">
        <v>1296</v>
      </c>
      <c r="Y22" s="2786">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3321">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3304"/>
      <c r="AB22" s="3330" t="e">
        <f>VLOOKUP(AB20,Constructos_Atributos,4,0)</f>
        <v>#N/A</v>
      </c>
      <c r="AC22" s="937" t="str">
        <f t="shared" ref="AC22:AS22" si="26">IFERROR(LEFT(AC21,FIND(",",AC21)-1),"x")</f>
        <v>x</v>
      </c>
      <c r="AD22" s="937" t="str">
        <f t="shared" si="26"/>
        <v>x</v>
      </c>
      <c r="AE22" s="937" t="str">
        <f t="shared" si="26"/>
        <v>x</v>
      </c>
      <c r="AF22" s="937" t="str">
        <f t="shared" si="26"/>
        <v>x</v>
      </c>
      <c r="AG22" s="937" t="str">
        <f t="shared" si="26"/>
        <v>x</v>
      </c>
      <c r="AH22" s="937" t="str">
        <f t="shared" si="26"/>
        <v>x</v>
      </c>
      <c r="AI22" s="937" t="str">
        <f t="shared" si="26"/>
        <v>x</v>
      </c>
      <c r="AJ22" s="937" t="str">
        <f t="shared" si="26"/>
        <v>x</v>
      </c>
      <c r="AK22" s="937" t="str">
        <f t="shared" si="26"/>
        <v>x</v>
      </c>
      <c r="AL22" s="937" t="str">
        <f t="shared" si="26"/>
        <v>x</v>
      </c>
      <c r="AM22" s="937" t="str">
        <f t="shared" si="26"/>
        <v>x</v>
      </c>
      <c r="AN22" s="937" t="str">
        <f t="shared" si="26"/>
        <v>x</v>
      </c>
      <c r="AO22" s="937" t="str">
        <f t="shared" si="26"/>
        <v>x</v>
      </c>
      <c r="AP22" s="937" t="str">
        <f t="shared" si="26"/>
        <v>x</v>
      </c>
      <c r="AQ22" s="937" t="str">
        <f t="shared" si="26"/>
        <v>x</v>
      </c>
      <c r="AR22" s="937" t="str">
        <f t="shared" si="26"/>
        <v>x</v>
      </c>
      <c r="AS22" s="937" t="str">
        <f t="shared" si="26"/>
        <v>x</v>
      </c>
      <c r="AT22" s="3324" t="str">
        <f t="shared" si="1"/>
        <v>x</v>
      </c>
      <c r="AU22" s="215">
        <f t="shared" si="2"/>
        <v>34</v>
      </c>
      <c r="AV22" s="2787" t="str">
        <f>$AD$7</f>
        <v>x</v>
      </c>
      <c r="AW22" s="3324" t="str">
        <f t="shared" si="6"/>
        <v>x</v>
      </c>
      <c r="AX22" s="215">
        <f t="shared" si="7"/>
        <v>34</v>
      </c>
      <c r="AY22" s="2787" t="str">
        <f>$AD$12</f>
        <v>x</v>
      </c>
      <c r="AZ22" s="3324" t="str">
        <f>IFERROR(VLOOKUP(A19,BA4:BB37,2,0),"x")</f>
        <v>x</v>
      </c>
      <c r="BA22" s="215">
        <f t="shared" si="8"/>
        <v>34</v>
      </c>
      <c r="BB22" s="2787" t="str">
        <f>$AD$17</f>
        <v>x</v>
      </c>
      <c r="BC22" s="3324" t="str">
        <f t="shared" si="9"/>
        <v>x</v>
      </c>
      <c r="BD22" s="215">
        <f t="shared" si="10"/>
        <v>34</v>
      </c>
      <c r="BE22" s="2787" t="str">
        <f>$AD$22</f>
        <v>x</v>
      </c>
      <c r="BF22" s="3324" t="str">
        <f t="shared" si="11"/>
        <v>x</v>
      </c>
      <c r="BG22" s="215">
        <f t="shared" si="12"/>
        <v>34</v>
      </c>
      <c r="BH22" s="3318" t="str">
        <f>$AD$27</f>
        <v>x</v>
      </c>
    </row>
    <row r="23" spans="1:60" ht="26.25" thickBot="1">
      <c r="A23">
        <v>23</v>
      </c>
      <c r="B23" s="332">
        <v>1</v>
      </c>
      <c r="C23" s="334">
        <v>2</v>
      </c>
      <c r="D23" s="332">
        <v>3</v>
      </c>
      <c r="E23" s="332">
        <v>4</v>
      </c>
      <c r="F23" s="332">
        <v>5</v>
      </c>
      <c r="G23" s="332">
        <v>6</v>
      </c>
      <c r="H23" s="332">
        <v>7</v>
      </c>
      <c r="I23" s="332">
        <v>8</v>
      </c>
      <c r="S23" s="3343"/>
      <c r="V23" s="3410" t="s">
        <v>10052</v>
      </c>
      <c r="X23" s="3320" t="s">
        <v>2405</v>
      </c>
      <c r="Y23" s="2786">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3321">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3304"/>
      <c r="AB23" s="8351" t="s">
        <v>10590</v>
      </c>
      <c r="AC23" s="8351"/>
      <c r="AD23" s="8351"/>
      <c r="AE23" s="8351"/>
      <c r="AF23" s="8351"/>
      <c r="AG23" s="8351"/>
      <c r="AH23" s="8351"/>
      <c r="AI23" s="8351"/>
      <c r="AJ23" s="8351"/>
      <c r="AK23" s="8351"/>
      <c r="AL23" s="8351"/>
      <c r="AM23" s="8351"/>
      <c r="AN23" s="8351"/>
      <c r="AO23" s="8351"/>
      <c r="AP23" s="8351"/>
      <c r="AQ23" s="8351"/>
      <c r="AR23" s="8351"/>
      <c r="AS23" s="8352"/>
      <c r="AT23" s="3324" t="str">
        <f t="shared" si="1"/>
        <v>x</v>
      </c>
      <c r="AU23" s="215">
        <f t="shared" si="2"/>
        <v>34</v>
      </c>
      <c r="AV23" s="2787" t="str">
        <f>$AE$7</f>
        <v>x</v>
      </c>
      <c r="AW23" s="3324" t="str">
        <f t="shared" si="6"/>
        <v>x</v>
      </c>
      <c r="AX23" s="215">
        <f t="shared" si="7"/>
        <v>34</v>
      </c>
      <c r="AY23" s="2787" t="str">
        <f>$AE$12</f>
        <v>x</v>
      </c>
      <c r="AZ23" s="3324" t="str">
        <f>IFERROR(VLOOKUP(A20,BA4:BB37,2,0),"x")</f>
        <v>x</v>
      </c>
      <c r="BA23" s="215">
        <f t="shared" si="8"/>
        <v>34</v>
      </c>
      <c r="BB23" s="2787" t="str">
        <f>$AE$17</f>
        <v>x</v>
      </c>
      <c r="BC23" s="3324" t="str">
        <f t="shared" si="9"/>
        <v>x</v>
      </c>
      <c r="BD23" s="215">
        <f t="shared" si="10"/>
        <v>34</v>
      </c>
      <c r="BE23" s="2787" t="str">
        <f>$AE$22</f>
        <v>x</v>
      </c>
      <c r="BF23" s="3324" t="str">
        <f t="shared" si="11"/>
        <v>x</v>
      </c>
      <c r="BG23" s="215">
        <f t="shared" si="12"/>
        <v>34</v>
      </c>
      <c r="BH23" s="3318" t="str">
        <f>$AE$27</f>
        <v>x</v>
      </c>
    </row>
    <row r="24" spans="1:60" ht="26.25" thickBot="1">
      <c r="A24">
        <v>24</v>
      </c>
      <c r="B24" s="8361" t="s">
        <v>1407</v>
      </c>
      <c r="C24" s="8362"/>
      <c r="D24" s="8362"/>
      <c r="E24" s="8362"/>
      <c r="F24" s="8362"/>
      <c r="G24" s="8362"/>
      <c r="H24" s="8362"/>
      <c r="I24" s="8363"/>
      <c r="S24" s="510"/>
      <c r="V24" s="3410" t="s">
        <v>10062</v>
      </c>
      <c r="X24" s="3320" t="s">
        <v>1297</v>
      </c>
      <c r="Y24" s="2786">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3321">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3304"/>
      <c r="AB24" s="3322" t="s">
        <v>8356</v>
      </c>
      <c r="AC24" s="937"/>
      <c r="AD24" s="937" t="e">
        <f>RIGHT(AB27,LEN(AB27)-FIND(",",AB27))</f>
        <v>#N/A</v>
      </c>
      <c r="AE24" s="937" t="e">
        <f t="shared" ref="AE24:AN24" si="27">RIGHT(AD24,LEN(AD24)-FIND(",",AD24))</f>
        <v>#N/A</v>
      </c>
      <c r="AF24" s="937" t="e">
        <f t="shared" si="27"/>
        <v>#N/A</v>
      </c>
      <c r="AG24" s="937" t="e">
        <f t="shared" si="27"/>
        <v>#N/A</v>
      </c>
      <c r="AH24" s="937" t="e">
        <f t="shared" si="27"/>
        <v>#N/A</v>
      </c>
      <c r="AI24" s="937" t="e">
        <f t="shared" si="27"/>
        <v>#N/A</v>
      </c>
      <c r="AJ24" s="937" t="e">
        <f t="shared" si="27"/>
        <v>#N/A</v>
      </c>
      <c r="AK24" s="937" t="e">
        <f t="shared" si="27"/>
        <v>#N/A</v>
      </c>
      <c r="AL24" s="937" t="e">
        <f t="shared" si="27"/>
        <v>#N/A</v>
      </c>
      <c r="AM24" s="937" t="e">
        <f t="shared" si="27"/>
        <v>#N/A</v>
      </c>
      <c r="AN24" s="937" t="e">
        <f t="shared" si="27"/>
        <v>#N/A</v>
      </c>
      <c r="AO24" s="937" t="e">
        <f>RIGHT(AN24,LEN(AN24)-FIND(",",AN24))</f>
        <v>#N/A</v>
      </c>
      <c r="AP24" s="937" t="e">
        <f>RIGHT(AO24,LEN(AO24)-FIND(",",AO24))</f>
        <v>#N/A</v>
      </c>
      <c r="AQ24" s="937" t="e">
        <f>RIGHT(AP24,LEN(AP24)-FIND(",",AP24))</f>
        <v>#N/A</v>
      </c>
      <c r="AR24" s="937" t="e">
        <f>RIGHT(AQ24,LEN(AQ24)-FIND(",",AQ24))</f>
        <v>#N/A</v>
      </c>
      <c r="AS24" s="3323" t="e">
        <f>RIGHT(AR24,LEN(AR24)-FIND(",",AR24))</f>
        <v>#N/A</v>
      </c>
      <c r="AT24" s="3324" t="str">
        <f t="shared" si="1"/>
        <v>x</v>
      </c>
      <c r="AU24" s="215">
        <f t="shared" si="2"/>
        <v>34</v>
      </c>
      <c r="AV24" s="2787" t="str">
        <f>$AF$7</f>
        <v>x</v>
      </c>
      <c r="AW24" s="3324" t="str">
        <f t="shared" si="6"/>
        <v>x</v>
      </c>
      <c r="AX24" s="215">
        <f t="shared" si="7"/>
        <v>34</v>
      </c>
      <c r="AY24" s="2787" t="str">
        <f>$AF$12</f>
        <v>x</v>
      </c>
      <c r="AZ24" s="3324" t="str">
        <f>IFERROR(VLOOKUP(A21,BA4:BB37,2,0),"x")</f>
        <v>x</v>
      </c>
      <c r="BA24" s="215">
        <f t="shared" si="8"/>
        <v>34</v>
      </c>
      <c r="BB24" s="2787" t="str">
        <f>$AF$17</f>
        <v>x</v>
      </c>
      <c r="BC24" s="3324" t="str">
        <f t="shared" si="9"/>
        <v>x</v>
      </c>
      <c r="BD24" s="215">
        <f t="shared" si="10"/>
        <v>34</v>
      </c>
      <c r="BE24" s="2787" t="str">
        <f>$AF$22</f>
        <v>x</v>
      </c>
      <c r="BF24" s="3324" t="str">
        <f t="shared" si="11"/>
        <v>x</v>
      </c>
      <c r="BG24" s="215">
        <f t="shared" si="12"/>
        <v>34</v>
      </c>
      <c r="BH24" s="3318" t="str">
        <f>$AF$27</f>
        <v>x</v>
      </c>
    </row>
    <row r="25" spans="1:60">
      <c r="A25">
        <v>25</v>
      </c>
      <c r="B25" s="3580"/>
      <c r="C25" s="3581" t="s">
        <v>1410</v>
      </c>
      <c r="D25" s="3581" t="s">
        <v>1357</v>
      </c>
      <c r="E25" s="3581" t="s">
        <v>1411</v>
      </c>
      <c r="F25" s="3581" t="s">
        <v>1412</v>
      </c>
      <c r="G25" s="3581" t="s">
        <v>1414</v>
      </c>
      <c r="H25" s="3581" t="s">
        <v>1413</v>
      </c>
      <c r="I25" s="3585" t="s">
        <v>1415</v>
      </c>
      <c r="S25" s="510"/>
      <c r="V25" s="3410" t="s">
        <v>10053</v>
      </c>
      <c r="X25" s="3320" t="s">
        <v>1299</v>
      </c>
      <c r="Y25" s="2786">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3321">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3304"/>
      <c r="AB25" s="3330" t="str">
        <f>IF(Constructos!$D$82="","",Constructos!$D$82)</f>
        <v/>
      </c>
      <c r="AC25" s="937" t="str">
        <f>IFERROR(LEFT(AB27,FIND(",",AB27)-1),"x")</f>
        <v>x</v>
      </c>
      <c r="AD25" s="937" t="str">
        <f>IFERROR(LEFT(AD24,FIND(",",AD24)-1),"X")</f>
        <v>X</v>
      </c>
      <c r="AE25" s="937" t="str">
        <f>IFERROR(LEFT(AE24,FIND(",",AE24)-1),"X")</f>
        <v>X</v>
      </c>
      <c r="AF25" s="937" t="str">
        <f t="shared" ref="AF25:AN25" si="28">IFERROR(LEFT(AF24,FIND(",",AF24)-1),"x")</f>
        <v>x</v>
      </c>
      <c r="AG25" s="937" t="str">
        <f t="shared" si="28"/>
        <v>x</v>
      </c>
      <c r="AH25" s="937" t="str">
        <f t="shared" si="28"/>
        <v>x</v>
      </c>
      <c r="AI25" s="937" t="str">
        <f t="shared" si="28"/>
        <v>x</v>
      </c>
      <c r="AJ25" s="937" t="str">
        <f t="shared" si="28"/>
        <v>x</v>
      </c>
      <c r="AK25" s="937" t="str">
        <f t="shared" si="28"/>
        <v>x</v>
      </c>
      <c r="AL25" s="937" t="str">
        <f t="shared" si="28"/>
        <v>x</v>
      </c>
      <c r="AM25" s="937" t="str">
        <f t="shared" si="28"/>
        <v>x</v>
      </c>
      <c r="AN25" s="937" t="str">
        <f t="shared" si="28"/>
        <v>x</v>
      </c>
      <c r="AO25" s="937" t="str">
        <f>IFERROR(LEFT(AO24,FIND(",",AO24)-1),"x")</f>
        <v>x</v>
      </c>
      <c r="AP25" s="937" t="str">
        <f>IFERROR(LEFT(AP24,FIND(",",AP24)-1),"x")</f>
        <v>x</v>
      </c>
      <c r="AQ25" s="937" t="str">
        <f>IFERROR(LEFT(AQ24,FIND(",",AQ24)-1),"x")</f>
        <v>x</v>
      </c>
      <c r="AR25" s="937" t="str">
        <f>IFERROR(LEFT(AR24,FIND(",",AR24)-1),"x")</f>
        <v>x</v>
      </c>
      <c r="AS25" s="3323" t="str">
        <f>IFERROR(LEFT(AS24,FIND(",",AS24)-1),"x")</f>
        <v>x</v>
      </c>
      <c r="AT25" s="3324" t="str">
        <f t="shared" si="1"/>
        <v>x</v>
      </c>
      <c r="AU25" s="215">
        <f t="shared" si="2"/>
        <v>34</v>
      </c>
      <c r="AV25" s="2787" t="str">
        <f>$AG$7</f>
        <v>x</v>
      </c>
      <c r="AW25" s="3324" t="str">
        <f t="shared" si="6"/>
        <v>x</v>
      </c>
      <c r="AX25" s="215">
        <f t="shared" si="7"/>
        <v>34</v>
      </c>
      <c r="AY25" s="2787" t="str">
        <f>$AG$12</f>
        <v>x</v>
      </c>
      <c r="AZ25" s="3324" t="str">
        <f>IFERROR(VLOOKUP(A22,BA4:BB37,2,0),"x")</f>
        <v>x</v>
      </c>
      <c r="BA25" s="215">
        <f t="shared" si="8"/>
        <v>34</v>
      </c>
      <c r="BB25" s="2787" t="str">
        <f>$AG$17</f>
        <v>x</v>
      </c>
      <c r="BC25" s="3324" t="str">
        <f t="shared" si="9"/>
        <v>x</v>
      </c>
      <c r="BD25" s="215">
        <f t="shared" si="10"/>
        <v>34</v>
      </c>
      <c r="BE25" s="2787" t="str">
        <f>$AG$22</f>
        <v>x</v>
      </c>
      <c r="BF25" s="3324" t="str">
        <f t="shared" si="11"/>
        <v>x</v>
      </c>
      <c r="BG25" s="215">
        <f t="shared" si="12"/>
        <v>34</v>
      </c>
      <c r="BH25" s="3318" t="str">
        <f>$AG$27</f>
        <v>x</v>
      </c>
    </row>
    <row r="26" spans="1:60">
      <c r="A26">
        <v>26</v>
      </c>
      <c r="B26" s="3582" t="s">
        <v>10803</v>
      </c>
      <c r="C26" s="3317">
        <v>0</v>
      </c>
      <c r="D26" s="3317">
        <v>0</v>
      </c>
      <c r="E26" s="3317">
        <v>0</v>
      </c>
      <c r="F26" s="3317">
        <v>0</v>
      </c>
      <c r="G26" s="3317">
        <v>0</v>
      </c>
      <c r="H26" s="3317">
        <v>0</v>
      </c>
      <c r="I26" s="3586">
        <v>0</v>
      </c>
      <c r="S26" s="510"/>
      <c r="V26" s="3410" t="s">
        <v>10054</v>
      </c>
      <c r="X26" s="3320" t="s">
        <v>688</v>
      </c>
      <c r="Y26" s="2786">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3321">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3304"/>
      <c r="AB26" s="3311" t="s">
        <v>483</v>
      </c>
      <c r="AC26" s="937" t="e">
        <f>RIGHT(AS24,LEN(AS24)-FIND(",",AS24))</f>
        <v>#N/A</v>
      </c>
      <c r="AD26" s="937" t="e">
        <f>RIGHT(AC26,LEN(AC26)-FIND(",",AC26))</f>
        <v>#N/A</v>
      </c>
      <c r="AE26" s="937" t="e">
        <f t="shared" ref="AE26:AS26" si="29">RIGHT(AD26,LEN(AD26)-FIND(",",AD26))</f>
        <v>#N/A</v>
      </c>
      <c r="AF26" s="937" t="e">
        <f t="shared" si="29"/>
        <v>#N/A</v>
      </c>
      <c r="AG26" s="937" t="e">
        <f t="shared" si="29"/>
        <v>#N/A</v>
      </c>
      <c r="AH26" s="937" t="e">
        <f t="shared" si="29"/>
        <v>#N/A</v>
      </c>
      <c r="AI26" s="937" t="e">
        <f t="shared" si="29"/>
        <v>#N/A</v>
      </c>
      <c r="AJ26" s="937" t="e">
        <f t="shared" si="29"/>
        <v>#N/A</v>
      </c>
      <c r="AK26" s="937" t="e">
        <f t="shared" si="29"/>
        <v>#N/A</v>
      </c>
      <c r="AL26" s="937" t="e">
        <f t="shared" si="29"/>
        <v>#N/A</v>
      </c>
      <c r="AM26" s="937" t="e">
        <f t="shared" si="29"/>
        <v>#N/A</v>
      </c>
      <c r="AN26" s="937" t="e">
        <f t="shared" si="29"/>
        <v>#N/A</v>
      </c>
      <c r="AO26" s="937" t="e">
        <f t="shared" si="29"/>
        <v>#N/A</v>
      </c>
      <c r="AP26" s="937" t="e">
        <f t="shared" si="29"/>
        <v>#N/A</v>
      </c>
      <c r="AQ26" s="937" t="e">
        <f t="shared" si="29"/>
        <v>#N/A</v>
      </c>
      <c r="AR26" s="937" t="e">
        <f t="shared" si="29"/>
        <v>#N/A</v>
      </c>
      <c r="AS26" s="937" t="e">
        <f t="shared" si="29"/>
        <v>#N/A</v>
      </c>
      <c r="AT26" s="3324" t="str">
        <f t="shared" si="1"/>
        <v>x</v>
      </c>
      <c r="AU26" s="215">
        <f t="shared" si="2"/>
        <v>34</v>
      </c>
      <c r="AV26" s="2787" t="str">
        <f>$AH$7</f>
        <v>x</v>
      </c>
      <c r="AW26" s="3324" t="str">
        <f t="shared" si="6"/>
        <v>x</v>
      </c>
      <c r="AX26" s="215">
        <f t="shared" si="7"/>
        <v>34</v>
      </c>
      <c r="AY26" s="2787" t="str">
        <f>$AH$12</f>
        <v>x</v>
      </c>
      <c r="AZ26" s="3324" t="str">
        <f>IFERROR(VLOOKUP(A23,BA4:BB37,2,0),"x")</f>
        <v>x</v>
      </c>
      <c r="BA26" s="215">
        <f t="shared" si="8"/>
        <v>34</v>
      </c>
      <c r="BB26" s="2787" t="str">
        <f>$AH$17</f>
        <v>x</v>
      </c>
      <c r="BC26" s="3324" t="str">
        <f t="shared" si="9"/>
        <v>x</v>
      </c>
      <c r="BD26" s="215">
        <f t="shared" si="10"/>
        <v>34</v>
      </c>
      <c r="BE26" s="2787" t="str">
        <f>$AH$22</f>
        <v>x</v>
      </c>
      <c r="BF26" s="3324" t="str">
        <f t="shared" si="11"/>
        <v>x</v>
      </c>
      <c r="BG26" s="215">
        <f t="shared" si="12"/>
        <v>34</v>
      </c>
      <c r="BH26" s="3318" t="str">
        <f>$AH$27</f>
        <v>x</v>
      </c>
    </row>
    <row r="27" spans="1:60" ht="25.5">
      <c r="A27">
        <v>27</v>
      </c>
      <c r="B27" s="3583" t="s">
        <v>10804</v>
      </c>
      <c r="C27" s="3317">
        <v>1</v>
      </c>
      <c r="D27" s="3317">
        <v>1</v>
      </c>
      <c r="E27" s="3317">
        <v>1</v>
      </c>
      <c r="F27" s="3317">
        <v>0</v>
      </c>
      <c r="G27" s="3317">
        <v>0</v>
      </c>
      <c r="H27" s="3317">
        <v>0</v>
      </c>
      <c r="I27" s="3586">
        <v>0</v>
      </c>
      <c r="S27" s="510"/>
      <c r="V27" s="3410" t="s">
        <v>10055</v>
      </c>
      <c r="X27" s="3320" t="s">
        <v>1302</v>
      </c>
      <c r="Y27" s="2786">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3321">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3304"/>
      <c r="AB27" s="3330" t="e">
        <f>VLOOKUP(AB25,Constructos_Atributos,4,0)</f>
        <v>#N/A</v>
      </c>
      <c r="AC27" s="937" t="str">
        <f t="shared" ref="AC27:AS27" si="30">IFERROR(LEFT(AC26,FIND(",",AC26)-1),"x")</f>
        <v>x</v>
      </c>
      <c r="AD27" s="937" t="str">
        <f t="shared" si="30"/>
        <v>x</v>
      </c>
      <c r="AE27" s="937" t="str">
        <f t="shared" si="30"/>
        <v>x</v>
      </c>
      <c r="AF27" s="937" t="str">
        <f t="shared" si="30"/>
        <v>x</v>
      </c>
      <c r="AG27" s="937" t="str">
        <f t="shared" si="30"/>
        <v>x</v>
      </c>
      <c r="AH27" s="937" t="str">
        <f t="shared" si="30"/>
        <v>x</v>
      </c>
      <c r="AI27" s="937" t="str">
        <f t="shared" si="30"/>
        <v>x</v>
      </c>
      <c r="AJ27" s="937" t="str">
        <f t="shared" si="30"/>
        <v>x</v>
      </c>
      <c r="AK27" s="937" t="str">
        <f t="shared" si="30"/>
        <v>x</v>
      </c>
      <c r="AL27" s="937" t="str">
        <f t="shared" si="30"/>
        <v>x</v>
      </c>
      <c r="AM27" s="937" t="str">
        <f t="shared" si="30"/>
        <v>x</v>
      </c>
      <c r="AN27" s="937" t="str">
        <f t="shared" si="30"/>
        <v>x</v>
      </c>
      <c r="AO27" s="937" t="str">
        <f t="shared" si="30"/>
        <v>x</v>
      </c>
      <c r="AP27" s="937" t="str">
        <f t="shared" si="30"/>
        <v>x</v>
      </c>
      <c r="AQ27" s="937" t="str">
        <f t="shared" si="30"/>
        <v>x</v>
      </c>
      <c r="AR27" s="937" t="str">
        <f t="shared" si="30"/>
        <v>x</v>
      </c>
      <c r="AS27" s="937" t="str">
        <f t="shared" si="30"/>
        <v>x</v>
      </c>
      <c r="AT27" s="3324" t="str">
        <f t="shared" si="1"/>
        <v>x</v>
      </c>
      <c r="AU27" s="215">
        <f t="shared" si="2"/>
        <v>34</v>
      </c>
      <c r="AV27" s="2787" t="str">
        <f>$AI$7</f>
        <v>x</v>
      </c>
      <c r="AW27" s="3324" t="str">
        <f t="shared" si="6"/>
        <v>x</v>
      </c>
      <c r="AX27" s="215">
        <f t="shared" si="7"/>
        <v>34</v>
      </c>
      <c r="AY27" s="2787" t="str">
        <f>$AI$12</f>
        <v>x</v>
      </c>
      <c r="AZ27" s="3324" t="str">
        <f>IFERROR(VLOOKUP(A24,BA4:BB37,2,0),"x")</f>
        <v>x</v>
      </c>
      <c r="BA27" s="215">
        <f t="shared" si="8"/>
        <v>34</v>
      </c>
      <c r="BB27" s="2787" t="str">
        <f>$AI$17</f>
        <v>x</v>
      </c>
      <c r="BC27" s="3324" t="str">
        <f t="shared" si="9"/>
        <v>x</v>
      </c>
      <c r="BD27" s="215">
        <f t="shared" si="10"/>
        <v>34</v>
      </c>
      <c r="BE27" s="2787" t="str">
        <f>$AI$22</f>
        <v>x</v>
      </c>
      <c r="BF27" s="3324" t="str">
        <f t="shared" si="11"/>
        <v>x</v>
      </c>
      <c r="BG27" s="215">
        <f t="shared" si="12"/>
        <v>34</v>
      </c>
      <c r="BH27" s="3318" t="str">
        <f>$AI$27</f>
        <v>x</v>
      </c>
    </row>
    <row r="28" spans="1:60" ht="25.5">
      <c r="A28">
        <v>28</v>
      </c>
      <c r="B28" s="3583" t="s">
        <v>10805</v>
      </c>
      <c r="C28" s="3317">
        <v>1</v>
      </c>
      <c r="D28" s="3317">
        <v>1</v>
      </c>
      <c r="E28" s="3317">
        <v>1</v>
      </c>
      <c r="F28" s="3317">
        <v>0</v>
      </c>
      <c r="G28" s="3317">
        <v>0</v>
      </c>
      <c r="H28" s="3317">
        <v>0</v>
      </c>
      <c r="I28" s="3586">
        <v>0</v>
      </c>
      <c r="J28" s="332"/>
      <c r="L28" s="3350"/>
      <c r="M28" s="3351"/>
      <c r="O28" s="510"/>
      <c r="Q28" s="510"/>
      <c r="S28" s="510"/>
      <c r="V28" s="3410" t="s">
        <v>10594</v>
      </c>
      <c r="X28" s="3320" t="s">
        <v>1303</v>
      </c>
      <c r="Y28" s="2786">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3321">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3304"/>
      <c r="AB28" s="8351" t="s">
        <v>10595</v>
      </c>
      <c r="AC28" s="8351"/>
      <c r="AD28" s="8351"/>
      <c r="AE28" s="8351"/>
      <c r="AF28" s="8351"/>
      <c r="AG28" s="8351"/>
      <c r="AH28" s="8351"/>
      <c r="AI28" s="8351"/>
      <c r="AJ28" s="8351"/>
      <c r="AK28" s="8351"/>
      <c r="AL28" s="8351"/>
      <c r="AM28" s="8351"/>
      <c r="AN28" s="8351"/>
      <c r="AO28" s="8351"/>
      <c r="AP28" s="8351"/>
      <c r="AQ28" s="8351"/>
      <c r="AR28" s="8351"/>
      <c r="AS28" s="8352"/>
      <c r="AT28" s="3324" t="str">
        <f t="shared" si="1"/>
        <v>x</v>
      </c>
      <c r="AU28" s="215">
        <f t="shared" si="2"/>
        <v>34</v>
      </c>
      <c r="AV28" s="2787" t="str">
        <f>$AJ$7</f>
        <v>x</v>
      </c>
      <c r="AW28" s="3324" t="str">
        <f t="shared" si="6"/>
        <v>x</v>
      </c>
      <c r="AX28" s="215">
        <f t="shared" si="7"/>
        <v>34</v>
      </c>
      <c r="AY28" s="2787" t="str">
        <f>$AJ$12</f>
        <v>x</v>
      </c>
      <c r="AZ28" s="3324" t="str">
        <f>IFERROR(VLOOKUP(A25,BA4:BB37,2,0),"x")</f>
        <v>x</v>
      </c>
      <c r="BA28" s="215">
        <f t="shared" si="8"/>
        <v>34</v>
      </c>
      <c r="BB28" s="2787" t="str">
        <f>$AJ$17</f>
        <v>x</v>
      </c>
      <c r="BC28" s="3324" t="str">
        <f t="shared" si="9"/>
        <v>x</v>
      </c>
      <c r="BD28" s="215">
        <f t="shared" si="10"/>
        <v>34</v>
      </c>
      <c r="BE28" s="2787" t="str">
        <f>$AJ$22</f>
        <v>x</v>
      </c>
      <c r="BF28" s="3324" t="str">
        <f t="shared" si="11"/>
        <v>x</v>
      </c>
      <c r="BG28" s="215">
        <f t="shared" si="12"/>
        <v>34</v>
      </c>
      <c r="BH28" s="3318" t="str">
        <f>$AJ$27</f>
        <v>x</v>
      </c>
    </row>
    <row r="29" spans="1:60" ht="13.5" thickBot="1">
      <c r="A29">
        <v>29</v>
      </c>
      <c r="B29" s="3582" t="s">
        <v>10806</v>
      </c>
      <c r="C29" s="3317">
        <v>1</v>
      </c>
      <c r="D29" s="3317">
        <v>1</v>
      </c>
      <c r="E29" s="3317">
        <v>1</v>
      </c>
      <c r="F29" s="3317">
        <v>0</v>
      </c>
      <c r="G29" s="3317">
        <v>0</v>
      </c>
      <c r="H29" s="3317">
        <v>0</v>
      </c>
      <c r="I29" s="3586">
        <v>0</v>
      </c>
      <c r="K29" s="332">
        <v>1</v>
      </c>
      <c r="L29" s="334">
        <v>2</v>
      </c>
      <c r="M29" s="332">
        <v>3</v>
      </c>
      <c r="N29" s="332">
        <v>4</v>
      </c>
      <c r="O29" s="510"/>
      <c r="P29" s="332">
        <v>1</v>
      </c>
      <c r="Q29" s="332">
        <v>2</v>
      </c>
      <c r="R29" s="332">
        <v>3</v>
      </c>
      <c r="S29" s="510"/>
      <c r="V29" s="3411" t="s">
        <v>10060</v>
      </c>
      <c r="X29" s="3320" t="s">
        <v>1304</v>
      </c>
      <c r="Y29" s="2786">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3321">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3304"/>
      <c r="AB29" s="3322" t="s">
        <v>8356</v>
      </c>
      <c r="AC29" s="937"/>
      <c r="AD29" s="937" t="e">
        <f>RIGHT(AB32,LEN(AB32)-FIND(",",AB32))</f>
        <v>#N/A</v>
      </c>
      <c r="AE29" s="937" t="e">
        <f t="shared" ref="AE29:AN29" si="31">RIGHT(AD29,LEN(AD29)-FIND(",",AD29))</f>
        <v>#N/A</v>
      </c>
      <c r="AF29" s="937" t="e">
        <f t="shared" si="31"/>
        <v>#N/A</v>
      </c>
      <c r="AG29" s="937" t="e">
        <f t="shared" si="31"/>
        <v>#N/A</v>
      </c>
      <c r="AH29" s="937" t="e">
        <f t="shared" si="31"/>
        <v>#N/A</v>
      </c>
      <c r="AI29" s="937" t="e">
        <f t="shared" si="31"/>
        <v>#N/A</v>
      </c>
      <c r="AJ29" s="937" t="e">
        <f t="shared" si="31"/>
        <v>#N/A</v>
      </c>
      <c r="AK29" s="937" t="e">
        <f t="shared" si="31"/>
        <v>#N/A</v>
      </c>
      <c r="AL29" s="937" t="e">
        <f t="shared" si="31"/>
        <v>#N/A</v>
      </c>
      <c r="AM29" s="937" t="e">
        <f t="shared" si="31"/>
        <v>#N/A</v>
      </c>
      <c r="AN29" s="937" t="e">
        <f t="shared" si="31"/>
        <v>#N/A</v>
      </c>
      <c r="AO29" s="937" t="e">
        <f>RIGHT(AN29,LEN(AN29)-FIND(",",AN29))</f>
        <v>#N/A</v>
      </c>
      <c r="AP29" s="937" t="e">
        <f>RIGHT(AO29,LEN(AO29)-FIND(",",AO29))</f>
        <v>#N/A</v>
      </c>
      <c r="AQ29" s="937" t="e">
        <f>RIGHT(AP29,LEN(AP29)-FIND(",",AP29))</f>
        <v>#N/A</v>
      </c>
      <c r="AR29" s="937" t="e">
        <f>RIGHT(AQ29,LEN(AQ29)-FIND(",",AQ29))</f>
        <v>#N/A</v>
      </c>
      <c r="AS29" s="3323" t="e">
        <f>RIGHT(AR29,LEN(AR29)-FIND(",",AR29))</f>
        <v>#N/A</v>
      </c>
      <c r="AT29" s="3324" t="str">
        <f t="shared" si="1"/>
        <v>x</v>
      </c>
      <c r="AU29" s="215">
        <f t="shared" si="2"/>
        <v>34</v>
      </c>
      <c r="AV29" s="2787" t="str">
        <f>$AK$7</f>
        <v>x</v>
      </c>
      <c r="AW29" s="3324" t="str">
        <f t="shared" si="6"/>
        <v>x</v>
      </c>
      <c r="AX29" s="215">
        <f t="shared" si="7"/>
        <v>34</v>
      </c>
      <c r="AY29" s="2787" t="str">
        <f>$AK$12</f>
        <v>x</v>
      </c>
      <c r="AZ29" s="3324" t="str">
        <f>IFERROR(VLOOKUP(A26,BA4:BB37,2,0),"x")</f>
        <v>x</v>
      </c>
      <c r="BA29" s="215">
        <f t="shared" si="8"/>
        <v>34</v>
      </c>
      <c r="BB29" s="2787" t="str">
        <f>$AK$17</f>
        <v>x</v>
      </c>
      <c r="BC29" s="3324" t="str">
        <f t="shared" si="9"/>
        <v>x</v>
      </c>
      <c r="BD29" s="215">
        <f t="shared" si="10"/>
        <v>34</v>
      </c>
      <c r="BE29" s="2787" t="str">
        <f>$AK$22</f>
        <v>x</v>
      </c>
      <c r="BF29" s="3324" t="str">
        <f t="shared" si="11"/>
        <v>x</v>
      </c>
      <c r="BG29" s="215">
        <f t="shared" si="12"/>
        <v>34</v>
      </c>
      <c r="BH29" s="3318" t="str">
        <f>$AK$27</f>
        <v>x</v>
      </c>
    </row>
    <row r="30" spans="1:60" ht="13.5" thickBot="1">
      <c r="A30">
        <v>30</v>
      </c>
      <c r="B30" s="3583" t="s">
        <v>10807</v>
      </c>
      <c r="C30" s="3317">
        <v>1</v>
      </c>
      <c r="D30" s="3317">
        <v>1</v>
      </c>
      <c r="E30" s="3317">
        <v>1</v>
      </c>
      <c r="F30" s="3317"/>
      <c r="G30" s="3317">
        <v>0</v>
      </c>
      <c r="H30" s="3317">
        <v>0</v>
      </c>
      <c r="I30" s="3586">
        <v>0</v>
      </c>
      <c r="K30" s="8361" t="s">
        <v>10574</v>
      </c>
      <c r="L30" s="8362"/>
      <c r="M30" s="8362"/>
      <c r="N30" s="8363"/>
      <c r="O30" s="215"/>
      <c r="P30" s="8374" t="s">
        <v>10575</v>
      </c>
      <c r="Q30" s="6965"/>
      <c r="R30" s="6966"/>
      <c r="S30" s="3305"/>
      <c r="T30" s="3305"/>
      <c r="X30" s="3320" t="s">
        <v>1305</v>
      </c>
      <c r="Y30" s="2786">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3321">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3304"/>
      <c r="AB30" s="3353" t="str">
        <f>IF(Constructos!$K$82="","",Constructos!$K$82)</f>
        <v/>
      </c>
      <c r="AC30" s="937" t="str">
        <f>IFERROR(LEFT(AB32,FIND(",",AB32)-1),"x")</f>
        <v>x</v>
      </c>
      <c r="AD30" s="937" t="str">
        <f>IFERROR(LEFT(AD29,FIND(",",AD29)-1),"X")</f>
        <v>X</v>
      </c>
      <c r="AE30" s="937" t="str">
        <f>IFERROR(LEFT(AE29,FIND(",",AE29)-1),"X")</f>
        <v>X</v>
      </c>
      <c r="AF30" s="937" t="str">
        <f t="shared" ref="AF30:AN30" si="32">IFERROR(LEFT(AF29,FIND(",",AF29)-1),"x")</f>
        <v>x</v>
      </c>
      <c r="AG30" s="937" t="str">
        <f t="shared" si="32"/>
        <v>x</v>
      </c>
      <c r="AH30" s="937" t="str">
        <f t="shared" si="32"/>
        <v>x</v>
      </c>
      <c r="AI30" s="937" t="str">
        <f t="shared" si="32"/>
        <v>x</v>
      </c>
      <c r="AJ30" s="937" t="str">
        <f t="shared" si="32"/>
        <v>x</v>
      </c>
      <c r="AK30" s="937" t="str">
        <f t="shared" si="32"/>
        <v>x</v>
      </c>
      <c r="AL30" s="937" t="str">
        <f t="shared" si="32"/>
        <v>x</v>
      </c>
      <c r="AM30" s="937" t="str">
        <f t="shared" si="32"/>
        <v>x</v>
      </c>
      <c r="AN30" s="937" t="str">
        <f t="shared" si="32"/>
        <v>x</v>
      </c>
      <c r="AO30" s="937" t="str">
        <f>IFERROR(LEFT(AO29,FIND(",",AO29)-1),"x")</f>
        <v>x</v>
      </c>
      <c r="AP30" s="937" t="str">
        <f>IFERROR(LEFT(AP29,FIND(",",AP29)-1),"x")</f>
        <v>x</v>
      </c>
      <c r="AQ30" s="937" t="str">
        <f>IFERROR(LEFT(AQ29,FIND(",",AQ29)-1),"x")</f>
        <v>x</v>
      </c>
      <c r="AR30" s="937" t="str">
        <f>IFERROR(LEFT(AR29,FIND(",",AR29)-1),"x")</f>
        <v>x</v>
      </c>
      <c r="AS30" s="3323" t="str">
        <f>IFERROR(LEFT(AS29,FIND(",",AS29)-1),"x")</f>
        <v>x</v>
      </c>
      <c r="AT30" s="3324" t="str">
        <f t="shared" si="1"/>
        <v>x</v>
      </c>
      <c r="AU30" s="215">
        <f t="shared" si="2"/>
        <v>34</v>
      </c>
      <c r="AV30" s="2787" t="str">
        <f>$AL$7</f>
        <v>x</v>
      </c>
      <c r="AW30" s="3324" t="str">
        <f t="shared" si="6"/>
        <v>x</v>
      </c>
      <c r="AX30" s="215">
        <f t="shared" si="7"/>
        <v>34</v>
      </c>
      <c r="AY30" s="2787" t="str">
        <f>$AL$12</f>
        <v>x</v>
      </c>
      <c r="AZ30" s="3324" t="str">
        <f>IFERROR(VLOOKUP(A27,BA4:BB37,2,0),"x")</f>
        <v>x</v>
      </c>
      <c r="BA30" s="215">
        <f t="shared" si="8"/>
        <v>34</v>
      </c>
      <c r="BB30" s="2787" t="str">
        <f>$AL$17</f>
        <v>x</v>
      </c>
      <c r="BC30" s="3324" t="str">
        <f t="shared" si="9"/>
        <v>x</v>
      </c>
      <c r="BD30" s="215">
        <f t="shared" si="10"/>
        <v>34</v>
      </c>
      <c r="BE30" s="2787" t="str">
        <f>$AL$22</f>
        <v>x</v>
      </c>
      <c r="BF30" s="3324" t="str">
        <f t="shared" si="11"/>
        <v>x</v>
      </c>
      <c r="BG30" s="215">
        <f t="shared" si="12"/>
        <v>34</v>
      </c>
      <c r="BH30" s="3318" t="str">
        <f>$AL$27</f>
        <v>x</v>
      </c>
    </row>
    <row r="31" spans="1:60">
      <c r="A31">
        <v>31</v>
      </c>
      <c r="B31" s="3583" t="s">
        <v>10808</v>
      </c>
      <c r="C31" s="3317">
        <v>1</v>
      </c>
      <c r="D31" s="3317">
        <v>1</v>
      </c>
      <c r="E31" s="3317">
        <v>1</v>
      </c>
      <c r="F31" s="3317">
        <v>1</v>
      </c>
      <c r="G31" s="3317">
        <v>0</v>
      </c>
      <c r="H31" s="3317">
        <v>0</v>
      </c>
      <c r="I31" s="3586">
        <v>0</v>
      </c>
      <c r="K31" s="3333" t="s">
        <v>10442</v>
      </c>
      <c r="L31" s="3334" t="s">
        <v>10577</v>
      </c>
      <c r="M31" s="3334" t="s">
        <v>10578</v>
      </c>
      <c r="N31" s="3335" t="s">
        <v>10579</v>
      </c>
      <c r="P31" s="3336" t="s">
        <v>1227</v>
      </c>
      <c r="Q31" s="3597" t="s">
        <v>8163</v>
      </c>
      <c r="R31" s="3335" t="s">
        <v>10580</v>
      </c>
      <c r="V31" s="3306" t="s">
        <v>10584</v>
      </c>
      <c r="X31" s="3320" t="s">
        <v>1306</v>
      </c>
      <c r="Y31" s="2786">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3321">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3304"/>
      <c r="AB31" s="3322" t="s">
        <v>483</v>
      </c>
      <c r="AC31" s="937" t="e">
        <f>RIGHT(AS29,LEN(AS29)-FIND(",",AS29))</f>
        <v>#N/A</v>
      </c>
      <c r="AD31" s="937" t="e">
        <f>RIGHT(AC31,LEN(AC31)-FIND(",",AC31))</f>
        <v>#N/A</v>
      </c>
      <c r="AE31" s="937" t="e">
        <f t="shared" ref="AE31:AS31" si="33">RIGHT(AD31,LEN(AD31)-FIND(",",AD31))</f>
        <v>#N/A</v>
      </c>
      <c r="AF31" s="937" t="e">
        <f t="shared" si="33"/>
        <v>#N/A</v>
      </c>
      <c r="AG31" s="937" t="e">
        <f t="shared" si="33"/>
        <v>#N/A</v>
      </c>
      <c r="AH31" s="937" t="e">
        <f t="shared" si="33"/>
        <v>#N/A</v>
      </c>
      <c r="AI31" s="937" t="e">
        <f t="shared" si="33"/>
        <v>#N/A</v>
      </c>
      <c r="AJ31" s="937" t="e">
        <f t="shared" si="33"/>
        <v>#N/A</v>
      </c>
      <c r="AK31" s="937" t="e">
        <f t="shared" si="33"/>
        <v>#N/A</v>
      </c>
      <c r="AL31" s="937" t="e">
        <f t="shared" si="33"/>
        <v>#N/A</v>
      </c>
      <c r="AM31" s="937" t="e">
        <f t="shared" si="33"/>
        <v>#N/A</v>
      </c>
      <c r="AN31" s="937" t="e">
        <f t="shared" si="33"/>
        <v>#N/A</v>
      </c>
      <c r="AO31" s="937" t="e">
        <f t="shared" si="33"/>
        <v>#N/A</v>
      </c>
      <c r="AP31" s="937" t="e">
        <f t="shared" si="33"/>
        <v>#N/A</v>
      </c>
      <c r="AQ31" s="937" t="e">
        <f t="shared" si="33"/>
        <v>#N/A</v>
      </c>
      <c r="AR31" s="937" t="e">
        <f t="shared" si="33"/>
        <v>#N/A</v>
      </c>
      <c r="AS31" s="937" t="e">
        <f t="shared" si="33"/>
        <v>#N/A</v>
      </c>
      <c r="AT31" s="3324" t="str">
        <f t="shared" si="1"/>
        <v>x</v>
      </c>
      <c r="AU31" s="215">
        <f t="shared" si="2"/>
        <v>34</v>
      </c>
      <c r="AV31" s="2787" t="str">
        <f>$AM$7</f>
        <v>x</v>
      </c>
      <c r="AW31" s="3324" t="str">
        <f t="shared" si="6"/>
        <v>x</v>
      </c>
      <c r="AX31" s="215">
        <f t="shared" si="7"/>
        <v>34</v>
      </c>
      <c r="AY31" s="2787" t="str">
        <f>$AM$12</f>
        <v>x</v>
      </c>
      <c r="AZ31" s="3324" t="str">
        <f>IFERROR(VLOOKUP(A28,BA4:BB37,2,0),"x")</f>
        <v>x</v>
      </c>
      <c r="BA31" s="215">
        <f t="shared" si="8"/>
        <v>34</v>
      </c>
      <c r="BB31" s="2787" t="str">
        <f>$AM$17</f>
        <v>x</v>
      </c>
      <c r="BC31" s="3324" t="str">
        <f t="shared" si="9"/>
        <v>x</v>
      </c>
      <c r="BD31" s="215">
        <f t="shared" si="10"/>
        <v>34</v>
      </c>
      <c r="BE31" s="2787" t="str">
        <f>$AM$22</f>
        <v>x</v>
      </c>
      <c r="BF31" s="3324" t="str">
        <f t="shared" si="11"/>
        <v>x</v>
      </c>
      <c r="BG31" s="215">
        <f t="shared" si="12"/>
        <v>34</v>
      </c>
      <c r="BH31" s="3318" t="str">
        <f>$AM$27</f>
        <v>x</v>
      </c>
    </row>
    <row r="32" spans="1:60">
      <c r="A32">
        <v>32</v>
      </c>
      <c r="B32" s="3582" t="s">
        <v>10352</v>
      </c>
      <c r="C32" s="3317">
        <v>1</v>
      </c>
      <c r="D32" s="3317">
        <v>1</v>
      </c>
      <c r="E32" s="3317">
        <v>1</v>
      </c>
      <c r="F32" s="3317"/>
      <c r="G32" s="3317">
        <v>0</v>
      </c>
      <c r="H32" s="3317">
        <v>0</v>
      </c>
      <c r="I32" s="3586">
        <v>1</v>
      </c>
      <c r="K32" s="307" t="s">
        <v>10583</v>
      </c>
      <c r="L32" s="286">
        <v>1</v>
      </c>
      <c r="M32" s="286">
        <v>1</v>
      </c>
      <c r="N32" s="3338">
        <v>0</v>
      </c>
      <c r="P32" s="3339" t="s">
        <v>6459</v>
      </c>
      <c r="Q32" s="3317">
        <v>0</v>
      </c>
      <c r="R32" s="3340">
        <v>3</v>
      </c>
      <c r="S32" s="510"/>
      <c r="V32" s="3344">
        <v>1</v>
      </c>
      <c r="X32" s="3320" t="s">
        <v>1307</v>
      </c>
      <c r="Y32" s="2786">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3321">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3304"/>
      <c r="AB32" s="3325" t="e">
        <f>VLOOKUP(AB30,Constructos_Atributos,4,0)</f>
        <v>#N/A</v>
      </c>
      <c r="AC32" s="937" t="str">
        <f t="shared" ref="AC32:AS32" si="34">IFERROR(LEFT(AC31,FIND(",",AC31)-1),"x")</f>
        <v>x</v>
      </c>
      <c r="AD32" s="937" t="str">
        <f t="shared" si="34"/>
        <v>x</v>
      </c>
      <c r="AE32" s="937" t="str">
        <f t="shared" si="34"/>
        <v>x</v>
      </c>
      <c r="AF32" s="937" t="str">
        <f t="shared" si="34"/>
        <v>x</v>
      </c>
      <c r="AG32" s="937" t="str">
        <f t="shared" si="34"/>
        <v>x</v>
      </c>
      <c r="AH32" s="937" t="str">
        <f t="shared" si="34"/>
        <v>x</v>
      </c>
      <c r="AI32" s="937" t="str">
        <f t="shared" si="34"/>
        <v>x</v>
      </c>
      <c r="AJ32" s="937" t="str">
        <f t="shared" si="34"/>
        <v>x</v>
      </c>
      <c r="AK32" s="937" t="str">
        <f t="shared" si="34"/>
        <v>x</v>
      </c>
      <c r="AL32" s="937" t="str">
        <f t="shared" si="34"/>
        <v>x</v>
      </c>
      <c r="AM32" s="937" t="str">
        <f t="shared" si="34"/>
        <v>x</v>
      </c>
      <c r="AN32" s="937" t="str">
        <f t="shared" si="34"/>
        <v>x</v>
      </c>
      <c r="AO32" s="937" t="str">
        <f t="shared" si="34"/>
        <v>x</v>
      </c>
      <c r="AP32" s="937" t="str">
        <f t="shared" si="34"/>
        <v>x</v>
      </c>
      <c r="AQ32" s="937" t="str">
        <f t="shared" si="34"/>
        <v>x</v>
      </c>
      <c r="AR32" s="937" t="str">
        <f t="shared" si="34"/>
        <v>x</v>
      </c>
      <c r="AS32" s="937" t="str">
        <f t="shared" si="34"/>
        <v>x</v>
      </c>
      <c r="AT32" s="3324" t="str">
        <f t="shared" si="1"/>
        <v>x</v>
      </c>
      <c r="AU32" s="215">
        <f t="shared" si="2"/>
        <v>34</v>
      </c>
      <c r="AV32" s="2787" t="str">
        <f>$AN$7</f>
        <v>x</v>
      </c>
      <c r="AW32" s="3324" t="str">
        <f t="shared" si="6"/>
        <v>x</v>
      </c>
      <c r="AX32" s="215">
        <f t="shared" si="7"/>
        <v>34</v>
      </c>
      <c r="AY32" s="2787" t="str">
        <f>$AN$12</f>
        <v>x</v>
      </c>
      <c r="AZ32" s="3324" t="str">
        <f>IFERROR(VLOOKUP(A29,BA4:BB37,2,0),"x")</f>
        <v>x</v>
      </c>
      <c r="BA32" s="215">
        <f t="shared" si="8"/>
        <v>34</v>
      </c>
      <c r="BB32" s="2787" t="str">
        <f>$AN$17</f>
        <v>x</v>
      </c>
      <c r="BC32" s="3324" t="str">
        <f t="shared" si="9"/>
        <v>x</v>
      </c>
      <c r="BD32" s="215">
        <f t="shared" si="10"/>
        <v>34</v>
      </c>
      <c r="BE32" s="2787" t="str">
        <f>$AN$22</f>
        <v>x</v>
      </c>
      <c r="BF32" s="3324" t="str">
        <f t="shared" si="11"/>
        <v>x</v>
      </c>
      <c r="BG32" s="215">
        <f t="shared" si="12"/>
        <v>34</v>
      </c>
      <c r="BH32" s="3318" t="str">
        <f>$AN$27</f>
        <v>x</v>
      </c>
    </row>
    <row r="33" spans="1:61">
      <c r="A33">
        <v>33</v>
      </c>
      <c r="B33" s="3582" t="s">
        <v>10353</v>
      </c>
      <c r="C33" s="3317">
        <v>2</v>
      </c>
      <c r="D33" s="3317">
        <v>2</v>
      </c>
      <c r="E33" s="3317">
        <v>2</v>
      </c>
      <c r="F33" s="3317">
        <v>2</v>
      </c>
      <c r="G33" s="3317">
        <v>0</v>
      </c>
      <c r="H33" s="3317">
        <v>0</v>
      </c>
      <c r="I33" s="3586">
        <v>0</v>
      </c>
      <c r="K33" s="3316" t="s">
        <v>10355</v>
      </c>
      <c r="L33" s="3317">
        <v>1</v>
      </c>
      <c r="M33" s="3317">
        <v>2</v>
      </c>
      <c r="N33" s="3340">
        <v>1</v>
      </c>
      <c r="P33" s="3339" t="s">
        <v>7056</v>
      </c>
      <c r="Q33" s="3317">
        <v>1</v>
      </c>
      <c r="R33" s="3340">
        <v>6</v>
      </c>
      <c r="S33" s="3343"/>
      <c r="V33" s="3346">
        <v>2</v>
      </c>
      <c r="X33" s="3320" t="s">
        <v>10029</v>
      </c>
      <c r="Y33" s="2786">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3321">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3304"/>
      <c r="AB33" s="8351" t="s">
        <v>10596</v>
      </c>
      <c r="AC33" s="8351"/>
      <c r="AD33" s="8351"/>
      <c r="AE33" s="8351"/>
      <c r="AF33" s="8351"/>
      <c r="AG33" s="8351"/>
      <c r="AH33" s="8351"/>
      <c r="AI33" s="8351"/>
      <c r="AJ33" s="8351"/>
      <c r="AK33" s="8351"/>
      <c r="AL33" s="8351"/>
      <c r="AM33" s="8351"/>
      <c r="AN33" s="8351"/>
      <c r="AO33" s="8351"/>
      <c r="AP33" s="8351"/>
      <c r="AQ33" s="8351"/>
      <c r="AR33" s="8351"/>
      <c r="AS33" s="8352"/>
      <c r="AT33" s="3324" t="str">
        <f t="shared" si="1"/>
        <v>x</v>
      </c>
      <c r="AU33" s="215">
        <f t="shared" si="2"/>
        <v>34</v>
      </c>
      <c r="AV33" s="2787" t="str">
        <f>$AO$7</f>
        <v>x</v>
      </c>
      <c r="AW33" s="3324" t="str">
        <f t="shared" si="6"/>
        <v>x</v>
      </c>
      <c r="AX33" s="215">
        <f t="shared" si="7"/>
        <v>34</v>
      </c>
      <c r="AY33" s="2787" t="str">
        <f>$AO$12</f>
        <v>x</v>
      </c>
      <c r="AZ33" s="3324" t="str">
        <f>IFERROR(VLOOKUP(A30,BA4:BB37,2,0),"x")</f>
        <v>x</v>
      </c>
      <c r="BA33" s="215">
        <f t="shared" si="8"/>
        <v>34</v>
      </c>
      <c r="BB33" s="2787" t="str">
        <f>$AO$17</f>
        <v>x</v>
      </c>
      <c r="BC33" s="3324" t="str">
        <f t="shared" si="9"/>
        <v>x</v>
      </c>
      <c r="BD33" s="215">
        <f t="shared" si="10"/>
        <v>34</v>
      </c>
      <c r="BE33" s="2787" t="str">
        <f>$AO$22</f>
        <v>x</v>
      </c>
      <c r="BF33" s="3324" t="str">
        <f t="shared" si="11"/>
        <v>x</v>
      </c>
      <c r="BG33" s="215">
        <f t="shared" si="12"/>
        <v>34</v>
      </c>
      <c r="BH33" s="3318" t="str">
        <f>$AO$27</f>
        <v>x</v>
      </c>
    </row>
    <row r="34" spans="1:61">
      <c r="A34">
        <v>34</v>
      </c>
      <c r="B34" s="3582" t="s">
        <v>10354</v>
      </c>
      <c r="C34" s="3317">
        <v>3</v>
      </c>
      <c r="D34" s="3317">
        <v>3</v>
      </c>
      <c r="E34" s="3317">
        <v>3</v>
      </c>
      <c r="F34" s="3317"/>
      <c r="G34" s="3317">
        <v>0</v>
      </c>
      <c r="H34" s="3317">
        <v>1</v>
      </c>
      <c r="I34" s="3586">
        <v>0</v>
      </c>
      <c r="K34" s="3316" t="s">
        <v>10358</v>
      </c>
      <c r="L34" s="3317">
        <v>2</v>
      </c>
      <c r="M34" s="3317">
        <v>3</v>
      </c>
      <c r="N34" s="3340">
        <v>2</v>
      </c>
      <c r="P34" s="3339" t="s">
        <v>7199</v>
      </c>
      <c r="Q34" s="3317">
        <v>2</v>
      </c>
      <c r="R34" s="3340">
        <v>9</v>
      </c>
      <c r="V34" s="3346">
        <v>3</v>
      </c>
      <c r="X34" s="3320" t="s">
        <v>1309</v>
      </c>
      <c r="Y34" s="2786">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3321">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3304"/>
      <c r="AB34" s="3322" t="s">
        <v>8356</v>
      </c>
      <c r="AC34" s="937"/>
      <c r="AD34" s="937" t="e">
        <f>RIGHT(AB37,LEN(AB37)-FIND(",",AB37))</f>
        <v>#N/A</v>
      </c>
      <c r="AE34" s="937" t="e">
        <f t="shared" ref="AE34:AN34" si="35">RIGHT(AD34,LEN(AD34)-FIND(",",AD34))</f>
        <v>#N/A</v>
      </c>
      <c r="AF34" s="937" t="e">
        <f t="shared" si="35"/>
        <v>#N/A</v>
      </c>
      <c r="AG34" s="937" t="e">
        <f t="shared" si="35"/>
        <v>#N/A</v>
      </c>
      <c r="AH34" s="937" t="e">
        <f t="shared" si="35"/>
        <v>#N/A</v>
      </c>
      <c r="AI34" s="937" t="e">
        <f t="shared" si="35"/>
        <v>#N/A</v>
      </c>
      <c r="AJ34" s="937" t="e">
        <f t="shared" si="35"/>
        <v>#N/A</v>
      </c>
      <c r="AK34" s="937" t="e">
        <f t="shared" si="35"/>
        <v>#N/A</v>
      </c>
      <c r="AL34" s="937" t="e">
        <f t="shared" si="35"/>
        <v>#N/A</v>
      </c>
      <c r="AM34" s="937" t="e">
        <f t="shared" si="35"/>
        <v>#N/A</v>
      </c>
      <c r="AN34" s="937" t="e">
        <f t="shared" si="35"/>
        <v>#N/A</v>
      </c>
      <c r="AO34" s="937" t="e">
        <f>RIGHT(AN34,LEN(AN34)-FIND(",",AN34))</f>
        <v>#N/A</v>
      </c>
      <c r="AP34" s="937" t="e">
        <f>RIGHT(AO34,LEN(AO34)-FIND(",",AO34))</f>
        <v>#N/A</v>
      </c>
      <c r="AQ34" s="937" t="e">
        <f>RIGHT(AP34,LEN(AP34)-FIND(",",AP34))</f>
        <v>#N/A</v>
      </c>
      <c r="AR34" s="937" t="e">
        <f>RIGHT(AQ34,LEN(AQ34)-FIND(",",AQ34))</f>
        <v>#N/A</v>
      </c>
      <c r="AS34" s="3323" t="e">
        <f>RIGHT(AR34,LEN(AR34)-FIND(",",AR34))</f>
        <v>#N/A</v>
      </c>
      <c r="AT34" s="3324" t="str">
        <f t="shared" si="1"/>
        <v>x</v>
      </c>
      <c r="AU34" s="215">
        <f t="shared" si="2"/>
        <v>34</v>
      </c>
      <c r="AV34" s="2787" t="str">
        <f>$AP$7</f>
        <v>x</v>
      </c>
      <c r="AW34" s="3324" t="str">
        <f t="shared" si="6"/>
        <v>x</v>
      </c>
      <c r="AX34" s="215">
        <f t="shared" si="7"/>
        <v>34</v>
      </c>
      <c r="AY34" s="2787" t="str">
        <f>$AP$12</f>
        <v>x</v>
      </c>
      <c r="AZ34" s="3324" t="str">
        <f>IFERROR(VLOOKUP(A31,BA4:BB37,2,0),"x")</f>
        <v>x</v>
      </c>
      <c r="BA34" s="215">
        <f t="shared" si="8"/>
        <v>34</v>
      </c>
      <c r="BB34" s="2787" t="str">
        <f>$AP$17</f>
        <v>x</v>
      </c>
      <c r="BC34" s="3324" t="str">
        <f t="shared" si="9"/>
        <v>x</v>
      </c>
      <c r="BD34" s="215">
        <f t="shared" si="10"/>
        <v>34</v>
      </c>
      <c r="BE34" s="2787" t="str">
        <f>$AP$22</f>
        <v>x</v>
      </c>
      <c r="BF34" s="3324" t="str">
        <f t="shared" si="11"/>
        <v>x</v>
      </c>
      <c r="BG34" s="215">
        <f t="shared" si="12"/>
        <v>34</v>
      </c>
      <c r="BH34" s="3318" t="str">
        <f>$AP$27</f>
        <v>x</v>
      </c>
    </row>
    <row r="35" spans="1:61">
      <c r="A35">
        <v>35</v>
      </c>
      <c r="B35" s="3582" t="s">
        <v>10355</v>
      </c>
      <c r="C35" s="3317">
        <v>2</v>
      </c>
      <c r="D35" s="3317">
        <v>2</v>
      </c>
      <c r="E35" s="3317">
        <v>2</v>
      </c>
      <c r="F35" s="3317">
        <v>1</v>
      </c>
      <c r="G35" s="3317">
        <v>0</v>
      </c>
      <c r="H35" s="3317">
        <v>0</v>
      </c>
      <c r="I35" s="3586">
        <v>0</v>
      </c>
      <c r="K35" s="3316" t="s">
        <v>10588</v>
      </c>
      <c r="L35" s="3317">
        <v>2</v>
      </c>
      <c r="M35" s="3317">
        <v>6</v>
      </c>
      <c r="N35" s="3340">
        <v>3</v>
      </c>
      <c r="P35" s="3339" t="s">
        <v>2537</v>
      </c>
      <c r="Q35" s="3317">
        <v>3</v>
      </c>
      <c r="R35" s="3340">
        <v>12</v>
      </c>
      <c r="S35" s="3343"/>
      <c r="V35" s="3346">
        <v>4</v>
      </c>
      <c r="X35" s="3320" t="s">
        <v>1310</v>
      </c>
      <c r="Y35" s="2786">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3321">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3304"/>
      <c r="AB35" s="3327" t="str">
        <f>IF(Constructos!$D$100="","",Constructos!$D$100)</f>
        <v/>
      </c>
      <c r="AC35" s="937" t="str">
        <f>IFERROR(LEFT(AB37,FIND(",",AB37)-1),"x")</f>
        <v>x</v>
      </c>
      <c r="AD35" s="937" t="str">
        <f>IFERROR(LEFT(AD34,FIND(",",AD34)-1),"X")</f>
        <v>X</v>
      </c>
      <c r="AE35" s="937" t="str">
        <f>IFERROR(LEFT(AE34,FIND(",",AE34)-1),"X")</f>
        <v>X</v>
      </c>
      <c r="AF35" s="937" t="str">
        <f t="shared" ref="AF35:AN35" si="36">IFERROR(LEFT(AF34,FIND(",",AF34)-1),"x")</f>
        <v>x</v>
      </c>
      <c r="AG35" s="937" t="str">
        <f t="shared" si="36"/>
        <v>x</v>
      </c>
      <c r="AH35" s="937" t="str">
        <f t="shared" si="36"/>
        <v>x</v>
      </c>
      <c r="AI35" s="937" t="str">
        <f t="shared" si="36"/>
        <v>x</v>
      </c>
      <c r="AJ35" s="937" t="str">
        <f t="shared" si="36"/>
        <v>x</v>
      </c>
      <c r="AK35" s="937" t="str">
        <f t="shared" si="36"/>
        <v>x</v>
      </c>
      <c r="AL35" s="937" t="str">
        <f t="shared" si="36"/>
        <v>x</v>
      </c>
      <c r="AM35" s="937" t="str">
        <f t="shared" si="36"/>
        <v>x</v>
      </c>
      <c r="AN35" s="937" t="str">
        <f t="shared" si="36"/>
        <v>x</v>
      </c>
      <c r="AO35" s="937" t="str">
        <f>IFERROR(LEFT(AO34,FIND(",",AO34)-1),"x")</f>
        <v>x</v>
      </c>
      <c r="AP35" s="937" t="str">
        <f>IFERROR(LEFT(AP34,FIND(",",AP34)-1),"x")</f>
        <v>x</v>
      </c>
      <c r="AQ35" s="937" t="str">
        <f>IFERROR(LEFT(AQ34,FIND(",",AQ34)-1),"x")</f>
        <v>x</v>
      </c>
      <c r="AR35" s="937" t="str">
        <f>IFERROR(LEFT(AR34,FIND(",",AR34)-1),"x")</f>
        <v>x</v>
      </c>
      <c r="AS35" s="3323" t="str">
        <f>IFERROR(LEFT(AS34,FIND(",",AS34)-1),"x")</f>
        <v>x</v>
      </c>
      <c r="AT35" s="3324" t="str">
        <f t="shared" si="1"/>
        <v>x</v>
      </c>
      <c r="AU35" s="215">
        <f t="shared" si="2"/>
        <v>34</v>
      </c>
      <c r="AV35" s="2787" t="str">
        <f>$AQ$7</f>
        <v>x</v>
      </c>
      <c r="AW35" s="3324" t="str">
        <f t="shared" si="6"/>
        <v>x</v>
      </c>
      <c r="AX35" s="215">
        <f t="shared" si="7"/>
        <v>34</v>
      </c>
      <c r="AY35" s="2787" t="str">
        <f>$AQ$12</f>
        <v>x</v>
      </c>
      <c r="AZ35" s="3324" t="str">
        <f>IFERROR(VLOOKUP(A32,BA4:BB37,2,0),"x")</f>
        <v>x</v>
      </c>
      <c r="BA35" s="215">
        <f t="shared" si="8"/>
        <v>34</v>
      </c>
      <c r="BB35" s="2787" t="str">
        <f>$AQ$17</f>
        <v>x</v>
      </c>
      <c r="BC35" s="3324" t="str">
        <f t="shared" si="9"/>
        <v>x</v>
      </c>
      <c r="BD35" s="215">
        <f t="shared" si="10"/>
        <v>34</v>
      </c>
      <c r="BE35" s="2787" t="str">
        <f>$AQ$22</f>
        <v>x</v>
      </c>
      <c r="BF35" s="3324" t="str">
        <f t="shared" si="11"/>
        <v>x</v>
      </c>
      <c r="BG35" s="215">
        <f t="shared" si="12"/>
        <v>34</v>
      </c>
      <c r="BH35" s="3318" t="str">
        <f>$AQ$27</f>
        <v>x</v>
      </c>
    </row>
    <row r="36" spans="1:61">
      <c r="A36">
        <v>36</v>
      </c>
      <c r="B36" s="3582" t="s">
        <v>10356</v>
      </c>
      <c r="C36" s="3317">
        <v>3</v>
      </c>
      <c r="D36" s="3317">
        <v>3</v>
      </c>
      <c r="E36" s="3317">
        <v>3</v>
      </c>
      <c r="F36" s="3317">
        <v>0</v>
      </c>
      <c r="G36" s="3317">
        <v>0</v>
      </c>
      <c r="H36" s="3317">
        <v>0</v>
      </c>
      <c r="I36" s="3586">
        <v>1</v>
      </c>
      <c r="K36" s="3403" t="s">
        <v>10812</v>
      </c>
      <c r="L36" s="3404">
        <v>2</v>
      </c>
      <c r="M36" s="3404">
        <v>4</v>
      </c>
      <c r="N36" s="3341">
        <v>4</v>
      </c>
      <c r="P36" s="3339" t="s">
        <v>7200</v>
      </c>
      <c r="Q36" s="3317">
        <v>4</v>
      </c>
      <c r="R36" s="3340">
        <v>15</v>
      </c>
      <c r="S36" s="510"/>
      <c r="V36" s="3346">
        <v>5</v>
      </c>
      <c r="X36" s="3320" t="s">
        <v>1313</v>
      </c>
      <c r="Y36" s="2786">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3321">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3304"/>
      <c r="AB36" s="3311" t="s">
        <v>483</v>
      </c>
      <c r="AC36" s="937" t="e">
        <f>RIGHT(AS34,LEN(AS34)-FIND(",",AS34))</f>
        <v>#N/A</v>
      </c>
      <c r="AD36" s="937" t="e">
        <f>RIGHT(AC36,LEN(AC36)-FIND(",",AC36))</f>
        <v>#N/A</v>
      </c>
      <c r="AE36" s="937" t="e">
        <f t="shared" ref="AE36:AS36" si="37">RIGHT(AD36,LEN(AD36)-FIND(",",AD36))</f>
        <v>#N/A</v>
      </c>
      <c r="AF36" s="937" t="e">
        <f t="shared" si="37"/>
        <v>#N/A</v>
      </c>
      <c r="AG36" s="937" t="e">
        <f t="shared" si="37"/>
        <v>#N/A</v>
      </c>
      <c r="AH36" s="937" t="e">
        <f t="shared" si="37"/>
        <v>#N/A</v>
      </c>
      <c r="AI36" s="937" t="e">
        <f t="shared" si="37"/>
        <v>#N/A</v>
      </c>
      <c r="AJ36" s="937" t="e">
        <f t="shared" si="37"/>
        <v>#N/A</v>
      </c>
      <c r="AK36" s="937" t="e">
        <f t="shared" si="37"/>
        <v>#N/A</v>
      </c>
      <c r="AL36" s="937" t="e">
        <f t="shared" si="37"/>
        <v>#N/A</v>
      </c>
      <c r="AM36" s="937" t="e">
        <f t="shared" si="37"/>
        <v>#N/A</v>
      </c>
      <c r="AN36" s="937" t="e">
        <f t="shared" si="37"/>
        <v>#N/A</v>
      </c>
      <c r="AO36" s="937" t="e">
        <f t="shared" si="37"/>
        <v>#N/A</v>
      </c>
      <c r="AP36" s="937" t="e">
        <f t="shared" si="37"/>
        <v>#N/A</v>
      </c>
      <c r="AQ36" s="937" t="e">
        <f t="shared" si="37"/>
        <v>#N/A</v>
      </c>
      <c r="AR36" s="937" t="e">
        <f t="shared" si="37"/>
        <v>#N/A</v>
      </c>
      <c r="AS36" s="937" t="e">
        <f t="shared" si="37"/>
        <v>#N/A</v>
      </c>
      <c r="AT36" s="3324" t="str">
        <f t="shared" si="1"/>
        <v>x</v>
      </c>
      <c r="AU36" s="215">
        <f t="shared" si="2"/>
        <v>34</v>
      </c>
      <c r="AV36" s="2787" t="str">
        <f>$AR$7</f>
        <v>x</v>
      </c>
      <c r="AW36" s="3324" t="str">
        <f t="shared" si="6"/>
        <v>x</v>
      </c>
      <c r="AX36" s="215">
        <f t="shared" si="7"/>
        <v>34</v>
      </c>
      <c r="AY36" s="2787" t="str">
        <f>$AR$12</f>
        <v>x</v>
      </c>
      <c r="AZ36" s="3324" t="str">
        <f>IFERROR(VLOOKUP(A33,BA4:BB37,2,0),"x")</f>
        <v>x</v>
      </c>
      <c r="BA36" s="215">
        <f t="shared" si="8"/>
        <v>34</v>
      </c>
      <c r="BB36" s="2787" t="str">
        <f>$AR$17</f>
        <v>x</v>
      </c>
      <c r="BC36" s="3324" t="str">
        <f t="shared" si="9"/>
        <v>x</v>
      </c>
      <c r="BD36" s="215">
        <f t="shared" si="10"/>
        <v>34</v>
      </c>
      <c r="BE36" s="2787" t="str">
        <f>$AR$22</f>
        <v>x</v>
      </c>
      <c r="BF36" s="3324" t="str">
        <f t="shared" si="11"/>
        <v>x</v>
      </c>
      <c r="BG36" s="215">
        <f t="shared" si="12"/>
        <v>34</v>
      </c>
      <c r="BH36" s="3318" t="str">
        <f>$AR$27</f>
        <v>x</v>
      </c>
    </row>
    <row r="37" spans="1:61" ht="13.5" thickBot="1">
      <c r="A37">
        <v>37</v>
      </c>
      <c r="B37" s="3582" t="s">
        <v>10357</v>
      </c>
      <c r="C37" s="3317">
        <v>2</v>
      </c>
      <c r="D37" s="3317">
        <v>2</v>
      </c>
      <c r="E37" s="3317">
        <v>2</v>
      </c>
      <c r="F37" s="3317"/>
      <c r="G37" s="3317">
        <v>1</v>
      </c>
      <c r="H37" s="3317">
        <v>0</v>
      </c>
      <c r="I37" s="3586">
        <v>0</v>
      </c>
      <c r="K37" s="3403" t="s">
        <v>10813</v>
      </c>
      <c r="L37" s="3404">
        <v>2</v>
      </c>
      <c r="M37" s="3404">
        <v>5</v>
      </c>
      <c r="N37" s="3341">
        <v>5</v>
      </c>
      <c r="P37" s="3347" t="s">
        <v>7057</v>
      </c>
      <c r="Q37" s="3329">
        <v>5</v>
      </c>
      <c r="R37" s="3348">
        <v>18</v>
      </c>
      <c r="S37" s="510"/>
      <c r="V37" s="3346">
        <v>6</v>
      </c>
      <c r="X37" s="3320" t="s">
        <v>1317</v>
      </c>
      <c r="Y37" s="2786">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3321">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3304"/>
      <c r="AB37" s="3325" t="e">
        <f>VLOOKUP(AB35,Constructos_Atributos,4,0)</f>
        <v>#N/A</v>
      </c>
      <c r="AC37" s="937" t="str">
        <f t="shared" ref="AC37:AS37" si="38">IFERROR(LEFT(AC36,FIND(",",AC36)-1),"x")</f>
        <v>x</v>
      </c>
      <c r="AD37" s="937" t="str">
        <f t="shared" si="38"/>
        <v>x</v>
      </c>
      <c r="AE37" s="937" t="str">
        <f t="shared" si="38"/>
        <v>x</v>
      </c>
      <c r="AF37" s="937" t="str">
        <f t="shared" si="38"/>
        <v>x</v>
      </c>
      <c r="AG37" s="937" t="str">
        <f t="shared" si="38"/>
        <v>x</v>
      </c>
      <c r="AH37" s="937" t="str">
        <f t="shared" si="38"/>
        <v>x</v>
      </c>
      <c r="AI37" s="937" t="str">
        <f t="shared" si="38"/>
        <v>x</v>
      </c>
      <c r="AJ37" s="937" t="str">
        <f t="shared" si="38"/>
        <v>x</v>
      </c>
      <c r="AK37" s="937" t="str">
        <f t="shared" si="38"/>
        <v>x</v>
      </c>
      <c r="AL37" s="937" t="str">
        <f t="shared" si="38"/>
        <v>x</v>
      </c>
      <c r="AM37" s="937" t="str">
        <f t="shared" si="38"/>
        <v>x</v>
      </c>
      <c r="AN37" s="937" t="str">
        <f t="shared" si="38"/>
        <v>x</v>
      </c>
      <c r="AO37" s="937" t="str">
        <f t="shared" si="38"/>
        <v>x</v>
      </c>
      <c r="AP37" s="937" t="str">
        <f t="shared" si="38"/>
        <v>x</v>
      </c>
      <c r="AQ37" s="937" t="str">
        <f t="shared" si="38"/>
        <v>x</v>
      </c>
      <c r="AR37" s="937" t="str">
        <f t="shared" si="38"/>
        <v>x</v>
      </c>
      <c r="AS37" s="937" t="str">
        <f t="shared" si="38"/>
        <v>x</v>
      </c>
      <c r="AT37" s="3355" t="str">
        <f t="shared" si="1"/>
        <v>x</v>
      </c>
      <c r="AU37" s="3356">
        <f t="shared" si="2"/>
        <v>34</v>
      </c>
      <c r="AV37" s="3357" t="str">
        <f>$AS$7</f>
        <v>x</v>
      </c>
      <c r="AW37" s="3355" t="str">
        <f t="shared" si="6"/>
        <v>x</v>
      </c>
      <c r="AX37" s="3356">
        <f t="shared" si="7"/>
        <v>34</v>
      </c>
      <c r="AY37" s="3357" t="str">
        <f>$AS$12</f>
        <v>x</v>
      </c>
      <c r="AZ37" s="3355" t="str">
        <f>IFERROR(VLOOKUP(A34,BA4:BB37,2,0),"x")</f>
        <v>x</v>
      </c>
      <c r="BA37" s="3356">
        <f t="shared" si="8"/>
        <v>34</v>
      </c>
      <c r="BB37" s="3357" t="str">
        <f>$AS$17</f>
        <v>x</v>
      </c>
      <c r="BC37" s="3355" t="str">
        <f t="shared" si="9"/>
        <v>x</v>
      </c>
      <c r="BD37" s="3356">
        <f t="shared" si="10"/>
        <v>34</v>
      </c>
      <c r="BE37" s="3357" t="str">
        <f>$AS$22</f>
        <v>x</v>
      </c>
      <c r="BF37" s="3355" t="str">
        <f t="shared" si="11"/>
        <v>x</v>
      </c>
      <c r="BG37" s="3356">
        <f t="shared" si="12"/>
        <v>34</v>
      </c>
      <c r="BH37" s="3358" t="str">
        <f>$AS$27</f>
        <v>x</v>
      </c>
    </row>
    <row r="38" spans="1:61">
      <c r="A38">
        <v>38</v>
      </c>
      <c r="B38" s="3582" t="s">
        <v>10358</v>
      </c>
      <c r="C38" s="286">
        <v>2</v>
      </c>
      <c r="D38" s="2334">
        <v>2</v>
      </c>
      <c r="E38" s="2334">
        <v>2</v>
      </c>
      <c r="F38" s="2334">
        <v>0</v>
      </c>
      <c r="G38" s="2334">
        <v>0</v>
      </c>
      <c r="H38" s="2334">
        <v>1</v>
      </c>
      <c r="I38" s="3587">
        <v>0</v>
      </c>
      <c r="K38" s="3403" t="s">
        <v>10814</v>
      </c>
      <c r="L38" s="3404">
        <v>3</v>
      </c>
      <c r="M38" s="3404">
        <v>5</v>
      </c>
      <c r="N38" s="3341">
        <v>6</v>
      </c>
      <c r="S38" s="510"/>
      <c r="V38" s="3346">
        <v>7</v>
      </c>
      <c r="X38" s="3320" t="s">
        <v>1319</v>
      </c>
      <c r="Y38" s="2786">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3321">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8364" t="s">
        <v>10597</v>
      </c>
      <c r="AC38" s="8351"/>
      <c r="AD38" s="8351"/>
      <c r="AE38" s="8351"/>
      <c r="AF38" s="8351"/>
      <c r="AG38" s="8351"/>
      <c r="AH38" s="8351"/>
      <c r="AI38" s="8351"/>
      <c r="AJ38" s="8351"/>
      <c r="AK38" s="8351"/>
      <c r="AL38" s="8351"/>
      <c r="AM38" s="8351"/>
      <c r="AN38" s="8351"/>
      <c r="AO38" s="8351"/>
      <c r="AP38" s="8351"/>
      <c r="AQ38" s="8351"/>
      <c r="AR38" s="8351"/>
      <c r="AS38" s="8352"/>
      <c r="AT38" s="3324" t="str">
        <f>IFERROR(VLOOKUP(A1,$AU$38:$AV$71,2,0),"x")</f>
        <v>x</v>
      </c>
      <c r="AU38" s="215">
        <f>COUNTIF($AV$38:$AV$71,"&lt;="&amp;AV38)-COUNTIF($AV$38:$AV$71,"*&gt;*")</f>
        <v>34</v>
      </c>
      <c r="AV38" t="str">
        <f>$AC$30</f>
        <v>x</v>
      </c>
      <c r="AW38" s="3324" t="str">
        <f>IFERROR(VLOOKUP(A1,$AX$38:$AY$71,2,0),"x")</f>
        <v>x</v>
      </c>
      <c r="AX38" s="215">
        <f>COUNTIF($AY$38:$AY$71,"&lt;="&amp;AY38)-COUNTIF($AY$38:$AY$71,"*&gt;*")</f>
        <v>34</v>
      </c>
      <c r="AY38" t="str">
        <f>$AC$35</f>
        <v>x</v>
      </c>
      <c r="AZ38" s="3324" t="str">
        <f>IFERROR(VLOOKUP(A1,$BA$38:$BB$71,2,0),"x")</f>
        <v>x</v>
      </c>
      <c r="BA38" s="215">
        <f>COUNTIF($BB$38:$BB$71,"&lt;="&amp;BB38)-COUNTIF($BB$38:$BB$71,"*&gt;*")</f>
        <v>34</v>
      </c>
      <c r="BB38" t="str">
        <f>$AC$40</f>
        <v>x</v>
      </c>
      <c r="BC38" s="3324" t="str">
        <f>IFERROR(VLOOKUP(A1,$BD$38:$BE$71,2,0),"x")</f>
        <v>x</v>
      </c>
      <c r="BD38" s="215">
        <f>COUNTIF($BE$38:$BE$71,"&lt;="&amp;BE38)-COUNTIF($BE$38:$BE$71,"*&gt;*")</f>
        <v>34</v>
      </c>
      <c r="BE38" t="str">
        <f>$AC$45</f>
        <v>x</v>
      </c>
      <c r="BF38" s="3324" t="str">
        <f>IFERROR(VLOOKUP(A1,$BG$38:$BH$71,2,0),"x")</f>
        <v>x</v>
      </c>
      <c r="BG38" s="215">
        <f>COUNTIF($BH$38:$BH$71,"&lt;="&amp;BH38)-COUNTIF($BH$38:$BH$71,"*&gt;*")</f>
        <v>34</v>
      </c>
      <c r="BH38" s="3360" t="str">
        <f>$AC$50</f>
        <v>x</v>
      </c>
    </row>
    <row r="39" spans="1:61">
      <c r="A39">
        <v>39</v>
      </c>
      <c r="B39" s="3582" t="s">
        <v>10809</v>
      </c>
      <c r="C39" s="286">
        <v>2</v>
      </c>
      <c r="D39" s="286">
        <v>2</v>
      </c>
      <c r="E39" s="286">
        <v>2</v>
      </c>
      <c r="F39" s="286">
        <v>0</v>
      </c>
      <c r="G39" s="286">
        <v>0</v>
      </c>
      <c r="H39" s="286">
        <v>0</v>
      </c>
      <c r="I39" s="3588">
        <v>1</v>
      </c>
      <c r="K39" s="3316" t="s">
        <v>10356</v>
      </c>
      <c r="L39" s="3317">
        <v>3</v>
      </c>
      <c r="M39" s="3317">
        <v>5</v>
      </c>
      <c r="N39" s="3340">
        <v>7</v>
      </c>
      <c r="S39" s="510"/>
      <c r="V39" s="3346">
        <v>8</v>
      </c>
      <c r="X39" s="3320" t="s">
        <v>1321</v>
      </c>
      <c r="Y39" s="2786">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3321">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3304"/>
      <c r="AB39" s="3322" t="s">
        <v>8356</v>
      </c>
      <c r="AC39" s="937"/>
      <c r="AD39" s="937" t="e">
        <f>RIGHT(AB42,LEN(AB42)-FIND(",",AB42))</f>
        <v>#N/A</v>
      </c>
      <c r="AE39" s="937" t="e">
        <f t="shared" ref="AE39:AN39" si="39">RIGHT(AD39,LEN(AD39)-FIND(",",AD39))</f>
        <v>#N/A</v>
      </c>
      <c r="AF39" s="937" t="e">
        <f t="shared" si="39"/>
        <v>#N/A</v>
      </c>
      <c r="AG39" s="937" t="e">
        <f t="shared" si="39"/>
        <v>#N/A</v>
      </c>
      <c r="AH39" s="937" t="e">
        <f t="shared" si="39"/>
        <v>#N/A</v>
      </c>
      <c r="AI39" s="937" t="e">
        <f t="shared" si="39"/>
        <v>#N/A</v>
      </c>
      <c r="AJ39" s="937" t="e">
        <f t="shared" si="39"/>
        <v>#N/A</v>
      </c>
      <c r="AK39" s="937" t="e">
        <f t="shared" si="39"/>
        <v>#N/A</v>
      </c>
      <c r="AL39" s="937" t="e">
        <f t="shared" si="39"/>
        <v>#N/A</v>
      </c>
      <c r="AM39" s="937" t="e">
        <f t="shared" si="39"/>
        <v>#N/A</v>
      </c>
      <c r="AN39" s="937" t="e">
        <f t="shared" si="39"/>
        <v>#N/A</v>
      </c>
      <c r="AO39" s="937" t="e">
        <f>RIGHT(AN39,LEN(AN39)-FIND(",",AN39))</f>
        <v>#N/A</v>
      </c>
      <c r="AP39" s="937" t="e">
        <f>RIGHT(AO39,LEN(AO39)-FIND(",",AO39))</f>
        <v>#N/A</v>
      </c>
      <c r="AQ39" s="937" t="e">
        <f>RIGHT(AP39,LEN(AP39)-FIND(",",AP39))</f>
        <v>#N/A</v>
      </c>
      <c r="AR39" s="937" t="e">
        <f>RIGHT(AQ39,LEN(AQ39)-FIND(",",AQ39))</f>
        <v>#N/A</v>
      </c>
      <c r="AS39" s="3323" t="e">
        <f>RIGHT(AR39,LEN(AR39)-FIND(",",AR39))</f>
        <v>#N/A</v>
      </c>
      <c r="AT39" s="3324" t="str">
        <f t="shared" ref="AT39:AT71" si="40">IFERROR(VLOOKUP(A2,$AU$38:$AV$71,2,0),"x")</f>
        <v>x</v>
      </c>
      <c r="AU39" s="215">
        <f t="shared" ref="AU39:AU71" si="41">COUNTIF($AV$38:$AV$71,"&lt;="&amp;AV39)-COUNTIF($AV$38:$AV$71,"*&gt;*")</f>
        <v>34</v>
      </c>
      <c r="AV39" s="2787" t="str">
        <f>$AD$30</f>
        <v>X</v>
      </c>
      <c r="AW39" s="3324" t="str">
        <f t="shared" ref="AW39:AW71" si="42">IFERROR(VLOOKUP(A2,$AX$38:$AY$71,2,0),"x")</f>
        <v>x</v>
      </c>
      <c r="AX39" s="215">
        <f t="shared" ref="AX39:AX71" si="43">COUNTIF($AY$38:$AY$71,"&lt;="&amp;AY39)-COUNTIF($AY$38:$AY$71,"*&gt;*")</f>
        <v>34</v>
      </c>
      <c r="AY39" s="2787" t="str">
        <f>$AD$35</f>
        <v>X</v>
      </c>
      <c r="AZ39" s="3324" t="str">
        <f t="shared" ref="AZ39:AZ71" si="44">IFERROR(VLOOKUP(A2,$BA$38:$BB$71,2,0),"x")</f>
        <v>x</v>
      </c>
      <c r="BA39" s="215">
        <f t="shared" ref="BA39:BA71" si="45">COUNTIF($BB$38:$BB$71,"&lt;="&amp;BB39)-COUNTIF($BB$38:$BB$71,"*&gt;*")</f>
        <v>34</v>
      </c>
      <c r="BB39" s="2787" t="str">
        <f>$AD$40</f>
        <v>X</v>
      </c>
      <c r="BC39" s="3324" t="str">
        <f t="shared" ref="BC39:BC71" si="46">IFERROR(VLOOKUP(A2,$BD$38:$BE$71,2,0),"x")</f>
        <v>x</v>
      </c>
      <c r="BD39" s="215">
        <f t="shared" ref="BD39:BD71" si="47">COUNTIF($BE$38:$BE$71,"&lt;="&amp;BE39)-COUNTIF($BE$38:$BE$71,"*&gt;*")</f>
        <v>34</v>
      </c>
      <c r="BE39" s="2787" t="str">
        <f>$AD$45</f>
        <v>X</v>
      </c>
      <c r="BF39" s="3324" t="str">
        <f t="shared" ref="BF39:BF71" si="48">IFERROR(VLOOKUP(A2,$BG$38:$BH$71,2,0),"x")</f>
        <v>x</v>
      </c>
      <c r="BG39" s="215">
        <f t="shared" ref="BG39:BG71" si="49">COUNTIF($BH$38:$BH$71,"&lt;="&amp;BH39)-COUNTIF($BH$38:$BH$71,"*&gt;*")</f>
        <v>34</v>
      </c>
      <c r="BH39" s="3318" t="str">
        <f>$AD$50</f>
        <v>X</v>
      </c>
    </row>
    <row r="40" spans="1:61">
      <c r="A40">
        <v>40</v>
      </c>
      <c r="B40" s="3582" t="s">
        <v>10810</v>
      </c>
      <c r="C40" s="286">
        <v>2</v>
      </c>
      <c r="D40" s="286">
        <v>2</v>
      </c>
      <c r="E40" s="286">
        <v>2</v>
      </c>
      <c r="F40" s="286">
        <v>0</v>
      </c>
      <c r="G40" s="286">
        <v>0</v>
      </c>
      <c r="H40" s="286">
        <v>0</v>
      </c>
      <c r="I40" s="3588">
        <v>1</v>
      </c>
      <c r="K40" s="3316" t="s">
        <v>10359</v>
      </c>
      <c r="L40" s="3317">
        <v>3</v>
      </c>
      <c r="M40" s="3317">
        <v>6</v>
      </c>
      <c r="N40" s="3340">
        <v>8</v>
      </c>
      <c r="S40" s="510"/>
      <c r="V40" s="3346">
        <v>9</v>
      </c>
      <c r="X40" s="3320" t="s">
        <v>1323</v>
      </c>
      <c r="Y40" s="2786">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3321">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3304"/>
      <c r="AB40" s="3330" t="str">
        <f>IF(Constructos!$K$100="","",Constructos!$K$100)</f>
        <v/>
      </c>
      <c r="AC40" s="937" t="str">
        <f>IFERROR(LEFT(AB42,FIND(",",AB42)-1),"x")</f>
        <v>x</v>
      </c>
      <c r="AD40" s="937" t="str">
        <f>IFERROR(LEFT(AD39,FIND(",",AD39)-1),"X")</f>
        <v>X</v>
      </c>
      <c r="AE40" s="937" t="str">
        <f>IFERROR(LEFT(AE39,FIND(",",AE39)-1),"X")</f>
        <v>X</v>
      </c>
      <c r="AF40" s="937" t="str">
        <f t="shared" ref="AF40:AN40" si="50">IFERROR(LEFT(AF39,FIND(",",AF39)-1),"x")</f>
        <v>x</v>
      </c>
      <c r="AG40" s="937" t="str">
        <f t="shared" si="50"/>
        <v>x</v>
      </c>
      <c r="AH40" s="937" t="str">
        <f t="shared" si="50"/>
        <v>x</v>
      </c>
      <c r="AI40" s="937" t="str">
        <f t="shared" si="50"/>
        <v>x</v>
      </c>
      <c r="AJ40" s="937" t="str">
        <f t="shared" si="50"/>
        <v>x</v>
      </c>
      <c r="AK40" s="937" t="str">
        <f t="shared" si="50"/>
        <v>x</v>
      </c>
      <c r="AL40" s="937" t="str">
        <f t="shared" si="50"/>
        <v>x</v>
      </c>
      <c r="AM40" s="937" t="str">
        <f t="shared" si="50"/>
        <v>x</v>
      </c>
      <c r="AN40" s="937" t="str">
        <f t="shared" si="50"/>
        <v>x</v>
      </c>
      <c r="AO40" s="937" t="str">
        <f>IFERROR(LEFT(AO39,FIND(",",AO39)-1),"x")</f>
        <v>x</v>
      </c>
      <c r="AP40" s="937" t="str">
        <f>IFERROR(LEFT(AP39,FIND(",",AP39)-1),"x")</f>
        <v>x</v>
      </c>
      <c r="AQ40" s="937" t="str">
        <f>IFERROR(LEFT(AQ39,FIND(",",AQ39)-1),"x")</f>
        <v>x</v>
      </c>
      <c r="AR40" s="937" t="str">
        <f>IFERROR(LEFT(AR39,FIND(",",AR39)-1),"x")</f>
        <v>x</v>
      </c>
      <c r="AS40" s="3323" t="str">
        <f>IFERROR(LEFT(AS39,FIND(",",AS39)-1),"x")</f>
        <v>x</v>
      </c>
      <c r="AT40" s="3324" t="str">
        <f t="shared" si="40"/>
        <v>x</v>
      </c>
      <c r="AU40" s="215">
        <f t="shared" si="41"/>
        <v>34</v>
      </c>
      <c r="AV40" s="2787" t="str">
        <f>$AE$30</f>
        <v>X</v>
      </c>
      <c r="AW40" s="3324" t="str">
        <f t="shared" si="42"/>
        <v>x</v>
      </c>
      <c r="AX40" s="215">
        <f t="shared" si="43"/>
        <v>34</v>
      </c>
      <c r="AY40" s="2787" t="str">
        <f>$AE$35</f>
        <v>X</v>
      </c>
      <c r="AZ40" s="3324" t="str">
        <f t="shared" si="44"/>
        <v>x</v>
      </c>
      <c r="BA40" s="215">
        <f t="shared" si="45"/>
        <v>34</v>
      </c>
      <c r="BB40" s="2787" t="str">
        <f>$AE$40</f>
        <v>X</v>
      </c>
      <c r="BC40" s="3324" t="str">
        <f t="shared" si="46"/>
        <v>x</v>
      </c>
      <c r="BD40" s="215">
        <f t="shared" si="47"/>
        <v>34</v>
      </c>
      <c r="BE40" s="2787" t="str">
        <f>$AE$45</f>
        <v>X</v>
      </c>
      <c r="BF40" s="3324" t="str">
        <f t="shared" si="48"/>
        <v>x</v>
      </c>
      <c r="BG40" s="215">
        <f t="shared" si="49"/>
        <v>34</v>
      </c>
      <c r="BH40" s="3318" t="str">
        <f>$AE$50</f>
        <v>X</v>
      </c>
    </row>
    <row r="41" spans="1:61" ht="13.5" thickBot="1">
      <c r="A41">
        <v>41</v>
      </c>
      <c r="B41" s="3582" t="s">
        <v>10811</v>
      </c>
      <c r="C41" s="286">
        <v>3</v>
      </c>
      <c r="D41" s="286">
        <v>3</v>
      </c>
      <c r="E41" s="286">
        <v>3</v>
      </c>
      <c r="F41" s="286">
        <v>2</v>
      </c>
      <c r="G41" s="286">
        <v>0</v>
      </c>
      <c r="H41" s="286">
        <v>0</v>
      </c>
      <c r="I41" s="3588">
        <v>0</v>
      </c>
      <c r="K41" s="3328" t="s">
        <v>10361</v>
      </c>
      <c r="L41" s="3329">
        <v>4</v>
      </c>
      <c r="M41" s="3329">
        <v>7</v>
      </c>
      <c r="N41" s="3348">
        <v>9</v>
      </c>
      <c r="O41" s="510"/>
      <c r="Q41" s="510"/>
      <c r="S41" s="510"/>
      <c r="V41" s="3352">
        <v>10</v>
      </c>
      <c r="X41" s="3320" t="s">
        <v>1325</v>
      </c>
      <c r="Y41" s="2786">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3321">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3304"/>
      <c r="AB41" s="3322" t="s">
        <v>483</v>
      </c>
      <c r="AC41" s="937" t="e">
        <f>RIGHT(AS39,LEN(AS39)-FIND(",",AS39))</f>
        <v>#N/A</v>
      </c>
      <c r="AD41" s="937" t="e">
        <f>RIGHT(AC41,LEN(AC41)-FIND(",",AC41))</f>
        <v>#N/A</v>
      </c>
      <c r="AE41" s="937" t="e">
        <f t="shared" ref="AE41:AS41" si="51">RIGHT(AD41,LEN(AD41)-FIND(",",AD41))</f>
        <v>#N/A</v>
      </c>
      <c r="AF41" s="937" t="e">
        <f t="shared" si="51"/>
        <v>#N/A</v>
      </c>
      <c r="AG41" s="937" t="e">
        <f t="shared" si="51"/>
        <v>#N/A</v>
      </c>
      <c r="AH41" s="937" t="e">
        <f t="shared" si="51"/>
        <v>#N/A</v>
      </c>
      <c r="AI41" s="937" t="e">
        <f t="shared" si="51"/>
        <v>#N/A</v>
      </c>
      <c r="AJ41" s="937" t="e">
        <f t="shared" si="51"/>
        <v>#N/A</v>
      </c>
      <c r="AK41" s="937" t="e">
        <f t="shared" si="51"/>
        <v>#N/A</v>
      </c>
      <c r="AL41" s="937" t="e">
        <f t="shared" si="51"/>
        <v>#N/A</v>
      </c>
      <c r="AM41" s="937" t="e">
        <f t="shared" si="51"/>
        <v>#N/A</v>
      </c>
      <c r="AN41" s="937" t="e">
        <f t="shared" si="51"/>
        <v>#N/A</v>
      </c>
      <c r="AO41" s="937" t="e">
        <f t="shared" si="51"/>
        <v>#N/A</v>
      </c>
      <c r="AP41" s="937" t="e">
        <f t="shared" si="51"/>
        <v>#N/A</v>
      </c>
      <c r="AQ41" s="937" t="e">
        <f t="shared" si="51"/>
        <v>#N/A</v>
      </c>
      <c r="AR41" s="937" t="e">
        <f t="shared" si="51"/>
        <v>#N/A</v>
      </c>
      <c r="AS41" s="937" t="e">
        <f t="shared" si="51"/>
        <v>#N/A</v>
      </c>
      <c r="AT41" s="3324" t="str">
        <f t="shared" si="40"/>
        <v>x</v>
      </c>
      <c r="AU41" s="215">
        <f t="shared" si="41"/>
        <v>34</v>
      </c>
      <c r="AV41" s="2787" t="str">
        <f>$AF$30</f>
        <v>x</v>
      </c>
      <c r="AW41" s="3324" t="str">
        <f t="shared" si="42"/>
        <v>x</v>
      </c>
      <c r="AX41" s="215">
        <f t="shared" si="43"/>
        <v>34</v>
      </c>
      <c r="AY41" s="2787" t="str">
        <f>$AF$35</f>
        <v>x</v>
      </c>
      <c r="AZ41" s="3324" t="str">
        <f t="shared" si="44"/>
        <v>x</v>
      </c>
      <c r="BA41" s="215">
        <f t="shared" si="45"/>
        <v>34</v>
      </c>
      <c r="BB41" s="2787" t="str">
        <f>$AF$40</f>
        <v>x</v>
      </c>
      <c r="BC41" s="3324" t="str">
        <f t="shared" si="46"/>
        <v>x</v>
      </c>
      <c r="BD41" s="215">
        <f t="shared" si="47"/>
        <v>34</v>
      </c>
      <c r="BE41" s="2787" t="str">
        <f>$AF$45</f>
        <v>x</v>
      </c>
      <c r="BF41" s="3324" t="str">
        <f t="shared" si="48"/>
        <v>x</v>
      </c>
      <c r="BG41" s="215">
        <f t="shared" si="49"/>
        <v>34</v>
      </c>
      <c r="BH41" s="3318" t="str">
        <f>$AF$50</f>
        <v>x</v>
      </c>
    </row>
    <row r="42" spans="1:61">
      <c r="A42">
        <v>42</v>
      </c>
      <c r="B42" s="3582" t="s">
        <v>10359</v>
      </c>
      <c r="C42" s="286">
        <v>2</v>
      </c>
      <c r="D42" s="286">
        <v>3</v>
      </c>
      <c r="E42" s="286">
        <v>3</v>
      </c>
      <c r="F42" s="286">
        <v>2</v>
      </c>
      <c r="G42" s="286">
        <v>0</v>
      </c>
      <c r="H42" s="286">
        <v>0</v>
      </c>
      <c r="I42" s="3588">
        <v>0</v>
      </c>
      <c r="X42" s="3320" t="s">
        <v>1327</v>
      </c>
      <c r="Y42" s="2786">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3321">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3304"/>
      <c r="AB42" s="3325" t="e">
        <f>VLOOKUP(AB40,Constructos_Atributos,4,0)</f>
        <v>#N/A</v>
      </c>
      <c r="AC42" s="937" t="str">
        <f t="shared" ref="AC42:AS42" si="52">IFERROR(LEFT(AC41,FIND(",",AC41)-1),"x")</f>
        <v>x</v>
      </c>
      <c r="AD42" s="937" t="str">
        <f t="shared" si="52"/>
        <v>x</v>
      </c>
      <c r="AE42" s="937" t="str">
        <f t="shared" si="52"/>
        <v>x</v>
      </c>
      <c r="AF42" s="937" t="str">
        <f t="shared" si="52"/>
        <v>x</v>
      </c>
      <c r="AG42" s="937" t="str">
        <f t="shared" si="52"/>
        <v>x</v>
      </c>
      <c r="AH42" s="937" t="str">
        <f t="shared" si="52"/>
        <v>x</v>
      </c>
      <c r="AI42" s="937" t="str">
        <f t="shared" si="52"/>
        <v>x</v>
      </c>
      <c r="AJ42" s="937" t="str">
        <f t="shared" si="52"/>
        <v>x</v>
      </c>
      <c r="AK42" s="937" t="str">
        <f t="shared" si="52"/>
        <v>x</v>
      </c>
      <c r="AL42" s="937" t="str">
        <f t="shared" si="52"/>
        <v>x</v>
      </c>
      <c r="AM42" s="937" t="str">
        <f t="shared" si="52"/>
        <v>x</v>
      </c>
      <c r="AN42" s="937" t="str">
        <f t="shared" si="52"/>
        <v>x</v>
      </c>
      <c r="AO42" s="937" t="str">
        <f t="shared" si="52"/>
        <v>x</v>
      </c>
      <c r="AP42" s="937" t="str">
        <f t="shared" si="52"/>
        <v>x</v>
      </c>
      <c r="AQ42" s="937" t="str">
        <f t="shared" si="52"/>
        <v>x</v>
      </c>
      <c r="AR42" s="937" t="str">
        <f t="shared" si="52"/>
        <v>x</v>
      </c>
      <c r="AS42" s="937" t="str">
        <f t="shared" si="52"/>
        <v>x</v>
      </c>
      <c r="AT42" s="3324" t="str">
        <f t="shared" si="40"/>
        <v>x</v>
      </c>
      <c r="AU42" s="215">
        <f t="shared" si="41"/>
        <v>34</v>
      </c>
      <c r="AV42" s="2787" t="str">
        <f>$AG$30</f>
        <v>x</v>
      </c>
      <c r="AW42" s="3324" t="str">
        <f t="shared" si="42"/>
        <v>x</v>
      </c>
      <c r="AX42" s="215">
        <f t="shared" si="43"/>
        <v>34</v>
      </c>
      <c r="AY42" s="2787" t="str">
        <f>$AG$35</f>
        <v>x</v>
      </c>
      <c r="AZ42" s="3324" t="str">
        <f t="shared" si="44"/>
        <v>x</v>
      </c>
      <c r="BA42" s="215">
        <f t="shared" si="45"/>
        <v>34</v>
      </c>
      <c r="BB42" s="2787" t="str">
        <f>$AG$40</f>
        <v>x</v>
      </c>
      <c r="BC42" s="3324" t="str">
        <f t="shared" si="46"/>
        <v>x</v>
      </c>
      <c r="BD42" s="215">
        <f t="shared" si="47"/>
        <v>34</v>
      </c>
      <c r="BE42" s="2787" t="str">
        <f>$AG$45</f>
        <v>x</v>
      </c>
      <c r="BF42" s="3324" t="str">
        <f t="shared" si="48"/>
        <v>x</v>
      </c>
      <c r="BG42" s="215">
        <f t="shared" si="49"/>
        <v>34</v>
      </c>
      <c r="BH42" s="3318" t="str">
        <f>$AG$50</f>
        <v>x</v>
      </c>
    </row>
    <row r="43" spans="1:61">
      <c r="A43">
        <v>43</v>
      </c>
      <c r="B43" s="3582" t="s">
        <v>10360</v>
      </c>
      <c r="C43" s="286">
        <v>3</v>
      </c>
      <c r="D43" s="286">
        <v>3</v>
      </c>
      <c r="E43" s="286">
        <v>3</v>
      </c>
      <c r="F43" s="286">
        <v>0</v>
      </c>
      <c r="G43" s="286">
        <v>0</v>
      </c>
      <c r="H43" s="286">
        <v>0</v>
      </c>
      <c r="I43" s="3588">
        <v>0</v>
      </c>
      <c r="X43" s="3320" t="s">
        <v>1328</v>
      </c>
      <c r="Y43" s="2786">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3321">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3304"/>
      <c r="AB43" s="8351" t="s">
        <v>10598</v>
      </c>
      <c r="AC43" s="8351"/>
      <c r="AD43" s="8351"/>
      <c r="AE43" s="8351"/>
      <c r="AF43" s="8351"/>
      <c r="AG43" s="8351"/>
      <c r="AH43" s="8351"/>
      <c r="AI43" s="8351"/>
      <c r="AJ43" s="8351"/>
      <c r="AK43" s="8351"/>
      <c r="AL43" s="8351"/>
      <c r="AM43" s="8351"/>
      <c r="AN43" s="8351"/>
      <c r="AO43" s="8351"/>
      <c r="AP43" s="8351"/>
      <c r="AQ43" s="8351"/>
      <c r="AR43" s="8351"/>
      <c r="AS43" s="8352"/>
      <c r="AT43" s="3324" t="str">
        <f t="shared" si="40"/>
        <v>x</v>
      </c>
      <c r="AU43" s="215">
        <f t="shared" si="41"/>
        <v>34</v>
      </c>
      <c r="AV43" s="2787" t="str">
        <f>$AH$30</f>
        <v>x</v>
      </c>
      <c r="AW43" s="3324" t="str">
        <f t="shared" si="42"/>
        <v>x</v>
      </c>
      <c r="AX43" s="215">
        <f t="shared" si="43"/>
        <v>34</v>
      </c>
      <c r="AY43" s="2787" t="str">
        <f>$AH$35</f>
        <v>x</v>
      </c>
      <c r="AZ43" s="3324" t="str">
        <f t="shared" si="44"/>
        <v>x</v>
      </c>
      <c r="BA43" s="215">
        <f t="shared" si="45"/>
        <v>34</v>
      </c>
      <c r="BB43" s="2787" t="str">
        <f>$AH$40</f>
        <v>x</v>
      </c>
      <c r="BC43" s="3324" t="str">
        <f t="shared" si="46"/>
        <v>x</v>
      </c>
      <c r="BD43" s="215">
        <f t="shared" si="47"/>
        <v>34</v>
      </c>
      <c r="BE43" s="2787" t="str">
        <f>$AH$45</f>
        <v>x</v>
      </c>
      <c r="BF43" s="3324" t="str">
        <f t="shared" si="48"/>
        <v>x</v>
      </c>
      <c r="BG43" s="215">
        <f t="shared" si="49"/>
        <v>34</v>
      </c>
      <c r="BH43" s="3318" t="str">
        <f>$AH$50</f>
        <v>x</v>
      </c>
    </row>
    <row r="44" spans="1:61" ht="13.5" thickBot="1">
      <c r="A44">
        <v>44</v>
      </c>
      <c r="B44" s="3584" t="s">
        <v>10361</v>
      </c>
      <c r="C44" s="3589">
        <v>4</v>
      </c>
      <c r="D44" s="3589">
        <v>4</v>
      </c>
      <c r="E44" s="3590">
        <v>4</v>
      </c>
      <c r="F44" s="3589">
        <v>0</v>
      </c>
      <c r="G44" s="3590">
        <v>0</v>
      </c>
      <c r="H44" s="3589">
        <v>0</v>
      </c>
      <c r="I44" s="3591">
        <v>3</v>
      </c>
      <c r="X44" s="3320" t="s">
        <v>1330</v>
      </c>
      <c r="Y44" s="2786">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3321">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3304"/>
      <c r="AB44" s="3322" t="s">
        <v>8356</v>
      </c>
      <c r="AC44" s="937"/>
      <c r="AD44" s="937" t="e">
        <f>RIGHT(AB47,LEN(AB47)-FIND(",",AB47))</f>
        <v>#N/A</v>
      </c>
      <c r="AE44" s="937" t="e">
        <f t="shared" ref="AE44:AN44" si="53">RIGHT(AD44,LEN(AD44)-FIND(",",AD44))</f>
        <v>#N/A</v>
      </c>
      <c r="AF44" s="937" t="e">
        <f t="shared" si="53"/>
        <v>#N/A</v>
      </c>
      <c r="AG44" s="937" t="e">
        <f t="shared" si="53"/>
        <v>#N/A</v>
      </c>
      <c r="AH44" s="937" t="e">
        <f t="shared" si="53"/>
        <v>#N/A</v>
      </c>
      <c r="AI44" s="937" t="e">
        <f t="shared" si="53"/>
        <v>#N/A</v>
      </c>
      <c r="AJ44" s="937" t="e">
        <f t="shared" si="53"/>
        <v>#N/A</v>
      </c>
      <c r="AK44" s="937" t="e">
        <f t="shared" si="53"/>
        <v>#N/A</v>
      </c>
      <c r="AL44" s="937" t="e">
        <f t="shared" si="53"/>
        <v>#N/A</v>
      </c>
      <c r="AM44" s="937" t="e">
        <f t="shared" si="53"/>
        <v>#N/A</v>
      </c>
      <c r="AN44" s="937" t="e">
        <f t="shared" si="53"/>
        <v>#N/A</v>
      </c>
      <c r="AO44" s="937" t="e">
        <f>RIGHT(AN44,LEN(AN44)-FIND(",",AN44))</f>
        <v>#N/A</v>
      </c>
      <c r="AP44" s="937" t="e">
        <f>RIGHT(AO44,LEN(AO44)-FIND(",",AO44))</f>
        <v>#N/A</v>
      </c>
      <c r="AQ44" s="937" t="e">
        <f>RIGHT(AP44,LEN(AP44)-FIND(",",AP44))</f>
        <v>#N/A</v>
      </c>
      <c r="AR44" s="937" t="e">
        <f>RIGHT(AQ44,LEN(AQ44)-FIND(",",AQ44))</f>
        <v>#N/A</v>
      </c>
      <c r="AS44" s="3323" t="e">
        <f>RIGHT(AR44,LEN(AR44)-FIND(",",AR44))</f>
        <v>#N/A</v>
      </c>
      <c r="AT44" s="3324" t="str">
        <f t="shared" si="40"/>
        <v>x</v>
      </c>
      <c r="AU44" s="215">
        <f t="shared" si="41"/>
        <v>34</v>
      </c>
      <c r="AV44" s="2787" t="str">
        <f>$AI$30</f>
        <v>x</v>
      </c>
      <c r="AW44" s="3324" t="str">
        <f t="shared" si="42"/>
        <v>x</v>
      </c>
      <c r="AX44" s="215">
        <f t="shared" si="43"/>
        <v>34</v>
      </c>
      <c r="AY44" s="2787" t="str">
        <f>$AI$35</f>
        <v>x</v>
      </c>
      <c r="AZ44" s="3324" t="str">
        <f t="shared" si="44"/>
        <v>x</v>
      </c>
      <c r="BA44" s="215">
        <f t="shared" si="45"/>
        <v>34</v>
      </c>
      <c r="BB44" s="2787" t="str">
        <f>$AI$40</f>
        <v>x</v>
      </c>
      <c r="BC44" s="3324" t="str">
        <f t="shared" si="46"/>
        <v>x</v>
      </c>
      <c r="BD44" s="215">
        <f t="shared" si="47"/>
        <v>34</v>
      </c>
      <c r="BE44" s="2787" t="str">
        <f>$AI$45</f>
        <v>x</v>
      </c>
      <c r="BF44" s="3324" t="str">
        <f t="shared" si="48"/>
        <v>x</v>
      </c>
      <c r="BG44" s="215">
        <f t="shared" si="49"/>
        <v>34</v>
      </c>
      <c r="BH44" s="3318" t="str">
        <f>$AI$50</f>
        <v>x</v>
      </c>
    </row>
    <row r="45" spans="1:61" ht="13.5" thickBot="1">
      <c r="A45">
        <v>45</v>
      </c>
      <c r="D45" s="3361">
        <v>1</v>
      </c>
      <c r="E45" s="215">
        <v>2</v>
      </c>
      <c r="F45" s="3361">
        <v>3</v>
      </c>
      <c r="G45" s="215">
        <v>4</v>
      </c>
      <c r="H45" s="3361">
        <v>5</v>
      </c>
      <c r="I45" s="215">
        <v>6</v>
      </c>
      <c r="J45" s="2084">
        <v>7</v>
      </c>
      <c r="L45" s="2084"/>
      <c r="N45" s="2084">
        <v>1</v>
      </c>
      <c r="O45">
        <v>2</v>
      </c>
      <c r="P45" s="2084">
        <v>3</v>
      </c>
      <c r="Q45">
        <v>4</v>
      </c>
      <c r="R45" s="2084">
        <v>1</v>
      </c>
      <c r="S45">
        <v>2</v>
      </c>
      <c r="T45" s="2084">
        <v>3</v>
      </c>
      <c r="U45">
        <v>4</v>
      </c>
      <c r="X45" s="3320" t="s">
        <v>1331</v>
      </c>
      <c r="Y45" s="2786">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3321">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3304"/>
      <c r="AB45" s="3330" t="str">
        <f>IF(Constructos!$D$118="","",Constructos!$D$118)</f>
        <v/>
      </c>
      <c r="AC45" s="937" t="str">
        <f>IFERROR(LEFT(AB47,FIND(",",AB47)-1),"x")</f>
        <v>x</v>
      </c>
      <c r="AD45" s="937" t="str">
        <f>IFERROR(LEFT(AD44,FIND(",",AD44)-1),"X")</f>
        <v>X</v>
      </c>
      <c r="AE45" s="937" t="str">
        <f>IFERROR(LEFT(AE44,FIND(",",AE44)-1),"X")</f>
        <v>X</v>
      </c>
      <c r="AF45" s="937" t="str">
        <f t="shared" ref="AF45:AN45" si="54">IFERROR(LEFT(AF44,FIND(",",AF44)-1),"x")</f>
        <v>x</v>
      </c>
      <c r="AG45" s="937" t="str">
        <f t="shared" si="54"/>
        <v>x</v>
      </c>
      <c r="AH45" s="937" t="str">
        <f t="shared" si="54"/>
        <v>x</v>
      </c>
      <c r="AI45" s="937" t="str">
        <f t="shared" si="54"/>
        <v>x</v>
      </c>
      <c r="AJ45" s="937" t="str">
        <f t="shared" si="54"/>
        <v>x</v>
      </c>
      <c r="AK45" s="937" t="str">
        <f t="shared" si="54"/>
        <v>x</v>
      </c>
      <c r="AL45" s="937" t="str">
        <f t="shared" si="54"/>
        <v>x</v>
      </c>
      <c r="AM45" s="937" t="str">
        <f t="shared" si="54"/>
        <v>x</v>
      </c>
      <c r="AN45" s="937" t="str">
        <f t="shared" si="54"/>
        <v>x</v>
      </c>
      <c r="AO45" s="937" t="str">
        <f>IFERROR(LEFT(AO44,FIND(",",AO44)-1),"x")</f>
        <v>x</v>
      </c>
      <c r="AP45" s="937" t="str">
        <f>IFERROR(LEFT(AP44,FIND(",",AP44)-1),"x")</f>
        <v>x</v>
      </c>
      <c r="AQ45" s="937" t="str">
        <f>IFERROR(LEFT(AQ44,FIND(",",AQ44)-1),"x")</f>
        <v>x</v>
      </c>
      <c r="AR45" s="937" t="str">
        <f>IFERROR(LEFT(AR44,FIND(",",AR44)-1),"x")</f>
        <v>x</v>
      </c>
      <c r="AS45" s="3323" t="str">
        <f>IFERROR(LEFT(AS44,FIND(",",AS44)-1),"x")</f>
        <v>x</v>
      </c>
      <c r="AT45" s="3324" t="str">
        <f t="shared" si="40"/>
        <v>x</v>
      </c>
      <c r="AU45" s="215">
        <f t="shared" si="41"/>
        <v>34</v>
      </c>
      <c r="AV45" s="2787" t="str">
        <f>$AJ$30</f>
        <v>x</v>
      </c>
      <c r="AW45" s="3324" t="str">
        <f t="shared" si="42"/>
        <v>x</v>
      </c>
      <c r="AX45" s="215">
        <f t="shared" si="43"/>
        <v>34</v>
      </c>
      <c r="AY45" s="2787" t="str">
        <f>$AJ$35</f>
        <v>x</v>
      </c>
      <c r="AZ45" s="3324" t="str">
        <f t="shared" si="44"/>
        <v>x</v>
      </c>
      <c r="BA45" s="215">
        <f t="shared" si="45"/>
        <v>34</v>
      </c>
      <c r="BB45" s="2787" t="str">
        <f>$AJ$40</f>
        <v>x</v>
      </c>
      <c r="BC45" s="3324" t="str">
        <f t="shared" si="46"/>
        <v>x</v>
      </c>
      <c r="BD45" s="215">
        <f t="shared" si="47"/>
        <v>34</v>
      </c>
      <c r="BE45" s="2787" t="str">
        <f>$AJ$45</f>
        <v>x</v>
      </c>
      <c r="BF45" s="3324" t="str">
        <f t="shared" si="48"/>
        <v>x</v>
      </c>
      <c r="BG45" s="215">
        <f t="shared" si="49"/>
        <v>34</v>
      </c>
      <c r="BH45" s="3318" t="str">
        <f>$AJ$50</f>
        <v>x</v>
      </c>
    </row>
    <row r="46" spans="1:61">
      <c r="A46">
        <v>46</v>
      </c>
      <c r="B46" s="3362" t="s">
        <v>8163</v>
      </c>
      <c r="C46" s="3363"/>
      <c r="D46" s="3363"/>
      <c r="E46" s="3363"/>
      <c r="F46" s="3363"/>
      <c r="G46" s="3363"/>
      <c r="H46" s="3363"/>
      <c r="I46" s="8355"/>
      <c r="J46" s="8355"/>
      <c r="K46" s="8355"/>
      <c r="L46" s="8354"/>
      <c r="N46" s="7964" t="s">
        <v>10599</v>
      </c>
      <c r="O46" s="8356"/>
      <c r="P46" s="8356"/>
      <c r="Q46" s="8356"/>
      <c r="R46" s="8356" t="s">
        <v>10397</v>
      </c>
      <c r="S46" s="8356"/>
      <c r="T46" s="8356"/>
      <c r="U46" s="8357"/>
      <c r="X46" s="3320" t="s">
        <v>1332</v>
      </c>
      <c r="Y46" s="2786">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3321">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3304"/>
      <c r="AB46" s="3322" t="s">
        <v>483</v>
      </c>
      <c r="AC46" s="937" t="e">
        <f>RIGHT(AS44,LEN(AS44)-FIND(",",AS44))</f>
        <v>#N/A</v>
      </c>
      <c r="AD46" s="937" t="e">
        <f>RIGHT(AC46,LEN(AC46)-FIND(",",AC46))</f>
        <v>#N/A</v>
      </c>
      <c r="AE46" s="937" t="e">
        <f t="shared" ref="AE46:AS46" si="55">RIGHT(AD46,LEN(AD46)-FIND(",",AD46))</f>
        <v>#N/A</v>
      </c>
      <c r="AF46" s="937" t="e">
        <f t="shared" si="55"/>
        <v>#N/A</v>
      </c>
      <c r="AG46" s="937" t="e">
        <f t="shared" si="55"/>
        <v>#N/A</v>
      </c>
      <c r="AH46" s="937" t="e">
        <f t="shared" si="55"/>
        <v>#N/A</v>
      </c>
      <c r="AI46" s="937" t="e">
        <f t="shared" si="55"/>
        <v>#N/A</v>
      </c>
      <c r="AJ46" s="937" t="e">
        <f t="shared" si="55"/>
        <v>#N/A</v>
      </c>
      <c r="AK46" s="937" t="e">
        <f t="shared" si="55"/>
        <v>#N/A</v>
      </c>
      <c r="AL46" s="937" t="e">
        <f t="shared" si="55"/>
        <v>#N/A</v>
      </c>
      <c r="AM46" s="937" t="e">
        <f t="shared" si="55"/>
        <v>#N/A</v>
      </c>
      <c r="AN46" s="937" t="e">
        <f t="shared" si="55"/>
        <v>#N/A</v>
      </c>
      <c r="AO46" s="937" t="e">
        <f t="shared" si="55"/>
        <v>#N/A</v>
      </c>
      <c r="AP46" s="937" t="e">
        <f t="shared" si="55"/>
        <v>#N/A</v>
      </c>
      <c r="AQ46" s="937" t="e">
        <f t="shared" si="55"/>
        <v>#N/A</v>
      </c>
      <c r="AR46" s="937" t="e">
        <f t="shared" si="55"/>
        <v>#N/A</v>
      </c>
      <c r="AS46" s="937" t="e">
        <f t="shared" si="55"/>
        <v>#N/A</v>
      </c>
      <c r="AT46" s="3324" t="str">
        <f t="shared" si="40"/>
        <v>x</v>
      </c>
      <c r="AU46" s="215">
        <f t="shared" si="41"/>
        <v>34</v>
      </c>
      <c r="AV46" s="2787" t="str">
        <f>$AK$30</f>
        <v>x</v>
      </c>
      <c r="AW46" s="3324" t="str">
        <f t="shared" si="42"/>
        <v>x</v>
      </c>
      <c r="AX46" s="215">
        <f t="shared" si="43"/>
        <v>34</v>
      </c>
      <c r="AY46" s="2787" t="str">
        <f>$AK$35</f>
        <v>x</v>
      </c>
      <c r="AZ46" s="3324" t="str">
        <f t="shared" si="44"/>
        <v>x</v>
      </c>
      <c r="BA46" s="215">
        <f t="shared" si="45"/>
        <v>34</v>
      </c>
      <c r="BB46" s="2787" t="str">
        <f>$AK$40</f>
        <v>x</v>
      </c>
      <c r="BC46" s="3324" t="str">
        <f t="shared" si="46"/>
        <v>x</v>
      </c>
      <c r="BD46" s="215">
        <f t="shared" si="47"/>
        <v>34</v>
      </c>
      <c r="BE46" s="2787" t="str">
        <f>$AK$45</f>
        <v>x</v>
      </c>
      <c r="BF46" s="3324" t="str">
        <f t="shared" si="48"/>
        <v>x</v>
      </c>
      <c r="BG46" s="215">
        <f t="shared" si="49"/>
        <v>34</v>
      </c>
      <c r="BH46" s="3318" t="str">
        <f>$AK$50</f>
        <v>x</v>
      </c>
    </row>
    <row r="47" spans="1:61" s="215" customFormat="1">
      <c r="A47" s="701">
        <v>47</v>
      </c>
      <c r="B47" s="3364" t="s">
        <v>10558</v>
      </c>
      <c r="C47" s="3365" t="s">
        <v>10566</v>
      </c>
      <c r="D47" s="3365"/>
      <c r="E47" s="3365" t="s">
        <v>10444</v>
      </c>
      <c r="F47" s="3365" t="s">
        <v>10600</v>
      </c>
      <c r="G47" s="3365" t="s">
        <v>10601</v>
      </c>
      <c r="H47" s="3365" t="s">
        <v>10602</v>
      </c>
      <c r="I47" s="3365" t="s">
        <v>6768</v>
      </c>
      <c r="J47" s="3310" t="s">
        <v>10603</v>
      </c>
      <c r="K47" s="3310" t="s">
        <v>10604</v>
      </c>
      <c r="L47" s="3311"/>
      <c r="N47" s="3364" t="s">
        <v>10605</v>
      </c>
      <c r="O47" s="3365" t="s">
        <v>10606</v>
      </c>
      <c r="P47" s="3365" t="s">
        <v>10579</v>
      </c>
      <c r="Q47" s="3366" t="s">
        <v>10444</v>
      </c>
      <c r="R47" s="3365" t="s">
        <v>10605</v>
      </c>
      <c r="S47" s="3365" t="s">
        <v>10606</v>
      </c>
      <c r="T47" s="3365" t="s">
        <v>10579</v>
      </c>
      <c r="U47" s="3366" t="s">
        <v>10444</v>
      </c>
      <c r="X47" s="3320" t="s">
        <v>682</v>
      </c>
      <c r="Y47" s="2786">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3321">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3367"/>
      <c r="AB47" s="3325" t="e">
        <f>VLOOKUP(AB45,Constructos_Atributos,4,0)</f>
        <v>#N/A</v>
      </c>
      <c r="AC47" s="937" t="str">
        <f t="shared" ref="AC47:AS47" si="56">IFERROR(LEFT(AC46,FIND(",",AC46)-1),"x")</f>
        <v>x</v>
      </c>
      <c r="AD47" s="937" t="str">
        <f t="shared" si="56"/>
        <v>x</v>
      </c>
      <c r="AE47" s="937" t="str">
        <f t="shared" si="56"/>
        <v>x</v>
      </c>
      <c r="AF47" s="937" t="str">
        <f t="shared" si="56"/>
        <v>x</v>
      </c>
      <c r="AG47" s="937" t="str">
        <f t="shared" si="56"/>
        <v>x</v>
      </c>
      <c r="AH47" s="937" t="str">
        <f t="shared" si="56"/>
        <v>x</v>
      </c>
      <c r="AI47" s="937" t="str">
        <f t="shared" si="56"/>
        <v>x</v>
      </c>
      <c r="AJ47" s="937" t="str">
        <f t="shared" si="56"/>
        <v>x</v>
      </c>
      <c r="AK47" s="937" t="str">
        <f t="shared" si="56"/>
        <v>x</v>
      </c>
      <c r="AL47" s="937" t="str">
        <f t="shared" si="56"/>
        <v>x</v>
      </c>
      <c r="AM47" s="937" t="str">
        <f t="shared" si="56"/>
        <v>x</v>
      </c>
      <c r="AN47" s="937" t="str">
        <f t="shared" si="56"/>
        <v>x</v>
      </c>
      <c r="AO47" s="937" t="str">
        <f t="shared" si="56"/>
        <v>x</v>
      </c>
      <c r="AP47" s="937" t="str">
        <f t="shared" si="56"/>
        <v>x</v>
      </c>
      <c r="AQ47" s="937" t="str">
        <f t="shared" si="56"/>
        <v>x</v>
      </c>
      <c r="AR47" s="937" t="str">
        <f t="shared" si="56"/>
        <v>x</v>
      </c>
      <c r="AS47" s="937" t="str">
        <f t="shared" si="56"/>
        <v>x</v>
      </c>
      <c r="AT47" s="3324" t="str">
        <f t="shared" si="40"/>
        <v>x</v>
      </c>
      <c r="AU47" s="215">
        <f t="shared" si="41"/>
        <v>34</v>
      </c>
      <c r="AV47" s="2787" t="str">
        <f>$AL$30</f>
        <v>x</v>
      </c>
      <c r="AW47" s="3324" t="str">
        <f t="shared" si="42"/>
        <v>x</v>
      </c>
      <c r="AX47" s="215">
        <f t="shared" si="43"/>
        <v>34</v>
      </c>
      <c r="AY47" s="2787" t="str">
        <f>$AL$35</f>
        <v>x</v>
      </c>
      <c r="AZ47" s="3324" t="str">
        <f t="shared" si="44"/>
        <v>x</v>
      </c>
      <c r="BA47" s="215">
        <f t="shared" si="45"/>
        <v>34</v>
      </c>
      <c r="BB47" s="2787" t="str">
        <f>$AL$40</f>
        <v>x</v>
      </c>
      <c r="BC47" s="3324" t="str">
        <f t="shared" si="46"/>
        <v>x</v>
      </c>
      <c r="BD47" s="215">
        <f t="shared" si="47"/>
        <v>34</v>
      </c>
      <c r="BE47" s="2787" t="str">
        <f>$AL$45</f>
        <v>x</v>
      </c>
      <c r="BF47" s="3324" t="str">
        <f t="shared" si="48"/>
        <v>x</v>
      </c>
      <c r="BG47" s="215">
        <f t="shared" si="49"/>
        <v>34</v>
      </c>
      <c r="BH47" s="3318" t="str">
        <f>$AL$50</f>
        <v>x</v>
      </c>
      <c r="BI47"/>
    </row>
    <row r="48" spans="1:61" s="215" customFormat="1">
      <c r="A48">
        <v>48</v>
      </c>
      <c r="B48" s="3353" t="str">
        <f>D48</f>
        <v xml:space="preserve"> &gt; ATRIBUTOS DE MEJORA</v>
      </c>
      <c r="C48" s="2786">
        <f t="shared" ref="C48:C74" si="57">COUNTIF($D$49:$D$74,"&lt;="&amp;D48)-COUNTIF($D$49:$D$74,"*&gt;*")</f>
        <v>0</v>
      </c>
      <c r="D48" s="3317" t="s">
        <v>10607</v>
      </c>
      <c r="E48" s="2786"/>
      <c r="F48" s="2786"/>
      <c r="G48" s="2786"/>
      <c r="H48" s="2786"/>
      <c r="I48" s="2786" t="s">
        <v>1315</v>
      </c>
      <c r="J48" s="2786" t="s">
        <v>1315</v>
      </c>
      <c r="K48" s="2786"/>
      <c r="L48" s="3342"/>
      <c r="N48" s="3353" t="s">
        <v>10608</v>
      </c>
      <c r="O48" s="3368" t="s">
        <v>10355</v>
      </c>
      <c r="P48" s="2786">
        <v>1</v>
      </c>
      <c r="Q48" s="3342">
        <v>0</v>
      </c>
      <c r="R48" s="2786" t="s">
        <v>2560</v>
      </c>
      <c r="S48" s="2786"/>
      <c r="T48" s="2786"/>
      <c r="U48" s="3342"/>
      <c r="X48" s="3320" t="s">
        <v>683</v>
      </c>
      <c r="Y48" s="2786">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3321">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3367"/>
      <c r="AB48" s="8351" t="s">
        <v>10609</v>
      </c>
      <c r="AC48" s="8351"/>
      <c r="AD48" s="8351"/>
      <c r="AE48" s="8351"/>
      <c r="AF48" s="8351"/>
      <c r="AG48" s="8351"/>
      <c r="AH48" s="8351"/>
      <c r="AI48" s="8351"/>
      <c r="AJ48" s="8351"/>
      <c r="AK48" s="8351"/>
      <c r="AL48" s="8351"/>
      <c r="AM48" s="8351"/>
      <c r="AN48" s="8351"/>
      <c r="AO48" s="8351"/>
      <c r="AP48" s="8351"/>
      <c r="AQ48" s="8351"/>
      <c r="AR48" s="8351"/>
      <c r="AS48" s="8352"/>
      <c r="AT48" s="3324" t="str">
        <f t="shared" si="40"/>
        <v>x</v>
      </c>
      <c r="AU48" s="215">
        <f t="shared" si="41"/>
        <v>34</v>
      </c>
      <c r="AV48" s="2787" t="str">
        <f>$AM$30</f>
        <v>x</v>
      </c>
      <c r="AW48" s="3324" t="str">
        <f t="shared" si="42"/>
        <v>x</v>
      </c>
      <c r="AX48" s="215">
        <f t="shared" si="43"/>
        <v>34</v>
      </c>
      <c r="AY48" s="2787" t="str">
        <f>$AM$35</f>
        <v>x</v>
      </c>
      <c r="AZ48" s="3324" t="str">
        <f t="shared" si="44"/>
        <v>x</v>
      </c>
      <c r="BA48" s="215">
        <f t="shared" si="45"/>
        <v>34</v>
      </c>
      <c r="BB48" s="2787" t="str">
        <f>$AM$40</f>
        <v>x</v>
      </c>
      <c r="BC48" s="3324" t="str">
        <f t="shared" si="46"/>
        <v>x</v>
      </c>
      <c r="BD48" s="215">
        <f t="shared" si="47"/>
        <v>34</v>
      </c>
      <c r="BE48" s="2787" t="str">
        <f>$AM$45</f>
        <v>x</v>
      </c>
      <c r="BF48" s="3324" t="str">
        <f t="shared" si="48"/>
        <v>x</v>
      </c>
      <c r="BG48" s="215">
        <f t="shared" si="49"/>
        <v>34</v>
      </c>
      <c r="BH48" s="3318" t="str">
        <f>$AM$50</f>
        <v>x</v>
      </c>
      <c r="BI48"/>
    </row>
    <row r="49" spans="1:60">
      <c r="A49">
        <v>49</v>
      </c>
      <c r="B49" s="3353" t="str">
        <f t="shared" ref="B49:B74" si="58">(VLOOKUP(A1,$C$48:$D$74,2,0))</f>
        <v>Ágil</v>
      </c>
      <c r="C49" s="2786">
        <f t="shared" si="57"/>
        <v>26</v>
      </c>
      <c r="D49" s="3354" t="s">
        <v>6056</v>
      </c>
      <c r="E49" s="2786">
        <v>1</v>
      </c>
      <c r="F49" s="2786">
        <v>4</v>
      </c>
      <c r="G49" s="2787" t="s">
        <v>10610</v>
      </c>
      <c r="H49" s="2787" t="s">
        <v>9303</v>
      </c>
      <c r="I49" s="2786">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2786">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2786"/>
      <c r="L49" s="3342"/>
      <c r="N49" s="3353" t="s">
        <v>10611</v>
      </c>
      <c r="O49" s="3368" t="s">
        <v>10355</v>
      </c>
      <c r="P49" s="2786">
        <v>1</v>
      </c>
      <c r="Q49" s="3342">
        <v>1</v>
      </c>
      <c r="R49" s="2787" t="s">
        <v>10612</v>
      </c>
      <c r="S49" s="3354" t="s">
        <v>10355</v>
      </c>
      <c r="T49" s="2786">
        <v>1</v>
      </c>
      <c r="U49" s="3342">
        <v>1</v>
      </c>
      <c r="X49" s="3320" t="s">
        <v>684</v>
      </c>
      <c r="Y49" s="2786">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3321">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3304"/>
      <c r="AB49" s="3322" t="s">
        <v>8356</v>
      </c>
      <c r="AC49" s="937"/>
      <c r="AD49" s="937" t="e">
        <f>RIGHT(AB52,LEN(AB52)-FIND(",",AB52))</f>
        <v>#N/A</v>
      </c>
      <c r="AE49" s="937" t="e">
        <f t="shared" ref="AE49:AN49" si="59">RIGHT(AD49,LEN(AD49)-FIND(",",AD49))</f>
        <v>#N/A</v>
      </c>
      <c r="AF49" s="937" t="e">
        <f t="shared" si="59"/>
        <v>#N/A</v>
      </c>
      <c r="AG49" s="937" t="e">
        <f t="shared" si="59"/>
        <v>#N/A</v>
      </c>
      <c r="AH49" s="937" t="e">
        <f t="shared" si="59"/>
        <v>#N/A</v>
      </c>
      <c r="AI49" s="937" t="e">
        <f t="shared" si="59"/>
        <v>#N/A</v>
      </c>
      <c r="AJ49" s="937" t="e">
        <f t="shared" si="59"/>
        <v>#N/A</v>
      </c>
      <c r="AK49" s="937" t="e">
        <f t="shared" si="59"/>
        <v>#N/A</v>
      </c>
      <c r="AL49" s="937" t="e">
        <f t="shared" si="59"/>
        <v>#N/A</v>
      </c>
      <c r="AM49" s="937" t="e">
        <f t="shared" si="59"/>
        <v>#N/A</v>
      </c>
      <c r="AN49" s="937" t="e">
        <f t="shared" si="59"/>
        <v>#N/A</v>
      </c>
      <c r="AO49" s="937" t="e">
        <f>RIGHT(AN49,LEN(AN49)-FIND(",",AN49))</f>
        <v>#N/A</v>
      </c>
      <c r="AP49" s="937" t="e">
        <f>RIGHT(AO49,LEN(AO49)-FIND(",",AO49))</f>
        <v>#N/A</v>
      </c>
      <c r="AQ49" s="937" t="e">
        <f>RIGHT(AP49,LEN(AP49)-FIND(",",AP49))</f>
        <v>#N/A</v>
      </c>
      <c r="AR49" s="937" t="e">
        <f>RIGHT(AQ49,LEN(AQ49)-FIND(",",AQ49))</f>
        <v>#N/A</v>
      </c>
      <c r="AS49" s="3323" t="e">
        <f>RIGHT(AR49,LEN(AR49)-FIND(",",AR49))</f>
        <v>#N/A</v>
      </c>
      <c r="AT49" s="3324" t="str">
        <f t="shared" si="40"/>
        <v>x</v>
      </c>
      <c r="AU49" s="215">
        <f t="shared" si="41"/>
        <v>34</v>
      </c>
      <c r="AV49" s="2787" t="str">
        <f>$AN$30</f>
        <v>x</v>
      </c>
      <c r="AW49" s="3324" t="str">
        <f t="shared" si="42"/>
        <v>x</v>
      </c>
      <c r="AX49" s="215">
        <f t="shared" si="43"/>
        <v>34</v>
      </c>
      <c r="AY49" s="2787" t="str">
        <f>$AN$35</f>
        <v>x</v>
      </c>
      <c r="AZ49" s="3324" t="str">
        <f t="shared" si="44"/>
        <v>x</v>
      </c>
      <c r="BA49" s="215">
        <f t="shared" si="45"/>
        <v>34</v>
      </c>
      <c r="BB49" s="2787" t="str">
        <f>$AN$40</f>
        <v>x</v>
      </c>
      <c r="BC49" s="3324" t="str">
        <f t="shared" si="46"/>
        <v>x</v>
      </c>
      <c r="BD49" s="215">
        <f t="shared" si="47"/>
        <v>34</v>
      </c>
      <c r="BE49" s="2787" t="str">
        <f>$AN$45</f>
        <v>x</v>
      </c>
      <c r="BF49" s="3324" t="str">
        <f t="shared" si="48"/>
        <v>x</v>
      </c>
      <c r="BG49" s="215">
        <f t="shared" si="49"/>
        <v>34</v>
      </c>
      <c r="BH49" s="3318" t="str">
        <f>$AN$50</f>
        <v>x</v>
      </c>
    </row>
    <row r="50" spans="1:60">
      <c r="A50">
        <v>50</v>
      </c>
      <c r="B50" s="3353" t="str">
        <f t="shared" si="58"/>
        <v>Arma especializada</v>
      </c>
      <c r="C50" s="2786">
        <f t="shared" si="57"/>
        <v>25</v>
      </c>
      <c r="D50" s="3354" t="s">
        <v>10374</v>
      </c>
      <c r="E50" s="2786">
        <v>1</v>
      </c>
      <c r="F50" s="2786">
        <v>4</v>
      </c>
      <c r="G50" s="2787" t="s">
        <v>10613</v>
      </c>
      <c r="H50" s="3330" t="s">
        <v>10614</v>
      </c>
      <c r="I50" s="2786">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2786">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2786"/>
      <c r="L50" s="3342"/>
      <c r="N50" s="3353" t="s">
        <v>10615</v>
      </c>
      <c r="O50" s="3368" t="s">
        <v>10588</v>
      </c>
      <c r="P50" s="2786">
        <v>3</v>
      </c>
      <c r="Q50" s="3342">
        <v>1</v>
      </c>
      <c r="R50" s="2787" t="s">
        <v>10616</v>
      </c>
      <c r="S50" s="3354" t="s">
        <v>10355</v>
      </c>
      <c r="T50" s="2786">
        <v>1</v>
      </c>
      <c r="U50" s="3342">
        <v>1</v>
      </c>
      <c r="X50" s="3320" t="s">
        <v>1333</v>
      </c>
      <c r="Y50" s="2786">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3321">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3304"/>
      <c r="AB50" s="3330" t="str">
        <f>IF(Constructos!$K$118="","",Constructos!$K$118)</f>
        <v/>
      </c>
      <c r="AC50" s="937" t="str">
        <f>IFERROR(LEFT(AB52,FIND(",",AB52)-1),"x")</f>
        <v>x</v>
      </c>
      <c r="AD50" s="937" t="str">
        <f>IFERROR(LEFT(AD49,FIND(",",AD49)-1),"X")</f>
        <v>X</v>
      </c>
      <c r="AE50" s="937" t="str">
        <f>IFERROR(LEFT(AE49,FIND(",",AE49)-1),"X")</f>
        <v>X</v>
      </c>
      <c r="AF50" s="937" t="str">
        <f t="shared" ref="AF50:AN50" si="60">IFERROR(LEFT(AF49,FIND(",",AF49)-1),"x")</f>
        <v>x</v>
      </c>
      <c r="AG50" s="937" t="str">
        <f t="shared" si="60"/>
        <v>x</v>
      </c>
      <c r="AH50" s="937" t="str">
        <f t="shared" si="60"/>
        <v>x</v>
      </c>
      <c r="AI50" s="937" t="str">
        <f t="shared" si="60"/>
        <v>x</v>
      </c>
      <c r="AJ50" s="937" t="str">
        <f t="shared" si="60"/>
        <v>x</v>
      </c>
      <c r="AK50" s="937" t="str">
        <f t="shared" si="60"/>
        <v>x</v>
      </c>
      <c r="AL50" s="937" t="str">
        <f t="shared" si="60"/>
        <v>x</v>
      </c>
      <c r="AM50" s="937" t="str">
        <f t="shared" si="60"/>
        <v>x</v>
      </c>
      <c r="AN50" s="937" t="str">
        <f t="shared" si="60"/>
        <v>x</v>
      </c>
      <c r="AO50" s="937" t="str">
        <f>IFERROR(LEFT(AO49,FIND(",",AO49)-1),"x")</f>
        <v>x</v>
      </c>
      <c r="AP50" s="937" t="str">
        <f>IFERROR(LEFT(AP49,FIND(",",AP49)-1),"x")</f>
        <v>x</v>
      </c>
      <c r="AQ50" s="937" t="str">
        <f>IFERROR(LEFT(AQ49,FIND(",",AQ49)-1),"x")</f>
        <v>x</v>
      </c>
      <c r="AR50" s="937" t="str">
        <f>IFERROR(LEFT(AR49,FIND(",",AR49)-1),"x")</f>
        <v>x</v>
      </c>
      <c r="AS50" s="3323" t="str">
        <f>IFERROR(LEFT(AS49,FIND(",",AS49)-1),"x")</f>
        <v>x</v>
      </c>
      <c r="AT50" s="3324" t="str">
        <f t="shared" si="40"/>
        <v>x</v>
      </c>
      <c r="AU50" s="215">
        <f t="shared" si="41"/>
        <v>34</v>
      </c>
      <c r="AV50" s="2787" t="str">
        <f>$AO$30</f>
        <v>x</v>
      </c>
      <c r="AW50" s="3324" t="str">
        <f t="shared" si="42"/>
        <v>x</v>
      </c>
      <c r="AX50" s="215">
        <f t="shared" si="43"/>
        <v>34</v>
      </c>
      <c r="AY50" s="2787" t="str">
        <f>$AO$35</f>
        <v>x</v>
      </c>
      <c r="AZ50" s="3324" t="str">
        <f t="shared" si="44"/>
        <v>x</v>
      </c>
      <c r="BA50" s="215">
        <f t="shared" si="45"/>
        <v>34</v>
      </c>
      <c r="BB50" s="2787" t="str">
        <f>$AO$40</f>
        <v>x</v>
      </c>
      <c r="BC50" s="3324" t="str">
        <f t="shared" si="46"/>
        <v>x</v>
      </c>
      <c r="BD50" s="215">
        <f t="shared" si="47"/>
        <v>34</v>
      </c>
      <c r="BE50" s="2787" t="str">
        <f>$AO$45</f>
        <v>x</v>
      </c>
      <c r="BF50" s="3324" t="str">
        <f t="shared" si="48"/>
        <v>x</v>
      </c>
      <c r="BG50" s="215">
        <f t="shared" si="49"/>
        <v>34</v>
      </c>
      <c r="BH50" s="3318" t="str">
        <f>$AO$50</f>
        <v>x</v>
      </c>
    </row>
    <row r="51" spans="1:60">
      <c r="A51">
        <v>51</v>
      </c>
      <c r="B51" s="3353" t="str">
        <f t="shared" si="58"/>
        <v>Ataque especial</v>
      </c>
      <c r="C51" s="2786">
        <f t="shared" si="57"/>
        <v>24</v>
      </c>
      <c r="D51" s="3354" t="s">
        <v>10369</v>
      </c>
      <c r="E51" s="2786">
        <v>1</v>
      </c>
      <c r="F51" s="2786">
        <v>2</v>
      </c>
      <c r="G51" s="2787" t="s">
        <v>10617</v>
      </c>
      <c r="H51" s="3330" t="s">
        <v>10618</v>
      </c>
      <c r="I51" s="2786">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2786"/>
      <c r="K51" s="2786"/>
      <c r="L51" s="3342"/>
      <c r="N51" s="3353" t="s">
        <v>10619</v>
      </c>
      <c r="O51" s="3368" t="s">
        <v>10359</v>
      </c>
      <c r="P51" s="2786">
        <v>5</v>
      </c>
      <c r="Q51" s="3342">
        <v>2</v>
      </c>
      <c r="R51" s="2787" t="s">
        <v>10620</v>
      </c>
      <c r="S51" s="3354" t="s">
        <v>10358</v>
      </c>
      <c r="T51" s="2786">
        <v>2</v>
      </c>
      <c r="U51" s="3342">
        <v>1</v>
      </c>
      <c r="X51" s="3320" t="s">
        <v>1335</v>
      </c>
      <c r="Y51" s="2786">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3321">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3304"/>
      <c r="AB51" s="3322" t="s">
        <v>483</v>
      </c>
      <c r="AC51" s="937" t="e">
        <f>RIGHT(AS49,LEN(AS49)-FIND(",",AS49))</f>
        <v>#N/A</v>
      </c>
      <c r="AD51" s="937" t="e">
        <f>RIGHT(AC51,LEN(AC51)-FIND(",",AC51))</f>
        <v>#N/A</v>
      </c>
      <c r="AE51" s="937" t="e">
        <f t="shared" ref="AE51:AS51" si="61">RIGHT(AD51,LEN(AD51)-FIND(",",AD51))</f>
        <v>#N/A</v>
      </c>
      <c r="AF51" s="937" t="e">
        <f t="shared" si="61"/>
        <v>#N/A</v>
      </c>
      <c r="AG51" s="937" t="e">
        <f t="shared" si="61"/>
        <v>#N/A</v>
      </c>
      <c r="AH51" s="937" t="e">
        <f t="shared" si="61"/>
        <v>#N/A</v>
      </c>
      <c r="AI51" s="937" t="e">
        <f t="shared" si="61"/>
        <v>#N/A</v>
      </c>
      <c r="AJ51" s="937" t="e">
        <f t="shared" si="61"/>
        <v>#N/A</v>
      </c>
      <c r="AK51" s="937" t="e">
        <f t="shared" si="61"/>
        <v>#N/A</v>
      </c>
      <c r="AL51" s="937" t="e">
        <f t="shared" si="61"/>
        <v>#N/A</v>
      </c>
      <c r="AM51" s="937" t="e">
        <f t="shared" si="61"/>
        <v>#N/A</v>
      </c>
      <c r="AN51" s="937" t="e">
        <f t="shared" si="61"/>
        <v>#N/A</v>
      </c>
      <c r="AO51" s="937" t="e">
        <f t="shared" si="61"/>
        <v>#N/A</v>
      </c>
      <c r="AP51" s="937" t="e">
        <f t="shared" si="61"/>
        <v>#N/A</v>
      </c>
      <c r="AQ51" s="937" t="e">
        <f t="shared" si="61"/>
        <v>#N/A</v>
      </c>
      <c r="AR51" s="937" t="e">
        <f t="shared" si="61"/>
        <v>#N/A</v>
      </c>
      <c r="AS51" s="937" t="e">
        <f t="shared" si="61"/>
        <v>#N/A</v>
      </c>
      <c r="AT51" s="3324" t="str">
        <f t="shared" si="40"/>
        <v>x</v>
      </c>
      <c r="AU51" s="215">
        <f t="shared" si="41"/>
        <v>34</v>
      </c>
      <c r="AV51" s="2787" t="str">
        <f>$AP$30</f>
        <v>x</v>
      </c>
      <c r="AW51" s="3324" t="str">
        <f t="shared" si="42"/>
        <v>x</v>
      </c>
      <c r="AX51" s="215">
        <f t="shared" si="43"/>
        <v>34</v>
      </c>
      <c r="AY51" s="2787" t="str">
        <f>$AP$35</f>
        <v>x</v>
      </c>
      <c r="AZ51" s="3324" t="str">
        <f t="shared" si="44"/>
        <v>x</v>
      </c>
      <c r="BA51" s="215">
        <f t="shared" si="45"/>
        <v>34</v>
      </c>
      <c r="BB51" s="2787" t="str">
        <f>$AP$40</f>
        <v>x</v>
      </c>
      <c r="BC51" s="3324" t="str">
        <f t="shared" si="46"/>
        <v>x</v>
      </c>
      <c r="BD51" s="215">
        <f t="shared" si="47"/>
        <v>34</v>
      </c>
      <c r="BE51" s="2787" t="str">
        <f>$AP$45</f>
        <v>x</v>
      </c>
      <c r="BF51" s="3324" t="str">
        <f t="shared" si="48"/>
        <v>x</v>
      </c>
      <c r="BG51" s="215">
        <f t="shared" si="49"/>
        <v>34</v>
      </c>
      <c r="BH51" s="3318" t="str">
        <f>$AP$50</f>
        <v>x</v>
      </c>
    </row>
    <row r="52" spans="1:60" ht="13.5" thickBot="1">
      <c r="A52">
        <v>52</v>
      </c>
      <c r="B52" s="3353" t="str">
        <f t="shared" si="58"/>
        <v>Batería</v>
      </c>
      <c r="C52" s="2786">
        <f t="shared" si="57"/>
        <v>23</v>
      </c>
      <c r="D52" s="3354" t="s">
        <v>10370</v>
      </c>
      <c r="E52" s="2786">
        <v>1</v>
      </c>
      <c r="F52" s="2786">
        <v>2</v>
      </c>
      <c r="G52" s="2787" t="s">
        <v>10617</v>
      </c>
      <c r="H52" s="3330" t="s">
        <v>10618</v>
      </c>
      <c r="I52" s="2786">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2787"/>
      <c r="K52" s="2786"/>
      <c r="L52" s="3342"/>
      <c r="N52" s="3353" t="s">
        <v>10621</v>
      </c>
      <c r="O52" s="3368" t="s">
        <v>10360</v>
      </c>
      <c r="P52" s="2786">
        <v>6</v>
      </c>
      <c r="Q52" s="3342">
        <v>2</v>
      </c>
      <c r="R52" s="2787" t="s">
        <v>10622</v>
      </c>
      <c r="S52" s="3354" t="s">
        <v>10358</v>
      </c>
      <c r="T52" s="2786">
        <v>2</v>
      </c>
      <c r="U52" s="3342">
        <v>1</v>
      </c>
      <c r="X52" s="3320" t="s">
        <v>5859</v>
      </c>
      <c r="Y52" s="2786">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3321">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3304"/>
      <c r="AB52" s="3146" t="e">
        <f>VLOOKUP(AB50,Constructos_Atributos,4,0)</f>
        <v>#N/A</v>
      </c>
      <c r="AC52" s="3369" t="str">
        <f t="shared" ref="AC52:AS52" si="62">IFERROR(LEFT(AC51,FIND(",",AC51)-1),"x")</f>
        <v>x</v>
      </c>
      <c r="AD52" s="3369" t="str">
        <f t="shared" si="62"/>
        <v>x</v>
      </c>
      <c r="AE52" s="3369" t="str">
        <f t="shared" si="62"/>
        <v>x</v>
      </c>
      <c r="AF52" s="3369" t="str">
        <f t="shared" si="62"/>
        <v>x</v>
      </c>
      <c r="AG52" s="3369" t="str">
        <f t="shared" si="62"/>
        <v>x</v>
      </c>
      <c r="AH52" s="3369" t="str">
        <f t="shared" si="62"/>
        <v>x</v>
      </c>
      <c r="AI52" s="3369" t="str">
        <f t="shared" si="62"/>
        <v>x</v>
      </c>
      <c r="AJ52" s="3369" t="str">
        <f t="shared" si="62"/>
        <v>x</v>
      </c>
      <c r="AK52" s="3369" t="str">
        <f t="shared" si="62"/>
        <v>x</v>
      </c>
      <c r="AL52" s="3369" t="str">
        <f t="shared" si="62"/>
        <v>x</v>
      </c>
      <c r="AM52" s="3369" t="str">
        <f t="shared" si="62"/>
        <v>x</v>
      </c>
      <c r="AN52" s="3369" t="str">
        <f t="shared" si="62"/>
        <v>x</v>
      </c>
      <c r="AO52" s="3369" t="str">
        <f t="shared" si="62"/>
        <v>x</v>
      </c>
      <c r="AP52" s="3369" t="str">
        <f t="shared" si="62"/>
        <v>x</v>
      </c>
      <c r="AQ52" s="3369" t="str">
        <f t="shared" si="62"/>
        <v>x</v>
      </c>
      <c r="AR52" s="3369" t="str">
        <f t="shared" si="62"/>
        <v>x</v>
      </c>
      <c r="AS52" s="3370" t="str">
        <f t="shared" si="62"/>
        <v>x</v>
      </c>
      <c r="AT52" s="3324" t="str">
        <f t="shared" si="40"/>
        <v>x</v>
      </c>
      <c r="AU52" s="215">
        <f t="shared" si="41"/>
        <v>34</v>
      </c>
      <c r="AV52" s="2787" t="str">
        <f>$AQ$30</f>
        <v>x</v>
      </c>
      <c r="AW52" s="3324" t="str">
        <f t="shared" si="42"/>
        <v>x</v>
      </c>
      <c r="AX52" s="215">
        <f t="shared" si="43"/>
        <v>34</v>
      </c>
      <c r="AY52" s="2787" t="str">
        <f>$AQ$35</f>
        <v>x</v>
      </c>
      <c r="AZ52" s="3324" t="str">
        <f t="shared" si="44"/>
        <v>x</v>
      </c>
      <c r="BA52" s="215">
        <f t="shared" si="45"/>
        <v>34</v>
      </c>
      <c r="BB52" s="2787" t="str">
        <f>$AQ$40</f>
        <v>x</v>
      </c>
      <c r="BC52" s="3324" t="str">
        <f t="shared" si="46"/>
        <v>x</v>
      </c>
      <c r="BD52" s="215">
        <f t="shared" si="47"/>
        <v>34</v>
      </c>
      <c r="BE52" s="2787" t="str">
        <f>$AQ$45</f>
        <v>x</v>
      </c>
      <c r="BF52" s="3324" t="str">
        <f t="shared" si="48"/>
        <v>x</v>
      </c>
      <c r="BG52" s="215">
        <f t="shared" si="49"/>
        <v>34</v>
      </c>
      <c r="BH52" s="3318" t="str">
        <f>$AQ$50</f>
        <v>x</v>
      </c>
    </row>
    <row r="53" spans="1:60">
      <c r="A53">
        <v>53</v>
      </c>
      <c r="B53" s="3353" t="str">
        <f t="shared" si="58"/>
        <v>Brutalidad</v>
      </c>
      <c r="C53" s="2786">
        <f t="shared" si="57"/>
        <v>22</v>
      </c>
      <c r="D53" s="3354" t="s">
        <v>10371</v>
      </c>
      <c r="E53" s="2786">
        <v>1</v>
      </c>
      <c r="F53" s="2786">
        <v>2</v>
      </c>
      <c r="G53" s="2787" t="s">
        <v>10623</v>
      </c>
      <c r="H53" s="3330" t="s">
        <v>10618</v>
      </c>
      <c r="I53" s="2786">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2786"/>
      <c r="K53" s="2786"/>
      <c r="L53" s="3342"/>
      <c r="N53" s="3353" t="s">
        <v>1425</v>
      </c>
      <c r="O53" s="3330"/>
      <c r="P53" s="2786"/>
      <c r="Q53" s="3342"/>
      <c r="R53" s="2787" t="s">
        <v>10624</v>
      </c>
      <c r="S53" s="3354" t="s">
        <v>10588</v>
      </c>
      <c r="T53" s="2786">
        <v>3</v>
      </c>
      <c r="U53" s="3342">
        <v>2</v>
      </c>
      <c r="X53" s="3320" t="s">
        <v>5860</v>
      </c>
      <c r="Y53" s="2786">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3321">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3324" t="str">
        <f t="shared" si="40"/>
        <v>x</v>
      </c>
      <c r="AU53" s="215">
        <f t="shared" si="41"/>
        <v>34</v>
      </c>
      <c r="AV53" s="2787" t="str">
        <f>$AR$30</f>
        <v>x</v>
      </c>
      <c r="AW53" s="3324" t="str">
        <f t="shared" si="42"/>
        <v>x</v>
      </c>
      <c r="AX53" s="215">
        <f t="shared" si="43"/>
        <v>34</v>
      </c>
      <c r="AY53" s="2787" t="str">
        <f>$AR$35</f>
        <v>x</v>
      </c>
      <c r="AZ53" s="3324" t="str">
        <f t="shared" si="44"/>
        <v>x</v>
      </c>
      <c r="BA53" s="215">
        <f t="shared" si="45"/>
        <v>34</v>
      </c>
      <c r="BB53" s="2787" t="str">
        <f>$AR$40</f>
        <v>x</v>
      </c>
      <c r="BC53" s="3324" t="str">
        <f t="shared" si="46"/>
        <v>x</v>
      </c>
      <c r="BD53" s="215">
        <f t="shared" si="47"/>
        <v>34</v>
      </c>
      <c r="BE53" s="2787" t="str">
        <f>$AR$45</f>
        <v>x</v>
      </c>
      <c r="BF53" s="3324" t="str">
        <f t="shared" si="48"/>
        <v>x</v>
      </c>
      <c r="BG53" s="215">
        <f t="shared" si="49"/>
        <v>34</v>
      </c>
      <c r="BH53" s="3318" t="str">
        <f>$AR$50</f>
        <v>x</v>
      </c>
    </row>
    <row r="54" spans="1:60">
      <c r="A54" s="701">
        <v>54</v>
      </c>
      <c r="B54" s="3353" t="str">
        <f t="shared" si="58"/>
        <v>Carga</v>
      </c>
      <c r="C54" s="2786">
        <f t="shared" si="57"/>
        <v>14</v>
      </c>
      <c r="D54" s="3354" t="s">
        <v>6013</v>
      </c>
      <c r="E54" s="2786">
        <v>1</v>
      </c>
      <c r="F54" s="2786">
        <v>6</v>
      </c>
      <c r="G54" s="2787" t="s">
        <v>10625</v>
      </c>
      <c r="H54" s="3330" t="s">
        <v>10618</v>
      </c>
      <c r="I54" s="2786">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2786"/>
      <c r="K54" s="2786"/>
      <c r="L54" s="3342"/>
      <c r="N54" s="3353" t="s">
        <v>4614</v>
      </c>
      <c r="O54" s="3368" t="s">
        <v>10355</v>
      </c>
      <c r="P54" s="2786">
        <v>1</v>
      </c>
      <c r="Q54" s="3342">
        <v>0</v>
      </c>
      <c r="R54" s="2787" t="s">
        <v>10626</v>
      </c>
      <c r="S54" s="3354" t="s">
        <v>10359</v>
      </c>
      <c r="T54" s="2786">
        <v>5</v>
      </c>
      <c r="U54" s="3342">
        <v>2</v>
      </c>
      <c r="X54" s="3320" t="s">
        <v>5861</v>
      </c>
      <c r="Y54" s="2786">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3321">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3324" t="str">
        <f t="shared" si="40"/>
        <v>x</v>
      </c>
      <c r="AU54" s="215">
        <f t="shared" si="41"/>
        <v>34</v>
      </c>
      <c r="AV54" s="2787" t="str">
        <f>$AS$30</f>
        <v>x</v>
      </c>
      <c r="AW54" s="3324" t="str">
        <f t="shared" si="42"/>
        <v>x</v>
      </c>
      <c r="AX54" s="215">
        <f t="shared" si="43"/>
        <v>34</v>
      </c>
      <c r="AY54" s="2787" t="str">
        <f>$AS$35</f>
        <v>x</v>
      </c>
      <c r="AZ54" s="3324" t="str">
        <f t="shared" si="44"/>
        <v>x</v>
      </c>
      <c r="BA54" s="215">
        <f t="shared" si="45"/>
        <v>34</v>
      </c>
      <c r="BB54" s="2787" t="str">
        <f>$AS$40</f>
        <v>x</v>
      </c>
      <c r="BC54" s="3324" t="str">
        <f t="shared" si="46"/>
        <v>x</v>
      </c>
      <c r="BD54" s="215">
        <f t="shared" si="47"/>
        <v>34</v>
      </c>
      <c r="BE54" s="2787" t="str">
        <f>$AS$45</f>
        <v>x</v>
      </c>
      <c r="BF54" s="3324" t="str">
        <f t="shared" si="48"/>
        <v>x</v>
      </c>
      <c r="BG54" s="215">
        <f t="shared" si="49"/>
        <v>34</v>
      </c>
      <c r="BH54" s="3318" t="str">
        <f>$AS$50</f>
        <v>x</v>
      </c>
    </row>
    <row r="55" spans="1:60">
      <c r="A55">
        <v>55</v>
      </c>
      <c r="B55" s="3353" t="str">
        <f t="shared" si="58"/>
        <v>Cifrado</v>
      </c>
      <c r="C55" s="2786">
        <f t="shared" si="57"/>
        <v>5</v>
      </c>
      <c r="D55" s="3354" t="s">
        <v>10372</v>
      </c>
      <c r="E55" s="2786">
        <v>1</v>
      </c>
      <c r="F55" s="2786">
        <v>6</v>
      </c>
      <c r="G55" s="2787" t="s">
        <v>10627</v>
      </c>
      <c r="H55" s="3330" t="s">
        <v>412</v>
      </c>
      <c r="I55" s="2786">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2786">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2786"/>
      <c r="L55" s="3342"/>
      <c r="N55" s="3353" t="s">
        <v>4371</v>
      </c>
      <c r="O55" s="3368" t="s">
        <v>10355</v>
      </c>
      <c r="P55" s="2786">
        <v>1</v>
      </c>
      <c r="Q55" s="3342">
        <v>1</v>
      </c>
      <c r="R55" s="2787" t="s">
        <v>10628</v>
      </c>
      <c r="S55" s="3354" t="s">
        <v>10356</v>
      </c>
      <c r="T55" s="2786">
        <v>4</v>
      </c>
      <c r="U55" s="3342">
        <v>3</v>
      </c>
      <c r="X55" s="3320" t="s">
        <v>5862</v>
      </c>
      <c r="Y55" s="2786">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3321">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3324" t="str">
        <f t="shared" si="40"/>
        <v>x</v>
      </c>
      <c r="AU55" s="215">
        <f t="shared" si="41"/>
        <v>34</v>
      </c>
      <c r="AV55" s="2787" t="str">
        <f>$AC$32</f>
        <v>x</v>
      </c>
      <c r="AW55" s="3324" t="str">
        <f t="shared" si="42"/>
        <v>x</v>
      </c>
      <c r="AX55" s="215">
        <f t="shared" si="43"/>
        <v>34</v>
      </c>
      <c r="AY55" s="2787" t="str">
        <f>$AC$37</f>
        <v>x</v>
      </c>
      <c r="AZ55" s="3324" t="str">
        <f t="shared" si="44"/>
        <v>x</v>
      </c>
      <c r="BA55" s="215">
        <f t="shared" si="45"/>
        <v>34</v>
      </c>
      <c r="BB55" s="2787" t="str">
        <f>$AC$42</f>
        <v>x</v>
      </c>
      <c r="BC55" s="3324" t="str">
        <f t="shared" si="46"/>
        <v>x</v>
      </c>
      <c r="BD55" s="215">
        <f t="shared" si="47"/>
        <v>34</v>
      </c>
      <c r="BE55" s="2787" t="str">
        <f>$AC$47</f>
        <v>x</v>
      </c>
      <c r="BF55" s="3324" t="str">
        <f t="shared" si="48"/>
        <v>x</v>
      </c>
      <c r="BG55" s="215">
        <f t="shared" si="49"/>
        <v>34</v>
      </c>
      <c r="BH55" s="3318" t="str">
        <f>$AC$52</f>
        <v>x</v>
      </c>
    </row>
    <row r="56" spans="1:60">
      <c r="A56">
        <v>56</v>
      </c>
      <c r="B56" s="3353" t="str">
        <f t="shared" si="58"/>
        <v>Contenedor sobrenatural (25 Ki)</v>
      </c>
      <c r="C56" s="2786">
        <f t="shared" si="57"/>
        <v>1</v>
      </c>
      <c r="D56" s="3354" t="s">
        <v>10381</v>
      </c>
      <c r="E56" s="2786">
        <v>2</v>
      </c>
      <c r="F56" s="2786">
        <v>2</v>
      </c>
      <c r="G56" s="2787" t="s">
        <v>10629</v>
      </c>
      <c r="H56" s="3330" t="s">
        <v>10380</v>
      </c>
      <c r="I56" s="2786">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2786">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2786"/>
      <c r="L56" s="3342"/>
      <c r="N56" s="3353" t="s">
        <v>4615</v>
      </c>
      <c r="O56" s="3368" t="s">
        <v>10355</v>
      </c>
      <c r="P56" s="2786">
        <v>1</v>
      </c>
      <c r="Q56" s="3342">
        <v>1</v>
      </c>
      <c r="R56" s="2787" t="s">
        <v>1095</v>
      </c>
      <c r="S56" s="2787"/>
      <c r="T56" s="2786"/>
      <c r="U56" s="3342"/>
      <c r="X56" s="3320" t="str">
        <f>Constructos!R64</f>
        <v>T. Manos</v>
      </c>
      <c r="Y56" s="2786">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3321">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3324" t="str">
        <f t="shared" si="40"/>
        <v>x</v>
      </c>
      <c r="AU56" s="215">
        <f t="shared" si="41"/>
        <v>34</v>
      </c>
      <c r="AV56" s="2787" t="str">
        <f>$AD$32</f>
        <v>x</v>
      </c>
      <c r="AW56" s="3324" t="str">
        <f t="shared" si="42"/>
        <v>x</v>
      </c>
      <c r="AX56" s="215">
        <f t="shared" si="43"/>
        <v>34</v>
      </c>
      <c r="AY56" s="2787" t="str">
        <f>$AD$37</f>
        <v>x</v>
      </c>
      <c r="AZ56" s="3324" t="str">
        <f t="shared" si="44"/>
        <v>x</v>
      </c>
      <c r="BA56" s="215">
        <f t="shared" si="45"/>
        <v>34</v>
      </c>
      <c r="BB56" s="2787" t="str">
        <f>$AD$42</f>
        <v>x</v>
      </c>
      <c r="BC56" s="3324" t="str">
        <f t="shared" si="46"/>
        <v>x</v>
      </c>
      <c r="BD56" s="215">
        <f t="shared" si="47"/>
        <v>34</v>
      </c>
      <c r="BE56" s="2787" t="str">
        <f>$AD$47</f>
        <v>x</v>
      </c>
      <c r="BF56" s="3324" t="str">
        <f t="shared" si="48"/>
        <v>x</v>
      </c>
      <c r="BG56" s="215">
        <f t="shared" si="49"/>
        <v>34</v>
      </c>
      <c r="BH56" s="3318" t="str">
        <f>$AD$52</f>
        <v>x</v>
      </c>
    </row>
    <row r="57" spans="1:60">
      <c r="A57">
        <v>57</v>
      </c>
      <c r="B57" s="3353" t="str">
        <f t="shared" si="58"/>
        <v>Contenedor sobrenatural (250 Zeon)</v>
      </c>
      <c r="C57" s="2786">
        <f t="shared" si="57"/>
        <v>18</v>
      </c>
      <c r="D57" s="3354" t="s">
        <v>10382</v>
      </c>
      <c r="E57" s="2786">
        <v>1</v>
      </c>
      <c r="F57" s="2786">
        <v>4</v>
      </c>
      <c r="G57" s="2787" t="s">
        <v>10630</v>
      </c>
      <c r="H57" s="3330" t="s">
        <v>10373</v>
      </c>
      <c r="I57" s="2786">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2786">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2786"/>
      <c r="L57" s="3342"/>
      <c r="N57" s="3353" t="s">
        <v>3531</v>
      </c>
      <c r="O57" s="3368" t="s">
        <v>10588</v>
      </c>
      <c r="P57" s="2786">
        <v>3</v>
      </c>
      <c r="Q57" s="3342">
        <v>2</v>
      </c>
      <c r="R57" s="2787" t="s">
        <v>3002</v>
      </c>
      <c r="S57" s="3354" t="s">
        <v>10355</v>
      </c>
      <c r="T57" s="2786">
        <v>1</v>
      </c>
      <c r="U57" s="3342">
        <v>1</v>
      </c>
      <c r="X57" s="3320" t="str">
        <f>Constructos!R65</f>
        <v>Caligrafía ritual</v>
      </c>
      <c r="Y57" s="2786">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3321">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3324" t="str">
        <f t="shared" si="40"/>
        <v>x</v>
      </c>
      <c r="AU57" s="215">
        <f t="shared" si="41"/>
        <v>34</v>
      </c>
      <c r="AV57" s="2787" t="str">
        <f>$AE$32</f>
        <v>x</v>
      </c>
      <c r="AW57" s="3324" t="str">
        <f t="shared" si="42"/>
        <v>x</v>
      </c>
      <c r="AX57" s="215">
        <f t="shared" si="43"/>
        <v>34</v>
      </c>
      <c r="AY57" s="2787" t="str">
        <f>$AE$37</f>
        <v>x</v>
      </c>
      <c r="AZ57" s="3324" t="str">
        <f t="shared" si="44"/>
        <v>x</v>
      </c>
      <c r="BA57" s="215">
        <f t="shared" si="45"/>
        <v>34</v>
      </c>
      <c r="BB57" s="2787" t="str">
        <f>$AE$42</f>
        <v>x</v>
      </c>
      <c r="BC57" s="3324" t="str">
        <f t="shared" si="46"/>
        <v>x</v>
      </c>
      <c r="BD57" s="215">
        <f t="shared" si="47"/>
        <v>34</v>
      </c>
      <c r="BE57" s="2787" t="str">
        <f>$AE$47</f>
        <v>x</v>
      </c>
      <c r="BF57" s="3324" t="str">
        <f t="shared" si="48"/>
        <v>x</v>
      </c>
      <c r="BG57" s="215">
        <f t="shared" si="49"/>
        <v>34</v>
      </c>
      <c r="BH57" s="3318" t="str">
        <f>$AE$52</f>
        <v>x</v>
      </c>
    </row>
    <row r="58" spans="1:60">
      <c r="A58">
        <v>58</v>
      </c>
      <c r="B58" s="3353" t="str">
        <f t="shared" si="58"/>
        <v>Contenedor sobrenatural (50 Ki)</v>
      </c>
      <c r="C58" s="2786">
        <f t="shared" si="57"/>
        <v>21</v>
      </c>
      <c r="D58" s="3354" t="s">
        <v>355</v>
      </c>
      <c r="E58" s="2786">
        <v>2</v>
      </c>
      <c r="F58" s="2786">
        <v>5</v>
      </c>
      <c r="G58" s="2787" t="s">
        <v>10631</v>
      </c>
      <c r="H58" s="3330" t="s">
        <v>10618</v>
      </c>
      <c r="I58" s="2786">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2786"/>
      <c r="K58" s="2786"/>
      <c r="L58" s="3342"/>
      <c r="N58" s="3353" t="s">
        <v>3247</v>
      </c>
      <c r="O58" s="3368" t="s">
        <v>10356</v>
      </c>
      <c r="P58" s="2786">
        <v>4</v>
      </c>
      <c r="Q58" s="3342">
        <v>2</v>
      </c>
      <c r="R58" s="2787" t="s">
        <v>7018</v>
      </c>
      <c r="S58" s="3354" t="s">
        <v>10358</v>
      </c>
      <c r="T58" s="2786">
        <v>2</v>
      </c>
      <c r="U58" s="3342">
        <v>2</v>
      </c>
      <c r="X58" s="3320" t="str">
        <f>Constructos!R66</f>
        <v>Orfebrería</v>
      </c>
      <c r="Y58" s="2786">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3321">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3324" t="str">
        <f t="shared" si="40"/>
        <v>x</v>
      </c>
      <c r="AU58" s="215">
        <f t="shared" si="41"/>
        <v>34</v>
      </c>
      <c r="AV58" s="2787" t="str">
        <f>$AF$32</f>
        <v>x</v>
      </c>
      <c r="AW58" s="3324" t="str">
        <f t="shared" si="42"/>
        <v>x</v>
      </c>
      <c r="AX58" s="215">
        <f t="shared" si="43"/>
        <v>34</v>
      </c>
      <c r="AY58" s="2787" t="str">
        <f>$AF$37</f>
        <v>x</v>
      </c>
      <c r="AZ58" s="3324" t="str">
        <f t="shared" si="44"/>
        <v>x</v>
      </c>
      <c r="BA58" s="215">
        <f t="shared" si="45"/>
        <v>34</v>
      </c>
      <c r="BB58" s="2787" t="str">
        <f>$AF$42</f>
        <v>x</v>
      </c>
      <c r="BC58" s="3324" t="str">
        <f t="shared" si="46"/>
        <v>x</v>
      </c>
      <c r="BD58" s="215">
        <f t="shared" si="47"/>
        <v>34</v>
      </c>
      <c r="BE58" s="2787" t="str">
        <f>$AF$47</f>
        <v>x</v>
      </c>
      <c r="BF58" s="3324" t="str">
        <f t="shared" si="48"/>
        <v>x</v>
      </c>
      <c r="BG58" s="215">
        <f t="shared" si="49"/>
        <v>34</v>
      </c>
      <c r="BH58" s="3318" t="str">
        <f>$AF$52</f>
        <v>x</v>
      </c>
    </row>
    <row r="59" spans="1:60">
      <c r="A59">
        <v>59</v>
      </c>
      <c r="B59" s="3353" t="str">
        <f t="shared" si="58"/>
        <v>Contenedor sobrenatural (500 Zeon)</v>
      </c>
      <c r="C59" s="2786">
        <f t="shared" si="57"/>
        <v>6</v>
      </c>
      <c r="D59" s="3354" t="s">
        <v>10390</v>
      </c>
      <c r="E59" s="2786">
        <v>1</v>
      </c>
      <c r="F59" s="2786">
        <v>1</v>
      </c>
      <c r="G59" s="2787" t="s">
        <v>10632</v>
      </c>
      <c r="H59" s="3330" t="s">
        <v>10618</v>
      </c>
      <c r="I59" s="2786">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2786"/>
      <c r="K59" s="2786"/>
      <c r="L59" s="3342"/>
      <c r="N59" s="3353" t="s">
        <v>97</v>
      </c>
      <c r="O59" s="3330"/>
      <c r="P59" s="2786"/>
      <c r="Q59" s="3342"/>
      <c r="R59" s="2787" t="s">
        <v>412</v>
      </c>
      <c r="S59" s="3354" t="s">
        <v>10355</v>
      </c>
      <c r="T59" s="2786">
        <v>1</v>
      </c>
      <c r="U59" s="3342">
        <v>1</v>
      </c>
      <c r="X59" s="3320" t="str">
        <f>Constructos!R67</f>
        <v>Confección</v>
      </c>
      <c r="Y59" s="2786">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3321">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3324" t="str">
        <f t="shared" si="40"/>
        <v>x</v>
      </c>
      <c r="AU59" s="215">
        <f t="shared" si="41"/>
        <v>34</v>
      </c>
      <c r="AV59" s="2787" t="str">
        <f>$AG$32</f>
        <v>x</v>
      </c>
      <c r="AW59" s="3324" t="str">
        <f t="shared" si="42"/>
        <v>x</v>
      </c>
      <c r="AX59" s="215">
        <f t="shared" si="43"/>
        <v>34</v>
      </c>
      <c r="AY59" s="2787" t="str">
        <f>$AG$37</f>
        <v>x</v>
      </c>
      <c r="AZ59" s="3324" t="str">
        <f t="shared" si="44"/>
        <v>x</v>
      </c>
      <c r="BA59" s="215">
        <f t="shared" si="45"/>
        <v>34</v>
      </c>
      <c r="BB59" s="2787" t="str">
        <f>$AG$42</f>
        <v>x</v>
      </c>
      <c r="BC59" s="3324" t="str">
        <f t="shared" si="46"/>
        <v>x</v>
      </c>
      <c r="BD59" s="215">
        <f t="shared" si="47"/>
        <v>34</v>
      </c>
      <c r="BE59" s="2787" t="str">
        <f>$AG$47</f>
        <v>x</v>
      </c>
      <c r="BF59" s="3324" t="str">
        <f t="shared" si="48"/>
        <v>x</v>
      </c>
      <c r="BG59" s="215">
        <f t="shared" si="49"/>
        <v>34</v>
      </c>
      <c r="BH59" s="3318" t="str">
        <f>$AG$52</f>
        <v>x</v>
      </c>
    </row>
    <row r="60" spans="1:60" ht="13.5" thickBot="1">
      <c r="A60">
        <v>60</v>
      </c>
      <c r="B60" s="3353" t="str">
        <f t="shared" si="58"/>
        <v>Contenedor sobrenatural (75 Ki)</v>
      </c>
      <c r="C60" s="2786">
        <f t="shared" si="57"/>
        <v>2</v>
      </c>
      <c r="D60" s="3354" t="s">
        <v>10379</v>
      </c>
      <c r="E60" s="2786">
        <v>1</v>
      </c>
      <c r="F60" s="2786">
        <v>2</v>
      </c>
      <c r="G60" s="2787" t="s">
        <v>10633</v>
      </c>
      <c r="H60" s="3330" t="s">
        <v>10618</v>
      </c>
      <c r="I60" s="2786">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2786"/>
      <c r="K60" s="2786"/>
      <c r="L60" s="3342"/>
      <c r="N60" s="3353" t="s">
        <v>10634</v>
      </c>
      <c r="O60" s="3368" t="s">
        <v>10355</v>
      </c>
      <c r="P60" s="2786">
        <v>1</v>
      </c>
      <c r="Q60" s="3342">
        <v>0</v>
      </c>
      <c r="R60" s="2787" t="s">
        <v>7019</v>
      </c>
      <c r="S60" s="3354" t="s">
        <v>10355</v>
      </c>
      <c r="T60" s="2786">
        <v>1</v>
      </c>
      <c r="U60" s="3342">
        <v>1</v>
      </c>
      <c r="X60" s="3371" t="str">
        <f>Constructos!R68</f>
        <v>Conf. marionetas</v>
      </c>
      <c r="Y60" s="3148">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3372">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3324" t="str">
        <f t="shared" si="40"/>
        <v>x</v>
      </c>
      <c r="AU60" s="215">
        <f t="shared" si="41"/>
        <v>34</v>
      </c>
      <c r="AV60" s="2787" t="str">
        <f>$AH$32</f>
        <v>x</v>
      </c>
      <c r="AW60" s="3324" t="str">
        <f t="shared" si="42"/>
        <v>x</v>
      </c>
      <c r="AX60" s="215">
        <f t="shared" si="43"/>
        <v>34</v>
      </c>
      <c r="AY60" s="2787" t="str">
        <f>$AH$37</f>
        <v>x</v>
      </c>
      <c r="AZ60" s="3324" t="str">
        <f t="shared" si="44"/>
        <v>x</v>
      </c>
      <c r="BA60" s="215">
        <f t="shared" si="45"/>
        <v>34</v>
      </c>
      <c r="BB60" s="2787" t="str">
        <f>$AH$42</f>
        <v>x</v>
      </c>
      <c r="BC60" s="3324" t="str">
        <f t="shared" si="46"/>
        <v>x</v>
      </c>
      <c r="BD60" s="215">
        <f t="shared" si="47"/>
        <v>34</v>
      </c>
      <c r="BE60" s="2787" t="str">
        <f>$AH$47</f>
        <v>x</v>
      </c>
      <c r="BF60" s="3324" t="str">
        <f t="shared" si="48"/>
        <v>x</v>
      </c>
      <c r="BG60" s="215">
        <f t="shared" si="49"/>
        <v>34</v>
      </c>
      <c r="BH60" s="3318" t="str">
        <f>$AH$52</f>
        <v>x</v>
      </c>
    </row>
    <row r="61" spans="1:60">
      <c r="A61" s="701">
        <v>61</v>
      </c>
      <c r="B61" s="3353" t="str">
        <f t="shared" si="58"/>
        <v>Contenedor sobrenatural (750 Zeon)</v>
      </c>
      <c r="C61" s="2786">
        <f t="shared" si="57"/>
        <v>17</v>
      </c>
      <c r="D61" s="3354" t="s">
        <v>10383</v>
      </c>
      <c r="E61" s="2786">
        <v>2</v>
      </c>
      <c r="F61" s="2786">
        <v>1</v>
      </c>
      <c r="G61" s="2787" t="s">
        <v>10635</v>
      </c>
      <c r="H61" s="3330" t="s">
        <v>10392</v>
      </c>
      <c r="I61" s="2786">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2786">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2786"/>
      <c r="L61" s="3342"/>
      <c r="N61" s="3353" t="s">
        <v>10636</v>
      </c>
      <c r="O61" s="3368" t="s">
        <v>10355</v>
      </c>
      <c r="P61" s="2786">
        <v>1</v>
      </c>
      <c r="Q61" s="3342">
        <v>1</v>
      </c>
      <c r="R61" s="2787" t="s">
        <v>10637</v>
      </c>
      <c r="S61" s="3354" t="s">
        <v>10358</v>
      </c>
      <c r="T61" s="2786">
        <v>2</v>
      </c>
      <c r="U61" s="3342">
        <v>2</v>
      </c>
      <c r="AT61" s="3324" t="str">
        <f t="shared" si="40"/>
        <v>x</v>
      </c>
      <c r="AU61" s="215">
        <f t="shared" si="41"/>
        <v>34</v>
      </c>
      <c r="AV61" s="2787" t="str">
        <f>$AI$32</f>
        <v>x</v>
      </c>
      <c r="AW61" s="3324" t="str">
        <f t="shared" si="42"/>
        <v>x</v>
      </c>
      <c r="AX61" s="215">
        <f t="shared" si="43"/>
        <v>34</v>
      </c>
      <c r="AY61" s="2787" t="str">
        <f>$AI$37</f>
        <v>x</v>
      </c>
      <c r="AZ61" s="3324" t="str">
        <f t="shared" si="44"/>
        <v>x</v>
      </c>
      <c r="BA61" s="215">
        <f t="shared" si="45"/>
        <v>34</v>
      </c>
      <c r="BB61" s="2787" t="str">
        <f>$AI$42</f>
        <v>x</v>
      </c>
      <c r="BC61" s="3324" t="str">
        <f t="shared" si="46"/>
        <v>x</v>
      </c>
      <c r="BD61" s="215">
        <f t="shared" si="47"/>
        <v>34</v>
      </c>
      <c r="BE61" s="2787" t="str">
        <f>$AI$47</f>
        <v>x</v>
      </c>
      <c r="BF61" s="3324" t="str">
        <f t="shared" si="48"/>
        <v>x</v>
      </c>
      <c r="BG61" s="215">
        <f t="shared" si="49"/>
        <v>34</v>
      </c>
      <c r="BH61" s="3318" t="str">
        <f>$AI$52</f>
        <v>x</v>
      </c>
    </row>
    <row r="62" spans="1:60">
      <c r="A62">
        <v>62</v>
      </c>
      <c r="B62" s="3353" t="str">
        <f t="shared" si="58"/>
        <v>Destructor</v>
      </c>
      <c r="C62" s="2786">
        <f t="shared" si="57"/>
        <v>3</v>
      </c>
      <c r="D62" s="3354" t="s">
        <v>6923</v>
      </c>
      <c r="E62" s="2786">
        <v>1</v>
      </c>
      <c r="F62" s="2786">
        <v>1</v>
      </c>
      <c r="G62" s="2787" t="s">
        <v>10638</v>
      </c>
      <c r="H62" s="3330" t="s">
        <v>10618</v>
      </c>
      <c r="I62" s="2786">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2786"/>
      <c r="K62" s="2786"/>
      <c r="L62" s="3342"/>
      <c r="N62" s="3353" t="s">
        <v>10639</v>
      </c>
      <c r="O62" s="3368" t="s">
        <v>10355</v>
      </c>
      <c r="P62" s="2786">
        <v>1</v>
      </c>
      <c r="Q62" s="3342">
        <v>1</v>
      </c>
      <c r="R62" s="2787" t="s">
        <v>399</v>
      </c>
      <c r="S62" s="3354" t="s">
        <v>10355</v>
      </c>
      <c r="T62" s="2786">
        <v>1</v>
      </c>
      <c r="U62" s="3342">
        <v>1</v>
      </c>
      <c r="AT62" s="3324" t="str">
        <f t="shared" si="40"/>
        <v>x</v>
      </c>
      <c r="AU62" s="215">
        <f t="shared" si="41"/>
        <v>34</v>
      </c>
      <c r="AV62" s="2787" t="str">
        <f>$AJ$32</f>
        <v>x</v>
      </c>
      <c r="AW62" s="3324" t="str">
        <f t="shared" si="42"/>
        <v>x</v>
      </c>
      <c r="AX62" s="215">
        <f t="shared" si="43"/>
        <v>34</v>
      </c>
      <c r="AY62" s="2787" t="str">
        <f>$AJ$37</f>
        <v>x</v>
      </c>
      <c r="AZ62" s="3324" t="str">
        <f t="shared" si="44"/>
        <v>x</v>
      </c>
      <c r="BA62" s="215">
        <f t="shared" si="45"/>
        <v>34</v>
      </c>
      <c r="BB62" s="2787" t="str">
        <f>$AJ$42</f>
        <v>x</v>
      </c>
      <c r="BC62" s="3324" t="str">
        <f t="shared" si="46"/>
        <v>x</v>
      </c>
      <c r="BD62" s="215">
        <f t="shared" si="47"/>
        <v>34</v>
      </c>
      <c r="BE62" s="2787" t="str">
        <f>$AJ$47</f>
        <v>x</v>
      </c>
      <c r="BF62" s="3324" t="str">
        <f t="shared" si="48"/>
        <v>x</v>
      </c>
      <c r="BG62" s="215">
        <f t="shared" si="49"/>
        <v>34</v>
      </c>
      <c r="BH62" s="3318" t="str">
        <f>$AJ$52</f>
        <v>x</v>
      </c>
    </row>
    <row r="63" spans="1:60">
      <c r="A63">
        <v>63</v>
      </c>
      <c r="B63" s="3353" t="str">
        <f t="shared" si="58"/>
        <v>Efecto especial</v>
      </c>
      <c r="C63" s="2786">
        <f t="shared" si="57"/>
        <v>4</v>
      </c>
      <c r="D63" s="3354" t="s">
        <v>10378</v>
      </c>
      <c r="E63" s="2786">
        <v>2</v>
      </c>
      <c r="F63" s="2786">
        <v>1</v>
      </c>
      <c r="G63" s="2787" t="s">
        <v>10640</v>
      </c>
      <c r="H63" s="3330" t="s">
        <v>3019</v>
      </c>
      <c r="I63" s="2786">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2786">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2786"/>
      <c r="L63" s="3342"/>
      <c r="N63" s="3353" t="s">
        <v>10641</v>
      </c>
      <c r="O63" s="3368" t="s">
        <v>10588</v>
      </c>
      <c r="P63" s="2786">
        <v>3</v>
      </c>
      <c r="Q63" s="3342">
        <v>1</v>
      </c>
      <c r="R63" s="2787" t="s">
        <v>400</v>
      </c>
      <c r="S63" s="3354" t="s">
        <v>10588</v>
      </c>
      <c r="T63" s="2786">
        <v>3</v>
      </c>
      <c r="U63" s="3342">
        <v>1</v>
      </c>
      <c r="AT63" s="3324" t="str">
        <f t="shared" si="40"/>
        <v>x</v>
      </c>
      <c r="AU63" s="215">
        <f t="shared" si="41"/>
        <v>34</v>
      </c>
      <c r="AV63" s="2787" t="str">
        <f>$AK$32</f>
        <v>x</v>
      </c>
      <c r="AW63" s="3324" t="str">
        <f t="shared" si="42"/>
        <v>x</v>
      </c>
      <c r="AX63" s="215">
        <f t="shared" si="43"/>
        <v>34</v>
      </c>
      <c r="AY63" s="2787" t="str">
        <f>$AK$37</f>
        <v>x</v>
      </c>
      <c r="AZ63" s="3324" t="str">
        <f t="shared" si="44"/>
        <v>x</v>
      </c>
      <c r="BA63" s="215">
        <f t="shared" si="45"/>
        <v>34</v>
      </c>
      <c r="BB63" s="2787" t="str">
        <f>$AK$42</f>
        <v>x</v>
      </c>
      <c r="BC63" s="3324" t="str">
        <f t="shared" si="46"/>
        <v>x</v>
      </c>
      <c r="BD63" s="215">
        <f t="shared" si="47"/>
        <v>34</v>
      </c>
      <c r="BE63" s="2787" t="str">
        <f>$AK$47</f>
        <v>x</v>
      </c>
      <c r="BF63" s="3324" t="str">
        <f t="shared" si="48"/>
        <v>x</v>
      </c>
      <c r="BG63" s="215">
        <f t="shared" si="49"/>
        <v>34</v>
      </c>
      <c r="BH63" s="3318" t="str">
        <f>$AK$52</f>
        <v>x</v>
      </c>
    </row>
    <row r="64" spans="1:60">
      <c r="A64">
        <v>64</v>
      </c>
      <c r="B64" s="3353" t="str">
        <f t="shared" si="58"/>
        <v>Gestión matricial</v>
      </c>
      <c r="C64" s="2786">
        <f t="shared" si="57"/>
        <v>7</v>
      </c>
      <c r="D64" s="3354" t="s">
        <v>10394</v>
      </c>
      <c r="E64" s="2786">
        <v>2</v>
      </c>
      <c r="F64" s="2786">
        <v>1</v>
      </c>
      <c r="G64" s="2787" t="s">
        <v>10642</v>
      </c>
      <c r="H64" s="3330"/>
      <c r="I64" s="2786">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2786"/>
      <c r="K64" s="2786"/>
      <c r="L64" s="3342"/>
      <c r="N64" s="3353" t="s">
        <v>10643</v>
      </c>
      <c r="O64" s="3368" t="s">
        <v>10588</v>
      </c>
      <c r="P64" s="2786">
        <v>3</v>
      </c>
      <c r="Q64" s="3342">
        <v>2</v>
      </c>
      <c r="R64" s="2787" t="s">
        <v>3003</v>
      </c>
      <c r="S64" s="3354" t="s">
        <v>10358</v>
      </c>
      <c r="T64" s="2786">
        <v>2</v>
      </c>
      <c r="U64" s="3342">
        <v>2</v>
      </c>
      <c r="AT64" s="3324" t="str">
        <f t="shared" si="40"/>
        <v>x</v>
      </c>
      <c r="AU64" s="215">
        <f t="shared" si="41"/>
        <v>34</v>
      </c>
      <c r="AV64" s="2787" t="str">
        <f>$AL$32</f>
        <v>x</v>
      </c>
      <c r="AW64" s="3324" t="str">
        <f t="shared" si="42"/>
        <v>x</v>
      </c>
      <c r="AX64" s="215">
        <f t="shared" si="43"/>
        <v>34</v>
      </c>
      <c r="AY64" s="2787" t="str">
        <f>$AL$37</f>
        <v>x</v>
      </c>
      <c r="AZ64" s="3324" t="str">
        <f t="shared" si="44"/>
        <v>x</v>
      </c>
      <c r="BA64" s="215">
        <f t="shared" si="45"/>
        <v>34</v>
      </c>
      <c r="BB64" s="2787" t="str">
        <f>$AL$42</f>
        <v>x</v>
      </c>
      <c r="BC64" s="3324" t="str">
        <f t="shared" si="46"/>
        <v>x</v>
      </c>
      <c r="BD64" s="215">
        <f t="shared" si="47"/>
        <v>34</v>
      </c>
      <c r="BE64" s="2787" t="str">
        <f>$AL$47</f>
        <v>x</v>
      </c>
      <c r="BF64" s="3324" t="str">
        <f t="shared" si="48"/>
        <v>x</v>
      </c>
      <c r="BG64" s="215">
        <f t="shared" si="49"/>
        <v>34</v>
      </c>
      <c r="BH64" s="3318" t="str">
        <f>$AL$52</f>
        <v>x</v>
      </c>
    </row>
    <row r="65" spans="1:60">
      <c r="A65">
        <v>65</v>
      </c>
      <c r="B65" s="3353" t="str">
        <f t="shared" si="58"/>
        <v>Hiperrealista</v>
      </c>
      <c r="C65" s="2786">
        <f t="shared" si="57"/>
        <v>9</v>
      </c>
      <c r="D65" s="3354" t="s">
        <v>10644</v>
      </c>
      <c r="E65" s="2786">
        <v>1</v>
      </c>
      <c r="F65" s="2786">
        <v>1</v>
      </c>
      <c r="G65" s="2787" t="s">
        <v>10645</v>
      </c>
      <c r="H65" s="3330" t="s">
        <v>10646</v>
      </c>
      <c r="I65" s="2786">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2786">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2786"/>
      <c r="L65" s="3342"/>
      <c r="N65" s="3353" t="s">
        <v>10647</v>
      </c>
      <c r="O65" s="3368" t="s">
        <v>10359</v>
      </c>
      <c r="P65" s="2786">
        <v>5</v>
      </c>
      <c r="Q65" s="3342">
        <v>3</v>
      </c>
      <c r="R65" s="2787" t="s">
        <v>7021</v>
      </c>
      <c r="S65" s="3354" t="s">
        <v>10355</v>
      </c>
      <c r="T65" s="2786">
        <v>1</v>
      </c>
      <c r="U65" s="3342">
        <v>1</v>
      </c>
      <c r="AT65" s="3324" t="str">
        <f t="shared" si="40"/>
        <v>x</v>
      </c>
      <c r="AU65" s="215">
        <f t="shared" si="41"/>
        <v>34</v>
      </c>
      <c r="AV65" s="2787" t="str">
        <f>$AM$32</f>
        <v>x</v>
      </c>
      <c r="AW65" s="3324" t="str">
        <f t="shared" si="42"/>
        <v>x</v>
      </c>
      <c r="AX65" s="215">
        <f t="shared" si="43"/>
        <v>34</v>
      </c>
      <c r="AY65" s="2787" t="str">
        <f>$AM$37</f>
        <v>x</v>
      </c>
      <c r="AZ65" s="3324" t="str">
        <f t="shared" si="44"/>
        <v>x</v>
      </c>
      <c r="BA65" s="215">
        <f t="shared" si="45"/>
        <v>34</v>
      </c>
      <c r="BB65" s="2787" t="str">
        <f>$AM$42</f>
        <v>x</v>
      </c>
      <c r="BC65" s="3324" t="str">
        <f t="shared" si="46"/>
        <v>x</v>
      </c>
      <c r="BD65" s="215">
        <f t="shared" si="47"/>
        <v>34</v>
      </c>
      <c r="BE65" s="2787" t="str">
        <f>$AM$47</f>
        <v>x</v>
      </c>
      <c r="BF65" s="3324" t="str">
        <f t="shared" si="48"/>
        <v>x</v>
      </c>
      <c r="BG65" s="215">
        <f t="shared" si="49"/>
        <v>34</v>
      </c>
      <c r="BH65" s="3318" t="str">
        <f>$AM$52</f>
        <v>x</v>
      </c>
    </row>
    <row r="66" spans="1:60">
      <c r="A66">
        <v>66</v>
      </c>
      <c r="B66" s="3353" t="str">
        <f t="shared" si="58"/>
        <v>Ligero</v>
      </c>
      <c r="C66" s="2786">
        <f t="shared" si="57"/>
        <v>11</v>
      </c>
      <c r="D66" s="3354" t="s">
        <v>10648</v>
      </c>
      <c r="E66" s="2786">
        <v>2</v>
      </c>
      <c r="F66" s="2786">
        <v>1</v>
      </c>
      <c r="G66" s="2787" t="s">
        <v>10645</v>
      </c>
      <c r="H66" s="3330" t="s">
        <v>10375</v>
      </c>
      <c r="I66" s="2786">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2786">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2786"/>
      <c r="L66" s="3342"/>
      <c r="N66" s="3353" t="s">
        <v>10649</v>
      </c>
      <c r="O66" s="3368" t="s">
        <v>10361</v>
      </c>
      <c r="P66" s="2786">
        <v>7</v>
      </c>
      <c r="Q66" s="3342">
        <v>3</v>
      </c>
      <c r="R66" s="2787" t="s">
        <v>1616</v>
      </c>
      <c r="S66" s="3354" t="s">
        <v>10358</v>
      </c>
      <c r="T66" s="2786">
        <v>2</v>
      </c>
      <c r="U66" s="3342">
        <v>2</v>
      </c>
      <c r="AT66" s="3324" t="str">
        <f t="shared" si="40"/>
        <v>x</v>
      </c>
      <c r="AU66" s="215">
        <f t="shared" si="41"/>
        <v>34</v>
      </c>
      <c r="AV66" s="2787" t="str">
        <f>$AN$32</f>
        <v>x</v>
      </c>
      <c r="AW66" s="3324" t="str">
        <f t="shared" si="42"/>
        <v>x</v>
      </c>
      <c r="AX66" s="215">
        <f t="shared" si="43"/>
        <v>34</v>
      </c>
      <c r="AY66" s="2787" t="str">
        <f>$AN$37</f>
        <v>x</v>
      </c>
      <c r="AZ66" s="3324" t="str">
        <f t="shared" si="44"/>
        <v>x</v>
      </c>
      <c r="BA66" s="215">
        <f t="shared" si="45"/>
        <v>34</v>
      </c>
      <c r="BB66" s="2787" t="str">
        <f>$AN$42</f>
        <v>x</v>
      </c>
      <c r="BC66" s="3324" t="str">
        <f t="shared" si="46"/>
        <v>x</v>
      </c>
      <c r="BD66" s="215">
        <f t="shared" si="47"/>
        <v>34</v>
      </c>
      <c r="BE66" s="2787" t="str">
        <f>$AN$47</f>
        <v>x</v>
      </c>
      <c r="BF66" s="3324" t="str">
        <f t="shared" si="48"/>
        <v>x</v>
      </c>
      <c r="BG66" s="215">
        <f t="shared" si="49"/>
        <v>34</v>
      </c>
      <c r="BH66" s="3318" t="str">
        <f>$AN$52</f>
        <v>x</v>
      </c>
    </row>
    <row r="67" spans="1:60">
      <c r="A67">
        <v>67</v>
      </c>
      <c r="B67" s="3353" t="str">
        <f t="shared" si="58"/>
        <v>Mejora de cristal</v>
      </c>
      <c r="C67" s="2786">
        <f t="shared" si="57"/>
        <v>13</v>
      </c>
      <c r="D67" s="3354" t="s">
        <v>10650</v>
      </c>
      <c r="E67" s="2786">
        <v>3</v>
      </c>
      <c r="F67" s="2786">
        <v>1</v>
      </c>
      <c r="G67" s="2787" t="s">
        <v>10645</v>
      </c>
      <c r="H67" s="3330" t="s">
        <v>10375</v>
      </c>
      <c r="I67" s="2786">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2786">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2786"/>
      <c r="L67" s="3342"/>
      <c r="N67" s="3353" t="s">
        <v>6979</v>
      </c>
      <c r="O67" s="3330"/>
      <c r="P67" s="2786"/>
      <c r="Q67" s="3342">
        <v>1</v>
      </c>
      <c r="R67" s="2787" t="s">
        <v>3004</v>
      </c>
      <c r="S67" s="3354" t="s">
        <v>10588</v>
      </c>
      <c r="T67" s="2786">
        <v>3</v>
      </c>
      <c r="U67" s="3342">
        <v>1</v>
      </c>
      <c r="AT67" s="3324" t="str">
        <f t="shared" si="40"/>
        <v>x</v>
      </c>
      <c r="AU67" s="215">
        <f t="shared" si="41"/>
        <v>34</v>
      </c>
      <c r="AV67" s="2787" t="str">
        <f>$AO$32</f>
        <v>x</v>
      </c>
      <c r="AW67" s="3324" t="str">
        <f t="shared" si="42"/>
        <v>x</v>
      </c>
      <c r="AX67" s="215">
        <f t="shared" si="43"/>
        <v>34</v>
      </c>
      <c r="AY67" s="2787" t="str">
        <f>$AO$37</f>
        <v>x</v>
      </c>
      <c r="AZ67" s="3324" t="str">
        <f t="shared" si="44"/>
        <v>x</v>
      </c>
      <c r="BA67" s="215">
        <f t="shared" si="45"/>
        <v>34</v>
      </c>
      <c r="BB67" s="2787" t="str">
        <f>$AO$42</f>
        <v>x</v>
      </c>
      <c r="BC67" s="3324" t="str">
        <f t="shared" si="46"/>
        <v>x</v>
      </c>
      <c r="BD67" s="215">
        <f t="shared" si="47"/>
        <v>34</v>
      </c>
      <c r="BE67" s="2787" t="str">
        <f>$AO$47</f>
        <v>x</v>
      </c>
      <c r="BF67" s="3324" t="str">
        <f t="shared" si="48"/>
        <v>x</v>
      </c>
      <c r="BG67" s="215">
        <f t="shared" si="49"/>
        <v>34</v>
      </c>
      <c r="BH67" s="3318" t="str">
        <f>$AO$52</f>
        <v>x</v>
      </c>
    </row>
    <row r="68" spans="1:60">
      <c r="A68" s="701">
        <v>68</v>
      </c>
      <c r="B68" s="3353" t="str">
        <f t="shared" si="58"/>
        <v>Potenciación psíquica</v>
      </c>
      <c r="C68" s="2786">
        <f t="shared" si="57"/>
        <v>8</v>
      </c>
      <c r="D68" s="3354" t="s">
        <v>10651</v>
      </c>
      <c r="E68" s="2786">
        <v>1</v>
      </c>
      <c r="F68" s="2786">
        <v>1</v>
      </c>
      <c r="G68" s="2787" t="s">
        <v>10645</v>
      </c>
      <c r="H68" s="3330" t="s">
        <v>10652</v>
      </c>
      <c r="I68" s="2786">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2786">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2786"/>
      <c r="L68" s="3342"/>
      <c r="N68" s="3353" t="s">
        <v>6186</v>
      </c>
      <c r="O68" s="3330"/>
      <c r="P68" s="2786"/>
      <c r="Q68" s="3342"/>
      <c r="R68" s="2787" t="s">
        <v>7024</v>
      </c>
      <c r="S68" s="3354" t="s">
        <v>10359</v>
      </c>
      <c r="T68" s="2786">
        <v>5</v>
      </c>
      <c r="U68" s="3342">
        <v>1</v>
      </c>
      <c r="AT68" s="3324" t="str">
        <f t="shared" si="40"/>
        <v>x</v>
      </c>
      <c r="AU68" s="215">
        <f t="shared" si="41"/>
        <v>34</v>
      </c>
      <c r="AV68" s="2787" t="str">
        <f>$AP$32</f>
        <v>x</v>
      </c>
      <c r="AW68" s="3324" t="str">
        <f t="shared" si="42"/>
        <v>x</v>
      </c>
      <c r="AX68" s="215">
        <f t="shared" si="43"/>
        <v>34</v>
      </c>
      <c r="AY68" s="2787" t="str">
        <f>$AP$37</f>
        <v>x</v>
      </c>
      <c r="AZ68" s="3324" t="str">
        <f t="shared" si="44"/>
        <v>x</v>
      </c>
      <c r="BA68" s="215">
        <f t="shared" si="45"/>
        <v>34</v>
      </c>
      <c r="BB68" s="2787" t="str">
        <f>$AP$42</f>
        <v>x</v>
      </c>
      <c r="BC68" s="3324" t="str">
        <f t="shared" si="46"/>
        <v>x</v>
      </c>
      <c r="BD68" s="215">
        <f t="shared" si="47"/>
        <v>34</v>
      </c>
      <c r="BE68" s="2787" t="str">
        <f>$AP$47</f>
        <v>x</v>
      </c>
      <c r="BF68" s="3324" t="str">
        <f t="shared" si="48"/>
        <v>x</v>
      </c>
      <c r="BG68" s="215">
        <f t="shared" si="49"/>
        <v>34</v>
      </c>
      <c r="BH68" s="3318" t="str">
        <f>$AP$52</f>
        <v>x</v>
      </c>
    </row>
    <row r="69" spans="1:60">
      <c r="A69">
        <v>69</v>
      </c>
      <c r="B69" s="3353" t="str">
        <f t="shared" si="58"/>
        <v>Reparación</v>
      </c>
      <c r="C69" s="2786">
        <f t="shared" si="57"/>
        <v>10</v>
      </c>
      <c r="D69" s="3354" t="s">
        <v>10653</v>
      </c>
      <c r="E69" s="2786">
        <v>2</v>
      </c>
      <c r="F69" s="2786">
        <v>1</v>
      </c>
      <c r="G69" s="2787" t="s">
        <v>10645</v>
      </c>
      <c r="H69" s="3330" t="s">
        <v>10652</v>
      </c>
      <c r="I69" s="2786">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2786">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2786"/>
      <c r="L69" s="3342"/>
      <c r="N69" s="3353" t="s">
        <v>10654</v>
      </c>
      <c r="O69" s="3330"/>
      <c r="P69" s="2786"/>
      <c r="Q69" s="3342">
        <v>-1</v>
      </c>
      <c r="R69" s="2787" t="s">
        <v>10655</v>
      </c>
      <c r="S69" s="3354" t="s">
        <v>10358</v>
      </c>
      <c r="T69" s="2786">
        <v>2</v>
      </c>
      <c r="U69" s="3342">
        <v>1</v>
      </c>
      <c r="AT69" s="3324" t="str">
        <f t="shared" si="40"/>
        <v>x</v>
      </c>
      <c r="AU69" s="215">
        <f t="shared" si="41"/>
        <v>34</v>
      </c>
      <c r="AV69" s="2787" t="str">
        <f>$AQ$32</f>
        <v>x</v>
      </c>
      <c r="AW69" s="3324" t="str">
        <f t="shared" si="42"/>
        <v>x</v>
      </c>
      <c r="AX69" s="215">
        <f t="shared" si="43"/>
        <v>34</v>
      </c>
      <c r="AY69" s="2787" t="str">
        <f>$AQ$37</f>
        <v>x</v>
      </c>
      <c r="AZ69" s="3324" t="str">
        <f t="shared" si="44"/>
        <v>x</v>
      </c>
      <c r="BA69" s="215">
        <f t="shared" si="45"/>
        <v>34</v>
      </c>
      <c r="BB69" s="2787" t="str">
        <f>$AQ$42</f>
        <v>x</v>
      </c>
      <c r="BC69" s="3324" t="str">
        <f t="shared" si="46"/>
        <v>x</v>
      </c>
      <c r="BD69" s="215">
        <f t="shared" si="47"/>
        <v>34</v>
      </c>
      <c r="BE69" s="2787" t="str">
        <f>$AQ$47</f>
        <v>x</v>
      </c>
      <c r="BF69" s="3324" t="str">
        <f t="shared" si="48"/>
        <v>x</v>
      </c>
      <c r="BG69" s="215">
        <f t="shared" si="49"/>
        <v>34</v>
      </c>
      <c r="BH69" s="3318" t="str">
        <f>$AQ$52</f>
        <v>x</v>
      </c>
    </row>
    <row r="70" spans="1:60">
      <c r="A70">
        <v>70</v>
      </c>
      <c r="B70" s="3353" t="str">
        <f t="shared" si="58"/>
        <v>Resistencia a la electricidad</v>
      </c>
      <c r="C70" s="2786">
        <f t="shared" si="57"/>
        <v>12</v>
      </c>
      <c r="D70" s="3354" t="s">
        <v>10656</v>
      </c>
      <c r="E70" s="2786">
        <v>3</v>
      </c>
      <c r="F70" s="2786">
        <v>1</v>
      </c>
      <c r="G70" s="2787" t="s">
        <v>10645</v>
      </c>
      <c r="H70" s="3330" t="s">
        <v>10652</v>
      </c>
      <c r="I70" s="2786">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2786">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2786"/>
      <c r="L70" s="3342"/>
      <c r="N70" s="3353" t="s">
        <v>10657</v>
      </c>
      <c r="O70" s="3330"/>
      <c r="P70" s="2786"/>
      <c r="Q70" s="3342">
        <v>-2</v>
      </c>
      <c r="R70" s="2787" t="s">
        <v>10658</v>
      </c>
      <c r="S70" s="3354" t="s">
        <v>10356</v>
      </c>
      <c r="T70" s="2786">
        <v>4</v>
      </c>
      <c r="U70" s="3342">
        <v>2</v>
      </c>
      <c r="AT70" s="3324" t="str">
        <f t="shared" si="40"/>
        <v>x</v>
      </c>
      <c r="AU70" s="215">
        <f t="shared" si="41"/>
        <v>34</v>
      </c>
      <c r="AV70" s="2787" t="str">
        <f>$AR$32</f>
        <v>x</v>
      </c>
      <c r="AW70" s="3324" t="str">
        <f t="shared" si="42"/>
        <v>x</v>
      </c>
      <c r="AX70" s="215">
        <f t="shared" si="43"/>
        <v>34</v>
      </c>
      <c r="AY70" s="2787" t="str">
        <f>$AR$37</f>
        <v>x</v>
      </c>
      <c r="AZ70" s="3324" t="str">
        <f t="shared" si="44"/>
        <v>x</v>
      </c>
      <c r="BA70" s="215">
        <f t="shared" si="45"/>
        <v>34</v>
      </c>
      <c r="BB70" s="2787" t="str">
        <f>$AR$42</f>
        <v>x</v>
      </c>
      <c r="BC70" s="3324" t="str">
        <f t="shared" si="46"/>
        <v>x</v>
      </c>
      <c r="BD70" s="215">
        <f t="shared" si="47"/>
        <v>34</v>
      </c>
      <c r="BE70" s="2787" t="str">
        <f>$AR$47</f>
        <v>x</v>
      </c>
      <c r="BF70" s="3324" t="str">
        <f t="shared" si="48"/>
        <v>x</v>
      </c>
      <c r="BG70" s="215">
        <f t="shared" si="49"/>
        <v>34</v>
      </c>
      <c r="BH70" s="3318" t="str">
        <f>$AR$52</f>
        <v>x</v>
      </c>
    </row>
    <row r="71" spans="1:60" ht="13.5" thickBot="1">
      <c r="A71">
        <v>71</v>
      </c>
      <c r="B71" s="3353" t="str">
        <f t="shared" si="58"/>
        <v>Resistencia al frío</v>
      </c>
      <c r="C71" s="2786">
        <f t="shared" si="57"/>
        <v>20</v>
      </c>
      <c r="D71" s="3354" t="s">
        <v>10395</v>
      </c>
      <c r="E71" s="2786">
        <v>1</v>
      </c>
      <c r="F71" s="2786">
        <v>3</v>
      </c>
      <c r="G71" s="2787" t="s">
        <v>10659</v>
      </c>
      <c r="H71" s="3330" t="s">
        <v>10618</v>
      </c>
      <c r="I71" s="2786">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2786"/>
      <c r="K71" s="2786"/>
      <c r="L71" s="3342"/>
      <c r="N71" s="3353" t="s">
        <v>10660</v>
      </c>
      <c r="O71" s="3330"/>
      <c r="P71" s="2786"/>
      <c r="Q71" s="3342">
        <v>-3</v>
      </c>
      <c r="R71" s="2787" t="s">
        <v>10661</v>
      </c>
      <c r="S71" s="3354" t="s">
        <v>10358</v>
      </c>
      <c r="T71" s="2786">
        <v>2</v>
      </c>
      <c r="U71" s="3342">
        <v>1</v>
      </c>
      <c r="AT71" s="3373" t="str">
        <f t="shared" si="40"/>
        <v>x</v>
      </c>
      <c r="AU71" s="3374">
        <f t="shared" si="41"/>
        <v>34</v>
      </c>
      <c r="AV71" s="3147" t="str">
        <f>$AS$32</f>
        <v>x</v>
      </c>
      <c r="AW71" s="3373" t="str">
        <f t="shared" si="42"/>
        <v>x</v>
      </c>
      <c r="AX71" s="3374">
        <f t="shared" si="43"/>
        <v>34</v>
      </c>
      <c r="AY71" s="3147" t="str">
        <f>$AS$37</f>
        <v>x</v>
      </c>
      <c r="AZ71" s="3373" t="str">
        <f t="shared" si="44"/>
        <v>x</v>
      </c>
      <c r="BA71" s="3374">
        <f t="shared" si="45"/>
        <v>34</v>
      </c>
      <c r="BB71" s="3147" t="str">
        <f>$AS$42</f>
        <v>x</v>
      </c>
      <c r="BC71" s="3373" t="str">
        <f t="shared" si="46"/>
        <v>x</v>
      </c>
      <c r="BD71" s="3374">
        <f t="shared" si="47"/>
        <v>34</v>
      </c>
      <c r="BE71" s="3147" t="str">
        <f>$AS$7</f>
        <v>x</v>
      </c>
      <c r="BF71" s="3373" t="str">
        <f t="shared" si="48"/>
        <v>x</v>
      </c>
      <c r="BG71" s="3374">
        <f t="shared" si="49"/>
        <v>34</v>
      </c>
      <c r="BH71" s="3149" t="str">
        <f>$AS$52</f>
        <v>x</v>
      </c>
    </row>
    <row r="72" spans="1:60">
      <c r="A72">
        <v>72</v>
      </c>
      <c r="B72" s="3353" t="str">
        <f t="shared" si="58"/>
        <v>Resistencia al fuego</v>
      </c>
      <c r="C72" s="2786">
        <f t="shared" si="57"/>
        <v>15</v>
      </c>
      <c r="D72" s="3354" t="s">
        <v>10397</v>
      </c>
      <c r="E72" s="2786" t="s">
        <v>10662</v>
      </c>
      <c r="F72" s="2786">
        <v>1</v>
      </c>
      <c r="G72" s="2787" t="s">
        <v>10663</v>
      </c>
      <c r="H72" s="3330" t="s">
        <v>10618</v>
      </c>
      <c r="I72" s="2786">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2786"/>
      <c r="K72" s="2786"/>
      <c r="L72" s="3342"/>
      <c r="N72" s="3375"/>
      <c r="O72" s="2787"/>
      <c r="P72" s="2786"/>
      <c r="Q72" s="3342"/>
      <c r="R72" s="2787" t="s">
        <v>10664</v>
      </c>
      <c r="S72" s="3354" t="s">
        <v>10359</v>
      </c>
      <c r="T72" s="2786">
        <v>5</v>
      </c>
      <c r="U72" s="3342">
        <v>1</v>
      </c>
    </row>
    <row r="73" spans="1:60">
      <c r="A73">
        <v>73</v>
      </c>
      <c r="B73" s="3353" t="str">
        <f t="shared" si="58"/>
        <v>Resistencia mística</v>
      </c>
      <c r="C73" s="2786">
        <f t="shared" si="57"/>
        <v>16</v>
      </c>
      <c r="D73" s="3354" t="s">
        <v>10398</v>
      </c>
      <c r="E73" s="2786">
        <v>1</v>
      </c>
      <c r="F73" s="2786">
        <v>1</v>
      </c>
      <c r="G73" s="2787" t="s">
        <v>10665</v>
      </c>
      <c r="H73" s="3330" t="s">
        <v>10618</v>
      </c>
      <c r="I73" s="2786">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2786"/>
      <c r="K73" s="2786"/>
      <c r="L73" s="3342"/>
      <c r="N73" s="3375"/>
      <c r="O73" s="2787"/>
      <c r="P73" s="2786"/>
      <c r="Q73" s="3342"/>
      <c r="R73" s="2787" t="s">
        <v>10666</v>
      </c>
      <c r="S73" s="3354" t="s">
        <v>10356</v>
      </c>
      <c r="T73" s="2786">
        <v>4</v>
      </c>
      <c r="U73" s="3342">
        <v>2</v>
      </c>
    </row>
    <row r="74" spans="1:60">
      <c r="A74">
        <v>74</v>
      </c>
      <c r="B74" s="3353" t="str">
        <f t="shared" si="58"/>
        <v>Resistente</v>
      </c>
      <c r="C74" s="2786">
        <f t="shared" si="57"/>
        <v>19</v>
      </c>
      <c r="D74" s="3354" t="s">
        <v>10396</v>
      </c>
      <c r="E74" s="2786">
        <v>1</v>
      </c>
      <c r="F74" s="2786">
        <v>2</v>
      </c>
      <c r="G74" s="2787" t="s">
        <v>10667</v>
      </c>
      <c r="H74" s="3330" t="s">
        <v>10618</v>
      </c>
      <c r="I74" s="2786">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2786"/>
      <c r="K74" s="2786"/>
      <c r="L74" s="3342"/>
      <c r="N74" s="3375"/>
      <c r="O74" s="2787"/>
      <c r="P74" s="2786"/>
      <c r="Q74" s="3342"/>
      <c r="R74" s="2787" t="s">
        <v>6186</v>
      </c>
      <c r="S74" s="2787"/>
      <c r="T74" s="2786"/>
      <c r="U74" s="3318"/>
    </row>
    <row r="75" spans="1:60" ht="13.5" thickBot="1">
      <c r="A75" s="701">
        <v>75</v>
      </c>
      <c r="B75" s="3353" t="str">
        <f>D75</f>
        <v xml:space="preserve"> &gt; ATRIBUTOS DE COMPORTAMIENTO</v>
      </c>
      <c r="C75" s="2786">
        <f t="shared" ref="C75:C86" si="63">COUNTIF($D$75:$D$86,"&lt;="&amp;D75)-COUNTIF($D$75:$D$86,"*&gt;*")</f>
        <v>0</v>
      </c>
      <c r="D75" s="3354" t="s">
        <v>10668</v>
      </c>
      <c r="E75" s="2786"/>
      <c r="F75" s="2786"/>
      <c r="G75" s="2787"/>
      <c r="H75" s="3330"/>
      <c r="I75" s="2786">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2786" t="s">
        <v>1315</v>
      </c>
      <c r="K75" s="2786"/>
      <c r="L75" s="3342"/>
      <c r="N75" s="3376"/>
      <c r="O75" s="3147"/>
      <c r="P75" s="3148"/>
      <c r="Q75" s="3349"/>
      <c r="R75" s="3147" t="s">
        <v>7029</v>
      </c>
      <c r="S75" s="3147"/>
      <c r="T75" s="3148"/>
      <c r="U75" s="3349">
        <v>-1</v>
      </c>
    </row>
    <row r="76" spans="1:60" ht="13.5" thickBot="1">
      <c r="A76">
        <v>76</v>
      </c>
      <c r="B76" s="3353" t="str">
        <f t="shared" ref="B76:B86" si="64">(VLOOKUP(A1,$C$76:$D$86,2,0))</f>
        <v>Acumulación</v>
      </c>
      <c r="C76" s="2786">
        <f t="shared" si="63"/>
        <v>6</v>
      </c>
      <c r="D76" s="3354" t="s">
        <v>1903</v>
      </c>
      <c r="E76" s="2786">
        <v>1</v>
      </c>
      <c r="F76" s="2786">
        <v>3</v>
      </c>
      <c r="G76" s="2787" t="s">
        <v>10669</v>
      </c>
      <c r="H76" s="3330" t="s">
        <v>10618</v>
      </c>
      <c r="I76" s="2786">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1</v>
      </c>
      <c r="J76" s="2786"/>
      <c r="K76" s="2786"/>
      <c r="L76" s="3342"/>
      <c r="N76" s="215"/>
      <c r="P76" s="215"/>
    </row>
    <row r="77" spans="1:60">
      <c r="A77">
        <v>77</v>
      </c>
      <c r="B77" s="3353" t="str">
        <f t="shared" si="64"/>
        <v>Aura</v>
      </c>
      <c r="C77" s="2786">
        <f t="shared" si="63"/>
        <v>5</v>
      </c>
      <c r="D77" s="3354" t="s">
        <v>1912</v>
      </c>
      <c r="E77" s="2786">
        <v>1</v>
      </c>
      <c r="F77" s="2786">
        <v>3</v>
      </c>
      <c r="G77" s="2787" t="s">
        <v>10670</v>
      </c>
      <c r="H77" s="3330" t="s">
        <v>10399</v>
      </c>
      <c r="I77" s="2786">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2786">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2786"/>
      <c r="L77" s="3342"/>
      <c r="N77" s="8353" t="s">
        <v>10379</v>
      </c>
      <c r="O77" s="8355"/>
      <c r="P77" s="8354"/>
    </row>
    <row r="78" spans="1:60">
      <c r="A78">
        <v>78</v>
      </c>
      <c r="B78" s="3353" t="str">
        <f t="shared" si="64"/>
        <v>Desarrollo de secundarias</v>
      </c>
      <c r="C78" s="2786">
        <f t="shared" si="63"/>
        <v>2</v>
      </c>
      <c r="D78" s="3354" t="s">
        <v>2558</v>
      </c>
      <c r="E78" s="2786">
        <v>2</v>
      </c>
      <c r="F78" s="2786">
        <v>1</v>
      </c>
      <c r="G78" s="2787" t="s">
        <v>10671</v>
      </c>
      <c r="H78" s="3330" t="s">
        <v>10618</v>
      </c>
      <c r="I78" s="2786">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2786"/>
      <c r="K78" s="2786"/>
      <c r="L78" s="3342"/>
      <c r="N78" s="3337" t="s">
        <v>10581</v>
      </c>
      <c r="O78" s="3334" t="s">
        <v>10582</v>
      </c>
      <c r="P78" s="3335" t="s">
        <v>10444</v>
      </c>
    </row>
    <row r="79" spans="1:60">
      <c r="A79">
        <v>79</v>
      </c>
      <c r="B79" s="3353" t="str">
        <f t="shared" si="64"/>
        <v>Dualidad</v>
      </c>
      <c r="C79" s="2786">
        <f t="shared" si="63"/>
        <v>1</v>
      </c>
      <c r="D79" s="3354" t="s">
        <v>1540</v>
      </c>
      <c r="E79" s="2786">
        <v>1</v>
      </c>
      <c r="F79" s="2786">
        <v>1</v>
      </c>
      <c r="G79" s="2787"/>
      <c r="H79" s="3330"/>
      <c r="I79" s="2786">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2786"/>
      <c r="K79" s="2786"/>
      <c r="L79" s="3342"/>
      <c r="N79" s="3325" t="s">
        <v>10436</v>
      </c>
      <c r="O79" s="3317" t="s">
        <v>10355</v>
      </c>
      <c r="P79" s="3341">
        <v>1</v>
      </c>
    </row>
    <row r="80" spans="1:60">
      <c r="A80">
        <v>80</v>
      </c>
      <c r="B80" s="3353" t="str">
        <f t="shared" si="64"/>
        <v>Explorador</v>
      </c>
      <c r="C80" s="2786">
        <f t="shared" si="63"/>
        <v>9</v>
      </c>
      <c r="D80" s="3354" t="s">
        <v>10400</v>
      </c>
      <c r="E80" s="2786">
        <v>1</v>
      </c>
      <c r="F80" s="2786">
        <v>1</v>
      </c>
      <c r="G80" s="2787" t="s">
        <v>10672</v>
      </c>
      <c r="H80" s="3330" t="s">
        <v>10399</v>
      </c>
      <c r="I80" s="2786">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2786">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2786"/>
      <c r="L80" s="3342"/>
      <c r="N80" s="3325" t="s">
        <v>10585</v>
      </c>
      <c r="O80" s="3317" t="s">
        <v>10355</v>
      </c>
      <c r="P80" s="3342">
        <v>1</v>
      </c>
    </row>
    <row r="81" spans="1:16">
      <c r="A81">
        <v>81</v>
      </c>
      <c r="B81" s="3353" t="str">
        <f t="shared" si="64"/>
        <v>Guerrero</v>
      </c>
      <c r="C81" s="2786">
        <f t="shared" si="63"/>
        <v>4</v>
      </c>
      <c r="D81" s="3354" t="s">
        <v>2594</v>
      </c>
      <c r="E81" s="2786">
        <v>2</v>
      </c>
      <c r="F81" s="2786">
        <v>1</v>
      </c>
      <c r="G81" s="2787" t="s">
        <v>10673</v>
      </c>
      <c r="H81" s="3330" t="s">
        <v>10618</v>
      </c>
      <c r="I81" s="2786">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2786"/>
      <c r="K81" s="2786"/>
      <c r="L81" s="3342"/>
      <c r="N81" s="3325" t="s">
        <v>10586</v>
      </c>
      <c r="O81" s="3317" t="s">
        <v>10355</v>
      </c>
      <c r="P81" s="3341">
        <v>1</v>
      </c>
    </row>
    <row r="82" spans="1:16">
      <c r="A82" s="701">
        <v>82</v>
      </c>
      <c r="B82" s="3353" t="str">
        <f t="shared" si="64"/>
        <v>Inteligencia artificial</v>
      </c>
      <c r="C82" s="2786">
        <f t="shared" si="63"/>
        <v>10</v>
      </c>
      <c r="D82" s="3354" t="s">
        <v>10393</v>
      </c>
      <c r="E82" s="2786">
        <v>2</v>
      </c>
      <c r="F82" s="2786">
        <v>1</v>
      </c>
      <c r="G82" s="2787" t="s">
        <v>10674</v>
      </c>
      <c r="H82" s="3330" t="s">
        <v>10618</v>
      </c>
      <c r="I82" s="2786">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2786"/>
      <c r="K82" s="2786"/>
      <c r="L82" s="3342"/>
      <c r="N82" s="3325" t="s">
        <v>10589</v>
      </c>
      <c r="O82" s="3317" t="s">
        <v>10355</v>
      </c>
      <c r="P82" s="3342">
        <v>1</v>
      </c>
    </row>
    <row r="83" spans="1:16">
      <c r="A83">
        <v>83</v>
      </c>
      <c r="B83" s="3353" t="str">
        <f t="shared" si="64"/>
        <v>Mente colmena</v>
      </c>
      <c r="C83" s="2786">
        <f t="shared" si="63"/>
        <v>7</v>
      </c>
      <c r="D83" s="3354" t="s">
        <v>10402</v>
      </c>
      <c r="E83" s="2786">
        <v>3</v>
      </c>
      <c r="F83" s="2786">
        <v>1</v>
      </c>
      <c r="G83" s="2787" t="s">
        <v>10675</v>
      </c>
      <c r="H83" s="3330" t="s">
        <v>10618</v>
      </c>
      <c r="I83" s="2786">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2786"/>
      <c r="K83" s="2786"/>
      <c r="L83" s="3342"/>
      <c r="N83" s="3325" t="s">
        <v>10591</v>
      </c>
      <c r="O83" s="3317" t="s">
        <v>10588</v>
      </c>
      <c r="P83" s="3341">
        <v>1</v>
      </c>
    </row>
    <row r="84" spans="1:16">
      <c r="A84">
        <v>84</v>
      </c>
      <c r="B84" s="3353" t="str">
        <f t="shared" si="64"/>
        <v>Percepción especial</v>
      </c>
      <c r="C84" s="2786">
        <f t="shared" si="63"/>
        <v>11</v>
      </c>
      <c r="D84" s="3354" t="s">
        <v>10401</v>
      </c>
      <c r="E84" s="2786">
        <v>1</v>
      </c>
      <c r="F84" s="2786">
        <v>4</v>
      </c>
      <c r="G84" s="2787" t="s">
        <v>10676</v>
      </c>
      <c r="H84" s="3330" t="s">
        <v>10404</v>
      </c>
      <c r="I84" s="2786">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2786">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2786"/>
      <c r="L84" s="3342"/>
      <c r="N84" s="3325" t="s">
        <v>3004</v>
      </c>
      <c r="O84" s="3317" t="s">
        <v>10588</v>
      </c>
      <c r="P84" s="3341">
        <v>2</v>
      </c>
    </row>
    <row r="85" spans="1:16">
      <c r="A85">
        <v>85</v>
      </c>
      <c r="B85" s="3353" t="str">
        <f t="shared" si="64"/>
        <v>Perspicaz</v>
      </c>
      <c r="C85" s="2786">
        <f t="shared" si="63"/>
        <v>8</v>
      </c>
      <c r="D85" s="3354" t="s">
        <v>10403</v>
      </c>
      <c r="E85" s="2786">
        <v>3</v>
      </c>
      <c r="F85" s="2786">
        <v>1</v>
      </c>
      <c r="G85" s="2787" t="s">
        <v>10677</v>
      </c>
      <c r="H85" s="3330" t="s">
        <v>10618</v>
      </c>
      <c r="I85" s="2786">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2786"/>
      <c r="K85" s="2786"/>
      <c r="L85" s="3342"/>
      <c r="N85" s="3325" t="s">
        <v>10592</v>
      </c>
      <c r="O85" s="3317" t="s">
        <v>10588</v>
      </c>
      <c r="P85" s="3342">
        <v>2</v>
      </c>
    </row>
    <row r="86" spans="1:16" ht="13.5" thickBot="1">
      <c r="A86">
        <v>86</v>
      </c>
      <c r="B86" s="3353" t="str">
        <f t="shared" si="64"/>
        <v>Reacción</v>
      </c>
      <c r="C86" s="2786">
        <f t="shared" si="63"/>
        <v>3</v>
      </c>
      <c r="D86" s="3354" t="s">
        <v>10406</v>
      </c>
      <c r="E86" s="2786">
        <v>1</v>
      </c>
      <c r="F86" s="2786">
        <v>10</v>
      </c>
      <c r="G86" s="2787" t="s">
        <v>10457</v>
      </c>
      <c r="H86" s="3330"/>
      <c r="I86" s="2786">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2786"/>
      <c r="K86" s="2786"/>
      <c r="L86" s="3342"/>
      <c r="N86" s="3146" t="s">
        <v>10593</v>
      </c>
      <c r="O86" s="3329" t="s">
        <v>10356</v>
      </c>
      <c r="P86" s="3349">
        <v>2</v>
      </c>
    </row>
    <row r="87" spans="1:16">
      <c r="A87">
        <v>87</v>
      </c>
      <c r="B87" s="3353" t="str">
        <f>D87</f>
        <v xml:space="preserve"> &gt; ATRIBUTOS DE MOVIMIENTO</v>
      </c>
      <c r="C87" s="2786">
        <f>COUNTIF($D$87:$D$92,"&lt;="&amp;D87)-COUNTIF($D$87:$D$92,"*&gt;*")</f>
        <v>0</v>
      </c>
      <c r="D87" s="3354" t="s">
        <v>10678</v>
      </c>
      <c r="E87" s="2786"/>
      <c r="F87" s="2786"/>
      <c r="G87" s="2787"/>
      <c r="H87" s="3330"/>
      <c r="I87" s="2786" t="s">
        <v>1315</v>
      </c>
      <c r="J87" s="2786" t="s">
        <v>1315</v>
      </c>
      <c r="K87" s="2786"/>
      <c r="L87" s="3342"/>
      <c r="N87" s="215"/>
      <c r="P87" s="215"/>
    </row>
    <row r="88" spans="1:16">
      <c r="A88">
        <v>88</v>
      </c>
      <c r="B88" s="3353" t="str">
        <f>(VLOOKUP(A1,$C$88:$D$92,2,0))</f>
        <v>Acuático</v>
      </c>
      <c r="C88" s="2786">
        <f>COUNTIF($D$88:$D$92,"&lt;="&amp;D88)-COUNTIF($D$88:$D$92,"*&gt;*")</f>
        <v>2</v>
      </c>
      <c r="D88" s="3354" t="s">
        <v>10384</v>
      </c>
      <c r="E88" s="2786">
        <v>0</v>
      </c>
      <c r="F88" s="2786">
        <v>1</v>
      </c>
      <c r="G88" s="2787" t="s">
        <v>3016</v>
      </c>
      <c r="H88" s="3330" t="s">
        <v>10618</v>
      </c>
      <c r="I88" s="2786">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2786"/>
      <c r="K88" s="2786"/>
      <c r="L88" s="3342"/>
      <c r="N88" s="215"/>
      <c r="P88" s="215"/>
    </row>
    <row r="89" spans="1:16">
      <c r="A89" s="701">
        <v>89</v>
      </c>
      <c r="B89" s="3353" t="str">
        <f>(VLOOKUP(A2,$C$88:$D$92,2,0))</f>
        <v>Caminante</v>
      </c>
      <c r="C89" s="2786">
        <f>COUNTIF($D$88:$D$92,"&lt;="&amp;D89)-COUNTIF($D$88:$D$92,"*&gt;*")</f>
        <v>3</v>
      </c>
      <c r="D89" s="3354" t="s">
        <v>10385</v>
      </c>
      <c r="E89" s="2786">
        <v>1</v>
      </c>
      <c r="F89" s="2786">
        <v>3</v>
      </c>
      <c r="G89" s="2787" t="s">
        <v>10679</v>
      </c>
      <c r="H89" s="3330" t="s">
        <v>10618</v>
      </c>
      <c r="I89" s="2786">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2786"/>
      <c r="K89" s="2786"/>
      <c r="L89" s="3342"/>
      <c r="N89" s="215"/>
      <c r="P89" s="215"/>
    </row>
    <row r="90" spans="1:16">
      <c r="A90">
        <v>90</v>
      </c>
      <c r="B90" s="3353" t="str">
        <f>(VLOOKUP(A3,$C$88:$D$92,2,0))</f>
        <v>Todoterreno</v>
      </c>
      <c r="C90" s="2786">
        <f>COUNTIF($D$88:$D$92,"&lt;="&amp;D90)-COUNTIF($D$88:$D$92,"*&gt;*")</f>
        <v>4</v>
      </c>
      <c r="D90" s="3354" t="s">
        <v>10386</v>
      </c>
      <c r="E90" s="2786">
        <v>1</v>
      </c>
      <c r="F90" s="2786">
        <v>3</v>
      </c>
      <c r="G90" s="2787" t="s">
        <v>10680</v>
      </c>
      <c r="H90" s="3330" t="s">
        <v>10618</v>
      </c>
      <c r="I90" s="2786">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2786"/>
      <c r="K90" s="2786"/>
      <c r="L90" s="3342"/>
      <c r="N90" s="215"/>
      <c r="P90" s="215"/>
    </row>
    <row r="91" spans="1:16">
      <c r="A91">
        <v>91</v>
      </c>
      <c r="B91" s="3353" t="str">
        <f>(VLOOKUP(A4,$C$88:$D$92,2,0))</f>
        <v>Trepador</v>
      </c>
      <c r="C91" s="2786">
        <f>COUNTIF($D$88:$D$92,"&lt;="&amp;D91)-COUNTIF($D$88:$D$92,"*&gt;*")</f>
        <v>1</v>
      </c>
      <c r="D91" s="3354" t="s">
        <v>8065</v>
      </c>
      <c r="E91" s="2786">
        <v>1</v>
      </c>
      <c r="F91" s="2786">
        <v>1</v>
      </c>
      <c r="G91" s="2787" t="s">
        <v>10681</v>
      </c>
      <c r="H91" s="3330" t="s">
        <v>10618</v>
      </c>
      <c r="I91" s="2786">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2786"/>
      <c r="K91" s="2786"/>
      <c r="L91" s="3342"/>
      <c r="N91" s="215"/>
      <c r="P91" s="215"/>
    </row>
    <row r="92" spans="1:16">
      <c r="A92">
        <v>92</v>
      </c>
      <c r="B92" s="3353" t="str">
        <f>(VLOOKUP(A5,$C$88:$D$92,2,0))</f>
        <v>Volador</v>
      </c>
      <c r="C92" s="2786">
        <f>COUNTIF($D$88:$D$92,"&lt;="&amp;D92)-COUNTIF($D$88:$D$92,"*&gt;*")</f>
        <v>5</v>
      </c>
      <c r="D92" s="3354" t="s">
        <v>10387</v>
      </c>
      <c r="E92" s="2786">
        <v>2</v>
      </c>
      <c r="F92" s="2786">
        <v>4</v>
      </c>
      <c r="G92" s="2787" t="s">
        <v>10682</v>
      </c>
      <c r="H92" s="3330" t="s">
        <v>10618</v>
      </c>
      <c r="I92" s="2786">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2786"/>
      <c r="K92" s="2786"/>
      <c r="L92" s="3342"/>
      <c r="N92" s="215"/>
      <c r="P92" s="215"/>
    </row>
    <row r="93" spans="1:16">
      <c r="A93">
        <v>93</v>
      </c>
      <c r="B93" s="3353" t="str">
        <f>D111</f>
        <v>&gt; OTROS</v>
      </c>
      <c r="C93" s="2786">
        <f>COUNTIF($D$93:$D$110,"&lt;="&amp;D93)-COUNTIF($D$93:$D$110,"*&gt;*")</f>
        <v>0</v>
      </c>
      <c r="D93" s="3354" t="s">
        <v>10683</v>
      </c>
      <c r="E93" s="2786"/>
      <c r="F93" s="2786"/>
      <c r="G93" s="2787"/>
      <c r="H93" s="3330"/>
      <c r="I93" s="2786" t="s">
        <v>1315</v>
      </c>
      <c r="J93" s="2786" t="s">
        <v>1315</v>
      </c>
      <c r="K93" s="2786"/>
      <c r="L93" s="3342"/>
      <c r="N93" s="215"/>
      <c r="P93" s="215"/>
    </row>
    <row r="94" spans="1:16">
      <c r="A94">
        <v>94</v>
      </c>
      <c r="B94" s="3353" t="str">
        <f>(VLOOKUP(A1,$C$112:$D$114,2,0))</f>
        <v>Poder personalizado 1</v>
      </c>
      <c r="C94" s="2786">
        <f t="shared" ref="C94:C110" si="65">COUNTIF($D$93:$D$110,"&lt;="&amp;D94)-COUNTIF($D$93:$D$110,"*&gt;*")</f>
        <v>9</v>
      </c>
      <c r="D94" s="3354" t="s">
        <v>9303</v>
      </c>
      <c r="E94" s="2786">
        <v>-1</v>
      </c>
      <c r="F94" s="2786">
        <v>1</v>
      </c>
      <c r="G94" s="2787" t="s">
        <v>10684</v>
      </c>
      <c r="H94" s="3330" t="s">
        <v>6056</v>
      </c>
      <c r="I94" s="2786">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2786">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2786"/>
      <c r="L94" s="3342"/>
      <c r="N94" s="215"/>
      <c r="P94" s="215"/>
    </row>
    <row r="95" spans="1:16">
      <c r="A95">
        <v>95</v>
      </c>
      <c r="B95" s="3353" t="str">
        <f>(VLOOKUP(A2,$C$112:$D$114,2,0))</f>
        <v>Poder personalizado 2</v>
      </c>
      <c r="C95" s="2786">
        <f t="shared" si="65"/>
        <v>7</v>
      </c>
      <c r="D95" s="3354" t="s">
        <v>412</v>
      </c>
      <c r="E95" s="2786">
        <v>-1</v>
      </c>
      <c r="F95" s="2786">
        <v>1</v>
      </c>
      <c r="G95" s="2787" t="s">
        <v>10685</v>
      </c>
      <c r="H95" s="3330"/>
      <c r="I95" s="2786">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2786"/>
      <c r="K95" s="2786"/>
      <c r="L95" s="3342"/>
      <c r="N95" s="215"/>
      <c r="P95" s="215"/>
    </row>
    <row r="96" spans="1:16">
      <c r="A96" s="701">
        <v>96</v>
      </c>
      <c r="B96" s="3353" t="str">
        <f>(VLOOKUP(A3,$C$112:$D$114,2,0))</f>
        <v>Poder personalizado 3</v>
      </c>
      <c r="C96" s="2786">
        <f t="shared" si="65"/>
        <v>8</v>
      </c>
      <c r="D96" s="3354" t="s">
        <v>10404</v>
      </c>
      <c r="E96" s="2786">
        <v>-1</v>
      </c>
      <c r="F96" s="2786">
        <v>1</v>
      </c>
      <c r="G96" s="2787" t="s">
        <v>10686</v>
      </c>
      <c r="H96" s="3330" t="s">
        <v>10401</v>
      </c>
      <c r="I96" s="2786">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2786">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2786"/>
      <c r="L96" s="3342"/>
      <c r="N96" s="215"/>
      <c r="P96" s="215"/>
    </row>
    <row r="97" spans="1:16">
      <c r="A97">
        <v>97</v>
      </c>
      <c r="B97" s="3353" t="str">
        <f>D93</f>
        <v>&gt; ATRIBUTOS NEGATIVOS</v>
      </c>
      <c r="C97" s="2786">
        <f t="shared" si="65"/>
        <v>17</v>
      </c>
      <c r="D97" s="3354" t="s">
        <v>10399</v>
      </c>
      <c r="E97" s="2786">
        <v>-1</v>
      </c>
      <c r="F97" s="2786">
        <v>1</v>
      </c>
      <c r="G97" s="2787" t="s">
        <v>10687</v>
      </c>
      <c r="H97" s="3330" t="s">
        <v>10400</v>
      </c>
      <c r="I97" s="2786">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2786">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2786"/>
      <c r="L97" s="3342"/>
      <c r="N97" s="215"/>
      <c r="P97" s="215"/>
    </row>
    <row r="98" spans="1:16">
      <c r="A98">
        <v>98</v>
      </c>
      <c r="B98" s="3353" t="str">
        <f>(VLOOKUP(A1,$C$94:$D$110,2,0))</f>
        <v>Aleatoriedad</v>
      </c>
      <c r="C98" s="2786">
        <f t="shared" si="65"/>
        <v>13</v>
      </c>
      <c r="D98" s="3354" t="s">
        <v>10377</v>
      </c>
      <c r="E98" s="2786">
        <v>-1</v>
      </c>
      <c r="F98" s="2786">
        <v>1</v>
      </c>
      <c r="G98" s="2787" t="s">
        <v>10688</v>
      </c>
      <c r="H98" s="3330" t="s">
        <v>6056</v>
      </c>
      <c r="I98" s="2786">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2786">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2786"/>
      <c r="L98" s="3342"/>
      <c r="N98" s="215"/>
      <c r="P98" s="215"/>
    </row>
    <row r="99" spans="1:16">
      <c r="A99">
        <v>99</v>
      </c>
      <c r="B99" s="3353" t="str">
        <f t="shared" ref="B99:B114" si="66">(VLOOKUP(A2,$C$94:$D$110,2,0))</f>
        <v>Anclaje vital</v>
      </c>
      <c r="C99" s="2786">
        <f t="shared" si="65"/>
        <v>16</v>
      </c>
      <c r="D99" s="3354" t="s">
        <v>10392</v>
      </c>
      <c r="E99" s="2786">
        <v>-1</v>
      </c>
      <c r="F99" s="2786">
        <v>1</v>
      </c>
      <c r="G99" s="2787" t="s">
        <v>10689</v>
      </c>
      <c r="H99" s="3330" t="s">
        <v>10383</v>
      </c>
      <c r="I99" s="2786">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2786">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2786"/>
      <c r="L99" s="3342"/>
      <c r="N99" s="215"/>
      <c r="P99" s="215"/>
    </row>
    <row r="100" spans="1:16">
      <c r="A100">
        <v>100</v>
      </c>
      <c r="B100" s="3353" t="str">
        <f t="shared" si="66"/>
        <v>Cólera</v>
      </c>
      <c r="C100" s="2786">
        <f t="shared" si="65"/>
        <v>12</v>
      </c>
      <c r="D100" s="3354" t="s">
        <v>10373</v>
      </c>
      <c r="E100" s="2786">
        <v>-1</v>
      </c>
      <c r="F100" s="2786">
        <v>2</v>
      </c>
      <c r="G100" s="2787" t="s">
        <v>10690</v>
      </c>
      <c r="H100" s="3330" t="s">
        <v>10382</v>
      </c>
      <c r="I100" s="2786">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2786">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2786"/>
      <c r="L100" s="3342"/>
      <c r="N100" s="215"/>
      <c r="P100" s="215"/>
    </row>
    <row r="101" spans="1:16">
      <c r="A101">
        <v>101</v>
      </c>
      <c r="B101" s="3353" t="str">
        <f t="shared" si="66"/>
        <v>Complejo</v>
      </c>
      <c r="C101" s="2786">
        <f t="shared" si="65"/>
        <v>14</v>
      </c>
      <c r="D101" s="3354" t="s">
        <v>3019</v>
      </c>
      <c r="E101" s="2786">
        <v>-1</v>
      </c>
      <c r="F101" s="2786">
        <v>1</v>
      </c>
      <c r="G101" s="2787" t="s">
        <v>10691</v>
      </c>
      <c r="H101" s="3330" t="s">
        <v>10378</v>
      </c>
      <c r="I101" s="2786">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2786">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2786"/>
      <c r="L101" s="3342"/>
      <c r="N101" s="215"/>
      <c r="P101" s="215"/>
    </row>
    <row r="102" spans="1:16">
      <c r="A102">
        <v>102</v>
      </c>
      <c r="B102" s="3353" t="str">
        <f t="shared" si="66"/>
        <v>Débil a lo arcano</v>
      </c>
      <c r="C102" s="2786">
        <f t="shared" si="65"/>
        <v>11</v>
      </c>
      <c r="D102" s="3354" t="s">
        <v>10405</v>
      </c>
      <c r="E102" s="2786">
        <v>-2</v>
      </c>
      <c r="F102" s="2786">
        <v>1</v>
      </c>
      <c r="G102" s="2787" t="s">
        <v>10692</v>
      </c>
      <c r="H102" s="3330" t="s">
        <v>10618</v>
      </c>
      <c r="I102" s="2786">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2786"/>
      <c r="K102" s="2786"/>
      <c r="L102" s="3342"/>
      <c r="N102" s="215"/>
      <c r="P102" s="215"/>
    </row>
    <row r="103" spans="1:16">
      <c r="A103" s="701">
        <v>103</v>
      </c>
      <c r="B103" s="3353" t="str">
        <f t="shared" si="66"/>
        <v>Débil a lo psíquico</v>
      </c>
      <c r="C103" s="2786">
        <f t="shared" si="65"/>
        <v>15</v>
      </c>
      <c r="D103" s="3354" t="s">
        <v>10380</v>
      </c>
      <c r="E103" s="2786">
        <v>-1</v>
      </c>
      <c r="F103" s="2786">
        <v>1</v>
      </c>
      <c r="G103" s="2787" t="s">
        <v>10693</v>
      </c>
      <c r="H103" s="3330" t="s">
        <v>10381</v>
      </c>
      <c r="I103" s="2786">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2786">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2786"/>
      <c r="L103" s="3342"/>
      <c r="N103" s="215"/>
      <c r="P103" s="215"/>
    </row>
    <row r="104" spans="1:16">
      <c r="A104">
        <v>104</v>
      </c>
      <c r="B104" s="3353" t="str">
        <f t="shared" si="66"/>
        <v>Debilidad</v>
      </c>
      <c r="C104" s="2786">
        <f t="shared" si="65"/>
        <v>6</v>
      </c>
      <c r="D104" s="3377" t="s">
        <v>10652</v>
      </c>
      <c r="E104" s="2786">
        <v>-2</v>
      </c>
      <c r="F104" s="2786">
        <v>1</v>
      </c>
      <c r="G104" s="2787" t="s">
        <v>10694</v>
      </c>
      <c r="H104" s="3330" t="s">
        <v>10374</v>
      </c>
      <c r="I104" s="2786">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2786">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2786"/>
      <c r="L104" s="3342"/>
      <c r="N104" s="215"/>
      <c r="P104" s="215"/>
    </row>
    <row r="105" spans="1:16">
      <c r="A105">
        <v>105</v>
      </c>
      <c r="B105" s="3353" t="str">
        <f t="shared" si="66"/>
        <v>Despistado</v>
      </c>
      <c r="C105" s="2786">
        <f t="shared" si="65"/>
        <v>5</v>
      </c>
      <c r="D105" s="3354" t="s">
        <v>10375</v>
      </c>
      <c r="E105" s="2786">
        <v>-2</v>
      </c>
      <c r="F105" s="2786">
        <v>1</v>
      </c>
      <c r="G105" s="2787" t="s">
        <v>10694</v>
      </c>
      <c r="H105" s="3330" t="s">
        <v>10374</v>
      </c>
      <c r="I105" s="2786">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2786">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2786"/>
      <c r="L105" s="3342"/>
      <c r="N105" s="215"/>
      <c r="P105" s="215"/>
    </row>
    <row r="106" spans="1:16">
      <c r="A106">
        <v>106</v>
      </c>
      <c r="B106" s="3353" t="str">
        <f t="shared" si="66"/>
        <v>Fragilidad</v>
      </c>
      <c r="C106" s="2786">
        <f t="shared" si="65"/>
        <v>10</v>
      </c>
      <c r="D106" s="3354" t="s">
        <v>10407</v>
      </c>
      <c r="E106" s="2786">
        <v>-2</v>
      </c>
      <c r="F106" s="2786">
        <v>1</v>
      </c>
      <c r="G106" s="2787" t="s">
        <v>10695</v>
      </c>
      <c r="H106" s="3330" t="s">
        <v>10618</v>
      </c>
      <c r="I106" s="2786">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2786"/>
      <c r="K106" s="2786"/>
      <c r="L106" s="3342"/>
      <c r="N106" s="215"/>
      <c r="P106" s="215"/>
    </row>
    <row r="107" spans="1:16">
      <c r="A107">
        <v>107</v>
      </c>
      <c r="B107" s="3353" t="str">
        <f t="shared" si="66"/>
        <v>Mala puntería</v>
      </c>
      <c r="C107" s="2786">
        <f t="shared" si="65"/>
        <v>1</v>
      </c>
      <c r="D107" s="3354" t="s">
        <v>10408</v>
      </c>
      <c r="E107" s="2786">
        <v>-2</v>
      </c>
      <c r="F107" s="2786">
        <v>1</v>
      </c>
      <c r="G107" s="2787" t="s">
        <v>10696</v>
      </c>
      <c r="H107" s="3330" t="s">
        <v>10618</v>
      </c>
      <c r="I107" s="2786">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2786"/>
      <c r="K107" s="2786"/>
      <c r="L107" s="3342"/>
      <c r="N107" s="215"/>
      <c r="P107" s="215"/>
    </row>
    <row r="108" spans="1:16">
      <c r="A108">
        <v>108</v>
      </c>
      <c r="B108" s="3353" t="str">
        <f t="shared" si="66"/>
        <v>Marioneta</v>
      </c>
      <c r="C108" s="2786">
        <f t="shared" si="65"/>
        <v>4</v>
      </c>
      <c r="D108" s="3354" t="s">
        <v>10389</v>
      </c>
      <c r="E108" s="2786">
        <v>-2</v>
      </c>
      <c r="F108" s="2786">
        <v>1</v>
      </c>
      <c r="G108" s="2787" t="s">
        <v>10697</v>
      </c>
      <c r="H108" s="3330" t="s">
        <v>10618</v>
      </c>
      <c r="I108" s="2786">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2786"/>
      <c r="K108" s="2786"/>
      <c r="L108" s="3342"/>
      <c r="N108" s="215"/>
      <c r="P108" s="215"/>
    </row>
    <row r="109" spans="1:16">
      <c r="A109">
        <v>109</v>
      </c>
      <c r="B109" s="3353" t="str">
        <f t="shared" si="66"/>
        <v>Pesado</v>
      </c>
      <c r="C109" s="2786">
        <f t="shared" si="65"/>
        <v>3</v>
      </c>
      <c r="D109" s="3354" t="s">
        <v>10409</v>
      </c>
      <c r="E109" s="2786">
        <v>-1</v>
      </c>
      <c r="F109" s="2786">
        <v>1</v>
      </c>
      <c r="G109" s="2787" t="s">
        <v>10698</v>
      </c>
      <c r="H109" s="3330" t="s">
        <v>10618</v>
      </c>
      <c r="I109" s="2786">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2786"/>
      <c r="K109" s="2786"/>
      <c r="L109" s="3342"/>
      <c r="N109" s="215"/>
      <c r="P109" s="215"/>
    </row>
    <row r="110" spans="1:16">
      <c r="A110" s="701">
        <v>110</v>
      </c>
      <c r="B110" s="3353" t="str">
        <f t="shared" si="66"/>
        <v>Punto vulnerable</v>
      </c>
      <c r="C110" s="2786">
        <f t="shared" si="65"/>
        <v>2</v>
      </c>
      <c r="D110" s="3377" t="s">
        <v>11752</v>
      </c>
      <c r="E110" s="2786">
        <v>-2</v>
      </c>
      <c r="F110" s="2786">
        <v>1</v>
      </c>
      <c r="G110" s="304" t="s">
        <v>11085</v>
      </c>
      <c r="H110" s="304" t="s">
        <v>10618</v>
      </c>
      <c r="I110" s="286">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304"/>
      <c r="K110" s="304"/>
      <c r="L110" s="3592"/>
      <c r="N110" s="215"/>
      <c r="P110" s="215"/>
    </row>
    <row r="111" spans="1:16">
      <c r="A111">
        <v>111</v>
      </c>
      <c r="B111" s="3353" t="str">
        <f t="shared" si="66"/>
        <v>Sobrecarga</v>
      </c>
      <c r="C111" s="2786">
        <f>COUNTIF($D$93:$D$109,"&lt;="&amp;D111)-COUNTIF($D$93:$D$109,"*&gt;*")</f>
        <v>0</v>
      </c>
      <c r="D111" s="3354" t="s">
        <v>10699</v>
      </c>
      <c r="E111" s="2786"/>
      <c r="F111" s="2786"/>
      <c r="G111" s="2787"/>
      <c r="H111" s="2787"/>
      <c r="I111" s="2786" t="s">
        <v>1315</v>
      </c>
      <c r="J111" s="2786" t="s">
        <v>1315</v>
      </c>
      <c r="K111" s="2786"/>
      <c r="L111" s="3342"/>
      <c r="N111" s="215"/>
      <c r="P111" s="215"/>
    </row>
    <row r="112" spans="1:16">
      <c r="A112">
        <v>112</v>
      </c>
      <c r="B112" s="3353" t="str">
        <f t="shared" si="66"/>
        <v>Torpe</v>
      </c>
      <c r="C112" s="2786">
        <f>COUNTIF($D$112:$D$114,"&lt;="&amp;D112)-COUNTIF($D$112:$D$114,"*&gt;*")</f>
        <v>1</v>
      </c>
      <c r="D112" s="3377" t="s">
        <v>10700</v>
      </c>
      <c r="E112" s="2786"/>
      <c r="F112" s="2786"/>
      <c r="G112" s="2787"/>
      <c r="H112" s="2787"/>
      <c r="I112" s="2786">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2786">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2786"/>
      <c r="L112" s="3342"/>
      <c r="N112" s="215"/>
      <c r="P112" s="215"/>
    </row>
    <row r="113" spans="1:19">
      <c r="A113">
        <v>113</v>
      </c>
      <c r="B113" s="3353" t="str">
        <f t="shared" si="66"/>
        <v>Valle inquietante</v>
      </c>
      <c r="C113" s="2786">
        <f>COUNTIF($D$112:$D$114,"&lt;="&amp;D113)-COUNTIF($D$112:$D$114,"*&gt;*")</f>
        <v>2</v>
      </c>
      <c r="D113" s="3377" t="s">
        <v>10701</v>
      </c>
      <c r="E113" s="2786"/>
      <c r="F113" s="2786"/>
      <c r="G113" s="2787"/>
      <c r="H113" s="2787"/>
      <c r="I113" s="2786">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2786">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2786"/>
      <c r="L113" s="3342"/>
      <c r="N113" s="215"/>
      <c r="P113" s="215"/>
    </row>
    <row r="114" spans="1:19" ht="13.5" thickBot="1">
      <c r="A114">
        <v>114</v>
      </c>
      <c r="B114" s="3593" t="str">
        <f t="shared" si="66"/>
        <v>Visión reducida</v>
      </c>
      <c r="C114" s="3148">
        <f>COUNTIF($D$112:$D$114,"&lt;="&amp;D114)-COUNTIF($D$112:$D$114,"*&gt;*")</f>
        <v>3</v>
      </c>
      <c r="D114" s="3379" t="s">
        <v>10702</v>
      </c>
      <c r="E114" s="3148"/>
      <c r="F114" s="3148"/>
      <c r="G114" s="3147"/>
      <c r="H114" s="3147"/>
      <c r="I114" s="3148">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3148">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3148"/>
      <c r="L114" s="3349"/>
      <c r="N114" s="215"/>
      <c r="P114" s="215"/>
    </row>
    <row r="115" spans="1:19" s="3380" customFormat="1">
      <c r="A115" s="3380">
        <v>115</v>
      </c>
      <c r="B115" s="3381"/>
      <c r="C115" s="3382"/>
      <c r="J115" s="3382"/>
      <c r="K115" s="3382"/>
      <c r="L115" s="3382"/>
      <c r="N115" s="3382"/>
      <c r="P115" s="3382"/>
    </row>
    <row r="116" spans="1:19" s="3380" customFormat="1">
      <c r="A116" s="3380">
        <v>116</v>
      </c>
      <c r="B116" s="3381"/>
      <c r="C116" s="3382"/>
      <c r="J116" s="3382"/>
      <c r="K116" s="3382"/>
      <c r="L116" s="3382"/>
      <c r="N116" s="3382"/>
      <c r="P116" s="3382"/>
    </row>
    <row r="117" spans="1:19">
      <c r="A117" s="701">
        <v>117</v>
      </c>
      <c r="B117" s="510"/>
    </row>
    <row r="118" spans="1:19" ht="13.5" thickBot="1">
      <c r="A118">
        <v>118</v>
      </c>
      <c r="B118" s="510"/>
      <c r="D118" t="e">
        <f>VLOOKUP("Hueso",Constructos,1,FALSE)</f>
        <v>#NAME?</v>
      </c>
      <c r="N118" s="3303"/>
      <c r="O118" s="3303"/>
      <c r="P118" s="3303"/>
      <c r="Q118" s="3303"/>
    </row>
    <row r="119" spans="1:19">
      <c r="A119">
        <v>119</v>
      </c>
      <c r="B119" s="8353" t="s">
        <v>544</v>
      </c>
      <c r="C119" s="8354"/>
      <c r="D119" s="2084"/>
      <c r="E119" s="8097" t="s">
        <v>8155</v>
      </c>
      <c r="F119" s="8098"/>
      <c r="G119" s="8098"/>
      <c r="H119" s="8098"/>
      <c r="I119" s="8098"/>
      <c r="J119" s="8098"/>
      <c r="K119" s="8098"/>
      <c r="L119" s="8099"/>
      <c r="M119" s="3383"/>
      <c r="N119" s="8358"/>
      <c r="O119" s="8359"/>
      <c r="P119" s="8359"/>
      <c r="Q119" s="8360"/>
    </row>
    <row r="120" spans="1:19">
      <c r="A120">
        <v>120</v>
      </c>
      <c r="B120" s="3384" t="s">
        <v>10703</v>
      </c>
      <c r="C120" s="3385">
        <f>VLOOKUP(Constructos!$C$11,Tabla_Constructos,4,0)</f>
        <v>80</v>
      </c>
      <c r="E120" s="3386"/>
      <c r="F120" s="3387" t="s">
        <v>1410</v>
      </c>
      <c r="G120" s="3387" t="s">
        <v>1357</v>
      </c>
      <c r="H120" s="3387" t="s">
        <v>1411</v>
      </c>
      <c r="I120" s="3387" t="s">
        <v>1412</v>
      </c>
      <c r="J120" s="3387" t="s">
        <v>1414</v>
      </c>
      <c r="K120" s="3387" t="s">
        <v>10704</v>
      </c>
      <c r="L120" s="3388" t="s">
        <v>1415</v>
      </c>
      <c r="M120" s="3383"/>
      <c r="N120" s="1637" t="s">
        <v>10705</v>
      </c>
      <c r="O120" s="1637" t="s">
        <v>10706</v>
      </c>
      <c r="P120" s="1637" t="s">
        <v>10707</v>
      </c>
      <c r="Q120" s="3326" t="s">
        <v>10567</v>
      </c>
      <c r="S120" s="3389"/>
    </row>
    <row r="121" spans="1:19">
      <c r="A121">
        <v>121</v>
      </c>
      <c r="B121" s="3384" t="s">
        <v>6056</v>
      </c>
      <c r="C121" s="3385">
        <f>SUM(I49,J49*-1)*20</f>
        <v>0</v>
      </c>
      <c r="E121" s="3325" t="s">
        <v>1225</v>
      </c>
      <c r="F121" s="2786">
        <f>VLOOKUP(Constructos!$C$11,Constructos_Armadura,2,0)</f>
        <v>2</v>
      </c>
      <c r="G121" s="2786">
        <f>VLOOKUP(Constructos!$C$11,Constructos_Armadura,3,0)</f>
        <v>2</v>
      </c>
      <c r="H121" s="2786">
        <f>VLOOKUP(Constructos!$C$11,Constructos_Armadura,4,0)</f>
        <v>2</v>
      </c>
      <c r="I121" s="2786">
        <f>VLOOKUP(Constructos!$C$11,Constructos_Armadura,5,0)</f>
        <v>2</v>
      </c>
      <c r="J121" s="2786">
        <f>VLOOKUP(Constructos!$C$11,Constructos_Armadura,6,0)</f>
        <v>0</v>
      </c>
      <c r="K121" s="2786">
        <f>VLOOKUP(Constructos!$C$11,Constructos_Armadura,7,0)</f>
        <v>0</v>
      </c>
      <c r="L121" s="3342">
        <f>VLOOKUP(Constructos!$C$11,Constructos_Armadura,8,0)</f>
        <v>0</v>
      </c>
      <c r="M121" s="3383"/>
      <c r="N121" s="2787" t="s">
        <v>10708</v>
      </c>
      <c r="O121" s="2787" t="s">
        <v>10709</v>
      </c>
      <c r="P121" s="2787" t="s">
        <v>10710</v>
      </c>
      <c r="Q121" s="3318">
        <v>-30</v>
      </c>
    </row>
    <row r="122" spans="1:19">
      <c r="A122">
        <v>122</v>
      </c>
      <c r="B122" s="3384" t="s">
        <v>1540</v>
      </c>
      <c r="C122" s="3385">
        <f>IF($I$79&gt;=1,C120*QUOTIENT(VLOOKUP(Constructos!K25,'Tablas constructos'!E137:J143,5,0),2),0)</f>
        <v>0</v>
      </c>
      <c r="E122" s="3325" t="s">
        <v>8163</v>
      </c>
      <c r="F122" s="2786">
        <f>SUM($I$49,$J$49*-1)</f>
        <v>0</v>
      </c>
      <c r="G122" s="2786">
        <f>SUM($I$49,$J$49*-1)</f>
        <v>0</v>
      </c>
      <c r="H122" s="2786">
        <f>SUM($I$49,$J$49*-1)</f>
        <v>0</v>
      </c>
      <c r="I122" s="2786">
        <f>$I$51</f>
        <v>0</v>
      </c>
      <c r="J122" s="2786">
        <f>$I$52</f>
        <v>0</v>
      </c>
      <c r="K122" s="2786">
        <f>$I$53</f>
        <v>0</v>
      </c>
      <c r="L122" s="3342">
        <f>SUM($I$50,(I53*-1),IF(J50&gt;0,-1,0))+1</f>
        <v>1</v>
      </c>
      <c r="N122" s="3325" t="s">
        <v>10711</v>
      </c>
      <c r="O122" s="2787" t="s">
        <v>10712</v>
      </c>
      <c r="P122" s="2787" t="s">
        <v>10713</v>
      </c>
      <c r="Q122" s="3318">
        <v>-20</v>
      </c>
    </row>
    <row r="123" spans="1:19">
      <c r="A123">
        <v>123</v>
      </c>
      <c r="B123" s="3384" t="s">
        <v>10446</v>
      </c>
      <c r="C123" s="3385"/>
      <c r="E123" s="3325" t="s">
        <v>10714</v>
      </c>
      <c r="F123" s="2786" t="b">
        <f>IF($I$79&gt;0,QUOTIENT(VLOOKUP(Constructos!$K$25,'Tablas constructos'!$E$137:$K$144,7,0),2))</f>
        <v>0</v>
      </c>
      <c r="G123" s="2786" t="b">
        <f>IF($I$79&gt;0,QUOTIENT(VLOOKUP(Constructos!$K$25,'Tablas constructos'!$E$137:$K$144,7,0),2))</f>
        <v>0</v>
      </c>
      <c r="H123" s="2786" t="b">
        <f>IF($I$79&gt;0,QUOTIENT(VLOOKUP(Constructos!$K$25,'Tablas constructos'!$E$137:$K$144,7,0),2))</f>
        <v>0</v>
      </c>
      <c r="I123" s="2786" t="b">
        <f>IF($I$79&gt;0,QUOTIENT(VLOOKUP(Constructos!$K$25,'Tablas constructos'!$E$137:$K$144,7,0),2))</f>
        <v>0</v>
      </c>
      <c r="J123" s="2786" t="b">
        <f>IF($I$79&gt;0,QUOTIENT(VLOOKUP(Constructos!$K$25,'Tablas constructos'!$E$137:$K$144,7,0),2))</f>
        <v>0</v>
      </c>
      <c r="K123" s="2786" t="b">
        <f>IF($I$79&gt;0,QUOTIENT(VLOOKUP(Constructos!$K$25,'Tablas constructos'!$E$137:$K$144,7,0),2))</f>
        <v>0</v>
      </c>
      <c r="L123" s="3342" t="b">
        <f>IF($I$79&gt;0,QUOTIENT(VLOOKUP(Constructos!$K$25,'Tablas constructos'!$E$137:$K$144,7,0),2))</f>
        <v>0</v>
      </c>
      <c r="N123" s="3325" t="s">
        <v>10715</v>
      </c>
      <c r="O123" s="2787" t="s">
        <v>10716</v>
      </c>
      <c r="P123" s="2787" t="s">
        <v>10717</v>
      </c>
      <c r="Q123" s="3318">
        <v>-10</v>
      </c>
    </row>
    <row r="124" spans="1:19" ht="13.5" thickBot="1">
      <c r="A124" s="3390">
        <v>124</v>
      </c>
      <c r="B124" s="3378" t="s">
        <v>10718</v>
      </c>
      <c r="C124" s="3349"/>
      <c r="E124" s="3325" t="s">
        <v>6855</v>
      </c>
      <c r="F124" s="2786">
        <f t="shared" ref="F124:L124" si="67">IF(SUM(F121:F123)&lt;0,0,SUM(F121:F123))</f>
        <v>2</v>
      </c>
      <c r="G124" s="2786">
        <f t="shared" si="67"/>
        <v>2</v>
      </c>
      <c r="H124" s="2786">
        <f t="shared" si="67"/>
        <v>2</v>
      </c>
      <c r="I124" s="2786">
        <f t="shared" si="67"/>
        <v>2</v>
      </c>
      <c r="J124" s="2786">
        <f t="shared" si="67"/>
        <v>0</v>
      </c>
      <c r="K124" s="2786">
        <f t="shared" si="67"/>
        <v>0</v>
      </c>
      <c r="L124" s="3342">
        <f t="shared" si="67"/>
        <v>1</v>
      </c>
      <c r="N124" s="3325" t="s">
        <v>10719</v>
      </c>
      <c r="O124" s="2787" t="s">
        <v>10720</v>
      </c>
      <c r="P124" s="2787" t="s">
        <v>10721</v>
      </c>
      <c r="Q124" s="3318">
        <v>-5</v>
      </c>
    </row>
    <row r="125" spans="1:19" ht="13.5" thickBot="1">
      <c r="A125">
        <v>125</v>
      </c>
      <c r="B125" s="510"/>
      <c r="C125" s="3391"/>
      <c r="E125" s="3146" t="s">
        <v>10722</v>
      </c>
      <c r="F125" s="3147"/>
      <c r="G125" s="3147" t="s">
        <v>10723</v>
      </c>
      <c r="H125" s="3147"/>
      <c r="I125" s="3147"/>
      <c r="J125" s="3147"/>
      <c r="K125" s="3147"/>
      <c r="L125" s="3149"/>
      <c r="N125" s="3325" t="s">
        <v>10724</v>
      </c>
      <c r="O125" s="2787" t="s">
        <v>10725</v>
      </c>
      <c r="P125" s="2787" t="s">
        <v>10726</v>
      </c>
      <c r="Q125" s="3318">
        <v>0</v>
      </c>
    </row>
    <row r="126" spans="1:19">
      <c r="A126">
        <v>126</v>
      </c>
      <c r="B126" s="7067" t="s">
        <v>10727</v>
      </c>
      <c r="C126" s="7069"/>
      <c r="N126" s="3325" t="s">
        <v>10728</v>
      </c>
      <c r="O126" s="2787" t="s">
        <v>10729</v>
      </c>
      <c r="P126" s="2787" t="s">
        <v>10730</v>
      </c>
      <c r="Q126" s="3318">
        <v>5</v>
      </c>
    </row>
    <row r="127" spans="1:19" ht="13.5" thickBot="1">
      <c r="A127">
        <v>127</v>
      </c>
      <c r="B127" s="3392" t="s">
        <v>10731</v>
      </c>
      <c r="C127" s="3393">
        <f>IF(I76=3,SUM(VLOOKUP(Constructos!C11,Tabla_Constructos,11,FALSE),80),IF(I76=2,SUM(VLOOKUP(Constructos!C11,Tabla_Constructos,11,FALSE),40),IF(I76=1,VLOOKUP(Constructos!C11,Tabla_Constructos,11,FALSE),"-")))</f>
        <v>80</v>
      </c>
      <c r="N127" s="3325" t="s">
        <v>10732</v>
      </c>
      <c r="O127" s="2787" t="s">
        <v>10733</v>
      </c>
      <c r="P127" s="2787" t="s">
        <v>10734</v>
      </c>
      <c r="Q127" s="3318">
        <v>5</v>
      </c>
    </row>
    <row r="128" spans="1:19">
      <c r="A128">
        <v>128</v>
      </c>
      <c r="B128" s="3353" t="s">
        <v>8163</v>
      </c>
      <c r="C128" s="3393">
        <f>IF($I$76&gt;=1,$I$76*15,0)+IF($J$95=1,QUOTIENT(C127,2)*-1,0)</f>
        <v>15</v>
      </c>
      <c r="E128" s="8353" t="s">
        <v>10735</v>
      </c>
      <c r="F128" s="8355"/>
      <c r="G128" s="8355"/>
      <c r="H128" s="8355"/>
      <c r="I128" s="8355"/>
      <c r="J128" s="8354"/>
      <c r="L128" s="8097" t="s">
        <v>1252</v>
      </c>
      <c r="M128" s="8099"/>
      <c r="N128" s="3325" t="s">
        <v>10736</v>
      </c>
      <c r="O128" s="2787" t="s">
        <v>10737</v>
      </c>
      <c r="P128" s="2787" t="s">
        <v>10738</v>
      </c>
      <c r="Q128" s="3318">
        <v>10</v>
      </c>
    </row>
    <row r="129" spans="1:17">
      <c r="A129">
        <v>129</v>
      </c>
      <c r="B129" s="3353" t="s">
        <v>1425</v>
      </c>
      <c r="C129" s="3340">
        <f>SUM(VLOOKUP(Constructos!C11,Tabla_Constructos,9,0),SUM($I$55,J55*-1)*15,VLOOKUP(CONCATENATE(Constructos!$G$13," ",Constructos!$K$13),N121:Q140,4,0))</f>
        <v>25</v>
      </c>
      <c r="E129" s="3325"/>
      <c r="F129" s="3365" t="s">
        <v>10739</v>
      </c>
      <c r="G129" s="3365" t="s">
        <v>10740</v>
      </c>
      <c r="H129" s="3365" t="s">
        <v>10741</v>
      </c>
      <c r="I129" s="3365" t="s">
        <v>10742</v>
      </c>
      <c r="J129" s="3366" t="s">
        <v>10743</v>
      </c>
      <c r="L129" s="3359" t="s">
        <v>10740</v>
      </c>
      <c r="M129" s="3326" t="s">
        <v>10739</v>
      </c>
      <c r="N129" s="3325" t="s">
        <v>10744</v>
      </c>
      <c r="O129" s="2787" t="s">
        <v>10745</v>
      </c>
      <c r="P129" s="2787" t="s">
        <v>10746</v>
      </c>
      <c r="Q129" s="3318">
        <v>10</v>
      </c>
    </row>
    <row r="130" spans="1:17" ht="13.5" thickBot="1">
      <c r="A130">
        <v>130</v>
      </c>
      <c r="B130" s="3378" t="s">
        <v>10747</v>
      </c>
      <c r="C130" s="3394" t="s">
        <v>10748</v>
      </c>
      <c r="E130" s="3325" t="s">
        <v>10703</v>
      </c>
      <c r="F130" s="2786">
        <f>VLOOKUP(Constructos!C11,Tabla_Constructos,7,FALSE)</f>
        <v>6</v>
      </c>
      <c r="G130" s="2786">
        <f>VLOOKUP(Constructos!C11,Tabla_Constructos,7,FALSE)</f>
        <v>6</v>
      </c>
      <c r="H130" s="2786">
        <f>VLOOKUP(Constructos!C11,Tabla_Constructos,6,FALSE)</f>
        <v>6</v>
      </c>
      <c r="I130" s="2786">
        <v>0</v>
      </c>
      <c r="J130" s="3342">
        <v>0</v>
      </c>
      <c r="L130" s="3375">
        <f>VLOOKUP(CONCATENATE(Constructos!$G$12," ",Constructos!$K$12),$P$121:$Q$140,2,0)</f>
        <v>5</v>
      </c>
      <c r="M130" s="3342">
        <f>VLOOKUP(CONCATENATE(Constructos!$G$11," ",Constructos!$K$11),$O$121:$Q$140,3,0)</f>
        <v>5</v>
      </c>
      <c r="N130" s="3325" t="s">
        <v>10749</v>
      </c>
      <c r="O130" s="2787" t="s">
        <v>10750</v>
      </c>
      <c r="P130" s="2787" t="s">
        <v>10751</v>
      </c>
      <c r="Q130" s="3318">
        <v>15</v>
      </c>
    </row>
    <row r="131" spans="1:17" ht="13.5" thickBot="1">
      <c r="A131" s="701">
        <v>131</v>
      </c>
      <c r="E131" s="3325" t="s">
        <v>10752</v>
      </c>
      <c r="F131" s="2786">
        <f>IF(AND(F130&lt;12,SUM($I$56,$J$56*-1)=2),13,
IF(AND(F130&lt;12,SUM($I$56,$J$56*-1)=1),12,
IF(AND(F130&gt;=12,SUM($I$56,$J$56*-1)=2),F130+2,
IF(AND(F130&gt;=12,SUM($I$56,$J$56*-1)=1),F130+1,0
))))</f>
        <v>0</v>
      </c>
      <c r="G131" s="2786">
        <f>IF(AND(G130&lt;12,SUM($I$56,$J$56*-1)=2),14,
IF(AND(G130&lt;12,SUM($I$56,$J$56*-1)=1),12,
IF(AND(G130&gt;=12,SUM($I$56,$J$56*-1)=2),G130+4,
IF(AND(G130&gt;=12,SUM($I$56,$J$56*-1)=1),G130+2,0
))))</f>
        <v>0</v>
      </c>
      <c r="H131" s="2786">
        <f>IF(I55&gt;0,SUM(I55,J55*-1),0)</f>
        <v>0</v>
      </c>
      <c r="I131" s="2786">
        <f>IF(I83&gt;0,10,IF(I82&gt;0,8,0))</f>
        <v>0</v>
      </c>
      <c r="J131" s="3342">
        <f>IF(SUM(I77,J77*-1)&gt;=1,8,0)</f>
        <v>0</v>
      </c>
      <c r="L131" s="3359" t="s">
        <v>10753</v>
      </c>
      <c r="M131" s="3326" t="s">
        <v>10562</v>
      </c>
      <c r="N131" s="3325" t="s">
        <v>10754</v>
      </c>
      <c r="O131" s="2787" t="s">
        <v>10755</v>
      </c>
      <c r="P131" s="2787" t="s">
        <v>10756</v>
      </c>
      <c r="Q131" s="3318">
        <v>20</v>
      </c>
    </row>
    <row r="132" spans="1:17">
      <c r="A132">
        <v>132</v>
      </c>
      <c r="B132" s="8353" t="s">
        <v>10561</v>
      </c>
      <c r="C132" s="8354"/>
      <c r="E132" s="3325" t="s">
        <v>10446</v>
      </c>
      <c r="F132" s="2786">
        <f>IF(F131=0,F130,F131)</f>
        <v>6</v>
      </c>
      <c r="G132" s="2786">
        <f>IF(G131=0,G130,G131)</f>
        <v>6</v>
      </c>
      <c r="H132" s="2786">
        <f>SUM(H130:H131)</f>
        <v>6</v>
      </c>
      <c r="I132" s="2786">
        <f>I131</f>
        <v>0</v>
      </c>
      <c r="J132" s="3342">
        <f>J131</f>
        <v>0</v>
      </c>
      <c r="L132" s="3375">
        <f>(SUM($I$84,$J$84*-1)*20)</f>
        <v>0</v>
      </c>
      <c r="M132" s="3395">
        <f>VLOOKUP(Constructos!K25,'Tablas constructos'!E136:J144,6,0)</f>
        <v>20</v>
      </c>
      <c r="N132" s="3325" t="s">
        <v>10757</v>
      </c>
      <c r="O132" s="2787" t="s">
        <v>10758</v>
      </c>
      <c r="P132" s="2787" t="s">
        <v>10759</v>
      </c>
      <c r="Q132" s="3318">
        <v>20</v>
      </c>
    </row>
    <row r="133" spans="1:17" ht="13.5" thickBot="1">
      <c r="A133">
        <v>133</v>
      </c>
      <c r="B133" s="3353" t="s">
        <v>1225</v>
      </c>
      <c r="C133" s="3342">
        <f>SUM(Constructos!K11,VLOOKUP(Constructos!C11,Tabla_Constructos,13,0),VLOOKUP(Constructos!K25,'Tablas constructos'!E136:L144,8,0))</f>
        <v>3</v>
      </c>
      <c r="D133" s="3304"/>
      <c r="E133" s="3146" t="s">
        <v>10760</v>
      </c>
      <c r="F133" s="3147"/>
      <c r="G133" s="3147"/>
      <c r="H133" s="3147"/>
      <c r="I133" s="3147"/>
      <c r="J133" s="3149"/>
      <c r="K133" s="3396"/>
      <c r="L133" s="3397" t="s">
        <v>10761</v>
      </c>
      <c r="M133" s="3349">
        <f>IF($J$84&gt;0,QUOTIENT(SUM($M$132,$L$130,$M$130,$L$132),2),SUM($M$132,$L$130,$M$130,$L$132))</f>
        <v>30</v>
      </c>
      <c r="N133" s="3325" t="s">
        <v>10762</v>
      </c>
      <c r="O133" s="2787" t="s">
        <v>10763</v>
      </c>
      <c r="P133" s="2787" t="s">
        <v>10764</v>
      </c>
      <c r="Q133" s="3318">
        <v>25</v>
      </c>
    </row>
    <row r="134" spans="1:17" ht="13.5" thickBot="1">
      <c r="A134">
        <v>134</v>
      </c>
      <c r="B134" s="3353" t="s">
        <v>8163</v>
      </c>
      <c r="C134" s="3342">
        <f>IF(AND('Tablas constructos'!I89&gt;0,C133&lt;10),10+($I$57*2)-$I$100,C133+($I$57*2)-$I$100)</f>
        <v>3</v>
      </c>
      <c r="D134" s="3398"/>
      <c r="L134" s="215"/>
      <c r="N134" s="3325" t="s">
        <v>10765</v>
      </c>
      <c r="O134" s="2787" t="s">
        <v>10766</v>
      </c>
      <c r="P134" s="2787" t="s">
        <v>10767</v>
      </c>
      <c r="Q134" s="3318">
        <v>25</v>
      </c>
    </row>
    <row r="135" spans="1:17">
      <c r="A135">
        <v>135</v>
      </c>
      <c r="B135" s="3353" t="s">
        <v>10768</v>
      </c>
      <c r="C135" s="3342" t="str">
        <f>IF($I$92=4,11,IF($I$92=3,10,IF($I$92=2,9,IF($I$92=1,8,"-"))))</f>
        <v>-</v>
      </c>
      <c r="D135" s="3304"/>
      <c r="E135" s="8353" t="s">
        <v>10769</v>
      </c>
      <c r="F135" s="8355"/>
      <c r="G135" s="8355"/>
      <c r="H135" s="8355"/>
      <c r="I135" s="8355"/>
      <c r="J135" s="8355"/>
      <c r="K135" s="8354"/>
      <c r="L135" s="3399"/>
      <c r="N135" s="3325" t="s">
        <v>10770</v>
      </c>
      <c r="O135" s="2787" t="s">
        <v>10771</v>
      </c>
      <c r="P135" s="2787" t="s">
        <v>10772</v>
      </c>
      <c r="Q135" s="3318">
        <v>30</v>
      </c>
    </row>
    <row r="136" spans="1:17">
      <c r="A136">
        <v>136</v>
      </c>
      <c r="B136" s="3353" t="s">
        <v>10773</v>
      </c>
      <c r="C136" s="3342" t="str">
        <f>IF($I$91&gt;0,C137,"-")</f>
        <v>-</v>
      </c>
      <c r="D136" s="3304"/>
      <c r="E136" s="3325" t="s">
        <v>10562</v>
      </c>
      <c r="F136" s="2786" t="s">
        <v>10774</v>
      </c>
      <c r="G136" s="2786" t="s">
        <v>10775</v>
      </c>
      <c r="H136" s="2786" t="s">
        <v>10776</v>
      </c>
      <c r="I136" s="2786" t="s">
        <v>10777</v>
      </c>
      <c r="J136" s="2786" t="s">
        <v>10778</v>
      </c>
      <c r="K136" s="3342" t="s">
        <v>8155</v>
      </c>
      <c r="L136" s="3342" t="s">
        <v>10561</v>
      </c>
      <c r="N136" s="3325" t="s">
        <v>10779</v>
      </c>
      <c r="O136" s="2787" t="s">
        <v>10780</v>
      </c>
      <c r="P136" s="2787" t="s">
        <v>10781</v>
      </c>
      <c r="Q136" s="3318">
        <v>35</v>
      </c>
    </row>
    <row r="137" spans="1:17">
      <c r="A137">
        <v>137</v>
      </c>
      <c r="B137" s="3353" t="s">
        <v>10446</v>
      </c>
      <c r="C137" s="3342">
        <f>C134</f>
        <v>3</v>
      </c>
      <c r="D137" s="3304"/>
      <c r="E137" s="3400" t="s">
        <v>10782</v>
      </c>
      <c r="F137" s="2786">
        <v>-4</v>
      </c>
      <c r="G137" s="2786">
        <f>SUM($I$54*2,F137)</f>
        <v>-4</v>
      </c>
      <c r="H137" s="2786">
        <v>4</v>
      </c>
      <c r="I137" s="2786">
        <v>1</v>
      </c>
      <c r="J137" s="2786">
        <v>40</v>
      </c>
      <c r="K137" s="3342">
        <v>1</v>
      </c>
      <c r="L137" s="3342">
        <v>-4</v>
      </c>
      <c r="N137" s="3325" t="s">
        <v>10783</v>
      </c>
      <c r="O137" s="2787" t="s">
        <v>10784</v>
      </c>
      <c r="P137" s="2787" t="s">
        <v>10785</v>
      </c>
      <c r="Q137" s="3318">
        <v>35</v>
      </c>
    </row>
    <row r="138" spans="1:17" ht="13.5" thickBot="1">
      <c r="A138" s="701">
        <v>138</v>
      </c>
      <c r="B138" s="3378" t="s">
        <v>10786</v>
      </c>
      <c r="C138" s="3349"/>
      <c r="D138" s="3304"/>
      <c r="E138" s="3400" t="s">
        <v>10787</v>
      </c>
      <c r="F138" s="2786">
        <v>-2</v>
      </c>
      <c r="G138" s="2786">
        <f t="shared" ref="G138:G143" si="68">SUM($I$54*2,F138)</f>
        <v>-2</v>
      </c>
      <c r="H138" s="2786">
        <v>8</v>
      </c>
      <c r="I138" s="2786">
        <v>2</v>
      </c>
      <c r="J138" s="2786">
        <v>30</v>
      </c>
      <c r="K138" s="3342">
        <v>2</v>
      </c>
      <c r="L138" s="3342">
        <v>-2</v>
      </c>
      <c r="N138" s="3325" t="s">
        <v>10788</v>
      </c>
      <c r="O138" s="2787" t="s">
        <v>10789</v>
      </c>
      <c r="P138" s="2787" t="s">
        <v>10790</v>
      </c>
      <c r="Q138" s="3318">
        <v>40</v>
      </c>
    </row>
    <row r="139" spans="1:17" ht="13.5" thickBot="1">
      <c r="A139">
        <v>139</v>
      </c>
      <c r="D139" s="3304"/>
      <c r="E139" s="3400" t="s">
        <v>10428</v>
      </c>
      <c r="F139" s="2786">
        <v>0</v>
      </c>
      <c r="G139" s="2786">
        <f t="shared" si="68"/>
        <v>0</v>
      </c>
      <c r="H139" s="2786">
        <v>12</v>
      </c>
      <c r="I139" s="2786">
        <v>5</v>
      </c>
      <c r="J139" s="2786">
        <v>20</v>
      </c>
      <c r="K139" s="3342">
        <v>3</v>
      </c>
      <c r="L139" s="3342">
        <v>0</v>
      </c>
      <c r="N139" s="3325" t="s">
        <v>10791</v>
      </c>
      <c r="O139" s="2787" t="s">
        <v>10792</v>
      </c>
      <c r="P139" s="2787" t="s">
        <v>10793</v>
      </c>
      <c r="Q139" s="3318">
        <v>40</v>
      </c>
    </row>
    <row r="140" spans="1:17" ht="13.5" thickBot="1">
      <c r="A140">
        <v>140</v>
      </c>
      <c r="B140" s="8353" t="s">
        <v>10376</v>
      </c>
      <c r="C140" s="8354"/>
      <c r="D140" s="3304"/>
      <c r="E140" s="3400" t="s">
        <v>10794</v>
      </c>
      <c r="F140" s="2786">
        <v>4</v>
      </c>
      <c r="G140" s="2786">
        <f t="shared" si="68"/>
        <v>4</v>
      </c>
      <c r="H140" s="2786">
        <v>16</v>
      </c>
      <c r="I140" s="2786">
        <v>5</v>
      </c>
      <c r="J140" s="2786">
        <v>10</v>
      </c>
      <c r="K140" s="3342">
        <v>4</v>
      </c>
      <c r="L140" s="3342">
        <v>0</v>
      </c>
      <c r="N140" s="3146" t="s">
        <v>10795</v>
      </c>
      <c r="O140" s="3147" t="s">
        <v>10796</v>
      </c>
      <c r="P140" s="3147" t="s">
        <v>10797</v>
      </c>
      <c r="Q140" s="3149">
        <v>45</v>
      </c>
    </row>
    <row r="141" spans="1:17">
      <c r="A141">
        <v>141</v>
      </c>
      <c r="B141" s="3353" t="s">
        <v>2500</v>
      </c>
      <c r="C141" s="3318" t="str">
        <f>IF(SUM($I$67,$J$67*-1)=1,750,IF(AND($I$67=1,$J$67=1),500,IF(SUM($I$66,$J$66*-1)=1,500,IF(AND($I$66=1,$J$66=1),250,IF(SUM($I$65,$J$65*-1)=1,250,"-")))))</f>
        <v>-</v>
      </c>
      <c r="D141" s="3304"/>
      <c r="E141" s="3400" t="s">
        <v>10798</v>
      </c>
      <c r="F141" s="2786">
        <v>8</v>
      </c>
      <c r="G141" s="2786">
        <f t="shared" si="68"/>
        <v>8</v>
      </c>
      <c r="H141" s="2786">
        <v>20</v>
      </c>
      <c r="I141" s="2786">
        <v>10</v>
      </c>
      <c r="J141" s="2786">
        <v>0</v>
      </c>
      <c r="K141" s="3342">
        <v>6</v>
      </c>
      <c r="L141" s="3342">
        <v>1</v>
      </c>
    </row>
    <row r="142" spans="1:17">
      <c r="A142">
        <v>142</v>
      </c>
      <c r="B142" s="3353" t="s">
        <v>2660</v>
      </c>
      <c r="C142" s="3318" t="str">
        <f>IF(SUM($I$70,$J$70*-1)=1,75,IF(AND($I$70=1,$J$70=1),50,IF(SUM($I$69,$J$69*-1)=1,50,IF(AND($I$69=1,$J$69=1),25,IF(SUM($I$68,$J$68*-1)=1,25,"-")))))</f>
        <v>-</v>
      </c>
      <c r="D142" s="3304"/>
      <c r="E142" s="3400" t="s">
        <v>10799</v>
      </c>
      <c r="F142" s="2786">
        <v>12</v>
      </c>
      <c r="G142" s="2786">
        <f t="shared" si="68"/>
        <v>12</v>
      </c>
      <c r="H142" s="2786">
        <v>28</v>
      </c>
      <c r="I142" s="2786">
        <v>15.8</v>
      </c>
      <c r="J142" s="2786">
        <v>-10</v>
      </c>
      <c r="K142" s="3342">
        <v>8</v>
      </c>
      <c r="L142" s="3342">
        <v>2</v>
      </c>
    </row>
    <row r="143" spans="1:17" ht="13.5" thickBot="1">
      <c r="A143" s="3304">
        <v>143</v>
      </c>
      <c r="B143" s="3146" t="s">
        <v>10800</v>
      </c>
      <c r="C143" s="3349"/>
      <c r="D143" s="3383"/>
      <c r="E143" s="3400" t="s">
        <v>10801</v>
      </c>
      <c r="F143" s="2786">
        <v>16</v>
      </c>
      <c r="G143" s="2786">
        <f t="shared" si="68"/>
        <v>16</v>
      </c>
      <c r="H143" s="2786">
        <v>34</v>
      </c>
      <c r="I143" s="2786">
        <v>20</v>
      </c>
      <c r="J143" s="2786">
        <v>-20</v>
      </c>
      <c r="K143" s="3342">
        <v>10</v>
      </c>
      <c r="L143" s="3342">
        <v>3</v>
      </c>
    </row>
    <row r="144" spans="1:17" ht="13.5" thickBot="1">
      <c r="A144">
        <v>144</v>
      </c>
      <c r="B144" s="510"/>
      <c r="E144" s="3146" t="s">
        <v>10802</v>
      </c>
      <c r="F144" s="3147"/>
      <c r="G144" s="3147"/>
      <c r="H144" s="3147"/>
      <c r="I144" s="3147"/>
      <c r="J144" s="3148"/>
      <c r="K144" s="3349"/>
      <c r="L144" s="3401"/>
    </row>
    <row r="145" spans="1:13">
      <c r="A145" s="701">
        <v>145</v>
      </c>
      <c r="B145" t="s">
        <v>10386</v>
      </c>
      <c r="C145" s="215">
        <f>IF(I90&gt;0,120,0)+IF(I90&gt;1,40,0)+IF(I90&gt;2,40,0)</f>
        <v>0</v>
      </c>
      <c r="H145" s="3402"/>
      <c r="K145" s="510"/>
      <c r="L145" s="215"/>
    </row>
    <row r="146" spans="1:13">
      <c r="A146">
        <v>146</v>
      </c>
      <c r="K146" s="510"/>
      <c r="L146" s="215"/>
    </row>
    <row r="147" spans="1:13">
      <c r="A147">
        <v>147</v>
      </c>
      <c r="K147" s="510"/>
      <c r="L147" s="215"/>
    </row>
    <row r="148" spans="1:13">
      <c r="A148">
        <v>148</v>
      </c>
      <c r="K148" s="510"/>
      <c r="L148" s="215"/>
    </row>
    <row r="149" spans="1:13">
      <c r="A149">
        <v>149</v>
      </c>
      <c r="K149" s="510"/>
      <c r="L149" s="215"/>
    </row>
    <row r="150" spans="1:13">
      <c r="A150">
        <v>150</v>
      </c>
      <c r="I150" s="510"/>
      <c r="K150" s="510"/>
      <c r="L150" s="215"/>
      <c r="M150" s="510"/>
    </row>
    <row r="151" spans="1:13">
      <c r="A151">
        <v>151</v>
      </c>
      <c r="I151" s="510"/>
      <c r="J151" s="510"/>
      <c r="K151" s="510"/>
      <c r="L151" s="215"/>
      <c r="M151" s="510"/>
    </row>
    <row r="152" spans="1:13">
      <c r="A152" s="701">
        <v>152</v>
      </c>
      <c r="K152" s="510"/>
      <c r="L152" s="215"/>
      <c r="M152" s="510"/>
    </row>
    <row r="153" spans="1:13">
      <c r="A153">
        <v>153</v>
      </c>
      <c r="K153" s="510"/>
      <c r="L153" s="215"/>
    </row>
    <row r="154" spans="1:13">
      <c r="A154">
        <v>154</v>
      </c>
      <c r="B154" s="510"/>
    </row>
    <row r="155" spans="1:13">
      <c r="A155">
        <v>155</v>
      </c>
      <c r="B155" s="510"/>
    </row>
    <row r="156" spans="1:13">
      <c r="A156">
        <v>156</v>
      </c>
      <c r="B156" s="510"/>
    </row>
    <row r="157" spans="1:13">
      <c r="A157">
        <v>157</v>
      </c>
      <c r="B157" s="510"/>
    </row>
    <row r="158" spans="1:13">
      <c r="A158">
        <v>158</v>
      </c>
      <c r="B158" s="510"/>
    </row>
    <row r="159" spans="1:13">
      <c r="A159" s="701">
        <v>159</v>
      </c>
      <c r="B159" s="510"/>
    </row>
    <row r="160" spans="1:13">
      <c r="A160">
        <v>160</v>
      </c>
      <c r="B160" s="510"/>
    </row>
    <row r="161" spans="1:2">
      <c r="A161">
        <v>161</v>
      </c>
      <c r="B161" s="510"/>
    </row>
    <row r="162" spans="1:2">
      <c r="A162">
        <v>162</v>
      </c>
      <c r="B162" s="510"/>
    </row>
    <row r="163" spans="1:2">
      <c r="A163">
        <v>163</v>
      </c>
      <c r="B163" s="510"/>
    </row>
    <row r="164" spans="1:2">
      <c r="A164">
        <v>164</v>
      </c>
      <c r="B164" s="510"/>
    </row>
    <row r="165" spans="1:2">
      <c r="A165">
        <v>165</v>
      </c>
      <c r="B165" s="510"/>
    </row>
    <row r="166" spans="1:2">
      <c r="A166" s="701">
        <v>166</v>
      </c>
      <c r="B166" s="510"/>
    </row>
    <row r="167" spans="1:2">
      <c r="A167">
        <v>167</v>
      </c>
      <c r="B167" s="510"/>
    </row>
    <row r="168" spans="1:2">
      <c r="A168">
        <v>168</v>
      </c>
      <c r="B168" s="510"/>
    </row>
    <row r="169" spans="1:2">
      <c r="A169">
        <v>169</v>
      </c>
      <c r="B169" s="510"/>
    </row>
    <row r="170" spans="1:2">
      <c r="A170">
        <v>170</v>
      </c>
      <c r="B170" s="510"/>
    </row>
    <row r="171" spans="1:2">
      <c r="A171">
        <v>171</v>
      </c>
      <c r="B171" s="510"/>
    </row>
    <row r="172" spans="1:2">
      <c r="A172">
        <v>172</v>
      </c>
      <c r="B172" s="510"/>
    </row>
    <row r="173" spans="1:2">
      <c r="A173" s="701">
        <v>173</v>
      </c>
      <c r="B173" s="510"/>
    </row>
    <row r="174" spans="1:2">
      <c r="A174">
        <v>174</v>
      </c>
      <c r="B174" s="510"/>
    </row>
    <row r="175" spans="1:2">
      <c r="A175">
        <v>175</v>
      </c>
      <c r="B175" s="510"/>
    </row>
    <row r="176" spans="1:2">
      <c r="A176">
        <v>176</v>
      </c>
      <c r="B176" s="510"/>
    </row>
    <row r="177" spans="1:2">
      <c r="A177">
        <v>177</v>
      </c>
      <c r="B177" s="510"/>
    </row>
    <row r="178" spans="1:2">
      <c r="A178">
        <v>178</v>
      </c>
      <c r="B178" s="510"/>
    </row>
    <row r="179" spans="1:2">
      <c r="A179">
        <v>179</v>
      </c>
      <c r="B179" s="510"/>
    </row>
    <row r="180" spans="1:2">
      <c r="A180" s="701">
        <v>180</v>
      </c>
      <c r="B180" s="510"/>
    </row>
    <row r="181" spans="1:2">
      <c r="A181">
        <v>181</v>
      </c>
      <c r="B181" s="510"/>
    </row>
    <row r="182" spans="1:2">
      <c r="A182">
        <v>182</v>
      </c>
      <c r="B182" s="510"/>
    </row>
    <row r="183" spans="1:2">
      <c r="A183">
        <v>183</v>
      </c>
      <c r="B183" s="510"/>
    </row>
    <row r="184" spans="1:2">
      <c r="A184">
        <v>184</v>
      </c>
      <c r="B184" s="510"/>
    </row>
    <row r="185" spans="1:2">
      <c r="A185">
        <v>185</v>
      </c>
      <c r="B185" s="510"/>
    </row>
    <row r="186" spans="1:2">
      <c r="A186">
        <v>186</v>
      </c>
      <c r="B186" s="510"/>
    </row>
    <row r="187" spans="1:2">
      <c r="A187" s="701">
        <v>187</v>
      </c>
      <c r="B187" s="510"/>
    </row>
    <row r="188" spans="1:2">
      <c r="A188">
        <v>188</v>
      </c>
      <c r="B188" s="510"/>
    </row>
    <row r="189" spans="1:2">
      <c r="A189">
        <v>189</v>
      </c>
      <c r="B189" s="510"/>
    </row>
    <row r="190" spans="1:2">
      <c r="A190">
        <v>190</v>
      </c>
      <c r="B190" s="510"/>
    </row>
    <row r="191" spans="1:2">
      <c r="A191">
        <v>191</v>
      </c>
      <c r="B191" s="510"/>
    </row>
    <row r="192" spans="1:2">
      <c r="A192">
        <v>192</v>
      </c>
      <c r="B192" s="510"/>
    </row>
    <row r="193" spans="1:2">
      <c r="A193">
        <v>193</v>
      </c>
      <c r="B193" s="510"/>
    </row>
    <row r="194" spans="1:2">
      <c r="A194" s="701">
        <v>194</v>
      </c>
      <c r="B194" s="510"/>
    </row>
    <row r="195" spans="1:2">
      <c r="A195">
        <v>195</v>
      </c>
      <c r="B195" s="510"/>
    </row>
    <row r="196" spans="1:2">
      <c r="A196">
        <v>196</v>
      </c>
      <c r="B196" s="510"/>
    </row>
    <row r="197" spans="1:2">
      <c r="A197">
        <v>197</v>
      </c>
      <c r="B197" s="510"/>
    </row>
    <row r="198" spans="1:2">
      <c r="A198">
        <v>198</v>
      </c>
      <c r="B198" s="510"/>
    </row>
    <row r="199" spans="1:2">
      <c r="A199">
        <v>199</v>
      </c>
      <c r="B199" s="510"/>
    </row>
    <row r="200" spans="1:2">
      <c r="A200">
        <v>200</v>
      </c>
      <c r="B200" s="510"/>
    </row>
    <row r="201" spans="1:2">
      <c r="A201" s="701">
        <v>201</v>
      </c>
      <c r="B201" s="510"/>
    </row>
    <row r="202" spans="1:2">
      <c r="A202">
        <v>202</v>
      </c>
      <c r="B202" s="510"/>
    </row>
    <row r="203" spans="1:2">
      <c r="A203">
        <v>203</v>
      </c>
      <c r="B203" s="510"/>
    </row>
    <row r="204" spans="1:2">
      <c r="A204">
        <v>204</v>
      </c>
      <c r="B204" s="510"/>
    </row>
    <row r="205" spans="1:2">
      <c r="A205">
        <v>205</v>
      </c>
      <c r="B205" s="510"/>
    </row>
    <row r="206" spans="1:2">
      <c r="A206">
        <v>206</v>
      </c>
      <c r="B206" s="510"/>
    </row>
    <row r="207" spans="1:2">
      <c r="A207">
        <v>207</v>
      </c>
      <c r="B207" s="510"/>
    </row>
    <row r="208" spans="1:2">
      <c r="A208" s="701">
        <v>208</v>
      </c>
      <c r="B208" s="510"/>
    </row>
    <row r="209" spans="1:2">
      <c r="A209">
        <v>209</v>
      </c>
      <c r="B209" s="510"/>
    </row>
    <row r="210" spans="1:2">
      <c r="A210">
        <v>210</v>
      </c>
      <c r="B210" s="510"/>
    </row>
    <row r="211" spans="1:2">
      <c r="A211">
        <v>211</v>
      </c>
      <c r="B211" s="510"/>
    </row>
    <row r="212" spans="1:2">
      <c r="A212">
        <v>212</v>
      </c>
      <c r="B212" s="510"/>
    </row>
    <row r="213" spans="1:2">
      <c r="A213">
        <v>213</v>
      </c>
    </row>
    <row r="214" spans="1:2">
      <c r="A214">
        <v>214</v>
      </c>
    </row>
    <row r="215" spans="1:2">
      <c r="A215" s="701">
        <v>215</v>
      </c>
    </row>
    <row r="216" spans="1:2">
      <c r="A216">
        <v>216</v>
      </c>
    </row>
    <row r="217" spans="1:2">
      <c r="A217">
        <v>217</v>
      </c>
    </row>
    <row r="218" spans="1:2">
      <c r="A218">
        <v>218</v>
      </c>
    </row>
    <row r="219" spans="1:2">
      <c r="A219">
        <v>219</v>
      </c>
    </row>
    <row r="220" spans="1:2">
      <c r="A220">
        <v>220</v>
      </c>
    </row>
    <row r="221" spans="1:2">
      <c r="A221">
        <v>221</v>
      </c>
    </row>
    <row r="222" spans="1:2">
      <c r="A222" s="701">
        <v>222</v>
      </c>
    </row>
    <row r="223" spans="1:2">
      <c r="A223">
        <v>223</v>
      </c>
    </row>
    <row r="224" spans="1:2">
      <c r="A224">
        <v>224</v>
      </c>
    </row>
    <row r="225" spans="1:1">
      <c r="A225">
        <v>225</v>
      </c>
    </row>
    <row r="226" spans="1:1">
      <c r="A226">
        <v>226</v>
      </c>
    </row>
    <row r="227" spans="1:1">
      <c r="A227">
        <v>227</v>
      </c>
    </row>
    <row r="228" spans="1:1">
      <c r="A228">
        <v>228</v>
      </c>
    </row>
    <row r="229" spans="1:1">
      <c r="A229" s="701">
        <v>229</v>
      </c>
    </row>
    <row r="230" spans="1:1">
      <c r="A230">
        <v>230</v>
      </c>
    </row>
    <row r="231" spans="1:1">
      <c r="A231">
        <v>231</v>
      </c>
    </row>
    <row r="232" spans="1:1">
      <c r="A232">
        <v>232</v>
      </c>
    </row>
    <row r="233" spans="1:1">
      <c r="A233">
        <v>233</v>
      </c>
    </row>
    <row r="234" spans="1:1">
      <c r="A234">
        <v>234</v>
      </c>
    </row>
    <row r="235" spans="1:1">
      <c r="A235">
        <v>235</v>
      </c>
    </row>
    <row r="236" spans="1:1">
      <c r="A236" s="701">
        <v>236</v>
      </c>
    </row>
    <row r="237" spans="1:1">
      <c r="A237">
        <v>237</v>
      </c>
    </row>
    <row r="238" spans="1:1">
      <c r="A238">
        <v>238</v>
      </c>
    </row>
    <row r="239" spans="1:1">
      <c r="A239">
        <v>239</v>
      </c>
    </row>
    <row r="240" spans="1:1">
      <c r="A240">
        <v>240</v>
      </c>
    </row>
    <row r="241" spans="1:1">
      <c r="A241">
        <v>241</v>
      </c>
    </row>
    <row r="242" spans="1:1">
      <c r="A242">
        <v>242</v>
      </c>
    </row>
    <row r="243" spans="1:1">
      <c r="A243" s="701">
        <v>243</v>
      </c>
    </row>
    <row r="244" spans="1:1">
      <c r="A244">
        <v>244</v>
      </c>
    </row>
    <row r="245" spans="1:1">
      <c r="A245">
        <v>245</v>
      </c>
    </row>
    <row r="246" spans="1:1">
      <c r="A246">
        <v>246</v>
      </c>
    </row>
    <row r="247" spans="1:1">
      <c r="A247">
        <v>247</v>
      </c>
    </row>
    <row r="248" spans="1:1">
      <c r="A248">
        <v>248</v>
      </c>
    </row>
    <row r="249" spans="1:1">
      <c r="A249">
        <v>249</v>
      </c>
    </row>
    <row r="250" spans="1:1">
      <c r="A250" s="701">
        <v>250</v>
      </c>
    </row>
    <row r="251" spans="1:1">
      <c r="A251">
        <v>251</v>
      </c>
    </row>
    <row r="252" spans="1:1">
      <c r="A252">
        <v>252</v>
      </c>
    </row>
    <row r="253" spans="1:1">
      <c r="A253">
        <v>253</v>
      </c>
    </row>
    <row r="254" spans="1:1">
      <c r="A254">
        <v>254</v>
      </c>
    </row>
    <row r="255" spans="1:1">
      <c r="A255">
        <v>255</v>
      </c>
    </row>
    <row r="256" spans="1:1">
      <c r="A256">
        <v>256</v>
      </c>
    </row>
    <row r="257" spans="1:1">
      <c r="A257" s="701">
        <v>257</v>
      </c>
    </row>
    <row r="258" spans="1:1">
      <c r="A258">
        <v>258</v>
      </c>
    </row>
    <row r="259" spans="1:1">
      <c r="A259">
        <v>259</v>
      </c>
    </row>
    <row r="260" spans="1:1">
      <c r="A260">
        <v>260</v>
      </c>
    </row>
    <row r="261" spans="1:1">
      <c r="A261">
        <v>261</v>
      </c>
    </row>
    <row r="262" spans="1:1">
      <c r="A262">
        <v>262</v>
      </c>
    </row>
    <row r="263" spans="1:1">
      <c r="A263">
        <v>263</v>
      </c>
    </row>
    <row r="264" spans="1:1">
      <c r="A264" s="701">
        <v>264</v>
      </c>
    </row>
    <row r="265" spans="1:1">
      <c r="A265">
        <v>265</v>
      </c>
    </row>
    <row r="266" spans="1:1">
      <c r="A266">
        <v>266</v>
      </c>
    </row>
    <row r="267" spans="1:1">
      <c r="A267">
        <v>267</v>
      </c>
    </row>
    <row r="268" spans="1:1">
      <c r="A268">
        <v>268</v>
      </c>
    </row>
    <row r="269" spans="1:1">
      <c r="A269">
        <v>269</v>
      </c>
    </row>
    <row r="270" spans="1:1">
      <c r="A270">
        <v>270</v>
      </c>
    </row>
    <row r="271" spans="1:1">
      <c r="A271" s="701">
        <v>271</v>
      </c>
    </row>
    <row r="272" spans="1:1">
      <c r="A272">
        <v>272</v>
      </c>
    </row>
    <row r="273" spans="1:1">
      <c r="A273">
        <v>273</v>
      </c>
    </row>
    <row r="274" spans="1:1">
      <c r="A274">
        <v>274</v>
      </c>
    </row>
    <row r="275" spans="1:1">
      <c r="A275">
        <v>275</v>
      </c>
    </row>
    <row r="276" spans="1:1">
      <c r="A276">
        <v>276</v>
      </c>
    </row>
    <row r="277" spans="1:1">
      <c r="A277">
        <v>277</v>
      </c>
    </row>
    <row r="278" spans="1:1">
      <c r="A278" s="701">
        <v>278</v>
      </c>
    </row>
    <row r="279" spans="1:1">
      <c r="A279">
        <v>279</v>
      </c>
    </row>
    <row r="280" spans="1:1">
      <c r="A280">
        <v>280</v>
      </c>
    </row>
    <row r="281" spans="1:1">
      <c r="A281">
        <v>281</v>
      </c>
    </row>
    <row r="282" spans="1:1">
      <c r="A282">
        <v>282</v>
      </c>
    </row>
    <row r="283" spans="1:1">
      <c r="A283">
        <v>283</v>
      </c>
    </row>
    <row r="284" spans="1:1">
      <c r="A284">
        <v>284</v>
      </c>
    </row>
    <row r="285" spans="1:1">
      <c r="A285" s="701">
        <v>285</v>
      </c>
    </row>
    <row r="286" spans="1:1">
      <c r="A286">
        <v>286</v>
      </c>
    </row>
    <row r="287" spans="1:1">
      <c r="A287">
        <v>287</v>
      </c>
    </row>
    <row r="288" spans="1:1">
      <c r="A288">
        <v>288</v>
      </c>
    </row>
    <row r="289" spans="1:1">
      <c r="A289">
        <v>289</v>
      </c>
    </row>
    <row r="290" spans="1:1">
      <c r="A290">
        <v>290</v>
      </c>
    </row>
    <row r="291" spans="1:1">
      <c r="A291">
        <v>291</v>
      </c>
    </row>
    <row r="292" spans="1:1">
      <c r="A292" s="701">
        <v>292</v>
      </c>
    </row>
    <row r="293" spans="1:1">
      <c r="A293">
        <v>293</v>
      </c>
    </row>
    <row r="294" spans="1:1">
      <c r="A294">
        <v>294</v>
      </c>
    </row>
    <row r="295" spans="1:1">
      <c r="A295">
        <v>295</v>
      </c>
    </row>
    <row r="296" spans="1:1">
      <c r="A296">
        <v>296</v>
      </c>
    </row>
    <row r="297" spans="1:1">
      <c r="A297">
        <v>297</v>
      </c>
    </row>
    <row r="298" spans="1:1">
      <c r="A298">
        <v>298</v>
      </c>
    </row>
    <row r="299" spans="1:1">
      <c r="A299" s="701">
        <v>299</v>
      </c>
    </row>
    <row r="300" spans="1:1">
      <c r="A300">
        <v>300</v>
      </c>
    </row>
    <row r="301" spans="1:1">
      <c r="A301">
        <v>301</v>
      </c>
    </row>
    <row r="302" spans="1:1">
      <c r="A302">
        <v>302</v>
      </c>
    </row>
    <row r="303" spans="1:1">
      <c r="A303">
        <v>303</v>
      </c>
    </row>
    <row r="304" spans="1:1">
      <c r="A304">
        <v>304</v>
      </c>
    </row>
    <row r="305" spans="1:1">
      <c r="A305">
        <v>305</v>
      </c>
    </row>
    <row r="306" spans="1:1">
      <c r="A306" s="701">
        <v>306</v>
      </c>
    </row>
    <row r="307" spans="1:1">
      <c r="A307">
        <v>307</v>
      </c>
    </row>
    <row r="308" spans="1:1">
      <c r="A308">
        <v>308</v>
      </c>
    </row>
    <row r="309" spans="1:1">
      <c r="A309">
        <v>309</v>
      </c>
    </row>
    <row r="310" spans="1:1">
      <c r="A310">
        <v>310</v>
      </c>
    </row>
    <row r="311" spans="1:1">
      <c r="A311">
        <v>311</v>
      </c>
    </row>
    <row r="312" spans="1:1">
      <c r="A312">
        <v>312</v>
      </c>
    </row>
    <row r="313" spans="1:1">
      <c r="A313" s="701">
        <v>313</v>
      </c>
    </row>
    <row r="314" spans="1:1">
      <c r="A314">
        <v>314</v>
      </c>
    </row>
    <row r="315" spans="1:1">
      <c r="A315">
        <v>315</v>
      </c>
    </row>
    <row r="316" spans="1:1">
      <c r="A316">
        <v>316</v>
      </c>
    </row>
    <row r="317" spans="1:1">
      <c r="A317">
        <v>317</v>
      </c>
    </row>
    <row r="318" spans="1:1">
      <c r="A318">
        <v>318</v>
      </c>
    </row>
    <row r="319" spans="1:1">
      <c r="A319">
        <v>319</v>
      </c>
    </row>
    <row r="320" spans="1:1">
      <c r="A320" s="701">
        <v>320</v>
      </c>
    </row>
    <row r="321" spans="1:1">
      <c r="A321">
        <v>321</v>
      </c>
    </row>
    <row r="322" spans="1:1">
      <c r="A322">
        <v>322</v>
      </c>
    </row>
    <row r="323" spans="1:1">
      <c r="A323">
        <v>323</v>
      </c>
    </row>
  </sheetData>
  <mergeCells count="31">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B38" sqref="B38"/>
    </sheetView>
  </sheetViews>
  <sheetFormatPr baseColWidth="10" defaultColWidth="5.7109375" defaultRowHeight="12.2" customHeight="1"/>
  <cols>
    <col min="1" max="1" width="3" style="313" customWidth="1"/>
    <col min="2" max="5" width="5.7109375" style="313"/>
    <col min="6" max="6" width="6.5703125" style="313" customWidth="1"/>
    <col min="7" max="7" width="6.42578125" style="313" customWidth="1"/>
    <col min="8" max="8" width="5.7109375" style="313"/>
    <col min="9" max="9" width="7.140625" style="313" customWidth="1"/>
    <col min="10" max="11" width="5.7109375" style="313"/>
    <col min="12" max="12" width="5.7109375" style="313" customWidth="1"/>
    <col min="13" max="14" width="7.140625" style="313" customWidth="1"/>
    <col min="15" max="15" width="5.7109375" style="313" customWidth="1"/>
    <col min="16" max="18" width="5.7109375" style="313"/>
    <col min="19" max="20" width="3" style="313" customWidth="1"/>
    <col min="21" max="24" width="5.7109375" style="313"/>
    <col min="25" max="25" width="6.5703125" style="313" customWidth="1"/>
    <col min="26" max="26" width="6.42578125" style="313" customWidth="1"/>
    <col min="27" max="27" width="5.7109375" style="313"/>
    <col min="28" max="28" width="7.140625" style="313" customWidth="1"/>
    <col min="29" max="31" width="5.7109375" style="313"/>
    <col min="32" max="33" width="7.140625" style="313" customWidth="1"/>
    <col min="34" max="34" width="5.7109375" style="313" customWidth="1"/>
    <col min="35" max="37" width="5.7109375" style="313"/>
    <col min="38" max="39" width="3" style="313" customWidth="1"/>
    <col min="40" max="43" width="5.7109375" style="313"/>
    <col min="44" max="44" width="6.5703125" style="313" customWidth="1"/>
    <col min="45" max="45" width="6.42578125" style="313" customWidth="1"/>
    <col min="46" max="46" width="5.7109375" style="313"/>
    <col min="47" max="47" width="7.140625" style="313" customWidth="1"/>
    <col min="48" max="50" width="5.7109375" style="313"/>
    <col min="51" max="52" width="7.140625" style="313" customWidth="1"/>
    <col min="53" max="53" width="5.7109375" style="313" customWidth="1"/>
    <col min="54" max="56" width="5.7109375" style="313"/>
    <col min="57" max="58" width="3" style="313" customWidth="1"/>
    <col min="59" max="62" width="5.7109375" style="313"/>
    <col min="63" max="63" width="6.5703125" style="313" customWidth="1"/>
    <col min="64" max="64" width="6.42578125" style="313" customWidth="1"/>
    <col min="65" max="65" width="5.7109375" style="313"/>
    <col min="66" max="66" width="7.140625" style="313" customWidth="1"/>
    <col min="67" max="69" width="5.7109375" style="313"/>
    <col min="70" max="71" width="7.140625" style="313" customWidth="1"/>
    <col min="72" max="72" width="5.7109375" style="313" customWidth="1"/>
    <col min="73" max="75" width="5.7109375" style="313"/>
    <col min="76" max="76" width="3" style="313" customWidth="1"/>
    <col min="77" max="16384" width="5.7109375" style="313"/>
  </cols>
  <sheetData>
    <row r="1" spans="1:76" ht="12.2" customHeight="1" thickBot="1">
      <c r="A1" s="360"/>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0"/>
      <c r="AC1" s="360"/>
      <c r="AD1" s="360"/>
      <c r="AE1" s="360"/>
      <c r="AF1" s="360"/>
      <c r="AG1" s="360"/>
      <c r="AH1" s="360"/>
      <c r="AI1" s="360"/>
      <c r="AJ1" s="360"/>
      <c r="AK1" s="360"/>
      <c r="AL1" s="360"/>
      <c r="AM1" s="360"/>
      <c r="AN1" s="360"/>
      <c r="AO1" s="360"/>
      <c r="AP1" s="360"/>
      <c r="AQ1" s="360"/>
      <c r="AR1" s="360"/>
      <c r="AS1" s="360"/>
      <c r="AT1" s="360"/>
      <c r="AU1" s="360"/>
      <c r="AV1" s="360"/>
      <c r="AW1" s="360"/>
      <c r="AX1" s="360"/>
      <c r="AY1" s="360"/>
      <c r="AZ1" s="360"/>
      <c r="BA1" s="360"/>
      <c r="BB1" s="360"/>
      <c r="BC1" s="360"/>
      <c r="BD1" s="360"/>
      <c r="BE1" s="360"/>
      <c r="BF1" s="360"/>
      <c r="BG1" s="360"/>
      <c r="BH1" s="360"/>
      <c r="BI1" s="360"/>
      <c r="BJ1" s="360"/>
      <c r="BK1" s="360"/>
      <c r="BL1" s="360"/>
      <c r="BM1" s="360"/>
      <c r="BN1" s="360"/>
      <c r="BO1" s="360"/>
      <c r="BP1" s="360"/>
      <c r="BQ1" s="360"/>
      <c r="BR1" s="360"/>
      <c r="BS1" s="360"/>
      <c r="BT1" s="360"/>
      <c r="BU1" s="360"/>
      <c r="BV1" s="360"/>
      <c r="BW1" s="360"/>
      <c r="BX1" s="360"/>
    </row>
    <row r="2" spans="1:76" ht="17.25" customHeight="1" thickBot="1">
      <c r="A2" s="360"/>
      <c r="B2" s="361"/>
      <c r="C2" s="362"/>
      <c r="D2" s="362"/>
      <c r="E2" s="362"/>
      <c r="F2" s="362"/>
      <c r="G2" s="362"/>
      <c r="H2" s="362"/>
      <c r="I2" s="362"/>
      <c r="J2" s="362"/>
      <c r="K2" s="362"/>
      <c r="L2" s="362"/>
      <c r="M2" s="362"/>
      <c r="N2" s="362"/>
      <c r="O2" s="362"/>
      <c r="P2" s="362"/>
      <c r="Q2" s="362"/>
      <c r="R2" s="363"/>
      <c r="S2" s="360"/>
      <c r="T2" s="360"/>
      <c r="U2" s="361"/>
      <c r="V2" s="362"/>
      <c r="W2" s="362"/>
      <c r="X2" s="362"/>
      <c r="Y2" s="362"/>
      <c r="Z2" s="362"/>
      <c r="AA2" s="362"/>
      <c r="AB2" s="362"/>
      <c r="AC2" s="362"/>
      <c r="AD2" s="362"/>
      <c r="AE2" s="362"/>
      <c r="AF2" s="362"/>
      <c r="AG2" s="362"/>
      <c r="AH2" s="362"/>
      <c r="AI2" s="362"/>
      <c r="AJ2" s="362"/>
      <c r="AK2" s="363"/>
      <c r="AL2" s="360"/>
      <c r="AM2" s="360"/>
      <c r="AN2" s="361"/>
      <c r="AO2" s="362"/>
      <c r="AP2" s="362"/>
      <c r="AQ2" s="362"/>
      <c r="AR2" s="362"/>
      <c r="AS2" s="362"/>
      <c r="AT2" s="362"/>
      <c r="AU2" s="362"/>
      <c r="AV2" s="362"/>
      <c r="AW2" s="362"/>
      <c r="AX2" s="362"/>
      <c r="AY2" s="362"/>
      <c r="AZ2" s="362"/>
      <c r="BA2" s="362"/>
      <c r="BB2" s="362"/>
      <c r="BC2" s="362"/>
      <c r="BD2" s="363"/>
      <c r="BE2" s="360"/>
      <c r="BF2" s="360"/>
      <c r="BG2" s="361"/>
      <c r="BH2" s="362"/>
      <c r="BI2" s="362"/>
      <c r="BJ2" s="362"/>
      <c r="BK2" s="362"/>
      <c r="BL2" s="362"/>
      <c r="BM2" s="362"/>
      <c r="BN2" s="362"/>
      <c r="BO2" s="362"/>
      <c r="BP2" s="362"/>
      <c r="BQ2" s="362"/>
      <c r="BR2" s="362"/>
      <c r="BS2" s="362"/>
      <c r="BT2" s="362"/>
      <c r="BU2" s="362"/>
      <c r="BV2" s="362"/>
      <c r="BW2" s="363"/>
      <c r="BX2" s="360"/>
    </row>
    <row r="3" spans="1:76" ht="12.2" customHeight="1">
      <c r="A3" s="360"/>
      <c r="B3" s="262"/>
      <c r="C3" s="8380"/>
      <c r="D3" s="8381"/>
      <c r="E3" s="8381"/>
      <c r="F3" s="8381"/>
      <c r="G3" s="8381"/>
      <c r="H3" s="8381"/>
      <c r="I3" s="364"/>
      <c r="J3" s="364"/>
      <c r="K3" s="364"/>
      <c r="L3" s="364"/>
      <c r="M3" s="364"/>
      <c r="N3" s="364"/>
      <c r="O3" s="364"/>
      <c r="P3" s="364"/>
      <c r="Q3" s="365"/>
      <c r="R3" s="366"/>
      <c r="S3" s="360"/>
      <c r="T3" s="360"/>
      <c r="U3" s="262"/>
      <c r="V3" s="8380"/>
      <c r="W3" s="8381"/>
      <c r="X3" s="8381"/>
      <c r="Y3" s="8381"/>
      <c r="Z3" s="8381"/>
      <c r="AA3" s="8381"/>
      <c r="AB3" s="364"/>
      <c r="AC3" s="364"/>
      <c r="AD3" s="364"/>
      <c r="AE3" s="364"/>
      <c r="AF3" s="364"/>
      <c r="AG3" s="364"/>
      <c r="AH3" s="364"/>
      <c r="AI3" s="364"/>
      <c r="AJ3" s="365"/>
      <c r="AK3" s="366"/>
      <c r="AL3" s="360"/>
      <c r="AM3" s="360"/>
      <c r="AN3" s="262"/>
      <c r="AO3" s="8380"/>
      <c r="AP3" s="8381"/>
      <c r="AQ3" s="8381"/>
      <c r="AR3" s="8381"/>
      <c r="AS3" s="8381"/>
      <c r="AT3" s="8381"/>
      <c r="AU3" s="364"/>
      <c r="AV3" s="364"/>
      <c r="AW3" s="364"/>
      <c r="AX3" s="364"/>
      <c r="AY3" s="364"/>
      <c r="AZ3" s="364"/>
      <c r="BA3" s="364"/>
      <c r="BB3" s="364"/>
      <c r="BC3" s="365"/>
      <c r="BD3" s="366"/>
      <c r="BE3" s="360"/>
      <c r="BF3" s="360"/>
      <c r="BG3" s="262"/>
      <c r="BH3" s="8380"/>
      <c r="BI3" s="8381"/>
      <c r="BJ3" s="8381"/>
      <c r="BK3" s="8381"/>
      <c r="BL3" s="8381"/>
      <c r="BM3" s="8381"/>
      <c r="BN3" s="364"/>
      <c r="BO3" s="364"/>
      <c r="BP3" s="364"/>
      <c r="BQ3" s="364"/>
      <c r="BR3" s="364"/>
      <c r="BS3" s="364"/>
      <c r="BT3" s="364"/>
      <c r="BU3" s="364"/>
      <c r="BV3" s="365"/>
      <c r="BW3" s="366"/>
      <c r="BX3" s="360"/>
    </row>
    <row r="4" spans="1:76" ht="12.2" customHeight="1">
      <c r="A4" s="360"/>
      <c r="B4" s="262"/>
      <c r="C4" s="8382"/>
      <c r="D4" s="8383"/>
      <c r="E4" s="8383"/>
      <c r="F4" s="8383"/>
      <c r="G4" s="8383"/>
      <c r="H4" s="8383"/>
      <c r="I4" s="311"/>
      <c r="J4" s="5717" t="s">
        <v>1184</v>
      </c>
      <c r="K4" s="5718"/>
      <c r="L4" s="4373" t="str">
        <f>IF(OR(General!$F$22="",General!$F$22=0),"",General!$F$22)</f>
        <v/>
      </c>
      <c r="M4" s="4373"/>
      <c r="N4" s="4373"/>
      <c r="O4" s="4373"/>
      <c r="P4" s="4373"/>
      <c r="Q4" s="331"/>
      <c r="R4" s="366"/>
      <c r="S4" s="360"/>
      <c r="T4" s="360"/>
      <c r="U4" s="262"/>
      <c r="V4" s="8382"/>
      <c r="W4" s="8383"/>
      <c r="X4" s="8383"/>
      <c r="Y4" s="8383"/>
      <c r="Z4" s="8383"/>
      <c r="AA4" s="8383"/>
      <c r="AB4" s="311"/>
      <c r="AC4" s="5717" t="s">
        <v>1184</v>
      </c>
      <c r="AD4" s="5718"/>
      <c r="AE4" s="4373" t="str">
        <f>IF(OR(General!$F$22="",General!$F$22=0),"",General!$F$22)</f>
        <v/>
      </c>
      <c r="AF4" s="4373"/>
      <c r="AG4" s="4373"/>
      <c r="AH4" s="4373"/>
      <c r="AI4" s="4373"/>
      <c r="AJ4" s="331"/>
      <c r="AK4" s="366"/>
      <c r="AL4" s="360"/>
      <c r="AM4" s="360"/>
      <c r="AN4" s="262"/>
      <c r="AO4" s="8382"/>
      <c r="AP4" s="8383"/>
      <c r="AQ4" s="8383"/>
      <c r="AR4" s="8383"/>
      <c r="AS4" s="8383"/>
      <c r="AT4" s="8383"/>
      <c r="AU4" s="311"/>
      <c r="AV4" s="5717" t="s">
        <v>1184</v>
      </c>
      <c r="AW4" s="5718"/>
      <c r="AX4" s="4373" t="str">
        <f>IF(OR(General!$F$22="",General!$F$22=0),"",General!$F$22)</f>
        <v/>
      </c>
      <c r="AY4" s="4373"/>
      <c r="AZ4" s="4373"/>
      <c r="BA4" s="4373"/>
      <c r="BB4" s="4373"/>
      <c r="BC4" s="331"/>
      <c r="BD4" s="366"/>
      <c r="BE4" s="360"/>
      <c r="BF4" s="360"/>
      <c r="BG4" s="262"/>
      <c r="BH4" s="8382"/>
      <c r="BI4" s="8383"/>
      <c r="BJ4" s="8383"/>
      <c r="BK4" s="8383"/>
      <c r="BL4" s="8383"/>
      <c r="BM4" s="8383"/>
      <c r="BN4" s="311"/>
      <c r="BO4" s="5717" t="s">
        <v>1184</v>
      </c>
      <c r="BP4" s="5718"/>
      <c r="BQ4" s="4373" t="str">
        <f>IF(OR(General!$F$22="",General!$F$22=0),"",General!$F$22)</f>
        <v/>
      </c>
      <c r="BR4" s="4373"/>
      <c r="BS4" s="4373"/>
      <c r="BT4" s="4373"/>
      <c r="BU4" s="4373"/>
      <c r="BV4" s="331"/>
      <c r="BW4" s="366"/>
      <c r="BX4" s="360"/>
    </row>
    <row r="5" spans="1:76" ht="12.2" customHeight="1">
      <c r="A5" s="360"/>
      <c r="B5" s="262"/>
      <c r="C5" s="8382"/>
      <c r="D5" s="8383"/>
      <c r="E5" s="8383"/>
      <c r="F5" s="8383"/>
      <c r="G5" s="8383"/>
      <c r="H5" s="8383"/>
      <c r="I5" s="311"/>
      <c r="J5" s="5707" t="s">
        <v>1185</v>
      </c>
      <c r="K5" s="5708"/>
      <c r="L5" s="4738" t="str">
        <f>IF(LEN(PDs!$E$11)&lt;=General!$AO$5,PDs!$E$11,"… /"&amp;RIGHT(PDs!$E$11,General!$AO$5-FIND("/",RIGHT(PDs!$E$11,General!$AO$5))))</f>
        <v/>
      </c>
      <c r="M5" s="4738"/>
      <c r="N5" s="4738"/>
      <c r="O5" s="2003" t="s">
        <v>1186</v>
      </c>
      <c r="P5" s="2004" t="str">
        <f>Principal!$O$6</f>
        <v>1</v>
      </c>
      <c r="Q5" s="367"/>
      <c r="R5" s="366"/>
      <c r="S5" s="360"/>
      <c r="T5" s="360"/>
      <c r="U5" s="262"/>
      <c r="V5" s="8382"/>
      <c r="W5" s="8383"/>
      <c r="X5" s="8383"/>
      <c r="Y5" s="8383"/>
      <c r="Z5" s="8383"/>
      <c r="AA5" s="8383"/>
      <c r="AB5" s="311"/>
      <c r="AC5" s="5707" t="s">
        <v>1185</v>
      </c>
      <c r="AD5" s="5708"/>
      <c r="AE5" s="4738" t="str">
        <f>$L$5</f>
        <v/>
      </c>
      <c r="AF5" s="4738"/>
      <c r="AG5" s="4738"/>
      <c r="AH5" s="2003" t="s">
        <v>1186</v>
      </c>
      <c r="AI5" s="2004" t="str">
        <f>Principal!$O$6</f>
        <v>1</v>
      </c>
      <c r="AJ5" s="367"/>
      <c r="AK5" s="366"/>
      <c r="AL5" s="360"/>
      <c r="AM5" s="360"/>
      <c r="AN5" s="262"/>
      <c r="AO5" s="8382"/>
      <c r="AP5" s="8383"/>
      <c r="AQ5" s="8383"/>
      <c r="AR5" s="8383"/>
      <c r="AS5" s="8383"/>
      <c r="AT5" s="8383"/>
      <c r="AU5" s="311"/>
      <c r="AV5" s="5707" t="s">
        <v>1185</v>
      </c>
      <c r="AW5" s="5708"/>
      <c r="AX5" s="4738" t="str">
        <f>$L$5</f>
        <v/>
      </c>
      <c r="AY5" s="4738"/>
      <c r="AZ5" s="4738"/>
      <c r="BA5" s="2003" t="s">
        <v>1186</v>
      </c>
      <c r="BB5" s="2004" t="str">
        <f>Principal!$O$6</f>
        <v>1</v>
      </c>
      <c r="BC5" s="367"/>
      <c r="BD5" s="366"/>
      <c r="BE5" s="360"/>
      <c r="BF5" s="360"/>
      <c r="BG5" s="262"/>
      <c r="BH5" s="8382"/>
      <c r="BI5" s="8383"/>
      <c r="BJ5" s="8383"/>
      <c r="BK5" s="8383"/>
      <c r="BL5" s="8383"/>
      <c r="BM5" s="8383"/>
      <c r="BN5" s="311"/>
      <c r="BO5" s="5707" t="s">
        <v>1185</v>
      </c>
      <c r="BP5" s="5708"/>
      <c r="BQ5" s="4738" t="str">
        <f>$L$5</f>
        <v/>
      </c>
      <c r="BR5" s="4738"/>
      <c r="BS5" s="4738"/>
      <c r="BT5" s="2003" t="s">
        <v>1186</v>
      </c>
      <c r="BU5" s="2004" t="str">
        <f>Principal!$O$6</f>
        <v>1</v>
      </c>
      <c r="BV5" s="367"/>
      <c r="BW5" s="366"/>
      <c r="BX5" s="360"/>
    </row>
    <row r="6" spans="1:76" ht="12.2" customHeight="1">
      <c r="A6" s="360"/>
      <c r="B6" s="262"/>
      <c r="C6" s="8382"/>
      <c r="D6" s="8383"/>
      <c r="E6" s="8383"/>
      <c r="F6" s="8383"/>
      <c r="G6" s="8383"/>
      <c r="H6" s="8383"/>
      <c r="I6" s="311"/>
      <c r="J6" s="5709" t="s">
        <v>5815</v>
      </c>
      <c r="K6" s="5710"/>
      <c r="L6" s="5710"/>
      <c r="M6" s="5710"/>
      <c r="N6" s="5710"/>
      <c r="O6" s="5710"/>
      <c r="P6" s="5710"/>
      <c r="Q6" s="367"/>
      <c r="R6" s="366"/>
      <c r="S6" s="360"/>
      <c r="T6" s="360"/>
      <c r="U6" s="262"/>
      <c r="V6" s="8382"/>
      <c r="W6" s="8383"/>
      <c r="X6" s="8383"/>
      <c r="Y6" s="8383"/>
      <c r="Z6" s="8383"/>
      <c r="AA6" s="8383"/>
      <c r="AB6" s="311"/>
      <c r="AC6" s="5709" t="s">
        <v>5815</v>
      </c>
      <c r="AD6" s="5710"/>
      <c r="AE6" s="5710"/>
      <c r="AF6" s="5710"/>
      <c r="AG6" s="5710"/>
      <c r="AH6" s="5710"/>
      <c r="AI6" s="5710"/>
      <c r="AJ6" s="367"/>
      <c r="AK6" s="366"/>
      <c r="AL6" s="360"/>
      <c r="AM6" s="360"/>
      <c r="AN6" s="262"/>
      <c r="AO6" s="8382"/>
      <c r="AP6" s="8383"/>
      <c r="AQ6" s="8383"/>
      <c r="AR6" s="8383"/>
      <c r="AS6" s="8383"/>
      <c r="AT6" s="8383"/>
      <c r="AU6" s="311"/>
      <c r="AV6" s="5709" t="s">
        <v>5815</v>
      </c>
      <c r="AW6" s="5710"/>
      <c r="AX6" s="5710"/>
      <c r="AY6" s="5710"/>
      <c r="AZ6" s="5710"/>
      <c r="BA6" s="5710"/>
      <c r="BB6" s="5710"/>
      <c r="BC6" s="367"/>
      <c r="BD6" s="366"/>
      <c r="BE6" s="360"/>
      <c r="BF6" s="360"/>
      <c r="BG6" s="262"/>
      <c r="BH6" s="8382"/>
      <c r="BI6" s="8383"/>
      <c r="BJ6" s="8383"/>
      <c r="BK6" s="8383"/>
      <c r="BL6" s="8383"/>
      <c r="BM6" s="8383"/>
      <c r="BN6" s="311"/>
      <c r="BO6" s="5709" t="s">
        <v>5815</v>
      </c>
      <c r="BP6" s="5710"/>
      <c r="BQ6" s="5710"/>
      <c r="BR6" s="5710"/>
      <c r="BS6" s="5710"/>
      <c r="BT6" s="5710"/>
      <c r="BU6" s="5710"/>
      <c r="BV6" s="367"/>
      <c r="BW6" s="366"/>
      <c r="BX6" s="360"/>
    </row>
    <row r="7" spans="1:76" ht="12.2" customHeight="1">
      <c r="A7" s="360"/>
      <c r="B7" s="262"/>
      <c r="C7" s="8382"/>
      <c r="D7" s="8383"/>
      <c r="E7" s="8383"/>
      <c r="F7" s="8383"/>
      <c r="G7" s="8383"/>
      <c r="H7" s="8383"/>
      <c r="I7" s="311"/>
      <c r="J7" s="5710"/>
      <c r="K7" s="5710"/>
      <c r="L7" s="5710"/>
      <c r="M7" s="5710"/>
      <c r="N7" s="5710"/>
      <c r="O7" s="5710"/>
      <c r="P7" s="5710"/>
      <c r="Q7" s="367"/>
      <c r="R7" s="366"/>
      <c r="S7" s="360"/>
      <c r="T7" s="360"/>
      <c r="U7" s="262"/>
      <c r="V7" s="8382"/>
      <c r="W7" s="8383"/>
      <c r="X7" s="8383"/>
      <c r="Y7" s="8383"/>
      <c r="Z7" s="8383"/>
      <c r="AA7" s="8383"/>
      <c r="AB7" s="311"/>
      <c r="AC7" s="5710"/>
      <c r="AD7" s="5710"/>
      <c r="AE7" s="5710"/>
      <c r="AF7" s="5710"/>
      <c r="AG7" s="5710"/>
      <c r="AH7" s="5710"/>
      <c r="AI7" s="5710"/>
      <c r="AJ7" s="367"/>
      <c r="AK7" s="366"/>
      <c r="AL7" s="360"/>
      <c r="AM7" s="360"/>
      <c r="AN7" s="262"/>
      <c r="AO7" s="8382"/>
      <c r="AP7" s="8383"/>
      <c r="AQ7" s="8383"/>
      <c r="AR7" s="8383"/>
      <c r="AS7" s="8383"/>
      <c r="AT7" s="8383"/>
      <c r="AU7" s="311"/>
      <c r="AV7" s="5710"/>
      <c r="AW7" s="5710"/>
      <c r="AX7" s="5710"/>
      <c r="AY7" s="5710"/>
      <c r="AZ7" s="5710"/>
      <c r="BA7" s="5710"/>
      <c r="BB7" s="5710"/>
      <c r="BC7" s="367"/>
      <c r="BD7" s="366"/>
      <c r="BE7" s="360"/>
      <c r="BF7" s="360"/>
      <c r="BG7" s="262"/>
      <c r="BH7" s="8382"/>
      <c r="BI7" s="8383"/>
      <c r="BJ7" s="8383"/>
      <c r="BK7" s="8383"/>
      <c r="BL7" s="8383"/>
      <c r="BM7" s="8383"/>
      <c r="BN7" s="311"/>
      <c r="BO7" s="5710"/>
      <c r="BP7" s="5710"/>
      <c r="BQ7" s="5710"/>
      <c r="BR7" s="5710"/>
      <c r="BS7" s="5710"/>
      <c r="BT7" s="5710"/>
      <c r="BU7" s="5710"/>
      <c r="BV7" s="367"/>
      <c r="BW7" s="366"/>
      <c r="BX7" s="360"/>
    </row>
    <row r="8" spans="1:76" ht="12.2" customHeight="1" thickBot="1">
      <c r="A8" s="360"/>
      <c r="B8" s="262"/>
      <c r="C8" s="8384"/>
      <c r="D8" s="8385"/>
      <c r="E8" s="8385"/>
      <c r="F8" s="8385"/>
      <c r="G8" s="8385"/>
      <c r="H8" s="8385"/>
      <c r="I8" s="368"/>
      <c r="J8" s="368"/>
      <c r="K8" s="368"/>
      <c r="L8" s="368"/>
      <c r="M8" s="368"/>
      <c r="N8" s="368"/>
      <c r="O8" s="368"/>
      <c r="P8" s="368"/>
      <c r="Q8" s="369"/>
      <c r="R8" s="366"/>
      <c r="S8" s="360"/>
      <c r="T8" s="360"/>
      <c r="U8" s="262"/>
      <c r="V8" s="8384"/>
      <c r="W8" s="8385"/>
      <c r="X8" s="8385"/>
      <c r="Y8" s="8385"/>
      <c r="Z8" s="8385"/>
      <c r="AA8" s="8385"/>
      <c r="AB8" s="368"/>
      <c r="AC8" s="368"/>
      <c r="AD8" s="368"/>
      <c r="AE8" s="368"/>
      <c r="AF8" s="368"/>
      <c r="AG8" s="368"/>
      <c r="AH8" s="368"/>
      <c r="AI8" s="368"/>
      <c r="AJ8" s="369"/>
      <c r="AK8" s="366"/>
      <c r="AL8" s="360"/>
      <c r="AM8" s="360"/>
      <c r="AN8" s="262"/>
      <c r="AO8" s="8384"/>
      <c r="AP8" s="8385"/>
      <c r="AQ8" s="8385"/>
      <c r="AR8" s="8385"/>
      <c r="AS8" s="8385"/>
      <c r="AT8" s="8385"/>
      <c r="AU8" s="368"/>
      <c r="AV8" s="368"/>
      <c r="AW8" s="368"/>
      <c r="AX8" s="368"/>
      <c r="AY8" s="368"/>
      <c r="AZ8" s="368"/>
      <c r="BA8" s="368"/>
      <c r="BB8" s="368"/>
      <c r="BC8" s="369"/>
      <c r="BD8" s="366"/>
      <c r="BE8" s="360"/>
      <c r="BF8" s="360"/>
      <c r="BG8" s="262"/>
      <c r="BH8" s="8384"/>
      <c r="BI8" s="8385"/>
      <c r="BJ8" s="8385"/>
      <c r="BK8" s="8385"/>
      <c r="BL8" s="8385"/>
      <c r="BM8" s="8385"/>
      <c r="BN8" s="368"/>
      <c r="BO8" s="368"/>
      <c r="BP8" s="368"/>
      <c r="BQ8" s="368"/>
      <c r="BR8" s="368"/>
      <c r="BS8" s="368"/>
      <c r="BT8" s="368"/>
      <c r="BU8" s="368"/>
      <c r="BV8" s="369"/>
      <c r="BW8" s="366"/>
      <c r="BX8" s="360"/>
    </row>
    <row r="9" spans="1:76" ht="12.2" customHeight="1">
      <c r="A9" s="360"/>
      <c r="B9" s="262"/>
      <c r="R9" s="366"/>
      <c r="S9" s="360"/>
      <c r="T9" s="360"/>
      <c r="U9" s="262"/>
      <c r="AK9" s="366"/>
      <c r="AL9" s="360"/>
      <c r="AM9" s="360"/>
      <c r="AN9" s="262"/>
      <c r="BD9" s="366"/>
      <c r="BE9" s="360"/>
      <c r="BF9" s="360"/>
      <c r="BG9" s="262"/>
      <c r="BW9" s="366"/>
      <c r="BX9" s="360"/>
    </row>
    <row r="10" spans="1:76" ht="12.2" customHeight="1" thickBot="1">
      <c r="A10" s="360"/>
      <c r="B10" s="262"/>
      <c r="R10" s="366"/>
      <c r="S10" s="360"/>
      <c r="T10" s="360"/>
      <c r="U10" s="262"/>
      <c r="AK10" s="366"/>
      <c r="AL10" s="360"/>
      <c r="AM10" s="360"/>
      <c r="AN10" s="262"/>
      <c r="BD10" s="366"/>
      <c r="BE10" s="360"/>
      <c r="BF10" s="360"/>
      <c r="BG10" s="262"/>
      <c r="BW10" s="366"/>
      <c r="BX10" s="360"/>
    </row>
    <row r="11" spans="1:76" ht="12.2" customHeight="1">
      <c r="A11" s="360"/>
      <c r="B11" s="262"/>
      <c r="C11" s="8375"/>
      <c r="D11" s="8376"/>
      <c r="E11" s="8376"/>
      <c r="F11" s="8376"/>
      <c r="G11" s="8376"/>
      <c r="H11" s="370" t="s">
        <v>1186</v>
      </c>
      <c r="I11" s="371" t="str">
        <f>IF(C11=0,"",VLOOKUP(C11,'Tablas Magia'!$D$6:$Z$779,3,FALSE))</f>
        <v/>
      </c>
      <c r="J11" s="8377" t="s">
        <v>5816</v>
      </c>
      <c r="K11" s="8377"/>
      <c r="L11" s="8377"/>
      <c r="M11" s="8378" t="str">
        <f>IF(C11=0,"",VLOOKUP(C11,'Tablas Magia'!$D$6:$Z$779,2,FALSE))</f>
        <v/>
      </c>
      <c r="N11" s="8378"/>
      <c r="O11" s="8378"/>
      <c r="P11" s="8378"/>
      <c r="Q11" s="8379"/>
      <c r="R11" s="366"/>
      <c r="S11" s="360"/>
      <c r="T11" s="360"/>
      <c r="U11" s="262"/>
      <c r="V11" s="8375"/>
      <c r="W11" s="8376"/>
      <c r="X11" s="8376"/>
      <c r="Y11" s="8376"/>
      <c r="Z11" s="8376"/>
      <c r="AA11" s="370" t="s">
        <v>1186</v>
      </c>
      <c r="AB11" s="371" t="str">
        <f>IF(V11=0,"",VLOOKUP(V11,'Tablas Magia'!$D$6:$Z$779,3,FALSE))</f>
        <v/>
      </c>
      <c r="AC11" s="8377" t="s">
        <v>5816</v>
      </c>
      <c r="AD11" s="8377"/>
      <c r="AE11" s="8377"/>
      <c r="AF11" s="8378" t="str">
        <f>IF(V11=0,"",VLOOKUP(V11,'Tablas Magia'!$D$6:$Z$779,2,FALSE))</f>
        <v/>
      </c>
      <c r="AG11" s="8378"/>
      <c r="AH11" s="8378"/>
      <c r="AI11" s="8378"/>
      <c r="AJ11" s="8379"/>
      <c r="AK11" s="366"/>
      <c r="AL11" s="360"/>
      <c r="AM11" s="360"/>
      <c r="AN11" s="262"/>
      <c r="AO11" s="8375"/>
      <c r="AP11" s="8376"/>
      <c r="AQ11" s="8376"/>
      <c r="AR11" s="8376"/>
      <c r="AS11" s="8376"/>
      <c r="AT11" s="370" t="s">
        <v>1186</v>
      </c>
      <c r="AU11" s="371" t="str">
        <f>IF(AO11=0,"",VLOOKUP(AO11,'Tablas Magia'!$D$6:$Z$779,3,FALSE))</f>
        <v/>
      </c>
      <c r="AV11" s="8377" t="s">
        <v>5816</v>
      </c>
      <c r="AW11" s="8377"/>
      <c r="AX11" s="8377"/>
      <c r="AY11" s="8378" t="str">
        <f>IF(AO11=0,"",VLOOKUP(AO11,'Tablas Magia'!$D$6:$Z$779,2,FALSE))</f>
        <v/>
      </c>
      <c r="AZ11" s="8378"/>
      <c r="BA11" s="8378"/>
      <c r="BB11" s="8378"/>
      <c r="BC11" s="8379"/>
      <c r="BD11" s="366"/>
      <c r="BE11" s="360"/>
      <c r="BF11" s="360"/>
      <c r="BG11" s="262"/>
      <c r="BH11" s="8375"/>
      <c r="BI11" s="8376"/>
      <c r="BJ11" s="8376"/>
      <c r="BK11" s="8376"/>
      <c r="BL11" s="8376"/>
      <c r="BM11" s="370" t="s">
        <v>1186</v>
      </c>
      <c r="BN11" s="371" t="str">
        <f>IF(BH11=0,"",VLOOKUP(BH11,'Tablas Magia'!$D$6:$Z$779,3,FALSE))</f>
        <v/>
      </c>
      <c r="BO11" s="8377" t="s">
        <v>5816</v>
      </c>
      <c r="BP11" s="8377"/>
      <c r="BQ11" s="8377"/>
      <c r="BR11" s="8378" t="str">
        <f>IF(BH11=0,"",VLOOKUP(BH11,'Tablas Magia'!$D$6:$Z$779,2,FALSE))</f>
        <v/>
      </c>
      <c r="BS11" s="8378"/>
      <c r="BT11" s="8378"/>
      <c r="BU11" s="8378"/>
      <c r="BV11" s="8379"/>
      <c r="BW11" s="366"/>
      <c r="BX11" s="360"/>
    </row>
    <row r="12" spans="1:76" ht="12.2" customHeight="1">
      <c r="A12" s="360"/>
      <c r="B12" s="262"/>
      <c r="C12" s="8399" t="s">
        <v>5817</v>
      </c>
      <c r="D12" s="8400"/>
      <c r="E12" s="372" t="s">
        <v>5818</v>
      </c>
      <c r="F12" s="372" t="s">
        <v>1368</v>
      </c>
      <c r="G12" s="372" t="s">
        <v>2666</v>
      </c>
      <c r="H12" s="373" t="s">
        <v>1690</v>
      </c>
      <c r="I12" s="8396" t="str">
        <f>IF(C11=0,"",VLOOKUP(C11,'Tablas Magia'!$D$6:$Z$779,5,FALSE))</f>
        <v/>
      </c>
      <c r="J12" s="8396"/>
      <c r="K12" s="8397" t="s">
        <v>5819</v>
      </c>
      <c r="L12" s="8397"/>
      <c r="M12" s="8396" t="str">
        <f>IF(C11=0,"",VLOOKUP(C11,'Tablas Magia'!$D$6:$Z$779,6,FALSE))</f>
        <v/>
      </c>
      <c r="N12" s="8396"/>
      <c r="O12" s="8398" t="s">
        <v>5820</v>
      </c>
      <c r="P12" s="8398"/>
      <c r="Q12" s="374" t="str">
        <f>IF(C11=0,"",VLOOKUP(C11,'Tablas Magia'!$D$6:$Z$779,4,FALSE))</f>
        <v/>
      </c>
      <c r="R12" s="366"/>
      <c r="S12" s="360"/>
      <c r="T12" s="360"/>
      <c r="U12" s="262"/>
      <c r="V12" s="8399" t="s">
        <v>5817</v>
      </c>
      <c r="W12" s="8400"/>
      <c r="X12" s="372" t="s">
        <v>5818</v>
      </c>
      <c r="Y12" s="372" t="s">
        <v>1368</v>
      </c>
      <c r="Z12" s="372" t="s">
        <v>2666</v>
      </c>
      <c r="AA12" s="373" t="s">
        <v>1690</v>
      </c>
      <c r="AB12" s="8396" t="str">
        <f>IF(V11=0,"",VLOOKUP(V11,'Tablas Magia'!$D$6:$Z$779,5,FALSE))</f>
        <v/>
      </c>
      <c r="AC12" s="8396"/>
      <c r="AD12" s="8397" t="s">
        <v>5819</v>
      </c>
      <c r="AE12" s="8397"/>
      <c r="AF12" s="8396" t="str">
        <f>IF(V11=0,"",VLOOKUP(V11,'Tablas Magia'!$D$6:$Z$779,6,FALSE))</f>
        <v/>
      </c>
      <c r="AG12" s="8396"/>
      <c r="AH12" s="8398" t="s">
        <v>5820</v>
      </c>
      <c r="AI12" s="8398"/>
      <c r="AJ12" s="374" t="str">
        <f>IF(V11=0,"",VLOOKUP(V11,'Tablas Magia'!$D$6:$Z$779,4,FALSE))</f>
        <v/>
      </c>
      <c r="AK12" s="366"/>
      <c r="AL12" s="360"/>
      <c r="AM12" s="360"/>
      <c r="AN12" s="262"/>
      <c r="AO12" s="8399" t="s">
        <v>5817</v>
      </c>
      <c r="AP12" s="8400"/>
      <c r="AQ12" s="372" t="s">
        <v>5818</v>
      </c>
      <c r="AR12" s="372" t="s">
        <v>1368</v>
      </c>
      <c r="AS12" s="372" t="s">
        <v>2666</v>
      </c>
      <c r="AT12" s="373" t="s">
        <v>1690</v>
      </c>
      <c r="AU12" s="8396" t="str">
        <f>IF(AO11=0,"",VLOOKUP(AO11,'Tablas Magia'!$D$6:$Z$779,5,FALSE))</f>
        <v/>
      </c>
      <c r="AV12" s="8396"/>
      <c r="AW12" s="8397" t="s">
        <v>5819</v>
      </c>
      <c r="AX12" s="8397"/>
      <c r="AY12" s="8396" t="str">
        <f>IF(AO11=0,"",VLOOKUP(AO11,'Tablas Magia'!$D$6:$Z$779,6,FALSE))</f>
        <v/>
      </c>
      <c r="AZ12" s="8396"/>
      <c r="BA12" s="8398" t="s">
        <v>5820</v>
      </c>
      <c r="BB12" s="8398"/>
      <c r="BC12" s="374" t="str">
        <f>IF(AO11=0,"",VLOOKUP(AO11,'Tablas Magia'!$D$6:$Z$779,4,FALSE))</f>
        <v/>
      </c>
      <c r="BD12" s="366"/>
      <c r="BE12" s="360"/>
      <c r="BF12" s="360"/>
      <c r="BG12" s="262"/>
      <c r="BH12" s="8399" t="s">
        <v>5817</v>
      </c>
      <c r="BI12" s="8400"/>
      <c r="BJ12" s="372" t="s">
        <v>5818</v>
      </c>
      <c r="BK12" s="372" t="s">
        <v>1368</v>
      </c>
      <c r="BL12" s="372" t="s">
        <v>2666</v>
      </c>
      <c r="BM12" s="373" t="s">
        <v>1690</v>
      </c>
      <c r="BN12" s="8396" t="str">
        <f>IF(BH11=0,"",VLOOKUP(BH11,'Tablas Magia'!$D$6:$Z$779,5,FALSE))</f>
        <v/>
      </c>
      <c r="BO12" s="8396"/>
      <c r="BP12" s="8397" t="s">
        <v>5819</v>
      </c>
      <c r="BQ12" s="8397"/>
      <c r="BR12" s="8396" t="str">
        <f>IF(BH11=0,"",VLOOKUP(BH11,'Tablas Magia'!$D$6:$Z$779,6,FALSE))</f>
        <v/>
      </c>
      <c r="BS12" s="8396"/>
      <c r="BT12" s="8398" t="s">
        <v>5820</v>
      </c>
      <c r="BU12" s="8398"/>
      <c r="BV12" s="374" t="str">
        <f>IF(BH11=0,"",VLOOKUP(BH11,'Tablas Magia'!$D$6:$Z$779,4,FALSE))</f>
        <v/>
      </c>
      <c r="BW12" s="366"/>
      <c r="BX12" s="360"/>
    </row>
    <row r="13" spans="1:76" ht="12.2" customHeight="1">
      <c r="A13" s="360"/>
      <c r="B13" s="262"/>
      <c r="C13" s="8391" t="s">
        <v>1225</v>
      </c>
      <c r="D13" s="8392"/>
      <c r="E13" s="375" t="str">
        <f>IF(C11=0,"",VLOOKUP(C11,'Tablas Magia'!$D$6:$Z$779,7,FALSE))</f>
        <v/>
      </c>
      <c r="F13" s="375" t="str">
        <f>IF(C11=0,"",VLOOKUP(C11,'Tablas Magia'!$D$6:$Z$779,11,FALSE))</f>
        <v/>
      </c>
      <c r="G13" s="376" t="str">
        <f>IF(C11=0,"",VLOOKUP(C11,'Tablas Magia'!$D$6:$Z$779,15,FALSE))</f>
        <v/>
      </c>
      <c r="H13" s="8393" t="str">
        <f>IF(C11=0,"",VLOOKUP(C11,'Tablas Magia'!$D$6:$Z$779,19,FALSE))</f>
        <v/>
      </c>
      <c r="I13" s="8394"/>
      <c r="J13" s="8394"/>
      <c r="K13" s="8394"/>
      <c r="L13" s="8394"/>
      <c r="M13" s="8394"/>
      <c r="N13" s="8394"/>
      <c r="O13" s="8394"/>
      <c r="P13" s="8394"/>
      <c r="Q13" s="8395"/>
      <c r="R13" s="366"/>
      <c r="S13" s="360"/>
      <c r="T13" s="360"/>
      <c r="U13" s="262"/>
      <c r="V13" s="8391" t="s">
        <v>1225</v>
      </c>
      <c r="W13" s="8392"/>
      <c r="X13" s="375" t="str">
        <f>IF(V11=0,"",VLOOKUP(V11,'Tablas Magia'!$D$6:$Z$779,7,FALSE))</f>
        <v/>
      </c>
      <c r="Y13" s="375" t="str">
        <f>IF(V11=0,"",VLOOKUP(V11,'Tablas Magia'!$D$6:$Z$779,11,FALSE))</f>
        <v/>
      </c>
      <c r="Z13" s="376" t="str">
        <f>IF(V11=0,"",VLOOKUP(V11,'Tablas Magia'!$D$6:$Z$779,15,FALSE))</f>
        <v/>
      </c>
      <c r="AA13" s="8393" t="str">
        <f>IF(V11=0,"",VLOOKUP(V11,'Tablas Magia'!$D$6:$Z$779,19,FALSE))</f>
        <v/>
      </c>
      <c r="AB13" s="8394"/>
      <c r="AC13" s="8394"/>
      <c r="AD13" s="8394"/>
      <c r="AE13" s="8394"/>
      <c r="AF13" s="8394"/>
      <c r="AG13" s="8394"/>
      <c r="AH13" s="8394"/>
      <c r="AI13" s="8394"/>
      <c r="AJ13" s="8395"/>
      <c r="AK13" s="366"/>
      <c r="AL13" s="360"/>
      <c r="AM13" s="360"/>
      <c r="AN13" s="262"/>
      <c r="AO13" s="8391" t="s">
        <v>1225</v>
      </c>
      <c r="AP13" s="8392"/>
      <c r="AQ13" s="375" t="str">
        <f>IF(AO11=0,"",VLOOKUP(AO11,'Tablas Magia'!$D$6:$Z$779,7,FALSE))</f>
        <v/>
      </c>
      <c r="AR13" s="375" t="str">
        <f>IF(AO11=0,"",VLOOKUP(AO11,'Tablas Magia'!$D$6:$Z$779,11,FALSE))</f>
        <v/>
      </c>
      <c r="AS13" s="376" t="str">
        <f>IF(AO11=0,"",VLOOKUP(AO11,'Tablas Magia'!$D$6:$Z$779,15,FALSE))</f>
        <v/>
      </c>
      <c r="AT13" s="8393" t="str">
        <f>IF(AO11=0,"",VLOOKUP(AO11,'Tablas Magia'!$D$6:$Z$779,19,FALSE))</f>
        <v/>
      </c>
      <c r="AU13" s="8394"/>
      <c r="AV13" s="8394"/>
      <c r="AW13" s="8394"/>
      <c r="AX13" s="8394"/>
      <c r="AY13" s="8394"/>
      <c r="AZ13" s="8394"/>
      <c r="BA13" s="8394"/>
      <c r="BB13" s="8394"/>
      <c r="BC13" s="8395"/>
      <c r="BD13" s="366"/>
      <c r="BE13" s="360"/>
      <c r="BF13" s="360"/>
      <c r="BG13" s="262"/>
      <c r="BH13" s="8391" t="s">
        <v>1225</v>
      </c>
      <c r="BI13" s="8392"/>
      <c r="BJ13" s="375" t="str">
        <f>IF(BH11=0,"",VLOOKUP(BH11,'Tablas Magia'!$D$6:$Z$779,7,FALSE))</f>
        <v/>
      </c>
      <c r="BK13" s="375" t="str">
        <f>IF(BH11=0,"",VLOOKUP(BH11,'Tablas Magia'!$D$6:$Z$779,11,FALSE))</f>
        <v/>
      </c>
      <c r="BL13" s="376" t="str">
        <f>IF(BH11=0,"",VLOOKUP(BH11,'Tablas Magia'!$D$6:$Z$779,15,FALSE))</f>
        <v/>
      </c>
      <c r="BM13" s="8393" t="str">
        <f>IF(BH11=0,"",VLOOKUP(BH11,'Tablas Magia'!$D$6:$Z$779,19,FALSE))</f>
        <v/>
      </c>
      <c r="BN13" s="8394"/>
      <c r="BO13" s="8394"/>
      <c r="BP13" s="8394"/>
      <c r="BQ13" s="8394"/>
      <c r="BR13" s="8394"/>
      <c r="BS13" s="8394"/>
      <c r="BT13" s="8394"/>
      <c r="BU13" s="8394"/>
      <c r="BV13" s="8395"/>
      <c r="BW13" s="366"/>
      <c r="BX13" s="360"/>
    </row>
    <row r="14" spans="1:76" ht="12.2" customHeight="1">
      <c r="A14" s="360"/>
      <c r="B14" s="262"/>
      <c r="C14" s="8386" t="s">
        <v>3035</v>
      </c>
      <c r="D14" s="8387"/>
      <c r="E14" s="377" t="str">
        <f>IF(C11=0,"",VLOOKUP(C11,'Tablas Magia'!$D$6:$Z$779,8,FALSE))</f>
        <v/>
      </c>
      <c r="F14" s="377" t="str">
        <f>IF(C11=0,"",VLOOKUP(C11,'Tablas Magia'!$D$6:$Z$779,12,FALSE))</f>
        <v/>
      </c>
      <c r="G14" s="378" t="str">
        <f>IF(C11=0,"",VLOOKUP(C11,'Tablas Magia'!$D$6:$Z$779,16,FALSE))</f>
        <v/>
      </c>
      <c r="H14" s="8388" t="str">
        <f>IF(C11=0,"",VLOOKUP(C11,'Tablas Magia'!$D$6:$Z$779,20,FALSE))</f>
        <v/>
      </c>
      <c r="I14" s="8389"/>
      <c r="J14" s="8389"/>
      <c r="K14" s="8389"/>
      <c r="L14" s="8389"/>
      <c r="M14" s="8389"/>
      <c r="N14" s="8389"/>
      <c r="O14" s="8389"/>
      <c r="P14" s="8389"/>
      <c r="Q14" s="8390"/>
      <c r="R14" s="366"/>
      <c r="S14" s="360"/>
      <c r="T14" s="360"/>
      <c r="U14" s="262"/>
      <c r="V14" s="8386" t="s">
        <v>3035</v>
      </c>
      <c r="W14" s="8387"/>
      <c r="X14" s="377" t="str">
        <f>IF(V11=0,"",VLOOKUP(V11,'Tablas Magia'!$D$6:$Z$779,8,FALSE))</f>
        <v/>
      </c>
      <c r="Y14" s="377" t="str">
        <f>IF(V11=0,"",VLOOKUP(V11,'Tablas Magia'!$D$6:$Z$779,12,FALSE))</f>
        <v/>
      </c>
      <c r="Z14" s="378" t="str">
        <f>IF(V11=0,"",VLOOKUP(V11,'Tablas Magia'!$D$6:$Z$779,16,FALSE))</f>
        <v/>
      </c>
      <c r="AA14" s="8388" t="str">
        <f>IF(V11=0,"",VLOOKUP(V11,'Tablas Magia'!$D$6:$Z$779,20,FALSE))</f>
        <v/>
      </c>
      <c r="AB14" s="8389"/>
      <c r="AC14" s="8389"/>
      <c r="AD14" s="8389"/>
      <c r="AE14" s="8389"/>
      <c r="AF14" s="8389"/>
      <c r="AG14" s="8389"/>
      <c r="AH14" s="8389"/>
      <c r="AI14" s="8389"/>
      <c r="AJ14" s="8390"/>
      <c r="AK14" s="366"/>
      <c r="AL14" s="360"/>
      <c r="AM14" s="360"/>
      <c r="AN14" s="262"/>
      <c r="AO14" s="8386" t="s">
        <v>3035</v>
      </c>
      <c r="AP14" s="8387"/>
      <c r="AQ14" s="377" t="str">
        <f>IF(AO11=0,"",VLOOKUP(AO11,'Tablas Magia'!$D$6:$Z$779,8,FALSE))</f>
        <v/>
      </c>
      <c r="AR14" s="377" t="str">
        <f>IF(AO11=0,"",VLOOKUP(AO11,'Tablas Magia'!$D$6:$Z$779,12,FALSE))</f>
        <v/>
      </c>
      <c r="AS14" s="378" t="str">
        <f>IF(AO11=0,"",VLOOKUP(AO11,'Tablas Magia'!$D$6:$Z$779,16,FALSE))</f>
        <v/>
      </c>
      <c r="AT14" s="8388" t="str">
        <f>IF(AO11=0,"",VLOOKUP(AO11,'Tablas Magia'!$D$6:$Z$779,20,FALSE))</f>
        <v/>
      </c>
      <c r="AU14" s="8389"/>
      <c r="AV14" s="8389"/>
      <c r="AW14" s="8389"/>
      <c r="AX14" s="8389"/>
      <c r="AY14" s="8389"/>
      <c r="AZ14" s="8389"/>
      <c r="BA14" s="8389"/>
      <c r="BB14" s="8389"/>
      <c r="BC14" s="8390"/>
      <c r="BD14" s="366"/>
      <c r="BE14" s="360"/>
      <c r="BF14" s="360"/>
      <c r="BG14" s="262"/>
      <c r="BH14" s="8386" t="s">
        <v>3035</v>
      </c>
      <c r="BI14" s="8387"/>
      <c r="BJ14" s="377" t="str">
        <f>IF(BH11=0,"",VLOOKUP(BH11,'Tablas Magia'!$D$6:$Z$779,8,FALSE))</f>
        <v/>
      </c>
      <c r="BK14" s="377" t="str">
        <f>IF(BH11=0,"",VLOOKUP(BH11,'Tablas Magia'!$D$6:$Z$779,12,FALSE))</f>
        <v/>
      </c>
      <c r="BL14" s="378" t="str">
        <f>IF(BH11=0,"",VLOOKUP(BH11,'Tablas Magia'!$D$6:$Z$779,16,FALSE))</f>
        <v/>
      </c>
      <c r="BM14" s="8388" t="str">
        <f>IF(BH11=0,"",VLOOKUP(BH11,'Tablas Magia'!$D$6:$Z$779,20,FALSE))</f>
        <v/>
      </c>
      <c r="BN14" s="8389"/>
      <c r="BO14" s="8389"/>
      <c r="BP14" s="8389"/>
      <c r="BQ14" s="8389"/>
      <c r="BR14" s="8389"/>
      <c r="BS14" s="8389"/>
      <c r="BT14" s="8389"/>
      <c r="BU14" s="8389"/>
      <c r="BV14" s="8390"/>
      <c r="BW14" s="366"/>
      <c r="BX14" s="360"/>
    </row>
    <row r="15" spans="1:76" ht="12.2" customHeight="1">
      <c r="A15" s="360"/>
      <c r="B15" s="262"/>
      <c r="C15" s="8391" t="s">
        <v>3036</v>
      </c>
      <c r="D15" s="8392"/>
      <c r="E15" s="375" t="str">
        <f>IF(C11=0,"",VLOOKUP(C11,'Tablas Magia'!$D$6:$Z$779,9,FALSE))</f>
        <v/>
      </c>
      <c r="F15" s="375" t="str">
        <f>IF(C11=0,"",VLOOKUP(C11,'Tablas Magia'!$D$6:$Z$779,13,FALSE))</f>
        <v/>
      </c>
      <c r="G15" s="376" t="str">
        <f>IF(C11=0,"",VLOOKUP(C11,'Tablas Magia'!$D$6:$Z$779,17,FALSE))</f>
        <v/>
      </c>
      <c r="H15" s="8393" t="str">
        <f>IF(C11=0,"",VLOOKUP(C11,'Tablas Magia'!$D$6:$Z$779,21,FALSE))</f>
        <v/>
      </c>
      <c r="I15" s="8394"/>
      <c r="J15" s="8394"/>
      <c r="K15" s="8394"/>
      <c r="L15" s="8394"/>
      <c r="M15" s="8394"/>
      <c r="N15" s="8394"/>
      <c r="O15" s="8394"/>
      <c r="P15" s="8394"/>
      <c r="Q15" s="8395"/>
      <c r="R15" s="366"/>
      <c r="S15" s="360"/>
      <c r="T15" s="360"/>
      <c r="U15" s="262"/>
      <c r="V15" s="8391" t="s">
        <v>3036</v>
      </c>
      <c r="W15" s="8392"/>
      <c r="X15" s="375" t="str">
        <f>IF(V11=0,"",VLOOKUP(V11,'Tablas Magia'!$D$6:$Z$779,9,FALSE))</f>
        <v/>
      </c>
      <c r="Y15" s="375" t="str">
        <f>IF(V11=0,"",VLOOKUP(V11,'Tablas Magia'!$D$6:$Z$779,13,FALSE))</f>
        <v/>
      </c>
      <c r="Z15" s="376" t="str">
        <f>IF(V11=0,"",VLOOKUP(V11,'Tablas Magia'!$D$6:$Z$779,17,FALSE))</f>
        <v/>
      </c>
      <c r="AA15" s="8393" t="str">
        <f>IF(V11=0,"",VLOOKUP(V11,'Tablas Magia'!$D$6:$Z$779,21,FALSE))</f>
        <v/>
      </c>
      <c r="AB15" s="8394"/>
      <c r="AC15" s="8394"/>
      <c r="AD15" s="8394"/>
      <c r="AE15" s="8394"/>
      <c r="AF15" s="8394"/>
      <c r="AG15" s="8394"/>
      <c r="AH15" s="8394"/>
      <c r="AI15" s="8394"/>
      <c r="AJ15" s="8395"/>
      <c r="AK15" s="366"/>
      <c r="AL15" s="360"/>
      <c r="AM15" s="360"/>
      <c r="AN15" s="262"/>
      <c r="AO15" s="8391" t="s">
        <v>3036</v>
      </c>
      <c r="AP15" s="8392"/>
      <c r="AQ15" s="375" t="str">
        <f>IF(AO11=0,"",VLOOKUP(AO11,'Tablas Magia'!$D$6:$Z$779,9,FALSE))</f>
        <v/>
      </c>
      <c r="AR15" s="375" t="str">
        <f>IF(AO11=0,"",VLOOKUP(AO11,'Tablas Magia'!$D$6:$Z$779,13,FALSE))</f>
        <v/>
      </c>
      <c r="AS15" s="376" t="str">
        <f>IF(AO11=0,"",VLOOKUP(AO11,'Tablas Magia'!$D$6:$Z$779,17,FALSE))</f>
        <v/>
      </c>
      <c r="AT15" s="8393" t="str">
        <f>IF(AO11=0,"",VLOOKUP(AO11,'Tablas Magia'!$D$6:$Z$779,21,FALSE))</f>
        <v/>
      </c>
      <c r="AU15" s="8394"/>
      <c r="AV15" s="8394"/>
      <c r="AW15" s="8394"/>
      <c r="AX15" s="8394"/>
      <c r="AY15" s="8394"/>
      <c r="AZ15" s="8394"/>
      <c r="BA15" s="8394"/>
      <c r="BB15" s="8394"/>
      <c r="BC15" s="8395"/>
      <c r="BD15" s="366"/>
      <c r="BE15" s="360"/>
      <c r="BF15" s="360"/>
      <c r="BG15" s="262"/>
      <c r="BH15" s="8391" t="s">
        <v>3036</v>
      </c>
      <c r="BI15" s="8392"/>
      <c r="BJ15" s="375" t="str">
        <f>IF(BH11=0,"",VLOOKUP(BH11,'Tablas Magia'!$D$6:$Z$779,9,FALSE))</f>
        <v/>
      </c>
      <c r="BK15" s="375" t="str">
        <f>IF(BH11=0,"",VLOOKUP(BH11,'Tablas Magia'!$D$6:$Z$779,13,FALSE))</f>
        <v/>
      </c>
      <c r="BL15" s="376" t="str">
        <f>IF(BH11=0,"",VLOOKUP(BH11,'Tablas Magia'!$D$6:$Z$779,17,FALSE))</f>
        <v/>
      </c>
      <c r="BM15" s="8393" t="str">
        <f>IF(BH11=0,"",VLOOKUP(BH11,'Tablas Magia'!$D$6:$Z$779,21,FALSE))</f>
        <v/>
      </c>
      <c r="BN15" s="8394"/>
      <c r="BO15" s="8394"/>
      <c r="BP15" s="8394"/>
      <c r="BQ15" s="8394"/>
      <c r="BR15" s="8394"/>
      <c r="BS15" s="8394"/>
      <c r="BT15" s="8394"/>
      <c r="BU15" s="8394"/>
      <c r="BV15" s="8395"/>
      <c r="BW15" s="366"/>
      <c r="BX15" s="360"/>
    </row>
    <row r="16" spans="1:76" ht="12.2" customHeight="1" thickBot="1">
      <c r="A16" s="360"/>
      <c r="B16" s="262"/>
      <c r="C16" s="8401" t="s">
        <v>3037</v>
      </c>
      <c r="D16" s="8402"/>
      <c r="E16" s="379" t="str">
        <f>IF(C11=0,"",VLOOKUP(C11,'Tablas Magia'!$D$6:$Z$779,10,FALSE))</f>
        <v/>
      </c>
      <c r="F16" s="379" t="str">
        <f>IF(C11=0,"",VLOOKUP(C11,'Tablas Magia'!$D$6:$Z$779,14,FALSE))</f>
        <v/>
      </c>
      <c r="G16" s="380" t="str">
        <f>IF(C11=0,"",VLOOKUP(C11,'Tablas Magia'!$D$6:$Z$779,18,FALSE))</f>
        <v/>
      </c>
      <c r="H16" s="8403" t="str">
        <f>IF(C11=0,"",VLOOKUP(C11,'Tablas Magia'!$D$6:$Z$779,22,FALSE))</f>
        <v/>
      </c>
      <c r="I16" s="8404"/>
      <c r="J16" s="8404"/>
      <c r="K16" s="8404"/>
      <c r="L16" s="8404"/>
      <c r="M16" s="8404"/>
      <c r="N16" s="8404"/>
      <c r="O16" s="8404"/>
      <c r="P16" s="8404"/>
      <c r="Q16" s="8405"/>
      <c r="R16" s="366"/>
      <c r="S16" s="360"/>
      <c r="T16" s="360"/>
      <c r="U16" s="262"/>
      <c r="V16" s="8401" t="s">
        <v>3037</v>
      </c>
      <c r="W16" s="8402"/>
      <c r="X16" s="379" t="str">
        <f>IF(V11=0,"",VLOOKUP(V11,'Tablas Magia'!$D$6:$Z$779,10,FALSE))</f>
        <v/>
      </c>
      <c r="Y16" s="379" t="str">
        <f>IF(V11=0,"",VLOOKUP(V11,'Tablas Magia'!$D$6:$Z$779,14,FALSE))</f>
        <v/>
      </c>
      <c r="Z16" s="380" t="str">
        <f>IF(V11=0,"",VLOOKUP(V11,'Tablas Magia'!$D$6:$Z$779,18,FALSE))</f>
        <v/>
      </c>
      <c r="AA16" s="8403" t="str">
        <f>IF(V11=0,"",VLOOKUP(V11,'Tablas Magia'!$D$6:$Z$779,22,FALSE))</f>
        <v/>
      </c>
      <c r="AB16" s="8404"/>
      <c r="AC16" s="8404"/>
      <c r="AD16" s="8404"/>
      <c r="AE16" s="8404"/>
      <c r="AF16" s="8404"/>
      <c r="AG16" s="8404"/>
      <c r="AH16" s="8404"/>
      <c r="AI16" s="8404"/>
      <c r="AJ16" s="8405"/>
      <c r="AK16" s="366"/>
      <c r="AL16" s="360"/>
      <c r="AM16" s="360"/>
      <c r="AN16" s="262"/>
      <c r="AO16" s="8401" t="s">
        <v>3037</v>
      </c>
      <c r="AP16" s="8402"/>
      <c r="AQ16" s="379" t="str">
        <f>IF(AO11=0,"",VLOOKUP(AO11,'Tablas Magia'!$D$6:$Z$779,10,FALSE))</f>
        <v/>
      </c>
      <c r="AR16" s="379" t="str">
        <f>IF(AO11=0,"",VLOOKUP(AO11,'Tablas Magia'!$D$6:$Z$779,14,FALSE))</f>
        <v/>
      </c>
      <c r="AS16" s="380" t="str">
        <f>IF(AO11=0,"",VLOOKUP(AO11,'Tablas Magia'!$D$6:$Z$779,18,FALSE))</f>
        <v/>
      </c>
      <c r="AT16" s="8403" t="str">
        <f>IF(AO11=0,"",VLOOKUP(AO11,'Tablas Magia'!$D$6:$Z$779,22,FALSE))</f>
        <v/>
      </c>
      <c r="AU16" s="8404"/>
      <c r="AV16" s="8404"/>
      <c r="AW16" s="8404"/>
      <c r="AX16" s="8404"/>
      <c r="AY16" s="8404"/>
      <c r="AZ16" s="8404"/>
      <c r="BA16" s="8404"/>
      <c r="BB16" s="8404"/>
      <c r="BC16" s="8405"/>
      <c r="BD16" s="366"/>
      <c r="BE16" s="360"/>
      <c r="BF16" s="360"/>
      <c r="BG16" s="262"/>
      <c r="BH16" s="8401" t="s">
        <v>3037</v>
      </c>
      <c r="BI16" s="8402"/>
      <c r="BJ16" s="379" t="str">
        <f>IF(BH11=0,"",VLOOKUP(BH11,'Tablas Magia'!$D$6:$Z$779,10,FALSE))</f>
        <v/>
      </c>
      <c r="BK16" s="379" t="str">
        <f>IF(BH11=0,"",VLOOKUP(BH11,'Tablas Magia'!$D$6:$Z$779,14,FALSE))</f>
        <v/>
      </c>
      <c r="BL16" s="380" t="str">
        <f>IF(BH11=0,"",VLOOKUP(BH11,'Tablas Magia'!$D$6:$Z$779,18,FALSE))</f>
        <v/>
      </c>
      <c r="BM16" s="8403" t="str">
        <f>IF(BH11=0,"",VLOOKUP(BH11,'Tablas Magia'!$D$6:$Z$779,22,FALSE))</f>
        <v/>
      </c>
      <c r="BN16" s="8404"/>
      <c r="BO16" s="8404"/>
      <c r="BP16" s="8404"/>
      <c r="BQ16" s="8404"/>
      <c r="BR16" s="8404"/>
      <c r="BS16" s="8404"/>
      <c r="BT16" s="8404"/>
      <c r="BU16" s="8404"/>
      <c r="BV16" s="8405"/>
      <c r="BW16" s="366"/>
      <c r="BX16" s="360"/>
    </row>
    <row r="17" spans="1:76" ht="12.2" customHeight="1">
      <c r="A17" s="360"/>
      <c r="B17" s="262"/>
      <c r="C17" s="8406" t="str">
        <f>IF(C11=0,"",VLOOKUP(C11,'Tablas Magia'!$D$6:$Z$779,23,FALSE))</f>
        <v/>
      </c>
      <c r="D17" s="8407"/>
      <c r="E17" s="8407"/>
      <c r="F17" s="8407"/>
      <c r="G17" s="8407"/>
      <c r="H17" s="8407"/>
      <c r="I17" s="8407"/>
      <c r="J17" s="8407"/>
      <c r="K17" s="8407"/>
      <c r="L17" s="8407"/>
      <c r="M17" s="8407"/>
      <c r="N17" s="8407"/>
      <c r="O17" s="8407"/>
      <c r="P17" s="8407"/>
      <c r="Q17" s="8408"/>
      <c r="R17" s="366"/>
      <c r="S17" s="360"/>
      <c r="T17" s="360"/>
      <c r="U17" s="262"/>
      <c r="V17" s="8406" t="str">
        <f>IF(V11=0,"",VLOOKUP(V11,'Tablas Magia'!$D$6:$Z$779,23,FALSE))</f>
        <v/>
      </c>
      <c r="W17" s="8407"/>
      <c r="X17" s="8407"/>
      <c r="Y17" s="8407"/>
      <c r="Z17" s="8407"/>
      <c r="AA17" s="8407"/>
      <c r="AB17" s="8407"/>
      <c r="AC17" s="8407"/>
      <c r="AD17" s="8407"/>
      <c r="AE17" s="8407"/>
      <c r="AF17" s="8407"/>
      <c r="AG17" s="8407"/>
      <c r="AH17" s="8407"/>
      <c r="AI17" s="8407"/>
      <c r="AJ17" s="8408"/>
      <c r="AK17" s="366"/>
      <c r="AL17" s="360"/>
      <c r="AM17" s="360"/>
      <c r="AN17" s="262"/>
      <c r="AO17" s="8406" t="str">
        <f>IF(AO11=0,"",VLOOKUP(AO11,'Tablas Magia'!$D$6:$Z$779,23,FALSE))</f>
        <v/>
      </c>
      <c r="AP17" s="8407"/>
      <c r="AQ17" s="8407"/>
      <c r="AR17" s="8407"/>
      <c r="AS17" s="8407"/>
      <c r="AT17" s="8407"/>
      <c r="AU17" s="8407"/>
      <c r="AV17" s="8407"/>
      <c r="AW17" s="8407"/>
      <c r="AX17" s="8407"/>
      <c r="AY17" s="8407"/>
      <c r="AZ17" s="8407"/>
      <c r="BA17" s="8407"/>
      <c r="BB17" s="8407"/>
      <c r="BC17" s="8408"/>
      <c r="BD17" s="366"/>
      <c r="BE17" s="360"/>
      <c r="BF17" s="360"/>
      <c r="BG17" s="262"/>
      <c r="BH17" s="8406" t="str">
        <f>IF(BH11=0,"",VLOOKUP(BH11,'Tablas Magia'!$D$6:$Z$779,23,FALSE))</f>
        <v/>
      </c>
      <c r="BI17" s="8407"/>
      <c r="BJ17" s="8407"/>
      <c r="BK17" s="8407"/>
      <c r="BL17" s="8407"/>
      <c r="BM17" s="8407"/>
      <c r="BN17" s="8407"/>
      <c r="BO17" s="8407"/>
      <c r="BP17" s="8407"/>
      <c r="BQ17" s="8407"/>
      <c r="BR17" s="8407"/>
      <c r="BS17" s="8407"/>
      <c r="BT17" s="8407"/>
      <c r="BU17" s="8407"/>
      <c r="BV17" s="8408"/>
      <c r="BW17" s="366"/>
      <c r="BX17" s="360"/>
    </row>
    <row r="18" spans="1:76" ht="12.2" customHeight="1">
      <c r="A18" s="360"/>
      <c r="B18" s="262"/>
      <c r="C18" s="8409"/>
      <c r="D18" s="8410"/>
      <c r="E18" s="8410"/>
      <c r="F18" s="8410"/>
      <c r="G18" s="8410"/>
      <c r="H18" s="8410"/>
      <c r="I18" s="8410"/>
      <c r="J18" s="8410"/>
      <c r="K18" s="8410"/>
      <c r="L18" s="8410"/>
      <c r="M18" s="8410"/>
      <c r="N18" s="8410"/>
      <c r="O18" s="8410"/>
      <c r="P18" s="8410"/>
      <c r="Q18" s="8411"/>
      <c r="R18" s="366"/>
      <c r="S18" s="360"/>
      <c r="T18" s="360"/>
      <c r="U18" s="262"/>
      <c r="V18" s="8409"/>
      <c r="W18" s="8410"/>
      <c r="X18" s="8410"/>
      <c r="Y18" s="8410"/>
      <c r="Z18" s="8410"/>
      <c r="AA18" s="8410"/>
      <c r="AB18" s="8410"/>
      <c r="AC18" s="8410"/>
      <c r="AD18" s="8410"/>
      <c r="AE18" s="8410"/>
      <c r="AF18" s="8410"/>
      <c r="AG18" s="8410"/>
      <c r="AH18" s="8410"/>
      <c r="AI18" s="8410"/>
      <c r="AJ18" s="8411"/>
      <c r="AK18" s="366"/>
      <c r="AL18" s="360"/>
      <c r="AM18" s="360"/>
      <c r="AN18" s="262"/>
      <c r="AO18" s="8409"/>
      <c r="AP18" s="8410"/>
      <c r="AQ18" s="8410"/>
      <c r="AR18" s="8410"/>
      <c r="AS18" s="8410"/>
      <c r="AT18" s="8410"/>
      <c r="AU18" s="8410"/>
      <c r="AV18" s="8410"/>
      <c r="AW18" s="8410"/>
      <c r="AX18" s="8410"/>
      <c r="AY18" s="8410"/>
      <c r="AZ18" s="8410"/>
      <c r="BA18" s="8410"/>
      <c r="BB18" s="8410"/>
      <c r="BC18" s="8411"/>
      <c r="BD18" s="366"/>
      <c r="BE18" s="360"/>
      <c r="BF18" s="360"/>
      <c r="BG18" s="262"/>
      <c r="BH18" s="8409"/>
      <c r="BI18" s="8410"/>
      <c r="BJ18" s="8410"/>
      <c r="BK18" s="8410"/>
      <c r="BL18" s="8410"/>
      <c r="BM18" s="8410"/>
      <c r="BN18" s="8410"/>
      <c r="BO18" s="8410"/>
      <c r="BP18" s="8410"/>
      <c r="BQ18" s="8410"/>
      <c r="BR18" s="8410"/>
      <c r="BS18" s="8410"/>
      <c r="BT18" s="8410"/>
      <c r="BU18" s="8410"/>
      <c r="BV18" s="8411"/>
      <c r="BW18" s="366"/>
      <c r="BX18" s="360"/>
    </row>
    <row r="19" spans="1:76" ht="12.2" customHeight="1">
      <c r="A19" s="360"/>
      <c r="B19" s="262"/>
      <c r="C19" s="8409"/>
      <c r="D19" s="8410"/>
      <c r="E19" s="8410"/>
      <c r="F19" s="8410"/>
      <c r="G19" s="8410"/>
      <c r="H19" s="8410"/>
      <c r="I19" s="8410"/>
      <c r="J19" s="8410"/>
      <c r="K19" s="8410"/>
      <c r="L19" s="8410"/>
      <c r="M19" s="8410"/>
      <c r="N19" s="8410"/>
      <c r="O19" s="8410"/>
      <c r="P19" s="8410"/>
      <c r="Q19" s="8411"/>
      <c r="R19" s="366"/>
      <c r="S19" s="360"/>
      <c r="T19" s="360"/>
      <c r="U19" s="262"/>
      <c r="V19" s="8409"/>
      <c r="W19" s="8410"/>
      <c r="X19" s="8410"/>
      <c r="Y19" s="8410"/>
      <c r="Z19" s="8410"/>
      <c r="AA19" s="8410"/>
      <c r="AB19" s="8410"/>
      <c r="AC19" s="8410"/>
      <c r="AD19" s="8410"/>
      <c r="AE19" s="8410"/>
      <c r="AF19" s="8410"/>
      <c r="AG19" s="8410"/>
      <c r="AH19" s="8410"/>
      <c r="AI19" s="8410"/>
      <c r="AJ19" s="8411"/>
      <c r="AK19" s="366"/>
      <c r="AL19" s="360"/>
      <c r="AM19" s="360"/>
      <c r="AN19" s="262"/>
      <c r="AO19" s="8409"/>
      <c r="AP19" s="8410"/>
      <c r="AQ19" s="8410"/>
      <c r="AR19" s="8410"/>
      <c r="AS19" s="8410"/>
      <c r="AT19" s="8410"/>
      <c r="AU19" s="8410"/>
      <c r="AV19" s="8410"/>
      <c r="AW19" s="8410"/>
      <c r="AX19" s="8410"/>
      <c r="AY19" s="8410"/>
      <c r="AZ19" s="8410"/>
      <c r="BA19" s="8410"/>
      <c r="BB19" s="8410"/>
      <c r="BC19" s="8411"/>
      <c r="BD19" s="366"/>
      <c r="BE19" s="360"/>
      <c r="BF19" s="360"/>
      <c r="BG19" s="262"/>
      <c r="BH19" s="8409"/>
      <c r="BI19" s="8410"/>
      <c r="BJ19" s="8410"/>
      <c r="BK19" s="8410"/>
      <c r="BL19" s="8410"/>
      <c r="BM19" s="8410"/>
      <c r="BN19" s="8410"/>
      <c r="BO19" s="8410"/>
      <c r="BP19" s="8410"/>
      <c r="BQ19" s="8410"/>
      <c r="BR19" s="8410"/>
      <c r="BS19" s="8410"/>
      <c r="BT19" s="8410"/>
      <c r="BU19" s="8410"/>
      <c r="BV19" s="8411"/>
      <c r="BW19" s="366"/>
      <c r="BX19" s="360"/>
    </row>
    <row r="20" spans="1:76" ht="12.2" customHeight="1" thickBot="1">
      <c r="A20" s="360"/>
      <c r="B20" s="262"/>
      <c r="C20" s="8412"/>
      <c r="D20" s="8413"/>
      <c r="E20" s="8413"/>
      <c r="F20" s="8413"/>
      <c r="G20" s="8413"/>
      <c r="H20" s="8413"/>
      <c r="I20" s="8413"/>
      <c r="J20" s="8413"/>
      <c r="K20" s="8413"/>
      <c r="L20" s="8413"/>
      <c r="M20" s="8413"/>
      <c r="N20" s="8413"/>
      <c r="O20" s="8413"/>
      <c r="P20" s="8413"/>
      <c r="Q20" s="8414"/>
      <c r="R20" s="366"/>
      <c r="S20" s="360"/>
      <c r="T20" s="360"/>
      <c r="U20" s="262"/>
      <c r="V20" s="8412"/>
      <c r="W20" s="8413"/>
      <c r="X20" s="8413"/>
      <c r="Y20" s="8413"/>
      <c r="Z20" s="8413"/>
      <c r="AA20" s="8413"/>
      <c r="AB20" s="8413"/>
      <c r="AC20" s="8413"/>
      <c r="AD20" s="8413"/>
      <c r="AE20" s="8413"/>
      <c r="AF20" s="8413"/>
      <c r="AG20" s="8413"/>
      <c r="AH20" s="8413"/>
      <c r="AI20" s="8413"/>
      <c r="AJ20" s="8414"/>
      <c r="AK20" s="366"/>
      <c r="AL20" s="360"/>
      <c r="AM20" s="360"/>
      <c r="AN20" s="262"/>
      <c r="AO20" s="8412"/>
      <c r="AP20" s="8413"/>
      <c r="AQ20" s="8413"/>
      <c r="AR20" s="8413"/>
      <c r="AS20" s="8413"/>
      <c r="AT20" s="8413"/>
      <c r="AU20" s="8413"/>
      <c r="AV20" s="8413"/>
      <c r="AW20" s="8413"/>
      <c r="AX20" s="8413"/>
      <c r="AY20" s="8413"/>
      <c r="AZ20" s="8413"/>
      <c r="BA20" s="8413"/>
      <c r="BB20" s="8413"/>
      <c r="BC20" s="8414"/>
      <c r="BD20" s="366"/>
      <c r="BE20" s="360"/>
      <c r="BF20" s="360"/>
      <c r="BG20" s="262"/>
      <c r="BH20" s="8412"/>
      <c r="BI20" s="8413"/>
      <c r="BJ20" s="8413"/>
      <c r="BK20" s="8413"/>
      <c r="BL20" s="8413"/>
      <c r="BM20" s="8413"/>
      <c r="BN20" s="8413"/>
      <c r="BO20" s="8413"/>
      <c r="BP20" s="8413"/>
      <c r="BQ20" s="8413"/>
      <c r="BR20" s="8413"/>
      <c r="BS20" s="8413"/>
      <c r="BT20" s="8413"/>
      <c r="BU20" s="8413"/>
      <c r="BV20" s="8414"/>
      <c r="BW20" s="366"/>
      <c r="BX20" s="360"/>
    </row>
    <row r="21" spans="1:76" ht="12.2" customHeight="1" thickBot="1">
      <c r="A21" s="360"/>
      <c r="B21" s="262"/>
      <c r="C21" s="743"/>
      <c r="D21" s="743"/>
      <c r="E21" s="743"/>
      <c r="F21" s="743"/>
      <c r="G21" s="743"/>
      <c r="H21" s="381"/>
      <c r="I21" s="382"/>
      <c r="J21" s="383"/>
      <c r="K21" s="383"/>
      <c r="L21" s="383"/>
      <c r="M21" s="329"/>
      <c r="N21" s="329"/>
      <c r="O21" s="329"/>
      <c r="P21" s="329"/>
      <c r="Q21" s="329"/>
      <c r="R21" s="366"/>
      <c r="S21" s="360"/>
      <c r="T21" s="360"/>
      <c r="U21" s="262"/>
      <c r="V21" s="1521"/>
      <c r="W21" s="1521"/>
      <c r="X21" s="1521"/>
      <c r="Y21" s="1521"/>
      <c r="Z21" s="1521"/>
      <c r="AA21" s="381"/>
      <c r="AB21" s="382"/>
      <c r="AC21" s="383"/>
      <c r="AD21" s="383"/>
      <c r="AE21" s="383"/>
      <c r="AF21" s="329"/>
      <c r="AG21" s="329"/>
      <c r="AH21" s="329"/>
      <c r="AI21" s="329"/>
      <c r="AJ21" s="329"/>
      <c r="AK21" s="366"/>
      <c r="AL21" s="360"/>
      <c r="AM21" s="360"/>
      <c r="AN21" s="262"/>
      <c r="AO21" s="1521"/>
      <c r="AP21" s="1521"/>
      <c r="AQ21" s="1521"/>
      <c r="AR21" s="1521"/>
      <c r="AS21" s="1521"/>
      <c r="AT21" s="381"/>
      <c r="AU21" s="382"/>
      <c r="AV21" s="383"/>
      <c r="AW21" s="383"/>
      <c r="AX21" s="383"/>
      <c r="AY21" s="329"/>
      <c r="AZ21" s="329"/>
      <c r="BA21" s="329"/>
      <c r="BB21" s="329"/>
      <c r="BC21" s="329"/>
      <c r="BD21" s="366"/>
      <c r="BE21" s="360"/>
      <c r="BF21" s="360"/>
      <c r="BG21" s="262"/>
      <c r="BH21" s="1521"/>
      <c r="BI21" s="1521"/>
      <c r="BJ21" s="1521"/>
      <c r="BK21" s="1521"/>
      <c r="BL21" s="1521"/>
      <c r="BM21" s="381"/>
      <c r="BN21" s="382"/>
      <c r="BO21" s="383"/>
      <c r="BP21" s="383"/>
      <c r="BQ21" s="383"/>
      <c r="BR21" s="329"/>
      <c r="BS21" s="329"/>
      <c r="BT21" s="329"/>
      <c r="BU21" s="329"/>
      <c r="BV21" s="329"/>
      <c r="BW21" s="366"/>
      <c r="BX21" s="360"/>
    </row>
    <row r="22" spans="1:76" ht="12.2" customHeight="1">
      <c r="A22" s="360"/>
      <c r="B22" s="262"/>
      <c r="C22" s="8375"/>
      <c r="D22" s="8376"/>
      <c r="E22" s="8376"/>
      <c r="F22" s="8376"/>
      <c r="G22" s="8376"/>
      <c r="H22" s="370" t="s">
        <v>1186</v>
      </c>
      <c r="I22" s="371" t="str">
        <f>IF(C22=0,"",VLOOKUP(C22,'Tablas Magia'!$D$6:$Z$779,3,FALSE))</f>
        <v/>
      </c>
      <c r="J22" s="8377" t="s">
        <v>5816</v>
      </c>
      <c r="K22" s="8377"/>
      <c r="L22" s="8377"/>
      <c r="M22" s="8378" t="str">
        <f>IF(C22=0,"",VLOOKUP(C22,'Tablas Magia'!$D$6:$Z$779,2,FALSE))</f>
        <v/>
      </c>
      <c r="N22" s="8378"/>
      <c r="O22" s="8378"/>
      <c r="P22" s="8378"/>
      <c r="Q22" s="8379"/>
      <c r="R22" s="366"/>
      <c r="S22" s="360"/>
      <c r="T22" s="360"/>
      <c r="U22" s="262"/>
      <c r="V22" s="8375"/>
      <c r="W22" s="8376"/>
      <c r="X22" s="8376"/>
      <c r="Y22" s="8376"/>
      <c r="Z22" s="8376"/>
      <c r="AA22" s="370" t="s">
        <v>1186</v>
      </c>
      <c r="AB22" s="371" t="str">
        <f>IF(V22=0,"",VLOOKUP(V22,'Tablas Magia'!$D$6:$Z$779,3,FALSE))</f>
        <v/>
      </c>
      <c r="AC22" s="8377" t="s">
        <v>5816</v>
      </c>
      <c r="AD22" s="8377"/>
      <c r="AE22" s="8377"/>
      <c r="AF22" s="8378" t="str">
        <f>IF(V22=0,"",VLOOKUP(V22,'Tablas Magia'!$D$6:$Z$779,2,FALSE))</f>
        <v/>
      </c>
      <c r="AG22" s="8378"/>
      <c r="AH22" s="8378"/>
      <c r="AI22" s="8378"/>
      <c r="AJ22" s="8379"/>
      <c r="AK22" s="366"/>
      <c r="AL22" s="360"/>
      <c r="AM22" s="360"/>
      <c r="AN22" s="262"/>
      <c r="AO22" s="8375"/>
      <c r="AP22" s="8376"/>
      <c r="AQ22" s="8376"/>
      <c r="AR22" s="8376"/>
      <c r="AS22" s="8376"/>
      <c r="AT22" s="370" t="s">
        <v>1186</v>
      </c>
      <c r="AU22" s="371" t="str">
        <f>IF(AO22=0,"",VLOOKUP(AO22,'Tablas Magia'!$D$6:$Z$779,3,FALSE))</f>
        <v/>
      </c>
      <c r="AV22" s="8377" t="s">
        <v>5816</v>
      </c>
      <c r="AW22" s="8377"/>
      <c r="AX22" s="8377"/>
      <c r="AY22" s="8378" t="str">
        <f>IF(AO22=0,"",VLOOKUP(AO22,'Tablas Magia'!$D$6:$Z$779,2,FALSE))</f>
        <v/>
      </c>
      <c r="AZ22" s="8378"/>
      <c r="BA22" s="8378"/>
      <c r="BB22" s="8378"/>
      <c r="BC22" s="8379"/>
      <c r="BD22" s="366"/>
      <c r="BE22" s="360"/>
      <c r="BF22" s="360"/>
      <c r="BG22" s="262"/>
      <c r="BH22" s="8375"/>
      <c r="BI22" s="8376"/>
      <c r="BJ22" s="8376"/>
      <c r="BK22" s="8376"/>
      <c r="BL22" s="8376"/>
      <c r="BM22" s="370" t="s">
        <v>1186</v>
      </c>
      <c r="BN22" s="371" t="str">
        <f>IF(BH22=0,"",VLOOKUP(BH22,'Tablas Magia'!$D$6:$Z$779,3,FALSE))</f>
        <v/>
      </c>
      <c r="BO22" s="8377" t="s">
        <v>5816</v>
      </c>
      <c r="BP22" s="8377"/>
      <c r="BQ22" s="8377"/>
      <c r="BR22" s="8378" t="str">
        <f>IF(BH22=0,"",VLOOKUP(BH22,'Tablas Magia'!$D$6:$Z$779,2,FALSE))</f>
        <v/>
      </c>
      <c r="BS22" s="8378"/>
      <c r="BT22" s="8378"/>
      <c r="BU22" s="8378"/>
      <c r="BV22" s="8379"/>
      <c r="BW22" s="366"/>
      <c r="BX22" s="360"/>
    </row>
    <row r="23" spans="1:76" ht="12.2" customHeight="1">
      <c r="A23" s="360"/>
      <c r="B23" s="262"/>
      <c r="C23" s="8399" t="s">
        <v>5817</v>
      </c>
      <c r="D23" s="8400"/>
      <c r="E23" s="372" t="s">
        <v>5818</v>
      </c>
      <c r="F23" s="372" t="s">
        <v>1368</v>
      </c>
      <c r="G23" s="372" t="s">
        <v>2666</v>
      </c>
      <c r="H23" s="373" t="s">
        <v>1690</v>
      </c>
      <c r="I23" s="8396" t="str">
        <f>IF(C22=0,"",VLOOKUP(C22,'Tablas Magia'!$D$6:$Z$779,5,FALSE))</f>
        <v/>
      </c>
      <c r="J23" s="8396"/>
      <c r="K23" s="8397" t="s">
        <v>5819</v>
      </c>
      <c r="L23" s="8397"/>
      <c r="M23" s="8396" t="str">
        <f>IF(C22=0,"",VLOOKUP(C22,'Tablas Magia'!$D$6:$Z$779,6,FALSE))</f>
        <v/>
      </c>
      <c r="N23" s="8396"/>
      <c r="O23" s="8398" t="s">
        <v>5820</v>
      </c>
      <c r="P23" s="8398"/>
      <c r="Q23" s="374" t="str">
        <f>IF(C22=0,"",VLOOKUP(C22,'Tablas Magia'!$D$6:$Z$779,4,FALSE))</f>
        <v/>
      </c>
      <c r="R23" s="366"/>
      <c r="S23" s="360"/>
      <c r="T23" s="360"/>
      <c r="U23" s="262"/>
      <c r="V23" s="8399" t="s">
        <v>5817</v>
      </c>
      <c r="W23" s="8400"/>
      <c r="X23" s="372" t="s">
        <v>5818</v>
      </c>
      <c r="Y23" s="372" t="s">
        <v>1368</v>
      </c>
      <c r="Z23" s="372" t="s">
        <v>2666</v>
      </c>
      <c r="AA23" s="373" t="s">
        <v>1690</v>
      </c>
      <c r="AB23" s="8396" t="str">
        <f>IF(V22=0,"",VLOOKUP(V22,'Tablas Magia'!$D$6:$Z$779,5,FALSE))</f>
        <v/>
      </c>
      <c r="AC23" s="8396"/>
      <c r="AD23" s="8397" t="s">
        <v>5819</v>
      </c>
      <c r="AE23" s="8397"/>
      <c r="AF23" s="8396" t="str">
        <f>IF(V22=0,"",VLOOKUP(V22,'Tablas Magia'!$D$6:$Z$779,6,FALSE))</f>
        <v/>
      </c>
      <c r="AG23" s="8396"/>
      <c r="AH23" s="8398" t="s">
        <v>5820</v>
      </c>
      <c r="AI23" s="8398"/>
      <c r="AJ23" s="374" t="str">
        <f>IF(V22=0,"",VLOOKUP(V22,'Tablas Magia'!$D$6:$Z$779,4,FALSE))</f>
        <v/>
      </c>
      <c r="AK23" s="366"/>
      <c r="AL23" s="360"/>
      <c r="AM23" s="360"/>
      <c r="AN23" s="262"/>
      <c r="AO23" s="8399" t="s">
        <v>5817</v>
      </c>
      <c r="AP23" s="8400"/>
      <c r="AQ23" s="372" t="s">
        <v>5818</v>
      </c>
      <c r="AR23" s="372" t="s">
        <v>1368</v>
      </c>
      <c r="AS23" s="372" t="s">
        <v>2666</v>
      </c>
      <c r="AT23" s="373" t="s">
        <v>1690</v>
      </c>
      <c r="AU23" s="8396" t="str">
        <f>IF(AO22=0,"",VLOOKUP(AO22,'Tablas Magia'!$D$6:$Z$779,5,FALSE))</f>
        <v/>
      </c>
      <c r="AV23" s="8396"/>
      <c r="AW23" s="8397" t="s">
        <v>5819</v>
      </c>
      <c r="AX23" s="8397"/>
      <c r="AY23" s="8396" t="str">
        <f>IF(AO22=0,"",VLOOKUP(AO22,'Tablas Magia'!$D$6:$Z$779,6,FALSE))</f>
        <v/>
      </c>
      <c r="AZ23" s="8396"/>
      <c r="BA23" s="8398" t="s">
        <v>5820</v>
      </c>
      <c r="BB23" s="8398"/>
      <c r="BC23" s="374" t="str">
        <f>IF(AO22=0,"",VLOOKUP(AO22,'Tablas Magia'!$D$6:$Z$779,4,FALSE))</f>
        <v/>
      </c>
      <c r="BD23" s="366"/>
      <c r="BE23" s="360"/>
      <c r="BF23" s="360"/>
      <c r="BG23" s="262"/>
      <c r="BH23" s="8399" t="s">
        <v>5817</v>
      </c>
      <c r="BI23" s="8400"/>
      <c r="BJ23" s="372" t="s">
        <v>5818</v>
      </c>
      <c r="BK23" s="372" t="s">
        <v>1368</v>
      </c>
      <c r="BL23" s="372" t="s">
        <v>2666</v>
      </c>
      <c r="BM23" s="373" t="s">
        <v>1690</v>
      </c>
      <c r="BN23" s="8396" t="str">
        <f>IF(BH22=0,"",VLOOKUP(BH22,'Tablas Magia'!$D$6:$Z$779,5,FALSE))</f>
        <v/>
      </c>
      <c r="BO23" s="8396"/>
      <c r="BP23" s="8397" t="s">
        <v>5819</v>
      </c>
      <c r="BQ23" s="8397"/>
      <c r="BR23" s="8396" t="str">
        <f>IF(BH22=0,"",VLOOKUP(BH22,'Tablas Magia'!$D$6:$Z$779,6,FALSE))</f>
        <v/>
      </c>
      <c r="BS23" s="8396"/>
      <c r="BT23" s="8398" t="s">
        <v>5820</v>
      </c>
      <c r="BU23" s="8398"/>
      <c r="BV23" s="374" t="str">
        <f>IF(BH22=0,"",VLOOKUP(BH22,'Tablas Magia'!$D$6:$Z$779,4,FALSE))</f>
        <v/>
      </c>
      <c r="BW23" s="366"/>
      <c r="BX23" s="360"/>
    </row>
    <row r="24" spans="1:76" ht="12.2" customHeight="1">
      <c r="A24" s="360"/>
      <c r="B24" s="262"/>
      <c r="C24" s="8391" t="s">
        <v>1225</v>
      </c>
      <c r="D24" s="8392"/>
      <c r="E24" s="375" t="str">
        <f>IF(C22=0,"",VLOOKUP(C22,'Tablas Magia'!$D$6:$Z$779,7,FALSE))</f>
        <v/>
      </c>
      <c r="F24" s="375" t="str">
        <f>IF(C22=0,"",VLOOKUP(C22,'Tablas Magia'!$D$6:$Z$779,11,FALSE))</f>
        <v/>
      </c>
      <c r="G24" s="376" t="str">
        <f>IF(C22=0,"",VLOOKUP(C22,'Tablas Magia'!$D$6:$Z$779,15,FALSE))</f>
        <v/>
      </c>
      <c r="H24" s="8393" t="str">
        <f>IF(C22=0,"",VLOOKUP(C22,'Tablas Magia'!$D$6:$Z$779,19,FALSE))</f>
        <v/>
      </c>
      <c r="I24" s="8394"/>
      <c r="J24" s="8394"/>
      <c r="K24" s="8394"/>
      <c r="L24" s="8394"/>
      <c r="M24" s="8394"/>
      <c r="N24" s="8394"/>
      <c r="O24" s="8394"/>
      <c r="P24" s="8394"/>
      <c r="Q24" s="8395"/>
      <c r="R24" s="366"/>
      <c r="S24" s="360"/>
      <c r="T24" s="360"/>
      <c r="U24" s="262"/>
      <c r="V24" s="8391" t="s">
        <v>1225</v>
      </c>
      <c r="W24" s="8392"/>
      <c r="X24" s="375" t="str">
        <f>IF(V22=0,"",VLOOKUP(V22,'Tablas Magia'!$D$6:$Z$779,7,FALSE))</f>
        <v/>
      </c>
      <c r="Y24" s="375" t="str">
        <f>IF(V22=0,"",VLOOKUP(V22,'Tablas Magia'!$D$6:$Z$779,11,FALSE))</f>
        <v/>
      </c>
      <c r="Z24" s="376" t="str">
        <f>IF(V22=0,"",VLOOKUP(V22,'Tablas Magia'!$D$6:$Z$779,15,FALSE))</f>
        <v/>
      </c>
      <c r="AA24" s="8393" t="str">
        <f>IF(V22=0,"",VLOOKUP(V22,'Tablas Magia'!$D$6:$Z$779,19,FALSE))</f>
        <v/>
      </c>
      <c r="AB24" s="8394"/>
      <c r="AC24" s="8394"/>
      <c r="AD24" s="8394"/>
      <c r="AE24" s="8394"/>
      <c r="AF24" s="8394"/>
      <c r="AG24" s="8394"/>
      <c r="AH24" s="8394"/>
      <c r="AI24" s="8394"/>
      <c r="AJ24" s="8395"/>
      <c r="AK24" s="366"/>
      <c r="AL24" s="360"/>
      <c r="AM24" s="360"/>
      <c r="AN24" s="262"/>
      <c r="AO24" s="8391" t="s">
        <v>1225</v>
      </c>
      <c r="AP24" s="8392"/>
      <c r="AQ24" s="375" t="str">
        <f>IF(AO22=0,"",VLOOKUP(AO22,'Tablas Magia'!$D$6:$Z$779,7,FALSE))</f>
        <v/>
      </c>
      <c r="AR24" s="375" t="str">
        <f>IF(AO22=0,"",VLOOKUP(AO22,'Tablas Magia'!$D$6:$Z$779,11,FALSE))</f>
        <v/>
      </c>
      <c r="AS24" s="376" t="str">
        <f>IF(AO22=0,"",VLOOKUP(AO22,'Tablas Magia'!$D$6:$Z$779,15,FALSE))</f>
        <v/>
      </c>
      <c r="AT24" s="8393" t="str">
        <f>IF(AO22=0,"",VLOOKUP(AO22,'Tablas Magia'!$D$6:$Z$779,19,FALSE))</f>
        <v/>
      </c>
      <c r="AU24" s="8394"/>
      <c r="AV24" s="8394"/>
      <c r="AW24" s="8394"/>
      <c r="AX24" s="8394"/>
      <c r="AY24" s="8394"/>
      <c r="AZ24" s="8394"/>
      <c r="BA24" s="8394"/>
      <c r="BB24" s="8394"/>
      <c r="BC24" s="8395"/>
      <c r="BD24" s="366"/>
      <c r="BE24" s="360"/>
      <c r="BF24" s="360"/>
      <c r="BG24" s="262"/>
      <c r="BH24" s="8391" t="s">
        <v>1225</v>
      </c>
      <c r="BI24" s="8392"/>
      <c r="BJ24" s="375" t="str">
        <f>IF(BH22=0,"",VLOOKUP(BH22,'Tablas Magia'!$D$6:$Z$779,7,FALSE))</f>
        <v/>
      </c>
      <c r="BK24" s="375" t="str">
        <f>IF(BH22=0,"",VLOOKUP(BH22,'Tablas Magia'!$D$6:$Z$779,11,FALSE))</f>
        <v/>
      </c>
      <c r="BL24" s="376" t="str">
        <f>IF(BH22=0,"",VLOOKUP(BH22,'Tablas Magia'!$D$6:$Z$779,15,FALSE))</f>
        <v/>
      </c>
      <c r="BM24" s="8393" t="str">
        <f>IF(BH22=0,"",VLOOKUP(BH22,'Tablas Magia'!$D$6:$Z$779,19,FALSE))</f>
        <v/>
      </c>
      <c r="BN24" s="8394"/>
      <c r="BO24" s="8394"/>
      <c r="BP24" s="8394"/>
      <c r="BQ24" s="8394"/>
      <c r="BR24" s="8394"/>
      <c r="BS24" s="8394"/>
      <c r="BT24" s="8394"/>
      <c r="BU24" s="8394"/>
      <c r="BV24" s="8395"/>
      <c r="BW24" s="366"/>
      <c r="BX24" s="360"/>
    </row>
    <row r="25" spans="1:76" ht="12.2" customHeight="1">
      <c r="A25" s="360"/>
      <c r="B25" s="262"/>
      <c r="C25" s="8386" t="s">
        <v>3035</v>
      </c>
      <c r="D25" s="8387"/>
      <c r="E25" s="377" t="str">
        <f>IF(C22=0,"",VLOOKUP(C22,'Tablas Magia'!$D$6:$Z$779,8,FALSE))</f>
        <v/>
      </c>
      <c r="F25" s="377" t="str">
        <f>IF(C22=0,"",VLOOKUP(C22,'Tablas Magia'!$D$6:$Z$779,12,FALSE))</f>
        <v/>
      </c>
      <c r="G25" s="378" t="str">
        <f>IF(C22=0,"",VLOOKUP(C22,'Tablas Magia'!$D$6:$Z$779,16,FALSE))</f>
        <v/>
      </c>
      <c r="H25" s="8388" t="str">
        <f>IF(C22=0,"",VLOOKUP(C22,'Tablas Magia'!$D$6:$Z$779,20,FALSE))</f>
        <v/>
      </c>
      <c r="I25" s="8389"/>
      <c r="J25" s="8389"/>
      <c r="K25" s="8389"/>
      <c r="L25" s="8389"/>
      <c r="M25" s="8389"/>
      <c r="N25" s="8389"/>
      <c r="O25" s="8389"/>
      <c r="P25" s="8389"/>
      <c r="Q25" s="8390"/>
      <c r="R25" s="366"/>
      <c r="S25" s="360"/>
      <c r="T25" s="360"/>
      <c r="U25" s="262"/>
      <c r="V25" s="8386" t="s">
        <v>3035</v>
      </c>
      <c r="W25" s="8387"/>
      <c r="X25" s="377" t="str">
        <f>IF(V22=0,"",VLOOKUP(V22,'Tablas Magia'!$D$6:$Z$779,8,FALSE))</f>
        <v/>
      </c>
      <c r="Y25" s="377" t="str">
        <f>IF(V22=0,"",VLOOKUP(V22,'Tablas Magia'!$D$6:$Z$779,12,FALSE))</f>
        <v/>
      </c>
      <c r="Z25" s="378" t="str">
        <f>IF(V22=0,"",VLOOKUP(V22,'Tablas Magia'!$D$6:$Z$779,16,FALSE))</f>
        <v/>
      </c>
      <c r="AA25" s="8388" t="str">
        <f>IF(V22=0,"",VLOOKUP(V22,'Tablas Magia'!$D$6:$Z$779,20,FALSE))</f>
        <v/>
      </c>
      <c r="AB25" s="8389"/>
      <c r="AC25" s="8389"/>
      <c r="AD25" s="8389"/>
      <c r="AE25" s="8389"/>
      <c r="AF25" s="8389"/>
      <c r="AG25" s="8389"/>
      <c r="AH25" s="8389"/>
      <c r="AI25" s="8389"/>
      <c r="AJ25" s="8390"/>
      <c r="AK25" s="366"/>
      <c r="AL25" s="360"/>
      <c r="AM25" s="360"/>
      <c r="AN25" s="262"/>
      <c r="AO25" s="8386" t="s">
        <v>3035</v>
      </c>
      <c r="AP25" s="8387"/>
      <c r="AQ25" s="377" t="str">
        <f>IF(AO22=0,"",VLOOKUP(AO22,'Tablas Magia'!$D$6:$Z$779,8,FALSE))</f>
        <v/>
      </c>
      <c r="AR25" s="377" t="str">
        <f>IF(AO22=0,"",VLOOKUP(AO22,'Tablas Magia'!$D$6:$Z$779,12,FALSE))</f>
        <v/>
      </c>
      <c r="AS25" s="378" t="str">
        <f>IF(AO22=0,"",VLOOKUP(AO22,'Tablas Magia'!$D$6:$Z$779,16,FALSE))</f>
        <v/>
      </c>
      <c r="AT25" s="8388" t="str">
        <f>IF(AO22=0,"",VLOOKUP(AO22,'Tablas Magia'!$D$6:$Z$779,20,FALSE))</f>
        <v/>
      </c>
      <c r="AU25" s="8389"/>
      <c r="AV25" s="8389"/>
      <c r="AW25" s="8389"/>
      <c r="AX25" s="8389"/>
      <c r="AY25" s="8389"/>
      <c r="AZ25" s="8389"/>
      <c r="BA25" s="8389"/>
      <c r="BB25" s="8389"/>
      <c r="BC25" s="8390"/>
      <c r="BD25" s="366"/>
      <c r="BE25" s="360"/>
      <c r="BF25" s="360"/>
      <c r="BG25" s="262"/>
      <c r="BH25" s="8386" t="s">
        <v>3035</v>
      </c>
      <c r="BI25" s="8387"/>
      <c r="BJ25" s="377" t="str">
        <f>IF(BH22=0,"",VLOOKUP(BH22,'Tablas Magia'!$D$6:$Z$779,8,FALSE))</f>
        <v/>
      </c>
      <c r="BK25" s="377" t="str">
        <f>IF(BH22=0,"",VLOOKUP(BH22,'Tablas Magia'!$D$6:$Z$779,12,FALSE))</f>
        <v/>
      </c>
      <c r="BL25" s="378" t="str">
        <f>IF(BH22=0,"",VLOOKUP(BH22,'Tablas Magia'!$D$6:$Z$779,16,FALSE))</f>
        <v/>
      </c>
      <c r="BM25" s="8388" t="str">
        <f>IF(BH22=0,"",VLOOKUP(BH22,'Tablas Magia'!$D$6:$Z$779,20,FALSE))</f>
        <v/>
      </c>
      <c r="BN25" s="8389"/>
      <c r="BO25" s="8389"/>
      <c r="BP25" s="8389"/>
      <c r="BQ25" s="8389"/>
      <c r="BR25" s="8389"/>
      <c r="BS25" s="8389"/>
      <c r="BT25" s="8389"/>
      <c r="BU25" s="8389"/>
      <c r="BV25" s="8390"/>
      <c r="BW25" s="366"/>
      <c r="BX25" s="360"/>
    </row>
    <row r="26" spans="1:76" ht="12.2" customHeight="1">
      <c r="A26" s="360"/>
      <c r="B26" s="262"/>
      <c r="C26" s="8391" t="s">
        <v>3036</v>
      </c>
      <c r="D26" s="8392"/>
      <c r="E26" s="375" t="str">
        <f>IF(C22=0,"",VLOOKUP(C22,'Tablas Magia'!$D$6:$Z$779,9,FALSE))</f>
        <v/>
      </c>
      <c r="F26" s="375" t="str">
        <f>IF(C22=0,"",VLOOKUP(C22,'Tablas Magia'!$D$6:$Z$779,13,FALSE))</f>
        <v/>
      </c>
      <c r="G26" s="376" t="str">
        <f>IF(C22=0,"",VLOOKUP(C22,'Tablas Magia'!$D$6:$Z$779,17,FALSE))</f>
        <v/>
      </c>
      <c r="H26" s="8393" t="str">
        <f>IF(C22=0,"",VLOOKUP(C22,'Tablas Magia'!$D$6:$Z$779,21,FALSE))</f>
        <v/>
      </c>
      <c r="I26" s="8394"/>
      <c r="J26" s="8394"/>
      <c r="K26" s="8394"/>
      <c r="L26" s="8394"/>
      <c r="M26" s="8394"/>
      <c r="N26" s="8394"/>
      <c r="O26" s="8394"/>
      <c r="P26" s="8394"/>
      <c r="Q26" s="8395"/>
      <c r="R26" s="366"/>
      <c r="S26" s="360"/>
      <c r="T26" s="360"/>
      <c r="U26" s="262"/>
      <c r="V26" s="8391" t="s">
        <v>3036</v>
      </c>
      <c r="W26" s="8392"/>
      <c r="X26" s="375" t="str">
        <f>IF(V22=0,"",VLOOKUP(V22,'Tablas Magia'!$D$6:$Z$779,9,FALSE))</f>
        <v/>
      </c>
      <c r="Y26" s="375" t="str">
        <f>IF(V22=0,"",VLOOKUP(V22,'Tablas Magia'!$D$6:$Z$779,13,FALSE))</f>
        <v/>
      </c>
      <c r="Z26" s="376" t="str">
        <f>IF(V22=0,"",VLOOKUP(V22,'Tablas Magia'!$D$6:$Z$779,17,FALSE))</f>
        <v/>
      </c>
      <c r="AA26" s="8393" t="str">
        <f>IF(V22=0,"",VLOOKUP(V22,'Tablas Magia'!$D$6:$Z$779,21,FALSE))</f>
        <v/>
      </c>
      <c r="AB26" s="8394"/>
      <c r="AC26" s="8394"/>
      <c r="AD26" s="8394"/>
      <c r="AE26" s="8394"/>
      <c r="AF26" s="8394"/>
      <c r="AG26" s="8394"/>
      <c r="AH26" s="8394"/>
      <c r="AI26" s="8394"/>
      <c r="AJ26" s="8395"/>
      <c r="AK26" s="366"/>
      <c r="AL26" s="360"/>
      <c r="AM26" s="360"/>
      <c r="AN26" s="262"/>
      <c r="AO26" s="8391" t="s">
        <v>3036</v>
      </c>
      <c r="AP26" s="8392"/>
      <c r="AQ26" s="375" t="str">
        <f>IF(AO22=0,"",VLOOKUP(AO22,'Tablas Magia'!$D$6:$Z$779,9,FALSE))</f>
        <v/>
      </c>
      <c r="AR26" s="375" t="str">
        <f>IF(AO22=0,"",VLOOKUP(AO22,'Tablas Magia'!$D$6:$Z$779,13,FALSE))</f>
        <v/>
      </c>
      <c r="AS26" s="376" t="str">
        <f>IF(AO22=0,"",VLOOKUP(AO22,'Tablas Magia'!$D$6:$Z$779,17,FALSE))</f>
        <v/>
      </c>
      <c r="AT26" s="8393" t="str">
        <f>IF(AO22=0,"",VLOOKUP(AO22,'Tablas Magia'!$D$6:$Z$779,21,FALSE))</f>
        <v/>
      </c>
      <c r="AU26" s="8394"/>
      <c r="AV26" s="8394"/>
      <c r="AW26" s="8394"/>
      <c r="AX26" s="8394"/>
      <c r="AY26" s="8394"/>
      <c r="AZ26" s="8394"/>
      <c r="BA26" s="8394"/>
      <c r="BB26" s="8394"/>
      <c r="BC26" s="8395"/>
      <c r="BD26" s="366"/>
      <c r="BE26" s="360"/>
      <c r="BF26" s="360"/>
      <c r="BG26" s="262"/>
      <c r="BH26" s="8391" t="s">
        <v>3036</v>
      </c>
      <c r="BI26" s="8392"/>
      <c r="BJ26" s="375" t="str">
        <f>IF(BH22=0,"",VLOOKUP(BH22,'Tablas Magia'!$D$6:$Z$779,9,FALSE))</f>
        <v/>
      </c>
      <c r="BK26" s="375" t="str">
        <f>IF(BH22=0,"",VLOOKUP(BH22,'Tablas Magia'!$D$6:$Z$779,13,FALSE))</f>
        <v/>
      </c>
      <c r="BL26" s="376" t="str">
        <f>IF(BH22=0,"",VLOOKUP(BH22,'Tablas Magia'!$D$6:$Z$779,17,FALSE))</f>
        <v/>
      </c>
      <c r="BM26" s="8393" t="str">
        <f>IF(BH22=0,"",VLOOKUP(BH22,'Tablas Magia'!$D$6:$Z$779,21,FALSE))</f>
        <v/>
      </c>
      <c r="BN26" s="8394"/>
      <c r="BO26" s="8394"/>
      <c r="BP26" s="8394"/>
      <c r="BQ26" s="8394"/>
      <c r="BR26" s="8394"/>
      <c r="BS26" s="8394"/>
      <c r="BT26" s="8394"/>
      <c r="BU26" s="8394"/>
      <c r="BV26" s="8395"/>
      <c r="BW26" s="366"/>
      <c r="BX26" s="360"/>
    </row>
    <row r="27" spans="1:76" ht="12.2" customHeight="1" thickBot="1">
      <c r="A27" s="360"/>
      <c r="B27" s="262"/>
      <c r="C27" s="8401" t="s">
        <v>3037</v>
      </c>
      <c r="D27" s="8402"/>
      <c r="E27" s="379" t="str">
        <f>IF(C22=0,"",VLOOKUP(C22,'Tablas Magia'!$D$6:$Z$779,10,FALSE))</f>
        <v/>
      </c>
      <c r="F27" s="379" t="str">
        <f>IF(C22=0,"",VLOOKUP(C22,'Tablas Magia'!$D$6:$Z$779,14,FALSE))</f>
        <v/>
      </c>
      <c r="G27" s="380" t="str">
        <f>IF(C22=0,"",VLOOKUP(C22,'Tablas Magia'!$D$6:$Z$779,18,FALSE))</f>
        <v/>
      </c>
      <c r="H27" s="8403" t="str">
        <f>IF(C22=0,"",VLOOKUP(C22,'Tablas Magia'!$D$6:$Z$779,22,FALSE))</f>
        <v/>
      </c>
      <c r="I27" s="8404"/>
      <c r="J27" s="8404"/>
      <c r="K27" s="8404"/>
      <c r="L27" s="8404"/>
      <c r="M27" s="8404"/>
      <c r="N27" s="8404"/>
      <c r="O27" s="8404"/>
      <c r="P27" s="8404"/>
      <c r="Q27" s="8405"/>
      <c r="R27" s="366"/>
      <c r="S27" s="360"/>
      <c r="T27" s="360"/>
      <c r="U27" s="262"/>
      <c r="V27" s="8401" t="s">
        <v>3037</v>
      </c>
      <c r="W27" s="8402"/>
      <c r="X27" s="379" t="str">
        <f>IF(V22=0,"",VLOOKUP(V22,'Tablas Magia'!$D$6:$Z$779,10,FALSE))</f>
        <v/>
      </c>
      <c r="Y27" s="379" t="str">
        <f>IF(V22=0,"",VLOOKUP(V22,'Tablas Magia'!$D$6:$Z$779,14,FALSE))</f>
        <v/>
      </c>
      <c r="Z27" s="380" t="str">
        <f>IF(V22=0,"",VLOOKUP(V22,'Tablas Magia'!$D$6:$Z$779,18,FALSE))</f>
        <v/>
      </c>
      <c r="AA27" s="8403" t="str">
        <f>IF(V22=0,"",VLOOKUP(V22,'Tablas Magia'!$D$6:$Z$779,22,FALSE))</f>
        <v/>
      </c>
      <c r="AB27" s="8404"/>
      <c r="AC27" s="8404"/>
      <c r="AD27" s="8404"/>
      <c r="AE27" s="8404"/>
      <c r="AF27" s="8404"/>
      <c r="AG27" s="8404"/>
      <c r="AH27" s="8404"/>
      <c r="AI27" s="8404"/>
      <c r="AJ27" s="8405"/>
      <c r="AK27" s="366"/>
      <c r="AL27" s="360"/>
      <c r="AM27" s="360"/>
      <c r="AN27" s="262"/>
      <c r="AO27" s="8401" t="s">
        <v>3037</v>
      </c>
      <c r="AP27" s="8402"/>
      <c r="AQ27" s="379" t="str">
        <f>IF(AO22=0,"",VLOOKUP(AO22,'Tablas Magia'!$D$6:$Z$779,10,FALSE))</f>
        <v/>
      </c>
      <c r="AR27" s="379" t="str">
        <f>IF(AO22=0,"",VLOOKUP(AO22,'Tablas Magia'!$D$6:$Z$779,14,FALSE))</f>
        <v/>
      </c>
      <c r="AS27" s="380" t="str">
        <f>IF(AO22=0,"",VLOOKUP(AO22,'Tablas Magia'!$D$6:$Z$779,18,FALSE))</f>
        <v/>
      </c>
      <c r="AT27" s="8403" t="str">
        <f>IF(AO22=0,"",VLOOKUP(AO22,'Tablas Magia'!$D$6:$Z$779,22,FALSE))</f>
        <v/>
      </c>
      <c r="AU27" s="8404"/>
      <c r="AV27" s="8404"/>
      <c r="AW27" s="8404"/>
      <c r="AX27" s="8404"/>
      <c r="AY27" s="8404"/>
      <c r="AZ27" s="8404"/>
      <c r="BA27" s="8404"/>
      <c r="BB27" s="8404"/>
      <c r="BC27" s="8405"/>
      <c r="BD27" s="366"/>
      <c r="BE27" s="360"/>
      <c r="BF27" s="360"/>
      <c r="BG27" s="262"/>
      <c r="BH27" s="8401" t="s">
        <v>3037</v>
      </c>
      <c r="BI27" s="8402"/>
      <c r="BJ27" s="379" t="str">
        <f>IF(BH22=0,"",VLOOKUP(BH22,'Tablas Magia'!$D$6:$Z$779,10,FALSE))</f>
        <v/>
      </c>
      <c r="BK27" s="379" t="str">
        <f>IF(BH22=0,"",VLOOKUP(BH22,'Tablas Magia'!$D$6:$Z$779,14,FALSE))</f>
        <v/>
      </c>
      <c r="BL27" s="380" t="str">
        <f>IF(BH22=0,"",VLOOKUP(BH22,'Tablas Magia'!$D$6:$Z$779,18,FALSE))</f>
        <v/>
      </c>
      <c r="BM27" s="8403" t="str">
        <f>IF(BH22=0,"",VLOOKUP(BH22,'Tablas Magia'!$D$6:$Z$779,22,FALSE))</f>
        <v/>
      </c>
      <c r="BN27" s="8404"/>
      <c r="BO27" s="8404"/>
      <c r="BP27" s="8404"/>
      <c r="BQ27" s="8404"/>
      <c r="BR27" s="8404"/>
      <c r="BS27" s="8404"/>
      <c r="BT27" s="8404"/>
      <c r="BU27" s="8404"/>
      <c r="BV27" s="8405"/>
      <c r="BW27" s="366"/>
      <c r="BX27" s="360"/>
    </row>
    <row r="28" spans="1:76" ht="12.2" customHeight="1">
      <c r="A28" s="360"/>
      <c r="B28" s="262"/>
      <c r="C28" s="8406" t="str">
        <f>IF(C22=0,"",VLOOKUP(C22,'Tablas Magia'!$D$6:$Z$779,23,FALSE))</f>
        <v/>
      </c>
      <c r="D28" s="8407"/>
      <c r="E28" s="8407"/>
      <c r="F28" s="8407"/>
      <c r="G28" s="8407"/>
      <c r="H28" s="8407"/>
      <c r="I28" s="8407"/>
      <c r="J28" s="8407"/>
      <c r="K28" s="8407"/>
      <c r="L28" s="8407"/>
      <c r="M28" s="8407"/>
      <c r="N28" s="8407"/>
      <c r="O28" s="8407"/>
      <c r="P28" s="8407"/>
      <c r="Q28" s="8408"/>
      <c r="R28" s="366"/>
      <c r="S28" s="360"/>
      <c r="T28" s="360"/>
      <c r="U28" s="262"/>
      <c r="V28" s="8406" t="str">
        <f>IF(V22=0,"",VLOOKUP(V22,'Tablas Magia'!$D$6:$Z$779,23,FALSE))</f>
        <v/>
      </c>
      <c r="W28" s="8407"/>
      <c r="X28" s="8407"/>
      <c r="Y28" s="8407"/>
      <c r="Z28" s="8407"/>
      <c r="AA28" s="8407"/>
      <c r="AB28" s="8407"/>
      <c r="AC28" s="8407"/>
      <c r="AD28" s="8407"/>
      <c r="AE28" s="8407"/>
      <c r="AF28" s="8407"/>
      <c r="AG28" s="8407"/>
      <c r="AH28" s="8407"/>
      <c r="AI28" s="8407"/>
      <c r="AJ28" s="8408"/>
      <c r="AK28" s="366"/>
      <c r="AL28" s="360"/>
      <c r="AM28" s="360"/>
      <c r="AN28" s="262"/>
      <c r="AO28" s="8406" t="str">
        <f>IF(AO22=0,"",VLOOKUP(AO22,'Tablas Magia'!$D$6:$Z$779,23,FALSE))</f>
        <v/>
      </c>
      <c r="AP28" s="8407"/>
      <c r="AQ28" s="8407"/>
      <c r="AR28" s="8407"/>
      <c r="AS28" s="8407"/>
      <c r="AT28" s="8407"/>
      <c r="AU28" s="8407"/>
      <c r="AV28" s="8407"/>
      <c r="AW28" s="8407"/>
      <c r="AX28" s="8407"/>
      <c r="AY28" s="8407"/>
      <c r="AZ28" s="8407"/>
      <c r="BA28" s="8407"/>
      <c r="BB28" s="8407"/>
      <c r="BC28" s="8408"/>
      <c r="BD28" s="366"/>
      <c r="BE28" s="360"/>
      <c r="BF28" s="360"/>
      <c r="BG28" s="262"/>
      <c r="BH28" s="8406" t="str">
        <f>IF(BH22=0,"",VLOOKUP(BH22,'Tablas Magia'!$D$6:$Z$779,23,FALSE))</f>
        <v/>
      </c>
      <c r="BI28" s="8407"/>
      <c r="BJ28" s="8407"/>
      <c r="BK28" s="8407"/>
      <c r="BL28" s="8407"/>
      <c r="BM28" s="8407"/>
      <c r="BN28" s="8407"/>
      <c r="BO28" s="8407"/>
      <c r="BP28" s="8407"/>
      <c r="BQ28" s="8407"/>
      <c r="BR28" s="8407"/>
      <c r="BS28" s="8407"/>
      <c r="BT28" s="8407"/>
      <c r="BU28" s="8407"/>
      <c r="BV28" s="8408"/>
      <c r="BW28" s="366"/>
      <c r="BX28" s="360"/>
    </row>
    <row r="29" spans="1:76" ht="12.2" customHeight="1">
      <c r="A29" s="360"/>
      <c r="B29" s="262"/>
      <c r="C29" s="8409"/>
      <c r="D29" s="8410"/>
      <c r="E29" s="8410"/>
      <c r="F29" s="8410"/>
      <c r="G29" s="8410"/>
      <c r="H29" s="8410"/>
      <c r="I29" s="8410"/>
      <c r="J29" s="8410"/>
      <c r="K29" s="8410"/>
      <c r="L29" s="8410"/>
      <c r="M29" s="8410"/>
      <c r="N29" s="8410"/>
      <c r="O29" s="8410"/>
      <c r="P29" s="8410"/>
      <c r="Q29" s="8411"/>
      <c r="R29" s="366"/>
      <c r="S29" s="360"/>
      <c r="T29" s="360"/>
      <c r="U29" s="262"/>
      <c r="V29" s="8409"/>
      <c r="W29" s="8410"/>
      <c r="X29" s="8410"/>
      <c r="Y29" s="8410"/>
      <c r="Z29" s="8410"/>
      <c r="AA29" s="8410"/>
      <c r="AB29" s="8410"/>
      <c r="AC29" s="8410"/>
      <c r="AD29" s="8410"/>
      <c r="AE29" s="8410"/>
      <c r="AF29" s="8410"/>
      <c r="AG29" s="8410"/>
      <c r="AH29" s="8410"/>
      <c r="AI29" s="8410"/>
      <c r="AJ29" s="8411"/>
      <c r="AK29" s="366"/>
      <c r="AL29" s="360"/>
      <c r="AM29" s="360"/>
      <c r="AN29" s="262"/>
      <c r="AO29" s="8409"/>
      <c r="AP29" s="8410"/>
      <c r="AQ29" s="8410"/>
      <c r="AR29" s="8410"/>
      <c r="AS29" s="8410"/>
      <c r="AT29" s="8410"/>
      <c r="AU29" s="8410"/>
      <c r="AV29" s="8410"/>
      <c r="AW29" s="8410"/>
      <c r="AX29" s="8410"/>
      <c r="AY29" s="8410"/>
      <c r="AZ29" s="8410"/>
      <c r="BA29" s="8410"/>
      <c r="BB29" s="8410"/>
      <c r="BC29" s="8411"/>
      <c r="BD29" s="366"/>
      <c r="BE29" s="360"/>
      <c r="BF29" s="360"/>
      <c r="BG29" s="262"/>
      <c r="BH29" s="8409"/>
      <c r="BI29" s="8410"/>
      <c r="BJ29" s="8410"/>
      <c r="BK29" s="8410"/>
      <c r="BL29" s="8410"/>
      <c r="BM29" s="8410"/>
      <c r="BN29" s="8410"/>
      <c r="BO29" s="8410"/>
      <c r="BP29" s="8410"/>
      <c r="BQ29" s="8410"/>
      <c r="BR29" s="8410"/>
      <c r="BS29" s="8410"/>
      <c r="BT29" s="8410"/>
      <c r="BU29" s="8410"/>
      <c r="BV29" s="8411"/>
      <c r="BW29" s="366"/>
      <c r="BX29" s="360"/>
    </row>
    <row r="30" spans="1:76" ht="12.2" customHeight="1">
      <c r="A30" s="360"/>
      <c r="B30" s="262"/>
      <c r="C30" s="8409"/>
      <c r="D30" s="8410"/>
      <c r="E30" s="8410"/>
      <c r="F30" s="8410"/>
      <c r="G30" s="8410"/>
      <c r="H30" s="8410"/>
      <c r="I30" s="8410"/>
      <c r="J30" s="8410"/>
      <c r="K30" s="8410"/>
      <c r="L30" s="8410"/>
      <c r="M30" s="8410"/>
      <c r="N30" s="8410"/>
      <c r="O30" s="8410"/>
      <c r="P30" s="8410"/>
      <c r="Q30" s="8411"/>
      <c r="R30" s="366"/>
      <c r="S30" s="360"/>
      <c r="T30" s="360"/>
      <c r="U30" s="262"/>
      <c r="V30" s="8409"/>
      <c r="W30" s="8410"/>
      <c r="X30" s="8410"/>
      <c r="Y30" s="8410"/>
      <c r="Z30" s="8410"/>
      <c r="AA30" s="8410"/>
      <c r="AB30" s="8410"/>
      <c r="AC30" s="8410"/>
      <c r="AD30" s="8410"/>
      <c r="AE30" s="8410"/>
      <c r="AF30" s="8410"/>
      <c r="AG30" s="8410"/>
      <c r="AH30" s="8410"/>
      <c r="AI30" s="8410"/>
      <c r="AJ30" s="8411"/>
      <c r="AK30" s="366"/>
      <c r="AL30" s="360"/>
      <c r="AM30" s="360"/>
      <c r="AN30" s="262"/>
      <c r="AO30" s="8409"/>
      <c r="AP30" s="8410"/>
      <c r="AQ30" s="8410"/>
      <c r="AR30" s="8410"/>
      <c r="AS30" s="8410"/>
      <c r="AT30" s="8410"/>
      <c r="AU30" s="8410"/>
      <c r="AV30" s="8410"/>
      <c r="AW30" s="8410"/>
      <c r="AX30" s="8410"/>
      <c r="AY30" s="8410"/>
      <c r="AZ30" s="8410"/>
      <c r="BA30" s="8410"/>
      <c r="BB30" s="8410"/>
      <c r="BC30" s="8411"/>
      <c r="BD30" s="366"/>
      <c r="BE30" s="360"/>
      <c r="BF30" s="360"/>
      <c r="BG30" s="262"/>
      <c r="BH30" s="8409"/>
      <c r="BI30" s="8410"/>
      <c r="BJ30" s="8410"/>
      <c r="BK30" s="8410"/>
      <c r="BL30" s="8410"/>
      <c r="BM30" s="8410"/>
      <c r="BN30" s="8410"/>
      <c r="BO30" s="8410"/>
      <c r="BP30" s="8410"/>
      <c r="BQ30" s="8410"/>
      <c r="BR30" s="8410"/>
      <c r="BS30" s="8410"/>
      <c r="BT30" s="8410"/>
      <c r="BU30" s="8410"/>
      <c r="BV30" s="8411"/>
      <c r="BW30" s="366"/>
      <c r="BX30" s="360"/>
    </row>
    <row r="31" spans="1:76" ht="12.2" customHeight="1" thickBot="1">
      <c r="A31" s="360"/>
      <c r="B31" s="262"/>
      <c r="C31" s="8412"/>
      <c r="D31" s="8413"/>
      <c r="E31" s="8413"/>
      <c r="F31" s="8413"/>
      <c r="G31" s="8413"/>
      <c r="H31" s="8413"/>
      <c r="I31" s="8413"/>
      <c r="J31" s="8413"/>
      <c r="K31" s="8413"/>
      <c r="L31" s="8413"/>
      <c r="M31" s="8413"/>
      <c r="N31" s="8413"/>
      <c r="O31" s="8413"/>
      <c r="P31" s="8413"/>
      <c r="Q31" s="8414"/>
      <c r="R31" s="366"/>
      <c r="S31" s="360"/>
      <c r="T31" s="360"/>
      <c r="U31" s="262"/>
      <c r="V31" s="8412"/>
      <c r="W31" s="8413"/>
      <c r="X31" s="8413"/>
      <c r="Y31" s="8413"/>
      <c r="Z31" s="8413"/>
      <c r="AA31" s="8413"/>
      <c r="AB31" s="8413"/>
      <c r="AC31" s="8413"/>
      <c r="AD31" s="8413"/>
      <c r="AE31" s="8413"/>
      <c r="AF31" s="8413"/>
      <c r="AG31" s="8413"/>
      <c r="AH31" s="8413"/>
      <c r="AI31" s="8413"/>
      <c r="AJ31" s="8414"/>
      <c r="AK31" s="366"/>
      <c r="AL31" s="360"/>
      <c r="AM31" s="360"/>
      <c r="AN31" s="262"/>
      <c r="AO31" s="8412"/>
      <c r="AP31" s="8413"/>
      <c r="AQ31" s="8413"/>
      <c r="AR31" s="8413"/>
      <c r="AS31" s="8413"/>
      <c r="AT31" s="8413"/>
      <c r="AU31" s="8413"/>
      <c r="AV31" s="8413"/>
      <c r="AW31" s="8413"/>
      <c r="AX31" s="8413"/>
      <c r="AY31" s="8413"/>
      <c r="AZ31" s="8413"/>
      <c r="BA31" s="8413"/>
      <c r="BB31" s="8413"/>
      <c r="BC31" s="8414"/>
      <c r="BD31" s="366"/>
      <c r="BE31" s="360"/>
      <c r="BF31" s="360"/>
      <c r="BG31" s="262"/>
      <c r="BH31" s="8412"/>
      <c r="BI31" s="8413"/>
      <c r="BJ31" s="8413"/>
      <c r="BK31" s="8413"/>
      <c r="BL31" s="8413"/>
      <c r="BM31" s="8413"/>
      <c r="BN31" s="8413"/>
      <c r="BO31" s="8413"/>
      <c r="BP31" s="8413"/>
      <c r="BQ31" s="8413"/>
      <c r="BR31" s="8413"/>
      <c r="BS31" s="8413"/>
      <c r="BT31" s="8413"/>
      <c r="BU31" s="8413"/>
      <c r="BV31" s="8414"/>
      <c r="BW31" s="366"/>
      <c r="BX31" s="360"/>
    </row>
    <row r="32" spans="1:76" ht="12.2" customHeight="1" thickBot="1">
      <c r="A32" s="360"/>
      <c r="B32" s="262"/>
      <c r="C32" s="383"/>
      <c r="D32" s="383"/>
      <c r="E32" s="384"/>
      <c r="F32" s="384"/>
      <c r="G32" s="384"/>
      <c r="H32" s="383"/>
      <c r="I32" s="329"/>
      <c r="J32" s="329"/>
      <c r="K32" s="383"/>
      <c r="L32" s="383"/>
      <c r="M32" s="329"/>
      <c r="N32" s="329"/>
      <c r="O32" s="385"/>
      <c r="P32" s="385"/>
      <c r="Q32" s="329"/>
      <c r="R32" s="366"/>
      <c r="S32" s="360"/>
      <c r="T32" s="360"/>
      <c r="U32" s="262"/>
      <c r="V32" s="383"/>
      <c r="W32" s="383"/>
      <c r="X32" s="384"/>
      <c r="Y32" s="384"/>
      <c r="Z32" s="384"/>
      <c r="AA32" s="383"/>
      <c r="AB32" s="329"/>
      <c r="AC32" s="329"/>
      <c r="AD32" s="383"/>
      <c r="AE32" s="383"/>
      <c r="AF32" s="329"/>
      <c r="AG32" s="329"/>
      <c r="AH32" s="385"/>
      <c r="AI32" s="385"/>
      <c r="AJ32" s="329"/>
      <c r="AK32" s="366"/>
      <c r="AL32" s="360"/>
      <c r="AM32" s="360"/>
      <c r="AN32" s="262"/>
      <c r="AO32" s="383"/>
      <c r="AP32" s="383"/>
      <c r="AQ32" s="384"/>
      <c r="AR32" s="384"/>
      <c r="AS32" s="384"/>
      <c r="AT32" s="383"/>
      <c r="AU32" s="329"/>
      <c r="AV32" s="329"/>
      <c r="AW32" s="383"/>
      <c r="AX32" s="383"/>
      <c r="AY32" s="329"/>
      <c r="AZ32" s="329"/>
      <c r="BA32" s="385"/>
      <c r="BB32" s="385"/>
      <c r="BC32" s="329"/>
      <c r="BD32" s="366"/>
      <c r="BE32" s="360"/>
      <c r="BF32" s="360"/>
      <c r="BG32" s="262"/>
      <c r="BH32" s="383"/>
      <c r="BI32" s="383"/>
      <c r="BJ32" s="384"/>
      <c r="BK32" s="384"/>
      <c r="BL32" s="384"/>
      <c r="BM32" s="383"/>
      <c r="BN32" s="329"/>
      <c r="BO32" s="329"/>
      <c r="BP32" s="383"/>
      <c r="BQ32" s="383"/>
      <c r="BR32" s="329"/>
      <c r="BS32" s="329"/>
      <c r="BT32" s="385"/>
      <c r="BU32" s="385"/>
      <c r="BV32" s="329"/>
      <c r="BW32" s="366"/>
      <c r="BX32" s="360"/>
    </row>
    <row r="33" spans="1:76" ht="12.2" customHeight="1">
      <c r="A33" s="360"/>
      <c r="B33" s="262"/>
      <c r="C33" s="8375"/>
      <c r="D33" s="8376"/>
      <c r="E33" s="8376"/>
      <c r="F33" s="8376"/>
      <c r="G33" s="8376"/>
      <c r="H33" s="370" t="s">
        <v>1186</v>
      </c>
      <c r="I33" s="371" t="str">
        <f>IF(C33=0,"",VLOOKUP(C33,'Tablas Magia'!$D$6:$Z$779,3,FALSE))</f>
        <v/>
      </c>
      <c r="J33" s="8377" t="s">
        <v>5816</v>
      </c>
      <c r="K33" s="8377"/>
      <c r="L33" s="8377"/>
      <c r="M33" s="8378" t="str">
        <f>IF(C33=0,"",VLOOKUP(C33,'Tablas Magia'!$D$6:$Z$779,2,FALSE))</f>
        <v/>
      </c>
      <c r="N33" s="8378"/>
      <c r="O33" s="8378"/>
      <c r="P33" s="8378"/>
      <c r="Q33" s="8379"/>
      <c r="R33" s="366"/>
      <c r="S33" s="360"/>
      <c r="T33" s="360"/>
      <c r="U33" s="262"/>
      <c r="V33" s="8375"/>
      <c r="W33" s="8376"/>
      <c r="X33" s="8376"/>
      <c r="Y33" s="8376"/>
      <c r="Z33" s="8376"/>
      <c r="AA33" s="370" t="s">
        <v>1186</v>
      </c>
      <c r="AB33" s="371" t="str">
        <f>IF(V33=0,"",VLOOKUP(V33,'Tablas Magia'!$D$6:$Z$779,3,FALSE))</f>
        <v/>
      </c>
      <c r="AC33" s="8377" t="s">
        <v>5816</v>
      </c>
      <c r="AD33" s="8377"/>
      <c r="AE33" s="8377"/>
      <c r="AF33" s="8378" t="str">
        <f>IF(V33=0,"",VLOOKUP(V33,'Tablas Magia'!$D$6:$Z$779,2,FALSE))</f>
        <v/>
      </c>
      <c r="AG33" s="8378"/>
      <c r="AH33" s="8378"/>
      <c r="AI33" s="8378"/>
      <c r="AJ33" s="8379"/>
      <c r="AK33" s="366"/>
      <c r="AL33" s="360"/>
      <c r="AM33" s="360"/>
      <c r="AN33" s="262"/>
      <c r="AO33" s="8375"/>
      <c r="AP33" s="8376"/>
      <c r="AQ33" s="8376"/>
      <c r="AR33" s="8376"/>
      <c r="AS33" s="8376"/>
      <c r="AT33" s="370" t="s">
        <v>1186</v>
      </c>
      <c r="AU33" s="371" t="str">
        <f>IF(AO33=0,"",VLOOKUP(AO33,'Tablas Magia'!$D$6:$Z$779,3,FALSE))</f>
        <v/>
      </c>
      <c r="AV33" s="8377" t="s">
        <v>5816</v>
      </c>
      <c r="AW33" s="8377"/>
      <c r="AX33" s="8377"/>
      <c r="AY33" s="8378" t="str">
        <f>IF(AO33=0,"",VLOOKUP(AO33,'Tablas Magia'!$D$6:$Z$779,2,FALSE))</f>
        <v/>
      </c>
      <c r="AZ33" s="8378"/>
      <c r="BA33" s="8378"/>
      <c r="BB33" s="8378"/>
      <c r="BC33" s="8379"/>
      <c r="BD33" s="366"/>
      <c r="BE33" s="360"/>
      <c r="BF33" s="360"/>
      <c r="BG33" s="262"/>
      <c r="BH33" s="8375"/>
      <c r="BI33" s="8376"/>
      <c r="BJ33" s="8376"/>
      <c r="BK33" s="8376"/>
      <c r="BL33" s="8376"/>
      <c r="BM33" s="370" t="s">
        <v>1186</v>
      </c>
      <c r="BN33" s="371" t="str">
        <f>IF(BH33=0,"",VLOOKUP(BH33,'Tablas Magia'!$D$6:$Z$779,3,FALSE))</f>
        <v/>
      </c>
      <c r="BO33" s="8377" t="s">
        <v>5816</v>
      </c>
      <c r="BP33" s="8377"/>
      <c r="BQ33" s="8377"/>
      <c r="BR33" s="8378" t="str">
        <f>IF(BH33=0,"",VLOOKUP(BH33,'Tablas Magia'!$D$6:$Z$779,2,FALSE))</f>
        <v/>
      </c>
      <c r="BS33" s="8378"/>
      <c r="BT33" s="8378"/>
      <c r="BU33" s="8378"/>
      <c r="BV33" s="8379"/>
      <c r="BW33" s="366"/>
      <c r="BX33" s="360"/>
    </row>
    <row r="34" spans="1:76" ht="12.2" customHeight="1">
      <c r="A34" s="360"/>
      <c r="B34" s="262"/>
      <c r="C34" s="8399" t="s">
        <v>5817</v>
      </c>
      <c r="D34" s="8400"/>
      <c r="E34" s="372" t="s">
        <v>5818</v>
      </c>
      <c r="F34" s="372" t="s">
        <v>1368</v>
      </c>
      <c r="G34" s="372" t="s">
        <v>2666</v>
      </c>
      <c r="H34" s="373" t="s">
        <v>1690</v>
      </c>
      <c r="I34" s="8396" t="str">
        <f>IF(C33=0,"",VLOOKUP(C33,'Tablas Magia'!$D$6:$Z$779,5,FALSE))</f>
        <v/>
      </c>
      <c r="J34" s="8396"/>
      <c r="K34" s="8397" t="s">
        <v>5819</v>
      </c>
      <c r="L34" s="8397"/>
      <c r="M34" s="8396" t="str">
        <f>IF(C33=0,"",VLOOKUP(C33,'Tablas Magia'!$D$6:$Z$779,6,FALSE))</f>
        <v/>
      </c>
      <c r="N34" s="8396"/>
      <c r="O34" s="8398" t="s">
        <v>5820</v>
      </c>
      <c r="P34" s="8398"/>
      <c r="Q34" s="374" t="str">
        <f>IF(C33=0,"",VLOOKUP(C33,'Tablas Magia'!$D$6:$Z$779,4,FALSE))</f>
        <v/>
      </c>
      <c r="R34" s="366"/>
      <c r="S34" s="360"/>
      <c r="T34" s="360"/>
      <c r="U34" s="262"/>
      <c r="V34" s="8399" t="s">
        <v>5817</v>
      </c>
      <c r="W34" s="8400"/>
      <c r="X34" s="372" t="s">
        <v>5818</v>
      </c>
      <c r="Y34" s="372" t="s">
        <v>1368</v>
      </c>
      <c r="Z34" s="372" t="s">
        <v>2666</v>
      </c>
      <c r="AA34" s="373" t="s">
        <v>1690</v>
      </c>
      <c r="AB34" s="8396" t="str">
        <f>IF(V33=0,"",VLOOKUP(V33,'Tablas Magia'!$D$6:$Z$779,5,FALSE))</f>
        <v/>
      </c>
      <c r="AC34" s="8396"/>
      <c r="AD34" s="8397" t="s">
        <v>5819</v>
      </c>
      <c r="AE34" s="8397"/>
      <c r="AF34" s="8396" t="str">
        <f>IF(V33=0,"",VLOOKUP(V33,'Tablas Magia'!$D$6:$Z$779,6,FALSE))</f>
        <v/>
      </c>
      <c r="AG34" s="8396"/>
      <c r="AH34" s="8398" t="s">
        <v>5820</v>
      </c>
      <c r="AI34" s="8398"/>
      <c r="AJ34" s="374" t="str">
        <f>IF(V33=0,"",VLOOKUP(V33,'Tablas Magia'!$D$6:$Z$779,4,FALSE))</f>
        <v/>
      </c>
      <c r="AK34" s="366"/>
      <c r="AL34" s="360"/>
      <c r="AM34" s="360"/>
      <c r="AN34" s="262"/>
      <c r="AO34" s="8399" t="s">
        <v>5817</v>
      </c>
      <c r="AP34" s="8400"/>
      <c r="AQ34" s="372" t="s">
        <v>5818</v>
      </c>
      <c r="AR34" s="372" t="s">
        <v>1368</v>
      </c>
      <c r="AS34" s="372" t="s">
        <v>2666</v>
      </c>
      <c r="AT34" s="373" t="s">
        <v>1690</v>
      </c>
      <c r="AU34" s="8396" t="str">
        <f>IF(AO33=0,"",VLOOKUP(AO33,'Tablas Magia'!$D$6:$Z$779,5,FALSE))</f>
        <v/>
      </c>
      <c r="AV34" s="8396"/>
      <c r="AW34" s="8397" t="s">
        <v>5819</v>
      </c>
      <c r="AX34" s="8397"/>
      <c r="AY34" s="8396" t="str">
        <f>IF(AO33=0,"",VLOOKUP(AO33,'Tablas Magia'!$D$6:$Z$779,6,FALSE))</f>
        <v/>
      </c>
      <c r="AZ34" s="8396"/>
      <c r="BA34" s="8398" t="s">
        <v>5820</v>
      </c>
      <c r="BB34" s="8398"/>
      <c r="BC34" s="374" t="str">
        <f>IF(AO33=0,"",VLOOKUP(AO33,'Tablas Magia'!$D$6:$Z$779,4,FALSE))</f>
        <v/>
      </c>
      <c r="BD34" s="366"/>
      <c r="BE34" s="360"/>
      <c r="BF34" s="360"/>
      <c r="BG34" s="262"/>
      <c r="BH34" s="8399" t="s">
        <v>5817</v>
      </c>
      <c r="BI34" s="8400"/>
      <c r="BJ34" s="372" t="s">
        <v>5818</v>
      </c>
      <c r="BK34" s="372" t="s">
        <v>1368</v>
      </c>
      <c r="BL34" s="372" t="s">
        <v>2666</v>
      </c>
      <c r="BM34" s="373" t="s">
        <v>1690</v>
      </c>
      <c r="BN34" s="8396" t="str">
        <f>IF(BH33=0,"",VLOOKUP(BH33,'Tablas Magia'!$D$6:$Z$779,5,FALSE))</f>
        <v/>
      </c>
      <c r="BO34" s="8396"/>
      <c r="BP34" s="8397" t="s">
        <v>5819</v>
      </c>
      <c r="BQ34" s="8397"/>
      <c r="BR34" s="8396" t="str">
        <f>IF(BH33=0,"",VLOOKUP(BH33,'Tablas Magia'!$D$6:$Z$779,6,FALSE))</f>
        <v/>
      </c>
      <c r="BS34" s="8396"/>
      <c r="BT34" s="8398" t="s">
        <v>5820</v>
      </c>
      <c r="BU34" s="8398"/>
      <c r="BV34" s="374" t="str">
        <f>IF(BH33=0,"",VLOOKUP(BH33,'Tablas Magia'!$D$6:$Z$779,4,FALSE))</f>
        <v/>
      </c>
      <c r="BW34" s="366"/>
      <c r="BX34" s="360"/>
    </row>
    <row r="35" spans="1:76" ht="12.2" customHeight="1">
      <c r="A35" s="360"/>
      <c r="B35" s="262"/>
      <c r="C35" s="8391" t="s">
        <v>1225</v>
      </c>
      <c r="D35" s="8392"/>
      <c r="E35" s="375" t="str">
        <f>IF(C33=0,"",VLOOKUP(C33,'Tablas Magia'!$D$6:$Z$779,7,FALSE))</f>
        <v/>
      </c>
      <c r="F35" s="375" t="str">
        <f>IF(C33=0,"",VLOOKUP(C33,'Tablas Magia'!$D$6:$Z$779,11,FALSE))</f>
        <v/>
      </c>
      <c r="G35" s="376" t="str">
        <f>IF(C33=0,"",VLOOKUP(C33,'Tablas Magia'!$D$6:$Z$779,15,FALSE))</f>
        <v/>
      </c>
      <c r="H35" s="8393" t="str">
        <f>IF(C33=0,"",VLOOKUP(C33,'Tablas Magia'!$D$6:$Z$779,19,FALSE))</f>
        <v/>
      </c>
      <c r="I35" s="8394"/>
      <c r="J35" s="8394"/>
      <c r="K35" s="8394"/>
      <c r="L35" s="8394"/>
      <c r="M35" s="8394"/>
      <c r="N35" s="8394"/>
      <c r="O35" s="8394"/>
      <c r="P35" s="8394"/>
      <c r="Q35" s="8395"/>
      <c r="R35" s="366"/>
      <c r="S35" s="360"/>
      <c r="T35" s="360"/>
      <c r="U35" s="262"/>
      <c r="V35" s="8391" t="s">
        <v>1225</v>
      </c>
      <c r="W35" s="8392"/>
      <c r="X35" s="375" t="str">
        <f>IF(V33=0,"",VLOOKUP(V33,'Tablas Magia'!$D$6:$Z$779,7,FALSE))</f>
        <v/>
      </c>
      <c r="Y35" s="375" t="str">
        <f>IF(V33=0,"",VLOOKUP(V33,'Tablas Magia'!$D$6:$Z$779,11,FALSE))</f>
        <v/>
      </c>
      <c r="Z35" s="376" t="str">
        <f>IF(V33=0,"",VLOOKUP(V33,'Tablas Magia'!$D$6:$Z$779,15,FALSE))</f>
        <v/>
      </c>
      <c r="AA35" s="8393" t="str">
        <f>IF(V33=0,"",VLOOKUP(V33,'Tablas Magia'!$D$6:$Z$779,19,FALSE))</f>
        <v/>
      </c>
      <c r="AB35" s="8394"/>
      <c r="AC35" s="8394"/>
      <c r="AD35" s="8394"/>
      <c r="AE35" s="8394"/>
      <c r="AF35" s="8394"/>
      <c r="AG35" s="8394"/>
      <c r="AH35" s="8394"/>
      <c r="AI35" s="8394"/>
      <c r="AJ35" s="8395"/>
      <c r="AK35" s="366"/>
      <c r="AL35" s="360"/>
      <c r="AM35" s="360"/>
      <c r="AN35" s="262"/>
      <c r="AO35" s="8391" t="s">
        <v>1225</v>
      </c>
      <c r="AP35" s="8392"/>
      <c r="AQ35" s="375" t="str">
        <f>IF(AO33=0,"",VLOOKUP(AO33,'Tablas Magia'!$D$6:$Z$779,7,FALSE))</f>
        <v/>
      </c>
      <c r="AR35" s="375" t="str">
        <f>IF(AO33=0,"",VLOOKUP(AO33,'Tablas Magia'!$D$6:$Z$779,11,FALSE))</f>
        <v/>
      </c>
      <c r="AS35" s="376" t="str">
        <f>IF(AO33=0,"",VLOOKUP(AO33,'Tablas Magia'!$D$6:$Z$779,15,FALSE))</f>
        <v/>
      </c>
      <c r="AT35" s="8393" t="str">
        <f>IF(AO33=0,"",VLOOKUP(AO33,'Tablas Magia'!$D$6:$Z$779,19,FALSE))</f>
        <v/>
      </c>
      <c r="AU35" s="8394"/>
      <c r="AV35" s="8394"/>
      <c r="AW35" s="8394"/>
      <c r="AX35" s="8394"/>
      <c r="AY35" s="8394"/>
      <c r="AZ35" s="8394"/>
      <c r="BA35" s="8394"/>
      <c r="BB35" s="8394"/>
      <c r="BC35" s="8395"/>
      <c r="BD35" s="366"/>
      <c r="BE35" s="360"/>
      <c r="BF35" s="360"/>
      <c r="BG35" s="262"/>
      <c r="BH35" s="8391" t="s">
        <v>1225</v>
      </c>
      <c r="BI35" s="8392"/>
      <c r="BJ35" s="375" t="str">
        <f>IF(BH33=0,"",VLOOKUP(BH33,'Tablas Magia'!$D$6:$Z$779,7,FALSE))</f>
        <v/>
      </c>
      <c r="BK35" s="375" t="str">
        <f>IF(BH33=0,"",VLOOKUP(BH33,'Tablas Magia'!$D$6:$Z$779,11,FALSE))</f>
        <v/>
      </c>
      <c r="BL35" s="376" t="str">
        <f>IF(BH33=0,"",VLOOKUP(BH33,'Tablas Magia'!$D$6:$Z$779,15,FALSE))</f>
        <v/>
      </c>
      <c r="BM35" s="8393" t="str">
        <f>IF(BH33=0,"",VLOOKUP(BH33,'Tablas Magia'!$D$6:$Z$779,19,FALSE))</f>
        <v/>
      </c>
      <c r="BN35" s="8394"/>
      <c r="BO35" s="8394"/>
      <c r="BP35" s="8394"/>
      <c r="BQ35" s="8394"/>
      <c r="BR35" s="8394"/>
      <c r="BS35" s="8394"/>
      <c r="BT35" s="8394"/>
      <c r="BU35" s="8394"/>
      <c r="BV35" s="8395"/>
      <c r="BW35" s="366"/>
      <c r="BX35" s="360"/>
    </row>
    <row r="36" spans="1:76" ht="12.2" customHeight="1">
      <c r="A36" s="360"/>
      <c r="B36" s="262"/>
      <c r="C36" s="8386" t="s">
        <v>3035</v>
      </c>
      <c r="D36" s="8387"/>
      <c r="E36" s="377" t="str">
        <f>IF(C33=0,"",VLOOKUP(C33,'Tablas Magia'!$D$6:$Z$779,8,FALSE))</f>
        <v/>
      </c>
      <c r="F36" s="377" t="str">
        <f>IF(C33=0,"",VLOOKUP(C33,'Tablas Magia'!$D$6:$Z$779,12,FALSE))</f>
        <v/>
      </c>
      <c r="G36" s="378" t="str">
        <f>IF(C33=0,"",VLOOKUP(C33,'Tablas Magia'!$D$6:$Z$779,16,FALSE))</f>
        <v/>
      </c>
      <c r="H36" s="8388" t="str">
        <f>IF(C33=0,"",VLOOKUP(C33,'Tablas Magia'!$D$6:$Z$779,20,FALSE))</f>
        <v/>
      </c>
      <c r="I36" s="8389"/>
      <c r="J36" s="8389"/>
      <c r="K36" s="8389"/>
      <c r="L36" s="8389"/>
      <c r="M36" s="8389"/>
      <c r="N36" s="8389"/>
      <c r="O36" s="8389"/>
      <c r="P36" s="8389"/>
      <c r="Q36" s="8390"/>
      <c r="R36" s="366"/>
      <c r="S36" s="360"/>
      <c r="T36" s="360"/>
      <c r="U36" s="262"/>
      <c r="V36" s="8386" t="s">
        <v>3035</v>
      </c>
      <c r="W36" s="8387"/>
      <c r="X36" s="377" t="str">
        <f>IF(V33=0,"",VLOOKUP(V33,'Tablas Magia'!$D$6:$Z$779,8,FALSE))</f>
        <v/>
      </c>
      <c r="Y36" s="377" t="str">
        <f>IF(V33=0,"",VLOOKUP(V33,'Tablas Magia'!$D$6:$Z$779,12,FALSE))</f>
        <v/>
      </c>
      <c r="Z36" s="378" t="str">
        <f>IF(V33=0,"",VLOOKUP(V33,'Tablas Magia'!$D$6:$Z$779,16,FALSE))</f>
        <v/>
      </c>
      <c r="AA36" s="8388" t="str">
        <f>IF(V33=0,"",VLOOKUP(V33,'Tablas Magia'!$D$6:$Z$779,20,FALSE))</f>
        <v/>
      </c>
      <c r="AB36" s="8389"/>
      <c r="AC36" s="8389"/>
      <c r="AD36" s="8389"/>
      <c r="AE36" s="8389"/>
      <c r="AF36" s="8389"/>
      <c r="AG36" s="8389"/>
      <c r="AH36" s="8389"/>
      <c r="AI36" s="8389"/>
      <c r="AJ36" s="8390"/>
      <c r="AK36" s="366"/>
      <c r="AL36" s="360"/>
      <c r="AM36" s="360"/>
      <c r="AN36" s="262"/>
      <c r="AO36" s="8386" t="s">
        <v>3035</v>
      </c>
      <c r="AP36" s="8387"/>
      <c r="AQ36" s="377" t="str">
        <f>IF(AO33=0,"",VLOOKUP(AO33,'Tablas Magia'!$D$6:$Z$779,8,FALSE))</f>
        <v/>
      </c>
      <c r="AR36" s="377" t="str">
        <f>IF(AO33=0,"",VLOOKUP(AO33,'Tablas Magia'!$D$6:$Z$779,12,FALSE))</f>
        <v/>
      </c>
      <c r="AS36" s="378" t="str">
        <f>IF(AO33=0,"",VLOOKUP(AO33,'Tablas Magia'!$D$6:$Z$779,16,FALSE))</f>
        <v/>
      </c>
      <c r="AT36" s="8388" t="str">
        <f>IF(AO33=0,"",VLOOKUP(AO33,'Tablas Magia'!$D$6:$Z$779,20,FALSE))</f>
        <v/>
      </c>
      <c r="AU36" s="8389"/>
      <c r="AV36" s="8389"/>
      <c r="AW36" s="8389"/>
      <c r="AX36" s="8389"/>
      <c r="AY36" s="8389"/>
      <c r="AZ36" s="8389"/>
      <c r="BA36" s="8389"/>
      <c r="BB36" s="8389"/>
      <c r="BC36" s="8390"/>
      <c r="BD36" s="366"/>
      <c r="BE36" s="360"/>
      <c r="BF36" s="360"/>
      <c r="BG36" s="262"/>
      <c r="BH36" s="8386" t="s">
        <v>3035</v>
      </c>
      <c r="BI36" s="8387"/>
      <c r="BJ36" s="377" t="str">
        <f>IF(BH33=0,"",VLOOKUP(BH33,'Tablas Magia'!$D$6:$Z$779,8,FALSE))</f>
        <v/>
      </c>
      <c r="BK36" s="377" t="str">
        <f>IF(BH33=0,"",VLOOKUP(BH33,'Tablas Magia'!$D$6:$Z$779,12,FALSE))</f>
        <v/>
      </c>
      <c r="BL36" s="378" t="str">
        <f>IF(BH33=0,"",VLOOKUP(BH33,'Tablas Magia'!$D$6:$Z$779,16,FALSE))</f>
        <v/>
      </c>
      <c r="BM36" s="8388" t="str">
        <f>IF(BH33=0,"",VLOOKUP(BH33,'Tablas Magia'!$D$6:$Z$779,20,FALSE))</f>
        <v/>
      </c>
      <c r="BN36" s="8389"/>
      <c r="BO36" s="8389"/>
      <c r="BP36" s="8389"/>
      <c r="BQ36" s="8389"/>
      <c r="BR36" s="8389"/>
      <c r="BS36" s="8389"/>
      <c r="BT36" s="8389"/>
      <c r="BU36" s="8389"/>
      <c r="BV36" s="8390"/>
      <c r="BW36" s="366"/>
      <c r="BX36" s="360"/>
    </row>
    <row r="37" spans="1:76" ht="12.2" customHeight="1">
      <c r="A37" s="360"/>
      <c r="B37" s="262"/>
      <c r="C37" s="8391" t="s">
        <v>3036</v>
      </c>
      <c r="D37" s="8392"/>
      <c r="E37" s="375" t="str">
        <f>IF(C33=0,"",VLOOKUP(C33,'Tablas Magia'!$D$6:$Z$779,9,FALSE))</f>
        <v/>
      </c>
      <c r="F37" s="375" t="str">
        <f>IF(C33=0,"",VLOOKUP(C33,'Tablas Magia'!$D$6:$Z$779,13,FALSE))</f>
        <v/>
      </c>
      <c r="G37" s="376" t="str">
        <f>IF(C33=0,"",VLOOKUP(C33,'Tablas Magia'!$D$6:$Z$779,17,FALSE))</f>
        <v/>
      </c>
      <c r="H37" s="8393" t="str">
        <f>IF(C33=0,"",VLOOKUP(C33,'Tablas Magia'!$D$6:$Z$779,21,FALSE))</f>
        <v/>
      </c>
      <c r="I37" s="8394"/>
      <c r="J37" s="8394"/>
      <c r="K37" s="8394"/>
      <c r="L37" s="8394"/>
      <c r="M37" s="8394"/>
      <c r="N37" s="8394"/>
      <c r="O37" s="8394"/>
      <c r="P37" s="8394"/>
      <c r="Q37" s="8395"/>
      <c r="R37" s="366"/>
      <c r="S37" s="360"/>
      <c r="T37" s="360"/>
      <c r="U37" s="262"/>
      <c r="V37" s="8391" t="s">
        <v>3036</v>
      </c>
      <c r="W37" s="8392"/>
      <c r="X37" s="375" t="str">
        <f>IF(V33=0,"",VLOOKUP(V33,'Tablas Magia'!$D$6:$Z$779,9,FALSE))</f>
        <v/>
      </c>
      <c r="Y37" s="375" t="str">
        <f>IF(V33=0,"",VLOOKUP(V33,'Tablas Magia'!$D$6:$Z$779,13,FALSE))</f>
        <v/>
      </c>
      <c r="Z37" s="376" t="str">
        <f>IF(V33=0,"",VLOOKUP(V33,'Tablas Magia'!$D$6:$Z$779,17,FALSE))</f>
        <v/>
      </c>
      <c r="AA37" s="8393" t="str">
        <f>IF(V33=0,"",VLOOKUP(V33,'Tablas Magia'!$D$6:$Z$779,21,FALSE))</f>
        <v/>
      </c>
      <c r="AB37" s="8394"/>
      <c r="AC37" s="8394"/>
      <c r="AD37" s="8394"/>
      <c r="AE37" s="8394"/>
      <c r="AF37" s="8394"/>
      <c r="AG37" s="8394"/>
      <c r="AH37" s="8394"/>
      <c r="AI37" s="8394"/>
      <c r="AJ37" s="8395"/>
      <c r="AK37" s="366"/>
      <c r="AL37" s="360"/>
      <c r="AM37" s="360"/>
      <c r="AN37" s="262"/>
      <c r="AO37" s="8391" t="s">
        <v>3036</v>
      </c>
      <c r="AP37" s="8392"/>
      <c r="AQ37" s="375" t="str">
        <f>IF(AO33=0,"",VLOOKUP(AO33,'Tablas Magia'!$D$6:$Z$779,9,FALSE))</f>
        <v/>
      </c>
      <c r="AR37" s="375" t="str">
        <f>IF(AO33=0,"",VLOOKUP(AO33,'Tablas Magia'!$D$6:$Z$779,13,FALSE))</f>
        <v/>
      </c>
      <c r="AS37" s="376" t="str">
        <f>IF(AO33=0,"",VLOOKUP(AO33,'Tablas Magia'!$D$6:$Z$779,17,FALSE))</f>
        <v/>
      </c>
      <c r="AT37" s="8393" t="str">
        <f>IF(AO33=0,"",VLOOKUP(AO33,'Tablas Magia'!$D$6:$Z$779,21,FALSE))</f>
        <v/>
      </c>
      <c r="AU37" s="8394"/>
      <c r="AV37" s="8394"/>
      <c r="AW37" s="8394"/>
      <c r="AX37" s="8394"/>
      <c r="AY37" s="8394"/>
      <c r="AZ37" s="8394"/>
      <c r="BA37" s="8394"/>
      <c r="BB37" s="8394"/>
      <c r="BC37" s="8395"/>
      <c r="BD37" s="366"/>
      <c r="BE37" s="360"/>
      <c r="BF37" s="360"/>
      <c r="BG37" s="262"/>
      <c r="BH37" s="8391" t="s">
        <v>3036</v>
      </c>
      <c r="BI37" s="8392"/>
      <c r="BJ37" s="375" t="str">
        <f>IF(BH33=0,"",VLOOKUP(BH33,'Tablas Magia'!$D$6:$Z$779,9,FALSE))</f>
        <v/>
      </c>
      <c r="BK37" s="375" t="str">
        <f>IF(BH33=0,"",VLOOKUP(BH33,'Tablas Magia'!$D$6:$Z$779,13,FALSE))</f>
        <v/>
      </c>
      <c r="BL37" s="376" t="str">
        <f>IF(BH33=0,"",VLOOKUP(BH33,'Tablas Magia'!$D$6:$Z$779,17,FALSE))</f>
        <v/>
      </c>
      <c r="BM37" s="8393" t="str">
        <f>IF(BH33=0,"",VLOOKUP(BH33,'Tablas Magia'!$D$6:$Z$779,21,FALSE))</f>
        <v/>
      </c>
      <c r="BN37" s="8394"/>
      <c r="BO37" s="8394"/>
      <c r="BP37" s="8394"/>
      <c r="BQ37" s="8394"/>
      <c r="BR37" s="8394"/>
      <c r="BS37" s="8394"/>
      <c r="BT37" s="8394"/>
      <c r="BU37" s="8394"/>
      <c r="BV37" s="8395"/>
      <c r="BW37" s="366"/>
      <c r="BX37" s="360"/>
    </row>
    <row r="38" spans="1:76" ht="12.2" customHeight="1" thickBot="1">
      <c r="A38" s="360"/>
      <c r="B38" s="262"/>
      <c r="C38" s="8401" t="s">
        <v>3037</v>
      </c>
      <c r="D38" s="8402"/>
      <c r="E38" s="379" t="str">
        <f>IF(C33=0,"",VLOOKUP(C33,'Tablas Magia'!$D$6:$Z$779,10,FALSE))</f>
        <v/>
      </c>
      <c r="F38" s="379" t="str">
        <f>IF(C33=0,"",VLOOKUP(C33,'Tablas Magia'!$D$6:$Z$779,14,FALSE))</f>
        <v/>
      </c>
      <c r="G38" s="380" t="str">
        <f>IF(C33=0,"",VLOOKUP(C33,'Tablas Magia'!$D$6:$Z$779,18,FALSE))</f>
        <v/>
      </c>
      <c r="H38" s="8403" t="str">
        <f>IF(C33=0,"",VLOOKUP(C33,'Tablas Magia'!$D$6:$Z$779,22,FALSE))</f>
        <v/>
      </c>
      <c r="I38" s="8404"/>
      <c r="J38" s="8404"/>
      <c r="K38" s="8404"/>
      <c r="L38" s="8404"/>
      <c r="M38" s="8404"/>
      <c r="N38" s="8404"/>
      <c r="O38" s="8404"/>
      <c r="P38" s="8404"/>
      <c r="Q38" s="8405"/>
      <c r="R38" s="366"/>
      <c r="S38" s="360"/>
      <c r="T38" s="360"/>
      <c r="U38" s="262"/>
      <c r="V38" s="8401" t="s">
        <v>3037</v>
      </c>
      <c r="W38" s="8402"/>
      <c r="X38" s="379" t="str">
        <f>IF(V33=0,"",VLOOKUP(V33,'Tablas Magia'!$D$6:$Z$779,10,FALSE))</f>
        <v/>
      </c>
      <c r="Y38" s="379" t="str">
        <f>IF(V33=0,"",VLOOKUP(V33,'Tablas Magia'!$D$6:$Z$779,14,FALSE))</f>
        <v/>
      </c>
      <c r="Z38" s="380" t="str">
        <f>IF(V33=0,"",VLOOKUP(V33,'Tablas Magia'!$D$6:$Z$779,18,FALSE))</f>
        <v/>
      </c>
      <c r="AA38" s="8403" t="str">
        <f>IF(V33=0,"",VLOOKUP(V33,'Tablas Magia'!$D$6:$Z$779,22,FALSE))</f>
        <v/>
      </c>
      <c r="AB38" s="8404"/>
      <c r="AC38" s="8404"/>
      <c r="AD38" s="8404"/>
      <c r="AE38" s="8404"/>
      <c r="AF38" s="8404"/>
      <c r="AG38" s="8404"/>
      <c r="AH38" s="8404"/>
      <c r="AI38" s="8404"/>
      <c r="AJ38" s="8405"/>
      <c r="AK38" s="366"/>
      <c r="AL38" s="360"/>
      <c r="AM38" s="360"/>
      <c r="AN38" s="262"/>
      <c r="AO38" s="8401" t="s">
        <v>3037</v>
      </c>
      <c r="AP38" s="8402"/>
      <c r="AQ38" s="379" t="str">
        <f>IF(AO33=0,"",VLOOKUP(AO33,'Tablas Magia'!$D$6:$Z$779,10,FALSE))</f>
        <v/>
      </c>
      <c r="AR38" s="379" t="str">
        <f>IF(AO33=0,"",VLOOKUP(AO33,'Tablas Magia'!$D$6:$Z$779,14,FALSE))</f>
        <v/>
      </c>
      <c r="AS38" s="380" t="str">
        <f>IF(AO33=0,"",VLOOKUP(AO33,'Tablas Magia'!$D$6:$Z$779,18,FALSE))</f>
        <v/>
      </c>
      <c r="AT38" s="8403" t="str">
        <f>IF(AO33=0,"",VLOOKUP(AO33,'Tablas Magia'!$D$6:$Z$779,22,FALSE))</f>
        <v/>
      </c>
      <c r="AU38" s="8404"/>
      <c r="AV38" s="8404"/>
      <c r="AW38" s="8404"/>
      <c r="AX38" s="8404"/>
      <c r="AY38" s="8404"/>
      <c r="AZ38" s="8404"/>
      <c r="BA38" s="8404"/>
      <c r="BB38" s="8404"/>
      <c r="BC38" s="8405"/>
      <c r="BD38" s="366"/>
      <c r="BE38" s="360"/>
      <c r="BF38" s="360"/>
      <c r="BG38" s="262"/>
      <c r="BH38" s="8401" t="s">
        <v>3037</v>
      </c>
      <c r="BI38" s="8402"/>
      <c r="BJ38" s="379" t="str">
        <f>IF(BH33=0,"",VLOOKUP(BH33,'Tablas Magia'!$D$6:$Z$779,10,FALSE))</f>
        <v/>
      </c>
      <c r="BK38" s="379" t="str">
        <f>IF(BH33=0,"",VLOOKUP(BH33,'Tablas Magia'!$D$6:$Z$779,14,FALSE))</f>
        <v/>
      </c>
      <c r="BL38" s="380" t="str">
        <f>IF(BH33=0,"",VLOOKUP(BH33,'Tablas Magia'!$D$6:$Z$779,18,FALSE))</f>
        <v/>
      </c>
      <c r="BM38" s="8403" t="str">
        <f>IF(BH33=0,"",VLOOKUP(BH33,'Tablas Magia'!$D$6:$Z$779,22,FALSE))</f>
        <v/>
      </c>
      <c r="BN38" s="8404"/>
      <c r="BO38" s="8404"/>
      <c r="BP38" s="8404"/>
      <c r="BQ38" s="8404"/>
      <c r="BR38" s="8404"/>
      <c r="BS38" s="8404"/>
      <c r="BT38" s="8404"/>
      <c r="BU38" s="8404"/>
      <c r="BV38" s="8405"/>
      <c r="BW38" s="366"/>
      <c r="BX38" s="360"/>
    </row>
    <row r="39" spans="1:76" ht="12.2" customHeight="1">
      <c r="A39" s="360"/>
      <c r="B39" s="262"/>
      <c r="C39" s="8406" t="str">
        <f>IF(C33=0,"",VLOOKUP(C33,'Tablas Magia'!$D$6:$Z$779,23,FALSE))</f>
        <v/>
      </c>
      <c r="D39" s="8407"/>
      <c r="E39" s="8407"/>
      <c r="F39" s="8407"/>
      <c r="G39" s="8407"/>
      <c r="H39" s="8407"/>
      <c r="I39" s="8407"/>
      <c r="J39" s="8407"/>
      <c r="K39" s="8407"/>
      <c r="L39" s="8407"/>
      <c r="M39" s="8407"/>
      <c r="N39" s="8407"/>
      <c r="O39" s="8407"/>
      <c r="P39" s="8407"/>
      <c r="Q39" s="8408"/>
      <c r="R39" s="366"/>
      <c r="S39" s="360"/>
      <c r="T39" s="360"/>
      <c r="U39" s="262"/>
      <c r="V39" s="8406" t="str">
        <f>IF(V33=0,"",VLOOKUP(V33,'Tablas Magia'!$D$6:$Z$779,23,FALSE))</f>
        <v/>
      </c>
      <c r="W39" s="8407"/>
      <c r="X39" s="8407"/>
      <c r="Y39" s="8407"/>
      <c r="Z39" s="8407"/>
      <c r="AA39" s="8407"/>
      <c r="AB39" s="8407"/>
      <c r="AC39" s="8407"/>
      <c r="AD39" s="8407"/>
      <c r="AE39" s="8407"/>
      <c r="AF39" s="8407"/>
      <c r="AG39" s="8407"/>
      <c r="AH39" s="8407"/>
      <c r="AI39" s="8407"/>
      <c r="AJ39" s="8408"/>
      <c r="AK39" s="366"/>
      <c r="AL39" s="360"/>
      <c r="AM39" s="360"/>
      <c r="AN39" s="262"/>
      <c r="AO39" s="8406" t="str">
        <f>IF(AO33=0,"",VLOOKUP(AO33,'Tablas Magia'!$D$6:$Z$779,23,FALSE))</f>
        <v/>
      </c>
      <c r="AP39" s="8407"/>
      <c r="AQ39" s="8407"/>
      <c r="AR39" s="8407"/>
      <c r="AS39" s="8407"/>
      <c r="AT39" s="8407"/>
      <c r="AU39" s="8407"/>
      <c r="AV39" s="8407"/>
      <c r="AW39" s="8407"/>
      <c r="AX39" s="8407"/>
      <c r="AY39" s="8407"/>
      <c r="AZ39" s="8407"/>
      <c r="BA39" s="8407"/>
      <c r="BB39" s="8407"/>
      <c r="BC39" s="8408"/>
      <c r="BD39" s="366"/>
      <c r="BE39" s="360"/>
      <c r="BF39" s="360"/>
      <c r="BG39" s="262"/>
      <c r="BH39" s="8406" t="str">
        <f>IF(BH33=0,"",VLOOKUP(BH33,'Tablas Magia'!$D$6:$Z$779,23,FALSE))</f>
        <v/>
      </c>
      <c r="BI39" s="8407"/>
      <c r="BJ39" s="8407"/>
      <c r="BK39" s="8407"/>
      <c r="BL39" s="8407"/>
      <c r="BM39" s="8407"/>
      <c r="BN39" s="8407"/>
      <c r="BO39" s="8407"/>
      <c r="BP39" s="8407"/>
      <c r="BQ39" s="8407"/>
      <c r="BR39" s="8407"/>
      <c r="BS39" s="8407"/>
      <c r="BT39" s="8407"/>
      <c r="BU39" s="8407"/>
      <c r="BV39" s="8408"/>
      <c r="BW39" s="366"/>
      <c r="BX39" s="360"/>
    </row>
    <row r="40" spans="1:76" ht="12.2" customHeight="1">
      <c r="A40" s="360"/>
      <c r="B40" s="262"/>
      <c r="C40" s="8409"/>
      <c r="D40" s="8410"/>
      <c r="E40" s="8410"/>
      <c r="F40" s="8410"/>
      <c r="G40" s="8410"/>
      <c r="H40" s="8410"/>
      <c r="I40" s="8410"/>
      <c r="J40" s="8410"/>
      <c r="K40" s="8410"/>
      <c r="L40" s="8410"/>
      <c r="M40" s="8410"/>
      <c r="N40" s="8410"/>
      <c r="O40" s="8410"/>
      <c r="P40" s="8410"/>
      <c r="Q40" s="8411"/>
      <c r="R40" s="366"/>
      <c r="S40" s="360"/>
      <c r="T40" s="360"/>
      <c r="U40" s="262"/>
      <c r="V40" s="8409"/>
      <c r="W40" s="8410"/>
      <c r="X40" s="8410"/>
      <c r="Y40" s="8410"/>
      <c r="Z40" s="8410"/>
      <c r="AA40" s="8410"/>
      <c r="AB40" s="8410"/>
      <c r="AC40" s="8410"/>
      <c r="AD40" s="8410"/>
      <c r="AE40" s="8410"/>
      <c r="AF40" s="8410"/>
      <c r="AG40" s="8410"/>
      <c r="AH40" s="8410"/>
      <c r="AI40" s="8410"/>
      <c r="AJ40" s="8411"/>
      <c r="AK40" s="366"/>
      <c r="AL40" s="360"/>
      <c r="AM40" s="360"/>
      <c r="AN40" s="262"/>
      <c r="AO40" s="8409"/>
      <c r="AP40" s="8410"/>
      <c r="AQ40" s="8410"/>
      <c r="AR40" s="8410"/>
      <c r="AS40" s="8410"/>
      <c r="AT40" s="8410"/>
      <c r="AU40" s="8410"/>
      <c r="AV40" s="8410"/>
      <c r="AW40" s="8410"/>
      <c r="AX40" s="8410"/>
      <c r="AY40" s="8410"/>
      <c r="AZ40" s="8410"/>
      <c r="BA40" s="8410"/>
      <c r="BB40" s="8410"/>
      <c r="BC40" s="8411"/>
      <c r="BD40" s="366"/>
      <c r="BE40" s="360"/>
      <c r="BF40" s="360"/>
      <c r="BG40" s="262"/>
      <c r="BH40" s="8409"/>
      <c r="BI40" s="8410"/>
      <c r="BJ40" s="8410"/>
      <c r="BK40" s="8410"/>
      <c r="BL40" s="8410"/>
      <c r="BM40" s="8410"/>
      <c r="BN40" s="8410"/>
      <c r="BO40" s="8410"/>
      <c r="BP40" s="8410"/>
      <c r="BQ40" s="8410"/>
      <c r="BR40" s="8410"/>
      <c r="BS40" s="8410"/>
      <c r="BT40" s="8410"/>
      <c r="BU40" s="8410"/>
      <c r="BV40" s="8411"/>
      <c r="BW40" s="366"/>
      <c r="BX40" s="360"/>
    </row>
    <row r="41" spans="1:76" ht="12.2" customHeight="1">
      <c r="A41" s="360"/>
      <c r="B41" s="262"/>
      <c r="C41" s="8409"/>
      <c r="D41" s="8410"/>
      <c r="E41" s="8410"/>
      <c r="F41" s="8410"/>
      <c r="G41" s="8410"/>
      <c r="H41" s="8410"/>
      <c r="I41" s="8410"/>
      <c r="J41" s="8410"/>
      <c r="K41" s="8410"/>
      <c r="L41" s="8410"/>
      <c r="M41" s="8410"/>
      <c r="N41" s="8410"/>
      <c r="O41" s="8410"/>
      <c r="P41" s="8410"/>
      <c r="Q41" s="8411"/>
      <c r="R41" s="366"/>
      <c r="S41" s="360"/>
      <c r="T41" s="360"/>
      <c r="U41" s="262"/>
      <c r="V41" s="8409"/>
      <c r="W41" s="8410"/>
      <c r="X41" s="8410"/>
      <c r="Y41" s="8410"/>
      <c r="Z41" s="8410"/>
      <c r="AA41" s="8410"/>
      <c r="AB41" s="8410"/>
      <c r="AC41" s="8410"/>
      <c r="AD41" s="8410"/>
      <c r="AE41" s="8410"/>
      <c r="AF41" s="8410"/>
      <c r="AG41" s="8410"/>
      <c r="AH41" s="8410"/>
      <c r="AI41" s="8410"/>
      <c r="AJ41" s="8411"/>
      <c r="AK41" s="366"/>
      <c r="AL41" s="360"/>
      <c r="AM41" s="360"/>
      <c r="AN41" s="262"/>
      <c r="AO41" s="8409"/>
      <c r="AP41" s="8410"/>
      <c r="AQ41" s="8410"/>
      <c r="AR41" s="8410"/>
      <c r="AS41" s="8410"/>
      <c r="AT41" s="8410"/>
      <c r="AU41" s="8410"/>
      <c r="AV41" s="8410"/>
      <c r="AW41" s="8410"/>
      <c r="AX41" s="8410"/>
      <c r="AY41" s="8410"/>
      <c r="AZ41" s="8410"/>
      <c r="BA41" s="8410"/>
      <c r="BB41" s="8410"/>
      <c r="BC41" s="8411"/>
      <c r="BD41" s="366"/>
      <c r="BE41" s="360"/>
      <c r="BF41" s="360"/>
      <c r="BG41" s="262"/>
      <c r="BH41" s="8409"/>
      <c r="BI41" s="8410"/>
      <c r="BJ41" s="8410"/>
      <c r="BK41" s="8410"/>
      <c r="BL41" s="8410"/>
      <c r="BM41" s="8410"/>
      <c r="BN41" s="8410"/>
      <c r="BO41" s="8410"/>
      <c r="BP41" s="8410"/>
      <c r="BQ41" s="8410"/>
      <c r="BR41" s="8410"/>
      <c r="BS41" s="8410"/>
      <c r="BT41" s="8410"/>
      <c r="BU41" s="8410"/>
      <c r="BV41" s="8411"/>
      <c r="BW41" s="366"/>
      <c r="BX41" s="360"/>
    </row>
    <row r="42" spans="1:76" ht="12.2" customHeight="1" thickBot="1">
      <c r="A42" s="360"/>
      <c r="B42" s="262"/>
      <c r="C42" s="8412"/>
      <c r="D42" s="8413"/>
      <c r="E42" s="8413"/>
      <c r="F42" s="8413"/>
      <c r="G42" s="8413"/>
      <c r="H42" s="8413"/>
      <c r="I42" s="8413"/>
      <c r="J42" s="8413"/>
      <c r="K42" s="8413"/>
      <c r="L42" s="8413"/>
      <c r="M42" s="8413"/>
      <c r="N42" s="8413"/>
      <c r="O42" s="8413"/>
      <c r="P42" s="8413"/>
      <c r="Q42" s="8414"/>
      <c r="R42" s="366"/>
      <c r="S42" s="360"/>
      <c r="T42" s="360"/>
      <c r="U42" s="262"/>
      <c r="V42" s="8412"/>
      <c r="W42" s="8413"/>
      <c r="X42" s="8413"/>
      <c r="Y42" s="8413"/>
      <c r="Z42" s="8413"/>
      <c r="AA42" s="8413"/>
      <c r="AB42" s="8413"/>
      <c r="AC42" s="8413"/>
      <c r="AD42" s="8413"/>
      <c r="AE42" s="8413"/>
      <c r="AF42" s="8413"/>
      <c r="AG42" s="8413"/>
      <c r="AH42" s="8413"/>
      <c r="AI42" s="8413"/>
      <c r="AJ42" s="8414"/>
      <c r="AK42" s="366"/>
      <c r="AL42" s="360"/>
      <c r="AM42" s="360"/>
      <c r="AN42" s="262"/>
      <c r="AO42" s="8412"/>
      <c r="AP42" s="8413"/>
      <c r="AQ42" s="8413"/>
      <c r="AR42" s="8413"/>
      <c r="AS42" s="8413"/>
      <c r="AT42" s="8413"/>
      <c r="AU42" s="8413"/>
      <c r="AV42" s="8413"/>
      <c r="AW42" s="8413"/>
      <c r="AX42" s="8413"/>
      <c r="AY42" s="8413"/>
      <c r="AZ42" s="8413"/>
      <c r="BA42" s="8413"/>
      <c r="BB42" s="8413"/>
      <c r="BC42" s="8414"/>
      <c r="BD42" s="366"/>
      <c r="BE42" s="360"/>
      <c r="BF42" s="360"/>
      <c r="BG42" s="262"/>
      <c r="BH42" s="8412"/>
      <c r="BI42" s="8413"/>
      <c r="BJ42" s="8413"/>
      <c r="BK42" s="8413"/>
      <c r="BL42" s="8413"/>
      <c r="BM42" s="8413"/>
      <c r="BN42" s="8413"/>
      <c r="BO42" s="8413"/>
      <c r="BP42" s="8413"/>
      <c r="BQ42" s="8413"/>
      <c r="BR42" s="8413"/>
      <c r="BS42" s="8413"/>
      <c r="BT42" s="8413"/>
      <c r="BU42" s="8413"/>
      <c r="BV42" s="8414"/>
      <c r="BW42" s="366"/>
      <c r="BX42" s="360"/>
    </row>
    <row r="43" spans="1:76" ht="12.2" customHeight="1" thickBot="1">
      <c r="A43" s="360"/>
      <c r="B43" s="262"/>
      <c r="C43" s="386"/>
      <c r="D43" s="386"/>
      <c r="E43" s="387"/>
      <c r="F43" s="387"/>
      <c r="G43" s="387"/>
      <c r="H43" s="387"/>
      <c r="I43" s="387"/>
      <c r="J43" s="387"/>
      <c r="K43" s="387"/>
      <c r="L43" s="387"/>
      <c r="M43" s="387"/>
      <c r="N43" s="387"/>
      <c r="O43" s="387"/>
      <c r="P43" s="387"/>
      <c r="Q43" s="387"/>
      <c r="R43" s="366"/>
      <c r="S43" s="360"/>
      <c r="T43" s="360"/>
      <c r="U43" s="262"/>
      <c r="V43" s="386"/>
      <c r="W43" s="386"/>
      <c r="X43" s="387"/>
      <c r="Y43" s="387"/>
      <c r="Z43" s="387"/>
      <c r="AA43" s="387"/>
      <c r="AB43" s="387"/>
      <c r="AC43" s="387"/>
      <c r="AD43" s="387"/>
      <c r="AE43" s="387"/>
      <c r="AF43" s="387"/>
      <c r="AG43" s="387"/>
      <c r="AH43" s="387"/>
      <c r="AI43" s="387"/>
      <c r="AJ43" s="387"/>
      <c r="AK43" s="366"/>
      <c r="AL43" s="360"/>
      <c r="AM43" s="360"/>
      <c r="AN43" s="262"/>
      <c r="AO43" s="386"/>
      <c r="AP43" s="386"/>
      <c r="AQ43" s="387"/>
      <c r="AR43" s="387"/>
      <c r="AS43" s="387"/>
      <c r="AT43" s="387"/>
      <c r="AU43" s="387"/>
      <c r="AV43" s="387"/>
      <c r="AW43" s="387"/>
      <c r="AX43" s="387"/>
      <c r="AY43" s="387"/>
      <c r="AZ43" s="387"/>
      <c r="BA43" s="387"/>
      <c r="BB43" s="387"/>
      <c r="BC43" s="387"/>
      <c r="BD43" s="366"/>
      <c r="BE43" s="360"/>
      <c r="BF43" s="360"/>
      <c r="BG43" s="262"/>
      <c r="BH43" s="386"/>
      <c r="BI43" s="386"/>
      <c r="BJ43" s="387"/>
      <c r="BK43" s="387"/>
      <c r="BL43" s="387"/>
      <c r="BM43" s="387"/>
      <c r="BN43" s="387"/>
      <c r="BO43" s="387"/>
      <c r="BP43" s="387"/>
      <c r="BQ43" s="387"/>
      <c r="BR43" s="387"/>
      <c r="BS43" s="387"/>
      <c r="BT43" s="387"/>
      <c r="BU43" s="387"/>
      <c r="BV43" s="387"/>
      <c r="BW43" s="366"/>
      <c r="BX43" s="360"/>
    </row>
    <row r="44" spans="1:76" ht="12.2" customHeight="1">
      <c r="A44" s="360"/>
      <c r="B44" s="262"/>
      <c r="C44" s="8375"/>
      <c r="D44" s="8376"/>
      <c r="E44" s="8376"/>
      <c r="F44" s="8376"/>
      <c r="G44" s="8376"/>
      <c r="H44" s="370" t="s">
        <v>1186</v>
      </c>
      <c r="I44" s="371" t="str">
        <f>IF(C44=0,"",VLOOKUP(C44,'Tablas Magia'!$D$6:$Z$779,3,FALSE))</f>
        <v/>
      </c>
      <c r="J44" s="8377" t="s">
        <v>5816</v>
      </c>
      <c r="K44" s="8377"/>
      <c r="L44" s="8377"/>
      <c r="M44" s="8378" t="str">
        <f>IF(C44=0,"",VLOOKUP(C44,'Tablas Magia'!$D$6:$Z$779,2,FALSE))</f>
        <v/>
      </c>
      <c r="N44" s="8378"/>
      <c r="O44" s="8378"/>
      <c r="P44" s="8378"/>
      <c r="Q44" s="8379"/>
      <c r="R44" s="366"/>
      <c r="S44" s="360"/>
      <c r="T44" s="360"/>
      <c r="U44" s="262"/>
      <c r="V44" s="8375"/>
      <c r="W44" s="8376"/>
      <c r="X44" s="8376"/>
      <c r="Y44" s="8376"/>
      <c r="Z44" s="8376"/>
      <c r="AA44" s="370" t="s">
        <v>1186</v>
      </c>
      <c r="AB44" s="371" t="str">
        <f>IF(V44=0,"",VLOOKUP(V44,'Tablas Magia'!$D$6:$Z$779,3,FALSE))</f>
        <v/>
      </c>
      <c r="AC44" s="8377" t="s">
        <v>5816</v>
      </c>
      <c r="AD44" s="8377"/>
      <c r="AE44" s="8377"/>
      <c r="AF44" s="8378" t="str">
        <f>IF(V44=0,"",VLOOKUP(V44,'Tablas Magia'!$D$6:$Z$779,2,FALSE))</f>
        <v/>
      </c>
      <c r="AG44" s="8378"/>
      <c r="AH44" s="8378"/>
      <c r="AI44" s="8378"/>
      <c r="AJ44" s="8379"/>
      <c r="AK44" s="366"/>
      <c r="AL44" s="360"/>
      <c r="AM44" s="360"/>
      <c r="AN44" s="262"/>
      <c r="AO44" s="8375"/>
      <c r="AP44" s="8376"/>
      <c r="AQ44" s="8376"/>
      <c r="AR44" s="8376"/>
      <c r="AS44" s="8376"/>
      <c r="AT44" s="370" t="s">
        <v>1186</v>
      </c>
      <c r="AU44" s="371" t="str">
        <f>IF(AO44=0,"",VLOOKUP(AO44,'Tablas Magia'!$D$6:$Z$779,3,FALSE))</f>
        <v/>
      </c>
      <c r="AV44" s="8377" t="s">
        <v>5816</v>
      </c>
      <c r="AW44" s="8377"/>
      <c r="AX44" s="8377"/>
      <c r="AY44" s="8378" t="str">
        <f>IF(AO44=0,"",VLOOKUP(AO44,'Tablas Magia'!$D$6:$Z$779,2,FALSE))</f>
        <v/>
      </c>
      <c r="AZ44" s="8378"/>
      <c r="BA44" s="8378"/>
      <c r="BB44" s="8378"/>
      <c r="BC44" s="8379"/>
      <c r="BD44" s="366"/>
      <c r="BE44" s="360"/>
      <c r="BF44" s="360"/>
      <c r="BG44" s="262"/>
      <c r="BH44" s="8375"/>
      <c r="BI44" s="8376"/>
      <c r="BJ44" s="8376"/>
      <c r="BK44" s="8376"/>
      <c r="BL44" s="8376"/>
      <c r="BM44" s="370" t="s">
        <v>1186</v>
      </c>
      <c r="BN44" s="371" t="str">
        <f>IF(BH44=0,"",VLOOKUP(BH44,'Tablas Magia'!$D$6:$Z$779,3,FALSE))</f>
        <v/>
      </c>
      <c r="BO44" s="8377" t="s">
        <v>5816</v>
      </c>
      <c r="BP44" s="8377"/>
      <c r="BQ44" s="8377"/>
      <c r="BR44" s="8378" t="str">
        <f>IF(BH44=0,"",VLOOKUP(BH44,'Tablas Magia'!$D$6:$Z$779,2,FALSE))</f>
        <v/>
      </c>
      <c r="BS44" s="8378"/>
      <c r="BT44" s="8378"/>
      <c r="BU44" s="8378"/>
      <c r="BV44" s="8379"/>
      <c r="BW44" s="366"/>
      <c r="BX44" s="360"/>
    </row>
    <row r="45" spans="1:76" ht="12.2" customHeight="1">
      <c r="A45" s="360"/>
      <c r="B45" s="262"/>
      <c r="C45" s="8399" t="s">
        <v>5817</v>
      </c>
      <c r="D45" s="8400"/>
      <c r="E45" s="372" t="s">
        <v>5818</v>
      </c>
      <c r="F45" s="372" t="s">
        <v>1368</v>
      </c>
      <c r="G45" s="372" t="s">
        <v>2666</v>
      </c>
      <c r="H45" s="373" t="s">
        <v>1690</v>
      </c>
      <c r="I45" s="8396" t="str">
        <f>IF(C44=0,"",VLOOKUP(C44,'Tablas Magia'!$D$6:$Z$779,5,FALSE))</f>
        <v/>
      </c>
      <c r="J45" s="8396"/>
      <c r="K45" s="8397" t="s">
        <v>5819</v>
      </c>
      <c r="L45" s="8397"/>
      <c r="M45" s="8396" t="str">
        <f>IF(C44=0,"",VLOOKUP(C44,'Tablas Magia'!$D$6:$Z$779,6,FALSE))</f>
        <v/>
      </c>
      <c r="N45" s="8396"/>
      <c r="O45" s="8398" t="s">
        <v>5820</v>
      </c>
      <c r="P45" s="8398"/>
      <c r="Q45" s="374" t="str">
        <f>IF(C44=0,"",VLOOKUP(C44,'Tablas Magia'!$D$6:$Z$779,4,FALSE))</f>
        <v/>
      </c>
      <c r="R45" s="366"/>
      <c r="S45" s="360"/>
      <c r="T45" s="360"/>
      <c r="U45" s="262"/>
      <c r="V45" s="8399" t="s">
        <v>5817</v>
      </c>
      <c r="W45" s="8400"/>
      <c r="X45" s="372" t="s">
        <v>5818</v>
      </c>
      <c r="Y45" s="372" t="s">
        <v>1368</v>
      </c>
      <c r="Z45" s="372" t="s">
        <v>2666</v>
      </c>
      <c r="AA45" s="373" t="s">
        <v>1690</v>
      </c>
      <c r="AB45" s="8396" t="str">
        <f>IF(V44=0,"",VLOOKUP(V44,'Tablas Magia'!$D$6:$Z$779,5,FALSE))</f>
        <v/>
      </c>
      <c r="AC45" s="8396"/>
      <c r="AD45" s="8397" t="s">
        <v>5819</v>
      </c>
      <c r="AE45" s="8397"/>
      <c r="AF45" s="8396" t="str">
        <f>IF(V44=0,"",VLOOKUP(V44,'Tablas Magia'!$D$6:$Z$779,6,FALSE))</f>
        <v/>
      </c>
      <c r="AG45" s="8396"/>
      <c r="AH45" s="8398" t="s">
        <v>5820</v>
      </c>
      <c r="AI45" s="8398"/>
      <c r="AJ45" s="374" t="str">
        <f>IF(V44=0,"",VLOOKUP(V44,'Tablas Magia'!$D$6:$Z$779,4,FALSE))</f>
        <v/>
      </c>
      <c r="AK45" s="366"/>
      <c r="AL45" s="360"/>
      <c r="AM45" s="360"/>
      <c r="AN45" s="262"/>
      <c r="AO45" s="8399" t="s">
        <v>5817</v>
      </c>
      <c r="AP45" s="8400"/>
      <c r="AQ45" s="372" t="s">
        <v>5818</v>
      </c>
      <c r="AR45" s="372" t="s">
        <v>1368</v>
      </c>
      <c r="AS45" s="372" t="s">
        <v>2666</v>
      </c>
      <c r="AT45" s="373" t="s">
        <v>1690</v>
      </c>
      <c r="AU45" s="8396" t="str">
        <f>IF(AO44=0,"",VLOOKUP(AO44,'Tablas Magia'!$D$6:$Z$779,5,FALSE))</f>
        <v/>
      </c>
      <c r="AV45" s="8396"/>
      <c r="AW45" s="8397" t="s">
        <v>5819</v>
      </c>
      <c r="AX45" s="8397"/>
      <c r="AY45" s="8396" t="str">
        <f>IF(AO44=0,"",VLOOKUP(AO44,'Tablas Magia'!$D$6:$Z$779,6,FALSE))</f>
        <v/>
      </c>
      <c r="AZ45" s="8396"/>
      <c r="BA45" s="8398" t="s">
        <v>5820</v>
      </c>
      <c r="BB45" s="8398"/>
      <c r="BC45" s="374" t="str">
        <f>IF(AO44=0,"",VLOOKUP(AO44,'Tablas Magia'!$D$6:$Z$779,4,FALSE))</f>
        <v/>
      </c>
      <c r="BD45" s="366"/>
      <c r="BE45" s="360"/>
      <c r="BF45" s="360"/>
      <c r="BG45" s="262"/>
      <c r="BH45" s="8399" t="s">
        <v>5817</v>
      </c>
      <c r="BI45" s="8400"/>
      <c r="BJ45" s="372" t="s">
        <v>5818</v>
      </c>
      <c r="BK45" s="372" t="s">
        <v>1368</v>
      </c>
      <c r="BL45" s="372" t="s">
        <v>2666</v>
      </c>
      <c r="BM45" s="373" t="s">
        <v>1690</v>
      </c>
      <c r="BN45" s="8396" t="str">
        <f>IF(BH44=0,"",VLOOKUP(BH44,'Tablas Magia'!$D$6:$Z$779,5,FALSE))</f>
        <v/>
      </c>
      <c r="BO45" s="8396"/>
      <c r="BP45" s="8397" t="s">
        <v>5819</v>
      </c>
      <c r="BQ45" s="8397"/>
      <c r="BR45" s="8396" t="str">
        <f>IF(BH44=0,"",VLOOKUP(BH44,'Tablas Magia'!$D$6:$Z$779,6,FALSE))</f>
        <v/>
      </c>
      <c r="BS45" s="8396"/>
      <c r="BT45" s="8398" t="s">
        <v>5820</v>
      </c>
      <c r="BU45" s="8398"/>
      <c r="BV45" s="374" t="str">
        <f>IF(BH44=0,"",VLOOKUP(BH44,'Tablas Magia'!$D$6:$Z$779,4,FALSE))</f>
        <v/>
      </c>
      <c r="BW45" s="366"/>
      <c r="BX45" s="360"/>
    </row>
    <row r="46" spans="1:76" ht="12.2" customHeight="1">
      <c r="A46" s="360"/>
      <c r="B46" s="262"/>
      <c r="C46" s="8391" t="s">
        <v>1225</v>
      </c>
      <c r="D46" s="8392"/>
      <c r="E46" s="375" t="str">
        <f>IF(C44=0,"",VLOOKUP(C44,'Tablas Magia'!$D$6:$Z$779,7,FALSE))</f>
        <v/>
      </c>
      <c r="F46" s="375" t="str">
        <f>IF(C44=0,"",VLOOKUP(C44,'Tablas Magia'!$D$6:$Z$779,11,FALSE))</f>
        <v/>
      </c>
      <c r="G46" s="376" t="str">
        <f>IF(C44=0,"",VLOOKUP(C44,'Tablas Magia'!$D$6:$Z$779,15,FALSE))</f>
        <v/>
      </c>
      <c r="H46" s="8393" t="str">
        <f>IF(C44=0,"",VLOOKUP(C44,'Tablas Magia'!$D$6:$Z$779,19,FALSE))</f>
        <v/>
      </c>
      <c r="I46" s="8394"/>
      <c r="J46" s="8394"/>
      <c r="K46" s="8394"/>
      <c r="L46" s="8394"/>
      <c r="M46" s="8394"/>
      <c r="N46" s="8394"/>
      <c r="O46" s="8394"/>
      <c r="P46" s="8394"/>
      <c r="Q46" s="8395"/>
      <c r="R46" s="366"/>
      <c r="S46" s="360"/>
      <c r="T46" s="360"/>
      <c r="U46" s="262"/>
      <c r="V46" s="8391" t="s">
        <v>1225</v>
      </c>
      <c r="W46" s="8392"/>
      <c r="X46" s="375" t="str">
        <f>IF(V44=0,"",VLOOKUP(V44,'Tablas Magia'!$D$6:$Z$779,7,FALSE))</f>
        <v/>
      </c>
      <c r="Y46" s="375" t="str">
        <f>IF(V44=0,"",VLOOKUP(V44,'Tablas Magia'!$D$6:$Z$779,11,FALSE))</f>
        <v/>
      </c>
      <c r="Z46" s="376" t="str">
        <f>IF(V44=0,"",VLOOKUP(V44,'Tablas Magia'!$D$6:$Z$779,15,FALSE))</f>
        <v/>
      </c>
      <c r="AA46" s="8393" t="str">
        <f>IF(V44=0,"",VLOOKUP(V44,'Tablas Magia'!$D$6:$Z$779,19,FALSE))</f>
        <v/>
      </c>
      <c r="AB46" s="8394"/>
      <c r="AC46" s="8394"/>
      <c r="AD46" s="8394"/>
      <c r="AE46" s="8394"/>
      <c r="AF46" s="8394"/>
      <c r="AG46" s="8394"/>
      <c r="AH46" s="8394"/>
      <c r="AI46" s="8394"/>
      <c r="AJ46" s="8395"/>
      <c r="AK46" s="366"/>
      <c r="AL46" s="360"/>
      <c r="AM46" s="360"/>
      <c r="AN46" s="262"/>
      <c r="AO46" s="8391" t="s">
        <v>1225</v>
      </c>
      <c r="AP46" s="8392"/>
      <c r="AQ46" s="375" t="str">
        <f>IF(AO44=0,"",VLOOKUP(AO44,'Tablas Magia'!$D$6:$Z$779,7,FALSE))</f>
        <v/>
      </c>
      <c r="AR46" s="375" t="str">
        <f>IF(AO44=0,"",VLOOKUP(AO44,'Tablas Magia'!$D$6:$Z$779,11,FALSE))</f>
        <v/>
      </c>
      <c r="AS46" s="376" t="str">
        <f>IF(AO44=0,"",VLOOKUP(AO44,'Tablas Magia'!$D$6:$Z$779,15,FALSE))</f>
        <v/>
      </c>
      <c r="AT46" s="8393" t="str">
        <f>IF(AO44=0,"",VLOOKUP(AO44,'Tablas Magia'!$D$6:$Z$779,19,FALSE))</f>
        <v/>
      </c>
      <c r="AU46" s="8394"/>
      <c r="AV46" s="8394"/>
      <c r="AW46" s="8394"/>
      <c r="AX46" s="8394"/>
      <c r="AY46" s="8394"/>
      <c r="AZ46" s="8394"/>
      <c r="BA46" s="8394"/>
      <c r="BB46" s="8394"/>
      <c r="BC46" s="8395"/>
      <c r="BD46" s="366"/>
      <c r="BE46" s="360"/>
      <c r="BF46" s="360"/>
      <c r="BG46" s="262"/>
      <c r="BH46" s="8391" t="s">
        <v>1225</v>
      </c>
      <c r="BI46" s="8392"/>
      <c r="BJ46" s="375" t="str">
        <f>IF(BH44=0,"",VLOOKUP(BH44,'Tablas Magia'!$D$6:$Z$779,7,FALSE))</f>
        <v/>
      </c>
      <c r="BK46" s="375" t="str">
        <f>IF(BH44=0,"",VLOOKUP(BH44,'Tablas Magia'!$D$6:$Z$779,11,FALSE))</f>
        <v/>
      </c>
      <c r="BL46" s="376" t="str">
        <f>IF(BH44=0,"",VLOOKUP(BH44,'Tablas Magia'!$D$6:$Z$779,15,FALSE))</f>
        <v/>
      </c>
      <c r="BM46" s="8393" t="str">
        <f>IF(BH44=0,"",VLOOKUP(BH44,'Tablas Magia'!$D$6:$Z$779,19,FALSE))</f>
        <v/>
      </c>
      <c r="BN46" s="8394"/>
      <c r="BO46" s="8394"/>
      <c r="BP46" s="8394"/>
      <c r="BQ46" s="8394"/>
      <c r="BR46" s="8394"/>
      <c r="BS46" s="8394"/>
      <c r="BT46" s="8394"/>
      <c r="BU46" s="8394"/>
      <c r="BV46" s="8395"/>
      <c r="BW46" s="366"/>
      <c r="BX46" s="360"/>
    </row>
    <row r="47" spans="1:76" ht="12.2" customHeight="1">
      <c r="A47" s="360"/>
      <c r="B47" s="262"/>
      <c r="C47" s="8386" t="s">
        <v>3035</v>
      </c>
      <c r="D47" s="8387"/>
      <c r="E47" s="377" t="str">
        <f>IF(C44=0,"",VLOOKUP(C44,'Tablas Magia'!$D$6:$Z$779,8,FALSE))</f>
        <v/>
      </c>
      <c r="F47" s="377" t="str">
        <f>IF(C44=0,"",VLOOKUP(C44,'Tablas Magia'!$D$6:$Z$779,12,FALSE))</f>
        <v/>
      </c>
      <c r="G47" s="378" t="str">
        <f>IF(C44=0,"",VLOOKUP(C44,'Tablas Magia'!$D$6:$Z$779,16,FALSE))</f>
        <v/>
      </c>
      <c r="H47" s="8388" t="str">
        <f>IF(C44=0,"",VLOOKUP(C44,'Tablas Magia'!$D$6:$Z$779,20,FALSE))</f>
        <v/>
      </c>
      <c r="I47" s="8389"/>
      <c r="J47" s="8389"/>
      <c r="K47" s="8389"/>
      <c r="L47" s="8389"/>
      <c r="M47" s="8389"/>
      <c r="N47" s="8389"/>
      <c r="O47" s="8389"/>
      <c r="P47" s="8389"/>
      <c r="Q47" s="8390"/>
      <c r="R47" s="366"/>
      <c r="S47" s="360"/>
      <c r="T47" s="360"/>
      <c r="U47" s="262"/>
      <c r="V47" s="8386" t="s">
        <v>3035</v>
      </c>
      <c r="W47" s="8387"/>
      <c r="X47" s="377" t="str">
        <f>IF(V44=0,"",VLOOKUP(V44,'Tablas Magia'!$D$6:$Z$779,8,FALSE))</f>
        <v/>
      </c>
      <c r="Y47" s="377" t="str">
        <f>IF(V44=0,"",VLOOKUP(V44,'Tablas Magia'!$D$6:$Z$779,12,FALSE))</f>
        <v/>
      </c>
      <c r="Z47" s="378" t="str">
        <f>IF(V44=0,"",VLOOKUP(V44,'Tablas Magia'!$D$6:$Z$779,16,FALSE))</f>
        <v/>
      </c>
      <c r="AA47" s="8388" t="str">
        <f>IF(V44=0,"",VLOOKUP(V44,'Tablas Magia'!$D$6:$Z$779,20,FALSE))</f>
        <v/>
      </c>
      <c r="AB47" s="8389"/>
      <c r="AC47" s="8389"/>
      <c r="AD47" s="8389"/>
      <c r="AE47" s="8389"/>
      <c r="AF47" s="8389"/>
      <c r="AG47" s="8389"/>
      <c r="AH47" s="8389"/>
      <c r="AI47" s="8389"/>
      <c r="AJ47" s="8390"/>
      <c r="AK47" s="366"/>
      <c r="AL47" s="360"/>
      <c r="AM47" s="360"/>
      <c r="AN47" s="262"/>
      <c r="AO47" s="8386" t="s">
        <v>3035</v>
      </c>
      <c r="AP47" s="8387"/>
      <c r="AQ47" s="377" t="str">
        <f>IF(AO44=0,"",VLOOKUP(AO44,'Tablas Magia'!$D$6:$Z$779,8,FALSE))</f>
        <v/>
      </c>
      <c r="AR47" s="377" t="str">
        <f>IF(AO44=0,"",VLOOKUP(AO44,'Tablas Magia'!$D$6:$Z$779,12,FALSE))</f>
        <v/>
      </c>
      <c r="AS47" s="378" t="str">
        <f>IF(AO44=0,"",VLOOKUP(AO44,'Tablas Magia'!$D$6:$Z$779,16,FALSE))</f>
        <v/>
      </c>
      <c r="AT47" s="8388" t="str">
        <f>IF(AO44=0,"",VLOOKUP(AO44,'Tablas Magia'!$D$6:$Z$779,20,FALSE))</f>
        <v/>
      </c>
      <c r="AU47" s="8389"/>
      <c r="AV47" s="8389"/>
      <c r="AW47" s="8389"/>
      <c r="AX47" s="8389"/>
      <c r="AY47" s="8389"/>
      <c r="AZ47" s="8389"/>
      <c r="BA47" s="8389"/>
      <c r="BB47" s="8389"/>
      <c r="BC47" s="8390"/>
      <c r="BD47" s="366"/>
      <c r="BE47" s="360"/>
      <c r="BF47" s="360"/>
      <c r="BG47" s="262"/>
      <c r="BH47" s="8386" t="s">
        <v>3035</v>
      </c>
      <c r="BI47" s="8387"/>
      <c r="BJ47" s="377" t="str">
        <f>IF(BH44=0,"",VLOOKUP(BH44,'Tablas Magia'!$D$6:$Z$779,8,FALSE))</f>
        <v/>
      </c>
      <c r="BK47" s="377" t="str">
        <f>IF(BH44=0,"",VLOOKUP(BH44,'Tablas Magia'!$D$6:$Z$779,12,FALSE))</f>
        <v/>
      </c>
      <c r="BL47" s="378" t="str">
        <f>IF(BH44=0,"",VLOOKUP(BH44,'Tablas Magia'!$D$6:$Z$779,16,FALSE))</f>
        <v/>
      </c>
      <c r="BM47" s="8388" t="str">
        <f>IF(BH44=0,"",VLOOKUP(BH44,'Tablas Magia'!$D$6:$Z$779,20,FALSE))</f>
        <v/>
      </c>
      <c r="BN47" s="8389"/>
      <c r="BO47" s="8389"/>
      <c r="BP47" s="8389"/>
      <c r="BQ47" s="8389"/>
      <c r="BR47" s="8389"/>
      <c r="BS47" s="8389"/>
      <c r="BT47" s="8389"/>
      <c r="BU47" s="8389"/>
      <c r="BV47" s="8390"/>
      <c r="BW47" s="366"/>
      <c r="BX47" s="360"/>
    </row>
    <row r="48" spans="1:76" ht="12.2" customHeight="1">
      <c r="A48" s="360"/>
      <c r="B48" s="262"/>
      <c r="C48" s="8391" t="s">
        <v>3036</v>
      </c>
      <c r="D48" s="8392"/>
      <c r="E48" s="375" t="str">
        <f>IF(C44=0,"",VLOOKUP(C44,'Tablas Magia'!$D$6:$Z$779,9,FALSE))</f>
        <v/>
      </c>
      <c r="F48" s="375" t="str">
        <f>IF(C44=0,"",VLOOKUP(C44,'Tablas Magia'!$D$6:$Z$779,13,FALSE))</f>
        <v/>
      </c>
      <c r="G48" s="376" t="str">
        <f>IF(C44=0,"",VLOOKUP(C44,'Tablas Magia'!$D$6:$Z$779,17,FALSE))</f>
        <v/>
      </c>
      <c r="H48" s="8393" t="str">
        <f>IF(C44=0,"",VLOOKUP(C44,'Tablas Magia'!$D$6:$Z$779,21,FALSE))</f>
        <v/>
      </c>
      <c r="I48" s="8394"/>
      <c r="J48" s="8394"/>
      <c r="K48" s="8394"/>
      <c r="L48" s="8394"/>
      <c r="M48" s="8394"/>
      <c r="N48" s="8394"/>
      <c r="O48" s="8394"/>
      <c r="P48" s="8394"/>
      <c r="Q48" s="8395"/>
      <c r="R48" s="366"/>
      <c r="S48" s="360"/>
      <c r="T48" s="360"/>
      <c r="U48" s="262"/>
      <c r="V48" s="8391" t="s">
        <v>3036</v>
      </c>
      <c r="W48" s="8392"/>
      <c r="X48" s="375" t="str">
        <f>IF(V44=0,"",VLOOKUP(V44,'Tablas Magia'!$D$6:$Z$779,9,FALSE))</f>
        <v/>
      </c>
      <c r="Y48" s="375" t="str">
        <f>IF(V44=0,"",VLOOKUP(V44,'Tablas Magia'!$D$6:$Z$779,13,FALSE))</f>
        <v/>
      </c>
      <c r="Z48" s="376" t="str">
        <f>IF(V44=0,"",VLOOKUP(V44,'Tablas Magia'!$D$6:$Z$779,17,FALSE))</f>
        <v/>
      </c>
      <c r="AA48" s="8393" t="str">
        <f>IF(V44=0,"",VLOOKUP(V44,'Tablas Magia'!$D$6:$Z$779,21,FALSE))</f>
        <v/>
      </c>
      <c r="AB48" s="8394"/>
      <c r="AC48" s="8394"/>
      <c r="AD48" s="8394"/>
      <c r="AE48" s="8394"/>
      <c r="AF48" s="8394"/>
      <c r="AG48" s="8394"/>
      <c r="AH48" s="8394"/>
      <c r="AI48" s="8394"/>
      <c r="AJ48" s="8395"/>
      <c r="AK48" s="366"/>
      <c r="AL48" s="360"/>
      <c r="AM48" s="360"/>
      <c r="AN48" s="262"/>
      <c r="AO48" s="8391" t="s">
        <v>3036</v>
      </c>
      <c r="AP48" s="8392"/>
      <c r="AQ48" s="375" t="str">
        <f>IF(AO44=0,"",VLOOKUP(AO44,'Tablas Magia'!$D$6:$Z$779,9,FALSE))</f>
        <v/>
      </c>
      <c r="AR48" s="375" t="str">
        <f>IF(AO44=0,"",VLOOKUP(AO44,'Tablas Magia'!$D$6:$Z$779,13,FALSE))</f>
        <v/>
      </c>
      <c r="AS48" s="376" t="str">
        <f>IF(AO44=0,"",VLOOKUP(AO44,'Tablas Magia'!$D$6:$Z$779,17,FALSE))</f>
        <v/>
      </c>
      <c r="AT48" s="8393" t="str">
        <f>IF(AO44=0,"",VLOOKUP(AO44,'Tablas Magia'!$D$6:$Z$779,21,FALSE))</f>
        <v/>
      </c>
      <c r="AU48" s="8394"/>
      <c r="AV48" s="8394"/>
      <c r="AW48" s="8394"/>
      <c r="AX48" s="8394"/>
      <c r="AY48" s="8394"/>
      <c r="AZ48" s="8394"/>
      <c r="BA48" s="8394"/>
      <c r="BB48" s="8394"/>
      <c r="BC48" s="8395"/>
      <c r="BD48" s="366"/>
      <c r="BE48" s="360"/>
      <c r="BF48" s="360"/>
      <c r="BG48" s="262"/>
      <c r="BH48" s="8391" t="s">
        <v>3036</v>
      </c>
      <c r="BI48" s="8392"/>
      <c r="BJ48" s="375" t="str">
        <f>IF(BH44=0,"",VLOOKUP(BH44,'Tablas Magia'!$D$6:$Z$779,9,FALSE))</f>
        <v/>
      </c>
      <c r="BK48" s="375" t="str">
        <f>IF(BH44=0,"",VLOOKUP(BH44,'Tablas Magia'!$D$6:$Z$779,13,FALSE))</f>
        <v/>
      </c>
      <c r="BL48" s="376" t="str">
        <f>IF(BH44=0,"",VLOOKUP(BH44,'Tablas Magia'!$D$6:$Z$779,17,FALSE))</f>
        <v/>
      </c>
      <c r="BM48" s="8393" t="str">
        <f>IF(BH44=0,"",VLOOKUP(BH44,'Tablas Magia'!$D$6:$Z$779,21,FALSE))</f>
        <v/>
      </c>
      <c r="BN48" s="8394"/>
      <c r="BO48" s="8394"/>
      <c r="BP48" s="8394"/>
      <c r="BQ48" s="8394"/>
      <c r="BR48" s="8394"/>
      <c r="BS48" s="8394"/>
      <c r="BT48" s="8394"/>
      <c r="BU48" s="8394"/>
      <c r="BV48" s="8395"/>
      <c r="BW48" s="366"/>
      <c r="BX48" s="360"/>
    </row>
    <row r="49" spans="1:76" ht="12.2" customHeight="1" thickBot="1">
      <c r="A49" s="360"/>
      <c r="B49" s="262"/>
      <c r="C49" s="8401" t="s">
        <v>3037</v>
      </c>
      <c r="D49" s="8402"/>
      <c r="E49" s="379" t="str">
        <f>IF(C44=0,"",VLOOKUP(C44,'Tablas Magia'!$D$6:$Z$779,10,FALSE))</f>
        <v/>
      </c>
      <c r="F49" s="379" t="str">
        <f>IF(C44=0,"",VLOOKUP(C44,'Tablas Magia'!$D$6:$Z$779,14,FALSE))</f>
        <v/>
      </c>
      <c r="G49" s="380" t="str">
        <f>IF(C44=0,"",VLOOKUP(C44,'Tablas Magia'!$D$6:$Z$779,18,FALSE))</f>
        <v/>
      </c>
      <c r="H49" s="8403" t="str">
        <f>IF(C44=0,"",VLOOKUP(C44,'Tablas Magia'!$D$6:$Z$779,22,FALSE))</f>
        <v/>
      </c>
      <c r="I49" s="8404"/>
      <c r="J49" s="8404"/>
      <c r="K49" s="8404"/>
      <c r="L49" s="8404"/>
      <c r="M49" s="8404"/>
      <c r="N49" s="8404"/>
      <c r="O49" s="8404"/>
      <c r="P49" s="8404"/>
      <c r="Q49" s="8405"/>
      <c r="R49" s="366"/>
      <c r="S49" s="360"/>
      <c r="T49" s="360"/>
      <c r="U49" s="262"/>
      <c r="V49" s="8401" t="s">
        <v>3037</v>
      </c>
      <c r="W49" s="8402"/>
      <c r="X49" s="379" t="str">
        <f>IF(V44=0,"",VLOOKUP(V44,'Tablas Magia'!$D$6:$Z$779,10,FALSE))</f>
        <v/>
      </c>
      <c r="Y49" s="379" t="str">
        <f>IF(V44=0,"",VLOOKUP(V44,'Tablas Magia'!$D$6:$Z$779,14,FALSE))</f>
        <v/>
      </c>
      <c r="Z49" s="380" t="str">
        <f>IF(V44=0,"",VLOOKUP(V44,'Tablas Magia'!$D$6:$Z$779,18,FALSE))</f>
        <v/>
      </c>
      <c r="AA49" s="8403" t="str">
        <f>IF(V44=0,"",VLOOKUP(V44,'Tablas Magia'!$D$6:$Z$779,22,FALSE))</f>
        <v/>
      </c>
      <c r="AB49" s="8404"/>
      <c r="AC49" s="8404"/>
      <c r="AD49" s="8404"/>
      <c r="AE49" s="8404"/>
      <c r="AF49" s="8404"/>
      <c r="AG49" s="8404"/>
      <c r="AH49" s="8404"/>
      <c r="AI49" s="8404"/>
      <c r="AJ49" s="8405"/>
      <c r="AK49" s="366"/>
      <c r="AL49" s="360"/>
      <c r="AM49" s="360"/>
      <c r="AN49" s="262"/>
      <c r="AO49" s="8401" t="s">
        <v>3037</v>
      </c>
      <c r="AP49" s="8402"/>
      <c r="AQ49" s="379" t="str">
        <f>IF(AO44=0,"",VLOOKUP(AO44,'Tablas Magia'!$D$6:$Z$779,10,FALSE))</f>
        <v/>
      </c>
      <c r="AR49" s="379" t="str">
        <f>IF(AO44=0,"",VLOOKUP(AO44,'Tablas Magia'!$D$6:$Z$779,14,FALSE))</f>
        <v/>
      </c>
      <c r="AS49" s="380" t="str">
        <f>IF(AO44=0,"",VLOOKUP(AO44,'Tablas Magia'!$D$6:$Z$779,18,FALSE))</f>
        <v/>
      </c>
      <c r="AT49" s="8403" t="str">
        <f>IF(AO44=0,"",VLOOKUP(AO44,'Tablas Magia'!$D$6:$Z$779,22,FALSE))</f>
        <v/>
      </c>
      <c r="AU49" s="8404"/>
      <c r="AV49" s="8404"/>
      <c r="AW49" s="8404"/>
      <c r="AX49" s="8404"/>
      <c r="AY49" s="8404"/>
      <c r="AZ49" s="8404"/>
      <c r="BA49" s="8404"/>
      <c r="BB49" s="8404"/>
      <c r="BC49" s="8405"/>
      <c r="BD49" s="366"/>
      <c r="BE49" s="360"/>
      <c r="BF49" s="360"/>
      <c r="BG49" s="262"/>
      <c r="BH49" s="8401" t="s">
        <v>3037</v>
      </c>
      <c r="BI49" s="8402"/>
      <c r="BJ49" s="379" t="str">
        <f>IF(BH44=0,"",VLOOKUP(BH44,'Tablas Magia'!$D$6:$Z$779,10,FALSE))</f>
        <v/>
      </c>
      <c r="BK49" s="379" t="str">
        <f>IF(BH44=0,"",VLOOKUP(BH44,'Tablas Magia'!$D$6:$Z$779,14,FALSE))</f>
        <v/>
      </c>
      <c r="BL49" s="380" t="str">
        <f>IF(BH44=0,"",VLOOKUP(BH44,'Tablas Magia'!$D$6:$Z$779,18,FALSE))</f>
        <v/>
      </c>
      <c r="BM49" s="8403" t="str">
        <f>IF(BH44=0,"",VLOOKUP(BH44,'Tablas Magia'!$D$6:$Z$779,22,FALSE))</f>
        <v/>
      </c>
      <c r="BN49" s="8404"/>
      <c r="BO49" s="8404"/>
      <c r="BP49" s="8404"/>
      <c r="BQ49" s="8404"/>
      <c r="BR49" s="8404"/>
      <c r="BS49" s="8404"/>
      <c r="BT49" s="8404"/>
      <c r="BU49" s="8404"/>
      <c r="BV49" s="8405"/>
      <c r="BW49" s="366"/>
      <c r="BX49" s="360"/>
    </row>
    <row r="50" spans="1:76" ht="12.2" customHeight="1">
      <c r="A50" s="360"/>
      <c r="B50" s="262"/>
      <c r="C50" s="8406" t="str">
        <f>IF(C44=0,"",VLOOKUP(C44,'Tablas Magia'!$D$6:$Z$779,23,FALSE))</f>
        <v/>
      </c>
      <c r="D50" s="8407"/>
      <c r="E50" s="8407"/>
      <c r="F50" s="8407"/>
      <c r="G50" s="8407"/>
      <c r="H50" s="8407"/>
      <c r="I50" s="8407"/>
      <c r="J50" s="8407"/>
      <c r="K50" s="8407"/>
      <c r="L50" s="8407"/>
      <c r="M50" s="8407"/>
      <c r="N50" s="8407"/>
      <c r="O50" s="8407"/>
      <c r="P50" s="8407"/>
      <c r="Q50" s="8408"/>
      <c r="R50" s="366"/>
      <c r="S50" s="360"/>
      <c r="T50" s="360"/>
      <c r="U50" s="262"/>
      <c r="V50" s="8406" t="str">
        <f>IF(V44=0,"",VLOOKUP(V44,'Tablas Magia'!$D$6:$Z$779,23,FALSE))</f>
        <v/>
      </c>
      <c r="W50" s="8407"/>
      <c r="X50" s="8407"/>
      <c r="Y50" s="8407"/>
      <c r="Z50" s="8407"/>
      <c r="AA50" s="8407"/>
      <c r="AB50" s="8407"/>
      <c r="AC50" s="8407"/>
      <c r="AD50" s="8407"/>
      <c r="AE50" s="8407"/>
      <c r="AF50" s="8407"/>
      <c r="AG50" s="8407"/>
      <c r="AH50" s="8407"/>
      <c r="AI50" s="8407"/>
      <c r="AJ50" s="8408"/>
      <c r="AK50" s="366"/>
      <c r="AL50" s="360"/>
      <c r="AM50" s="360"/>
      <c r="AN50" s="262"/>
      <c r="AO50" s="8406" t="str">
        <f>IF(AO44=0,"",VLOOKUP(AO44,'Tablas Magia'!$D$6:$Z$779,23,FALSE))</f>
        <v/>
      </c>
      <c r="AP50" s="8407"/>
      <c r="AQ50" s="8407"/>
      <c r="AR50" s="8407"/>
      <c r="AS50" s="8407"/>
      <c r="AT50" s="8407"/>
      <c r="AU50" s="8407"/>
      <c r="AV50" s="8407"/>
      <c r="AW50" s="8407"/>
      <c r="AX50" s="8407"/>
      <c r="AY50" s="8407"/>
      <c r="AZ50" s="8407"/>
      <c r="BA50" s="8407"/>
      <c r="BB50" s="8407"/>
      <c r="BC50" s="8408"/>
      <c r="BD50" s="366"/>
      <c r="BE50" s="360"/>
      <c r="BF50" s="360"/>
      <c r="BG50" s="262"/>
      <c r="BH50" s="8406" t="str">
        <f>IF(BH44=0,"",VLOOKUP(BH44,'Tablas Magia'!$D$6:$Z$779,23,FALSE))</f>
        <v/>
      </c>
      <c r="BI50" s="8407"/>
      <c r="BJ50" s="8407"/>
      <c r="BK50" s="8407"/>
      <c r="BL50" s="8407"/>
      <c r="BM50" s="8407"/>
      <c r="BN50" s="8407"/>
      <c r="BO50" s="8407"/>
      <c r="BP50" s="8407"/>
      <c r="BQ50" s="8407"/>
      <c r="BR50" s="8407"/>
      <c r="BS50" s="8407"/>
      <c r="BT50" s="8407"/>
      <c r="BU50" s="8407"/>
      <c r="BV50" s="8408"/>
      <c r="BW50" s="366"/>
      <c r="BX50" s="360"/>
    </row>
    <row r="51" spans="1:76" ht="12.2" customHeight="1">
      <c r="A51" s="360"/>
      <c r="B51" s="262"/>
      <c r="C51" s="8409"/>
      <c r="D51" s="8410"/>
      <c r="E51" s="8410"/>
      <c r="F51" s="8410"/>
      <c r="G51" s="8410"/>
      <c r="H51" s="8410"/>
      <c r="I51" s="8410"/>
      <c r="J51" s="8410"/>
      <c r="K51" s="8410"/>
      <c r="L51" s="8410"/>
      <c r="M51" s="8410"/>
      <c r="N51" s="8410"/>
      <c r="O51" s="8410"/>
      <c r="P51" s="8410"/>
      <c r="Q51" s="8411"/>
      <c r="R51" s="366"/>
      <c r="S51" s="360"/>
      <c r="T51" s="360"/>
      <c r="U51" s="262"/>
      <c r="V51" s="8409"/>
      <c r="W51" s="8410"/>
      <c r="X51" s="8410"/>
      <c r="Y51" s="8410"/>
      <c r="Z51" s="8410"/>
      <c r="AA51" s="8410"/>
      <c r="AB51" s="8410"/>
      <c r="AC51" s="8410"/>
      <c r="AD51" s="8410"/>
      <c r="AE51" s="8410"/>
      <c r="AF51" s="8410"/>
      <c r="AG51" s="8410"/>
      <c r="AH51" s="8410"/>
      <c r="AI51" s="8410"/>
      <c r="AJ51" s="8411"/>
      <c r="AK51" s="366"/>
      <c r="AL51" s="360"/>
      <c r="AM51" s="360"/>
      <c r="AN51" s="262"/>
      <c r="AO51" s="8409"/>
      <c r="AP51" s="8410"/>
      <c r="AQ51" s="8410"/>
      <c r="AR51" s="8410"/>
      <c r="AS51" s="8410"/>
      <c r="AT51" s="8410"/>
      <c r="AU51" s="8410"/>
      <c r="AV51" s="8410"/>
      <c r="AW51" s="8410"/>
      <c r="AX51" s="8410"/>
      <c r="AY51" s="8410"/>
      <c r="AZ51" s="8410"/>
      <c r="BA51" s="8410"/>
      <c r="BB51" s="8410"/>
      <c r="BC51" s="8411"/>
      <c r="BD51" s="366"/>
      <c r="BE51" s="360"/>
      <c r="BF51" s="360"/>
      <c r="BG51" s="262"/>
      <c r="BH51" s="8409"/>
      <c r="BI51" s="8410"/>
      <c r="BJ51" s="8410"/>
      <c r="BK51" s="8410"/>
      <c r="BL51" s="8410"/>
      <c r="BM51" s="8410"/>
      <c r="BN51" s="8410"/>
      <c r="BO51" s="8410"/>
      <c r="BP51" s="8410"/>
      <c r="BQ51" s="8410"/>
      <c r="BR51" s="8410"/>
      <c r="BS51" s="8410"/>
      <c r="BT51" s="8410"/>
      <c r="BU51" s="8410"/>
      <c r="BV51" s="8411"/>
      <c r="BW51" s="366"/>
      <c r="BX51" s="360"/>
    </row>
    <row r="52" spans="1:76" ht="12.2" customHeight="1">
      <c r="A52" s="360"/>
      <c r="B52" s="262"/>
      <c r="C52" s="8409"/>
      <c r="D52" s="8410"/>
      <c r="E52" s="8410"/>
      <c r="F52" s="8410"/>
      <c r="G52" s="8410"/>
      <c r="H52" s="8410"/>
      <c r="I52" s="8410"/>
      <c r="J52" s="8410"/>
      <c r="K52" s="8410"/>
      <c r="L52" s="8410"/>
      <c r="M52" s="8410"/>
      <c r="N52" s="8410"/>
      <c r="O52" s="8410"/>
      <c r="P52" s="8410"/>
      <c r="Q52" s="8411"/>
      <c r="R52" s="366"/>
      <c r="S52" s="360"/>
      <c r="T52" s="360"/>
      <c r="U52" s="262"/>
      <c r="V52" s="8409"/>
      <c r="W52" s="8410"/>
      <c r="X52" s="8410"/>
      <c r="Y52" s="8410"/>
      <c r="Z52" s="8410"/>
      <c r="AA52" s="8410"/>
      <c r="AB52" s="8410"/>
      <c r="AC52" s="8410"/>
      <c r="AD52" s="8410"/>
      <c r="AE52" s="8410"/>
      <c r="AF52" s="8410"/>
      <c r="AG52" s="8410"/>
      <c r="AH52" s="8410"/>
      <c r="AI52" s="8410"/>
      <c r="AJ52" s="8411"/>
      <c r="AK52" s="366"/>
      <c r="AL52" s="360"/>
      <c r="AM52" s="360"/>
      <c r="AN52" s="262"/>
      <c r="AO52" s="8409"/>
      <c r="AP52" s="8410"/>
      <c r="AQ52" s="8410"/>
      <c r="AR52" s="8410"/>
      <c r="AS52" s="8410"/>
      <c r="AT52" s="8410"/>
      <c r="AU52" s="8410"/>
      <c r="AV52" s="8410"/>
      <c r="AW52" s="8410"/>
      <c r="AX52" s="8410"/>
      <c r="AY52" s="8410"/>
      <c r="AZ52" s="8410"/>
      <c r="BA52" s="8410"/>
      <c r="BB52" s="8410"/>
      <c r="BC52" s="8411"/>
      <c r="BD52" s="366"/>
      <c r="BE52" s="360"/>
      <c r="BF52" s="360"/>
      <c r="BG52" s="262"/>
      <c r="BH52" s="8409"/>
      <c r="BI52" s="8410"/>
      <c r="BJ52" s="8410"/>
      <c r="BK52" s="8410"/>
      <c r="BL52" s="8410"/>
      <c r="BM52" s="8410"/>
      <c r="BN52" s="8410"/>
      <c r="BO52" s="8410"/>
      <c r="BP52" s="8410"/>
      <c r="BQ52" s="8410"/>
      <c r="BR52" s="8410"/>
      <c r="BS52" s="8410"/>
      <c r="BT52" s="8410"/>
      <c r="BU52" s="8410"/>
      <c r="BV52" s="8411"/>
      <c r="BW52" s="366"/>
      <c r="BX52" s="360"/>
    </row>
    <row r="53" spans="1:76" ht="12.2" customHeight="1" thickBot="1">
      <c r="A53" s="360"/>
      <c r="B53" s="262"/>
      <c r="C53" s="8412"/>
      <c r="D53" s="8413"/>
      <c r="E53" s="8413"/>
      <c r="F53" s="8413"/>
      <c r="G53" s="8413"/>
      <c r="H53" s="8413"/>
      <c r="I53" s="8413"/>
      <c r="J53" s="8413"/>
      <c r="K53" s="8413"/>
      <c r="L53" s="8413"/>
      <c r="M53" s="8413"/>
      <c r="N53" s="8413"/>
      <c r="O53" s="8413"/>
      <c r="P53" s="8413"/>
      <c r="Q53" s="8414"/>
      <c r="R53" s="366"/>
      <c r="S53" s="360"/>
      <c r="T53" s="360"/>
      <c r="U53" s="262"/>
      <c r="V53" s="8412"/>
      <c r="W53" s="8413"/>
      <c r="X53" s="8413"/>
      <c r="Y53" s="8413"/>
      <c r="Z53" s="8413"/>
      <c r="AA53" s="8413"/>
      <c r="AB53" s="8413"/>
      <c r="AC53" s="8413"/>
      <c r="AD53" s="8413"/>
      <c r="AE53" s="8413"/>
      <c r="AF53" s="8413"/>
      <c r="AG53" s="8413"/>
      <c r="AH53" s="8413"/>
      <c r="AI53" s="8413"/>
      <c r="AJ53" s="8414"/>
      <c r="AK53" s="366"/>
      <c r="AL53" s="360"/>
      <c r="AM53" s="360"/>
      <c r="AN53" s="262"/>
      <c r="AO53" s="8412"/>
      <c r="AP53" s="8413"/>
      <c r="AQ53" s="8413"/>
      <c r="AR53" s="8413"/>
      <c r="AS53" s="8413"/>
      <c r="AT53" s="8413"/>
      <c r="AU53" s="8413"/>
      <c r="AV53" s="8413"/>
      <c r="AW53" s="8413"/>
      <c r="AX53" s="8413"/>
      <c r="AY53" s="8413"/>
      <c r="AZ53" s="8413"/>
      <c r="BA53" s="8413"/>
      <c r="BB53" s="8413"/>
      <c r="BC53" s="8414"/>
      <c r="BD53" s="366"/>
      <c r="BE53" s="360"/>
      <c r="BF53" s="360"/>
      <c r="BG53" s="262"/>
      <c r="BH53" s="8412"/>
      <c r="BI53" s="8413"/>
      <c r="BJ53" s="8413"/>
      <c r="BK53" s="8413"/>
      <c r="BL53" s="8413"/>
      <c r="BM53" s="8413"/>
      <c r="BN53" s="8413"/>
      <c r="BO53" s="8413"/>
      <c r="BP53" s="8413"/>
      <c r="BQ53" s="8413"/>
      <c r="BR53" s="8413"/>
      <c r="BS53" s="8413"/>
      <c r="BT53" s="8413"/>
      <c r="BU53" s="8413"/>
      <c r="BV53" s="8414"/>
      <c r="BW53" s="366"/>
      <c r="BX53" s="360"/>
    </row>
    <row r="54" spans="1:76" ht="12.2" customHeight="1" thickBot="1">
      <c r="A54" s="360"/>
      <c r="B54" s="262"/>
      <c r="C54" s="386"/>
      <c r="D54" s="386"/>
      <c r="E54" s="377"/>
      <c r="F54" s="377"/>
      <c r="G54" s="377"/>
      <c r="H54" s="387"/>
      <c r="I54" s="387"/>
      <c r="J54" s="387"/>
      <c r="K54" s="387"/>
      <c r="L54" s="387"/>
      <c r="M54" s="387"/>
      <c r="N54" s="387"/>
      <c r="O54" s="387"/>
      <c r="P54" s="387"/>
      <c r="Q54" s="387"/>
      <c r="R54" s="366"/>
      <c r="S54" s="360"/>
      <c r="T54" s="360"/>
      <c r="U54" s="262"/>
      <c r="V54" s="386"/>
      <c r="W54" s="386"/>
      <c r="X54" s="377"/>
      <c r="Y54" s="377"/>
      <c r="Z54" s="377"/>
      <c r="AA54" s="387"/>
      <c r="AB54" s="387"/>
      <c r="AC54" s="387"/>
      <c r="AD54" s="387"/>
      <c r="AE54" s="387"/>
      <c r="AF54" s="387"/>
      <c r="AG54" s="387"/>
      <c r="AH54" s="387"/>
      <c r="AI54" s="387"/>
      <c r="AJ54" s="387"/>
      <c r="AK54" s="366"/>
      <c r="AL54" s="360"/>
      <c r="AM54" s="360"/>
      <c r="AN54" s="262"/>
      <c r="AO54" s="386"/>
      <c r="AP54" s="386"/>
      <c r="AQ54" s="377"/>
      <c r="AR54" s="377"/>
      <c r="AS54" s="377"/>
      <c r="AT54" s="387"/>
      <c r="AU54" s="387"/>
      <c r="AV54" s="387"/>
      <c r="AW54" s="387"/>
      <c r="AX54" s="387"/>
      <c r="AY54" s="387"/>
      <c r="AZ54" s="387"/>
      <c r="BA54" s="387"/>
      <c r="BB54" s="387"/>
      <c r="BC54" s="387"/>
      <c r="BD54" s="366"/>
      <c r="BE54" s="360"/>
      <c r="BF54" s="360"/>
      <c r="BG54" s="262"/>
      <c r="BH54" s="386"/>
      <c r="BI54" s="386"/>
      <c r="BJ54" s="377"/>
      <c r="BK54" s="377"/>
      <c r="BL54" s="377"/>
      <c r="BM54" s="387"/>
      <c r="BN54" s="387"/>
      <c r="BO54" s="387"/>
      <c r="BP54" s="387"/>
      <c r="BQ54" s="387"/>
      <c r="BR54" s="387"/>
      <c r="BS54" s="387"/>
      <c r="BT54" s="387"/>
      <c r="BU54" s="387"/>
      <c r="BV54" s="387"/>
      <c r="BW54" s="366"/>
      <c r="BX54" s="360"/>
    </row>
    <row r="55" spans="1:76" ht="12.2" customHeight="1">
      <c r="A55" s="360"/>
      <c r="B55" s="262"/>
      <c r="C55" s="8375"/>
      <c r="D55" s="8376"/>
      <c r="E55" s="8376"/>
      <c r="F55" s="8376"/>
      <c r="G55" s="8376"/>
      <c r="H55" s="370" t="s">
        <v>1186</v>
      </c>
      <c r="I55" s="371" t="str">
        <f>IF(C55=0,"",VLOOKUP(C55,'Tablas Magia'!$D$6:$Z$779,3,FALSE))</f>
        <v/>
      </c>
      <c r="J55" s="8377" t="s">
        <v>5816</v>
      </c>
      <c r="K55" s="8377"/>
      <c r="L55" s="8377"/>
      <c r="M55" s="8378" t="str">
        <f>IF(C55=0,"",VLOOKUP(C55,'Tablas Magia'!$D$6:$Z$779,2,FALSE))</f>
        <v/>
      </c>
      <c r="N55" s="8378"/>
      <c r="O55" s="8378"/>
      <c r="P55" s="8378"/>
      <c r="Q55" s="8379"/>
      <c r="R55" s="366"/>
      <c r="S55" s="360"/>
      <c r="T55" s="360"/>
      <c r="U55" s="262"/>
      <c r="V55" s="8375"/>
      <c r="W55" s="8376"/>
      <c r="X55" s="8376"/>
      <c r="Y55" s="8376"/>
      <c r="Z55" s="8376"/>
      <c r="AA55" s="370" t="s">
        <v>1186</v>
      </c>
      <c r="AB55" s="371" t="str">
        <f>IF(V55=0,"",VLOOKUP(V55,'Tablas Magia'!$D$6:$Z$779,3,FALSE))</f>
        <v/>
      </c>
      <c r="AC55" s="8377" t="s">
        <v>5816</v>
      </c>
      <c r="AD55" s="8377"/>
      <c r="AE55" s="8377"/>
      <c r="AF55" s="8378" t="str">
        <f>IF(V55=0,"",VLOOKUP(V55,'Tablas Magia'!$D$6:$Z$779,2,FALSE))</f>
        <v/>
      </c>
      <c r="AG55" s="8378"/>
      <c r="AH55" s="8378"/>
      <c r="AI55" s="8378"/>
      <c r="AJ55" s="8379"/>
      <c r="AK55" s="366"/>
      <c r="AL55" s="360"/>
      <c r="AM55" s="360"/>
      <c r="AN55" s="262"/>
      <c r="AO55" s="8375"/>
      <c r="AP55" s="8376"/>
      <c r="AQ55" s="8376"/>
      <c r="AR55" s="8376"/>
      <c r="AS55" s="8376"/>
      <c r="AT55" s="370" t="s">
        <v>1186</v>
      </c>
      <c r="AU55" s="371" t="str">
        <f>IF(AO55=0,"",VLOOKUP(AO55,'Tablas Magia'!$D$6:$Z$779,3,FALSE))</f>
        <v/>
      </c>
      <c r="AV55" s="8377" t="s">
        <v>5816</v>
      </c>
      <c r="AW55" s="8377"/>
      <c r="AX55" s="8377"/>
      <c r="AY55" s="8378" t="str">
        <f>IF(AO55=0,"",VLOOKUP(AO55,'Tablas Magia'!$D$6:$Z$779,2,FALSE))</f>
        <v/>
      </c>
      <c r="AZ55" s="8378"/>
      <c r="BA55" s="8378"/>
      <c r="BB55" s="8378"/>
      <c r="BC55" s="8379"/>
      <c r="BD55" s="366"/>
      <c r="BE55" s="360"/>
      <c r="BF55" s="360"/>
      <c r="BG55" s="262"/>
      <c r="BH55" s="8375"/>
      <c r="BI55" s="8376"/>
      <c r="BJ55" s="8376"/>
      <c r="BK55" s="8376"/>
      <c r="BL55" s="8376"/>
      <c r="BM55" s="370" t="s">
        <v>1186</v>
      </c>
      <c r="BN55" s="371" t="str">
        <f>IF(BH55=0,"",VLOOKUP(BH55,'Tablas Magia'!$D$6:$Z$779,3,FALSE))</f>
        <v/>
      </c>
      <c r="BO55" s="8377" t="s">
        <v>5816</v>
      </c>
      <c r="BP55" s="8377"/>
      <c r="BQ55" s="8377"/>
      <c r="BR55" s="8378" t="str">
        <f>IF(BH55=0,"",VLOOKUP(BH55,'Tablas Magia'!$D$6:$Z$779,2,FALSE))</f>
        <v/>
      </c>
      <c r="BS55" s="8378"/>
      <c r="BT55" s="8378"/>
      <c r="BU55" s="8378"/>
      <c r="BV55" s="8379"/>
      <c r="BW55" s="366"/>
      <c r="BX55" s="360"/>
    </row>
    <row r="56" spans="1:76" ht="12.2" customHeight="1">
      <c r="A56" s="360"/>
      <c r="B56" s="262"/>
      <c r="C56" s="8399" t="s">
        <v>5817</v>
      </c>
      <c r="D56" s="8400"/>
      <c r="E56" s="372" t="s">
        <v>5818</v>
      </c>
      <c r="F56" s="372" t="s">
        <v>1368</v>
      </c>
      <c r="G56" s="372" t="s">
        <v>2666</v>
      </c>
      <c r="H56" s="373" t="s">
        <v>1690</v>
      </c>
      <c r="I56" s="8396" t="str">
        <f>IF(C55=0,"",VLOOKUP(C55,'Tablas Magia'!$D$6:$Z$779,5,FALSE))</f>
        <v/>
      </c>
      <c r="J56" s="8396"/>
      <c r="K56" s="8397" t="s">
        <v>5819</v>
      </c>
      <c r="L56" s="8397"/>
      <c r="M56" s="8396" t="str">
        <f>IF(C55=0,"",VLOOKUP(C55,'Tablas Magia'!$D$6:$Z$779,6,FALSE))</f>
        <v/>
      </c>
      <c r="N56" s="8396"/>
      <c r="O56" s="8398" t="s">
        <v>5820</v>
      </c>
      <c r="P56" s="8398"/>
      <c r="Q56" s="374" t="str">
        <f>IF(C55=0,"",VLOOKUP(C55,'Tablas Magia'!$D$6:$Z$779,4,FALSE))</f>
        <v/>
      </c>
      <c r="R56" s="366"/>
      <c r="S56" s="360"/>
      <c r="T56" s="360"/>
      <c r="U56" s="262"/>
      <c r="V56" s="8399" t="s">
        <v>5817</v>
      </c>
      <c r="W56" s="8400"/>
      <c r="X56" s="372" t="s">
        <v>5818</v>
      </c>
      <c r="Y56" s="372" t="s">
        <v>1368</v>
      </c>
      <c r="Z56" s="372" t="s">
        <v>2666</v>
      </c>
      <c r="AA56" s="373" t="s">
        <v>1690</v>
      </c>
      <c r="AB56" s="8396" t="str">
        <f>IF(V55=0,"",VLOOKUP(V55,'Tablas Magia'!$D$6:$Z$779,5,FALSE))</f>
        <v/>
      </c>
      <c r="AC56" s="8396"/>
      <c r="AD56" s="8397" t="s">
        <v>5819</v>
      </c>
      <c r="AE56" s="8397"/>
      <c r="AF56" s="8396" t="str">
        <f>IF(V55=0,"",VLOOKUP(V55,'Tablas Magia'!$D$6:$Z$779,6,FALSE))</f>
        <v/>
      </c>
      <c r="AG56" s="8396"/>
      <c r="AH56" s="8398" t="s">
        <v>5820</v>
      </c>
      <c r="AI56" s="8398"/>
      <c r="AJ56" s="374" t="str">
        <f>IF(V55=0,"",VLOOKUP(V55,'Tablas Magia'!$D$6:$Z$779,4,FALSE))</f>
        <v/>
      </c>
      <c r="AK56" s="366"/>
      <c r="AL56" s="360"/>
      <c r="AM56" s="360"/>
      <c r="AN56" s="262"/>
      <c r="AO56" s="8399" t="s">
        <v>5817</v>
      </c>
      <c r="AP56" s="8400"/>
      <c r="AQ56" s="372" t="s">
        <v>5818</v>
      </c>
      <c r="AR56" s="372" t="s">
        <v>1368</v>
      </c>
      <c r="AS56" s="372" t="s">
        <v>2666</v>
      </c>
      <c r="AT56" s="373" t="s">
        <v>1690</v>
      </c>
      <c r="AU56" s="8396" t="str">
        <f>IF(AO55=0,"",VLOOKUP(AO55,'Tablas Magia'!$D$6:$Z$779,5,FALSE))</f>
        <v/>
      </c>
      <c r="AV56" s="8396"/>
      <c r="AW56" s="8397" t="s">
        <v>5819</v>
      </c>
      <c r="AX56" s="8397"/>
      <c r="AY56" s="8396" t="str">
        <f>IF(AO55=0,"",VLOOKUP(AO55,'Tablas Magia'!$D$6:$Z$779,6,FALSE))</f>
        <v/>
      </c>
      <c r="AZ56" s="8396"/>
      <c r="BA56" s="8398" t="s">
        <v>5820</v>
      </c>
      <c r="BB56" s="8398"/>
      <c r="BC56" s="374" t="str">
        <f>IF(AO55=0,"",VLOOKUP(AO55,'Tablas Magia'!$D$6:$Z$779,4,FALSE))</f>
        <v/>
      </c>
      <c r="BD56" s="366"/>
      <c r="BE56" s="360"/>
      <c r="BF56" s="360"/>
      <c r="BG56" s="262"/>
      <c r="BH56" s="8399" t="s">
        <v>5817</v>
      </c>
      <c r="BI56" s="8400"/>
      <c r="BJ56" s="372" t="s">
        <v>5818</v>
      </c>
      <c r="BK56" s="372" t="s">
        <v>1368</v>
      </c>
      <c r="BL56" s="372" t="s">
        <v>2666</v>
      </c>
      <c r="BM56" s="373" t="s">
        <v>1690</v>
      </c>
      <c r="BN56" s="8396" t="str">
        <f>IF(BH55=0,"",VLOOKUP(BH55,'Tablas Magia'!$D$6:$Z$779,5,FALSE))</f>
        <v/>
      </c>
      <c r="BO56" s="8396"/>
      <c r="BP56" s="8397" t="s">
        <v>5819</v>
      </c>
      <c r="BQ56" s="8397"/>
      <c r="BR56" s="8396" t="str">
        <f>IF(BH55=0,"",VLOOKUP(BH55,'Tablas Magia'!$D$6:$Z$779,6,FALSE))</f>
        <v/>
      </c>
      <c r="BS56" s="8396"/>
      <c r="BT56" s="8398" t="s">
        <v>5820</v>
      </c>
      <c r="BU56" s="8398"/>
      <c r="BV56" s="374" t="str">
        <f>IF(BH55=0,"",VLOOKUP(BH55,'Tablas Magia'!$D$6:$Z$779,4,FALSE))</f>
        <v/>
      </c>
      <c r="BW56" s="366"/>
      <c r="BX56" s="360"/>
    </row>
    <row r="57" spans="1:76" ht="12.2" customHeight="1">
      <c r="A57" s="360"/>
      <c r="B57" s="262"/>
      <c r="C57" s="8391" t="s">
        <v>1225</v>
      </c>
      <c r="D57" s="8392"/>
      <c r="E57" s="375" t="str">
        <f>IF(C55=0,"",VLOOKUP(C55,'Tablas Magia'!$D$6:$Z$779,7,FALSE))</f>
        <v/>
      </c>
      <c r="F57" s="375" t="str">
        <f>IF(C55=0,"",VLOOKUP(C55,'Tablas Magia'!$D$6:$Z$779,11,FALSE))</f>
        <v/>
      </c>
      <c r="G57" s="376" t="str">
        <f>IF(C55=0,"",VLOOKUP(C55,'Tablas Magia'!$D$6:$Z$779,15,FALSE))</f>
        <v/>
      </c>
      <c r="H57" s="8393" t="str">
        <f>IF(C55=0,"",VLOOKUP(C55,'Tablas Magia'!$D$6:$Z$779,19,FALSE))</f>
        <v/>
      </c>
      <c r="I57" s="8394"/>
      <c r="J57" s="8394"/>
      <c r="K57" s="8394"/>
      <c r="L57" s="8394"/>
      <c r="M57" s="8394"/>
      <c r="N57" s="8394"/>
      <c r="O57" s="8394"/>
      <c r="P57" s="8394"/>
      <c r="Q57" s="8395"/>
      <c r="R57" s="366"/>
      <c r="S57" s="360"/>
      <c r="T57" s="360"/>
      <c r="U57" s="262"/>
      <c r="V57" s="8391" t="s">
        <v>1225</v>
      </c>
      <c r="W57" s="8392"/>
      <c r="X57" s="375" t="str">
        <f>IF(V55=0,"",VLOOKUP(V55,'Tablas Magia'!$D$6:$Z$779,7,FALSE))</f>
        <v/>
      </c>
      <c r="Y57" s="375" t="str">
        <f>IF(V55=0,"",VLOOKUP(V55,'Tablas Magia'!$D$6:$Z$779,11,FALSE))</f>
        <v/>
      </c>
      <c r="Z57" s="376" t="str">
        <f>IF(V55=0,"",VLOOKUP(V55,'Tablas Magia'!$D$6:$Z$779,15,FALSE))</f>
        <v/>
      </c>
      <c r="AA57" s="8393" t="str">
        <f>IF(V55=0,"",VLOOKUP(V55,'Tablas Magia'!$D$6:$Z$779,19,FALSE))</f>
        <v/>
      </c>
      <c r="AB57" s="8394"/>
      <c r="AC57" s="8394"/>
      <c r="AD57" s="8394"/>
      <c r="AE57" s="8394"/>
      <c r="AF57" s="8394"/>
      <c r="AG57" s="8394"/>
      <c r="AH57" s="8394"/>
      <c r="AI57" s="8394"/>
      <c r="AJ57" s="8395"/>
      <c r="AK57" s="366"/>
      <c r="AL57" s="360"/>
      <c r="AM57" s="360"/>
      <c r="AN57" s="262"/>
      <c r="AO57" s="8391" t="s">
        <v>1225</v>
      </c>
      <c r="AP57" s="8392"/>
      <c r="AQ57" s="375" t="str">
        <f>IF(AO55=0,"",VLOOKUP(AO55,'Tablas Magia'!$D$6:$Z$779,7,FALSE))</f>
        <v/>
      </c>
      <c r="AR57" s="375" t="str">
        <f>IF(AO55=0,"",VLOOKUP(AO55,'Tablas Magia'!$D$6:$Z$779,11,FALSE))</f>
        <v/>
      </c>
      <c r="AS57" s="376" t="str">
        <f>IF(AO55=0,"",VLOOKUP(AO55,'Tablas Magia'!$D$6:$Z$779,15,FALSE))</f>
        <v/>
      </c>
      <c r="AT57" s="8393" t="str">
        <f>IF(AO55=0,"",VLOOKUP(AO55,'Tablas Magia'!$D$6:$Z$779,19,FALSE))</f>
        <v/>
      </c>
      <c r="AU57" s="8394"/>
      <c r="AV57" s="8394"/>
      <c r="AW57" s="8394"/>
      <c r="AX57" s="8394"/>
      <c r="AY57" s="8394"/>
      <c r="AZ57" s="8394"/>
      <c r="BA57" s="8394"/>
      <c r="BB57" s="8394"/>
      <c r="BC57" s="8395"/>
      <c r="BD57" s="366"/>
      <c r="BE57" s="360"/>
      <c r="BF57" s="360"/>
      <c r="BG57" s="262"/>
      <c r="BH57" s="8391" t="s">
        <v>1225</v>
      </c>
      <c r="BI57" s="8392"/>
      <c r="BJ57" s="375" t="str">
        <f>IF(BH55=0,"",VLOOKUP(BH55,'Tablas Magia'!$D$6:$Z$779,7,FALSE))</f>
        <v/>
      </c>
      <c r="BK57" s="375" t="str">
        <f>IF(BH55=0,"",VLOOKUP(BH55,'Tablas Magia'!$D$6:$Z$779,11,FALSE))</f>
        <v/>
      </c>
      <c r="BL57" s="376" t="str">
        <f>IF(BH55=0,"",VLOOKUP(BH55,'Tablas Magia'!$D$6:$Z$779,15,FALSE))</f>
        <v/>
      </c>
      <c r="BM57" s="8393" t="str">
        <f>IF(BH55=0,"",VLOOKUP(BH55,'Tablas Magia'!$D$6:$Z$779,19,FALSE))</f>
        <v/>
      </c>
      <c r="BN57" s="8394"/>
      <c r="BO57" s="8394"/>
      <c r="BP57" s="8394"/>
      <c r="BQ57" s="8394"/>
      <c r="BR57" s="8394"/>
      <c r="BS57" s="8394"/>
      <c r="BT57" s="8394"/>
      <c r="BU57" s="8394"/>
      <c r="BV57" s="8395"/>
      <c r="BW57" s="366"/>
      <c r="BX57" s="360"/>
    </row>
    <row r="58" spans="1:76" ht="12.2" customHeight="1">
      <c r="A58" s="360"/>
      <c r="B58" s="262"/>
      <c r="C58" s="8386" t="s">
        <v>3035</v>
      </c>
      <c r="D58" s="8387"/>
      <c r="E58" s="377" t="str">
        <f>IF(C55=0,"",VLOOKUP(C55,'Tablas Magia'!$D$6:$Z$779,8,FALSE))</f>
        <v/>
      </c>
      <c r="F58" s="377" t="str">
        <f>IF(C55=0,"",VLOOKUP(C55,'Tablas Magia'!$D$6:$Z$779,12,FALSE))</f>
        <v/>
      </c>
      <c r="G58" s="378" t="str">
        <f>IF(C55=0,"",VLOOKUP(C55,'Tablas Magia'!$D$6:$Z$779,16,FALSE))</f>
        <v/>
      </c>
      <c r="H58" s="8388" t="str">
        <f>IF(C55=0,"",VLOOKUP(C55,'Tablas Magia'!$D$6:$Z$779,20,FALSE))</f>
        <v/>
      </c>
      <c r="I58" s="8389"/>
      <c r="J58" s="8389"/>
      <c r="K58" s="8389"/>
      <c r="L58" s="8389"/>
      <c r="M58" s="8389"/>
      <c r="N58" s="8389"/>
      <c r="O58" s="8389"/>
      <c r="P58" s="8389"/>
      <c r="Q58" s="8390"/>
      <c r="R58" s="366"/>
      <c r="S58" s="360"/>
      <c r="T58" s="360"/>
      <c r="U58" s="262"/>
      <c r="V58" s="8386" t="s">
        <v>3035</v>
      </c>
      <c r="W58" s="8387"/>
      <c r="X58" s="377" t="str">
        <f>IF(V55=0,"",VLOOKUP(V55,'Tablas Magia'!$D$6:$Z$779,8,FALSE))</f>
        <v/>
      </c>
      <c r="Y58" s="377" t="str">
        <f>IF(V55=0,"",VLOOKUP(V55,'Tablas Magia'!$D$6:$Z$779,12,FALSE))</f>
        <v/>
      </c>
      <c r="Z58" s="378" t="str">
        <f>IF(V55=0,"",VLOOKUP(V55,'Tablas Magia'!$D$6:$Z$779,16,FALSE))</f>
        <v/>
      </c>
      <c r="AA58" s="8388" t="str">
        <f>IF(V55=0,"",VLOOKUP(V55,'Tablas Magia'!$D$6:$Z$779,20,FALSE))</f>
        <v/>
      </c>
      <c r="AB58" s="8389"/>
      <c r="AC58" s="8389"/>
      <c r="AD58" s="8389"/>
      <c r="AE58" s="8389"/>
      <c r="AF58" s="8389"/>
      <c r="AG58" s="8389"/>
      <c r="AH58" s="8389"/>
      <c r="AI58" s="8389"/>
      <c r="AJ58" s="8390"/>
      <c r="AK58" s="366"/>
      <c r="AL58" s="360"/>
      <c r="AM58" s="360"/>
      <c r="AN58" s="262"/>
      <c r="AO58" s="8386" t="s">
        <v>3035</v>
      </c>
      <c r="AP58" s="8387"/>
      <c r="AQ58" s="377" t="str">
        <f>IF(AO55=0,"",VLOOKUP(AO55,'Tablas Magia'!$D$6:$Z$779,8,FALSE))</f>
        <v/>
      </c>
      <c r="AR58" s="377" t="str">
        <f>IF(AO55=0,"",VLOOKUP(AO55,'Tablas Magia'!$D$6:$Z$779,12,FALSE))</f>
        <v/>
      </c>
      <c r="AS58" s="378" t="str">
        <f>IF(AO55=0,"",VLOOKUP(AO55,'Tablas Magia'!$D$6:$Z$779,16,FALSE))</f>
        <v/>
      </c>
      <c r="AT58" s="8388" t="str">
        <f>IF(AO55=0,"",VLOOKUP(AO55,'Tablas Magia'!$D$6:$Z$779,20,FALSE))</f>
        <v/>
      </c>
      <c r="AU58" s="8389"/>
      <c r="AV58" s="8389"/>
      <c r="AW58" s="8389"/>
      <c r="AX58" s="8389"/>
      <c r="AY58" s="8389"/>
      <c r="AZ58" s="8389"/>
      <c r="BA58" s="8389"/>
      <c r="BB58" s="8389"/>
      <c r="BC58" s="8390"/>
      <c r="BD58" s="366"/>
      <c r="BE58" s="360"/>
      <c r="BF58" s="360"/>
      <c r="BG58" s="262"/>
      <c r="BH58" s="8386" t="s">
        <v>3035</v>
      </c>
      <c r="BI58" s="8387"/>
      <c r="BJ58" s="377" t="str">
        <f>IF(BH55=0,"",VLOOKUP(BH55,'Tablas Magia'!$D$6:$Z$779,8,FALSE))</f>
        <v/>
      </c>
      <c r="BK58" s="377" t="str">
        <f>IF(BH55=0,"",VLOOKUP(BH55,'Tablas Magia'!$D$6:$Z$779,12,FALSE))</f>
        <v/>
      </c>
      <c r="BL58" s="378" t="str">
        <f>IF(BH55=0,"",VLOOKUP(BH55,'Tablas Magia'!$D$6:$Z$779,16,FALSE))</f>
        <v/>
      </c>
      <c r="BM58" s="8388" t="str">
        <f>IF(BH55=0,"",VLOOKUP(BH55,'Tablas Magia'!$D$6:$Z$779,20,FALSE))</f>
        <v/>
      </c>
      <c r="BN58" s="8389"/>
      <c r="BO58" s="8389"/>
      <c r="BP58" s="8389"/>
      <c r="BQ58" s="8389"/>
      <c r="BR58" s="8389"/>
      <c r="BS58" s="8389"/>
      <c r="BT58" s="8389"/>
      <c r="BU58" s="8389"/>
      <c r="BV58" s="8390"/>
      <c r="BW58" s="366"/>
      <c r="BX58" s="360"/>
    </row>
    <row r="59" spans="1:76" ht="12.2" customHeight="1">
      <c r="A59" s="360"/>
      <c r="B59" s="262"/>
      <c r="C59" s="8391" t="s">
        <v>3036</v>
      </c>
      <c r="D59" s="8392"/>
      <c r="E59" s="375" t="str">
        <f>IF(C55=0,"",VLOOKUP(C55,'Tablas Magia'!$D$6:$Z$779,9,FALSE))</f>
        <v/>
      </c>
      <c r="F59" s="375" t="str">
        <f>IF(C55=0,"",VLOOKUP(C55,'Tablas Magia'!$D$6:$Z$779,13,FALSE))</f>
        <v/>
      </c>
      <c r="G59" s="376" t="str">
        <f>IF(C55=0,"",VLOOKUP(C55,'Tablas Magia'!$D$6:$Z$779,17,FALSE))</f>
        <v/>
      </c>
      <c r="H59" s="8393" t="str">
        <f>IF(C55=0,"",VLOOKUP(C55,'Tablas Magia'!$D$6:$Z$779,21,FALSE))</f>
        <v/>
      </c>
      <c r="I59" s="8394"/>
      <c r="J59" s="8394"/>
      <c r="K59" s="8394"/>
      <c r="L59" s="8394"/>
      <c r="M59" s="8394"/>
      <c r="N59" s="8394"/>
      <c r="O59" s="8394"/>
      <c r="P59" s="8394"/>
      <c r="Q59" s="8395"/>
      <c r="R59" s="366"/>
      <c r="S59" s="360"/>
      <c r="T59" s="360"/>
      <c r="U59" s="262"/>
      <c r="V59" s="8391" t="s">
        <v>3036</v>
      </c>
      <c r="W59" s="8392"/>
      <c r="X59" s="375" t="str">
        <f>IF(V55=0,"",VLOOKUP(V55,'Tablas Magia'!$D$6:$Z$779,9,FALSE))</f>
        <v/>
      </c>
      <c r="Y59" s="375" t="str">
        <f>IF(V55=0,"",VLOOKUP(V55,'Tablas Magia'!$D$6:$Z$779,13,FALSE))</f>
        <v/>
      </c>
      <c r="Z59" s="376" t="str">
        <f>IF(V55=0,"",VLOOKUP(V55,'Tablas Magia'!$D$6:$Z$779,17,FALSE))</f>
        <v/>
      </c>
      <c r="AA59" s="8393" t="str">
        <f>IF(V55=0,"",VLOOKUP(V55,'Tablas Magia'!$D$6:$Z$779,21,FALSE))</f>
        <v/>
      </c>
      <c r="AB59" s="8394"/>
      <c r="AC59" s="8394"/>
      <c r="AD59" s="8394"/>
      <c r="AE59" s="8394"/>
      <c r="AF59" s="8394"/>
      <c r="AG59" s="8394"/>
      <c r="AH59" s="8394"/>
      <c r="AI59" s="8394"/>
      <c r="AJ59" s="8395"/>
      <c r="AK59" s="366"/>
      <c r="AL59" s="360"/>
      <c r="AM59" s="360"/>
      <c r="AN59" s="262"/>
      <c r="AO59" s="8391" t="s">
        <v>3036</v>
      </c>
      <c r="AP59" s="8392"/>
      <c r="AQ59" s="375" t="str">
        <f>IF(AO55=0,"",VLOOKUP(AO55,'Tablas Magia'!$D$6:$Z$779,9,FALSE))</f>
        <v/>
      </c>
      <c r="AR59" s="375" t="str">
        <f>IF(AO55=0,"",VLOOKUP(AO55,'Tablas Magia'!$D$6:$Z$779,13,FALSE))</f>
        <v/>
      </c>
      <c r="AS59" s="376" t="str">
        <f>IF(AO55=0,"",VLOOKUP(AO55,'Tablas Magia'!$D$6:$Z$779,17,FALSE))</f>
        <v/>
      </c>
      <c r="AT59" s="8393" t="str">
        <f>IF(AO55=0,"",VLOOKUP(AO55,'Tablas Magia'!$D$6:$Z$779,21,FALSE))</f>
        <v/>
      </c>
      <c r="AU59" s="8394"/>
      <c r="AV59" s="8394"/>
      <c r="AW59" s="8394"/>
      <c r="AX59" s="8394"/>
      <c r="AY59" s="8394"/>
      <c r="AZ59" s="8394"/>
      <c r="BA59" s="8394"/>
      <c r="BB59" s="8394"/>
      <c r="BC59" s="8395"/>
      <c r="BD59" s="366"/>
      <c r="BE59" s="360"/>
      <c r="BF59" s="360"/>
      <c r="BG59" s="262"/>
      <c r="BH59" s="8391" t="s">
        <v>3036</v>
      </c>
      <c r="BI59" s="8392"/>
      <c r="BJ59" s="375" t="str">
        <f>IF(BH55=0,"",VLOOKUP(BH55,'Tablas Magia'!$D$6:$Z$779,9,FALSE))</f>
        <v/>
      </c>
      <c r="BK59" s="375" t="str">
        <f>IF(BH55=0,"",VLOOKUP(BH55,'Tablas Magia'!$D$6:$Z$779,13,FALSE))</f>
        <v/>
      </c>
      <c r="BL59" s="376" t="str">
        <f>IF(BH55=0,"",VLOOKUP(BH55,'Tablas Magia'!$D$6:$Z$779,17,FALSE))</f>
        <v/>
      </c>
      <c r="BM59" s="8393" t="str">
        <f>IF(BH55=0,"",VLOOKUP(BH55,'Tablas Magia'!$D$6:$Z$779,21,FALSE))</f>
        <v/>
      </c>
      <c r="BN59" s="8394"/>
      <c r="BO59" s="8394"/>
      <c r="BP59" s="8394"/>
      <c r="BQ59" s="8394"/>
      <c r="BR59" s="8394"/>
      <c r="BS59" s="8394"/>
      <c r="BT59" s="8394"/>
      <c r="BU59" s="8394"/>
      <c r="BV59" s="8395"/>
      <c r="BW59" s="366"/>
      <c r="BX59" s="360"/>
    </row>
    <row r="60" spans="1:76" ht="12.2" customHeight="1" thickBot="1">
      <c r="A60" s="360"/>
      <c r="B60" s="262"/>
      <c r="C60" s="8401" t="s">
        <v>3037</v>
      </c>
      <c r="D60" s="8402"/>
      <c r="E60" s="379" t="str">
        <f>IF(C55=0,"",VLOOKUP(C55,'Tablas Magia'!$D$6:$Z$779,10,FALSE))</f>
        <v/>
      </c>
      <c r="F60" s="379" t="str">
        <f>IF(C55=0,"",VLOOKUP(C55,'Tablas Magia'!$D$6:$Z$779,14,FALSE))</f>
        <v/>
      </c>
      <c r="G60" s="380" t="str">
        <f>IF(C55=0,"",VLOOKUP(C55,'Tablas Magia'!$D$6:$Z$779,18,FALSE))</f>
        <v/>
      </c>
      <c r="H60" s="8403" t="str">
        <f>IF(C55=0,"",VLOOKUP(C55,'Tablas Magia'!$D$6:$Z$779,22,FALSE))</f>
        <v/>
      </c>
      <c r="I60" s="8404"/>
      <c r="J60" s="8404"/>
      <c r="K60" s="8404"/>
      <c r="L60" s="8404"/>
      <c r="M60" s="8404"/>
      <c r="N60" s="8404"/>
      <c r="O60" s="8404"/>
      <c r="P60" s="8404"/>
      <c r="Q60" s="8405"/>
      <c r="R60" s="366"/>
      <c r="S60" s="360"/>
      <c r="T60" s="360"/>
      <c r="U60" s="262"/>
      <c r="V60" s="8401" t="s">
        <v>3037</v>
      </c>
      <c r="W60" s="8402"/>
      <c r="X60" s="379" t="str">
        <f>IF(V55=0,"",VLOOKUP(V55,'Tablas Magia'!$D$6:$Z$779,10,FALSE))</f>
        <v/>
      </c>
      <c r="Y60" s="379" t="str">
        <f>IF(V55=0,"",VLOOKUP(V55,'Tablas Magia'!$D$6:$Z$779,14,FALSE))</f>
        <v/>
      </c>
      <c r="Z60" s="380" t="str">
        <f>IF(V55=0,"",VLOOKUP(V55,'Tablas Magia'!$D$6:$Z$779,18,FALSE))</f>
        <v/>
      </c>
      <c r="AA60" s="8403" t="str">
        <f>IF(V55=0,"",VLOOKUP(V55,'Tablas Magia'!$D$6:$Z$779,22,FALSE))</f>
        <v/>
      </c>
      <c r="AB60" s="8404"/>
      <c r="AC60" s="8404"/>
      <c r="AD60" s="8404"/>
      <c r="AE60" s="8404"/>
      <c r="AF60" s="8404"/>
      <c r="AG60" s="8404"/>
      <c r="AH60" s="8404"/>
      <c r="AI60" s="8404"/>
      <c r="AJ60" s="8405"/>
      <c r="AK60" s="366"/>
      <c r="AL60" s="360"/>
      <c r="AM60" s="360"/>
      <c r="AN60" s="262"/>
      <c r="AO60" s="8401" t="s">
        <v>3037</v>
      </c>
      <c r="AP60" s="8402"/>
      <c r="AQ60" s="379" t="str">
        <f>IF(AO55=0,"",VLOOKUP(AO55,'Tablas Magia'!$D$6:$Z$779,10,FALSE))</f>
        <v/>
      </c>
      <c r="AR60" s="379" t="str">
        <f>IF(AO55=0,"",VLOOKUP(AO55,'Tablas Magia'!$D$6:$Z$779,14,FALSE))</f>
        <v/>
      </c>
      <c r="AS60" s="380" t="str">
        <f>IF(AO55=0,"",VLOOKUP(AO55,'Tablas Magia'!$D$6:$Z$779,18,FALSE))</f>
        <v/>
      </c>
      <c r="AT60" s="8403" t="str">
        <f>IF(AO55=0,"",VLOOKUP(AO55,'Tablas Magia'!$D$6:$Z$779,22,FALSE))</f>
        <v/>
      </c>
      <c r="AU60" s="8404"/>
      <c r="AV60" s="8404"/>
      <c r="AW60" s="8404"/>
      <c r="AX60" s="8404"/>
      <c r="AY60" s="8404"/>
      <c r="AZ60" s="8404"/>
      <c r="BA60" s="8404"/>
      <c r="BB60" s="8404"/>
      <c r="BC60" s="8405"/>
      <c r="BD60" s="366"/>
      <c r="BE60" s="360"/>
      <c r="BF60" s="360"/>
      <c r="BG60" s="262"/>
      <c r="BH60" s="8401" t="s">
        <v>3037</v>
      </c>
      <c r="BI60" s="8402"/>
      <c r="BJ60" s="379" t="str">
        <f>IF(BH55=0,"",VLOOKUP(BH55,'Tablas Magia'!$D$6:$Z$779,10,FALSE))</f>
        <v/>
      </c>
      <c r="BK60" s="379" t="str">
        <f>IF(BH55=0,"",VLOOKUP(BH55,'Tablas Magia'!$D$6:$Z$779,14,FALSE))</f>
        <v/>
      </c>
      <c r="BL60" s="380" t="str">
        <f>IF(BH55=0,"",VLOOKUP(BH55,'Tablas Magia'!$D$6:$Z$779,18,FALSE))</f>
        <v/>
      </c>
      <c r="BM60" s="8403" t="str">
        <f>IF(BH55=0,"",VLOOKUP(BH55,'Tablas Magia'!$D$6:$Z$779,22,FALSE))</f>
        <v/>
      </c>
      <c r="BN60" s="8404"/>
      <c r="BO60" s="8404"/>
      <c r="BP60" s="8404"/>
      <c r="BQ60" s="8404"/>
      <c r="BR60" s="8404"/>
      <c r="BS60" s="8404"/>
      <c r="BT60" s="8404"/>
      <c r="BU60" s="8404"/>
      <c r="BV60" s="8405"/>
      <c r="BW60" s="366"/>
      <c r="BX60" s="360"/>
    </row>
    <row r="61" spans="1:76" ht="12.2" customHeight="1">
      <c r="A61" s="360"/>
      <c r="B61" s="262"/>
      <c r="C61" s="8406" t="str">
        <f>IF(C55=0,"",VLOOKUP(C55,'Tablas Magia'!$D$6:$Z$779,23,FALSE))</f>
        <v/>
      </c>
      <c r="D61" s="8407"/>
      <c r="E61" s="8407"/>
      <c r="F61" s="8407"/>
      <c r="G61" s="8407"/>
      <c r="H61" s="8407"/>
      <c r="I61" s="8407"/>
      <c r="J61" s="8407"/>
      <c r="K61" s="8407"/>
      <c r="L61" s="8407"/>
      <c r="M61" s="8407"/>
      <c r="N61" s="8407"/>
      <c r="O61" s="8407"/>
      <c r="P61" s="8407"/>
      <c r="Q61" s="8408"/>
      <c r="R61" s="366"/>
      <c r="S61" s="360"/>
      <c r="T61" s="360"/>
      <c r="U61" s="262"/>
      <c r="V61" s="8406" t="str">
        <f>IF(V55=0,"",VLOOKUP(V55,'Tablas Magia'!$D$6:$Z$779,23,FALSE))</f>
        <v/>
      </c>
      <c r="W61" s="8407"/>
      <c r="X61" s="8407"/>
      <c r="Y61" s="8407"/>
      <c r="Z61" s="8407"/>
      <c r="AA61" s="8407"/>
      <c r="AB61" s="8407"/>
      <c r="AC61" s="8407"/>
      <c r="AD61" s="8407"/>
      <c r="AE61" s="8407"/>
      <c r="AF61" s="8407"/>
      <c r="AG61" s="8407"/>
      <c r="AH61" s="8407"/>
      <c r="AI61" s="8407"/>
      <c r="AJ61" s="8408"/>
      <c r="AK61" s="366"/>
      <c r="AL61" s="360"/>
      <c r="AM61" s="360"/>
      <c r="AN61" s="262"/>
      <c r="AO61" s="8406" t="str">
        <f>IF(AO55=0,"",VLOOKUP(AO55,'Tablas Magia'!$D$6:$Z$779,23,FALSE))</f>
        <v/>
      </c>
      <c r="AP61" s="8407"/>
      <c r="AQ61" s="8407"/>
      <c r="AR61" s="8407"/>
      <c r="AS61" s="8407"/>
      <c r="AT61" s="8407"/>
      <c r="AU61" s="8407"/>
      <c r="AV61" s="8407"/>
      <c r="AW61" s="8407"/>
      <c r="AX61" s="8407"/>
      <c r="AY61" s="8407"/>
      <c r="AZ61" s="8407"/>
      <c r="BA61" s="8407"/>
      <c r="BB61" s="8407"/>
      <c r="BC61" s="8408"/>
      <c r="BD61" s="366"/>
      <c r="BE61" s="360"/>
      <c r="BF61" s="360"/>
      <c r="BG61" s="262"/>
      <c r="BH61" s="8406" t="str">
        <f>IF(BH55=0,"",VLOOKUP(BH55,'Tablas Magia'!$D$6:$Z$779,23,FALSE))</f>
        <v/>
      </c>
      <c r="BI61" s="8407"/>
      <c r="BJ61" s="8407"/>
      <c r="BK61" s="8407"/>
      <c r="BL61" s="8407"/>
      <c r="BM61" s="8407"/>
      <c r="BN61" s="8407"/>
      <c r="BO61" s="8407"/>
      <c r="BP61" s="8407"/>
      <c r="BQ61" s="8407"/>
      <c r="BR61" s="8407"/>
      <c r="BS61" s="8407"/>
      <c r="BT61" s="8407"/>
      <c r="BU61" s="8407"/>
      <c r="BV61" s="8408"/>
      <c r="BW61" s="366"/>
      <c r="BX61" s="360"/>
    </row>
    <row r="62" spans="1:76" ht="12.2" customHeight="1">
      <c r="A62" s="360"/>
      <c r="B62" s="262"/>
      <c r="C62" s="8409"/>
      <c r="D62" s="8410"/>
      <c r="E62" s="8410"/>
      <c r="F62" s="8410"/>
      <c r="G62" s="8410"/>
      <c r="H62" s="8410"/>
      <c r="I62" s="8410"/>
      <c r="J62" s="8410"/>
      <c r="K62" s="8410"/>
      <c r="L62" s="8410"/>
      <c r="M62" s="8410"/>
      <c r="N62" s="8410"/>
      <c r="O62" s="8410"/>
      <c r="P62" s="8410"/>
      <c r="Q62" s="8411"/>
      <c r="R62" s="366"/>
      <c r="S62" s="360"/>
      <c r="T62" s="360"/>
      <c r="U62" s="262"/>
      <c r="V62" s="8409"/>
      <c r="W62" s="8410"/>
      <c r="X62" s="8410"/>
      <c r="Y62" s="8410"/>
      <c r="Z62" s="8410"/>
      <c r="AA62" s="8410"/>
      <c r="AB62" s="8410"/>
      <c r="AC62" s="8410"/>
      <c r="AD62" s="8410"/>
      <c r="AE62" s="8410"/>
      <c r="AF62" s="8410"/>
      <c r="AG62" s="8410"/>
      <c r="AH62" s="8410"/>
      <c r="AI62" s="8410"/>
      <c r="AJ62" s="8411"/>
      <c r="AK62" s="366"/>
      <c r="AL62" s="360"/>
      <c r="AM62" s="360"/>
      <c r="AN62" s="262"/>
      <c r="AO62" s="8409"/>
      <c r="AP62" s="8410"/>
      <c r="AQ62" s="8410"/>
      <c r="AR62" s="8410"/>
      <c r="AS62" s="8410"/>
      <c r="AT62" s="8410"/>
      <c r="AU62" s="8410"/>
      <c r="AV62" s="8410"/>
      <c r="AW62" s="8410"/>
      <c r="AX62" s="8410"/>
      <c r="AY62" s="8410"/>
      <c r="AZ62" s="8410"/>
      <c r="BA62" s="8410"/>
      <c r="BB62" s="8410"/>
      <c r="BC62" s="8411"/>
      <c r="BD62" s="366"/>
      <c r="BE62" s="360"/>
      <c r="BF62" s="360"/>
      <c r="BG62" s="262"/>
      <c r="BH62" s="8409"/>
      <c r="BI62" s="8410"/>
      <c r="BJ62" s="8410"/>
      <c r="BK62" s="8410"/>
      <c r="BL62" s="8410"/>
      <c r="BM62" s="8410"/>
      <c r="BN62" s="8410"/>
      <c r="BO62" s="8410"/>
      <c r="BP62" s="8410"/>
      <c r="BQ62" s="8410"/>
      <c r="BR62" s="8410"/>
      <c r="BS62" s="8410"/>
      <c r="BT62" s="8410"/>
      <c r="BU62" s="8410"/>
      <c r="BV62" s="8411"/>
      <c r="BW62" s="366"/>
      <c r="BX62" s="360"/>
    </row>
    <row r="63" spans="1:76" ht="12.2" customHeight="1">
      <c r="A63" s="360"/>
      <c r="B63" s="262"/>
      <c r="C63" s="8409"/>
      <c r="D63" s="8410"/>
      <c r="E63" s="8410"/>
      <c r="F63" s="8410"/>
      <c r="G63" s="8410"/>
      <c r="H63" s="8410"/>
      <c r="I63" s="8410"/>
      <c r="J63" s="8410"/>
      <c r="K63" s="8410"/>
      <c r="L63" s="8410"/>
      <c r="M63" s="8410"/>
      <c r="N63" s="8410"/>
      <c r="O63" s="8410"/>
      <c r="P63" s="8410"/>
      <c r="Q63" s="8411"/>
      <c r="R63" s="366"/>
      <c r="S63" s="360"/>
      <c r="T63" s="360"/>
      <c r="U63" s="262"/>
      <c r="V63" s="8409"/>
      <c r="W63" s="8410"/>
      <c r="X63" s="8410"/>
      <c r="Y63" s="8410"/>
      <c r="Z63" s="8410"/>
      <c r="AA63" s="8410"/>
      <c r="AB63" s="8410"/>
      <c r="AC63" s="8410"/>
      <c r="AD63" s="8410"/>
      <c r="AE63" s="8410"/>
      <c r="AF63" s="8410"/>
      <c r="AG63" s="8410"/>
      <c r="AH63" s="8410"/>
      <c r="AI63" s="8410"/>
      <c r="AJ63" s="8411"/>
      <c r="AK63" s="366"/>
      <c r="AL63" s="360"/>
      <c r="AM63" s="360"/>
      <c r="AN63" s="262"/>
      <c r="AO63" s="8409"/>
      <c r="AP63" s="8410"/>
      <c r="AQ63" s="8410"/>
      <c r="AR63" s="8410"/>
      <c r="AS63" s="8410"/>
      <c r="AT63" s="8410"/>
      <c r="AU63" s="8410"/>
      <c r="AV63" s="8410"/>
      <c r="AW63" s="8410"/>
      <c r="AX63" s="8410"/>
      <c r="AY63" s="8410"/>
      <c r="AZ63" s="8410"/>
      <c r="BA63" s="8410"/>
      <c r="BB63" s="8410"/>
      <c r="BC63" s="8411"/>
      <c r="BD63" s="366"/>
      <c r="BE63" s="360"/>
      <c r="BF63" s="360"/>
      <c r="BG63" s="262"/>
      <c r="BH63" s="8409"/>
      <c r="BI63" s="8410"/>
      <c r="BJ63" s="8410"/>
      <c r="BK63" s="8410"/>
      <c r="BL63" s="8410"/>
      <c r="BM63" s="8410"/>
      <c r="BN63" s="8410"/>
      <c r="BO63" s="8410"/>
      <c r="BP63" s="8410"/>
      <c r="BQ63" s="8410"/>
      <c r="BR63" s="8410"/>
      <c r="BS63" s="8410"/>
      <c r="BT63" s="8410"/>
      <c r="BU63" s="8410"/>
      <c r="BV63" s="8411"/>
      <c r="BW63" s="366"/>
      <c r="BX63" s="360"/>
    </row>
    <row r="64" spans="1:76" ht="12.2" customHeight="1" thickBot="1">
      <c r="A64" s="360"/>
      <c r="B64" s="262"/>
      <c r="C64" s="8412"/>
      <c r="D64" s="8413"/>
      <c r="E64" s="8413"/>
      <c r="F64" s="8413"/>
      <c r="G64" s="8413"/>
      <c r="H64" s="8413"/>
      <c r="I64" s="8413"/>
      <c r="J64" s="8413"/>
      <c r="K64" s="8413"/>
      <c r="L64" s="8413"/>
      <c r="M64" s="8413"/>
      <c r="N64" s="8413"/>
      <c r="O64" s="8413"/>
      <c r="P64" s="8413"/>
      <c r="Q64" s="8414"/>
      <c r="R64" s="366"/>
      <c r="S64" s="360"/>
      <c r="T64" s="360"/>
      <c r="U64" s="262"/>
      <c r="V64" s="8412"/>
      <c r="W64" s="8413"/>
      <c r="X64" s="8413"/>
      <c r="Y64" s="8413"/>
      <c r="Z64" s="8413"/>
      <c r="AA64" s="8413"/>
      <c r="AB64" s="8413"/>
      <c r="AC64" s="8413"/>
      <c r="AD64" s="8413"/>
      <c r="AE64" s="8413"/>
      <c r="AF64" s="8413"/>
      <c r="AG64" s="8413"/>
      <c r="AH64" s="8413"/>
      <c r="AI64" s="8413"/>
      <c r="AJ64" s="8414"/>
      <c r="AK64" s="366"/>
      <c r="AL64" s="360"/>
      <c r="AM64" s="360"/>
      <c r="AN64" s="262"/>
      <c r="AO64" s="8412"/>
      <c r="AP64" s="8413"/>
      <c r="AQ64" s="8413"/>
      <c r="AR64" s="8413"/>
      <c r="AS64" s="8413"/>
      <c r="AT64" s="8413"/>
      <c r="AU64" s="8413"/>
      <c r="AV64" s="8413"/>
      <c r="AW64" s="8413"/>
      <c r="AX64" s="8413"/>
      <c r="AY64" s="8413"/>
      <c r="AZ64" s="8413"/>
      <c r="BA64" s="8413"/>
      <c r="BB64" s="8413"/>
      <c r="BC64" s="8414"/>
      <c r="BD64" s="366"/>
      <c r="BE64" s="360"/>
      <c r="BF64" s="360"/>
      <c r="BG64" s="262"/>
      <c r="BH64" s="8412"/>
      <c r="BI64" s="8413"/>
      <c r="BJ64" s="8413"/>
      <c r="BK64" s="8413"/>
      <c r="BL64" s="8413"/>
      <c r="BM64" s="8413"/>
      <c r="BN64" s="8413"/>
      <c r="BO64" s="8413"/>
      <c r="BP64" s="8413"/>
      <c r="BQ64" s="8413"/>
      <c r="BR64" s="8413"/>
      <c r="BS64" s="8413"/>
      <c r="BT64" s="8413"/>
      <c r="BU64" s="8413"/>
      <c r="BV64" s="8414"/>
      <c r="BW64" s="366"/>
      <c r="BX64" s="360"/>
    </row>
    <row r="65" spans="1:76" ht="12.2" customHeight="1">
      <c r="A65" s="360"/>
      <c r="B65" s="262"/>
      <c r="C65" s="386"/>
      <c r="D65" s="386"/>
      <c r="E65" s="377"/>
      <c r="F65" s="377"/>
      <c r="G65" s="377"/>
      <c r="H65" s="387"/>
      <c r="I65" s="387"/>
      <c r="J65" s="387"/>
      <c r="K65" s="387"/>
      <c r="L65" s="387"/>
      <c r="M65" s="387"/>
      <c r="N65" s="387"/>
      <c r="O65" s="387"/>
      <c r="P65" s="387"/>
      <c r="Q65" s="387"/>
      <c r="R65" s="366"/>
      <c r="S65" s="360"/>
      <c r="T65" s="360"/>
      <c r="U65" s="262"/>
      <c r="V65" s="386"/>
      <c r="W65" s="386"/>
      <c r="X65" s="377"/>
      <c r="Y65" s="377"/>
      <c r="Z65" s="377"/>
      <c r="AA65" s="387"/>
      <c r="AB65" s="387"/>
      <c r="AC65" s="387"/>
      <c r="AD65" s="387"/>
      <c r="AE65" s="387"/>
      <c r="AF65" s="387"/>
      <c r="AG65" s="387"/>
      <c r="AH65" s="387"/>
      <c r="AI65" s="387"/>
      <c r="AJ65" s="387"/>
      <c r="AK65" s="366"/>
      <c r="AL65" s="360"/>
      <c r="AM65" s="360"/>
      <c r="AN65" s="262"/>
      <c r="AO65" s="386"/>
      <c r="AP65" s="386"/>
      <c r="AQ65" s="377"/>
      <c r="AR65" s="377"/>
      <c r="AS65" s="377"/>
      <c r="AT65" s="387"/>
      <c r="AU65" s="387"/>
      <c r="AV65" s="387"/>
      <c r="AW65" s="387"/>
      <c r="AX65" s="387"/>
      <c r="AY65" s="387"/>
      <c r="AZ65" s="387"/>
      <c r="BA65" s="387"/>
      <c r="BB65" s="387"/>
      <c r="BC65" s="387"/>
      <c r="BD65" s="366"/>
      <c r="BE65" s="360"/>
      <c r="BF65" s="360"/>
      <c r="BG65" s="262"/>
      <c r="BH65" s="386"/>
      <c r="BI65" s="386"/>
      <c r="BJ65" s="377"/>
      <c r="BK65" s="377"/>
      <c r="BL65" s="377"/>
      <c r="BM65" s="387"/>
      <c r="BN65" s="387"/>
      <c r="BO65" s="387"/>
      <c r="BP65" s="387"/>
      <c r="BQ65" s="387"/>
      <c r="BR65" s="387"/>
      <c r="BS65" s="387"/>
      <c r="BT65" s="387"/>
      <c r="BU65" s="387"/>
      <c r="BV65" s="387"/>
      <c r="BW65" s="366"/>
      <c r="BX65" s="360"/>
    </row>
    <row r="66" spans="1:76" ht="12.2" customHeight="1" thickBot="1">
      <c r="A66" s="360"/>
      <c r="B66" s="263"/>
      <c r="C66" s="388"/>
      <c r="D66" s="388"/>
      <c r="E66" s="388"/>
      <c r="F66" s="388"/>
      <c r="G66" s="388"/>
      <c r="H66" s="388"/>
      <c r="I66" s="388"/>
      <c r="J66" s="388"/>
      <c r="K66" s="388"/>
      <c r="L66" s="388"/>
      <c r="M66" s="388"/>
      <c r="N66" s="388"/>
      <c r="O66" s="388"/>
      <c r="P66" s="388"/>
      <c r="Q66" s="388"/>
      <c r="R66" s="389"/>
      <c r="S66" s="360"/>
      <c r="T66" s="360"/>
      <c r="U66" s="263"/>
      <c r="V66" s="388"/>
      <c r="W66" s="388"/>
      <c r="X66" s="388"/>
      <c r="Y66" s="388"/>
      <c r="Z66" s="388"/>
      <c r="AA66" s="388"/>
      <c r="AB66" s="388"/>
      <c r="AC66" s="388"/>
      <c r="AD66" s="388"/>
      <c r="AE66" s="388"/>
      <c r="AF66" s="388"/>
      <c r="AG66" s="388"/>
      <c r="AH66" s="388"/>
      <c r="AI66" s="388"/>
      <c r="AJ66" s="388"/>
      <c r="AK66" s="389"/>
      <c r="AL66" s="360"/>
      <c r="AM66" s="360"/>
      <c r="AN66" s="263"/>
      <c r="AO66" s="388"/>
      <c r="AP66" s="388"/>
      <c r="AQ66" s="388"/>
      <c r="AR66" s="388"/>
      <c r="AS66" s="388"/>
      <c r="AT66" s="388"/>
      <c r="AU66" s="388"/>
      <c r="AV66" s="388"/>
      <c r="AW66" s="388"/>
      <c r="AX66" s="388"/>
      <c r="AY66" s="388"/>
      <c r="AZ66" s="388"/>
      <c r="BA66" s="388"/>
      <c r="BB66" s="388"/>
      <c r="BC66" s="388"/>
      <c r="BD66" s="389"/>
      <c r="BE66" s="360"/>
      <c r="BF66" s="360"/>
      <c r="BG66" s="263"/>
      <c r="BH66" s="388"/>
      <c r="BI66" s="388"/>
      <c r="BJ66" s="388"/>
      <c r="BK66" s="388"/>
      <c r="BL66" s="388"/>
      <c r="BM66" s="388"/>
      <c r="BN66" s="388"/>
      <c r="BO66" s="388"/>
      <c r="BP66" s="388"/>
      <c r="BQ66" s="388"/>
      <c r="BR66" s="388"/>
      <c r="BS66" s="388"/>
      <c r="BT66" s="388"/>
      <c r="BU66" s="388"/>
      <c r="BV66" s="388"/>
      <c r="BW66" s="389"/>
      <c r="BX66" s="360"/>
    </row>
    <row r="67" spans="1:76" ht="12.2" customHeight="1">
      <c r="A67" s="1522"/>
      <c r="B67" s="1522"/>
      <c r="C67" s="1522"/>
      <c r="D67" s="1522"/>
      <c r="E67" s="1522"/>
      <c r="F67" s="1522"/>
      <c r="G67" s="1522"/>
      <c r="H67" s="1522"/>
      <c r="I67" s="1522"/>
      <c r="J67" s="1522"/>
      <c r="K67" s="1522"/>
      <c r="L67" s="1522"/>
      <c r="M67" s="1522"/>
      <c r="N67" s="1522"/>
      <c r="O67" s="1522"/>
      <c r="P67" s="1522"/>
      <c r="Q67" s="1522"/>
      <c r="R67" s="1522"/>
      <c r="S67" s="1522"/>
      <c r="T67" s="1522"/>
      <c r="U67" s="1522"/>
      <c r="V67" s="1522"/>
      <c r="W67" s="1297"/>
      <c r="X67" s="1297"/>
      <c r="Y67" s="1297"/>
      <c r="Z67" s="1297"/>
      <c r="AA67" s="1297"/>
      <c r="AB67" s="1297"/>
      <c r="AC67" s="1297"/>
      <c r="AD67" s="1523"/>
      <c r="AE67" s="1523"/>
      <c r="AF67" s="1297"/>
      <c r="AG67" s="1297"/>
      <c r="AH67" s="1297"/>
      <c r="AI67" s="1523"/>
      <c r="AJ67" s="1523"/>
      <c r="AK67" s="1524"/>
      <c r="AL67" s="1524"/>
      <c r="AM67" s="1522"/>
      <c r="AN67" s="1522"/>
      <c r="AO67" s="1522"/>
      <c r="AP67" s="1297"/>
      <c r="AQ67" s="1297"/>
      <c r="AR67" s="1297"/>
      <c r="AS67" s="1297"/>
      <c r="AT67" s="1297"/>
      <c r="AU67" s="1297"/>
      <c r="AV67" s="1297"/>
      <c r="AW67" s="1523"/>
      <c r="AX67" s="1523"/>
      <c r="AY67" s="1297"/>
      <c r="AZ67" s="1297"/>
      <c r="BA67" s="1297"/>
      <c r="BB67" s="1523"/>
      <c r="BC67" s="1523"/>
      <c r="BD67" s="1524"/>
      <c r="BE67" s="1524"/>
      <c r="BF67" s="1522"/>
      <c r="BG67" s="1522"/>
      <c r="BH67" s="1522"/>
      <c r="BI67" s="1297"/>
      <c r="BJ67" s="1297"/>
      <c r="BK67" s="1297"/>
      <c r="BL67" s="1297"/>
      <c r="BM67" s="1297"/>
      <c r="BN67" s="1297"/>
      <c r="BO67" s="1297"/>
      <c r="BP67" s="1523"/>
      <c r="BQ67" s="1523"/>
      <c r="BR67" s="1297"/>
      <c r="BS67" s="1297"/>
      <c r="BT67" s="1297"/>
      <c r="BU67" s="1523"/>
      <c r="BV67" s="1523"/>
      <c r="BW67" s="1524"/>
      <c r="BX67" s="1524"/>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13" customWidth="1"/>
    <col min="2" max="2" width="5.7109375" style="736"/>
    <col min="3" max="5" width="5.7109375" style="313"/>
    <col min="6" max="6" width="6.5703125" style="313" customWidth="1"/>
    <col min="7" max="7" width="6.42578125" style="313" customWidth="1"/>
    <col min="8" max="8" width="5.7109375" style="313"/>
    <col min="9" max="9" width="7.140625" style="313" customWidth="1"/>
    <col min="10" max="12" width="5.7109375" style="313"/>
    <col min="13" max="14" width="7.140625" style="313" customWidth="1"/>
    <col min="15" max="15" width="5.7109375" style="313" customWidth="1"/>
    <col min="16" max="18" width="5.7109375" style="313"/>
    <col min="19" max="20" width="3" style="313" customWidth="1"/>
    <col min="21" max="21" width="5.7109375" style="607"/>
    <col min="22" max="24" width="5.7109375" style="313"/>
    <col min="25" max="25" width="6.5703125" style="313" customWidth="1"/>
    <col min="26" max="26" width="6.42578125" style="313" customWidth="1"/>
    <col min="27" max="27" width="5.7109375" style="313"/>
    <col min="28" max="28" width="7.140625" style="313" customWidth="1"/>
    <col min="29" max="31" width="5.7109375" style="313"/>
    <col min="32" max="33" width="7.140625" style="313" customWidth="1"/>
    <col min="34" max="34" width="5.7109375" style="313" customWidth="1"/>
    <col min="35" max="37" width="5.7109375" style="313"/>
    <col min="38" max="38" width="3" style="313" customWidth="1"/>
    <col min="39" max="16384" width="5.7109375" style="313"/>
  </cols>
  <sheetData>
    <row r="1" spans="1:38" ht="12" customHeight="1" thickBot="1">
      <c r="A1" s="360"/>
      <c r="B1" s="360"/>
      <c r="C1" s="360"/>
      <c r="D1" s="360"/>
      <c r="E1" s="360"/>
      <c r="F1" s="360"/>
      <c r="G1" s="360"/>
      <c r="H1" s="360"/>
      <c r="I1" s="360"/>
      <c r="J1" s="360"/>
      <c r="K1" s="360"/>
      <c r="L1" s="360"/>
      <c r="M1" s="360"/>
      <c r="N1" s="360"/>
      <c r="O1" s="360"/>
      <c r="P1" s="360"/>
      <c r="Q1" s="360"/>
      <c r="R1" s="360"/>
      <c r="S1" s="360"/>
      <c r="T1" s="360"/>
      <c r="U1" s="732"/>
      <c r="V1" s="360"/>
      <c r="W1" s="360"/>
      <c r="X1" s="360"/>
      <c r="Y1" s="360"/>
      <c r="Z1" s="360"/>
      <c r="AA1" s="360"/>
      <c r="AB1" s="360"/>
      <c r="AC1" s="360"/>
      <c r="AD1" s="360"/>
      <c r="AE1" s="360"/>
      <c r="AF1" s="360"/>
      <c r="AG1" s="360"/>
      <c r="AH1" s="360"/>
      <c r="AI1" s="360"/>
      <c r="AJ1" s="360"/>
      <c r="AK1" s="360"/>
      <c r="AL1" s="1297"/>
    </row>
    <row r="2" spans="1:38" ht="17.25" customHeight="1" thickBot="1">
      <c r="A2" s="360"/>
      <c r="B2" s="733"/>
      <c r="C2" s="362"/>
      <c r="D2" s="362"/>
      <c r="E2" s="362"/>
      <c r="F2" s="362"/>
      <c r="G2" s="362"/>
      <c r="H2" s="362"/>
      <c r="I2" s="362"/>
      <c r="J2" s="362"/>
      <c r="K2" s="362"/>
      <c r="L2" s="362"/>
      <c r="M2" s="362"/>
      <c r="N2" s="362"/>
      <c r="O2" s="362"/>
      <c r="P2" s="362"/>
      <c r="Q2" s="362"/>
      <c r="R2" s="363"/>
      <c r="S2" s="1297"/>
      <c r="T2" s="360"/>
      <c r="U2" s="981"/>
      <c r="V2" s="362"/>
      <c r="W2" s="362"/>
      <c r="X2" s="362"/>
      <c r="Y2" s="362"/>
      <c r="Z2" s="362"/>
      <c r="AA2" s="362"/>
      <c r="AB2" s="362"/>
      <c r="AC2" s="362"/>
      <c r="AD2" s="362"/>
      <c r="AE2" s="362"/>
      <c r="AF2" s="362"/>
      <c r="AG2" s="362"/>
      <c r="AH2" s="362"/>
      <c r="AI2" s="362"/>
      <c r="AJ2" s="362"/>
      <c r="AK2" s="363"/>
      <c r="AL2" s="1297"/>
    </row>
    <row r="3" spans="1:38" ht="12" customHeight="1">
      <c r="A3" s="360"/>
      <c r="B3" s="734"/>
      <c r="C3" s="8380"/>
      <c r="D3" s="8381"/>
      <c r="E3" s="8381"/>
      <c r="F3" s="8381"/>
      <c r="G3" s="8381"/>
      <c r="H3" s="8381"/>
      <c r="I3" s="364"/>
      <c r="J3" s="364"/>
      <c r="K3" s="364"/>
      <c r="L3" s="364"/>
      <c r="M3" s="364"/>
      <c r="N3" s="364"/>
      <c r="O3" s="364"/>
      <c r="P3" s="364"/>
      <c r="Q3" s="365"/>
      <c r="R3" s="366"/>
      <c r="S3" s="1297"/>
      <c r="T3" s="360"/>
      <c r="U3" s="982"/>
      <c r="V3" s="8380"/>
      <c r="W3" s="8381"/>
      <c r="X3" s="8381"/>
      <c r="Y3" s="8381"/>
      <c r="Z3" s="8381"/>
      <c r="AA3" s="8381"/>
      <c r="AB3" s="364"/>
      <c r="AC3" s="364"/>
      <c r="AD3" s="364"/>
      <c r="AE3" s="364"/>
      <c r="AF3" s="364"/>
      <c r="AG3" s="364"/>
      <c r="AH3" s="364"/>
      <c r="AI3" s="364"/>
      <c r="AJ3" s="365"/>
      <c r="AK3" s="366"/>
      <c r="AL3" s="1297"/>
    </row>
    <row r="4" spans="1:38" s="739" customFormat="1" ht="12" customHeight="1">
      <c r="A4" s="360"/>
      <c r="B4" s="1537"/>
      <c r="C4" s="8382"/>
      <c r="D4" s="8383"/>
      <c r="E4" s="8383"/>
      <c r="F4" s="8383"/>
      <c r="G4" s="8383"/>
      <c r="H4" s="8383"/>
      <c r="I4" s="311"/>
      <c r="J4" s="8436" t="s">
        <v>9578</v>
      </c>
      <c r="K4" s="8436"/>
      <c r="L4" s="8436"/>
      <c r="M4" s="8436"/>
      <c r="N4" s="8436"/>
      <c r="O4" s="8436"/>
      <c r="P4" s="8436"/>
      <c r="Q4" s="331"/>
      <c r="R4" s="738"/>
      <c r="S4" s="1538"/>
      <c r="T4" s="737"/>
      <c r="U4" s="1537"/>
      <c r="V4" s="8382"/>
      <c r="W4" s="8383"/>
      <c r="X4" s="8383"/>
      <c r="Y4" s="8383"/>
      <c r="Z4" s="8383"/>
      <c r="AA4" s="8383"/>
      <c r="AB4" s="311"/>
      <c r="AC4" s="8436" t="s">
        <v>9578</v>
      </c>
      <c r="AD4" s="8437"/>
      <c r="AE4" s="8437"/>
      <c r="AF4" s="8437"/>
      <c r="AG4" s="8437"/>
      <c r="AH4" s="8437"/>
      <c r="AI4" s="8437"/>
      <c r="AJ4" s="331"/>
      <c r="AK4" s="738"/>
      <c r="AL4" s="1538"/>
    </row>
    <row r="5" spans="1:38" ht="12" customHeight="1">
      <c r="A5" s="360"/>
      <c r="B5" s="734"/>
      <c r="C5" s="8382"/>
      <c r="D5" s="8383"/>
      <c r="E5" s="8383"/>
      <c r="F5" s="8383"/>
      <c r="G5" s="8383"/>
      <c r="H5" s="8383"/>
      <c r="I5" s="311"/>
      <c r="J5" s="8436"/>
      <c r="K5" s="8436"/>
      <c r="L5" s="8436"/>
      <c r="M5" s="8436"/>
      <c r="N5" s="8436"/>
      <c r="O5" s="8436"/>
      <c r="P5" s="8436"/>
      <c r="Q5" s="367"/>
      <c r="R5" s="366"/>
      <c r="S5" s="1297"/>
      <c r="T5" s="360"/>
      <c r="U5" s="982"/>
      <c r="V5" s="8382"/>
      <c r="W5" s="8383"/>
      <c r="X5" s="8383"/>
      <c r="Y5" s="8383"/>
      <c r="Z5" s="8383"/>
      <c r="AA5" s="8383"/>
      <c r="AB5" s="311"/>
      <c r="AC5" s="8437"/>
      <c r="AD5" s="8437"/>
      <c r="AE5" s="8437"/>
      <c r="AF5" s="8437"/>
      <c r="AG5" s="8437"/>
      <c r="AH5" s="8437"/>
      <c r="AI5" s="8437"/>
      <c r="AJ5" s="367"/>
      <c r="AK5" s="366"/>
      <c r="AL5" s="1297"/>
    </row>
    <row r="6" spans="1:38" ht="12" customHeight="1">
      <c r="A6" s="360"/>
      <c r="B6" s="734"/>
      <c r="C6" s="8382"/>
      <c r="D6" s="8383"/>
      <c r="E6" s="8383"/>
      <c r="F6" s="8383"/>
      <c r="G6" s="8383"/>
      <c r="H6" s="8383"/>
      <c r="I6" s="2012" t="s">
        <v>6618</v>
      </c>
      <c r="J6" s="8433"/>
      <c r="K6" s="8433"/>
      <c r="L6" s="8433"/>
      <c r="M6" s="311"/>
      <c r="N6" s="2008"/>
      <c r="O6" s="2009" t="s">
        <v>8287</v>
      </c>
      <c r="P6" s="2010">
        <f>IFERROR(VLOOKUP($J$6,Místicos!$C$15:$H$25,6,FALSE),0)</f>
        <v>0</v>
      </c>
      <c r="Q6" s="367"/>
      <c r="R6" s="366"/>
      <c r="S6" s="1297"/>
      <c r="T6" s="360"/>
      <c r="U6" s="982"/>
      <c r="V6" s="8382"/>
      <c r="W6" s="8383"/>
      <c r="X6" s="8383"/>
      <c r="Y6" s="8383"/>
      <c r="Z6" s="8383"/>
      <c r="AA6" s="8383"/>
      <c r="AB6" s="2012" t="s">
        <v>6618</v>
      </c>
      <c r="AC6" s="8432" t="str">
        <f>IF($J$6="","",$J$6)</f>
        <v/>
      </c>
      <c r="AD6" s="8432"/>
      <c r="AE6" s="8432"/>
      <c r="AF6" s="2008"/>
      <c r="AG6" s="2008"/>
      <c r="AH6" s="2009" t="str">
        <f>$O$6</f>
        <v>Nivel de vía aprendido</v>
      </c>
      <c r="AI6" s="2010">
        <f>$P$6</f>
        <v>0</v>
      </c>
      <c r="AJ6" s="367"/>
      <c r="AK6" s="366"/>
      <c r="AL6" s="1297"/>
    </row>
    <row r="7" spans="1:38" ht="12" customHeight="1">
      <c r="A7" s="360"/>
      <c r="B7" s="734"/>
      <c r="C7" s="8382"/>
      <c r="D7" s="8383"/>
      <c r="E7" s="8383"/>
      <c r="F7" s="8383"/>
      <c r="G7" s="8383"/>
      <c r="H7" s="8383"/>
      <c r="I7" s="2013" t="s">
        <v>6619</v>
      </c>
      <c r="J7" s="8433"/>
      <c r="K7" s="8433"/>
      <c r="L7" s="8433"/>
      <c r="M7" s="311"/>
      <c r="N7" s="2008"/>
      <c r="O7" s="2009" t="s">
        <v>8291</v>
      </c>
      <c r="P7" s="2011" t="s">
        <v>2422</v>
      </c>
      <c r="Q7" s="367"/>
      <c r="R7" s="366"/>
      <c r="S7" s="1297"/>
      <c r="T7" s="360"/>
      <c r="U7" s="982"/>
      <c r="V7" s="8382"/>
      <c r="W7" s="8383"/>
      <c r="X7" s="8383"/>
      <c r="Y7" s="8383"/>
      <c r="Z7" s="8383"/>
      <c r="AA7" s="8383"/>
      <c r="AB7" s="2013" t="s">
        <v>6619</v>
      </c>
      <c r="AC7" s="8432" t="str">
        <f>IF(OR($J$8="",$J$8=0),"",$J$8)</f>
        <v/>
      </c>
      <c r="AD7" s="8432"/>
      <c r="AE7" s="8432"/>
      <c r="AF7" s="2008"/>
      <c r="AG7" s="2008"/>
      <c r="AH7" s="2008"/>
      <c r="AI7" s="2008"/>
      <c r="AJ7" s="367"/>
      <c r="AK7" s="366"/>
      <c r="AL7" s="1297"/>
    </row>
    <row r="8" spans="1:38" ht="12" customHeight="1" thickBot="1">
      <c r="A8" s="360"/>
      <c r="B8" s="734"/>
      <c r="C8" s="8384"/>
      <c r="D8" s="8385"/>
      <c r="E8" s="8385"/>
      <c r="F8" s="8385"/>
      <c r="G8" s="8385"/>
      <c r="H8" s="8385"/>
      <c r="I8" s="368"/>
      <c r="J8" s="8438" t="str">
        <f>IF(J7&lt;&gt;"",J7,IFERROR(VLOOKUP(J6,Místicos!$C$15:$F$25,3,0),""))</f>
        <v/>
      </c>
      <c r="K8" s="8438"/>
      <c r="L8" s="8438"/>
      <c r="M8" s="368"/>
      <c r="N8" s="368"/>
      <c r="O8" s="368"/>
      <c r="P8" s="368"/>
      <c r="Q8" s="369"/>
      <c r="R8" s="366"/>
      <c r="S8" s="1297"/>
      <c r="T8" s="360"/>
      <c r="U8" s="982"/>
      <c r="V8" s="8384"/>
      <c r="W8" s="8385"/>
      <c r="X8" s="8385"/>
      <c r="Y8" s="8385"/>
      <c r="Z8" s="8385"/>
      <c r="AA8" s="8385"/>
      <c r="AB8" s="368"/>
      <c r="AC8" s="368"/>
      <c r="AD8" s="368"/>
      <c r="AE8" s="368"/>
      <c r="AF8" s="368"/>
      <c r="AG8" s="368"/>
      <c r="AH8" s="368"/>
      <c r="AI8" s="368"/>
      <c r="AJ8" s="369"/>
      <c r="AK8" s="366"/>
      <c r="AL8" s="1297"/>
    </row>
    <row r="9" spans="1:38" ht="12" customHeight="1">
      <c r="A9" s="360"/>
      <c r="B9" s="734"/>
      <c r="R9" s="366"/>
      <c r="S9" s="1297"/>
      <c r="T9" s="360"/>
      <c r="U9" s="982"/>
      <c r="AK9" s="366"/>
      <c r="AL9" s="1297"/>
    </row>
    <row r="10" spans="1:38" ht="12" customHeight="1" thickBot="1">
      <c r="A10" s="360"/>
      <c r="B10" s="734"/>
      <c r="C10" s="8439" t="str">
        <f>"Conjuros de nivel "&amp;B11&amp;"-"&amp;B55</f>
        <v>Conjuros de nivel 2-10</v>
      </c>
      <c r="D10" s="8439"/>
      <c r="E10" s="8439"/>
      <c r="F10" s="8439"/>
      <c r="G10" s="8439"/>
      <c r="H10" s="8439"/>
      <c r="I10" s="8439"/>
      <c r="J10" s="8439"/>
      <c r="K10" s="8439"/>
      <c r="L10" s="8439"/>
      <c r="M10" s="8439"/>
      <c r="N10" s="8439"/>
      <c r="O10" s="8439"/>
      <c r="P10" s="8439"/>
      <c r="Q10" s="8439"/>
      <c r="R10" s="366"/>
      <c r="S10" s="1297"/>
      <c r="T10" s="360"/>
      <c r="U10" s="982"/>
      <c r="V10" s="8439" t="str">
        <f>"Conjuros de nivel "&amp;U11&amp;"-"&amp;U55</f>
        <v>Conjuros de nivel 12-20</v>
      </c>
      <c r="W10" s="8439"/>
      <c r="X10" s="8439"/>
      <c r="Y10" s="8439"/>
      <c r="Z10" s="8439"/>
      <c r="AA10" s="8439"/>
      <c r="AB10" s="8439"/>
      <c r="AC10" s="8439"/>
      <c r="AD10" s="8439"/>
      <c r="AE10" s="8439"/>
      <c r="AF10" s="8439"/>
      <c r="AG10" s="8439"/>
      <c r="AH10" s="8439"/>
      <c r="AI10" s="8439"/>
      <c r="AJ10" s="8439"/>
      <c r="AK10" s="366"/>
      <c r="AL10" s="360"/>
    </row>
    <row r="11" spans="1:38" ht="12" customHeight="1">
      <c r="A11" s="360"/>
      <c r="B11" s="734">
        <v>2</v>
      </c>
      <c r="C11" s="8417" t="str">
        <f>IF(ISNA(VLOOKUP($J$6&amp;B11,'Tablas Magia'!$B$6:$D$779,3,FALSE)),IF(ISNA(VLOOKUP($J$8&amp;B11,'Tablas Magia'!$B$6:$D$779,3,FALSE)),IF(ISNA(VLOOKUP($J$6&amp;B11,Místicos!$AD$12:$AJ$50,4,FALSE)),"Libre Acceso 1-"&amp;MID(C$10,SEARCH("-",C$10)+1,3),VLOOKUP($J$6&amp;B11,Místicos!$AD$12:$AJ$50,4,FALSE)),VLOOKUP($J$8&amp;B11,'Tablas Magia'!$B$6:$D$779,3,FALSE)),VLOOKUP($J$6&amp;B11,'Tablas Magia'!$B$6:$D$779,3,FALSE))</f>
        <v>Libre Acceso 1-10</v>
      </c>
      <c r="D11" s="8418"/>
      <c r="E11" s="8418"/>
      <c r="F11" s="8418"/>
      <c r="G11" s="8419"/>
      <c r="H11" s="370" t="s">
        <v>1186</v>
      </c>
      <c r="I11" s="371">
        <f>B11</f>
        <v>2</v>
      </c>
      <c r="J11" s="8420" t="s">
        <v>5816</v>
      </c>
      <c r="K11" s="8420"/>
      <c r="L11" s="8420"/>
      <c r="M11" s="8378" t="e">
        <f>IF(C11=0,"",VLOOKUP(C11,'Tablas Magia'!$D$6:$Z$779,2,FALSE))</f>
        <v>#N/A</v>
      </c>
      <c r="N11" s="8378"/>
      <c r="O11" s="1525"/>
      <c r="P11" s="8415" t="str">
        <f>IFERROR(IF(M11="Libre Acceso","Aprendido",IF(IFERROR(VLOOKUP(M11,Místicos!$C$15:$H$25,6,0)&gt;=I11,FALSE),"Aprendido",IF(IFERROR(VLOOKUP(M11,Místicos!$E$15:$H$25,4,0)&gt;=I11,FALSE),"Aprendido",""))),"")</f>
        <v/>
      </c>
      <c r="Q11" s="8416"/>
      <c r="R11" s="366"/>
      <c r="S11" s="1297"/>
      <c r="T11" s="360"/>
      <c r="U11" s="734">
        <f>B55+2</f>
        <v>12</v>
      </c>
      <c r="V11" s="8417" t="str">
        <f>IF(ISNA(VLOOKUP($J$6&amp;U11,'Tablas Magia'!$B$6:$D$779,3,FALSE)),IF(ISNA(VLOOKUP($J$8&amp;U11,'Tablas Magia'!$B$6:$D$779,3,FALSE)),IF(ISNA(VLOOKUP($J$6&amp;U11,Místicos!$AD$12:$AJ$50,4,FALSE)),"Libre Acceso 1-"&amp;MID(V$10,SEARCH("-",V$10)+1,3),VLOOKUP($J$6&amp;U11,Místicos!$AD$12:$AJ$50,4,FALSE)),VLOOKUP($J$8&amp;U11,'Tablas Magia'!$B$6:$D$779,3,FALSE)),VLOOKUP($J$6&amp;U11,'Tablas Magia'!$B$6:$D$779,3,FALSE))</f>
        <v>Libre Acceso 1-20</v>
      </c>
      <c r="W11" s="8418"/>
      <c r="X11" s="8418"/>
      <c r="Y11" s="8418"/>
      <c r="Z11" s="8419"/>
      <c r="AA11" s="370" t="s">
        <v>1186</v>
      </c>
      <c r="AB11" s="371">
        <f>U11</f>
        <v>12</v>
      </c>
      <c r="AC11" s="8420" t="s">
        <v>5816</v>
      </c>
      <c r="AD11" s="8420"/>
      <c r="AE11" s="8420"/>
      <c r="AF11" s="8378" t="e">
        <f>IF(V11=0,"",VLOOKUP(V11,'Tablas Magia'!$D$6:$Z$779,2,FALSE))</f>
        <v>#N/A</v>
      </c>
      <c r="AG11" s="8378"/>
      <c r="AH11" s="1525"/>
      <c r="AI11" s="8415" t="str">
        <f>IFERROR(IF(AF11="Libre Acceso","Aprendido",IF(IFERROR(VLOOKUP(AF11,Místicos!$C$15:$H$25,6,0)&gt;=AB11,FALSE),"Aprendido",IF(IFERROR(VLOOKUP(AF11,Místicos!$E$15:$H$25,4,0)&gt;=AB11,FALSE),"Aprendido",""))),"")</f>
        <v/>
      </c>
      <c r="AJ11" s="8416"/>
      <c r="AK11" s="366"/>
      <c r="AL11" s="360"/>
    </row>
    <row r="12" spans="1:38" ht="12" customHeight="1">
      <c r="A12" s="360"/>
      <c r="B12" s="734"/>
      <c r="C12" s="8399" t="s">
        <v>5817</v>
      </c>
      <c r="D12" s="8426"/>
      <c r="E12" s="2162" t="s">
        <v>5818</v>
      </c>
      <c r="F12" s="2162" t="s">
        <v>1368</v>
      </c>
      <c r="G12" s="2162" t="s">
        <v>2666</v>
      </c>
      <c r="H12" s="2163" t="s">
        <v>1690</v>
      </c>
      <c r="I12" s="8424" t="e">
        <f>IF(C11=0,"",VLOOKUP(C11,'Tablas Magia'!$D$6:$Z$779,5,FALSE))</f>
        <v>#N/A</v>
      </c>
      <c r="J12" s="8424"/>
      <c r="K12" s="8427" t="s">
        <v>5819</v>
      </c>
      <c r="L12" s="8427"/>
      <c r="M12" s="8424" t="e">
        <f>IF(C11=0,"",VLOOKUP(C11,'Tablas Magia'!$D$6:$Z$779,6,FALSE))</f>
        <v>#N/A</v>
      </c>
      <c r="N12" s="8424"/>
      <c r="O12" s="8425" t="s">
        <v>5820</v>
      </c>
      <c r="P12" s="8425"/>
      <c r="Q12" s="2164" t="e">
        <f>IF(C11=0,"",VLOOKUP(C11,'Tablas Magia'!$D$6:$Z$779,4,FALSE))</f>
        <v>#N/A</v>
      </c>
      <c r="R12" s="366"/>
      <c r="S12" s="360"/>
      <c r="T12" s="360"/>
      <c r="U12" s="734"/>
      <c r="V12" s="8399" t="s">
        <v>5817</v>
      </c>
      <c r="W12" s="8428"/>
      <c r="X12" s="1534" t="s">
        <v>5818</v>
      </c>
      <c r="Y12" s="1534" t="s">
        <v>1368</v>
      </c>
      <c r="Z12" s="1534" t="s">
        <v>2666</v>
      </c>
      <c r="AA12" s="1535" t="s">
        <v>1690</v>
      </c>
      <c r="AB12" s="8429" t="e">
        <f>IF(V11=0,"",VLOOKUP(V11,'Tablas Magia'!$D$6:$Z$779,5,FALSE))</f>
        <v>#N/A</v>
      </c>
      <c r="AC12" s="8429"/>
      <c r="AD12" s="8430" t="s">
        <v>5819</v>
      </c>
      <c r="AE12" s="8430"/>
      <c r="AF12" s="8429" t="e">
        <f>IF(V11=0,"",VLOOKUP(V11,'Tablas Magia'!$D$6:$Z$779,6,FALSE))</f>
        <v>#N/A</v>
      </c>
      <c r="AG12" s="8429"/>
      <c r="AH12" s="8431" t="s">
        <v>5820</v>
      </c>
      <c r="AI12" s="8431"/>
      <c r="AJ12" s="1536" t="e">
        <f>IF(V11=0,"",VLOOKUP(V11,'Tablas Magia'!$D$6:$Z$779,4,FALSE))</f>
        <v>#N/A</v>
      </c>
      <c r="AK12" s="366"/>
      <c r="AL12" s="360"/>
    </row>
    <row r="13" spans="1:38" ht="12" customHeight="1">
      <c r="A13" s="360"/>
      <c r="B13" s="734"/>
      <c r="C13" s="8391" t="s">
        <v>1225</v>
      </c>
      <c r="D13" s="8392"/>
      <c r="E13" s="375" t="e">
        <f>IF(C11=0,"",VLOOKUP(C11,'Tablas Magia'!$D$6:$Z$779,7,FALSE))</f>
        <v>#N/A</v>
      </c>
      <c r="F13" s="375" t="e">
        <f>IF(C11=0,"",VLOOKUP(C11,'Tablas Magia'!$D$6:$Z$779,11,FALSE))</f>
        <v>#N/A</v>
      </c>
      <c r="G13" s="376" t="e">
        <f>IF(C11=0,"",VLOOKUP(C11,'Tablas Magia'!$D$6:$Z$779,15,FALSE))</f>
        <v>#N/A</v>
      </c>
      <c r="H13" s="8393" t="e">
        <f>IF(C11=0,"",VLOOKUP(C11,'Tablas Magia'!$D$6:$Z$779,19,FALSE))</f>
        <v>#N/A</v>
      </c>
      <c r="I13" s="8394"/>
      <c r="J13" s="8394"/>
      <c r="K13" s="8394"/>
      <c r="L13" s="8394"/>
      <c r="M13" s="8394"/>
      <c r="N13" s="8394"/>
      <c r="O13" s="8394"/>
      <c r="P13" s="8394"/>
      <c r="Q13" s="8395"/>
      <c r="R13" s="366"/>
      <c r="S13" s="360"/>
      <c r="T13" s="360"/>
      <c r="U13" s="734"/>
      <c r="V13" s="8434" t="s">
        <v>1225</v>
      </c>
      <c r="W13" s="8435"/>
      <c r="X13" s="375" t="e">
        <f>IF(V11=0,"",VLOOKUP(V11,'Tablas Magia'!$D$6:$Z$779,7,FALSE))</f>
        <v>#N/A</v>
      </c>
      <c r="Y13" s="375" t="e">
        <f>IF(V11=0,"",VLOOKUP(V11,'Tablas Magia'!$D$6:$Z$779,11,FALSE))</f>
        <v>#N/A</v>
      </c>
      <c r="Z13" s="376" t="e">
        <f>IF(V11=0,"",VLOOKUP(V11,'Tablas Magia'!$D$6:$Z$779,15,FALSE))</f>
        <v>#N/A</v>
      </c>
      <c r="AA13" s="8421" t="e">
        <f>IF(V11=0,"",VLOOKUP(V11,'Tablas Magia'!$D$6:$Z$779,19,FALSE))</f>
        <v>#N/A</v>
      </c>
      <c r="AB13" s="8422"/>
      <c r="AC13" s="8422"/>
      <c r="AD13" s="8422"/>
      <c r="AE13" s="8422"/>
      <c r="AF13" s="8422"/>
      <c r="AG13" s="8422"/>
      <c r="AH13" s="8422"/>
      <c r="AI13" s="8422"/>
      <c r="AJ13" s="8423"/>
      <c r="AK13" s="366"/>
      <c r="AL13" s="360"/>
    </row>
    <row r="14" spans="1:38" ht="12" customHeight="1">
      <c r="A14" s="360"/>
      <c r="B14" s="734"/>
      <c r="C14" s="8386" t="s">
        <v>3035</v>
      </c>
      <c r="D14" s="8387"/>
      <c r="E14" s="377" t="e">
        <f>IF(C11=0,"",VLOOKUP(C11,'Tablas Magia'!$D$6:$Z$779,8,FALSE))</f>
        <v>#N/A</v>
      </c>
      <c r="F14" s="377" t="e">
        <f>IF(C11=0,"",VLOOKUP(C11,'Tablas Magia'!$D$6:$Z$779,12,FALSE))</f>
        <v>#N/A</v>
      </c>
      <c r="G14" s="378" t="e">
        <f>IF(C11=0,"",VLOOKUP(C11,'Tablas Magia'!$D$6:$Z$779,16,FALSE))</f>
        <v>#N/A</v>
      </c>
      <c r="H14" s="8388" t="e">
        <f>IF(C11=0,"",VLOOKUP(C11,'Tablas Magia'!$D$6:$Z$779,20,FALSE))</f>
        <v>#N/A</v>
      </c>
      <c r="I14" s="8389"/>
      <c r="J14" s="8389"/>
      <c r="K14" s="8389"/>
      <c r="L14" s="8389"/>
      <c r="M14" s="8389"/>
      <c r="N14" s="8389"/>
      <c r="O14" s="8389"/>
      <c r="P14" s="8389"/>
      <c r="Q14" s="8390"/>
      <c r="R14" s="366"/>
      <c r="S14" s="360"/>
      <c r="T14" s="360"/>
      <c r="U14" s="734"/>
      <c r="V14" s="8386" t="s">
        <v>3035</v>
      </c>
      <c r="W14" s="8387"/>
      <c r="X14" s="377" t="e">
        <f>IF(V11=0,"",VLOOKUP(V11,'Tablas Magia'!$D$6:$Z$779,8,FALSE))</f>
        <v>#N/A</v>
      </c>
      <c r="Y14" s="377" t="e">
        <f>IF(V11=0,"",VLOOKUP(V11,'Tablas Magia'!$D$6:$Z$779,12,FALSE))</f>
        <v>#N/A</v>
      </c>
      <c r="Z14" s="378" t="e">
        <f>IF(V11=0,"",VLOOKUP(V11,'Tablas Magia'!$D$6:$Z$779,16,FALSE))</f>
        <v>#N/A</v>
      </c>
      <c r="AA14" s="8388" t="e">
        <f>IF(V11=0,"",VLOOKUP(V11,'Tablas Magia'!$D$6:$Z$779,20,FALSE))</f>
        <v>#N/A</v>
      </c>
      <c r="AB14" s="8389"/>
      <c r="AC14" s="8389"/>
      <c r="AD14" s="8389"/>
      <c r="AE14" s="8389"/>
      <c r="AF14" s="8389"/>
      <c r="AG14" s="8389"/>
      <c r="AH14" s="8389"/>
      <c r="AI14" s="8389"/>
      <c r="AJ14" s="8390"/>
      <c r="AK14" s="366"/>
      <c r="AL14" s="360"/>
    </row>
    <row r="15" spans="1:38" ht="12" customHeight="1">
      <c r="A15" s="360"/>
      <c r="B15" s="734"/>
      <c r="C15" s="8391" t="s">
        <v>3036</v>
      </c>
      <c r="D15" s="8392"/>
      <c r="E15" s="375" t="e">
        <f>IF(C11=0,"",VLOOKUP(C11,'Tablas Magia'!$D$6:$Z$779,9,FALSE))</f>
        <v>#N/A</v>
      </c>
      <c r="F15" s="375" t="e">
        <f>IF(C11=0,"",VLOOKUP(C11,'Tablas Magia'!$D$6:$Z$779,13,FALSE))</f>
        <v>#N/A</v>
      </c>
      <c r="G15" s="376" t="e">
        <f>IF(C11=0,"",VLOOKUP(C11,'Tablas Magia'!$D$6:$Z$779,17,FALSE))</f>
        <v>#N/A</v>
      </c>
      <c r="H15" s="8393" t="e">
        <f>IF(C11=0,"",VLOOKUP(C11,'Tablas Magia'!$D$6:$Z$779,21,FALSE))</f>
        <v>#N/A</v>
      </c>
      <c r="I15" s="8394"/>
      <c r="J15" s="8394"/>
      <c r="K15" s="8394"/>
      <c r="L15" s="8394"/>
      <c r="M15" s="8394"/>
      <c r="N15" s="8394"/>
      <c r="O15" s="8394"/>
      <c r="P15" s="8394"/>
      <c r="Q15" s="8395"/>
      <c r="R15" s="366"/>
      <c r="S15" s="360"/>
      <c r="T15" s="360"/>
      <c r="U15" s="734"/>
      <c r="V15" s="8391" t="s">
        <v>3036</v>
      </c>
      <c r="W15" s="8392"/>
      <c r="X15" s="375" t="e">
        <f>IF(V11=0,"",VLOOKUP(V11,'Tablas Magia'!$D$6:$Z$779,9,FALSE))</f>
        <v>#N/A</v>
      </c>
      <c r="Y15" s="375" t="e">
        <f>IF(V11=0,"",VLOOKUP(V11,'Tablas Magia'!$D$6:$Z$779,13,FALSE))</f>
        <v>#N/A</v>
      </c>
      <c r="Z15" s="376" t="e">
        <f>IF(V11=0,"",VLOOKUP(V11,'Tablas Magia'!$D$6:$Z$779,17,FALSE))</f>
        <v>#N/A</v>
      </c>
      <c r="AA15" s="8393" t="e">
        <f>IF(V11=0,"",VLOOKUP(V11,'Tablas Magia'!$D$6:$Z$779,21,FALSE))</f>
        <v>#N/A</v>
      </c>
      <c r="AB15" s="8394"/>
      <c r="AC15" s="8394"/>
      <c r="AD15" s="8394"/>
      <c r="AE15" s="8394"/>
      <c r="AF15" s="8394"/>
      <c r="AG15" s="8394"/>
      <c r="AH15" s="8394"/>
      <c r="AI15" s="8394"/>
      <c r="AJ15" s="8395"/>
      <c r="AK15" s="366"/>
      <c r="AL15" s="360"/>
    </row>
    <row r="16" spans="1:38" ht="12" customHeight="1" thickBot="1">
      <c r="A16" s="360"/>
      <c r="B16" s="734"/>
      <c r="C16" s="8401" t="s">
        <v>3037</v>
      </c>
      <c r="D16" s="8402"/>
      <c r="E16" s="379" t="e">
        <f>IF(C11=0,"",VLOOKUP(C11,'Tablas Magia'!$D$6:$Z$779,10,FALSE))</f>
        <v>#N/A</v>
      </c>
      <c r="F16" s="379" t="e">
        <f>IF(C11=0,"",VLOOKUP(C11,'Tablas Magia'!$D$6:$Z$779,14,FALSE))</f>
        <v>#N/A</v>
      </c>
      <c r="G16" s="380" t="e">
        <f>IF(C11=0,"",VLOOKUP(C11,'Tablas Magia'!$D$6:$Z$779,18,FALSE))</f>
        <v>#N/A</v>
      </c>
      <c r="H16" s="8403" t="e">
        <f>IF(C11=0,"",VLOOKUP(C11,'Tablas Magia'!$D$6:$Z$779,22,FALSE))</f>
        <v>#N/A</v>
      </c>
      <c r="I16" s="8404"/>
      <c r="J16" s="8404"/>
      <c r="K16" s="8404"/>
      <c r="L16" s="8404"/>
      <c r="M16" s="8404"/>
      <c r="N16" s="8404"/>
      <c r="O16" s="8404"/>
      <c r="P16" s="8404"/>
      <c r="Q16" s="8405"/>
      <c r="R16" s="366"/>
      <c r="S16" s="360"/>
      <c r="T16" s="360"/>
      <c r="U16" s="734"/>
      <c r="V16" s="8401" t="s">
        <v>3037</v>
      </c>
      <c r="W16" s="8402"/>
      <c r="X16" s="379" t="e">
        <f>IF(V11=0,"",VLOOKUP(V11,'Tablas Magia'!$D$6:$Z$779,10,FALSE))</f>
        <v>#N/A</v>
      </c>
      <c r="Y16" s="379" t="e">
        <f>IF(V11=0,"",VLOOKUP(V11,'Tablas Magia'!$D$6:$Z$779,14,FALSE))</f>
        <v>#N/A</v>
      </c>
      <c r="Z16" s="380" t="e">
        <f>IF(V11=0,"",VLOOKUP(V11,'Tablas Magia'!$D$6:$Z$779,18,FALSE))</f>
        <v>#N/A</v>
      </c>
      <c r="AA16" s="8403" t="e">
        <f>IF(V11=0,"",VLOOKUP(V11,'Tablas Magia'!$D$6:$Z$779,22,FALSE))</f>
        <v>#N/A</v>
      </c>
      <c r="AB16" s="8404"/>
      <c r="AC16" s="8404"/>
      <c r="AD16" s="8404"/>
      <c r="AE16" s="8404"/>
      <c r="AF16" s="8404"/>
      <c r="AG16" s="8404"/>
      <c r="AH16" s="8404"/>
      <c r="AI16" s="8404"/>
      <c r="AJ16" s="8405"/>
      <c r="AK16" s="366"/>
      <c r="AL16" s="360"/>
    </row>
    <row r="17" spans="1:38" ht="12" customHeight="1">
      <c r="A17" s="360"/>
      <c r="B17" s="734"/>
      <c r="C17" s="8406" t="e">
        <f>IF(C11=0,"",VLOOKUP(C11,'Tablas Magia'!$D$6:$Z$779,23,FALSE))</f>
        <v>#N/A</v>
      </c>
      <c r="D17" s="8407"/>
      <c r="E17" s="8407"/>
      <c r="F17" s="8407"/>
      <c r="G17" s="8407"/>
      <c r="H17" s="8407"/>
      <c r="I17" s="8407"/>
      <c r="J17" s="8407"/>
      <c r="K17" s="8407"/>
      <c r="L17" s="8407"/>
      <c r="M17" s="8407"/>
      <c r="N17" s="8407"/>
      <c r="O17" s="8407"/>
      <c r="P17" s="8407"/>
      <c r="Q17" s="8408"/>
      <c r="R17" s="366"/>
      <c r="S17" s="360"/>
      <c r="T17" s="360"/>
      <c r="U17" s="734"/>
      <c r="V17" s="8406" t="e">
        <f>IF(V11=0,"",VLOOKUP(V11,'Tablas Magia'!$D$6:$Z$779,23,FALSE))</f>
        <v>#N/A</v>
      </c>
      <c r="W17" s="8407"/>
      <c r="X17" s="8407"/>
      <c r="Y17" s="8407"/>
      <c r="Z17" s="8407"/>
      <c r="AA17" s="8407"/>
      <c r="AB17" s="8407"/>
      <c r="AC17" s="8407"/>
      <c r="AD17" s="8407"/>
      <c r="AE17" s="8407"/>
      <c r="AF17" s="8407"/>
      <c r="AG17" s="8407"/>
      <c r="AH17" s="8407"/>
      <c r="AI17" s="8407"/>
      <c r="AJ17" s="8408"/>
      <c r="AK17" s="366"/>
      <c r="AL17" s="360"/>
    </row>
    <row r="18" spans="1:38" ht="12" customHeight="1">
      <c r="A18" s="360"/>
      <c r="B18" s="734"/>
      <c r="C18" s="8409"/>
      <c r="D18" s="8410"/>
      <c r="E18" s="8410"/>
      <c r="F18" s="8410"/>
      <c r="G18" s="8410"/>
      <c r="H18" s="8410"/>
      <c r="I18" s="8410"/>
      <c r="J18" s="8410"/>
      <c r="K18" s="8410"/>
      <c r="L18" s="8410"/>
      <c r="M18" s="8410"/>
      <c r="N18" s="8410"/>
      <c r="O18" s="8410"/>
      <c r="P18" s="8410"/>
      <c r="Q18" s="8411"/>
      <c r="R18" s="366"/>
      <c r="S18" s="360"/>
      <c r="T18" s="360"/>
      <c r="U18" s="734"/>
      <c r="V18" s="8409"/>
      <c r="W18" s="8410"/>
      <c r="X18" s="8410"/>
      <c r="Y18" s="8410"/>
      <c r="Z18" s="8410"/>
      <c r="AA18" s="8410"/>
      <c r="AB18" s="8410"/>
      <c r="AC18" s="8410"/>
      <c r="AD18" s="8410"/>
      <c r="AE18" s="8410"/>
      <c r="AF18" s="8410"/>
      <c r="AG18" s="8410"/>
      <c r="AH18" s="8410"/>
      <c r="AI18" s="8410"/>
      <c r="AJ18" s="8411"/>
      <c r="AK18" s="366"/>
      <c r="AL18" s="360"/>
    </row>
    <row r="19" spans="1:38" ht="12" customHeight="1">
      <c r="A19" s="360"/>
      <c r="B19" s="734"/>
      <c r="C19" s="8409"/>
      <c r="D19" s="8410"/>
      <c r="E19" s="8410"/>
      <c r="F19" s="8410"/>
      <c r="G19" s="8410"/>
      <c r="H19" s="8410"/>
      <c r="I19" s="8410"/>
      <c r="J19" s="8410"/>
      <c r="K19" s="8410"/>
      <c r="L19" s="8410"/>
      <c r="M19" s="8410"/>
      <c r="N19" s="8410"/>
      <c r="O19" s="8410"/>
      <c r="P19" s="8410"/>
      <c r="Q19" s="8411"/>
      <c r="R19" s="366"/>
      <c r="S19" s="360"/>
      <c r="T19" s="360"/>
      <c r="U19" s="734"/>
      <c r="V19" s="8409"/>
      <c r="W19" s="8410"/>
      <c r="X19" s="8410"/>
      <c r="Y19" s="8410"/>
      <c r="Z19" s="8410"/>
      <c r="AA19" s="8410"/>
      <c r="AB19" s="8410"/>
      <c r="AC19" s="8410"/>
      <c r="AD19" s="8410"/>
      <c r="AE19" s="8410"/>
      <c r="AF19" s="8410"/>
      <c r="AG19" s="8410"/>
      <c r="AH19" s="8410"/>
      <c r="AI19" s="8410"/>
      <c r="AJ19" s="8411"/>
      <c r="AK19" s="366"/>
      <c r="AL19" s="360"/>
    </row>
    <row r="20" spans="1:38" ht="12" customHeight="1" thickBot="1">
      <c r="A20" s="360"/>
      <c r="B20" s="734"/>
      <c r="C20" s="8412"/>
      <c r="D20" s="8413"/>
      <c r="E20" s="8413"/>
      <c r="F20" s="8413"/>
      <c r="G20" s="8413"/>
      <c r="H20" s="8413"/>
      <c r="I20" s="8413"/>
      <c r="J20" s="8413"/>
      <c r="K20" s="8413"/>
      <c r="L20" s="8413"/>
      <c r="M20" s="8413"/>
      <c r="N20" s="8413"/>
      <c r="O20" s="8413"/>
      <c r="P20" s="8413"/>
      <c r="Q20" s="8414"/>
      <c r="R20" s="366"/>
      <c r="S20" s="360"/>
      <c r="T20" s="360"/>
      <c r="U20" s="734"/>
      <c r="V20" s="8412"/>
      <c r="W20" s="8413"/>
      <c r="X20" s="8413"/>
      <c r="Y20" s="8413"/>
      <c r="Z20" s="8413"/>
      <c r="AA20" s="8413"/>
      <c r="AB20" s="8413"/>
      <c r="AC20" s="8413"/>
      <c r="AD20" s="8413"/>
      <c r="AE20" s="8413"/>
      <c r="AF20" s="8413"/>
      <c r="AG20" s="8413"/>
      <c r="AH20" s="8413"/>
      <c r="AI20" s="8413"/>
      <c r="AJ20" s="8414"/>
      <c r="AK20" s="366"/>
      <c r="AL20" s="360"/>
    </row>
    <row r="21" spans="1:38" ht="12" customHeight="1" thickBot="1">
      <c r="A21" s="360"/>
      <c r="B21" s="734"/>
      <c r="C21" s="743"/>
      <c r="D21" s="743"/>
      <c r="E21" s="743"/>
      <c r="F21" s="743"/>
      <c r="G21" s="743"/>
      <c r="H21" s="381"/>
      <c r="I21" s="382"/>
      <c r="J21" s="383"/>
      <c r="K21" s="383"/>
      <c r="L21" s="383"/>
      <c r="M21" s="329"/>
      <c r="N21" s="329"/>
      <c r="O21" s="329"/>
      <c r="P21" s="329"/>
      <c r="Q21" s="329"/>
      <c r="R21" s="366"/>
      <c r="S21" s="360"/>
      <c r="T21" s="360"/>
      <c r="U21" s="734"/>
      <c r="V21" s="383"/>
      <c r="W21" s="383"/>
      <c r="X21" s="384"/>
      <c r="Y21" s="384"/>
      <c r="Z21" s="384"/>
      <c r="AA21" s="383"/>
      <c r="AB21" s="329"/>
      <c r="AC21" s="329"/>
      <c r="AD21" s="383"/>
      <c r="AE21" s="383"/>
      <c r="AF21" s="329"/>
      <c r="AG21" s="329"/>
      <c r="AH21" s="385"/>
      <c r="AI21" s="385"/>
      <c r="AJ21" s="329"/>
      <c r="AK21" s="366"/>
      <c r="AL21" s="360"/>
    </row>
    <row r="22" spans="1:38" ht="12" customHeight="1">
      <c r="A22" s="360"/>
      <c r="B22" s="734">
        <f>B11+2</f>
        <v>4</v>
      </c>
      <c r="C22" s="8417" t="str">
        <f>IF(ISNA(VLOOKUP($J$6&amp;B22,'Tablas Magia'!$B$6:$D$779,3,FALSE)),IF(ISNA(VLOOKUP($J$8&amp;B22,'Tablas Magia'!$B$6:$D$779,3,FALSE)),IF(ISNA(VLOOKUP($J$6&amp;B22,Místicos!$AD$12:$AJ$50,4,FALSE)),"Libre Acceso 1-"&amp;MID(C$10,SEARCH("-",C$10)+1,3),VLOOKUP($J$6&amp;B22,Místicos!$AD$12:$AJ$50,4,FALSE)),VLOOKUP($J$8&amp;B22,'Tablas Magia'!$B$6:$D$779,3,FALSE)),VLOOKUP($J$6&amp;B22,'Tablas Magia'!$B$6:$D$779,3,FALSE))</f>
        <v>Libre Acceso 1-10</v>
      </c>
      <c r="D22" s="8418"/>
      <c r="E22" s="8418"/>
      <c r="F22" s="8418"/>
      <c r="G22" s="8419"/>
      <c r="H22" s="370" t="s">
        <v>1186</v>
      </c>
      <c r="I22" s="371">
        <f>B22</f>
        <v>4</v>
      </c>
      <c r="J22" s="8420" t="s">
        <v>5816</v>
      </c>
      <c r="K22" s="8420"/>
      <c r="L22" s="8420"/>
      <c r="M22" s="8378" t="e">
        <f>IF(C22=0,"",VLOOKUP(C22,'Tablas Magia'!$D$6:$Z$779,2,FALSE))</f>
        <v>#N/A</v>
      </c>
      <c r="N22" s="8378"/>
      <c r="O22" s="1525"/>
      <c r="P22" s="8415" t="str">
        <f>IFERROR(IF(M22="Libre Acceso","Aprendido",IF(IFERROR(VLOOKUP(M22,Místicos!$C$15:$H$25,6,0)&gt;=I22,FALSE),"Aprendido",IF(IFERROR(VLOOKUP(M22,Místicos!$E$15:$H$25,4,0)&gt;=I22,FALSE),"Aprendido",""))),"")</f>
        <v/>
      </c>
      <c r="Q22" s="8416"/>
      <c r="R22" s="366"/>
      <c r="S22" s="360"/>
      <c r="T22" s="360"/>
      <c r="U22" s="734">
        <f>U11+2</f>
        <v>14</v>
      </c>
      <c r="V22" s="8417" t="str">
        <f>IF(ISNA(VLOOKUP($J$6&amp;U22,'Tablas Magia'!$B$6:$D$779,3,FALSE)),IF(ISNA(VLOOKUP($J$8&amp;U22,'Tablas Magia'!$B$6:$D$779,3,FALSE)),IF(ISNA(VLOOKUP($J$6&amp;U22,Místicos!$AD$12:$AJ$50,4,FALSE)),"Libre Acceso 1-"&amp;MID(V$10,SEARCH("-",V$10)+1,3),VLOOKUP($J$6&amp;U22,Místicos!$AD$12:$AJ$50,4,FALSE)),VLOOKUP($J$8&amp;U22,'Tablas Magia'!$B$6:$D$779,3,FALSE)),VLOOKUP($J$6&amp;U22,'Tablas Magia'!$B$6:$D$779,3,FALSE))</f>
        <v>Libre Acceso 1-20</v>
      </c>
      <c r="W22" s="8418"/>
      <c r="X22" s="8418"/>
      <c r="Y22" s="8418"/>
      <c r="Z22" s="8419"/>
      <c r="AA22" s="370" t="s">
        <v>1186</v>
      </c>
      <c r="AB22" s="371">
        <f>U22</f>
        <v>14</v>
      </c>
      <c r="AC22" s="8420" t="s">
        <v>5816</v>
      </c>
      <c r="AD22" s="8420"/>
      <c r="AE22" s="8420"/>
      <c r="AF22" s="8378" t="e">
        <f>IF(V22=0,"",VLOOKUP(V22,'Tablas Magia'!$D$6:$Z$779,2,FALSE))</f>
        <v>#N/A</v>
      </c>
      <c r="AG22" s="8378"/>
      <c r="AH22" s="1525"/>
      <c r="AI22" s="8415" t="str">
        <f>IFERROR(IF(AF22="Libre Acceso","Aprendido",IF(IFERROR(VLOOKUP(AF22,Místicos!$C$15:$H$25,6,0)&gt;=AB22,FALSE),"Aprendido",IF(IFERROR(VLOOKUP(AF22,Místicos!$E$15:$H$25,4,0)&gt;=AB22,FALSE),"Aprendido",""))),"")</f>
        <v/>
      </c>
      <c r="AJ22" s="8416"/>
      <c r="AK22" s="366"/>
      <c r="AL22" s="360"/>
    </row>
    <row r="23" spans="1:38" ht="12" customHeight="1">
      <c r="A23" s="360"/>
      <c r="B23" s="734"/>
      <c r="C23" s="8399" t="s">
        <v>5817</v>
      </c>
      <c r="D23" s="8426"/>
      <c r="E23" s="2162" t="s">
        <v>5818</v>
      </c>
      <c r="F23" s="2162" t="s">
        <v>1368</v>
      </c>
      <c r="G23" s="2162" t="s">
        <v>2666</v>
      </c>
      <c r="H23" s="2163" t="s">
        <v>1690</v>
      </c>
      <c r="I23" s="8424" t="e">
        <f>IF(C22=0,"",VLOOKUP(C22,'Tablas Magia'!$D$6:$Z$779,5,FALSE))</f>
        <v>#N/A</v>
      </c>
      <c r="J23" s="8424"/>
      <c r="K23" s="8427" t="s">
        <v>5819</v>
      </c>
      <c r="L23" s="8427"/>
      <c r="M23" s="8424" t="e">
        <f>IF(C22=0,"",VLOOKUP(C22,'Tablas Magia'!$D$6:$Z$779,6,FALSE))</f>
        <v>#N/A</v>
      </c>
      <c r="N23" s="8424"/>
      <c r="O23" s="8425" t="s">
        <v>5820</v>
      </c>
      <c r="P23" s="8425"/>
      <c r="Q23" s="2164" t="e">
        <f>IF(C22=0,"",VLOOKUP(C22,'Tablas Magia'!$D$6:$Z$779,4,FALSE))</f>
        <v>#N/A</v>
      </c>
      <c r="R23" s="366"/>
      <c r="S23" s="360"/>
      <c r="T23" s="360"/>
      <c r="U23" s="734"/>
      <c r="V23" s="8399" t="s">
        <v>5817</v>
      </c>
      <c r="W23" s="8428"/>
      <c r="X23" s="1534" t="s">
        <v>5818</v>
      </c>
      <c r="Y23" s="1534" t="s">
        <v>1368</v>
      </c>
      <c r="Z23" s="1534" t="s">
        <v>2666</v>
      </c>
      <c r="AA23" s="1535" t="s">
        <v>1690</v>
      </c>
      <c r="AB23" s="8429" t="e">
        <f>IF(V22=0,"",VLOOKUP(V22,'Tablas Magia'!$D$6:$Z$779,5,FALSE))</f>
        <v>#N/A</v>
      </c>
      <c r="AC23" s="8429"/>
      <c r="AD23" s="8430" t="s">
        <v>5819</v>
      </c>
      <c r="AE23" s="8430"/>
      <c r="AF23" s="8429" t="e">
        <f>IF(V22=0,"",VLOOKUP(V22,'Tablas Magia'!$D$6:$Z$779,6,FALSE))</f>
        <v>#N/A</v>
      </c>
      <c r="AG23" s="8429"/>
      <c r="AH23" s="8431" t="s">
        <v>5820</v>
      </c>
      <c r="AI23" s="8431"/>
      <c r="AJ23" s="1536" t="e">
        <f>IF(V22=0,"",VLOOKUP(V22,'Tablas Magia'!$D$6:$Z$779,4,FALSE))</f>
        <v>#N/A</v>
      </c>
      <c r="AK23" s="366"/>
      <c r="AL23" s="360"/>
    </row>
    <row r="24" spans="1:38" ht="12" customHeight="1">
      <c r="A24" s="360"/>
      <c r="B24" s="734"/>
      <c r="C24" s="8434" t="s">
        <v>1225</v>
      </c>
      <c r="D24" s="8435"/>
      <c r="E24" s="375" t="e">
        <f>IF(C22=0,"",VLOOKUP(C22,'Tablas Magia'!$D$6:$Z$779,7,FALSE))</f>
        <v>#N/A</v>
      </c>
      <c r="F24" s="375" t="e">
        <f>IF(C22=0,"",VLOOKUP(C22,'Tablas Magia'!$D$6:$Z$779,11,FALSE))</f>
        <v>#N/A</v>
      </c>
      <c r="G24" s="376" t="e">
        <f>IF(C22=0,"",VLOOKUP(C22,'Tablas Magia'!$D$6:$Z$779,15,FALSE))</f>
        <v>#N/A</v>
      </c>
      <c r="H24" s="8421" t="e">
        <f>IF(C22=0,"",VLOOKUP(C22,'Tablas Magia'!$D$6:$Z$779,19,FALSE))</f>
        <v>#N/A</v>
      </c>
      <c r="I24" s="8422"/>
      <c r="J24" s="8422"/>
      <c r="K24" s="8422"/>
      <c r="L24" s="8422"/>
      <c r="M24" s="8422"/>
      <c r="N24" s="8422"/>
      <c r="O24" s="8422"/>
      <c r="P24" s="8422"/>
      <c r="Q24" s="8423"/>
      <c r="R24" s="366"/>
      <c r="S24" s="360"/>
      <c r="T24" s="360"/>
      <c r="U24" s="734"/>
      <c r="V24" s="8391" t="s">
        <v>1225</v>
      </c>
      <c r="W24" s="8392"/>
      <c r="X24" s="375" t="e">
        <f>IF(V22=0,"",VLOOKUP(V22,'Tablas Magia'!$D$6:$Z$779,7,FALSE))</f>
        <v>#N/A</v>
      </c>
      <c r="Y24" s="375" t="e">
        <f>IF(V22=0,"",VLOOKUP(V22,'Tablas Magia'!$D$6:$Z$779,11,FALSE))</f>
        <v>#N/A</v>
      </c>
      <c r="Z24" s="376" t="e">
        <f>IF(V22=0,"",VLOOKUP(V22,'Tablas Magia'!$D$6:$Z$779,15,FALSE))</f>
        <v>#N/A</v>
      </c>
      <c r="AA24" s="8393" t="e">
        <f>IF(V22=0,"",VLOOKUP(V22,'Tablas Magia'!$D$6:$Z$779,19,FALSE))</f>
        <v>#N/A</v>
      </c>
      <c r="AB24" s="8394"/>
      <c r="AC24" s="8394"/>
      <c r="AD24" s="8394"/>
      <c r="AE24" s="8394"/>
      <c r="AF24" s="8394"/>
      <c r="AG24" s="8394"/>
      <c r="AH24" s="8394"/>
      <c r="AI24" s="8394"/>
      <c r="AJ24" s="8395"/>
      <c r="AK24" s="366"/>
      <c r="AL24" s="360"/>
    </row>
    <row r="25" spans="1:38" ht="12" customHeight="1">
      <c r="A25" s="360"/>
      <c r="B25" s="734"/>
      <c r="C25" s="8386" t="s">
        <v>3035</v>
      </c>
      <c r="D25" s="8387"/>
      <c r="E25" s="377" t="e">
        <f>IF(C22=0,"",VLOOKUP(C22,'Tablas Magia'!$D$6:$Z$779,8,FALSE))</f>
        <v>#N/A</v>
      </c>
      <c r="F25" s="377" t="e">
        <f>IF(C22=0,"",VLOOKUP(C22,'Tablas Magia'!$D$6:$Z$779,12,FALSE))</f>
        <v>#N/A</v>
      </c>
      <c r="G25" s="378" t="e">
        <f>IF(C22=0,"",VLOOKUP(C22,'Tablas Magia'!$D$6:$Z$779,16,FALSE))</f>
        <v>#N/A</v>
      </c>
      <c r="H25" s="8388" t="e">
        <f>IF(C22=0,"",VLOOKUP(C22,'Tablas Magia'!$D$6:$Z$779,20,FALSE))</f>
        <v>#N/A</v>
      </c>
      <c r="I25" s="8389"/>
      <c r="J25" s="8389"/>
      <c r="K25" s="8389"/>
      <c r="L25" s="8389"/>
      <c r="M25" s="8389"/>
      <c r="N25" s="8389"/>
      <c r="O25" s="8389"/>
      <c r="P25" s="8389"/>
      <c r="Q25" s="8390"/>
      <c r="R25" s="366"/>
      <c r="S25" s="360"/>
      <c r="T25" s="360"/>
      <c r="U25" s="734"/>
      <c r="V25" s="8386" t="s">
        <v>3035</v>
      </c>
      <c r="W25" s="8387"/>
      <c r="X25" s="377" t="e">
        <f>IF(V22=0,"",VLOOKUP(V22,'Tablas Magia'!$D$6:$Z$779,8,FALSE))</f>
        <v>#N/A</v>
      </c>
      <c r="Y25" s="377" t="e">
        <f>IF(V22=0,"",VLOOKUP(V22,'Tablas Magia'!$D$6:$Z$779,12,FALSE))</f>
        <v>#N/A</v>
      </c>
      <c r="Z25" s="378" t="e">
        <f>IF(V22=0,"",VLOOKUP(V22,'Tablas Magia'!$D$6:$Z$779,16,FALSE))</f>
        <v>#N/A</v>
      </c>
      <c r="AA25" s="8388" t="e">
        <f>IF(V22=0,"",VLOOKUP(V22,'Tablas Magia'!$D$6:$Z$779,20,FALSE))</f>
        <v>#N/A</v>
      </c>
      <c r="AB25" s="8389"/>
      <c r="AC25" s="8389"/>
      <c r="AD25" s="8389"/>
      <c r="AE25" s="8389"/>
      <c r="AF25" s="8389"/>
      <c r="AG25" s="8389"/>
      <c r="AH25" s="8389"/>
      <c r="AI25" s="8389"/>
      <c r="AJ25" s="8390"/>
      <c r="AK25" s="366"/>
      <c r="AL25" s="360"/>
    </row>
    <row r="26" spans="1:38" ht="12" customHeight="1">
      <c r="A26" s="360"/>
      <c r="B26" s="734"/>
      <c r="C26" s="8391" t="s">
        <v>3036</v>
      </c>
      <c r="D26" s="8392"/>
      <c r="E26" s="375" t="e">
        <f>IF(C22=0,"",VLOOKUP(C22,'Tablas Magia'!$D$6:$Z$779,9,FALSE))</f>
        <v>#N/A</v>
      </c>
      <c r="F26" s="375" t="e">
        <f>IF(C22=0,"",VLOOKUP(C22,'Tablas Magia'!$D$6:$Z$779,13,FALSE))</f>
        <v>#N/A</v>
      </c>
      <c r="G26" s="376" t="e">
        <f>IF(C22=0,"",VLOOKUP(C22,'Tablas Magia'!$D$6:$Z$779,17,FALSE))</f>
        <v>#N/A</v>
      </c>
      <c r="H26" s="8393" t="e">
        <f>IF(C22=0,"",VLOOKUP(C22,'Tablas Magia'!$D$6:$Z$779,21,FALSE))</f>
        <v>#N/A</v>
      </c>
      <c r="I26" s="8394"/>
      <c r="J26" s="8394"/>
      <c r="K26" s="8394"/>
      <c r="L26" s="8394"/>
      <c r="M26" s="8394"/>
      <c r="N26" s="8394"/>
      <c r="O26" s="8394"/>
      <c r="P26" s="8394"/>
      <c r="Q26" s="8395"/>
      <c r="R26" s="366"/>
      <c r="S26" s="360"/>
      <c r="T26" s="360"/>
      <c r="U26" s="734"/>
      <c r="V26" s="8391" t="s">
        <v>3036</v>
      </c>
      <c r="W26" s="8392"/>
      <c r="X26" s="375" t="e">
        <f>IF(V22=0,"",VLOOKUP(V22,'Tablas Magia'!$D$6:$Z$779,9,FALSE))</f>
        <v>#N/A</v>
      </c>
      <c r="Y26" s="375" t="e">
        <f>IF(V22=0,"",VLOOKUP(V22,'Tablas Magia'!$D$6:$Z$779,13,FALSE))</f>
        <v>#N/A</v>
      </c>
      <c r="Z26" s="376" t="e">
        <f>IF(V22=0,"",VLOOKUP(V22,'Tablas Magia'!$D$6:$Z$779,17,FALSE))</f>
        <v>#N/A</v>
      </c>
      <c r="AA26" s="8393" t="e">
        <f>IF(V22=0,"",VLOOKUP(V22,'Tablas Magia'!$D$6:$Z$779,21,FALSE))</f>
        <v>#N/A</v>
      </c>
      <c r="AB26" s="8394"/>
      <c r="AC26" s="8394"/>
      <c r="AD26" s="8394"/>
      <c r="AE26" s="8394"/>
      <c r="AF26" s="8394"/>
      <c r="AG26" s="8394"/>
      <c r="AH26" s="8394"/>
      <c r="AI26" s="8394"/>
      <c r="AJ26" s="8395"/>
      <c r="AK26" s="366"/>
      <c r="AL26" s="360"/>
    </row>
    <row r="27" spans="1:38" ht="12" customHeight="1" thickBot="1">
      <c r="A27" s="360"/>
      <c r="B27" s="734"/>
      <c r="C27" s="8401" t="s">
        <v>3037</v>
      </c>
      <c r="D27" s="8402"/>
      <c r="E27" s="379" t="e">
        <f>IF(C22=0,"",VLOOKUP(C22,'Tablas Magia'!$D$6:$Z$779,10,FALSE))</f>
        <v>#N/A</v>
      </c>
      <c r="F27" s="379" t="e">
        <f>IF(C22=0,"",VLOOKUP(C22,'Tablas Magia'!$D$6:$Z$779,14,FALSE))</f>
        <v>#N/A</v>
      </c>
      <c r="G27" s="380" t="e">
        <f>IF(C22=0,"",VLOOKUP(C22,'Tablas Magia'!$D$6:$Z$779,18,FALSE))</f>
        <v>#N/A</v>
      </c>
      <c r="H27" s="8403" t="e">
        <f>IF(C22=0,"",VLOOKUP(C22,'Tablas Magia'!$D$6:$Z$779,22,FALSE))</f>
        <v>#N/A</v>
      </c>
      <c r="I27" s="8404"/>
      <c r="J27" s="8404"/>
      <c r="K27" s="8404"/>
      <c r="L27" s="8404"/>
      <c r="M27" s="8404"/>
      <c r="N27" s="8404"/>
      <c r="O27" s="8404"/>
      <c r="P27" s="8404"/>
      <c r="Q27" s="8405"/>
      <c r="R27" s="366"/>
      <c r="S27" s="360"/>
      <c r="T27" s="360"/>
      <c r="U27" s="734"/>
      <c r="V27" s="8401" t="s">
        <v>3037</v>
      </c>
      <c r="W27" s="8402"/>
      <c r="X27" s="379" t="e">
        <f>IF(V22=0,"",VLOOKUP(V22,'Tablas Magia'!$D$6:$Z$779,10,FALSE))</f>
        <v>#N/A</v>
      </c>
      <c r="Y27" s="379" t="e">
        <f>IF(V22=0,"",VLOOKUP(V22,'Tablas Magia'!$D$6:$Z$779,14,FALSE))</f>
        <v>#N/A</v>
      </c>
      <c r="Z27" s="380" t="e">
        <f>IF(V22=0,"",VLOOKUP(V22,'Tablas Magia'!$D$6:$Z$779,18,FALSE))</f>
        <v>#N/A</v>
      </c>
      <c r="AA27" s="8403" t="e">
        <f>IF(V22=0,"",VLOOKUP(V22,'Tablas Magia'!$D$6:$Z$779,22,FALSE))</f>
        <v>#N/A</v>
      </c>
      <c r="AB27" s="8404"/>
      <c r="AC27" s="8404"/>
      <c r="AD27" s="8404"/>
      <c r="AE27" s="8404"/>
      <c r="AF27" s="8404"/>
      <c r="AG27" s="8404"/>
      <c r="AH27" s="8404"/>
      <c r="AI27" s="8404"/>
      <c r="AJ27" s="8405"/>
      <c r="AK27" s="366"/>
      <c r="AL27" s="360"/>
    </row>
    <row r="28" spans="1:38" ht="12" customHeight="1">
      <c r="A28" s="360"/>
      <c r="B28" s="734"/>
      <c r="C28" s="8406" t="e">
        <f>IF(C22=0,"",VLOOKUP(C22,'Tablas Magia'!$D$6:$Z$779,23,FALSE))</f>
        <v>#N/A</v>
      </c>
      <c r="D28" s="8407"/>
      <c r="E28" s="8407"/>
      <c r="F28" s="8407"/>
      <c r="G28" s="8407"/>
      <c r="H28" s="8407"/>
      <c r="I28" s="8407"/>
      <c r="J28" s="8407"/>
      <c r="K28" s="8407"/>
      <c r="L28" s="8407"/>
      <c r="M28" s="8407"/>
      <c r="N28" s="8407"/>
      <c r="O28" s="8407"/>
      <c r="P28" s="8407"/>
      <c r="Q28" s="8408"/>
      <c r="R28" s="366"/>
      <c r="S28" s="360"/>
      <c r="T28" s="360"/>
      <c r="U28" s="734"/>
      <c r="V28" s="8406" t="e">
        <f>IF(V22=0,"",VLOOKUP(V22,'Tablas Magia'!$D$6:$Z$779,23,FALSE))</f>
        <v>#N/A</v>
      </c>
      <c r="W28" s="8407"/>
      <c r="X28" s="8407"/>
      <c r="Y28" s="8407"/>
      <c r="Z28" s="8407"/>
      <c r="AA28" s="8407"/>
      <c r="AB28" s="8407"/>
      <c r="AC28" s="8407"/>
      <c r="AD28" s="8407"/>
      <c r="AE28" s="8407"/>
      <c r="AF28" s="8407"/>
      <c r="AG28" s="8407"/>
      <c r="AH28" s="8407"/>
      <c r="AI28" s="8407"/>
      <c r="AJ28" s="8408"/>
      <c r="AK28" s="366"/>
      <c r="AL28" s="360"/>
    </row>
    <row r="29" spans="1:38" ht="12" customHeight="1">
      <c r="A29" s="360"/>
      <c r="B29" s="734"/>
      <c r="C29" s="8409"/>
      <c r="D29" s="8410"/>
      <c r="E29" s="8410"/>
      <c r="F29" s="8410"/>
      <c r="G29" s="8410"/>
      <c r="H29" s="8410"/>
      <c r="I29" s="8410"/>
      <c r="J29" s="8410"/>
      <c r="K29" s="8410"/>
      <c r="L29" s="8410"/>
      <c r="M29" s="8410"/>
      <c r="N29" s="8410"/>
      <c r="O29" s="8410"/>
      <c r="P29" s="8410"/>
      <c r="Q29" s="8411"/>
      <c r="R29" s="366"/>
      <c r="S29" s="360"/>
      <c r="T29" s="360"/>
      <c r="U29" s="734"/>
      <c r="V29" s="8409"/>
      <c r="W29" s="8410"/>
      <c r="X29" s="8410"/>
      <c r="Y29" s="8410"/>
      <c r="Z29" s="8410"/>
      <c r="AA29" s="8410"/>
      <c r="AB29" s="8410"/>
      <c r="AC29" s="8410"/>
      <c r="AD29" s="8410"/>
      <c r="AE29" s="8410"/>
      <c r="AF29" s="8410"/>
      <c r="AG29" s="8410"/>
      <c r="AH29" s="8410"/>
      <c r="AI29" s="8410"/>
      <c r="AJ29" s="8411"/>
      <c r="AK29" s="366"/>
      <c r="AL29" s="360"/>
    </row>
    <row r="30" spans="1:38" ht="12" customHeight="1">
      <c r="A30" s="360"/>
      <c r="B30" s="734"/>
      <c r="C30" s="8409"/>
      <c r="D30" s="8410"/>
      <c r="E30" s="8410"/>
      <c r="F30" s="8410"/>
      <c r="G30" s="8410"/>
      <c r="H30" s="8410"/>
      <c r="I30" s="8410"/>
      <c r="J30" s="8410"/>
      <c r="K30" s="8410"/>
      <c r="L30" s="8410"/>
      <c r="M30" s="8410"/>
      <c r="N30" s="8410"/>
      <c r="O30" s="8410"/>
      <c r="P30" s="8410"/>
      <c r="Q30" s="8411"/>
      <c r="R30" s="366"/>
      <c r="S30" s="360"/>
      <c r="T30" s="360"/>
      <c r="U30" s="734"/>
      <c r="V30" s="8409"/>
      <c r="W30" s="8410"/>
      <c r="X30" s="8410"/>
      <c r="Y30" s="8410"/>
      <c r="Z30" s="8410"/>
      <c r="AA30" s="8410"/>
      <c r="AB30" s="8410"/>
      <c r="AC30" s="8410"/>
      <c r="AD30" s="8410"/>
      <c r="AE30" s="8410"/>
      <c r="AF30" s="8410"/>
      <c r="AG30" s="8410"/>
      <c r="AH30" s="8410"/>
      <c r="AI30" s="8410"/>
      <c r="AJ30" s="8411"/>
      <c r="AK30" s="366"/>
      <c r="AL30" s="360"/>
    </row>
    <row r="31" spans="1:38" ht="12" customHeight="1" thickBot="1">
      <c r="A31" s="360"/>
      <c r="B31" s="734"/>
      <c r="C31" s="8412"/>
      <c r="D31" s="8413"/>
      <c r="E31" s="8413"/>
      <c r="F31" s="8413"/>
      <c r="G31" s="8413"/>
      <c r="H31" s="8413"/>
      <c r="I31" s="8413"/>
      <c r="J31" s="8413"/>
      <c r="K31" s="8413"/>
      <c r="L31" s="8413"/>
      <c r="M31" s="8413"/>
      <c r="N31" s="8413"/>
      <c r="O31" s="8413"/>
      <c r="P31" s="8413"/>
      <c r="Q31" s="8414"/>
      <c r="R31" s="366"/>
      <c r="S31" s="360"/>
      <c r="T31" s="360"/>
      <c r="U31" s="734"/>
      <c r="V31" s="8412"/>
      <c r="W31" s="8413"/>
      <c r="X31" s="8413"/>
      <c r="Y31" s="8413"/>
      <c r="Z31" s="8413"/>
      <c r="AA31" s="8413"/>
      <c r="AB31" s="8413"/>
      <c r="AC31" s="8413"/>
      <c r="AD31" s="8413"/>
      <c r="AE31" s="8413"/>
      <c r="AF31" s="8413"/>
      <c r="AG31" s="8413"/>
      <c r="AH31" s="8413"/>
      <c r="AI31" s="8413"/>
      <c r="AJ31" s="8414"/>
      <c r="AK31" s="366"/>
      <c r="AL31" s="360"/>
    </row>
    <row r="32" spans="1:38" ht="12" customHeight="1" thickBot="1">
      <c r="A32" s="360"/>
      <c r="B32" s="734"/>
      <c r="C32" s="383"/>
      <c r="D32" s="383"/>
      <c r="E32" s="384"/>
      <c r="F32" s="384"/>
      <c r="G32" s="384"/>
      <c r="H32" s="383"/>
      <c r="I32" s="329"/>
      <c r="J32" s="329"/>
      <c r="K32" s="383"/>
      <c r="L32" s="383"/>
      <c r="M32" s="329"/>
      <c r="N32" s="329"/>
      <c r="O32" s="385"/>
      <c r="P32" s="385"/>
      <c r="Q32" s="329"/>
      <c r="R32" s="366"/>
      <c r="S32" s="360"/>
      <c r="T32" s="360"/>
      <c r="U32" s="734"/>
      <c r="V32" s="386"/>
      <c r="W32" s="386"/>
      <c r="X32" s="387"/>
      <c r="Y32" s="387"/>
      <c r="Z32" s="387"/>
      <c r="AA32" s="387"/>
      <c r="AB32" s="387"/>
      <c r="AC32" s="387"/>
      <c r="AD32" s="387"/>
      <c r="AE32" s="387"/>
      <c r="AF32" s="387"/>
      <c r="AG32" s="387"/>
      <c r="AH32" s="387"/>
      <c r="AI32" s="387"/>
      <c r="AJ32" s="387"/>
      <c r="AK32" s="366"/>
      <c r="AL32" s="360"/>
    </row>
    <row r="33" spans="1:38" ht="12" customHeight="1">
      <c r="A33" s="360"/>
      <c r="B33" s="734">
        <f>B22+2</f>
        <v>6</v>
      </c>
      <c r="C33" s="8417" t="str">
        <f>IF(ISNA(VLOOKUP($J$6&amp;B33,'Tablas Magia'!$B$6:$D$779,3,FALSE)),IF(ISNA(VLOOKUP($J$8&amp;B33,'Tablas Magia'!$B$6:$D$779,3,FALSE)),IF(ISNA(VLOOKUP($J$6&amp;B33,Místicos!$AD$12:$AJ$50,4,FALSE)),"Libre Acceso 1-"&amp;MID(C$10,SEARCH("-",C$10)+1,3),VLOOKUP($J$6&amp;B33,Místicos!$AD$12:$AJ$50,4,FALSE)),VLOOKUP($J$8&amp;B33,'Tablas Magia'!$B$6:$D$779,3,FALSE)),VLOOKUP($J$6&amp;B33,'Tablas Magia'!$B$6:$D$779,3,FALSE))</f>
        <v>Libre Acceso 1-10</v>
      </c>
      <c r="D33" s="8418"/>
      <c r="E33" s="8418"/>
      <c r="F33" s="8418"/>
      <c r="G33" s="8419"/>
      <c r="H33" s="370" t="s">
        <v>1186</v>
      </c>
      <c r="I33" s="371">
        <f>B33</f>
        <v>6</v>
      </c>
      <c r="J33" s="8420" t="s">
        <v>5816</v>
      </c>
      <c r="K33" s="8420"/>
      <c r="L33" s="8420"/>
      <c r="M33" s="8378" t="e">
        <f>IF(C33=0,"",VLOOKUP(C33,'Tablas Magia'!$D$6:$Z$779,2,FALSE))</f>
        <v>#N/A</v>
      </c>
      <c r="N33" s="8378"/>
      <c r="O33" s="1525"/>
      <c r="P33" s="8415" t="str">
        <f>IFERROR(IF(M33="Libre Acceso","Aprendido",IF(IFERROR(VLOOKUP(M33,Místicos!$C$15:$H$25,6,0)&gt;=I33,FALSE),"Aprendido",IF(IFERROR(VLOOKUP(M33,Místicos!$E$15:$H$25,4,0)&gt;=I33,FALSE),"Aprendido",""))),"")</f>
        <v/>
      </c>
      <c r="Q33" s="8416"/>
      <c r="R33" s="366"/>
      <c r="S33" s="360"/>
      <c r="T33" s="360"/>
      <c r="U33" s="734">
        <f>U22+2</f>
        <v>16</v>
      </c>
      <c r="V33" s="8417" t="str">
        <f>IF(ISNA(VLOOKUP($J$6&amp;U33,'Tablas Magia'!$B$6:$D$779,3,FALSE)),IF(ISNA(VLOOKUP($J$8&amp;U33,'Tablas Magia'!$B$6:$D$779,3,FALSE)),IF(ISNA(VLOOKUP($J$6&amp;U33,Místicos!$AD$12:$AJ$50,4,FALSE)),"Libre Acceso 1-"&amp;MID(V$10,SEARCH("-",V$10)+1,3),VLOOKUP($J$6&amp;U33,Místicos!$AD$12:$AJ$50,4,FALSE)),VLOOKUP($J$8&amp;U33,'Tablas Magia'!$B$6:$D$779,3,FALSE)),VLOOKUP($J$6&amp;U33,'Tablas Magia'!$B$6:$D$779,3,FALSE))</f>
        <v>Libre Acceso 1-20</v>
      </c>
      <c r="W33" s="8418"/>
      <c r="X33" s="8418"/>
      <c r="Y33" s="8418"/>
      <c r="Z33" s="8418"/>
      <c r="AA33" s="370" t="s">
        <v>1186</v>
      </c>
      <c r="AB33" s="371">
        <f>U33</f>
        <v>16</v>
      </c>
      <c r="AC33" s="8420" t="s">
        <v>5816</v>
      </c>
      <c r="AD33" s="8420"/>
      <c r="AE33" s="8420"/>
      <c r="AF33" s="8378" t="e">
        <f>IF(V33=0,"",VLOOKUP(V33,'Tablas Magia'!$D$6:$Z$779,2,FALSE))</f>
        <v>#N/A</v>
      </c>
      <c r="AG33" s="8378"/>
      <c r="AH33" s="1525"/>
      <c r="AI33" s="8415" t="str">
        <f>IFERROR(IF(AF33="Libre Acceso","Aprendido",IF(IFERROR(VLOOKUP(AF33,Místicos!$C$15:$H$25,6,0)&gt;=AB33,FALSE),"Aprendido",IF(IFERROR(VLOOKUP(AF33,Místicos!$E$15:$H$25,4,0)&gt;=AB33,FALSE),"Aprendido",""))),"")</f>
        <v/>
      </c>
      <c r="AJ33" s="8416"/>
      <c r="AK33" s="366"/>
      <c r="AL33" s="360"/>
    </row>
    <row r="34" spans="1:38" ht="12" customHeight="1">
      <c r="A34" s="360"/>
      <c r="B34" s="734"/>
      <c r="C34" s="8399" t="s">
        <v>5817</v>
      </c>
      <c r="D34" s="8426"/>
      <c r="E34" s="2162" t="s">
        <v>5818</v>
      </c>
      <c r="F34" s="2162" t="s">
        <v>1368</v>
      </c>
      <c r="G34" s="2162" t="s">
        <v>2666</v>
      </c>
      <c r="H34" s="2163" t="s">
        <v>1690</v>
      </c>
      <c r="I34" s="8424" t="e">
        <f>IF(C33=0,"",VLOOKUP(C33,'Tablas Magia'!$D$6:$Z$779,5,FALSE))</f>
        <v>#N/A</v>
      </c>
      <c r="J34" s="8424"/>
      <c r="K34" s="8427" t="s">
        <v>5819</v>
      </c>
      <c r="L34" s="8427"/>
      <c r="M34" s="8424" t="e">
        <f>IF(C33=0,"",VLOOKUP(C33,'Tablas Magia'!$D$6:$Z$779,6,FALSE))</f>
        <v>#N/A</v>
      </c>
      <c r="N34" s="8424"/>
      <c r="O34" s="8425" t="s">
        <v>5820</v>
      </c>
      <c r="P34" s="8425"/>
      <c r="Q34" s="2164" t="e">
        <f>IF(C33=0,"",VLOOKUP(C33,'Tablas Magia'!$D$6:$Z$779,4,FALSE))</f>
        <v>#N/A</v>
      </c>
      <c r="R34" s="366"/>
      <c r="S34" s="360"/>
      <c r="T34" s="360"/>
      <c r="U34" s="734"/>
      <c r="V34" s="8399" t="s">
        <v>5817</v>
      </c>
      <c r="W34" s="8428"/>
      <c r="X34" s="1534" t="s">
        <v>5818</v>
      </c>
      <c r="Y34" s="1534" t="s">
        <v>1368</v>
      </c>
      <c r="Z34" s="1534" t="s">
        <v>2666</v>
      </c>
      <c r="AA34" s="1535" t="s">
        <v>1690</v>
      </c>
      <c r="AB34" s="8429" t="e">
        <f>IF(V33=0,"",VLOOKUP(V33,'Tablas Magia'!$D$6:$Z$779,5,FALSE))</f>
        <v>#N/A</v>
      </c>
      <c r="AC34" s="8429"/>
      <c r="AD34" s="8430" t="s">
        <v>5819</v>
      </c>
      <c r="AE34" s="8430"/>
      <c r="AF34" s="8429" t="e">
        <f>IF(V33=0,"",VLOOKUP(V33,'Tablas Magia'!$D$6:$Z$779,6,FALSE))</f>
        <v>#N/A</v>
      </c>
      <c r="AG34" s="8429"/>
      <c r="AH34" s="8431" t="s">
        <v>5820</v>
      </c>
      <c r="AI34" s="8431"/>
      <c r="AJ34" s="1536" t="e">
        <f>IF(V33=0,"",VLOOKUP(V33,'Tablas Magia'!$D$6:$Z$779,4,FALSE))</f>
        <v>#N/A</v>
      </c>
      <c r="AK34" s="366"/>
      <c r="AL34" s="360"/>
    </row>
    <row r="35" spans="1:38" ht="12" customHeight="1">
      <c r="A35" s="360"/>
      <c r="B35" s="734"/>
      <c r="C35" s="8434" t="s">
        <v>1225</v>
      </c>
      <c r="D35" s="8435"/>
      <c r="E35" s="375" t="e">
        <f>IF(C33=0,"",VLOOKUP(C33,'Tablas Magia'!$D$6:$Z$779,7,FALSE))</f>
        <v>#N/A</v>
      </c>
      <c r="F35" s="375" t="e">
        <f>IF(C33=0,"",VLOOKUP(C33,'Tablas Magia'!$D$6:$Z$779,11,FALSE))</f>
        <v>#N/A</v>
      </c>
      <c r="G35" s="376" t="e">
        <f>IF(C33=0,"",VLOOKUP(C33,'Tablas Magia'!$D$6:$Z$779,15,FALSE))</f>
        <v>#N/A</v>
      </c>
      <c r="H35" s="8421" t="e">
        <f>IF(C33=0,"",VLOOKUP(C33,'Tablas Magia'!$D$6:$Z$779,19,FALSE))</f>
        <v>#N/A</v>
      </c>
      <c r="I35" s="8422"/>
      <c r="J35" s="8422"/>
      <c r="K35" s="8422"/>
      <c r="L35" s="8422"/>
      <c r="M35" s="8422"/>
      <c r="N35" s="8422"/>
      <c r="O35" s="8422"/>
      <c r="P35" s="8422"/>
      <c r="Q35" s="8423"/>
      <c r="R35" s="366"/>
      <c r="S35" s="360"/>
      <c r="T35" s="360"/>
      <c r="U35" s="734"/>
      <c r="V35" s="8391" t="s">
        <v>1225</v>
      </c>
      <c r="W35" s="8392"/>
      <c r="X35" s="375" t="e">
        <f>IF(V33=0,"",VLOOKUP(V33,'Tablas Magia'!$D$6:$Z$779,7,FALSE))</f>
        <v>#N/A</v>
      </c>
      <c r="Y35" s="375" t="e">
        <f>IF(V33=0,"",VLOOKUP(V33,'Tablas Magia'!$D$6:$Z$779,11,FALSE))</f>
        <v>#N/A</v>
      </c>
      <c r="Z35" s="376" t="e">
        <f>IF(V33=0,"",VLOOKUP(V33,'Tablas Magia'!$D$6:$Z$779,15,FALSE))</f>
        <v>#N/A</v>
      </c>
      <c r="AA35" s="8393" t="e">
        <f>IF(V33=0,"",VLOOKUP(V33,'Tablas Magia'!$D$6:$Z$779,19,FALSE))</f>
        <v>#N/A</v>
      </c>
      <c r="AB35" s="8394"/>
      <c r="AC35" s="8394"/>
      <c r="AD35" s="8394"/>
      <c r="AE35" s="8394"/>
      <c r="AF35" s="8394"/>
      <c r="AG35" s="8394"/>
      <c r="AH35" s="8394"/>
      <c r="AI35" s="8394"/>
      <c r="AJ35" s="8395"/>
      <c r="AK35" s="366"/>
      <c r="AL35" s="360"/>
    </row>
    <row r="36" spans="1:38" ht="12" customHeight="1">
      <c r="A36" s="360"/>
      <c r="B36" s="734"/>
      <c r="C36" s="8386" t="s">
        <v>3035</v>
      </c>
      <c r="D36" s="8387"/>
      <c r="E36" s="377" t="e">
        <f>IF(C33=0,"",VLOOKUP(C33,'Tablas Magia'!$D$6:$Z$779,8,FALSE))</f>
        <v>#N/A</v>
      </c>
      <c r="F36" s="377" t="e">
        <f>IF(C33=0,"",VLOOKUP(C33,'Tablas Magia'!$D$6:$Z$779,12,FALSE))</f>
        <v>#N/A</v>
      </c>
      <c r="G36" s="378" t="e">
        <f>IF(C33=0,"",VLOOKUP(C33,'Tablas Magia'!$D$6:$Z$779,16,FALSE))</f>
        <v>#N/A</v>
      </c>
      <c r="H36" s="8388" t="e">
        <f>IF(C33=0,"",VLOOKUP(C33,'Tablas Magia'!$D$6:$Z$779,20,FALSE))</f>
        <v>#N/A</v>
      </c>
      <c r="I36" s="8389"/>
      <c r="J36" s="8389"/>
      <c r="K36" s="8389"/>
      <c r="L36" s="8389"/>
      <c r="M36" s="8389"/>
      <c r="N36" s="8389"/>
      <c r="O36" s="8389"/>
      <c r="P36" s="8389"/>
      <c r="Q36" s="8390"/>
      <c r="R36" s="366"/>
      <c r="S36" s="360"/>
      <c r="T36" s="360"/>
      <c r="U36" s="734"/>
      <c r="V36" s="8386" t="s">
        <v>3035</v>
      </c>
      <c r="W36" s="8387"/>
      <c r="X36" s="377" t="e">
        <f>IF(V33=0,"",VLOOKUP(V33,'Tablas Magia'!$D$6:$Z$779,8,FALSE))</f>
        <v>#N/A</v>
      </c>
      <c r="Y36" s="377" t="e">
        <f>IF(V33=0,"",VLOOKUP(V33,'Tablas Magia'!$D$6:$Z$779,12,FALSE))</f>
        <v>#N/A</v>
      </c>
      <c r="Z36" s="378" t="e">
        <f>IF(V33=0,"",VLOOKUP(V33,'Tablas Magia'!$D$6:$Z$779,16,FALSE))</f>
        <v>#N/A</v>
      </c>
      <c r="AA36" s="8388" t="e">
        <f>IF(V33=0,"",VLOOKUP(V33,'Tablas Magia'!$D$6:$Z$779,20,FALSE))</f>
        <v>#N/A</v>
      </c>
      <c r="AB36" s="8389"/>
      <c r="AC36" s="8389"/>
      <c r="AD36" s="8389"/>
      <c r="AE36" s="8389"/>
      <c r="AF36" s="8389"/>
      <c r="AG36" s="8389"/>
      <c r="AH36" s="8389"/>
      <c r="AI36" s="8389"/>
      <c r="AJ36" s="8390"/>
      <c r="AK36" s="366"/>
      <c r="AL36" s="360"/>
    </row>
    <row r="37" spans="1:38" ht="12" customHeight="1">
      <c r="A37" s="360"/>
      <c r="B37" s="734"/>
      <c r="C37" s="8391" t="s">
        <v>3036</v>
      </c>
      <c r="D37" s="8392"/>
      <c r="E37" s="375" t="e">
        <f>IF(C33=0,"",VLOOKUP(C33,'Tablas Magia'!$D$6:$Z$779,9,FALSE))</f>
        <v>#N/A</v>
      </c>
      <c r="F37" s="375" t="e">
        <f>IF(C33=0,"",VLOOKUP(C33,'Tablas Magia'!$D$6:$Z$779,13,FALSE))</f>
        <v>#N/A</v>
      </c>
      <c r="G37" s="376" t="e">
        <f>IF(C33=0,"",VLOOKUP(C33,'Tablas Magia'!$D$6:$Z$779,17,FALSE))</f>
        <v>#N/A</v>
      </c>
      <c r="H37" s="8393" t="e">
        <f>IF(C33=0,"",VLOOKUP(C33,'Tablas Magia'!$D$6:$Z$779,21,FALSE))</f>
        <v>#N/A</v>
      </c>
      <c r="I37" s="8394"/>
      <c r="J37" s="8394"/>
      <c r="K37" s="8394"/>
      <c r="L37" s="8394"/>
      <c r="M37" s="8394"/>
      <c r="N37" s="8394"/>
      <c r="O37" s="8394"/>
      <c r="P37" s="8394"/>
      <c r="Q37" s="8395"/>
      <c r="R37" s="366"/>
      <c r="S37" s="360"/>
      <c r="T37" s="360"/>
      <c r="U37" s="734"/>
      <c r="V37" s="8391" t="s">
        <v>3036</v>
      </c>
      <c r="W37" s="8392"/>
      <c r="X37" s="375" t="e">
        <f>IF(V33=0,"",VLOOKUP(V33,'Tablas Magia'!$D$6:$Z$779,9,FALSE))</f>
        <v>#N/A</v>
      </c>
      <c r="Y37" s="375" t="e">
        <f>IF(V33=0,"",VLOOKUP(V33,'Tablas Magia'!$D$6:$Z$779,13,FALSE))</f>
        <v>#N/A</v>
      </c>
      <c r="Z37" s="376" t="e">
        <f>IF(V33=0,"",VLOOKUP(V33,'Tablas Magia'!$D$6:$Z$779,17,FALSE))</f>
        <v>#N/A</v>
      </c>
      <c r="AA37" s="8393" t="e">
        <f>IF(V33=0,"",VLOOKUP(V33,'Tablas Magia'!$D$6:$Z$779,21,FALSE))</f>
        <v>#N/A</v>
      </c>
      <c r="AB37" s="8394"/>
      <c r="AC37" s="8394"/>
      <c r="AD37" s="8394"/>
      <c r="AE37" s="8394"/>
      <c r="AF37" s="8394"/>
      <c r="AG37" s="8394"/>
      <c r="AH37" s="8394"/>
      <c r="AI37" s="8394"/>
      <c r="AJ37" s="8395"/>
      <c r="AK37" s="366"/>
      <c r="AL37" s="360"/>
    </row>
    <row r="38" spans="1:38" ht="12" customHeight="1" thickBot="1">
      <c r="A38" s="360"/>
      <c r="B38" s="734"/>
      <c r="C38" s="8401" t="s">
        <v>3037</v>
      </c>
      <c r="D38" s="8402"/>
      <c r="E38" s="379" t="e">
        <f>IF(C33=0,"",VLOOKUP(C33,'Tablas Magia'!$D$6:$Z$779,10,FALSE))</f>
        <v>#N/A</v>
      </c>
      <c r="F38" s="379" t="e">
        <f>IF(C33=0,"",VLOOKUP(C33,'Tablas Magia'!$D$6:$Z$779,14,FALSE))</f>
        <v>#N/A</v>
      </c>
      <c r="G38" s="380" t="e">
        <f>IF(C33=0,"",VLOOKUP(C33,'Tablas Magia'!$D$6:$Z$779,18,FALSE))</f>
        <v>#N/A</v>
      </c>
      <c r="H38" s="8403" t="e">
        <f>IF(C33=0,"",VLOOKUP(C33,'Tablas Magia'!$D$6:$Z$779,22,FALSE))</f>
        <v>#N/A</v>
      </c>
      <c r="I38" s="8404"/>
      <c r="J38" s="8404"/>
      <c r="K38" s="8404"/>
      <c r="L38" s="8404"/>
      <c r="M38" s="8404"/>
      <c r="N38" s="8404"/>
      <c r="O38" s="8404"/>
      <c r="P38" s="8404"/>
      <c r="Q38" s="8405"/>
      <c r="R38" s="366"/>
      <c r="S38" s="360"/>
      <c r="T38" s="360"/>
      <c r="U38" s="734"/>
      <c r="V38" s="8401" t="s">
        <v>3037</v>
      </c>
      <c r="W38" s="8402"/>
      <c r="X38" s="379" t="e">
        <f>IF(V33=0,"",VLOOKUP(V33,'Tablas Magia'!$D$6:$Z$779,10,FALSE))</f>
        <v>#N/A</v>
      </c>
      <c r="Y38" s="379" t="e">
        <f>IF(V33=0,"",VLOOKUP(V33,'Tablas Magia'!$D$6:$Z$779,14,FALSE))</f>
        <v>#N/A</v>
      </c>
      <c r="Z38" s="380" t="e">
        <f>IF(V33=0,"",VLOOKUP(V33,'Tablas Magia'!$D$6:$Z$779,18,FALSE))</f>
        <v>#N/A</v>
      </c>
      <c r="AA38" s="8403" t="e">
        <f>IF(V33=0,"",VLOOKUP(V33,'Tablas Magia'!$D$6:$Z$779,22,FALSE))</f>
        <v>#N/A</v>
      </c>
      <c r="AB38" s="8404"/>
      <c r="AC38" s="8404"/>
      <c r="AD38" s="8404"/>
      <c r="AE38" s="8404"/>
      <c r="AF38" s="8404"/>
      <c r="AG38" s="8404"/>
      <c r="AH38" s="8404"/>
      <c r="AI38" s="8404"/>
      <c r="AJ38" s="8405"/>
      <c r="AK38" s="366"/>
      <c r="AL38" s="360"/>
    </row>
    <row r="39" spans="1:38" ht="12" customHeight="1">
      <c r="A39" s="360"/>
      <c r="B39" s="734"/>
      <c r="C39" s="8406" t="e">
        <f>IF(C33=0,"",VLOOKUP(C33,'Tablas Magia'!$D$6:$Z$779,23,FALSE))</f>
        <v>#N/A</v>
      </c>
      <c r="D39" s="8407"/>
      <c r="E39" s="8407"/>
      <c r="F39" s="8407"/>
      <c r="G39" s="8407"/>
      <c r="H39" s="8407"/>
      <c r="I39" s="8407"/>
      <c r="J39" s="8407"/>
      <c r="K39" s="8407"/>
      <c r="L39" s="8407"/>
      <c r="M39" s="8407"/>
      <c r="N39" s="8407"/>
      <c r="O39" s="8407"/>
      <c r="P39" s="8407"/>
      <c r="Q39" s="8408"/>
      <c r="R39" s="366"/>
      <c r="S39" s="360"/>
      <c r="T39" s="360"/>
      <c r="U39" s="734"/>
      <c r="V39" s="8406" t="e">
        <f>IF(V33=0,"",VLOOKUP(V33,'Tablas Magia'!$D$6:$Z$779,23,FALSE))</f>
        <v>#N/A</v>
      </c>
      <c r="W39" s="8407"/>
      <c r="X39" s="8407"/>
      <c r="Y39" s="8407"/>
      <c r="Z39" s="8407"/>
      <c r="AA39" s="8407"/>
      <c r="AB39" s="8407"/>
      <c r="AC39" s="8407"/>
      <c r="AD39" s="8407"/>
      <c r="AE39" s="8407"/>
      <c r="AF39" s="8407"/>
      <c r="AG39" s="8407"/>
      <c r="AH39" s="8407"/>
      <c r="AI39" s="8407"/>
      <c r="AJ39" s="8408"/>
      <c r="AK39" s="366"/>
      <c r="AL39" s="360"/>
    </row>
    <row r="40" spans="1:38" ht="12" customHeight="1">
      <c r="A40" s="360"/>
      <c r="B40" s="734"/>
      <c r="C40" s="8409"/>
      <c r="D40" s="8410"/>
      <c r="E40" s="8410"/>
      <c r="F40" s="8410"/>
      <c r="G40" s="8410"/>
      <c r="H40" s="8410"/>
      <c r="I40" s="8410"/>
      <c r="J40" s="8410"/>
      <c r="K40" s="8410"/>
      <c r="L40" s="8410"/>
      <c r="M40" s="8410"/>
      <c r="N40" s="8410"/>
      <c r="O40" s="8410"/>
      <c r="P40" s="8410"/>
      <c r="Q40" s="8411"/>
      <c r="R40" s="366"/>
      <c r="S40" s="360"/>
      <c r="T40" s="360"/>
      <c r="U40" s="734"/>
      <c r="V40" s="8409"/>
      <c r="W40" s="8410"/>
      <c r="X40" s="8410"/>
      <c r="Y40" s="8410"/>
      <c r="Z40" s="8410"/>
      <c r="AA40" s="8410"/>
      <c r="AB40" s="8410"/>
      <c r="AC40" s="8410"/>
      <c r="AD40" s="8410"/>
      <c r="AE40" s="8410"/>
      <c r="AF40" s="8410"/>
      <c r="AG40" s="8410"/>
      <c r="AH40" s="8410"/>
      <c r="AI40" s="8410"/>
      <c r="AJ40" s="8411"/>
      <c r="AK40" s="366"/>
      <c r="AL40" s="360"/>
    </row>
    <row r="41" spans="1:38" ht="12" customHeight="1">
      <c r="A41" s="360"/>
      <c r="B41" s="734"/>
      <c r="C41" s="8409"/>
      <c r="D41" s="8410"/>
      <c r="E41" s="8410"/>
      <c r="F41" s="8410"/>
      <c r="G41" s="8410"/>
      <c r="H41" s="8410"/>
      <c r="I41" s="8410"/>
      <c r="J41" s="8410"/>
      <c r="K41" s="8410"/>
      <c r="L41" s="8410"/>
      <c r="M41" s="8410"/>
      <c r="N41" s="8410"/>
      <c r="O41" s="8410"/>
      <c r="P41" s="8410"/>
      <c r="Q41" s="8411"/>
      <c r="R41" s="366"/>
      <c r="S41" s="360"/>
      <c r="T41" s="360"/>
      <c r="U41" s="734"/>
      <c r="V41" s="8409"/>
      <c r="W41" s="8410"/>
      <c r="X41" s="8410"/>
      <c r="Y41" s="8410"/>
      <c r="Z41" s="8410"/>
      <c r="AA41" s="8410"/>
      <c r="AB41" s="8410"/>
      <c r="AC41" s="8410"/>
      <c r="AD41" s="8410"/>
      <c r="AE41" s="8410"/>
      <c r="AF41" s="8410"/>
      <c r="AG41" s="8410"/>
      <c r="AH41" s="8410"/>
      <c r="AI41" s="8410"/>
      <c r="AJ41" s="8411"/>
      <c r="AK41" s="366"/>
      <c r="AL41" s="360"/>
    </row>
    <row r="42" spans="1:38" ht="12" customHeight="1" thickBot="1">
      <c r="A42" s="360"/>
      <c r="B42" s="734"/>
      <c r="C42" s="8412"/>
      <c r="D42" s="8413"/>
      <c r="E42" s="8413"/>
      <c r="F42" s="8413"/>
      <c r="G42" s="8413"/>
      <c r="H42" s="8413"/>
      <c r="I42" s="8413"/>
      <c r="J42" s="8413"/>
      <c r="K42" s="8413"/>
      <c r="L42" s="8413"/>
      <c r="M42" s="8413"/>
      <c r="N42" s="8413"/>
      <c r="O42" s="8413"/>
      <c r="P42" s="8413"/>
      <c r="Q42" s="8414"/>
      <c r="R42" s="366"/>
      <c r="S42" s="360"/>
      <c r="T42" s="360"/>
      <c r="U42" s="734"/>
      <c r="V42" s="8412"/>
      <c r="W42" s="8413"/>
      <c r="X42" s="8413"/>
      <c r="Y42" s="8413"/>
      <c r="Z42" s="8413"/>
      <c r="AA42" s="8413"/>
      <c r="AB42" s="8413"/>
      <c r="AC42" s="8413"/>
      <c r="AD42" s="8413"/>
      <c r="AE42" s="8413"/>
      <c r="AF42" s="8413"/>
      <c r="AG42" s="8413"/>
      <c r="AH42" s="8413"/>
      <c r="AI42" s="8413"/>
      <c r="AJ42" s="8414"/>
      <c r="AK42" s="366"/>
      <c r="AL42" s="360"/>
    </row>
    <row r="43" spans="1:38" ht="12" customHeight="1" thickBot="1">
      <c r="A43" s="360"/>
      <c r="B43" s="734"/>
      <c r="C43" s="386"/>
      <c r="D43" s="386"/>
      <c r="E43" s="387"/>
      <c r="F43" s="387"/>
      <c r="G43" s="387"/>
      <c r="H43" s="387"/>
      <c r="I43" s="387"/>
      <c r="J43" s="387"/>
      <c r="K43" s="387"/>
      <c r="L43" s="387"/>
      <c r="M43" s="387"/>
      <c r="N43" s="387"/>
      <c r="O43" s="387"/>
      <c r="P43" s="387"/>
      <c r="Q43" s="387"/>
      <c r="R43" s="366"/>
      <c r="S43" s="360"/>
      <c r="T43" s="360"/>
      <c r="U43" s="734"/>
      <c r="V43" s="386"/>
      <c r="W43" s="386"/>
      <c r="X43" s="377"/>
      <c r="Y43" s="377"/>
      <c r="Z43" s="377"/>
      <c r="AA43" s="387"/>
      <c r="AB43" s="387"/>
      <c r="AC43" s="387"/>
      <c r="AD43" s="387"/>
      <c r="AE43" s="387"/>
      <c r="AF43" s="387"/>
      <c r="AG43" s="387"/>
      <c r="AH43" s="387"/>
      <c r="AI43" s="387"/>
      <c r="AJ43" s="387"/>
      <c r="AK43" s="366"/>
      <c r="AL43" s="360"/>
    </row>
    <row r="44" spans="1:38" ht="12" customHeight="1">
      <c r="A44" s="360"/>
      <c r="B44" s="734">
        <f>B33+2</f>
        <v>8</v>
      </c>
      <c r="C44" s="8417" t="str">
        <f>IF(ISNA(VLOOKUP($J$6&amp;B44,'Tablas Magia'!$B$6:$D$779,3,FALSE)),IF(ISNA(VLOOKUP($J$8&amp;B44,'Tablas Magia'!$B$6:$D$779,3,FALSE)),IF(ISNA(VLOOKUP($J$6&amp;B44,Místicos!$AD$12:$AJ$50,4,FALSE)),"Libre Acceso 1-"&amp;MID(C$10,SEARCH("-",C$10)+1,3),VLOOKUP($J$6&amp;B44,Místicos!$AD$12:$AJ$50,4,FALSE)),VLOOKUP($J$8&amp;B44,'Tablas Magia'!$B$6:$D$779,3,FALSE)),VLOOKUP($J$6&amp;B44,'Tablas Magia'!$B$6:$D$779,3,FALSE))</f>
        <v>Libre Acceso 1-10</v>
      </c>
      <c r="D44" s="8418"/>
      <c r="E44" s="8418"/>
      <c r="F44" s="8418"/>
      <c r="G44" s="8419"/>
      <c r="H44" s="370" t="s">
        <v>1186</v>
      </c>
      <c r="I44" s="371">
        <f>B44</f>
        <v>8</v>
      </c>
      <c r="J44" s="8420" t="s">
        <v>5816</v>
      </c>
      <c r="K44" s="8420"/>
      <c r="L44" s="8420"/>
      <c r="M44" s="8378" t="e">
        <f>IF(C44=0,"",VLOOKUP(C44,'Tablas Magia'!$D$6:$Z$779,2,FALSE))</f>
        <v>#N/A</v>
      </c>
      <c r="N44" s="8378"/>
      <c r="O44" s="1525"/>
      <c r="P44" s="8415" t="str">
        <f>IFERROR(IF(M44="Libre Acceso","Aprendido",IF(IFERROR(VLOOKUP(M44,Místicos!$C$15:$H$25,6,0)&gt;=I44,FALSE),"Aprendido",IF(IFERROR(VLOOKUP(M44,Místicos!$E$15:$H$25,4,0)&gt;=I44,FALSE),"Aprendido",""))),"")</f>
        <v/>
      </c>
      <c r="Q44" s="8416"/>
      <c r="R44" s="366"/>
      <c r="S44" s="360"/>
      <c r="T44" s="360"/>
      <c r="U44" s="734">
        <f>U33+2</f>
        <v>18</v>
      </c>
      <c r="V44" s="8417" t="str">
        <f>IF(ISNA(VLOOKUP($J$6&amp;U44,'Tablas Magia'!$B$6:$D$779,3,FALSE)),IF(ISNA(VLOOKUP($J$8&amp;U44,'Tablas Magia'!$B$6:$D$779,3,FALSE)),IF(ISNA(VLOOKUP($J$6&amp;U44,Místicos!$AD$12:$AJ$50,4,FALSE)),"Libre Acceso 1-"&amp;MID(V$10,SEARCH("-",V$10)+1,3),VLOOKUP($J$6&amp;U44,Místicos!$AD$12:$AJ$50,4,FALSE)),VLOOKUP($J$8&amp;U44,'Tablas Magia'!$B$6:$D$779,3,FALSE)),VLOOKUP($J$6&amp;U44,'Tablas Magia'!$B$6:$D$779,3,FALSE))</f>
        <v>Libre Acceso 1-20</v>
      </c>
      <c r="W44" s="8418"/>
      <c r="X44" s="8418"/>
      <c r="Y44" s="8418"/>
      <c r="Z44" s="8418"/>
      <c r="AA44" s="370" t="s">
        <v>1186</v>
      </c>
      <c r="AB44" s="371">
        <f>U44</f>
        <v>18</v>
      </c>
      <c r="AC44" s="8420" t="s">
        <v>5816</v>
      </c>
      <c r="AD44" s="8420"/>
      <c r="AE44" s="8420"/>
      <c r="AF44" s="8378" t="e">
        <f>IF(V44=0,"",VLOOKUP(V44,'Tablas Magia'!$D$6:$Z$779,2,FALSE))</f>
        <v>#N/A</v>
      </c>
      <c r="AG44" s="8378"/>
      <c r="AH44" s="1525"/>
      <c r="AI44" s="8415" t="str">
        <f>IFERROR(IF(AF44="Libre Acceso","Aprendido",IF(IFERROR(VLOOKUP(AF44,Místicos!$C$15:$H$25,6,0)&gt;=AB44,FALSE),"Aprendido",IF(IFERROR(VLOOKUP(AF44,Místicos!$E$15:$H$25,4,0)&gt;=AB44,FALSE),"Aprendido",""))),"")</f>
        <v/>
      </c>
      <c r="AJ44" s="8416"/>
      <c r="AK44" s="366"/>
      <c r="AL44" s="360"/>
    </row>
    <row r="45" spans="1:38" ht="12" customHeight="1">
      <c r="A45" s="360"/>
      <c r="B45" s="734"/>
      <c r="C45" s="8399" t="s">
        <v>5817</v>
      </c>
      <c r="D45" s="8426"/>
      <c r="E45" s="2162" t="s">
        <v>5818</v>
      </c>
      <c r="F45" s="2162" t="s">
        <v>1368</v>
      </c>
      <c r="G45" s="2162" t="s">
        <v>2666</v>
      </c>
      <c r="H45" s="2163" t="s">
        <v>1690</v>
      </c>
      <c r="I45" s="8424" t="e">
        <f>IF(C44=0,"",VLOOKUP(C44,'Tablas Magia'!$D$6:$Z$779,5,FALSE))</f>
        <v>#N/A</v>
      </c>
      <c r="J45" s="8424"/>
      <c r="K45" s="8427" t="s">
        <v>5819</v>
      </c>
      <c r="L45" s="8427"/>
      <c r="M45" s="8424" t="e">
        <f>IF(C44=0,"",VLOOKUP(C44,'Tablas Magia'!$D$6:$Z$779,6,FALSE))</f>
        <v>#N/A</v>
      </c>
      <c r="N45" s="8424"/>
      <c r="O45" s="8425" t="s">
        <v>5820</v>
      </c>
      <c r="P45" s="8425"/>
      <c r="Q45" s="2164" t="e">
        <f>IF(C44=0,"",VLOOKUP(C44,'Tablas Magia'!$D$6:$Z$779,4,FALSE))</f>
        <v>#N/A</v>
      </c>
      <c r="R45" s="366"/>
      <c r="S45" s="360"/>
      <c r="T45" s="360"/>
      <c r="U45" s="734"/>
      <c r="V45" s="8399" t="s">
        <v>5817</v>
      </c>
      <c r="W45" s="8428"/>
      <c r="X45" s="1534" t="s">
        <v>5818</v>
      </c>
      <c r="Y45" s="1534" t="s">
        <v>1368</v>
      </c>
      <c r="Z45" s="1534" t="s">
        <v>2666</v>
      </c>
      <c r="AA45" s="1535" t="s">
        <v>1690</v>
      </c>
      <c r="AB45" s="8429" t="e">
        <f>IF(V44=0,"",VLOOKUP(V44,'Tablas Magia'!$D$6:$Z$779,5,FALSE))</f>
        <v>#N/A</v>
      </c>
      <c r="AC45" s="8429"/>
      <c r="AD45" s="8430" t="s">
        <v>5819</v>
      </c>
      <c r="AE45" s="8430"/>
      <c r="AF45" s="8429" t="e">
        <f>IF(V44=0,"",VLOOKUP(V44,'Tablas Magia'!$D$6:$Z$779,6,FALSE))</f>
        <v>#N/A</v>
      </c>
      <c r="AG45" s="8429"/>
      <c r="AH45" s="8431" t="s">
        <v>5820</v>
      </c>
      <c r="AI45" s="8431"/>
      <c r="AJ45" s="1536" t="e">
        <f>IF(V44=0,"",VLOOKUP(V44,'Tablas Magia'!$D$6:$Z$779,4,FALSE))</f>
        <v>#N/A</v>
      </c>
      <c r="AK45" s="366"/>
      <c r="AL45" s="360"/>
    </row>
    <row r="46" spans="1:38" ht="12" customHeight="1">
      <c r="A46" s="360"/>
      <c r="B46" s="734"/>
      <c r="C46" s="8434" t="s">
        <v>1225</v>
      </c>
      <c r="D46" s="8435"/>
      <c r="E46" s="375" t="e">
        <f>IF(C44=0,"",VLOOKUP(C44,'Tablas Magia'!$D$6:$Z$779,7,FALSE))</f>
        <v>#N/A</v>
      </c>
      <c r="F46" s="375" t="e">
        <f>IF(C44=0,"",VLOOKUP(C44,'Tablas Magia'!$D$6:$Z$779,11,FALSE))</f>
        <v>#N/A</v>
      </c>
      <c r="G46" s="376" t="e">
        <f>IF(C44=0,"",VLOOKUP(C44,'Tablas Magia'!$D$6:$Z$779,15,FALSE))</f>
        <v>#N/A</v>
      </c>
      <c r="H46" s="8421" t="e">
        <f>IF(C44=0,"",VLOOKUP(C44,'Tablas Magia'!$D$6:$Z$779,19,FALSE))</f>
        <v>#N/A</v>
      </c>
      <c r="I46" s="8422"/>
      <c r="J46" s="8422"/>
      <c r="K46" s="8422"/>
      <c r="L46" s="8422"/>
      <c r="M46" s="8422"/>
      <c r="N46" s="8422"/>
      <c r="O46" s="8422"/>
      <c r="P46" s="8422"/>
      <c r="Q46" s="8423"/>
      <c r="R46" s="366"/>
      <c r="S46" s="360"/>
      <c r="T46" s="360"/>
      <c r="U46" s="734"/>
      <c r="V46" s="8391" t="s">
        <v>1225</v>
      </c>
      <c r="W46" s="8392"/>
      <c r="X46" s="375" t="e">
        <f>IF(V44=0,"",VLOOKUP(V44,'Tablas Magia'!$D$6:$Z$779,7,FALSE))</f>
        <v>#N/A</v>
      </c>
      <c r="Y46" s="375" t="e">
        <f>IF(V44=0,"",VLOOKUP(V44,'Tablas Magia'!$D$6:$Z$779,11,FALSE))</f>
        <v>#N/A</v>
      </c>
      <c r="Z46" s="376" t="e">
        <f>IF(V44=0,"",VLOOKUP(V44,'Tablas Magia'!$D$6:$Z$779,15,FALSE))</f>
        <v>#N/A</v>
      </c>
      <c r="AA46" s="8393" t="e">
        <f>IF(V44=0,"",VLOOKUP(V44,'Tablas Magia'!$D$6:$Z$779,19,FALSE))</f>
        <v>#N/A</v>
      </c>
      <c r="AB46" s="8394"/>
      <c r="AC46" s="8394"/>
      <c r="AD46" s="8394"/>
      <c r="AE46" s="8394"/>
      <c r="AF46" s="8394"/>
      <c r="AG46" s="8394"/>
      <c r="AH46" s="8394"/>
      <c r="AI46" s="8394"/>
      <c r="AJ46" s="8395"/>
      <c r="AK46" s="366"/>
      <c r="AL46" s="360"/>
    </row>
    <row r="47" spans="1:38" ht="12" customHeight="1">
      <c r="A47" s="360"/>
      <c r="B47" s="734"/>
      <c r="C47" s="8386" t="s">
        <v>3035</v>
      </c>
      <c r="D47" s="8387"/>
      <c r="E47" s="377" t="e">
        <f>IF(C44=0,"",VLOOKUP(C44,'Tablas Magia'!$D$6:$Z$779,8,FALSE))</f>
        <v>#N/A</v>
      </c>
      <c r="F47" s="377" t="e">
        <f>IF(C44=0,"",VLOOKUP(C44,'Tablas Magia'!$D$6:$Z$779,12,FALSE))</f>
        <v>#N/A</v>
      </c>
      <c r="G47" s="378" t="e">
        <f>IF(C44=0,"",VLOOKUP(C44,'Tablas Magia'!$D$6:$Z$779,16,FALSE))</f>
        <v>#N/A</v>
      </c>
      <c r="H47" s="8388" t="e">
        <f>IF(C44=0,"",VLOOKUP(C44,'Tablas Magia'!$D$6:$Z$779,20,FALSE))</f>
        <v>#N/A</v>
      </c>
      <c r="I47" s="8389"/>
      <c r="J47" s="8389"/>
      <c r="K47" s="8389"/>
      <c r="L47" s="8389"/>
      <c r="M47" s="8389"/>
      <c r="N47" s="8389"/>
      <c r="O47" s="8389"/>
      <c r="P47" s="8389"/>
      <c r="Q47" s="8390"/>
      <c r="R47" s="366"/>
      <c r="S47" s="360"/>
      <c r="T47" s="360"/>
      <c r="U47" s="734"/>
      <c r="V47" s="8386" t="s">
        <v>3035</v>
      </c>
      <c r="W47" s="8387"/>
      <c r="X47" s="377" t="e">
        <f>IF(V44=0,"",VLOOKUP(V44,'Tablas Magia'!$D$6:$Z$779,8,FALSE))</f>
        <v>#N/A</v>
      </c>
      <c r="Y47" s="377" t="e">
        <f>IF(V44=0,"",VLOOKUP(V44,'Tablas Magia'!$D$6:$Z$779,12,FALSE))</f>
        <v>#N/A</v>
      </c>
      <c r="Z47" s="378" t="e">
        <f>IF(V44=0,"",VLOOKUP(V44,'Tablas Magia'!$D$6:$Z$779,16,FALSE))</f>
        <v>#N/A</v>
      </c>
      <c r="AA47" s="8388" t="e">
        <f>IF(V44=0,"",VLOOKUP(V44,'Tablas Magia'!$D$6:$Z$779,20,FALSE))</f>
        <v>#N/A</v>
      </c>
      <c r="AB47" s="8389"/>
      <c r="AC47" s="8389"/>
      <c r="AD47" s="8389"/>
      <c r="AE47" s="8389"/>
      <c r="AF47" s="8389"/>
      <c r="AG47" s="8389"/>
      <c r="AH47" s="8389"/>
      <c r="AI47" s="8389"/>
      <c r="AJ47" s="8390"/>
      <c r="AK47" s="366"/>
      <c r="AL47" s="360"/>
    </row>
    <row r="48" spans="1:38" ht="12" customHeight="1">
      <c r="A48" s="360"/>
      <c r="B48" s="734"/>
      <c r="C48" s="8391" t="s">
        <v>3036</v>
      </c>
      <c r="D48" s="8392"/>
      <c r="E48" s="375" t="e">
        <f>IF(C44=0,"",VLOOKUP(C44,'Tablas Magia'!$D$6:$Z$779,9,FALSE))</f>
        <v>#N/A</v>
      </c>
      <c r="F48" s="375" t="e">
        <f>IF(C44=0,"",VLOOKUP(C44,'Tablas Magia'!$D$6:$Z$779,13,FALSE))</f>
        <v>#N/A</v>
      </c>
      <c r="G48" s="376" t="e">
        <f>IF(C44=0,"",VLOOKUP(C44,'Tablas Magia'!$D$6:$Z$779,17,FALSE))</f>
        <v>#N/A</v>
      </c>
      <c r="H48" s="8393" t="e">
        <f>IF(C44=0,"",VLOOKUP(C44,'Tablas Magia'!$D$6:$Z$779,21,FALSE))</f>
        <v>#N/A</v>
      </c>
      <c r="I48" s="8394"/>
      <c r="J48" s="8394"/>
      <c r="K48" s="8394"/>
      <c r="L48" s="8394"/>
      <c r="M48" s="8394"/>
      <c r="N48" s="8394"/>
      <c r="O48" s="8394"/>
      <c r="P48" s="8394"/>
      <c r="Q48" s="8395"/>
      <c r="R48" s="366"/>
      <c r="S48" s="360"/>
      <c r="T48" s="360"/>
      <c r="U48" s="734"/>
      <c r="V48" s="8391" t="s">
        <v>3036</v>
      </c>
      <c r="W48" s="8392"/>
      <c r="X48" s="375" t="e">
        <f>IF(V44=0,"",VLOOKUP(V44,'Tablas Magia'!$D$6:$Z$779,9,FALSE))</f>
        <v>#N/A</v>
      </c>
      <c r="Y48" s="375" t="e">
        <f>IF(V44=0,"",VLOOKUP(V44,'Tablas Magia'!$D$6:$Z$779,13,FALSE))</f>
        <v>#N/A</v>
      </c>
      <c r="Z48" s="376" t="e">
        <f>IF(V44=0,"",VLOOKUP(V44,'Tablas Magia'!$D$6:$Z$779,17,FALSE))</f>
        <v>#N/A</v>
      </c>
      <c r="AA48" s="8393" t="e">
        <f>IF(V44=0,"",VLOOKUP(V44,'Tablas Magia'!$D$6:$Z$779,21,FALSE))</f>
        <v>#N/A</v>
      </c>
      <c r="AB48" s="8394"/>
      <c r="AC48" s="8394"/>
      <c r="AD48" s="8394"/>
      <c r="AE48" s="8394"/>
      <c r="AF48" s="8394"/>
      <c r="AG48" s="8394"/>
      <c r="AH48" s="8394"/>
      <c r="AI48" s="8394"/>
      <c r="AJ48" s="8395"/>
      <c r="AK48" s="366"/>
      <c r="AL48" s="360"/>
    </row>
    <row r="49" spans="1:38" ht="12" customHeight="1" thickBot="1">
      <c r="A49" s="360"/>
      <c r="B49" s="734"/>
      <c r="C49" s="8401" t="s">
        <v>3037</v>
      </c>
      <c r="D49" s="8402"/>
      <c r="E49" s="379" t="e">
        <f>IF(C44=0,"",VLOOKUP(C44,'Tablas Magia'!$D$6:$Z$779,10,FALSE))</f>
        <v>#N/A</v>
      </c>
      <c r="F49" s="379" t="e">
        <f>IF(C44=0,"",VLOOKUP(C44,'Tablas Magia'!$D$6:$Z$779,14,FALSE))</f>
        <v>#N/A</v>
      </c>
      <c r="G49" s="380" t="e">
        <f>IF(C44=0,"",VLOOKUP(C44,'Tablas Magia'!$D$6:$Z$779,18,FALSE))</f>
        <v>#N/A</v>
      </c>
      <c r="H49" s="8403" t="e">
        <f>IF(C44=0,"",VLOOKUP(C44,'Tablas Magia'!$D$6:$Z$779,22,FALSE))</f>
        <v>#N/A</v>
      </c>
      <c r="I49" s="8404"/>
      <c r="J49" s="8404"/>
      <c r="K49" s="8404"/>
      <c r="L49" s="8404"/>
      <c r="M49" s="8404"/>
      <c r="N49" s="8404"/>
      <c r="O49" s="8404"/>
      <c r="P49" s="8404"/>
      <c r="Q49" s="8405"/>
      <c r="R49" s="366"/>
      <c r="S49" s="360"/>
      <c r="T49" s="360"/>
      <c r="U49" s="734"/>
      <c r="V49" s="8401" t="s">
        <v>3037</v>
      </c>
      <c r="W49" s="8402"/>
      <c r="X49" s="379" t="e">
        <f>IF(V44=0,"",VLOOKUP(V44,'Tablas Magia'!$D$6:$Z$779,10,FALSE))</f>
        <v>#N/A</v>
      </c>
      <c r="Y49" s="379" t="e">
        <f>IF(V44=0,"",VLOOKUP(V44,'Tablas Magia'!$D$6:$Z$779,14,FALSE))</f>
        <v>#N/A</v>
      </c>
      <c r="Z49" s="380" t="e">
        <f>IF(V44=0,"",VLOOKUP(V44,'Tablas Magia'!$D$6:$Z$779,18,FALSE))</f>
        <v>#N/A</v>
      </c>
      <c r="AA49" s="8403" t="e">
        <f>IF(V44=0,"",VLOOKUP(V44,'Tablas Magia'!$D$6:$Z$779,22,FALSE))</f>
        <v>#N/A</v>
      </c>
      <c r="AB49" s="8404"/>
      <c r="AC49" s="8404"/>
      <c r="AD49" s="8404"/>
      <c r="AE49" s="8404"/>
      <c r="AF49" s="8404"/>
      <c r="AG49" s="8404"/>
      <c r="AH49" s="8404"/>
      <c r="AI49" s="8404"/>
      <c r="AJ49" s="8405"/>
      <c r="AK49" s="366"/>
      <c r="AL49" s="360"/>
    </row>
    <row r="50" spans="1:38" ht="12" customHeight="1">
      <c r="A50" s="360"/>
      <c r="B50" s="734"/>
      <c r="C50" s="8406" t="e">
        <f>IF(C44=0,"",VLOOKUP(C44,'Tablas Magia'!$D$6:$Z$779,23,FALSE))</f>
        <v>#N/A</v>
      </c>
      <c r="D50" s="8407"/>
      <c r="E50" s="8407"/>
      <c r="F50" s="8407"/>
      <c r="G50" s="8407"/>
      <c r="H50" s="8407"/>
      <c r="I50" s="8407"/>
      <c r="J50" s="8407"/>
      <c r="K50" s="8407"/>
      <c r="L50" s="8407"/>
      <c r="M50" s="8407"/>
      <c r="N50" s="8407"/>
      <c r="O50" s="8407"/>
      <c r="P50" s="8407"/>
      <c r="Q50" s="8408"/>
      <c r="R50" s="366"/>
      <c r="S50" s="360"/>
      <c r="T50" s="360"/>
      <c r="U50" s="734"/>
      <c r="V50" s="8406" t="e">
        <f>IF(V44=0,"",VLOOKUP(V44,'Tablas Magia'!$D$6:$Z$779,23,FALSE))</f>
        <v>#N/A</v>
      </c>
      <c r="W50" s="8407"/>
      <c r="X50" s="8407"/>
      <c r="Y50" s="8407"/>
      <c r="Z50" s="8407"/>
      <c r="AA50" s="8407"/>
      <c r="AB50" s="8407"/>
      <c r="AC50" s="8407"/>
      <c r="AD50" s="8407"/>
      <c r="AE50" s="8407"/>
      <c r="AF50" s="8407"/>
      <c r="AG50" s="8407"/>
      <c r="AH50" s="8407"/>
      <c r="AI50" s="8407"/>
      <c r="AJ50" s="8408"/>
      <c r="AK50" s="366"/>
      <c r="AL50" s="360"/>
    </row>
    <row r="51" spans="1:38" ht="12" customHeight="1">
      <c r="A51" s="360"/>
      <c r="B51" s="734"/>
      <c r="C51" s="8409"/>
      <c r="D51" s="8410"/>
      <c r="E51" s="8410"/>
      <c r="F51" s="8410"/>
      <c r="G51" s="8410"/>
      <c r="H51" s="8410"/>
      <c r="I51" s="8410"/>
      <c r="J51" s="8410"/>
      <c r="K51" s="8410"/>
      <c r="L51" s="8410"/>
      <c r="M51" s="8410"/>
      <c r="N51" s="8410"/>
      <c r="O51" s="8410"/>
      <c r="P51" s="8410"/>
      <c r="Q51" s="8411"/>
      <c r="R51" s="366"/>
      <c r="S51" s="360"/>
      <c r="T51" s="360"/>
      <c r="U51" s="734"/>
      <c r="V51" s="8409"/>
      <c r="W51" s="8410"/>
      <c r="X51" s="8410"/>
      <c r="Y51" s="8410"/>
      <c r="Z51" s="8410"/>
      <c r="AA51" s="8410"/>
      <c r="AB51" s="8410"/>
      <c r="AC51" s="8410"/>
      <c r="AD51" s="8410"/>
      <c r="AE51" s="8410"/>
      <c r="AF51" s="8410"/>
      <c r="AG51" s="8410"/>
      <c r="AH51" s="8410"/>
      <c r="AI51" s="8410"/>
      <c r="AJ51" s="8411"/>
      <c r="AK51" s="366"/>
      <c r="AL51" s="360"/>
    </row>
    <row r="52" spans="1:38" ht="12" customHeight="1">
      <c r="A52" s="360"/>
      <c r="B52" s="734"/>
      <c r="C52" s="8409"/>
      <c r="D52" s="8410"/>
      <c r="E52" s="8410"/>
      <c r="F52" s="8410"/>
      <c r="G52" s="8410"/>
      <c r="H52" s="8410"/>
      <c r="I52" s="8410"/>
      <c r="J52" s="8410"/>
      <c r="K52" s="8410"/>
      <c r="L52" s="8410"/>
      <c r="M52" s="8410"/>
      <c r="N52" s="8410"/>
      <c r="O52" s="8410"/>
      <c r="P52" s="8410"/>
      <c r="Q52" s="8411"/>
      <c r="R52" s="366"/>
      <c r="S52" s="360"/>
      <c r="T52" s="360"/>
      <c r="U52" s="734"/>
      <c r="V52" s="8409"/>
      <c r="W52" s="8410"/>
      <c r="X52" s="8410"/>
      <c r="Y52" s="8410"/>
      <c r="Z52" s="8410"/>
      <c r="AA52" s="8410"/>
      <c r="AB52" s="8410"/>
      <c r="AC52" s="8410"/>
      <c r="AD52" s="8410"/>
      <c r="AE52" s="8410"/>
      <c r="AF52" s="8410"/>
      <c r="AG52" s="8410"/>
      <c r="AH52" s="8410"/>
      <c r="AI52" s="8410"/>
      <c r="AJ52" s="8411"/>
      <c r="AK52" s="366"/>
      <c r="AL52" s="360"/>
    </row>
    <row r="53" spans="1:38" ht="12" customHeight="1" thickBot="1">
      <c r="A53" s="360"/>
      <c r="B53" s="734"/>
      <c r="C53" s="8412"/>
      <c r="D53" s="8413"/>
      <c r="E53" s="8413"/>
      <c r="F53" s="8413"/>
      <c r="G53" s="8413"/>
      <c r="H53" s="8413"/>
      <c r="I53" s="8413"/>
      <c r="J53" s="8413"/>
      <c r="K53" s="8413"/>
      <c r="L53" s="8413"/>
      <c r="M53" s="8413"/>
      <c r="N53" s="8413"/>
      <c r="O53" s="8413"/>
      <c r="P53" s="8413"/>
      <c r="Q53" s="8414"/>
      <c r="R53" s="366"/>
      <c r="S53" s="360"/>
      <c r="T53" s="360"/>
      <c r="U53" s="734"/>
      <c r="V53" s="8412"/>
      <c r="W53" s="8413"/>
      <c r="X53" s="8413"/>
      <c r="Y53" s="8413"/>
      <c r="Z53" s="8413"/>
      <c r="AA53" s="8413"/>
      <c r="AB53" s="8413"/>
      <c r="AC53" s="8413"/>
      <c r="AD53" s="8413"/>
      <c r="AE53" s="8413"/>
      <c r="AF53" s="8413"/>
      <c r="AG53" s="8413"/>
      <c r="AH53" s="8413"/>
      <c r="AI53" s="8413"/>
      <c r="AJ53" s="8414"/>
      <c r="AK53" s="366"/>
      <c r="AL53" s="360"/>
    </row>
    <row r="54" spans="1:38" ht="12" customHeight="1" thickBot="1">
      <c r="A54" s="360"/>
      <c r="B54" s="734"/>
      <c r="C54" s="386"/>
      <c r="D54" s="386"/>
      <c r="E54" s="377"/>
      <c r="F54" s="377"/>
      <c r="G54" s="377"/>
      <c r="H54" s="387"/>
      <c r="I54" s="387"/>
      <c r="J54" s="387"/>
      <c r="K54" s="387"/>
      <c r="L54" s="387"/>
      <c r="M54" s="387"/>
      <c r="N54" s="387"/>
      <c r="O54" s="387"/>
      <c r="P54" s="387"/>
      <c r="Q54" s="387"/>
      <c r="R54" s="366"/>
      <c r="S54" s="360"/>
      <c r="T54" s="360"/>
      <c r="U54" s="734"/>
      <c r="V54" s="386"/>
      <c r="W54" s="386"/>
      <c r="X54" s="377"/>
      <c r="Y54" s="377"/>
      <c r="Z54" s="377"/>
      <c r="AA54" s="387"/>
      <c r="AB54" s="387"/>
      <c r="AC54" s="387"/>
      <c r="AD54" s="387"/>
      <c r="AE54" s="387"/>
      <c r="AF54" s="387"/>
      <c r="AG54" s="387"/>
      <c r="AH54" s="387"/>
      <c r="AI54" s="387"/>
      <c r="AJ54" s="387"/>
      <c r="AK54" s="366"/>
      <c r="AL54" s="360"/>
    </row>
    <row r="55" spans="1:38" ht="12" customHeight="1">
      <c r="A55" s="360"/>
      <c r="B55" s="734">
        <f>B44+2</f>
        <v>10</v>
      </c>
      <c r="C55" s="8417" t="str">
        <f>IF(ISNA(VLOOKUP($J$6&amp;B55,'Tablas Magia'!$B$6:$D$779,3,FALSE)),IF(ISNA(VLOOKUP($J$8&amp;B55,'Tablas Magia'!$B$6:$D$779,3,FALSE)),IF(ISNA(VLOOKUP($J$6&amp;B55,Místicos!$AD$12:$AJ$50,4,FALSE)),"Libre Acceso 1-"&amp;MID(C$10,SEARCH("-",C$10)+1,3),VLOOKUP($J$6&amp;B55,Místicos!$AD$12:$AJ$50,4,FALSE)),VLOOKUP($J$8&amp;B55,'Tablas Magia'!$B$6:$D$779,3,FALSE)),VLOOKUP($J$6&amp;B55,'Tablas Magia'!$B$6:$D$779,3,FALSE))</f>
        <v>Libre Acceso 1-10</v>
      </c>
      <c r="D55" s="8418"/>
      <c r="E55" s="8418"/>
      <c r="F55" s="8418"/>
      <c r="G55" s="8419"/>
      <c r="H55" s="370" t="s">
        <v>1186</v>
      </c>
      <c r="I55" s="371">
        <f>B55</f>
        <v>10</v>
      </c>
      <c r="J55" s="8420" t="s">
        <v>5816</v>
      </c>
      <c r="K55" s="8420"/>
      <c r="L55" s="8420"/>
      <c r="M55" s="8378" t="e">
        <f>IF(C55=0,"",VLOOKUP(C55,'Tablas Magia'!$D$6:$Z$779,2,FALSE))</f>
        <v>#N/A</v>
      </c>
      <c r="N55" s="8378"/>
      <c r="O55" s="1525"/>
      <c r="P55" s="8415" t="str">
        <f>IFERROR(IF(M55="Libre Acceso","Aprendido",IF(IFERROR(VLOOKUP(M55,Místicos!$C$15:$H$25,6,0)&gt;=I55,FALSE),"Aprendido",IF(IFERROR(VLOOKUP(M55,Místicos!$E$15:$H$25,4,0)&gt;=I55,FALSE),"Aprendido",""))),"")</f>
        <v/>
      </c>
      <c r="Q55" s="8416"/>
      <c r="R55" s="366"/>
      <c r="S55" s="360"/>
      <c r="T55" s="360"/>
      <c r="U55" s="734">
        <f>U44+2</f>
        <v>20</v>
      </c>
      <c r="V55" s="8417" t="str">
        <f>IF(ISNA(VLOOKUP($J$6&amp;U55,'Tablas Magia'!$B$6:$D$779,3,FALSE)),IF(ISNA(VLOOKUP($J$8&amp;U55,'Tablas Magia'!$B$6:$D$779,3,FALSE)),IF(ISNA(VLOOKUP($J$6&amp;U55,Místicos!$AD$12:$AJ$50,4,FALSE)),"Libre Acceso 1-"&amp;MID(V$10,SEARCH("-",V$10)+1,3),VLOOKUP($J$6&amp;U55,Místicos!$AD$12:$AJ$50,4,FALSE)),VLOOKUP($J$8&amp;U55,'Tablas Magia'!$B$6:$D$779,3,FALSE)),VLOOKUP($J$6&amp;U55,'Tablas Magia'!$B$6:$D$779,3,FALSE))</f>
        <v>Libre Acceso 1-20</v>
      </c>
      <c r="W55" s="8418"/>
      <c r="X55" s="8418"/>
      <c r="Y55" s="8418"/>
      <c r="Z55" s="8418"/>
      <c r="AA55" s="370" t="s">
        <v>1186</v>
      </c>
      <c r="AB55" s="371">
        <f>U55</f>
        <v>20</v>
      </c>
      <c r="AC55" s="8420" t="s">
        <v>5816</v>
      </c>
      <c r="AD55" s="8420"/>
      <c r="AE55" s="8420"/>
      <c r="AF55" s="8378" t="e">
        <f>IF(V55=0,"",VLOOKUP(V55,'Tablas Magia'!$D$6:$Z$779,2,FALSE))</f>
        <v>#N/A</v>
      </c>
      <c r="AG55" s="8378"/>
      <c r="AH55" s="1525"/>
      <c r="AI55" s="8415" t="str">
        <f>IFERROR(IF(AF55="Libre Acceso","Aprendido",IF(IFERROR(VLOOKUP(AF55,Místicos!$C$15:$H$25,6,0)&gt;=AB55,FALSE),"Aprendido",IF(IFERROR(VLOOKUP(AF55,Místicos!$E$15:$H$25,4,0)&gt;=AB55,FALSE),"Aprendido",""))),"")</f>
        <v/>
      </c>
      <c r="AJ55" s="8416"/>
      <c r="AK55" s="366"/>
      <c r="AL55" s="360"/>
    </row>
    <row r="56" spans="1:38" ht="12" customHeight="1">
      <c r="A56" s="360"/>
      <c r="B56" s="734"/>
      <c r="C56" s="8399" t="s">
        <v>5817</v>
      </c>
      <c r="D56" s="8426"/>
      <c r="E56" s="2162" t="s">
        <v>5818</v>
      </c>
      <c r="F56" s="2162" t="s">
        <v>1368</v>
      </c>
      <c r="G56" s="2162" t="s">
        <v>2666</v>
      </c>
      <c r="H56" s="2163" t="s">
        <v>1690</v>
      </c>
      <c r="I56" s="8424" t="e">
        <f>IF(C55=0,"",VLOOKUP(C55,'Tablas Magia'!$D$6:$Z$779,5,FALSE))</f>
        <v>#N/A</v>
      </c>
      <c r="J56" s="8424"/>
      <c r="K56" s="8427" t="s">
        <v>5819</v>
      </c>
      <c r="L56" s="8427"/>
      <c r="M56" s="8424" t="e">
        <f>IF(C55=0,"",VLOOKUP(C55,'Tablas Magia'!$D$6:$Z$779,6,FALSE))</f>
        <v>#N/A</v>
      </c>
      <c r="N56" s="8424"/>
      <c r="O56" s="8425" t="s">
        <v>5820</v>
      </c>
      <c r="P56" s="8425"/>
      <c r="Q56" s="2164" t="e">
        <f>IF(C55=0,"",VLOOKUP(C55,'Tablas Magia'!$D$6:$Z$779,4,FALSE))</f>
        <v>#N/A</v>
      </c>
      <c r="R56" s="366"/>
      <c r="S56" s="360"/>
      <c r="T56" s="360"/>
      <c r="U56" s="734"/>
      <c r="V56" s="8399" t="s">
        <v>5817</v>
      </c>
      <c r="W56" s="8428"/>
      <c r="X56" s="1534" t="s">
        <v>5818</v>
      </c>
      <c r="Y56" s="1534" t="s">
        <v>1368</v>
      </c>
      <c r="Z56" s="1534" t="s">
        <v>2666</v>
      </c>
      <c r="AA56" s="1535" t="s">
        <v>1690</v>
      </c>
      <c r="AB56" s="8429" t="e">
        <f>IF(V55=0,"",VLOOKUP(V55,'Tablas Magia'!$D$6:$Z$779,5,FALSE))</f>
        <v>#N/A</v>
      </c>
      <c r="AC56" s="8429"/>
      <c r="AD56" s="8430" t="s">
        <v>5819</v>
      </c>
      <c r="AE56" s="8430"/>
      <c r="AF56" s="8429" t="e">
        <f>IF(V55=0,"",VLOOKUP(V55,'Tablas Magia'!$D$6:$Z$779,6,FALSE))</f>
        <v>#N/A</v>
      </c>
      <c r="AG56" s="8429"/>
      <c r="AH56" s="8431" t="s">
        <v>5820</v>
      </c>
      <c r="AI56" s="8431"/>
      <c r="AJ56" s="1536" t="e">
        <f>IF(V55=0,"",VLOOKUP(V55,'Tablas Magia'!$D$6:$Z$779,4,FALSE))</f>
        <v>#N/A</v>
      </c>
      <c r="AK56" s="366"/>
      <c r="AL56" s="360"/>
    </row>
    <row r="57" spans="1:38" ht="12" customHeight="1">
      <c r="A57" s="360"/>
      <c r="B57" s="734"/>
      <c r="C57" s="8434" t="s">
        <v>1225</v>
      </c>
      <c r="D57" s="8435"/>
      <c r="E57" s="375" t="e">
        <f>IF(C55=0,"",VLOOKUP(C55,'Tablas Magia'!$D$6:$Z$779,7,FALSE))</f>
        <v>#N/A</v>
      </c>
      <c r="F57" s="375" t="e">
        <f>IF(C55=0,"",VLOOKUP(C55,'Tablas Magia'!$D$6:$Z$779,11,FALSE))</f>
        <v>#N/A</v>
      </c>
      <c r="G57" s="376" t="e">
        <f>IF(C55=0,"",VLOOKUP(C55,'Tablas Magia'!$D$6:$Z$779,15,FALSE))</f>
        <v>#N/A</v>
      </c>
      <c r="H57" s="8421" t="e">
        <f>IF(C55=0,"",VLOOKUP(C55,'Tablas Magia'!$D$6:$Z$779,19,FALSE))</f>
        <v>#N/A</v>
      </c>
      <c r="I57" s="8422"/>
      <c r="J57" s="8422"/>
      <c r="K57" s="8422"/>
      <c r="L57" s="8422"/>
      <c r="M57" s="8422"/>
      <c r="N57" s="8422"/>
      <c r="O57" s="8422"/>
      <c r="P57" s="8422"/>
      <c r="Q57" s="8423"/>
      <c r="R57" s="366"/>
      <c r="S57" s="360"/>
      <c r="T57" s="360"/>
      <c r="U57" s="734"/>
      <c r="V57" s="8391" t="s">
        <v>1225</v>
      </c>
      <c r="W57" s="8392"/>
      <c r="X57" s="375" t="e">
        <f>IF(V55=0,"",VLOOKUP(V55,'Tablas Magia'!$D$6:$Z$779,7,FALSE))</f>
        <v>#N/A</v>
      </c>
      <c r="Y57" s="375" t="e">
        <f>IF(V55=0,"",VLOOKUP(V55,'Tablas Magia'!$D$6:$Z$779,11,FALSE))</f>
        <v>#N/A</v>
      </c>
      <c r="Z57" s="376" t="e">
        <f>IF(V55=0,"",VLOOKUP(V55,'Tablas Magia'!$D$6:$Z$779,15,FALSE))</f>
        <v>#N/A</v>
      </c>
      <c r="AA57" s="8393" t="e">
        <f>IF(V55=0,"",VLOOKUP(V55,'Tablas Magia'!$D$6:$Z$779,19,FALSE))</f>
        <v>#N/A</v>
      </c>
      <c r="AB57" s="8394"/>
      <c r="AC57" s="8394"/>
      <c r="AD57" s="8394"/>
      <c r="AE57" s="8394"/>
      <c r="AF57" s="8394"/>
      <c r="AG57" s="8394"/>
      <c r="AH57" s="8394"/>
      <c r="AI57" s="8394"/>
      <c r="AJ57" s="8395"/>
      <c r="AK57" s="366"/>
      <c r="AL57" s="360"/>
    </row>
    <row r="58" spans="1:38" ht="12" customHeight="1">
      <c r="A58" s="360"/>
      <c r="B58" s="734"/>
      <c r="C58" s="8386" t="s">
        <v>3035</v>
      </c>
      <c r="D58" s="8387"/>
      <c r="E58" s="377" t="e">
        <f>IF(C55=0,"",VLOOKUP(C55,'Tablas Magia'!$D$6:$Z$779,8,FALSE))</f>
        <v>#N/A</v>
      </c>
      <c r="F58" s="377" t="e">
        <f>IF(C55=0,"",VLOOKUP(C55,'Tablas Magia'!$D$6:$Z$779,12,FALSE))</f>
        <v>#N/A</v>
      </c>
      <c r="G58" s="378" t="e">
        <f>IF(C55=0,"",VLOOKUP(C55,'Tablas Magia'!$D$6:$Z$779,16,FALSE))</f>
        <v>#N/A</v>
      </c>
      <c r="H58" s="8388" t="e">
        <f>IF(C55=0,"",VLOOKUP(C55,'Tablas Magia'!$D$6:$Z$779,20,FALSE))</f>
        <v>#N/A</v>
      </c>
      <c r="I58" s="8389"/>
      <c r="J58" s="8389"/>
      <c r="K58" s="8389"/>
      <c r="L58" s="8389"/>
      <c r="M58" s="8389"/>
      <c r="N58" s="8389"/>
      <c r="O58" s="8389"/>
      <c r="P58" s="8389"/>
      <c r="Q58" s="8390"/>
      <c r="R58" s="366"/>
      <c r="S58" s="360"/>
      <c r="T58" s="360"/>
      <c r="U58" s="734"/>
      <c r="V58" s="8386" t="s">
        <v>3035</v>
      </c>
      <c r="W58" s="8387"/>
      <c r="X58" s="377" t="e">
        <f>IF(V55=0,"",VLOOKUP(V55,'Tablas Magia'!$D$6:$Z$779,8,FALSE))</f>
        <v>#N/A</v>
      </c>
      <c r="Y58" s="377" t="e">
        <f>IF(V55=0,"",VLOOKUP(V55,'Tablas Magia'!$D$6:$Z$779,12,FALSE))</f>
        <v>#N/A</v>
      </c>
      <c r="Z58" s="378" t="e">
        <f>IF(V55=0,"",VLOOKUP(V55,'Tablas Magia'!$D$6:$Z$779,16,FALSE))</f>
        <v>#N/A</v>
      </c>
      <c r="AA58" s="8388" t="e">
        <f>IF(V55=0,"",VLOOKUP(V55,'Tablas Magia'!$D$6:$Z$779,20,FALSE))</f>
        <v>#N/A</v>
      </c>
      <c r="AB58" s="8389"/>
      <c r="AC58" s="8389"/>
      <c r="AD58" s="8389"/>
      <c r="AE58" s="8389"/>
      <c r="AF58" s="8389"/>
      <c r="AG58" s="8389"/>
      <c r="AH58" s="8389"/>
      <c r="AI58" s="8389"/>
      <c r="AJ58" s="8390"/>
      <c r="AK58" s="366"/>
      <c r="AL58" s="360"/>
    </row>
    <row r="59" spans="1:38" ht="12" customHeight="1">
      <c r="A59" s="360"/>
      <c r="B59" s="734"/>
      <c r="C59" s="8391" t="s">
        <v>3036</v>
      </c>
      <c r="D59" s="8392"/>
      <c r="E59" s="375" t="e">
        <f>IF(C55=0,"",VLOOKUP(C55,'Tablas Magia'!$D$6:$Z$779,9,FALSE))</f>
        <v>#N/A</v>
      </c>
      <c r="F59" s="375" t="e">
        <f>IF(C55=0,"",VLOOKUP(C55,'Tablas Magia'!$D$6:$Z$779,13,FALSE))</f>
        <v>#N/A</v>
      </c>
      <c r="G59" s="376" t="e">
        <f>IF(C55=0,"",VLOOKUP(C55,'Tablas Magia'!$D$6:$Z$779,17,FALSE))</f>
        <v>#N/A</v>
      </c>
      <c r="H59" s="8393" t="e">
        <f>IF(C55=0,"",VLOOKUP(C55,'Tablas Magia'!$D$6:$Z$779,21,FALSE))</f>
        <v>#N/A</v>
      </c>
      <c r="I59" s="8394"/>
      <c r="J59" s="8394"/>
      <c r="K59" s="8394"/>
      <c r="L59" s="8394"/>
      <c r="M59" s="8394"/>
      <c r="N59" s="8394"/>
      <c r="O59" s="8394"/>
      <c r="P59" s="8394"/>
      <c r="Q59" s="8395"/>
      <c r="R59" s="366"/>
      <c r="S59" s="360"/>
      <c r="T59" s="360"/>
      <c r="U59" s="734"/>
      <c r="V59" s="8391" t="s">
        <v>3036</v>
      </c>
      <c r="W59" s="8392"/>
      <c r="X59" s="375" t="e">
        <f>IF(V55=0,"",VLOOKUP(V55,'Tablas Magia'!$D$6:$Z$779,9,FALSE))</f>
        <v>#N/A</v>
      </c>
      <c r="Y59" s="375" t="e">
        <f>IF(V55=0,"",VLOOKUP(V55,'Tablas Magia'!$D$6:$Z$779,13,FALSE))</f>
        <v>#N/A</v>
      </c>
      <c r="Z59" s="376" t="e">
        <f>IF(V55=0,"",VLOOKUP(V55,'Tablas Magia'!$D$6:$Z$779,17,FALSE))</f>
        <v>#N/A</v>
      </c>
      <c r="AA59" s="8393" t="e">
        <f>IF(V55=0,"",VLOOKUP(V55,'Tablas Magia'!$D$6:$Z$779,21,FALSE))</f>
        <v>#N/A</v>
      </c>
      <c r="AB59" s="8394"/>
      <c r="AC59" s="8394"/>
      <c r="AD59" s="8394"/>
      <c r="AE59" s="8394"/>
      <c r="AF59" s="8394"/>
      <c r="AG59" s="8394"/>
      <c r="AH59" s="8394"/>
      <c r="AI59" s="8394"/>
      <c r="AJ59" s="8395"/>
      <c r="AK59" s="366"/>
      <c r="AL59" s="360"/>
    </row>
    <row r="60" spans="1:38" ht="12" customHeight="1" thickBot="1">
      <c r="A60" s="360"/>
      <c r="B60" s="734"/>
      <c r="C60" s="8401" t="s">
        <v>3037</v>
      </c>
      <c r="D60" s="8402"/>
      <c r="E60" s="379" t="e">
        <f>IF(C55=0,"",VLOOKUP(C55,'Tablas Magia'!$D$6:$Z$779,10,FALSE))</f>
        <v>#N/A</v>
      </c>
      <c r="F60" s="379" t="e">
        <f>IF(C55=0,"",VLOOKUP(C55,'Tablas Magia'!$D$6:$Z$779,14,FALSE))</f>
        <v>#N/A</v>
      </c>
      <c r="G60" s="380" t="e">
        <f>IF(C55=0,"",VLOOKUP(C55,'Tablas Magia'!$D$6:$Z$779,18,FALSE))</f>
        <v>#N/A</v>
      </c>
      <c r="H60" s="8403" t="e">
        <f>IF(C55=0,"",VLOOKUP(C55,'Tablas Magia'!$D$6:$Z$779,22,FALSE))</f>
        <v>#N/A</v>
      </c>
      <c r="I60" s="8404"/>
      <c r="J60" s="8404"/>
      <c r="K60" s="8404"/>
      <c r="L60" s="8404"/>
      <c r="M60" s="8404"/>
      <c r="N60" s="8404"/>
      <c r="O60" s="8404"/>
      <c r="P60" s="8404"/>
      <c r="Q60" s="8405"/>
      <c r="R60" s="366"/>
      <c r="S60" s="360"/>
      <c r="T60" s="360"/>
      <c r="U60" s="734"/>
      <c r="V60" s="8401" t="s">
        <v>3037</v>
      </c>
      <c r="W60" s="8402"/>
      <c r="X60" s="379" t="e">
        <f>IF(V55=0,"",VLOOKUP(V55,'Tablas Magia'!$D$6:$Z$779,10,FALSE))</f>
        <v>#N/A</v>
      </c>
      <c r="Y60" s="379" t="e">
        <f>IF(V55=0,"",VLOOKUP(V55,'Tablas Magia'!$D$6:$Z$779,14,FALSE))</f>
        <v>#N/A</v>
      </c>
      <c r="Z60" s="380" t="e">
        <f>IF(V55=0,"",VLOOKUP(V55,'Tablas Magia'!$D$6:$Z$779,18,FALSE))</f>
        <v>#N/A</v>
      </c>
      <c r="AA60" s="8403" t="e">
        <f>IF(V55=0,"",VLOOKUP(V55,'Tablas Magia'!$D$6:$Z$779,22,FALSE))</f>
        <v>#N/A</v>
      </c>
      <c r="AB60" s="8404"/>
      <c r="AC60" s="8404"/>
      <c r="AD60" s="8404"/>
      <c r="AE60" s="8404"/>
      <c r="AF60" s="8404"/>
      <c r="AG60" s="8404"/>
      <c r="AH60" s="8404"/>
      <c r="AI60" s="8404"/>
      <c r="AJ60" s="8405"/>
      <c r="AK60" s="366"/>
      <c r="AL60" s="360"/>
    </row>
    <row r="61" spans="1:38" ht="12" customHeight="1">
      <c r="A61" s="360"/>
      <c r="B61" s="734"/>
      <c r="C61" s="8406" t="e">
        <f>IF(C55=0,"",VLOOKUP(C55,'Tablas Magia'!$D$6:$Z$779,23,FALSE))</f>
        <v>#N/A</v>
      </c>
      <c r="D61" s="8407"/>
      <c r="E61" s="8407"/>
      <c r="F61" s="8407"/>
      <c r="G61" s="8407"/>
      <c r="H61" s="8407"/>
      <c r="I61" s="8407"/>
      <c r="J61" s="8407"/>
      <c r="K61" s="8407"/>
      <c r="L61" s="8407"/>
      <c r="M61" s="8407"/>
      <c r="N61" s="8407"/>
      <c r="O61" s="8407"/>
      <c r="P61" s="8407"/>
      <c r="Q61" s="8408"/>
      <c r="R61" s="366"/>
      <c r="S61" s="360"/>
      <c r="T61" s="360"/>
      <c r="U61" s="734"/>
      <c r="V61" s="8406" t="e">
        <f>IF(V55=0,"",VLOOKUP(V55,'Tablas Magia'!$D$6:$Z$779,23,FALSE))</f>
        <v>#N/A</v>
      </c>
      <c r="W61" s="8407"/>
      <c r="X61" s="8407"/>
      <c r="Y61" s="8407"/>
      <c r="Z61" s="8407"/>
      <c r="AA61" s="8407"/>
      <c r="AB61" s="8407"/>
      <c r="AC61" s="8407"/>
      <c r="AD61" s="8407"/>
      <c r="AE61" s="8407"/>
      <c r="AF61" s="8407"/>
      <c r="AG61" s="8407"/>
      <c r="AH61" s="8407"/>
      <c r="AI61" s="8407"/>
      <c r="AJ61" s="8408"/>
      <c r="AK61" s="366"/>
      <c r="AL61" s="360"/>
    </row>
    <row r="62" spans="1:38" ht="12" customHeight="1">
      <c r="A62" s="360"/>
      <c r="B62" s="734"/>
      <c r="C62" s="8409"/>
      <c r="D62" s="8410"/>
      <c r="E62" s="8410"/>
      <c r="F62" s="8410"/>
      <c r="G62" s="8410"/>
      <c r="H62" s="8410"/>
      <c r="I62" s="8410"/>
      <c r="J62" s="8410"/>
      <c r="K62" s="8410"/>
      <c r="L62" s="8410"/>
      <c r="M62" s="8410"/>
      <c r="N62" s="8410"/>
      <c r="O62" s="8410"/>
      <c r="P62" s="8410"/>
      <c r="Q62" s="8411"/>
      <c r="R62" s="366"/>
      <c r="S62" s="360"/>
      <c r="T62" s="360"/>
      <c r="U62" s="734"/>
      <c r="V62" s="8409"/>
      <c r="W62" s="8410"/>
      <c r="X62" s="8410"/>
      <c r="Y62" s="8410"/>
      <c r="Z62" s="8410"/>
      <c r="AA62" s="8410"/>
      <c r="AB62" s="8410"/>
      <c r="AC62" s="8410"/>
      <c r="AD62" s="8410"/>
      <c r="AE62" s="8410"/>
      <c r="AF62" s="8410"/>
      <c r="AG62" s="8410"/>
      <c r="AH62" s="8410"/>
      <c r="AI62" s="8410"/>
      <c r="AJ62" s="8411"/>
      <c r="AK62" s="366"/>
      <c r="AL62" s="360"/>
    </row>
    <row r="63" spans="1:38" ht="12" customHeight="1">
      <c r="A63" s="360"/>
      <c r="B63" s="734"/>
      <c r="C63" s="8409"/>
      <c r="D63" s="8410"/>
      <c r="E63" s="8410"/>
      <c r="F63" s="8410"/>
      <c r="G63" s="8410"/>
      <c r="H63" s="8410"/>
      <c r="I63" s="8410"/>
      <c r="J63" s="8410"/>
      <c r="K63" s="8410"/>
      <c r="L63" s="8410"/>
      <c r="M63" s="8410"/>
      <c r="N63" s="8410"/>
      <c r="O63" s="8410"/>
      <c r="P63" s="8410"/>
      <c r="Q63" s="8411"/>
      <c r="R63" s="366"/>
      <c r="S63" s="360"/>
      <c r="T63" s="360"/>
      <c r="U63" s="734"/>
      <c r="V63" s="8409"/>
      <c r="W63" s="8410"/>
      <c r="X63" s="8410"/>
      <c r="Y63" s="8410"/>
      <c r="Z63" s="8410"/>
      <c r="AA63" s="8410"/>
      <c r="AB63" s="8410"/>
      <c r="AC63" s="8410"/>
      <c r="AD63" s="8410"/>
      <c r="AE63" s="8410"/>
      <c r="AF63" s="8410"/>
      <c r="AG63" s="8410"/>
      <c r="AH63" s="8410"/>
      <c r="AI63" s="8410"/>
      <c r="AJ63" s="8411"/>
      <c r="AK63" s="366"/>
      <c r="AL63" s="360"/>
    </row>
    <row r="64" spans="1:38" ht="12" customHeight="1" thickBot="1">
      <c r="A64" s="360"/>
      <c r="B64" s="734"/>
      <c r="C64" s="8412"/>
      <c r="D64" s="8413"/>
      <c r="E64" s="8413"/>
      <c r="F64" s="8413"/>
      <c r="G64" s="8413"/>
      <c r="H64" s="8413"/>
      <c r="I64" s="8413"/>
      <c r="J64" s="8413"/>
      <c r="K64" s="8413"/>
      <c r="L64" s="8413"/>
      <c r="M64" s="8413"/>
      <c r="N64" s="8413"/>
      <c r="O64" s="8413"/>
      <c r="P64" s="8413"/>
      <c r="Q64" s="8414"/>
      <c r="R64" s="366"/>
      <c r="S64" s="360"/>
      <c r="T64" s="1297"/>
      <c r="U64" s="734"/>
      <c r="V64" s="8412"/>
      <c r="W64" s="8413"/>
      <c r="X64" s="8413"/>
      <c r="Y64" s="8413"/>
      <c r="Z64" s="8413"/>
      <c r="AA64" s="8413"/>
      <c r="AB64" s="8413"/>
      <c r="AC64" s="8413"/>
      <c r="AD64" s="8413"/>
      <c r="AE64" s="8413"/>
      <c r="AF64" s="8413"/>
      <c r="AG64" s="8413"/>
      <c r="AH64" s="8413"/>
      <c r="AI64" s="8413"/>
      <c r="AJ64" s="8414"/>
      <c r="AK64" s="366"/>
      <c r="AL64" s="360"/>
    </row>
    <row r="65" spans="1:38" ht="12" customHeight="1">
      <c r="A65" s="360"/>
      <c r="B65" s="734"/>
      <c r="C65" s="2165"/>
      <c r="D65" s="2165"/>
      <c r="E65" s="2165"/>
      <c r="F65" s="2165"/>
      <c r="G65" s="2165"/>
      <c r="H65" s="2165"/>
      <c r="I65" s="2165"/>
      <c r="J65" s="2165"/>
      <c r="K65" s="2165"/>
      <c r="L65" s="2165"/>
      <c r="M65" s="2165"/>
      <c r="N65" s="2165"/>
      <c r="O65" s="2165"/>
      <c r="P65" s="2165"/>
      <c r="Q65" s="2165"/>
      <c r="R65" s="366"/>
      <c r="S65" s="360"/>
      <c r="T65" s="1297"/>
      <c r="U65" s="734"/>
      <c r="V65" s="2165"/>
      <c r="W65" s="2165"/>
      <c r="X65" s="2165"/>
      <c r="Y65" s="2165"/>
      <c r="Z65" s="2165"/>
      <c r="AA65" s="2165"/>
      <c r="AB65" s="2165"/>
      <c r="AC65" s="2165"/>
      <c r="AD65" s="2165"/>
      <c r="AE65" s="2165"/>
      <c r="AF65" s="2165"/>
      <c r="AG65" s="2165"/>
      <c r="AH65" s="2165"/>
      <c r="AI65" s="2165"/>
      <c r="AJ65" s="2165"/>
      <c r="AK65" s="366"/>
      <c r="AL65" s="360"/>
    </row>
    <row r="66" spans="1:38" ht="12" customHeight="1" thickBot="1">
      <c r="A66" s="360"/>
      <c r="B66" s="735"/>
      <c r="C66" s="388"/>
      <c r="D66" s="388"/>
      <c r="E66" s="388"/>
      <c r="F66" s="388"/>
      <c r="G66" s="388"/>
      <c r="H66" s="388"/>
      <c r="I66" s="388"/>
      <c r="J66" s="388"/>
      <c r="K66" s="388"/>
      <c r="L66" s="388"/>
      <c r="M66" s="388"/>
      <c r="N66" s="388"/>
      <c r="O66" s="388"/>
      <c r="P66" s="388"/>
      <c r="Q66" s="388"/>
      <c r="R66" s="389"/>
      <c r="S66" s="360"/>
      <c r="T66" s="1297"/>
      <c r="U66" s="735"/>
      <c r="V66" s="388"/>
      <c r="W66" s="388"/>
      <c r="X66" s="388"/>
      <c r="Y66" s="388"/>
      <c r="Z66" s="388"/>
      <c r="AA66" s="388"/>
      <c r="AB66" s="388"/>
      <c r="AC66" s="388"/>
      <c r="AD66" s="388"/>
      <c r="AE66" s="388"/>
      <c r="AF66" s="388"/>
      <c r="AG66" s="388"/>
      <c r="AH66" s="388"/>
      <c r="AI66" s="388"/>
      <c r="AJ66" s="388"/>
      <c r="AK66" s="389"/>
      <c r="AL66" s="360"/>
    </row>
    <row r="67" spans="1:38" ht="12" customHeight="1">
      <c r="A67" s="1522"/>
      <c r="B67" s="1298"/>
      <c r="C67" s="1297"/>
      <c r="D67" s="1297"/>
      <c r="E67" s="1297"/>
      <c r="F67" s="1297"/>
      <c r="G67" s="1297"/>
      <c r="H67" s="1297"/>
      <c r="I67" s="1297"/>
      <c r="J67" s="1297"/>
      <c r="K67" s="1297"/>
      <c r="L67" s="1297"/>
      <c r="M67" s="1297"/>
      <c r="N67" s="1297"/>
      <c r="O67" s="1297"/>
      <c r="P67" s="1297"/>
      <c r="Q67" s="1297"/>
      <c r="R67" s="1297"/>
      <c r="S67" s="1297"/>
      <c r="T67" s="1297"/>
      <c r="U67" s="1298"/>
      <c r="V67" s="1297"/>
      <c r="W67" s="1297"/>
      <c r="X67" s="1297"/>
      <c r="Y67" s="1297"/>
      <c r="Z67" s="1297"/>
      <c r="AA67" s="1297"/>
      <c r="AB67" s="1297"/>
      <c r="AC67" s="1297"/>
      <c r="AD67" s="1297"/>
      <c r="AE67" s="1297"/>
      <c r="AF67" s="1297"/>
      <c r="AG67" s="1297"/>
      <c r="AH67" s="1297"/>
      <c r="AI67" s="1297"/>
      <c r="AJ67" s="1297"/>
      <c r="AK67" s="1297"/>
      <c r="AL67" s="1297"/>
    </row>
    <row r="68" spans="1:38" ht="12" customHeight="1" thickBot="1">
      <c r="A68" s="360"/>
      <c r="B68" s="360"/>
      <c r="C68" s="360"/>
      <c r="D68" s="360"/>
      <c r="E68" s="360"/>
      <c r="F68" s="360"/>
      <c r="G68" s="360"/>
      <c r="H68" s="360"/>
      <c r="I68" s="360"/>
      <c r="J68" s="360"/>
      <c r="K68" s="360"/>
      <c r="L68" s="360"/>
      <c r="M68" s="360"/>
      <c r="N68" s="360"/>
      <c r="O68" s="360"/>
      <c r="P68" s="360"/>
      <c r="Q68" s="360"/>
      <c r="R68" s="360"/>
      <c r="S68" s="360"/>
      <c r="T68" s="1297"/>
      <c r="U68" s="732"/>
      <c r="V68" s="360"/>
      <c r="W68" s="360"/>
      <c r="X68" s="360"/>
      <c r="Y68" s="360"/>
      <c r="Z68" s="360"/>
      <c r="AA68" s="360"/>
      <c r="AB68" s="360"/>
      <c r="AC68" s="360"/>
      <c r="AD68" s="360"/>
      <c r="AE68" s="360"/>
      <c r="AF68" s="360"/>
      <c r="AG68" s="360"/>
      <c r="AH68" s="360"/>
      <c r="AI68" s="360"/>
      <c r="AJ68" s="360"/>
      <c r="AK68" s="360"/>
      <c r="AL68" s="360"/>
    </row>
    <row r="69" spans="1:38" ht="17.25" customHeight="1" thickBot="1">
      <c r="A69" s="1297"/>
      <c r="B69" s="981"/>
      <c r="C69" s="362"/>
      <c r="D69" s="362"/>
      <c r="E69" s="362"/>
      <c r="F69" s="362"/>
      <c r="G69" s="362"/>
      <c r="H69" s="362"/>
      <c r="I69" s="362"/>
      <c r="J69" s="362"/>
      <c r="K69" s="362"/>
      <c r="L69" s="362"/>
      <c r="M69" s="362"/>
      <c r="N69" s="362"/>
      <c r="O69" s="362"/>
      <c r="P69" s="362"/>
      <c r="Q69" s="362"/>
      <c r="R69" s="363"/>
      <c r="S69" s="1297"/>
      <c r="T69" s="1297"/>
      <c r="U69" s="981"/>
      <c r="V69" s="362"/>
      <c r="W69" s="362"/>
      <c r="X69" s="362"/>
      <c r="Y69" s="362"/>
      <c r="Z69" s="362"/>
      <c r="AA69" s="362"/>
      <c r="AB69" s="362"/>
      <c r="AC69" s="362"/>
      <c r="AD69" s="362"/>
      <c r="AE69" s="362"/>
      <c r="AF69" s="362"/>
      <c r="AG69" s="362"/>
      <c r="AH69" s="362"/>
      <c r="AI69" s="362"/>
      <c r="AJ69" s="362"/>
      <c r="AK69" s="363"/>
      <c r="AL69" s="1297"/>
    </row>
    <row r="70" spans="1:38" ht="12" customHeight="1">
      <c r="A70" s="1297"/>
      <c r="B70" s="982"/>
      <c r="C70" s="8380"/>
      <c r="D70" s="8381"/>
      <c r="E70" s="8381"/>
      <c r="F70" s="8381"/>
      <c r="G70" s="8381"/>
      <c r="H70" s="8381"/>
      <c r="I70" s="364"/>
      <c r="J70" s="364"/>
      <c r="K70" s="364"/>
      <c r="L70" s="364"/>
      <c r="M70" s="364"/>
      <c r="N70" s="364"/>
      <c r="O70" s="364"/>
      <c r="P70" s="364"/>
      <c r="Q70" s="365"/>
      <c r="R70" s="366"/>
      <c r="S70" s="1297"/>
      <c r="T70" s="1297"/>
      <c r="U70" s="982"/>
      <c r="V70" s="8380"/>
      <c r="W70" s="8381"/>
      <c r="X70" s="8381"/>
      <c r="Y70" s="8381"/>
      <c r="Z70" s="8381"/>
      <c r="AA70" s="8381"/>
      <c r="AB70" s="364"/>
      <c r="AC70" s="364"/>
      <c r="AD70" s="364"/>
      <c r="AE70" s="364"/>
      <c r="AF70" s="364"/>
      <c r="AG70" s="364"/>
      <c r="AH70" s="364"/>
      <c r="AI70" s="364"/>
      <c r="AJ70" s="365"/>
      <c r="AK70" s="366"/>
      <c r="AL70" s="1297"/>
    </row>
    <row r="71" spans="1:38" s="739" customFormat="1" ht="12" customHeight="1">
      <c r="A71" s="1538"/>
      <c r="B71" s="1537"/>
      <c r="C71" s="8382"/>
      <c r="D71" s="8383"/>
      <c r="E71" s="8383"/>
      <c r="F71" s="8383"/>
      <c r="G71" s="8383"/>
      <c r="H71" s="8383"/>
      <c r="I71" s="311"/>
      <c r="J71" s="8436" t="s">
        <v>9578</v>
      </c>
      <c r="K71" s="8437"/>
      <c r="L71" s="8437"/>
      <c r="M71" s="8437"/>
      <c r="N71" s="8437"/>
      <c r="O71" s="8437"/>
      <c r="P71" s="8437"/>
      <c r="Q71" s="331"/>
      <c r="R71" s="738"/>
      <c r="S71" s="1538"/>
      <c r="T71" s="1538"/>
      <c r="U71" s="1537"/>
      <c r="V71" s="8382"/>
      <c r="W71" s="8383"/>
      <c r="X71" s="8383"/>
      <c r="Y71" s="8383"/>
      <c r="Z71" s="8383"/>
      <c r="AA71" s="8383"/>
      <c r="AB71" s="311"/>
      <c r="AC71" s="8436" t="s">
        <v>9578</v>
      </c>
      <c r="AD71" s="8437"/>
      <c r="AE71" s="8437"/>
      <c r="AF71" s="8437"/>
      <c r="AG71" s="8437"/>
      <c r="AH71" s="8437"/>
      <c r="AI71" s="8437"/>
      <c r="AJ71" s="331"/>
      <c r="AK71" s="738"/>
      <c r="AL71" s="1538"/>
    </row>
    <row r="72" spans="1:38" ht="12" customHeight="1">
      <c r="A72" s="1297"/>
      <c r="B72" s="982"/>
      <c r="C72" s="8382"/>
      <c r="D72" s="8383"/>
      <c r="E72" s="8383"/>
      <c r="F72" s="8383"/>
      <c r="G72" s="8383"/>
      <c r="H72" s="8383"/>
      <c r="I72" s="311"/>
      <c r="J72" s="8437"/>
      <c r="K72" s="8437"/>
      <c r="L72" s="8437"/>
      <c r="M72" s="8437"/>
      <c r="N72" s="8437"/>
      <c r="O72" s="8437"/>
      <c r="P72" s="8437"/>
      <c r="Q72" s="367"/>
      <c r="R72" s="366"/>
      <c r="S72" s="1297"/>
      <c r="T72" s="1297"/>
      <c r="U72" s="982"/>
      <c r="V72" s="8382"/>
      <c r="W72" s="8383"/>
      <c r="X72" s="8383"/>
      <c r="Y72" s="8383"/>
      <c r="Z72" s="8383"/>
      <c r="AA72" s="8383"/>
      <c r="AB72" s="311"/>
      <c r="AC72" s="8437"/>
      <c r="AD72" s="8437"/>
      <c r="AE72" s="8437"/>
      <c r="AF72" s="8437"/>
      <c r="AG72" s="8437"/>
      <c r="AH72" s="8437"/>
      <c r="AI72" s="8437"/>
      <c r="AJ72" s="367"/>
      <c r="AK72" s="366"/>
      <c r="AL72" s="1297"/>
    </row>
    <row r="73" spans="1:38" ht="12" customHeight="1">
      <c r="A73" s="1297"/>
      <c r="B73" s="982"/>
      <c r="C73" s="8382"/>
      <c r="D73" s="8383"/>
      <c r="E73" s="8383"/>
      <c r="F73" s="8383"/>
      <c r="G73" s="8383"/>
      <c r="H73" s="8383"/>
      <c r="I73" s="2012" t="s">
        <v>6618</v>
      </c>
      <c r="J73" s="8432" t="str">
        <f>IF($J$6="","",$J$6)</f>
        <v/>
      </c>
      <c r="K73" s="8432"/>
      <c r="L73" s="8432"/>
      <c r="M73" s="2008"/>
      <c r="N73" s="2008"/>
      <c r="O73" s="2009" t="str">
        <f>$O$6</f>
        <v>Nivel de vía aprendido</v>
      </c>
      <c r="P73" s="2010">
        <f>$P$6</f>
        <v>0</v>
      </c>
      <c r="Q73" s="367"/>
      <c r="R73" s="366"/>
      <c r="S73" s="1297"/>
      <c r="T73" s="1297"/>
      <c r="U73" s="982"/>
      <c r="V73" s="8382"/>
      <c r="W73" s="8383"/>
      <c r="X73" s="8383"/>
      <c r="Y73" s="8383"/>
      <c r="Z73" s="8383"/>
      <c r="AA73" s="8383"/>
      <c r="AB73" s="2012" t="s">
        <v>6618</v>
      </c>
      <c r="AC73" s="8432" t="str">
        <f>IF($J$6="","",$J$6)</f>
        <v/>
      </c>
      <c r="AD73" s="8432"/>
      <c r="AE73" s="8432"/>
      <c r="AF73" s="2008"/>
      <c r="AG73" s="2008"/>
      <c r="AH73" s="2009" t="str">
        <f>$O$6</f>
        <v>Nivel de vía aprendido</v>
      </c>
      <c r="AI73" s="2010">
        <f>$P$6</f>
        <v>0</v>
      </c>
      <c r="AJ73" s="367"/>
      <c r="AK73" s="366"/>
      <c r="AL73" s="1297"/>
    </row>
    <row r="74" spans="1:38" ht="12" customHeight="1">
      <c r="A74" s="1297"/>
      <c r="B74" s="982"/>
      <c r="C74" s="8382"/>
      <c r="D74" s="8383"/>
      <c r="E74" s="8383"/>
      <c r="F74" s="8383"/>
      <c r="G74" s="8383"/>
      <c r="H74" s="8383"/>
      <c r="I74" s="2013" t="s">
        <v>6619</v>
      </c>
      <c r="J74" s="8432" t="str">
        <f>IF($J$8="","",$J$8)</f>
        <v/>
      </c>
      <c r="K74" s="8432"/>
      <c r="L74" s="8432"/>
      <c r="M74" s="2008"/>
      <c r="N74" s="2008"/>
      <c r="O74" s="2008"/>
      <c r="P74" s="2008"/>
      <c r="Q74" s="367"/>
      <c r="R74" s="366"/>
      <c r="S74" s="1297"/>
      <c r="T74" s="1297"/>
      <c r="U74" s="982"/>
      <c r="V74" s="8382"/>
      <c r="W74" s="8383"/>
      <c r="X74" s="8383"/>
      <c r="Y74" s="8383"/>
      <c r="Z74" s="8383"/>
      <c r="AA74" s="8383"/>
      <c r="AB74" s="2013" t="s">
        <v>6619</v>
      </c>
      <c r="AC74" s="8432" t="str">
        <f>IF($J$8="","",$J$8)</f>
        <v/>
      </c>
      <c r="AD74" s="8432"/>
      <c r="AE74" s="8432"/>
      <c r="AF74" s="2008"/>
      <c r="AG74" s="2008"/>
      <c r="AH74" s="2008"/>
      <c r="AI74" s="2008"/>
      <c r="AJ74" s="367"/>
      <c r="AK74" s="366"/>
      <c r="AL74" s="1297"/>
    </row>
    <row r="75" spans="1:38" ht="12" customHeight="1" thickBot="1">
      <c r="A75" s="1297"/>
      <c r="B75" s="982"/>
      <c r="C75" s="8384"/>
      <c r="D75" s="8385"/>
      <c r="E75" s="8385"/>
      <c r="F75" s="8385"/>
      <c r="G75" s="8385"/>
      <c r="H75" s="8385"/>
      <c r="I75" s="368"/>
      <c r="J75" s="368"/>
      <c r="K75" s="368"/>
      <c r="L75" s="368"/>
      <c r="M75" s="368"/>
      <c r="N75" s="368"/>
      <c r="O75" s="368"/>
      <c r="P75" s="368"/>
      <c r="Q75" s="369"/>
      <c r="R75" s="366"/>
      <c r="S75" s="1297"/>
      <c r="T75" s="1297"/>
      <c r="U75" s="982"/>
      <c r="V75" s="8384"/>
      <c r="W75" s="8385"/>
      <c r="X75" s="8385"/>
      <c r="Y75" s="8385"/>
      <c r="Z75" s="8385"/>
      <c r="AA75" s="8385"/>
      <c r="AB75" s="368"/>
      <c r="AC75" s="368"/>
      <c r="AD75" s="368"/>
      <c r="AE75" s="368"/>
      <c r="AF75" s="368"/>
      <c r="AG75" s="368"/>
      <c r="AH75" s="368"/>
      <c r="AI75" s="368"/>
      <c r="AJ75" s="369"/>
      <c r="AK75" s="366"/>
      <c r="AL75" s="1297"/>
    </row>
    <row r="76" spans="1:38" ht="12" customHeight="1">
      <c r="A76" s="1297"/>
      <c r="B76" s="982"/>
      <c r="R76" s="366"/>
      <c r="S76" s="1297"/>
      <c r="T76" s="1297"/>
      <c r="U76" s="982"/>
      <c r="AK76" s="366"/>
      <c r="AL76" s="1297"/>
    </row>
    <row r="77" spans="1:38" ht="12" customHeight="1" thickBot="1">
      <c r="A77" s="1297"/>
      <c r="B77" s="742"/>
      <c r="C77" s="8439" t="str">
        <f>"Conjuros de nivel "&amp;B78&amp;"-"&amp;B122</f>
        <v>Conjuros de nivel 22-30</v>
      </c>
      <c r="D77" s="8439"/>
      <c r="E77" s="8439"/>
      <c r="F77" s="8439"/>
      <c r="G77" s="8439"/>
      <c r="H77" s="8439"/>
      <c r="I77" s="8439"/>
      <c r="J77" s="8439"/>
      <c r="K77" s="8439"/>
      <c r="L77" s="8439"/>
      <c r="M77" s="8439"/>
      <c r="N77" s="8439"/>
      <c r="O77" s="8439"/>
      <c r="P77" s="8439"/>
      <c r="Q77" s="8439"/>
      <c r="R77" s="740"/>
      <c r="S77" s="1297"/>
      <c r="T77" s="360"/>
      <c r="U77" s="742"/>
      <c r="V77" s="8439" t="str">
        <f>"Conjuros de nivel "&amp;U78&amp;"-"&amp;U122</f>
        <v>Conjuros de nivel 32-40</v>
      </c>
      <c r="W77" s="8439"/>
      <c r="X77" s="8439"/>
      <c r="Y77" s="8439"/>
      <c r="Z77" s="8439"/>
      <c r="AA77" s="8439"/>
      <c r="AB77" s="8439"/>
      <c r="AC77" s="8439"/>
      <c r="AD77" s="8439"/>
      <c r="AE77" s="8439"/>
      <c r="AF77" s="8439"/>
      <c r="AG77" s="8439"/>
      <c r="AH77" s="8439"/>
      <c r="AI77" s="8439"/>
      <c r="AJ77" s="8439"/>
      <c r="AK77" s="741"/>
      <c r="AL77" s="360"/>
    </row>
    <row r="78" spans="1:38" ht="12" customHeight="1">
      <c r="A78" s="1297"/>
      <c r="B78" s="734">
        <f>B11+20</f>
        <v>22</v>
      </c>
      <c r="C78" s="8417" t="str">
        <f>IF(ISNA(VLOOKUP($J$6&amp;B78,'Tablas Magia'!$B$6:$D$779,3,FALSE)),IF(ISNA(VLOOKUP($J$8&amp;B78,'Tablas Magia'!$B$6:$D$779,3,FALSE)),IF(ISNA(VLOOKUP($J$6&amp;B78,Místicos!$AD$12:$AJ$50,4,FALSE)),"Libre Acceso 1-"&amp;MID(C$77,SEARCH("-",C$77)+1,3),VLOOKUP($J$6&amp;B78,Místicos!$AD$12:$AJ$50,4,FALSE)),VLOOKUP($J$8&amp;B78,'Tablas Magia'!$B$6:$D$779,3,FALSE)),VLOOKUP($J$6&amp;B78,'Tablas Magia'!$B$6:$D$779,3,FALSE))</f>
        <v>Libre Acceso 1-30</v>
      </c>
      <c r="D78" s="8418"/>
      <c r="E78" s="8418"/>
      <c r="F78" s="8418"/>
      <c r="G78" s="8419"/>
      <c r="H78" s="370" t="s">
        <v>1186</v>
      </c>
      <c r="I78" s="371">
        <f>B78</f>
        <v>22</v>
      </c>
      <c r="J78" s="8420" t="s">
        <v>5816</v>
      </c>
      <c r="K78" s="8420"/>
      <c r="L78" s="8420"/>
      <c r="M78" s="8378" t="e">
        <f>IF(C78=0,"",VLOOKUP(C78,'Tablas Magia'!$D$6:$Z$779,2,FALSE))</f>
        <v>#N/A</v>
      </c>
      <c r="N78" s="8378"/>
      <c r="O78" s="1525"/>
      <c r="P78" s="8415" t="str">
        <f>IFERROR(IF(M78="Libre Acceso","Aprendido",IF(IFERROR(VLOOKUP(M78,Místicos!$C$15:$H$25,6,0)&gt;=I78,FALSE),"Aprendido",IF(IFERROR(VLOOKUP(M78,Místicos!$E$15:$H$25,4,0)&gt;=I78,FALSE),"Aprendido",""))),"")</f>
        <v/>
      </c>
      <c r="Q78" s="8416"/>
      <c r="R78" s="366"/>
      <c r="S78" s="360"/>
      <c r="T78" s="360"/>
      <c r="U78" s="734">
        <f>B122+2</f>
        <v>32</v>
      </c>
      <c r="V78" s="8417" t="str">
        <f>IF(ISNA(VLOOKUP($J$6&amp;U78,'Tablas Magia'!$B$6:$D$779,3,FALSE)),IF(ISNA(VLOOKUP($J$8&amp;U78,'Tablas Magia'!$B$6:$D$779,3,FALSE)),IF(ISNA(VLOOKUP($J$6&amp;U78,Místicos!$AD$12:$AJ$50,4,FALSE)),"Libre Acceso 1-"&amp;MID(V$77,SEARCH("-",V$77)+1,3),VLOOKUP($J$6&amp;U78,Místicos!$AD$12:$AJ$50,4,FALSE)),VLOOKUP($J$8&amp;U78,'Tablas Magia'!$B$6:$D$779,3,FALSE)),VLOOKUP($J$6&amp;U78,'Tablas Magia'!$B$6:$D$779,3,FALSE))</f>
        <v>Libre Acceso 1-40</v>
      </c>
      <c r="W78" s="8418"/>
      <c r="X78" s="8418"/>
      <c r="Y78" s="8418"/>
      <c r="Z78" s="8419"/>
      <c r="AA78" s="370" t="s">
        <v>1186</v>
      </c>
      <c r="AB78" s="371">
        <f>U78</f>
        <v>32</v>
      </c>
      <c r="AC78" s="8420" t="s">
        <v>5816</v>
      </c>
      <c r="AD78" s="8420"/>
      <c r="AE78" s="8420"/>
      <c r="AF78" s="8378" t="e">
        <f>IF(V78=0,"",VLOOKUP(V78,'Tablas Magia'!$D$6:$Z$779,2,FALSE))</f>
        <v>#N/A</v>
      </c>
      <c r="AG78" s="8378"/>
      <c r="AH78" s="1525"/>
      <c r="AI78" s="8415" t="str">
        <f>IFERROR(IF(AF78="Libre Acceso","Aprendido",IF(IFERROR(VLOOKUP(AF78,Místicos!$C$15:$H$25,6,0)&gt;=AB78,FALSE),"Aprendido",IF(IFERROR(VLOOKUP(AF78,Místicos!$E$15:$H$25,4,0)&gt;=AB78,FALSE),"Aprendido",""))),"")</f>
        <v/>
      </c>
      <c r="AJ78" s="8416"/>
      <c r="AK78" s="366"/>
      <c r="AL78" s="360"/>
    </row>
    <row r="79" spans="1:38" ht="12" customHeight="1">
      <c r="A79" s="360"/>
      <c r="B79" s="734"/>
      <c r="C79" s="8399" t="s">
        <v>5817</v>
      </c>
      <c r="D79" s="8426"/>
      <c r="E79" s="2162" t="s">
        <v>5818</v>
      </c>
      <c r="F79" s="2162" t="s">
        <v>1368</v>
      </c>
      <c r="G79" s="2162" t="s">
        <v>2666</v>
      </c>
      <c r="H79" s="2163" t="s">
        <v>1690</v>
      </c>
      <c r="I79" s="8424" t="e">
        <f>IF(C78=0,"",VLOOKUP(C78,'Tablas Magia'!$D$6:$Z$779,5,FALSE))</f>
        <v>#N/A</v>
      </c>
      <c r="J79" s="8424"/>
      <c r="K79" s="8427" t="s">
        <v>5819</v>
      </c>
      <c r="L79" s="8427"/>
      <c r="M79" s="8424" t="e">
        <f>IF(C78=0,"",VLOOKUP(C78,'Tablas Magia'!$D$6:$Z$779,6,FALSE))</f>
        <v>#N/A</v>
      </c>
      <c r="N79" s="8424"/>
      <c r="O79" s="8425" t="s">
        <v>5820</v>
      </c>
      <c r="P79" s="8425"/>
      <c r="Q79" s="2164" t="e">
        <f>IF(C78=0,"",VLOOKUP(C78,'Tablas Magia'!$D$6:$Z$779,4,FALSE))</f>
        <v>#N/A</v>
      </c>
      <c r="R79" s="366"/>
      <c r="S79" s="360"/>
      <c r="T79" s="360"/>
      <c r="U79" s="734"/>
      <c r="V79" s="8399" t="s">
        <v>5817</v>
      </c>
      <c r="W79" s="8428"/>
      <c r="X79" s="1534" t="s">
        <v>5818</v>
      </c>
      <c r="Y79" s="1534" t="s">
        <v>1368</v>
      </c>
      <c r="Z79" s="1534" t="s">
        <v>2666</v>
      </c>
      <c r="AA79" s="1535" t="s">
        <v>1690</v>
      </c>
      <c r="AB79" s="8429" t="e">
        <f>IF(V78=0,"",VLOOKUP(V78,'Tablas Magia'!$D$6:$Z$779,5,FALSE))</f>
        <v>#N/A</v>
      </c>
      <c r="AC79" s="8429"/>
      <c r="AD79" s="8430" t="s">
        <v>5819</v>
      </c>
      <c r="AE79" s="8430"/>
      <c r="AF79" s="8429" t="e">
        <f>IF(V78=0,"",VLOOKUP(V78,'Tablas Magia'!$D$6:$Z$779,6,FALSE))</f>
        <v>#N/A</v>
      </c>
      <c r="AG79" s="8429"/>
      <c r="AH79" s="8431" t="s">
        <v>5820</v>
      </c>
      <c r="AI79" s="8431"/>
      <c r="AJ79" s="1536" t="e">
        <f>IF(V78=0,"",VLOOKUP(V78,'Tablas Magia'!$D$6:$Z$779,4,FALSE))</f>
        <v>#N/A</v>
      </c>
      <c r="AK79" s="366"/>
      <c r="AL79" s="360"/>
    </row>
    <row r="80" spans="1:38" ht="12" customHeight="1">
      <c r="A80" s="360"/>
      <c r="B80" s="734"/>
      <c r="C80" s="8391" t="s">
        <v>1225</v>
      </c>
      <c r="D80" s="8392"/>
      <c r="E80" s="375" t="e">
        <f>IF(C78=0,"",VLOOKUP(C78,'Tablas Magia'!$D$6:$Z$779,7,FALSE))</f>
        <v>#N/A</v>
      </c>
      <c r="F80" s="375" t="e">
        <f>IF(C78=0,"",VLOOKUP(C78,'Tablas Magia'!$D$6:$Z$779,11,FALSE))</f>
        <v>#N/A</v>
      </c>
      <c r="G80" s="376" t="e">
        <f>IF(C78=0,"",VLOOKUP(C78,'Tablas Magia'!$D$6:$Z$779,15,FALSE))</f>
        <v>#N/A</v>
      </c>
      <c r="H80" s="8393" t="e">
        <f>IF(C78=0,"",VLOOKUP(C78,'Tablas Magia'!$D$6:$Z$779,19,FALSE))</f>
        <v>#N/A</v>
      </c>
      <c r="I80" s="8394"/>
      <c r="J80" s="8394"/>
      <c r="K80" s="8394"/>
      <c r="L80" s="8394"/>
      <c r="M80" s="8394"/>
      <c r="N80" s="8394"/>
      <c r="O80" s="8394"/>
      <c r="P80" s="8394"/>
      <c r="Q80" s="8395"/>
      <c r="R80" s="366"/>
      <c r="S80" s="360"/>
      <c r="T80" s="360"/>
      <c r="U80" s="734"/>
      <c r="V80" s="8434" t="s">
        <v>1225</v>
      </c>
      <c r="W80" s="8435"/>
      <c r="X80" s="375" t="e">
        <f>IF(V78=0,"",VLOOKUP(V78,'Tablas Magia'!$D$6:$Z$779,7,FALSE))</f>
        <v>#N/A</v>
      </c>
      <c r="Y80" s="375" t="e">
        <f>IF(V78=0,"",VLOOKUP(V78,'Tablas Magia'!$D$6:$Z$779,11,FALSE))</f>
        <v>#N/A</v>
      </c>
      <c r="Z80" s="376" t="e">
        <f>IF(V78=0,"",VLOOKUP(V78,'Tablas Magia'!$D$6:$Z$779,15,FALSE))</f>
        <v>#N/A</v>
      </c>
      <c r="AA80" s="8421" t="e">
        <f>IF(V78=0,"",VLOOKUP(V78,'Tablas Magia'!$D$6:$Z$779,19,FALSE))</f>
        <v>#N/A</v>
      </c>
      <c r="AB80" s="8422"/>
      <c r="AC80" s="8422"/>
      <c r="AD80" s="8422"/>
      <c r="AE80" s="8422"/>
      <c r="AF80" s="8422"/>
      <c r="AG80" s="8422"/>
      <c r="AH80" s="8422"/>
      <c r="AI80" s="8422"/>
      <c r="AJ80" s="8423"/>
      <c r="AK80" s="366"/>
      <c r="AL80" s="360"/>
    </row>
    <row r="81" spans="1:38" ht="12" customHeight="1">
      <c r="A81" s="360"/>
      <c r="B81" s="734"/>
      <c r="C81" s="8386" t="s">
        <v>3035</v>
      </c>
      <c r="D81" s="8387"/>
      <c r="E81" s="377" t="e">
        <f>IF(C78=0,"",VLOOKUP(C78,'Tablas Magia'!$D$6:$Z$779,8,FALSE))</f>
        <v>#N/A</v>
      </c>
      <c r="F81" s="377" t="e">
        <f>IF(C78=0,"",VLOOKUP(C78,'Tablas Magia'!$D$6:$Z$779,12,FALSE))</f>
        <v>#N/A</v>
      </c>
      <c r="G81" s="378" t="e">
        <f>IF(C78=0,"",VLOOKUP(C78,'Tablas Magia'!$D$6:$Z$779,16,FALSE))</f>
        <v>#N/A</v>
      </c>
      <c r="H81" s="8388" t="e">
        <f>IF(C78=0,"",VLOOKUP(C78,'Tablas Magia'!$D$6:$Z$779,20,FALSE))</f>
        <v>#N/A</v>
      </c>
      <c r="I81" s="8389"/>
      <c r="J81" s="8389"/>
      <c r="K81" s="8389"/>
      <c r="L81" s="8389"/>
      <c r="M81" s="8389"/>
      <c r="N81" s="8389"/>
      <c r="O81" s="8389"/>
      <c r="P81" s="8389"/>
      <c r="Q81" s="8390"/>
      <c r="R81" s="366"/>
      <c r="S81" s="360"/>
      <c r="T81" s="360"/>
      <c r="U81" s="734"/>
      <c r="V81" s="8386" t="s">
        <v>3035</v>
      </c>
      <c r="W81" s="8387"/>
      <c r="X81" s="377" t="e">
        <f>IF(V78=0,"",VLOOKUP(V78,'Tablas Magia'!$D$6:$Z$779,8,FALSE))</f>
        <v>#N/A</v>
      </c>
      <c r="Y81" s="377" t="e">
        <f>IF(V78=0,"",VLOOKUP(V78,'Tablas Magia'!$D$6:$Z$779,12,FALSE))</f>
        <v>#N/A</v>
      </c>
      <c r="Z81" s="378" t="e">
        <f>IF(V78=0,"",VLOOKUP(V78,'Tablas Magia'!$D$6:$Z$779,16,FALSE))</f>
        <v>#N/A</v>
      </c>
      <c r="AA81" s="8388" t="e">
        <f>IF(V78=0,"",VLOOKUP(V78,'Tablas Magia'!$D$6:$Z$779,20,FALSE))</f>
        <v>#N/A</v>
      </c>
      <c r="AB81" s="8389"/>
      <c r="AC81" s="8389"/>
      <c r="AD81" s="8389"/>
      <c r="AE81" s="8389"/>
      <c r="AF81" s="8389"/>
      <c r="AG81" s="8389"/>
      <c r="AH81" s="8389"/>
      <c r="AI81" s="8389"/>
      <c r="AJ81" s="8390"/>
      <c r="AK81" s="366"/>
      <c r="AL81" s="360"/>
    </row>
    <row r="82" spans="1:38" ht="12" customHeight="1">
      <c r="A82" s="360"/>
      <c r="B82" s="734"/>
      <c r="C82" s="8391" t="s">
        <v>3036</v>
      </c>
      <c r="D82" s="8392"/>
      <c r="E82" s="375" t="e">
        <f>IF(C78=0,"",VLOOKUP(C78,'Tablas Magia'!$D$6:$Z$779,9,FALSE))</f>
        <v>#N/A</v>
      </c>
      <c r="F82" s="375" t="e">
        <f>IF(C78=0,"",VLOOKUP(C78,'Tablas Magia'!$D$6:$Z$779,13,FALSE))</f>
        <v>#N/A</v>
      </c>
      <c r="G82" s="376" t="e">
        <f>IF(C78=0,"",VLOOKUP(C78,'Tablas Magia'!$D$6:$Z$779,17,FALSE))</f>
        <v>#N/A</v>
      </c>
      <c r="H82" s="8393" t="e">
        <f>IF(C78=0,"",VLOOKUP(C78,'Tablas Magia'!$D$6:$Z$779,21,FALSE))</f>
        <v>#N/A</v>
      </c>
      <c r="I82" s="8394"/>
      <c r="J82" s="8394"/>
      <c r="K82" s="8394"/>
      <c r="L82" s="8394"/>
      <c r="M82" s="8394"/>
      <c r="N82" s="8394"/>
      <c r="O82" s="8394"/>
      <c r="P82" s="8394"/>
      <c r="Q82" s="8395"/>
      <c r="R82" s="366"/>
      <c r="S82" s="360"/>
      <c r="T82" s="360"/>
      <c r="U82" s="734"/>
      <c r="V82" s="8391" t="s">
        <v>3036</v>
      </c>
      <c r="W82" s="8392"/>
      <c r="X82" s="375" t="e">
        <f>IF(V78=0,"",VLOOKUP(V78,'Tablas Magia'!$D$6:$Z$779,9,FALSE))</f>
        <v>#N/A</v>
      </c>
      <c r="Y82" s="375" t="e">
        <f>IF(V78=0,"",VLOOKUP(V78,'Tablas Magia'!$D$6:$Z$779,13,FALSE))</f>
        <v>#N/A</v>
      </c>
      <c r="Z82" s="376" t="e">
        <f>IF(V78=0,"",VLOOKUP(V78,'Tablas Magia'!$D$6:$Z$779,17,FALSE))</f>
        <v>#N/A</v>
      </c>
      <c r="AA82" s="8393" t="e">
        <f>IF(V78=0,"",VLOOKUP(V78,'Tablas Magia'!$D$6:$Z$779,21,FALSE))</f>
        <v>#N/A</v>
      </c>
      <c r="AB82" s="8394"/>
      <c r="AC82" s="8394"/>
      <c r="AD82" s="8394"/>
      <c r="AE82" s="8394"/>
      <c r="AF82" s="8394"/>
      <c r="AG82" s="8394"/>
      <c r="AH82" s="8394"/>
      <c r="AI82" s="8394"/>
      <c r="AJ82" s="8395"/>
      <c r="AK82" s="366"/>
      <c r="AL82" s="360"/>
    </row>
    <row r="83" spans="1:38" ht="12" customHeight="1" thickBot="1">
      <c r="A83" s="360"/>
      <c r="B83" s="734"/>
      <c r="C83" s="8401" t="s">
        <v>3037</v>
      </c>
      <c r="D83" s="8402"/>
      <c r="E83" s="379" t="e">
        <f>IF(C78=0,"",VLOOKUP(C78,'Tablas Magia'!$D$6:$Z$779,10,FALSE))</f>
        <v>#N/A</v>
      </c>
      <c r="F83" s="379" t="e">
        <f>IF(C78=0,"",VLOOKUP(C78,'Tablas Magia'!$D$6:$Z$779,14,FALSE))</f>
        <v>#N/A</v>
      </c>
      <c r="G83" s="380" t="e">
        <f>IF(C78=0,"",VLOOKUP(C78,'Tablas Magia'!$D$6:$Z$779,18,FALSE))</f>
        <v>#N/A</v>
      </c>
      <c r="H83" s="8403" t="e">
        <f>IF(C78=0,"",VLOOKUP(C78,'Tablas Magia'!$D$6:$Z$779,22,FALSE))</f>
        <v>#N/A</v>
      </c>
      <c r="I83" s="8404"/>
      <c r="J83" s="8404"/>
      <c r="K83" s="8404"/>
      <c r="L83" s="8404"/>
      <c r="M83" s="8404"/>
      <c r="N83" s="8404"/>
      <c r="O83" s="8404"/>
      <c r="P83" s="8404"/>
      <c r="Q83" s="8405"/>
      <c r="R83" s="366"/>
      <c r="S83" s="360"/>
      <c r="T83" s="360"/>
      <c r="U83" s="734"/>
      <c r="V83" s="8401" t="s">
        <v>3037</v>
      </c>
      <c r="W83" s="8402"/>
      <c r="X83" s="379" t="e">
        <f>IF(V78=0,"",VLOOKUP(V78,'Tablas Magia'!$D$6:$Z$779,10,FALSE))</f>
        <v>#N/A</v>
      </c>
      <c r="Y83" s="379" t="e">
        <f>IF(V78=0,"",VLOOKUP(V78,'Tablas Magia'!$D$6:$Z$779,14,FALSE))</f>
        <v>#N/A</v>
      </c>
      <c r="Z83" s="380" t="e">
        <f>IF(V78=0,"",VLOOKUP(V78,'Tablas Magia'!$D$6:$Z$779,18,FALSE))</f>
        <v>#N/A</v>
      </c>
      <c r="AA83" s="8403" t="e">
        <f>IF(V78=0,"",VLOOKUP(V78,'Tablas Magia'!$D$6:$Z$779,22,FALSE))</f>
        <v>#N/A</v>
      </c>
      <c r="AB83" s="8404"/>
      <c r="AC83" s="8404"/>
      <c r="AD83" s="8404"/>
      <c r="AE83" s="8404"/>
      <c r="AF83" s="8404"/>
      <c r="AG83" s="8404"/>
      <c r="AH83" s="8404"/>
      <c r="AI83" s="8404"/>
      <c r="AJ83" s="8405"/>
      <c r="AK83" s="366"/>
      <c r="AL83" s="360"/>
    </row>
    <row r="84" spans="1:38" ht="12" customHeight="1">
      <c r="A84" s="360"/>
      <c r="B84" s="734"/>
      <c r="C84" s="8406" t="e">
        <f>IF(C78=0,"",VLOOKUP(C78,'Tablas Magia'!$D$6:$Z$779,23,FALSE))</f>
        <v>#N/A</v>
      </c>
      <c r="D84" s="8407"/>
      <c r="E84" s="8407"/>
      <c r="F84" s="8407"/>
      <c r="G84" s="8407"/>
      <c r="H84" s="8407"/>
      <c r="I84" s="8407"/>
      <c r="J84" s="8407"/>
      <c r="K84" s="8407"/>
      <c r="L84" s="8407"/>
      <c r="M84" s="8407"/>
      <c r="N84" s="8407"/>
      <c r="O84" s="8407"/>
      <c r="P84" s="8407"/>
      <c r="Q84" s="8408"/>
      <c r="R84" s="366"/>
      <c r="S84" s="360"/>
      <c r="T84" s="360"/>
      <c r="U84" s="734"/>
      <c r="V84" s="8406" t="e">
        <f>IF(V78=0,"",VLOOKUP(V78,'Tablas Magia'!$D$6:$Z$779,23,FALSE))</f>
        <v>#N/A</v>
      </c>
      <c r="W84" s="8407"/>
      <c r="X84" s="8407"/>
      <c r="Y84" s="8407"/>
      <c r="Z84" s="8407"/>
      <c r="AA84" s="8407"/>
      <c r="AB84" s="8407"/>
      <c r="AC84" s="8407"/>
      <c r="AD84" s="8407"/>
      <c r="AE84" s="8407"/>
      <c r="AF84" s="8407"/>
      <c r="AG84" s="8407"/>
      <c r="AH84" s="8407"/>
      <c r="AI84" s="8407"/>
      <c r="AJ84" s="8408"/>
      <c r="AK84" s="366"/>
      <c r="AL84" s="360"/>
    </row>
    <row r="85" spans="1:38" ht="12" customHeight="1">
      <c r="A85" s="360"/>
      <c r="B85" s="734"/>
      <c r="C85" s="8409"/>
      <c r="D85" s="8410"/>
      <c r="E85" s="8410"/>
      <c r="F85" s="8410"/>
      <c r="G85" s="8410"/>
      <c r="H85" s="8410"/>
      <c r="I85" s="8410"/>
      <c r="J85" s="8410"/>
      <c r="K85" s="8410"/>
      <c r="L85" s="8410"/>
      <c r="M85" s="8410"/>
      <c r="N85" s="8410"/>
      <c r="O85" s="8410"/>
      <c r="P85" s="8410"/>
      <c r="Q85" s="8411"/>
      <c r="R85" s="366"/>
      <c r="S85" s="360"/>
      <c r="T85" s="360"/>
      <c r="U85" s="734"/>
      <c r="V85" s="8409"/>
      <c r="W85" s="8410"/>
      <c r="X85" s="8410"/>
      <c r="Y85" s="8410"/>
      <c r="Z85" s="8410"/>
      <c r="AA85" s="8410"/>
      <c r="AB85" s="8410"/>
      <c r="AC85" s="8410"/>
      <c r="AD85" s="8410"/>
      <c r="AE85" s="8410"/>
      <c r="AF85" s="8410"/>
      <c r="AG85" s="8410"/>
      <c r="AH85" s="8410"/>
      <c r="AI85" s="8410"/>
      <c r="AJ85" s="8411"/>
      <c r="AK85" s="366"/>
      <c r="AL85" s="360"/>
    </row>
    <row r="86" spans="1:38" ht="12" customHeight="1">
      <c r="A86" s="360"/>
      <c r="B86" s="734"/>
      <c r="C86" s="8409"/>
      <c r="D86" s="8410"/>
      <c r="E86" s="8410"/>
      <c r="F86" s="8410"/>
      <c r="G86" s="8410"/>
      <c r="H86" s="8410"/>
      <c r="I86" s="8410"/>
      <c r="J86" s="8410"/>
      <c r="K86" s="8410"/>
      <c r="L86" s="8410"/>
      <c r="M86" s="8410"/>
      <c r="N86" s="8410"/>
      <c r="O86" s="8410"/>
      <c r="P86" s="8410"/>
      <c r="Q86" s="8411"/>
      <c r="R86" s="366"/>
      <c r="S86" s="360"/>
      <c r="T86" s="360"/>
      <c r="U86" s="734"/>
      <c r="V86" s="8409"/>
      <c r="W86" s="8410"/>
      <c r="X86" s="8410"/>
      <c r="Y86" s="8410"/>
      <c r="Z86" s="8410"/>
      <c r="AA86" s="8410"/>
      <c r="AB86" s="8410"/>
      <c r="AC86" s="8410"/>
      <c r="AD86" s="8410"/>
      <c r="AE86" s="8410"/>
      <c r="AF86" s="8410"/>
      <c r="AG86" s="8410"/>
      <c r="AH86" s="8410"/>
      <c r="AI86" s="8410"/>
      <c r="AJ86" s="8411"/>
      <c r="AK86" s="366"/>
      <c r="AL86" s="360"/>
    </row>
    <row r="87" spans="1:38" ht="12" customHeight="1" thickBot="1">
      <c r="A87" s="360"/>
      <c r="B87" s="734"/>
      <c r="C87" s="8412"/>
      <c r="D87" s="8413"/>
      <c r="E87" s="8413"/>
      <c r="F87" s="8413"/>
      <c r="G87" s="8413"/>
      <c r="H87" s="8413"/>
      <c r="I87" s="8413"/>
      <c r="J87" s="8413"/>
      <c r="K87" s="8413"/>
      <c r="L87" s="8413"/>
      <c r="M87" s="8413"/>
      <c r="N87" s="8413"/>
      <c r="O87" s="8413"/>
      <c r="P87" s="8413"/>
      <c r="Q87" s="8414"/>
      <c r="R87" s="366"/>
      <c r="S87" s="360"/>
      <c r="T87" s="360"/>
      <c r="U87" s="734"/>
      <c r="V87" s="8412"/>
      <c r="W87" s="8413"/>
      <c r="X87" s="8413"/>
      <c r="Y87" s="8413"/>
      <c r="Z87" s="8413"/>
      <c r="AA87" s="8413"/>
      <c r="AB87" s="8413"/>
      <c r="AC87" s="8413"/>
      <c r="AD87" s="8413"/>
      <c r="AE87" s="8413"/>
      <c r="AF87" s="8413"/>
      <c r="AG87" s="8413"/>
      <c r="AH87" s="8413"/>
      <c r="AI87" s="8413"/>
      <c r="AJ87" s="8414"/>
      <c r="AK87" s="366"/>
      <c r="AL87" s="360"/>
    </row>
    <row r="88" spans="1:38" ht="12" customHeight="1" thickBot="1">
      <c r="A88" s="360"/>
      <c r="B88" s="734"/>
      <c r="C88" s="743"/>
      <c r="D88" s="743"/>
      <c r="E88" s="743"/>
      <c r="F88" s="743"/>
      <c r="G88" s="743"/>
      <c r="H88" s="381"/>
      <c r="I88" s="382"/>
      <c r="J88" s="383"/>
      <c r="K88" s="383"/>
      <c r="L88" s="383"/>
      <c r="M88" s="329"/>
      <c r="N88" s="329"/>
      <c r="O88" s="329"/>
      <c r="P88" s="329"/>
      <c r="Q88" s="329"/>
      <c r="R88" s="366"/>
      <c r="S88" s="360"/>
      <c r="T88" s="360"/>
      <c r="U88" s="734"/>
      <c r="V88" s="383"/>
      <c r="W88" s="383"/>
      <c r="X88" s="384"/>
      <c r="Y88" s="384"/>
      <c r="Z88" s="384"/>
      <c r="AA88" s="383"/>
      <c r="AB88" s="329"/>
      <c r="AC88" s="329"/>
      <c r="AD88" s="383"/>
      <c r="AE88" s="383"/>
      <c r="AF88" s="329"/>
      <c r="AG88" s="329"/>
      <c r="AH88" s="385"/>
      <c r="AI88" s="385"/>
      <c r="AJ88" s="329"/>
      <c r="AK88" s="366"/>
      <c r="AL88" s="360"/>
    </row>
    <row r="89" spans="1:38" ht="12" customHeight="1">
      <c r="A89" s="360"/>
      <c r="B89" s="734">
        <f>B78+2</f>
        <v>24</v>
      </c>
      <c r="C89" s="8417" t="str">
        <f>IF(ISNA(VLOOKUP($J$6&amp;B89,'Tablas Magia'!$B$6:$D$779,3,FALSE)),IF(ISNA(VLOOKUP($J$8&amp;B89,'Tablas Magia'!$B$6:$D$779,3,FALSE)),IF(ISNA(VLOOKUP($J$6&amp;B89,Místicos!$AD$12:$AJ$50,4,FALSE)),"Libre Acceso 1-"&amp;MID(C$10,SEARCH("-",C$10)+1,3),VLOOKUP($J$6&amp;B89,Místicos!$AD$12:$AJ$50,4,FALSE)),VLOOKUP($J$8&amp;B89,'Tablas Magia'!$B$6:$D$779,3,FALSE)),VLOOKUP($J$6&amp;B89,'Tablas Magia'!$B$6:$D$779,3,FALSE))</f>
        <v>Libre Acceso 1-10</v>
      </c>
      <c r="D89" s="8418"/>
      <c r="E89" s="8418"/>
      <c r="F89" s="8418"/>
      <c r="G89" s="8419"/>
      <c r="H89" s="370" t="s">
        <v>1186</v>
      </c>
      <c r="I89" s="371">
        <f>B89</f>
        <v>24</v>
      </c>
      <c r="J89" s="8420" t="s">
        <v>5816</v>
      </c>
      <c r="K89" s="8420"/>
      <c r="L89" s="8420"/>
      <c r="M89" s="8378" t="e">
        <f>IF(C89=0,"",VLOOKUP(C89,'Tablas Magia'!$D$6:$Z$779,2,FALSE))</f>
        <v>#N/A</v>
      </c>
      <c r="N89" s="8378"/>
      <c r="O89" s="1525"/>
      <c r="P89" s="8415" t="str">
        <f>IFERROR(IF(M89="Libre Acceso","Aprendido",IF(IFERROR(VLOOKUP(M89,Místicos!$C$15:$H$25,6,0)&gt;=I89,FALSE),"Aprendido",IF(IFERROR(VLOOKUP(M89,Místicos!$E$15:$H$25,4,0)&gt;=I89,FALSE),"Aprendido",""))),"")</f>
        <v/>
      </c>
      <c r="Q89" s="8416"/>
      <c r="R89" s="366"/>
      <c r="S89" s="360"/>
      <c r="T89" s="360"/>
      <c r="U89" s="734">
        <f>U78+2</f>
        <v>34</v>
      </c>
      <c r="V89" s="8417" t="str">
        <f>IF(ISNA(VLOOKUP($J$6&amp;U89,'Tablas Magia'!$B$6:$D$779,3,FALSE)),IF(ISNA(VLOOKUP($J$8&amp;U89,'Tablas Magia'!$B$6:$D$779,3,FALSE)),IF(ISNA(VLOOKUP($J$6&amp;U89,Místicos!$AD$12:$AJ$50,4,FALSE)),"Libre Acceso 1-"&amp;MID(V$10,SEARCH("-",V$10)+1,3),VLOOKUP($J$6&amp;U89,Místicos!$AD$12:$AJ$50,4,FALSE)),VLOOKUP($J$8&amp;U89,'Tablas Magia'!$B$6:$D$779,3,FALSE)),VLOOKUP($J$6&amp;U89,'Tablas Magia'!$B$6:$D$779,3,FALSE))</f>
        <v>Libre Acceso 1-20</v>
      </c>
      <c r="W89" s="8418"/>
      <c r="X89" s="8418"/>
      <c r="Y89" s="8418"/>
      <c r="Z89" s="8419"/>
      <c r="AA89" s="370" t="s">
        <v>1186</v>
      </c>
      <c r="AB89" s="371">
        <f>U89</f>
        <v>34</v>
      </c>
      <c r="AC89" s="8420" t="s">
        <v>5816</v>
      </c>
      <c r="AD89" s="8420"/>
      <c r="AE89" s="8420"/>
      <c r="AF89" s="8378" t="e">
        <f>IF(V89=0,"",VLOOKUP(V89,'Tablas Magia'!$D$6:$Z$779,2,FALSE))</f>
        <v>#N/A</v>
      </c>
      <c r="AG89" s="8378"/>
      <c r="AH89" s="1525"/>
      <c r="AI89" s="8415" t="str">
        <f>IFERROR(IF(AF89="Libre Acceso","Aprendido",IF(IFERROR(VLOOKUP(AF89,Místicos!$C$15:$H$25,6,0)&gt;=AB89,FALSE),"Aprendido",IF(IFERROR(VLOOKUP(AF89,Místicos!$E$15:$H$25,4,0)&gt;=AB89,FALSE),"Aprendido",""))),"")</f>
        <v/>
      </c>
      <c r="AJ89" s="8416"/>
      <c r="AK89" s="366"/>
      <c r="AL89" s="360"/>
    </row>
    <row r="90" spans="1:38" ht="12" customHeight="1">
      <c r="A90" s="360"/>
      <c r="B90" s="734"/>
      <c r="C90" s="8399" t="s">
        <v>5817</v>
      </c>
      <c r="D90" s="8426"/>
      <c r="E90" s="2162" t="s">
        <v>5818</v>
      </c>
      <c r="F90" s="2162" t="s">
        <v>1368</v>
      </c>
      <c r="G90" s="2162" t="s">
        <v>2666</v>
      </c>
      <c r="H90" s="2163" t="s">
        <v>1690</v>
      </c>
      <c r="I90" s="8424" t="e">
        <f>IF(C89=0,"",VLOOKUP(C89,'Tablas Magia'!$D$6:$Z$779,5,FALSE))</f>
        <v>#N/A</v>
      </c>
      <c r="J90" s="8424"/>
      <c r="K90" s="8427" t="s">
        <v>5819</v>
      </c>
      <c r="L90" s="8427"/>
      <c r="M90" s="8424" t="e">
        <f>IF(C89=0,"",VLOOKUP(C89,'Tablas Magia'!$D$6:$Z$779,6,FALSE))</f>
        <v>#N/A</v>
      </c>
      <c r="N90" s="8424"/>
      <c r="O90" s="8425" t="s">
        <v>5820</v>
      </c>
      <c r="P90" s="8425"/>
      <c r="Q90" s="2164" t="e">
        <f>IF(C89=0,"",VLOOKUP(C89,'Tablas Magia'!$D$6:$Z$779,4,FALSE))</f>
        <v>#N/A</v>
      </c>
      <c r="R90" s="366"/>
      <c r="S90" s="360"/>
      <c r="T90" s="360"/>
      <c r="U90" s="734"/>
      <c r="V90" s="8399" t="s">
        <v>5817</v>
      </c>
      <c r="W90" s="8428"/>
      <c r="X90" s="1534" t="s">
        <v>5818</v>
      </c>
      <c r="Y90" s="1534" t="s">
        <v>1368</v>
      </c>
      <c r="Z90" s="1534" t="s">
        <v>2666</v>
      </c>
      <c r="AA90" s="1535" t="s">
        <v>1690</v>
      </c>
      <c r="AB90" s="8429" t="e">
        <f>IF(V89=0,"",VLOOKUP(V89,'Tablas Magia'!$D$6:$Z$779,5,FALSE))</f>
        <v>#N/A</v>
      </c>
      <c r="AC90" s="8429"/>
      <c r="AD90" s="8430" t="s">
        <v>5819</v>
      </c>
      <c r="AE90" s="8430"/>
      <c r="AF90" s="8429" t="e">
        <f>IF(V89=0,"",VLOOKUP(V89,'Tablas Magia'!$D$6:$Z$779,6,FALSE))</f>
        <v>#N/A</v>
      </c>
      <c r="AG90" s="8429"/>
      <c r="AH90" s="8431" t="s">
        <v>5820</v>
      </c>
      <c r="AI90" s="8431"/>
      <c r="AJ90" s="1536" t="e">
        <f>IF(V89=0,"",VLOOKUP(V89,'Tablas Magia'!$D$6:$Z$779,4,FALSE))</f>
        <v>#N/A</v>
      </c>
      <c r="AK90" s="366"/>
      <c r="AL90" s="360"/>
    </row>
    <row r="91" spans="1:38" ht="12" customHeight="1">
      <c r="A91" s="360"/>
      <c r="B91" s="734"/>
      <c r="C91" s="8434" t="s">
        <v>1225</v>
      </c>
      <c r="D91" s="8435"/>
      <c r="E91" s="375" t="e">
        <f>IF(C89=0,"",VLOOKUP(C89,'Tablas Magia'!$D$6:$Z$779,7,FALSE))</f>
        <v>#N/A</v>
      </c>
      <c r="F91" s="375" t="e">
        <f>IF(C89=0,"",VLOOKUP(C89,'Tablas Magia'!$D$6:$Z$779,11,FALSE))</f>
        <v>#N/A</v>
      </c>
      <c r="G91" s="376" t="e">
        <f>IF(C89=0,"",VLOOKUP(C89,'Tablas Magia'!$D$6:$Z$779,15,FALSE))</f>
        <v>#N/A</v>
      </c>
      <c r="H91" s="8421" t="e">
        <f>IF(C89=0,"",VLOOKUP(C89,'Tablas Magia'!$D$6:$Z$779,19,FALSE))</f>
        <v>#N/A</v>
      </c>
      <c r="I91" s="8422"/>
      <c r="J91" s="8422"/>
      <c r="K91" s="8422"/>
      <c r="L91" s="8422"/>
      <c r="M91" s="8422"/>
      <c r="N91" s="8422"/>
      <c r="O91" s="8422"/>
      <c r="P91" s="8422"/>
      <c r="Q91" s="8423"/>
      <c r="R91" s="366"/>
      <c r="S91" s="360"/>
      <c r="T91" s="360"/>
      <c r="U91" s="734"/>
      <c r="V91" s="8391" t="s">
        <v>1225</v>
      </c>
      <c r="W91" s="8392"/>
      <c r="X91" s="375" t="e">
        <f>IF(V89=0,"",VLOOKUP(V89,'Tablas Magia'!$D$6:$Z$779,7,FALSE))</f>
        <v>#N/A</v>
      </c>
      <c r="Y91" s="375" t="e">
        <f>IF(V89=0,"",VLOOKUP(V89,'Tablas Magia'!$D$6:$Z$779,11,FALSE))</f>
        <v>#N/A</v>
      </c>
      <c r="Z91" s="376" t="e">
        <f>IF(V89=0,"",VLOOKUP(V89,'Tablas Magia'!$D$6:$Z$779,15,FALSE))</f>
        <v>#N/A</v>
      </c>
      <c r="AA91" s="8393" t="e">
        <f>IF(V89=0,"",VLOOKUP(V89,'Tablas Magia'!$D$6:$Z$779,19,FALSE))</f>
        <v>#N/A</v>
      </c>
      <c r="AB91" s="8394"/>
      <c r="AC91" s="8394"/>
      <c r="AD91" s="8394"/>
      <c r="AE91" s="8394"/>
      <c r="AF91" s="8394"/>
      <c r="AG91" s="8394"/>
      <c r="AH91" s="8394"/>
      <c r="AI91" s="8394"/>
      <c r="AJ91" s="8395"/>
      <c r="AK91" s="366"/>
      <c r="AL91" s="360"/>
    </row>
    <row r="92" spans="1:38" ht="12" customHeight="1">
      <c r="A92" s="360"/>
      <c r="B92" s="734"/>
      <c r="C92" s="8386" t="s">
        <v>3035</v>
      </c>
      <c r="D92" s="8387"/>
      <c r="E92" s="377" t="e">
        <f>IF(C89=0,"",VLOOKUP(C89,'Tablas Magia'!$D$6:$Z$779,8,FALSE))</f>
        <v>#N/A</v>
      </c>
      <c r="F92" s="377" t="e">
        <f>IF(C89=0,"",VLOOKUP(C89,'Tablas Magia'!$D$6:$Z$779,12,FALSE))</f>
        <v>#N/A</v>
      </c>
      <c r="G92" s="378" t="e">
        <f>IF(C89=0,"",VLOOKUP(C89,'Tablas Magia'!$D$6:$Z$779,16,FALSE))</f>
        <v>#N/A</v>
      </c>
      <c r="H92" s="8388" t="e">
        <f>IF(C89=0,"",VLOOKUP(C89,'Tablas Magia'!$D$6:$Z$779,20,FALSE))</f>
        <v>#N/A</v>
      </c>
      <c r="I92" s="8389"/>
      <c r="J92" s="8389"/>
      <c r="K92" s="8389"/>
      <c r="L92" s="8389"/>
      <c r="M92" s="8389"/>
      <c r="N92" s="8389"/>
      <c r="O92" s="8389"/>
      <c r="P92" s="8389"/>
      <c r="Q92" s="8390"/>
      <c r="R92" s="366"/>
      <c r="S92" s="360"/>
      <c r="T92" s="360"/>
      <c r="U92" s="734"/>
      <c r="V92" s="8386" t="s">
        <v>3035</v>
      </c>
      <c r="W92" s="8387"/>
      <c r="X92" s="377" t="e">
        <f>IF(V89=0,"",VLOOKUP(V89,'Tablas Magia'!$D$6:$Z$779,8,FALSE))</f>
        <v>#N/A</v>
      </c>
      <c r="Y92" s="377" t="e">
        <f>IF(V89=0,"",VLOOKUP(V89,'Tablas Magia'!$D$6:$Z$779,12,FALSE))</f>
        <v>#N/A</v>
      </c>
      <c r="Z92" s="378" t="e">
        <f>IF(V89=0,"",VLOOKUP(V89,'Tablas Magia'!$D$6:$Z$779,16,FALSE))</f>
        <v>#N/A</v>
      </c>
      <c r="AA92" s="8388" t="e">
        <f>IF(V89=0,"",VLOOKUP(V89,'Tablas Magia'!$D$6:$Z$779,20,FALSE))</f>
        <v>#N/A</v>
      </c>
      <c r="AB92" s="8389"/>
      <c r="AC92" s="8389"/>
      <c r="AD92" s="8389"/>
      <c r="AE92" s="8389"/>
      <c r="AF92" s="8389"/>
      <c r="AG92" s="8389"/>
      <c r="AH92" s="8389"/>
      <c r="AI92" s="8389"/>
      <c r="AJ92" s="8390"/>
      <c r="AK92" s="366"/>
      <c r="AL92" s="360"/>
    </row>
    <row r="93" spans="1:38" ht="12" customHeight="1">
      <c r="A93" s="360"/>
      <c r="B93" s="734"/>
      <c r="C93" s="8391" t="s">
        <v>3036</v>
      </c>
      <c r="D93" s="8392"/>
      <c r="E93" s="375" t="e">
        <f>IF(C89=0,"",VLOOKUP(C89,'Tablas Magia'!$D$6:$Z$779,9,FALSE))</f>
        <v>#N/A</v>
      </c>
      <c r="F93" s="375" t="e">
        <f>IF(C89=0,"",VLOOKUP(C89,'Tablas Magia'!$D$6:$Z$779,13,FALSE))</f>
        <v>#N/A</v>
      </c>
      <c r="G93" s="376" t="e">
        <f>IF(C89=0,"",VLOOKUP(C89,'Tablas Magia'!$D$6:$Z$779,17,FALSE))</f>
        <v>#N/A</v>
      </c>
      <c r="H93" s="8393" t="e">
        <f>IF(C89=0,"",VLOOKUP(C89,'Tablas Magia'!$D$6:$Z$779,21,FALSE))</f>
        <v>#N/A</v>
      </c>
      <c r="I93" s="8394"/>
      <c r="J93" s="8394"/>
      <c r="K93" s="8394"/>
      <c r="L93" s="8394"/>
      <c r="M93" s="8394"/>
      <c r="N93" s="8394"/>
      <c r="O93" s="8394"/>
      <c r="P93" s="8394"/>
      <c r="Q93" s="8395"/>
      <c r="R93" s="366"/>
      <c r="S93" s="360"/>
      <c r="T93" s="360"/>
      <c r="U93" s="734"/>
      <c r="V93" s="8391" t="s">
        <v>3036</v>
      </c>
      <c r="W93" s="8392"/>
      <c r="X93" s="375" t="e">
        <f>IF(V89=0,"",VLOOKUP(V89,'Tablas Magia'!$D$6:$Z$779,9,FALSE))</f>
        <v>#N/A</v>
      </c>
      <c r="Y93" s="375" t="e">
        <f>IF(V89=0,"",VLOOKUP(V89,'Tablas Magia'!$D$6:$Z$779,13,FALSE))</f>
        <v>#N/A</v>
      </c>
      <c r="Z93" s="376" t="e">
        <f>IF(V89=0,"",VLOOKUP(V89,'Tablas Magia'!$D$6:$Z$779,17,FALSE))</f>
        <v>#N/A</v>
      </c>
      <c r="AA93" s="8393" t="e">
        <f>IF(V89=0,"",VLOOKUP(V89,'Tablas Magia'!$D$6:$Z$779,21,FALSE))</f>
        <v>#N/A</v>
      </c>
      <c r="AB93" s="8394"/>
      <c r="AC93" s="8394"/>
      <c r="AD93" s="8394"/>
      <c r="AE93" s="8394"/>
      <c r="AF93" s="8394"/>
      <c r="AG93" s="8394"/>
      <c r="AH93" s="8394"/>
      <c r="AI93" s="8394"/>
      <c r="AJ93" s="8395"/>
      <c r="AK93" s="366"/>
      <c r="AL93" s="360"/>
    </row>
    <row r="94" spans="1:38" ht="12" customHeight="1" thickBot="1">
      <c r="A94" s="360"/>
      <c r="B94" s="734"/>
      <c r="C94" s="8401" t="s">
        <v>3037</v>
      </c>
      <c r="D94" s="8402"/>
      <c r="E94" s="379" t="e">
        <f>IF(C89=0,"",VLOOKUP(C89,'Tablas Magia'!$D$6:$Z$779,10,FALSE))</f>
        <v>#N/A</v>
      </c>
      <c r="F94" s="379" t="e">
        <f>IF(C89=0,"",VLOOKUP(C89,'Tablas Magia'!$D$6:$Z$779,14,FALSE))</f>
        <v>#N/A</v>
      </c>
      <c r="G94" s="380" t="e">
        <f>IF(C89=0,"",VLOOKUP(C89,'Tablas Magia'!$D$6:$Z$779,18,FALSE))</f>
        <v>#N/A</v>
      </c>
      <c r="H94" s="8403" t="e">
        <f>IF(C89=0,"",VLOOKUP(C89,'Tablas Magia'!$D$6:$Z$779,22,FALSE))</f>
        <v>#N/A</v>
      </c>
      <c r="I94" s="8404"/>
      <c r="J94" s="8404"/>
      <c r="K94" s="8404"/>
      <c r="L94" s="8404"/>
      <c r="M94" s="8404"/>
      <c r="N94" s="8404"/>
      <c r="O94" s="8404"/>
      <c r="P94" s="8404"/>
      <c r="Q94" s="8405"/>
      <c r="R94" s="366"/>
      <c r="S94" s="360"/>
      <c r="T94" s="360"/>
      <c r="U94" s="734"/>
      <c r="V94" s="8401" t="s">
        <v>3037</v>
      </c>
      <c r="W94" s="8402"/>
      <c r="X94" s="379" t="e">
        <f>IF(V89=0,"",VLOOKUP(V89,'Tablas Magia'!$D$6:$Z$779,10,FALSE))</f>
        <v>#N/A</v>
      </c>
      <c r="Y94" s="379" t="e">
        <f>IF(V89=0,"",VLOOKUP(V89,'Tablas Magia'!$D$6:$Z$779,14,FALSE))</f>
        <v>#N/A</v>
      </c>
      <c r="Z94" s="380" t="e">
        <f>IF(V89=0,"",VLOOKUP(V89,'Tablas Magia'!$D$6:$Z$779,18,FALSE))</f>
        <v>#N/A</v>
      </c>
      <c r="AA94" s="8403" t="e">
        <f>IF(V89=0,"",VLOOKUP(V89,'Tablas Magia'!$D$6:$Z$779,22,FALSE))</f>
        <v>#N/A</v>
      </c>
      <c r="AB94" s="8404"/>
      <c r="AC94" s="8404"/>
      <c r="AD94" s="8404"/>
      <c r="AE94" s="8404"/>
      <c r="AF94" s="8404"/>
      <c r="AG94" s="8404"/>
      <c r="AH94" s="8404"/>
      <c r="AI94" s="8404"/>
      <c r="AJ94" s="8405"/>
      <c r="AK94" s="366"/>
      <c r="AL94" s="360"/>
    </row>
    <row r="95" spans="1:38" ht="12" customHeight="1">
      <c r="A95" s="360"/>
      <c r="B95" s="734"/>
      <c r="C95" s="8406" t="e">
        <f>IF(C89=0,"",VLOOKUP(C89,'Tablas Magia'!$D$6:$Z$779,23,FALSE))</f>
        <v>#N/A</v>
      </c>
      <c r="D95" s="8407"/>
      <c r="E95" s="8407"/>
      <c r="F95" s="8407"/>
      <c r="G95" s="8407"/>
      <c r="H95" s="8407"/>
      <c r="I95" s="8407"/>
      <c r="J95" s="8407"/>
      <c r="K95" s="8407"/>
      <c r="L95" s="8407"/>
      <c r="M95" s="8407"/>
      <c r="N95" s="8407"/>
      <c r="O95" s="8407"/>
      <c r="P95" s="8407"/>
      <c r="Q95" s="8408"/>
      <c r="R95" s="366"/>
      <c r="S95" s="360"/>
      <c r="T95" s="360"/>
      <c r="U95" s="734"/>
      <c r="V95" s="8406" t="e">
        <f>IF(V89=0,"",VLOOKUP(V89,'Tablas Magia'!$D$6:$Z$779,23,FALSE))</f>
        <v>#N/A</v>
      </c>
      <c r="W95" s="8407"/>
      <c r="X95" s="8407"/>
      <c r="Y95" s="8407"/>
      <c r="Z95" s="8407"/>
      <c r="AA95" s="8407"/>
      <c r="AB95" s="8407"/>
      <c r="AC95" s="8407"/>
      <c r="AD95" s="8407"/>
      <c r="AE95" s="8407"/>
      <c r="AF95" s="8407"/>
      <c r="AG95" s="8407"/>
      <c r="AH95" s="8407"/>
      <c r="AI95" s="8407"/>
      <c r="AJ95" s="8408"/>
      <c r="AK95" s="366"/>
      <c r="AL95" s="360"/>
    </row>
    <row r="96" spans="1:38" ht="12" customHeight="1">
      <c r="A96" s="360"/>
      <c r="B96" s="734"/>
      <c r="C96" s="8409"/>
      <c r="D96" s="8410"/>
      <c r="E96" s="8410"/>
      <c r="F96" s="8410"/>
      <c r="G96" s="8410"/>
      <c r="H96" s="8410"/>
      <c r="I96" s="8410"/>
      <c r="J96" s="8410"/>
      <c r="K96" s="8410"/>
      <c r="L96" s="8410"/>
      <c r="M96" s="8410"/>
      <c r="N96" s="8410"/>
      <c r="O96" s="8410"/>
      <c r="P96" s="8410"/>
      <c r="Q96" s="8411"/>
      <c r="R96" s="366"/>
      <c r="S96" s="360"/>
      <c r="T96" s="360"/>
      <c r="U96" s="734"/>
      <c r="V96" s="8409"/>
      <c r="W96" s="8410"/>
      <c r="X96" s="8410"/>
      <c r="Y96" s="8410"/>
      <c r="Z96" s="8410"/>
      <c r="AA96" s="8410"/>
      <c r="AB96" s="8410"/>
      <c r="AC96" s="8410"/>
      <c r="AD96" s="8410"/>
      <c r="AE96" s="8410"/>
      <c r="AF96" s="8410"/>
      <c r="AG96" s="8410"/>
      <c r="AH96" s="8410"/>
      <c r="AI96" s="8410"/>
      <c r="AJ96" s="8411"/>
      <c r="AK96" s="366"/>
      <c r="AL96" s="360"/>
    </row>
    <row r="97" spans="1:38" ht="12" customHeight="1">
      <c r="A97" s="360"/>
      <c r="B97" s="734"/>
      <c r="C97" s="8409"/>
      <c r="D97" s="8410"/>
      <c r="E97" s="8410"/>
      <c r="F97" s="8410"/>
      <c r="G97" s="8410"/>
      <c r="H97" s="8410"/>
      <c r="I97" s="8410"/>
      <c r="J97" s="8410"/>
      <c r="K97" s="8410"/>
      <c r="L97" s="8410"/>
      <c r="M97" s="8410"/>
      <c r="N97" s="8410"/>
      <c r="O97" s="8410"/>
      <c r="P97" s="8410"/>
      <c r="Q97" s="8411"/>
      <c r="R97" s="366"/>
      <c r="S97" s="360"/>
      <c r="T97" s="360"/>
      <c r="U97" s="734"/>
      <c r="V97" s="8409"/>
      <c r="W97" s="8410"/>
      <c r="X97" s="8410"/>
      <c r="Y97" s="8410"/>
      <c r="Z97" s="8410"/>
      <c r="AA97" s="8410"/>
      <c r="AB97" s="8410"/>
      <c r="AC97" s="8410"/>
      <c r="AD97" s="8410"/>
      <c r="AE97" s="8410"/>
      <c r="AF97" s="8410"/>
      <c r="AG97" s="8410"/>
      <c r="AH97" s="8410"/>
      <c r="AI97" s="8410"/>
      <c r="AJ97" s="8411"/>
      <c r="AK97" s="366"/>
      <c r="AL97" s="360"/>
    </row>
    <row r="98" spans="1:38" ht="12" customHeight="1" thickBot="1">
      <c r="A98" s="360"/>
      <c r="B98" s="734"/>
      <c r="C98" s="8412"/>
      <c r="D98" s="8413"/>
      <c r="E98" s="8413"/>
      <c r="F98" s="8413"/>
      <c r="G98" s="8413"/>
      <c r="H98" s="8413"/>
      <c r="I98" s="8413"/>
      <c r="J98" s="8413"/>
      <c r="K98" s="8413"/>
      <c r="L98" s="8413"/>
      <c r="M98" s="8413"/>
      <c r="N98" s="8413"/>
      <c r="O98" s="8413"/>
      <c r="P98" s="8413"/>
      <c r="Q98" s="8414"/>
      <c r="R98" s="366"/>
      <c r="S98" s="360"/>
      <c r="T98" s="360"/>
      <c r="U98" s="734"/>
      <c r="V98" s="8412"/>
      <c r="W98" s="8413"/>
      <c r="X98" s="8413"/>
      <c r="Y98" s="8413"/>
      <c r="Z98" s="8413"/>
      <c r="AA98" s="8413"/>
      <c r="AB98" s="8413"/>
      <c r="AC98" s="8413"/>
      <c r="AD98" s="8413"/>
      <c r="AE98" s="8413"/>
      <c r="AF98" s="8413"/>
      <c r="AG98" s="8413"/>
      <c r="AH98" s="8413"/>
      <c r="AI98" s="8413"/>
      <c r="AJ98" s="8414"/>
      <c r="AK98" s="366"/>
      <c r="AL98" s="360"/>
    </row>
    <row r="99" spans="1:38" ht="12" customHeight="1" thickBot="1">
      <c r="A99" s="360"/>
      <c r="B99" s="734"/>
      <c r="C99" s="383"/>
      <c r="D99" s="383"/>
      <c r="E99" s="384"/>
      <c r="F99" s="384"/>
      <c r="G99" s="384"/>
      <c r="H99" s="383"/>
      <c r="I99" s="329"/>
      <c r="J99" s="329"/>
      <c r="K99" s="383"/>
      <c r="L99" s="383"/>
      <c r="M99" s="329"/>
      <c r="N99" s="329"/>
      <c r="O99" s="385"/>
      <c r="P99" s="385"/>
      <c r="Q99" s="329"/>
      <c r="R99" s="366"/>
      <c r="S99" s="360"/>
      <c r="T99" s="360"/>
      <c r="U99" s="734"/>
      <c r="V99" s="386"/>
      <c r="W99" s="386"/>
      <c r="X99" s="387"/>
      <c r="Y99" s="387"/>
      <c r="Z99" s="387"/>
      <c r="AA99" s="387"/>
      <c r="AB99" s="387"/>
      <c r="AC99" s="387"/>
      <c r="AD99" s="387"/>
      <c r="AE99" s="387"/>
      <c r="AF99" s="387"/>
      <c r="AG99" s="387"/>
      <c r="AH99" s="387"/>
      <c r="AI99" s="387"/>
      <c r="AJ99" s="387"/>
      <c r="AK99" s="366"/>
      <c r="AL99" s="360"/>
    </row>
    <row r="100" spans="1:38" ht="12" customHeight="1">
      <c r="A100" s="360"/>
      <c r="B100" s="734">
        <f>B89+2</f>
        <v>26</v>
      </c>
      <c r="C100" s="8417" t="str">
        <f>IF(ISNA(VLOOKUP($J$6&amp;B100,'Tablas Magia'!$B$6:$D$779,3,FALSE)),IF(ISNA(VLOOKUP($J$8&amp;B100,'Tablas Magia'!$B$6:$D$779,3,FALSE)),IF(ISNA(VLOOKUP($J$6&amp;B100,Místicos!$AD$12:$AJ$50,4,FALSE)),"Libre Acceso 1-"&amp;MID(C$77,SEARCH("-",C$77)+1,3),VLOOKUP($J$6&amp;B100,Místicos!$AD$12:$AJ$50,4,FALSE)),VLOOKUP($J$8&amp;B100,'Tablas Magia'!$B$6:$D$779,3,FALSE)),VLOOKUP($J$6&amp;B100,'Tablas Magia'!$B$6:$D$779,3,FALSE))</f>
        <v>Libre Acceso 1-30</v>
      </c>
      <c r="D100" s="8418"/>
      <c r="E100" s="8418"/>
      <c r="F100" s="8418"/>
      <c r="G100" s="8419"/>
      <c r="H100" s="370" t="s">
        <v>1186</v>
      </c>
      <c r="I100" s="371">
        <f>B100</f>
        <v>26</v>
      </c>
      <c r="J100" s="8420" t="s">
        <v>5816</v>
      </c>
      <c r="K100" s="8420"/>
      <c r="L100" s="8420"/>
      <c r="M100" s="8378" t="e">
        <f>IF(C100=0,"",VLOOKUP(C100,'Tablas Magia'!$D$6:$Z$779,2,FALSE))</f>
        <v>#N/A</v>
      </c>
      <c r="N100" s="8378"/>
      <c r="O100" s="1525"/>
      <c r="P100" s="8415" t="str">
        <f>IFERROR(IF(M100="Libre Acceso","Aprendido",IF(IFERROR(VLOOKUP(M100,Místicos!$C$15:$H$25,6,0)&gt;=I100,FALSE),"Aprendido",IF(IFERROR(VLOOKUP(M100,Místicos!$E$15:$H$25,4,0)&gt;=I100,FALSE),"Aprendido",""))),"")</f>
        <v/>
      </c>
      <c r="Q100" s="8416"/>
      <c r="R100" s="366"/>
      <c r="S100" s="360"/>
      <c r="T100" s="360"/>
      <c r="U100" s="734">
        <f>U89+2</f>
        <v>36</v>
      </c>
      <c r="V100" s="8417" t="str">
        <f>IF(ISNA(VLOOKUP($J$6&amp;U100,'Tablas Magia'!$B$6:$D$779,3,FALSE)),IF(ISNA(VLOOKUP($J$8&amp;U100,'Tablas Magia'!$B$6:$D$779,3,FALSE)),IF(ISNA(VLOOKUP($J$6&amp;U100,Místicos!$AD$12:$AJ$50,4,FALSE)),"Libre Acceso 1-"&amp;MID(V$77,SEARCH("-",V$77)+1,3),VLOOKUP($J$6&amp;U100,Místicos!$AD$12:$AJ$50,4,FALSE)),VLOOKUP($J$8&amp;U100,'Tablas Magia'!$B$6:$D$779,3,FALSE)),VLOOKUP($J$6&amp;U100,'Tablas Magia'!$B$6:$D$779,3,FALSE))</f>
        <v>Libre Acceso 1-40</v>
      </c>
      <c r="W100" s="8418"/>
      <c r="X100" s="8418"/>
      <c r="Y100" s="8418"/>
      <c r="Z100" s="8418"/>
      <c r="AA100" s="370" t="s">
        <v>1186</v>
      </c>
      <c r="AB100" s="371">
        <f>U100</f>
        <v>36</v>
      </c>
      <c r="AC100" s="8420" t="s">
        <v>5816</v>
      </c>
      <c r="AD100" s="8420"/>
      <c r="AE100" s="8420"/>
      <c r="AF100" s="8378" t="e">
        <f>IF(V100=0,"",VLOOKUP(V100,'Tablas Magia'!$D$6:$Z$779,2,FALSE))</f>
        <v>#N/A</v>
      </c>
      <c r="AG100" s="8378"/>
      <c r="AH100" s="1525"/>
      <c r="AI100" s="8415" t="str">
        <f>IFERROR(IF(AF100="Libre Acceso","Aprendido",IF(IFERROR(VLOOKUP(AF100,Místicos!$C$15:$H$25,6,0)&gt;=AB100,FALSE),"Aprendido",IF(IFERROR(VLOOKUP(AF100,Místicos!$E$15:$H$25,4,0)&gt;=AB100,FALSE),"Aprendido",""))),"")</f>
        <v/>
      </c>
      <c r="AJ100" s="8416"/>
      <c r="AK100" s="366"/>
      <c r="AL100" s="360"/>
    </row>
    <row r="101" spans="1:38" ht="12" customHeight="1">
      <c r="A101" s="360"/>
      <c r="B101" s="734"/>
      <c r="C101" s="8399" t="s">
        <v>5817</v>
      </c>
      <c r="D101" s="8426"/>
      <c r="E101" s="2162" t="s">
        <v>5818</v>
      </c>
      <c r="F101" s="2162" t="s">
        <v>1368</v>
      </c>
      <c r="G101" s="2162" t="s">
        <v>2666</v>
      </c>
      <c r="H101" s="2163" t="s">
        <v>1690</v>
      </c>
      <c r="I101" s="8424" t="e">
        <f>IF(C100=0,"",VLOOKUP(C100,'Tablas Magia'!$D$6:$Z$779,5,FALSE))</f>
        <v>#N/A</v>
      </c>
      <c r="J101" s="8424"/>
      <c r="K101" s="8427" t="s">
        <v>5819</v>
      </c>
      <c r="L101" s="8427"/>
      <c r="M101" s="8424" t="e">
        <f>IF(C100=0,"",VLOOKUP(C100,'Tablas Magia'!$D$6:$Z$779,6,FALSE))</f>
        <v>#N/A</v>
      </c>
      <c r="N101" s="8424"/>
      <c r="O101" s="8425" t="s">
        <v>5820</v>
      </c>
      <c r="P101" s="8425"/>
      <c r="Q101" s="2164" t="e">
        <f>IF(C100=0,"",VLOOKUP(C100,'Tablas Magia'!$D$6:$Z$779,4,FALSE))</f>
        <v>#N/A</v>
      </c>
      <c r="R101" s="366"/>
      <c r="S101" s="360"/>
      <c r="T101" s="360"/>
      <c r="U101" s="734"/>
      <c r="V101" s="8399" t="s">
        <v>5817</v>
      </c>
      <c r="W101" s="8428"/>
      <c r="X101" s="1534" t="s">
        <v>5818</v>
      </c>
      <c r="Y101" s="1534" t="s">
        <v>1368</v>
      </c>
      <c r="Z101" s="1534" t="s">
        <v>2666</v>
      </c>
      <c r="AA101" s="1535" t="s">
        <v>1690</v>
      </c>
      <c r="AB101" s="8429" t="e">
        <f>IF(V100=0,"",VLOOKUP(V100,'Tablas Magia'!$D$6:$Z$779,5,FALSE))</f>
        <v>#N/A</v>
      </c>
      <c r="AC101" s="8429"/>
      <c r="AD101" s="8430" t="s">
        <v>5819</v>
      </c>
      <c r="AE101" s="8430"/>
      <c r="AF101" s="8429" t="e">
        <f>IF(V100=0,"",VLOOKUP(V100,'Tablas Magia'!$D$6:$Z$779,6,FALSE))</f>
        <v>#N/A</v>
      </c>
      <c r="AG101" s="8429"/>
      <c r="AH101" s="8431" t="s">
        <v>5820</v>
      </c>
      <c r="AI101" s="8431"/>
      <c r="AJ101" s="1536" t="e">
        <f>IF(V100=0,"",VLOOKUP(V100,'Tablas Magia'!$D$6:$Z$779,4,FALSE))</f>
        <v>#N/A</v>
      </c>
      <c r="AK101" s="366"/>
      <c r="AL101" s="360"/>
    </row>
    <row r="102" spans="1:38" ht="12" customHeight="1">
      <c r="A102" s="360"/>
      <c r="B102" s="734"/>
      <c r="C102" s="8434" t="s">
        <v>1225</v>
      </c>
      <c r="D102" s="8435"/>
      <c r="E102" s="375" t="e">
        <f>IF(C100=0,"",VLOOKUP(C100,'Tablas Magia'!$D$6:$Z$779,7,FALSE))</f>
        <v>#N/A</v>
      </c>
      <c r="F102" s="375" t="e">
        <f>IF(C100=0,"",VLOOKUP(C100,'Tablas Magia'!$D$6:$Z$779,11,FALSE))</f>
        <v>#N/A</v>
      </c>
      <c r="G102" s="376" t="e">
        <f>IF(C100=0,"",VLOOKUP(C100,'Tablas Magia'!$D$6:$Z$779,15,FALSE))</f>
        <v>#N/A</v>
      </c>
      <c r="H102" s="8421" t="e">
        <f>IF(C100=0,"",VLOOKUP(C100,'Tablas Magia'!$D$6:$Z$779,19,FALSE))</f>
        <v>#N/A</v>
      </c>
      <c r="I102" s="8422"/>
      <c r="J102" s="8422"/>
      <c r="K102" s="8422"/>
      <c r="L102" s="8422"/>
      <c r="M102" s="8422"/>
      <c r="N102" s="8422"/>
      <c r="O102" s="8422"/>
      <c r="P102" s="8422"/>
      <c r="Q102" s="8423"/>
      <c r="R102" s="366"/>
      <c r="S102" s="360"/>
      <c r="T102" s="360"/>
      <c r="U102" s="734"/>
      <c r="V102" s="8391" t="s">
        <v>1225</v>
      </c>
      <c r="W102" s="8392"/>
      <c r="X102" s="375" t="e">
        <f>IF(V100=0,"",VLOOKUP(V100,'Tablas Magia'!$D$6:$Z$779,7,FALSE))</f>
        <v>#N/A</v>
      </c>
      <c r="Y102" s="375" t="e">
        <f>IF(V100=0,"",VLOOKUP(V100,'Tablas Magia'!$D$6:$Z$779,11,FALSE))</f>
        <v>#N/A</v>
      </c>
      <c r="Z102" s="376" t="e">
        <f>IF(V100=0,"",VLOOKUP(V100,'Tablas Magia'!$D$6:$Z$779,15,FALSE))</f>
        <v>#N/A</v>
      </c>
      <c r="AA102" s="8393" t="e">
        <f>IF(V100=0,"",VLOOKUP(V100,'Tablas Magia'!$D$6:$Z$779,19,FALSE))</f>
        <v>#N/A</v>
      </c>
      <c r="AB102" s="8394"/>
      <c r="AC102" s="8394"/>
      <c r="AD102" s="8394"/>
      <c r="AE102" s="8394"/>
      <c r="AF102" s="8394"/>
      <c r="AG102" s="8394"/>
      <c r="AH102" s="8394"/>
      <c r="AI102" s="8394"/>
      <c r="AJ102" s="8395"/>
      <c r="AK102" s="366"/>
      <c r="AL102" s="360"/>
    </row>
    <row r="103" spans="1:38" ht="12" customHeight="1">
      <c r="A103" s="360"/>
      <c r="B103" s="734"/>
      <c r="C103" s="8386" t="s">
        <v>3035</v>
      </c>
      <c r="D103" s="8387"/>
      <c r="E103" s="377" t="e">
        <f>IF(C100=0,"",VLOOKUP(C100,'Tablas Magia'!$D$6:$Z$779,8,FALSE))</f>
        <v>#N/A</v>
      </c>
      <c r="F103" s="377" t="e">
        <f>IF(C100=0,"",VLOOKUP(C100,'Tablas Magia'!$D$6:$Z$779,12,FALSE))</f>
        <v>#N/A</v>
      </c>
      <c r="G103" s="378" t="e">
        <f>IF(C100=0,"",VLOOKUP(C100,'Tablas Magia'!$D$6:$Z$779,16,FALSE))</f>
        <v>#N/A</v>
      </c>
      <c r="H103" s="8388" t="e">
        <f>IF(C100=0,"",VLOOKUP(C100,'Tablas Magia'!$D$6:$Z$779,20,FALSE))</f>
        <v>#N/A</v>
      </c>
      <c r="I103" s="8389"/>
      <c r="J103" s="8389"/>
      <c r="K103" s="8389"/>
      <c r="L103" s="8389"/>
      <c r="M103" s="8389"/>
      <c r="N103" s="8389"/>
      <c r="O103" s="8389"/>
      <c r="P103" s="8389"/>
      <c r="Q103" s="8390"/>
      <c r="R103" s="366"/>
      <c r="S103" s="360"/>
      <c r="T103" s="360"/>
      <c r="U103" s="734"/>
      <c r="V103" s="8386" t="s">
        <v>3035</v>
      </c>
      <c r="W103" s="8387"/>
      <c r="X103" s="377" t="e">
        <f>IF(V100=0,"",VLOOKUP(V100,'Tablas Magia'!$D$6:$Z$779,8,FALSE))</f>
        <v>#N/A</v>
      </c>
      <c r="Y103" s="377" t="e">
        <f>IF(V100=0,"",VLOOKUP(V100,'Tablas Magia'!$D$6:$Z$779,12,FALSE))</f>
        <v>#N/A</v>
      </c>
      <c r="Z103" s="378" t="e">
        <f>IF(V100=0,"",VLOOKUP(V100,'Tablas Magia'!$D$6:$Z$779,16,FALSE))</f>
        <v>#N/A</v>
      </c>
      <c r="AA103" s="8388" t="e">
        <f>IF(V100=0,"",VLOOKUP(V100,'Tablas Magia'!$D$6:$Z$779,20,FALSE))</f>
        <v>#N/A</v>
      </c>
      <c r="AB103" s="8389"/>
      <c r="AC103" s="8389"/>
      <c r="AD103" s="8389"/>
      <c r="AE103" s="8389"/>
      <c r="AF103" s="8389"/>
      <c r="AG103" s="8389"/>
      <c r="AH103" s="8389"/>
      <c r="AI103" s="8389"/>
      <c r="AJ103" s="8390"/>
      <c r="AK103" s="366"/>
      <c r="AL103" s="360"/>
    </row>
    <row r="104" spans="1:38" ht="12" customHeight="1">
      <c r="A104" s="360"/>
      <c r="B104" s="734"/>
      <c r="C104" s="8391" t="s">
        <v>3036</v>
      </c>
      <c r="D104" s="8392"/>
      <c r="E104" s="375" t="e">
        <f>IF(C100=0,"",VLOOKUP(C100,'Tablas Magia'!$D$6:$Z$779,9,FALSE))</f>
        <v>#N/A</v>
      </c>
      <c r="F104" s="375" t="e">
        <f>IF(C100=0,"",VLOOKUP(C100,'Tablas Magia'!$D$6:$Z$779,13,FALSE))</f>
        <v>#N/A</v>
      </c>
      <c r="G104" s="376" t="e">
        <f>IF(C100=0,"",VLOOKUP(C100,'Tablas Magia'!$D$6:$Z$779,17,FALSE))</f>
        <v>#N/A</v>
      </c>
      <c r="H104" s="8393" t="e">
        <f>IF(C100=0,"",VLOOKUP(C100,'Tablas Magia'!$D$6:$Z$779,21,FALSE))</f>
        <v>#N/A</v>
      </c>
      <c r="I104" s="8394"/>
      <c r="J104" s="8394"/>
      <c r="K104" s="8394"/>
      <c r="L104" s="8394"/>
      <c r="M104" s="8394"/>
      <c r="N104" s="8394"/>
      <c r="O104" s="8394"/>
      <c r="P104" s="8394"/>
      <c r="Q104" s="8395"/>
      <c r="R104" s="366"/>
      <c r="S104" s="360"/>
      <c r="T104" s="360"/>
      <c r="U104" s="734"/>
      <c r="V104" s="8391" t="s">
        <v>3036</v>
      </c>
      <c r="W104" s="8392"/>
      <c r="X104" s="375" t="e">
        <f>IF(V100=0,"",VLOOKUP(V100,'Tablas Magia'!$D$6:$Z$779,9,FALSE))</f>
        <v>#N/A</v>
      </c>
      <c r="Y104" s="375" t="e">
        <f>IF(V100=0,"",VLOOKUP(V100,'Tablas Magia'!$D$6:$Z$779,13,FALSE))</f>
        <v>#N/A</v>
      </c>
      <c r="Z104" s="376" t="e">
        <f>IF(V100=0,"",VLOOKUP(V100,'Tablas Magia'!$D$6:$Z$779,17,FALSE))</f>
        <v>#N/A</v>
      </c>
      <c r="AA104" s="8393" t="e">
        <f>IF(V100=0,"",VLOOKUP(V100,'Tablas Magia'!$D$6:$Z$779,21,FALSE))</f>
        <v>#N/A</v>
      </c>
      <c r="AB104" s="8394"/>
      <c r="AC104" s="8394"/>
      <c r="AD104" s="8394"/>
      <c r="AE104" s="8394"/>
      <c r="AF104" s="8394"/>
      <c r="AG104" s="8394"/>
      <c r="AH104" s="8394"/>
      <c r="AI104" s="8394"/>
      <c r="AJ104" s="8395"/>
      <c r="AK104" s="366"/>
      <c r="AL104" s="360"/>
    </row>
    <row r="105" spans="1:38" ht="12" customHeight="1" thickBot="1">
      <c r="A105" s="360"/>
      <c r="B105" s="734"/>
      <c r="C105" s="8401" t="s">
        <v>3037</v>
      </c>
      <c r="D105" s="8402"/>
      <c r="E105" s="379" t="e">
        <f>IF(C100=0,"",VLOOKUP(C100,'Tablas Magia'!$D$6:$Z$779,10,FALSE))</f>
        <v>#N/A</v>
      </c>
      <c r="F105" s="379" t="e">
        <f>IF(C100=0,"",VLOOKUP(C100,'Tablas Magia'!$D$6:$Z$779,14,FALSE))</f>
        <v>#N/A</v>
      </c>
      <c r="G105" s="380" t="e">
        <f>IF(C100=0,"",VLOOKUP(C100,'Tablas Magia'!$D$6:$Z$779,18,FALSE))</f>
        <v>#N/A</v>
      </c>
      <c r="H105" s="8403" t="e">
        <f>IF(C100=0,"",VLOOKUP(C100,'Tablas Magia'!$D$6:$Z$779,22,FALSE))</f>
        <v>#N/A</v>
      </c>
      <c r="I105" s="8404"/>
      <c r="J105" s="8404"/>
      <c r="K105" s="8404"/>
      <c r="L105" s="8404"/>
      <c r="M105" s="8404"/>
      <c r="N105" s="8404"/>
      <c r="O105" s="8404"/>
      <c r="P105" s="8404"/>
      <c r="Q105" s="8405"/>
      <c r="R105" s="366"/>
      <c r="S105" s="360"/>
      <c r="T105" s="360"/>
      <c r="U105" s="734"/>
      <c r="V105" s="8401" t="s">
        <v>3037</v>
      </c>
      <c r="W105" s="8402"/>
      <c r="X105" s="379" t="e">
        <f>IF(V100=0,"",VLOOKUP(V100,'Tablas Magia'!$D$6:$Z$779,10,FALSE))</f>
        <v>#N/A</v>
      </c>
      <c r="Y105" s="379" t="e">
        <f>IF(V100=0,"",VLOOKUP(V100,'Tablas Magia'!$D$6:$Z$779,14,FALSE))</f>
        <v>#N/A</v>
      </c>
      <c r="Z105" s="380" t="e">
        <f>IF(V100=0,"",VLOOKUP(V100,'Tablas Magia'!$D$6:$Z$779,18,FALSE))</f>
        <v>#N/A</v>
      </c>
      <c r="AA105" s="8403" t="e">
        <f>IF(V100=0,"",VLOOKUP(V100,'Tablas Magia'!$D$6:$Z$779,22,FALSE))</f>
        <v>#N/A</v>
      </c>
      <c r="AB105" s="8404"/>
      <c r="AC105" s="8404"/>
      <c r="AD105" s="8404"/>
      <c r="AE105" s="8404"/>
      <c r="AF105" s="8404"/>
      <c r="AG105" s="8404"/>
      <c r="AH105" s="8404"/>
      <c r="AI105" s="8404"/>
      <c r="AJ105" s="8405"/>
      <c r="AK105" s="366"/>
      <c r="AL105" s="360"/>
    </row>
    <row r="106" spans="1:38" ht="12" customHeight="1">
      <c r="A106" s="360"/>
      <c r="B106" s="734"/>
      <c r="C106" s="8406" t="e">
        <f>IF(C100=0,"",VLOOKUP(C100,'Tablas Magia'!$D$6:$Z$779,23,FALSE))</f>
        <v>#N/A</v>
      </c>
      <c r="D106" s="8407"/>
      <c r="E106" s="8407"/>
      <c r="F106" s="8407"/>
      <c r="G106" s="8407"/>
      <c r="H106" s="8407"/>
      <c r="I106" s="8407"/>
      <c r="J106" s="8407"/>
      <c r="K106" s="8407"/>
      <c r="L106" s="8407"/>
      <c r="M106" s="8407"/>
      <c r="N106" s="8407"/>
      <c r="O106" s="8407"/>
      <c r="P106" s="8407"/>
      <c r="Q106" s="8408"/>
      <c r="R106" s="366"/>
      <c r="S106" s="360"/>
      <c r="T106" s="360"/>
      <c r="U106" s="734"/>
      <c r="V106" s="8406" t="e">
        <f>IF(V100=0,"",VLOOKUP(V100,'Tablas Magia'!$D$6:$Z$779,23,FALSE))</f>
        <v>#N/A</v>
      </c>
      <c r="W106" s="8407"/>
      <c r="X106" s="8407"/>
      <c r="Y106" s="8407"/>
      <c r="Z106" s="8407"/>
      <c r="AA106" s="8407"/>
      <c r="AB106" s="8407"/>
      <c r="AC106" s="8407"/>
      <c r="AD106" s="8407"/>
      <c r="AE106" s="8407"/>
      <c r="AF106" s="8407"/>
      <c r="AG106" s="8407"/>
      <c r="AH106" s="8407"/>
      <c r="AI106" s="8407"/>
      <c r="AJ106" s="8408"/>
      <c r="AK106" s="366"/>
      <c r="AL106" s="360"/>
    </row>
    <row r="107" spans="1:38" ht="12" customHeight="1">
      <c r="A107" s="360"/>
      <c r="B107" s="734"/>
      <c r="C107" s="8409"/>
      <c r="D107" s="8410"/>
      <c r="E107" s="8410"/>
      <c r="F107" s="8410"/>
      <c r="G107" s="8410"/>
      <c r="H107" s="8410"/>
      <c r="I107" s="8410"/>
      <c r="J107" s="8410"/>
      <c r="K107" s="8410"/>
      <c r="L107" s="8410"/>
      <c r="M107" s="8410"/>
      <c r="N107" s="8410"/>
      <c r="O107" s="8410"/>
      <c r="P107" s="8410"/>
      <c r="Q107" s="8411"/>
      <c r="R107" s="366"/>
      <c r="S107" s="360"/>
      <c r="T107" s="360"/>
      <c r="U107" s="734"/>
      <c r="V107" s="8409"/>
      <c r="W107" s="8410"/>
      <c r="X107" s="8410"/>
      <c r="Y107" s="8410"/>
      <c r="Z107" s="8410"/>
      <c r="AA107" s="8410"/>
      <c r="AB107" s="8410"/>
      <c r="AC107" s="8410"/>
      <c r="AD107" s="8410"/>
      <c r="AE107" s="8410"/>
      <c r="AF107" s="8410"/>
      <c r="AG107" s="8410"/>
      <c r="AH107" s="8410"/>
      <c r="AI107" s="8410"/>
      <c r="AJ107" s="8411"/>
      <c r="AK107" s="366"/>
      <c r="AL107" s="360"/>
    </row>
    <row r="108" spans="1:38" ht="12" customHeight="1">
      <c r="A108" s="360"/>
      <c r="B108" s="734"/>
      <c r="C108" s="8409"/>
      <c r="D108" s="8410"/>
      <c r="E108" s="8410"/>
      <c r="F108" s="8410"/>
      <c r="G108" s="8410"/>
      <c r="H108" s="8410"/>
      <c r="I108" s="8410"/>
      <c r="J108" s="8410"/>
      <c r="K108" s="8410"/>
      <c r="L108" s="8410"/>
      <c r="M108" s="8410"/>
      <c r="N108" s="8410"/>
      <c r="O108" s="8410"/>
      <c r="P108" s="8410"/>
      <c r="Q108" s="8411"/>
      <c r="R108" s="366"/>
      <c r="S108" s="360"/>
      <c r="T108" s="360"/>
      <c r="U108" s="734"/>
      <c r="V108" s="8409"/>
      <c r="W108" s="8410"/>
      <c r="X108" s="8410"/>
      <c r="Y108" s="8410"/>
      <c r="Z108" s="8410"/>
      <c r="AA108" s="8410"/>
      <c r="AB108" s="8410"/>
      <c r="AC108" s="8410"/>
      <c r="AD108" s="8410"/>
      <c r="AE108" s="8410"/>
      <c r="AF108" s="8410"/>
      <c r="AG108" s="8410"/>
      <c r="AH108" s="8410"/>
      <c r="AI108" s="8410"/>
      <c r="AJ108" s="8411"/>
      <c r="AK108" s="366"/>
      <c r="AL108" s="360"/>
    </row>
    <row r="109" spans="1:38" ht="12" customHeight="1" thickBot="1">
      <c r="A109" s="360"/>
      <c r="B109" s="734"/>
      <c r="C109" s="8412"/>
      <c r="D109" s="8413"/>
      <c r="E109" s="8413"/>
      <c r="F109" s="8413"/>
      <c r="G109" s="8413"/>
      <c r="H109" s="8413"/>
      <c r="I109" s="8413"/>
      <c r="J109" s="8413"/>
      <c r="K109" s="8413"/>
      <c r="L109" s="8413"/>
      <c r="M109" s="8413"/>
      <c r="N109" s="8413"/>
      <c r="O109" s="8413"/>
      <c r="P109" s="8413"/>
      <c r="Q109" s="8414"/>
      <c r="R109" s="366"/>
      <c r="S109" s="360"/>
      <c r="T109" s="360"/>
      <c r="U109" s="734"/>
      <c r="V109" s="8412"/>
      <c r="W109" s="8413"/>
      <c r="X109" s="8413"/>
      <c r="Y109" s="8413"/>
      <c r="Z109" s="8413"/>
      <c r="AA109" s="8413"/>
      <c r="AB109" s="8413"/>
      <c r="AC109" s="8413"/>
      <c r="AD109" s="8413"/>
      <c r="AE109" s="8413"/>
      <c r="AF109" s="8413"/>
      <c r="AG109" s="8413"/>
      <c r="AH109" s="8413"/>
      <c r="AI109" s="8413"/>
      <c r="AJ109" s="8414"/>
      <c r="AK109" s="366"/>
      <c r="AL109" s="360"/>
    </row>
    <row r="110" spans="1:38" ht="12" customHeight="1" thickBot="1">
      <c r="A110" s="360"/>
      <c r="B110" s="734"/>
      <c r="C110" s="386"/>
      <c r="D110" s="386"/>
      <c r="E110" s="387"/>
      <c r="F110" s="387"/>
      <c r="G110" s="387"/>
      <c r="H110" s="387"/>
      <c r="I110" s="387"/>
      <c r="J110" s="387"/>
      <c r="K110" s="387"/>
      <c r="L110" s="387"/>
      <c r="M110" s="387"/>
      <c r="N110" s="387"/>
      <c r="O110" s="387"/>
      <c r="P110" s="387"/>
      <c r="Q110" s="387"/>
      <c r="R110" s="366"/>
      <c r="S110" s="360"/>
      <c r="T110" s="360"/>
      <c r="U110" s="734"/>
      <c r="V110" s="386"/>
      <c r="W110" s="386"/>
      <c r="X110" s="377"/>
      <c r="Y110" s="377"/>
      <c r="Z110" s="377"/>
      <c r="AA110" s="387"/>
      <c r="AB110" s="387"/>
      <c r="AC110" s="387"/>
      <c r="AD110" s="387"/>
      <c r="AE110" s="387"/>
      <c r="AF110" s="387"/>
      <c r="AG110" s="387"/>
      <c r="AH110" s="387"/>
      <c r="AI110" s="387"/>
      <c r="AJ110" s="387"/>
      <c r="AK110" s="366"/>
      <c r="AL110" s="360"/>
    </row>
    <row r="111" spans="1:38" ht="12" customHeight="1">
      <c r="A111" s="360"/>
      <c r="B111" s="734">
        <f>B100+2</f>
        <v>28</v>
      </c>
      <c r="C111" s="8417" t="str">
        <f>IF(ISNA(VLOOKUP($J$6&amp;B111,'Tablas Magia'!$B$6:$D$779,3,FALSE)),IF(ISNA(VLOOKUP($J$8&amp;B111,'Tablas Magia'!$B$6:$D$779,3,FALSE)),IF(ISNA(VLOOKUP($J$6&amp;B111,Místicos!$AD$12:$AJ$50,4,FALSE)),"Libre Acceso 1-"&amp;MID(C$77,SEARCH("-",C$77)+1,3),VLOOKUP($J$6&amp;B111,Místicos!$AD$12:$AJ$50,4,FALSE)),VLOOKUP($J$8&amp;B111,'Tablas Magia'!$B$6:$D$779,3,FALSE)),VLOOKUP($J$6&amp;B111,'Tablas Magia'!$B$6:$D$779,3,FALSE))</f>
        <v>Libre Acceso 1-30</v>
      </c>
      <c r="D111" s="8418"/>
      <c r="E111" s="8418"/>
      <c r="F111" s="8418"/>
      <c r="G111" s="8419"/>
      <c r="H111" s="370" t="s">
        <v>1186</v>
      </c>
      <c r="I111" s="371">
        <f>B111</f>
        <v>28</v>
      </c>
      <c r="J111" s="8420" t="s">
        <v>5816</v>
      </c>
      <c r="K111" s="8420"/>
      <c r="L111" s="8420"/>
      <c r="M111" s="8378" t="e">
        <f>IF(C111=0,"",VLOOKUP(C111,'Tablas Magia'!$D$6:$Z$779,2,FALSE))</f>
        <v>#N/A</v>
      </c>
      <c r="N111" s="8378"/>
      <c r="O111" s="1525"/>
      <c r="P111" s="8415" t="str">
        <f>IFERROR(IF(M111="Libre Acceso","Aprendido",IF(IFERROR(VLOOKUP(M111,Místicos!$C$15:$H$25,6,0)&gt;=I111,FALSE),"Aprendido",IF(IFERROR(VLOOKUP(M111,Místicos!$E$15:$H$25,4,0)&gt;=I111,FALSE),"Aprendido",""))),"")</f>
        <v/>
      </c>
      <c r="Q111" s="8416"/>
      <c r="R111" s="366"/>
      <c r="S111" s="360"/>
      <c r="T111" s="360"/>
      <c r="U111" s="734">
        <f>U100+2</f>
        <v>38</v>
      </c>
      <c r="V111" s="8417" t="str">
        <f>IF(ISNA(VLOOKUP($J$6&amp;U111,'Tablas Magia'!$B$6:$D$779,3,FALSE)),IF(ISNA(VLOOKUP($J$8&amp;U111,'Tablas Magia'!$B$6:$D$779,3,FALSE)),IF(ISNA(VLOOKUP($J$6&amp;U111,Místicos!$AD$12:$AJ$50,4,FALSE)),"Libre Acceso 1-"&amp;MID(V$77,SEARCH("-",V$77)+1,3),VLOOKUP($J$6&amp;U111,Místicos!$AD$12:$AJ$50,4,FALSE)),VLOOKUP($J$8&amp;U111,'Tablas Magia'!$B$6:$D$779,3,FALSE)),VLOOKUP($J$6&amp;U111,'Tablas Magia'!$B$6:$D$779,3,FALSE))</f>
        <v>Libre Acceso 1-40</v>
      </c>
      <c r="W111" s="8418"/>
      <c r="X111" s="8418"/>
      <c r="Y111" s="8418"/>
      <c r="Z111" s="8418"/>
      <c r="AA111" s="370" t="s">
        <v>1186</v>
      </c>
      <c r="AB111" s="371">
        <f>U111</f>
        <v>38</v>
      </c>
      <c r="AC111" s="8420" t="s">
        <v>5816</v>
      </c>
      <c r="AD111" s="8420"/>
      <c r="AE111" s="8420"/>
      <c r="AF111" s="8378" t="e">
        <f>IF(V111=0,"",VLOOKUP(V111,'Tablas Magia'!$D$6:$Z$779,2,FALSE))</f>
        <v>#N/A</v>
      </c>
      <c r="AG111" s="8378"/>
      <c r="AH111" s="1525"/>
      <c r="AI111" s="8415" t="str">
        <f>IFERROR(IF(AF111="Libre Acceso","Aprendido",IF(IFERROR(VLOOKUP(AF111,Místicos!$C$15:$H$25,6,0)&gt;=AB111,FALSE),"Aprendido",IF(IFERROR(VLOOKUP(AF111,Místicos!$E$15:$H$25,4,0)&gt;=AB111,FALSE),"Aprendido",""))),"")</f>
        <v/>
      </c>
      <c r="AJ111" s="8416"/>
      <c r="AK111" s="366"/>
      <c r="AL111" s="360"/>
    </row>
    <row r="112" spans="1:38" ht="12" customHeight="1">
      <c r="A112" s="360"/>
      <c r="B112" s="734"/>
      <c r="C112" s="8399" t="s">
        <v>5817</v>
      </c>
      <c r="D112" s="8426"/>
      <c r="E112" s="2162" t="s">
        <v>5818</v>
      </c>
      <c r="F112" s="2162" t="s">
        <v>1368</v>
      </c>
      <c r="G112" s="2162" t="s">
        <v>2666</v>
      </c>
      <c r="H112" s="2163" t="s">
        <v>1690</v>
      </c>
      <c r="I112" s="8424" t="e">
        <f>IF(C111=0,"",VLOOKUP(C111,'Tablas Magia'!$D$6:$Z$779,5,FALSE))</f>
        <v>#N/A</v>
      </c>
      <c r="J112" s="8424"/>
      <c r="K112" s="8427" t="s">
        <v>5819</v>
      </c>
      <c r="L112" s="8427"/>
      <c r="M112" s="8424" t="e">
        <f>IF(C111=0,"",VLOOKUP(C111,'Tablas Magia'!$D$6:$Z$779,6,FALSE))</f>
        <v>#N/A</v>
      </c>
      <c r="N112" s="8424"/>
      <c r="O112" s="8425" t="s">
        <v>5820</v>
      </c>
      <c r="P112" s="8425"/>
      <c r="Q112" s="2164" t="e">
        <f>IF(C111=0,"",VLOOKUP(C111,'Tablas Magia'!$D$6:$Z$779,4,FALSE))</f>
        <v>#N/A</v>
      </c>
      <c r="R112" s="366"/>
      <c r="S112" s="360"/>
      <c r="T112" s="360"/>
      <c r="U112" s="734"/>
      <c r="V112" s="8399" t="s">
        <v>5817</v>
      </c>
      <c r="W112" s="8428"/>
      <c r="X112" s="1534" t="s">
        <v>5818</v>
      </c>
      <c r="Y112" s="1534" t="s">
        <v>1368</v>
      </c>
      <c r="Z112" s="1534" t="s">
        <v>2666</v>
      </c>
      <c r="AA112" s="1535" t="s">
        <v>1690</v>
      </c>
      <c r="AB112" s="8429" t="e">
        <f>IF(V111=0,"",VLOOKUP(V111,'Tablas Magia'!$D$6:$Z$779,5,FALSE))</f>
        <v>#N/A</v>
      </c>
      <c r="AC112" s="8429"/>
      <c r="AD112" s="8430" t="s">
        <v>5819</v>
      </c>
      <c r="AE112" s="8430"/>
      <c r="AF112" s="8429" t="e">
        <f>IF(V111=0,"",VLOOKUP(V111,'Tablas Magia'!$D$6:$Z$779,6,FALSE))</f>
        <v>#N/A</v>
      </c>
      <c r="AG112" s="8429"/>
      <c r="AH112" s="8431" t="s">
        <v>5820</v>
      </c>
      <c r="AI112" s="8431"/>
      <c r="AJ112" s="1536" t="e">
        <f>IF(V111=0,"",VLOOKUP(V111,'Tablas Magia'!$D$6:$Z$779,4,FALSE))</f>
        <v>#N/A</v>
      </c>
      <c r="AK112" s="366"/>
      <c r="AL112" s="360"/>
    </row>
    <row r="113" spans="1:38" ht="12" customHeight="1">
      <c r="A113" s="360"/>
      <c r="B113" s="734"/>
      <c r="C113" s="8434" t="s">
        <v>1225</v>
      </c>
      <c r="D113" s="8435"/>
      <c r="E113" s="375" t="e">
        <f>IF(C111=0,"",VLOOKUP(C111,'Tablas Magia'!$D$6:$Z$779,7,FALSE))</f>
        <v>#N/A</v>
      </c>
      <c r="F113" s="375" t="e">
        <f>IF(C111=0,"",VLOOKUP(C111,'Tablas Magia'!$D$6:$Z$779,11,FALSE))</f>
        <v>#N/A</v>
      </c>
      <c r="G113" s="376" t="e">
        <f>IF(C111=0,"",VLOOKUP(C111,'Tablas Magia'!$D$6:$Z$779,15,FALSE))</f>
        <v>#N/A</v>
      </c>
      <c r="H113" s="8421" t="e">
        <f>IF(C111=0,"",VLOOKUP(C111,'Tablas Magia'!$D$6:$Z$779,19,FALSE))</f>
        <v>#N/A</v>
      </c>
      <c r="I113" s="8422"/>
      <c r="J113" s="8422"/>
      <c r="K113" s="8422"/>
      <c r="L113" s="8422"/>
      <c r="M113" s="8422"/>
      <c r="N113" s="8422"/>
      <c r="O113" s="8422"/>
      <c r="P113" s="8422"/>
      <c r="Q113" s="8423"/>
      <c r="R113" s="366"/>
      <c r="S113" s="360"/>
      <c r="T113" s="360"/>
      <c r="U113" s="734"/>
      <c r="V113" s="8391" t="s">
        <v>1225</v>
      </c>
      <c r="W113" s="8392"/>
      <c r="X113" s="375" t="e">
        <f>IF(V111=0,"",VLOOKUP(V111,'Tablas Magia'!$D$6:$Z$779,7,FALSE))</f>
        <v>#N/A</v>
      </c>
      <c r="Y113" s="375" t="e">
        <f>IF(V111=0,"",VLOOKUP(V111,'Tablas Magia'!$D$6:$Z$779,11,FALSE))</f>
        <v>#N/A</v>
      </c>
      <c r="Z113" s="376" t="e">
        <f>IF(V111=0,"",VLOOKUP(V111,'Tablas Magia'!$D$6:$Z$779,15,FALSE))</f>
        <v>#N/A</v>
      </c>
      <c r="AA113" s="8393" t="e">
        <f>IF(V111=0,"",VLOOKUP(V111,'Tablas Magia'!$D$6:$Z$779,19,FALSE))</f>
        <v>#N/A</v>
      </c>
      <c r="AB113" s="8394"/>
      <c r="AC113" s="8394"/>
      <c r="AD113" s="8394"/>
      <c r="AE113" s="8394"/>
      <c r="AF113" s="8394"/>
      <c r="AG113" s="8394"/>
      <c r="AH113" s="8394"/>
      <c r="AI113" s="8394"/>
      <c r="AJ113" s="8395"/>
      <c r="AK113" s="366"/>
      <c r="AL113" s="360"/>
    </row>
    <row r="114" spans="1:38" ht="12" customHeight="1">
      <c r="A114" s="360"/>
      <c r="B114" s="734"/>
      <c r="C114" s="8386" t="s">
        <v>3035</v>
      </c>
      <c r="D114" s="8387"/>
      <c r="E114" s="377" t="e">
        <f>IF(C111=0,"",VLOOKUP(C111,'Tablas Magia'!$D$6:$Z$779,8,FALSE))</f>
        <v>#N/A</v>
      </c>
      <c r="F114" s="377" t="e">
        <f>IF(C111=0,"",VLOOKUP(C111,'Tablas Magia'!$D$6:$Z$779,12,FALSE))</f>
        <v>#N/A</v>
      </c>
      <c r="G114" s="378" t="e">
        <f>IF(C111=0,"",VLOOKUP(C111,'Tablas Magia'!$D$6:$Z$779,16,FALSE))</f>
        <v>#N/A</v>
      </c>
      <c r="H114" s="8388" t="e">
        <f>IF(C111=0,"",VLOOKUP(C111,'Tablas Magia'!$D$6:$Z$779,20,FALSE))</f>
        <v>#N/A</v>
      </c>
      <c r="I114" s="8389"/>
      <c r="J114" s="8389"/>
      <c r="K114" s="8389"/>
      <c r="L114" s="8389"/>
      <c r="M114" s="8389"/>
      <c r="N114" s="8389"/>
      <c r="O114" s="8389"/>
      <c r="P114" s="8389"/>
      <c r="Q114" s="8390"/>
      <c r="R114" s="366"/>
      <c r="S114" s="360"/>
      <c r="T114" s="360"/>
      <c r="U114" s="734"/>
      <c r="V114" s="8386" t="s">
        <v>3035</v>
      </c>
      <c r="W114" s="8387"/>
      <c r="X114" s="377" t="e">
        <f>IF(V111=0,"",VLOOKUP(V111,'Tablas Magia'!$D$6:$Z$779,8,FALSE))</f>
        <v>#N/A</v>
      </c>
      <c r="Y114" s="377" t="e">
        <f>IF(V111=0,"",VLOOKUP(V111,'Tablas Magia'!$D$6:$Z$779,12,FALSE))</f>
        <v>#N/A</v>
      </c>
      <c r="Z114" s="378" t="e">
        <f>IF(V111=0,"",VLOOKUP(V111,'Tablas Magia'!$D$6:$Z$779,16,FALSE))</f>
        <v>#N/A</v>
      </c>
      <c r="AA114" s="8388" t="e">
        <f>IF(V111=0,"",VLOOKUP(V111,'Tablas Magia'!$D$6:$Z$779,20,FALSE))</f>
        <v>#N/A</v>
      </c>
      <c r="AB114" s="8389"/>
      <c r="AC114" s="8389"/>
      <c r="AD114" s="8389"/>
      <c r="AE114" s="8389"/>
      <c r="AF114" s="8389"/>
      <c r="AG114" s="8389"/>
      <c r="AH114" s="8389"/>
      <c r="AI114" s="8389"/>
      <c r="AJ114" s="8390"/>
      <c r="AK114" s="366"/>
      <c r="AL114" s="360"/>
    </row>
    <row r="115" spans="1:38" ht="12" customHeight="1">
      <c r="A115" s="360"/>
      <c r="B115" s="734"/>
      <c r="C115" s="8391" t="s">
        <v>3036</v>
      </c>
      <c r="D115" s="8392"/>
      <c r="E115" s="375" t="e">
        <f>IF(C111=0,"",VLOOKUP(C111,'Tablas Magia'!$D$6:$Z$779,9,FALSE))</f>
        <v>#N/A</v>
      </c>
      <c r="F115" s="375" t="e">
        <f>IF(C111=0,"",VLOOKUP(C111,'Tablas Magia'!$D$6:$Z$779,13,FALSE))</f>
        <v>#N/A</v>
      </c>
      <c r="G115" s="376" t="e">
        <f>IF(C111=0,"",VLOOKUP(C111,'Tablas Magia'!$D$6:$Z$779,17,FALSE))</f>
        <v>#N/A</v>
      </c>
      <c r="H115" s="8393" t="e">
        <f>IF(C111=0,"",VLOOKUP(C111,'Tablas Magia'!$D$6:$Z$779,21,FALSE))</f>
        <v>#N/A</v>
      </c>
      <c r="I115" s="8394"/>
      <c r="J115" s="8394"/>
      <c r="K115" s="8394"/>
      <c r="L115" s="8394"/>
      <c r="M115" s="8394"/>
      <c r="N115" s="8394"/>
      <c r="O115" s="8394"/>
      <c r="P115" s="8394"/>
      <c r="Q115" s="8395"/>
      <c r="R115" s="366"/>
      <c r="S115" s="360"/>
      <c r="T115" s="360"/>
      <c r="U115" s="734"/>
      <c r="V115" s="8391" t="s">
        <v>3036</v>
      </c>
      <c r="W115" s="8392"/>
      <c r="X115" s="375" t="e">
        <f>IF(V111=0,"",VLOOKUP(V111,'Tablas Magia'!$D$6:$Z$779,9,FALSE))</f>
        <v>#N/A</v>
      </c>
      <c r="Y115" s="375" t="e">
        <f>IF(V111=0,"",VLOOKUP(V111,'Tablas Magia'!$D$6:$Z$779,13,FALSE))</f>
        <v>#N/A</v>
      </c>
      <c r="Z115" s="376" t="e">
        <f>IF(V111=0,"",VLOOKUP(V111,'Tablas Magia'!$D$6:$Z$779,17,FALSE))</f>
        <v>#N/A</v>
      </c>
      <c r="AA115" s="8393" t="e">
        <f>IF(V111=0,"",VLOOKUP(V111,'Tablas Magia'!$D$6:$Z$779,21,FALSE))</f>
        <v>#N/A</v>
      </c>
      <c r="AB115" s="8394"/>
      <c r="AC115" s="8394"/>
      <c r="AD115" s="8394"/>
      <c r="AE115" s="8394"/>
      <c r="AF115" s="8394"/>
      <c r="AG115" s="8394"/>
      <c r="AH115" s="8394"/>
      <c r="AI115" s="8394"/>
      <c r="AJ115" s="8395"/>
      <c r="AK115" s="366"/>
      <c r="AL115" s="360"/>
    </row>
    <row r="116" spans="1:38" ht="12" customHeight="1" thickBot="1">
      <c r="A116" s="360"/>
      <c r="B116" s="734"/>
      <c r="C116" s="8401" t="s">
        <v>3037</v>
      </c>
      <c r="D116" s="8402"/>
      <c r="E116" s="379" t="e">
        <f>IF(C111=0,"",VLOOKUP(C111,'Tablas Magia'!$D$6:$Z$779,10,FALSE))</f>
        <v>#N/A</v>
      </c>
      <c r="F116" s="379" t="e">
        <f>IF(C111=0,"",VLOOKUP(C111,'Tablas Magia'!$D$6:$Z$779,14,FALSE))</f>
        <v>#N/A</v>
      </c>
      <c r="G116" s="380" t="e">
        <f>IF(C111=0,"",VLOOKUP(C111,'Tablas Magia'!$D$6:$Z$779,18,FALSE))</f>
        <v>#N/A</v>
      </c>
      <c r="H116" s="8403" t="e">
        <f>IF(C111=0,"",VLOOKUP(C111,'Tablas Magia'!$D$6:$Z$779,22,FALSE))</f>
        <v>#N/A</v>
      </c>
      <c r="I116" s="8404"/>
      <c r="J116" s="8404"/>
      <c r="K116" s="8404"/>
      <c r="L116" s="8404"/>
      <c r="M116" s="8404"/>
      <c r="N116" s="8404"/>
      <c r="O116" s="8404"/>
      <c r="P116" s="8404"/>
      <c r="Q116" s="8405"/>
      <c r="R116" s="366"/>
      <c r="S116" s="360"/>
      <c r="T116" s="360"/>
      <c r="U116" s="734"/>
      <c r="V116" s="8401" t="s">
        <v>3037</v>
      </c>
      <c r="W116" s="8402"/>
      <c r="X116" s="379" t="e">
        <f>IF(V111=0,"",VLOOKUP(V111,'Tablas Magia'!$D$6:$Z$779,10,FALSE))</f>
        <v>#N/A</v>
      </c>
      <c r="Y116" s="379" t="e">
        <f>IF(V111=0,"",VLOOKUP(V111,'Tablas Magia'!$D$6:$Z$779,14,FALSE))</f>
        <v>#N/A</v>
      </c>
      <c r="Z116" s="380" t="e">
        <f>IF(V111=0,"",VLOOKUP(V111,'Tablas Magia'!$D$6:$Z$779,18,FALSE))</f>
        <v>#N/A</v>
      </c>
      <c r="AA116" s="8403" t="e">
        <f>IF(V111=0,"",VLOOKUP(V111,'Tablas Magia'!$D$6:$Z$779,22,FALSE))</f>
        <v>#N/A</v>
      </c>
      <c r="AB116" s="8404"/>
      <c r="AC116" s="8404"/>
      <c r="AD116" s="8404"/>
      <c r="AE116" s="8404"/>
      <c r="AF116" s="8404"/>
      <c r="AG116" s="8404"/>
      <c r="AH116" s="8404"/>
      <c r="AI116" s="8404"/>
      <c r="AJ116" s="8405"/>
      <c r="AK116" s="366"/>
      <c r="AL116" s="360"/>
    </row>
    <row r="117" spans="1:38" ht="12" customHeight="1">
      <c r="A117" s="360"/>
      <c r="B117" s="734"/>
      <c r="C117" s="8406" t="e">
        <f>IF(C111=0,"",VLOOKUP(C111,'Tablas Magia'!$D$6:$Z$779,23,FALSE))</f>
        <v>#N/A</v>
      </c>
      <c r="D117" s="8407"/>
      <c r="E117" s="8407"/>
      <c r="F117" s="8407"/>
      <c r="G117" s="8407"/>
      <c r="H117" s="8407"/>
      <c r="I117" s="8407"/>
      <c r="J117" s="8407"/>
      <c r="K117" s="8407"/>
      <c r="L117" s="8407"/>
      <c r="M117" s="8407"/>
      <c r="N117" s="8407"/>
      <c r="O117" s="8407"/>
      <c r="P117" s="8407"/>
      <c r="Q117" s="8408"/>
      <c r="R117" s="366"/>
      <c r="S117" s="360"/>
      <c r="T117" s="360"/>
      <c r="U117" s="734"/>
      <c r="V117" s="8406" t="e">
        <f>IF(V111=0,"",VLOOKUP(V111,'Tablas Magia'!$D$6:$Z$779,23,FALSE))</f>
        <v>#N/A</v>
      </c>
      <c r="W117" s="8407"/>
      <c r="X117" s="8407"/>
      <c r="Y117" s="8407"/>
      <c r="Z117" s="8407"/>
      <c r="AA117" s="8407"/>
      <c r="AB117" s="8407"/>
      <c r="AC117" s="8407"/>
      <c r="AD117" s="8407"/>
      <c r="AE117" s="8407"/>
      <c r="AF117" s="8407"/>
      <c r="AG117" s="8407"/>
      <c r="AH117" s="8407"/>
      <c r="AI117" s="8407"/>
      <c r="AJ117" s="8408"/>
      <c r="AK117" s="366"/>
      <c r="AL117" s="360"/>
    </row>
    <row r="118" spans="1:38" ht="12" customHeight="1">
      <c r="A118" s="360"/>
      <c r="B118" s="734"/>
      <c r="C118" s="8409"/>
      <c r="D118" s="8410"/>
      <c r="E118" s="8410"/>
      <c r="F118" s="8410"/>
      <c r="G118" s="8410"/>
      <c r="H118" s="8410"/>
      <c r="I118" s="8410"/>
      <c r="J118" s="8410"/>
      <c r="K118" s="8410"/>
      <c r="L118" s="8410"/>
      <c r="M118" s="8410"/>
      <c r="N118" s="8410"/>
      <c r="O118" s="8410"/>
      <c r="P118" s="8410"/>
      <c r="Q118" s="8411"/>
      <c r="R118" s="366"/>
      <c r="S118" s="360"/>
      <c r="T118" s="360"/>
      <c r="U118" s="734"/>
      <c r="V118" s="8409"/>
      <c r="W118" s="8410"/>
      <c r="X118" s="8410"/>
      <c r="Y118" s="8410"/>
      <c r="Z118" s="8410"/>
      <c r="AA118" s="8410"/>
      <c r="AB118" s="8410"/>
      <c r="AC118" s="8410"/>
      <c r="AD118" s="8410"/>
      <c r="AE118" s="8410"/>
      <c r="AF118" s="8410"/>
      <c r="AG118" s="8410"/>
      <c r="AH118" s="8410"/>
      <c r="AI118" s="8410"/>
      <c r="AJ118" s="8411"/>
      <c r="AK118" s="366"/>
      <c r="AL118" s="360"/>
    </row>
    <row r="119" spans="1:38" ht="12" customHeight="1">
      <c r="A119" s="360"/>
      <c r="B119" s="734"/>
      <c r="C119" s="8409"/>
      <c r="D119" s="8410"/>
      <c r="E119" s="8410"/>
      <c r="F119" s="8410"/>
      <c r="G119" s="8410"/>
      <c r="H119" s="8410"/>
      <c r="I119" s="8410"/>
      <c r="J119" s="8410"/>
      <c r="K119" s="8410"/>
      <c r="L119" s="8410"/>
      <c r="M119" s="8410"/>
      <c r="N119" s="8410"/>
      <c r="O119" s="8410"/>
      <c r="P119" s="8410"/>
      <c r="Q119" s="8411"/>
      <c r="R119" s="366"/>
      <c r="S119" s="360"/>
      <c r="T119" s="360"/>
      <c r="U119" s="734"/>
      <c r="V119" s="8409"/>
      <c r="W119" s="8410"/>
      <c r="X119" s="8410"/>
      <c r="Y119" s="8410"/>
      <c r="Z119" s="8410"/>
      <c r="AA119" s="8410"/>
      <c r="AB119" s="8410"/>
      <c r="AC119" s="8410"/>
      <c r="AD119" s="8410"/>
      <c r="AE119" s="8410"/>
      <c r="AF119" s="8410"/>
      <c r="AG119" s="8410"/>
      <c r="AH119" s="8410"/>
      <c r="AI119" s="8410"/>
      <c r="AJ119" s="8411"/>
      <c r="AK119" s="366"/>
      <c r="AL119" s="360"/>
    </row>
    <row r="120" spans="1:38" ht="12" customHeight="1" thickBot="1">
      <c r="A120" s="360"/>
      <c r="B120" s="734"/>
      <c r="C120" s="8412"/>
      <c r="D120" s="8413"/>
      <c r="E120" s="8413"/>
      <c r="F120" s="8413"/>
      <c r="G120" s="8413"/>
      <c r="H120" s="8413"/>
      <c r="I120" s="8413"/>
      <c r="J120" s="8413"/>
      <c r="K120" s="8413"/>
      <c r="L120" s="8413"/>
      <c r="M120" s="8413"/>
      <c r="N120" s="8413"/>
      <c r="O120" s="8413"/>
      <c r="P120" s="8413"/>
      <c r="Q120" s="8414"/>
      <c r="R120" s="366"/>
      <c r="S120" s="360"/>
      <c r="T120" s="360"/>
      <c r="U120" s="734"/>
      <c r="V120" s="8412"/>
      <c r="W120" s="8413"/>
      <c r="X120" s="8413"/>
      <c r="Y120" s="8413"/>
      <c r="Z120" s="8413"/>
      <c r="AA120" s="8413"/>
      <c r="AB120" s="8413"/>
      <c r="AC120" s="8413"/>
      <c r="AD120" s="8413"/>
      <c r="AE120" s="8413"/>
      <c r="AF120" s="8413"/>
      <c r="AG120" s="8413"/>
      <c r="AH120" s="8413"/>
      <c r="AI120" s="8413"/>
      <c r="AJ120" s="8414"/>
      <c r="AK120" s="366"/>
      <c r="AL120" s="360"/>
    </row>
    <row r="121" spans="1:38" ht="12" customHeight="1" thickBot="1">
      <c r="A121" s="360"/>
      <c r="B121" s="734"/>
      <c r="C121" s="386"/>
      <c r="D121" s="386"/>
      <c r="E121" s="377"/>
      <c r="F121" s="377"/>
      <c r="G121" s="377"/>
      <c r="H121" s="387"/>
      <c r="I121" s="387"/>
      <c r="J121" s="387"/>
      <c r="K121" s="387"/>
      <c r="L121" s="387"/>
      <c r="M121" s="387"/>
      <c r="N121" s="387"/>
      <c r="O121" s="387"/>
      <c r="P121" s="387"/>
      <c r="Q121" s="387"/>
      <c r="R121" s="366"/>
      <c r="S121" s="360"/>
      <c r="T121" s="360"/>
      <c r="U121" s="734"/>
      <c r="V121" s="386"/>
      <c r="W121" s="386"/>
      <c r="X121" s="377"/>
      <c r="Y121" s="377"/>
      <c r="Z121" s="377"/>
      <c r="AA121" s="387"/>
      <c r="AB121" s="387"/>
      <c r="AC121" s="387"/>
      <c r="AD121" s="387"/>
      <c r="AE121" s="387"/>
      <c r="AF121" s="387"/>
      <c r="AG121" s="387"/>
      <c r="AH121" s="387"/>
      <c r="AI121" s="387"/>
      <c r="AJ121" s="387"/>
      <c r="AK121" s="366"/>
      <c r="AL121" s="360"/>
    </row>
    <row r="122" spans="1:38" ht="12" customHeight="1">
      <c r="A122" s="360"/>
      <c r="B122" s="734">
        <f>B111+2</f>
        <v>30</v>
      </c>
      <c r="C122" s="8417" t="str">
        <f>IF(ISNA(VLOOKUP($J$6&amp;B122,'Tablas Magia'!$B$6:$D$779,3,FALSE)),IF(ISNA(VLOOKUP($J$8&amp;B122,'Tablas Magia'!$B$6:$D$779,3,FALSE)),IF(ISNA(VLOOKUP($J$6&amp;B122,Místicos!$AD$12:$AJ$50,4,FALSE)),"Libre Acceso 1-"&amp;MID(C$77,SEARCH("-",C$77)+1,3),VLOOKUP($J$6&amp;B122,Místicos!$AD$12:$AJ$50,4,FALSE)),VLOOKUP($J$8&amp;B122,'Tablas Magia'!$B$6:$D$779,3,FALSE)),VLOOKUP($J$6&amp;B122,'Tablas Magia'!$B$6:$D$779,3,FALSE))</f>
        <v>Libre Acceso 1-30</v>
      </c>
      <c r="D122" s="8418"/>
      <c r="E122" s="8418"/>
      <c r="F122" s="8418"/>
      <c r="G122" s="8419"/>
      <c r="H122" s="370" t="s">
        <v>1186</v>
      </c>
      <c r="I122" s="371">
        <f>B122</f>
        <v>30</v>
      </c>
      <c r="J122" s="8420" t="s">
        <v>5816</v>
      </c>
      <c r="K122" s="8420"/>
      <c r="L122" s="8420"/>
      <c r="M122" s="8378" t="e">
        <f>IF(C122=0,"",VLOOKUP(C122,'Tablas Magia'!$D$6:$Z$779,2,FALSE))</f>
        <v>#N/A</v>
      </c>
      <c r="N122" s="8378"/>
      <c r="O122" s="1525"/>
      <c r="P122" s="8415" t="str">
        <f>IFERROR(IF(M122="Libre Acceso","Aprendido",IF(IFERROR(VLOOKUP(M122,Místicos!$C$15:$H$25,6,0)&gt;=I122,FALSE),"Aprendido",IF(IFERROR(VLOOKUP(M122,Místicos!$E$15:$H$25,4,0)&gt;=I122,FALSE),"Aprendido",""))),"")</f>
        <v/>
      </c>
      <c r="Q122" s="8416"/>
      <c r="R122" s="366"/>
      <c r="S122" s="360"/>
      <c r="T122" s="360"/>
      <c r="U122" s="734">
        <f>U111+2</f>
        <v>40</v>
      </c>
      <c r="V122" s="8417" t="str">
        <f>IF(ISNA(VLOOKUP($J$6&amp;U122,'Tablas Magia'!$B$6:$D$779,3,FALSE)),IF(ISNA(VLOOKUP($J$8&amp;U122,'Tablas Magia'!$B$6:$D$779,3,FALSE)),IF(ISNA(VLOOKUP($J$6&amp;U122,Místicos!$AD$12:$AJ$50,4,FALSE)),"Libre Acceso 1-"&amp;MID(V$77,SEARCH("-",V$77)+1,3),VLOOKUP($J$6&amp;U122,Místicos!$AD$12:$AJ$50,4,FALSE)),VLOOKUP($J$8&amp;U122,'Tablas Magia'!$B$6:$D$779,3,FALSE)),VLOOKUP($J$6&amp;U122,'Tablas Magia'!$B$6:$D$779,3,FALSE))</f>
        <v>Libre Acceso 1-40</v>
      </c>
      <c r="W122" s="8418"/>
      <c r="X122" s="8418"/>
      <c r="Y122" s="8418"/>
      <c r="Z122" s="8418"/>
      <c r="AA122" s="370" t="s">
        <v>1186</v>
      </c>
      <c r="AB122" s="371">
        <f>U122</f>
        <v>40</v>
      </c>
      <c r="AC122" s="8420" t="s">
        <v>5816</v>
      </c>
      <c r="AD122" s="8420"/>
      <c r="AE122" s="8420"/>
      <c r="AF122" s="8378" t="e">
        <f>IF(V122=0,"",VLOOKUP(V122,'Tablas Magia'!$D$6:$Z$779,2,FALSE))</f>
        <v>#N/A</v>
      </c>
      <c r="AG122" s="8378"/>
      <c r="AH122" s="1525"/>
      <c r="AI122" s="8415" t="str">
        <f>IFERROR(IF(AF122="Libre Acceso","Aprendido",IF(IFERROR(VLOOKUP(AF122,Místicos!$C$15:$H$25,6,0)&gt;=AB122,FALSE),"Aprendido",IF(IFERROR(VLOOKUP(AF122,Místicos!$E$15:$H$25,4,0)&gt;=AB122,FALSE),"Aprendido",""))),"")</f>
        <v/>
      </c>
      <c r="AJ122" s="8416"/>
      <c r="AK122" s="366"/>
      <c r="AL122" s="360"/>
    </row>
    <row r="123" spans="1:38" ht="12" customHeight="1">
      <c r="A123" s="360"/>
      <c r="B123" s="734"/>
      <c r="C123" s="8399" t="s">
        <v>5817</v>
      </c>
      <c r="D123" s="8426"/>
      <c r="E123" s="2162" t="s">
        <v>5818</v>
      </c>
      <c r="F123" s="2162" t="s">
        <v>1368</v>
      </c>
      <c r="G123" s="2162" t="s">
        <v>2666</v>
      </c>
      <c r="H123" s="2163" t="s">
        <v>1690</v>
      </c>
      <c r="I123" s="8424" t="e">
        <f>IF(C122=0,"",VLOOKUP(C122,'Tablas Magia'!$D$6:$Z$779,5,FALSE))</f>
        <v>#N/A</v>
      </c>
      <c r="J123" s="8424"/>
      <c r="K123" s="8427" t="s">
        <v>5819</v>
      </c>
      <c r="L123" s="8427"/>
      <c r="M123" s="8424" t="e">
        <f>IF(C122=0,"",VLOOKUP(C122,'Tablas Magia'!$D$6:$Z$779,6,FALSE))</f>
        <v>#N/A</v>
      </c>
      <c r="N123" s="8424"/>
      <c r="O123" s="8425" t="s">
        <v>5820</v>
      </c>
      <c r="P123" s="8425"/>
      <c r="Q123" s="2164" t="e">
        <f>IF(C122=0,"",VLOOKUP(C122,'Tablas Magia'!$D$6:$Z$779,4,FALSE))</f>
        <v>#N/A</v>
      </c>
      <c r="R123" s="366"/>
      <c r="S123" s="360"/>
      <c r="T123" s="360"/>
      <c r="U123" s="734"/>
      <c r="V123" s="8399" t="s">
        <v>5817</v>
      </c>
      <c r="W123" s="8428"/>
      <c r="X123" s="1534" t="s">
        <v>5818</v>
      </c>
      <c r="Y123" s="1534" t="s">
        <v>1368</v>
      </c>
      <c r="Z123" s="1534" t="s">
        <v>2666</v>
      </c>
      <c r="AA123" s="1535" t="s">
        <v>1690</v>
      </c>
      <c r="AB123" s="8429" t="e">
        <f>IF(V122=0,"",VLOOKUP(V122,'Tablas Magia'!$D$6:$Z$779,5,FALSE))</f>
        <v>#N/A</v>
      </c>
      <c r="AC123" s="8429"/>
      <c r="AD123" s="8430" t="s">
        <v>5819</v>
      </c>
      <c r="AE123" s="8430"/>
      <c r="AF123" s="8429" t="e">
        <f>IF(V122=0,"",VLOOKUP(V122,'Tablas Magia'!$D$6:$Z$779,6,FALSE))</f>
        <v>#N/A</v>
      </c>
      <c r="AG123" s="8429"/>
      <c r="AH123" s="8431" t="s">
        <v>5820</v>
      </c>
      <c r="AI123" s="8431"/>
      <c r="AJ123" s="1536" t="e">
        <f>IF(V122=0,"",VLOOKUP(V122,'Tablas Magia'!$D$6:$Z$779,4,FALSE))</f>
        <v>#N/A</v>
      </c>
      <c r="AK123" s="366"/>
      <c r="AL123" s="360"/>
    </row>
    <row r="124" spans="1:38" ht="12" customHeight="1">
      <c r="A124" s="360"/>
      <c r="B124" s="734"/>
      <c r="C124" s="8434" t="s">
        <v>1225</v>
      </c>
      <c r="D124" s="8435"/>
      <c r="E124" s="375" t="e">
        <f>IF(C122=0,"",VLOOKUP(C122,'Tablas Magia'!$D$6:$Z$779,7,FALSE))</f>
        <v>#N/A</v>
      </c>
      <c r="F124" s="375" t="e">
        <f>IF(C122=0,"",VLOOKUP(C122,'Tablas Magia'!$D$6:$Z$779,11,FALSE))</f>
        <v>#N/A</v>
      </c>
      <c r="G124" s="376" t="e">
        <f>IF(C122=0,"",VLOOKUP(C122,'Tablas Magia'!$D$6:$Z$779,15,FALSE))</f>
        <v>#N/A</v>
      </c>
      <c r="H124" s="8421" t="e">
        <f>IF(C122=0,"",VLOOKUP(C122,'Tablas Magia'!$D$6:$Z$779,19,FALSE))</f>
        <v>#N/A</v>
      </c>
      <c r="I124" s="8422"/>
      <c r="J124" s="8422"/>
      <c r="K124" s="8422"/>
      <c r="L124" s="8422"/>
      <c r="M124" s="8422"/>
      <c r="N124" s="8422"/>
      <c r="O124" s="8422"/>
      <c r="P124" s="8422"/>
      <c r="Q124" s="8423"/>
      <c r="R124" s="366"/>
      <c r="S124" s="360"/>
      <c r="T124" s="360"/>
      <c r="U124" s="734"/>
      <c r="V124" s="8391" t="s">
        <v>1225</v>
      </c>
      <c r="W124" s="8392"/>
      <c r="X124" s="375" t="e">
        <f>IF(V122=0,"",VLOOKUP(V122,'Tablas Magia'!$D$6:$Z$779,7,FALSE))</f>
        <v>#N/A</v>
      </c>
      <c r="Y124" s="375" t="e">
        <f>IF(V122=0,"",VLOOKUP(V122,'Tablas Magia'!$D$6:$Z$779,11,FALSE))</f>
        <v>#N/A</v>
      </c>
      <c r="Z124" s="376" t="e">
        <f>IF(V122=0,"",VLOOKUP(V122,'Tablas Magia'!$D$6:$Z$779,15,FALSE))</f>
        <v>#N/A</v>
      </c>
      <c r="AA124" s="8393" t="e">
        <f>IF(V122=0,"",VLOOKUP(V122,'Tablas Magia'!$D$6:$Z$779,19,FALSE))</f>
        <v>#N/A</v>
      </c>
      <c r="AB124" s="8394"/>
      <c r="AC124" s="8394"/>
      <c r="AD124" s="8394"/>
      <c r="AE124" s="8394"/>
      <c r="AF124" s="8394"/>
      <c r="AG124" s="8394"/>
      <c r="AH124" s="8394"/>
      <c r="AI124" s="8394"/>
      <c r="AJ124" s="8395"/>
      <c r="AK124" s="366"/>
      <c r="AL124" s="360"/>
    </row>
    <row r="125" spans="1:38" ht="12" customHeight="1">
      <c r="A125" s="360"/>
      <c r="B125" s="734"/>
      <c r="C125" s="8386" t="s">
        <v>3035</v>
      </c>
      <c r="D125" s="8387"/>
      <c r="E125" s="377" t="e">
        <f>IF(C122=0,"",VLOOKUP(C122,'Tablas Magia'!$D$6:$Z$779,8,FALSE))</f>
        <v>#N/A</v>
      </c>
      <c r="F125" s="377" t="e">
        <f>IF(C122=0,"",VLOOKUP(C122,'Tablas Magia'!$D$6:$Z$779,12,FALSE))</f>
        <v>#N/A</v>
      </c>
      <c r="G125" s="378" t="e">
        <f>IF(C122=0,"",VLOOKUP(C122,'Tablas Magia'!$D$6:$Z$779,16,FALSE))</f>
        <v>#N/A</v>
      </c>
      <c r="H125" s="8388" t="e">
        <f>IF(C122=0,"",VLOOKUP(C122,'Tablas Magia'!$D$6:$Z$779,20,FALSE))</f>
        <v>#N/A</v>
      </c>
      <c r="I125" s="8389"/>
      <c r="J125" s="8389"/>
      <c r="K125" s="8389"/>
      <c r="L125" s="8389"/>
      <c r="M125" s="8389"/>
      <c r="N125" s="8389"/>
      <c r="O125" s="8389"/>
      <c r="P125" s="8389"/>
      <c r="Q125" s="8390"/>
      <c r="R125" s="366"/>
      <c r="S125" s="360"/>
      <c r="T125" s="360"/>
      <c r="U125" s="734"/>
      <c r="V125" s="8386" t="s">
        <v>3035</v>
      </c>
      <c r="W125" s="8387"/>
      <c r="X125" s="377" t="e">
        <f>IF(V122=0,"",VLOOKUP(V122,'Tablas Magia'!$D$6:$Z$779,8,FALSE))</f>
        <v>#N/A</v>
      </c>
      <c r="Y125" s="377" t="e">
        <f>IF(V122=0,"",VLOOKUP(V122,'Tablas Magia'!$D$6:$Z$779,12,FALSE))</f>
        <v>#N/A</v>
      </c>
      <c r="Z125" s="378" t="e">
        <f>IF(V122=0,"",VLOOKUP(V122,'Tablas Magia'!$D$6:$Z$779,16,FALSE))</f>
        <v>#N/A</v>
      </c>
      <c r="AA125" s="8388" t="e">
        <f>IF(V122=0,"",VLOOKUP(V122,'Tablas Magia'!$D$6:$Z$779,20,FALSE))</f>
        <v>#N/A</v>
      </c>
      <c r="AB125" s="8389"/>
      <c r="AC125" s="8389"/>
      <c r="AD125" s="8389"/>
      <c r="AE125" s="8389"/>
      <c r="AF125" s="8389"/>
      <c r="AG125" s="8389"/>
      <c r="AH125" s="8389"/>
      <c r="AI125" s="8389"/>
      <c r="AJ125" s="8390"/>
      <c r="AK125" s="366"/>
      <c r="AL125" s="360"/>
    </row>
    <row r="126" spans="1:38" ht="12" customHeight="1">
      <c r="A126" s="360"/>
      <c r="B126" s="734"/>
      <c r="C126" s="8391" t="s">
        <v>3036</v>
      </c>
      <c r="D126" s="8392"/>
      <c r="E126" s="375" t="e">
        <f>IF(C122=0,"",VLOOKUP(C122,'Tablas Magia'!$D$6:$Z$779,9,FALSE))</f>
        <v>#N/A</v>
      </c>
      <c r="F126" s="375" t="e">
        <f>IF(C122=0,"",VLOOKUP(C122,'Tablas Magia'!$D$6:$Z$779,13,FALSE))</f>
        <v>#N/A</v>
      </c>
      <c r="G126" s="376" t="e">
        <f>IF(C122=0,"",VLOOKUP(C122,'Tablas Magia'!$D$6:$Z$779,17,FALSE))</f>
        <v>#N/A</v>
      </c>
      <c r="H126" s="8393" t="e">
        <f>IF(C122=0,"",VLOOKUP(C122,'Tablas Magia'!$D$6:$Z$779,21,FALSE))</f>
        <v>#N/A</v>
      </c>
      <c r="I126" s="8394"/>
      <c r="J126" s="8394"/>
      <c r="K126" s="8394"/>
      <c r="L126" s="8394"/>
      <c r="M126" s="8394"/>
      <c r="N126" s="8394"/>
      <c r="O126" s="8394"/>
      <c r="P126" s="8394"/>
      <c r="Q126" s="8395"/>
      <c r="R126" s="366"/>
      <c r="S126" s="360"/>
      <c r="T126" s="360"/>
      <c r="U126" s="734"/>
      <c r="V126" s="8391" t="s">
        <v>3036</v>
      </c>
      <c r="W126" s="8392"/>
      <c r="X126" s="375" t="e">
        <f>IF(V122=0,"",VLOOKUP(V122,'Tablas Magia'!$D$6:$Z$779,9,FALSE))</f>
        <v>#N/A</v>
      </c>
      <c r="Y126" s="375" t="e">
        <f>IF(V122=0,"",VLOOKUP(V122,'Tablas Magia'!$D$6:$Z$779,13,FALSE))</f>
        <v>#N/A</v>
      </c>
      <c r="Z126" s="376" t="e">
        <f>IF(V122=0,"",VLOOKUP(V122,'Tablas Magia'!$D$6:$Z$779,17,FALSE))</f>
        <v>#N/A</v>
      </c>
      <c r="AA126" s="8393" t="e">
        <f>IF(V122=0,"",VLOOKUP(V122,'Tablas Magia'!$D$6:$Z$779,21,FALSE))</f>
        <v>#N/A</v>
      </c>
      <c r="AB126" s="8394"/>
      <c r="AC126" s="8394"/>
      <c r="AD126" s="8394"/>
      <c r="AE126" s="8394"/>
      <c r="AF126" s="8394"/>
      <c r="AG126" s="8394"/>
      <c r="AH126" s="8394"/>
      <c r="AI126" s="8394"/>
      <c r="AJ126" s="8395"/>
      <c r="AK126" s="366"/>
      <c r="AL126" s="360"/>
    </row>
    <row r="127" spans="1:38" ht="12" customHeight="1" thickBot="1">
      <c r="A127" s="360"/>
      <c r="B127" s="734"/>
      <c r="C127" s="8401" t="s">
        <v>3037</v>
      </c>
      <c r="D127" s="8402"/>
      <c r="E127" s="379" t="e">
        <f>IF(C122=0,"",VLOOKUP(C122,'Tablas Magia'!$D$6:$Z$779,10,FALSE))</f>
        <v>#N/A</v>
      </c>
      <c r="F127" s="379" t="e">
        <f>IF(C122=0,"",VLOOKUP(C122,'Tablas Magia'!$D$6:$Z$779,14,FALSE))</f>
        <v>#N/A</v>
      </c>
      <c r="G127" s="380" t="e">
        <f>IF(C122=0,"",VLOOKUP(C122,'Tablas Magia'!$D$6:$Z$779,18,FALSE))</f>
        <v>#N/A</v>
      </c>
      <c r="H127" s="8403" t="e">
        <f>IF(C122=0,"",VLOOKUP(C122,'Tablas Magia'!$D$6:$Z$779,22,FALSE))</f>
        <v>#N/A</v>
      </c>
      <c r="I127" s="8404"/>
      <c r="J127" s="8404"/>
      <c r="K127" s="8404"/>
      <c r="L127" s="8404"/>
      <c r="M127" s="8404"/>
      <c r="N127" s="8404"/>
      <c r="O127" s="8404"/>
      <c r="P127" s="8404"/>
      <c r="Q127" s="8405"/>
      <c r="R127" s="366"/>
      <c r="S127" s="360"/>
      <c r="T127" s="360"/>
      <c r="U127" s="734"/>
      <c r="V127" s="8401" t="s">
        <v>3037</v>
      </c>
      <c r="W127" s="8402"/>
      <c r="X127" s="379" t="e">
        <f>IF(V122=0,"",VLOOKUP(V122,'Tablas Magia'!$D$6:$Z$779,10,FALSE))</f>
        <v>#N/A</v>
      </c>
      <c r="Y127" s="379" t="e">
        <f>IF(V122=0,"",VLOOKUP(V122,'Tablas Magia'!$D$6:$Z$779,14,FALSE))</f>
        <v>#N/A</v>
      </c>
      <c r="Z127" s="380" t="e">
        <f>IF(V122=0,"",VLOOKUP(V122,'Tablas Magia'!$D$6:$Z$779,18,FALSE))</f>
        <v>#N/A</v>
      </c>
      <c r="AA127" s="8403" t="e">
        <f>IF(V122=0,"",VLOOKUP(V122,'Tablas Magia'!$D$6:$Z$779,22,FALSE))</f>
        <v>#N/A</v>
      </c>
      <c r="AB127" s="8404"/>
      <c r="AC127" s="8404"/>
      <c r="AD127" s="8404"/>
      <c r="AE127" s="8404"/>
      <c r="AF127" s="8404"/>
      <c r="AG127" s="8404"/>
      <c r="AH127" s="8404"/>
      <c r="AI127" s="8404"/>
      <c r="AJ127" s="8405"/>
      <c r="AK127" s="366"/>
      <c r="AL127" s="360"/>
    </row>
    <row r="128" spans="1:38" ht="12" customHeight="1">
      <c r="A128" s="360"/>
      <c r="B128" s="734"/>
      <c r="C128" s="8406" t="e">
        <f>IF(C122=0,"",VLOOKUP(C122,'Tablas Magia'!$D$6:$Z$779,23,FALSE))</f>
        <v>#N/A</v>
      </c>
      <c r="D128" s="8407"/>
      <c r="E128" s="8407"/>
      <c r="F128" s="8407"/>
      <c r="G128" s="8407"/>
      <c r="H128" s="8407"/>
      <c r="I128" s="8407"/>
      <c r="J128" s="8407"/>
      <c r="K128" s="8407"/>
      <c r="L128" s="8407"/>
      <c r="M128" s="8407"/>
      <c r="N128" s="8407"/>
      <c r="O128" s="8407"/>
      <c r="P128" s="8407"/>
      <c r="Q128" s="8408"/>
      <c r="R128" s="366"/>
      <c r="S128" s="360"/>
      <c r="T128" s="360"/>
      <c r="U128" s="734"/>
      <c r="V128" s="8406" t="e">
        <f>IF(V122=0,"",VLOOKUP(V122,'Tablas Magia'!$D$6:$Z$779,23,FALSE))</f>
        <v>#N/A</v>
      </c>
      <c r="W128" s="8407"/>
      <c r="X128" s="8407"/>
      <c r="Y128" s="8407"/>
      <c r="Z128" s="8407"/>
      <c r="AA128" s="8407"/>
      <c r="AB128" s="8407"/>
      <c r="AC128" s="8407"/>
      <c r="AD128" s="8407"/>
      <c r="AE128" s="8407"/>
      <c r="AF128" s="8407"/>
      <c r="AG128" s="8407"/>
      <c r="AH128" s="8407"/>
      <c r="AI128" s="8407"/>
      <c r="AJ128" s="8408"/>
      <c r="AK128" s="366"/>
      <c r="AL128" s="360"/>
    </row>
    <row r="129" spans="1:38" ht="12" customHeight="1">
      <c r="A129" s="360"/>
      <c r="B129" s="734"/>
      <c r="C129" s="8409"/>
      <c r="D129" s="8410"/>
      <c r="E129" s="8410"/>
      <c r="F129" s="8410"/>
      <c r="G129" s="8410"/>
      <c r="H129" s="8410"/>
      <c r="I129" s="8410"/>
      <c r="J129" s="8410"/>
      <c r="K129" s="8410"/>
      <c r="L129" s="8410"/>
      <c r="M129" s="8410"/>
      <c r="N129" s="8410"/>
      <c r="O129" s="8410"/>
      <c r="P129" s="8410"/>
      <c r="Q129" s="8411"/>
      <c r="R129" s="366"/>
      <c r="S129" s="360"/>
      <c r="T129" s="360"/>
      <c r="U129" s="734"/>
      <c r="V129" s="8409"/>
      <c r="W129" s="8410"/>
      <c r="X129" s="8410"/>
      <c r="Y129" s="8410"/>
      <c r="Z129" s="8410"/>
      <c r="AA129" s="8410"/>
      <c r="AB129" s="8410"/>
      <c r="AC129" s="8410"/>
      <c r="AD129" s="8410"/>
      <c r="AE129" s="8410"/>
      <c r="AF129" s="8410"/>
      <c r="AG129" s="8410"/>
      <c r="AH129" s="8410"/>
      <c r="AI129" s="8410"/>
      <c r="AJ129" s="8411"/>
      <c r="AK129" s="366"/>
      <c r="AL129" s="360"/>
    </row>
    <row r="130" spans="1:38" ht="12" customHeight="1">
      <c r="A130" s="360"/>
      <c r="B130" s="734"/>
      <c r="C130" s="8409"/>
      <c r="D130" s="8410"/>
      <c r="E130" s="8410"/>
      <c r="F130" s="8410"/>
      <c r="G130" s="8410"/>
      <c r="H130" s="8410"/>
      <c r="I130" s="8410"/>
      <c r="J130" s="8410"/>
      <c r="K130" s="8410"/>
      <c r="L130" s="8410"/>
      <c r="M130" s="8410"/>
      <c r="N130" s="8410"/>
      <c r="O130" s="8410"/>
      <c r="P130" s="8410"/>
      <c r="Q130" s="8411"/>
      <c r="R130" s="366"/>
      <c r="S130" s="360"/>
      <c r="T130" s="360"/>
      <c r="U130" s="734"/>
      <c r="V130" s="8409"/>
      <c r="W130" s="8410"/>
      <c r="X130" s="8410"/>
      <c r="Y130" s="8410"/>
      <c r="Z130" s="8410"/>
      <c r="AA130" s="8410"/>
      <c r="AB130" s="8410"/>
      <c r="AC130" s="8410"/>
      <c r="AD130" s="8410"/>
      <c r="AE130" s="8410"/>
      <c r="AF130" s="8410"/>
      <c r="AG130" s="8410"/>
      <c r="AH130" s="8410"/>
      <c r="AI130" s="8410"/>
      <c r="AJ130" s="8411"/>
      <c r="AK130" s="366"/>
      <c r="AL130" s="360"/>
    </row>
    <row r="131" spans="1:38" ht="12" customHeight="1" thickBot="1">
      <c r="A131" s="360"/>
      <c r="B131" s="734"/>
      <c r="C131" s="8412"/>
      <c r="D131" s="8413"/>
      <c r="E131" s="8413"/>
      <c r="F131" s="8413"/>
      <c r="G131" s="8413"/>
      <c r="H131" s="8413"/>
      <c r="I131" s="8413"/>
      <c r="J131" s="8413"/>
      <c r="K131" s="8413"/>
      <c r="L131" s="8413"/>
      <c r="M131" s="8413"/>
      <c r="N131" s="8413"/>
      <c r="O131" s="8413"/>
      <c r="P131" s="8413"/>
      <c r="Q131" s="8414"/>
      <c r="R131" s="366"/>
      <c r="S131" s="360"/>
      <c r="T131" s="360"/>
      <c r="U131" s="734"/>
      <c r="V131" s="8412"/>
      <c r="W131" s="8413"/>
      <c r="X131" s="8413"/>
      <c r="Y131" s="8413"/>
      <c r="Z131" s="8413"/>
      <c r="AA131" s="8413"/>
      <c r="AB131" s="8413"/>
      <c r="AC131" s="8413"/>
      <c r="AD131" s="8413"/>
      <c r="AE131" s="8413"/>
      <c r="AF131" s="8413"/>
      <c r="AG131" s="8413"/>
      <c r="AH131" s="8413"/>
      <c r="AI131" s="8413"/>
      <c r="AJ131" s="8414"/>
      <c r="AK131" s="366"/>
      <c r="AL131" s="360"/>
    </row>
    <row r="132" spans="1:38" ht="12" customHeight="1">
      <c r="A132" s="360"/>
      <c r="B132" s="734"/>
      <c r="C132" s="2165"/>
      <c r="D132" s="2165"/>
      <c r="E132" s="2165"/>
      <c r="F132" s="2165"/>
      <c r="G132" s="2165"/>
      <c r="H132" s="2165"/>
      <c r="I132" s="2165"/>
      <c r="J132" s="2165"/>
      <c r="K132" s="2165"/>
      <c r="L132" s="2165"/>
      <c r="M132" s="2165"/>
      <c r="N132" s="2165"/>
      <c r="O132" s="2165"/>
      <c r="P132" s="2165"/>
      <c r="Q132" s="2165"/>
      <c r="R132" s="366"/>
      <c r="S132" s="360"/>
      <c r="T132" s="360"/>
      <c r="U132" s="734"/>
      <c r="V132" s="2165"/>
      <c r="W132" s="2165"/>
      <c r="X132" s="2165"/>
      <c r="Y132" s="2165"/>
      <c r="Z132" s="2165"/>
      <c r="AA132" s="2165"/>
      <c r="AB132" s="2165"/>
      <c r="AC132" s="2165"/>
      <c r="AD132" s="2165"/>
      <c r="AE132" s="2165"/>
      <c r="AF132" s="2165"/>
      <c r="AG132" s="2165"/>
      <c r="AH132" s="2165"/>
      <c r="AI132" s="2165"/>
      <c r="AJ132" s="2165"/>
      <c r="AK132" s="366"/>
      <c r="AL132" s="360"/>
    </row>
    <row r="133" spans="1:38" ht="12" customHeight="1" thickBot="1">
      <c r="A133" s="360"/>
      <c r="B133" s="735"/>
      <c r="C133" s="388"/>
      <c r="D133" s="388"/>
      <c r="E133" s="388"/>
      <c r="F133" s="388"/>
      <c r="G133" s="388"/>
      <c r="H133" s="388"/>
      <c r="I133" s="388"/>
      <c r="J133" s="388"/>
      <c r="K133" s="388"/>
      <c r="L133" s="388"/>
      <c r="M133" s="388"/>
      <c r="N133" s="388"/>
      <c r="O133" s="388"/>
      <c r="P133" s="388"/>
      <c r="Q133" s="388"/>
      <c r="R133" s="389"/>
      <c r="S133" s="360"/>
      <c r="T133" s="360"/>
      <c r="U133" s="735"/>
      <c r="V133" s="388"/>
      <c r="W133" s="388"/>
      <c r="X133" s="388"/>
      <c r="Y133" s="388"/>
      <c r="Z133" s="388"/>
      <c r="AA133" s="388"/>
      <c r="AB133" s="388"/>
      <c r="AC133" s="388"/>
      <c r="AD133" s="388"/>
      <c r="AE133" s="388"/>
      <c r="AF133" s="388"/>
      <c r="AG133" s="388"/>
      <c r="AH133" s="388"/>
      <c r="AI133" s="388"/>
      <c r="AJ133" s="388"/>
      <c r="AK133" s="389"/>
      <c r="AL133" s="360"/>
    </row>
    <row r="134" spans="1:38" ht="12" customHeight="1">
      <c r="A134" s="1297"/>
      <c r="B134" s="1298"/>
      <c r="C134" s="1297"/>
      <c r="D134" s="1297"/>
      <c r="E134" s="1297"/>
      <c r="F134" s="1297"/>
      <c r="G134" s="1297"/>
      <c r="H134" s="1297"/>
      <c r="I134" s="1297"/>
      <c r="J134" s="1297"/>
      <c r="K134" s="1297"/>
      <c r="L134" s="1297"/>
      <c r="M134" s="1297"/>
      <c r="N134" s="1297"/>
      <c r="O134" s="1297"/>
      <c r="P134" s="1297"/>
      <c r="Q134" s="1297"/>
      <c r="R134" s="1297"/>
      <c r="S134" s="1297"/>
      <c r="T134" s="1297"/>
      <c r="U134" s="1298"/>
      <c r="V134" s="1297"/>
      <c r="W134" s="1297"/>
      <c r="X134" s="1297"/>
      <c r="Y134" s="1297"/>
      <c r="Z134" s="1297"/>
      <c r="AA134" s="1297"/>
      <c r="AB134" s="1297"/>
      <c r="AC134" s="1297"/>
      <c r="AD134" s="1297"/>
      <c r="AE134" s="1297"/>
      <c r="AF134" s="1297"/>
      <c r="AG134" s="1297"/>
      <c r="AH134" s="1297"/>
      <c r="AI134" s="1297"/>
      <c r="AJ134" s="1297"/>
      <c r="AK134" s="1297"/>
      <c r="AL134" s="1297"/>
    </row>
    <row r="135" spans="1:38" ht="12" customHeight="1" thickBot="1">
      <c r="A135" s="360"/>
      <c r="B135" s="360"/>
      <c r="C135" s="360"/>
      <c r="D135" s="360"/>
      <c r="E135" s="360"/>
      <c r="F135" s="360"/>
      <c r="G135" s="360"/>
      <c r="H135" s="360"/>
      <c r="I135" s="360"/>
      <c r="J135" s="360"/>
      <c r="K135" s="360"/>
      <c r="L135" s="360"/>
      <c r="M135" s="360"/>
      <c r="N135" s="360"/>
      <c r="O135" s="360"/>
      <c r="P135" s="360"/>
      <c r="Q135" s="360"/>
      <c r="R135" s="360"/>
      <c r="S135" s="360"/>
      <c r="T135" s="360"/>
      <c r="U135" s="732"/>
      <c r="V135" s="360"/>
      <c r="W135" s="360"/>
      <c r="X135" s="360"/>
      <c r="Y135" s="360"/>
      <c r="Z135" s="360"/>
      <c r="AA135" s="360"/>
      <c r="AB135" s="360"/>
      <c r="AC135" s="360"/>
      <c r="AD135" s="360"/>
      <c r="AE135" s="360"/>
      <c r="AF135" s="360"/>
      <c r="AG135" s="360"/>
      <c r="AH135" s="360"/>
      <c r="AI135" s="360"/>
      <c r="AJ135" s="360"/>
      <c r="AK135" s="360"/>
      <c r="AL135" s="360"/>
    </row>
    <row r="136" spans="1:38" ht="17.25" customHeight="1" thickBot="1">
      <c r="A136" s="1297"/>
      <c r="B136" s="981"/>
      <c r="C136" s="362"/>
      <c r="D136" s="362"/>
      <c r="E136" s="362"/>
      <c r="F136" s="362"/>
      <c r="G136" s="362"/>
      <c r="H136" s="362"/>
      <c r="I136" s="362"/>
      <c r="J136" s="362"/>
      <c r="K136" s="362"/>
      <c r="L136" s="362"/>
      <c r="M136" s="362"/>
      <c r="N136" s="362"/>
      <c r="O136" s="362"/>
      <c r="P136" s="362"/>
      <c r="Q136" s="362"/>
      <c r="R136" s="363"/>
      <c r="S136" s="1297"/>
      <c r="T136" s="1297"/>
      <c r="U136" s="981"/>
      <c r="V136" s="362"/>
      <c r="W136" s="362"/>
      <c r="X136" s="362"/>
      <c r="Y136" s="362"/>
      <c r="Z136" s="362"/>
      <c r="AA136" s="362"/>
      <c r="AB136" s="362"/>
      <c r="AC136" s="362"/>
      <c r="AD136" s="362"/>
      <c r="AE136" s="362"/>
      <c r="AF136" s="362"/>
      <c r="AG136" s="362"/>
      <c r="AH136" s="362"/>
      <c r="AI136" s="362"/>
      <c r="AJ136" s="362"/>
      <c r="AK136" s="363"/>
      <c r="AL136" s="1297"/>
    </row>
    <row r="137" spans="1:38" ht="12" customHeight="1">
      <c r="A137" s="1297"/>
      <c r="B137" s="982"/>
      <c r="C137" s="8380"/>
      <c r="D137" s="8381"/>
      <c r="E137" s="8381"/>
      <c r="F137" s="8381"/>
      <c r="G137" s="8381"/>
      <c r="H137" s="8381"/>
      <c r="I137" s="364"/>
      <c r="J137" s="364"/>
      <c r="K137" s="364"/>
      <c r="L137" s="364"/>
      <c r="M137" s="364"/>
      <c r="N137" s="364"/>
      <c r="O137" s="364"/>
      <c r="P137" s="364"/>
      <c r="Q137" s="365"/>
      <c r="R137" s="366"/>
      <c r="S137" s="1297"/>
      <c r="T137" s="1297"/>
      <c r="U137" s="982"/>
      <c r="V137" s="8380"/>
      <c r="W137" s="8381"/>
      <c r="X137" s="8381"/>
      <c r="Y137" s="8381"/>
      <c r="Z137" s="8381"/>
      <c r="AA137" s="8381"/>
      <c r="AB137" s="364"/>
      <c r="AC137" s="364"/>
      <c r="AD137" s="364"/>
      <c r="AE137" s="364"/>
      <c r="AF137" s="364"/>
      <c r="AG137" s="364"/>
      <c r="AH137" s="364"/>
      <c r="AI137" s="364"/>
      <c r="AJ137" s="365"/>
      <c r="AK137" s="366"/>
      <c r="AL137" s="1297"/>
    </row>
    <row r="138" spans="1:38" ht="12" customHeight="1">
      <c r="A138" s="1538"/>
      <c r="B138" s="1537"/>
      <c r="C138" s="8382"/>
      <c r="D138" s="8383"/>
      <c r="E138" s="8383"/>
      <c r="F138" s="8383"/>
      <c r="G138" s="8383"/>
      <c r="H138" s="8383"/>
      <c r="I138" s="311"/>
      <c r="J138" s="8436" t="s">
        <v>9578</v>
      </c>
      <c r="K138" s="8437"/>
      <c r="L138" s="8437"/>
      <c r="M138" s="8437"/>
      <c r="N138" s="8437"/>
      <c r="O138" s="8437"/>
      <c r="P138" s="8437"/>
      <c r="Q138" s="331"/>
      <c r="R138" s="738"/>
      <c r="S138" s="1538"/>
      <c r="T138" s="1538"/>
      <c r="U138" s="1537"/>
      <c r="V138" s="8382"/>
      <c r="W138" s="8383"/>
      <c r="X138" s="8383"/>
      <c r="Y138" s="8383"/>
      <c r="Z138" s="8383"/>
      <c r="AA138" s="8383"/>
      <c r="AB138" s="311"/>
      <c r="AC138" s="8436" t="s">
        <v>9578</v>
      </c>
      <c r="AD138" s="8437"/>
      <c r="AE138" s="8437"/>
      <c r="AF138" s="8437"/>
      <c r="AG138" s="8437"/>
      <c r="AH138" s="8437"/>
      <c r="AI138" s="8437"/>
      <c r="AJ138" s="331"/>
      <c r="AK138" s="738"/>
      <c r="AL138" s="1538"/>
    </row>
    <row r="139" spans="1:38" ht="12" customHeight="1">
      <c r="A139" s="1297"/>
      <c r="B139" s="982"/>
      <c r="C139" s="8382"/>
      <c r="D139" s="8383"/>
      <c r="E139" s="8383"/>
      <c r="F139" s="8383"/>
      <c r="G139" s="8383"/>
      <c r="H139" s="8383"/>
      <c r="I139" s="311"/>
      <c r="J139" s="8437"/>
      <c r="K139" s="8437"/>
      <c r="L139" s="8437"/>
      <c r="M139" s="8437"/>
      <c r="N139" s="8437"/>
      <c r="O139" s="8437"/>
      <c r="P139" s="8437"/>
      <c r="Q139" s="367"/>
      <c r="R139" s="366"/>
      <c r="S139" s="1297"/>
      <c r="T139" s="1297"/>
      <c r="U139" s="982"/>
      <c r="V139" s="8382"/>
      <c r="W139" s="8383"/>
      <c r="X139" s="8383"/>
      <c r="Y139" s="8383"/>
      <c r="Z139" s="8383"/>
      <c r="AA139" s="8383"/>
      <c r="AB139" s="311"/>
      <c r="AC139" s="8437"/>
      <c r="AD139" s="8437"/>
      <c r="AE139" s="8437"/>
      <c r="AF139" s="8437"/>
      <c r="AG139" s="8437"/>
      <c r="AH139" s="8437"/>
      <c r="AI139" s="8437"/>
      <c r="AJ139" s="367"/>
      <c r="AK139" s="366"/>
      <c r="AL139" s="1297"/>
    </row>
    <row r="140" spans="1:38" ht="12" customHeight="1">
      <c r="A140" s="1297"/>
      <c r="B140" s="982"/>
      <c r="C140" s="8382"/>
      <c r="D140" s="8383"/>
      <c r="E140" s="8383"/>
      <c r="F140" s="8383"/>
      <c r="G140" s="8383"/>
      <c r="H140" s="8383"/>
      <c r="I140" s="2012" t="s">
        <v>6618</v>
      </c>
      <c r="J140" s="8432" t="str">
        <f>IF($J$6="","",$J$6)</f>
        <v/>
      </c>
      <c r="K140" s="8432"/>
      <c r="L140" s="8432"/>
      <c r="M140" s="2008"/>
      <c r="N140" s="2008"/>
      <c r="O140" s="2009" t="str">
        <f>$O$6</f>
        <v>Nivel de vía aprendido</v>
      </c>
      <c r="P140" s="2010">
        <f>$P$6</f>
        <v>0</v>
      </c>
      <c r="Q140" s="367"/>
      <c r="R140" s="366"/>
      <c r="S140" s="1297"/>
      <c r="T140" s="1297"/>
      <c r="U140" s="982"/>
      <c r="V140" s="8382"/>
      <c r="W140" s="8383"/>
      <c r="X140" s="8383"/>
      <c r="Y140" s="8383"/>
      <c r="Z140" s="8383"/>
      <c r="AA140" s="8383"/>
      <c r="AB140" s="2012" t="s">
        <v>6618</v>
      </c>
      <c r="AC140" s="8432" t="str">
        <f>IF($J$6="","",$J$6)</f>
        <v/>
      </c>
      <c r="AD140" s="8432"/>
      <c r="AE140" s="8432"/>
      <c r="AF140" s="2008"/>
      <c r="AG140" s="2008"/>
      <c r="AH140" s="2009" t="str">
        <f>$O$6</f>
        <v>Nivel de vía aprendido</v>
      </c>
      <c r="AI140" s="2010">
        <f>$P$6</f>
        <v>0</v>
      </c>
      <c r="AJ140" s="367"/>
      <c r="AK140" s="366"/>
      <c r="AL140" s="1297"/>
    </row>
    <row r="141" spans="1:38" ht="12" customHeight="1">
      <c r="A141" s="1297"/>
      <c r="B141" s="982"/>
      <c r="C141" s="8382"/>
      <c r="D141" s="8383"/>
      <c r="E141" s="8383"/>
      <c r="F141" s="8383"/>
      <c r="G141" s="8383"/>
      <c r="H141" s="8383"/>
      <c r="I141" s="2013" t="s">
        <v>6619</v>
      </c>
      <c r="J141" s="8432" t="str">
        <f>IF($J$8="","",$J$8)</f>
        <v/>
      </c>
      <c r="K141" s="8432"/>
      <c r="L141" s="8432"/>
      <c r="M141" s="2008"/>
      <c r="N141" s="2008"/>
      <c r="O141" s="2008"/>
      <c r="P141" s="2008"/>
      <c r="Q141" s="367"/>
      <c r="R141" s="366"/>
      <c r="S141" s="1297"/>
      <c r="T141" s="1297"/>
      <c r="U141" s="982"/>
      <c r="V141" s="8382"/>
      <c r="W141" s="8383"/>
      <c r="X141" s="8383"/>
      <c r="Y141" s="8383"/>
      <c r="Z141" s="8383"/>
      <c r="AA141" s="8383"/>
      <c r="AB141" s="2013" t="s">
        <v>6619</v>
      </c>
      <c r="AC141" s="8432" t="str">
        <f>IF($J$8="","",$J$8)</f>
        <v/>
      </c>
      <c r="AD141" s="8432"/>
      <c r="AE141" s="8432"/>
      <c r="AF141" s="2008"/>
      <c r="AG141" s="2008"/>
      <c r="AH141" s="2008"/>
      <c r="AI141" s="2008"/>
      <c r="AJ141" s="367"/>
      <c r="AK141" s="366"/>
      <c r="AL141" s="1297"/>
    </row>
    <row r="142" spans="1:38" ht="12" customHeight="1" thickBot="1">
      <c r="A142" s="1297"/>
      <c r="B142" s="982"/>
      <c r="C142" s="8384"/>
      <c r="D142" s="8385"/>
      <c r="E142" s="8385"/>
      <c r="F142" s="8385"/>
      <c r="G142" s="8385"/>
      <c r="H142" s="8385"/>
      <c r="I142" s="368"/>
      <c r="J142" s="368"/>
      <c r="K142" s="368"/>
      <c r="L142" s="368"/>
      <c r="M142" s="368"/>
      <c r="N142" s="368"/>
      <c r="O142" s="368"/>
      <c r="P142" s="368"/>
      <c r="Q142" s="369"/>
      <c r="R142" s="366"/>
      <c r="S142" s="1297"/>
      <c r="T142" s="1297"/>
      <c r="U142" s="982"/>
      <c r="V142" s="8384"/>
      <c r="W142" s="8385"/>
      <c r="X142" s="8385"/>
      <c r="Y142" s="8385"/>
      <c r="Z142" s="8385"/>
      <c r="AA142" s="8385"/>
      <c r="AB142" s="368"/>
      <c r="AC142" s="368"/>
      <c r="AD142" s="368"/>
      <c r="AE142" s="368"/>
      <c r="AF142" s="368"/>
      <c r="AG142" s="368"/>
      <c r="AH142" s="368"/>
      <c r="AI142" s="368"/>
      <c r="AJ142" s="369"/>
      <c r="AK142" s="366"/>
      <c r="AL142" s="1297"/>
    </row>
    <row r="143" spans="1:38" ht="12" customHeight="1">
      <c r="A143" s="1297"/>
      <c r="B143" s="982"/>
      <c r="R143" s="366"/>
      <c r="S143" s="1297"/>
      <c r="T143" s="1297"/>
      <c r="U143" s="982"/>
      <c r="AK143" s="366"/>
      <c r="AL143" s="1297"/>
    </row>
    <row r="144" spans="1:38" ht="12" customHeight="1" thickBot="1">
      <c r="A144" s="1297"/>
      <c r="B144" s="742"/>
      <c r="C144" s="8439" t="str">
        <f>"Conjuros de nivel "&amp;B145&amp;"-"&amp;B189</f>
        <v>Conjuros de nivel 42-50</v>
      </c>
      <c r="D144" s="8439"/>
      <c r="E144" s="8439"/>
      <c r="F144" s="8439"/>
      <c r="G144" s="8439"/>
      <c r="H144" s="8439"/>
      <c r="I144" s="8439"/>
      <c r="J144" s="8439"/>
      <c r="K144" s="8439"/>
      <c r="L144" s="8439"/>
      <c r="M144" s="8439"/>
      <c r="N144" s="8439"/>
      <c r="O144" s="8439"/>
      <c r="P144" s="8439"/>
      <c r="Q144" s="8439"/>
      <c r="R144" s="740"/>
      <c r="S144" s="1297"/>
      <c r="T144" s="360"/>
      <c r="U144" s="742"/>
      <c r="V144" s="8439" t="str">
        <f>"Conjuros de nivel "&amp;U145&amp;"-"&amp;U189</f>
        <v>Conjuros de nivel 52-60</v>
      </c>
      <c r="W144" s="8439"/>
      <c r="X144" s="8439"/>
      <c r="Y144" s="8439"/>
      <c r="Z144" s="8439"/>
      <c r="AA144" s="8439"/>
      <c r="AB144" s="8439"/>
      <c r="AC144" s="8439"/>
      <c r="AD144" s="8439"/>
      <c r="AE144" s="8439"/>
      <c r="AF144" s="8439"/>
      <c r="AG144" s="8439"/>
      <c r="AH144" s="8439"/>
      <c r="AI144" s="8439"/>
      <c r="AJ144" s="8439"/>
      <c r="AK144" s="741"/>
      <c r="AL144" s="360"/>
    </row>
    <row r="145" spans="1:38" ht="12" customHeight="1">
      <c r="A145" s="360"/>
      <c r="B145" s="734">
        <f>B78+20</f>
        <v>42</v>
      </c>
      <c r="C145" s="8417" t="str">
        <f>IF(ISNA(VLOOKUP($J$6&amp;B145,'Tablas Magia'!$B$6:$D$779,3,FALSE)),IF(ISNA(VLOOKUP($J$8&amp;B145,'Tablas Magia'!$B$6:$D$779,3,FALSE)),IF(ISNA(VLOOKUP($J$6&amp;B145,Místicos!$AD$12:$AJ$50,4,FALSE)),"Libre Acceso 1-"&amp;MID(C$144,SEARCH("-",C$144)+1,3),VLOOKUP($J$6&amp;B145,Místicos!$AD$12:$AJ$50,4,FALSE)),VLOOKUP($J$8&amp;B145,'Tablas Magia'!$B$6:$D$779,3,FALSE)),VLOOKUP($J$6&amp;B145,'Tablas Magia'!$B$6:$D$779,3,FALSE))</f>
        <v>Libre Acceso 1-50</v>
      </c>
      <c r="D145" s="8418"/>
      <c r="E145" s="8418"/>
      <c r="F145" s="8418"/>
      <c r="G145" s="8419"/>
      <c r="H145" s="370" t="s">
        <v>1186</v>
      </c>
      <c r="I145" s="371">
        <f>B145</f>
        <v>42</v>
      </c>
      <c r="J145" s="8420" t="s">
        <v>5816</v>
      </c>
      <c r="K145" s="8420"/>
      <c r="L145" s="8420"/>
      <c r="M145" s="8378" t="e">
        <f>IF(C145=0,"",VLOOKUP(C145,'Tablas Magia'!$D$6:$Z$779,2,FALSE))</f>
        <v>#N/A</v>
      </c>
      <c r="N145" s="8378"/>
      <c r="O145" s="1525"/>
      <c r="P145" s="8415" t="str">
        <f>IFERROR(IF(M145="Libre Acceso","Aprendido",IF(IFERROR(VLOOKUP(M145,Místicos!$C$15:$H$25,6,0)&gt;=I145,FALSE),"Aprendido",IF(IFERROR(VLOOKUP(M145,Místicos!$E$15:$H$25,4,0)&gt;=I145,FALSE),"Aprendido",""))),"")</f>
        <v/>
      </c>
      <c r="Q145" s="8416"/>
      <c r="R145" s="366"/>
      <c r="S145" s="360"/>
      <c r="T145" s="360"/>
      <c r="U145" s="734">
        <f>B189+2</f>
        <v>52</v>
      </c>
      <c r="V145" s="8417" t="str">
        <f>IF(ISNA(VLOOKUP($J$6&amp;U145,'Tablas Magia'!$B$6:$D$779,3,FALSE)),IF(ISNA(VLOOKUP($J$8&amp;U145,'Tablas Magia'!$B$6:$D$779,3,FALSE)),IF(ISNA(VLOOKUP($J$6&amp;U145,Místicos!$AD$12:$AJ$50,4,FALSE)),"Libre Acceso 1-"&amp;MID(V$144,SEARCH("-",V$144)+1,3),VLOOKUP($J$6&amp;U145,Místicos!$AD$12:$AJ$50,4,FALSE)),VLOOKUP($J$8&amp;U145,'Tablas Magia'!$B$6:$D$779,3,FALSE)),VLOOKUP($J$6&amp;U145,'Tablas Magia'!$B$6:$D$779,3,FALSE))</f>
        <v>Libre Acceso 1-60</v>
      </c>
      <c r="W145" s="8418"/>
      <c r="X145" s="8418"/>
      <c r="Y145" s="8418"/>
      <c r="Z145" s="8419"/>
      <c r="AA145" s="370" t="s">
        <v>1186</v>
      </c>
      <c r="AB145" s="371">
        <f>U145</f>
        <v>52</v>
      </c>
      <c r="AC145" s="8420" t="s">
        <v>5816</v>
      </c>
      <c r="AD145" s="8420"/>
      <c r="AE145" s="8420"/>
      <c r="AF145" s="8378" t="e">
        <f>IF(V145=0,"",VLOOKUP(V145,'Tablas Magia'!$D$6:$Z$779,2,FALSE))</f>
        <v>#N/A</v>
      </c>
      <c r="AG145" s="8378"/>
      <c r="AH145" s="1525"/>
      <c r="AI145" s="8415" t="str">
        <f>IFERROR(IF(AF145="Libre Acceso","Aprendido",IF(IFERROR(VLOOKUP(AF145,Místicos!$C$15:$H$25,6,0)&gt;=AB145,FALSE),"Aprendido",IF(IFERROR(VLOOKUP(AF145,Místicos!$E$15:$H$25,4,0)&gt;=AB145,FALSE),"Aprendido",""))),"")</f>
        <v/>
      </c>
      <c r="AJ145" s="8416"/>
      <c r="AK145" s="366"/>
      <c r="AL145" s="360"/>
    </row>
    <row r="146" spans="1:38" ht="12" customHeight="1">
      <c r="A146" s="360"/>
      <c r="B146" s="734"/>
      <c r="C146" s="8399" t="s">
        <v>5817</v>
      </c>
      <c r="D146" s="8426"/>
      <c r="E146" s="2162" t="s">
        <v>5818</v>
      </c>
      <c r="F146" s="2162" t="s">
        <v>1368</v>
      </c>
      <c r="G146" s="2162" t="s">
        <v>2666</v>
      </c>
      <c r="H146" s="2163" t="s">
        <v>1690</v>
      </c>
      <c r="I146" s="8424" t="e">
        <f>IF(C145=0,"",VLOOKUP(C145,'Tablas Magia'!$D$6:$Z$779,5,FALSE))</f>
        <v>#N/A</v>
      </c>
      <c r="J146" s="8424"/>
      <c r="K146" s="8427" t="s">
        <v>5819</v>
      </c>
      <c r="L146" s="8427"/>
      <c r="M146" s="8424" t="e">
        <f>IF(C145=0,"",VLOOKUP(C145,'Tablas Magia'!$D$6:$Z$779,6,FALSE))</f>
        <v>#N/A</v>
      </c>
      <c r="N146" s="8424"/>
      <c r="O146" s="8425" t="s">
        <v>5820</v>
      </c>
      <c r="P146" s="8425"/>
      <c r="Q146" s="2164" t="e">
        <f>IF(C145=0,"",VLOOKUP(C145,'Tablas Magia'!$D$6:$Z$779,4,FALSE))</f>
        <v>#N/A</v>
      </c>
      <c r="R146" s="366"/>
      <c r="S146" s="360"/>
      <c r="T146" s="360"/>
      <c r="U146" s="734"/>
      <c r="V146" s="8399" t="s">
        <v>5817</v>
      </c>
      <c r="W146" s="8426"/>
      <c r="X146" s="2162" t="s">
        <v>5818</v>
      </c>
      <c r="Y146" s="2162" t="s">
        <v>1368</v>
      </c>
      <c r="Z146" s="2162" t="s">
        <v>2666</v>
      </c>
      <c r="AA146" s="2163" t="s">
        <v>1690</v>
      </c>
      <c r="AB146" s="8424" t="e">
        <f>IF(V145=0,"",VLOOKUP(V145,'Tablas Magia'!$D$6:$Z$779,5,FALSE))</f>
        <v>#N/A</v>
      </c>
      <c r="AC146" s="8424"/>
      <c r="AD146" s="8427" t="s">
        <v>5819</v>
      </c>
      <c r="AE146" s="8427"/>
      <c r="AF146" s="8424" t="e">
        <f>IF(V145=0,"",VLOOKUP(V145,'Tablas Magia'!$D$6:$Z$779,6,FALSE))</f>
        <v>#N/A</v>
      </c>
      <c r="AG146" s="8424"/>
      <c r="AH146" s="8425" t="s">
        <v>5820</v>
      </c>
      <c r="AI146" s="8425"/>
      <c r="AJ146" s="2164" t="e">
        <f>IF(V145=0,"",VLOOKUP(V145,'Tablas Magia'!$D$6:$Z$779,4,FALSE))</f>
        <v>#N/A</v>
      </c>
      <c r="AK146" s="366"/>
      <c r="AL146" s="360"/>
    </row>
    <row r="147" spans="1:38" ht="12" customHeight="1">
      <c r="A147" s="360"/>
      <c r="B147" s="734"/>
      <c r="C147" s="8391" t="s">
        <v>1225</v>
      </c>
      <c r="D147" s="8392"/>
      <c r="E147" s="375" t="e">
        <f>IF(C145=0,"",VLOOKUP(C145,'Tablas Magia'!$D$6:$Z$779,7,FALSE))</f>
        <v>#N/A</v>
      </c>
      <c r="F147" s="375" t="e">
        <f>IF(C145=0,"",VLOOKUP(C145,'Tablas Magia'!$D$6:$Z$779,11,FALSE))</f>
        <v>#N/A</v>
      </c>
      <c r="G147" s="376" t="e">
        <f>IF(C145=0,"",VLOOKUP(C145,'Tablas Magia'!$D$6:$Z$779,15,FALSE))</f>
        <v>#N/A</v>
      </c>
      <c r="H147" s="8393" t="e">
        <f>IF(C145=0,"",VLOOKUP(C145,'Tablas Magia'!$D$6:$Z$779,19,FALSE))</f>
        <v>#N/A</v>
      </c>
      <c r="I147" s="8394"/>
      <c r="J147" s="8394"/>
      <c r="K147" s="8394"/>
      <c r="L147" s="8394"/>
      <c r="M147" s="8394"/>
      <c r="N147" s="8394"/>
      <c r="O147" s="8394"/>
      <c r="P147" s="8394"/>
      <c r="Q147" s="8395"/>
      <c r="R147" s="366"/>
      <c r="S147" s="360"/>
      <c r="T147" s="360"/>
      <c r="U147" s="734"/>
      <c r="V147" s="8434" t="s">
        <v>1225</v>
      </c>
      <c r="W147" s="8435"/>
      <c r="X147" s="375" t="e">
        <f>IF(V145=0,"",VLOOKUP(V145,'Tablas Magia'!$D$6:$Z$779,7,FALSE))</f>
        <v>#N/A</v>
      </c>
      <c r="Y147" s="375" t="e">
        <f>IF(V145=0,"",VLOOKUP(V145,'Tablas Magia'!$D$6:$Z$779,11,FALSE))</f>
        <v>#N/A</v>
      </c>
      <c r="Z147" s="376" t="e">
        <f>IF(V145=0,"",VLOOKUP(V145,'Tablas Magia'!$D$6:$Z$779,15,FALSE))</f>
        <v>#N/A</v>
      </c>
      <c r="AA147" s="8421" t="e">
        <f>IF(V145=0,"",VLOOKUP(V145,'Tablas Magia'!$D$6:$Z$779,19,FALSE))</f>
        <v>#N/A</v>
      </c>
      <c r="AB147" s="8422"/>
      <c r="AC147" s="8422"/>
      <c r="AD147" s="8422"/>
      <c r="AE147" s="8422"/>
      <c r="AF147" s="8422"/>
      <c r="AG147" s="8422"/>
      <c r="AH147" s="8422"/>
      <c r="AI147" s="8422"/>
      <c r="AJ147" s="8423"/>
      <c r="AK147" s="366"/>
      <c r="AL147" s="360"/>
    </row>
    <row r="148" spans="1:38" ht="12" customHeight="1">
      <c r="A148" s="360"/>
      <c r="B148" s="734"/>
      <c r="C148" s="8386" t="s">
        <v>3035</v>
      </c>
      <c r="D148" s="8387"/>
      <c r="E148" s="377" t="e">
        <f>IF(C145=0,"",VLOOKUP(C145,'Tablas Magia'!$D$6:$Z$779,8,FALSE))</f>
        <v>#N/A</v>
      </c>
      <c r="F148" s="377" t="e">
        <f>IF(C145=0,"",VLOOKUP(C145,'Tablas Magia'!$D$6:$Z$779,12,FALSE))</f>
        <v>#N/A</v>
      </c>
      <c r="G148" s="378" t="e">
        <f>IF(C145=0,"",VLOOKUP(C145,'Tablas Magia'!$D$6:$Z$779,16,FALSE))</f>
        <v>#N/A</v>
      </c>
      <c r="H148" s="8388" t="e">
        <f>IF(C145=0,"",VLOOKUP(C145,'Tablas Magia'!$D$6:$Z$779,20,FALSE))</f>
        <v>#N/A</v>
      </c>
      <c r="I148" s="8389"/>
      <c r="J148" s="8389"/>
      <c r="K148" s="8389"/>
      <c r="L148" s="8389"/>
      <c r="M148" s="8389"/>
      <c r="N148" s="8389"/>
      <c r="O148" s="8389"/>
      <c r="P148" s="8389"/>
      <c r="Q148" s="8390"/>
      <c r="R148" s="366"/>
      <c r="S148" s="360"/>
      <c r="T148" s="360"/>
      <c r="U148" s="734"/>
      <c r="V148" s="8386" t="s">
        <v>3035</v>
      </c>
      <c r="W148" s="8387"/>
      <c r="X148" s="377" t="e">
        <f>IF(V145=0,"",VLOOKUP(V145,'Tablas Magia'!$D$6:$Z$779,8,FALSE))</f>
        <v>#N/A</v>
      </c>
      <c r="Y148" s="377" t="e">
        <f>IF(V145=0,"",VLOOKUP(V145,'Tablas Magia'!$D$6:$Z$779,12,FALSE))</f>
        <v>#N/A</v>
      </c>
      <c r="Z148" s="378" t="e">
        <f>IF(V145=0,"",VLOOKUP(V145,'Tablas Magia'!$D$6:$Z$779,16,FALSE))</f>
        <v>#N/A</v>
      </c>
      <c r="AA148" s="8388" t="e">
        <f>IF(V145=0,"",VLOOKUP(V145,'Tablas Magia'!$D$6:$Z$779,20,FALSE))</f>
        <v>#N/A</v>
      </c>
      <c r="AB148" s="8389"/>
      <c r="AC148" s="8389"/>
      <c r="AD148" s="8389"/>
      <c r="AE148" s="8389"/>
      <c r="AF148" s="8389"/>
      <c r="AG148" s="8389"/>
      <c r="AH148" s="8389"/>
      <c r="AI148" s="8389"/>
      <c r="AJ148" s="8390"/>
      <c r="AK148" s="366"/>
      <c r="AL148" s="360"/>
    </row>
    <row r="149" spans="1:38" ht="12" customHeight="1">
      <c r="A149" s="360"/>
      <c r="B149" s="734"/>
      <c r="C149" s="8391" t="s">
        <v>3036</v>
      </c>
      <c r="D149" s="8392"/>
      <c r="E149" s="375" t="e">
        <f>IF(C145=0,"",VLOOKUP(C145,'Tablas Magia'!$D$6:$Z$779,9,FALSE))</f>
        <v>#N/A</v>
      </c>
      <c r="F149" s="375" t="e">
        <f>IF(C145=0,"",VLOOKUP(C145,'Tablas Magia'!$D$6:$Z$779,13,FALSE))</f>
        <v>#N/A</v>
      </c>
      <c r="G149" s="376" t="e">
        <f>IF(C145=0,"",VLOOKUP(C145,'Tablas Magia'!$D$6:$Z$779,17,FALSE))</f>
        <v>#N/A</v>
      </c>
      <c r="H149" s="8393" t="e">
        <f>IF(C145=0,"",VLOOKUP(C145,'Tablas Magia'!$D$6:$Z$779,21,FALSE))</f>
        <v>#N/A</v>
      </c>
      <c r="I149" s="8394"/>
      <c r="J149" s="8394"/>
      <c r="K149" s="8394"/>
      <c r="L149" s="8394"/>
      <c r="M149" s="8394"/>
      <c r="N149" s="8394"/>
      <c r="O149" s="8394"/>
      <c r="P149" s="8394"/>
      <c r="Q149" s="8395"/>
      <c r="R149" s="366"/>
      <c r="S149" s="360"/>
      <c r="T149" s="360"/>
      <c r="U149" s="734"/>
      <c r="V149" s="8391" t="s">
        <v>3036</v>
      </c>
      <c r="W149" s="8392"/>
      <c r="X149" s="375" t="e">
        <f>IF(V145=0,"",VLOOKUP(V145,'Tablas Magia'!$D$6:$Z$779,9,FALSE))</f>
        <v>#N/A</v>
      </c>
      <c r="Y149" s="375" t="e">
        <f>IF(V145=0,"",VLOOKUP(V145,'Tablas Magia'!$D$6:$Z$779,13,FALSE))</f>
        <v>#N/A</v>
      </c>
      <c r="Z149" s="376" t="e">
        <f>IF(V145=0,"",VLOOKUP(V145,'Tablas Magia'!$D$6:$Z$779,17,FALSE))</f>
        <v>#N/A</v>
      </c>
      <c r="AA149" s="8393" t="e">
        <f>IF(V145=0,"",VLOOKUP(V145,'Tablas Magia'!$D$6:$Z$779,21,FALSE))</f>
        <v>#N/A</v>
      </c>
      <c r="AB149" s="8394"/>
      <c r="AC149" s="8394"/>
      <c r="AD149" s="8394"/>
      <c r="AE149" s="8394"/>
      <c r="AF149" s="8394"/>
      <c r="AG149" s="8394"/>
      <c r="AH149" s="8394"/>
      <c r="AI149" s="8394"/>
      <c r="AJ149" s="8395"/>
      <c r="AK149" s="366"/>
      <c r="AL149" s="360"/>
    </row>
    <row r="150" spans="1:38" ht="12" customHeight="1" thickBot="1">
      <c r="A150" s="360"/>
      <c r="B150" s="734"/>
      <c r="C150" s="8401" t="s">
        <v>3037</v>
      </c>
      <c r="D150" s="8402"/>
      <c r="E150" s="379" t="e">
        <f>IF(C145=0,"",VLOOKUP(C145,'Tablas Magia'!$D$6:$Z$779,10,FALSE))</f>
        <v>#N/A</v>
      </c>
      <c r="F150" s="379" t="e">
        <f>IF(C145=0,"",VLOOKUP(C145,'Tablas Magia'!$D$6:$Z$779,14,FALSE))</f>
        <v>#N/A</v>
      </c>
      <c r="G150" s="380" t="e">
        <f>IF(C145=0,"",VLOOKUP(C145,'Tablas Magia'!$D$6:$Z$779,18,FALSE))</f>
        <v>#N/A</v>
      </c>
      <c r="H150" s="8403" t="e">
        <f>IF(C145=0,"",VLOOKUP(C145,'Tablas Magia'!$D$6:$Z$779,22,FALSE))</f>
        <v>#N/A</v>
      </c>
      <c r="I150" s="8404"/>
      <c r="J150" s="8404"/>
      <c r="K150" s="8404"/>
      <c r="L150" s="8404"/>
      <c r="M150" s="8404"/>
      <c r="N150" s="8404"/>
      <c r="O150" s="8404"/>
      <c r="P150" s="8404"/>
      <c r="Q150" s="8405"/>
      <c r="R150" s="366"/>
      <c r="S150" s="360"/>
      <c r="T150" s="360"/>
      <c r="U150" s="734"/>
      <c r="V150" s="8401" t="s">
        <v>3037</v>
      </c>
      <c r="W150" s="8402"/>
      <c r="X150" s="379" t="e">
        <f>IF(V145=0,"",VLOOKUP(V145,'Tablas Magia'!$D$6:$Z$779,10,FALSE))</f>
        <v>#N/A</v>
      </c>
      <c r="Y150" s="379" t="e">
        <f>IF(V145=0,"",VLOOKUP(V145,'Tablas Magia'!$D$6:$Z$779,14,FALSE))</f>
        <v>#N/A</v>
      </c>
      <c r="Z150" s="380" t="e">
        <f>IF(V145=0,"",VLOOKUP(V145,'Tablas Magia'!$D$6:$Z$779,18,FALSE))</f>
        <v>#N/A</v>
      </c>
      <c r="AA150" s="8403" t="e">
        <f>IF(V145=0,"",VLOOKUP(V145,'Tablas Magia'!$D$6:$Z$779,22,FALSE))</f>
        <v>#N/A</v>
      </c>
      <c r="AB150" s="8404"/>
      <c r="AC150" s="8404"/>
      <c r="AD150" s="8404"/>
      <c r="AE150" s="8404"/>
      <c r="AF150" s="8404"/>
      <c r="AG150" s="8404"/>
      <c r="AH150" s="8404"/>
      <c r="AI150" s="8404"/>
      <c r="AJ150" s="8405"/>
      <c r="AK150" s="366"/>
      <c r="AL150" s="360"/>
    </row>
    <row r="151" spans="1:38" ht="12" customHeight="1">
      <c r="A151" s="360"/>
      <c r="B151" s="734"/>
      <c r="C151" s="8406" t="e">
        <f>IF(C145=0,"",VLOOKUP(C145,'Tablas Magia'!$D$6:$Z$779,23,FALSE))</f>
        <v>#N/A</v>
      </c>
      <c r="D151" s="8407"/>
      <c r="E151" s="8407"/>
      <c r="F151" s="8407"/>
      <c r="G151" s="8407"/>
      <c r="H151" s="8407"/>
      <c r="I151" s="8407"/>
      <c r="J151" s="8407"/>
      <c r="K151" s="8407"/>
      <c r="L151" s="8407"/>
      <c r="M151" s="8407"/>
      <c r="N151" s="8407"/>
      <c r="O151" s="8407"/>
      <c r="P151" s="8407"/>
      <c r="Q151" s="8408"/>
      <c r="R151" s="366"/>
      <c r="S151" s="360"/>
      <c r="T151" s="360"/>
      <c r="U151" s="734"/>
      <c r="V151" s="8406" t="e">
        <f>IF(V145=0,"",VLOOKUP(V145,'Tablas Magia'!$D$6:$Z$779,23,FALSE))</f>
        <v>#N/A</v>
      </c>
      <c r="W151" s="8407"/>
      <c r="X151" s="8407"/>
      <c r="Y151" s="8407"/>
      <c r="Z151" s="8407"/>
      <c r="AA151" s="8407"/>
      <c r="AB151" s="8407"/>
      <c r="AC151" s="8407"/>
      <c r="AD151" s="8407"/>
      <c r="AE151" s="8407"/>
      <c r="AF151" s="8407"/>
      <c r="AG151" s="8407"/>
      <c r="AH151" s="8407"/>
      <c r="AI151" s="8407"/>
      <c r="AJ151" s="8408"/>
      <c r="AK151" s="366"/>
      <c r="AL151" s="360"/>
    </row>
    <row r="152" spans="1:38" ht="12" customHeight="1">
      <c r="A152" s="360"/>
      <c r="B152" s="734"/>
      <c r="C152" s="8409"/>
      <c r="D152" s="8410"/>
      <c r="E152" s="8410"/>
      <c r="F152" s="8410"/>
      <c r="G152" s="8410"/>
      <c r="H152" s="8410"/>
      <c r="I152" s="8410"/>
      <c r="J152" s="8410"/>
      <c r="K152" s="8410"/>
      <c r="L152" s="8410"/>
      <c r="M152" s="8410"/>
      <c r="N152" s="8410"/>
      <c r="O152" s="8410"/>
      <c r="P152" s="8410"/>
      <c r="Q152" s="8411"/>
      <c r="R152" s="366"/>
      <c r="S152" s="360"/>
      <c r="T152" s="360"/>
      <c r="U152" s="734"/>
      <c r="V152" s="8409"/>
      <c r="W152" s="8410"/>
      <c r="X152" s="8410"/>
      <c r="Y152" s="8410"/>
      <c r="Z152" s="8410"/>
      <c r="AA152" s="8410"/>
      <c r="AB152" s="8410"/>
      <c r="AC152" s="8410"/>
      <c r="AD152" s="8410"/>
      <c r="AE152" s="8410"/>
      <c r="AF152" s="8410"/>
      <c r="AG152" s="8410"/>
      <c r="AH152" s="8410"/>
      <c r="AI152" s="8410"/>
      <c r="AJ152" s="8411"/>
      <c r="AK152" s="366"/>
      <c r="AL152" s="360"/>
    </row>
    <row r="153" spans="1:38" ht="12" customHeight="1">
      <c r="A153" s="360"/>
      <c r="B153" s="734"/>
      <c r="C153" s="8409"/>
      <c r="D153" s="8410"/>
      <c r="E153" s="8410"/>
      <c r="F153" s="8410"/>
      <c r="G153" s="8410"/>
      <c r="H153" s="8410"/>
      <c r="I153" s="8410"/>
      <c r="J153" s="8410"/>
      <c r="K153" s="8410"/>
      <c r="L153" s="8410"/>
      <c r="M153" s="8410"/>
      <c r="N153" s="8410"/>
      <c r="O153" s="8410"/>
      <c r="P153" s="8410"/>
      <c r="Q153" s="8411"/>
      <c r="R153" s="366"/>
      <c r="S153" s="360"/>
      <c r="T153" s="360"/>
      <c r="U153" s="734"/>
      <c r="V153" s="8409"/>
      <c r="W153" s="8410"/>
      <c r="X153" s="8410"/>
      <c r="Y153" s="8410"/>
      <c r="Z153" s="8410"/>
      <c r="AA153" s="8410"/>
      <c r="AB153" s="8410"/>
      <c r="AC153" s="8410"/>
      <c r="AD153" s="8410"/>
      <c r="AE153" s="8410"/>
      <c r="AF153" s="8410"/>
      <c r="AG153" s="8410"/>
      <c r="AH153" s="8410"/>
      <c r="AI153" s="8410"/>
      <c r="AJ153" s="8411"/>
      <c r="AK153" s="366"/>
      <c r="AL153" s="360"/>
    </row>
    <row r="154" spans="1:38" ht="12" customHeight="1" thickBot="1">
      <c r="A154" s="360"/>
      <c r="B154" s="734"/>
      <c r="C154" s="8412"/>
      <c r="D154" s="8413"/>
      <c r="E154" s="8413"/>
      <c r="F154" s="8413"/>
      <c r="G154" s="8413"/>
      <c r="H154" s="8413"/>
      <c r="I154" s="8413"/>
      <c r="J154" s="8413"/>
      <c r="K154" s="8413"/>
      <c r="L154" s="8413"/>
      <c r="M154" s="8413"/>
      <c r="N154" s="8413"/>
      <c r="O154" s="8413"/>
      <c r="P154" s="8413"/>
      <c r="Q154" s="8414"/>
      <c r="R154" s="366"/>
      <c r="S154" s="360"/>
      <c r="T154" s="360"/>
      <c r="U154" s="734"/>
      <c r="V154" s="8412"/>
      <c r="W154" s="8413"/>
      <c r="X154" s="8413"/>
      <c r="Y154" s="8413"/>
      <c r="Z154" s="8413"/>
      <c r="AA154" s="8413"/>
      <c r="AB154" s="8413"/>
      <c r="AC154" s="8413"/>
      <c r="AD154" s="8413"/>
      <c r="AE154" s="8413"/>
      <c r="AF154" s="8413"/>
      <c r="AG154" s="8413"/>
      <c r="AH154" s="8413"/>
      <c r="AI154" s="8413"/>
      <c r="AJ154" s="8414"/>
      <c r="AK154" s="366"/>
      <c r="AL154" s="360"/>
    </row>
    <row r="155" spans="1:38" ht="12" customHeight="1" thickBot="1">
      <c r="A155" s="360"/>
      <c r="B155" s="734"/>
      <c r="C155" s="743"/>
      <c r="D155" s="743"/>
      <c r="E155" s="743"/>
      <c r="F155" s="743"/>
      <c r="G155" s="743"/>
      <c r="H155" s="381"/>
      <c r="I155" s="382"/>
      <c r="J155" s="383"/>
      <c r="K155" s="383"/>
      <c r="L155" s="383"/>
      <c r="M155" s="329"/>
      <c r="N155" s="329"/>
      <c r="O155" s="329"/>
      <c r="P155" s="329"/>
      <c r="Q155" s="329"/>
      <c r="R155" s="366"/>
      <c r="S155" s="360"/>
      <c r="T155" s="360"/>
      <c r="U155" s="734"/>
      <c r="V155" s="383"/>
      <c r="W155" s="383"/>
      <c r="X155" s="384"/>
      <c r="Y155" s="384"/>
      <c r="Z155" s="384"/>
      <c r="AA155" s="383"/>
      <c r="AB155" s="329"/>
      <c r="AC155" s="329"/>
      <c r="AD155" s="383"/>
      <c r="AE155" s="383"/>
      <c r="AF155" s="329"/>
      <c r="AG155" s="329"/>
      <c r="AH155" s="385"/>
      <c r="AI155" s="385"/>
      <c r="AJ155" s="329"/>
      <c r="AK155" s="366"/>
      <c r="AL155" s="360"/>
    </row>
    <row r="156" spans="1:38" ht="12" customHeight="1">
      <c r="A156" s="360"/>
      <c r="B156" s="734">
        <f>B145+2</f>
        <v>44</v>
      </c>
      <c r="C156" s="8417" t="str">
        <f>IF(ISNA(VLOOKUP($J$6&amp;B156,'Tablas Magia'!$B$6:$D$779,3,FALSE)),IF(ISNA(VLOOKUP($J$8&amp;B156,'Tablas Magia'!$B$6:$D$779,3,FALSE)),IF(ISNA(VLOOKUP($J$6&amp;B156,Místicos!$AD$12:$AJ$50,4,FALSE)),"Libre Acceso 1-"&amp;MID(C$10,SEARCH("-",C$10)+1,3),VLOOKUP($J$6&amp;B156,Místicos!$AD$12:$AJ$50,4,FALSE)),VLOOKUP($J$8&amp;B156,'Tablas Magia'!$B$6:$D$779,3,FALSE)),VLOOKUP($J$6&amp;B156,'Tablas Magia'!$B$6:$D$779,3,FALSE))</f>
        <v>Libre Acceso 1-10</v>
      </c>
      <c r="D156" s="8418"/>
      <c r="E156" s="8418"/>
      <c r="F156" s="8418"/>
      <c r="G156" s="8419"/>
      <c r="H156" s="370" t="s">
        <v>1186</v>
      </c>
      <c r="I156" s="371">
        <f>B156</f>
        <v>44</v>
      </c>
      <c r="J156" s="8420" t="s">
        <v>5816</v>
      </c>
      <c r="K156" s="8420"/>
      <c r="L156" s="8420"/>
      <c r="M156" s="8378" t="e">
        <f>IF(C156=0,"",VLOOKUP(C156,'Tablas Magia'!$D$6:$Z$779,2,FALSE))</f>
        <v>#N/A</v>
      </c>
      <c r="N156" s="8378"/>
      <c r="O156" s="1525"/>
      <c r="P156" s="8415" t="str">
        <f>IFERROR(IF(M156="Libre Acceso","Aprendido",IF(IFERROR(VLOOKUP(M156,Místicos!$C$15:$H$25,6,0)&gt;=I156,FALSE),"Aprendido",IF(IFERROR(VLOOKUP(M156,Místicos!$E$15:$H$25,4,0)&gt;=I156,FALSE),"Aprendido",""))),"")</f>
        <v/>
      </c>
      <c r="Q156" s="8416"/>
      <c r="R156" s="366"/>
      <c r="S156" s="360"/>
      <c r="T156" s="360"/>
      <c r="U156" s="734">
        <f>U145+2</f>
        <v>54</v>
      </c>
      <c r="V156" s="8417" t="str">
        <f>IF(ISNA(VLOOKUP($J$6&amp;U156,'Tablas Magia'!$B$6:$D$779,3,FALSE)),IF(ISNA(VLOOKUP($J$8&amp;U156,'Tablas Magia'!$B$6:$D$779,3,FALSE)),IF(ISNA(VLOOKUP($J$6&amp;U156,Místicos!$AD$12:$AJ$50,4,FALSE)),"Libre Acceso 1-"&amp;MID(V$10,SEARCH("-",V$10)+1,3),VLOOKUP($J$6&amp;U156,Místicos!$AD$12:$AJ$50,4,FALSE)),VLOOKUP($J$8&amp;U156,'Tablas Magia'!$B$6:$D$779,3,FALSE)),VLOOKUP($J$6&amp;U156,'Tablas Magia'!$B$6:$D$779,3,FALSE))</f>
        <v>Libre Acceso 1-20</v>
      </c>
      <c r="W156" s="8418"/>
      <c r="X156" s="8418"/>
      <c r="Y156" s="8418"/>
      <c r="Z156" s="8419"/>
      <c r="AA156" s="370" t="s">
        <v>1186</v>
      </c>
      <c r="AB156" s="371">
        <f>U156</f>
        <v>54</v>
      </c>
      <c r="AC156" s="8420" t="s">
        <v>5816</v>
      </c>
      <c r="AD156" s="8420"/>
      <c r="AE156" s="8420"/>
      <c r="AF156" s="8378" t="e">
        <f>IF(V156=0,"",VLOOKUP(V156,'Tablas Magia'!$D$6:$Z$779,2,FALSE))</f>
        <v>#N/A</v>
      </c>
      <c r="AG156" s="8378"/>
      <c r="AH156" s="1525"/>
      <c r="AI156" s="8415" t="str">
        <f>IFERROR(IF(AF156="Libre Acceso","Aprendido",IF(IFERROR(VLOOKUP(AF156,Místicos!$C$15:$H$25,6,0)&gt;=AB156,FALSE),"Aprendido",IF(IFERROR(VLOOKUP(AF156,Místicos!$E$15:$H$25,4,0)&gt;=AB156,FALSE),"Aprendido",""))),"")</f>
        <v/>
      </c>
      <c r="AJ156" s="8416"/>
      <c r="AK156" s="366"/>
      <c r="AL156" s="360"/>
    </row>
    <row r="157" spans="1:38" ht="12" customHeight="1">
      <c r="A157" s="360"/>
      <c r="B157" s="734"/>
      <c r="C157" s="8399" t="s">
        <v>5817</v>
      </c>
      <c r="D157" s="8426"/>
      <c r="E157" s="2162" t="s">
        <v>5818</v>
      </c>
      <c r="F157" s="2162" t="s">
        <v>1368</v>
      </c>
      <c r="G157" s="2162" t="s">
        <v>2666</v>
      </c>
      <c r="H157" s="2163" t="s">
        <v>1690</v>
      </c>
      <c r="I157" s="8424" t="e">
        <f>IF(C156=0,"",VLOOKUP(C156,'Tablas Magia'!$D$6:$Z$779,5,FALSE))</f>
        <v>#N/A</v>
      </c>
      <c r="J157" s="8424"/>
      <c r="K157" s="8427" t="s">
        <v>5819</v>
      </c>
      <c r="L157" s="8427"/>
      <c r="M157" s="8424" t="e">
        <f>IF(C156=0,"",VLOOKUP(C156,'Tablas Magia'!$D$6:$Z$779,6,FALSE))</f>
        <v>#N/A</v>
      </c>
      <c r="N157" s="8424"/>
      <c r="O157" s="8425" t="s">
        <v>5820</v>
      </c>
      <c r="P157" s="8425"/>
      <c r="Q157" s="2164" t="e">
        <f>IF(C156=0,"",VLOOKUP(C156,'Tablas Magia'!$D$6:$Z$779,4,FALSE))</f>
        <v>#N/A</v>
      </c>
      <c r="R157" s="366"/>
      <c r="S157" s="360"/>
      <c r="T157" s="360"/>
      <c r="U157" s="734"/>
      <c r="V157" s="8399" t="s">
        <v>5817</v>
      </c>
      <c r="W157" s="8426"/>
      <c r="X157" s="2162" t="s">
        <v>5818</v>
      </c>
      <c r="Y157" s="2162" t="s">
        <v>1368</v>
      </c>
      <c r="Z157" s="2162" t="s">
        <v>2666</v>
      </c>
      <c r="AA157" s="2163" t="s">
        <v>1690</v>
      </c>
      <c r="AB157" s="8424" t="e">
        <f>IF(V156=0,"",VLOOKUP(V156,'Tablas Magia'!$D$6:$Z$779,5,FALSE))</f>
        <v>#N/A</v>
      </c>
      <c r="AC157" s="8424"/>
      <c r="AD157" s="8427" t="s">
        <v>5819</v>
      </c>
      <c r="AE157" s="8427"/>
      <c r="AF157" s="8424" t="e">
        <f>IF(V156=0,"",VLOOKUP(V156,'Tablas Magia'!$D$6:$Z$779,6,FALSE))</f>
        <v>#N/A</v>
      </c>
      <c r="AG157" s="8424"/>
      <c r="AH157" s="8425" t="s">
        <v>5820</v>
      </c>
      <c r="AI157" s="8425"/>
      <c r="AJ157" s="2164" t="e">
        <f>IF(V156=0,"",VLOOKUP(V156,'Tablas Magia'!$D$6:$Z$779,4,FALSE))</f>
        <v>#N/A</v>
      </c>
      <c r="AK157" s="366"/>
      <c r="AL157" s="360"/>
    </row>
    <row r="158" spans="1:38" ht="12" customHeight="1">
      <c r="A158" s="360"/>
      <c r="B158" s="734"/>
      <c r="C158" s="8434" t="s">
        <v>1225</v>
      </c>
      <c r="D158" s="8435"/>
      <c r="E158" s="375" t="e">
        <f>IF(C156=0,"",VLOOKUP(C156,'Tablas Magia'!$D$6:$Z$779,7,FALSE))</f>
        <v>#N/A</v>
      </c>
      <c r="F158" s="375" t="e">
        <f>IF(C156=0,"",VLOOKUP(C156,'Tablas Magia'!$D$6:$Z$779,11,FALSE))</f>
        <v>#N/A</v>
      </c>
      <c r="G158" s="376" t="e">
        <f>IF(C156=0,"",VLOOKUP(C156,'Tablas Magia'!$D$6:$Z$779,15,FALSE))</f>
        <v>#N/A</v>
      </c>
      <c r="H158" s="8421" t="e">
        <f>IF(C156=0,"",VLOOKUP(C156,'Tablas Magia'!$D$6:$Z$779,19,FALSE))</f>
        <v>#N/A</v>
      </c>
      <c r="I158" s="8422"/>
      <c r="J158" s="8422"/>
      <c r="K158" s="8422"/>
      <c r="L158" s="8422"/>
      <c r="M158" s="8422"/>
      <c r="N158" s="8422"/>
      <c r="O158" s="8422"/>
      <c r="P158" s="8422"/>
      <c r="Q158" s="8423"/>
      <c r="R158" s="366"/>
      <c r="S158" s="360"/>
      <c r="T158" s="360"/>
      <c r="U158" s="734"/>
      <c r="V158" s="8391" t="s">
        <v>1225</v>
      </c>
      <c r="W158" s="8392"/>
      <c r="X158" s="375" t="e">
        <f>IF(V156=0,"",VLOOKUP(V156,'Tablas Magia'!$D$6:$Z$779,7,FALSE))</f>
        <v>#N/A</v>
      </c>
      <c r="Y158" s="375" t="e">
        <f>IF(V156=0,"",VLOOKUP(V156,'Tablas Magia'!$D$6:$Z$779,11,FALSE))</f>
        <v>#N/A</v>
      </c>
      <c r="Z158" s="376" t="e">
        <f>IF(V156=0,"",VLOOKUP(V156,'Tablas Magia'!$D$6:$Z$779,15,FALSE))</f>
        <v>#N/A</v>
      </c>
      <c r="AA158" s="8393" t="e">
        <f>IF(V156=0,"",VLOOKUP(V156,'Tablas Magia'!$D$6:$Z$779,19,FALSE))</f>
        <v>#N/A</v>
      </c>
      <c r="AB158" s="8394"/>
      <c r="AC158" s="8394"/>
      <c r="AD158" s="8394"/>
      <c r="AE158" s="8394"/>
      <c r="AF158" s="8394"/>
      <c r="AG158" s="8394"/>
      <c r="AH158" s="8394"/>
      <c r="AI158" s="8394"/>
      <c r="AJ158" s="8395"/>
      <c r="AK158" s="366"/>
      <c r="AL158" s="360"/>
    </row>
    <row r="159" spans="1:38" ht="12" customHeight="1">
      <c r="A159" s="360"/>
      <c r="B159" s="734"/>
      <c r="C159" s="8386" t="s">
        <v>3035</v>
      </c>
      <c r="D159" s="8387"/>
      <c r="E159" s="377" t="e">
        <f>IF(C156=0,"",VLOOKUP(C156,'Tablas Magia'!$D$6:$Z$779,8,FALSE))</f>
        <v>#N/A</v>
      </c>
      <c r="F159" s="377" t="e">
        <f>IF(C156=0,"",VLOOKUP(C156,'Tablas Magia'!$D$6:$Z$779,12,FALSE))</f>
        <v>#N/A</v>
      </c>
      <c r="G159" s="378" t="e">
        <f>IF(C156=0,"",VLOOKUP(C156,'Tablas Magia'!$D$6:$Z$779,16,FALSE))</f>
        <v>#N/A</v>
      </c>
      <c r="H159" s="8388" t="e">
        <f>IF(C156=0,"",VLOOKUP(C156,'Tablas Magia'!$D$6:$Z$779,20,FALSE))</f>
        <v>#N/A</v>
      </c>
      <c r="I159" s="8389"/>
      <c r="J159" s="8389"/>
      <c r="K159" s="8389"/>
      <c r="L159" s="8389"/>
      <c r="M159" s="8389"/>
      <c r="N159" s="8389"/>
      <c r="O159" s="8389"/>
      <c r="P159" s="8389"/>
      <c r="Q159" s="8390"/>
      <c r="R159" s="366"/>
      <c r="S159" s="360"/>
      <c r="T159" s="360"/>
      <c r="U159" s="734"/>
      <c r="V159" s="8386" t="s">
        <v>3035</v>
      </c>
      <c r="W159" s="8387"/>
      <c r="X159" s="377" t="e">
        <f>IF(V156=0,"",VLOOKUP(V156,'Tablas Magia'!$D$6:$Z$779,8,FALSE))</f>
        <v>#N/A</v>
      </c>
      <c r="Y159" s="377" t="e">
        <f>IF(V156=0,"",VLOOKUP(V156,'Tablas Magia'!$D$6:$Z$779,12,FALSE))</f>
        <v>#N/A</v>
      </c>
      <c r="Z159" s="378" t="e">
        <f>IF(V156=0,"",VLOOKUP(V156,'Tablas Magia'!$D$6:$Z$779,16,FALSE))</f>
        <v>#N/A</v>
      </c>
      <c r="AA159" s="8388" t="e">
        <f>IF(V156=0,"",VLOOKUP(V156,'Tablas Magia'!$D$6:$Z$779,20,FALSE))</f>
        <v>#N/A</v>
      </c>
      <c r="AB159" s="8389"/>
      <c r="AC159" s="8389"/>
      <c r="AD159" s="8389"/>
      <c r="AE159" s="8389"/>
      <c r="AF159" s="8389"/>
      <c r="AG159" s="8389"/>
      <c r="AH159" s="8389"/>
      <c r="AI159" s="8389"/>
      <c r="AJ159" s="8390"/>
      <c r="AK159" s="366"/>
      <c r="AL159" s="360"/>
    </row>
    <row r="160" spans="1:38" ht="12" customHeight="1">
      <c r="A160" s="360"/>
      <c r="B160" s="734"/>
      <c r="C160" s="8391" t="s">
        <v>3036</v>
      </c>
      <c r="D160" s="8392"/>
      <c r="E160" s="375" t="e">
        <f>IF(C156=0,"",VLOOKUP(C156,'Tablas Magia'!$D$6:$Z$779,9,FALSE))</f>
        <v>#N/A</v>
      </c>
      <c r="F160" s="375" t="e">
        <f>IF(C156=0,"",VLOOKUP(C156,'Tablas Magia'!$D$6:$Z$779,13,FALSE))</f>
        <v>#N/A</v>
      </c>
      <c r="G160" s="376" t="e">
        <f>IF(C156=0,"",VLOOKUP(C156,'Tablas Magia'!$D$6:$Z$779,17,FALSE))</f>
        <v>#N/A</v>
      </c>
      <c r="H160" s="8393" t="e">
        <f>IF(C156=0,"",VLOOKUP(C156,'Tablas Magia'!$D$6:$Z$779,21,FALSE))</f>
        <v>#N/A</v>
      </c>
      <c r="I160" s="8394"/>
      <c r="J160" s="8394"/>
      <c r="K160" s="8394"/>
      <c r="L160" s="8394"/>
      <c r="M160" s="8394"/>
      <c r="N160" s="8394"/>
      <c r="O160" s="8394"/>
      <c r="P160" s="8394"/>
      <c r="Q160" s="8395"/>
      <c r="R160" s="366"/>
      <c r="S160" s="360"/>
      <c r="T160" s="360"/>
      <c r="U160" s="734"/>
      <c r="V160" s="8391" t="s">
        <v>3036</v>
      </c>
      <c r="W160" s="8392"/>
      <c r="X160" s="375" t="e">
        <f>IF(V156=0,"",VLOOKUP(V156,'Tablas Magia'!$D$6:$Z$779,9,FALSE))</f>
        <v>#N/A</v>
      </c>
      <c r="Y160" s="375" t="e">
        <f>IF(V156=0,"",VLOOKUP(V156,'Tablas Magia'!$D$6:$Z$779,13,FALSE))</f>
        <v>#N/A</v>
      </c>
      <c r="Z160" s="376" t="e">
        <f>IF(V156=0,"",VLOOKUP(V156,'Tablas Magia'!$D$6:$Z$779,17,FALSE))</f>
        <v>#N/A</v>
      </c>
      <c r="AA160" s="8393" t="e">
        <f>IF(V156=0,"",VLOOKUP(V156,'Tablas Magia'!$D$6:$Z$779,21,FALSE))</f>
        <v>#N/A</v>
      </c>
      <c r="AB160" s="8394"/>
      <c r="AC160" s="8394"/>
      <c r="AD160" s="8394"/>
      <c r="AE160" s="8394"/>
      <c r="AF160" s="8394"/>
      <c r="AG160" s="8394"/>
      <c r="AH160" s="8394"/>
      <c r="AI160" s="8394"/>
      <c r="AJ160" s="8395"/>
      <c r="AK160" s="366"/>
      <c r="AL160" s="360"/>
    </row>
    <row r="161" spans="1:38" ht="12" customHeight="1" thickBot="1">
      <c r="A161" s="360"/>
      <c r="B161" s="734"/>
      <c r="C161" s="8401" t="s">
        <v>3037</v>
      </c>
      <c r="D161" s="8402"/>
      <c r="E161" s="379" t="e">
        <f>IF(C156=0,"",VLOOKUP(C156,'Tablas Magia'!$D$6:$Z$779,10,FALSE))</f>
        <v>#N/A</v>
      </c>
      <c r="F161" s="379" t="e">
        <f>IF(C156=0,"",VLOOKUP(C156,'Tablas Magia'!$D$6:$Z$779,14,FALSE))</f>
        <v>#N/A</v>
      </c>
      <c r="G161" s="380" t="e">
        <f>IF(C156=0,"",VLOOKUP(C156,'Tablas Magia'!$D$6:$Z$779,18,FALSE))</f>
        <v>#N/A</v>
      </c>
      <c r="H161" s="8403" t="e">
        <f>IF(C156=0,"",VLOOKUP(C156,'Tablas Magia'!$D$6:$Z$779,22,FALSE))</f>
        <v>#N/A</v>
      </c>
      <c r="I161" s="8404"/>
      <c r="J161" s="8404"/>
      <c r="K161" s="8404"/>
      <c r="L161" s="8404"/>
      <c r="M161" s="8404"/>
      <c r="N161" s="8404"/>
      <c r="O161" s="8404"/>
      <c r="P161" s="8404"/>
      <c r="Q161" s="8405"/>
      <c r="R161" s="366"/>
      <c r="S161" s="360"/>
      <c r="T161" s="360"/>
      <c r="U161" s="734"/>
      <c r="V161" s="8401" t="s">
        <v>3037</v>
      </c>
      <c r="W161" s="8402"/>
      <c r="X161" s="379" t="e">
        <f>IF(V156=0,"",VLOOKUP(V156,'Tablas Magia'!$D$6:$Z$779,10,FALSE))</f>
        <v>#N/A</v>
      </c>
      <c r="Y161" s="379" t="e">
        <f>IF(V156=0,"",VLOOKUP(V156,'Tablas Magia'!$D$6:$Z$779,14,FALSE))</f>
        <v>#N/A</v>
      </c>
      <c r="Z161" s="380" t="e">
        <f>IF(V156=0,"",VLOOKUP(V156,'Tablas Magia'!$D$6:$Z$779,18,FALSE))</f>
        <v>#N/A</v>
      </c>
      <c r="AA161" s="8403" t="e">
        <f>IF(V156=0,"",VLOOKUP(V156,'Tablas Magia'!$D$6:$Z$779,22,FALSE))</f>
        <v>#N/A</v>
      </c>
      <c r="AB161" s="8404"/>
      <c r="AC161" s="8404"/>
      <c r="AD161" s="8404"/>
      <c r="AE161" s="8404"/>
      <c r="AF161" s="8404"/>
      <c r="AG161" s="8404"/>
      <c r="AH161" s="8404"/>
      <c r="AI161" s="8404"/>
      <c r="AJ161" s="8405"/>
      <c r="AK161" s="366"/>
      <c r="AL161" s="360"/>
    </row>
    <row r="162" spans="1:38" ht="12" customHeight="1">
      <c r="A162" s="360"/>
      <c r="B162" s="734"/>
      <c r="C162" s="8406" t="e">
        <f>IF(C156=0,"",VLOOKUP(C156,'Tablas Magia'!$D$6:$Z$779,23,FALSE))</f>
        <v>#N/A</v>
      </c>
      <c r="D162" s="8407"/>
      <c r="E162" s="8407"/>
      <c r="F162" s="8407"/>
      <c r="G162" s="8407"/>
      <c r="H162" s="8407"/>
      <c r="I162" s="8407"/>
      <c r="J162" s="8407"/>
      <c r="K162" s="8407"/>
      <c r="L162" s="8407"/>
      <c r="M162" s="8407"/>
      <c r="N162" s="8407"/>
      <c r="O162" s="8407"/>
      <c r="P162" s="8407"/>
      <c r="Q162" s="8408"/>
      <c r="R162" s="366"/>
      <c r="S162" s="360"/>
      <c r="T162" s="360"/>
      <c r="U162" s="734"/>
      <c r="V162" s="8406" t="e">
        <f>IF(V156=0,"",VLOOKUP(V156,'Tablas Magia'!$D$6:$Z$779,23,FALSE))</f>
        <v>#N/A</v>
      </c>
      <c r="W162" s="8407"/>
      <c r="X162" s="8407"/>
      <c r="Y162" s="8407"/>
      <c r="Z162" s="8407"/>
      <c r="AA162" s="8407"/>
      <c r="AB162" s="8407"/>
      <c r="AC162" s="8407"/>
      <c r="AD162" s="8407"/>
      <c r="AE162" s="8407"/>
      <c r="AF162" s="8407"/>
      <c r="AG162" s="8407"/>
      <c r="AH162" s="8407"/>
      <c r="AI162" s="8407"/>
      <c r="AJ162" s="8408"/>
      <c r="AK162" s="366"/>
      <c r="AL162" s="360"/>
    </row>
    <row r="163" spans="1:38" ht="12" customHeight="1">
      <c r="A163" s="360"/>
      <c r="B163" s="734"/>
      <c r="C163" s="8409"/>
      <c r="D163" s="8410"/>
      <c r="E163" s="8410"/>
      <c r="F163" s="8410"/>
      <c r="G163" s="8410"/>
      <c r="H163" s="8410"/>
      <c r="I163" s="8410"/>
      <c r="J163" s="8410"/>
      <c r="K163" s="8410"/>
      <c r="L163" s="8410"/>
      <c r="M163" s="8410"/>
      <c r="N163" s="8410"/>
      <c r="O163" s="8410"/>
      <c r="P163" s="8410"/>
      <c r="Q163" s="8411"/>
      <c r="R163" s="366"/>
      <c r="S163" s="360"/>
      <c r="T163" s="360"/>
      <c r="U163" s="734"/>
      <c r="V163" s="8409"/>
      <c r="W163" s="8410"/>
      <c r="X163" s="8410"/>
      <c r="Y163" s="8410"/>
      <c r="Z163" s="8410"/>
      <c r="AA163" s="8410"/>
      <c r="AB163" s="8410"/>
      <c r="AC163" s="8410"/>
      <c r="AD163" s="8410"/>
      <c r="AE163" s="8410"/>
      <c r="AF163" s="8410"/>
      <c r="AG163" s="8410"/>
      <c r="AH163" s="8410"/>
      <c r="AI163" s="8410"/>
      <c r="AJ163" s="8411"/>
      <c r="AK163" s="366"/>
      <c r="AL163" s="360"/>
    </row>
    <row r="164" spans="1:38" ht="12" customHeight="1">
      <c r="A164" s="360"/>
      <c r="B164" s="734"/>
      <c r="C164" s="8409"/>
      <c r="D164" s="8410"/>
      <c r="E164" s="8410"/>
      <c r="F164" s="8410"/>
      <c r="G164" s="8410"/>
      <c r="H164" s="8410"/>
      <c r="I164" s="8410"/>
      <c r="J164" s="8410"/>
      <c r="K164" s="8410"/>
      <c r="L164" s="8410"/>
      <c r="M164" s="8410"/>
      <c r="N164" s="8410"/>
      <c r="O164" s="8410"/>
      <c r="P164" s="8410"/>
      <c r="Q164" s="8411"/>
      <c r="R164" s="366"/>
      <c r="S164" s="360"/>
      <c r="T164" s="360"/>
      <c r="U164" s="734"/>
      <c r="V164" s="8409"/>
      <c r="W164" s="8410"/>
      <c r="X164" s="8410"/>
      <c r="Y164" s="8410"/>
      <c r="Z164" s="8410"/>
      <c r="AA164" s="8410"/>
      <c r="AB164" s="8410"/>
      <c r="AC164" s="8410"/>
      <c r="AD164" s="8410"/>
      <c r="AE164" s="8410"/>
      <c r="AF164" s="8410"/>
      <c r="AG164" s="8410"/>
      <c r="AH164" s="8410"/>
      <c r="AI164" s="8410"/>
      <c r="AJ164" s="8411"/>
      <c r="AK164" s="366"/>
      <c r="AL164" s="360"/>
    </row>
    <row r="165" spans="1:38" ht="12" customHeight="1" thickBot="1">
      <c r="A165" s="360"/>
      <c r="B165" s="734"/>
      <c r="C165" s="8412"/>
      <c r="D165" s="8413"/>
      <c r="E165" s="8413"/>
      <c r="F165" s="8413"/>
      <c r="G165" s="8413"/>
      <c r="H165" s="8413"/>
      <c r="I165" s="8413"/>
      <c r="J165" s="8413"/>
      <c r="K165" s="8413"/>
      <c r="L165" s="8413"/>
      <c r="M165" s="8413"/>
      <c r="N165" s="8413"/>
      <c r="O165" s="8413"/>
      <c r="P165" s="8413"/>
      <c r="Q165" s="8414"/>
      <c r="R165" s="366"/>
      <c r="S165" s="360"/>
      <c r="T165" s="360"/>
      <c r="U165" s="734"/>
      <c r="V165" s="8412"/>
      <c r="W165" s="8413"/>
      <c r="X165" s="8413"/>
      <c r="Y165" s="8413"/>
      <c r="Z165" s="8413"/>
      <c r="AA165" s="8413"/>
      <c r="AB165" s="8413"/>
      <c r="AC165" s="8413"/>
      <c r="AD165" s="8413"/>
      <c r="AE165" s="8413"/>
      <c r="AF165" s="8413"/>
      <c r="AG165" s="8413"/>
      <c r="AH165" s="8413"/>
      <c r="AI165" s="8413"/>
      <c r="AJ165" s="8414"/>
      <c r="AK165" s="366"/>
      <c r="AL165" s="360"/>
    </row>
    <row r="166" spans="1:38" ht="12" customHeight="1" thickBot="1">
      <c r="A166" s="360"/>
      <c r="B166" s="734"/>
      <c r="C166" s="383"/>
      <c r="D166" s="383"/>
      <c r="E166" s="384"/>
      <c r="F166" s="384"/>
      <c r="G166" s="384"/>
      <c r="H166" s="383"/>
      <c r="I166" s="329"/>
      <c r="J166" s="329"/>
      <c r="K166" s="383"/>
      <c r="L166" s="383"/>
      <c r="M166" s="329"/>
      <c r="N166" s="329"/>
      <c r="O166" s="385"/>
      <c r="P166" s="385"/>
      <c r="Q166" s="329"/>
      <c r="R166" s="366"/>
      <c r="S166" s="360"/>
      <c r="T166" s="360"/>
      <c r="U166" s="734"/>
      <c r="V166" s="386"/>
      <c r="W166" s="386"/>
      <c r="X166" s="387"/>
      <c r="Y166" s="387"/>
      <c r="Z166" s="387"/>
      <c r="AA166" s="387"/>
      <c r="AB166" s="387"/>
      <c r="AC166" s="387"/>
      <c r="AD166" s="387"/>
      <c r="AE166" s="387"/>
      <c r="AF166" s="387"/>
      <c r="AG166" s="387"/>
      <c r="AH166" s="387"/>
      <c r="AI166" s="387"/>
      <c r="AJ166" s="387"/>
      <c r="AK166" s="366"/>
      <c r="AL166" s="360"/>
    </row>
    <row r="167" spans="1:38" ht="12" customHeight="1">
      <c r="A167" s="360"/>
      <c r="B167" s="734">
        <f>B156+2</f>
        <v>46</v>
      </c>
      <c r="C167" s="8417" t="str">
        <f>IF(ISNA(VLOOKUP($J$6&amp;B167,'Tablas Magia'!$B$6:$D$779,3,FALSE)),IF(ISNA(VLOOKUP($J$8&amp;B167,'Tablas Magia'!$B$6:$D$779,3,FALSE)),IF(ISNA(VLOOKUP($J$6&amp;B167,Místicos!$AD$12:$AJ$50,4,FALSE)),"Libre Acceso 1-"&amp;MID(C$144,SEARCH("-",C$144)+1,3),VLOOKUP($J$6&amp;B167,Místicos!$AD$12:$AJ$50,4,FALSE)),VLOOKUP($J$8&amp;B167,'Tablas Magia'!$B$6:$D$779,3,FALSE)),VLOOKUP($J$6&amp;B167,'Tablas Magia'!$B$6:$D$779,3,FALSE))</f>
        <v>Libre Acceso 1-50</v>
      </c>
      <c r="D167" s="8418"/>
      <c r="E167" s="8418"/>
      <c r="F167" s="8418"/>
      <c r="G167" s="8419"/>
      <c r="H167" s="370" t="s">
        <v>1186</v>
      </c>
      <c r="I167" s="371">
        <f>B167</f>
        <v>46</v>
      </c>
      <c r="J167" s="8420" t="s">
        <v>5816</v>
      </c>
      <c r="K167" s="8420"/>
      <c r="L167" s="8420"/>
      <c r="M167" s="8378" t="e">
        <f>IF(C167=0,"",VLOOKUP(C167,'Tablas Magia'!$D$6:$Z$779,2,FALSE))</f>
        <v>#N/A</v>
      </c>
      <c r="N167" s="8378"/>
      <c r="O167" s="1525"/>
      <c r="P167" s="8415" t="str">
        <f>IFERROR(IF(M167="Libre Acceso","Aprendido",IF(IFERROR(VLOOKUP(M167,Místicos!$C$15:$H$25,6,0)&gt;=I167,FALSE),"Aprendido",IF(IFERROR(VLOOKUP(M167,Místicos!$E$15:$H$25,4,0)&gt;=I167,FALSE),"Aprendido",""))),"")</f>
        <v/>
      </c>
      <c r="Q167" s="8416"/>
      <c r="R167" s="366"/>
      <c r="S167" s="360"/>
      <c r="T167" s="360"/>
      <c r="U167" s="734">
        <f>U156+2</f>
        <v>56</v>
      </c>
      <c r="V167" s="8417" t="str">
        <f>IF(ISNA(VLOOKUP($J$6&amp;U167,'Tablas Magia'!$B$6:$D$779,3,FALSE)),IF(ISNA(VLOOKUP($J$8&amp;U167,'Tablas Magia'!$B$6:$D$779,3,FALSE)),IF(ISNA(VLOOKUP($J$6&amp;U167,Místicos!$AD$12:$AJ$50,4,FALSE)),"Libre Acceso 1-"&amp;MID(V$144,SEARCH("-",V$144)+1,3),VLOOKUP($J$6&amp;U167,Místicos!$AD$12:$AJ$50,4,FALSE)),VLOOKUP($J$8&amp;U167,'Tablas Magia'!$B$6:$D$779,3,FALSE)),VLOOKUP($J$6&amp;U167,'Tablas Magia'!$B$6:$D$779,3,FALSE))</f>
        <v>Libre Acceso 1-60</v>
      </c>
      <c r="W167" s="8418"/>
      <c r="X167" s="8418"/>
      <c r="Y167" s="8418"/>
      <c r="Z167" s="8418"/>
      <c r="AA167" s="370" t="s">
        <v>1186</v>
      </c>
      <c r="AB167" s="371">
        <f>U167</f>
        <v>56</v>
      </c>
      <c r="AC167" s="8420" t="s">
        <v>5816</v>
      </c>
      <c r="AD167" s="8420"/>
      <c r="AE167" s="8420"/>
      <c r="AF167" s="8378" t="e">
        <f>IF(V167=0,"",VLOOKUP(V167,'Tablas Magia'!$D$6:$Z$779,2,FALSE))</f>
        <v>#N/A</v>
      </c>
      <c r="AG167" s="8378"/>
      <c r="AH167" s="1525"/>
      <c r="AI167" s="8415" t="str">
        <f>IFERROR(IF(AF167="Libre Acceso","Aprendido",IF(IFERROR(VLOOKUP(AF167,Místicos!$C$15:$H$25,6,0)&gt;=AB167,FALSE),"Aprendido",IF(IFERROR(VLOOKUP(AF167,Místicos!$E$15:$H$25,4,0)&gt;=AB167,FALSE),"Aprendido",""))),"")</f>
        <v/>
      </c>
      <c r="AJ167" s="8416"/>
      <c r="AK167" s="366"/>
      <c r="AL167" s="360"/>
    </row>
    <row r="168" spans="1:38" ht="12" customHeight="1">
      <c r="A168" s="360"/>
      <c r="B168" s="734"/>
      <c r="C168" s="8399" t="s">
        <v>5817</v>
      </c>
      <c r="D168" s="8426"/>
      <c r="E168" s="2162" t="s">
        <v>5818</v>
      </c>
      <c r="F168" s="2162" t="s">
        <v>1368</v>
      </c>
      <c r="G168" s="2162" t="s">
        <v>2666</v>
      </c>
      <c r="H168" s="2163" t="s">
        <v>1690</v>
      </c>
      <c r="I168" s="8424" t="e">
        <f>IF(C167=0,"",VLOOKUP(C167,'Tablas Magia'!$D$6:$Z$779,5,FALSE))</f>
        <v>#N/A</v>
      </c>
      <c r="J168" s="8424"/>
      <c r="K168" s="8427" t="s">
        <v>5819</v>
      </c>
      <c r="L168" s="8427"/>
      <c r="M168" s="8424" t="e">
        <f>IF(C167=0,"",VLOOKUP(C167,'Tablas Magia'!$D$6:$Z$779,6,FALSE))</f>
        <v>#N/A</v>
      </c>
      <c r="N168" s="8424"/>
      <c r="O168" s="8425" t="s">
        <v>5820</v>
      </c>
      <c r="P168" s="8425"/>
      <c r="Q168" s="2164" t="e">
        <f>IF(C167=0,"",VLOOKUP(C167,'Tablas Magia'!$D$6:$Z$779,4,FALSE))</f>
        <v>#N/A</v>
      </c>
      <c r="R168" s="366"/>
      <c r="S168" s="360"/>
      <c r="T168" s="360"/>
      <c r="U168" s="734"/>
      <c r="V168" s="8399" t="s">
        <v>5817</v>
      </c>
      <c r="W168" s="8426"/>
      <c r="X168" s="2162" t="s">
        <v>5818</v>
      </c>
      <c r="Y168" s="2162" t="s">
        <v>1368</v>
      </c>
      <c r="Z168" s="2162" t="s">
        <v>2666</v>
      </c>
      <c r="AA168" s="2163" t="s">
        <v>1690</v>
      </c>
      <c r="AB168" s="8424" t="e">
        <f>IF(V167=0,"",VLOOKUP(V167,'Tablas Magia'!$D$6:$Z$779,5,FALSE))</f>
        <v>#N/A</v>
      </c>
      <c r="AC168" s="8424"/>
      <c r="AD168" s="8427" t="s">
        <v>5819</v>
      </c>
      <c r="AE168" s="8427"/>
      <c r="AF168" s="8424" t="e">
        <f>IF(V167=0,"",VLOOKUP(V167,'Tablas Magia'!$D$6:$Z$779,6,FALSE))</f>
        <v>#N/A</v>
      </c>
      <c r="AG168" s="8424"/>
      <c r="AH168" s="8425" t="s">
        <v>5820</v>
      </c>
      <c r="AI168" s="8425"/>
      <c r="AJ168" s="2164" t="e">
        <f>IF(V167=0,"",VLOOKUP(V167,'Tablas Magia'!$D$6:$Z$779,4,FALSE))</f>
        <v>#N/A</v>
      </c>
      <c r="AK168" s="366"/>
      <c r="AL168" s="360"/>
    </row>
    <row r="169" spans="1:38" ht="12" customHeight="1">
      <c r="A169" s="360"/>
      <c r="B169" s="734"/>
      <c r="C169" s="8434" t="s">
        <v>1225</v>
      </c>
      <c r="D169" s="8435"/>
      <c r="E169" s="375" t="e">
        <f>IF(C167=0,"",VLOOKUP(C167,'Tablas Magia'!$D$6:$Z$779,7,FALSE))</f>
        <v>#N/A</v>
      </c>
      <c r="F169" s="375" t="e">
        <f>IF(C167=0,"",VLOOKUP(C167,'Tablas Magia'!$D$6:$Z$779,11,FALSE))</f>
        <v>#N/A</v>
      </c>
      <c r="G169" s="376" t="e">
        <f>IF(C167=0,"",VLOOKUP(C167,'Tablas Magia'!$D$6:$Z$779,15,FALSE))</f>
        <v>#N/A</v>
      </c>
      <c r="H169" s="8421" t="e">
        <f>IF(C167=0,"",VLOOKUP(C167,'Tablas Magia'!$D$6:$Z$779,19,FALSE))</f>
        <v>#N/A</v>
      </c>
      <c r="I169" s="8422"/>
      <c r="J169" s="8422"/>
      <c r="K169" s="8422"/>
      <c r="L169" s="8422"/>
      <c r="M169" s="8422"/>
      <c r="N169" s="8422"/>
      <c r="O169" s="8422"/>
      <c r="P169" s="8422"/>
      <c r="Q169" s="8423"/>
      <c r="R169" s="366"/>
      <c r="S169" s="360"/>
      <c r="T169" s="360"/>
      <c r="U169" s="734"/>
      <c r="V169" s="8391" t="s">
        <v>1225</v>
      </c>
      <c r="W169" s="8392"/>
      <c r="X169" s="375" t="e">
        <f>IF(V167=0,"",VLOOKUP(V167,'Tablas Magia'!$D$6:$Z$779,7,FALSE))</f>
        <v>#N/A</v>
      </c>
      <c r="Y169" s="375" t="e">
        <f>IF(V167=0,"",VLOOKUP(V167,'Tablas Magia'!$D$6:$Z$779,11,FALSE))</f>
        <v>#N/A</v>
      </c>
      <c r="Z169" s="376" t="e">
        <f>IF(V167=0,"",VLOOKUP(V167,'Tablas Magia'!$D$6:$Z$779,15,FALSE))</f>
        <v>#N/A</v>
      </c>
      <c r="AA169" s="8393" t="e">
        <f>IF(V167=0,"",VLOOKUP(V167,'Tablas Magia'!$D$6:$Z$779,19,FALSE))</f>
        <v>#N/A</v>
      </c>
      <c r="AB169" s="8394"/>
      <c r="AC169" s="8394"/>
      <c r="AD169" s="8394"/>
      <c r="AE169" s="8394"/>
      <c r="AF169" s="8394"/>
      <c r="AG169" s="8394"/>
      <c r="AH169" s="8394"/>
      <c r="AI169" s="8394"/>
      <c r="AJ169" s="8395"/>
      <c r="AK169" s="366"/>
      <c r="AL169" s="360"/>
    </row>
    <row r="170" spans="1:38" ht="12" customHeight="1">
      <c r="A170" s="360"/>
      <c r="B170" s="734"/>
      <c r="C170" s="8386" t="s">
        <v>3035</v>
      </c>
      <c r="D170" s="8387"/>
      <c r="E170" s="377" t="e">
        <f>IF(C167=0,"",VLOOKUP(C167,'Tablas Magia'!$D$6:$Z$779,8,FALSE))</f>
        <v>#N/A</v>
      </c>
      <c r="F170" s="377" t="e">
        <f>IF(C167=0,"",VLOOKUP(C167,'Tablas Magia'!$D$6:$Z$779,12,FALSE))</f>
        <v>#N/A</v>
      </c>
      <c r="G170" s="378" t="e">
        <f>IF(C167=0,"",VLOOKUP(C167,'Tablas Magia'!$D$6:$Z$779,16,FALSE))</f>
        <v>#N/A</v>
      </c>
      <c r="H170" s="8388" t="e">
        <f>IF(C167=0,"",VLOOKUP(C167,'Tablas Magia'!$D$6:$Z$779,20,FALSE))</f>
        <v>#N/A</v>
      </c>
      <c r="I170" s="8389"/>
      <c r="J170" s="8389"/>
      <c r="K170" s="8389"/>
      <c r="L170" s="8389"/>
      <c r="M170" s="8389"/>
      <c r="N170" s="8389"/>
      <c r="O170" s="8389"/>
      <c r="P170" s="8389"/>
      <c r="Q170" s="8390"/>
      <c r="R170" s="366"/>
      <c r="S170" s="360"/>
      <c r="T170" s="360"/>
      <c r="U170" s="734"/>
      <c r="V170" s="8386" t="s">
        <v>3035</v>
      </c>
      <c r="W170" s="8387"/>
      <c r="X170" s="377" t="e">
        <f>IF(V167=0,"",VLOOKUP(V167,'Tablas Magia'!$D$6:$Z$779,8,FALSE))</f>
        <v>#N/A</v>
      </c>
      <c r="Y170" s="377" t="e">
        <f>IF(V167=0,"",VLOOKUP(V167,'Tablas Magia'!$D$6:$Z$779,12,FALSE))</f>
        <v>#N/A</v>
      </c>
      <c r="Z170" s="378" t="e">
        <f>IF(V167=0,"",VLOOKUP(V167,'Tablas Magia'!$D$6:$Z$779,16,FALSE))</f>
        <v>#N/A</v>
      </c>
      <c r="AA170" s="8388" t="e">
        <f>IF(V167=0,"",VLOOKUP(V167,'Tablas Magia'!$D$6:$Z$779,20,FALSE))</f>
        <v>#N/A</v>
      </c>
      <c r="AB170" s="8389"/>
      <c r="AC170" s="8389"/>
      <c r="AD170" s="8389"/>
      <c r="AE170" s="8389"/>
      <c r="AF170" s="8389"/>
      <c r="AG170" s="8389"/>
      <c r="AH170" s="8389"/>
      <c r="AI170" s="8389"/>
      <c r="AJ170" s="8390"/>
      <c r="AK170" s="366"/>
      <c r="AL170" s="360"/>
    </row>
    <row r="171" spans="1:38" ht="12" customHeight="1">
      <c r="A171" s="360"/>
      <c r="B171" s="734"/>
      <c r="C171" s="8391" t="s">
        <v>3036</v>
      </c>
      <c r="D171" s="8392"/>
      <c r="E171" s="375" t="e">
        <f>IF(C167=0,"",VLOOKUP(C167,'Tablas Magia'!$D$6:$Z$779,9,FALSE))</f>
        <v>#N/A</v>
      </c>
      <c r="F171" s="375" t="e">
        <f>IF(C167=0,"",VLOOKUP(C167,'Tablas Magia'!$D$6:$Z$779,13,FALSE))</f>
        <v>#N/A</v>
      </c>
      <c r="G171" s="376" t="e">
        <f>IF(C167=0,"",VLOOKUP(C167,'Tablas Magia'!$D$6:$Z$779,17,FALSE))</f>
        <v>#N/A</v>
      </c>
      <c r="H171" s="8393" t="e">
        <f>IF(C167=0,"",VLOOKUP(C167,'Tablas Magia'!$D$6:$Z$779,21,FALSE))</f>
        <v>#N/A</v>
      </c>
      <c r="I171" s="8394"/>
      <c r="J171" s="8394"/>
      <c r="K171" s="8394"/>
      <c r="L171" s="8394"/>
      <c r="M171" s="8394"/>
      <c r="N171" s="8394"/>
      <c r="O171" s="8394"/>
      <c r="P171" s="8394"/>
      <c r="Q171" s="8395"/>
      <c r="R171" s="366"/>
      <c r="S171" s="360"/>
      <c r="T171" s="360"/>
      <c r="U171" s="734"/>
      <c r="V171" s="8391" t="s">
        <v>3036</v>
      </c>
      <c r="W171" s="8392"/>
      <c r="X171" s="375" t="e">
        <f>IF(V167=0,"",VLOOKUP(V167,'Tablas Magia'!$D$6:$Z$779,9,FALSE))</f>
        <v>#N/A</v>
      </c>
      <c r="Y171" s="375" t="e">
        <f>IF(V167=0,"",VLOOKUP(V167,'Tablas Magia'!$D$6:$Z$779,13,FALSE))</f>
        <v>#N/A</v>
      </c>
      <c r="Z171" s="376" t="e">
        <f>IF(V167=0,"",VLOOKUP(V167,'Tablas Magia'!$D$6:$Z$779,17,FALSE))</f>
        <v>#N/A</v>
      </c>
      <c r="AA171" s="8393" t="e">
        <f>IF(V167=0,"",VLOOKUP(V167,'Tablas Magia'!$D$6:$Z$779,21,FALSE))</f>
        <v>#N/A</v>
      </c>
      <c r="AB171" s="8394"/>
      <c r="AC171" s="8394"/>
      <c r="AD171" s="8394"/>
      <c r="AE171" s="8394"/>
      <c r="AF171" s="8394"/>
      <c r="AG171" s="8394"/>
      <c r="AH171" s="8394"/>
      <c r="AI171" s="8394"/>
      <c r="AJ171" s="8395"/>
      <c r="AK171" s="366"/>
      <c r="AL171" s="360"/>
    </row>
    <row r="172" spans="1:38" ht="12" customHeight="1" thickBot="1">
      <c r="A172" s="360"/>
      <c r="B172" s="734"/>
      <c r="C172" s="8401" t="s">
        <v>3037</v>
      </c>
      <c r="D172" s="8402"/>
      <c r="E172" s="379" t="e">
        <f>IF(C167=0,"",VLOOKUP(C167,'Tablas Magia'!$D$6:$Z$779,10,FALSE))</f>
        <v>#N/A</v>
      </c>
      <c r="F172" s="379" t="e">
        <f>IF(C167=0,"",VLOOKUP(C167,'Tablas Magia'!$D$6:$Z$779,14,FALSE))</f>
        <v>#N/A</v>
      </c>
      <c r="G172" s="380" t="e">
        <f>IF(C167=0,"",VLOOKUP(C167,'Tablas Magia'!$D$6:$Z$779,18,FALSE))</f>
        <v>#N/A</v>
      </c>
      <c r="H172" s="8403" t="e">
        <f>IF(C167=0,"",VLOOKUP(C167,'Tablas Magia'!$D$6:$Z$779,22,FALSE))</f>
        <v>#N/A</v>
      </c>
      <c r="I172" s="8404"/>
      <c r="J172" s="8404"/>
      <c r="K172" s="8404"/>
      <c r="L172" s="8404"/>
      <c r="M172" s="8404"/>
      <c r="N172" s="8404"/>
      <c r="O172" s="8404"/>
      <c r="P172" s="8404"/>
      <c r="Q172" s="8405"/>
      <c r="R172" s="366"/>
      <c r="S172" s="360"/>
      <c r="T172" s="360"/>
      <c r="U172" s="734"/>
      <c r="V172" s="8401" t="s">
        <v>3037</v>
      </c>
      <c r="W172" s="8402"/>
      <c r="X172" s="379" t="e">
        <f>IF(V167=0,"",VLOOKUP(V167,'Tablas Magia'!$D$6:$Z$779,10,FALSE))</f>
        <v>#N/A</v>
      </c>
      <c r="Y172" s="379" t="e">
        <f>IF(V167=0,"",VLOOKUP(V167,'Tablas Magia'!$D$6:$Z$779,14,FALSE))</f>
        <v>#N/A</v>
      </c>
      <c r="Z172" s="380" t="e">
        <f>IF(V167=0,"",VLOOKUP(V167,'Tablas Magia'!$D$6:$Z$779,18,FALSE))</f>
        <v>#N/A</v>
      </c>
      <c r="AA172" s="8403" t="e">
        <f>IF(V167=0,"",VLOOKUP(V167,'Tablas Magia'!$D$6:$Z$779,22,FALSE))</f>
        <v>#N/A</v>
      </c>
      <c r="AB172" s="8404"/>
      <c r="AC172" s="8404"/>
      <c r="AD172" s="8404"/>
      <c r="AE172" s="8404"/>
      <c r="AF172" s="8404"/>
      <c r="AG172" s="8404"/>
      <c r="AH172" s="8404"/>
      <c r="AI172" s="8404"/>
      <c r="AJ172" s="8405"/>
      <c r="AK172" s="366"/>
      <c r="AL172" s="360"/>
    </row>
    <row r="173" spans="1:38" ht="12" customHeight="1">
      <c r="A173" s="360"/>
      <c r="B173" s="734"/>
      <c r="C173" s="8406" t="e">
        <f>IF(C167=0,"",VLOOKUP(C167,'Tablas Magia'!$D$6:$Z$779,23,FALSE))</f>
        <v>#N/A</v>
      </c>
      <c r="D173" s="8407"/>
      <c r="E173" s="8407"/>
      <c r="F173" s="8407"/>
      <c r="G173" s="8407"/>
      <c r="H173" s="8407"/>
      <c r="I173" s="8407"/>
      <c r="J173" s="8407"/>
      <c r="K173" s="8407"/>
      <c r="L173" s="8407"/>
      <c r="M173" s="8407"/>
      <c r="N173" s="8407"/>
      <c r="O173" s="8407"/>
      <c r="P173" s="8407"/>
      <c r="Q173" s="8408"/>
      <c r="R173" s="366"/>
      <c r="S173" s="360"/>
      <c r="T173" s="360"/>
      <c r="U173" s="734"/>
      <c r="V173" s="8406" t="e">
        <f>IF(V167=0,"",VLOOKUP(V167,'Tablas Magia'!$D$6:$Z$779,23,FALSE))</f>
        <v>#N/A</v>
      </c>
      <c r="W173" s="8407"/>
      <c r="X173" s="8407"/>
      <c r="Y173" s="8407"/>
      <c r="Z173" s="8407"/>
      <c r="AA173" s="8407"/>
      <c r="AB173" s="8407"/>
      <c r="AC173" s="8407"/>
      <c r="AD173" s="8407"/>
      <c r="AE173" s="8407"/>
      <c r="AF173" s="8407"/>
      <c r="AG173" s="8407"/>
      <c r="AH173" s="8407"/>
      <c r="AI173" s="8407"/>
      <c r="AJ173" s="8408"/>
      <c r="AK173" s="366"/>
      <c r="AL173" s="360"/>
    </row>
    <row r="174" spans="1:38" ht="12" customHeight="1">
      <c r="A174" s="360"/>
      <c r="B174" s="734"/>
      <c r="C174" s="8409"/>
      <c r="D174" s="8410"/>
      <c r="E174" s="8410"/>
      <c r="F174" s="8410"/>
      <c r="G174" s="8410"/>
      <c r="H174" s="8410"/>
      <c r="I174" s="8410"/>
      <c r="J174" s="8410"/>
      <c r="K174" s="8410"/>
      <c r="L174" s="8410"/>
      <c r="M174" s="8410"/>
      <c r="N174" s="8410"/>
      <c r="O174" s="8410"/>
      <c r="P174" s="8410"/>
      <c r="Q174" s="8411"/>
      <c r="R174" s="366"/>
      <c r="S174" s="360"/>
      <c r="T174" s="360"/>
      <c r="U174" s="734"/>
      <c r="V174" s="8409"/>
      <c r="W174" s="8410"/>
      <c r="X174" s="8410"/>
      <c r="Y174" s="8410"/>
      <c r="Z174" s="8410"/>
      <c r="AA174" s="8410"/>
      <c r="AB174" s="8410"/>
      <c r="AC174" s="8410"/>
      <c r="AD174" s="8410"/>
      <c r="AE174" s="8410"/>
      <c r="AF174" s="8410"/>
      <c r="AG174" s="8410"/>
      <c r="AH174" s="8410"/>
      <c r="AI174" s="8410"/>
      <c r="AJ174" s="8411"/>
      <c r="AK174" s="366"/>
      <c r="AL174" s="360"/>
    </row>
    <row r="175" spans="1:38" ht="12" customHeight="1">
      <c r="A175" s="360"/>
      <c r="B175" s="734"/>
      <c r="C175" s="8409"/>
      <c r="D175" s="8410"/>
      <c r="E175" s="8410"/>
      <c r="F175" s="8410"/>
      <c r="G175" s="8410"/>
      <c r="H175" s="8410"/>
      <c r="I175" s="8410"/>
      <c r="J175" s="8410"/>
      <c r="K175" s="8410"/>
      <c r="L175" s="8410"/>
      <c r="M175" s="8410"/>
      <c r="N175" s="8410"/>
      <c r="O175" s="8410"/>
      <c r="P175" s="8410"/>
      <c r="Q175" s="8411"/>
      <c r="R175" s="366"/>
      <c r="S175" s="360"/>
      <c r="T175" s="360"/>
      <c r="U175" s="734"/>
      <c r="V175" s="8409"/>
      <c r="W175" s="8410"/>
      <c r="X175" s="8410"/>
      <c r="Y175" s="8410"/>
      <c r="Z175" s="8410"/>
      <c r="AA175" s="8410"/>
      <c r="AB175" s="8410"/>
      <c r="AC175" s="8410"/>
      <c r="AD175" s="8410"/>
      <c r="AE175" s="8410"/>
      <c r="AF175" s="8410"/>
      <c r="AG175" s="8410"/>
      <c r="AH175" s="8410"/>
      <c r="AI175" s="8410"/>
      <c r="AJ175" s="8411"/>
      <c r="AK175" s="366"/>
      <c r="AL175" s="360"/>
    </row>
    <row r="176" spans="1:38" ht="12" customHeight="1" thickBot="1">
      <c r="A176" s="360"/>
      <c r="B176" s="734"/>
      <c r="C176" s="8412"/>
      <c r="D176" s="8413"/>
      <c r="E176" s="8413"/>
      <c r="F176" s="8413"/>
      <c r="G176" s="8413"/>
      <c r="H176" s="8413"/>
      <c r="I176" s="8413"/>
      <c r="J176" s="8413"/>
      <c r="K176" s="8413"/>
      <c r="L176" s="8413"/>
      <c r="M176" s="8413"/>
      <c r="N176" s="8413"/>
      <c r="O176" s="8413"/>
      <c r="P176" s="8413"/>
      <c r="Q176" s="8414"/>
      <c r="R176" s="366"/>
      <c r="S176" s="360"/>
      <c r="T176" s="360"/>
      <c r="U176" s="734"/>
      <c r="V176" s="8412"/>
      <c r="W176" s="8413"/>
      <c r="X176" s="8413"/>
      <c r="Y176" s="8413"/>
      <c r="Z176" s="8413"/>
      <c r="AA176" s="8413"/>
      <c r="AB176" s="8413"/>
      <c r="AC176" s="8413"/>
      <c r="AD176" s="8413"/>
      <c r="AE176" s="8413"/>
      <c r="AF176" s="8413"/>
      <c r="AG176" s="8413"/>
      <c r="AH176" s="8413"/>
      <c r="AI176" s="8413"/>
      <c r="AJ176" s="8414"/>
      <c r="AK176" s="366"/>
      <c r="AL176" s="360"/>
    </row>
    <row r="177" spans="1:38" ht="12" customHeight="1" thickBot="1">
      <c r="A177" s="360"/>
      <c r="B177" s="734"/>
      <c r="C177" s="386"/>
      <c r="D177" s="386"/>
      <c r="E177" s="387"/>
      <c r="F177" s="387"/>
      <c r="G177" s="387"/>
      <c r="H177" s="387"/>
      <c r="I177" s="387"/>
      <c r="J177" s="387"/>
      <c r="K177" s="387"/>
      <c r="L177" s="387"/>
      <c r="M177" s="387"/>
      <c r="N177" s="387"/>
      <c r="O177" s="387"/>
      <c r="P177" s="387"/>
      <c r="Q177" s="387"/>
      <c r="R177" s="366"/>
      <c r="S177" s="360"/>
      <c r="T177" s="360"/>
      <c r="U177" s="734"/>
      <c r="V177" s="386"/>
      <c r="W177" s="386"/>
      <c r="X177" s="377"/>
      <c r="Y177" s="377"/>
      <c r="Z177" s="377"/>
      <c r="AA177" s="387"/>
      <c r="AB177" s="387"/>
      <c r="AC177" s="387"/>
      <c r="AD177" s="387"/>
      <c r="AE177" s="387"/>
      <c r="AF177" s="387"/>
      <c r="AG177" s="387"/>
      <c r="AH177" s="387"/>
      <c r="AI177" s="387"/>
      <c r="AJ177" s="387"/>
      <c r="AK177" s="366"/>
      <c r="AL177" s="360"/>
    </row>
    <row r="178" spans="1:38" ht="12" customHeight="1">
      <c r="A178" s="360"/>
      <c r="B178" s="734">
        <f>B167+2</f>
        <v>48</v>
      </c>
      <c r="C178" s="8417" t="str">
        <f>IF(ISNA(VLOOKUP($J$6&amp;B178,'Tablas Magia'!$B$6:$D$779,3,FALSE)),IF(ISNA(VLOOKUP($J$8&amp;B178,'Tablas Magia'!$B$6:$D$779,3,FALSE)),IF(ISNA(VLOOKUP($J$6&amp;B178,Místicos!$AD$12:$AJ$50,4,FALSE)),"Libre Acceso 1-"&amp;MID(C$144,SEARCH("-",C$144)+1,3),VLOOKUP($J$6&amp;B178,Místicos!$AD$12:$AJ$50,4,FALSE)),VLOOKUP($J$8&amp;B178,'Tablas Magia'!$B$6:$D$779,3,FALSE)),VLOOKUP($J$6&amp;B178,'Tablas Magia'!$B$6:$D$779,3,FALSE))</f>
        <v>Libre Acceso 1-50</v>
      </c>
      <c r="D178" s="8418"/>
      <c r="E178" s="8418"/>
      <c r="F178" s="8418"/>
      <c r="G178" s="8419"/>
      <c r="H178" s="370" t="s">
        <v>1186</v>
      </c>
      <c r="I178" s="371">
        <f>B178</f>
        <v>48</v>
      </c>
      <c r="J178" s="8420" t="s">
        <v>5816</v>
      </c>
      <c r="K178" s="8420"/>
      <c r="L178" s="8420"/>
      <c r="M178" s="8378" t="e">
        <f>IF(C178=0,"",VLOOKUP(C178,'Tablas Magia'!$D$6:$Z$779,2,FALSE))</f>
        <v>#N/A</v>
      </c>
      <c r="N178" s="8378"/>
      <c r="O178" s="1525"/>
      <c r="P178" s="8415" t="str">
        <f>IFERROR(IF(M178="Libre Acceso","Aprendido",IF(IFERROR(VLOOKUP(M178,Místicos!$C$15:$H$25,6,0)&gt;=I178,FALSE),"Aprendido",IF(IFERROR(VLOOKUP(M178,Místicos!$E$15:$H$25,4,0)&gt;=I178,FALSE),"Aprendido",""))),"")</f>
        <v/>
      </c>
      <c r="Q178" s="8416"/>
      <c r="R178" s="366"/>
      <c r="S178" s="360"/>
      <c r="T178" s="360"/>
      <c r="U178" s="734">
        <f>U167+2</f>
        <v>58</v>
      </c>
      <c r="V178" s="8417" t="str">
        <f>IF(ISNA(VLOOKUP($J$6&amp;U178,'Tablas Magia'!$B$6:$D$779,3,FALSE)),IF(ISNA(VLOOKUP($J$8&amp;U178,'Tablas Magia'!$B$6:$D$779,3,FALSE)),IF(ISNA(VLOOKUP($J$6&amp;U178,Místicos!$AD$12:$AJ$50,4,FALSE)),"Libre Acceso 1-"&amp;MID(V$144,SEARCH("-",V$144)+1,3),VLOOKUP($J$6&amp;U178,Místicos!$AD$12:$AJ$50,4,FALSE)),VLOOKUP($J$8&amp;U178,'Tablas Magia'!$B$6:$D$779,3,FALSE)),VLOOKUP($J$6&amp;U178,'Tablas Magia'!$B$6:$D$779,3,FALSE))</f>
        <v>Libre Acceso 1-60</v>
      </c>
      <c r="W178" s="8418"/>
      <c r="X178" s="8418"/>
      <c r="Y178" s="8418"/>
      <c r="Z178" s="8418"/>
      <c r="AA178" s="370" t="s">
        <v>1186</v>
      </c>
      <c r="AB178" s="371">
        <f>U178</f>
        <v>58</v>
      </c>
      <c r="AC178" s="8420" t="s">
        <v>5816</v>
      </c>
      <c r="AD178" s="8420"/>
      <c r="AE178" s="8420"/>
      <c r="AF178" s="8378" t="e">
        <f>IF(V178=0,"",VLOOKUP(V178,'Tablas Magia'!$D$6:$Z$779,2,FALSE))</f>
        <v>#N/A</v>
      </c>
      <c r="AG178" s="8378"/>
      <c r="AH178" s="1525"/>
      <c r="AI178" s="8415" t="str">
        <f>IFERROR(IF(AF178="Libre Acceso","Aprendido",IF(IFERROR(VLOOKUP(AF178,Místicos!$C$15:$H$25,6,0)&gt;=AB178,FALSE),"Aprendido",IF(IFERROR(VLOOKUP(AF178,Místicos!$E$15:$H$25,4,0)&gt;=AB178,FALSE),"Aprendido",""))),"")</f>
        <v/>
      </c>
      <c r="AJ178" s="8416"/>
      <c r="AK178" s="366"/>
      <c r="AL178" s="360"/>
    </row>
    <row r="179" spans="1:38" ht="12" customHeight="1">
      <c r="A179" s="360"/>
      <c r="B179" s="734"/>
      <c r="C179" s="8399" t="s">
        <v>5817</v>
      </c>
      <c r="D179" s="8426"/>
      <c r="E179" s="2162" t="s">
        <v>5818</v>
      </c>
      <c r="F179" s="2162" t="s">
        <v>1368</v>
      </c>
      <c r="G179" s="2162" t="s">
        <v>2666</v>
      </c>
      <c r="H179" s="2163" t="s">
        <v>1690</v>
      </c>
      <c r="I179" s="8424" t="e">
        <f>IF(C178=0,"",VLOOKUP(C178,'Tablas Magia'!$D$6:$Z$779,5,FALSE))</f>
        <v>#N/A</v>
      </c>
      <c r="J179" s="8424"/>
      <c r="K179" s="8427" t="s">
        <v>5819</v>
      </c>
      <c r="L179" s="8427"/>
      <c r="M179" s="8424" t="e">
        <f>IF(C178=0,"",VLOOKUP(C178,'Tablas Magia'!$D$6:$Z$779,6,FALSE))</f>
        <v>#N/A</v>
      </c>
      <c r="N179" s="8424"/>
      <c r="O179" s="8425" t="s">
        <v>5820</v>
      </c>
      <c r="P179" s="8425"/>
      <c r="Q179" s="2164" t="e">
        <f>IF(C178=0,"",VLOOKUP(C178,'Tablas Magia'!$D$6:$Z$779,4,FALSE))</f>
        <v>#N/A</v>
      </c>
      <c r="R179" s="366"/>
      <c r="S179" s="360"/>
      <c r="T179" s="360"/>
      <c r="U179" s="734"/>
      <c r="V179" s="8399" t="s">
        <v>5817</v>
      </c>
      <c r="W179" s="8426"/>
      <c r="X179" s="2162" t="s">
        <v>5818</v>
      </c>
      <c r="Y179" s="2162" t="s">
        <v>1368</v>
      </c>
      <c r="Z179" s="2162" t="s">
        <v>2666</v>
      </c>
      <c r="AA179" s="2163" t="s">
        <v>1690</v>
      </c>
      <c r="AB179" s="8424" t="e">
        <f>IF(V178=0,"",VLOOKUP(V178,'Tablas Magia'!$D$6:$Z$779,5,FALSE))</f>
        <v>#N/A</v>
      </c>
      <c r="AC179" s="8424"/>
      <c r="AD179" s="8427" t="s">
        <v>5819</v>
      </c>
      <c r="AE179" s="8427"/>
      <c r="AF179" s="8424" t="e">
        <f>IF(V178=0,"",VLOOKUP(V178,'Tablas Magia'!$D$6:$Z$779,6,FALSE))</f>
        <v>#N/A</v>
      </c>
      <c r="AG179" s="8424"/>
      <c r="AH179" s="8425" t="s">
        <v>5820</v>
      </c>
      <c r="AI179" s="8425"/>
      <c r="AJ179" s="2164" t="e">
        <f>IF(V178=0,"",VLOOKUP(V178,'Tablas Magia'!$D$6:$Z$779,4,FALSE))</f>
        <v>#N/A</v>
      </c>
      <c r="AK179" s="366"/>
      <c r="AL179" s="360"/>
    </row>
    <row r="180" spans="1:38" ht="12" customHeight="1">
      <c r="A180" s="360"/>
      <c r="B180" s="734"/>
      <c r="C180" s="8434" t="s">
        <v>1225</v>
      </c>
      <c r="D180" s="8435"/>
      <c r="E180" s="375" t="e">
        <f>IF(C178=0,"",VLOOKUP(C178,'Tablas Magia'!$D$6:$Z$779,7,FALSE))</f>
        <v>#N/A</v>
      </c>
      <c r="F180" s="375" t="e">
        <f>IF(C178=0,"",VLOOKUP(C178,'Tablas Magia'!$D$6:$Z$779,11,FALSE))</f>
        <v>#N/A</v>
      </c>
      <c r="G180" s="376" t="e">
        <f>IF(C178=0,"",VLOOKUP(C178,'Tablas Magia'!$D$6:$Z$779,15,FALSE))</f>
        <v>#N/A</v>
      </c>
      <c r="H180" s="8421" t="e">
        <f>IF(C178=0,"",VLOOKUP(C178,'Tablas Magia'!$D$6:$Z$779,19,FALSE))</f>
        <v>#N/A</v>
      </c>
      <c r="I180" s="8422"/>
      <c r="J180" s="8422"/>
      <c r="K180" s="8422"/>
      <c r="L180" s="8422"/>
      <c r="M180" s="8422"/>
      <c r="N180" s="8422"/>
      <c r="O180" s="8422"/>
      <c r="P180" s="8422"/>
      <c r="Q180" s="8423"/>
      <c r="R180" s="366"/>
      <c r="S180" s="360"/>
      <c r="T180" s="360"/>
      <c r="U180" s="734"/>
      <c r="V180" s="8391" t="s">
        <v>1225</v>
      </c>
      <c r="W180" s="8392"/>
      <c r="X180" s="375" t="e">
        <f>IF(V178=0,"",VLOOKUP(V178,'Tablas Magia'!$D$6:$Z$779,7,FALSE))</f>
        <v>#N/A</v>
      </c>
      <c r="Y180" s="375" t="e">
        <f>IF(V178=0,"",VLOOKUP(V178,'Tablas Magia'!$D$6:$Z$779,11,FALSE))</f>
        <v>#N/A</v>
      </c>
      <c r="Z180" s="376" t="e">
        <f>IF(V178=0,"",VLOOKUP(V178,'Tablas Magia'!$D$6:$Z$779,15,FALSE))</f>
        <v>#N/A</v>
      </c>
      <c r="AA180" s="8393" t="e">
        <f>IF(V178=0,"",VLOOKUP(V178,'Tablas Magia'!$D$6:$Z$779,19,FALSE))</f>
        <v>#N/A</v>
      </c>
      <c r="AB180" s="8394"/>
      <c r="AC180" s="8394"/>
      <c r="AD180" s="8394"/>
      <c r="AE180" s="8394"/>
      <c r="AF180" s="8394"/>
      <c r="AG180" s="8394"/>
      <c r="AH180" s="8394"/>
      <c r="AI180" s="8394"/>
      <c r="AJ180" s="8395"/>
      <c r="AK180" s="366"/>
      <c r="AL180" s="360"/>
    </row>
    <row r="181" spans="1:38" ht="12" customHeight="1">
      <c r="A181" s="360"/>
      <c r="B181" s="734"/>
      <c r="C181" s="8386" t="s">
        <v>3035</v>
      </c>
      <c r="D181" s="8387"/>
      <c r="E181" s="377" t="e">
        <f>IF(C178=0,"",VLOOKUP(C178,'Tablas Magia'!$D$6:$Z$779,8,FALSE))</f>
        <v>#N/A</v>
      </c>
      <c r="F181" s="377" t="e">
        <f>IF(C178=0,"",VLOOKUP(C178,'Tablas Magia'!$D$6:$Z$779,12,FALSE))</f>
        <v>#N/A</v>
      </c>
      <c r="G181" s="378" t="e">
        <f>IF(C178=0,"",VLOOKUP(C178,'Tablas Magia'!$D$6:$Z$779,16,FALSE))</f>
        <v>#N/A</v>
      </c>
      <c r="H181" s="8388" t="e">
        <f>IF(C178=0,"",VLOOKUP(C178,'Tablas Magia'!$D$6:$Z$779,20,FALSE))</f>
        <v>#N/A</v>
      </c>
      <c r="I181" s="8389"/>
      <c r="J181" s="8389"/>
      <c r="K181" s="8389"/>
      <c r="L181" s="8389"/>
      <c r="M181" s="8389"/>
      <c r="N181" s="8389"/>
      <c r="O181" s="8389"/>
      <c r="P181" s="8389"/>
      <c r="Q181" s="8390"/>
      <c r="R181" s="366"/>
      <c r="S181" s="360"/>
      <c r="T181" s="360"/>
      <c r="U181" s="734"/>
      <c r="V181" s="8386" t="s">
        <v>3035</v>
      </c>
      <c r="W181" s="8387"/>
      <c r="X181" s="377" t="e">
        <f>IF(V178=0,"",VLOOKUP(V178,'Tablas Magia'!$D$6:$Z$779,8,FALSE))</f>
        <v>#N/A</v>
      </c>
      <c r="Y181" s="377" t="e">
        <f>IF(V178=0,"",VLOOKUP(V178,'Tablas Magia'!$D$6:$Z$779,12,FALSE))</f>
        <v>#N/A</v>
      </c>
      <c r="Z181" s="378" t="e">
        <f>IF(V178=0,"",VLOOKUP(V178,'Tablas Magia'!$D$6:$Z$779,16,FALSE))</f>
        <v>#N/A</v>
      </c>
      <c r="AA181" s="8388" t="e">
        <f>IF(V178=0,"",VLOOKUP(V178,'Tablas Magia'!$D$6:$Z$779,20,FALSE))</f>
        <v>#N/A</v>
      </c>
      <c r="AB181" s="8389"/>
      <c r="AC181" s="8389"/>
      <c r="AD181" s="8389"/>
      <c r="AE181" s="8389"/>
      <c r="AF181" s="8389"/>
      <c r="AG181" s="8389"/>
      <c r="AH181" s="8389"/>
      <c r="AI181" s="8389"/>
      <c r="AJ181" s="8390"/>
      <c r="AK181" s="366"/>
      <c r="AL181" s="360"/>
    </row>
    <row r="182" spans="1:38" ht="12" customHeight="1">
      <c r="A182" s="360"/>
      <c r="B182" s="734"/>
      <c r="C182" s="8391" t="s">
        <v>3036</v>
      </c>
      <c r="D182" s="8392"/>
      <c r="E182" s="375" t="e">
        <f>IF(C178=0,"",VLOOKUP(C178,'Tablas Magia'!$D$6:$Z$779,9,FALSE))</f>
        <v>#N/A</v>
      </c>
      <c r="F182" s="375" t="e">
        <f>IF(C178=0,"",VLOOKUP(C178,'Tablas Magia'!$D$6:$Z$779,13,FALSE))</f>
        <v>#N/A</v>
      </c>
      <c r="G182" s="376" t="e">
        <f>IF(C178=0,"",VLOOKUP(C178,'Tablas Magia'!$D$6:$Z$779,17,FALSE))</f>
        <v>#N/A</v>
      </c>
      <c r="H182" s="8393" t="e">
        <f>IF(C178=0,"",VLOOKUP(C178,'Tablas Magia'!$D$6:$Z$779,21,FALSE))</f>
        <v>#N/A</v>
      </c>
      <c r="I182" s="8394"/>
      <c r="J182" s="8394"/>
      <c r="K182" s="8394"/>
      <c r="L182" s="8394"/>
      <c r="M182" s="8394"/>
      <c r="N182" s="8394"/>
      <c r="O182" s="8394"/>
      <c r="P182" s="8394"/>
      <c r="Q182" s="8395"/>
      <c r="R182" s="366"/>
      <c r="S182" s="360"/>
      <c r="T182" s="360"/>
      <c r="U182" s="734"/>
      <c r="V182" s="8391" t="s">
        <v>3036</v>
      </c>
      <c r="W182" s="8392"/>
      <c r="X182" s="375" t="e">
        <f>IF(V178=0,"",VLOOKUP(V178,'Tablas Magia'!$D$6:$Z$779,9,FALSE))</f>
        <v>#N/A</v>
      </c>
      <c r="Y182" s="375" t="e">
        <f>IF(V178=0,"",VLOOKUP(V178,'Tablas Magia'!$D$6:$Z$779,13,FALSE))</f>
        <v>#N/A</v>
      </c>
      <c r="Z182" s="376" t="e">
        <f>IF(V178=0,"",VLOOKUP(V178,'Tablas Magia'!$D$6:$Z$779,17,FALSE))</f>
        <v>#N/A</v>
      </c>
      <c r="AA182" s="8393" t="e">
        <f>IF(V178=0,"",VLOOKUP(V178,'Tablas Magia'!$D$6:$Z$779,21,FALSE))</f>
        <v>#N/A</v>
      </c>
      <c r="AB182" s="8394"/>
      <c r="AC182" s="8394"/>
      <c r="AD182" s="8394"/>
      <c r="AE182" s="8394"/>
      <c r="AF182" s="8394"/>
      <c r="AG182" s="8394"/>
      <c r="AH182" s="8394"/>
      <c r="AI182" s="8394"/>
      <c r="AJ182" s="8395"/>
      <c r="AK182" s="366"/>
      <c r="AL182" s="360"/>
    </row>
    <row r="183" spans="1:38" ht="12" customHeight="1" thickBot="1">
      <c r="A183" s="360"/>
      <c r="B183" s="734"/>
      <c r="C183" s="8401" t="s">
        <v>3037</v>
      </c>
      <c r="D183" s="8402"/>
      <c r="E183" s="379" t="e">
        <f>IF(C178=0,"",VLOOKUP(C178,'Tablas Magia'!$D$6:$Z$779,10,FALSE))</f>
        <v>#N/A</v>
      </c>
      <c r="F183" s="379" t="e">
        <f>IF(C178=0,"",VLOOKUP(C178,'Tablas Magia'!$D$6:$Z$779,14,FALSE))</f>
        <v>#N/A</v>
      </c>
      <c r="G183" s="380" t="e">
        <f>IF(C178=0,"",VLOOKUP(C178,'Tablas Magia'!$D$6:$Z$779,18,FALSE))</f>
        <v>#N/A</v>
      </c>
      <c r="H183" s="8403" t="e">
        <f>IF(C178=0,"",VLOOKUP(C178,'Tablas Magia'!$D$6:$Z$779,22,FALSE))</f>
        <v>#N/A</v>
      </c>
      <c r="I183" s="8404"/>
      <c r="J183" s="8404"/>
      <c r="K183" s="8404"/>
      <c r="L183" s="8404"/>
      <c r="M183" s="8404"/>
      <c r="N183" s="8404"/>
      <c r="O183" s="8404"/>
      <c r="P183" s="8404"/>
      <c r="Q183" s="8405"/>
      <c r="R183" s="366"/>
      <c r="S183" s="360"/>
      <c r="T183" s="360"/>
      <c r="U183" s="734"/>
      <c r="V183" s="8401" t="s">
        <v>3037</v>
      </c>
      <c r="W183" s="8402"/>
      <c r="X183" s="379" t="e">
        <f>IF(V178=0,"",VLOOKUP(V178,'Tablas Magia'!$D$6:$Z$779,10,FALSE))</f>
        <v>#N/A</v>
      </c>
      <c r="Y183" s="379" t="e">
        <f>IF(V178=0,"",VLOOKUP(V178,'Tablas Magia'!$D$6:$Z$779,14,FALSE))</f>
        <v>#N/A</v>
      </c>
      <c r="Z183" s="380" t="e">
        <f>IF(V178=0,"",VLOOKUP(V178,'Tablas Magia'!$D$6:$Z$779,18,FALSE))</f>
        <v>#N/A</v>
      </c>
      <c r="AA183" s="8403" t="e">
        <f>IF(V178=0,"",VLOOKUP(V178,'Tablas Magia'!$D$6:$Z$779,22,FALSE))</f>
        <v>#N/A</v>
      </c>
      <c r="AB183" s="8404"/>
      <c r="AC183" s="8404"/>
      <c r="AD183" s="8404"/>
      <c r="AE183" s="8404"/>
      <c r="AF183" s="8404"/>
      <c r="AG183" s="8404"/>
      <c r="AH183" s="8404"/>
      <c r="AI183" s="8404"/>
      <c r="AJ183" s="8405"/>
      <c r="AK183" s="366"/>
      <c r="AL183" s="360"/>
    </row>
    <row r="184" spans="1:38" ht="12" customHeight="1">
      <c r="A184" s="360"/>
      <c r="B184" s="734"/>
      <c r="C184" s="8406" t="e">
        <f>IF(C178=0,"",VLOOKUP(C178,'Tablas Magia'!$D$6:$Z$779,23,FALSE))</f>
        <v>#N/A</v>
      </c>
      <c r="D184" s="8407"/>
      <c r="E184" s="8407"/>
      <c r="F184" s="8407"/>
      <c r="G184" s="8407"/>
      <c r="H184" s="8407"/>
      <c r="I184" s="8407"/>
      <c r="J184" s="8407"/>
      <c r="K184" s="8407"/>
      <c r="L184" s="8407"/>
      <c r="M184" s="8407"/>
      <c r="N184" s="8407"/>
      <c r="O184" s="8407"/>
      <c r="P184" s="8407"/>
      <c r="Q184" s="8408"/>
      <c r="R184" s="366"/>
      <c r="S184" s="360"/>
      <c r="T184" s="360"/>
      <c r="U184" s="734"/>
      <c r="V184" s="8406" t="e">
        <f>IF(V178=0,"",VLOOKUP(V178,'Tablas Magia'!$D$6:$Z$779,23,FALSE))</f>
        <v>#N/A</v>
      </c>
      <c r="W184" s="8407"/>
      <c r="X184" s="8407"/>
      <c r="Y184" s="8407"/>
      <c r="Z184" s="8407"/>
      <c r="AA184" s="8407"/>
      <c r="AB184" s="8407"/>
      <c r="AC184" s="8407"/>
      <c r="AD184" s="8407"/>
      <c r="AE184" s="8407"/>
      <c r="AF184" s="8407"/>
      <c r="AG184" s="8407"/>
      <c r="AH184" s="8407"/>
      <c r="AI184" s="8407"/>
      <c r="AJ184" s="8408"/>
      <c r="AK184" s="366"/>
      <c r="AL184" s="360"/>
    </row>
    <row r="185" spans="1:38" ht="12" customHeight="1">
      <c r="A185" s="360"/>
      <c r="B185" s="734"/>
      <c r="C185" s="8409"/>
      <c r="D185" s="8410"/>
      <c r="E185" s="8410"/>
      <c r="F185" s="8410"/>
      <c r="G185" s="8410"/>
      <c r="H185" s="8410"/>
      <c r="I185" s="8410"/>
      <c r="J185" s="8410"/>
      <c r="K185" s="8410"/>
      <c r="L185" s="8410"/>
      <c r="M185" s="8410"/>
      <c r="N185" s="8410"/>
      <c r="O185" s="8410"/>
      <c r="P185" s="8410"/>
      <c r="Q185" s="8411"/>
      <c r="R185" s="366"/>
      <c r="S185" s="360"/>
      <c r="T185" s="360"/>
      <c r="U185" s="734"/>
      <c r="V185" s="8409"/>
      <c r="W185" s="8410"/>
      <c r="X185" s="8410"/>
      <c r="Y185" s="8410"/>
      <c r="Z185" s="8410"/>
      <c r="AA185" s="8410"/>
      <c r="AB185" s="8410"/>
      <c r="AC185" s="8410"/>
      <c r="AD185" s="8410"/>
      <c r="AE185" s="8410"/>
      <c r="AF185" s="8410"/>
      <c r="AG185" s="8410"/>
      <c r="AH185" s="8410"/>
      <c r="AI185" s="8410"/>
      <c r="AJ185" s="8411"/>
      <c r="AK185" s="366"/>
      <c r="AL185" s="360"/>
    </row>
    <row r="186" spans="1:38" ht="12" customHeight="1">
      <c r="A186" s="360"/>
      <c r="B186" s="734"/>
      <c r="C186" s="8409"/>
      <c r="D186" s="8410"/>
      <c r="E186" s="8410"/>
      <c r="F186" s="8410"/>
      <c r="G186" s="8410"/>
      <c r="H186" s="8410"/>
      <c r="I186" s="8410"/>
      <c r="J186" s="8410"/>
      <c r="K186" s="8410"/>
      <c r="L186" s="8410"/>
      <c r="M186" s="8410"/>
      <c r="N186" s="8410"/>
      <c r="O186" s="8410"/>
      <c r="P186" s="8410"/>
      <c r="Q186" s="8411"/>
      <c r="R186" s="366"/>
      <c r="S186" s="360"/>
      <c r="T186" s="360"/>
      <c r="U186" s="734"/>
      <c r="V186" s="8409"/>
      <c r="W186" s="8410"/>
      <c r="X186" s="8410"/>
      <c r="Y186" s="8410"/>
      <c r="Z186" s="8410"/>
      <c r="AA186" s="8410"/>
      <c r="AB186" s="8410"/>
      <c r="AC186" s="8410"/>
      <c r="AD186" s="8410"/>
      <c r="AE186" s="8410"/>
      <c r="AF186" s="8410"/>
      <c r="AG186" s="8410"/>
      <c r="AH186" s="8410"/>
      <c r="AI186" s="8410"/>
      <c r="AJ186" s="8411"/>
      <c r="AK186" s="366"/>
      <c r="AL186" s="360"/>
    </row>
    <row r="187" spans="1:38" ht="12" customHeight="1" thickBot="1">
      <c r="A187" s="360"/>
      <c r="B187" s="734"/>
      <c r="C187" s="8412"/>
      <c r="D187" s="8413"/>
      <c r="E187" s="8413"/>
      <c r="F187" s="8413"/>
      <c r="G187" s="8413"/>
      <c r="H187" s="8413"/>
      <c r="I187" s="8413"/>
      <c r="J187" s="8413"/>
      <c r="K187" s="8413"/>
      <c r="L187" s="8413"/>
      <c r="M187" s="8413"/>
      <c r="N187" s="8413"/>
      <c r="O187" s="8413"/>
      <c r="P187" s="8413"/>
      <c r="Q187" s="8414"/>
      <c r="R187" s="366"/>
      <c r="S187" s="360"/>
      <c r="T187" s="360"/>
      <c r="U187" s="734"/>
      <c r="V187" s="8412"/>
      <c r="W187" s="8413"/>
      <c r="X187" s="8413"/>
      <c r="Y187" s="8413"/>
      <c r="Z187" s="8413"/>
      <c r="AA187" s="8413"/>
      <c r="AB187" s="8413"/>
      <c r="AC187" s="8413"/>
      <c r="AD187" s="8413"/>
      <c r="AE187" s="8413"/>
      <c r="AF187" s="8413"/>
      <c r="AG187" s="8413"/>
      <c r="AH187" s="8413"/>
      <c r="AI187" s="8413"/>
      <c r="AJ187" s="8414"/>
      <c r="AK187" s="366"/>
      <c r="AL187" s="360"/>
    </row>
    <row r="188" spans="1:38" ht="12" customHeight="1" thickBot="1">
      <c r="A188" s="360"/>
      <c r="B188" s="734"/>
      <c r="C188" s="386"/>
      <c r="D188" s="386"/>
      <c r="E188" s="377"/>
      <c r="F188" s="377"/>
      <c r="G188" s="377"/>
      <c r="H188" s="387"/>
      <c r="I188" s="387"/>
      <c r="J188" s="387"/>
      <c r="K188" s="387"/>
      <c r="L188" s="387"/>
      <c r="M188" s="387"/>
      <c r="N188" s="387"/>
      <c r="O188" s="387"/>
      <c r="P188" s="387"/>
      <c r="Q188" s="387"/>
      <c r="R188" s="366"/>
      <c r="S188" s="360"/>
      <c r="T188" s="360"/>
      <c r="U188" s="734"/>
      <c r="V188" s="386"/>
      <c r="W188" s="386"/>
      <c r="X188" s="377"/>
      <c r="Y188" s="377"/>
      <c r="Z188" s="377"/>
      <c r="AA188" s="387"/>
      <c r="AB188" s="387"/>
      <c r="AC188" s="387"/>
      <c r="AD188" s="387"/>
      <c r="AE188" s="387"/>
      <c r="AF188" s="387"/>
      <c r="AG188" s="387"/>
      <c r="AH188" s="387"/>
      <c r="AI188" s="387"/>
      <c r="AJ188" s="387"/>
      <c r="AK188" s="366"/>
      <c r="AL188" s="360"/>
    </row>
    <row r="189" spans="1:38" ht="12" customHeight="1">
      <c r="A189" s="360"/>
      <c r="B189" s="734">
        <f>B178+2</f>
        <v>50</v>
      </c>
      <c r="C189" s="8417" t="str">
        <f>IF(ISNA(VLOOKUP($J$6&amp;B189,'Tablas Magia'!$B$6:$D$779,3,FALSE)),IF(ISNA(VLOOKUP($J$8&amp;B189,'Tablas Magia'!$B$6:$D$779,3,FALSE)),IF(ISNA(VLOOKUP($J$6&amp;B189,Místicos!$AD$12:$AJ$50,4,FALSE)),"Libre Acceso 1-"&amp;MID(C$144,SEARCH("-",C$144)+1,3),VLOOKUP($J$6&amp;B189,Místicos!$AD$12:$AJ$50,4,FALSE)),VLOOKUP($J$8&amp;B189,'Tablas Magia'!$B$6:$D$779,3,FALSE)),VLOOKUP($J$6&amp;B189,'Tablas Magia'!$B$6:$D$779,3,FALSE))</f>
        <v>Libre Acceso 1-50</v>
      </c>
      <c r="D189" s="8418"/>
      <c r="E189" s="8418"/>
      <c r="F189" s="8418"/>
      <c r="G189" s="8419"/>
      <c r="H189" s="370" t="s">
        <v>1186</v>
      </c>
      <c r="I189" s="371">
        <f>B189</f>
        <v>50</v>
      </c>
      <c r="J189" s="8420" t="s">
        <v>5816</v>
      </c>
      <c r="K189" s="8420"/>
      <c r="L189" s="8420"/>
      <c r="M189" s="8378" t="e">
        <f>IF(C189=0,"",VLOOKUP(C189,'Tablas Magia'!$D$6:$Z$779,2,FALSE))</f>
        <v>#N/A</v>
      </c>
      <c r="N189" s="8378"/>
      <c r="O189" s="1525"/>
      <c r="P189" s="8415" t="str">
        <f>IFERROR(IF(M189="Libre Acceso","Aprendido",IF(IFERROR(VLOOKUP(M189,Místicos!$C$15:$H$25,6,0)&gt;=I189,FALSE),"Aprendido",IF(IFERROR(VLOOKUP(M189,Místicos!$E$15:$H$25,4,0)&gt;=I189,FALSE),"Aprendido",""))),"")</f>
        <v/>
      </c>
      <c r="Q189" s="8416"/>
      <c r="R189" s="366"/>
      <c r="S189" s="360"/>
      <c r="T189" s="360"/>
      <c r="U189" s="734">
        <f>U178+2</f>
        <v>60</v>
      </c>
      <c r="V189" s="8417" t="str">
        <f>IF(ISNA(VLOOKUP($J$6&amp;U189,'Tablas Magia'!$B$6:$D$779,3,FALSE)),IF(ISNA(VLOOKUP($J$8&amp;U189,'Tablas Magia'!$B$6:$D$779,3,FALSE)),IF(ISNA(VLOOKUP($J$6&amp;U189,Místicos!$AD$12:$AJ$50,4,FALSE)),"Libre Acceso 1-"&amp;MID(V$144,SEARCH("-",V$144)+1,3),VLOOKUP($J$6&amp;U189,Místicos!$AD$12:$AJ$50,4,FALSE)),VLOOKUP($J$8&amp;U189,'Tablas Magia'!$B$6:$D$779,3,FALSE)),VLOOKUP($J$6&amp;U189,'Tablas Magia'!$B$6:$D$779,3,FALSE))</f>
        <v>Libre Acceso 1-60</v>
      </c>
      <c r="W189" s="8418"/>
      <c r="X189" s="8418"/>
      <c r="Y189" s="8418"/>
      <c r="Z189" s="8418"/>
      <c r="AA189" s="370" t="s">
        <v>1186</v>
      </c>
      <c r="AB189" s="371">
        <f>U189</f>
        <v>60</v>
      </c>
      <c r="AC189" s="8420" t="s">
        <v>5816</v>
      </c>
      <c r="AD189" s="8420"/>
      <c r="AE189" s="8420"/>
      <c r="AF189" s="8378" t="e">
        <f>IF(V189=0,"",VLOOKUP(V189,'Tablas Magia'!$D$6:$Z$779,2,FALSE))</f>
        <v>#N/A</v>
      </c>
      <c r="AG189" s="8378"/>
      <c r="AH189" s="1525"/>
      <c r="AI189" s="8415" t="str">
        <f>IFERROR(IF(AF189="Libre Acceso","Aprendido",IF(IFERROR(VLOOKUP(AF189,Místicos!$C$15:$H$25,6,0)&gt;=AB189,FALSE),"Aprendido",IF(IFERROR(VLOOKUP(AF189,Místicos!$E$15:$H$25,4,0)&gt;=AB189,FALSE),"Aprendido",""))),"")</f>
        <v/>
      </c>
      <c r="AJ189" s="8416"/>
      <c r="AK189" s="366"/>
      <c r="AL189" s="360"/>
    </row>
    <row r="190" spans="1:38" ht="12" customHeight="1">
      <c r="A190" s="360"/>
      <c r="B190" s="734"/>
      <c r="C190" s="8399" t="s">
        <v>5817</v>
      </c>
      <c r="D190" s="8426"/>
      <c r="E190" s="2162" t="s">
        <v>5818</v>
      </c>
      <c r="F190" s="2162" t="s">
        <v>1368</v>
      </c>
      <c r="G190" s="2162" t="s">
        <v>2666</v>
      </c>
      <c r="H190" s="2163" t="s">
        <v>1690</v>
      </c>
      <c r="I190" s="8424" t="e">
        <f>IF(C189=0,"",VLOOKUP(C189,'Tablas Magia'!$D$6:$Z$779,5,FALSE))</f>
        <v>#N/A</v>
      </c>
      <c r="J190" s="8424"/>
      <c r="K190" s="8427" t="s">
        <v>5819</v>
      </c>
      <c r="L190" s="8427"/>
      <c r="M190" s="8424" t="e">
        <f>IF(C189=0,"",VLOOKUP(C189,'Tablas Magia'!$D$6:$Z$779,6,FALSE))</f>
        <v>#N/A</v>
      </c>
      <c r="N190" s="8424"/>
      <c r="O190" s="8425" t="s">
        <v>5820</v>
      </c>
      <c r="P190" s="8425"/>
      <c r="Q190" s="2164" t="e">
        <f>IF(C189=0,"",VLOOKUP(C189,'Tablas Magia'!$D$6:$Z$779,4,FALSE))</f>
        <v>#N/A</v>
      </c>
      <c r="R190" s="366"/>
      <c r="S190" s="360"/>
      <c r="T190" s="360"/>
      <c r="U190" s="734"/>
      <c r="V190" s="8399" t="s">
        <v>5817</v>
      </c>
      <c r="W190" s="8426"/>
      <c r="X190" s="2162" t="s">
        <v>5818</v>
      </c>
      <c r="Y190" s="2162" t="s">
        <v>1368</v>
      </c>
      <c r="Z190" s="2162" t="s">
        <v>2666</v>
      </c>
      <c r="AA190" s="2163" t="s">
        <v>1690</v>
      </c>
      <c r="AB190" s="8424" t="e">
        <f>IF(V189=0,"",VLOOKUP(V189,'Tablas Magia'!$D$6:$Z$779,5,FALSE))</f>
        <v>#N/A</v>
      </c>
      <c r="AC190" s="8424"/>
      <c r="AD190" s="8427" t="s">
        <v>5819</v>
      </c>
      <c r="AE190" s="8427"/>
      <c r="AF190" s="8424" t="e">
        <f>IF(V189=0,"",VLOOKUP(V189,'Tablas Magia'!$D$6:$Z$779,6,FALSE))</f>
        <v>#N/A</v>
      </c>
      <c r="AG190" s="8424"/>
      <c r="AH190" s="8425" t="s">
        <v>5820</v>
      </c>
      <c r="AI190" s="8425"/>
      <c r="AJ190" s="2164" t="e">
        <f>IF(V189=0,"",VLOOKUP(V189,'Tablas Magia'!$D$6:$Z$779,4,FALSE))</f>
        <v>#N/A</v>
      </c>
      <c r="AK190" s="366"/>
      <c r="AL190" s="360"/>
    </row>
    <row r="191" spans="1:38" ht="12" customHeight="1">
      <c r="A191" s="360"/>
      <c r="B191" s="734"/>
      <c r="C191" s="8434" t="s">
        <v>1225</v>
      </c>
      <c r="D191" s="8435"/>
      <c r="E191" s="375" t="e">
        <f>IF(C189=0,"",VLOOKUP(C189,'Tablas Magia'!$D$6:$Z$779,7,FALSE))</f>
        <v>#N/A</v>
      </c>
      <c r="F191" s="375" t="e">
        <f>IF(C189=0,"",VLOOKUP(C189,'Tablas Magia'!$D$6:$Z$779,11,FALSE))</f>
        <v>#N/A</v>
      </c>
      <c r="G191" s="376" t="e">
        <f>IF(C189=0,"",VLOOKUP(C189,'Tablas Magia'!$D$6:$Z$779,15,FALSE))</f>
        <v>#N/A</v>
      </c>
      <c r="H191" s="8421" t="e">
        <f>IF(C189=0,"",VLOOKUP(C189,'Tablas Magia'!$D$6:$Z$779,19,FALSE))</f>
        <v>#N/A</v>
      </c>
      <c r="I191" s="8422"/>
      <c r="J191" s="8422"/>
      <c r="K191" s="8422"/>
      <c r="L191" s="8422"/>
      <c r="M191" s="8422"/>
      <c r="N191" s="8422"/>
      <c r="O191" s="8422"/>
      <c r="P191" s="8422"/>
      <c r="Q191" s="8423"/>
      <c r="R191" s="366"/>
      <c r="S191" s="360"/>
      <c r="T191" s="360"/>
      <c r="U191" s="734"/>
      <c r="V191" s="8391" t="s">
        <v>1225</v>
      </c>
      <c r="W191" s="8392"/>
      <c r="X191" s="375" t="e">
        <f>IF(V189=0,"",VLOOKUP(V189,'Tablas Magia'!$D$6:$Z$779,7,FALSE))</f>
        <v>#N/A</v>
      </c>
      <c r="Y191" s="375" t="e">
        <f>IF(V189=0,"",VLOOKUP(V189,'Tablas Magia'!$D$6:$Z$779,11,FALSE))</f>
        <v>#N/A</v>
      </c>
      <c r="Z191" s="376" t="e">
        <f>IF(V189=0,"",VLOOKUP(V189,'Tablas Magia'!$D$6:$Z$779,15,FALSE))</f>
        <v>#N/A</v>
      </c>
      <c r="AA191" s="8393" t="e">
        <f>IF(V189=0,"",VLOOKUP(V189,'Tablas Magia'!$D$6:$Z$779,19,FALSE))</f>
        <v>#N/A</v>
      </c>
      <c r="AB191" s="8394"/>
      <c r="AC191" s="8394"/>
      <c r="AD191" s="8394"/>
      <c r="AE191" s="8394"/>
      <c r="AF191" s="8394"/>
      <c r="AG191" s="8394"/>
      <c r="AH191" s="8394"/>
      <c r="AI191" s="8394"/>
      <c r="AJ191" s="8395"/>
      <c r="AK191" s="366"/>
      <c r="AL191" s="360"/>
    </row>
    <row r="192" spans="1:38" ht="12" customHeight="1">
      <c r="A192" s="360"/>
      <c r="B192" s="734"/>
      <c r="C192" s="8386" t="s">
        <v>3035</v>
      </c>
      <c r="D192" s="8387"/>
      <c r="E192" s="377" t="e">
        <f>IF(C189=0,"",VLOOKUP(C189,'Tablas Magia'!$D$6:$Z$779,8,FALSE))</f>
        <v>#N/A</v>
      </c>
      <c r="F192" s="377" t="e">
        <f>IF(C189=0,"",VLOOKUP(C189,'Tablas Magia'!$D$6:$Z$779,12,FALSE))</f>
        <v>#N/A</v>
      </c>
      <c r="G192" s="378" t="e">
        <f>IF(C189=0,"",VLOOKUP(C189,'Tablas Magia'!$D$6:$Z$779,16,FALSE))</f>
        <v>#N/A</v>
      </c>
      <c r="H192" s="8388" t="e">
        <f>IF(C189=0,"",VLOOKUP(C189,'Tablas Magia'!$D$6:$Z$779,20,FALSE))</f>
        <v>#N/A</v>
      </c>
      <c r="I192" s="8389"/>
      <c r="J192" s="8389"/>
      <c r="K192" s="8389"/>
      <c r="L192" s="8389"/>
      <c r="M192" s="8389"/>
      <c r="N192" s="8389"/>
      <c r="O192" s="8389"/>
      <c r="P192" s="8389"/>
      <c r="Q192" s="8390"/>
      <c r="R192" s="366"/>
      <c r="S192" s="360"/>
      <c r="T192" s="360"/>
      <c r="U192" s="734"/>
      <c r="V192" s="8386" t="s">
        <v>3035</v>
      </c>
      <c r="W192" s="8387"/>
      <c r="X192" s="377" t="e">
        <f>IF(V189=0,"",VLOOKUP(V189,'Tablas Magia'!$D$6:$Z$779,8,FALSE))</f>
        <v>#N/A</v>
      </c>
      <c r="Y192" s="377" t="e">
        <f>IF(V189=0,"",VLOOKUP(V189,'Tablas Magia'!$D$6:$Z$779,12,FALSE))</f>
        <v>#N/A</v>
      </c>
      <c r="Z192" s="378" t="e">
        <f>IF(V189=0,"",VLOOKUP(V189,'Tablas Magia'!$D$6:$Z$779,16,FALSE))</f>
        <v>#N/A</v>
      </c>
      <c r="AA192" s="8388" t="e">
        <f>IF(V189=0,"",VLOOKUP(V189,'Tablas Magia'!$D$6:$Z$779,20,FALSE))</f>
        <v>#N/A</v>
      </c>
      <c r="AB192" s="8389"/>
      <c r="AC192" s="8389"/>
      <c r="AD192" s="8389"/>
      <c r="AE192" s="8389"/>
      <c r="AF192" s="8389"/>
      <c r="AG192" s="8389"/>
      <c r="AH192" s="8389"/>
      <c r="AI192" s="8389"/>
      <c r="AJ192" s="8390"/>
      <c r="AK192" s="366"/>
      <c r="AL192" s="360"/>
    </row>
    <row r="193" spans="1:38" ht="12" customHeight="1">
      <c r="A193" s="360"/>
      <c r="B193" s="734"/>
      <c r="C193" s="8391" t="s">
        <v>3036</v>
      </c>
      <c r="D193" s="8392"/>
      <c r="E193" s="375" t="e">
        <f>IF(C189=0,"",VLOOKUP(C189,'Tablas Magia'!$D$6:$Z$779,9,FALSE))</f>
        <v>#N/A</v>
      </c>
      <c r="F193" s="375" t="e">
        <f>IF(C189=0,"",VLOOKUP(C189,'Tablas Magia'!$D$6:$Z$779,13,FALSE))</f>
        <v>#N/A</v>
      </c>
      <c r="G193" s="376" t="e">
        <f>IF(C189=0,"",VLOOKUP(C189,'Tablas Magia'!$D$6:$Z$779,17,FALSE))</f>
        <v>#N/A</v>
      </c>
      <c r="H193" s="8393" t="e">
        <f>IF(C189=0,"",VLOOKUP(C189,'Tablas Magia'!$D$6:$Z$779,21,FALSE))</f>
        <v>#N/A</v>
      </c>
      <c r="I193" s="8394"/>
      <c r="J193" s="8394"/>
      <c r="K193" s="8394"/>
      <c r="L193" s="8394"/>
      <c r="M193" s="8394"/>
      <c r="N193" s="8394"/>
      <c r="O193" s="8394"/>
      <c r="P193" s="8394"/>
      <c r="Q193" s="8395"/>
      <c r="R193" s="366"/>
      <c r="S193" s="360"/>
      <c r="T193" s="360"/>
      <c r="U193" s="734"/>
      <c r="V193" s="8391" t="s">
        <v>3036</v>
      </c>
      <c r="W193" s="8392"/>
      <c r="X193" s="375" t="e">
        <f>IF(V189=0,"",VLOOKUP(V189,'Tablas Magia'!$D$6:$Z$779,9,FALSE))</f>
        <v>#N/A</v>
      </c>
      <c r="Y193" s="375" t="e">
        <f>IF(V189=0,"",VLOOKUP(V189,'Tablas Magia'!$D$6:$Z$779,13,FALSE))</f>
        <v>#N/A</v>
      </c>
      <c r="Z193" s="376" t="e">
        <f>IF(V189=0,"",VLOOKUP(V189,'Tablas Magia'!$D$6:$Z$779,17,FALSE))</f>
        <v>#N/A</v>
      </c>
      <c r="AA193" s="8393" t="e">
        <f>IF(V189=0,"",VLOOKUP(V189,'Tablas Magia'!$D$6:$Z$779,21,FALSE))</f>
        <v>#N/A</v>
      </c>
      <c r="AB193" s="8394"/>
      <c r="AC193" s="8394"/>
      <c r="AD193" s="8394"/>
      <c r="AE193" s="8394"/>
      <c r="AF193" s="8394"/>
      <c r="AG193" s="8394"/>
      <c r="AH193" s="8394"/>
      <c r="AI193" s="8394"/>
      <c r="AJ193" s="8395"/>
      <c r="AK193" s="366"/>
      <c r="AL193" s="360"/>
    </row>
    <row r="194" spans="1:38" ht="12" customHeight="1" thickBot="1">
      <c r="A194" s="360"/>
      <c r="B194" s="734"/>
      <c r="C194" s="8401" t="s">
        <v>3037</v>
      </c>
      <c r="D194" s="8402"/>
      <c r="E194" s="379" t="e">
        <f>IF(C189=0,"",VLOOKUP(C189,'Tablas Magia'!$D$6:$Z$779,10,FALSE))</f>
        <v>#N/A</v>
      </c>
      <c r="F194" s="379" t="e">
        <f>IF(C189=0,"",VLOOKUP(C189,'Tablas Magia'!$D$6:$Z$779,14,FALSE))</f>
        <v>#N/A</v>
      </c>
      <c r="G194" s="380" t="e">
        <f>IF(C189=0,"",VLOOKUP(C189,'Tablas Magia'!$D$6:$Z$779,18,FALSE))</f>
        <v>#N/A</v>
      </c>
      <c r="H194" s="8403" t="e">
        <f>IF(C189=0,"",VLOOKUP(C189,'Tablas Magia'!$D$6:$Z$779,22,FALSE))</f>
        <v>#N/A</v>
      </c>
      <c r="I194" s="8404"/>
      <c r="J194" s="8404"/>
      <c r="K194" s="8404"/>
      <c r="L194" s="8404"/>
      <c r="M194" s="8404"/>
      <c r="N194" s="8404"/>
      <c r="O194" s="8404"/>
      <c r="P194" s="8404"/>
      <c r="Q194" s="8405"/>
      <c r="R194" s="366"/>
      <c r="S194" s="360"/>
      <c r="T194" s="360"/>
      <c r="U194" s="734"/>
      <c r="V194" s="8401" t="s">
        <v>3037</v>
      </c>
      <c r="W194" s="8402"/>
      <c r="X194" s="379" t="e">
        <f>IF(V189=0,"",VLOOKUP(V189,'Tablas Magia'!$D$6:$Z$779,10,FALSE))</f>
        <v>#N/A</v>
      </c>
      <c r="Y194" s="379" t="e">
        <f>IF(V189=0,"",VLOOKUP(V189,'Tablas Magia'!$D$6:$Z$779,14,FALSE))</f>
        <v>#N/A</v>
      </c>
      <c r="Z194" s="380" t="e">
        <f>IF(V189=0,"",VLOOKUP(V189,'Tablas Magia'!$D$6:$Z$779,18,FALSE))</f>
        <v>#N/A</v>
      </c>
      <c r="AA194" s="8403" t="e">
        <f>IF(V189=0,"",VLOOKUP(V189,'Tablas Magia'!$D$6:$Z$779,22,FALSE))</f>
        <v>#N/A</v>
      </c>
      <c r="AB194" s="8404"/>
      <c r="AC194" s="8404"/>
      <c r="AD194" s="8404"/>
      <c r="AE194" s="8404"/>
      <c r="AF194" s="8404"/>
      <c r="AG194" s="8404"/>
      <c r="AH194" s="8404"/>
      <c r="AI194" s="8404"/>
      <c r="AJ194" s="8405"/>
      <c r="AK194" s="366"/>
      <c r="AL194" s="360"/>
    </row>
    <row r="195" spans="1:38" ht="12" customHeight="1">
      <c r="A195" s="360"/>
      <c r="B195" s="734"/>
      <c r="C195" s="8406" t="e">
        <f>IF(C189=0,"",VLOOKUP(C189,'Tablas Magia'!$D$6:$Z$779,23,FALSE))</f>
        <v>#N/A</v>
      </c>
      <c r="D195" s="8407"/>
      <c r="E195" s="8407"/>
      <c r="F195" s="8407"/>
      <c r="G195" s="8407"/>
      <c r="H195" s="8407"/>
      <c r="I195" s="8407"/>
      <c r="J195" s="8407"/>
      <c r="K195" s="8407"/>
      <c r="L195" s="8407"/>
      <c r="M195" s="8407"/>
      <c r="N195" s="8407"/>
      <c r="O195" s="8407"/>
      <c r="P195" s="8407"/>
      <c r="Q195" s="8408"/>
      <c r="R195" s="366"/>
      <c r="S195" s="360"/>
      <c r="T195" s="360"/>
      <c r="U195" s="734"/>
      <c r="V195" s="8406" t="e">
        <f>IF(V189=0,"",VLOOKUP(V189,'Tablas Magia'!$D$6:$Z$779,23,FALSE))</f>
        <v>#N/A</v>
      </c>
      <c r="W195" s="8407"/>
      <c r="X195" s="8407"/>
      <c r="Y195" s="8407"/>
      <c r="Z195" s="8407"/>
      <c r="AA195" s="8407"/>
      <c r="AB195" s="8407"/>
      <c r="AC195" s="8407"/>
      <c r="AD195" s="8407"/>
      <c r="AE195" s="8407"/>
      <c r="AF195" s="8407"/>
      <c r="AG195" s="8407"/>
      <c r="AH195" s="8407"/>
      <c r="AI195" s="8407"/>
      <c r="AJ195" s="8408"/>
      <c r="AK195" s="366"/>
      <c r="AL195" s="360"/>
    </row>
    <row r="196" spans="1:38" ht="12" customHeight="1">
      <c r="A196" s="360"/>
      <c r="B196" s="734"/>
      <c r="C196" s="8409"/>
      <c r="D196" s="8410"/>
      <c r="E196" s="8410"/>
      <c r="F196" s="8410"/>
      <c r="G196" s="8410"/>
      <c r="H196" s="8410"/>
      <c r="I196" s="8410"/>
      <c r="J196" s="8410"/>
      <c r="K196" s="8410"/>
      <c r="L196" s="8410"/>
      <c r="M196" s="8410"/>
      <c r="N196" s="8410"/>
      <c r="O196" s="8410"/>
      <c r="P196" s="8410"/>
      <c r="Q196" s="8411"/>
      <c r="R196" s="366"/>
      <c r="S196" s="360"/>
      <c r="T196" s="360"/>
      <c r="U196" s="734"/>
      <c r="V196" s="8409"/>
      <c r="W196" s="8410"/>
      <c r="X196" s="8410"/>
      <c r="Y196" s="8410"/>
      <c r="Z196" s="8410"/>
      <c r="AA196" s="8410"/>
      <c r="AB196" s="8410"/>
      <c r="AC196" s="8410"/>
      <c r="AD196" s="8410"/>
      <c r="AE196" s="8410"/>
      <c r="AF196" s="8410"/>
      <c r="AG196" s="8410"/>
      <c r="AH196" s="8410"/>
      <c r="AI196" s="8410"/>
      <c r="AJ196" s="8411"/>
      <c r="AK196" s="366"/>
      <c r="AL196" s="360"/>
    </row>
    <row r="197" spans="1:38" ht="12" customHeight="1">
      <c r="A197" s="360"/>
      <c r="B197" s="734"/>
      <c r="C197" s="8409"/>
      <c r="D197" s="8410"/>
      <c r="E197" s="8410"/>
      <c r="F197" s="8410"/>
      <c r="G197" s="8410"/>
      <c r="H197" s="8410"/>
      <c r="I197" s="8410"/>
      <c r="J197" s="8410"/>
      <c r="K197" s="8410"/>
      <c r="L197" s="8410"/>
      <c r="M197" s="8410"/>
      <c r="N197" s="8410"/>
      <c r="O197" s="8410"/>
      <c r="P197" s="8410"/>
      <c r="Q197" s="8411"/>
      <c r="R197" s="366"/>
      <c r="S197" s="360"/>
      <c r="T197" s="360"/>
      <c r="U197" s="734"/>
      <c r="V197" s="8409"/>
      <c r="W197" s="8410"/>
      <c r="X197" s="8410"/>
      <c r="Y197" s="8410"/>
      <c r="Z197" s="8410"/>
      <c r="AA197" s="8410"/>
      <c r="AB197" s="8410"/>
      <c r="AC197" s="8410"/>
      <c r="AD197" s="8410"/>
      <c r="AE197" s="8410"/>
      <c r="AF197" s="8410"/>
      <c r="AG197" s="8410"/>
      <c r="AH197" s="8410"/>
      <c r="AI197" s="8410"/>
      <c r="AJ197" s="8411"/>
      <c r="AK197" s="366"/>
      <c r="AL197" s="360"/>
    </row>
    <row r="198" spans="1:38" ht="12" customHeight="1" thickBot="1">
      <c r="A198" s="360"/>
      <c r="B198" s="734"/>
      <c r="C198" s="8412"/>
      <c r="D198" s="8413"/>
      <c r="E198" s="8413"/>
      <c r="F198" s="8413"/>
      <c r="G198" s="8413"/>
      <c r="H198" s="8413"/>
      <c r="I198" s="8413"/>
      <c r="J198" s="8413"/>
      <c r="K198" s="8413"/>
      <c r="L198" s="8413"/>
      <c r="M198" s="8413"/>
      <c r="N198" s="8413"/>
      <c r="O198" s="8413"/>
      <c r="P198" s="8413"/>
      <c r="Q198" s="8414"/>
      <c r="R198" s="366"/>
      <c r="S198" s="360"/>
      <c r="T198" s="360"/>
      <c r="U198" s="734"/>
      <c r="V198" s="8412"/>
      <c r="W198" s="8413"/>
      <c r="X198" s="8413"/>
      <c r="Y198" s="8413"/>
      <c r="Z198" s="8413"/>
      <c r="AA198" s="8413"/>
      <c r="AB198" s="8413"/>
      <c r="AC198" s="8413"/>
      <c r="AD198" s="8413"/>
      <c r="AE198" s="8413"/>
      <c r="AF198" s="8413"/>
      <c r="AG198" s="8413"/>
      <c r="AH198" s="8413"/>
      <c r="AI198" s="8413"/>
      <c r="AJ198" s="8414"/>
      <c r="AK198" s="366"/>
      <c r="AL198" s="360"/>
    </row>
    <row r="199" spans="1:38" ht="12" customHeight="1">
      <c r="A199" s="360"/>
      <c r="B199" s="734"/>
      <c r="C199" s="2165"/>
      <c r="D199" s="2165"/>
      <c r="E199" s="2165"/>
      <c r="F199" s="2165"/>
      <c r="G199" s="2165"/>
      <c r="H199" s="2165"/>
      <c r="I199" s="2165"/>
      <c r="J199" s="2165"/>
      <c r="K199" s="2165"/>
      <c r="L199" s="2165"/>
      <c r="M199" s="2165"/>
      <c r="N199" s="2165"/>
      <c r="O199" s="2165"/>
      <c r="P199" s="2165"/>
      <c r="Q199" s="2165"/>
      <c r="R199" s="366"/>
      <c r="S199" s="360"/>
      <c r="T199" s="360"/>
      <c r="U199" s="734"/>
      <c r="V199" s="2165"/>
      <c r="W199" s="2165"/>
      <c r="X199" s="2165"/>
      <c r="Y199" s="2165"/>
      <c r="Z199" s="2165"/>
      <c r="AA199" s="2165"/>
      <c r="AB199" s="2165"/>
      <c r="AC199" s="2165"/>
      <c r="AD199" s="2165"/>
      <c r="AE199" s="2165"/>
      <c r="AF199" s="2165"/>
      <c r="AG199" s="2165"/>
      <c r="AH199" s="2165"/>
      <c r="AI199" s="2165"/>
      <c r="AJ199" s="2165"/>
      <c r="AK199" s="366"/>
      <c r="AL199" s="360"/>
    </row>
    <row r="200" spans="1:38" ht="12" customHeight="1" thickBot="1">
      <c r="A200" s="360"/>
      <c r="B200" s="735"/>
      <c r="C200" s="388"/>
      <c r="D200" s="388"/>
      <c r="E200" s="388"/>
      <c r="F200" s="388"/>
      <c r="G200" s="388"/>
      <c r="H200" s="388"/>
      <c r="I200" s="388"/>
      <c r="J200" s="388"/>
      <c r="K200" s="388"/>
      <c r="L200" s="388"/>
      <c r="M200" s="388"/>
      <c r="N200" s="388"/>
      <c r="O200" s="388"/>
      <c r="P200" s="388"/>
      <c r="Q200" s="388"/>
      <c r="R200" s="389"/>
      <c r="S200" s="360"/>
      <c r="T200" s="360"/>
      <c r="U200" s="735"/>
      <c r="V200" s="388"/>
      <c r="W200" s="388"/>
      <c r="X200" s="388"/>
      <c r="Y200" s="388"/>
      <c r="Z200" s="388"/>
      <c r="AA200" s="388"/>
      <c r="AB200" s="388"/>
      <c r="AC200" s="388"/>
      <c r="AD200" s="388"/>
      <c r="AE200" s="388"/>
      <c r="AF200" s="388"/>
      <c r="AG200" s="388"/>
      <c r="AH200" s="388"/>
      <c r="AI200" s="388"/>
      <c r="AJ200" s="388"/>
      <c r="AK200" s="389"/>
      <c r="AL200" s="360"/>
    </row>
    <row r="201" spans="1:38" ht="12" customHeight="1">
      <c r="A201" s="1297"/>
      <c r="B201" s="1298"/>
      <c r="C201" s="1297"/>
      <c r="D201" s="1297"/>
      <c r="E201" s="1297"/>
      <c r="F201" s="1297"/>
      <c r="G201" s="1297"/>
      <c r="H201" s="1297"/>
      <c r="I201" s="1297"/>
      <c r="J201" s="1297"/>
      <c r="K201" s="1297"/>
      <c r="L201" s="1297"/>
      <c r="M201" s="1297"/>
      <c r="N201" s="1297"/>
      <c r="O201" s="1297"/>
      <c r="P201" s="1297"/>
      <c r="Q201" s="1297"/>
      <c r="R201" s="1297"/>
      <c r="S201" s="1297"/>
      <c r="T201" s="1297"/>
      <c r="U201" s="1298"/>
      <c r="V201" s="1297"/>
      <c r="W201" s="1297"/>
      <c r="X201" s="1297"/>
      <c r="Y201" s="1297"/>
      <c r="Z201" s="1297"/>
      <c r="AA201" s="1297"/>
      <c r="AB201" s="1297"/>
      <c r="AC201" s="1297"/>
      <c r="AD201" s="1297"/>
      <c r="AE201" s="1297"/>
      <c r="AF201" s="1297"/>
      <c r="AG201" s="1297"/>
      <c r="AH201" s="1297"/>
      <c r="AI201" s="1297"/>
      <c r="AJ201" s="1297"/>
      <c r="AK201" s="1297"/>
      <c r="AL201" s="1297"/>
    </row>
    <row r="202" spans="1:38" ht="12" customHeight="1" thickBot="1">
      <c r="A202" s="360"/>
      <c r="B202" s="360"/>
      <c r="C202" s="360"/>
      <c r="D202" s="360"/>
      <c r="E202" s="360"/>
      <c r="F202" s="360"/>
      <c r="G202" s="360"/>
      <c r="H202" s="360"/>
      <c r="I202" s="360"/>
      <c r="J202" s="360"/>
      <c r="K202" s="360"/>
      <c r="L202" s="360"/>
      <c r="M202" s="360"/>
      <c r="N202" s="360"/>
      <c r="O202" s="360"/>
      <c r="P202" s="360"/>
      <c r="Q202" s="360"/>
      <c r="R202" s="360"/>
      <c r="S202" s="360"/>
      <c r="T202" s="360"/>
      <c r="U202" s="732"/>
      <c r="V202" s="360"/>
      <c r="W202" s="360"/>
      <c r="X202" s="360"/>
      <c r="Y202" s="360"/>
      <c r="Z202" s="360"/>
      <c r="AA202" s="360"/>
      <c r="AB202" s="360"/>
      <c r="AC202" s="360"/>
      <c r="AD202" s="360"/>
      <c r="AE202" s="360"/>
      <c r="AF202" s="360"/>
      <c r="AG202" s="360"/>
      <c r="AH202" s="360"/>
      <c r="AI202" s="360"/>
      <c r="AJ202" s="360"/>
      <c r="AK202" s="360"/>
      <c r="AL202" s="360"/>
    </row>
    <row r="203" spans="1:38" ht="17.25" customHeight="1" thickBot="1">
      <c r="A203" s="1297"/>
      <c r="B203" s="981"/>
      <c r="C203" s="362"/>
      <c r="D203" s="362"/>
      <c r="E203" s="362"/>
      <c r="F203" s="362"/>
      <c r="G203" s="362"/>
      <c r="H203" s="362"/>
      <c r="I203" s="362"/>
      <c r="J203" s="362"/>
      <c r="K203" s="362"/>
      <c r="L203" s="362"/>
      <c r="M203" s="362"/>
      <c r="N203" s="362"/>
      <c r="O203" s="362"/>
      <c r="P203" s="362"/>
      <c r="Q203" s="362"/>
      <c r="R203" s="363"/>
      <c r="S203" s="1297"/>
      <c r="T203" s="1297"/>
      <c r="U203" s="981"/>
      <c r="V203" s="362"/>
      <c r="W203" s="362"/>
      <c r="X203" s="362"/>
      <c r="Y203" s="362"/>
      <c r="Z203" s="362"/>
      <c r="AA203" s="362"/>
      <c r="AB203" s="362"/>
      <c r="AC203" s="362"/>
      <c r="AD203" s="362"/>
      <c r="AE203" s="362"/>
      <c r="AF203" s="362"/>
      <c r="AG203" s="362"/>
      <c r="AH203" s="362"/>
      <c r="AI203" s="362"/>
      <c r="AJ203" s="362"/>
      <c r="AK203" s="363"/>
      <c r="AL203" s="1297"/>
    </row>
    <row r="204" spans="1:38" ht="12" customHeight="1">
      <c r="A204" s="1297"/>
      <c r="B204" s="982"/>
      <c r="C204" s="8380"/>
      <c r="D204" s="8381"/>
      <c r="E204" s="8381"/>
      <c r="F204" s="8381"/>
      <c r="G204" s="8381"/>
      <c r="H204" s="8381"/>
      <c r="I204" s="364"/>
      <c r="J204" s="364"/>
      <c r="K204" s="364"/>
      <c r="L204" s="364"/>
      <c r="M204" s="364"/>
      <c r="N204" s="364"/>
      <c r="O204" s="364"/>
      <c r="P204" s="364"/>
      <c r="Q204" s="365"/>
      <c r="R204" s="366"/>
      <c r="S204" s="1297"/>
      <c r="T204" s="1297"/>
      <c r="U204" s="982"/>
      <c r="V204" s="8380"/>
      <c r="W204" s="8381"/>
      <c r="X204" s="8381"/>
      <c r="Y204" s="8381"/>
      <c r="Z204" s="8381"/>
      <c r="AA204" s="8381"/>
      <c r="AB204" s="364"/>
      <c r="AC204" s="364"/>
      <c r="AD204" s="364"/>
      <c r="AE204" s="364"/>
      <c r="AF204" s="364"/>
      <c r="AG204" s="364"/>
      <c r="AH204" s="364"/>
      <c r="AI204" s="364"/>
      <c r="AJ204" s="365"/>
      <c r="AK204" s="366"/>
      <c r="AL204" s="1297"/>
    </row>
    <row r="205" spans="1:38" ht="12" customHeight="1">
      <c r="A205" s="1538"/>
      <c r="B205" s="1537"/>
      <c r="C205" s="8382"/>
      <c r="D205" s="8383"/>
      <c r="E205" s="8383"/>
      <c r="F205" s="8383"/>
      <c r="G205" s="8383"/>
      <c r="H205" s="8383"/>
      <c r="I205" s="311"/>
      <c r="J205" s="8436" t="s">
        <v>9578</v>
      </c>
      <c r="K205" s="8437"/>
      <c r="L205" s="8437"/>
      <c r="M205" s="8437"/>
      <c r="N205" s="8437"/>
      <c r="O205" s="8437"/>
      <c r="P205" s="8437"/>
      <c r="Q205" s="331"/>
      <c r="R205" s="738"/>
      <c r="S205" s="1538"/>
      <c r="T205" s="1538"/>
      <c r="U205" s="1537"/>
      <c r="V205" s="8382"/>
      <c r="W205" s="8383"/>
      <c r="X205" s="8383"/>
      <c r="Y205" s="8383"/>
      <c r="Z205" s="8383"/>
      <c r="AA205" s="8383"/>
      <c r="AB205" s="311"/>
      <c r="AC205" s="8436" t="s">
        <v>9578</v>
      </c>
      <c r="AD205" s="8437"/>
      <c r="AE205" s="8437"/>
      <c r="AF205" s="8437"/>
      <c r="AG205" s="8437"/>
      <c r="AH205" s="8437"/>
      <c r="AI205" s="8437"/>
      <c r="AJ205" s="331"/>
      <c r="AK205" s="738"/>
      <c r="AL205" s="1538"/>
    </row>
    <row r="206" spans="1:38" ht="12" customHeight="1">
      <c r="A206" s="1297"/>
      <c r="B206" s="982"/>
      <c r="C206" s="8382"/>
      <c r="D206" s="8383"/>
      <c r="E206" s="8383"/>
      <c r="F206" s="8383"/>
      <c r="G206" s="8383"/>
      <c r="H206" s="8383"/>
      <c r="I206" s="311"/>
      <c r="J206" s="8437"/>
      <c r="K206" s="8437"/>
      <c r="L206" s="8437"/>
      <c r="M206" s="8437"/>
      <c r="N206" s="8437"/>
      <c r="O206" s="8437"/>
      <c r="P206" s="8437"/>
      <c r="Q206" s="367"/>
      <c r="R206" s="366"/>
      <c r="S206" s="1297"/>
      <c r="T206" s="1297"/>
      <c r="U206" s="982"/>
      <c r="V206" s="8382"/>
      <c r="W206" s="8383"/>
      <c r="X206" s="8383"/>
      <c r="Y206" s="8383"/>
      <c r="Z206" s="8383"/>
      <c r="AA206" s="8383"/>
      <c r="AB206" s="311"/>
      <c r="AC206" s="8437"/>
      <c r="AD206" s="8437"/>
      <c r="AE206" s="8437"/>
      <c r="AF206" s="8437"/>
      <c r="AG206" s="8437"/>
      <c r="AH206" s="8437"/>
      <c r="AI206" s="8437"/>
      <c r="AJ206" s="367"/>
      <c r="AK206" s="366"/>
      <c r="AL206" s="1297"/>
    </row>
    <row r="207" spans="1:38" ht="12" customHeight="1">
      <c r="A207" s="1297"/>
      <c r="B207" s="982"/>
      <c r="C207" s="8382"/>
      <c r="D207" s="8383"/>
      <c r="E207" s="8383"/>
      <c r="F207" s="8383"/>
      <c r="G207" s="8383"/>
      <c r="H207" s="8383"/>
      <c r="I207" s="2012" t="s">
        <v>6618</v>
      </c>
      <c r="J207" s="8432" t="str">
        <f>IF($J$6="","",$J$6)</f>
        <v/>
      </c>
      <c r="K207" s="8432"/>
      <c r="L207" s="8432"/>
      <c r="M207" s="2008"/>
      <c r="N207" s="2008"/>
      <c r="O207" s="2009" t="str">
        <f>$O$6</f>
        <v>Nivel de vía aprendido</v>
      </c>
      <c r="P207" s="2010">
        <f>$P$6</f>
        <v>0</v>
      </c>
      <c r="Q207" s="367"/>
      <c r="R207" s="366"/>
      <c r="S207" s="1297"/>
      <c r="T207" s="1297"/>
      <c r="U207" s="982"/>
      <c r="V207" s="8382"/>
      <c r="W207" s="8383"/>
      <c r="X207" s="8383"/>
      <c r="Y207" s="8383"/>
      <c r="Z207" s="8383"/>
      <c r="AA207" s="8383"/>
      <c r="AB207" s="2012" t="s">
        <v>6618</v>
      </c>
      <c r="AC207" s="8432" t="str">
        <f>IF($J$6="","",$J$6)</f>
        <v/>
      </c>
      <c r="AD207" s="8432"/>
      <c r="AE207" s="8432"/>
      <c r="AF207" s="2008"/>
      <c r="AG207" s="2008"/>
      <c r="AH207" s="2009" t="str">
        <f>$O$6</f>
        <v>Nivel de vía aprendido</v>
      </c>
      <c r="AI207" s="2010">
        <f>$P$6</f>
        <v>0</v>
      </c>
      <c r="AJ207" s="367"/>
      <c r="AK207" s="366"/>
      <c r="AL207" s="1297"/>
    </row>
    <row r="208" spans="1:38" ht="12" customHeight="1">
      <c r="A208" s="1297"/>
      <c r="B208" s="982"/>
      <c r="C208" s="8382"/>
      <c r="D208" s="8383"/>
      <c r="E208" s="8383"/>
      <c r="F208" s="8383"/>
      <c r="G208" s="8383"/>
      <c r="H208" s="8383"/>
      <c r="I208" s="2013" t="s">
        <v>6619</v>
      </c>
      <c r="J208" s="8432" t="str">
        <f>IF($J$8="","",$J$8)</f>
        <v/>
      </c>
      <c r="K208" s="8432"/>
      <c r="L208" s="8432"/>
      <c r="M208" s="2008"/>
      <c r="N208" s="2008"/>
      <c r="O208" s="2008"/>
      <c r="P208" s="2008"/>
      <c r="Q208" s="367"/>
      <c r="R208" s="366"/>
      <c r="S208" s="1297"/>
      <c r="T208" s="1297"/>
      <c r="U208" s="982"/>
      <c r="V208" s="8382"/>
      <c r="W208" s="8383"/>
      <c r="X208" s="8383"/>
      <c r="Y208" s="8383"/>
      <c r="Z208" s="8383"/>
      <c r="AA208" s="8383"/>
      <c r="AB208" s="2013" t="s">
        <v>6619</v>
      </c>
      <c r="AC208" s="8432" t="str">
        <f>IF($J$8="","",$J$8)</f>
        <v/>
      </c>
      <c r="AD208" s="8432"/>
      <c r="AE208" s="8432"/>
      <c r="AF208" s="2008"/>
      <c r="AG208" s="2008"/>
      <c r="AH208" s="2008"/>
      <c r="AI208" s="2008"/>
      <c r="AJ208" s="367"/>
      <c r="AK208" s="366"/>
      <c r="AL208" s="1297"/>
    </row>
    <row r="209" spans="1:38" ht="12" customHeight="1" thickBot="1">
      <c r="A209" s="1297"/>
      <c r="B209" s="982"/>
      <c r="C209" s="8384"/>
      <c r="D209" s="8385"/>
      <c r="E209" s="8385"/>
      <c r="F209" s="8385"/>
      <c r="G209" s="8385"/>
      <c r="H209" s="8385"/>
      <c r="I209" s="368"/>
      <c r="J209" s="368"/>
      <c r="K209" s="368"/>
      <c r="L209" s="368"/>
      <c r="M209" s="368"/>
      <c r="N209" s="368"/>
      <c r="O209" s="368"/>
      <c r="P209" s="368"/>
      <c r="Q209" s="369"/>
      <c r="R209" s="366"/>
      <c r="S209" s="1297"/>
      <c r="T209" s="1297"/>
      <c r="U209" s="982"/>
      <c r="V209" s="8384"/>
      <c r="W209" s="8385"/>
      <c r="X209" s="8385"/>
      <c r="Y209" s="8385"/>
      <c r="Z209" s="8385"/>
      <c r="AA209" s="8385"/>
      <c r="AB209" s="368"/>
      <c r="AC209" s="368"/>
      <c r="AD209" s="368"/>
      <c r="AE209" s="368"/>
      <c r="AF209" s="368"/>
      <c r="AG209" s="368"/>
      <c r="AH209" s="368"/>
      <c r="AI209" s="368"/>
      <c r="AJ209" s="369"/>
      <c r="AK209" s="366"/>
      <c r="AL209" s="1297"/>
    </row>
    <row r="210" spans="1:38" ht="12" customHeight="1">
      <c r="A210" s="1297"/>
      <c r="B210" s="982"/>
      <c r="R210" s="366"/>
      <c r="S210" s="1297"/>
      <c r="T210" s="1297"/>
      <c r="U210" s="982"/>
      <c r="AK210" s="366"/>
      <c r="AL210" s="1297"/>
    </row>
    <row r="211" spans="1:38" ht="12" customHeight="1" thickBot="1">
      <c r="A211" s="1297"/>
      <c r="B211" s="742"/>
      <c r="C211" s="8439" t="str">
        <f>"Conjuros de nivel "&amp;B212&amp;"-"&amp;B256</f>
        <v>Conjuros de nivel 62-70</v>
      </c>
      <c r="D211" s="8439"/>
      <c r="E211" s="8439"/>
      <c r="F211" s="8439"/>
      <c r="G211" s="8439"/>
      <c r="H211" s="8439"/>
      <c r="I211" s="8439"/>
      <c r="J211" s="8439"/>
      <c r="K211" s="8439"/>
      <c r="L211" s="8439"/>
      <c r="M211" s="8439"/>
      <c r="N211" s="8439"/>
      <c r="O211" s="8439"/>
      <c r="P211" s="8439"/>
      <c r="Q211" s="8439"/>
      <c r="R211" s="740"/>
      <c r="S211" s="1297"/>
      <c r="T211" s="360"/>
      <c r="U211" s="742"/>
      <c r="V211" s="8439" t="str">
        <f>"Conjuros de nivel "&amp;U212&amp;"-"&amp;U256</f>
        <v>Conjuros de nivel 72-80</v>
      </c>
      <c r="W211" s="8439"/>
      <c r="X211" s="8439"/>
      <c r="Y211" s="8439"/>
      <c r="Z211" s="8439"/>
      <c r="AA211" s="8439"/>
      <c r="AB211" s="8439"/>
      <c r="AC211" s="8439"/>
      <c r="AD211" s="8439"/>
      <c r="AE211" s="8439"/>
      <c r="AF211" s="8439"/>
      <c r="AG211" s="8439"/>
      <c r="AH211" s="8439"/>
      <c r="AI211" s="8439"/>
      <c r="AJ211" s="8439"/>
      <c r="AK211" s="741"/>
      <c r="AL211" s="360"/>
    </row>
    <row r="212" spans="1:38" ht="12" customHeight="1">
      <c r="A212" s="360"/>
      <c r="B212" s="734">
        <f>B145+20</f>
        <v>62</v>
      </c>
      <c r="C212" s="8417" t="str">
        <f>IF(ISNA(VLOOKUP($J$6&amp;B212,'Tablas Magia'!$B$6:$D$779,3,FALSE)),IF(ISNA(VLOOKUP($J$8&amp;B212,'Tablas Magia'!$B$6:$D$779,3,FALSE)),IF(ISNA(VLOOKUP($J$6&amp;B212,Místicos!$AD$12:$AJ$50,4,FALSE)),"Libre Acceso 1-"&amp;MID(C$211,SEARCH("-",C$211)+1,3),VLOOKUP($J$6&amp;B212,Místicos!$AD$12:$AJ$50,4,FALSE)),VLOOKUP($J$8&amp;B212,'Tablas Magia'!$B$6:$D$779,3,FALSE)),VLOOKUP($J$6&amp;B212,'Tablas Magia'!$B$6:$D$779,3,FALSE))</f>
        <v>Libre Acceso 1-70</v>
      </c>
      <c r="D212" s="8418"/>
      <c r="E212" s="8418"/>
      <c r="F212" s="8418"/>
      <c r="G212" s="8419"/>
      <c r="H212" s="370" t="s">
        <v>1186</v>
      </c>
      <c r="I212" s="371">
        <f>B212</f>
        <v>62</v>
      </c>
      <c r="J212" s="8420" t="s">
        <v>5816</v>
      </c>
      <c r="K212" s="8420"/>
      <c r="L212" s="8420"/>
      <c r="M212" s="8378" t="e">
        <f>IF(C212=0,"",VLOOKUP(C212,'Tablas Magia'!$D$6:$Z$779,2,FALSE))</f>
        <v>#N/A</v>
      </c>
      <c r="N212" s="8378"/>
      <c r="O212" s="1525"/>
      <c r="P212" s="8415" t="str">
        <f>IFERROR(IF(M212="Libre Acceso","Aprendido",IF(IFERROR(VLOOKUP(M212,Místicos!$C$15:$H$25,6,0)&gt;=I212,FALSE),"Aprendido",IF(IFERROR(VLOOKUP(M212,Místicos!$E$15:$H$25,4,0)&gt;=I212,FALSE),"Aprendido",""))),"")</f>
        <v/>
      </c>
      <c r="Q212" s="8416"/>
      <c r="R212" s="366"/>
      <c r="S212" s="360"/>
      <c r="T212" s="360"/>
      <c r="U212" s="734">
        <f>B256+2</f>
        <v>72</v>
      </c>
      <c r="V212" s="8417" t="str">
        <f>IF(ISNA(VLOOKUP($J$6&amp;U212,'Tablas Magia'!$B$6:$D$779,3,FALSE)),IF(ISNA(VLOOKUP($J$8&amp;U212,'Tablas Magia'!$B$6:$D$779,3,FALSE)),IF(ISNA(VLOOKUP($J$6&amp;U212,Místicos!$AD$12:$AJ$50,4,FALSE)),"Libre Acceso 1-"&amp;MID(V$211,SEARCH("-",V$211)+1,3),VLOOKUP($J$6&amp;U212,Místicos!$AD$12:$AJ$50,4,FALSE)),VLOOKUP($J$8&amp;U212,'Tablas Magia'!$B$6:$D$779,3,FALSE)),VLOOKUP($J$6&amp;U212,'Tablas Magia'!$B$6:$D$779,3,FALSE))</f>
        <v>Libre Acceso 1-80</v>
      </c>
      <c r="W212" s="8418"/>
      <c r="X212" s="8418"/>
      <c r="Y212" s="8418"/>
      <c r="Z212" s="8419"/>
      <c r="AA212" s="370" t="s">
        <v>1186</v>
      </c>
      <c r="AB212" s="371">
        <f>U212</f>
        <v>72</v>
      </c>
      <c r="AC212" s="8420" t="s">
        <v>5816</v>
      </c>
      <c r="AD212" s="8420"/>
      <c r="AE212" s="8420"/>
      <c r="AF212" s="8378" t="e">
        <f>IF(V212=0,"",VLOOKUP(V212,'Tablas Magia'!$D$6:$Z$779,2,FALSE))</f>
        <v>#N/A</v>
      </c>
      <c r="AG212" s="8378"/>
      <c r="AH212" s="1525"/>
      <c r="AI212" s="8415" t="str">
        <f>IFERROR(IF(AF212="Libre Acceso","Aprendido",IF(IFERROR(VLOOKUP(AF212,Místicos!$C$15:$H$25,6,0)&gt;=AB212,FALSE),"Aprendido",IF(IFERROR(VLOOKUP(AF212,Místicos!$E$15:$H$25,4,0)&gt;=AB212,FALSE),"Aprendido",""))),"")</f>
        <v/>
      </c>
      <c r="AJ212" s="8416"/>
      <c r="AK212" s="366"/>
      <c r="AL212" s="360"/>
    </row>
    <row r="213" spans="1:38" ht="12" customHeight="1">
      <c r="A213" s="360"/>
      <c r="B213" s="734"/>
      <c r="C213" s="8399" t="s">
        <v>5817</v>
      </c>
      <c r="D213" s="8426"/>
      <c r="E213" s="2162" t="s">
        <v>5818</v>
      </c>
      <c r="F213" s="2162" t="s">
        <v>1368</v>
      </c>
      <c r="G213" s="2162" t="s">
        <v>2666</v>
      </c>
      <c r="H213" s="2163" t="s">
        <v>1690</v>
      </c>
      <c r="I213" s="8424" t="e">
        <f>IF(C212=0,"",VLOOKUP(C212,'Tablas Magia'!$D$6:$Z$779,5,FALSE))</f>
        <v>#N/A</v>
      </c>
      <c r="J213" s="8424"/>
      <c r="K213" s="8427" t="s">
        <v>5819</v>
      </c>
      <c r="L213" s="8427"/>
      <c r="M213" s="8424" t="e">
        <f>IF(C212=0,"",VLOOKUP(C212,'Tablas Magia'!$D$6:$Z$779,6,FALSE))</f>
        <v>#N/A</v>
      </c>
      <c r="N213" s="8424"/>
      <c r="O213" s="8425" t="s">
        <v>5820</v>
      </c>
      <c r="P213" s="8425"/>
      <c r="Q213" s="2164" t="e">
        <f>IF(C212=0,"",VLOOKUP(C212,'Tablas Magia'!$D$6:$Z$779,4,FALSE))</f>
        <v>#N/A</v>
      </c>
      <c r="R213" s="366"/>
      <c r="S213" s="360"/>
      <c r="T213" s="360"/>
      <c r="U213" s="734"/>
      <c r="V213" s="8399" t="s">
        <v>5817</v>
      </c>
      <c r="W213" s="8428"/>
      <c r="X213" s="1534" t="s">
        <v>5818</v>
      </c>
      <c r="Y213" s="1534" t="s">
        <v>1368</v>
      </c>
      <c r="Z213" s="1534" t="s">
        <v>2666</v>
      </c>
      <c r="AA213" s="1535" t="s">
        <v>1690</v>
      </c>
      <c r="AB213" s="8429" t="e">
        <f>IF(V212=0,"",VLOOKUP(V212,'Tablas Magia'!$D$6:$Z$779,5,FALSE))</f>
        <v>#N/A</v>
      </c>
      <c r="AC213" s="8429"/>
      <c r="AD213" s="8430" t="s">
        <v>5819</v>
      </c>
      <c r="AE213" s="8430"/>
      <c r="AF213" s="8429" t="e">
        <f>IF(V212=0,"",VLOOKUP(V212,'Tablas Magia'!$D$6:$Z$779,6,FALSE))</f>
        <v>#N/A</v>
      </c>
      <c r="AG213" s="8429"/>
      <c r="AH213" s="8431" t="s">
        <v>5820</v>
      </c>
      <c r="AI213" s="8431"/>
      <c r="AJ213" s="1536" t="e">
        <f>IF(V212=0,"",VLOOKUP(V212,'Tablas Magia'!$D$6:$Z$779,4,FALSE))</f>
        <v>#N/A</v>
      </c>
      <c r="AK213" s="366"/>
      <c r="AL213" s="360"/>
    </row>
    <row r="214" spans="1:38" ht="12" customHeight="1">
      <c r="A214" s="360"/>
      <c r="B214" s="734"/>
      <c r="C214" s="8391" t="s">
        <v>1225</v>
      </c>
      <c r="D214" s="8392"/>
      <c r="E214" s="375" t="e">
        <f>IF(C212=0,"",VLOOKUP(C212,'Tablas Magia'!$D$6:$Z$779,7,FALSE))</f>
        <v>#N/A</v>
      </c>
      <c r="F214" s="375" t="e">
        <f>IF(C212=0,"",VLOOKUP(C212,'Tablas Magia'!$D$6:$Z$779,11,FALSE))</f>
        <v>#N/A</v>
      </c>
      <c r="G214" s="376" t="e">
        <f>IF(C212=0,"",VLOOKUP(C212,'Tablas Magia'!$D$6:$Z$779,15,FALSE))</f>
        <v>#N/A</v>
      </c>
      <c r="H214" s="8393" t="e">
        <f>IF(C212=0,"",VLOOKUP(C212,'Tablas Magia'!$D$6:$Z$779,19,FALSE))</f>
        <v>#N/A</v>
      </c>
      <c r="I214" s="8394"/>
      <c r="J214" s="8394"/>
      <c r="K214" s="8394"/>
      <c r="L214" s="8394"/>
      <c r="M214" s="8394"/>
      <c r="N214" s="8394"/>
      <c r="O214" s="8394"/>
      <c r="P214" s="8394"/>
      <c r="Q214" s="8395"/>
      <c r="R214" s="366"/>
      <c r="S214" s="360"/>
      <c r="T214" s="360"/>
      <c r="U214" s="734"/>
      <c r="V214" s="8434" t="s">
        <v>1225</v>
      </c>
      <c r="W214" s="8435"/>
      <c r="X214" s="375" t="e">
        <f>IF(V212=0,"",VLOOKUP(V212,'Tablas Magia'!$D$6:$Z$779,7,FALSE))</f>
        <v>#N/A</v>
      </c>
      <c r="Y214" s="375" t="e">
        <f>IF(V212=0,"",VLOOKUP(V212,'Tablas Magia'!$D$6:$Z$779,11,FALSE))</f>
        <v>#N/A</v>
      </c>
      <c r="Z214" s="376" t="e">
        <f>IF(V212=0,"",VLOOKUP(V212,'Tablas Magia'!$D$6:$Z$779,15,FALSE))</f>
        <v>#N/A</v>
      </c>
      <c r="AA214" s="8421" t="e">
        <f>IF(V212=0,"",VLOOKUP(V212,'Tablas Magia'!$D$6:$Z$779,19,FALSE))</f>
        <v>#N/A</v>
      </c>
      <c r="AB214" s="8422"/>
      <c r="AC214" s="8422"/>
      <c r="AD214" s="8422"/>
      <c r="AE214" s="8422"/>
      <c r="AF214" s="8422"/>
      <c r="AG214" s="8422"/>
      <c r="AH214" s="8422"/>
      <c r="AI214" s="8422"/>
      <c r="AJ214" s="8423"/>
      <c r="AK214" s="366"/>
      <c r="AL214" s="360"/>
    </row>
    <row r="215" spans="1:38" ht="12" customHeight="1">
      <c r="A215" s="360"/>
      <c r="B215" s="734"/>
      <c r="C215" s="8386" t="s">
        <v>3035</v>
      </c>
      <c r="D215" s="8387"/>
      <c r="E215" s="377" t="e">
        <f>IF(C212=0,"",VLOOKUP(C212,'Tablas Magia'!$D$6:$Z$779,8,FALSE))</f>
        <v>#N/A</v>
      </c>
      <c r="F215" s="377" t="e">
        <f>IF(C212=0,"",VLOOKUP(C212,'Tablas Magia'!$D$6:$Z$779,12,FALSE))</f>
        <v>#N/A</v>
      </c>
      <c r="G215" s="378" t="e">
        <f>IF(C212=0,"",VLOOKUP(C212,'Tablas Magia'!$D$6:$Z$779,16,FALSE))</f>
        <v>#N/A</v>
      </c>
      <c r="H215" s="8388" t="e">
        <f>IF(C212=0,"",VLOOKUP(C212,'Tablas Magia'!$D$6:$Z$779,20,FALSE))</f>
        <v>#N/A</v>
      </c>
      <c r="I215" s="8389"/>
      <c r="J215" s="8389"/>
      <c r="K215" s="8389"/>
      <c r="L215" s="8389"/>
      <c r="M215" s="8389"/>
      <c r="N215" s="8389"/>
      <c r="O215" s="8389"/>
      <c r="P215" s="8389"/>
      <c r="Q215" s="8390"/>
      <c r="R215" s="366"/>
      <c r="S215" s="360"/>
      <c r="T215" s="360"/>
      <c r="U215" s="734"/>
      <c r="V215" s="8386" t="s">
        <v>3035</v>
      </c>
      <c r="W215" s="8387"/>
      <c r="X215" s="377" t="e">
        <f>IF(V212=0,"",VLOOKUP(V212,'Tablas Magia'!$D$6:$Z$779,8,FALSE))</f>
        <v>#N/A</v>
      </c>
      <c r="Y215" s="377" t="e">
        <f>IF(V212=0,"",VLOOKUP(V212,'Tablas Magia'!$D$6:$Z$779,12,FALSE))</f>
        <v>#N/A</v>
      </c>
      <c r="Z215" s="378" t="e">
        <f>IF(V212=0,"",VLOOKUP(V212,'Tablas Magia'!$D$6:$Z$779,16,FALSE))</f>
        <v>#N/A</v>
      </c>
      <c r="AA215" s="8388" t="e">
        <f>IF(V212=0,"",VLOOKUP(V212,'Tablas Magia'!$D$6:$Z$779,20,FALSE))</f>
        <v>#N/A</v>
      </c>
      <c r="AB215" s="8389"/>
      <c r="AC215" s="8389"/>
      <c r="AD215" s="8389"/>
      <c r="AE215" s="8389"/>
      <c r="AF215" s="8389"/>
      <c r="AG215" s="8389"/>
      <c r="AH215" s="8389"/>
      <c r="AI215" s="8389"/>
      <c r="AJ215" s="8390"/>
      <c r="AK215" s="366"/>
      <c r="AL215" s="360"/>
    </row>
    <row r="216" spans="1:38" ht="12" customHeight="1">
      <c r="A216" s="360"/>
      <c r="B216" s="734"/>
      <c r="C216" s="8391" t="s">
        <v>3036</v>
      </c>
      <c r="D216" s="8392"/>
      <c r="E216" s="375" t="e">
        <f>IF(C212=0,"",VLOOKUP(C212,'Tablas Magia'!$D$6:$Z$779,9,FALSE))</f>
        <v>#N/A</v>
      </c>
      <c r="F216" s="375" t="e">
        <f>IF(C212=0,"",VLOOKUP(C212,'Tablas Magia'!$D$6:$Z$779,13,FALSE))</f>
        <v>#N/A</v>
      </c>
      <c r="G216" s="376" t="e">
        <f>IF(C212=0,"",VLOOKUP(C212,'Tablas Magia'!$D$6:$Z$779,17,FALSE))</f>
        <v>#N/A</v>
      </c>
      <c r="H216" s="8393" t="e">
        <f>IF(C212=0,"",VLOOKUP(C212,'Tablas Magia'!$D$6:$Z$779,21,FALSE))</f>
        <v>#N/A</v>
      </c>
      <c r="I216" s="8394"/>
      <c r="J216" s="8394"/>
      <c r="K216" s="8394"/>
      <c r="L216" s="8394"/>
      <c r="M216" s="8394"/>
      <c r="N216" s="8394"/>
      <c r="O216" s="8394"/>
      <c r="P216" s="8394"/>
      <c r="Q216" s="8395"/>
      <c r="R216" s="366"/>
      <c r="S216" s="360"/>
      <c r="T216" s="360"/>
      <c r="U216" s="734"/>
      <c r="V216" s="8391" t="s">
        <v>3036</v>
      </c>
      <c r="W216" s="8392"/>
      <c r="X216" s="375" t="e">
        <f>IF(V212=0,"",VLOOKUP(V212,'Tablas Magia'!$D$6:$Z$779,9,FALSE))</f>
        <v>#N/A</v>
      </c>
      <c r="Y216" s="375" t="e">
        <f>IF(V212=0,"",VLOOKUP(V212,'Tablas Magia'!$D$6:$Z$779,13,FALSE))</f>
        <v>#N/A</v>
      </c>
      <c r="Z216" s="376" t="e">
        <f>IF(V212=0,"",VLOOKUP(V212,'Tablas Magia'!$D$6:$Z$779,17,FALSE))</f>
        <v>#N/A</v>
      </c>
      <c r="AA216" s="8393" t="e">
        <f>IF(V212=0,"",VLOOKUP(V212,'Tablas Magia'!$D$6:$Z$779,21,FALSE))</f>
        <v>#N/A</v>
      </c>
      <c r="AB216" s="8394"/>
      <c r="AC216" s="8394"/>
      <c r="AD216" s="8394"/>
      <c r="AE216" s="8394"/>
      <c r="AF216" s="8394"/>
      <c r="AG216" s="8394"/>
      <c r="AH216" s="8394"/>
      <c r="AI216" s="8394"/>
      <c r="AJ216" s="8395"/>
      <c r="AK216" s="366"/>
      <c r="AL216" s="360"/>
    </row>
    <row r="217" spans="1:38" ht="12" customHeight="1" thickBot="1">
      <c r="A217" s="360"/>
      <c r="B217" s="734"/>
      <c r="C217" s="8401" t="s">
        <v>3037</v>
      </c>
      <c r="D217" s="8402"/>
      <c r="E217" s="379" t="e">
        <f>IF(C212=0,"",VLOOKUP(C212,'Tablas Magia'!$D$6:$Z$779,10,FALSE))</f>
        <v>#N/A</v>
      </c>
      <c r="F217" s="379" t="e">
        <f>IF(C212=0,"",VLOOKUP(C212,'Tablas Magia'!$D$6:$Z$779,14,FALSE))</f>
        <v>#N/A</v>
      </c>
      <c r="G217" s="380" t="e">
        <f>IF(C212=0,"",VLOOKUP(C212,'Tablas Magia'!$D$6:$Z$779,18,FALSE))</f>
        <v>#N/A</v>
      </c>
      <c r="H217" s="8403" t="e">
        <f>IF(C212=0,"",VLOOKUP(C212,'Tablas Magia'!$D$6:$Z$779,22,FALSE))</f>
        <v>#N/A</v>
      </c>
      <c r="I217" s="8404"/>
      <c r="J217" s="8404"/>
      <c r="K217" s="8404"/>
      <c r="L217" s="8404"/>
      <c r="M217" s="8404"/>
      <c r="N217" s="8404"/>
      <c r="O217" s="8404"/>
      <c r="P217" s="8404"/>
      <c r="Q217" s="8405"/>
      <c r="R217" s="366"/>
      <c r="S217" s="360"/>
      <c r="T217" s="360"/>
      <c r="U217" s="734"/>
      <c r="V217" s="8401" t="s">
        <v>3037</v>
      </c>
      <c r="W217" s="8402"/>
      <c r="X217" s="379" t="e">
        <f>IF(V212=0,"",VLOOKUP(V212,'Tablas Magia'!$D$6:$Z$779,10,FALSE))</f>
        <v>#N/A</v>
      </c>
      <c r="Y217" s="379" t="e">
        <f>IF(V212=0,"",VLOOKUP(V212,'Tablas Magia'!$D$6:$Z$779,14,FALSE))</f>
        <v>#N/A</v>
      </c>
      <c r="Z217" s="380" t="e">
        <f>IF(V212=0,"",VLOOKUP(V212,'Tablas Magia'!$D$6:$Z$779,18,FALSE))</f>
        <v>#N/A</v>
      </c>
      <c r="AA217" s="8403" t="e">
        <f>IF(V212=0,"",VLOOKUP(V212,'Tablas Magia'!$D$6:$Z$779,22,FALSE))</f>
        <v>#N/A</v>
      </c>
      <c r="AB217" s="8404"/>
      <c r="AC217" s="8404"/>
      <c r="AD217" s="8404"/>
      <c r="AE217" s="8404"/>
      <c r="AF217" s="8404"/>
      <c r="AG217" s="8404"/>
      <c r="AH217" s="8404"/>
      <c r="AI217" s="8404"/>
      <c r="AJ217" s="8405"/>
      <c r="AK217" s="366"/>
      <c r="AL217" s="360"/>
    </row>
    <row r="218" spans="1:38" ht="12" customHeight="1">
      <c r="A218" s="360"/>
      <c r="B218" s="734"/>
      <c r="C218" s="8406" t="e">
        <f>IF(C212=0,"",VLOOKUP(C212,'Tablas Magia'!$D$6:$Z$779,23,FALSE))</f>
        <v>#N/A</v>
      </c>
      <c r="D218" s="8407"/>
      <c r="E218" s="8407"/>
      <c r="F218" s="8407"/>
      <c r="G218" s="8407"/>
      <c r="H218" s="8407"/>
      <c r="I218" s="8407"/>
      <c r="J218" s="8407"/>
      <c r="K218" s="8407"/>
      <c r="L218" s="8407"/>
      <c r="M218" s="8407"/>
      <c r="N218" s="8407"/>
      <c r="O218" s="8407"/>
      <c r="P218" s="8407"/>
      <c r="Q218" s="8408"/>
      <c r="R218" s="366"/>
      <c r="S218" s="360"/>
      <c r="T218" s="360"/>
      <c r="U218" s="734"/>
      <c r="V218" s="8406" t="e">
        <f>IF(V212=0,"",VLOOKUP(V212,'Tablas Magia'!$D$6:$Z$779,23,FALSE))</f>
        <v>#N/A</v>
      </c>
      <c r="W218" s="8407"/>
      <c r="X218" s="8407"/>
      <c r="Y218" s="8407"/>
      <c r="Z218" s="8407"/>
      <c r="AA218" s="8407"/>
      <c r="AB218" s="8407"/>
      <c r="AC218" s="8407"/>
      <c r="AD218" s="8407"/>
      <c r="AE218" s="8407"/>
      <c r="AF218" s="8407"/>
      <c r="AG218" s="8407"/>
      <c r="AH218" s="8407"/>
      <c r="AI218" s="8407"/>
      <c r="AJ218" s="8408"/>
      <c r="AK218" s="366"/>
      <c r="AL218" s="360"/>
    </row>
    <row r="219" spans="1:38" ht="12" customHeight="1">
      <c r="A219" s="360"/>
      <c r="B219" s="734"/>
      <c r="C219" s="8409"/>
      <c r="D219" s="8410"/>
      <c r="E219" s="8410"/>
      <c r="F219" s="8410"/>
      <c r="G219" s="8410"/>
      <c r="H219" s="8410"/>
      <c r="I219" s="8410"/>
      <c r="J219" s="8410"/>
      <c r="K219" s="8410"/>
      <c r="L219" s="8410"/>
      <c r="M219" s="8410"/>
      <c r="N219" s="8410"/>
      <c r="O219" s="8410"/>
      <c r="P219" s="8410"/>
      <c r="Q219" s="8411"/>
      <c r="R219" s="366"/>
      <c r="S219" s="360"/>
      <c r="T219" s="360"/>
      <c r="U219" s="734"/>
      <c r="V219" s="8409"/>
      <c r="W219" s="8410"/>
      <c r="X219" s="8410"/>
      <c r="Y219" s="8410"/>
      <c r="Z219" s="8410"/>
      <c r="AA219" s="8410"/>
      <c r="AB219" s="8410"/>
      <c r="AC219" s="8410"/>
      <c r="AD219" s="8410"/>
      <c r="AE219" s="8410"/>
      <c r="AF219" s="8410"/>
      <c r="AG219" s="8410"/>
      <c r="AH219" s="8410"/>
      <c r="AI219" s="8410"/>
      <c r="AJ219" s="8411"/>
      <c r="AK219" s="366"/>
      <c r="AL219" s="360"/>
    </row>
    <row r="220" spans="1:38" ht="12" customHeight="1">
      <c r="A220" s="360"/>
      <c r="B220" s="734"/>
      <c r="C220" s="8409"/>
      <c r="D220" s="8410"/>
      <c r="E220" s="8410"/>
      <c r="F220" s="8410"/>
      <c r="G220" s="8410"/>
      <c r="H220" s="8410"/>
      <c r="I220" s="8410"/>
      <c r="J220" s="8410"/>
      <c r="K220" s="8410"/>
      <c r="L220" s="8410"/>
      <c r="M220" s="8410"/>
      <c r="N220" s="8410"/>
      <c r="O220" s="8410"/>
      <c r="P220" s="8410"/>
      <c r="Q220" s="8411"/>
      <c r="R220" s="366"/>
      <c r="S220" s="360"/>
      <c r="T220" s="360"/>
      <c r="U220" s="734"/>
      <c r="V220" s="8409"/>
      <c r="W220" s="8410"/>
      <c r="X220" s="8410"/>
      <c r="Y220" s="8410"/>
      <c r="Z220" s="8410"/>
      <c r="AA220" s="8410"/>
      <c r="AB220" s="8410"/>
      <c r="AC220" s="8410"/>
      <c r="AD220" s="8410"/>
      <c r="AE220" s="8410"/>
      <c r="AF220" s="8410"/>
      <c r="AG220" s="8410"/>
      <c r="AH220" s="8410"/>
      <c r="AI220" s="8410"/>
      <c r="AJ220" s="8411"/>
      <c r="AK220" s="366"/>
      <c r="AL220" s="360"/>
    </row>
    <row r="221" spans="1:38" ht="12" customHeight="1" thickBot="1">
      <c r="A221" s="360"/>
      <c r="B221" s="734"/>
      <c r="C221" s="8412"/>
      <c r="D221" s="8413"/>
      <c r="E221" s="8413"/>
      <c r="F221" s="8413"/>
      <c r="G221" s="8413"/>
      <c r="H221" s="8413"/>
      <c r="I221" s="8413"/>
      <c r="J221" s="8413"/>
      <c r="K221" s="8413"/>
      <c r="L221" s="8413"/>
      <c r="M221" s="8413"/>
      <c r="N221" s="8413"/>
      <c r="O221" s="8413"/>
      <c r="P221" s="8413"/>
      <c r="Q221" s="8414"/>
      <c r="R221" s="366"/>
      <c r="S221" s="360"/>
      <c r="T221" s="360"/>
      <c r="U221" s="734"/>
      <c r="V221" s="8412"/>
      <c r="W221" s="8413"/>
      <c r="X221" s="8413"/>
      <c r="Y221" s="8413"/>
      <c r="Z221" s="8413"/>
      <c r="AA221" s="8413"/>
      <c r="AB221" s="8413"/>
      <c r="AC221" s="8413"/>
      <c r="AD221" s="8413"/>
      <c r="AE221" s="8413"/>
      <c r="AF221" s="8413"/>
      <c r="AG221" s="8413"/>
      <c r="AH221" s="8413"/>
      <c r="AI221" s="8413"/>
      <c r="AJ221" s="8414"/>
      <c r="AK221" s="366"/>
      <c r="AL221" s="360"/>
    </row>
    <row r="222" spans="1:38" ht="12" customHeight="1" thickBot="1">
      <c r="A222" s="360"/>
      <c r="B222" s="734"/>
      <c r="C222" s="743"/>
      <c r="D222" s="743"/>
      <c r="E222" s="743"/>
      <c r="F222" s="743"/>
      <c r="G222" s="743"/>
      <c r="H222" s="381"/>
      <c r="I222" s="382"/>
      <c r="J222" s="383"/>
      <c r="K222" s="383"/>
      <c r="L222" s="383"/>
      <c r="M222" s="329"/>
      <c r="N222" s="329"/>
      <c r="O222" s="329"/>
      <c r="P222" s="329"/>
      <c r="Q222" s="329"/>
      <c r="R222" s="366"/>
      <c r="S222" s="360"/>
      <c r="T222" s="360"/>
      <c r="U222" s="734"/>
      <c r="V222" s="383"/>
      <c r="W222" s="383"/>
      <c r="X222" s="384"/>
      <c r="Y222" s="384"/>
      <c r="Z222" s="384"/>
      <c r="AA222" s="383"/>
      <c r="AB222" s="329"/>
      <c r="AC222" s="329"/>
      <c r="AD222" s="383"/>
      <c r="AE222" s="383"/>
      <c r="AF222" s="329"/>
      <c r="AG222" s="329"/>
      <c r="AH222" s="385"/>
      <c r="AI222" s="385"/>
      <c r="AJ222" s="329"/>
      <c r="AK222" s="366"/>
      <c r="AL222" s="360"/>
    </row>
    <row r="223" spans="1:38" ht="12" customHeight="1">
      <c r="A223" s="360"/>
      <c r="B223" s="734">
        <f>B212+2</f>
        <v>64</v>
      </c>
      <c r="C223" s="8417" t="str">
        <f>IF(ISNA(VLOOKUP($J$6&amp;B223,'Tablas Magia'!$B$6:$D$779,3,FALSE)),IF(ISNA(VLOOKUP($J$8&amp;B223,'Tablas Magia'!$B$6:$D$779,3,FALSE)),IF(ISNA(VLOOKUP($J$6&amp;B223,Místicos!$AD$12:$AJ$50,4,FALSE)),"Libre Acceso 1-"&amp;MID(C$10,SEARCH("-",C$10)+1,3),VLOOKUP($J$6&amp;B223,Místicos!$AD$12:$AJ$50,4,FALSE)),VLOOKUP($J$8&amp;B223,'Tablas Magia'!$B$6:$D$779,3,FALSE)),VLOOKUP($J$6&amp;B223,'Tablas Magia'!$B$6:$D$779,3,FALSE))</f>
        <v>Libre Acceso 1-10</v>
      </c>
      <c r="D223" s="8418"/>
      <c r="E223" s="8418"/>
      <c r="F223" s="8418"/>
      <c r="G223" s="8419"/>
      <c r="H223" s="370" t="s">
        <v>1186</v>
      </c>
      <c r="I223" s="371">
        <f>B223</f>
        <v>64</v>
      </c>
      <c r="J223" s="8420" t="s">
        <v>5816</v>
      </c>
      <c r="K223" s="8420"/>
      <c r="L223" s="8420"/>
      <c r="M223" s="8378" t="e">
        <f>IF(C223=0,"",VLOOKUP(C223,'Tablas Magia'!$D$6:$Z$779,2,FALSE))</f>
        <v>#N/A</v>
      </c>
      <c r="N223" s="8378"/>
      <c r="O223" s="1525"/>
      <c r="P223" s="8415" t="str">
        <f>IFERROR(IF(M223="Libre Acceso","Aprendido",IF(IFERROR(VLOOKUP(M223,Místicos!$C$15:$H$25,6,0)&gt;=I223,FALSE),"Aprendido",IF(IFERROR(VLOOKUP(M223,Místicos!$E$15:$H$25,4,0)&gt;=I223,FALSE),"Aprendido",""))),"")</f>
        <v/>
      </c>
      <c r="Q223" s="8416"/>
      <c r="R223" s="366"/>
      <c r="S223" s="360"/>
      <c r="T223" s="360"/>
      <c r="U223" s="734">
        <f>U212+2</f>
        <v>74</v>
      </c>
      <c r="V223" s="8417" t="str">
        <f>IF(ISNA(VLOOKUP($J$6&amp;U223,'Tablas Magia'!$B$6:$D$779,3,FALSE)),IF(ISNA(VLOOKUP($J$8&amp;U223,'Tablas Magia'!$B$6:$D$779,3,FALSE)),IF(ISNA(VLOOKUP($J$6&amp;U223,Místicos!$AD$12:$AJ$50,4,FALSE)),"Libre Acceso 1-"&amp;MID(V$10,SEARCH("-",V$10)+1,3),VLOOKUP($J$6&amp;U223,Místicos!$AD$12:$AJ$50,4,FALSE)),VLOOKUP($J$8&amp;U223,'Tablas Magia'!$B$6:$D$779,3,FALSE)),VLOOKUP($J$6&amp;U223,'Tablas Magia'!$B$6:$D$779,3,FALSE))</f>
        <v>Libre Acceso 1-20</v>
      </c>
      <c r="W223" s="8418"/>
      <c r="X223" s="8418"/>
      <c r="Y223" s="8418"/>
      <c r="Z223" s="8419"/>
      <c r="AA223" s="370" t="s">
        <v>1186</v>
      </c>
      <c r="AB223" s="371">
        <f>U223</f>
        <v>74</v>
      </c>
      <c r="AC223" s="8420" t="s">
        <v>5816</v>
      </c>
      <c r="AD223" s="8420"/>
      <c r="AE223" s="8420"/>
      <c r="AF223" s="8378" t="e">
        <f>IF(V223=0,"",VLOOKUP(V223,'Tablas Magia'!$D$6:$Z$779,2,FALSE))</f>
        <v>#N/A</v>
      </c>
      <c r="AG223" s="8378"/>
      <c r="AH223" s="1525"/>
      <c r="AI223" s="8415" t="str">
        <f>IFERROR(IF(AF223="Libre Acceso","Aprendido",IF(IFERROR(VLOOKUP(AF223,Místicos!$C$15:$H$25,6,0)&gt;=AB223,FALSE),"Aprendido",IF(IFERROR(VLOOKUP(AF223,Místicos!$E$15:$H$25,4,0)&gt;=AB223,FALSE),"Aprendido",""))),"")</f>
        <v/>
      </c>
      <c r="AJ223" s="8416"/>
      <c r="AK223" s="366"/>
      <c r="AL223" s="360"/>
    </row>
    <row r="224" spans="1:38" ht="12" customHeight="1">
      <c r="A224" s="360"/>
      <c r="B224" s="734"/>
      <c r="C224" s="8399" t="s">
        <v>5817</v>
      </c>
      <c r="D224" s="8426"/>
      <c r="E224" s="2162" t="s">
        <v>5818</v>
      </c>
      <c r="F224" s="2162" t="s">
        <v>1368</v>
      </c>
      <c r="G224" s="2162" t="s">
        <v>2666</v>
      </c>
      <c r="H224" s="2163" t="s">
        <v>1690</v>
      </c>
      <c r="I224" s="8424" t="e">
        <f>IF(C223=0,"",VLOOKUP(C223,'Tablas Magia'!$D$6:$Z$779,5,FALSE))</f>
        <v>#N/A</v>
      </c>
      <c r="J224" s="8424"/>
      <c r="K224" s="8427" t="s">
        <v>5819</v>
      </c>
      <c r="L224" s="8427"/>
      <c r="M224" s="8424" t="e">
        <f>IF(C223=0,"",VLOOKUP(C223,'Tablas Magia'!$D$6:$Z$779,6,FALSE))</f>
        <v>#N/A</v>
      </c>
      <c r="N224" s="8424"/>
      <c r="O224" s="8425" t="s">
        <v>5820</v>
      </c>
      <c r="P224" s="8425"/>
      <c r="Q224" s="2164" t="e">
        <f>IF(C223=0,"",VLOOKUP(C223,'Tablas Magia'!$D$6:$Z$779,4,FALSE))</f>
        <v>#N/A</v>
      </c>
      <c r="R224" s="366"/>
      <c r="S224" s="360"/>
      <c r="T224" s="360"/>
      <c r="U224" s="734"/>
      <c r="V224" s="8399" t="s">
        <v>5817</v>
      </c>
      <c r="W224" s="8428"/>
      <c r="X224" s="1534" t="s">
        <v>5818</v>
      </c>
      <c r="Y224" s="1534" t="s">
        <v>1368</v>
      </c>
      <c r="Z224" s="1534" t="s">
        <v>2666</v>
      </c>
      <c r="AA224" s="1535" t="s">
        <v>1690</v>
      </c>
      <c r="AB224" s="8429" t="e">
        <f>IF(V223=0,"",VLOOKUP(V223,'Tablas Magia'!$D$6:$Z$779,5,FALSE))</f>
        <v>#N/A</v>
      </c>
      <c r="AC224" s="8429"/>
      <c r="AD224" s="8430" t="s">
        <v>5819</v>
      </c>
      <c r="AE224" s="8430"/>
      <c r="AF224" s="8429" t="e">
        <f>IF(V223=0,"",VLOOKUP(V223,'Tablas Magia'!$D$6:$Z$779,6,FALSE))</f>
        <v>#N/A</v>
      </c>
      <c r="AG224" s="8429"/>
      <c r="AH224" s="8431" t="s">
        <v>5820</v>
      </c>
      <c r="AI224" s="8431"/>
      <c r="AJ224" s="1536" t="e">
        <f>IF(V223=0,"",VLOOKUP(V223,'Tablas Magia'!$D$6:$Z$779,4,FALSE))</f>
        <v>#N/A</v>
      </c>
      <c r="AK224" s="366"/>
      <c r="AL224" s="360"/>
    </row>
    <row r="225" spans="1:38" ht="12" customHeight="1">
      <c r="A225" s="360"/>
      <c r="B225" s="734"/>
      <c r="C225" s="8434" t="s">
        <v>1225</v>
      </c>
      <c r="D225" s="8435"/>
      <c r="E225" s="375" t="e">
        <f>IF(C223=0,"",VLOOKUP(C223,'Tablas Magia'!$D$6:$Z$779,7,FALSE))</f>
        <v>#N/A</v>
      </c>
      <c r="F225" s="375" t="e">
        <f>IF(C223=0,"",VLOOKUP(C223,'Tablas Magia'!$D$6:$Z$779,11,FALSE))</f>
        <v>#N/A</v>
      </c>
      <c r="G225" s="376" t="e">
        <f>IF(C223=0,"",VLOOKUP(C223,'Tablas Magia'!$D$6:$Z$779,15,FALSE))</f>
        <v>#N/A</v>
      </c>
      <c r="H225" s="8421" t="e">
        <f>IF(C223=0,"",VLOOKUP(C223,'Tablas Magia'!$D$6:$Z$779,19,FALSE))</f>
        <v>#N/A</v>
      </c>
      <c r="I225" s="8422"/>
      <c r="J225" s="8422"/>
      <c r="K225" s="8422"/>
      <c r="L225" s="8422"/>
      <c r="M225" s="8422"/>
      <c r="N225" s="8422"/>
      <c r="O225" s="8422"/>
      <c r="P225" s="8422"/>
      <c r="Q225" s="8423"/>
      <c r="R225" s="366"/>
      <c r="S225" s="360"/>
      <c r="T225" s="360"/>
      <c r="U225" s="734"/>
      <c r="V225" s="8391" t="s">
        <v>1225</v>
      </c>
      <c r="W225" s="8392"/>
      <c r="X225" s="375" t="e">
        <f>IF(V223=0,"",VLOOKUP(V223,'Tablas Magia'!$D$6:$Z$779,7,FALSE))</f>
        <v>#N/A</v>
      </c>
      <c r="Y225" s="375" t="e">
        <f>IF(V223=0,"",VLOOKUP(V223,'Tablas Magia'!$D$6:$Z$779,11,FALSE))</f>
        <v>#N/A</v>
      </c>
      <c r="Z225" s="376" t="e">
        <f>IF(V223=0,"",VLOOKUP(V223,'Tablas Magia'!$D$6:$Z$779,15,FALSE))</f>
        <v>#N/A</v>
      </c>
      <c r="AA225" s="8393" t="e">
        <f>IF(V223=0,"",VLOOKUP(V223,'Tablas Magia'!$D$6:$Z$779,19,FALSE))</f>
        <v>#N/A</v>
      </c>
      <c r="AB225" s="8394"/>
      <c r="AC225" s="8394"/>
      <c r="AD225" s="8394"/>
      <c r="AE225" s="8394"/>
      <c r="AF225" s="8394"/>
      <c r="AG225" s="8394"/>
      <c r="AH225" s="8394"/>
      <c r="AI225" s="8394"/>
      <c r="AJ225" s="8395"/>
      <c r="AK225" s="366"/>
      <c r="AL225" s="360"/>
    </row>
    <row r="226" spans="1:38" ht="12" customHeight="1">
      <c r="A226" s="360"/>
      <c r="B226" s="734"/>
      <c r="C226" s="8386" t="s">
        <v>3035</v>
      </c>
      <c r="D226" s="8387"/>
      <c r="E226" s="377" t="e">
        <f>IF(C223=0,"",VLOOKUP(C223,'Tablas Magia'!$D$6:$Z$779,8,FALSE))</f>
        <v>#N/A</v>
      </c>
      <c r="F226" s="377" t="e">
        <f>IF(C223=0,"",VLOOKUP(C223,'Tablas Magia'!$D$6:$Z$779,12,FALSE))</f>
        <v>#N/A</v>
      </c>
      <c r="G226" s="378" t="e">
        <f>IF(C223=0,"",VLOOKUP(C223,'Tablas Magia'!$D$6:$Z$779,16,FALSE))</f>
        <v>#N/A</v>
      </c>
      <c r="H226" s="8388" t="e">
        <f>IF(C223=0,"",VLOOKUP(C223,'Tablas Magia'!$D$6:$Z$779,20,FALSE))</f>
        <v>#N/A</v>
      </c>
      <c r="I226" s="8389"/>
      <c r="J226" s="8389"/>
      <c r="K226" s="8389"/>
      <c r="L226" s="8389"/>
      <c r="M226" s="8389"/>
      <c r="N226" s="8389"/>
      <c r="O226" s="8389"/>
      <c r="P226" s="8389"/>
      <c r="Q226" s="8390"/>
      <c r="R226" s="366"/>
      <c r="S226" s="360"/>
      <c r="T226" s="360"/>
      <c r="U226" s="734"/>
      <c r="V226" s="8386" t="s">
        <v>3035</v>
      </c>
      <c r="W226" s="8387"/>
      <c r="X226" s="377" t="e">
        <f>IF(V223=0,"",VLOOKUP(V223,'Tablas Magia'!$D$6:$Z$779,8,FALSE))</f>
        <v>#N/A</v>
      </c>
      <c r="Y226" s="377" t="e">
        <f>IF(V223=0,"",VLOOKUP(V223,'Tablas Magia'!$D$6:$Z$779,12,FALSE))</f>
        <v>#N/A</v>
      </c>
      <c r="Z226" s="378" t="e">
        <f>IF(V223=0,"",VLOOKUP(V223,'Tablas Magia'!$D$6:$Z$779,16,FALSE))</f>
        <v>#N/A</v>
      </c>
      <c r="AA226" s="8388" t="e">
        <f>IF(V223=0,"",VLOOKUP(V223,'Tablas Magia'!$D$6:$Z$779,20,FALSE))</f>
        <v>#N/A</v>
      </c>
      <c r="AB226" s="8389"/>
      <c r="AC226" s="8389"/>
      <c r="AD226" s="8389"/>
      <c r="AE226" s="8389"/>
      <c r="AF226" s="8389"/>
      <c r="AG226" s="8389"/>
      <c r="AH226" s="8389"/>
      <c r="AI226" s="8389"/>
      <c r="AJ226" s="8390"/>
      <c r="AK226" s="366"/>
      <c r="AL226" s="360"/>
    </row>
    <row r="227" spans="1:38" ht="12" customHeight="1">
      <c r="A227" s="360"/>
      <c r="B227" s="734"/>
      <c r="C227" s="8391" t="s">
        <v>3036</v>
      </c>
      <c r="D227" s="8392"/>
      <c r="E227" s="375" t="e">
        <f>IF(C223=0,"",VLOOKUP(C223,'Tablas Magia'!$D$6:$Z$779,9,FALSE))</f>
        <v>#N/A</v>
      </c>
      <c r="F227" s="375" t="e">
        <f>IF(C223=0,"",VLOOKUP(C223,'Tablas Magia'!$D$6:$Z$779,13,FALSE))</f>
        <v>#N/A</v>
      </c>
      <c r="G227" s="376" t="e">
        <f>IF(C223=0,"",VLOOKUP(C223,'Tablas Magia'!$D$6:$Z$779,17,FALSE))</f>
        <v>#N/A</v>
      </c>
      <c r="H227" s="8393" t="e">
        <f>IF(C223=0,"",VLOOKUP(C223,'Tablas Magia'!$D$6:$Z$779,21,FALSE))</f>
        <v>#N/A</v>
      </c>
      <c r="I227" s="8394"/>
      <c r="J227" s="8394"/>
      <c r="K227" s="8394"/>
      <c r="L227" s="8394"/>
      <c r="M227" s="8394"/>
      <c r="N227" s="8394"/>
      <c r="O227" s="8394"/>
      <c r="P227" s="8394"/>
      <c r="Q227" s="8395"/>
      <c r="R227" s="366"/>
      <c r="S227" s="360"/>
      <c r="T227" s="360"/>
      <c r="U227" s="734"/>
      <c r="V227" s="8391" t="s">
        <v>3036</v>
      </c>
      <c r="W227" s="8392"/>
      <c r="X227" s="375" t="e">
        <f>IF(V223=0,"",VLOOKUP(V223,'Tablas Magia'!$D$6:$Z$779,9,FALSE))</f>
        <v>#N/A</v>
      </c>
      <c r="Y227" s="375" t="e">
        <f>IF(V223=0,"",VLOOKUP(V223,'Tablas Magia'!$D$6:$Z$779,13,FALSE))</f>
        <v>#N/A</v>
      </c>
      <c r="Z227" s="376" t="e">
        <f>IF(V223=0,"",VLOOKUP(V223,'Tablas Magia'!$D$6:$Z$779,17,FALSE))</f>
        <v>#N/A</v>
      </c>
      <c r="AA227" s="8393" t="e">
        <f>IF(V223=0,"",VLOOKUP(V223,'Tablas Magia'!$D$6:$Z$779,21,FALSE))</f>
        <v>#N/A</v>
      </c>
      <c r="AB227" s="8394"/>
      <c r="AC227" s="8394"/>
      <c r="AD227" s="8394"/>
      <c r="AE227" s="8394"/>
      <c r="AF227" s="8394"/>
      <c r="AG227" s="8394"/>
      <c r="AH227" s="8394"/>
      <c r="AI227" s="8394"/>
      <c r="AJ227" s="8395"/>
      <c r="AK227" s="366"/>
      <c r="AL227" s="360"/>
    </row>
    <row r="228" spans="1:38" ht="12" customHeight="1" thickBot="1">
      <c r="A228" s="360"/>
      <c r="B228" s="734"/>
      <c r="C228" s="8401" t="s">
        <v>3037</v>
      </c>
      <c r="D228" s="8402"/>
      <c r="E228" s="379" t="e">
        <f>IF(C223=0,"",VLOOKUP(C223,'Tablas Magia'!$D$6:$Z$779,10,FALSE))</f>
        <v>#N/A</v>
      </c>
      <c r="F228" s="379" t="e">
        <f>IF(C223=0,"",VLOOKUP(C223,'Tablas Magia'!$D$6:$Z$779,14,FALSE))</f>
        <v>#N/A</v>
      </c>
      <c r="G228" s="380" t="e">
        <f>IF(C223=0,"",VLOOKUP(C223,'Tablas Magia'!$D$6:$Z$779,18,FALSE))</f>
        <v>#N/A</v>
      </c>
      <c r="H228" s="8403" t="e">
        <f>IF(C223=0,"",VLOOKUP(C223,'Tablas Magia'!$D$6:$Z$779,22,FALSE))</f>
        <v>#N/A</v>
      </c>
      <c r="I228" s="8404"/>
      <c r="J228" s="8404"/>
      <c r="K228" s="8404"/>
      <c r="L228" s="8404"/>
      <c r="M228" s="8404"/>
      <c r="N228" s="8404"/>
      <c r="O228" s="8404"/>
      <c r="P228" s="8404"/>
      <c r="Q228" s="8405"/>
      <c r="R228" s="366"/>
      <c r="S228" s="360"/>
      <c r="T228" s="360"/>
      <c r="U228" s="734"/>
      <c r="V228" s="8401" t="s">
        <v>3037</v>
      </c>
      <c r="W228" s="8402"/>
      <c r="X228" s="379" t="e">
        <f>IF(V223=0,"",VLOOKUP(V223,'Tablas Magia'!$D$6:$Z$779,10,FALSE))</f>
        <v>#N/A</v>
      </c>
      <c r="Y228" s="379" t="e">
        <f>IF(V223=0,"",VLOOKUP(V223,'Tablas Magia'!$D$6:$Z$779,14,FALSE))</f>
        <v>#N/A</v>
      </c>
      <c r="Z228" s="380" t="e">
        <f>IF(V223=0,"",VLOOKUP(V223,'Tablas Magia'!$D$6:$Z$779,18,FALSE))</f>
        <v>#N/A</v>
      </c>
      <c r="AA228" s="8403" t="e">
        <f>IF(V223=0,"",VLOOKUP(V223,'Tablas Magia'!$D$6:$Z$779,22,FALSE))</f>
        <v>#N/A</v>
      </c>
      <c r="AB228" s="8404"/>
      <c r="AC228" s="8404"/>
      <c r="AD228" s="8404"/>
      <c r="AE228" s="8404"/>
      <c r="AF228" s="8404"/>
      <c r="AG228" s="8404"/>
      <c r="AH228" s="8404"/>
      <c r="AI228" s="8404"/>
      <c r="AJ228" s="8405"/>
      <c r="AK228" s="366"/>
      <c r="AL228" s="360"/>
    </row>
    <row r="229" spans="1:38" ht="12" customHeight="1">
      <c r="A229" s="360"/>
      <c r="B229" s="734"/>
      <c r="C229" s="8406" t="e">
        <f>IF(C223=0,"",VLOOKUP(C223,'Tablas Magia'!$D$6:$Z$779,23,FALSE))</f>
        <v>#N/A</v>
      </c>
      <c r="D229" s="8407"/>
      <c r="E229" s="8407"/>
      <c r="F229" s="8407"/>
      <c r="G229" s="8407"/>
      <c r="H229" s="8407"/>
      <c r="I229" s="8407"/>
      <c r="J229" s="8407"/>
      <c r="K229" s="8407"/>
      <c r="L229" s="8407"/>
      <c r="M229" s="8407"/>
      <c r="N229" s="8407"/>
      <c r="O229" s="8407"/>
      <c r="P229" s="8407"/>
      <c r="Q229" s="8408"/>
      <c r="R229" s="366"/>
      <c r="S229" s="360"/>
      <c r="T229" s="360"/>
      <c r="U229" s="734"/>
      <c r="V229" s="8406" t="e">
        <f>IF(V223=0,"",VLOOKUP(V223,'Tablas Magia'!$D$6:$Z$779,23,FALSE))</f>
        <v>#N/A</v>
      </c>
      <c r="W229" s="8407"/>
      <c r="X229" s="8407"/>
      <c r="Y229" s="8407"/>
      <c r="Z229" s="8407"/>
      <c r="AA229" s="8407"/>
      <c r="AB229" s="8407"/>
      <c r="AC229" s="8407"/>
      <c r="AD229" s="8407"/>
      <c r="AE229" s="8407"/>
      <c r="AF229" s="8407"/>
      <c r="AG229" s="8407"/>
      <c r="AH229" s="8407"/>
      <c r="AI229" s="8407"/>
      <c r="AJ229" s="8408"/>
      <c r="AK229" s="366"/>
      <c r="AL229" s="360"/>
    </row>
    <row r="230" spans="1:38" ht="12" customHeight="1">
      <c r="A230" s="360"/>
      <c r="B230" s="734"/>
      <c r="C230" s="8409"/>
      <c r="D230" s="8410"/>
      <c r="E230" s="8410"/>
      <c r="F230" s="8410"/>
      <c r="G230" s="8410"/>
      <c r="H230" s="8410"/>
      <c r="I230" s="8410"/>
      <c r="J230" s="8410"/>
      <c r="K230" s="8410"/>
      <c r="L230" s="8410"/>
      <c r="M230" s="8410"/>
      <c r="N230" s="8410"/>
      <c r="O230" s="8410"/>
      <c r="P230" s="8410"/>
      <c r="Q230" s="8411"/>
      <c r="R230" s="366"/>
      <c r="S230" s="360"/>
      <c r="T230" s="360"/>
      <c r="U230" s="734"/>
      <c r="V230" s="8409"/>
      <c r="W230" s="8410"/>
      <c r="X230" s="8410"/>
      <c r="Y230" s="8410"/>
      <c r="Z230" s="8410"/>
      <c r="AA230" s="8410"/>
      <c r="AB230" s="8410"/>
      <c r="AC230" s="8410"/>
      <c r="AD230" s="8410"/>
      <c r="AE230" s="8410"/>
      <c r="AF230" s="8410"/>
      <c r="AG230" s="8410"/>
      <c r="AH230" s="8410"/>
      <c r="AI230" s="8410"/>
      <c r="AJ230" s="8411"/>
      <c r="AK230" s="366"/>
      <c r="AL230" s="360"/>
    </row>
    <row r="231" spans="1:38" ht="12" customHeight="1">
      <c r="A231" s="360"/>
      <c r="B231" s="734"/>
      <c r="C231" s="8409"/>
      <c r="D231" s="8410"/>
      <c r="E231" s="8410"/>
      <c r="F231" s="8410"/>
      <c r="G231" s="8410"/>
      <c r="H231" s="8410"/>
      <c r="I231" s="8410"/>
      <c r="J231" s="8410"/>
      <c r="K231" s="8410"/>
      <c r="L231" s="8410"/>
      <c r="M231" s="8410"/>
      <c r="N231" s="8410"/>
      <c r="O231" s="8410"/>
      <c r="P231" s="8410"/>
      <c r="Q231" s="8411"/>
      <c r="R231" s="366"/>
      <c r="S231" s="360"/>
      <c r="T231" s="360"/>
      <c r="U231" s="734"/>
      <c r="V231" s="8409"/>
      <c r="W231" s="8410"/>
      <c r="X231" s="8410"/>
      <c r="Y231" s="8410"/>
      <c r="Z231" s="8410"/>
      <c r="AA231" s="8410"/>
      <c r="AB231" s="8410"/>
      <c r="AC231" s="8410"/>
      <c r="AD231" s="8410"/>
      <c r="AE231" s="8410"/>
      <c r="AF231" s="8410"/>
      <c r="AG231" s="8410"/>
      <c r="AH231" s="8410"/>
      <c r="AI231" s="8410"/>
      <c r="AJ231" s="8411"/>
      <c r="AK231" s="366"/>
      <c r="AL231" s="360"/>
    </row>
    <row r="232" spans="1:38" ht="12" customHeight="1" thickBot="1">
      <c r="A232" s="360"/>
      <c r="B232" s="734"/>
      <c r="C232" s="8412"/>
      <c r="D232" s="8413"/>
      <c r="E232" s="8413"/>
      <c r="F232" s="8413"/>
      <c r="G232" s="8413"/>
      <c r="H232" s="8413"/>
      <c r="I232" s="8413"/>
      <c r="J232" s="8413"/>
      <c r="K232" s="8413"/>
      <c r="L232" s="8413"/>
      <c r="M232" s="8413"/>
      <c r="N232" s="8413"/>
      <c r="O232" s="8413"/>
      <c r="P232" s="8413"/>
      <c r="Q232" s="8414"/>
      <c r="R232" s="366"/>
      <c r="S232" s="360"/>
      <c r="T232" s="360"/>
      <c r="U232" s="734"/>
      <c r="V232" s="8412"/>
      <c r="W232" s="8413"/>
      <c r="X232" s="8413"/>
      <c r="Y232" s="8413"/>
      <c r="Z232" s="8413"/>
      <c r="AA232" s="8413"/>
      <c r="AB232" s="8413"/>
      <c r="AC232" s="8413"/>
      <c r="AD232" s="8413"/>
      <c r="AE232" s="8413"/>
      <c r="AF232" s="8413"/>
      <c r="AG232" s="8413"/>
      <c r="AH232" s="8413"/>
      <c r="AI232" s="8413"/>
      <c r="AJ232" s="8414"/>
      <c r="AK232" s="366"/>
      <c r="AL232" s="360"/>
    </row>
    <row r="233" spans="1:38" ht="12" customHeight="1" thickBot="1">
      <c r="A233" s="360"/>
      <c r="B233" s="734"/>
      <c r="C233" s="383"/>
      <c r="D233" s="383"/>
      <c r="E233" s="384"/>
      <c r="F233" s="384"/>
      <c r="G233" s="384"/>
      <c r="H233" s="383"/>
      <c r="I233" s="329"/>
      <c r="J233" s="329"/>
      <c r="K233" s="383"/>
      <c r="L233" s="383"/>
      <c r="M233" s="329"/>
      <c r="N233" s="329"/>
      <c r="O233" s="385"/>
      <c r="P233" s="385"/>
      <c r="Q233" s="329"/>
      <c r="R233" s="366"/>
      <c r="S233" s="360"/>
      <c r="T233" s="360"/>
      <c r="U233" s="734"/>
      <c r="V233" s="386"/>
      <c r="W233" s="386"/>
      <c r="X233" s="387"/>
      <c r="Y233" s="387"/>
      <c r="Z233" s="387"/>
      <c r="AA233" s="387"/>
      <c r="AB233" s="387"/>
      <c r="AC233" s="387"/>
      <c r="AD233" s="387"/>
      <c r="AE233" s="387"/>
      <c r="AF233" s="387"/>
      <c r="AG233" s="387"/>
      <c r="AH233" s="387"/>
      <c r="AI233" s="387"/>
      <c r="AJ233" s="387"/>
      <c r="AK233" s="366"/>
      <c r="AL233" s="360"/>
    </row>
    <row r="234" spans="1:38" ht="12" customHeight="1">
      <c r="A234" s="360"/>
      <c r="B234" s="734">
        <f>B223+2</f>
        <v>66</v>
      </c>
      <c r="C234" s="8417" t="str">
        <f>IF(ISNA(VLOOKUP($J$6&amp;B234,'Tablas Magia'!$B$6:$D$779,3,FALSE)),IF(ISNA(VLOOKUP($J$8&amp;B234,'Tablas Magia'!$B$6:$D$779,3,FALSE)),IF(ISNA(VLOOKUP($J$6&amp;B234,Místicos!$AD$12:$AJ$50,4,FALSE)),"Libre Acceso 1-"&amp;MID(C$211,SEARCH("-",C$211)+1,3),VLOOKUP($J$6&amp;B234,Místicos!$AD$12:$AJ$50,4,FALSE)),VLOOKUP($J$8&amp;B234,'Tablas Magia'!$B$6:$D$779,3,FALSE)),VLOOKUP($J$6&amp;B234,'Tablas Magia'!$B$6:$D$779,3,FALSE))</f>
        <v>Libre Acceso 1-70</v>
      </c>
      <c r="D234" s="8418"/>
      <c r="E234" s="8418"/>
      <c r="F234" s="8418"/>
      <c r="G234" s="8419"/>
      <c r="H234" s="370" t="s">
        <v>1186</v>
      </c>
      <c r="I234" s="371">
        <f>B234</f>
        <v>66</v>
      </c>
      <c r="J234" s="8420" t="s">
        <v>5816</v>
      </c>
      <c r="K234" s="8420"/>
      <c r="L234" s="8420"/>
      <c r="M234" s="8378" t="e">
        <f>IF(C234=0,"",VLOOKUP(C234,'Tablas Magia'!$D$6:$Z$779,2,FALSE))</f>
        <v>#N/A</v>
      </c>
      <c r="N234" s="8378"/>
      <c r="O234" s="1525"/>
      <c r="P234" s="8415" t="str">
        <f>IFERROR(IF(M234="Libre Acceso","Aprendido",IF(IFERROR(VLOOKUP(M234,Místicos!$C$15:$H$25,6,0)&gt;=I234,FALSE),"Aprendido",IF(IFERROR(VLOOKUP(M234,Místicos!$E$15:$H$25,4,0)&gt;=I234,FALSE),"Aprendido",""))),"")</f>
        <v/>
      </c>
      <c r="Q234" s="8416"/>
      <c r="R234" s="366"/>
      <c r="S234" s="360"/>
      <c r="T234" s="360"/>
      <c r="U234" s="734">
        <f>U223+2</f>
        <v>76</v>
      </c>
      <c r="V234" s="8417" t="str">
        <f>IF(ISNA(VLOOKUP($J$6&amp;U234,'Tablas Magia'!$B$6:$D$779,3,FALSE)),IF(ISNA(VLOOKUP($J$8&amp;U234,'Tablas Magia'!$B$6:$D$779,3,FALSE)),IF(ISNA(VLOOKUP($J$6&amp;U234,Místicos!$AD$12:$AJ$50,4,FALSE)),"Libre Acceso 1-"&amp;MID(V$211,SEARCH("-",V$211)+1,3),VLOOKUP($J$6&amp;U234,Místicos!$AD$12:$AJ$50,4,FALSE)),VLOOKUP($J$8&amp;U234,'Tablas Magia'!$B$6:$D$779,3,FALSE)),VLOOKUP($J$6&amp;U234,'Tablas Magia'!$B$6:$D$779,3,FALSE))</f>
        <v>Libre Acceso 1-80</v>
      </c>
      <c r="W234" s="8418"/>
      <c r="X234" s="8418"/>
      <c r="Y234" s="8418"/>
      <c r="Z234" s="8418"/>
      <c r="AA234" s="370" t="s">
        <v>1186</v>
      </c>
      <c r="AB234" s="371">
        <f>U234</f>
        <v>76</v>
      </c>
      <c r="AC234" s="8420" t="s">
        <v>5816</v>
      </c>
      <c r="AD234" s="8420"/>
      <c r="AE234" s="8420"/>
      <c r="AF234" s="8378" t="e">
        <f>IF(V234=0,"",VLOOKUP(V234,'Tablas Magia'!$D$6:$Z$779,2,FALSE))</f>
        <v>#N/A</v>
      </c>
      <c r="AG234" s="8378"/>
      <c r="AH234" s="1525"/>
      <c r="AI234" s="8415" t="str">
        <f>IFERROR(IF(AF234="Libre Acceso","Aprendido",IF(IFERROR(VLOOKUP(AF234,Místicos!$C$15:$H$25,6,0)&gt;=AB234,FALSE),"Aprendido",IF(IFERROR(VLOOKUP(AF234,Místicos!$E$15:$H$25,4,0)&gt;=AB234,FALSE),"Aprendido",""))),"")</f>
        <v/>
      </c>
      <c r="AJ234" s="8416"/>
      <c r="AK234" s="366"/>
      <c r="AL234" s="360"/>
    </row>
    <row r="235" spans="1:38" ht="12" customHeight="1">
      <c r="A235" s="360"/>
      <c r="B235" s="734"/>
      <c r="C235" s="8399" t="s">
        <v>5817</v>
      </c>
      <c r="D235" s="8426"/>
      <c r="E235" s="2162" t="s">
        <v>5818</v>
      </c>
      <c r="F235" s="2162" t="s">
        <v>1368</v>
      </c>
      <c r="G235" s="2162" t="s">
        <v>2666</v>
      </c>
      <c r="H235" s="2163" t="s">
        <v>1690</v>
      </c>
      <c r="I235" s="8424" t="e">
        <f>IF(C234=0,"",VLOOKUP(C234,'Tablas Magia'!$D$6:$Z$779,5,FALSE))</f>
        <v>#N/A</v>
      </c>
      <c r="J235" s="8424"/>
      <c r="K235" s="8427" t="s">
        <v>5819</v>
      </c>
      <c r="L235" s="8427"/>
      <c r="M235" s="8424" t="e">
        <f>IF(C234=0,"",VLOOKUP(C234,'Tablas Magia'!$D$6:$Z$779,6,FALSE))</f>
        <v>#N/A</v>
      </c>
      <c r="N235" s="8424"/>
      <c r="O235" s="8425" t="s">
        <v>5820</v>
      </c>
      <c r="P235" s="8425"/>
      <c r="Q235" s="2164" t="e">
        <f>IF(C234=0,"",VLOOKUP(C234,'Tablas Magia'!$D$6:$Z$779,4,FALSE))</f>
        <v>#N/A</v>
      </c>
      <c r="R235" s="366"/>
      <c r="S235" s="360"/>
      <c r="T235" s="360"/>
      <c r="U235" s="734"/>
      <c r="V235" s="8399" t="s">
        <v>5817</v>
      </c>
      <c r="W235" s="8428"/>
      <c r="X235" s="1534" t="s">
        <v>5818</v>
      </c>
      <c r="Y235" s="1534" t="s">
        <v>1368</v>
      </c>
      <c r="Z235" s="1534" t="s">
        <v>2666</v>
      </c>
      <c r="AA235" s="1535" t="s">
        <v>1690</v>
      </c>
      <c r="AB235" s="8429" t="e">
        <f>IF(V234=0,"",VLOOKUP(V234,'Tablas Magia'!$D$6:$Z$779,5,FALSE))</f>
        <v>#N/A</v>
      </c>
      <c r="AC235" s="8429"/>
      <c r="AD235" s="8430" t="s">
        <v>5819</v>
      </c>
      <c r="AE235" s="8430"/>
      <c r="AF235" s="8429" t="e">
        <f>IF(V234=0,"",VLOOKUP(V234,'Tablas Magia'!$D$6:$Z$779,6,FALSE))</f>
        <v>#N/A</v>
      </c>
      <c r="AG235" s="8429"/>
      <c r="AH235" s="8431" t="s">
        <v>5820</v>
      </c>
      <c r="AI235" s="8431"/>
      <c r="AJ235" s="1536" t="e">
        <f>IF(V234=0,"",VLOOKUP(V234,'Tablas Magia'!$D$6:$Z$779,4,FALSE))</f>
        <v>#N/A</v>
      </c>
      <c r="AK235" s="366"/>
      <c r="AL235" s="360"/>
    </row>
    <row r="236" spans="1:38" ht="12" customHeight="1">
      <c r="A236" s="360"/>
      <c r="B236" s="734"/>
      <c r="C236" s="8434" t="s">
        <v>1225</v>
      </c>
      <c r="D236" s="8435"/>
      <c r="E236" s="375" t="e">
        <f>IF(C234=0,"",VLOOKUP(C234,'Tablas Magia'!$D$6:$Z$779,7,FALSE))</f>
        <v>#N/A</v>
      </c>
      <c r="F236" s="375" t="e">
        <f>IF(C234=0,"",VLOOKUP(C234,'Tablas Magia'!$D$6:$Z$779,11,FALSE))</f>
        <v>#N/A</v>
      </c>
      <c r="G236" s="376" t="e">
        <f>IF(C234=0,"",VLOOKUP(C234,'Tablas Magia'!$D$6:$Z$779,15,FALSE))</f>
        <v>#N/A</v>
      </c>
      <c r="H236" s="8421" t="e">
        <f>IF(C234=0,"",VLOOKUP(C234,'Tablas Magia'!$D$6:$Z$779,19,FALSE))</f>
        <v>#N/A</v>
      </c>
      <c r="I236" s="8422"/>
      <c r="J236" s="8422"/>
      <c r="K236" s="8422"/>
      <c r="L236" s="8422"/>
      <c r="M236" s="8422"/>
      <c r="N236" s="8422"/>
      <c r="O236" s="8422"/>
      <c r="P236" s="8422"/>
      <c r="Q236" s="8423"/>
      <c r="R236" s="366"/>
      <c r="S236" s="360"/>
      <c r="T236" s="360"/>
      <c r="U236" s="734"/>
      <c r="V236" s="8391" t="s">
        <v>1225</v>
      </c>
      <c r="W236" s="8392"/>
      <c r="X236" s="375" t="e">
        <f>IF(V234=0,"",VLOOKUP(V234,'Tablas Magia'!$D$6:$Z$779,7,FALSE))</f>
        <v>#N/A</v>
      </c>
      <c r="Y236" s="375" t="e">
        <f>IF(V234=0,"",VLOOKUP(V234,'Tablas Magia'!$D$6:$Z$779,11,FALSE))</f>
        <v>#N/A</v>
      </c>
      <c r="Z236" s="376" t="e">
        <f>IF(V234=0,"",VLOOKUP(V234,'Tablas Magia'!$D$6:$Z$779,15,FALSE))</f>
        <v>#N/A</v>
      </c>
      <c r="AA236" s="8393" t="e">
        <f>IF(V234=0,"",VLOOKUP(V234,'Tablas Magia'!$D$6:$Z$779,19,FALSE))</f>
        <v>#N/A</v>
      </c>
      <c r="AB236" s="8394"/>
      <c r="AC236" s="8394"/>
      <c r="AD236" s="8394"/>
      <c r="AE236" s="8394"/>
      <c r="AF236" s="8394"/>
      <c r="AG236" s="8394"/>
      <c r="AH236" s="8394"/>
      <c r="AI236" s="8394"/>
      <c r="AJ236" s="8395"/>
      <c r="AK236" s="366"/>
      <c r="AL236" s="360"/>
    </row>
    <row r="237" spans="1:38" ht="12" customHeight="1">
      <c r="A237" s="360"/>
      <c r="B237" s="734"/>
      <c r="C237" s="8386" t="s">
        <v>3035</v>
      </c>
      <c r="D237" s="8387"/>
      <c r="E237" s="377" t="e">
        <f>IF(C234=0,"",VLOOKUP(C234,'Tablas Magia'!$D$6:$Z$779,8,FALSE))</f>
        <v>#N/A</v>
      </c>
      <c r="F237" s="377" t="e">
        <f>IF(C234=0,"",VLOOKUP(C234,'Tablas Magia'!$D$6:$Z$779,12,FALSE))</f>
        <v>#N/A</v>
      </c>
      <c r="G237" s="378" t="e">
        <f>IF(C234=0,"",VLOOKUP(C234,'Tablas Magia'!$D$6:$Z$779,16,FALSE))</f>
        <v>#N/A</v>
      </c>
      <c r="H237" s="8388" t="e">
        <f>IF(C234=0,"",VLOOKUP(C234,'Tablas Magia'!$D$6:$Z$779,20,FALSE))</f>
        <v>#N/A</v>
      </c>
      <c r="I237" s="8389"/>
      <c r="J237" s="8389"/>
      <c r="K237" s="8389"/>
      <c r="L237" s="8389"/>
      <c r="M237" s="8389"/>
      <c r="N237" s="8389"/>
      <c r="O237" s="8389"/>
      <c r="P237" s="8389"/>
      <c r="Q237" s="8390"/>
      <c r="R237" s="366"/>
      <c r="S237" s="360"/>
      <c r="T237" s="360"/>
      <c r="U237" s="734"/>
      <c r="V237" s="8386" t="s">
        <v>3035</v>
      </c>
      <c r="W237" s="8387"/>
      <c r="X237" s="377" t="e">
        <f>IF(V234=0,"",VLOOKUP(V234,'Tablas Magia'!$D$6:$Z$779,8,FALSE))</f>
        <v>#N/A</v>
      </c>
      <c r="Y237" s="377" t="e">
        <f>IF(V234=0,"",VLOOKUP(V234,'Tablas Magia'!$D$6:$Z$779,12,FALSE))</f>
        <v>#N/A</v>
      </c>
      <c r="Z237" s="378" t="e">
        <f>IF(V234=0,"",VLOOKUP(V234,'Tablas Magia'!$D$6:$Z$779,16,FALSE))</f>
        <v>#N/A</v>
      </c>
      <c r="AA237" s="8388" t="e">
        <f>IF(V234=0,"",VLOOKUP(V234,'Tablas Magia'!$D$6:$Z$779,20,FALSE))</f>
        <v>#N/A</v>
      </c>
      <c r="AB237" s="8389"/>
      <c r="AC237" s="8389"/>
      <c r="AD237" s="8389"/>
      <c r="AE237" s="8389"/>
      <c r="AF237" s="8389"/>
      <c r="AG237" s="8389"/>
      <c r="AH237" s="8389"/>
      <c r="AI237" s="8389"/>
      <c r="AJ237" s="8390"/>
      <c r="AK237" s="366"/>
      <c r="AL237" s="360"/>
    </row>
    <row r="238" spans="1:38" ht="12" customHeight="1">
      <c r="A238" s="360"/>
      <c r="B238" s="734"/>
      <c r="C238" s="8391" t="s">
        <v>3036</v>
      </c>
      <c r="D238" s="8392"/>
      <c r="E238" s="375" t="e">
        <f>IF(C234=0,"",VLOOKUP(C234,'Tablas Magia'!$D$6:$Z$779,9,FALSE))</f>
        <v>#N/A</v>
      </c>
      <c r="F238" s="375" t="e">
        <f>IF(C234=0,"",VLOOKUP(C234,'Tablas Magia'!$D$6:$Z$779,13,FALSE))</f>
        <v>#N/A</v>
      </c>
      <c r="G238" s="376" t="e">
        <f>IF(C234=0,"",VLOOKUP(C234,'Tablas Magia'!$D$6:$Z$779,17,FALSE))</f>
        <v>#N/A</v>
      </c>
      <c r="H238" s="8393" t="e">
        <f>IF(C234=0,"",VLOOKUP(C234,'Tablas Magia'!$D$6:$Z$779,21,FALSE))</f>
        <v>#N/A</v>
      </c>
      <c r="I238" s="8394"/>
      <c r="J238" s="8394"/>
      <c r="K238" s="8394"/>
      <c r="L238" s="8394"/>
      <c r="M238" s="8394"/>
      <c r="N238" s="8394"/>
      <c r="O238" s="8394"/>
      <c r="P238" s="8394"/>
      <c r="Q238" s="8395"/>
      <c r="R238" s="366"/>
      <c r="S238" s="360"/>
      <c r="T238" s="360"/>
      <c r="U238" s="734"/>
      <c r="V238" s="8391" t="s">
        <v>3036</v>
      </c>
      <c r="W238" s="8392"/>
      <c r="X238" s="375" t="e">
        <f>IF(V234=0,"",VLOOKUP(V234,'Tablas Magia'!$D$6:$Z$779,9,FALSE))</f>
        <v>#N/A</v>
      </c>
      <c r="Y238" s="375" t="e">
        <f>IF(V234=0,"",VLOOKUP(V234,'Tablas Magia'!$D$6:$Z$779,13,FALSE))</f>
        <v>#N/A</v>
      </c>
      <c r="Z238" s="376" t="e">
        <f>IF(V234=0,"",VLOOKUP(V234,'Tablas Magia'!$D$6:$Z$779,17,FALSE))</f>
        <v>#N/A</v>
      </c>
      <c r="AA238" s="8393" t="e">
        <f>IF(V234=0,"",VLOOKUP(V234,'Tablas Magia'!$D$6:$Z$779,21,FALSE))</f>
        <v>#N/A</v>
      </c>
      <c r="AB238" s="8394"/>
      <c r="AC238" s="8394"/>
      <c r="AD238" s="8394"/>
      <c r="AE238" s="8394"/>
      <c r="AF238" s="8394"/>
      <c r="AG238" s="8394"/>
      <c r="AH238" s="8394"/>
      <c r="AI238" s="8394"/>
      <c r="AJ238" s="8395"/>
      <c r="AK238" s="366"/>
      <c r="AL238" s="360"/>
    </row>
    <row r="239" spans="1:38" ht="12" customHeight="1" thickBot="1">
      <c r="A239" s="360"/>
      <c r="B239" s="734"/>
      <c r="C239" s="8401" t="s">
        <v>3037</v>
      </c>
      <c r="D239" s="8402"/>
      <c r="E239" s="379" t="e">
        <f>IF(C234=0,"",VLOOKUP(C234,'Tablas Magia'!$D$6:$Z$779,10,FALSE))</f>
        <v>#N/A</v>
      </c>
      <c r="F239" s="379" t="e">
        <f>IF(C234=0,"",VLOOKUP(C234,'Tablas Magia'!$D$6:$Z$779,14,FALSE))</f>
        <v>#N/A</v>
      </c>
      <c r="G239" s="380" t="e">
        <f>IF(C234=0,"",VLOOKUP(C234,'Tablas Magia'!$D$6:$Z$779,18,FALSE))</f>
        <v>#N/A</v>
      </c>
      <c r="H239" s="8403" t="e">
        <f>IF(C234=0,"",VLOOKUP(C234,'Tablas Magia'!$D$6:$Z$779,22,FALSE))</f>
        <v>#N/A</v>
      </c>
      <c r="I239" s="8404"/>
      <c r="J239" s="8404"/>
      <c r="K239" s="8404"/>
      <c r="L239" s="8404"/>
      <c r="M239" s="8404"/>
      <c r="N239" s="8404"/>
      <c r="O239" s="8404"/>
      <c r="P239" s="8404"/>
      <c r="Q239" s="8405"/>
      <c r="R239" s="366"/>
      <c r="S239" s="360"/>
      <c r="T239" s="360"/>
      <c r="U239" s="734"/>
      <c r="V239" s="8401" t="s">
        <v>3037</v>
      </c>
      <c r="W239" s="8402"/>
      <c r="X239" s="379" t="e">
        <f>IF(V234=0,"",VLOOKUP(V234,'Tablas Magia'!$D$6:$Z$779,10,FALSE))</f>
        <v>#N/A</v>
      </c>
      <c r="Y239" s="379" t="e">
        <f>IF(V234=0,"",VLOOKUP(V234,'Tablas Magia'!$D$6:$Z$779,14,FALSE))</f>
        <v>#N/A</v>
      </c>
      <c r="Z239" s="380" t="e">
        <f>IF(V234=0,"",VLOOKUP(V234,'Tablas Magia'!$D$6:$Z$779,18,FALSE))</f>
        <v>#N/A</v>
      </c>
      <c r="AA239" s="8403" t="e">
        <f>IF(V234=0,"",VLOOKUP(V234,'Tablas Magia'!$D$6:$Z$779,22,FALSE))</f>
        <v>#N/A</v>
      </c>
      <c r="AB239" s="8404"/>
      <c r="AC239" s="8404"/>
      <c r="AD239" s="8404"/>
      <c r="AE239" s="8404"/>
      <c r="AF239" s="8404"/>
      <c r="AG239" s="8404"/>
      <c r="AH239" s="8404"/>
      <c r="AI239" s="8404"/>
      <c r="AJ239" s="8405"/>
      <c r="AK239" s="366"/>
      <c r="AL239" s="360"/>
    </row>
    <row r="240" spans="1:38" ht="12" customHeight="1">
      <c r="A240" s="360"/>
      <c r="B240" s="734"/>
      <c r="C240" s="8406" t="e">
        <f>IF(C234=0,"",VLOOKUP(C234,'Tablas Magia'!$D$6:$Z$779,23,FALSE))</f>
        <v>#N/A</v>
      </c>
      <c r="D240" s="8407"/>
      <c r="E240" s="8407"/>
      <c r="F240" s="8407"/>
      <c r="G240" s="8407"/>
      <c r="H240" s="8407"/>
      <c r="I240" s="8407"/>
      <c r="J240" s="8407"/>
      <c r="K240" s="8407"/>
      <c r="L240" s="8407"/>
      <c r="M240" s="8407"/>
      <c r="N240" s="8407"/>
      <c r="O240" s="8407"/>
      <c r="P240" s="8407"/>
      <c r="Q240" s="8408"/>
      <c r="R240" s="366"/>
      <c r="S240" s="360"/>
      <c r="T240" s="360"/>
      <c r="U240" s="734"/>
      <c r="V240" s="8406" t="e">
        <f>IF(V234=0,"",VLOOKUP(V234,'Tablas Magia'!$D$6:$Z$779,23,FALSE))</f>
        <v>#N/A</v>
      </c>
      <c r="W240" s="8407"/>
      <c r="X240" s="8407"/>
      <c r="Y240" s="8407"/>
      <c r="Z240" s="8407"/>
      <c r="AA240" s="8407"/>
      <c r="AB240" s="8407"/>
      <c r="AC240" s="8407"/>
      <c r="AD240" s="8407"/>
      <c r="AE240" s="8407"/>
      <c r="AF240" s="8407"/>
      <c r="AG240" s="8407"/>
      <c r="AH240" s="8407"/>
      <c r="AI240" s="8407"/>
      <c r="AJ240" s="8408"/>
      <c r="AK240" s="366"/>
      <c r="AL240" s="360"/>
    </row>
    <row r="241" spans="1:38" ht="12" customHeight="1">
      <c r="A241" s="360"/>
      <c r="B241" s="734"/>
      <c r="C241" s="8409"/>
      <c r="D241" s="8410"/>
      <c r="E241" s="8410"/>
      <c r="F241" s="8410"/>
      <c r="G241" s="8410"/>
      <c r="H241" s="8410"/>
      <c r="I241" s="8410"/>
      <c r="J241" s="8410"/>
      <c r="K241" s="8410"/>
      <c r="L241" s="8410"/>
      <c r="M241" s="8410"/>
      <c r="N241" s="8410"/>
      <c r="O241" s="8410"/>
      <c r="P241" s="8410"/>
      <c r="Q241" s="8411"/>
      <c r="R241" s="366"/>
      <c r="S241" s="360"/>
      <c r="T241" s="360"/>
      <c r="U241" s="734"/>
      <c r="V241" s="8409"/>
      <c r="W241" s="8410"/>
      <c r="X241" s="8410"/>
      <c r="Y241" s="8410"/>
      <c r="Z241" s="8410"/>
      <c r="AA241" s="8410"/>
      <c r="AB241" s="8410"/>
      <c r="AC241" s="8410"/>
      <c r="AD241" s="8410"/>
      <c r="AE241" s="8410"/>
      <c r="AF241" s="8410"/>
      <c r="AG241" s="8410"/>
      <c r="AH241" s="8410"/>
      <c r="AI241" s="8410"/>
      <c r="AJ241" s="8411"/>
      <c r="AK241" s="366"/>
      <c r="AL241" s="360"/>
    </row>
    <row r="242" spans="1:38" ht="12" customHeight="1">
      <c r="A242" s="360"/>
      <c r="B242" s="734"/>
      <c r="C242" s="8409"/>
      <c r="D242" s="8410"/>
      <c r="E242" s="8410"/>
      <c r="F242" s="8410"/>
      <c r="G242" s="8410"/>
      <c r="H242" s="8410"/>
      <c r="I242" s="8410"/>
      <c r="J242" s="8410"/>
      <c r="K242" s="8410"/>
      <c r="L242" s="8410"/>
      <c r="M242" s="8410"/>
      <c r="N242" s="8410"/>
      <c r="O242" s="8410"/>
      <c r="P242" s="8410"/>
      <c r="Q242" s="8411"/>
      <c r="R242" s="366"/>
      <c r="S242" s="360"/>
      <c r="T242" s="360"/>
      <c r="U242" s="734"/>
      <c r="V242" s="8409"/>
      <c r="W242" s="8410"/>
      <c r="X242" s="8410"/>
      <c r="Y242" s="8410"/>
      <c r="Z242" s="8410"/>
      <c r="AA242" s="8410"/>
      <c r="AB242" s="8410"/>
      <c r="AC242" s="8410"/>
      <c r="AD242" s="8410"/>
      <c r="AE242" s="8410"/>
      <c r="AF242" s="8410"/>
      <c r="AG242" s="8410"/>
      <c r="AH242" s="8410"/>
      <c r="AI242" s="8410"/>
      <c r="AJ242" s="8411"/>
      <c r="AK242" s="366"/>
      <c r="AL242" s="360"/>
    </row>
    <row r="243" spans="1:38" ht="12" customHeight="1" thickBot="1">
      <c r="A243" s="360"/>
      <c r="B243" s="734"/>
      <c r="C243" s="8412"/>
      <c r="D243" s="8413"/>
      <c r="E243" s="8413"/>
      <c r="F243" s="8413"/>
      <c r="G243" s="8413"/>
      <c r="H243" s="8413"/>
      <c r="I243" s="8413"/>
      <c r="J243" s="8413"/>
      <c r="K243" s="8413"/>
      <c r="L243" s="8413"/>
      <c r="M243" s="8413"/>
      <c r="N243" s="8413"/>
      <c r="O243" s="8413"/>
      <c r="P243" s="8413"/>
      <c r="Q243" s="8414"/>
      <c r="R243" s="366"/>
      <c r="S243" s="360"/>
      <c r="T243" s="360"/>
      <c r="U243" s="734"/>
      <c r="V243" s="8412"/>
      <c r="W243" s="8413"/>
      <c r="X243" s="8413"/>
      <c r="Y243" s="8413"/>
      <c r="Z243" s="8413"/>
      <c r="AA243" s="8413"/>
      <c r="AB243" s="8413"/>
      <c r="AC243" s="8413"/>
      <c r="AD243" s="8413"/>
      <c r="AE243" s="8413"/>
      <c r="AF243" s="8413"/>
      <c r="AG243" s="8413"/>
      <c r="AH243" s="8413"/>
      <c r="AI243" s="8413"/>
      <c r="AJ243" s="8414"/>
      <c r="AK243" s="366"/>
      <c r="AL243" s="360"/>
    </row>
    <row r="244" spans="1:38" ht="12" customHeight="1" thickBot="1">
      <c r="A244" s="360"/>
      <c r="B244" s="734"/>
      <c r="C244" s="386"/>
      <c r="D244" s="386"/>
      <c r="E244" s="387"/>
      <c r="F244" s="387"/>
      <c r="G244" s="387"/>
      <c r="H244" s="387"/>
      <c r="I244" s="387"/>
      <c r="J244" s="387"/>
      <c r="K244" s="387"/>
      <c r="L244" s="387"/>
      <c r="M244" s="387"/>
      <c r="N244" s="387"/>
      <c r="O244" s="387"/>
      <c r="P244" s="387"/>
      <c r="Q244" s="387"/>
      <c r="R244" s="366"/>
      <c r="S244" s="360"/>
      <c r="T244" s="360"/>
      <c r="U244" s="734"/>
      <c r="V244" s="386"/>
      <c r="W244" s="386"/>
      <c r="X244" s="377"/>
      <c r="Y244" s="377"/>
      <c r="Z244" s="377"/>
      <c r="AA244" s="387"/>
      <c r="AB244" s="387"/>
      <c r="AC244" s="387"/>
      <c r="AD244" s="387"/>
      <c r="AE244" s="387"/>
      <c r="AF244" s="387"/>
      <c r="AG244" s="387"/>
      <c r="AH244" s="387"/>
      <c r="AI244" s="387"/>
      <c r="AJ244" s="387"/>
      <c r="AK244" s="366"/>
      <c r="AL244" s="360"/>
    </row>
    <row r="245" spans="1:38" ht="12" customHeight="1">
      <c r="A245" s="360"/>
      <c r="B245" s="734">
        <f>B234+2</f>
        <v>68</v>
      </c>
      <c r="C245" s="8417" t="str">
        <f>IF(ISNA(VLOOKUP($J$6&amp;B245,'Tablas Magia'!$B$6:$D$779,3,FALSE)),IF(ISNA(VLOOKUP($J$8&amp;B245,'Tablas Magia'!$B$6:$D$779,3,FALSE)),IF(ISNA(VLOOKUP($J$6&amp;B245,Místicos!$AD$12:$AJ$50,4,FALSE)),"Libre Acceso 1-"&amp;MID(C$211,SEARCH("-",C$211)+1,3),VLOOKUP($J$6&amp;B245,Místicos!$AD$12:$AJ$50,4,FALSE)),VLOOKUP($J$8&amp;B245,'Tablas Magia'!$B$6:$D$779,3,FALSE)),VLOOKUP($J$6&amp;B245,'Tablas Magia'!$B$6:$D$779,3,FALSE))</f>
        <v>Libre Acceso 1-70</v>
      </c>
      <c r="D245" s="8418"/>
      <c r="E245" s="8418"/>
      <c r="F245" s="8418"/>
      <c r="G245" s="8419"/>
      <c r="H245" s="370" t="s">
        <v>1186</v>
      </c>
      <c r="I245" s="371">
        <f>B245</f>
        <v>68</v>
      </c>
      <c r="J245" s="8420" t="s">
        <v>5816</v>
      </c>
      <c r="K245" s="8420"/>
      <c r="L245" s="8420"/>
      <c r="M245" s="8378" t="e">
        <f>IF(C245=0,"",VLOOKUP(C245,'Tablas Magia'!$D$6:$Z$779,2,FALSE))</f>
        <v>#N/A</v>
      </c>
      <c r="N245" s="8378"/>
      <c r="O245" s="1525"/>
      <c r="P245" s="8415" t="str">
        <f>IFERROR(IF(M245="Libre Acceso","Aprendido",IF(IFERROR(VLOOKUP(M245,Místicos!$C$15:$H$25,6,0)&gt;=I245,FALSE),"Aprendido",IF(IFERROR(VLOOKUP(M245,Místicos!$E$15:$H$25,4,0)&gt;=I245,FALSE),"Aprendido",""))),"")</f>
        <v/>
      </c>
      <c r="Q245" s="8416"/>
      <c r="R245" s="366"/>
      <c r="S245" s="360"/>
      <c r="T245" s="360"/>
      <c r="U245" s="734">
        <f>U234+2</f>
        <v>78</v>
      </c>
      <c r="V245" s="8417" t="str">
        <f>IF(ISNA(VLOOKUP($J$6&amp;U245,'Tablas Magia'!$B$6:$D$779,3,FALSE)),IF(ISNA(VLOOKUP($J$8&amp;U245,'Tablas Magia'!$B$6:$D$779,3,FALSE)),IF(ISNA(VLOOKUP($J$6&amp;U245,Místicos!$AD$12:$AJ$50,4,FALSE)),"Libre Acceso 1-"&amp;MID(V$211,SEARCH("-",V$211)+1,3),VLOOKUP($J$6&amp;U245,Místicos!$AD$12:$AJ$50,4,FALSE)),VLOOKUP($J$8&amp;U245,'Tablas Magia'!$B$6:$D$779,3,FALSE)),VLOOKUP($J$6&amp;U245,'Tablas Magia'!$B$6:$D$779,3,FALSE))</f>
        <v>Libre Acceso 1-80</v>
      </c>
      <c r="W245" s="8418"/>
      <c r="X245" s="8418"/>
      <c r="Y245" s="8418"/>
      <c r="Z245" s="8418"/>
      <c r="AA245" s="370" t="s">
        <v>1186</v>
      </c>
      <c r="AB245" s="371">
        <f>U245</f>
        <v>78</v>
      </c>
      <c r="AC245" s="8420" t="s">
        <v>5816</v>
      </c>
      <c r="AD245" s="8420"/>
      <c r="AE245" s="8420"/>
      <c r="AF245" s="8378" t="e">
        <f>IF(V245=0,"",VLOOKUP(V245,'Tablas Magia'!$D$6:$Z$779,2,FALSE))</f>
        <v>#N/A</v>
      </c>
      <c r="AG245" s="8378"/>
      <c r="AH245" s="1525"/>
      <c r="AI245" s="8415" t="str">
        <f>IFERROR(IF(AF245="Libre Acceso","Aprendido",IF(IFERROR(VLOOKUP(AF245,Místicos!$C$15:$H$25,6,0)&gt;=AB245,FALSE),"Aprendido",IF(IFERROR(VLOOKUP(AF245,Místicos!$E$15:$H$25,4,0)&gt;=AB245,FALSE),"Aprendido",""))),"")</f>
        <v/>
      </c>
      <c r="AJ245" s="8416"/>
      <c r="AK245" s="366"/>
      <c r="AL245" s="360"/>
    </row>
    <row r="246" spans="1:38" ht="12" customHeight="1">
      <c r="A246" s="360"/>
      <c r="B246" s="734"/>
      <c r="C246" s="8399" t="s">
        <v>5817</v>
      </c>
      <c r="D246" s="8426"/>
      <c r="E246" s="2162" t="s">
        <v>5818</v>
      </c>
      <c r="F246" s="2162" t="s">
        <v>1368</v>
      </c>
      <c r="G246" s="2162" t="s">
        <v>2666</v>
      </c>
      <c r="H246" s="2163" t="s">
        <v>1690</v>
      </c>
      <c r="I246" s="8424" t="e">
        <f>IF(C245=0,"",VLOOKUP(C245,'Tablas Magia'!$D$6:$Z$779,5,FALSE))</f>
        <v>#N/A</v>
      </c>
      <c r="J246" s="8424"/>
      <c r="K246" s="8427" t="s">
        <v>5819</v>
      </c>
      <c r="L246" s="8427"/>
      <c r="M246" s="8424" t="e">
        <f>IF(C245=0,"",VLOOKUP(C245,'Tablas Magia'!$D$6:$Z$779,6,FALSE))</f>
        <v>#N/A</v>
      </c>
      <c r="N246" s="8424"/>
      <c r="O246" s="8425" t="s">
        <v>5820</v>
      </c>
      <c r="P246" s="8425"/>
      <c r="Q246" s="2164" t="e">
        <f>IF(C245=0,"",VLOOKUP(C245,'Tablas Magia'!$D$6:$Z$779,4,FALSE))</f>
        <v>#N/A</v>
      </c>
      <c r="R246" s="366"/>
      <c r="S246" s="360"/>
      <c r="T246" s="360"/>
      <c r="U246" s="734"/>
      <c r="V246" s="8399" t="s">
        <v>5817</v>
      </c>
      <c r="W246" s="8428"/>
      <c r="X246" s="1534" t="s">
        <v>5818</v>
      </c>
      <c r="Y246" s="1534" t="s">
        <v>1368</v>
      </c>
      <c r="Z246" s="1534" t="s">
        <v>2666</v>
      </c>
      <c r="AA246" s="1535" t="s">
        <v>1690</v>
      </c>
      <c r="AB246" s="8429" t="e">
        <f>IF(V245=0,"",VLOOKUP(V245,'Tablas Magia'!$D$6:$Z$779,5,FALSE))</f>
        <v>#N/A</v>
      </c>
      <c r="AC246" s="8429"/>
      <c r="AD246" s="8430" t="s">
        <v>5819</v>
      </c>
      <c r="AE246" s="8430"/>
      <c r="AF246" s="8429" t="e">
        <f>IF(V245=0,"",VLOOKUP(V245,'Tablas Magia'!$D$6:$Z$779,6,FALSE))</f>
        <v>#N/A</v>
      </c>
      <c r="AG246" s="8429"/>
      <c r="AH246" s="8431" t="s">
        <v>5820</v>
      </c>
      <c r="AI246" s="8431"/>
      <c r="AJ246" s="1536" t="e">
        <f>IF(V245=0,"",VLOOKUP(V245,'Tablas Magia'!$D$6:$Z$779,4,FALSE))</f>
        <v>#N/A</v>
      </c>
      <c r="AK246" s="366"/>
      <c r="AL246" s="360"/>
    </row>
    <row r="247" spans="1:38" ht="12" customHeight="1">
      <c r="A247" s="360"/>
      <c r="B247" s="734"/>
      <c r="C247" s="8434" t="s">
        <v>1225</v>
      </c>
      <c r="D247" s="8435"/>
      <c r="E247" s="375" t="e">
        <f>IF(C245=0,"",VLOOKUP(C245,'Tablas Magia'!$D$6:$Z$779,7,FALSE))</f>
        <v>#N/A</v>
      </c>
      <c r="F247" s="375" t="e">
        <f>IF(C245=0,"",VLOOKUP(C245,'Tablas Magia'!$D$6:$Z$779,11,FALSE))</f>
        <v>#N/A</v>
      </c>
      <c r="G247" s="376" t="e">
        <f>IF(C245=0,"",VLOOKUP(C245,'Tablas Magia'!$D$6:$Z$779,15,FALSE))</f>
        <v>#N/A</v>
      </c>
      <c r="H247" s="8421" t="e">
        <f>IF(C245=0,"",VLOOKUP(C245,'Tablas Magia'!$D$6:$Z$779,19,FALSE))</f>
        <v>#N/A</v>
      </c>
      <c r="I247" s="8422"/>
      <c r="J247" s="8422"/>
      <c r="K247" s="8422"/>
      <c r="L247" s="8422"/>
      <c r="M247" s="8422"/>
      <c r="N247" s="8422"/>
      <c r="O247" s="8422"/>
      <c r="P247" s="8422"/>
      <c r="Q247" s="8423"/>
      <c r="R247" s="366"/>
      <c r="S247" s="360"/>
      <c r="T247" s="360"/>
      <c r="U247" s="734"/>
      <c r="V247" s="8391" t="s">
        <v>1225</v>
      </c>
      <c r="W247" s="8392"/>
      <c r="X247" s="375" t="e">
        <f>IF(V245=0,"",VLOOKUP(V245,'Tablas Magia'!$D$6:$Z$779,7,FALSE))</f>
        <v>#N/A</v>
      </c>
      <c r="Y247" s="375" t="e">
        <f>IF(V245=0,"",VLOOKUP(V245,'Tablas Magia'!$D$6:$Z$779,11,FALSE))</f>
        <v>#N/A</v>
      </c>
      <c r="Z247" s="376" t="e">
        <f>IF(V245=0,"",VLOOKUP(V245,'Tablas Magia'!$D$6:$Z$779,15,FALSE))</f>
        <v>#N/A</v>
      </c>
      <c r="AA247" s="8393" t="e">
        <f>IF(V245=0,"",VLOOKUP(V245,'Tablas Magia'!$D$6:$Z$779,19,FALSE))</f>
        <v>#N/A</v>
      </c>
      <c r="AB247" s="8394"/>
      <c r="AC247" s="8394"/>
      <c r="AD247" s="8394"/>
      <c r="AE247" s="8394"/>
      <c r="AF247" s="8394"/>
      <c r="AG247" s="8394"/>
      <c r="AH247" s="8394"/>
      <c r="AI247" s="8394"/>
      <c r="AJ247" s="8395"/>
      <c r="AK247" s="366"/>
      <c r="AL247" s="360"/>
    </row>
    <row r="248" spans="1:38" ht="12" customHeight="1">
      <c r="A248" s="360"/>
      <c r="B248" s="734"/>
      <c r="C248" s="8386" t="s">
        <v>3035</v>
      </c>
      <c r="D248" s="8387"/>
      <c r="E248" s="377" t="e">
        <f>IF(C245=0,"",VLOOKUP(C245,'Tablas Magia'!$D$6:$Z$779,8,FALSE))</f>
        <v>#N/A</v>
      </c>
      <c r="F248" s="377" t="e">
        <f>IF(C245=0,"",VLOOKUP(C245,'Tablas Magia'!$D$6:$Z$779,12,FALSE))</f>
        <v>#N/A</v>
      </c>
      <c r="G248" s="378" t="e">
        <f>IF(C245=0,"",VLOOKUP(C245,'Tablas Magia'!$D$6:$Z$779,16,FALSE))</f>
        <v>#N/A</v>
      </c>
      <c r="H248" s="8388" t="e">
        <f>IF(C245=0,"",VLOOKUP(C245,'Tablas Magia'!$D$6:$Z$779,20,FALSE))</f>
        <v>#N/A</v>
      </c>
      <c r="I248" s="8389"/>
      <c r="J248" s="8389"/>
      <c r="K248" s="8389"/>
      <c r="L248" s="8389"/>
      <c r="M248" s="8389"/>
      <c r="N248" s="8389"/>
      <c r="O248" s="8389"/>
      <c r="P248" s="8389"/>
      <c r="Q248" s="8390"/>
      <c r="R248" s="366"/>
      <c r="S248" s="360"/>
      <c r="T248" s="360"/>
      <c r="U248" s="734"/>
      <c r="V248" s="8386" t="s">
        <v>3035</v>
      </c>
      <c r="W248" s="8387"/>
      <c r="X248" s="377" t="e">
        <f>IF(V245=0,"",VLOOKUP(V245,'Tablas Magia'!$D$6:$Z$779,8,FALSE))</f>
        <v>#N/A</v>
      </c>
      <c r="Y248" s="377" t="e">
        <f>IF(V245=0,"",VLOOKUP(V245,'Tablas Magia'!$D$6:$Z$779,12,FALSE))</f>
        <v>#N/A</v>
      </c>
      <c r="Z248" s="378" t="e">
        <f>IF(V245=0,"",VLOOKUP(V245,'Tablas Magia'!$D$6:$Z$779,16,FALSE))</f>
        <v>#N/A</v>
      </c>
      <c r="AA248" s="8388" t="e">
        <f>IF(V245=0,"",VLOOKUP(V245,'Tablas Magia'!$D$6:$Z$779,20,FALSE))</f>
        <v>#N/A</v>
      </c>
      <c r="AB248" s="8389"/>
      <c r="AC248" s="8389"/>
      <c r="AD248" s="8389"/>
      <c r="AE248" s="8389"/>
      <c r="AF248" s="8389"/>
      <c r="AG248" s="8389"/>
      <c r="AH248" s="8389"/>
      <c r="AI248" s="8389"/>
      <c r="AJ248" s="8390"/>
      <c r="AK248" s="366"/>
      <c r="AL248" s="360"/>
    </row>
    <row r="249" spans="1:38" ht="12" customHeight="1">
      <c r="A249" s="360"/>
      <c r="B249" s="734"/>
      <c r="C249" s="8391" t="s">
        <v>3036</v>
      </c>
      <c r="D249" s="8392"/>
      <c r="E249" s="375" t="e">
        <f>IF(C245=0,"",VLOOKUP(C245,'Tablas Magia'!$D$6:$Z$779,9,FALSE))</f>
        <v>#N/A</v>
      </c>
      <c r="F249" s="375" t="e">
        <f>IF(C245=0,"",VLOOKUP(C245,'Tablas Magia'!$D$6:$Z$779,13,FALSE))</f>
        <v>#N/A</v>
      </c>
      <c r="G249" s="376" t="e">
        <f>IF(C245=0,"",VLOOKUP(C245,'Tablas Magia'!$D$6:$Z$779,17,FALSE))</f>
        <v>#N/A</v>
      </c>
      <c r="H249" s="8393" t="e">
        <f>IF(C245=0,"",VLOOKUP(C245,'Tablas Magia'!$D$6:$Z$779,21,FALSE))</f>
        <v>#N/A</v>
      </c>
      <c r="I249" s="8394"/>
      <c r="J249" s="8394"/>
      <c r="K249" s="8394"/>
      <c r="L249" s="8394"/>
      <c r="M249" s="8394"/>
      <c r="N249" s="8394"/>
      <c r="O249" s="8394"/>
      <c r="P249" s="8394"/>
      <c r="Q249" s="8395"/>
      <c r="R249" s="366"/>
      <c r="S249" s="360"/>
      <c r="T249" s="360"/>
      <c r="U249" s="734"/>
      <c r="V249" s="8391" t="s">
        <v>3036</v>
      </c>
      <c r="W249" s="8392"/>
      <c r="X249" s="375" t="e">
        <f>IF(V245=0,"",VLOOKUP(V245,'Tablas Magia'!$D$6:$Z$779,9,FALSE))</f>
        <v>#N/A</v>
      </c>
      <c r="Y249" s="375" t="e">
        <f>IF(V245=0,"",VLOOKUP(V245,'Tablas Magia'!$D$6:$Z$779,13,FALSE))</f>
        <v>#N/A</v>
      </c>
      <c r="Z249" s="376" t="e">
        <f>IF(V245=0,"",VLOOKUP(V245,'Tablas Magia'!$D$6:$Z$779,17,FALSE))</f>
        <v>#N/A</v>
      </c>
      <c r="AA249" s="8393" t="e">
        <f>IF(V245=0,"",VLOOKUP(V245,'Tablas Magia'!$D$6:$Z$779,21,FALSE))</f>
        <v>#N/A</v>
      </c>
      <c r="AB249" s="8394"/>
      <c r="AC249" s="8394"/>
      <c r="AD249" s="8394"/>
      <c r="AE249" s="8394"/>
      <c r="AF249" s="8394"/>
      <c r="AG249" s="8394"/>
      <c r="AH249" s="8394"/>
      <c r="AI249" s="8394"/>
      <c r="AJ249" s="8395"/>
      <c r="AK249" s="366"/>
      <c r="AL249" s="360"/>
    </row>
    <row r="250" spans="1:38" ht="12" customHeight="1" thickBot="1">
      <c r="A250" s="360"/>
      <c r="B250" s="734"/>
      <c r="C250" s="8401" t="s">
        <v>3037</v>
      </c>
      <c r="D250" s="8402"/>
      <c r="E250" s="379" t="e">
        <f>IF(C245=0,"",VLOOKUP(C245,'Tablas Magia'!$D$6:$Z$779,10,FALSE))</f>
        <v>#N/A</v>
      </c>
      <c r="F250" s="379" t="e">
        <f>IF(C245=0,"",VLOOKUP(C245,'Tablas Magia'!$D$6:$Z$779,14,FALSE))</f>
        <v>#N/A</v>
      </c>
      <c r="G250" s="380" t="e">
        <f>IF(C245=0,"",VLOOKUP(C245,'Tablas Magia'!$D$6:$Z$779,18,FALSE))</f>
        <v>#N/A</v>
      </c>
      <c r="H250" s="8403" t="e">
        <f>IF(C245=0,"",VLOOKUP(C245,'Tablas Magia'!$D$6:$Z$779,22,FALSE))</f>
        <v>#N/A</v>
      </c>
      <c r="I250" s="8404"/>
      <c r="J250" s="8404"/>
      <c r="K250" s="8404"/>
      <c r="L250" s="8404"/>
      <c r="M250" s="8404"/>
      <c r="N250" s="8404"/>
      <c r="O250" s="8404"/>
      <c r="P250" s="8404"/>
      <c r="Q250" s="8405"/>
      <c r="R250" s="366"/>
      <c r="S250" s="360"/>
      <c r="T250" s="360"/>
      <c r="U250" s="734"/>
      <c r="V250" s="8401" t="s">
        <v>3037</v>
      </c>
      <c r="W250" s="8402"/>
      <c r="X250" s="379" t="e">
        <f>IF(V245=0,"",VLOOKUP(V245,'Tablas Magia'!$D$6:$Z$779,10,FALSE))</f>
        <v>#N/A</v>
      </c>
      <c r="Y250" s="379" t="e">
        <f>IF(V245=0,"",VLOOKUP(V245,'Tablas Magia'!$D$6:$Z$779,14,FALSE))</f>
        <v>#N/A</v>
      </c>
      <c r="Z250" s="380" t="e">
        <f>IF(V245=0,"",VLOOKUP(V245,'Tablas Magia'!$D$6:$Z$779,18,FALSE))</f>
        <v>#N/A</v>
      </c>
      <c r="AA250" s="8403" t="e">
        <f>IF(V245=0,"",VLOOKUP(V245,'Tablas Magia'!$D$6:$Z$779,22,FALSE))</f>
        <v>#N/A</v>
      </c>
      <c r="AB250" s="8404"/>
      <c r="AC250" s="8404"/>
      <c r="AD250" s="8404"/>
      <c r="AE250" s="8404"/>
      <c r="AF250" s="8404"/>
      <c r="AG250" s="8404"/>
      <c r="AH250" s="8404"/>
      <c r="AI250" s="8404"/>
      <c r="AJ250" s="8405"/>
      <c r="AK250" s="366"/>
      <c r="AL250" s="360"/>
    </row>
    <row r="251" spans="1:38" ht="12" customHeight="1">
      <c r="A251" s="360"/>
      <c r="B251" s="734"/>
      <c r="C251" s="8406" t="e">
        <f>IF(C245=0,"",VLOOKUP(C245,'Tablas Magia'!$D$6:$Z$779,23,FALSE))</f>
        <v>#N/A</v>
      </c>
      <c r="D251" s="8407"/>
      <c r="E251" s="8407"/>
      <c r="F251" s="8407"/>
      <c r="G251" s="8407"/>
      <c r="H251" s="8407"/>
      <c r="I251" s="8407"/>
      <c r="J251" s="8407"/>
      <c r="K251" s="8407"/>
      <c r="L251" s="8407"/>
      <c r="M251" s="8407"/>
      <c r="N251" s="8407"/>
      <c r="O251" s="8407"/>
      <c r="P251" s="8407"/>
      <c r="Q251" s="8408"/>
      <c r="R251" s="366"/>
      <c r="S251" s="360"/>
      <c r="T251" s="360"/>
      <c r="U251" s="734"/>
      <c r="V251" s="8406" t="e">
        <f>IF(V245=0,"",VLOOKUP(V245,'Tablas Magia'!$D$6:$Z$779,23,FALSE))</f>
        <v>#N/A</v>
      </c>
      <c r="W251" s="8407"/>
      <c r="X251" s="8407"/>
      <c r="Y251" s="8407"/>
      <c r="Z251" s="8407"/>
      <c r="AA251" s="8407"/>
      <c r="AB251" s="8407"/>
      <c r="AC251" s="8407"/>
      <c r="AD251" s="8407"/>
      <c r="AE251" s="8407"/>
      <c r="AF251" s="8407"/>
      <c r="AG251" s="8407"/>
      <c r="AH251" s="8407"/>
      <c r="AI251" s="8407"/>
      <c r="AJ251" s="8408"/>
      <c r="AK251" s="366"/>
      <c r="AL251" s="360"/>
    </row>
    <row r="252" spans="1:38" ht="12" customHeight="1">
      <c r="A252" s="360"/>
      <c r="B252" s="734"/>
      <c r="C252" s="8409"/>
      <c r="D252" s="8410"/>
      <c r="E252" s="8410"/>
      <c r="F252" s="8410"/>
      <c r="G252" s="8410"/>
      <c r="H252" s="8410"/>
      <c r="I252" s="8410"/>
      <c r="J252" s="8410"/>
      <c r="K252" s="8410"/>
      <c r="L252" s="8410"/>
      <c r="M252" s="8410"/>
      <c r="N252" s="8410"/>
      <c r="O252" s="8410"/>
      <c r="P252" s="8410"/>
      <c r="Q252" s="8411"/>
      <c r="R252" s="366"/>
      <c r="S252" s="360"/>
      <c r="T252" s="360"/>
      <c r="U252" s="734"/>
      <c r="V252" s="8409"/>
      <c r="W252" s="8410"/>
      <c r="X252" s="8410"/>
      <c r="Y252" s="8410"/>
      <c r="Z252" s="8410"/>
      <c r="AA252" s="8410"/>
      <c r="AB252" s="8410"/>
      <c r="AC252" s="8410"/>
      <c r="AD252" s="8410"/>
      <c r="AE252" s="8410"/>
      <c r="AF252" s="8410"/>
      <c r="AG252" s="8410"/>
      <c r="AH252" s="8410"/>
      <c r="AI252" s="8410"/>
      <c r="AJ252" s="8411"/>
      <c r="AK252" s="366"/>
      <c r="AL252" s="360"/>
    </row>
    <row r="253" spans="1:38" ht="12" customHeight="1">
      <c r="A253" s="360"/>
      <c r="B253" s="734"/>
      <c r="C253" s="8409"/>
      <c r="D253" s="8410"/>
      <c r="E253" s="8410"/>
      <c r="F253" s="8410"/>
      <c r="G253" s="8410"/>
      <c r="H253" s="8410"/>
      <c r="I253" s="8410"/>
      <c r="J253" s="8410"/>
      <c r="K253" s="8410"/>
      <c r="L253" s="8410"/>
      <c r="M253" s="8410"/>
      <c r="N253" s="8410"/>
      <c r="O253" s="8410"/>
      <c r="P253" s="8410"/>
      <c r="Q253" s="8411"/>
      <c r="R253" s="366"/>
      <c r="S253" s="360"/>
      <c r="T253" s="360"/>
      <c r="U253" s="734"/>
      <c r="V253" s="8409"/>
      <c r="W253" s="8410"/>
      <c r="X253" s="8410"/>
      <c r="Y253" s="8410"/>
      <c r="Z253" s="8410"/>
      <c r="AA253" s="8410"/>
      <c r="AB253" s="8410"/>
      <c r="AC253" s="8410"/>
      <c r="AD253" s="8410"/>
      <c r="AE253" s="8410"/>
      <c r="AF253" s="8410"/>
      <c r="AG253" s="8410"/>
      <c r="AH253" s="8410"/>
      <c r="AI253" s="8410"/>
      <c r="AJ253" s="8411"/>
      <c r="AK253" s="366"/>
      <c r="AL253" s="360"/>
    </row>
    <row r="254" spans="1:38" ht="12" customHeight="1" thickBot="1">
      <c r="A254" s="360"/>
      <c r="B254" s="734"/>
      <c r="C254" s="8412"/>
      <c r="D254" s="8413"/>
      <c r="E254" s="8413"/>
      <c r="F254" s="8413"/>
      <c r="G254" s="8413"/>
      <c r="H254" s="8413"/>
      <c r="I254" s="8413"/>
      <c r="J254" s="8413"/>
      <c r="K254" s="8413"/>
      <c r="L254" s="8413"/>
      <c r="M254" s="8413"/>
      <c r="N254" s="8413"/>
      <c r="O254" s="8413"/>
      <c r="P254" s="8413"/>
      <c r="Q254" s="8414"/>
      <c r="R254" s="366"/>
      <c r="S254" s="360"/>
      <c r="T254" s="360"/>
      <c r="U254" s="734"/>
      <c r="V254" s="8412"/>
      <c r="W254" s="8413"/>
      <c r="X254" s="8413"/>
      <c r="Y254" s="8413"/>
      <c r="Z254" s="8413"/>
      <c r="AA254" s="8413"/>
      <c r="AB254" s="8413"/>
      <c r="AC254" s="8413"/>
      <c r="AD254" s="8413"/>
      <c r="AE254" s="8413"/>
      <c r="AF254" s="8413"/>
      <c r="AG254" s="8413"/>
      <c r="AH254" s="8413"/>
      <c r="AI254" s="8413"/>
      <c r="AJ254" s="8414"/>
      <c r="AK254" s="366"/>
      <c r="AL254" s="360"/>
    </row>
    <row r="255" spans="1:38" ht="12" customHeight="1" thickBot="1">
      <c r="A255" s="360"/>
      <c r="B255" s="734"/>
      <c r="C255" s="386"/>
      <c r="D255" s="386"/>
      <c r="E255" s="377"/>
      <c r="F255" s="377"/>
      <c r="G255" s="377"/>
      <c r="H255" s="387"/>
      <c r="I255" s="387"/>
      <c r="J255" s="387"/>
      <c r="K255" s="387"/>
      <c r="L255" s="387"/>
      <c r="M255" s="387"/>
      <c r="N255" s="387"/>
      <c r="O255" s="387"/>
      <c r="P255" s="387"/>
      <c r="Q255" s="387"/>
      <c r="R255" s="366"/>
      <c r="S255" s="360"/>
      <c r="T255" s="360"/>
      <c r="U255" s="734"/>
      <c r="V255" s="386"/>
      <c r="W255" s="386"/>
      <c r="X255" s="377"/>
      <c r="Y255" s="377"/>
      <c r="Z255" s="377"/>
      <c r="AA255" s="387"/>
      <c r="AB255" s="387"/>
      <c r="AC255" s="387"/>
      <c r="AD255" s="387"/>
      <c r="AE255" s="387"/>
      <c r="AF255" s="387"/>
      <c r="AG255" s="387"/>
      <c r="AH255" s="387"/>
      <c r="AI255" s="387"/>
      <c r="AJ255" s="387"/>
      <c r="AK255" s="366"/>
      <c r="AL255" s="360"/>
    </row>
    <row r="256" spans="1:38" ht="12" customHeight="1">
      <c r="A256" s="360"/>
      <c r="B256" s="734">
        <f>B245+2</f>
        <v>70</v>
      </c>
      <c r="C256" s="8417" t="str">
        <f>IF(ISNA(VLOOKUP($J$6&amp;B256,'Tablas Magia'!$B$6:$D$779,3,FALSE)),IF(ISNA(VLOOKUP($J$8&amp;B256,'Tablas Magia'!$B$6:$D$779,3,FALSE)),IF(ISNA(VLOOKUP($J$6&amp;B256,Místicos!$AD$12:$AJ$50,4,FALSE)),"Libre Acceso 1-"&amp;MID(C$211,SEARCH("-",C$211)+1,3),VLOOKUP($J$6&amp;B256,Místicos!$AD$12:$AJ$50,4,FALSE)),VLOOKUP($J$8&amp;B256,'Tablas Magia'!$B$6:$D$779,3,FALSE)),VLOOKUP($J$6&amp;B256,'Tablas Magia'!$B$6:$D$779,3,FALSE))</f>
        <v>Libre Acceso 1-70</v>
      </c>
      <c r="D256" s="8418"/>
      <c r="E256" s="8418"/>
      <c r="F256" s="8418"/>
      <c r="G256" s="8419"/>
      <c r="H256" s="370" t="s">
        <v>1186</v>
      </c>
      <c r="I256" s="371">
        <f>B256</f>
        <v>70</v>
      </c>
      <c r="J256" s="8420" t="s">
        <v>5816</v>
      </c>
      <c r="K256" s="8420"/>
      <c r="L256" s="8420"/>
      <c r="M256" s="8378" t="e">
        <f>IF(C256=0,"",VLOOKUP(C256,'Tablas Magia'!$D$6:$Z$779,2,FALSE))</f>
        <v>#N/A</v>
      </c>
      <c r="N256" s="8378"/>
      <c r="O256" s="1525"/>
      <c r="P256" s="8415" t="str">
        <f>IFERROR(IF(M256="Libre Acceso","Aprendido",IF(IFERROR(VLOOKUP(M256,Místicos!$C$15:$H$25,6,0)&gt;=I256,FALSE),"Aprendido",IF(IFERROR(VLOOKUP(M256,Místicos!$E$15:$H$25,4,0)&gt;=I256,FALSE),"Aprendido",""))),"")</f>
        <v/>
      </c>
      <c r="Q256" s="8416"/>
      <c r="R256" s="366"/>
      <c r="S256" s="360"/>
      <c r="T256" s="360"/>
      <c r="U256" s="734">
        <f>U245+2</f>
        <v>80</v>
      </c>
      <c r="V256" s="8417" t="str">
        <f>IF(ISNA(VLOOKUP($J$6&amp;U256,'Tablas Magia'!$B$6:$D$779,3,FALSE)),IF(ISNA(VLOOKUP($J$8&amp;U256,'Tablas Magia'!$B$6:$D$779,3,FALSE)),IF(ISNA(VLOOKUP($J$6&amp;U256,Místicos!$AD$12:$AJ$50,4,FALSE)),"Libre Acceso 1-"&amp;MID(V$211,SEARCH("-",V$211)+1,3),VLOOKUP($J$6&amp;U256,Místicos!$AD$12:$AJ$50,4,FALSE)),VLOOKUP($J$8&amp;U256,'Tablas Magia'!$B$6:$D$779,3,FALSE)),VLOOKUP($J$6&amp;U256,'Tablas Magia'!$B$6:$D$779,3,FALSE))</f>
        <v>Libre Acceso 1-80</v>
      </c>
      <c r="W256" s="8418"/>
      <c r="X256" s="8418"/>
      <c r="Y256" s="8418"/>
      <c r="Z256" s="8418"/>
      <c r="AA256" s="370" t="s">
        <v>1186</v>
      </c>
      <c r="AB256" s="371">
        <f>U256</f>
        <v>80</v>
      </c>
      <c r="AC256" s="8420" t="s">
        <v>5816</v>
      </c>
      <c r="AD256" s="8420"/>
      <c r="AE256" s="8420"/>
      <c r="AF256" s="8378" t="e">
        <f>IF(V256=0,"",VLOOKUP(V256,'Tablas Magia'!$D$6:$Z$779,2,FALSE))</f>
        <v>#N/A</v>
      </c>
      <c r="AG256" s="8378"/>
      <c r="AH256" s="1525"/>
      <c r="AI256" s="8415" t="str">
        <f>IFERROR(IF(AF256="Libre Acceso","Aprendido",IF(IFERROR(VLOOKUP(AF256,Místicos!$C$15:$H$25,6,0)&gt;=AB256,FALSE),"Aprendido",IF(IFERROR(VLOOKUP(AF256,Místicos!$E$15:$H$25,4,0)&gt;=AB256,FALSE),"Aprendido",""))),"")</f>
        <v/>
      </c>
      <c r="AJ256" s="8416"/>
      <c r="AK256" s="366"/>
      <c r="AL256" s="360"/>
    </row>
    <row r="257" spans="1:38" ht="12" customHeight="1">
      <c r="A257" s="360"/>
      <c r="B257" s="734"/>
      <c r="C257" s="8399" t="s">
        <v>5817</v>
      </c>
      <c r="D257" s="8426"/>
      <c r="E257" s="2162" t="s">
        <v>5818</v>
      </c>
      <c r="F257" s="2162" t="s">
        <v>1368</v>
      </c>
      <c r="G257" s="2162" t="s">
        <v>2666</v>
      </c>
      <c r="H257" s="2163" t="s">
        <v>1690</v>
      </c>
      <c r="I257" s="8424" t="e">
        <f>IF(C256=0,"",VLOOKUP(C256,'Tablas Magia'!$D$6:$Z$779,5,FALSE))</f>
        <v>#N/A</v>
      </c>
      <c r="J257" s="8424"/>
      <c r="K257" s="8427" t="s">
        <v>5819</v>
      </c>
      <c r="L257" s="8427"/>
      <c r="M257" s="8424" t="e">
        <f>IF(C256=0,"",VLOOKUP(C256,'Tablas Magia'!$D$6:$Z$779,6,FALSE))</f>
        <v>#N/A</v>
      </c>
      <c r="N257" s="8424"/>
      <c r="O257" s="8425" t="s">
        <v>5820</v>
      </c>
      <c r="P257" s="8425"/>
      <c r="Q257" s="2164" t="e">
        <f>IF(C256=0,"",VLOOKUP(C256,'Tablas Magia'!$D$6:$Z$779,4,FALSE))</f>
        <v>#N/A</v>
      </c>
      <c r="R257" s="366"/>
      <c r="S257" s="360"/>
      <c r="T257" s="360"/>
      <c r="U257" s="734"/>
      <c r="V257" s="8399" t="s">
        <v>5817</v>
      </c>
      <c r="W257" s="8428"/>
      <c r="X257" s="1534" t="s">
        <v>5818</v>
      </c>
      <c r="Y257" s="1534" t="s">
        <v>1368</v>
      </c>
      <c r="Z257" s="1534" t="s">
        <v>2666</v>
      </c>
      <c r="AA257" s="1535" t="s">
        <v>1690</v>
      </c>
      <c r="AB257" s="8429" t="e">
        <f>IF(V256=0,"",VLOOKUP(V256,'Tablas Magia'!$D$6:$Z$779,5,FALSE))</f>
        <v>#N/A</v>
      </c>
      <c r="AC257" s="8429"/>
      <c r="AD257" s="8430" t="s">
        <v>5819</v>
      </c>
      <c r="AE257" s="8430"/>
      <c r="AF257" s="8429" t="e">
        <f>IF(V256=0,"",VLOOKUP(V256,'Tablas Magia'!$D$6:$Z$779,6,FALSE))</f>
        <v>#N/A</v>
      </c>
      <c r="AG257" s="8429"/>
      <c r="AH257" s="8431" t="s">
        <v>5820</v>
      </c>
      <c r="AI257" s="8431"/>
      <c r="AJ257" s="1536" t="e">
        <f>IF(V256=0,"",VLOOKUP(V256,'Tablas Magia'!$D$6:$Z$779,4,FALSE))</f>
        <v>#N/A</v>
      </c>
      <c r="AK257" s="366"/>
      <c r="AL257" s="360"/>
    </row>
    <row r="258" spans="1:38" ht="12" customHeight="1">
      <c r="A258" s="360"/>
      <c r="B258" s="734"/>
      <c r="C258" s="8434" t="s">
        <v>1225</v>
      </c>
      <c r="D258" s="8435"/>
      <c r="E258" s="375" t="e">
        <f>IF(C256=0,"",VLOOKUP(C256,'Tablas Magia'!$D$6:$Z$779,7,FALSE))</f>
        <v>#N/A</v>
      </c>
      <c r="F258" s="375" t="e">
        <f>IF(C256=0,"",VLOOKUP(C256,'Tablas Magia'!$D$6:$Z$779,11,FALSE))</f>
        <v>#N/A</v>
      </c>
      <c r="G258" s="376" t="e">
        <f>IF(C256=0,"",VLOOKUP(C256,'Tablas Magia'!$D$6:$Z$779,15,FALSE))</f>
        <v>#N/A</v>
      </c>
      <c r="H258" s="8421" t="e">
        <f>IF(C256=0,"",VLOOKUP(C256,'Tablas Magia'!$D$6:$Z$779,19,FALSE))</f>
        <v>#N/A</v>
      </c>
      <c r="I258" s="8422"/>
      <c r="J258" s="8422"/>
      <c r="K258" s="8422"/>
      <c r="L258" s="8422"/>
      <c r="M258" s="8422"/>
      <c r="N258" s="8422"/>
      <c r="O258" s="8422"/>
      <c r="P258" s="8422"/>
      <c r="Q258" s="8423"/>
      <c r="R258" s="366"/>
      <c r="S258" s="360"/>
      <c r="T258" s="360"/>
      <c r="U258" s="734"/>
      <c r="V258" s="8391" t="s">
        <v>1225</v>
      </c>
      <c r="W258" s="8392"/>
      <c r="X258" s="375" t="e">
        <f>IF(V256=0,"",VLOOKUP(V256,'Tablas Magia'!$D$6:$Z$779,7,FALSE))</f>
        <v>#N/A</v>
      </c>
      <c r="Y258" s="375" t="e">
        <f>IF(V256=0,"",VLOOKUP(V256,'Tablas Magia'!$D$6:$Z$779,11,FALSE))</f>
        <v>#N/A</v>
      </c>
      <c r="Z258" s="376" t="e">
        <f>IF(V256=0,"",VLOOKUP(V256,'Tablas Magia'!$D$6:$Z$779,15,FALSE))</f>
        <v>#N/A</v>
      </c>
      <c r="AA258" s="8393" t="e">
        <f>IF(V256=0,"",VLOOKUP(V256,'Tablas Magia'!$D$6:$Z$779,19,FALSE))</f>
        <v>#N/A</v>
      </c>
      <c r="AB258" s="8394"/>
      <c r="AC258" s="8394"/>
      <c r="AD258" s="8394"/>
      <c r="AE258" s="8394"/>
      <c r="AF258" s="8394"/>
      <c r="AG258" s="8394"/>
      <c r="AH258" s="8394"/>
      <c r="AI258" s="8394"/>
      <c r="AJ258" s="8395"/>
      <c r="AK258" s="366"/>
      <c r="AL258" s="360"/>
    </row>
    <row r="259" spans="1:38" ht="12" customHeight="1">
      <c r="A259" s="360"/>
      <c r="B259" s="734"/>
      <c r="C259" s="8386" t="s">
        <v>3035</v>
      </c>
      <c r="D259" s="8387"/>
      <c r="E259" s="377" t="e">
        <f>IF(C256=0,"",VLOOKUP(C256,'Tablas Magia'!$D$6:$Z$779,8,FALSE))</f>
        <v>#N/A</v>
      </c>
      <c r="F259" s="377" t="e">
        <f>IF(C256=0,"",VLOOKUP(C256,'Tablas Magia'!$D$6:$Z$779,12,FALSE))</f>
        <v>#N/A</v>
      </c>
      <c r="G259" s="378" t="e">
        <f>IF(C256=0,"",VLOOKUP(C256,'Tablas Magia'!$D$6:$Z$779,16,FALSE))</f>
        <v>#N/A</v>
      </c>
      <c r="H259" s="8388" t="e">
        <f>IF(C256=0,"",VLOOKUP(C256,'Tablas Magia'!$D$6:$Z$779,20,FALSE))</f>
        <v>#N/A</v>
      </c>
      <c r="I259" s="8389"/>
      <c r="J259" s="8389"/>
      <c r="K259" s="8389"/>
      <c r="L259" s="8389"/>
      <c r="M259" s="8389"/>
      <c r="N259" s="8389"/>
      <c r="O259" s="8389"/>
      <c r="P259" s="8389"/>
      <c r="Q259" s="8390"/>
      <c r="R259" s="366"/>
      <c r="S259" s="360"/>
      <c r="T259" s="360"/>
      <c r="U259" s="734"/>
      <c r="V259" s="8386" t="s">
        <v>3035</v>
      </c>
      <c r="W259" s="8387"/>
      <c r="X259" s="377" t="e">
        <f>IF(V256=0,"",VLOOKUP(V256,'Tablas Magia'!$D$6:$Z$779,8,FALSE))</f>
        <v>#N/A</v>
      </c>
      <c r="Y259" s="377" t="e">
        <f>IF(V256=0,"",VLOOKUP(V256,'Tablas Magia'!$D$6:$Z$779,12,FALSE))</f>
        <v>#N/A</v>
      </c>
      <c r="Z259" s="378" t="e">
        <f>IF(V256=0,"",VLOOKUP(V256,'Tablas Magia'!$D$6:$Z$779,16,FALSE))</f>
        <v>#N/A</v>
      </c>
      <c r="AA259" s="8388" t="e">
        <f>IF(V256=0,"",VLOOKUP(V256,'Tablas Magia'!$D$6:$Z$779,20,FALSE))</f>
        <v>#N/A</v>
      </c>
      <c r="AB259" s="8389"/>
      <c r="AC259" s="8389"/>
      <c r="AD259" s="8389"/>
      <c r="AE259" s="8389"/>
      <c r="AF259" s="8389"/>
      <c r="AG259" s="8389"/>
      <c r="AH259" s="8389"/>
      <c r="AI259" s="8389"/>
      <c r="AJ259" s="8390"/>
      <c r="AK259" s="366"/>
      <c r="AL259" s="360"/>
    </row>
    <row r="260" spans="1:38" ht="12" customHeight="1">
      <c r="A260" s="360"/>
      <c r="B260" s="734"/>
      <c r="C260" s="8391" t="s">
        <v>3036</v>
      </c>
      <c r="D260" s="8392"/>
      <c r="E260" s="375" t="e">
        <f>IF(C256=0,"",VLOOKUP(C256,'Tablas Magia'!$D$6:$Z$779,9,FALSE))</f>
        <v>#N/A</v>
      </c>
      <c r="F260" s="375" t="e">
        <f>IF(C256=0,"",VLOOKUP(C256,'Tablas Magia'!$D$6:$Z$779,13,FALSE))</f>
        <v>#N/A</v>
      </c>
      <c r="G260" s="376" t="e">
        <f>IF(C256=0,"",VLOOKUP(C256,'Tablas Magia'!$D$6:$Z$779,17,FALSE))</f>
        <v>#N/A</v>
      </c>
      <c r="H260" s="8393" t="e">
        <f>IF(C256=0,"",VLOOKUP(C256,'Tablas Magia'!$D$6:$Z$779,21,FALSE))</f>
        <v>#N/A</v>
      </c>
      <c r="I260" s="8394"/>
      <c r="J260" s="8394"/>
      <c r="K260" s="8394"/>
      <c r="L260" s="8394"/>
      <c r="M260" s="8394"/>
      <c r="N260" s="8394"/>
      <c r="O260" s="8394"/>
      <c r="P260" s="8394"/>
      <c r="Q260" s="8395"/>
      <c r="R260" s="366"/>
      <c r="S260" s="360"/>
      <c r="T260" s="360"/>
      <c r="U260" s="734"/>
      <c r="V260" s="8391" t="s">
        <v>3036</v>
      </c>
      <c r="W260" s="8392"/>
      <c r="X260" s="375" t="e">
        <f>IF(V256=0,"",VLOOKUP(V256,'Tablas Magia'!$D$6:$Z$779,9,FALSE))</f>
        <v>#N/A</v>
      </c>
      <c r="Y260" s="375" t="e">
        <f>IF(V256=0,"",VLOOKUP(V256,'Tablas Magia'!$D$6:$Z$779,13,FALSE))</f>
        <v>#N/A</v>
      </c>
      <c r="Z260" s="376" t="e">
        <f>IF(V256=0,"",VLOOKUP(V256,'Tablas Magia'!$D$6:$Z$779,17,FALSE))</f>
        <v>#N/A</v>
      </c>
      <c r="AA260" s="8393" t="e">
        <f>IF(V256=0,"",VLOOKUP(V256,'Tablas Magia'!$D$6:$Z$779,21,FALSE))</f>
        <v>#N/A</v>
      </c>
      <c r="AB260" s="8394"/>
      <c r="AC260" s="8394"/>
      <c r="AD260" s="8394"/>
      <c r="AE260" s="8394"/>
      <c r="AF260" s="8394"/>
      <c r="AG260" s="8394"/>
      <c r="AH260" s="8394"/>
      <c r="AI260" s="8394"/>
      <c r="AJ260" s="8395"/>
      <c r="AK260" s="366"/>
      <c r="AL260" s="360"/>
    </row>
    <row r="261" spans="1:38" ht="12" customHeight="1" thickBot="1">
      <c r="A261" s="360"/>
      <c r="B261" s="734"/>
      <c r="C261" s="8401" t="s">
        <v>3037</v>
      </c>
      <c r="D261" s="8402"/>
      <c r="E261" s="379" t="e">
        <f>IF(C256=0,"",VLOOKUP(C256,'Tablas Magia'!$D$6:$Z$779,10,FALSE))</f>
        <v>#N/A</v>
      </c>
      <c r="F261" s="379" t="e">
        <f>IF(C256=0,"",VLOOKUP(C256,'Tablas Magia'!$D$6:$Z$779,14,FALSE))</f>
        <v>#N/A</v>
      </c>
      <c r="G261" s="380" t="e">
        <f>IF(C256=0,"",VLOOKUP(C256,'Tablas Magia'!$D$6:$Z$779,18,FALSE))</f>
        <v>#N/A</v>
      </c>
      <c r="H261" s="8403" t="e">
        <f>IF(C256=0,"",VLOOKUP(C256,'Tablas Magia'!$D$6:$Z$779,22,FALSE))</f>
        <v>#N/A</v>
      </c>
      <c r="I261" s="8404"/>
      <c r="J261" s="8404"/>
      <c r="K261" s="8404"/>
      <c r="L261" s="8404"/>
      <c r="M261" s="8404"/>
      <c r="N261" s="8404"/>
      <c r="O261" s="8404"/>
      <c r="P261" s="8404"/>
      <c r="Q261" s="8405"/>
      <c r="R261" s="366"/>
      <c r="S261" s="360"/>
      <c r="T261" s="360"/>
      <c r="U261" s="734"/>
      <c r="V261" s="8401" t="s">
        <v>3037</v>
      </c>
      <c r="W261" s="8402"/>
      <c r="X261" s="379" t="e">
        <f>IF(V256=0,"",VLOOKUP(V256,'Tablas Magia'!$D$6:$Z$779,10,FALSE))</f>
        <v>#N/A</v>
      </c>
      <c r="Y261" s="379" t="e">
        <f>IF(V256=0,"",VLOOKUP(V256,'Tablas Magia'!$D$6:$Z$779,14,FALSE))</f>
        <v>#N/A</v>
      </c>
      <c r="Z261" s="380" t="e">
        <f>IF(V256=0,"",VLOOKUP(V256,'Tablas Magia'!$D$6:$Z$779,18,FALSE))</f>
        <v>#N/A</v>
      </c>
      <c r="AA261" s="8403" t="e">
        <f>IF(V256=0,"",VLOOKUP(V256,'Tablas Magia'!$D$6:$Z$779,22,FALSE))</f>
        <v>#N/A</v>
      </c>
      <c r="AB261" s="8404"/>
      <c r="AC261" s="8404"/>
      <c r="AD261" s="8404"/>
      <c r="AE261" s="8404"/>
      <c r="AF261" s="8404"/>
      <c r="AG261" s="8404"/>
      <c r="AH261" s="8404"/>
      <c r="AI261" s="8404"/>
      <c r="AJ261" s="8405"/>
      <c r="AK261" s="366"/>
      <c r="AL261" s="360"/>
    </row>
    <row r="262" spans="1:38" ht="12" customHeight="1">
      <c r="A262" s="360"/>
      <c r="B262" s="734"/>
      <c r="C262" s="8406" t="e">
        <f>IF(C256=0,"",VLOOKUP(C256,'Tablas Magia'!$D$6:$Z$779,23,FALSE))</f>
        <v>#N/A</v>
      </c>
      <c r="D262" s="8407"/>
      <c r="E262" s="8407"/>
      <c r="F262" s="8407"/>
      <c r="G262" s="8407"/>
      <c r="H262" s="8407"/>
      <c r="I262" s="8407"/>
      <c r="J262" s="8407"/>
      <c r="K262" s="8407"/>
      <c r="L262" s="8407"/>
      <c r="M262" s="8407"/>
      <c r="N262" s="8407"/>
      <c r="O262" s="8407"/>
      <c r="P262" s="8407"/>
      <c r="Q262" s="8408"/>
      <c r="R262" s="366"/>
      <c r="S262" s="360"/>
      <c r="T262" s="360"/>
      <c r="U262" s="734"/>
      <c r="V262" s="8406" t="e">
        <f>IF(V256=0,"",VLOOKUP(V256,'Tablas Magia'!$D$6:$Z$779,23,FALSE))</f>
        <v>#N/A</v>
      </c>
      <c r="W262" s="8407"/>
      <c r="X262" s="8407"/>
      <c r="Y262" s="8407"/>
      <c r="Z262" s="8407"/>
      <c r="AA262" s="8407"/>
      <c r="AB262" s="8407"/>
      <c r="AC262" s="8407"/>
      <c r="AD262" s="8407"/>
      <c r="AE262" s="8407"/>
      <c r="AF262" s="8407"/>
      <c r="AG262" s="8407"/>
      <c r="AH262" s="8407"/>
      <c r="AI262" s="8407"/>
      <c r="AJ262" s="8408"/>
      <c r="AK262" s="366"/>
      <c r="AL262" s="360"/>
    </row>
    <row r="263" spans="1:38" ht="12" customHeight="1">
      <c r="A263" s="360"/>
      <c r="B263" s="734"/>
      <c r="C263" s="8409"/>
      <c r="D263" s="8410"/>
      <c r="E263" s="8410"/>
      <c r="F263" s="8410"/>
      <c r="G263" s="8410"/>
      <c r="H263" s="8410"/>
      <c r="I263" s="8410"/>
      <c r="J263" s="8410"/>
      <c r="K263" s="8410"/>
      <c r="L263" s="8410"/>
      <c r="M263" s="8410"/>
      <c r="N263" s="8410"/>
      <c r="O263" s="8410"/>
      <c r="P263" s="8410"/>
      <c r="Q263" s="8411"/>
      <c r="R263" s="366"/>
      <c r="S263" s="360"/>
      <c r="T263" s="360"/>
      <c r="U263" s="734"/>
      <c r="V263" s="8409"/>
      <c r="W263" s="8410"/>
      <c r="X263" s="8410"/>
      <c r="Y263" s="8410"/>
      <c r="Z263" s="8410"/>
      <c r="AA263" s="8410"/>
      <c r="AB263" s="8410"/>
      <c r="AC263" s="8410"/>
      <c r="AD263" s="8410"/>
      <c r="AE263" s="8410"/>
      <c r="AF263" s="8410"/>
      <c r="AG263" s="8410"/>
      <c r="AH263" s="8410"/>
      <c r="AI263" s="8410"/>
      <c r="AJ263" s="8411"/>
      <c r="AK263" s="366"/>
      <c r="AL263" s="360"/>
    </row>
    <row r="264" spans="1:38" ht="12" customHeight="1">
      <c r="A264" s="360"/>
      <c r="B264" s="734"/>
      <c r="C264" s="8409"/>
      <c r="D264" s="8410"/>
      <c r="E264" s="8410"/>
      <c r="F264" s="8410"/>
      <c r="G264" s="8410"/>
      <c r="H264" s="8410"/>
      <c r="I264" s="8410"/>
      <c r="J264" s="8410"/>
      <c r="K264" s="8410"/>
      <c r="L264" s="8410"/>
      <c r="M264" s="8410"/>
      <c r="N264" s="8410"/>
      <c r="O264" s="8410"/>
      <c r="P264" s="8410"/>
      <c r="Q264" s="8411"/>
      <c r="R264" s="366"/>
      <c r="S264" s="360"/>
      <c r="T264" s="360"/>
      <c r="U264" s="734"/>
      <c r="V264" s="8409"/>
      <c r="W264" s="8410"/>
      <c r="X264" s="8410"/>
      <c r="Y264" s="8410"/>
      <c r="Z264" s="8410"/>
      <c r="AA264" s="8410"/>
      <c r="AB264" s="8410"/>
      <c r="AC264" s="8410"/>
      <c r="AD264" s="8410"/>
      <c r="AE264" s="8410"/>
      <c r="AF264" s="8410"/>
      <c r="AG264" s="8410"/>
      <c r="AH264" s="8410"/>
      <c r="AI264" s="8410"/>
      <c r="AJ264" s="8411"/>
      <c r="AK264" s="366"/>
      <c r="AL264" s="360"/>
    </row>
    <row r="265" spans="1:38" ht="12" customHeight="1" thickBot="1">
      <c r="A265" s="360"/>
      <c r="B265" s="734"/>
      <c r="C265" s="8412"/>
      <c r="D265" s="8413"/>
      <c r="E265" s="8413"/>
      <c r="F265" s="8413"/>
      <c r="G265" s="8413"/>
      <c r="H265" s="8413"/>
      <c r="I265" s="8413"/>
      <c r="J265" s="8413"/>
      <c r="K265" s="8413"/>
      <c r="L265" s="8413"/>
      <c r="M265" s="8413"/>
      <c r="N265" s="8413"/>
      <c r="O265" s="8413"/>
      <c r="P265" s="8413"/>
      <c r="Q265" s="8414"/>
      <c r="R265" s="366"/>
      <c r="S265" s="360"/>
      <c r="T265" s="360"/>
      <c r="U265" s="734"/>
      <c r="V265" s="8412"/>
      <c r="W265" s="8413"/>
      <c r="X265" s="8413"/>
      <c r="Y265" s="8413"/>
      <c r="Z265" s="8413"/>
      <c r="AA265" s="8413"/>
      <c r="AB265" s="8413"/>
      <c r="AC265" s="8413"/>
      <c r="AD265" s="8413"/>
      <c r="AE265" s="8413"/>
      <c r="AF265" s="8413"/>
      <c r="AG265" s="8413"/>
      <c r="AH265" s="8413"/>
      <c r="AI265" s="8413"/>
      <c r="AJ265" s="8414"/>
      <c r="AK265" s="366"/>
      <c r="AL265" s="360"/>
    </row>
    <row r="266" spans="1:38" ht="12" customHeight="1">
      <c r="A266" s="360"/>
      <c r="B266" s="734"/>
      <c r="C266" s="2165"/>
      <c r="D266" s="2165"/>
      <c r="E266" s="2165"/>
      <c r="F266" s="2165"/>
      <c r="G266" s="2165"/>
      <c r="H266" s="2165"/>
      <c r="I266" s="2165"/>
      <c r="J266" s="2165"/>
      <c r="K266" s="2165"/>
      <c r="L266" s="2165"/>
      <c r="M266" s="2165"/>
      <c r="N266" s="2165"/>
      <c r="O266" s="2165"/>
      <c r="P266" s="2165"/>
      <c r="Q266" s="2165"/>
      <c r="R266" s="366"/>
      <c r="S266" s="360"/>
      <c r="T266" s="360"/>
      <c r="U266" s="734"/>
      <c r="V266" s="2165"/>
      <c r="W266" s="2165"/>
      <c r="X266" s="2165"/>
      <c r="Y266" s="2165"/>
      <c r="Z266" s="2165"/>
      <c r="AA266" s="2165"/>
      <c r="AB266" s="2165"/>
      <c r="AC266" s="2165"/>
      <c r="AD266" s="2165"/>
      <c r="AE266" s="2165"/>
      <c r="AF266" s="2165"/>
      <c r="AG266" s="2165"/>
      <c r="AH266" s="2165"/>
      <c r="AI266" s="2165"/>
      <c r="AJ266" s="2165"/>
      <c r="AK266" s="366"/>
      <c r="AL266" s="360"/>
    </row>
    <row r="267" spans="1:38" ht="12" customHeight="1" thickBot="1">
      <c r="A267" s="360"/>
      <c r="B267" s="735"/>
      <c r="C267" s="388"/>
      <c r="D267" s="388"/>
      <c r="E267" s="388"/>
      <c r="F267" s="388"/>
      <c r="G267" s="388"/>
      <c r="H267" s="388"/>
      <c r="I267" s="388"/>
      <c r="J267" s="388"/>
      <c r="K267" s="388"/>
      <c r="L267" s="388"/>
      <c r="M267" s="388"/>
      <c r="N267" s="388"/>
      <c r="O267" s="388"/>
      <c r="P267" s="388"/>
      <c r="Q267" s="388"/>
      <c r="R267" s="389"/>
      <c r="S267" s="360"/>
      <c r="T267" s="360"/>
      <c r="U267" s="735"/>
      <c r="V267" s="388"/>
      <c r="W267" s="388"/>
      <c r="X267" s="388"/>
      <c r="Y267" s="388"/>
      <c r="Z267" s="388"/>
      <c r="AA267" s="388"/>
      <c r="AB267" s="388"/>
      <c r="AC267" s="388"/>
      <c r="AD267" s="388"/>
      <c r="AE267" s="388"/>
      <c r="AF267" s="388"/>
      <c r="AG267" s="388"/>
      <c r="AH267" s="388"/>
      <c r="AI267" s="388"/>
      <c r="AJ267" s="388"/>
      <c r="AK267" s="389"/>
      <c r="AL267" s="360"/>
    </row>
    <row r="268" spans="1:38" ht="12" customHeight="1">
      <c r="A268" s="1297"/>
      <c r="B268" s="1298"/>
      <c r="C268" s="1297"/>
      <c r="D268" s="1297"/>
      <c r="E268" s="1297"/>
      <c r="F268" s="1297"/>
      <c r="G268" s="1297"/>
      <c r="H268" s="1297"/>
      <c r="I268" s="1297"/>
      <c r="J268" s="1297"/>
      <c r="K268" s="1297"/>
      <c r="L268" s="1297"/>
      <c r="M268" s="1297"/>
      <c r="N268" s="1297"/>
      <c r="O268" s="1297"/>
      <c r="P268" s="1297"/>
      <c r="Q268" s="1297"/>
      <c r="R268" s="1297"/>
      <c r="S268" s="1297"/>
      <c r="T268" s="1297"/>
      <c r="U268" s="1298"/>
      <c r="V268" s="1297"/>
      <c r="W268" s="1297"/>
      <c r="X268" s="1297"/>
      <c r="Y268" s="1297"/>
      <c r="Z268" s="1297"/>
      <c r="AA268" s="1297"/>
      <c r="AB268" s="1297"/>
      <c r="AC268" s="1297"/>
      <c r="AD268" s="1297"/>
      <c r="AE268" s="1297"/>
      <c r="AF268" s="1297"/>
      <c r="AG268" s="1297"/>
      <c r="AH268" s="1297"/>
      <c r="AI268" s="1297"/>
      <c r="AJ268" s="1297"/>
      <c r="AK268" s="1297"/>
      <c r="AL268" s="1297"/>
    </row>
    <row r="269" spans="1:38" ht="12" customHeight="1" thickBot="1">
      <c r="A269" s="360"/>
      <c r="B269" s="360"/>
      <c r="C269" s="360"/>
      <c r="D269" s="360"/>
      <c r="E269" s="360"/>
      <c r="F269" s="360"/>
      <c r="G269" s="360"/>
      <c r="H269" s="360"/>
      <c r="I269" s="360"/>
      <c r="J269" s="360"/>
      <c r="K269" s="360"/>
      <c r="L269" s="360"/>
      <c r="M269" s="360"/>
      <c r="N269" s="360"/>
      <c r="O269" s="360"/>
      <c r="P269" s="360"/>
      <c r="Q269" s="360"/>
      <c r="R269" s="360"/>
      <c r="S269" s="360"/>
      <c r="T269" s="360"/>
      <c r="U269" s="732"/>
      <c r="V269" s="360"/>
      <c r="W269" s="360"/>
      <c r="X269" s="360"/>
      <c r="Y269" s="360"/>
      <c r="Z269" s="360"/>
      <c r="AA269" s="360"/>
      <c r="AB269" s="360"/>
      <c r="AC269" s="360"/>
      <c r="AD269" s="360"/>
      <c r="AE269" s="360"/>
      <c r="AF269" s="360"/>
      <c r="AG269" s="360"/>
      <c r="AH269" s="360"/>
      <c r="AI269" s="360"/>
      <c r="AJ269" s="360"/>
      <c r="AK269" s="360"/>
      <c r="AL269" s="360"/>
    </row>
    <row r="270" spans="1:38" ht="17.25" customHeight="1" thickBot="1">
      <c r="A270" s="1297"/>
      <c r="B270" s="981"/>
      <c r="C270" s="362"/>
      <c r="D270" s="362"/>
      <c r="E270" s="362"/>
      <c r="F270" s="362"/>
      <c r="G270" s="362"/>
      <c r="H270" s="362"/>
      <c r="I270" s="362"/>
      <c r="J270" s="362"/>
      <c r="K270" s="362"/>
      <c r="L270" s="362"/>
      <c r="M270" s="362"/>
      <c r="N270" s="362"/>
      <c r="O270" s="362"/>
      <c r="P270" s="362"/>
      <c r="Q270" s="362"/>
      <c r="R270" s="363"/>
      <c r="S270" s="360"/>
      <c r="T270" s="1297"/>
      <c r="U270" s="981"/>
      <c r="V270" s="362"/>
      <c r="W270" s="362"/>
      <c r="X270" s="362"/>
      <c r="Y270" s="362"/>
      <c r="Z270" s="362"/>
      <c r="AA270" s="362"/>
      <c r="AB270" s="362"/>
      <c r="AC270" s="362"/>
      <c r="AD270" s="362"/>
      <c r="AE270" s="362"/>
      <c r="AF270" s="362"/>
      <c r="AG270" s="362"/>
      <c r="AH270" s="362"/>
      <c r="AI270" s="362"/>
      <c r="AJ270" s="362"/>
      <c r="AK270" s="363"/>
      <c r="AL270" s="360"/>
    </row>
    <row r="271" spans="1:38" ht="12" customHeight="1">
      <c r="A271" s="1297"/>
      <c r="B271" s="982"/>
      <c r="C271" s="8380"/>
      <c r="D271" s="8381"/>
      <c r="E271" s="8381"/>
      <c r="F271" s="8381"/>
      <c r="G271" s="8381"/>
      <c r="H271" s="8381"/>
      <c r="I271" s="364"/>
      <c r="J271" s="364"/>
      <c r="K271" s="364"/>
      <c r="L271" s="364"/>
      <c r="M271" s="364"/>
      <c r="N271" s="364"/>
      <c r="O271" s="364"/>
      <c r="P271" s="364"/>
      <c r="Q271" s="365"/>
      <c r="R271" s="366"/>
      <c r="S271" s="360"/>
      <c r="T271" s="1297"/>
      <c r="U271" s="982"/>
      <c r="V271" s="8380"/>
      <c r="W271" s="8381"/>
      <c r="X271" s="8381"/>
      <c r="Y271" s="8381"/>
      <c r="Z271" s="8381"/>
      <c r="AA271" s="8381"/>
      <c r="AB271" s="364"/>
      <c r="AC271" s="364"/>
      <c r="AD271" s="364"/>
      <c r="AE271" s="364"/>
      <c r="AF271" s="364"/>
      <c r="AG271" s="364"/>
      <c r="AH271" s="364"/>
      <c r="AI271" s="364"/>
      <c r="AJ271" s="365"/>
      <c r="AK271" s="366"/>
      <c r="AL271" s="360"/>
    </row>
    <row r="272" spans="1:38" ht="12" customHeight="1">
      <c r="A272" s="1538"/>
      <c r="B272" s="1537"/>
      <c r="C272" s="8382"/>
      <c r="D272" s="8383"/>
      <c r="E272" s="8383"/>
      <c r="F272" s="8383"/>
      <c r="G272" s="8383"/>
      <c r="H272" s="8383"/>
      <c r="I272" s="311"/>
      <c r="J272" s="8436" t="s">
        <v>9578</v>
      </c>
      <c r="K272" s="8437"/>
      <c r="L272" s="8437"/>
      <c r="M272" s="8437"/>
      <c r="N272" s="8437"/>
      <c r="O272" s="8437"/>
      <c r="P272" s="8437"/>
      <c r="Q272" s="331"/>
      <c r="R272" s="738"/>
      <c r="S272" s="737"/>
      <c r="T272" s="1538"/>
      <c r="U272" s="1537"/>
      <c r="V272" s="8382"/>
      <c r="W272" s="8383"/>
      <c r="X272" s="8383"/>
      <c r="Y272" s="8383"/>
      <c r="Z272" s="8383"/>
      <c r="AA272" s="8383"/>
      <c r="AB272" s="311"/>
      <c r="AC272" s="8436" t="s">
        <v>9578</v>
      </c>
      <c r="AD272" s="8437"/>
      <c r="AE272" s="8437"/>
      <c r="AF272" s="8437"/>
      <c r="AG272" s="8437"/>
      <c r="AH272" s="8437"/>
      <c r="AI272" s="8437"/>
      <c r="AJ272" s="331"/>
      <c r="AK272" s="738"/>
      <c r="AL272" s="737"/>
    </row>
    <row r="273" spans="1:38" ht="12" customHeight="1">
      <c r="A273" s="1297"/>
      <c r="B273" s="982"/>
      <c r="C273" s="8382"/>
      <c r="D273" s="8383"/>
      <c r="E273" s="8383"/>
      <c r="F273" s="8383"/>
      <c r="G273" s="8383"/>
      <c r="H273" s="8383"/>
      <c r="I273" s="311"/>
      <c r="J273" s="8437"/>
      <c r="K273" s="8437"/>
      <c r="L273" s="8437"/>
      <c r="M273" s="8437"/>
      <c r="N273" s="8437"/>
      <c r="O273" s="8437"/>
      <c r="P273" s="8437"/>
      <c r="Q273" s="367"/>
      <c r="R273" s="366"/>
      <c r="S273" s="360"/>
      <c r="T273" s="1297"/>
      <c r="U273" s="982"/>
      <c r="V273" s="8382"/>
      <c r="W273" s="8383"/>
      <c r="X273" s="8383"/>
      <c r="Y273" s="8383"/>
      <c r="Z273" s="8383"/>
      <c r="AA273" s="8383"/>
      <c r="AB273" s="311"/>
      <c r="AC273" s="8437"/>
      <c r="AD273" s="8437"/>
      <c r="AE273" s="8437"/>
      <c r="AF273" s="8437"/>
      <c r="AG273" s="8437"/>
      <c r="AH273" s="8437"/>
      <c r="AI273" s="8437"/>
      <c r="AJ273" s="367"/>
      <c r="AK273" s="366"/>
      <c r="AL273" s="360"/>
    </row>
    <row r="274" spans="1:38" ht="12" customHeight="1">
      <c r="A274" s="1297"/>
      <c r="B274" s="982"/>
      <c r="C274" s="8382"/>
      <c r="D274" s="8383"/>
      <c r="E274" s="8383"/>
      <c r="F274" s="8383"/>
      <c r="G274" s="8383"/>
      <c r="H274" s="8383"/>
      <c r="I274" s="2012" t="s">
        <v>6618</v>
      </c>
      <c r="J274" s="8432" t="str">
        <f>IF($J$6="","",$J$6)</f>
        <v/>
      </c>
      <c r="K274" s="8432"/>
      <c r="L274" s="8432"/>
      <c r="M274" s="2008"/>
      <c r="N274" s="2008"/>
      <c r="O274" s="2009" t="str">
        <f>$O$6</f>
        <v>Nivel de vía aprendido</v>
      </c>
      <c r="P274" s="2010">
        <f>$P$6</f>
        <v>0</v>
      </c>
      <c r="Q274" s="367"/>
      <c r="R274" s="366"/>
      <c r="S274" s="360"/>
      <c r="T274" s="1297"/>
      <c r="U274" s="982"/>
      <c r="V274" s="8382"/>
      <c r="W274" s="8383"/>
      <c r="X274" s="8383"/>
      <c r="Y274" s="8383"/>
      <c r="Z274" s="8383"/>
      <c r="AA274" s="8383"/>
      <c r="AB274" s="2012" t="s">
        <v>6618</v>
      </c>
      <c r="AC274" s="8432" t="str">
        <f>IF($J$6="","",$J$6)</f>
        <v/>
      </c>
      <c r="AD274" s="8432"/>
      <c r="AE274" s="8432"/>
      <c r="AF274" s="2008"/>
      <c r="AG274" s="2008"/>
      <c r="AH274" s="2009" t="str">
        <f>$O$6</f>
        <v>Nivel de vía aprendido</v>
      </c>
      <c r="AI274" s="2010">
        <f>$P$6</f>
        <v>0</v>
      </c>
      <c r="AJ274" s="367"/>
      <c r="AK274" s="366"/>
      <c r="AL274" s="360"/>
    </row>
    <row r="275" spans="1:38" ht="12" customHeight="1">
      <c r="A275" s="1297"/>
      <c r="B275" s="982"/>
      <c r="C275" s="8382"/>
      <c r="D275" s="8383"/>
      <c r="E275" s="8383"/>
      <c r="F275" s="8383"/>
      <c r="G275" s="8383"/>
      <c r="H275" s="8383"/>
      <c r="I275" s="2013" t="s">
        <v>6619</v>
      </c>
      <c r="J275" s="8432" t="str">
        <f>IF($J$8="","",$J$8)</f>
        <v/>
      </c>
      <c r="K275" s="8432"/>
      <c r="L275" s="8432"/>
      <c r="M275" s="2008"/>
      <c r="N275" s="2008"/>
      <c r="O275" s="2008"/>
      <c r="P275" s="2008"/>
      <c r="Q275" s="367"/>
      <c r="R275" s="366"/>
      <c r="S275" s="360"/>
      <c r="T275" s="1297"/>
      <c r="U275" s="982"/>
      <c r="V275" s="8382"/>
      <c r="W275" s="8383"/>
      <c r="X275" s="8383"/>
      <c r="Y275" s="8383"/>
      <c r="Z275" s="8383"/>
      <c r="AA275" s="8383"/>
      <c r="AB275" s="2013" t="s">
        <v>6619</v>
      </c>
      <c r="AC275" s="8432" t="str">
        <f>IF($J$8="","",$J$8)</f>
        <v/>
      </c>
      <c r="AD275" s="8432"/>
      <c r="AE275" s="8432"/>
      <c r="AF275" s="2008"/>
      <c r="AG275" s="2008"/>
      <c r="AH275" s="2008"/>
      <c r="AI275" s="2008"/>
      <c r="AJ275" s="367"/>
      <c r="AK275" s="366"/>
      <c r="AL275" s="360"/>
    </row>
    <row r="276" spans="1:38" ht="12" customHeight="1" thickBot="1">
      <c r="A276" s="1297"/>
      <c r="B276" s="982"/>
      <c r="C276" s="8384"/>
      <c r="D276" s="8385"/>
      <c r="E276" s="8385"/>
      <c r="F276" s="8385"/>
      <c r="G276" s="8385"/>
      <c r="H276" s="8385"/>
      <c r="I276" s="368"/>
      <c r="J276" s="368"/>
      <c r="K276" s="368"/>
      <c r="L276" s="368"/>
      <c r="M276" s="368"/>
      <c r="N276" s="368"/>
      <c r="O276" s="368"/>
      <c r="P276" s="368"/>
      <c r="Q276" s="369"/>
      <c r="R276" s="366"/>
      <c r="S276" s="360"/>
      <c r="T276" s="1297"/>
      <c r="U276" s="982"/>
      <c r="V276" s="8384"/>
      <c r="W276" s="8385"/>
      <c r="X276" s="8385"/>
      <c r="Y276" s="8385"/>
      <c r="Z276" s="8385"/>
      <c r="AA276" s="8385"/>
      <c r="AB276" s="368"/>
      <c r="AC276" s="368"/>
      <c r="AD276" s="368"/>
      <c r="AE276" s="368"/>
      <c r="AF276" s="368"/>
      <c r="AG276" s="368"/>
      <c r="AH276" s="368"/>
      <c r="AI276" s="368"/>
      <c r="AJ276" s="369"/>
      <c r="AK276" s="366"/>
      <c r="AL276" s="360"/>
    </row>
    <row r="277" spans="1:38" ht="12" customHeight="1">
      <c r="A277" s="1297"/>
      <c r="B277" s="982"/>
      <c r="R277" s="366"/>
      <c r="S277" s="360"/>
      <c r="T277" s="1297"/>
      <c r="U277" s="982"/>
      <c r="AK277" s="366"/>
      <c r="AL277" s="360"/>
    </row>
    <row r="278" spans="1:38" ht="12" customHeight="1" thickBot="1">
      <c r="A278" s="1297"/>
      <c r="B278" s="742"/>
      <c r="C278" s="8439" t="str">
        <f>"Conjuros de nivel "&amp;B279&amp;"-"&amp;B323</f>
        <v>Conjuros de nivel 82-90</v>
      </c>
      <c r="D278" s="8439"/>
      <c r="E278" s="8439"/>
      <c r="F278" s="8439"/>
      <c r="G278" s="8439"/>
      <c r="H278" s="8439"/>
      <c r="I278" s="8439"/>
      <c r="J278" s="8439"/>
      <c r="K278" s="8439"/>
      <c r="L278" s="8439"/>
      <c r="M278" s="8439"/>
      <c r="N278" s="8439"/>
      <c r="O278" s="8439"/>
      <c r="P278" s="8439"/>
      <c r="Q278" s="8439"/>
      <c r="R278" s="740"/>
      <c r="S278" s="360"/>
      <c r="T278" s="360"/>
      <c r="U278" s="742"/>
      <c r="V278" s="8439" t="str">
        <f>"Conjuros de nivel "&amp;U279&amp;"-"&amp;U323</f>
        <v>Conjuros de nivel 92-100</v>
      </c>
      <c r="W278" s="8439"/>
      <c r="X278" s="8439"/>
      <c r="Y278" s="8439"/>
      <c r="Z278" s="8439"/>
      <c r="AA278" s="8439"/>
      <c r="AB278" s="8439"/>
      <c r="AC278" s="8439"/>
      <c r="AD278" s="8439"/>
      <c r="AE278" s="8439"/>
      <c r="AF278" s="8439"/>
      <c r="AG278" s="8439"/>
      <c r="AH278" s="8439"/>
      <c r="AI278" s="8439"/>
      <c r="AJ278" s="8439"/>
      <c r="AK278" s="740"/>
      <c r="AL278" s="360"/>
    </row>
    <row r="279" spans="1:38" ht="12" customHeight="1">
      <c r="A279" s="360"/>
      <c r="B279" s="734">
        <f>B212+20</f>
        <v>82</v>
      </c>
      <c r="C279" s="8417" t="str">
        <f>IF(ISNA(VLOOKUP($J$6&amp;B279,'Tablas Magia'!$B$6:$D$779,3,FALSE)),IF(ISNA(VLOOKUP($J$8&amp;B279,'Tablas Magia'!$B$6:$D$779,3,FALSE)),IF(ISNA(VLOOKUP($J$6&amp;B279,Místicos!$AD$12:$AJ$50,4,FALSE)),"Libre Acceso 1-"&amp;MID(C$278,SEARCH("-",C$278)+1,3),VLOOKUP($J$6&amp;B279,Místicos!$AD$12:$AJ$50,4,FALSE)),VLOOKUP($J$8&amp;B279,'Tablas Magia'!$B$6:$D$779,3,FALSE)),VLOOKUP($J$6&amp;B279,'Tablas Magia'!$B$6:$D$779,3,FALSE))</f>
        <v>Libre Acceso 1-90</v>
      </c>
      <c r="D279" s="8418"/>
      <c r="E279" s="8418"/>
      <c r="F279" s="8418"/>
      <c r="G279" s="8419"/>
      <c r="H279" s="370" t="s">
        <v>1186</v>
      </c>
      <c r="I279" s="371">
        <f>B279</f>
        <v>82</v>
      </c>
      <c r="J279" s="8420" t="s">
        <v>5816</v>
      </c>
      <c r="K279" s="8420"/>
      <c r="L279" s="8420"/>
      <c r="M279" s="8378" t="e">
        <f>IF(C279=0,"",VLOOKUP(C279,'Tablas Magia'!$D$6:$Z$779,2,FALSE))</f>
        <v>#N/A</v>
      </c>
      <c r="N279" s="8378"/>
      <c r="O279" s="1525"/>
      <c r="P279" s="8415" t="str">
        <f>IFERROR(IF(M279="Libre Acceso","Aprendido",IF(IFERROR(VLOOKUP(M279,Místicos!$C$15:$H$25,6,0)&gt;=I279,FALSE),"Aprendido",IF(IFERROR(VLOOKUP(M279,Místicos!$E$15:$H$25,4,0)&gt;=I279,FALSE),"Aprendido",""))),"")</f>
        <v/>
      </c>
      <c r="Q279" s="8416"/>
      <c r="R279" s="366"/>
      <c r="S279" s="360"/>
      <c r="T279" s="360"/>
      <c r="U279" s="734">
        <f>B323+2</f>
        <v>92</v>
      </c>
      <c r="V279" s="8417" t="str">
        <f>IF(ISNA(VLOOKUP($J$6&amp;U279,'Tablas Magia'!$B$6:$D$779,3,FALSE)),IF(ISNA(VLOOKUP($J$8&amp;U279,'Tablas Magia'!$B$6:$D$779,3,FALSE)),IF(ISNA(VLOOKUP($J$6&amp;U279,Místicos!$AD$12:$AJ$50,4,FALSE)),"Libre Acceso 1-"&amp;MID(V$278,SEARCH("-",V$278)+1,3),VLOOKUP($J$6&amp;U279,Místicos!$AD$12:$AJ$50,4,FALSE)),VLOOKUP($J$8&amp;U279,'Tablas Magia'!$B$6:$D$779,3,FALSE)),VLOOKUP($J$6&amp;U279,'Tablas Magia'!$B$6:$D$779,3,FALSE))</f>
        <v>Libre Acceso 1-100</v>
      </c>
      <c r="W279" s="8418"/>
      <c r="X279" s="8418"/>
      <c r="Y279" s="8418"/>
      <c r="Z279" s="8419"/>
      <c r="AA279" s="370" t="s">
        <v>1186</v>
      </c>
      <c r="AB279" s="371">
        <f>U279</f>
        <v>92</v>
      </c>
      <c r="AC279" s="8420" t="s">
        <v>5816</v>
      </c>
      <c r="AD279" s="8420"/>
      <c r="AE279" s="8420"/>
      <c r="AF279" s="8378" t="e">
        <f>IF(V279=0,"",VLOOKUP(V279,'Tablas Magia'!$D$6:$Z$779,2,FALSE))</f>
        <v>#N/A</v>
      </c>
      <c r="AG279" s="8378"/>
      <c r="AH279" s="1525"/>
      <c r="AI279" s="8415" t="str">
        <f>IFERROR(IF(AF279="Libre Acceso","Aprendido",IF(IFERROR(VLOOKUP(AF279,Místicos!$C$15:$H$25,6,0)&gt;=AB279,FALSE),"Aprendido",IF(IFERROR(VLOOKUP(AF279,Místicos!$E$15:$H$25,4,0)&gt;=AB279,FALSE),"Aprendido",""))),"")</f>
        <v/>
      </c>
      <c r="AJ279" s="8416"/>
      <c r="AK279" s="366"/>
      <c r="AL279" s="360"/>
    </row>
    <row r="280" spans="1:38" ht="12" customHeight="1">
      <c r="A280" s="360"/>
      <c r="B280" s="734"/>
      <c r="C280" s="8399" t="s">
        <v>5817</v>
      </c>
      <c r="D280" s="8426"/>
      <c r="E280" s="2162" t="s">
        <v>5818</v>
      </c>
      <c r="F280" s="2162" t="s">
        <v>1368</v>
      </c>
      <c r="G280" s="2162" t="s">
        <v>2666</v>
      </c>
      <c r="H280" s="2163" t="s">
        <v>1690</v>
      </c>
      <c r="I280" s="8424" t="e">
        <f>IF(C279=0,"",VLOOKUP(C279,'Tablas Magia'!$D$6:$Z$779,5,FALSE))</f>
        <v>#N/A</v>
      </c>
      <c r="J280" s="8424"/>
      <c r="K280" s="8427" t="s">
        <v>5819</v>
      </c>
      <c r="L280" s="8427"/>
      <c r="M280" s="8424" t="e">
        <f>IF(C279=0,"",VLOOKUP(C279,'Tablas Magia'!$D$6:$Z$779,6,FALSE))</f>
        <v>#N/A</v>
      </c>
      <c r="N280" s="8424"/>
      <c r="O280" s="8425" t="s">
        <v>5820</v>
      </c>
      <c r="P280" s="8425"/>
      <c r="Q280" s="2164" t="e">
        <f>IF(C279=0,"",VLOOKUP(C279,'Tablas Magia'!$D$6:$Z$779,4,FALSE))</f>
        <v>#N/A</v>
      </c>
      <c r="R280" s="366"/>
      <c r="S280" s="360"/>
      <c r="T280" s="360"/>
      <c r="U280" s="734"/>
      <c r="V280" s="8399" t="s">
        <v>5817</v>
      </c>
      <c r="W280" s="8428"/>
      <c r="X280" s="1534" t="s">
        <v>5818</v>
      </c>
      <c r="Y280" s="1534" t="s">
        <v>1368</v>
      </c>
      <c r="Z280" s="1534" t="s">
        <v>2666</v>
      </c>
      <c r="AA280" s="1535" t="s">
        <v>1690</v>
      </c>
      <c r="AB280" s="8429" t="e">
        <f>IF(V279=0,"",VLOOKUP(V279,'Tablas Magia'!$D$6:$Z$779,5,FALSE))</f>
        <v>#N/A</v>
      </c>
      <c r="AC280" s="8429"/>
      <c r="AD280" s="8430" t="s">
        <v>5819</v>
      </c>
      <c r="AE280" s="8430"/>
      <c r="AF280" s="8429" t="e">
        <f>IF(V279=0,"",VLOOKUP(V279,'Tablas Magia'!$D$6:$Z$779,6,FALSE))</f>
        <v>#N/A</v>
      </c>
      <c r="AG280" s="8429"/>
      <c r="AH280" s="8431" t="s">
        <v>5820</v>
      </c>
      <c r="AI280" s="8431"/>
      <c r="AJ280" s="1536" t="e">
        <f>IF(V279=0,"",VLOOKUP(V279,'Tablas Magia'!$D$6:$Z$779,4,FALSE))</f>
        <v>#N/A</v>
      </c>
      <c r="AK280" s="366"/>
      <c r="AL280" s="360"/>
    </row>
    <row r="281" spans="1:38" ht="12" customHeight="1">
      <c r="A281" s="360"/>
      <c r="B281" s="734"/>
      <c r="C281" s="8391" t="s">
        <v>1225</v>
      </c>
      <c r="D281" s="8392"/>
      <c r="E281" s="375" t="e">
        <f>IF(C279=0,"",VLOOKUP(C279,'Tablas Magia'!$D$6:$Z$779,7,FALSE))</f>
        <v>#N/A</v>
      </c>
      <c r="F281" s="375" t="e">
        <f>IF(C279=0,"",VLOOKUP(C279,'Tablas Magia'!$D$6:$Z$779,11,FALSE))</f>
        <v>#N/A</v>
      </c>
      <c r="G281" s="376" t="e">
        <f>IF(C279=0,"",VLOOKUP(C279,'Tablas Magia'!$D$6:$Z$779,15,FALSE))</f>
        <v>#N/A</v>
      </c>
      <c r="H281" s="8393" t="e">
        <f>IF(C279=0,"",VLOOKUP(C279,'Tablas Magia'!$D$6:$Z$779,19,FALSE))</f>
        <v>#N/A</v>
      </c>
      <c r="I281" s="8394"/>
      <c r="J281" s="8394"/>
      <c r="K281" s="8394"/>
      <c r="L281" s="8394"/>
      <c r="M281" s="8394"/>
      <c r="N281" s="8394"/>
      <c r="O281" s="8394"/>
      <c r="P281" s="8394"/>
      <c r="Q281" s="8395"/>
      <c r="R281" s="366"/>
      <c r="S281" s="360"/>
      <c r="T281" s="360"/>
      <c r="U281" s="734"/>
      <c r="V281" s="8434" t="s">
        <v>1225</v>
      </c>
      <c r="W281" s="8435"/>
      <c r="X281" s="375" t="e">
        <f>IF(V279=0,"",VLOOKUP(V279,'Tablas Magia'!$D$6:$Z$779,7,FALSE))</f>
        <v>#N/A</v>
      </c>
      <c r="Y281" s="375" t="e">
        <f>IF(V279=0,"",VLOOKUP(V279,'Tablas Magia'!$D$6:$Z$779,11,FALSE))</f>
        <v>#N/A</v>
      </c>
      <c r="Z281" s="376" t="e">
        <f>IF(V279=0,"",VLOOKUP(V279,'Tablas Magia'!$D$6:$Z$779,15,FALSE))</f>
        <v>#N/A</v>
      </c>
      <c r="AA281" s="8421" t="e">
        <f>IF(V279=0,"",VLOOKUP(V279,'Tablas Magia'!$D$6:$Z$779,19,FALSE))</f>
        <v>#N/A</v>
      </c>
      <c r="AB281" s="8422"/>
      <c r="AC281" s="8422"/>
      <c r="AD281" s="8422"/>
      <c r="AE281" s="8422"/>
      <c r="AF281" s="8422"/>
      <c r="AG281" s="8422"/>
      <c r="AH281" s="8422"/>
      <c r="AI281" s="8422"/>
      <c r="AJ281" s="8423"/>
      <c r="AK281" s="366"/>
      <c r="AL281" s="360"/>
    </row>
    <row r="282" spans="1:38" ht="12" customHeight="1">
      <c r="A282" s="360"/>
      <c r="B282" s="734"/>
      <c r="C282" s="8386" t="s">
        <v>3035</v>
      </c>
      <c r="D282" s="8387"/>
      <c r="E282" s="377" t="e">
        <f>IF(C279=0,"",VLOOKUP(C279,'Tablas Magia'!$D$6:$Z$779,8,FALSE))</f>
        <v>#N/A</v>
      </c>
      <c r="F282" s="377" t="e">
        <f>IF(C279=0,"",VLOOKUP(C279,'Tablas Magia'!$D$6:$Z$779,12,FALSE))</f>
        <v>#N/A</v>
      </c>
      <c r="G282" s="378" t="e">
        <f>IF(C279=0,"",VLOOKUP(C279,'Tablas Magia'!$D$6:$Z$779,16,FALSE))</f>
        <v>#N/A</v>
      </c>
      <c r="H282" s="8388" t="e">
        <f>IF(C279=0,"",VLOOKUP(C279,'Tablas Magia'!$D$6:$Z$779,20,FALSE))</f>
        <v>#N/A</v>
      </c>
      <c r="I282" s="8389"/>
      <c r="J282" s="8389"/>
      <c r="K282" s="8389"/>
      <c r="L282" s="8389"/>
      <c r="M282" s="8389"/>
      <c r="N282" s="8389"/>
      <c r="O282" s="8389"/>
      <c r="P282" s="8389"/>
      <c r="Q282" s="8390"/>
      <c r="R282" s="366"/>
      <c r="S282" s="360"/>
      <c r="T282" s="360"/>
      <c r="U282" s="734"/>
      <c r="V282" s="8386" t="s">
        <v>3035</v>
      </c>
      <c r="W282" s="8387"/>
      <c r="X282" s="377" t="e">
        <f>IF(V279=0,"",VLOOKUP(V279,'Tablas Magia'!$D$6:$Z$779,8,FALSE))</f>
        <v>#N/A</v>
      </c>
      <c r="Y282" s="377" t="e">
        <f>IF(V279=0,"",VLOOKUP(V279,'Tablas Magia'!$D$6:$Z$779,12,FALSE))</f>
        <v>#N/A</v>
      </c>
      <c r="Z282" s="378" t="e">
        <f>IF(V279=0,"",VLOOKUP(V279,'Tablas Magia'!$D$6:$Z$779,16,FALSE))</f>
        <v>#N/A</v>
      </c>
      <c r="AA282" s="8388" t="e">
        <f>IF(V279=0,"",VLOOKUP(V279,'Tablas Magia'!$D$6:$Z$779,20,FALSE))</f>
        <v>#N/A</v>
      </c>
      <c r="AB282" s="8389"/>
      <c r="AC282" s="8389"/>
      <c r="AD282" s="8389"/>
      <c r="AE282" s="8389"/>
      <c r="AF282" s="8389"/>
      <c r="AG282" s="8389"/>
      <c r="AH282" s="8389"/>
      <c r="AI282" s="8389"/>
      <c r="AJ282" s="8390"/>
      <c r="AK282" s="366"/>
      <c r="AL282" s="360"/>
    </row>
    <row r="283" spans="1:38" ht="12" customHeight="1">
      <c r="A283" s="360"/>
      <c r="B283" s="734"/>
      <c r="C283" s="8391" t="s">
        <v>3036</v>
      </c>
      <c r="D283" s="8392"/>
      <c r="E283" s="375" t="e">
        <f>IF(C279=0,"",VLOOKUP(C279,'Tablas Magia'!$D$6:$Z$779,9,FALSE))</f>
        <v>#N/A</v>
      </c>
      <c r="F283" s="375" t="e">
        <f>IF(C279=0,"",VLOOKUP(C279,'Tablas Magia'!$D$6:$Z$779,13,FALSE))</f>
        <v>#N/A</v>
      </c>
      <c r="G283" s="376" t="e">
        <f>IF(C279=0,"",VLOOKUP(C279,'Tablas Magia'!$D$6:$Z$779,17,FALSE))</f>
        <v>#N/A</v>
      </c>
      <c r="H283" s="8393" t="e">
        <f>IF(C279=0,"",VLOOKUP(C279,'Tablas Magia'!$D$6:$Z$779,21,FALSE))</f>
        <v>#N/A</v>
      </c>
      <c r="I283" s="8394"/>
      <c r="J283" s="8394"/>
      <c r="K283" s="8394"/>
      <c r="L283" s="8394"/>
      <c r="M283" s="8394"/>
      <c r="N283" s="8394"/>
      <c r="O283" s="8394"/>
      <c r="P283" s="8394"/>
      <c r="Q283" s="8395"/>
      <c r="R283" s="366"/>
      <c r="S283" s="360"/>
      <c r="T283" s="360"/>
      <c r="U283" s="734"/>
      <c r="V283" s="8391" t="s">
        <v>3036</v>
      </c>
      <c r="W283" s="8392"/>
      <c r="X283" s="375" t="e">
        <f>IF(V279=0,"",VLOOKUP(V279,'Tablas Magia'!$D$6:$Z$779,9,FALSE))</f>
        <v>#N/A</v>
      </c>
      <c r="Y283" s="375" t="e">
        <f>IF(V279=0,"",VLOOKUP(V279,'Tablas Magia'!$D$6:$Z$779,13,FALSE))</f>
        <v>#N/A</v>
      </c>
      <c r="Z283" s="376" t="e">
        <f>IF(V279=0,"",VLOOKUP(V279,'Tablas Magia'!$D$6:$Z$779,17,FALSE))</f>
        <v>#N/A</v>
      </c>
      <c r="AA283" s="8393" t="e">
        <f>IF(V279=0,"",VLOOKUP(V279,'Tablas Magia'!$D$6:$Z$779,21,FALSE))</f>
        <v>#N/A</v>
      </c>
      <c r="AB283" s="8394"/>
      <c r="AC283" s="8394"/>
      <c r="AD283" s="8394"/>
      <c r="AE283" s="8394"/>
      <c r="AF283" s="8394"/>
      <c r="AG283" s="8394"/>
      <c r="AH283" s="8394"/>
      <c r="AI283" s="8394"/>
      <c r="AJ283" s="8395"/>
      <c r="AK283" s="366"/>
      <c r="AL283" s="360"/>
    </row>
    <row r="284" spans="1:38" ht="12" customHeight="1" thickBot="1">
      <c r="A284" s="360"/>
      <c r="B284" s="734"/>
      <c r="C284" s="8401" t="s">
        <v>3037</v>
      </c>
      <c r="D284" s="8402"/>
      <c r="E284" s="379" t="e">
        <f>IF(C279=0,"",VLOOKUP(C279,'Tablas Magia'!$D$6:$Z$779,10,FALSE))</f>
        <v>#N/A</v>
      </c>
      <c r="F284" s="379" t="e">
        <f>IF(C279=0,"",VLOOKUP(C279,'Tablas Magia'!$D$6:$Z$779,14,FALSE))</f>
        <v>#N/A</v>
      </c>
      <c r="G284" s="380" t="e">
        <f>IF(C279=0,"",VLOOKUP(C279,'Tablas Magia'!$D$6:$Z$779,18,FALSE))</f>
        <v>#N/A</v>
      </c>
      <c r="H284" s="8403" t="e">
        <f>IF(C279=0,"",VLOOKUP(C279,'Tablas Magia'!$D$6:$Z$779,22,FALSE))</f>
        <v>#N/A</v>
      </c>
      <c r="I284" s="8404"/>
      <c r="J284" s="8404"/>
      <c r="K284" s="8404"/>
      <c r="L284" s="8404"/>
      <c r="M284" s="8404"/>
      <c r="N284" s="8404"/>
      <c r="O284" s="8404"/>
      <c r="P284" s="8404"/>
      <c r="Q284" s="8405"/>
      <c r="R284" s="366"/>
      <c r="S284" s="360"/>
      <c r="T284" s="360"/>
      <c r="U284" s="734"/>
      <c r="V284" s="8401" t="s">
        <v>3037</v>
      </c>
      <c r="W284" s="8402"/>
      <c r="X284" s="379" t="e">
        <f>IF(V279=0,"",VLOOKUP(V279,'Tablas Magia'!$D$6:$Z$779,10,FALSE))</f>
        <v>#N/A</v>
      </c>
      <c r="Y284" s="379" t="e">
        <f>IF(V279=0,"",VLOOKUP(V279,'Tablas Magia'!$D$6:$Z$779,14,FALSE))</f>
        <v>#N/A</v>
      </c>
      <c r="Z284" s="380" t="e">
        <f>IF(V279=0,"",VLOOKUP(V279,'Tablas Magia'!$D$6:$Z$779,18,FALSE))</f>
        <v>#N/A</v>
      </c>
      <c r="AA284" s="8403" t="e">
        <f>IF(V279=0,"",VLOOKUP(V279,'Tablas Magia'!$D$6:$Z$779,22,FALSE))</f>
        <v>#N/A</v>
      </c>
      <c r="AB284" s="8404"/>
      <c r="AC284" s="8404"/>
      <c r="AD284" s="8404"/>
      <c r="AE284" s="8404"/>
      <c r="AF284" s="8404"/>
      <c r="AG284" s="8404"/>
      <c r="AH284" s="8404"/>
      <c r="AI284" s="8404"/>
      <c r="AJ284" s="8405"/>
      <c r="AK284" s="366"/>
      <c r="AL284" s="360"/>
    </row>
    <row r="285" spans="1:38" ht="12" customHeight="1">
      <c r="A285" s="360"/>
      <c r="B285" s="734"/>
      <c r="C285" s="8406" t="e">
        <f>IF(C279=0,"",VLOOKUP(C279,'Tablas Magia'!$D$6:$Z$779,23,FALSE))</f>
        <v>#N/A</v>
      </c>
      <c r="D285" s="8407"/>
      <c r="E285" s="8407"/>
      <c r="F285" s="8407"/>
      <c r="G285" s="8407"/>
      <c r="H285" s="8407"/>
      <c r="I285" s="8407"/>
      <c r="J285" s="8407"/>
      <c r="K285" s="8407"/>
      <c r="L285" s="8407"/>
      <c r="M285" s="8407"/>
      <c r="N285" s="8407"/>
      <c r="O285" s="8407"/>
      <c r="P285" s="8407"/>
      <c r="Q285" s="8408"/>
      <c r="R285" s="366"/>
      <c r="S285" s="360"/>
      <c r="T285" s="360"/>
      <c r="U285" s="734"/>
      <c r="V285" s="8406" t="e">
        <f>IF(V279=0,"",VLOOKUP(V279,'Tablas Magia'!$D$6:$Z$779,23,FALSE))</f>
        <v>#N/A</v>
      </c>
      <c r="W285" s="8407"/>
      <c r="X285" s="8407"/>
      <c r="Y285" s="8407"/>
      <c r="Z285" s="8407"/>
      <c r="AA285" s="8407"/>
      <c r="AB285" s="8407"/>
      <c r="AC285" s="8407"/>
      <c r="AD285" s="8407"/>
      <c r="AE285" s="8407"/>
      <c r="AF285" s="8407"/>
      <c r="AG285" s="8407"/>
      <c r="AH285" s="8407"/>
      <c r="AI285" s="8407"/>
      <c r="AJ285" s="8408"/>
      <c r="AK285" s="366"/>
      <c r="AL285" s="360"/>
    </row>
    <row r="286" spans="1:38" ht="12" customHeight="1">
      <c r="A286" s="360"/>
      <c r="B286" s="734"/>
      <c r="C286" s="8409"/>
      <c r="D286" s="8410"/>
      <c r="E286" s="8410"/>
      <c r="F286" s="8410"/>
      <c r="G286" s="8410"/>
      <c r="H286" s="8410"/>
      <c r="I286" s="8410"/>
      <c r="J286" s="8410"/>
      <c r="K286" s="8410"/>
      <c r="L286" s="8410"/>
      <c r="M286" s="8410"/>
      <c r="N286" s="8410"/>
      <c r="O286" s="8410"/>
      <c r="P286" s="8410"/>
      <c r="Q286" s="8411"/>
      <c r="R286" s="366"/>
      <c r="S286" s="360"/>
      <c r="T286" s="360"/>
      <c r="U286" s="734"/>
      <c r="V286" s="8409"/>
      <c r="W286" s="8410"/>
      <c r="X286" s="8410"/>
      <c r="Y286" s="8410"/>
      <c r="Z286" s="8410"/>
      <c r="AA286" s="8410"/>
      <c r="AB286" s="8410"/>
      <c r="AC286" s="8410"/>
      <c r="AD286" s="8410"/>
      <c r="AE286" s="8410"/>
      <c r="AF286" s="8410"/>
      <c r="AG286" s="8410"/>
      <c r="AH286" s="8410"/>
      <c r="AI286" s="8410"/>
      <c r="AJ286" s="8411"/>
      <c r="AK286" s="366"/>
      <c r="AL286" s="360"/>
    </row>
    <row r="287" spans="1:38" ht="12" customHeight="1">
      <c r="A287" s="360"/>
      <c r="B287" s="734"/>
      <c r="C287" s="8409"/>
      <c r="D287" s="8410"/>
      <c r="E287" s="8410"/>
      <c r="F287" s="8410"/>
      <c r="G287" s="8410"/>
      <c r="H287" s="8410"/>
      <c r="I287" s="8410"/>
      <c r="J287" s="8410"/>
      <c r="K287" s="8410"/>
      <c r="L287" s="8410"/>
      <c r="M287" s="8410"/>
      <c r="N287" s="8410"/>
      <c r="O287" s="8410"/>
      <c r="P287" s="8410"/>
      <c r="Q287" s="8411"/>
      <c r="R287" s="366"/>
      <c r="S287" s="360"/>
      <c r="T287" s="360"/>
      <c r="U287" s="734"/>
      <c r="V287" s="8409"/>
      <c r="W287" s="8410"/>
      <c r="X287" s="8410"/>
      <c r="Y287" s="8410"/>
      <c r="Z287" s="8410"/>
      <c r="AA287" s="8410"/>
      <c r="AB287" s="8410"/>
      <c r="AC287" s="8410"/>
      <c r="AD287" s="8410"/>
      <c r="AE287" s="8410"/>
      <c r="AF287" s="8410"/>
      <c r="AG287" s="8410"/>
      <c r="AH287" s="8410"/>
      <c r="AI287" s="8410"/>
      <c r="AJ287" s="8411"/>
      <c r="AK287" s="366"/>
      <c r="AL287" s="360"/>
    </row>
    <row r="288" spans="1:38" ht="12" customHeight="1" thickBot="1">
      <c r="A288" s="360"/>
      <c r="B288" s="734"/>
      <c r="C288" s="8412"/>
      <c r="D288" s="8413"/>
      <c r="E288" s="8413"/>
      <c r="F288" s="8413"/>
      <c r="G288" s="8413"/>
      <c r="H288" s="8413"/>
      <c r="I288" s="8413"/>
      <c r="J288" s="8413"/>
      <c r="K288" s="8413"/>
      <c r="L288" s="8413"/>
      <c r="M288" s="8413"/>
      <c r="N288" s="8413"/>
      <c r="O288" s="8413"/>
      <c r="P288" s="8413"/>
      <c r="Q288" s="8414"/>
      <c r="R288" s="366"/>
      <c r="S288" s="360"/>
      <c r="T288" s="360"/>
      <c r="U288" s="734"/>
      <c r="V288" s="8412"/>
      <c r="W288" s="8413"/>
      <c r="X288" s="8413"/>
      <c r="Y288" s="8413"/>
      <c r="Z288" s="8413"/>
      <c r="AA288" s="8413"/>
      <c r="AB288" s="8413"/>
      <c r="AC288" s="8413"/>
      <c r="AD288" s="8413"/>
      <c r="AE288" s="8413"/>
      <c r="AF288" s="8413"/>
      <c r="AG288" s="8413"/>
      <c r="AH288" s="8413"/>
      <c r="AI288" s="8413"/>
      <c r="AJ288" s="8414"/>
      <c r="AK288" s="366"/>
      <c r="AL288" s="360"/>
    </row>
    <row r="289" spans="1:38" ht="12" customHeight="1" thickBot="1">
      <c r="A289" s="360"/>
      <c r="B289" s="734"/>
      <c r="C289" s="743"/>
      <c r="D289" s="743"/>
      <c r="E289" s="743"/>
      <c r="F289" s="743"/>
      <c r="G289" s="743"/>
      <c r="H289" s="381"/>
      <c r="I289" s="382"/>
      <c r="J289" s="383"/>
      <c r="K289" s="383"/>
      <c r="L289" s="383"/>
      <c r="M289" s="329"/>
      <c r="N289" s="329"/>
      <c r="O289" s="329"/>
      <c r="P289" s="329"/>
      <c r="Q289" s="329"/>
      <c r="R289" s="366"/>
      <c r="S289" s="360"/>
      <c r="T289" s="360"/>
      <c r="U289" s="734"/>
      <c r="V289" s="383"/>
      <c r="W289" s="383"/>
      <c r="X289" s="384"/>
      <c r="Y289" s="384"/>
      <c r="Z289" s="384"/>
      <c r="AA289" s="383"/>
      <c r="AB289" s="329"/>
      <c r="AC289" s="329"/>
      <c r="AD289" s="383"/>
      <c r="AE289" s="383"/>
      <c r="AF289" s="329"/>
      <c r="AG289" s="329"/>
      <c r="AH289" s="385"/>
      <c r="AI289" s="385"/>
      <c r="AJ289" s="329"/>
      <c r="AK289" s="366"/>
      <c r="AL289" s="360"/>
    </row>
    <row r="290" spans="1:38" ht="12" customHeight="1">
      <c r="A290" s="360"/>
      <c r="B290" s="734">
        <f>B279+2</f>
        <v>84</v>
      </c>
      <c r="C290" s="8417" t="str">
        <f>IF(ISNA(VLOOKUP($J$6&amp;B290,'Tablas Magia'!$B$6:$D$779,3,FALSE)),IF(ISNA(VLOOKUP($J$8&amp;B290,'Tablas Magia'!$B$6:$D$779,3,FALSE)),IF(ISNA(VLOOKUP($J$6&amp;B290,Místicos!$AD$12:$AJ$50,4,FALSE)),"Libre Acceso 1-"&amp;MID(C$10,SEARCH("-",C$10)+1,3),VLOOKUP($J$6&amp;B290,Místicos!$AD$12:$AJ$50,4,FALSE)),VLOOKUP($J$8&amp;B290,'Tablas Magia'!$B$6:$D$779,3,FALSE)),VLOOKUP($J$6&amp;B290,'Tablas Magia'!$B$6:$D$779,3,FALSE))</f>
        <v>Libre Acceso 1-10</v>
      </c>
      <c r="D290" s="8418"/>
      <c r="E290" s="8418"/>
      <c r="F290" s="8418"/>
      <c r="G290" s="8419"/>
      <c r="H290" s="370" t="s">
        <v>1186</v>
      </c>
      <c r="I290" s="371">
        <f>B290</f>
        <v>84</v>
      </c>
      <c r="J290" s="8420" t="s">
        <v>5816</v>
      </c>
      <c r="K290" s="8420"/>
      <c r="L290" s="8420"/>
      <c r="M290" s="8378" t="e">
        <f>IF(C290=0,"",VLOOKUP(C290,'Tablas Magia'!$D$6:$Z$779,2,FALSE))</f>
        <v>#N/A</v>
      </c>
      <c r="N290" s="8378"/>
      <c r="O290" s="1525"/>
      <c r="P290" s="8415" t="str">
        <f>IFERROR(IF(M290="Libre Acceso","Aprendido",IF(IFERROR(VLOOKUP(M290,Místicos!$C$15:$H$25,6,0)&gt;=I290,FALSE),"Aprendido",IF(IFERROR(VLOOKUP(M290,Místicos!$E$15:$H$25,4,0)&gt;=I290,FALSE),"Aprendido",""))),"")</f>
        <v/>
      </c>
      <c r="Q290" s="8416"/>
      <c r="R290" s="366"/>
      <c r="S290" s="360"/>
      <c r="T290" s="360"/>
      <c r="U290" s="734">
        <f>U279+2</f>
        <v>94</v>
      </c>
      <c r="V290" s="8417" t="str">
        <f>IF(ISNA(VLOOKUP($J$6&amp;U290,'Tablas Magia'!$B$6:$D$779,3,FALSE)),IF(ISNA(VLOOKUP($J$8&amp;U290,'Tablas Magia'!$B$6:$D$779,3,FALSE)),IF(ISNA(VLOOKUP($J$6&amp;U290,Místicos!$AD$12:$AJ$50,4,FALSE)),"Libre Acceso 1-"&amp;MID(V$10,SEARCH("-",V$10)+1,3),VLOOKUP($J$6&amp;U290,Místicos!$AD$12:$AJ$50,4,FALSE)),VLOOKUP($J$8&amp;U290,'Tablas Magia'!$B$6:$D$779,3,FALSE)),VLOOKUP($J$6&amp;U290,'Tablas Magia'!$B$6:$D$779,3,FALSE))</f>
        <v>Libre Acceso 1-20</v>
      </c>
      <c r="W290" s="8418"/>
      <c r="X290" s="8418"/>
      <c r="Y290" s="8418"/>
      <c r="Z290" s="8419"/>
      <c r="AA290" s="370" t="s">
        <v>1186</v>
      </c>
      <c r="AB290" s="371">
        <f>U290</f>
        <v>94</v>
      </c>
      <c r="AC290" s="8420" t="s">
        <v>5816</v>
      </c>
      <c r="AD290" s="8420"/>
      <c r="AE290" s="8420"/>
      <c r="AF290" s="8378" t="e">
        <f>IF(V290=0,"",VLOOKUP(V290,'Tablas Magia'!$D$6:$Z$779,2,FALSE))</f>
        <v>#N/A</v>
      </c>
      <c r="AG290" s="8378"/>
      <c r="AH290" s="1525"/>
      <c r="AI290" s="8415" t="str">
        <f>IFERROR(IF(AF290="Libre Acceso","Aprendido",IF(IFERROR(VLOOKUP(AF290,Místicos!$C$15:$H$25,6,0)&gt;=AB290,FALSE),"Aprendido",IF(IFERROR(VLOOKUP(AF290,Místicos!$E$15:$H$25,4,0)&gt;=AB290,FALSE),"Aprendido",""))),"")</f>
        <v/>
      </c>
      <c r="AJ290" s="8416"/>
      <c r="AK290" s="366"/>
      <c r="AL290" s="360"/>
    </row>
    <row r="291" spans="1:38" ht="12" customHeight="1">
      <c r="A291" s="360"/>
      <c r="B291" s="734"/>
      <c r="C291" s="8399" t="s">
        <v>5817</v>
      </c>
      <c r="D291" s="8426"/>
      <c r="E291" s="2162" t="s">
        <v>5818</v>
      </c>
      <c r="F291" s="2162" t="s">
        <v>1368</v>
      </c>
      <c r="G291" s="2162" t="s">
        <v>2666</v>
      </c>
      <c r="H291" s="2163" t="s">
        <v>1690</v>
      </c>
      <c r="I291" s="8424" t="e">
        <f>IF(C290=0,"",VLOOKUP(C290,'Tablas Magia'!$D$6:$Z$779,5,FALSE))</f>
        <v>#N/A</v>
      </c>
      <c r="J291" s="8424"/>
      <c r="K291" s="8427" t="s">
        <v>5819</v>
      </c>
      <c r="L291" s="8427"/>
      <c r="M291" s="8424" t="e">
        <f>IF(C290=0,"",VLOOKUP(C290,'Tablas Magia'!$D$6:$Z$779,6,FALSE))</f>
        <v>#N/A</v>
      </c>
      <c r="N291" s="8424"/>
      <c r="O291" s="8425" t="s">
        <v>5820</v>
      </c>
      <c r="P291" s="8425"/>
      <c r="Q291" s="2164" t="e">
        <f>IF(C290=0,"",VLOOKUP(C290,'Tablas Magia'!$D$6:$Z$779,4,FALSE))</f>
        <v>#N/A</v>
      </c>
      <c r="R291" s="366"/>
      <c r="S291" s="360"/>
      <c r="T291" s="360"/>
      <c r="U291" s="734"/>
      <c r="V291" s="8399" t="s">
        <v>5817</v>
      </c>
      <c r="W291" s="8428"/>
      <c r="X291" s="1534" t="s">
        <v>5818</v>
      </c>
      <c r="Y291" s="1534" t="s">
        <v>1368</v>
      </c>
      <c r="Z291" s="1534" t="s">
        <v>2666</v>
      </c>
      <c r="AA291" s="1535" t="s">
        <v>1690</v>
      </c>
      <c r="AB291" s="8429" t="e">
        <f>IF(V290=0,"",VLOOKUP(V290,'Tablas Magia'!$D$6:$Z$779,5,FALSE))</f>
        <v>#N/A</v>
      </c>
      <c r="AC291" s="8429"/>
      <c r="AD291" s="8430" t="s">
        <v>5819</v>
      </c>
      <c r="AE291" s="8430"/>
      <c r="AF291" s="8429" t="e">
        <f>IF(V290=0,"",VLOOKUP(V290,'Tablas Magia'!$D$6:$Z$779,6,FALSE))</f>
        <v>#N/A</v>
      </c>
      <c r="AG291" s="8429"/>
      <c r="AH291" s="8431" t="s">
        <v>5820</v>
      </c>
      <c r="AI291" s="8431"/>
      <c r="AJ291" s="1536" t="e">
        <f>IF(V290=0,"",VLOOKUP(V290,'Tablas Magia'!$D$6:$Z$779,4,FALSE))</f>
        <v>#N/A</v>
      </c>
      <c r="AK291" s="366"/>
      <c r="AL291" s="360"/>
    </row>
    <row r="292" spans="1:38" ht="12" customHeight="1">
      <c r="A292" s="360"/>
      <c r="B292" s="734"/>
      <c r="C292" s="8434" t="s">
        <v>1225</v>
      </c>
      <c r="D292" s="8435"/>
      <c r="E292" s="375" t="e">
        <f>IF(C290=0,"",VLOOKUP(C290,'Tablas Magia'!$D$6:$Z$779,7,FALSE))</f>
        <v>#N/A</v>
      </c>
      <c r="F292" s="375" t="e">
        <f>IF(C290=0,"",VLOOKUP(C290,'Tablas Magia'!$D$6:$Z$779,11,FALSE))</f>
        <v>#N/A</v>
      </c>
      <c r="G292" s="376" t="e">
        <f>IF(C290=0,"",VLOOKUP(C290,'Tablas Magia'!$D$6:$Z$779,15,FALSE))</f>
        <v>#N/A</v>
      </c>
      <c r="H292" s="8421" t="e">
        <f>IF(C290=0,"",VLOOKUP(C290,'Tablas Magia'!$D$6:$Z$779,19,FALSE))</f>
        <v>#N/A</v>
      </c>
      <c r="I292" s="8422"/>
      <c r="J292" s="8422"/>
      <c r="K292" s="8422"/>
      <c r="L292" s="8422"/>
      <c r="M292" s="8422"/>
      <c r="N292" s="8422"/>
      <c r="O292" s="8422"/>
      <c r="P292" s="8422"/>
      <c r="Q292" s="8423"/>
      <c r="R292" s="366"/>
      <c r="S292" s="360"/>
      <c r="T292" s="360"/>
      <c r="U292" s="734"/>
      <c r="V292" s="8391" t="s">
        <v>1225</v>
      </c>
      <c r="W292" s="8392"/>
      <c r="X292" s="375" t="e">
        <f>IF(V290=0,"",VLOOKUP(V290,'Tablas Magia'!$D$6:$Z$779,7,FALSE))</f>
        <v>#N/A</v>
      </c>
      <c r="Y292" s="375" t="e">
        <f>IF(V290=0,"",VLOOKUP(V290,'Tablas Magia'!$D$6:$Z$779,11,FALSE))</f>
        <v>#N/A</v>
      </c>
      <c r="Z292" s="376" t="e">
        <f>IF(V290=0,"",VLOOKUP(V290,'Tablas Magia'!$D$6:$Z$779,15,FALSE))</f>
        <v>#N/A</v>
      </c>
      <c r="AA292" s="8393" t="e">
        <f>IF(V290=0,"",VLOOKUP(V290,'Tablas Magia'!$D$6:$Z$779,19,FALSE))</f>
        <v>#N/A</v>
      </c>
      <c r="AB292" s="8394"/>
      <c r="AC292" s="8394"/>
      <c r="AD292" s="8394"/>
      <c r="AE292" s="8394"/>
      <c r="AF292" s="8394"/>
      <c r="AG292" s="8394"/>
      <c r="AH292" s="8394"/>
      <c r="AI292" s="8394"/>
      <c r="AJ292" s="8395"/>
      <c r="AK292" s="366"/>
      <c r="AL292" s="360"/>
    </row>
    <row r="293" spans="1:38" ht="12" customHeight="1">
      <c r="A293" s="360"/>
      <c r="B293" s="734"/>
      <c r="C293" s="8386" t="s">
        <v>3035</v>
      </c>
      <c r="D293" s="8387"/>
      <c r="E293" s="377" t="e">
        <f>IF(C290=0,"",VLOOKUP(C290,'Tablas Magia'!$D$6:$Z$779,8,FALSE))</f>
        <v>#N/A</v>
      </c>
      <c r="F293" s="377" t="e">
        <f>IF(C290=0,"",VLOOKUP(C290,'Tablas Magia'!$D$6:$Z$779,12,FALSE))</f>
        <v>#N/A</v>
      </c>
      <c r="G293" s="378" t="e">
        <f>IF(C290=0,"",VLOOKUP(C290,'Tablas Magia'!$D$6:$Z$779,16,FALSE))</f>
        <v>#N/A</v>
      </c>
      <c r="H293" s="8388" t="e">
        <f>IF(C290=0,"",VLOOKUP(C290,'Tablas Magia'!$D$6:$Z$779,20,FALSE))</f>
        <v>#N/A</v>
      </c>
      <c r="I293" s="8389"/>
      <c r="J293" s="8389"/>
      <c r="K293" s="8389"/>
      <c r="L293" s="8389"/>
      <c r="M293" s="8389"/>
      <c r="N293" s="8389"/>
      <c r="O293" s="8389"/>
      <c r="P293" s="8389"/>
      <c r="Q293" s="8390"/>
      <c r="R293" s="366"/>
      <c r="S293" s="360"/>
      <c r="T293" s="360"/>
      <c r="U293" s="734"/>
      <c r="V293" s="8386" t="s">
        <v>3035</v>
      </c>
      <c r="W293" s="8387"/>
      <c r="X293" s="377" t="e">
        <f>IF(V290=0,"",VLOOKUP(V290,'Tablas Magia'!$D$6:$Z$779,8,FALSE))</f>
        <v>#N/A</v>
      </c>
      <c r="Y293" s="377" t="e">
        <f>IF(V290=0,"",VLOOKUP(V290,'Tablas Magia'!$D$6:$Z$779,12,FALSE))</f>
        <v>#N/A</v>
      </c>
      <c r="Z293" s="378" t="e">
        <f>IF(V290=0,"",VLOOKUP(V290,'Tablas Magia'!$D$6:$Z$779,16,FALSE))</f>
        <v>#N/A</v>
      </c>
      <c r="AA293" s="8388" t="e">
        <f>IF(V290=0,"",VLOOKUP(V290,'Tablas Magia'!$D$6:$Z$779,20,FALSE))</f>
        <v>#N/A</v>
      </c>
      <c r="AB293" s="8389"/>
      <c r="AC293" s="8389"/>
      <c r="AD293" s="8389"/>
      <c r="AE293" s="8389"/>
      <c r="AF293" s="8389"/>
      <c r="AG293" s="8389"/>
      <c r="AH293" s="8389"/>
      <c r="AI293" s="8389"/>
      <c r="AJ293" s="8390"/>
      <c r="AK293" s="366"/>
      <c r="AL293" s="360"/>
    </row>
    <row r="294" spans="1:38" ht="12" customHeight="1">
      <c r="A294" s="360"/>
      <c r="B294" s="734"/>
      <c r="C294" s="8391" t="s">
        <v>3036</v>
      </c>
      <c r="D294" s="8392"/>
      <c r="E294" s="375" t="e">
        <f>IF(C290=0,"",VLOOKUP(C290,'Tablas Magia'!$D$6:$Z$779,9,FALSE))</f>
        <v>#N/A</v>
      </c>
      <c r="F294" s="375" t="e">
        <f>IF(C290=0,"",VLOOKUP(C290,'Tablas Magia'!$D$6:$Z$779,13,FALSE))</f>
        <v>#N/A</v>
      </c>
      <c r="G294" s="376" t="e">
        <f>IF(C290=0,"",VLOOKUP(C290,'Tablas Magia'!$D$6:$Z$779,17,FALSE))</f>
        <v>#N/A</v>
      </c>
      <c r="H294" s="8393" t="e">
        <f>IF(C290=0,"",VLOOKUP(C290,'Tablas Magia'!$D$6:$Z$779,21,FALSE))</f>
        <v>#N/A</v>
      </c>
      <c r="I294" s="8394"/>
      <c r="J294" s="8394"/>
      <c r="K294" s="8394"/>
      <c r="L294" s="8394"/>
      <c r="M294" s="8394"/>
      <c r="N294" s="8394"/>
      <c r="O294" s="8394"/>
      <c r="P294" s="8394"/>
      <c r="Q294" s="8395"/>
      <c r="R294" s="366"/>
      <c r="S294" s="360"/>
      <c r="T294" s="360"/>
      <c r="U294" s="734"/>
      <c r="V294" s="8391" t="s">
        <v>3036</v>
      </c>
      <c r="W294" s="8392"/>
      <c r="X294" s="375" t="e">
        <f>IF(V290=0,"",VLOOKUP(V290,'Tablas Magia'!$D$6:$Z$779,9,FALSE))</f>
        <v>#N/A</v>
      </c>
      <c r="Y294" s="375" t="e">
        <f>IF(V290=0,"",VLOOKUP(V290,'Tablas Magia'!$D$6:$Z$779,13,FALSE))</f>
        <v>#N/A</v>
      </c>
      <c r="Z294" s="376" t="e">
        <f>IF(V290=0,"",VLOOKUP(V290,'Tablas Magia'!$D$6:$Z$779,17,FALSE))</f>
        <v>#N/A</v>
      </c>
      <c r="AA294" s="8393" t="e">
        <f>IF(V290=0,"",VLOOKUP(V290,'Tablas Magia'!$D$6:$Z$779,21,FALSE))</f>
        <v>#N/A</v>
      </c>
      <c r="AB294" s="8394"/>
      <c r="AC294" s="8394"/>
      <c r="AD294" s="8394"/>
      <c r="AE294" s="8394"/>
      <c r="AF294" s="8394"/>
      <c r="AG294" s="8394"/>
      <c r="AH294" s="8394"/>
      <c r="AI294" s="8394"/>
      <c r="AJ294" s="8395"/>
      <c r="AK294" s="366"/>
      <c r="AL294" s="360"/>
    </row>
    <row r="295" spans="1:38" ht="12" customHeight="1" thickBot="1">
      <c r="A295" s="360"/>
      <c r="B295" s="734"/>
      <c r="C295" s="8401" t="s">
        <v>3037</v>
      </c>
      <c r="D295" s="8402"/>
      <c r="E295" s="379" t="e">
        <f>IF(C290=0,"",VLOOKUP(C290,'Tablas Magia'!$D$6:$Z$779,10,FALSE))</f>
        <v>#N/A</v>
      </c>
      <c r="F295" s="379" t="e">
        <f>IF(C290=0,"",VLOOKUP(C290,'Tablas Magia'!$D$6:$Z$779,14,FALSE))</f>
        <v>#N/A</v>
      </c>
      <c r="G295" s="380" t="e">
        <f>IF(C290=0,"",VLOOKUP(C290,'Tablas Magia'!$D$6:$Z$779,18,FALSE))</f>
        <v>#N/A</v>
      </c>
      <c r="H295" s="8403" t="e">
        <f>IF(C290=0,"",VLOOKUP(C290,'Tablas Magia'!$D$6:$Z$779,22,FALSE))</f>
        <v>#N/A</v>
      </c>
      <c r="I295" s="8404"/>
      <c r="J295" s="8404"/>
      <c r="K295" s="8404"/>
      <c r="L295" s="8404"/>
      <c r="M295" s="8404"/>
      <c r="N295" s="8404"/>
      <c r="O295" s="8404"/>
      <c r="P295" s="8404"/>
      <c r="Q295" s="8405"/>
      <c r="R295" s="366"/>
      <c r="S295" s="360"/>
      <c r="T295" s="360"/>
      <c r="U295" s="734"/>
      <c r="V295" s="8401" t="s">
        <v>3037</v>
      </c>
      <c r="W295" s="8402"/>
      <c r="X295" s="379" t="e">
        <f>IF(V290=0,"",VLOOKUP(V290,'Tablas Magia'!$D$6:$Z$779,10,FALSE))</f>
        <v>#N/A</v>
      </c>
      <c r="Y295" s="379" t="e">
        <f>IF(V290=0,"",VLOOKUP(V290,'Tablas Magia'!$D$6:$Z$779,14,FALSE))</f>
        <v>#N/A</v>
      </c>
      <c r="Z295" s="380" t="e">
        <f>IF(V290=0,"",VLOOKUP(V290,'Tablas Magia'!$D$6:$Z$779,18,FALSE))</f>
        <v>#N/A</v>
      </c>
      <c r="AA295" s="8403" t="e">
        <f>IF(V290=0,"",VLOOKUP(V290,'Tablas Magia'!$D$6:$Z$779,22,FALSE))</f>
        <v>#N/A</v>
      </c>
      <c r="AB295" s="8404"/>
      <c r="AC295" s="8404"/>
      <c r="AD295" s="8404"/>
      <c r="AE295" s="8404"/>
      <c r="AF295" s="8404"/>
      <c r="AG295" s="8404"/>
      <c r="AH295" s="8404"/>
      <c r="AI295" s="8404"/>
      <c r="AJ295" s="8405"/>
      <c r="AK295" s="366"/>
      <c r="AL295" s="360"/>
    </row>
    <row r="296" spans="1:38" ht="12" customHeight="1">
      <c r="A296" s="360"/>
      <c r="B296" s="734"/>
      <c r="C296" s="8406" t="e">
        <f>IF(C290=0,"",VLOOKUP(C290,'Tablas Magia'!$D$6:$Z$779,23,FALSE))</f>
        <v>#N/A</v>
      </c>
      <c r="D296" s="8407"/>
      <c r="E296" s="8407"/>
      <c r="F296" s="8407"/>
      <c r="G296" s="8407"/>
      <c r="H296" s="8407"/>
      <c r="I296" s="8407"/>
      <c r="J296" s="8407"/>
      <c r="K296" s="8407"/>
      <c r="L296" s="8407"/>
      <c r="M296" s="8407"/>
      <c r="N296" s="8407"/>
      <c r="O296" s="8407"/>
      <c r="P296" s="8407"/>
      <c r="Q296" s="8408"/>
      <c r="R296" s="366"/>
      <c r="S296" s="360"/>
      <c r="T296" s="360"/>
      <c r="U296" s="734"/>
      <c r="V296" s="8406" t="e">
        <f>IF(V290=0,"",VLOOKUP(V290,'Tablas Magia'!$D$6:$Z$779,23,FALSE))</f>
        <v>#N/A</v>
      </c>
      <c r="W296" s="8407"/>
      <c r="X296" s="8407"/>
      <c r="Y296" s="8407"/>
      <c r="Z296" s="8407"/>
      <c r="AA296" s="8407"/>
      <c r="AB296" s="8407"/>
      <c r="AC296" s="8407"/>
      <c r="AD296" s="8407"/>
      <c r="AE296" s="8407"/>
      <c r="AF296" s="8407"/>
      <c r="AG296" s="8407"/>
      <c r="AH296" s="8407"/>
      <c r="AI296" s="8407"/>
      <c r="AJ296" s="8408"/>
      <c r="AK296" s="366"/>
      <c r="AL296" s="360"/>
    </row>
    <row r="297" spans="1:38" ht="12" customHeight="1">
      <c r="A297" s="360"/>
      <c r="B297" s="734"/>
      <c r="C297" s="8409"/>
      <c r="D297" s="8410"/>
      <c r="E297" s="8410"/>
      <c r="F297" s="8410"/>
      <c r="G297" s="8410"/>
      <c r="H297" s="8410"/>
      <c r="I297" s="8410"/>
      <c r="J297" s="8410"/>
      <c r="K297" s="8410"/>
      <c r="L297" s="8410"/>
      <c r="M297" s="8410"/>
      <c r="N297" s="8410"/>
      <c r="O297" s="8410"/>
      <c r="P297" s="8410"/>
      <c r="Q297" s="8411"/>
      <c r="R297" s="366"/>
      <c r="S297" s="360"/>
      <c r="T297" s="360"/>
      <c r="U297" s="734"/>
      <c r="V297" s="8409"/>
      <c r="W297" s="8410"/>
      <c r="X297" s="8410"/>
      <c r="Y297" s="8410"/>
      <c r="Z297" s="8410"/>
      <c r="AA297" s="8410"/>
      <c r="AB297" s="8410"/>
      <c r="AC297" s="8410"/>
      <c r="AD297" s="8410"/>
      <c r="AE297" s="8410"/>
      <c r="AF297" s="8410"/>
      <c r="AG297" s="8410"/>
      <c r="AH297" s="8410"/>
      <c r="AI297" s="8410"/>
      <c r="AJ297" s="8411"/>
      <c r="AK297" s="366"/>
      <c r="AL297" s="360"/>
    </row>
    <row r="298" spans="1:38" ht="12" customHeight="1">
      <c r="A298" s="360"/>
      <c r="B298" s="734"/>
      <c r="C298" s="8409"/>
      <c r="D298" s="8410"/>
      <c r="E298" s="8410"/>
      <c r="F298" s="8410"/>
      <c r="G298" s="8410"/>
      <c r="H298" s="8410"/>
      <c r="I298" s="8410"/>
      <c r="J298" s="8410"/>
      <c r="K298" s="8410"/>
      <c r="L298" s="8410"/>
      <c r="M298" s="8410"/>
      <c r="N298" s="8410"/>
      <c r="O298" s="8410"/>
      <c r="P298" s="8410"/>
      <c r="Q298" s="8411"/>
      <c r="R298" s="366"/>
      <c r="S298" s="360"/>
      <c r="T298" s="360"/>
      <c r="U298" s="734"/>
      <c r="V298" s="8409"/>
      <c r="W298" s="8410"/>
      <c r="X298" s="8410"/>
      <c r="Y298" s="8410"/>
      <c r="Z298" s="8410"/>
      <c r="AA298" s="8410"/>
      <c r="AB298" s="8410"/>
      <c r="AC298" s="8410"/>
      <c r="AD298" s="8410"/>
      <c r="AE298" s="8410"/>
      <c r="AF298" s="8410"/>
      <c r="AG298" s="8410"/>
      <c r="AH298" s="8410"/>
      <c r="AI298" s="8410"/>
      <c r="AJ298" s="8411"/>
      <c r="AK298" s="366"/>
      <c r="AL298" s="360"/>
    </row>
    <row r="299" spans="1:38" ht="12" customHeight="1" thickBot="1">
      <c r="A299" s="360"/>
      <c r="B299" s="734"/>
      <c r="C299" s="8412"/>
      <c r="D299" s="8413"/>
      <c r="E299" s="8413"/>
      <c r="F299" s="8413"/>
      <c r="G299" s="8413"/>
      <c r="H299" s="8413"/>
      <c r="I299" s="8413"/>
      <c r="J299" s="8413"/>
      <c r="K299" s="8413"/>
      <c r="L299" s="8413"/>
      <c r="M299" s="8413"/>
      <c r="N299" s="8413"/>
      <c r="O299" s="8413"/>
      <c r="P299" s="8413"/>
      <c r="Q299" s="8414"/>
      <c r="R299" s="366"/>
      <c r="S299" s="360"/>
      <c r="T299" s="360"/>
      <c r="U299" s="734"/>
      <c r="V299" s="8412"/>
      <c r="W299" s="8413"/>
      <c r="X299" s="8413"/>
      <c r="Y299" s="8413"/>
      <c r="Z299" s="8413"/>
      <c r="AA299" s="8413"/>
      <c r="AB299" s="8413"/>
      <c r="AC299" s="8413"/>
      <c r="AD299" s="8413"/>
      <c r="AE299" s="8413"/>
      <c r="AF299" s="8413"/>
      <c r="AG299" s="8413"/>
      <c r="AH299" s="8413"/>
      <c r="AI299" s="8413"/>
      <c r="AJ299" s="8414"/>
      <c r="AK299" s="366"/>
      <c r="AL299" s="360"/>
    </row>
    <row r="300" spans="1:38" ht="12" customHeight="1" thickBot="1">
      <c r="A300" s="360"/>
      <c r="B300" s="734"/>
      <c r="C300" s="383"/>
      <c r="D300" s="383"/>
      <c r="E300" s="384"/>
      <c r="F300" s="384"/>
      <c r="G300" s="384"/>
      <c r="H300" s="383"/>
      <c r="I300" s="329"/>
      <c r="J300" s="329"/>
      <c r="K300" s="383"/>
      <c r="L300" s="383"/>
      <c r="M300" s="329"/>
      <c r="N300" s="329"/>
      <c r="O300" s="385"/>
      <c r="P300" s="385"/>
      <c r="Q300" s="329"/>
      <c r="R300" s="366"/>
      <c r="S300" s="360"/>
      <c r="T300" s="360"/>
      <c r="U300" s="734"/>
      <c r="V300" s="386"/>
      <c r="W300" s="386"/>
      <c r="X300" s="387"/>
      <c r="Y300" s="387"/>
      <c r="Z300" s="387"/>
      <c r="AA300" s="387"/>
      <c r="AB300" s="387"/>
      <c r="AC300" s="387"/>
      <c r="AD300" s="387"/>
      <c r="AE300" s="387"/>
      <c r="AF300" s="387"/>
      <c r="AG300" s="387"/>
      <c r="AH300" s="387"/>
      <c r="AI300" s="387"/>
      <c r="AJ300" s="387"/>
      <c r="AK300" s="366"/>
      <c r="AL300" s="360"/>
    </row>
    <row r="301" spans="1:38" ht="12" customHeight="1">
      <c r="A301" s="360"/>
      <c r="B301" s="734">
        <f>B290+2</f>
        <v>86</v>
      </c>
      <c r="C301" s="8417" t="str">
        <f>IF(ISNA(VLOOKUP($J$6&amp;B301,'Tablas Magia'!$B$6:$D$779,3,FALSE)),IF(ISNA(VLOOKUP($J$8&amp;B301,'Tablas Magia'!$B$6:$D$779,3,FALSE)),IF(ISNA(VLOOKUP($J$6&amp;B301,Místicos!$AD$12:$AJ$50,4,FALSE)),"Libre Acceso 1-"&amp;MID(C$278,SEARCH("-",C$278)+1,3),VLOOKUP($J$6&amp;B301,Místicos!$AD$12:$AJ$50,4,FALSE)),VLOOKUP($J$8&amp;B301,'Tablas Magia'!$B$6:$D$779,3,FALSE)),VLOOKUP($J$6&amp;B301,'Tablas Magia'!$B$6:$D$779,3,FALSE))</f>
        <v>Libre Acceso 1-90</v>
      </c>
      <c r="D301" s="8418"/>
      <c r="E301" s="8418"/>
      <c r="F301" s="8418"/>
      <c r="G301" s="8419"/>
      <c r="H301" s="370" t="s">
        <v>1186</v>
      </c>
      <c r="I301" s="371">
        <f>B301</f>
        <v>86</v>
      </c>
      <c r="J301" s="8420" t="s">
        <v>5816</v>
      </c>
      <c r="K301" s="8420"/>
      <c r="L301" s="8420"/>
      <c r="M301" s="8378" t="e">
        <f>IF(C301=0,"",VLOOKUP(C301,'Tablas Magia'!$D$6:$Z$779,2,FALSE))</f>
        <v>#N/A</v>
      </c>
      <c r="N301" s="8378"/>
      <c r="O301" s="1525"/>
      <c r="P301" s="8415" t="str">
        <f>IFERROR(IF(M301="Libre Acceso","Aprendido",IF(IFERROR(VLOOKUP(M301,Místicos!$C$15:$H$25,6,0)&gt;=I301,FALSE),"Aprendido",IF(IFERROR(VLOOKUP(M301,Místicos!$E$15:$H$25,4,0)&gt;=I301,FALSE),"Aprendido",""))),"")</f>
        <v/>
      </c>
      <c r="Q301" s="8416"/>
      <c r="R301" s="366"/>
      <c r="S301" s="360"/>
      <c r="T301" s="360"/>
      <c r="U301" s="734">
        <f>U290+2</f>
        <v>96</v>
      </c>
      <c r="V301" s="8417" t="str">
        <f>IF(ISNA(VLOOKUP($J$6&amp;U301,'Tablas Magia'!$B$6:$D$779,3,FALSE)),IF(ISNA(VLOOKUP($J$8&amp;U301,'Tablas Magia'!$B$6:$D$779,3,FALSE)),IF(ISNA(VLOOKUP($J$6&amp;U301,Místicos!$AD$12:$AJ$50,4,FALSE)),"Libre Acceso 1-"&amp;MID(V$278,SEARCH("-",V$278)+1,3),VLOOKUP($J$6&amp;U301,Místicos!$AD$12:$AJ$50,4,FALSE)),VLOOKUP($J$8&amp;U301,'Tablas Magia'!$B$6:$D$779,3,FALSE)),VLOOKUP($J$6&amp;U301,'Tablas Magia'!$B$6:$D$779,3,FALSE))</f>
        <v>Libre Acceso 1-100</v>
      </c>
      <c r="W301" s="8418"/>
      <c r="X301" s="8418"/>
      <c r="Y301" s="8418"/>
      <c r="Z301" s="8418"/>
      <c r="AA301" s="370" t="s">
        <v>1186</v>
      </c>
      <c r="AB301" s="371">
        <f>U301</f>
        <v>96</v>
      </c>
      <c r="AC301" s="8420" t="s">
        <v>5816</v>
      </c>
      <c r="AD301" s="8420"/>
      <c r="AE301" s="8420"/>
      <c r="AF301" s="8378" t="e">
        <f>IF(V301=0,"",VLOOKUP(V301,'Tablas Magia'!$D$6:$Z$779,2,FALSE))</f>
        <v>#N/A</v>
      </c>
      <c r="AG301" s="8378"/>
      <c r="AH301" s="1525"/>
      <c r="AI301" s="8415" t="str">
        <f>IFERROR(IF(AF301="Libre Acceso","Aprendido",IF(IFERROR(VLOOKUP(AF301,Místicos!$C$15:$H$25,6,0)&gt;=AB301,FALSE),"Aprendido",IF(IFERROR(VLOOKUP(AF301,Místicos!$E$15:$H$25,4,0)&gt;=AB301,FALSE),"Aprendido",""))),"")</f>
        <v/>
      </c>
      <c r="AJ301" s="8416"/>
      <c r="AK301" s="366"/>
      <c r="AL301" s="360"/>
    </row>
    <row r="302" spans="1:38" ht="12" customHeight="1">
      <c r="A302" s="360"/>
      <c r="B302" s="734"/>
      <c r="C302" s="8399" t="s">
        <v>5817</v>
      </c>
      <c r="D302" s="8426"/>
      <c r="E302" s="2162" t="s">
        <v>5818</v>
      </c>
      <c r="F302" s="2162" t="s">
        <v>1368</v>
      </c>
      <c r="G302" s="2162" t="s">
        <v>2666</v>
      </c>
      <c r="H302" s="2163" t="s">
        <v>1690</v>
      </c>
      <c r="I302" s="8424" t="e">
        <f>IF(C301=0,"",VLOOKUP(C301,'Tablas Magia'!$D$6:$Z$779,5,FALSE))</f>
        <v>#N/A</v>
      </c>
      <c r="J302" s="8424"/>
      <c r="K302" s="8427" t="s">
        <v>5819</v>
      </c>
      <c r="L302" s="8427"/>
      <c r="M302" s="8424" t="e">
        <f>IF(C301=0,"",VLOOKUP(C301,'Tablas Magia'!$D$6:$Z$779,6,FALSE))</f>
        <v>#N/A</v>
      </c>
      <c r="N302" s="8424"/>
      <c r="O302" s="8425" t="s">
        <v>5820</v>
      </c>
      <c r="P302" s="8425"/>
      <c r="Q302" s="2164" t="e">
        <f>IF(C301=0,"",VLOOKUP(C301,'Tablas Magia'!$D$6:$Z$779,4,FALSE))</f>
        <v>#N/A</v>
      </c>
      <c r="R302" s="366"/>
      <c r="S302" s="360"/>
      <c r="T302" s="360"/>
      <c r="U302" s="734"/>
      <c r="V302" s="8399" t="s">
        <v>5817</v>
      </c>
      <c r="W302" s="8428"/>
      <c r="X302" s="1534" t="s">
        <v>5818</v>
      </c>
      <c r="Y302" s="1534" t="s">
        <v>1368</v>
      </c>
      <c r="Z302" s="1534" t="s">
        <v>2666</v>
      </c>
      <c r="AA302" s="1535" t="s">
        <v>1690</v>
      </c>
      <c r="AB302" s="8429" t="e">
        <f>IF(V301=0,"",VLOOKUP(V301,'Tablas Magia'!$D$6:$Z$779,5,FALSE))</f>
        <v>#N/A</v>
      </c>
      <c r="AC302" s="8429"/>
      <c r="AD302" s="8430" t="s">
        <v>5819</v>
      </c>
      <c r="AE302" s="8430"/>
      <c r="AF302" s="8429" t="e">
        <f>IF(V301=0,"",VLOOKUP(V301,'Tablas Magia'!$D$6:$Z$779,6,FALSE))</f>
        <v>#N/A</v>
      </c>
      <c r="AG302" s="8429"/>
      <c r="AH302" s="8431" t="s">
        <v>5820</v>
      </c>
      <c r="AI302" s="8431"/>
      <c r="AJ302" s="1536" t="e">
        <f>IF(V301=0,"",VLOOKUP(V301,'Tablas Magia'!$D$6:$Z$779,4,FALSE))</f>
        <v>#N/A</v>
      </c>
      <c r="AK302" s="366"/>
      <c r="AL302" s="360"/>
    </row>
    <row r="303" spans="1:38" ht="12" customHeight="1">
      <c r="A303" s="360"/>
      <c r="B303" s="734"/>
      <c r="C303" s="8434" t="s">
        <v>1225</v>
      </c>
      <c r="D303" s="8435"/>
      <c r="E303" s="375" t="e">
        <f>IF(C301=0,"",VLOOKUP(C301,'Tablas Magia'!$D$6:$Z$779,7,FALSE))</f>
        <v>#N/A</v>
      </c>
      <c r="F303" s="375" t="e">
        <f>IF(C301=0,"",VLOOKUP(C301,'Tablas Magia'!$D$6:$Z$779,11,FALSE))</f>
        <v>#N/A</v>
      </c>
      <c r="G303" s="376" t="e">
        <f>IF(C301=0,"",VLOOKUP(C301,'Tablas Magia'!$D$6:$Z$779,15,FALSE))</f>
        <v>#N/A</v>
      </c>
      <c r="H303" s="8421" t="e">
        <f>IF(C301=0,"",VLOOKUP(C301,'Tablas Magia'!$D$6:$Z$779,19,FALSE))</f>
        <v>#N/A</v>
      </c>
      <c r="I303" s="8422"/>
      <c r="J303" s="8422"/>
      <c r="K303" s="8422"/>
      <c r="L303" s="8422"/>
      <c r="M303" s="8422"/>
      <c r="N303" s="8422"/>
      <c r="O303" s="8422"/>
      <c r="P303" s="8422"/>
      <c r="Q303" s="8423"/>
      <c r="R303" s="366"/>
      <c r="S303" s="360"/>
      <c r="T303" s="360"/>
      <c r="U303" s="734"/>
      <c r="V303" s="8391" t="s">
        <v>1225</v>
      </c>
      <c r="W303" s="8392"/>
      <c r="X303" s="375" t="e">
        <f>IF(V301=0,"",VLOOKUP(V301,'Tablas Magia'!$D$6:$Z$779,7,FALSE))</f>
        <v>#N/A</v>
      </c>
      <c r="Y303" s="375" t="e">
        <f>IF(V301=0,"",VLOOKUP(V301,'Tablas Magia'!$D$6:$Z$779,11,FALSE))</f>
        <v>#N/A</v>
      </c>
      <c r="Z303" s="376" t="e">
        <f>IF(V301=0,"",VLOOKUP(V301,'Tablas Magia'!$D$6:$Z$779,15,FALSE))</f>
        <v>#N/A</v>
      </c>
      <c r="AA303" s="8393" t="e">
        <f>IF(V301=0,"",VLOOKUP(V301,'Tablas Magia'!$D$6:$Z$779,19,FALSE))</f>
        <v>#N/A</v>
      </c>
      <c r="AB303" s="8394"/>
      <c r="AC303" s="8394"/>
      <c r="AD303" s="8394"/>
      <c r="AE303" s="8394"/>
      <c r="AF303" s="8394"/>
      <c r="AG303" s="8394"/>
      <c r="AH303" s="8394"/>
      <c r="AI303" s="8394"/>
      <c r="AJ303" s="8395"/>
      <c r="AK303" s="366"/>
      <c r="AL303" s="360"/>
    </row>
    <row r="304" spans="1:38" ht="12" customHeight="1">
      <c r="A304" s="360"/>
      <c r="B304" s="734"/>
      <c r="C304" s="8386" t="s">
        <v>3035</v>
      </c>
      <c r="D304" s="8387"/>
      <c r="E304" s="377" t="e">
        <f>IF(C301=0,"",VLOOKUP(C301,'Tablas Magia'!$D$6:$Z$779,8,FALSE))</f>
        <v>#N/A</v>
      </c>
      <c r="F304" s="377" t="e">
        <f>IF(C301=0,"",VLOOKUP(C301,'Tablas Magia'!$D$6:$Z$779,12,FALSE))</f>
        <v>#N/A</v>
      </c>
      <c r="G304" s="378" t="e">
        <f>IF(C301=0,"",VLOOKUP(C301,'Tablas Magia'!$D$6:$Z$779,16,FALSE))</f>
        <v>#N/A</v>
      </c>
      <c r="H304" s="8388" t="e">
        <f>IF(C301=0,"",VLOOKUP(C301,'Tablas Magia'!$D$6:$Z$779,20,FALSE))</f>
        <v>#N/A</v>
      </c>
      <c r="I304" s="8389"/>
      <c r="J304" s="8389"/>
      <c r="K304" s="8389"/>
      <c r="L304" s="8389"/>
      <c r="M304" s="8389"/>
      <c r="N304" s="8389"/>
      <c r="O304" s="8389"/>
      <c r="P304" s="8389"/>
      <c r="Q304" s="8390"/>
      <c r="R304" s="366"/>
      <c r="S304" s="360"/>
      <c r="T304" s="360"/>
      <c r="U304" s="734"/>
      <c r="V304" s="8386" t="s">
        <v>3035</v>
      </c>
      <c r="W304" s="8387"/>
      <c r="X304" s="377" t="e">
        <f>IF(V301=0,"",VLOOKUP(V301,'Tablas Magia'!$D$6:$Z$779,8,FALSE))</f>
        <v>#N/A</v>
      </c>
      <c r="Y304" s="377" t="e">
        <f>IF(V301=0,"",VLOOKUP(V301,'Tablas Magia'!$D$6:$Z$779,12,FALSE))</f>
        <v>#N/A</v>
      </c>
      <c r="Z304" s="378" t="e">
        <f>IF(V301=0,"",VLOOKUP(V301,'Tablas Magia'!$D$6:$Z$779,16,FALSE))</f>
        <v>#N/A</v>
      </c>
      <c r="AA304" s="8388" t="e">
        <f>IF(V301=0,"",VLOOKUP(V301,'Tablas Magia'!$D$6:$Z$779,20,FALSE))</f>
        <v>#N/A</v>
      </c>
      <c r="AB304" s="8389"/>
      <c r="AC304" s="8389"/>
      <c r="AD304" s="8389"/>
      <c r="AE304" s="8389"/>
      <c r="AF304" s="8389"/>
      <c r="AG304" s="8389"/>
      <c r="AH304" s="8389"/>
      <c r="AI304" s="8389"/>
      <c r="AJ304" s="8390"/>
      <c r="AK304" s="366"/>
      <c r="AL304" s="360"/>
    </row>
    <row r="305" spans="1:38" ht="12" customHeight="1">
      <c r="A305" s="360"/>
      <c r="B305" s="734"/>
      <c r="C305" s="8391" t="s">
        <v>3036</v>
      </c>
      <c r="D305" s="8392"/>
      <c r="E305" s="375" t="e">
        <f>IF(C301=0,"",VLOOKUP(C301,'Tablas Magia'!$D$6:$Z$779,9,FALSE))</f>
        <v>#N/A</v>
      </c>
      <c r="F305" s="375" t="e">
        <f>IF(C301=0,"",VLOOKUP(C301,'Tablas Magia'!$D$6:$Z$779,13,FALSE))</f>
        <v>#N/A</v>
      </c>
      <c r="G305" s="376" t="e">
        <f>IF(C301=0,"",VLOOKUP(C301,'Tablas Magia'!$D$6:$Z$779,17,FALSE))</f>
        <v>#N/A</v>
      </c>
      <c r="H305" s="8393" t="e">
        <f>IF(C301=0,"",VLOOKUP(C301,'Tablas Magia'!$D$6:$Z$779,21,FALSE))</f>
        <v>#N/A</v>
      </c>
      <c r="I305" s="8394"/>
      <c r="J305" s="8394"/>
      <c r="K305" s="8394"/>
      <c r="L305" s="8394"/>
      <c r="M305" s="8394"/>
      <c r="N305" s="8394"/>
      <c r="O305" s="8394"/>
      <c r="P305" s="8394"/>
      <c r="Q305" s="8395"/>
      <c r="R305" s="366"/>
      <c r="S305" s="360"/>
      <c r="T305" s="360"/>
      <c r="U305" s="734"/>
      <c r="V305" s="8391" t="s">
        <v>3036</v>
      </c>
      <c r="W305" s="8392"/>
      <c r="X305" s="375" t="e">
        <f>IF(V301=0,"",VLOOKUP(V301,'Tablas Magia'!$D$6:$Z$779,9,FALSE))</f>
        <v>#N/A</v>
      </c>
      <c r="Y305" s="375" t="e">
        <f>IF(V301=0,"",VLOOKUP(V301,'Tablas Magia'!$D$6:$Z$779,13,FALSE))</f>
        <v>#N/A</v>
      </c>
      <c r="Z305" s="376" t="e">
        <f>IF(V301=0,"",VLOOKUP(V301,'Tablas Magia'!$D$6:$Z$779,17,FALSE))</f>
        <v>#N/A</v>
      </c>
      <c r="AA305" s="8393" t="e">
        <f>IF(V301=0,"",VLOOKUP(V301,'Tablas Magia'!$D$6:$Z$779,21,FALSE))</f>
        <v>#N/A</v>
      </c>
      <c r="AB305" s="8394"/>
      <c r="AC305" s="8394"/>
      <c r="AD305" s="8394"/>
      <c r="AE305" s="8394"/>
      <c r="AF305" s="8394"/>
      <c r="AG305" s="8394"/>
      <c r="AH305" s="8394"/>
      <c r="AI305" s="8394"/>
      <c r="AJ305" s="8395"/>
      <c r="AK305" s="366"/>
      <c r="AL305" s="360"/>
    </row>
    <row r="306" spans="1:38" ht="12" customHeight="1" thickBot="1">
      <c r="A306" s="360"/>
      <c r="B306" s="734"/>
      <c r="C306" s="8401" t="s">
        <v>3037</v>
      </c>
      <c r="D306" s="8402"/>
      <c r="E306" s="379" t="e">
        <f>IF(C301=0,"",VLOOKUP(C301,'Tablas Magia'!$D$6:$Z$779,10,FALSE))</f>
        <v>#N/A</v>
      </c>
      <c r="F306" s="379" t="e">
        <f>IF(C301=0,"",VLOOKUP(C301,'Tablas Magia'!$D$6:$Z$779,14,FALSE))</f>
        <v>#N/A</v>
      </c>
      <c r="G306" s="380" t="e">
        <f>IF(C301=0,"",VLOOKUP(C301,'Tablas Magia'!$D$6:$Z$779,18,FALSE))</f>
        <v>#N/A</v>
      </c>
      <c r="H306" s="8403" t="e">
        <f>IF(C301=0,"",VLOOKUP(C301,'Tablas Magia'!$D$6:$Z$779,22,FALSE))</f>
        <v>#N/A</v>
      </c>
      <c r="I306" s="8404"/>
      <c r="J306" s="8404"/>
      <c r="K306" s="8404"/>
      <c r="L306" s="8404"/>
      <c r="M306" s="8404"/>
      <c r="N306" s="8404"/>
      <c r="O306" s="8404"/>
      <c r="P306" s="8404"/>
      <c r="Q306" s="8405"/>
      <c r="R306" s="366"/>
      <c r="S306" s="360"/>
      <c r="T306" s="360"/>
      <c r="U306" s="734"/>
      <c r="V306" s="8401" t="s">
        <v>3037</v>
      </c>
      <c r="W306" s="8402"/>
      <c r="X306" s="379" t="e">
        <f>IF(V301=0,"",VLOOKUP(V301,'Tablas Magia'!$D$6:$Z$779,10,FALSE))</f>
        <v>#N/A</v>
      </c>
      <c r="Y306" s="379" t="e">
        <f>IF(V301=0,"",VLOOKUP(V301,'Tablas Magia'!$D$6:$Z$779,14,FALSE))</f>
        <v>#N/A</v>
      </c>
      <c r="Z306" s="380" t="e">
        <f>IF(V301=0,"",VLOOKUP(V301,'Tablas Magia'!$D$6:$Z$779,18,FALSE))</f>
        <v>#N/A</v>
      </c>
      <c r="AA306" s="8403" t="e">
        <f>IF(V301=0,"",VLOOKUP(V301,'Tablas Magia'!$D$6:$Z$779,22,FALSE))</f>
        <v>#N/A</v>
      </c>
      <c r="AB306" s="8404"/>
      <c r="AC306" s="8404"/>
      <c r="AD306" s="8404"/>
      <c r="AE306" s="8404"/>
      <c r="AF306" s="8404"/>
      <c r="AG306" s="8404"/>
      <c r="AH306" s="8404"/>
      <c r="AI306" s="8404"/>
      <c r="AJ306" s="8405"/>
      <c r="AK306" s="366"/>
      <c r="AL306" s="360"/>
    </row>
    <row r="307" spans="1:38" ht="12" customHeight="1">
      <c r="A307" s="360"/>
      <c r="B307" s="734"/>
      <c r="C307" s="8406" t="e">
        <f>IF(C301=0,"",VLOOKUP(C301,'Tablas Magia'!$D$6:$Z$779,23,FALSE))</f>
        <v>#N/A</v>
      </c>
      <c r="D307" s="8407"/>
      <c r="E307" s="8407"/>
      <c r="F307" s="8407"/>
      <c r="G307" s="8407"/>
      <c r="H307" s="8407"/>
      <c r="I307" s="8407"/>
      <c r="J307" s="8407"/>
      <c r="K307" s="8407"/>
      <c r="L307" s="8407"/>
      <c r="M307" s="8407"/>
      <c r="N307" s="8407"/>
      <c r="O307" s="8407"/>
      <c r="P307" s="8407"/>
      <c r="Q307" s="8408"/>
      <c r="R307" s="366"/>
      <c r="S307" s="360"/>
      <c r="T307" s="360"/>
      <c r="U307" s="734"/>
      <c r="V307" s="8406" t="e">
        <f>IF(V301=0,"",VLOOKUP(V301,'Tablas Magia'!$D$6:$Z$779,23,FALSE))</f>
        <v>#N/A</v>
      </c>
      <c r="W307" s="8407"/>
      <c r="X307" s="8407"/>
      <c r="Y307" s="8407"/>
      <c r="Z307" s="8407"/>
      <c r="AA307" s="8407"/>
      <c r="AB307" s="8407"/>
      <c r="AC307" s="8407"/>
      <c r="AD307" s="8407"/>
      <c r="AE307" s="8407"/>
      <c r="AF307" s="8407"/>
      <c r="AG307" s="8407"/>
      <c r="AH307" s="8407"/>
      <c r="AI307" s="8407"/>
      <c r="AJ307" s="8408"/>
      <c r="AK307" s="366"/>
      <c r="AL307" s="360"/>
    </row>
    <row r="308" spans="1:38" ht="12" customHeight="1">
      <c r="A308" s="360"/>
      <c r="B308" s="734"/>
      <c r="C308" s="8409"/>
      <c r="D308" s="8410"/>
      <c r="E308" s="8410"/>
      <c r="F308" s="8410"/>
      <c r="G308" s="8410"/>
      <c r="H308" s="8410"/>
      <c r="I308" s="8410"/>
      <c r="J308" s="8410"/>
      <c r="K308" s="8410"/>
      <c r="L308" s="8410"/>
      <c r="M308" s="8410"/>
      <c r="N308" s="8410"/>
      <c r="O308" s="8410"/>
      <c r="P308" s="8410"/>
      <c r="Q308" s="8411"/>
      <c r="R308" s="366"/>
      <c r="S308" s="360"/>
      <c r="T308" s="360"/>
      <c r="U308" s="734"/>
      <c r="V308" s="8409"/>
      <c r="W308" s="8410"/>
      <c r="X308" s="8410"/>
      <c r="Y308" s="8410"/>
      <c r="Z308" s="8410"/>
      <c r="AA308" s="8410"/>
      <c r="AB308" s="8410"/>
      <c r="AC308" s="8410"/>
      <c r="AD308" s="8410"/>
      <c r="AE308" s="8410"/>
      <c r="AF308" s="8410"/>
      <c r="AG308" s="8410"/>
      <c r="AH308" s="8410"/>
      <c r="AI308" s="8410"/>
      <c r="AJ308" s="8411"/>
      <c r="AK308" s="366"/>
      <c r="AL308" s="360"/>
    </row>
    <row r="309" spans="1:38" ht="12" customHeight="1">
      <c r="A309" s="360"/>
      <c r="B309" s="734"/>
      <c r="C309" s="8409"/>
      <c r="D309" s="8410"/>
      <c r="E309" s="8410"/>
      <c r="F309" s="8410"/>
      <c r="G309" s="8410"/>
      <c r="H309" s="8410"/>
      <c r="I309" s="8410"/>
      <c r="J309" s="8410"/>
      <c r="K309" s="8410"/>
      <c r="L309" s="8410"/>
      <c r="M309" s="8410"/>
      <c r="N309" s="8410"/>
      <c r="O309" s="8410"/>
      <c r="P309" s="8410"/>
      <c r="Q309" s="8411"/>
      <c r="R309" s="366"/>
      <c r="S309" s="360"/>
      <c r="T309" s="360"/>
      <c r="U309" s="734"/>
      <c r="V309" s="8409"/>
      <c r="W309" s="8410"/>
      <c r="X309" s="8410"/>
      <c r="Y309" s="8410"/>
      <c r="Z309" s="8410"/>
      <c r="AA309" s="8410"/>
      <c r="AB309" s="8410"/>
      <c r="AC309" s="8410"/>
      <c r="AD309" s="8410"/>
      <c r="AE309" s="8410"/>
      <c r="AF309" s="8410"/>
      <c r="AG309" s="8410"/>
      <c r="AH309" s="8410"/>
      <c r="AI309" s="8410"/>
      <c r="AJ309" s="8411"/>
      <c r="AK309" s="366"/>
      <c r="AL309" s="360"/>
    </row>
    <row r="310" spans="1:38" ht="12" customHeight="1" thickBot="1">
      <c r="A310" s="360"/>
      <c r="B310" s="734"/>
      <c r="C310" s="8412"/>
      <c r="D310" s="8413"/>
      <c r="E310" s="8413"/>
      <c r="F310" s="8413"/>
      <c r="G310" s="8413"/>
      <c r="H310" s="8413"/>
      <c r="I310" s="8413"/>
      <c r="J310" s="8413"/>
      <c r="K310" s="8413"/>
      <c r="L310" s="8413"/>
      <c r="M310" s="8413"/>
      <c r="N310" s="8413"/>
      <c r="O310" s="8413"/>
      <c r="P310" s="8413"/>
      <c r="Q310" s="8414"/>
      <c r="R310" s="366"/>
      <c r="S310" s="360"/>
      <c r="T310" s="360"/>
      <c r="U310" s="734"/>
      <c r="V310" s="8412"/>
      <c r="W310" s="8413"/>
      <c r="X310" s="8413"/>
      <c r="Y310" s="8413"/>
      <c r="Z310" s="8413"/>
      <c r="AA310" s="8413"/>
      <c r="AB310" s="8413"/>
      <c r="AC310" s="8413"/>
      <c r="AD310" s="8413"/>
      <c r="AE310" s="8413"/>
      <c r="AF310" s="8413"/>
      <c r="AG310" s="8413"/>
      <c r="AH310" s="8413"/>
      <c r="AI310" s="8413"/>
      <c r="AJ310" s="8414"/>
      <c r="AK310" s="366"/>
      <c r="AL310" s="360"/>
    </row>
    <row r="311" spans="1:38" ht="12" customHeight="1" thickBot="1">
      <c r="A311" s="360"/>
      <c r="B311" s="734"/>
      <c r="C311" s="386"/>
      <c r="D311" s="386"/>
      <c r="E311" s="387"/>
      <c r="F311" s="387"/>
      <c r="G311" s="387"/>
      <c r="H311" s="387"/>
      <c r="I311" s="387"/>
      <c r="J311" s="387"/>
      <c r="K311" s="387"/>
      <c r="L311" s="387"/>
      <c r="M311" s="387"/>
      <c r="N311" s="387"/>
      <c r="O311" s="387"/>
      <c r="P311" s="387"/>
      <c r="Q311" s="387"/>
      <c r="R311" s="366"/>
      <c r="S311" s="360"/>
      <c r="T311" s="360"/>
      <c r="U311" s="734"/>
      <c r="V311" s="386"/>
      <c r="W311" s="386"/>
      <c r="X311" s="377"/>
      <c r="Y311" s="377"/>
      <c r="Z311" s="377"/>
      <c r="AA311" s="387"/>
      <c r="AB311" s="387"/>
      <c r="AC311" s="387"/>
      <c r="AD311" s="387"/>
      <c r="AE311" s="387"/>
      <c r="AF311" s="387"/>
      <c r="AG311" s="387"/>
      <c r="AH311" s="387"/>
      <c r="AI311" s="387"/>
      <c r="AJ311" s="387"/>
      <c r="AK311" s="366"/>
      <c r="AL311" s="360"/>
    </row>
    <row r="312" spans="1:38" ht="12" customHeight="1">
      <c r="A312" s="360"/>
      <c r="B312" s="734">
        <f>B301+2</f>
        <v>88</v>
      </c>
      <c r="C312" s="8417" t="str">
        <f>IF(ISNA(VLOOKUP($J$6&amp;B312,'Tablas Magia'!$B$6:$D$779,3,FALSE)),IF(ISNA(VLOOKUP($J$8&amp;B312,'Tablas Magia'!$B$6:$D$779,3,FALSE)),IF(ISNA(VLOOKUP($J$6&amp;B312,Místicos!$AD$12:$AJ$50,4,FALSE)),"Libre Acceso 1-"&amp;MID(C$278,SEARCH("-",C$278)+1,3),VLOOKUP($J$6&amp;B312,Místicos!$AD$12:$AJ$50,4,FALSE)),VLOOKUP($J$8&amp;B312,'Tablas Magia'!$B$6:$D$779,3,FALSE)),VLOOKUP($J$6&amp;B312,'Tablas Magia'!$B$6:$D$779,3,FALSE))</f>
        <v>Libre Acceso 1-90</v>
      </c>
      <c r="D312" s="8418"/>
      <c r="E312" s="8418"/>
      <c r="F312" s="8418"/>
      <c r="G312" s="8419"/>
      <c r="H312" s="370" t="s">
        <v>1186</v>
      </c>
      <c r="I312" s="371">
        <f>B312</f>
        <v>88</v>
      </c>
      <c r="J312" s="8420" t="s">
        <v>5816</v>
      </c>
      <c r="K312" s="8420"/>
      <c r="L312" s="8420"/>
      <c r="M312" s="8378" t="e">
        <f>IF(C312=0,"",VLOOKUP(C312,'Tablas Magia'!$D$6:$Z$779,2,FALSE))</f>
        <v>#N/A</v>
      </c>
      <c r="N312" s="8378"/>
      <c r="O312" s="1525"/>
      <c r="P312" s="8415" t="str">
        <f>IFERROR(IF(M312="Libre Acceso","Aprendido",IF(IFERROR(VLOOKUP(M312,Místicos!$C$15:$H$25,6,0)&gt;=I312,FALSE),"Aprendido",IF(IFERROR(VLOOKUP(M312,Místicos!$E$15:$H$25,4,0)&gt;=I312,FALSE),"Aprendido",""))),"")</f>
        <v/>
      </c>
      <c r="Q312" s="8416"/>
      <c r="R312" s="366"/>
      <c r="S312" s="360"/>
      <c r="T312" s="360"/>
      <c r="U312" s="734">
        <f>U301+2</f>
        <v>98</v>
      </c>
      <c r="V312" s="8417" t="str">
        <f>IF(ISNA(VLOOKUP($J$6&amp;U312,'Tablas Magia'!$B$6:$D$779,3,FALSE)),IF(ISNA(VLOOKUP($J$8&amp;U312,'Tablas Magia'!$B$6:$D$779,3,FALSE)),IF(ISNA(VLOOKUP($J$6&amp;U312,Místicos!$AD$12:$AJ$50,4,FALSE)),"Libre Acceso 1-"&amp;MID(V$278,SEARCH("-",V$278)+1,3),VLOOKUP($J$6&amp;U312,Místicos!$AD$12:$AJ$50,4,FALSE)),VLOOKUP($J$8&amp;U312,'Tablas Magia'!$B$6:$D$779,3,FALSE)),VLOOKUP($J$6&amp;U312,'Tablas Magia'!$B$6:$D$779,3,FALSE))</f>
        <v>Libre Acceso 1-100</v>
      </c>
      <c r="W312" s="8418"/>
      <c r="X312" s="8418"/>
      <c r="Y312" s="8418"/>
      <c r="Z312" s="8418"/>
      <c r="AA312" s="370" t="s">
        <v>1186</v>
      </c>
      <c r="AB312" s="371">
        <f>U312</f>
        <v>98</v>
      </c>
      <c r="AC312" s="8420" t="s">
        <v>5816</v>
      </c>
      <c r="AD312" s="8420"/>
      <c r="AE312" s="8420"/>
      <c r="AF312" s="8378" t="e">
        <f>IF(V312=0,"",VLOOKUP(V312,'Tablas Magia'!$D$6:$Z$779,2,FALSE))</f>
        <v>#N/A</v>
      </c>
      <c r="AG312" s="8378"/>
      <c r="AH312" s="1525"/>
      <c r="AI312" s="8415" t="str">
        <f>IFERROR(IF(AF312="Libre Acceso","Aprendido",IF(IFERROR(VLOOKUP(AF312,Místicos!$C$15:$H$25,6,0)&gt;=AB312,FALSE),"Aprendido",IF(IFERROR(VLOOKUP(AF312,Místicos!$E$15:$H$25,4,0)&gt;=AB312,FALSE),"Aprendido",""))),"")</f>
        <v/>
      </c>
      <c r="AJ312" s="8416"/>
      <c r="AK312" s="366"/>
      <c r="AL312" s="360"/>
    </row>
    <row r="313" spans="1:38" ht="12" customHeight="1">
      <c r="A313" s="360"/>
      <c r="B313" s="734"/>
      <c r="C313" s="8399" t="s">
        <v>5817</v>
      </c>
      <c r="D313" s="8426"/>
      <c r="E313" s="2162" t="s">
        <v>5818</v>
      </c>
      <c r="F313" s="2162" t="s">
        <v>1368</v>
      </c>
      <c r="G313" s="2162" t="s">
        <v>2666</v>
      </c>
      <c r="H313" s="2163" t="s">
        <v>1690</v>
      </c>
      <c r="I313" s="8424" t="e">
        <f>IF(C312=0,"",VLOOKUP(C312,'Tablas Magia'!$D$6:$Z$779,5,FALSE))</f>
        <v>#N/A</v>
      </c>
      <c r="J313" s="8424"/>
      <c r="K313" s="8427" t="s">
        <v>5819</v>
      </c>
      <c r="L313" s="8427"/>
      <c r="M313" s="8424" t="e">
        <f>IF(C312=0,"",VLOOKUP(C312,'Tablas Magia'!$D$6:$Z$779,6,FALSE))</f>
        <v>#N/A</v>
      </c>
      <c r="N313" s="8424"/>
      <c r="O313" s="8425" t="s">
        <v>5820</v>
      </c>
      <c r="P313" s="8425"/>
      <c r="Q313" s="2164" t="e">
        <f>IF(C312=0,"",VLOOKUP(C312,'Tablas Magia'!$D$6:$Z$779,4,FALSE))</f>
        <v>#N/A</v>
      </c>
      <c r="R313" s="366"/>
      <c r="S313" s="360"/>
      <c r="T313" s="360"/>
      <c r="U313" s="734"/>
      <c r="V313" s="8399" t="s">
        <v>5817</v>
      </c>
      <c r="W313" s="8428"/>
      <c r="X313" s="1534" t="s">
        <v>5818</v>
      </c>
      <c r="Y313" s="1534" t="s">
        <v>1368</v>
      </c>
      <c r="Z313" s="1534" t="s">
        <v>2666</v>
      </c>
      <c r="AA313" s="1535" t="s">
        <v>1690</v>
      </c>
      <c r="AB313" s="8429" t="e">
        <f>IF(V312=0,"",VLOOKUP(V312,'Tablas Magia'!$D$6:$Z$779,5,FALSE))</f>
        <v>#N/A</v>
      </c>
      <c r="AC313" s="8429"/>
      <c r="AD313" s="8430" t="s">
        <v>5819</v>
      </c>
      <c r="AE313" s="8430"/>
      <c r="AF313" s="8429" t="e">
        <f>IF(V312=0,"",VLOOKUP(V312,'Tablas Magia'!$D$6:$Z$779,6,FALSE))</f>
        <v>#N/A</v>
      </c>
      <c r="AG313" s="8429"/>
      <c r="AH313" s="8431" t="s">
        <v>5820</v>
      </c>
      <c r="AI313" s="8431"/>
      <c r="AJ313" s="1536" t="e">
        <f>IF(V312=0,"",VLOOKUP(V312,'Tablas Magia'!$D$6:$Z$779,4,FALSE))</f>
        <v>#N/A</v>
      </c>
      <c r="AK313" s="366"/>
      <c r="AL313" s="360"/>
    </row>
    <row r="314" spans="1:38" ht="12" customHeight="1">
      <c r="A314" s="360"/>
      <c r="B314" s="734"/>
      <c r="C314" s="8434" t="s">
        <v>1225</v>
      </c>
      <c r="D314" s="8435"/>
      <c r="E314" s="375" t="e">
        <f>IF(C312=0,"",VLOOKUP(C312,'Tablas Magia'!$D$6:$Z$779,7,FALSE))</f>
        <v>#N/A</v>
      </c>
      <c r="F314" s="375" t="e">
        <f>IF(C312=0,"",VLOOKUP(C312,'Tablas Magia'!$D$6:$Z$779,11,FALSE))</f>
        <v>#N/A</v>
      </c>
      <c r="G314" s="376" t="e">
        <f>IF(C312=0,"",VLOOKUP(C312,'Tablas Magia'!$D$6:$Z$779,15,FALSE))</f>
        <v>#N/A</v>
      </c>
      <c r="H314" s="8421" t="e">
        <f>IF(C312=0,"",VLOOKUP(C312,'Tablas Magia'!$D$6:$Z$779,19,FALSE))</f>
        <v>#N/A</v>
      </c>
      <c r="I314" s="8422"/>
      <c r="J314" s="8422"/>
      <c r="K314" s="8422"/>
      <c r="L314" s="8422"/>
      <c r="M314" s="8422"/>
      <c r="N314" s="8422"/>
      <c r="O314" s="8422"/>
      <c r="P314" s="8422"/>
      <c r="Q314" s="8423"/>
      <c r="R314" s="366"/>
      <c r="S314" s="360"/>
      <c r="T314" s="360"/>
      <c r="U314" s="734"/>
      <c r="V314" s="8391" t="s">
        <v>1225</v>
      </c>
      <c r="W314" s="8392"/>
      <c r="X314" s="375" t="e">
        <f>IF(V312=0,"",VLOOKUP(V312,'Tablas Magia'!$D$6:$Z$779,7,FALSE))</f>
        <v>#N/A</v>
      </c>
      <c r="Y314" s="375" t="e">
        <f>IF(V312=0,"",VLOOKUP(V312,'Tablas Magia'!$D$6:$Z$779,11,FALSE))</f>
        <v>#N/A</v>
      </c>
      <c r="Z314" s="376" t="e">
        <f>IF(V312=0,"",VLOOKUP(V312,'Tablas Magia'!$D$6:$Z$779,15,FALSE))</f>
        <v>#N/A</v>
      </c>
      <c r="AA314" s="8393" t="e">
        <f>IF(V312=0,"",VLOOKUP(V312,'Tablas Magia'!$D$6:$Z$779,19,FALSE))</f>
        <v>#N/A</v>
      </c>
      <c r="AB314" s="8394"/>
      <c r="AC314" s="8394"/>
      <c r="AD314" s="8394"/>
      <c r="AE314" s="8394"/>
      <c r="AF314" s="8394"/>
      <c r="AG314" s="8394"/>
      <c r="AH314" s="8394"/>
      <c r="AI314" s="8394"/>
      <c r="AJ314" s="8395"/>
      <c r="AK314" s="366"/>
      <c r="AL314" s="360"/>
    </row>
    <row r="315" spans="1:38" ht="12" customHeight="1">
      <c r="A315" s="360"/>
      <c r="B315" s="734"/>
      <c r="C315" s="8386" t="s">
        <v>3035</v>
      </c>
      <c r="D315" s="8387"/>
      <c r="E315" s="377" t="e">
        <f>IF(C312=0,"",VLOOKUP(C312,'Tablas Magia'!$D$6:$Z$779,8,FALSE))</f>
        <v>#N/A</v>
      </c>
      <c r="F315" s="377" t="e">
        <f>IF(C312=0,"",VLOOKUP(C312,'Tablas Magia'!$D$6:$Z$779,12,FALSE))</f>
        <v>#N/A</v>
      </c>
      <c r="G315" s="378" t="e">
        <f>IF(C312=0,"",VLOOKUP(C312,'Tablas Magia'!$D$6:$Z$779,16,FALSE))</f>
        <v>#N/A</v>
      </c>
      <c r="H315" s="8388" t="e">
        <f>IF(C312=0,"",VLOOKUP(C312,'Tablas Magia'!$D$6:$Z$779,20,FALSE))</f>
        <v>#N/A</v>
      </c>
      <c r="I315" s="8389"/>
      <c r="J315" s="8389"/>
      <c r="K315" s="8389"/>
      <c r="L315" s="8389"/>
      <c r="M315" s="8389"/>
      <c r="N315" s="8389"/>
      <c r="O315" s="8389"/>
      <c r="P315" s="8389"/>
      <c r="Q315" s="8390"/>
      <c r="R315" s="366"/>
      <c r="S315" s="360"/>
      <c r="T315" s="360"/>
      <c r="U315" s="734"/>
      <c r="V315" s="8386" t="s">
        <v>3035</v>
      </c>
      <c r="W315" s="8387"/>
      <c r="X315" s="377" t="e">
        <f>IF(V312=0,"",VLOOKUP(V312,'Tablas Magia'!$D$6:$Z$779,8,FALSE))</f>
        <v>#N/A</v>
      </c>
      <c r="Y315" s="377" t="e">
        <f>IF(V312=0,"",VLOOKUP(V312,'Tablas Magia'!$D$6:$Z$779,12,FALSE))</f>
        <v>#N/A</v>
      </c>
      <c r="Z315" s="378" t="e">
        <f>IF(V312=0,"",VLOOKUP(V312,'Tablas Magia'!$D$6:$Z$779,16,FALSE))</f>
        <v>#N/A</v>
      </c>
      <c r="AA315" s="8388" t="e">
        <f>IF(V312=0,"",VLOOKUP(V312,'Tablas Magia'!$D$6:$Z$779,20,FALSE))</f>
        <v>#N/A</v>
      </c>
      <c r="AB315" s="8389"/>
      <c r="AC315" s="8389"/>
      <c r="AD315" s="8389"/>
      <c r="AE315" s="8389"/>
      <c r="AF315" s="8389"/>
      <c r="AG315" s="8389"/>
      <c r="AH315" s="8389"/>
      <c r="AI315" s="8389"/>
      <c r="AJ315" s="8390"/>
      <c r="AK315" s="366"/>
      <c r="AL315" s="360"/>
    </row>
    <row r="316" spans="1:38" ht="12" customHeight="1">
      <c r="A316" s="360"/>
      <c r="B316" s="734"/>
      <c r="C316" s="8391" t="s">
        <v>3036</v>
      </c>
      <c r="D316" s="8392"/>
      <c r="E316" s="375" t="e">
        <f>IF(C312=0,"",VLOOKUP(C312,'Tablas Magia'!$D$6:$Z$779,9,FALSE))</f>
        <v>#N/A</v>
      </c>
      <c r="F316" s="375" t="e">
        <f>IF(C312=0,"",VLOOKUP(C312,'Tablas Magia'!$D$6:$Z$779,13,FALSE))</f>
        <v>#N/A</v>
      </c>
      <c r="G316" s="376" t="e">
        <f>IF(C312=0,"",VLOOKUP(C312,'Tablas Magia'!$D$6:$Z$779,17,FALSE))</f>
        <v>#N/A</v>
      </c>
      <c r="H316" s="8393" t="e">
        <f>IF(C312=0,"",VLOOKUP(C312,'Tablas Magia'!$D$6:$Z$779,21,FALSE))</f>
        <v>#N/A</v>
      </c>
      <c r="I316" s="8394"/>
      <c r="J316" s="8394"/>
      <c r="K316" s="8394"/>
      <c r="L316" s="8394"/>
      <c r="M316" s="8394"/>
      <c r="N316" s="8394"/>
      <c r="O316" s="8394"/>
      <c r="P316" s="8394"/>
      <c r="Q316" s="8395"/>
      <c r="R316" s="366"/>
      <c r="S316" s="360"/>
      <c r="T316" s="360"/>
      <c r="U316" s="734"/>
      <c r="V316" s="8391" t="s">
        <v>3036</v>
      </c>
      <c r="W316" s="8392"/>
      <c r="X316" s="375" t="e">
        <f>IF(V312=0,"",VLOOKUP(V312,'Tablas Magia'!$D$6:$Z$779,9,FALSE))</f>
        <v>#N/A</v>
      </c>
      <c r="Y316" s="375" t="e">
        <f>IF(V312=0,"",VLOOKUP(V312,'Tablas Magia'!$D$6:$Z$779,13,FALSE))</f>
        <v>#N/A</v>
      </c>
      <c r="Z316" s="376" t="e">
        <f>IF(V312=0,"",VLOOKUP(V312,'Tablas Magia'!$D$6:$Z$779,17,FALSE))</f>
        <v>#N/A</v>
      </c>
      <c r="AA316" s="8393" t="e">
        <f>IF(V312=0,"",VLOOKUP(V312,'Tablas Magia'!$D$6:$Z$779,21,FALSE))</f>
        <v>#N/A</v>
      </c>
      <c r="AB316" s="8394"/>
      <c r="AC316" s="8394"/>
      <c r="AD316" s="8394"/>
      <c r="AE316" s="8394"/>
      <c r="AF316" s="8394"/>
      <c r="AG316" s="8394"/>
      <c r="AH316" s="8394"/>
      <c r="AI316" s="8394"/>
      <c r="AJ316" s="8395"/>
      <c r="AK316" s="366"/>
      <c r="AL316" s="360"/>
    </row>
    <row r="317" spans="1:38" ht="12" customHeight="1" thickBot="1">
      <c r="A317" s="360"/>
      <c r="B317" s="734"/>
      <c r="C317" s="8401" t="s">
        <v>3037</v>
      </c>
      <c r="D317" s="8402"/>
      <c r="E317" s="379" t="e">
        <f>IF(C312=0,"",VLOOKUP(C312,'Tablas Magia'!$D$6:$Z$779,10,FALSE))</f>
        <v>#N/A</v>
      </c>
      <c r="F317" s="379" t="e">
        <f>IF(C312=0,"",VLOOKUP(C312,'Tablas Magia'!$D$6:$Z$779,14,FALSE))</f>
        <v>#N/A</v>
      </c>
      <c r="G317" s="380" t="e">
        <f>IF(C312=0,"",VLOOKUP(C312,'Tablas Magia'!$D$6:$Z$779,18,FALSE))</f>
        <v>#N/A</v>
      </c>
      <c r="H317" s="8403" t="e">
        <f>IF(C312=0,"",VLOOKUP(C312,'Tablas Magia'!$D$6:$Z$779,22,FALSE))</f>
        <v>#N/A</v>
      </c>
      <c r="I317" s="8404"/>
      <c r="J317" s="8404"/>
      <c r="K317" s="8404"/>
      <c r="L317" s="8404"/>
      <c r="M317" s="8404"/>
      <c r="N317" s="8404"/>
      <c r="O317" s="8404"/>
      <c r="P317" s="8404"/>
      <c r="Q317" s="8405"/>
      <c r="R317" s="366"/>
      <c r="S317" s="360"/>
      <c r="T317" s="360"/>
      <c r="U317" s="734"/>
      <c r="V317" s="8401" t="s">
        <v>3037</v>
      </c>
      <c r="W317" s="8402"/>
      <c r="X317" s="379" t="e">
        <f>IF(V312=0,"",VLOOKUP(V312,'Tablas Magia'!$D$6:$Z$779,10,FALSE))</f>
        <v>#N/A</v>
      </c>
      <c r="Y317" s="379" t="e">
        <f>IF(V312=0,"",VLOOKUP(V312,'Tablas Magia'!$D$6:$Z$779,14,FALSE))</f>
        <v>#N/A</v>
      </c>
      <c r="Z317" s="380" t="e">
        <f>IF(V312=0,"",VLOOKUP(V312,'Tablas Magia'!$D$6:$Z$779,18,FALSE))</f>
        <v>#N/A</v>
      </c>
      <c r="AA317" s="8403" t="e">
        <f>IF(V312=0,"",VLOOKUP(V312,'Tablas Magia'!$D$6:$Z$779,22,FALSE))</f>
        <v>#N/A</v>
      </c>
      <c r="AB317" s="8404"/>
      <c r="AC317" s="8404"/>
      <c r="AD317" s="8404"/>
      <c r="AE317" s="8404"/>
      <c r="AF317" s="8404"/>
      <c r="AG317" s="8404"/>
      <c r="AH317" s="8404"/>
      <c r="AI317" s="8404"/>
      <c r="AJ317" s="8405"/>
      <c r="AK317" s="366"/>
      <c r="AL317" s="360"/>
    </row>
    <row r="318" spans="1:38" ht="12" customHeight="1">
      <c r="A318" s="360"/>
      <c r="B318" s="734"/>
      <c r="C318" s="8406" t="e">
        <f>IF(C312=0,"",VLOOKUP(C312,'Tablas Magia'!$D$6:$Z$779,23,FALSE))</f>
        <v>#N/A</v>
      </c>
      <c r="D318" s="8407"/>
      <c r="E318" s="8407"/>
      <c r="F318" s="8407"/>
      <c r="G318" s="8407"/>
      <c r="H318" s="8407"/>
      <c r="I318" s="8407"/>
      <c r="J318" s="8407"/>
      <c r="K318" s="8407"/>
      <c r="L318" s="8407"/>
      <c r="M318" s="8407"/>
      <c r="N318" s="8407"/>
      <c r="O318" s="8407"/>
      <c r="P318" s="8407"/>
      <c r="Q318" s="8408"/>
      <c r="R318" s="366"/>
      <c r="S318" s="360"/>
      <c r="T318" s="360"/>
      <c r="U318" s="734"/>
      <c r="V318" s="8406" t="e">
        <f>IF(V312=0,"",VLOOKUP(V312,'Tablas Magia'!$D$6:$Z$779,23,FALSE))</f>
        <v>#N/A</v>
      </c>
      <c r="W318" s="8407"/>
      <c r="X318" s="8407"/>
      <c r="Y318" s="8407"/>
      <c r="Z318" s="8407"/>
      <c r="AA318" s="8407"/>
      <c r="AB318" s="8407"/>
      <c r="AC318" s="8407"/>
      <c r="AD318" s="8407"/>
      <c r="AE318" s="8407"/>
      <c r="AF318" s="8407"/>
      <c r="AG318" s="8407"/>
      <c r="AH318" s="8407"/>
      <c r="AI318" s="8407"/>
      <c r="AJ318" s="8408"/>
      <c r="AK318" s="366"/>
      <c r="AL318" s="360"/>
    </row>
    <row r="319" spans="1:38" ht="12" customHeight="1">
      <c r="A319" s="360"/>
      <c r="B319" s="734"/>
      <c r="C319" s="8409"/>
      <c r="D319" s="8410"/>
      <c r="E319" s="8410"/>
      <c r="F319" s="8410"/>
      <c r="G319" s="8410"/>
      <c r="H319" s="8410"/>
      <c r="I319" s="8410"/>
      <c r="J319" s="8410"/>
      <c r="K319" s="8410"/>
      <c r="L319" s="8410"/>
      <c r="M319" s="8410"/>
      <c r="N319" s="8410"/>
      <c r="O319" s="8410"/>
      <c r="P319" s="8410"/>
      <c r="Q319" s="8411"/>
      <c r="R319" s="366"/>
      <c r="S319" s="360"/>
      <c r="T319" s="360"/>
      <c r="U319" s="734"/>
      <c r="V319" s="8409"/>
      <c r="W319" s="8410"/>
      <c r="X319" s="8410"/>
      <c r="Y319" s="8410"/>
      <c r="Z319" s="8410"/>
      <c r="AA319" s="8410"/>
      <c r="AB319" s="8410"/>
      <c r="AC319" s="8410"/>
      <c r="AD319" s="8410"/>
      <c r="AE319" s="8410"/>
      <c r="AF319" s="8410"/>
      <c r="AG319" s="8410"/>
      <c r="AH319" s="8410"/>
      <c r="AI319" s="8410"/>
      <c r="AJ319" s="8411"/>
      <c r="AK319" s="366"/>
      <c r="AL319" s="360"/>
    </row>
    <row r="320" spans="1:38" ht="12" customHeight="1">
      <c r="A320" s="360"/>
      <c r="B320" s="734"/>
      <c r="C320" s="8409"/>
      <c r="D320" s="8410"/>
      <c r="E320" s="8410"/>
      <c r="F320" s="8410"/>
      <c r="G320" s="8410"/>
      <c r="H320" s="8410"/>
      <c r="I320" s="8410"/>
      <c r="J320" s="8410"/>
      <c r="K320" s="8410"/>
      <c r="L320" s="8410"/>
      <c r="M320" s="8410"/>
      <c r="N320" s="8410"/>
      <c r="O320" s="8410"/>
      <c r="P320" s="8410"/>
      <c r="Q320" s="8411"/>
      <c r="R320" s="366"/>
      <c r="S320" s="360"/>
      <c r="T320" s="360"/>
      <c r="U320" s="734"/>
      <c r="V320" s="8409"/>
      <c r="W320" s="8410"/>
      <c r="X320" s="8410"/>
      <c r="Y320" s="8410"/>
      <c r="Z320" s="8410"/>
      <c r="AA320" s="8410"/>
      <c r="AB320" s="8410"/>
      <c r="AC320" s="8410"/>
      <c r="AD320" s="8410"/>
      <c r="AE320" s="8410"/>
      <c r="AF320" s="8410"/>
      <c r="AG320" s="8410"/>
      <c r="AH320" s="8410"/>
      <c r="AI320" s="8410"/>
      <c r="AJ320" s="8411"/>
      <c r="AK320" s="366"/>
      <c r="AL320" s="360"/>
    </row>
    <row r="321" spans="1:38" ht="12" customHeight="1" thickBot="1">
      <c r="A321" s="360"/>
      <c r="B321" s="734"/>
      <c r="C321" s="8412"/>
      <c r="D321" s="8413"/>
      <c r="E321" s="8413"/>
      <c r="F321" s="8413"/>
      <c r="G321" s="8413"/>
      <c r="H321" s="8413"/>
      <c r="I321" s="8413"/>
      <c r="J321" s="8413"/>
      <c r="K321" s="8413"/>
      <c r="L321" s="8413"/>
      <c r="M321" s="8413"/>
      <c r="N321" s="8413"/>
      <c r="O321" s="8413"/>
      <c r="P321" s="8413"/>
      <c r="Q321" s="8414"/>
      <c r="R321" s="366"/>
      <c r="S321" s="360"/>
      <c r="T321" s="360"/>
      <c r="U321" s="734"/>
      <c r="V321" s="8412"/>
      <c r="W321" s="8413"/>
      <c r="X321" s="8413"/>
      <c r="Y321" s="8413"/>
      <c r="Z321" s="8413"/>
      <c r="AA321" s="8413"/>
      <c r="AB321" s="8413"/>
      <c r="AC321" s="8413"/>
      <c r="AD321" s="8413"/>
      <c r="AE321" s="8413"/>
      <c r="AF321" s="8413"/>
      <c r="AG321" s="8413"/>
      <c r="AH321" s="8413"/>
      <c r="AI321" s="8413"/>
      <c r="AJ321" s="8414"/>
      <c r="AK321" s="366"/>
      <c r="AL321" s="360"/>
    </row>
    <row r="322" spans="1:38" ht="12" customHeight="1" thickBot="1">
      <c r="A322" s="360"/>
      <c r="B322" s="734"/>
      <c r="C322" s="386"/>
      <c r="D322" s="386"/>
      <c r="E322" s="377"/>
      <c r="F322" s="377"/>
      <c r="G322" s="377"/>
      <c r="H322" s="387"/>
      <c r="I322" s="387"/>
      <c r="J322" s="387"/>
      <c r="K322" s="387"/>
      <c r="L322" s="387"/>
      <c r="M322" s="387"/>
      <c r="N322" s="387"/>
      <c r="O322" s="387"/>
      <c r="P322" s="387"/>
      <c r="Q322" s="387"/>
      <c r="R322" s="366"/>
      <c r="S322" s="360"/>
      <c r="T322" s="360"/>
      <c r="U322" s="734"/>
      <c r="V322" s="386"/>
      <c r="W322" s="386"/>
      <c r="X322" s="377"/>
      <c r="Y322" s="377"/>
      <c r="Z322" s="377"/>
      <c r="AA322" s="387"/>
      <c r="AB322" s="387"/>
      <c r="AC322" s="387"/>
      <c r="AD322" s="387"/>
      <c r="AE322" s="387"/>
      <c r="AF322" s="387"/>
      <c r="AG322" s="387"/>
      <c r="AH322" s="387"/>
      <c r="AI322" s="387"/>
      <c r="AJ322" s="387"/>
      <c r="AK322" s="366"/>
      <c r="AL322" s="360"/>
    </row>
    <row r="323" spans="1:38" ht="12" customHeight="1">
      <c r="A323" s="360"/>
      <c r="B323" s="734">
        <f>B312+2</f>
        <v>90</v>
      </c>
      <c r="C323" s="8417" t="str">
        <f>IF(ISNA(VLOOKUP($J$6&amp;B323,'Tablas Magia'!$B$6:$D$779,3,FALSE)),IF(ISNA(VLOOKUP($J$8&amp;B323,'Tablas Magia'!$B$6:$D$779,3,FALSE)),IF(ISNA(VLOOKUP($J$6&amp;B323,Místicos!$AD$12:$AJ$50,4,FALSE)),"Libre Acceso 1-"&amp;MID(C$278,SEARCH("-",C$278)+1,3),VLOOKUP($J$6&amp;B323,Místicos!$AD$12:$AJ$50,4,FALSE)),VLOOKUP($J$8&amp;B323,'Tablas Magia'!$B$6:$D$779,3,FALSE)),VLOOKUP($J$6&amp;B323,'Tablas Magia'!$B$6:$D$779,3,FALSE))</f>
        <v>Libre Acceso 1-90</v>
      </c>
      <c r="D323" s="8418"/>
      <c r="E323" s="8418"/>
      <c r="F323" s="8418"/>
      <c r="G323" s="8419"/>
      <c r="H323" s="370" t="s">
        <v>1186</v>
      </c>
      <c r="I323" s="371">
        <f>B323</f>
        <v>90</v>
      </c>
      <c r="J323" s="8420" t="s">
        <v>5816</v>
      </c>
      <c r="K323" s="8420"/>
      <c r="L323" s="8420"/>
      <c r="M323" s="8378" t="e">
        <f>IF(C323=0,"",VLOOKUP(C323,'Tablas Magia'!$D$6:$Z$779,2,FALSE))</f>
        <v>#N/A</v>
      </c>
      <c r="N323" s="8378"/>
      <c r="O323" s="1525"/>
      <c r="P323" s="8415" t="str">
        <f>IFERROR(IF(M323="Libre Acceso","Aprendido",IF(IFERROR(VLOOKUP(M323,Místicos!$C$15:$H$25,6,0)&gt;=I323,FALSE),"Aprendido",IF(IFERROR(VLOOKUP(M323,Místicos!$E$15:$H$25,4,0)&gt;=I323,FALSE),"Aprendido",""))),"")</f>
        <v/>
      </c>
      <c r="Q323" s="8416"/>
      <c r="R323" s="366"/>
      <c r="S323" s="360"/>
      <c r="T323" s="360"/>
      <c r="U323" s="734">
        <f>U312+2</f>
        <v>100</v>
      </c>
      <c r="V323" s="8417" t="str">
        <f>IF(ISNA(VLOOKUP($J$6&amp;U323,'Tablas Magia'!$B$6:$D$779,3,FALSE)),IF(ISNA(VLOOKUP($J$8&amp;U323,'Tablas Magia'!$B$6:$D$779,3,FALSE)),IF(ISNA(VLOOKUP($J$6&amp;U323,Místicos!$AD$12:$AJ$50,4,FALSE)),"Libre Acceso 1-"&amp;MID(V$278,SEARCH("-",V$278)+1,3),VLOOKUP($J$6&amp;U323,Místicos!$AD$12:$AJ$50,4,FALSE)),VLOOKUP($J$8&amp;U323,'Tablas Magia'!$B$6:$D$779,3,FALSE)),VLOOKUP($J$6&amp;U323,'Tablas Magia'!$B$6:$D$779,3,FALSE))</f>
        <v>Libre Acceso 1-100</v>
      </c>
      <c r="W323" s="8418"/>
      <c r="X323" s="8418"/>
      <c r="Y323" s="8418"/>
      <c r="Z323" s="8418"/>
      <c r="AA323" s="370" t="s">
        <v>1186</v>
      </c>
      <c r="AB323" s="371">
        <f>U323</f>
        <v>100</v>
      </c>
      <c r="AC323" s="8420" t="s">
        <v>5816</v>
      </c>
      <c r="AD323" s="8420"/>
      <c r="AE323" s="8420"/>
      <c r="AF323" s="8378" t="e">
        <f>IF(V323=0,"",VLOOKUP(V323,'Tablas Magia'!$D$6:$Z$779,2,FALSE))</f>
        <v>#N/A</v>
      </c>
      <c r="AG323" s="8378"/>
      <c r="AH323" s="1525"/>
      <c r="AI323" s="8415" t="str">
        <f>IFERROR(IF(AF323="Libre Acceso","Aprendido",IF(IFERROR(VLOOKUP(AF323,Místicos!$C$15:$H$25,6,0)&gt;=AB323,FALSE),"Aprendido",IF(IFERROR(VLOOKUP(AF323,Místicos!$E$15:$H$25,4,0)&gt;=AB323,FALSE),"Aprendido",""))),"")</f>
        <v/>
      </c>
      <c r="AJ323" s="8416"/>
      <c r="AK323" s="366"/>
      <c r="AL323" s="360"/>
    </row>
    <row r="324" spans="1:38" ht="12" customHeight="1">
      <c r="A324" s="360"/>
      <c r="B324" s="734"/>
      <c r="C324" s="8399" t="s">
        <v>5817</v>
      </c>
      <c r="D324" s="8426"/>
      <c r="E324" s="2162" t="s">
        <v>5818</v>
      </c>
      <c r="F324" s="2162" t="s">
        <v>1368</v>
      </c>
      <c r="G324" s="2162" t="s">
        <v>2666</v>
      </c>
      <c r="H324" s="2163" t="s">
        <v>1690</v>
      </c>
      <c r="I324" s="8424" t="e">
        <f>IF(C323=0,"",VLOOKUP(C323,'Tablas Magia'!$D$6:$Z$779,5,FALSE))</f>
        <v>#N/A</v>
      </c>
      <c r="J324" s="8424"/>
      <c r="K324" s="8427" t="s">
        <v>5819</v>
      </c>
      <c r="L324" s="8427"/>
      <c r="M324" s="8424" t="e">
        <f>IF(C323=0,"",VLOOKUP(C323,'Tablas Magia'!$D$6:$Z$779,6,FALSE))</f>
        <v>#N/A</v>
      </c>
      <c r="N324" s="8424"/>
      <c r="O324" s="8425" t="s">
        <v>5820</v>
      </c>
      <c r="P324" s="8425"/>
      <c r="Q324" s="2164" t="e">
        <f>IF(C323=0,"",VLOOKUP(C323,'Tablas Magia'!$D$6:$Z$779,4,FALSE))</f>
        <v>#N/A</v>
      </c>
      <c r="R324" s="366"/>
      <c r="S324" s="360"/>
      <c r="T324" s="360"/>
      <c r="U324" s="734"/>
      <c r="V324" s="8399" t="s">
        <v>5817</v>
      </c>
      <c r="W324" s="8428"/>
      <c r="X324" s="1534" t="s">
        <v>5818</v>
      </c>
      <c r="Y324" s="1534" t="s">
        <v>1368</v>
      </c>
      <c r="Z324" s="1534" t="s">
        <v>2666</v>
      </c>
      <c r="AA324" s="1535" t="s">
        <v>1690</v>
      </c>
      <c r="AB324" s="8429" t="e">
        <f>IF(V323=0,"",VLOOKUP(V323,'Tablas Magia'!$D$6:$Z$779,5,FALSE))</f>
        <v>#N/A</v>
      </c>
      <c r="AC324" s="8429"/>
      <c r="AD324" s="8430" t="s">
        <v>5819</v>
      </c>
      <c r="AE324" s="8430"/>
      <c r="AF324" s="8429" t="e">
        <f>IF(V323=0,"",VLOOKUP(V323,'Tablas Magia'!$D$6:$Z$779,6,FALSE))</f>
        <v>#N/A</v>
      </c>
      <c r="AG324" s="8429"/>
      <c r="AH324" s="8431" t="s">
        <v>5820</v>
      </c>
      <c r="AI324" s="8431"/>
      <c r="AJ324" s="1536" t="e">
        <f>IF(V323=0,"",VLOOKUP(V323,'Tablas Magia'!$D$6:$Z$779,4,FALSE))</f>
        <v>#N/A</v>
      </c>
      <c r="AK324" s="366"/>
      <c r="AL324" s="360"/>
    </row>
    <row r="325" spans="1:38" ht="12" customHeight="1">
      <c r="A325" s="360"/>
      <c r="B325" s="734"/>
      <c r="C325" s="8434" t="s">
        <v>1225</v>
      </c>
      <c r="D325" s="8435"/>
      <c r="E325" s="375" t="e">
        <f>IF(C323=0,"",VLOOKUP(C323,'Tablas Magia'!$D$6:$Z$779,7,FALSE))</f>
        <v>#N/A</v>
      </c>
      <c r="F325" s="375" t="e">
        <f>IF(C323=0,"",VLOOKUP(C323,'Tablas Magia'!$D$6:$Z$779,11,FALSE))</f>
        <v>#N/A</v>
      </c>
      <c r="G325" s="376" t="e">
        <f>IF(C323=0,"",VLOOKUP(C323,'Tablas Magia'!$D$6:$Z$779,15,FALSE))</f>
        <v>#N/A</v>
      </c>
      <c r="H325" s="8421" t="e">
        <f>IF(C323=0,"",VLOOKUP(C323,'Tablas Magia'!$D$6:$Z$779,19,FALSE))</f>
        <v>#N/A</v>
      </c>
      <c r="I325" s="8422"/>
      <c r="J325" s="8422"/>
      <c r="K325" s="8422"/>
      <c r="L325" s="8422"/>
      <c r="M325" s="8422"/>
      <c r="N325" s="8422"/>
      <c r="O325" s="8422"/>
      <c r="P325" s="8422"/>
      <c r="Q325" s="8423"/>
      <c r="R325" s="366"/>
      <c r="S325" s="360"/>
      <c r="T325" s="360"/>
      <c r="U325" s="734"/>
      <c r="V325" s="8391" t="s">
        <v>1225</v>
      </c>
      <c r="W325" s="8392"/>
      <c r="X325" s="375" t="e">
        <f>IF(V323=0,"",VLOOKUP(V323,'Tablas Magia'!$D$6:$Z$779,7,FALSE))</f>
        <v>#N/A</v>
      </c>
      <c r="Y325" s="375" t="e">
        <f>IF(V323=0,"",VLOOKUP(V323,'Tablas Magia'!$D$6:$Z$779,11,FALSE))</f>
        <v>#N/A</v>
      </c>
      <c r="Z325" s="376" t="e">
        <f>IF(V323=0,"",VLOOKUP(V323,'Tablas Magia'!$D$6:$Z$779,15,FALSE))</f>
        <v>#N/A</v>
      </c>
      <c r="AA325" s="8393" t="e">
        <f>IF(V323=0,"",VLOOKUP(V323,'Tablas Magia'!$D$6:$Z$779,19,FALSE))</f>
        <v>#N/A</v>
      </c>
      <c r="AB325" s="8394"/>
      <c r="AC325" s="8394"/>
      <c r="AD325" s="8394"/>
      <c r="AE325" s="8394"/>
      <c r="AF325" s="8394"/>
      <c r="AG325" s="8394"/>
      <c r="AH325" s="8394"/>
      <c r="AI325" s="8394"/>
      <c r="AJ325" s="8395"/>
      <c r="AK325" s="366"/>
      <c r="AL325" s="360"/>
    </row>
    <row r="326" spans="1:38" ht="12" customHeight="1">
      <c r="A326" s="360"/>
      <c r="B326" s="734"/>
      <c r="C326" s="8386" t="s">
        <v>3035</v>
      </c>
      <c r="D326" s="8387"/>
      <c r="E326" s="377" t="e">
        <f>IF(C323=0,"",VLOOKUP(C323,'Tablas Magia'!$D$6:$Z$779,8,FALSE))</f>
        <v>#N/A</v>
      </c>
      <c r="F326" s="377" t="e">
        <f>IF(C323=0,"",VLOOKUP(C323,'Tablas Magia'!$D$6:$Z$779,12,FALSE))</f>
        <v>#N/A</v>
      </c>
      <c r="G326" s="378" t="e">
        <f>IF(C323=0,"",VLOOKUP(C323,'Tablas Magia'!$D$6:$Z$779,16,FALSE))</f>
        <v>#N/A</v>
      </c>
      <c r="H326" s="8388" t="e">
        <f>IF(C323=0,"",VLOOKUP(C323,'Tablas Magia'!$D$6:$Z$779,20,FALSE))</f>
        <v>#N/A</v>
      </c>
      <c r="I326" s="8389"/>
      <c r="J326" s="8389"/>
      <c r="K326" s="8389"/>
      <c r="L326" s="8389"/>
      <c r="M326" s="8389"/>
      <c r="N326" s="8389"/>
      <c r="O326" s="8389"/>
      <c r="P326" s="8389"/>
      <c r="Q326" s="8390"/>
      <c r="R326" s="366"/>
      <c r="S326" s="360"/>
      <c r="T326" s="360"/>
      <c r="U326" s="734"/>
      <c r="V326" s="8386" t="s">
        <v>3035</v>
      </c>
      <c r="W326" s="8387"/>
      <c r="X326" s="377" t="e">
        <f>IF(V323=0,"",VLOOKUP(V323,'Tablas Magia'!$D$6:$Z$779,8,FALSE))</f>
        <v>#N/A</v>
      </c>
      <c r="Y326" s="377" t="e">
        <f>IF(V323=0,"",VLOOKUP(V323,'Tablas Magia'!$D$6:$Z$779,12,FALSE))</f>
        <v>#N/A</v>
      </c>
      <c r="Z326" s="378" t="e">
        <f>IF(V323=0,"",VLOOKUP(V323,'Tablas Magia'!$D$6:$Z$779,16,FALSE))</f>
        <v>#N/A</v>
      </c>
      <c r="AA326" s="8388" t="e">
        <f>IF(V323=0,"",VLOOKUP(V323,'Tablas Magia'!$D$6:$Z$779,20,FALSE))</f>
        <v>#N/A</v>
      </c>
      <c r="AB326" s="8389"/>
      <c r="AC326" s="8389"/>
      <c r="AD326" s="8389"/>
      <c r="AE326" s="8389"/>
      <c r="AF326" s="8389"/>
      <c r="AG326" s="8389"/>
      <c r="AH326" s="8389"/>
      <c r="AI326" s="8389"/>
      <c r="AJ326" s="8390"/>
      <c r="AK326" s="366"/>
      <c r="AL326" s="360"/>
    </row>
    <row r="327" spans="1:38" ht="12" customHeight="1">
      <c r="A327" s="360"/>
      <c r="B327" s="734"/>
      <c r="C327" s="8391" t="s">
        <v>3036</v>
      </c>
      <c r="D327" s="8392"/>
      <c r="E327" s="375" t="e">
        <f>IF(C323=0,"",VLOOKUP(C323,'Tablas Magia'!$D$6:$Z$779,9,FALSE))</f>
        <v>#N/A</v>
      </c>
      <c r="F327" s="375" t="e">
        <f>IF(C323=0,"",VLOOKUP(C323,'Tablas Magia'!$D$6:$Z$779,13,FALSE))</f>
        <v>#N/A</v>
      </c>
      <c r="G327" s="376" t="e">
        <f>IF(C323=0,"",VLOOKUP(C323,'Tablas Magia'!$D$6:$Z$779,17,FALSE))</f>
        <v>#N/A</v>
      </c>
      <c r="H327" s="8393" t="e">
        <f>IF(C323=0,"",VLOOKUP(C323,'Tablas Magia'!$D$6:$Z$779,21,FALSE))</f>
        <v>#N/A</v>
      </c>
      <c r="I327" s="8394"/>
      <c r="J327" s="8394"/>
      <c r="K327" s="8394"/>
      <c r="L327" s="8394"/>
      <c r="M327" s="8394"/>
      <c r="N327" s="8394"/>
      <c r="O327" s="8394"/>
      <c r="P327" s="8394"/>
      <c r="Q327" s="8395"/>
      <c r="R327" s="366"/>
      <c r="S327" s="360"/>
      <c r="T327" s="360"/>
      <c r="U327" s="734"/>
      <c r="V327" s="8391" t="s">
        <v>3036</v>
      </c>
      <c r="W327" s="8392"/>
      <c r="X327" s="375" t="e">
        <f>IF(V323=0,"",VLOOKUP(V323,'Tablas Magia'!$D$6:$Z$779,9,FALSE))</f>
        <v>#N/A</v>
      </c>
      <c r="Y327" s="375" t="e">
        <f>IF(V323=0,"",VLOOKUP(V323,'Tablas Magia'!$D$6:$Z$779,13,FALSE))</f>
        <v>#N/A</v>
      </c>
      <c r="Z327" s="376" t="e">
        <f>IF(V323=0,"",VLOOKUP(V323,'Tablas Magia'!$D$6:$Z$779,17,FALSE))</f>
        <v>#N/A</v>
      </c>
      <c r="AA327" s="8393" t="e">
        <f>IF(V323=0,"",VLOOKUP(V323,'Tablas Magia'!$D$6:$Z$779,21,FALSE))</f>
        <v>#N/A</v>
      </c>
      <c r="AB327" s="8394"/>
      <c r="AC327" s="8394"/>
      <c r="AD327" s="8394"/>
      <c r="AE327" s="8394"/>
      <c r="AF327" s="8394"/>
      <c r="AG327" s="8394"/>
      <c r="AH327" s="8394"/>
      <c r="AI327" s="8394"/>
      <c r="AJ327" s="8395"/>
      <c r="AK327" s="366"/>
      <c r="AL327" s="360"/>
    </row>
    <row r="328" spans="1:38" ht="12" customHeight="1" thickBot="1">
      <c r="A328" s="360"/>
      <c r="B328" s="734"/>
      <c r="C328" s="8401" t="s">
        <v>3037</v>
      </c>
      <c r="D328" s="8402"/>
      <c r="E328" s="379" t="e">
        <f>IF(C323=0,"",VLOOKUP(C323,'Tablas Magia'!$D$6:$Z$779,10,FALSE))</f>
        <v>#N/A</v>
      </c>
      <c r="F328" s="379" t="e">
        <f>IF(C323=0,"",VLOOKUP(C323,'Tablas Magia'!$D$6:$Z$779,14,FALSE))</f>
        <v>#N/A</v>
      </c>
      <c r="G328" s="380" t="e">
        <f>IF(C323=0,"",VLOOKUP(C323,'Tablas Magia'!$D$6:$Z$779,18,FALSE))</f>
        <v>#N/A</v>
      </c>
      <c r="H328" s="8403" t="e">
        <f>IF(C323=0,"",VLOOKUP(C323,'Tablas Magia'!$D$6:$Z$779,22,FALSE))</f>
        <v>#N/A</v>
      </c>
      <c r="I328" s="8404"/>
      <c r="J328" s="8404"/>
      <c r="K328" s="8404"/>
      <c r="L328" s="8404"/>
      <c r="M328" s="8404"/>
      <c r="N328" s="8404"/>
      <c r="O328" s="8404"/>
      <c r="P328" s="8404"/>
      <c r="Q328" s="8405"/>
      <c r="R328" s="366"/>
      <c r="S328" s="360"/>
      <c r="T328" s="360"/>
      <c r="U328" s="734"/>
      <c r="V328" s="8401" t="s">
        <v>3037</v>
      </c>
      <c r="W328" s="8402"/>
      <c r="X328" s="379" t="e">
        <f>IF(V323=0,"",VLOOKUP(V323,'Tablas Magia'!$D$6:$Z$779,10,FALSE))</f>
        <v>#N/A</v>
      </c>
      <c r="Y328" s="379" t="e">
        <f>IF(V323=0,"",VLOOKUP(V323,'Tablas Magia'!$D$6:$Z$779,14,FALSE))</f>
        <v>#N/A</v>
      </c>
      <c r="Z328" s="380" t="e">
        <f>IF(V323=0,"",VLOOKUP(V323,'Tablas Magia'!$D$6:$Z$779,18,FALSE))</f>
        <v>#N/A</v>
      </c>
      <c r="AA328" s="8403" t="e">
        <f>IF(V323=0,"",VLOOKUP(V323,'Tablas Magia'!$D$6:$Z$779,22,FALSE))</f>
        <v>#N/A</v>
      </c>
      <c r="AB328" s="8404"/>
      <c r="AC328" s="8404"/>
      <c r="AD328" s="8404"/>
      <c r="AE328" s="8404"/>
      <c r="AF328" s="8404"/>
      <c r="AG328" s="8404"/>
      <c r="AH328" s="8404"/>
      <c r="AI328" s="8404"/>
      <c r="AJ328" s="8405"/>
      <c r="AK328" s="366"/>
      <c r="AL328" s="360"/>
    </row>
    <row r="329" spans="1:38" ht="12" customHeight="1">
      <c r="A329" s="360"/>
      <c r="B329" s="734"/>
      <c r="C329" s="8406" t="e">
        <f>IF(C323=0,"",VLOOKUP(C323,'Tablas Magia'!$D$6:$Z$779,23,FALSE))</f>
        <v>#N/A</v>
      </c>
      <c r="D329" s="8407"/>
      <c r="E329" s="8407"/>
      <c r="F329" s="8407"/>
      <c r="G329" s="8407"/>
      <c r="H329" s="8407"/>
      <c r="I329" s="8407"/>
      <c r="J329" s="8407"/>
      <c r="K329" s="8407"/>
      <c r="L329" s="8407"/>
      <c r="M329" s="8407"/>
      <c r="N329" s="8407"/>
      <c r="O329" s="8407"/>
      <c r="P329" s="8407"/>
      <c r="Q329" s="8408"/>
      <c r="R329" s="366"/>
      <c r="S329" s="360"/>
      <c r="T329" s="360"/>
      <c r="U329" s="734"/>
      <c r="V329" s="8406" t="e">
        <f>IF(V323=0,"",VLOOKUP(V323,'Tablas Magia'!$D$6:$Z$779,23,FALSE))</f>
        <v>#N/A</v>
      </c>
      <c r="W329" s="8407"/>
      <c r="X329" s="8407"/>
      <c r="Y329" s="8407"/>
      <c r="Z329" s="8407"/>
      <c r="AA329" s="8407"/>
      <c r="AB329" s="8407"/>
      <c r="AC329" s="8407"/>
      <c r="AD329" s="8407"/>
      <c r="AE329" s="8407"/>
      <c r="AF329" s="8407"/>
      <c r="AG329" s="8407"/>
      <c r="AH329" s="8407"/>
      <c r="AI329" s="8407"/>
      <c r="AJ329" s="8408"/>
      <c r="AK329" s="366"/>
      <c r="AL329" s="360"/>
    </row>
    <row r="330" spans="1:38" ht="12" customHeight="1">
      <c r="A330" s="360"/>
      <c r="B330" s="734"/>
      <c r="C330" s="8409"/>
      <c r="D330" s="8410"/>
      <c r="E330" s="8410"/>
      <c r="F330" s="8410"/>
      <c r="G330" s="8410"/>
      <c r="H330" s="8410"/>
      <c r="I330" s="8410"/>
      <c r="J330" s="8410"/>
      <c r="K330" s="8410"/>
      <c r="L330" s="8410"/>
      <c r="M330" s="8410"/>
      <c r="N330" s="8410"/>
      <c r="O330" s="8410"/>
      <c r="P330" s="8410"/>
      <c r="Q330" s="8411"/>
      <c r="R330" s="366"/>
      <c r="S330" s="360"/>
      <c r="T330" s="360"/>
      <c r="U330" s="734"/>
      <c r="V330" s="8409"/>
      <c r="W330" s="8410"/>
      <c r="X330" s="8410"/>
      <c r="Y330" s="8410"/>
      <c r="Z330" s="8410"/>
      <c r="AA330" s="8410"/>
      <c r="AB330" s="8410"/>
      <c r="AC330" s="8410"/>
      <c r="AD330" s="8410"/>
      <c r="AE330" s="8410"/>
      <c r="AF330" s="8410"/>
      <c r="AG330" s="8410"/>
      <c r="AH330" s="8410"/>
      <c r="AI330" s="8410"/>
      <c r="AJ330" s="8411"/>
      <c r="AK330" s="366"/>
      <c r="AL330" s="360"/>
    </row>
    <row r="331" spans="1:38" ht="12" customHeight="1">
      <c r="A331" s="360"/>
      <c r="B331" s="734"/>
      <c r="C331" s="8409"/>
      <c r="D331" s="8410"/>
      <c r="E331" s="8410"/>
      <c r="F331" s="8410"/>
      <c r="G331" s="8410"/>
      <c r="H331" s="8410"/>
      <c r="I331" s="8410"/>
      <c r="J331" s="8410"/>
      <c r="K331" s="8410"/>
      <c r="L331" s="8410"/>
      <c r="M331" s="8410"/>
      <c r="N331" s="8410"/>
      <c r="O331" s="8410"/>
      <c r="P331" s="8410"/>
      <c r="Q331" s="8411"/>
      <c r="R331" s="366"/>
      <c r="S331" s="360"/>
      <c r="T331" s="360"/>
      <c r="U331" s="734"/>
      <c r="V331" s="8409"/>
      <c r="W331" s="8410"/>
      <c r="X331" s="8410"/>
      <c r="Y331" s="8410"/>
      <c r="Z331" s="8410"/>
      <c r="AA331" s="8410"/>
      <c r="AB331" s="8410"/>
      <c r="AC331" s="8410"/>
      <c r="AD331" s="8410"/>
      <c r="AE331" s="8410"/>
      <c r="AF331" s="8410"/>
      <c r="AG331" s="8410"/>
      <c r="AH331" s="8410"/>
      <c r="AI331" s="8410"/>
      <c r="AJ331" s="8411"/>
      <c r="AK331" s="366"/>
      <c r="AL331" s="360"/>
    </row>
    <row r="332" spans="1:38" ht="12" customHeight="1" thickBot="1">
      <c r="A332" s="360"/>
      <c r="B332" s="734"/>
      <c r="C332" s="8412"/>
      <c r="D332" s="8413"/>
      <c r="E332" s="8413"/>
      <c r="F332" s="8413"/>
      <c r="G332" s="8413"/>
      <c r="H332" s="8413"/>
      <c r="I332" s="8413"/>
      <c r="J332" s="8413"/>
      <c r="K332" s="8413"/>
      <c r="L332" s="8413"/>
      <c r="M332" s="8413"/>
      <c r="N332" s="8413"/>
      <c r="O332" s="8413"/>
      <c r="P332" s="8413"/>
      <c r="Q332" s="8414"/>
      <c r="R332" s="366"/>
      <c r="S332" s="360"/>
      <c r="T332" s="360"/>
      <c r="U332" s="734"/>
      <c r="V332" s="8412"/>
      <c r="W332" s="8413"/>
      <c r="X332" s="8413"/>
      <c r="Y332" s="8413"/>
      <c r="Z332" s="8413"/>
      <c r="AA332" s="8413"/>
      <c r="AB332" s="8413"/>
      <c r="AC332" s="8413"/>
      <c r="AD332" s="8413"/>
      <c r="AE332" s="8413"/>
      <c r="AF332" s="8413"/>
      <c r="AG332" s="8413"/>
      <c r="AH332" s="8413"/>
      <c r="AI332" s="8413"/>
      <c r="AJ332" s="8414"/>
      <c r="AK332" s="366"/>
      <c r="AL332" s="1297"/>
    </row>
    <row r="333" spans="1:38" ht="12" customHeight="1">
      <c r="A333" s="360"/>
      <c r="B333" s="734"/>
      <c r="C333" s="2165"/>
      <c r="D333" s="2165"/>
      <c r="E333" s="2165"/>
      <c r="F333" s="2165"/>
      <c r="G333" s="2165"/>
      <c r="H333" s="2165"/>
      <c r="I333" s="2165"/>
      <c r="J333" s="2165"/>
      <c r="K333" s="2165"/>
      <c r="L333" s="2165"/>
      <c r="M333" s="2165"/>
      <c r="N333" s="2165"/>
      <c r="O333" s="2165"/>
      <c r="P333" s="2165"/>
      <c r="Q333" s="2165"/>
      <c r="R333" s="366"/>
      <c r="S333" s="360"/>
      <c r="T333" s="360"/>
      <c r="U333" s="734"/>
      <c r="V333" s="2165"/>
      <c r="W333" s="2165"/>
      <c r="X333" s="2165"/>
      <c r="Y333" s="2165"/>
      <c r="Z333" s="2165"/>
      <c r="AA333" s="2165"/>
      <c r="AB333" s="2165"/>
      <c r="AC333" s="2165"/>
      <c r="AD333" s="2165"/>
      <c r="AE333" s="2165"/>
      <c r="AF333" s="2165"/>
      <c r="AG333" s="2165"/>
      <c r="AH333" s="2165"/>
      <c r="AI333" s="2165"/>
      <c r="AJ333" s="2165"/>
      <c r="AK333" s="366"/>
      <c r="AL333" s="1297"/>
    </row>
    <row r="334" spans="1:38" ht="12" customHeight="1" thickBot="1">
      <c r="A334" s="360"/>
      <c r="B334" s="735"/>
      <c r="C334" s="388"/>
      <c r="D334" s="388"/>
      <c r="E334" s="388"/>
      <c r="F334" s="388"/>
      <c r="G334" s="388"/>
      <c r="H334" s="388"/>
      <c r="I334" s="388"/>
      <c r="J334" s="388"/>
      <c r="K334" s="388"/>
      <c r="L334" s="388"/>
      <c r="M334" s="388"/>
      <c r="N334" s="388"/>
      <c r="O334" s="388"/>
      <c r="P334" s="388"/>
      <c r="Q334" s="388"/>
      <c r="R334" s="389"/>
      <c r="S334" s="360"/>
      <c r="T334" s="360"/>
      <c r="U334" s="735"/>
      <c r="V334" s="388"/>
      <c r="W334" s="388"/>
      <c r="X334" s="388"/>
      <c r="Y334" s="388"/>
      <c r="Z334" s="388"/>
      <c r="AA334" s="388"/>
      <c r="AB334" s="388"/>
      <c r="AC334" s="388"/>
      <c r="AD334" s="388"/>
      <c r="AE334" s="388"/>
      <c r="AF334" s="388"/>
      <c r="AG334" s="388"/>
      <c r="AH334" s="388"/>
      <c r="AI334" s="388"/>
      <c r="AJ334" s="388"/>
      <c r="AK334" s="389"/>
      <c r="AL334" s="1297"/>
    </row>
    <row r="335" spans="1:38" ht="12" customHeight="1">
      <c r="A335" s="1297"/>
      <c r="B335" s="1298"/>
      <c r="C335" s="1297"/>
      <c r="D335" s="1297"/>
      <c r="E335" s="1297"/>
      <c r="F335" s="1297"/>
      <c r="G335" s="1297"/>
      <c r="H335" s="1297"/>
      <c r="I335" s="1297"/>
      <c r="J335" s="1297"/>
      <c r="K335" s="1297"/>
      <c r="L335" s="1297"/>
      <c r="M335" s="1297"/>
      <c r="N335" s="1297"/>
      <c r="O335" s="1297"/>
      <c r="P335" s="1297"/>
      <c r="Q335" s="1297"/>
      <c r="R335" s="1297"/>
      <c r="S335" s="360"/>
      <c r="T335" s="1297"/>
      <c r="U335" s="1298"/>
      <c r="V335" s="1297"/>
      <c r="W335" s="1297"/>
      <c r="X335" s="1297"/>
      <c r="Y335" s="1297"/>
      <c r="Z335" s="1297"/>
      <c r="AA335" s="1297"/>
      <c r="AB335" s="1297"/>
      <c r="AC335" s="1297"/>
      <c r="AD335" s="1297"/>
      <c r="AE335" s="1297"/>
      <c r="AF335" s="1297"/>
      <c r="AG335" s="1297"/>
      <c r="AH335" s="1297"/>
      <c r="AI335" s="1297"/>
      <c r="AJ335" s="1297"/>
      <c r="AK335" s="1297"/>
      <c r="AL335" s="1297"/>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156 C156 Y290 V290 F290 C290 F223 C223 Y223 V223 Y156 V156 Y89 V89 F89 C89 F22 C22 Y22 V22" name="Poderes_1_3_13"/>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1 B22 B33 B44 B55 U22 U33 U44 U55 B23:G23 B34:G34 B45:G45 B56:G56 U12:Z12 U23:Z23 U34:Z34 U45:Z45 A2:A67 U56:Z56 O6 U11 T10:T65 AK22:AL23 AK33:AL34 AK44:AL45 AK55:AL56 U13:AL21 U24:AL32 U35:AL43 U46:AL54 AK11:AL12 T66:AL67 T77:U134 U57:AL65 T68:U68 A1:AL1 R22:S23 R33:S34 R44:S45 R55:S56 B12:S21 B24:S32 B35:S43 B46:S54 B57:S67 R11:S11 A77:B134 J6:L6 J8:L8 AL10 S10">
    <cfRule type="containsErrors" dxfId="1902" priority="5728" stopIfTrue="1">
      <formula>ISERROR(A1)</formula>
    </cfRule>
  </conditionalFormatting>
  <conditionalFormatting sqref="H22:M22 H23:Q23">
    <cfRule type="containsErrors" dxfId="1901" priority="5688" stopIfTrue="1">
      <formula>ISERROR(H22)</formula>
    </cfRule>
  </conditionalFormatting>
  <conditionalFormatting sqref="H33:M33 H34:Q34">
    <cfRule type="containsErrors" dxfId="1900" priority="5686" stopIfTrue="1">
      <formula>ISERROR(H33)</formula>
    </cfRule>
  </conditionalFormatting>
  <conditionalFormatting sqref="H44:M44 H45:Q45">
    <cfRule type="containsErrors" dxfId="1899" priority="5684" stopIfTrue="1">
      <formula>ISERROR(H44)</formula>
    </cfRule>
  </conditionalFormatting>
  <conditionalFormatting sqref="H55:M55 H56:Q56">
    <cfRule type="containsErrors" dxfId="1898" priority="5682" stopIfTrue="1">
      <formula>ISERROR(H55)</formula>
    </cfRule>
  </conditionalFormatting>
  <conditionalFormatting sqref="AA11:AF11 AA12:AJ12">
    <cfRule type="containsErrors" dxfId="1897" priority="5680" stopIfTrue="1">
      <formula>ISERROR(AA11)</formula>
    </cfRule>
  </conditionalFormatting>
  <conditionalFormatting sqref="AA22:AF22 AA23:AJ23">
    <cfRule type="containsErrors" dxfId="1896" priority="5678" stopIfTrue="1">
      <formula>ISERROR(AA22)</formula>
    </cfRule>
  </conditionalFormatting>
  <conditionalFormatting sqref="AA33:AF33 AA34:AJ34">
    <cfRule type="containsErrors" dxfId="1895" priority="5676" stopIfTrue="1">
      <formula>ISERROR(AA33)</formula>
    </cfRule>
  </conditionalFormatting>
  <conditionalFormatting sqref="AA44:AF44 AA45:AJ45">
    <cfRule type="containsErrors" dxfId="1894" priority="5674" stopIfTrue="1">
      <formula>ISERROR(AA44)</formula>
    </cfRule>
  </conditionalFormatting>
  <conditionalFormatting sqref="AA55:AF55 AA56:AJ56">
    <cfRule type="containsErrors" dxfId="1893" priority="5672" stopIfTrue="1">
      <formula>ISERROR(AA55)</formula>
    </cfRule>
  </conditionalFormatting>
  <conditionalFormatting sqref="V10:AJ10">
    <cfRule type="containsErrors" dxfId="1892" priority="5506" stopIfTrue="1">
      <formula>ISERROR(V10)</formula>
    </cfRule>
  </conditionalFormatting>
  <conditionalFormatting sqref="C10:Q10">
    <cfRule type="containsErrors" dxfId="1891" priority="5503"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890" priority="3798" stopIfTrue="1">
      <formula>ISERROR(C78)</formula>
    </cfRule>
  </conditionalFormatting>
  <conditionalFormatting sqref="H89:M89 H90:Q90">
    <cfRule type="containsErrors" dxfId="1889" priority="3797" stopIfTrue="1">
      <formula>ISERROR(H89)</formula>
    </cfRule>
  </conditionalFormatting>
  <conditionalFormatting sqref="H100:M100 H101:Q101">
    <cfRule type="containsErrors" dxfId="1888" priority="3796" stopIfTrue="1">
      <formula>ISERROR(H100)</formula>
    </cfRule>
  </conditionalFormatting>
  <conditionalFormatting sqref="H111:M111 H112:Q112">
    <cfRule type="containsErrors" dxfId="1887" priority="3795" stopIfTrue="1">
      <formula>ISERROR(H111)</formula>
    </cfRule>
  </conditionalFormatting>
  <conditionalFormatting sqref="H122:M122 H123:Q123">
    <cfRule type="containsErrors" dxfId="1886" priority="3794" stopIfTrue="1">
      <formula>ISERROR(H122)</formula>
    </cfRule>
  </conditionalFormatting>
  <conditionalFormatting sqref="AA78:AF78 AA79:AJ79">
    <cfRule type="containsErrors" dxfId="1885" priority="3793" stopIfTrue="1">
      <formula>ISERROR(AA78)</formula>
    </cfRule>
  </conditionalFormatting>
  <conditionalFormatting sqref="AA89:AF89 AA90:AJ90">
    <cfRule type="containsErrors" dxfId="1884" priority="3792" stopIfTrue="1">
      <formula>ISERROR(AA89)</formula>
    </cfRule>
  </conditionalFormatting>
  <conditionalFormatting sqref="AA100:AF100 AA101:AJ101">
    <cfRule type="containsErrors" dxfId="1883" priority="3791" stopIfTrue="1">
      <formula>ISERROR(AA100)</formula>
    </cfRule>
  </conditionalFormatting>
  <conditionalFormatting sqref="AA111:AF111 AA112:AJ112">
    <cfRule type="containsErrors" dxfId="1882" priority="3790" stopIfTrue="1">
      <formula>ISERROR(AA111)</formula>
    </cfRule>
  </conditionalFormatting>
  <conditionalFormatting sqref="AA122:AF122 AA123:AJ123">
    <cfRule type="containsErrors" dxfId="1881" priority="3789" stopIfTrue="1">
      <formula>ISERROR(AA122)</formula>
    </cfRule>
  </conditionalFormatting>
  <conditionalFormatting sqref="V77:AJ77">
    <cfRule type="containsErrors" dxfId="1880" priority="3788" stopIfTrue="1">
      <formula>ISERROR(V77)</formula>
    </cfRule>
  </conditionalFormatting>
  <conditionalFormatting sqref="C77:Q77">
    <cfRule type="containsErrors" dxfId="1879" priority="3787"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878" priority="3757" stopIfTrue="1">
      <formula>ISERROR(C145)</formula>
    </cfRule>
  </conditionalFormatting>
  <conditionalFormatting sqref="H156:M156 H157:Q157">
    <cfRule type="containsErrors" dxfId="1877" priority="3756" stopIfTrue="1">
      <formula>ISERROR(H156)</formula>
    </cfRule>
  </conditionalFormatting>
  <conditionalFormatting sqref="H167:M167 H168:Q168">
    <cfRule type="containsErrors" dxfId="1876" priority="3755" stopIfTrue="1">
      <formula>ISERROR(H167)</formula>
    </cfRule>
  </conditionalFormatting>
  <conditionalFormatting sqref="H178:M178 H179:Q179">
    <cfRule type="containsErrors" dxfId="1875" priority="3754" stopIfTrue="1">
      <formula>ISERROR(H178)</formula>
    </cfRule>
  </conditionalFormatting>
  <conditionalFormatting sqref="H189:M189 H190:Q190">
    <cfRule type="containsErrors" dxfId="1874" priority="3753" stopIfTrue="1">
      <formula>ISERROR(H189)</formula>
    </cfRule>
  </conditionalFormatting>
  <conditionalFormatting sqref="AA145:AF145 AA146:AJ146">
    <cfRule type="containsErrors" dxfId="1873" priority="3752" stopIfTrue="1">
      <formula>ISERROR(AA145)</formula>
    </cfRule>
  </conditionalFormatting>
  <conditionalFormatting sqref="AA156:AF156 AA157:AJ157">
    <cfRule type="containsErrors" dxfId="1872" priority="3751" stopIfTrue="1">
      <formula>ISERROR(AA156)</formula>
    </cfRule>
  </conditionalFormatting>
  <conditionalFormatting sqref="AA167:AF167 AA168:AJ168">
    <cfRule type="containsErrors" dxfId="1871" priority="3750" stopIfTrue="1">
      <formula>ISERROR(AA167)</formula>
    </cfRule>
  </conditionalFormatting>
  <conditionalFormatting sqref="AA178:AF178 AA179:AJ179">
    <cfRule type="containsErrors" dxfId="1870" priority="3749" stopIfTrue="1">
      <formula>ISERROR(AA178)</formula>
    </cfRule>
  </conditionalFormatting>
  <conditionalFormatting sqref="AA189:AF189 AA190:AJ190">
    <cfRule type="containsErrors" dxfId="1869" priority="3748" stopIfTrue="1">
      <formula>ISERROR(AA189)</formula>
    </cfRule>
  </conditionalFormatting>
  <conditionalFormatting sqref="V144:AJ144">
    <cfRule type="containsErrors" dxfId="1868" priority="3747" stopIfTrue="1">
      <formula>ISERROR(V144)</formula>
    </cfRule>
  </conditionalFormatting>
  <conditionalFormatting sqref="C144:Q144">
    <cfRule type="containsErrors" dxfId="1867" priority="3746"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866" priority="3716" stopIfTrue="1">
      <formula>ISERROR(C212)</formula>
    </cfRule>
  </conditionalFormatting>
  <conditionalFormatting sqref="H223:M223 H224:Q224">
    <cfRule type="containsErrors" dxfId="1865" priority="3715" stopIfTrue="1">
      <formula>ISERROR(H223)</formula>
    </cfRule>
  </conditionalFormatting>
  <conditionalFormatting sqref="H234:M234 H235:Q235">
    <cfRule type="containsErrors" dxfId="1864" priority="3714" stopIfTrue="1">
      <formula>ISERROR(H234)</formula>
    </cfRule>
  </conditionalFormatting>
  <conditionalFormatting sqref="H245:M245 H246:Q246">
    <cfRule type="containsErrors" dxfId="1863" priority="3713" stopIfTrue="1">
      <formula>ISERROR(H245)</formula>
    </cfRule>
  </conditionalFormatting>
  <conditionalFormatting sqref="H256:M256 H257:Q257">
    <cfRule type="containsErrors" dxfId="1862" priority="3712" stopIfTrue="1">
      <formula>ISERROR(H256)</formula>
    </cfRule>
  </conditionalFormatting>
  <conditionalFormatting sqref="AA212:AF212 AA213:AJ213">
    <cfRule type="containsErrors" dxfId="1861" priority="3711" stopIfTrue="1">
      <formula>ISERROR(AA212)</formula>
    </cfRule>
  </conditionalFormatting>
  <conditionalFormatting sqref="AA223:AF223 AA224:AJ224">
    <cfRule type="containsErrors" dxfId="1860" priority="3710" stopIfTrue="1">
      <formula>ISERROR(AA223)</formula>
    </cfRule>
  </conditionalFormatting>
  <conditionalFormatting sqref="AA234:AF234 AA235:AJ235">
    <cfRule type="containsErrors" dxfId="1859" priority="3709" stopIfTrue="1">
      <formula>ISERROR(AA234)</formula>
    </cfRule>
  </conditionalFormatting>
  <conditionalFormatting sqref="AA245:AF245 AA246:AJ246">
    <cfRule type="containsErrors" dxfId="1858" priority="3708" stopIfTrue="1">
      <formula>ISERROR(AA245)</formula>
    </cfRule>
  </conditionalFormatting>
  <conditionalFormatting sqref="AA256:AF256 AA257:AJ257">
    <cfRule type="containsErrors" dxfId="1857" priority="3707" stopIfTrue="1">
      <formula>ISERROR(AA256)</formula>
    </cfRule>
  </conditionalFormatting>
  <conditionalFormatting sqref="V211:AJ211">
    <cfRule type="containsErrors" dxfId="1856" priority="3706" stopIfTrue="1">
      <formula>ISERROR(V211)</formula>
    </cfRule>
  </conditionalFormatting>
  <conditionalFormatting sqref="C211:Q211">
    <cfRule type="containsErrors" dxfId="1855" priority="3705"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854" priority="3675" stopIfTrue="1">
      <formula>ISERROR(C279)</formula>
    </cfRule>
  </conditionalFormatting>
  <conditionalFormatting sqref="H290:M290 H291:Q291">
    <cfRule type="containsErrors" dxfId="1853" priority="3674" stopIfTrue="1">
      <formula>ISERROR(H290)</formula>
    </cfRule>
  </conditionalFormatting>
  <conditionalFormatting sqref="H301:M301 H302:Q302">
    <cfRule type="containsErrors" dxfId="1852" priority="3673" stopIfTrue="1">
      <formula>ISERROR(H301)</formula>
    </cfRule>
  </conditionalFormatting>
  <conditionalFormatting sqref="H312:M312 H313:Q313">
    <cfRule type="containsErrors" dxfId="1851" priority="3672" stopIfTrue="1">
      <formula>ISERROR(H312)</formula>
    </cfRule>
  </conditionalFormatting>
  <conditionalFormatting sqref="H323:M323 H324:Q324">
    <cfRule type="containsErrors" dxfId="1850" priority="3671" stopIfTrue="1">
      <formula>ISERROR(H323)</formula>
    </cfRule>
  </conditionalFormatting>
  <conditionalFormatting sqref="AA279:AF279 AA280:AJ280">
    <cfRule type="containsErrors" dxfId="1849" priority="3670" stopIfTrue="1">
      <formula>ISERROR(AA279)</formula>
    </cfRule>
  </conditionalFormatting>
  <conditionalFormatting sqref="AA290:AF290 AA291:AJ291">
    <cfRule type="containsErrors" dxfId="1848" priority="3669" stopIfTrue="1">
      <formula>ISERROR(AA290)</formula>
    </cfRule>
  </conditionalFormatting>
  <conditionalFormatting sqref="AA301:AF301 AA302:AJ302">
    <cfRule type="containsErrors" dxfId="1847" priority="3668" stopIfTrue="1">
      <formula>ISERROR(AA301)</formula>
    </cfRule>
  </conditionalFormatting>
  <conditionalFormatting sqref="AA312:AF312 AA313:AJ313">
    <cfRule type="containsErrors" dxfId="1846" priority="3667" stopIfTrue="1">
      <formula>ISERROR(AA312)</formula>
    </cfRule>
  </conditionalFormatting>
  <conditionalFormatting sqref="AA323:AF323 AA324:AJ324">
    <cfRule type="containsErrors" dxfId="1845" priority="3666" stopIfTrue="1">
      <formula>ISERROR(AA323)</formula>
    </cfRule>
  </conditionalFormatting>
  <conditionalFormatting sqref="V278:AJ278">
    <cfRule type="containsErrors" dxfId="1844" priority="3665" stopIfTrue="1">
      <formula>ISERROR(V278)</formula>
    </cfRule>
  </conditionalFormatting>
  <conditionalFormatting sqref="C278:Q278">
    <cfRule type="containsErrors" dxfId="1843" priority="3664" stopIfTrue="1">
      <formula>ISERROR(C278)</formula>
    </cfRule>
  </conditionalFormatting>
  <conditionalFormatting sqref="T2:T9">
    <cfRule type="containsErrors" dxfId="1842" priority="3634" stopIfTrue="1">
      <formula>ISERROR(T2)</formula>
    </cfRule>
  </conditionalFormatting>
  <conditionalFormatting sqref="C132:Q132">
    <cfRule type="containsErrors" dxfId="1841" priority="3632" stopIfTrue="1">
      <formula>ISERROR(C132)</formula>
    </cfRule>
  </conditionalFormatting>
  <conditionalFormatting sqref="C199:Q199">
    <cfRule type="containsErrors" dxfId="1840" priority="3631" stopIfTrue="1">
      <formula>ISERROR(C199)</formula>
    </cfRule>
  </conditionalFormatting>
  <conditionalFormatting sqref="C266:Q266">
    <cfRule type="containsErrors" dxfId="1839" priority="3630" stopIfTrue="1">
      <formula>ISERROR(C266)</formula>
    </cfRule>
  </conditionalFormatting>
  <conditionalFormatting sqref="C333:Q333">
    <cfRule type="containsErrors" dxfId="1838" priority="3629" stopIfTrue="1">
      <formula>ISERROR(C333)</formula>
    </cfRule>
  </conditionalFormatting>
  <conditionalFormatting sqref="V132:AJ132">
    <cfRule type="containsErrors" dxfId="1837" priority="3628" stopIfTrue="1">
      <formula>ISERROR(V132)</formula>
    </cfRule>
  </conditionalFormatting>
  <conditionalFormatting sqref="V199:AJ199">
    <cfRule type="containsErrors" dxfId="1836" priority="3627" stopIfTrue="1">
      <formula>ISERROR(V199)</formula>
    </cfRule>
  </conditionalFormatting>
  <conditionalFormatting sqref="V266:AJ266">
    <cfRule type="containsErrors" dxfId="1835" priority="3626" stopIfTrue="1">
      <formula>ISERROR(V266)</formula>
    </cfRule>
  </conditionalFormatting>
  <conditionalFormatting sqref="V333:AJ333">
    <cfRule type="containsErrors" dxfId="1834" priority="3625" stopIfTrue="1">
      <formula>ISERROR(V333)</formula>
    </cfRule>
  </conditionalFormatting>
  <conditionalFormatting sqref="A68:S68">
    <cfRule type="containsErrors" dxfId="1833" priority="3624" stopIfTrue="1">
      <formula>ISERROR(A68)</formula>
    </cfRule>
  </conditionalFormatting>
  <conditionalFormatting sqref="A135:S135">
    <cfRule type="containsErrors" dxfId="1832" priority="3623" stopIfTrue="1">
      <formula>ISERROR(A135)</formula>
    </cfRule>
  </conditionalFormatting>
  <conditionalFormatting sqref="A202:S202">
    <cfRule type="containsErrors" dxfId="1831" priority="3622" stopIfTrue="1">
      <formula>ISERROR(A202)</formula>
    </cfRule>
  </conditionalFormatting>
  <conditionalFormatting sqref="A269:S269">
    <cfRule type="containsErrors" dxfId="1830" priority="3621" stopIfTrue="1">
      <formula>ISERROR(A269)</formula>
    </cfRule>
  </conditionalFormatting>
  <conditionalFormatting sqref="J7:L7">
    <cfRule type="containsErrors" dxfId="1829" priority="3620" stopIfTrue="1">
      <formula>ISERROR(J7)</formula>
    </cfRule>
  </conditionalFormatting>
  <conditionalFormatting sqref="C11">
    <cfRule type="expression" dxfId="1828" priority="1946" stopIfTrue="1">
      <formula>$P$7="No"</formula>
    </cfRule>
    <cfRule type="expression" dxfId="1827" priority="1947" stopIfTrue="1">
      <formula>AND($P$6&lt;&gt;0,I11&gt;$P$6)</formula>
    </cfRule>
    <cfRule type="expression" dxfId="1826" priority="1948" stopIfTrue="1">
      <formula>M11="Vacío"</formula>
    </cfRule>
    <cfRule type="expression" dxfId="1825" priority="1949" stopIfTrue="1">
      <formula>M11="Umbral"</formula>
    </cfRule>
    <cfRule type="expression" dxfId="1824" priority="1950" stopIfTrue="1">
      <formula>M11="Tiempo"</formula>
    </cfRule>
    <cfRule type="expression" dxfId="1823" priority="1951" stopIfTrue="1">
      <formula>M11="Sueños"</formula>
    </cfRule>
    <cfRule type="expression" dxfId="1822" priority="1952" stopIfTrue="1">
      <formula>M11="Sangre"</formula>
    </cfRule>
    <cfRule type="expression" dxfId="1821" priority="1953" stopIfTrue="1">
      <formula>M11="Conocimiento"</formula>
    </cfRule>
    <cfRule type="expression" dxfId="1820" priority="1954" stopIfTrue="1">
      <formula>M11="Pecado"</formula>
    </cfRule>
    <cfRule type="expression" dxfId="1819" priority="1955" stopIfTrue="1">
      <formula>M11="Paz"</formula>
    </cfRule>
    <cfRule type="expression" dxfId="1818" priority="1956" stopIfTrue="1">
      <formula>M11="Nobleza"</formula>
    </cfRule>
    <cfRule type="expression" dxfId="1817" priority="1957" stopIfTrue="1">
      <formula>M11="Musical"</formula>
    </cfRule>
    <cfRule type="expression" dxfId="1816" priority="1958" stopIfTrue="1">
      <formula>M11="Muerte"</formula>
    </cfRule>
    <cfRule type="expression" dxfId="1815" priority="1959" stopIfTrue="1">
      <formula>M11="Literae"</formula>
    </cfRule>
    <cfRule type="expression" dxfId="1814" priority="1960" stopIfTrue="1">
      <formula>M11="Guerra"</formula>
    </cfRule>
    <cfRule type="expression" dxfId="1813" priority="1961" stopIfTrue="1">
      <formula>M11="Caos"</formula>
    </cfRule>
    <cfRule type="expression" dxfId="1812" priority="1962" stopIfTrue="1">
      <formula>M11="Nigromancia"</formula>
    </cfRule>
    <cfRule type="expression" dxfId="1811" priority="1963" stopIfTrue="1">
      <formula>M11="Ilusión"</formula>
    </cfRule>
    <cfRule type="expression" dxfId="1810" priority="1964" stopIfTrue="1">
      <formula>M11="Esencia"</formula>
    </cfRule>
    <cfRule type="expression" dxfId="1809" priority="1965" stopIfTrue="1">
      <formula>M11="Tierra"</formula>
    </cfRule>
    <cfRule type="expression" dxfId="1808" priority="1966" stopIfTrue="1">
      <formula>M11="Fuego"</formula>
    </cfRule>
    <cfRule type="expression" dxfId="1807" priority="1967" stopIfTrue="1">
      <formula>M11="Agua"</formula>
    </cfRule>
    <cfRule type="expression" dxfId="1806" priority="1968" stopIfTrue="1">
      <formula>M11="Aire"</formula>
    </cfRule>
    <cfRule type="expression" dxfId="1805" priority="1969" stopIfTrue="1">
      <formula>M11="Destrucción"</formula>
    </cfRule>
    <cfRule type="expression" dxfId="1804" priority="1970" stopIfTrue="1">
      <formula>M11="Creación"</formula>
    </cfRule>
    <cfRule type="expression" dxfId="1803" priority="1971" stopIfTrue="1">
      <formula>M11="Oscuridad"</formula>
    </cfRule>
    <cfRule type="expression" dxfId="1802" priority="1972" stopIfTrue="1">
      <formula>M11="Luz"</formula>
    </cfRule>
  </conditionalFormatting>
  <conditionalFormatting sqref="V11">
    <cfRule type="expression" dxfId="1801" priority="1919" stopIfTrue="1">
      <formula>$P$7="No"</formula>
    </cfRule>
    <cfRule type="expression" dxfId="1800" priority="1920" stopIfTrue="1">
      <formula>AND($P$6&lt;&gt;0,AB11&gt;$P$6)</formula>
    </cfRule>
    <cfRule type="expression" dxfId="1799" priority="1921" stopIfTrue="1">
      <formula>AF11="Vacío"</formula>
    </cfRule>
    <cfRule type="expression" dxfId="1798" priority="1922" stopIfTrue="1">
      <formula>AF11="Umbral"</formula>
    </cfRule>
    <cfRule type="expression" dxfId="1797" priority="1923" stopIfTrue="1">
      <formula>AF11="Tiempo"</formula>
    </cfRule>
    <cfRule type="expression" dxfId="1796" priority="1924" stopIfTrue="1">
      <formula>AF11="Sueños"</formula>
    </cfRule>
    <cfRule type="expression" dxfId="1795" priority="1925" stopIfTrue="1">
      <formula>AF11="Sangre"</formula>
    </cfRule>
    <cfRule type="expression" dxfId="1794" priority="1926" stopIfTrue="1">
      <formula>AF11="Conocimiento"</formula>
    </cfRule>
    <cfRule type="expression" dxfId="1793" priority="1927" stopIfTrue="1">
      <formula>AF11="Pecado"</formula>
    </cfRule>
    <cfRule type="expression" dxfId="1792" priority="1928" stopIfTrue="1">
      <formula>AF11="Paz"</formula>
    </cfRule>
    <cfRule type="expression" dxfId="1791" priority="1929" stopIfTrue="1">
      <formula>AF11="Nobleza"</formula>
    </cfRule>
    <cfRule type="expression" dxfId="1790" priority="1930" stopIfTrue="1">
      <formula>AF11="Musical"</formula>
    </cfRule>
    <cfRule type="expression" dxfId="1789" priority="1931" stopIfTrue="1">
      <formula>AF11="Muerte"</formula>
    </cfRule>
    <cfRule type="expression" dxfId="1788" priority="1932" stopIfTrue="1">
      <formula>AF11="Literae"</formula>
    </cfRule>
    <cfRule type="expression" dxfId="1787" priority="1933" stopIfTrue="1">
      <formula>AF11="Guerra"</formula>
    </cfRule>
    <cfRule type="expression" dxfId="1786" priority="1934" stopIfTrue="1">
      <formula>AF11="Caos"</formula>
    </cfRule>
    <cfRule type="expression" dxfId="1785" priority="1935" stopIfTrue="1">
      <formula>AF11="Nigromancia"</formula>
    </cfRule>
    <cfRule type="expression" dxfId="1784" priority="1936" stopIfTrue="1">
      <formula>AF11="Ilusión"</formula>
    </cfRule>
    <cfRule type="expression" dxfId="1783" priority="1937" stopIfTrue="1">
      <formula>AF11="Esencia"</formula>
    </cfRule>
    <cfRule type="expression" dxfId="1782" priority="1938" stopIfTrue="1">
      <formula>AF11="Tierra"</formula>
    </cfRule>
    <cfRule type="expression" dxfId="1781" priority="1939" stopIfTrue="1">
      <formula>AF11="Fuego"</formula>
    </cfRule>
    <cfRule type="expression" dxfId="1780" priority="1940" stopIfTrue="1">
      <formula>AF11="Agua"</formula>
    </cfRule>
    <cfRule type="expression" dxfId="1779" priority="1941" stopIfTrue="1">
      <formula>AF11="Aire"</formula>
    </cfRule>
    <cfRule type="expression" dxfId="1778" priority="1942" stopIfTrue="1">
      <formula>AF11="Destrucción"</formula>
    </cfRule>
    <cfRule type="expression" dxfId="1777" priority="1943" stopIfTrue="1">
      <formula>AF11="Creación"</formula>
    </cfRule>
    <cfRule type="expression" dxfId="1776" priority="1944" stopIfTrue="1">
      <formula>AF11="Oscuridad"</formula>
    </cfRule>
    <cfRule type="expression" dxfId="1775" priority="1945" stopIfTrue="1">
      <formula>AF11="Luz"</formula>
    </cfRule>
  </conditionalFormatting>
  <conditionalFormatting sqref="C33">
    <cfRule type="expression" dxfId="1774" priority="1892" stopIfTrue="1">
      <formula>$P$7="No"</formula>
    </cfRule>
    <cfRule type="expression" dxfId="1773" priority="1893" stopIfTrue="1">
      <formula>AND($P$6&lt;&gt;0,I33&gt;$P$6)</formula>
    </cfRule>
    <cfRule type="expression" dxfId="1772" priority="1894" stopIfTrue="1">
      <formula>M33="Vacío"</formula>
    </cfRule>
    <cfRule type="expression" dxfId="1771" priority="1895" stopIfTrue="1">
      <formula>M33="Umbral"</formula>
    </cfRule>
    <cfRule type="expression" dxfId="1770" priority="1896" stopIfTrue="1">
      <formula>M33="Tiempo"</formula>
    </cfRule>
    <cfRule type="expression" dxfId="1769" priority="1897" stopIfTrue="1">
      <formula>M33="Sueños"</formula>
    </cfRule>
    <cfRule type="expression" dxfId="1768" priority="1898" stopIfTrue="1">
      <formula>M33="Sangre"</formula>
    </cfRule>
    <cfRule type="expression" dxfId="1767" priority="1899" stopIfTrue="1">
      <formula>M33="Conocimiento"</formula>
    </cfRule>
    <cfRule type="expression" dxfId="1766" priority="1900" stopIfTrue="1">
      <formula>M33="Pecado"</formula>
    </cfRule>
    <cfRule type="expression" dxfId="1765" priority="1901" stopIfTrue="1">
      <formula>M33="Paz"</formula>
    </cfRule>
    <cfRule type="expression" dxfId="1764" priority="1902" stopIfTrue="1">
      <formula>M33="Nobleza"</formula>
    </cfRule>
    <cfRule type="expression" dxfId="1763" priority="1903" stopIfTrue="1">
      <formula>M33="Musical"</formula>
    </cfRule>
    <cfRule type="expression" dxfId="1762" priority="1904" stopIfTrue="1">
      <formula>M33="Muerte"</formula>
    </cfRule>
    <cfRule type="expression" dxfId="1761" priority="1905" stopIfTrue="1">
      <formula>M33="Literae"</formula>
    </cfRule>
    <cfRule type="expression" dxfId="1760" priority="1906" stopIfTrue="1">
      <formula>M33="Guerra"</formula>
    </cfRule>
    <cfRule type="expression" dxfId="1759" priority="1907" stopIfTrue="1">
      <formula>M33="Caos"</formula>
    </cfRule>
    <cfRule type="expression" dxfId="1758" priority="1908" stopIfTrue="1">
      <formula>M33="Nigromancia"</formula>
    </cfRule>
    <cfRule type="expression" dxfId="1757" priority="1909" stopIfTrue="1">
      <formula>M33="Ilusión"</formula>
    </cfRule>
    <cfRule type="expression" dxfId="1756" priority="1910" stopIfTrue="1">
      <formula>M33="Esencia"</formula>
    </cfRule>
    <cfRule type="expression" dxfId="1755" priority="1911" stopIfTrue="1">
      <formula>M33="Tierra"</formula>
    </cfRule>
    <cfRule type="expression" dxfId="1754" priority="1912" stopIfTrue="1">
      <formula>M33="Fuego"</formula>
    </cfRule>
    <cfRule type="expression" dxfId="1753" priority="1913" stopIfTrue="1">
      <formula>M33="Agua"</formula>
    </cfRule>
    <cfRule type="expression" dxfId="1752" priority="1914" stopIfTrue="1">
      <formula>M33="Aire"</formula>
    </cfRule>
    <cfRule type="expression" dxfId="1751" priority="1915" stopIfTrue="1">
      <formula>M33="Destrucción"</formula>
    </cfRule>
    <cfRule type="expression" dxfId="1750" priority="1916" stopIfTrue="1">
      <formula>M33="Creación"</formula>
    </cfRule>
    <cfRule type="expression" dxfId="1749" priority="1917" stopIfTrue="1">
      <formula>M33="Oscuridad"</formula>
    </cfRule>
    <cfRule type="expression" dxfId="1748" priority="1918" stopIfTrue="1">
      <formula>M33="Luz"</formula>
    </cfRule>
  </conditionalFormatting>
  <conditionalFormatting sqref="V33">
    <cfRule type="expression" dxfId="1747" priority="1865" stopIfTrue="1">
      <formula>$P$7="No"</formula>
    </cfRule>
    <cfRule type="expression" dxfId="1746" priority="1866" stopIfTrue="1">
      <formula>AND($P$6&lt;&gt;0,AB33&gt;$P$6)</formula>
    </cfRule>
    <cfRule type="expression" dxfId="1745" priority="1867" stopIfTrue="1">
      <formula>AF33="Vacío"</formula>
    </cfRule>
    <cfRule type="expression" dxfId="1744" priority="1868" stopIfTrue="1">
      <formula>AF33="Umbral"</formula>
    </cfRule>
    <cfRule type="expression" dxfId="1743" priority="1869" stopIfTrue="1">
      <formula>AF33="Tiempo"</formula>
    </cfRule>
    <cfRule type="expression" dxfId="1742" priority="1870" stopIfTrue="1">
      <formula>AF33="Sueños"</formula>
    </cfRule>
    <cfRule type="expression" dxfId="1741" priority="1871" stopIfTrue="1">
      <formula>AF33="Sangre"</formula>
    </cfRule>
    <cfRule type="expression" dxfId="1740" priority="1872" stopIfTrue="1">
      <formula>AF33="Conocimiento"</formula>
    </cfRule>
    <cfRule type="expression" dxfId="1739" priority="1873" stopIfTrue="1">
      <formula>AF33="Pecado"</formula>
    </cfRule>
    <cfRule type="expression" dxfId="1738" priority="1874" stopIfTrue="1">
      <formula>AF33="Paz"</formula>
    </cfRule>
    <cfRule type="expression" dxfId="1737" priority="1875" stopIfTrue="1">
      <formula>AF33="Nobleza"</formula>
    </cfRule>
    <cfRule type="expression" dxfId="1736" priority="1876" stopIfTrue="1">
      <formula>AF33="Musical"</formula>
    </cfRule>
    <cfRule type="expression" dxfId="1735" priority="1877" stopIfTrue="1">
      <formula>AF33="Muerte"</formula>
    </cfRule>
    <cfRule type="expression" dxfId="1734" priority="1878" stopIfTrue="1">
      <formula>AF33="Literae"</formula>
    </cfRule>
    <cfRule type="expression" dxfId="1733" priority="1879" stopIfTrue="1">
      <formula>AF33="Guerra"</formula>
    </cfRule>
    <cfRule type="expression" dxfId="1732" priority="1880" stopIfTrue="1">
      <formula>AF33="Caos"</formula>
    </cfRule>
    <cfRule type="expression" dxfId="1731" priority="1881" stopIfTrue="1">
      <formula>AF33="Nigromancia"</formula>
    </cfRule>
    <cfRule type="expression" dxfId="1730" priority="1882" stopIfTrue="1">
      <formula>AF33="Ilusión"</formula>
    </cfRule>
    <cfRule type="expression" dxfId="1729" priority="1883" stopIfTrue="1">
      <formula>AF33="Esencia"</formula>
    </cfRule>
    <cfRule type="expression" dxfId="1728" priority="1884" stopIfTrue="1">
      <formula>AF33="Tierra"</formula>
    </cfRule>
    <cfRule type="expression" dxfId="1727" priority="1885" stopIfTrue="1">
      <formula>AF33="Fuego"</formula>
    </cfRule>
    <cfRule type="expression" dxfId="1726" priority="1886" stopIfTrue="1">
      <formula>AF33="Agua"</formula>
    </cfRule>
    <cfRule type="expression" dxfId="1725" priority="1887" stopIfTrue="1">
      <formula>AF33="Aire"</formula>
    </cfRule>
    <cfRule type="expression" dxfId="1724" priority="1888" stopIfTrue="1">
      <formula>AF33="Destrucción"</formula>
    </cfRule>
    <cfRule type="expression" dxfId="1723" priority="1889" stopIfTrue="1">
      <formula>AF33="Creación"</formula>
    </cfRule>
    <cfRule type="expression" dxfId="1722" priority="1890" stopIfTrue="1">
      <formula>AF33="Oscuridad"</formula>
    </cfRule>
    <cfRule type="expression" dxfId="1721" priority="1891" stopIfTrue="1">
      <formula>AF33="Luz"</formula>
    </cfRule>
  </conditionalFormatting>
  <conditionalFormatting sqref="C44">
    <cfRule type="expression" dxfId="1720" priority="1838" stopIfTrue="1">
      <formula>$P$7="No"</formula>
    </cfRule>
    <cfRule type="expression" dxfId="1719" priority="1839" stopIfTrue="1">
      <formula>AND($P$6&lt;&gt;0,I44&gt;$P$6)</formula>
    </cfRule>
    <cfRule type="expression" dxfId="1718" priority="1840" stopIfTrue="1">
      <formula>M44="Vacío"</formula>
    </cfRule>
    <cfRule type="expression" dxfId="1717" priority="1841" stopIfTrue="1">
      <formula>M44="Umbral"</formula>
    </cfRule>
    <cfRule type="expression" dxfId="1716" priority="1842" stopIfTrue="1">
      <formula>M44="Tiempo"</formula>
    </cfRule>
    <cfRule type="expression" dxfId="1715" priority="1843" stopIfTrue="1">
      <formula>M44="Sueños"</formula>
    </cfRule>
    <cfRule type="expression" dxfId="1714" priority="1844" stopIfTrue="1">
      <formula>M44="Sangre"</formula>
    </cfRule>
    <cfRule type="expression" dxfId="1713" priority="1845" stopIfTrue="1">
      <formula>M44="Conocimiento"</formula>
    </cfRule>
    <cfRule type="expression" dxfId="1712" priority="1846" stopIfTrue="1">
      <formula>M44="Pecado"</formula>
    </cfRule>
    <cfRule type="expression" dxfId="1711" priority="1847" stopIfTrue="1">
      <formula>M44="Paz"</formula>
    </cfRule>
    <cfRule type="expression" dxfId="1710" priority="1848" stopIfTrue="1">
      <formula>M44="Nobleza"</formula>
    </cfRule>
    <cfRule type="expression" dxfId="1709" priority="1849" stopIfTrue="1">
      <formula>M44="Musical"</formula>
    </cfRule>
    <cfRule type="expression" dxfId="1708" priority="1850" stopIfTrue="1">
      <formula>M44="Muerte"</formula>
    </cfRule>
    <cfRule type="expression" dxfId="1707" priority="1851" stopIfTrue="1">
      <formula>M44="Literae"</formula>
    </cfRule>
    <cfRule type="expression" dxfId="1706" priority="1852" stopIfTrue="1">
      <formula>M44="Guerra"</formula>
    </cfRule>
    <cfRule type="expression" dxfId="1705" priority="1853" stopIfTrue="1">
      <formula>M44="Caos"</formula>
    </cfRule>
    <cfRule type="expression" dxfId="1704" priority="1854" stopIfTrue="1">
      <formula>M44="Nigromancia"</formula>
    </cfRule>
    <cfRule type="expression" dxfId="1703" priority="1855" stopIfTrue="1">
      <formula>M44="Ilusión"</formula>
    </cfRule>
    <cfRule type="expression" dxfId="1702" priority="1856" stopIfTrue="1">
      <formula>M44="Esencia"</formula>
    </cfRule>
    <cfRule type="expression" dxfId="1701" priority="1857" stopIfTrue="1">
      <formula>M44="Tierra"</formula>
    </cfRule>
    <cfRule type="expression" dxfId="1700" priority="1858" stopIfTrue="1">
      <formula>M44="Fuego"</formula>
    </cfRule>
    <cfRule type="expression" dxfId="1699" priority="1859" stopIfTrue="1">
      <formula>M44="Agua"</formula>
    </cfRule>
    <cfRule type="expression" dxfId="1698" priority="1860" stopIfTrue="1">
      <formula>M44="Aire"</formula>
    </cfRule>
    <cfRule type="expression" dxfId="1697" priority="1861" stopIfTrue="1">
      <formula>M44="Destrucción"</formula>
    </cfRule>
    <cfRule type="expression" dxfId="1696" priority="1862" stopIfTrue="1">
      <formula>M44="Creación"</formula>
    </cfRule>
    <cfRule type="expression" dxfId="1695" priority="1863" stopIfTrue="1">
      <formula>M44="Oscuridad"</formula>
    </cfRule>
    <cfRule type="expression" dxfId="1694" priority="1864" stopIfTrue="1">
      <formula>M44="Luz"</formula>
    </cfRule>
  </conditionalFormatting>
  <conditionalFormatting sqref="V44">
    <cfRule type="expression" dxfId="1693" priority="1811" stopIfTrue="1">
      <formula>$P$7="No"</formula>
    </cfRule>
    <cfRule type="expression" dxfId="1692" priority="1812" stopIfTrue="1">
      <formula>AND($P$6&lt;&gt;0,AB44&gt;$P$6)</formula>
    </cfRule>
    <cfRule type="expression" dxfId="1691" priority="1813" stopIfTrue="1">
      <formula>AF44="Vacío"</formula>
    </cfRule>
    <cfRule type="expression" dxfId="1690" priority="1814" stopIfTrue="1">
      <formula>AF44="Umbral"</formula>
    </cfRule>
    <cfRule type="expression" dxfId="1689" priority="1815" stopIfTrue="1">
      <formula>AF44="Tiempo"</formula>
    </cfRule>
    <cfRule type="expression" dxfId="1688" priority="1816" stopIfTrue="1">
      <formula>AF44="Sueños"</formula>
    </cfRule>
    <cfRule type="expression" dxfId="1687" priority="1817" stopIfTrue="1">
      <formula>AF44="Sangre"</formula>
    </cfRule>
    <cfRule type="expression" dxfId="1686" priority="1818" stopIfTrue="1">
      <formula>AF44="Conocimiento"</formula>
    </cfRule>
    <cfRule type="expression" dxfId="1685" priority="1819" stopIfTrue="1">
      <formula>AF44="Pecado"</formula>
    </cfRule>
    <cfRule type="expression" dxfId="1684" priority="1820" stopIfTrue="1">
      <formula>AF44="Paz"</formula>
    </cfRule>
    <cfRule type="expression" dxfId="1683" priority="1821" stopIfTrue="1">
      <formula>AF44="Nobleza"</formula>
    </cfRule>
    <cfRule type="expression" dxfId="1682" priority="1822" stopIfTrue="1">
      <formula>AF44="Musical"</formula>
    </cfRule>
    <cfRule type="expression" dxfId="1681" priority="1823" stopIfTrue="1">
      <formula>AF44="Muerte"</formula>
    </cfRule>
    <cfRule type="expression" dxfId="1680" priority="1824" stopIfTrue="1">
      <formula>AF44="Literae"</formula>
    </cfRule>
    <cfRule type="expression" dxfId="1679" priority="1825" stopIfTrue="1">
      <formula>AF44="Guerra"</formula>
    </cfRule>
    <cfRule type="expression" dxfId="1678" priority="1826" stopIfTrue="1">
      <formula>AF44="Caos"</formula>
    </cfRule>
    <cfRule type="expression" dxfId="1677" priority="1827" stopIfTrue="1">
      <formula>AF44="Nigromancia"</formula>
    </cfRule>
    <cfRule type="expression" dxfId="1676" priority="1828" stopIfTrue="1">
      <formula>AF44="Ilusión"</formula>
    </cfRule>
    <cfRule type="expression" dxfId="1675" priority="1829" stopIfTrue="1">
      <formula>AF44="Esencia"</formula>
    </cfRule>
    <cfRule type="expression" dxfId="1674" priority="1830" stopIfTrue="1">
      <formula>AF44="Tierra"</formula>
    </cfRule>
    <cfRule type="expression" dxfId="1673" priority="1831" stopIfTrue="1">
      <formula>AF44="Fuego"</formula>
    </cfRule>
    <cfRule type="expression" dxfId="1672" priority="1832" stopIfTrue="1">
      <formula>AF44="Agua"</formula>
    </cfRule>
    <cfRule type="expression" dxfId="1671" priority="1833" stopIfTrue="1">
      <formula>AF44="Aire"</formula>
    </cfRule>
    <cfRule type="expression" dxfId="1670" priority="1834" stopIfTrue="1">
      <formula>AF44="Destrucción"</formula>
    </cfRule>
    <cfRule type="expression" dxfId="1669" priority="1835" stopIfTrue="1">
      <formula>AF44="Creación"</formula>
    </cfRule>
    <cfRule type="expression" dxfId="1668" priority="1836" stopIfTrue="1">
      <formula>AF44="Oscuridad"</formula>
    </cfRule>
    <cfRule type="expression" dxfId="1667" priority="1837" stopIfTrue="1">
      <formula>AF44="Luz"</formula>
    </cfRule>
  </conditionalFormatting>
  <conditionalFormatting sqref="C55">
    <cfRule type="expression" dxfId="1666" priority="1784" stopIfTrue="1">
      <formula>$P$7="No"</formula>
    </cfRule>
    <cfRule type="expression" dxfId="1665" priority="1785" stopIfTrue="1">
      <formula>AND($P$6&lt;&gt;0,I55&gt;$P$6)</formula>
    </cfRule>
    <cfRule type="expression" dxfId="1664" priority="1786" stopIfTrue="1">
      <formula>M55="Vacío"</formula>
    </cfRule>
    <cfRule type="expression" dxfId="1663" priority="1787" stopIfTrue="1">
      <formula>M55="Umbral"</formula>
    </cfRule>
    <cfRule type="expression" dxfId="1662" priority="1788" stopIfTrue="1">
      <formula>M55="Tiempo"</formula>
    </cfRule>
    <cfRule type="expression" dxfId="1661" priority="1789" stopIfTrue="1">
      <formula>M55="Sueños"</formula>
    </cfRule>
    <cfRule type="expression" dxfId="1660" priority="1790" stopIfTrue="1">
      <formula>M55="Sangre"</formula>
    </cfRule>
    <cfRule type="expression" dxfId="1659" priority="1791" stopIfTrue="1">
      <formula>M55="Conocimiento"</formula>
    </cfRule>
    <cfRule type="expression" dxfId="1658" priority="1792" stopIfTrue="1">
      <formula>M55="Pecado"</formula>
    </cfRule>
    <cfRule type="expression" dxfId="1657" priority="1793" stopIfTrue="1">
      <formula>M55="Paz"</formula>
    </cfRule>
    <cfRule type="expression" dxfId="1656" priority="1794" stopIfTrue="1">
      <formula>M55="Nobleza"</formula>
    </cfRule>
    <cfRule type="expression" dxfId="1655" priority="1795" stopIfTrue="1">
      <formula>M55="Musical"</formula>
    </cfRule>
    <cfRule type="expression" dxfId="1654" priority="1796" stopIfTrue="1">
      <formula>M55="Muerte"</formula>
    </cfRule>
    <cfRule type="expression" dxfId="1653" priority="1797" stopIfTrue="1">
      <formula>M55="Literae"</formula>
    </cfRule>
    <cfRule type="expression" dxfId="1652" priority="1798" stopIfTrue="1">
      <formula>M55="Guerra"</formula>
    </cfRule>
    <cfRule type="expression" dxfId="1651" priority="1799" stopIfTrue="1">
      <formula>M55="Caos"</formula>
    </cfRule>
    <cfRule type="expression" dxfId="1650" priority="1800" stopIfTrue="1">
      <formula>M55="Nigromancia"</formula>
    </cfRule>
    <cfRule type="expression" dxfId="1649" priority="1801" stopIfTrue="1">
      <formula>M55="Ilusión"</formula>
    </cfRule>
    <cfRule type="expression" dxfId="1648" priority="1802" stopIfTrue="1">
      <formula>M55="Esencia"</formula>
    </cfRule>
    <cfRule type="expression" dxfId="1647" priority="1803" stopIfTrue="1">
      <formula>M55="Tierra"</formula>
    </cfRule>
    <cfRule type="expression" dxfId="1646" priority="1804" stopIfTrue="1">
      <formula>M55="Fuego"</formula>
    </cfRule>
    <cfRule type="expression" dxfId="1645" priority="1805" stopIfTrue="1">
      <formula>M55="Agua"</formula>
    </cfRule>
    <cfRule type="expression" dxfId="1644" priority="1806" stopIfTrue="1">
      <formula>M55="Aire"</formula>
    </cfRule>
    <cfRule type="expression" dxfId="1643" priority="1807" stopIfTrue="1">
      <formula>M55="Destrucción"</formula>
    </cfRule>
    <cfRule type="expression" dxfId="1642" priority="1808" stopIfTrue="1">
      <formula>M55="Creación"</formula>
    </cfRule>
    <cfRule type="expression" dxfId="1641" priority="1809" stopIfTrue="1">
      <formula>M55="Oscuridad"</formula>
    </cfRule>
    <cfRule type="expression" dxfId="1640" priority="1810" stopIfTrue="1">
      <formula>M55="Luz"</formula>
    </cfRule>
  </conditionalFormatting>
  <conditionalFormatting sqref="V55">
    <cfRule type="expression" dxfId="1639" priority="1757" stopIfTrue="1">
      <formula>$P$7="No"</formula>
    </cfRule>
    <cfRule type="expression" dxfId="1638" priority="1758" stopIfTrue="1">
      <formula>AND($P$6&lt;&gt;0,AB55&gt;$P$6)</formula>
    </cfRule>
    <cfRule type="expression" dxfId="1637" priority="1759" stopIfTrue="1">
      <formula>AF55="Vacío"</formula>
    </cfRule>
    <cfRule type="expression" dxfId="1636" priority="1760" stopIfTrue="1">
      <formula>AF55="Umbral"</formula>
    </cfRule>
    <cfRule type="expression" dxfId="1635" priority="1761" stopIfTrue="1">
      <formula>AF55="Tiempo"</formula>
    </cfRule>
    <cfRule type="expression" dxfId="1634" priority="1762" stopIfTrue="1">
      <formula>AF55="Sueños"</formula>
    </cfRule>
    <cfRule type="expression" dxfId="1633" priority="1763" stopIfTrue="1">
      <formula>AF55="Sangre"</formula>
    </cfRule>
    <cfRule type="expression" dxfId="1632" priority="1764" stopIfTrue="1">
      <formula>AF55="Conocimiento"</formula>
    </cfRule>
    <cfRule type="expression" dxfId="1631" priority="1765" stopIfTrue="1">
      <formula>AF55="Pecado"</formula>
    </cfRule>
    <cfRule type="expression" dxfId="1630" priority="1766" stopIfTrue="1">
      <formula>AF55="Paz"</formula>
    </cfRule>
    <cfRule type="expression" dxfId="1629" priority="1767" stopIfTrue="1">
      <formula>AF55="Nobleza"</formula>
    </cfRule>
    <cfRule type="expression" dxfId="1628" priority="1768" stopIfTrue="1">
      <formula>AF55="Musical"</formula>
    </cfRule>
    <cfRule type="expression" dxfId="1627" priority="1769" stopIfTrue="1">
      <formula>AF55="Muerte"</formula>
    </cfRule>
    <cfRule type="expression" dxfId="1626" priority="1770" stopIfTrue="1">
      <formula>AF55="Literae"</formula>
    </cfRule>
    <cfRule type="expression" dxfId="1625" priority="1771" stopIfTrue="1">
      <formula>AF55="Guerra"</formula>
    </cfRule>
    <cfRule type="expression" dxfId="1624" priority="1772" stopIfTrue="1">
      <formula>AF55="Caos"</formula>
    </cfRule>
    <cfRule type="expression" dxfId="1623" priority="1773" stopIfTrue="1">
      <formula>AF55="Nigromancia"</formula>
    </cfRule>
    <cfRule type="expression" dxfId="1622" priority="1774" stopIfTrue="1">
      <formula>AF55="Ilusión"</formula>
    </cfRule>
    <cfRule type="expression" dxfId="1621" priority="1775" stopIfTrue="1">
      <formula>AF55="Esencia"</formula>
    </cfRule>
    <cfRule type="expression" dxfId="1620" priority="1776" stopIfTrue="1">
      <formula>AF55="Tierra"</formula>
    </cfRule>
    <cfRule type="expression" dxfId="1619" priority="1777" stopIfTrue="1">
      <formula>AF55="Fuego"</formula>
    </cfRule>
    <cfRule type="expression" dxfId="1618" priority="1778" stopIfTrue="1">
      <formula>AF55="Agua"</formula>
    </cfRule>
    <cfRule type="expression" dxfId="1617" priority="1779" stopIfTrue="1">
      <formula>AF55="Aire"</formula>
    </cfRule>
    <cfRule type="expression" dxfId="1616" priority="1780" stopIfTrue="1">
      <formula>AF55="Destrucción"</formula>
    </cfRule>
    <cfRule type="expression" dxfId="1615" priority="1781" stopIfTrue="1">
      <formula>AF55="Creación"</formula>
    </cfRule>
    <cfRule type="expression" dxfId="1614" priority="1782" stopIfTrue="1">
      <formula>AF55="Oscuridad"</formula>
    </cfRule>
    <cfRule type="expression" dxfId="1613" priority="1783" stopIfTrue="1">
      <formula>AF55="Luz"</formula>
    </cfRule>
  </conditionalFormatting>
  <conditionalFormatting sqref="C78">
    <cfRule type="expression" dxfId="1612" priority="1730" stopIfTrue="1">
      <formula>$P$7="No"</formula>
    </cfRule>
    <cfRule type="expression" dxfId="1611" priority="1731" stopIfTrue="1">
      <formula>AND($P$6&lt;&gt;0,I78&gt;$P$6)</formula>
    </cfRule>
    <cfRule type="expression" dxfId="1610" priority="1732" stopIfTrue="1">
      <formula>M78="Vacío"</formula>
    </cfRule>
    <cfRule type="expression" dxfId="1609" priority="1733" stopIfTrue="1">
      <formula>M78="Umbral"</formula>
    </cfRule>
    <cfRule type="expression" dxfId="1608" priority="1734" stopIfTrue="1">
      <formula>M78="Tiempo"</formula>
    </cfRule>
    <cfRule type="expression" dxfId="1607" priority="1735" stopIfTrue="1">
      <formula>M78="Sueños"</formula>
    </cfRule>
    <cfRule type="expression" dxfId="1606" priority="1736" stopIfTrue="1">
      <formula>M78="Sangre"</formula>
    </cfRule>
    <cfRule type="expression" dxfId="1605" priority="1737" stopIfTrue="1">
      <formula>M78="Conocimiento"</formula>
    </cfRule>
    <cfRule type="expression" dxfId="1604" priority="1738" stopIfTrue="1">
      <formula>M78="Pecado"</formula>
    </cfRule>
    <cfRule type="expression" dxfId="1603" priority="1739" stopIfTrue="1">
      <formula>M78="Paz"</formula>
    </cfRule>
    <cfRule type="expression" dxfId="1602" priority="1740" stopIfTrue="1">
      <formula>M78="Nobleza"</formula>
    </cfRule>
    <cfRule type="expression" dxfId="1601" priority="1741" stopIfTrue="1">
      <formula>M78="Musical"</formula>
    </cfRule>
    <cfRule type="expression" dxfId="1600" priority="1742" stopIfTrue="1">
      <formula>M78="Muerte"</formula>
    </cfRule>
    <cfRule type="expression" dxfId="1599" priority="1743" stopIfTrue="1">
      <formula>M78="Literae"</formula>
    </cfRule>
    <cfRule type="expression" dxfId="1598" priority="1744" stopIfTrue="1">
      <formula>M78="Guerra"</formula>
    </cfRule>
    <cfRule type="expression" dxfId="1597" priority="1745" stopIfTrue="1">
      <formula>M78="Caos"</formula>
    </cfRule>
    <cfRule type="expression" dxfId="1596" priority="1746" stopIfTrue="1">
      <formula>M78="Nigromancia"</formula>
    </cfRule>
    <cfRule type="expression" dxfId="1595" priority="1747" stopIfTrue="1">
      <formula>M78="Ilusión"</formula>
    </cfRule>
    <cfRule type="expression" dxfId="1594" priority="1748" stopIfTrue="1">
      <formula>M78="Esencia"</formula>
    </cfRule>
    <cfRule type="expression" dxfId="1593" priority="1749" stopIfTrue="1">
      <formula>M78="Tierra"</formula>
    </cfRule>
    <cfRule type="expression" dxfId="1592" priority="1750" stopIfTrue="1">
      <formula>M78="Fuego"</formula>
    </cfRule>
    <cfRule type="expression" dxfId="1591" priority="1751" stopIfTrue="1">
      <formula>M78="Agua"</formula>
    </cfRule>
    <cfRule type="expression" dxfId="1590" priority="1752" stopIfTrue="1">
      <formula>M78="Aire"</formula>
    </cfRule>
    <cfRule type="expression" dxfId="1589" priority="1753" stopIfTrue="1">
      <formula>M78="Destrucción"</formula>
    </cfRule>
    <cfRule type="expression" dxfId="1588" priority="1754" stopIfTrue="1">
      <formula>M78="Creación"</formula>
    </cfRule>
    <cfRule type="expression" dxfId="1587" priority="1755" stopIfTrue="1">
      <formula>M78="Oscuridad"</formula>
    </cfRule>
    <cfRule type="expression" dxfId="1586" priority="1756" stopIfTrue="1">
      <formula>M78="Luz"</formula>
    </cfRule>
  </conditionalFormatting>
  <conditionalFormatting sqref="V78">
    <cfRule type="expression" dxfId="1585" priority="1703" stopIfTrue="1">
      <formula>$P$7="No"</formula>
    </cfRule>
    <cfRule type="expression" dxfId="1584" priority="1704" stopIfTrue="1">
      <formula>AND($P$6&lt;&gt;0,AB78&gt;$P$6)</formula>
    </cfRule>
    <cfRule type="expression" dxfId="1583" priority="1705" stopIfTrue="1">
      <formula>AF78="Vacío"</formula>
    </cfRule>
    <cfRule type="expression" dxfId="1582" priority="1706" stopIfTrue="1">
      <formula>AF78="Umbral"</formula>
    </cfRule>
    <cfRule type="expression" dxfId="1581" priority="1707" stopIfTrue="1">
      <formula>AF78="Tiempo"</formula>
    </cfRule>
    <cfRule type="expression" dxfId="1580" priority="1708" stopIfTrue="1">
      <formula>AF78="Sueños"</formula>
    </cfRule>
    <cfRule type="expression" dxfId="1579" priority="1709" stopIfTrue="1">
      <formula>AF78="Sangre"</formula>
    </cfRule>
    <cfRule type="expression" dxfId="1578" priority="1710" stopIfTrue="1">
      <formula>AF78="Conocimiento"</formula>
    </cfRule>
    <cfRule type="expression" dxfId="1577" priority="1711" stopIfTrue="1">
      <formula>AF78="Pecado"</formula>
    </cfRule>
    <cfRule type="expression" dxfId="1576" priority="1712" stopIfTrue="1">
      <formula>AF78="Paz"</formula>
    </cfRule>
    <cfRule type="expression" dxfId="1575" priority="1713" stopIfTrue="1">
      <formula>AF78="Nobleza"</formula>
    </cfRule>
    <cfRule type="expression" dxfId="1574" priority="1714" stopIfTrue="1">
      <formula>AF78="Musical"</formula>
    </cfRule>
    <cfRule type="expression" dxfId="1573" priority="1715" stopIfTrue="1">
      <formula>AF78="Muerte"</formula>
    </cfRule>
    <cfRule type="expression" dxfId="1572" priority="1716" stopIfTrue="1">
      <formula>AF78="Literae"</formula>
    </cfRule>
    <cfRule type="expression" dxfId="1571" priority="1717" stopIfTrue="1">
      <formula>AF78="Guerra"</formula>
    </cfRule>
    <cfRule type="expression" dxfId="1570" priority="1718" stopIfTrue="1">
      <formula>AF78="Caos"</formula>
    </cfRule>
    <cfRule type="expression" dxfId="1569" priority="1719" stopIfTrue="1">
      <formula>AF78="Nigromancia"</formula>
    </cfRule>
    <cfRule type="expression" dxfId="1568" priority="1720" stopIfTrue="1">
      <formula>AF78="Ilusión"</formula>
    </cfRule>
    <cfRule type="expression" dxfId="1567" priority="1721" stopIfTrue="1">
      <formula>AF78="Esencia"</formula>
    </cfRule>
    <cfRule type="expression" dxfId="1566" priority="1722" stopIfTrue="1">
      <formula>AF78="Tierra"</formula>
    </cfRule>
    <cfRule type="expression" dxfId="1565" priority="1723" stopIfTrue="1">
      <formula>AF78="Fuego"</formula>
    </cfRule>
    <cfRule type="expression" dxfId="1564" priority="1724" stopIfTrue="1">
      <formula>AF78="Agua"</formula>
    </cfRule>
    <cfRule type="expression" dxfId="1563" priority="1725" stopIfTrue="1">
      <formula>AF78="Aire"</formula>
    </cfRule>
    <cfRule type="expression" dxfId="1562" priority="1726" stopIfTrue="1">
      <formula>AF78="Destrucción"</formula>
    </cfRule>
    <cfRule type="expression" dxfId="1561" priority="1727" stopIfTrue="1">
      <formula>AF78="Creación"</formula>
    </cfRule>
    <cfRule type="expression" dxfId="1560" priority="1728" stopIfTrue="1">
      <formula>AF78="Oscuridad"</formula>
    </cfRule>
    <cfRule type="expression" dxfId="1559" priority="1729" stopIfTrue="1">
      <formula>AF78="Luz"</formula>
    </cfRule>
  </conditionalFormatting>
  <conditionalFormatting sqref="C100">
    <cfRule type="expression" dxfId="1558" priority="1568" stopIfTrue="1">
      <formula>$P$7="No"</formula>
    </cfRule>
    <cfRule type="expression" dxfId="1557" priority="1569" stopIfTrue="1">
      <formula>AND($P$6&lt;&gt;0,I100&gt;$P$6)</formula>
    </cfRule>
    <cfRule type="expression" dxfId="1556" priority="1570" stopIfTrue="1">
      <formula>M100="Vacío"</formula>
    </cfRule>
    <cfRule type="expression" dxfId="1555" priority="1571" stopIfTrue="1">
      <formula>M100="Umbral"</formula>
    </cfRule>
    <cfRule type="expression" dxfId="1554" priority="1572" stopIfTrue="1">
      <formula>M100="Tiempo"</formula>
    </cfRule>
    <cfRule type="expression" dxfId="1553" priority="1573" stopIfTrue="1">
      <formula>M100="Sueños"</formula>
    </cfRule>
    <cfRule type="expression" dxfId="1552" priority="1574" stopIfTrue="1">
      <formula>M100="Sangre"</formula>
    </cfRule>
    <cfRule type="expression" dxfId="1551" priority="1575" stopIfTrue="1">
      <formula>M100="Conocimiento"</formula>
    </cfRule>
    <cfRule type="expression" dxfId="1550" priority="1576" stopIfTrue="1">
      <formula>M100="Pecado"</formula>
    </cfRule>
    <cfRule type="expression" dxfId="1549" priority="1577" stopIfTrue="1">
      <formula>M100="Paz"</formula>
    </cfRule>
    <cfRule type="expression" dxfId="1548" priority="1578" stopIfTrue="1">
      <formula>M100="Nobleza"</formula>
    </cfRule>
    <cfRule type="expression" dxfId="1547" priority="1579" stopIfTrue="1">
      <formula>M100="Musical"</formula>
    </cfRule>
    <cfRule type="expression" dxfId="1546" priority="1580" stopIfTrue="1">
      <formula>M100="Muerte"</formula>
    </cfRule>
    <cfRule type="expression" dxfId="1545" priority="1581" stopIfTrue="1">
      <formula>M100="Literae"</formula>
    </cfRule>
    <cfRule type="expression" dxfId="1544" priority="1582" stopIfTrue="1">
      <formula>M100="Guerra"</formula>
    </cfRule>
    <cfRule type="expression" dxfId="1543" priority="1583" stopIfTrue="1">
      <formula>M100="Caos"</formula>
    </cfRule>
    <cfRule type="expression" dxfId="1542" priority="1584" stopIfTrue="1">
      <formula>M100="Nigromancia"</formula>
    </cfRule>
    <cfRule type="expression" dxfId="1541" priority="1585" stopIfTrue="1">
      <formula>M100="Ilusión"</formula>
    </cfRule>
    <cfRule type="expression" dxfId="1540" priority="1586" stopIfTrue="1">
      <formula>M100="Esencia"</formula>
    </cfRule>
    <cfRule type="expression" dxfId="1539" priority="1587" stopIfTrue="1">
      <formula>M100="Tierra"</formula>
    </cfRule>
    <cfRule type="expression" dxfId="1538" priority="1588" stopIfTrue="1">
      <formula>M100="Fuego"</formula>
    </cfRule>
    <cfRule type="expression" dxfId="1537" priority="1589" stopIfTrue="1">
      <formula>M100="Agua"</formula>
    </cfRule>
    <cfRule type="expression" dxfId="1536" priority="1590" stopIfTrue="1">
      <formula>M100="Aire"</formula>
    </cfRule>
    <cfRule type="expression" dxfId="1535" priority="1591" stopIfTrue="1">
      <formula>M100="Destrucción"</formula>
    </cfRule>
    <cfRule type="expression" dxfId="1534" priority="1592" stopIfTrue="1">
      <formula>M100="Creación"</formula>
    </cfRule>
    <cfRule type="expression" dxfId="1533" priority="1593" stopIfTrue="1">
      <formula>M100="Oscuridad"</formula>
    </cfRule>
    <cfRule type="expression" dxfId="1532" priority="1594" stopIfTrue="1">
      <formula>M100="Luz"</formula>
    </cfRule>
  </conditionalFormatting>
  <conditionalFormatting sqref="V100">
    <cfRule type="expression" dxfId="1531" priority="1541" stopIfTrue="1">
      <formula>$P$7="No"</formula>
    </cfRule>
    <cfRule type="expression" dxfId="1530" priority="1542" stopIfTrue="1">
      <formula>AND($P$6&lt;&gt;0,AB100&gt;$P$6)</formula>
    </cfRule>
    <cfRule type="expression" dxfId="1529" priority="1543" stopIfTrue="1">
      <formula>AF100="Vacío"</formula>
    </cfRule>
    <cfRule type="expression" dxfId="1528" priority="1544" stopIfTrue="1">
      <formula>AF100="Umbral"</formula>
    </cfRule>
    <cfRule type="expression" dxfId="1527" priority="1545" stopIfTrue="1">
      <formula>AF100="Tiempo"</formula>
    </cfRule>
    <cfRule type="expression" dxfId="1526" priority="1546" stopIfTrue="1">
      <formula>AF100="Sueños"</formula>
    </cfRule>
    <cfRule type="expression" dxfId="1525" priority="1547" stopIfTrue="1">
      <formula>AF100="Sangre"</formula>
    </cfRule>
    <cfRule type="expression" dxfId="1524" priority="1548" stopIfTrue="1">
      <formula>AF100="Conocimiento"</formula>
    </cfRule>
    <cfRule type="expression" dxfId="1523" priority="1549" stopIfTrue="1">
      <formula>AF100="Pecado"</formula>
    </cfRule>
    <cfRule type="expression" dxfId="1522" priority="1550" stopIfTrue="1">
      <formula>AF100="Paz"</formula>
    </cfRule>
    <cfRule type="expression" dxfId="1521" priority="1551" stopIfTrue="1">
      <formula>AF100="Nobleza"</formula>
    </cfRule>
    <cfRule type="expression" dxfId="1520" priority="1552" stopIfTrue="1">
      <formula>AF100="Musical"</formula>
    </cfRule>
    <cfRule type="expression" dxfId="1519" priority="1553" stopIfTrue="1">
      <formula>AF100="Muerte"</formula>
    </cfRule>
    <cfRule type="expression" dxfId="1518" priority="1554" stopIfTrue="1">
      <formula>AF100="Literae"</formula>
    </cfRule>
    <cfRule type="expression" dxfId="1517" priority="1555" stopIfTrue="1">
      <formula>AF100="Guerra"</formula>
    </cfRule>
    <cfRule type="expression" dxfId="1516" priority="1556" stopIfTrue="1">
      <formula>AF100="Caos"</formula>
    </cfRule>
    <cfRule type="expression" dxfId="1515" priority="1557" stopIfTrue="1">
      <formula>AF100="Nigromancia"</formula>
    </cfRule>
    <cfRule type="expression" dxfId="1514" priority="1558" stopIfTrue="1">
      <formula>AF100="Ilusión"</formula>
    </cfRule>
    <cfRule type="expression" dxfId="1513" priority="1559" stopIfTrue="1">
      <formula>AF100="Esencia"</formula>
    </cfRule>
    <cfRule type="expression" dxfId="1512" priority="1560" stopIfTrue="1">
      <formula>AF100="Tierra"</formula>
    </cfRule>
    <cfRule type="expression" dxfId="1511" priority="1561" stopIfTrue="1">
      <formula>AF100="Fuego"</formula>
    </cfRule>
    <cfRule type="expression" dxfId="1510" priority="1562" stopIfTrue="1">
      <formula>AF100="Agua"</formula>
    </cfRule>
    <cfRule type="expression" dxfId="1509" priority="1563" stopIfTrue="1">
      <formula>AF100="Aire"</formula>
    </cfRule>
    <cfRule type="expression" dxfId="1508" priority="1564" stopIfTrue="1">
      <formula>AF100="Destrucción"</formula>
    </cfRule>
    <cfRule type="expression" dxfId="1507" priority="1565" stopIfTrue="1">
      <formula>AF100="Creación"</formula>
    </cfRule>
    <cfRule type="expression" dxfId="1506" priority="1566" stopIfTrue="1">
      <formula>AF100="Oscuridad"</formula>
    </cfRule>
    <cfRule type="expression" dxfId="1505" priority="1567" stopIfTrue="1">
      <formula>AF100="Luz"</formula>
    </cfRule>
  </conditionalFormatting>
  <conditionalFormatting sqref="C111">
    <cfRule type="expression" dxfId="1504" priority="1514" stopIfTrue="1">
      <formula>$P$7="No"</formula>
    </cfRule>
    <cfRule type="expression" dxfId="1503" priority="1515" stopIfTrue="1">
      <formula>AND($P$6&lt;&gt;0,I111&gt;$P$6)</formula>
    </cfRule>
    <cfRule type="expression" dxfId="1502" priority="1516" stopIfTrue="1">
      <formula>M111="Vacío"</formula>
    </cfRule>
    <cfRule type="expression" dxfId="1501" priority="1517" stopIfTrue="1">
      <formula>M111="Umbral"</formula>
    </cfRule>
    <cfRule type="expression" dxfId="1500" priority="1518" stopIfTrue="1">
      <formula>M111="Tiempo"</formula>
    </cfRule>
    <cfRule type="expression" dxfId="1499" priority="1519" stopIfTrue="1">
      <formula>M111="Sueños"</formula>
    </cfRule>
    <cfRule type="expression" dxfId="1498" priority="1520" stopIfTrue="1">
      <formula>M111="Sangre"</formula>
    </cfRule>
    <cfRule type="expression" dxfId="1497" priority="1521" stopIfTrue="1">
      <formula>M111="Conocimiento"</formula>
    </cfRule>
    <cfRule type="expression" dxfId="1496" priority="1522" stopIfTrue="1">
      <formula>M111="Pecado"</formula>
    </cfRule>
    <cfRule type="expression" dxfId="1495" priority="1523" stopIfTrue="1">
      <formula>M111="Paz"</formula>
    </cfRule>
    <cfRule type="expression" dxfId="1494" priority="1524" stopIfTrue="1">
      <formula>M111="Nobleza"</formula>
    </cfRule>
    <cfRule type="expression" dxfId="1493" priority="1525" stopIfTrue="1">
      <formula>M111="Musical"</formula>
    </cfRule>
    <cfRule type="expression" dxfId="1492" priority="1526" stopIfTrue="1">
      <formula>M111="Muerte"</formula>
    </cfRule>
    <cfRule type="expression" dxfId="1491" priority="1527" stopIfTrue="1">
      <formula>M111="Literae"</formula>
    </cfRule>
    <cfRule type="expression" dxfId="1490" priority="1528" stopIfTrue="1">
      <formula>M111="Guerra"</formula>
    </cfRule>
    <cfRule type="expression" dxfId="1489" priority="1529" stopIfTrue="1">
      <formula>M111="Caos"</formula>
    </cfRule>
    <cfRule type="expression" dxfId="1488" priority="1530" stopIfTrue="1">
      <formula>M111="Nigromancia"</formula>
    </cfRule>
    <cfRule type="expression" dxfId="1487" priority="1531" stopIfTrue="1">
      <formula>M111="Ilusión"</formula>
    </cfRule>
    <cfRule type="expression" dxfId="1486" priority="1532" stopIfTrue="1">
      <formula>M111="Esencia"</formula>
    </cfRule>
    <cfRule type="expression" dxfId="1485" priority="1533" stopIfTrue="1">
      <formula>M111="Tierra"</formula>
    </cfRule>
    <cfRule type="expression" dxfId="1484" priority="1534" stopIfTrue="1">
      <formula>M111="Fuego"</formula>
    </cfRule>
    <cfRule type="expression" dxfId="1483" priority="1535" stopIfTrue="1">
      <formula>M111="Agua"</formula>
    </cfRule>
    <cfRule type="expression" dxfId="1482" priority="1536" stopIfTrue="1">
      <formula>M111="Aire"</formula>
    </cfRule>
    <cfRule type="expression" dxfId="1481" priority="1537" stopIfTrue="1">
      <formula>M111="Destrucción"</formula>
    </cfRule>
    <cfRule type="expression" dxfId="1480" priority="1538" stopIfTrue="1">
      <formula>M111="Creación"</formula>
    </cfRule>
    <cfRule type="expression" dxfId="1479" priority="1539" stopIfTrue="1">
      <formula>M111="Oscuridad"</formula>
    </cfRule>
    <cfRule type="expression" dxfId="1478" priority="1540" stopIfTrue="1">
      <formula>M111="Luz"</formula>
    </cfRule>
  </conditionalFormatting>
  <conditionalFormatting sqref="V111">
    <cfRule type="expression" dxfId="1477" priority="1487" stopIfTrue="1">
      <formula>$P$7="No"</formula>
    </cfRule>
    <cfRule type="expression" dxfId="1476" priority="1488" stopIfTrue="1">
      <formula>AND($P$6&lt;&gt;0,AB111&gt;$P$6)</formula>
    </cfRule>
    <cfRule type="expression" dxfId="1475" priority="1489" stopIfTrue="1">
      <formula>AF111="Vacío"</formula>
    </cfRule>
    <cfRule type="expression" dxfId="1474" priority="1490" stopIfTrue="1">
      <formula>AF111="Umbral"</formula>
    </cfRule>
    <cfRule type="expression" dxfId="1473" priority="1491" stopIfTrue="1">
      <formula>AF111="Tiempo"</formula>
    </cfRule>
    <cfRule type="expression" dxfId="1472" priority="1492" stopIfTrue="1">
      <formula>AF111="Sueños"</formula>
    </cfRule>
    <cfRule type="expression" dxfId="1471" priority="1493" stopIfTrue="1">
      <formula>AF111="Sangre"</formula>
    </cfRule>
    <cfRule type="expression" dxfId="1470" priority="1494" stopIfTrue="1">
      <formula>AF111="Conocimiento"</formula>
    </cfRule>
    <cfRule type="expression" dxfId="1469" priority="1495" stopIfTrue="1">
      <formula>AF111="Pecado"</formula>
    </cfRule>
    <cfRule type="expression" dxfId="1468" priority="1496" stopIfTrue="1">
      <formula>AF111="Paz"</formula>
    </cfRule>
    <cfRule type="expression" dxfId="1467" priority="1497" stopIfTrue="1">
      <formula>AF111="Nobleza"</formula>
    </cfRule>
    <cfRule type="expression" dxfId="1466" priority="1498" stopIfTrue="1">
      <formula>AF111="Musical"</formula>
    </cfRule>
    <cfRule type="expression" dxfId="1465" priority="1499" stopIfTrue="1">
      <formula>AF111="Muerte"</formula>
    </cfRule>
    <cfRule type="expression" dxfId="1464" priority="1500" stopIfTrue="1">
      <formula>AF111="Literae"</formula>
    </cfRule>
    <cfRule type="expression" dxfId="1463" priority="1501" stopIfTrue="1">
      <formula>AF111="Guerra"</formula>
    </cfRule>
    <cfRule type="expression" dxfId="1462" priority="1502" stopIfTrue="1">
      <formula>AF111="Caos"</formula>
    </cfRule>
    <cfRule type="expression" dxfId="1461" priority="1503" stopIfTrue="1">
      <formula>AF111="Nigromancia"</formula>
    </cfRule>
    <cfRule type="expression" dxfId="1460" priority="1504" stopIfTrue="1">
      <formula>AF111="Ilusión"</formula>
    </cfRule>
    <cfRule type="expression" dxfId="1459" priority="1505" stopIfTrue="1">
      <formula>AF111="Esencia"</formula>
    </cfRule>
    <cfRule type="expression" dxfId="1458" priority="1506" stopIfTrue="1">
      <formula>AF111="Tierra"</formula>
    </cfRule>
    <cfRule type="expression" dxfId="1457" priority="1507" stopIfTrue="1">
      <formula>AF111="Fuego"</formula>
    </cfRule>
    <cfRule type="expression" dxfId="1456" priority="1508" stopIfTrue="1">
      <formula>AF111="Agua"</formula>
    </cfRule>
    <cfRule type="expression" dxfId="1455" priority="1509" stopIfTrue="1">
      <formula>AF111="Aire"</formula>
    </cfRule>
    <cfRule type="expression" dxfId="1454" priority="1510" stopIfTrue="1">
      <formula>AF111="Destrucción"</formula>
    </cfRule>
    <cfRule type="expression" dxfId="1453" priority="1511" stopIfTrue="1">
      <formula>AF111="Creación"</formula>
    </cfRule>
    <cfRule type="expression" dxfId="1452" priority="1512" stopIfTrue="1">
      <formula>AF111="Oscuridad"</formula>
    </cfRule>
    <cfRule type="expression" dxfId="1451" priority="1513" stopIfTrue="1">
      <formula>AF111="Luz"</formula>
    </cfRule>
  </conditionalFormatting>
  <conditionalFormatting sqref="C122">
    <cfRule type="expression" dxfId="1450" priority="1460" stopIfTrue="1">
      <formula>$P$7="No"</formula>
    </cfRule>
    <cfRule type="expression" dxfId="1449" priority="1461" stopIfTrue="1">
      <formula>AND($P$6&lt;&gt;0,I122&gt;$P$6)</formula>
    </cfRule>
    <cfRule type="expression" dxfId="1448" priority="1462" stopIfTrue="1">
      <formula>M122="Vacío"</formula>
    </cfRule>
    <cfRule type="expression" dxfId="1447" priority="1463" stopIfTrue="1">
      <formula>M122="Umbral"</formula>
    </cfRule>
    <cfRule type="expression" dxfId="1446" priority="1464" stopIfTrue="1">
      <formula>M122="Tiempo"</formula>
    </cfRule>
    <cfRule type="expression" dxfId="1445" priority="1465" stopIfTrue="1">
      <formula>M122="Sueños"</formula>
    </cfRule>
    <cfRule type="expression" dxfId="1444" priority="1466" stopIfTrue="1">
      <formula>M122="Sangre"</formula>
    </cfRule>
    <cfRule type="expression" dxfId="1443" priority="1467" stopIfTrue="1">
      <formula>M122="Conocimiento"</formula>
    </cfRule>
    <cfRule type="expression" dxfId="1442" priority="1468" stopIfTrue="1">
      <formula>M122="Pecado"</formula>
    </cfRule>
    <cfRule type="expression" dxfId="1441" priority="1469" stopIfTrue="1">
      <formula>M122="Paz"</formula>
    </cfRule>
    <cfRule type="expression" dxfId="1440" priority="1470" stopIfTrue="1">
      <formula>M122="Nobleza"</formula>
    </cfRule>
    <cfRule type="expression" dxfId="1439" priority="1471" stopIfTrue="1">
      <formula>M122="Musical"</formula>
    </cfRule>
    <cfRule type="expression" dxfId="1438" priority="1472" stopIfTrue="1">
      <formula>M122="Muerte"</formula>
    </cfRule>
    <cfRule type="expression" dxfId="1437" priority="1473" stopIfTrue="1">
      <formula>M122="Literae"</formula>
    </cfRule>
    <cfRule type="expression" dxfId="1436" priority="1474" stopIfTrue="1">
      <formula>M122="Guerra"</formula>
    </cfRule>
    <cfRule type="expression" dxfId="1435" priority="1475" stopIfTrue="1">
      <formula>M122="Caos"</formula>
    </cfRule>
    <cfRule type="expression" dxfId="1434" priority="1476" stopIfTrue="1">
      <formula>M122="Nigromancia"</formula>
    </cfRule>
    <cfRule type="expression" dxfId="1433" priority="1477" stopIfTrue="1">
      <formula>M122="Ilusión"</formula>
    </cfRule>
    <cfRule type="expression" dxfId="1432" priority="1478" stopIfTrue="1">
      <formula>M122="Esencia"</formula>
    </cfRule>
    <cfRule type="expression" dxfId="1431" priority="1479" stopIfTrue="1">
      <formula>M122="Tierra"</formula>
    </cfRule>
    <cfRule type="expression" dxfId="1430" priority="1480" stopIfTrue="1">
      <formula>M122="Fuego"</formula>
    </cfRule>
    <cfRule type="expression" dxfId="1429" priority="1481" stopIfTrue="1">
      <formula>M122="Agua"</formula>
    </cfRule>
    <cfRule type="expression" dxfId="1428" priority="1482" stopIfTrue="1">
      <formula>M122="Aire"</formula>
    </cfRule>
    <cfRule type="expression" dxfId="1427" priority="1483" stopIfTrue="1">
      <formula>M122="Destrucción"</formula>
    </cfRule>
    <cfRule type="expression" dxfId="1426" priority="1484" stopIfTrue="1">
      <formula>M122="Creación"</formula>
    </cfRule>
    <cfRule type="expression" dxfId="1425" priority="1485" stopIfTrue="1">
      <formula>M122="Oscuridad"</formula>
    </cfRule>
    <cfRule type="expression" dxfId="1424" priority="1486" stopIfTrue="1">
      <formula>M122="Luz"</formula>
    </cfRule>
  </conditionalFormatting>
  <conditionalFormatting sqref="V122">
    <cfRule type="expression" dxfId="1423" priority="1433" stopIfTrue="1">
      <formula>$P$7="No"</formula>
    </cfRule>
    <cfRule type="expression" dxfId="1422" priority="1434" stopIfTrue="1">
      <formula>AND($P$6&lt;&gt;0,AB122&gt;$P$6)</formula>
    </cfRule>
    <cfRule type="expression" dxfId="1421" priority="1435" stopIfTrue="1">
      <formula>AF122="Vacío"</formula>
    </cfRule>
    <cfRule type="expression" dxfId="1420" priority="1436" stopIfTrue="1">
      <formula>AF122="Umbral"</formula>
    </cfRule>
    <cfRule type="expression" dxfId="1419" priority="1437" stopIfTrue="1">
      <formula>AF122="Tiempo"</formula>
    </cfRule>
    <cfRule type="expression" dxfId="1418" priority="1438" stopIfTrue="1">
      <formula>AF122="Sueños"</formula>
    </cfRule>
    <cfRule type="expression" dxfId="1417" priority="1439" stopIfTrue="1">
      <formula>AF122="Sangre"</formula>
    </cfRule>
    <cfRule type="expression" dxfId="1416" priority="1440" stopIfTrue="1">
      <formula>AF122="Conocimiento"</formula>
    </cfRule>
    <cfRule type="expression" dxfId="1415" priority="1441" stopIfTrue="1">
      <formula>AF122="Pecado"</formula>
    </cfRule>
    <cfRule type="expression" dxfId="1414" priority="1442" stopIfTrue="1">
      <formula>AF122="Paz"</formula>
    </cfRule>
    <cfRule type="expression" dxfId="1413" priority="1443" stopIfTrue="1">
      <formula>AF122="Nobleza"</formula>
    </cfRule>
    <cfRule type="expression" dxfId="1412" priority="1444" stopIfTrue="1">
      <formula>AF122="Musical"</formula>
    </cfRule>
    <cfRule type="expression" dxfId="1411" priority="1445" stopIfTrue="1">
      <formula>AF122="Muerte"</formula>
    </cfRule>
    <cfRule type="expression" dxfId="1410" priority="1446" stopIfTrue="1">
      <formula>AF122="Literae"</formula>
    </cfRule>
    <cfRule type="expression" dxfId="1409" priority="1447" stopIfTrue="1">
      <formula>AF122="Guerra"</formula>
    </cfRule>
    <cfRule type="expression" dxfId="1408" priority="1448" stopIfTrue="1">
      <formula>AF122="Caos"</formula>
    </cfRule>
    <cfRule type="expression" dxfId="1407" priority="1449" stopIfTrue="1">
      <formula>AF122="Nigromancia"</formula>
    </cfRule>
    <cfRule type="expression" dxfId="1406" priority="1450" stopIfTrue="1">
      <formula>AF122="Ilusión"</formula>
    </cfRule>
    <cfRule type="expression" dxfId="1405" priority="1451" stopIfTrue="1">
      <formula>AF122="Esencia"</formula>
    </cfRule>
    <cfRule type="expression" dxfId="1404" priority="1452" stopIfTrue="1">
      <formula>AF122="Tierra"</formula>
    </cfRule>
    <cfRule type="expression" dxfId="1403" priority="1453" stopIfTrue="1">
      <formula>AF122="Fuego"</formula>
    </cfRule>
    <cfRule type="expression" dxfId="1402" priority="1454" stopIfTrue="1">
      <formula>AF122="Agua"</formula>
    </cfRule>
    <cfRule type="expression" dxfId="1401" priority="1455" stopIfTrue="1">
      <formula>AF122="Aire"</formula>
    </cfRule>
    <cfRule type="expression" dxfId="1400" priority="1456" stopIfTrue="1">
      <formula>AF122="Destrucción"</formula>
    </cfRule>
    <cfRule type="expression" dxfId="1399" priority="1457" stopIfTrue="1">
      <formula>AF122="Creación"</formula>
    </cfRule>
    <cfRule type="expression" dxfId="1398" priority="1458" stopIfTrue="1">
      <formula>AF122="Oscuridad"</formula>
    </cfRule>
    <cfRule type="expression" dxfId="1397" priority="1459" stopIfTrue="1">
      <formula>AF122="Luz"</formula>
    </cfRule>
  </conditionalFormatting>
  <conditionalFormatting sqref="C145">
    <cfRule type="expression" dxfId="1396" priority="1406" stopIfTrue="1">
      <formula>$P$7="No"</formula>
    </cfRule>
    <cfRule type="expression" dxfId="1395" priority="1407" stopIfTrue="1">
      <formula>AND($P$6&lt;&gt;0,I145&gt;$P$6)</formula>
    </cfRule>
    <cfRule type="expression" dxfId="1394" priority="1408" stopIfTrue="1">
      <formula>M145="Vacío"</formula>
    </cfRule>
    <cfRule type="expression" dxfId="1393" priority="1409" stopIfTrue="1">
      <formula>M145="Umbral"</formula>
    </cfRule>
    <cfRule type="expression" dxfId="1392" priority="1410" stopIfTrue="1">
      <formula>M145="Tiempo"</formula>
    </cfRule>
    <cfRule type="expression" dxfId="1391" priority="1411" stopIfTrue="1">
      <formula>M145="Sueños"</formula>
    </cfRule>
    <cfRule type="expression" dxfId="1390" priority="1412" stopIfTrue="1">
      <formula>M145="Sangre"</formula>
    </cfRule>
    <cfRule type="expression" dxfId="1389" priority="1413" stopIfTrue="1">
      <formula>M145="Conocimiento"</formula>
    </cfRule>
    <cfRule type="expression" dxfId="1388" priority="1414" stopIfTrue="1">
      <formula>M145="Pecado"</formula>
    </cfRule>
    <cfRule type="expression" dxfId="1387" priority="1415" stopIfTrue="1">
      <formula>M145="Paz"</formula>
    </cfRule>
    <cfRule type="expression" dxfId="1386" priority="1416" stopIfTrue="1">
      <formula>M145="Nobleza"</formula>
    </cfRule>
    <cfRule type="expression" dxfId="1385" priority="1417" stopIfTrue="1">
      <formula>M145="Musical"</formula>
    </cfRule>
    <cfRule type="expression" dxfId="1384" priority="1418" stopIfTrue="1">
      <formula>M145="Muerte"</formula>
    </cfRule>
    <cfRule type="expression" dxfId="1383" priority="1419" stopIfTrue="1">
      <formula>M145="Literae"</formula>
    </cfRule>
    <cfRule type="expression" dxfId="1382" priority="1420" stopIfTrue="1">
      <formula>M145="Guerra"</formula>
    </cfRule>
    <cfRule type="expression" dxfId="1381" priority="1421" stopIfTrue="1">
      <formula>M145="Caos"</formula>
    </cfRule>
    <cfRule type="expression" dxfId="1380" priority="1422" stopIfTrue="1">
      <formula>M145="Nigromancia"</formula>
    </cfRule>
    <cfRule type="expression" dxfId="1379" priority="1423" stopIfTrue="1">
      <formula>M145="Ilusión"</formula>
    </cfRule>
    <cfRule type="expression" dxfId="1378" priority="1424" stopIfTrue="1">
      <formula>M145="Esencia"</formula>
    </cfRule>
    <cfRule type="expression" dxfId="1377" priority="1425" stopIfTrue="1">
      <formula>M145="Tierra"</formula>
    </cfRule>
    <cfRule type="expression" dxfId="1376" priority="1426" stopIfTrue="1">
      <formula>M145="Fuego"</formula>
    </cfRule>
    <cfRule type="expression" dxfId="1375" priority="1427" stopIfTrue="1">
      <formula>M145="Agua"</formula>
    </cfRule>
    <cfRule type="expression" dxfId="1374" priority="1428" stopIfTrue="1">
      <formula>M145="Aire"</formula>
    </cfRule>
    <cfRule type="expression" dxfId="1373" priority="1429" stopIfTrue="1">
      <formula>M145="Destrucción"</formula>
    </cfRule>
    <cfRule type="expression" dxfId="1372" priority="1430" stopIfTrue="1">
      <formula>M145="Creación"</formula>
    </cfRule>
    <cfRule type="expression" dxfId="1371" priority="1431" stopIfTrue="1">
      <formula>M145="Oscuridad"</formula>
    </cfRule>
    <cfRule type="expression" dxfId="1370" priority="1432" stopIfTrue="1">
      <formula>M145="Luz"</formula>
    </cfRule>
  </conditionalFormatting>
  <conditionalFormatting sqref="V145">
    <cfRule type="expression" dxfId="1369" priority="1379" stopIfTrue="1">
      <formula>$P$7="No"</formula>
    </cfRule>
    <cfRule type="expression" dxfId="1368" priority="1380" stopIfTrue="1">
      <formula>AND($P$6&lt;&gt;0,AB145&gt;$P$6)</formula>
    </cfRule>
    <cfRule type="expression" dxfId="1367" priority="1381" stopIfTrue="1">
      <formula>AF145="Vacío"</formula>
    </cfRule>
    <cfRule type="expression" dxfId="1366" priority="1382" stopIfTrue="1">
      <formula>AF145="Umbral"</formula>
    </cfRule>
    <cfRule type="expression" dxfId="1365" priority="1383" stopIfTrue="1">
      <formula>AF145="Tiempo"</formula>
    </cfRule>
    <cfRule type="expression" dxfId="1364" priority="1384" stopIfTrue="1">
      <formula>AF145="Sueños"</formula>
    </cfRule>
    <cfRule type="expression" dxfId="1363" priority="1385" stopIfTrue="1">
      <formula>AF145="Sangre"</formula>
    </cfRule>
    <cfRule type="expression" dxfId="1362" priority="1386" stopIfTrue="1">
      <formula>AF145="Conocimiento"</formula>
    </cfRule>
    <cfRule type="expression" dxfId="1361" priority="1387" stopIfTrue="1">
      <formula>AF145="Pecado"</formula>
    </cfRule>
    <cfRule type="expression" dxfId="1360" priority="1388" stopIfTrue="1">
      <formula>AF145="Paz"</formula>
    </cfRule>
    <cfRule type="expression" dxfId="1359" priority="1389" stopIfTrue="1">
      <formula>AF145="Nobleza"</formula>
    </cfRule>
    <cfRule type="expression" dxfId="1358" priority="1390" stopIfTrue="1">
      <formula>AF145="Musical"</formula>
    </cfRule>
    <cfRule type="expression" dxfId="1357" priority="1391" stopIfTrue="1">
      <formula>AF145="Muerte"</formula>
    </cfRule>
    <cfRule type="expression" dxfId="1356" priority="1392" stopIfTrue="1">
      <formula>AF145="Literae"</formula>
    </cfRule>
    <cfRule type="expression" dxfId="1355" priority="1393" stopIfTrue="1">
      <formula>AF145="Guerra"</formula>
    </cfRule>
    <cfRule type="expression" dxfId="1354" priority="1394" stopIfTrue="1">
      <formula>AF145="Caos"</formula>
    </cfRule>
    <cfRule type="expression" dxfId="1353" priority="1395" stopIfTrue="1">
      <formula>AF145="Nigromancia"</formula>
    </cfRule>
    <cfRule type="expression" dxfId="1352" priority="1396" stopIfTrue="1">
      <formula>AF145="Ilusión"</formula>
    </cfRule>
    <cfRule type="expression" dxfId="1351" priority="1397" stopIfTrue="1">
      <formula>AF145="Esencia"</formula>
    </cfRule>
    <cfRule type="expression" dxfId="1350" priority="1398" stopIfTrue="1">
      <formula>AF145="Tierra"</formula>
    </cfRule>
    <cfRule type="expression" dxfId="1349" priority="1399" stopIfTrue="1">
      <formula>AF145="Fuego"</formula>
    </cfRule>
    <cfRule type="expression" dxfId="1348" priority="1400" stopIfTrue="1">
      <formula>AF145="Agua"</formula>
    </cfRule>
    <cfRule type="expression" dxfId="1347" priority="1401" stopIfTrue="1">
      <formula>AF145="Aire"</formula>
    </cfRule>
    <cfRule type="expression" dxfId="1346" priority="1402" stopIfTrue="1">
      <formula>AF145="Destrucción"</formula>
    </cfRule>
    <cfRule type="expression" dxfId="1345" priority="1403" stopIfTrue="1">
      <formula>AF145="Creación"</formula>
    </cfRule>
    <cfRule type="expression" dxfId="1344" priority="1404" stopIfTrue="1">
      <formula>AF145="Oscuridad"</formula>
    </cfRule>
    <cfRule type="expression" dxfId="1343" priority="1405" stopIfTrue="1">
      <formula>AF145="Luz"</formula>
    </cfRule>
  </conditionalFormatting>
  <conditionalFormatting sqref="C167">
    <cfRule type="expression" dxfId="1342" priority="1298" stopIfTrue="1">
      <formula>$P$7="No"</formula>
    </cfRule>
    <cfRule type="expression" dxfId="1341" priority="1299" stopIfTrue="1">
      <formula>AND($P$6&lt;&gt;0,I167&gt;$P$6)</formula>
    </cfRule>
    <cfRule type="expression" dxfId="1340" priority="1300" stopIfTrue="1">
      <formula>M167="Vacío"</formula>
    </cfRule>
    <cfRule type="expression" dxfId="1339" priority="1301" stopIfTrue="1">
      <formula>M167="Umbral"</formula>
    </cfRule>
    <cfRule type="expression" dxfId="1338" priority="1302" stopIfTrue="1">
      <formula>M167="Tiempo"</formula>
    </cfRule>
    <cfRule type="expression" dxfId="1337" priority="1303" stopIfTrue="1">
      <formula>M167="Sueños"</formula>
    </cfRule>
    <cfRule type="expression" dxfId="1336" priority="1304" stopIfTrue="1">
      <formula>M167="Sangre"</formula>
    </cfRule>
    <cfRule type="expression" dxfId="1335" priority="1305" stopIfTrue="1">
      <formula>M167="Conocimiento"</formula>
    </cfRule>
    <cfRule type="expression" dxfId="1334" priority="1306" stopIfTrue="1">
      <formula>M167="Pecado"</formula>
    </cfRule>
    <cfRule type="expression" dxfId="1333" priority="1307" stopIfTrue="1">
      <formula>M167="Paz"</formula>
    </cfRule>
    <cfRule type="expression" dxfId="1332" priority="1308" stopIfTrue="1">
      <formula>M167="Nobleza"</formula>
    </cfRule>
    <cfRule type="expression" dxfId="1331" priority="1309" stopIfTrue="1">
      <formula>M167="Musical"</formula>
    </cfRule>
    <cfRule type="expression" dxfId="1330" priority="1310" stopIfTrue="1">
      <formula>M167="Muerte"</formula>
    </cfRule>
    <cfRule type="expression" dxfId="1329" priority="1311" stopIfTrue="1">
      <formula>M167="Literae"</formula>
    </cfRule>
    <cfRule type="expression" dxfId="1328" priority="1312" stopIfTrue="1">
      <formula>M167="Guerra"</formula>
    </cfRule>
    <cfRule type="expression" dxfId="1327" priority="1313" stopIfTrue="1">
      <formula>M167="Caos"</formula>
    </cfRule>
    <cfRule type="expression" dxfId="1326" priority="1314" stopIfTrue="1">
      <formula>M167="Nigromancia"</formula>
    </cfRule>
    <cfRule type="expression" dxfId="1325" priority="1315" stopIfTrue="1">
      <formula>M167="Ilusión"</formula>
    </cfRule>
    <cfRule type="expression" dxfId="1324" priority="1316" stopIfTrue="1">
      <formula>M167="Esencia"</formula>
    </cfRule>
    <cfRule type="expression" dxfId="1323" priority="1317" stopIfTrue="1">
      <formula>M167="Tierra"</formula>
    </cfRule>
    <cfRule type="expression" dxfId="1322" priority="1318" stopIfTrue="1">
      <formula>M167="Fuego"</formula>
    </cfRule>
    <cfRule type="expression" dxfId="1321" priority="1319" stopIfTrue="1">
      <formula>M167="Agua"</formula>
    </cfRule>
    <cfRule type="expression" dxfId="1320" priority="1320" stopIfTrue="1">
      <formula>M167="Aire"</formula>
    </cfRule>
    <cfRule type="expression" dxfId="1319" priority="1321" stopIfTrue="1">
      <formula>M167="Destrucción"</formula>
    </cfRule>
    <cfRule type="expression" dxfId="1318" priority="1322" stopIfTrue="1">
      <formula>M167="Creación"</formula>
    </cfRule>
    <cfRule type="expression" dxfId="1317" priority="1323" stopIfTrue="1">
      <formula>M167="Oscuridad"</formula>
    </cfRule>
    <cfRule type="expression" dxfId="1316" priority="1324" stopIfTrue="1">
      <formula>M167="Luz"</formula>
    </cfRule>
  </conditionalFormatting>
  <conditionalFormatting sqref="V167">
    <cfRule type="expression" dxfId="1315" priority="1271" stopIfTrue="1">
      <formula>$P$7="No"</formula>
    </cfRule>
    <cfRule type="expression" dxfId="1314" priority="1272" stopIfTrue="1">
      <formula>AND($P$6&lt;&gt;0,AB167&gt;$P$6)</formula>
    </cfRule>
    <cfRule type="expression" dxfId="1313" priority="1273" stopIfTrue="1">
      <formula>AF167="Vacío"</formula>
    </cfRule>
    <cfRule type="expression" dxfId="1312" priority="1274" stopIfTrue="1">
      <formula>AF167="Umbral"</formula>
    </cfRule>
    <cfRule type="expression" dxfId="1311" priority="1275" stopIfTrue="1">
      <formula>AF167="Tiempo"</formula>
    </cfRule>
    <cfRule type="expression" dxfId="1310" priority="1276" stopIfTrue="1">
      <formula>AF167="Sueños"</formula>
    </cfRule>
    <cfRule type="expression" dxfId="1309" priority="1277" stopIfTrue="1">
      <formula>AF167="Sangre"</formula>
    </cfRule>
    <cfRule type="expression" dxfId="1308" priority="1278" stopIfTrue="1">
      <formula>AF167="Conocimiento"</formula>
    </cfRule>
    <cfRule type="expression" dxfId="1307" priority="1279" stopIfTrue="1">
      <formula>AF167="Pecado"</formula>
    </cfRule>
    <cfRule type="expression" dxfId="1306" priority="1280" stopIfTrue="1">
      <formula>AF167="Paz"</formula>
    </cfRule>
    <cfRule type="expression" dxfId="1305" priority="1281" stopIfTrue="1">
      <formula>AF167="Nobleza"</formula>
    </cfRule>
    <cfRule type="expression" dxfId="1304" priority="1282" stopIfTrue="1">
      <formula>AF167="Musical"</formula>
    </cfRule>
    <cfRule type="expression" dxfId="1303" priority="1283" stopIfTrue="1">
      <formula>AF167="Muerte"</formula>
    </cfRule>
    <cfRule type="expression" dxfId="1302" priority="1284" stopIfTrue="1">
      <formula>AF167="Literae"</formula>
    </cfRule>
    <cfRule type="expression" dxfId="1301" priority="1285" stopIfTrue="1">
      <formula>AF167="Guerra"</formula>
    </cfRule>
    <cfRule type="expression" dxfId="1300" priority="1286" stopIfTrue="1">
      <formula>AF167="Caos"</formula>
    </cfRule>
    <cfRule type="expression" dxfId="1299" priority="1287" stopIfTrue="1">
      <formula>AF167="Nigromancia"</formula>
    </cfRule>
    <cfRule type="expression" dxfId="1298" priority="1288" stopIfTrue="1">
      <formula>AF167="Ilusión"</formula>
    </cfRule>
    <cfRule type="expression" dxfId="1297" priority="1289" stopIfTrue="1">
      <formula>AF167="Esencia"</formula>
    </cfRule>
    <cfRule type="expression" dxfId="1296" priority="1290" stopIfTrue="1">
      <formula>AF167="Tierra"</formula>
    </cfRule>
    <cfRule type="expression" dxfId="1295" priority="1291" stopIfTrue="1">
      <formula>AF167="Fuego"</formula>
    </cfRule>
    <cfRule type="expression" dxfId="1294" priority="1292" stopIfTrue="1">
      <formula>AF167="Agua"</formula>
    </cfRule>
    <cfRule type="expression" dxfId="1293" priority="1293" stopIfTrue="1">
      <formula>AF167="Aire"</formula>
    </cfRule>
    <cfRule type="expression" dxfId="1292" priority="1294" stopIfTrue="1">
      <formula>AF167="Destrucción"</formula>
    </cfRule>
    <cfRule type="expression" dxfId="1291" priority="1295" stopIfTrue="1">
      <formula>AF167="Creación"</formula>
    </cfRule>
    <cfRule type="expression" dxfId="1290" priority="1296" stopIfTrue="1">
      <formula>AF167="Oscuridad"</formula>
    </cfRule>
    <cfRule type="expression" dxfId="1289" priority="1297" stopIfTrue="1">
      <formula>AF167="Luz"</formula>
    </cfRule>
  </conditionalFormatting>
  <conditionalFormatting sqref="C178">
    <cfRule type="expression" dxfId="1288" priority="1244" stopIfTrue="1">
      <formula>$P$7="No"</formula>
    </cfRule>
    <cfRule type="expression" dxfId="1287" priority="1245" stopIfTrue="1">
      <formula>AND($P$6&lt;&gt;0,I178&gt;$P$6)</formula>
    </cfRule>
    <cfRule type="expression" dxfId="1286" priority="1246" stopIfTrue="1">
      <formula>M178="Vacío"</formula>
    </cfRule>
    <cfRule type="expression" dxfId="1285" priority="1247" stopIfTrue="1">
      <formula>M178="Umbral"</formula>
    </cfRule>
    <cfRule type="expression" dxfId="1284" priority="1248" stopIfTrue="1">
      <formula>M178="Tiempo"</formula>
    </cfRule>
    <cfRule type="expression" dxfId="1283" priority="1249" stopIfTrue="1">
      <formula>M178="Sueños"</formula>
    </cfRule>
    <cfRule type="expression" dxfId="1282" priority="1250" stopIfTrue="1">
      <formula>M178="Sangre"</formula>
    </cfRule>
    <cfRule type="expression" dxfId="1281" priority="1251" stopIfTrue="1">
      <formula>M178="Conocimiento"</formula>
    </cfRule>
    <cfRule type="expression" dxfId="1280" priority="1252" stopIfTrue="1">
      <formula>M178="Pecado"</formula>
    </cfRule>
    <cfRule type="expression" dxfId="1279" priority="1253" stopIfTrue="1">
      <formula>M178="Paz"</formula>
    </cfRule>
    <cfRule type="expression" dxfId="1278" priority="1254" stopIfTrue="1">
      <formula>M178="Nobleza"</formula>
    </cfRule>
    <cfRule type="expression" dxfId="1277" priority="1255" stopIfTrue="1">
      <formula>M178="Musical"</formula>
    </cfRule>
    <cfRule type="expression" dxfId="1276" priority="1256" stopIfTrue="1">
      <formula>M178="Muerte"</formula>
    </cfRule>
    <cfRule type="expression" dxfId="1275" priority="1257" stopIfTrue="1">
      <formula>M178="Literae"</formula>
    </cfRule>
    <cfRule type="expression" dxfId="1274" priority="1258" stopIfTrue="1">
      <formula>M178="Guerra"</formula>
    </cfRule>
    <cfRule type="expression" dxfId="1273" priority="1259" stopIfTrue="1">
      <formula>M178="Caos"</formula>
    </cfRule>
    <cfRule type="expression" dxfId="1272" priority="1260" stopIfTrue="1">
      <formula>M178="Nigromancia"</formula>
    </cfRule>
    <cfRule type="expression" dxfId="1271" priority="1261" stopIfTrue="1">
      <formula>M178="Ilusión"</formula>
    </cfRule>
    <cfRule type="expression" dxfId="1270" priority="1262" stopIfTrue="1">
      <formula>M178="Esencia"</formula>
    </cfRule>
    <cfRule type="expression" dxfId="1269" priority="1263" stopIfTrue="1">
      <formula>M178="Tierra"</formula>
    </cfRule>
    <cfRule type="expression" dxfId="1268" priority="1264" stopIfTrue="1">
      <formula>M178="Fuego"</formula>
    </cfRule>
    <cfRule type="expression" dxfId="1267" priority="1265" stopIfTrue="1">
      <formula>M178="Agua"</formula>
    </cfRule>
    <cfRule type="expression" dxfId="1266" priority="1266" stopIfTrue="1">
      <formula>M178="Aire"</formula>
    </cfRule>
    <cfRule type="expression" dxfId="1265" priority="1267" stopIfTrue="1">
      <formula>M178="Destrucción"</formula>
    </cfRule>
    <cfRule type="expression" dxfId="1264" priority="1268" stopIfTrue="1">
      <formula>M178="Creación"</formula>
    </cfRule>
    <cfRule type="expression" dxfId="1263" priority="1269" stopIfTrue="1">
      <formula>M178="Oscuridad"</formula>
    </cfRule>
    <cfRule type="expression" dxfId="1262" priority="1270" stopIfTrue="1">
      <formula>M178="Luz"</formula>
    </cfRule>
  </conditionalFormatting>
  <conditionalFormatting sqref="V178">
    <cfRule type="expression" dxfId="1261" priority="1217" stopIfTrue="1">
      <formula>$P$7="No"</formula>
    </cfRule>
    <cfRule type="expression" dxfId="1260" priority="1218" stopIfTrue="1">
      <formula>AND($P$6&lt;&gt;0,AB178&gt;$P$6)</formula>
    </cfRule>
    <cfRule type="expression" dxfId="1259" priority="1219" stopIfTrue="1">
      <formula>AF178="Vacío"</formula>
    </cfRule>
    <cfRule type="expression" dxfId="1258" priority="1220" stopIfTrue="1">
      <formula>AF178="Umbral"</formula>
    </cfRule>
    <cfRule type="expression" dxfId="1257" priority="1221" stopIfTrue="1">
      <formula>AF178="Tiempo"</formula>
    </cfRule>
    <cfRule type="expression" dxfId="1256" priority="1222" stopIfTrue="1">
      <formula>AF178="Sueños"</formula>
    </cfRule>
    <cfRule type="expression" dxfId="1255" priority="1223" stopIfTrue="1">
      <formula>AF178="Sangre"</formula>
    </cfRule>
    <cfRule type="expression" dxfId="1254" priority="1224" stopIfTrue="1">
      <formula>AF178="Conocimiento"</formula>
    </cfRule>
    <cfRule type="expression" dxfId="1253" priority="1225" stopIfTrue="1">
      <formula>AF178="Pecado"</formula>
    </cfRule>
    <cfRule type="expression" dxfId="1252" priority="1226" stopIfTrue="1">
      <formula>AF178="Paz"</formula>
    </cfRule>
    <cfRule type="expression" dxfId="1251" priority="1227" stopIfTrue="1">
      <formula>AF178="Nobleza"</formula>
    </cfRule>
    <cfRule type="expression" dxfId="1250" priority="1228" stopIfTrue="1">
      <formula>AF178="Musical"</formula>
    </cfRule>
    <cfRule type="expression" dxfId="1249" priority="1229" stopIfTrue="1">
      <formula>AF178="Muerte"</formula>
    </cfRule>
    <cfRule type="expression" dxfId="1248" priority="1230" stopIfTrue="1">
      <formula>AF178="Literae"</formula>
    </cfRule>
    <cfRule type="expression" dxfId="1247" priority="1231" stopIfTrue="1">
      <formula>AF178="Guerra"</formula>
    </cfRule>
    <cfRule type="expression" dxfId="1246" priority="1232" stopIfTrue="1">
      <formula>AF178="Caos"</formula>
    </cfRule>
    <cfRule type="expression" dxfId="1245" priority="1233" stopIfTrue="1">
      <formula>AF178="Nigromancia"</formula>
    </cfRule>
    <cfRule type="expression" dxfId="1244" priority="1234" stopIfTrue="1">
      <formula>AF178="Ilusión"</formula>
    </cfRule>
    <cfRule type="expression" dxfId="1243" priority="1235" stopIfTrue="1">
      <formula>AF178="Esencia"</formula>
    </cfRule>
    <cfRule type="expression" dxfId="1242" priority="1236" stopIfTrue="1">
      <formula>AF178="Tierra"</formula>
    </cfRule>
    <cfRule type="expression" dxfId="1241" priority="1237" stopIfTrue="1">
      <formula>AF178="Fuego"</formula>
    </cfRule>
    <cfRule type="expression" dxfId="1240" priority="1238" stopIfTrue="1">
      <formula>AF178="Agua"</formula>
    </cfRule>
    <cfRule type="expression" dxfId="1239" priority="1239" stopIfTrue="1">
      <formula>AF178="Aire"</formula>
    </cfRule>
    <cfRule type="expression" dxfId="1238" priority="1240" stopIfTrue="1">
      <formula>AF178="Destrucción"</formula>
    </cfRule>
    <cfRule type="expression" dxfId="1237" priority="1241" stopIfTrue="1">
      <formula>AF178="Creación"</formula>
    </cfRule>
    <cfRule type="expression" dxfId="1236" priority="1242" stopIfTrue="1">
      <formula>AF178="Oscuridad"</formula>
    </cfRule>
    <cfRule type="expression" dxfId="1235" priority="1243" stopIfTrue="1">
      <formula>AF178="Luz"</formula>
    </cfRule>
  </conditionalFormatting>
  <conditionalFormatting sqref="C189">
    <cfRule type="expression" dxfId="1234" priority="1190" stopIfTrue="1">
      <formula>$P$7="No"</formula>
    </cfRule>
    <cfRule type="expression" dxfId="1233" priority="1191" stopIfTrue="1">
      <formula>AND($P$6&lt;&gt;0,I189&gt;$P$6)</formula>
    </cfRule>
    <cfRule type="expression" dxfId="1232" priority="1192" stopIfTrue="1">
      <formula>M189="Vacío"</formula>
    </cfRule>
    <cfRule type="expression" dxfId="1231" priority="1193" stopIfTrue="1">
      <formula>M189="Umbral"</formula>
    </cfRule>
    <cfRule type="expression" dxfId="1230" priority="1194" stopIfTrue="1">
      <formula>M189="Tiempo"</formula>
    </cfRule>
    <cfRule type="expression" dxfId="1229" priority="1195" stopIfTrue="1">
      <formula>M189="Sueños"</formula>
    </cfRule>
    <cfRule type="expression" dxfId="1228" priority="1196" stopIfTrue="1">
      <formula>M189="Sangre"</formula>
    </cfRule>
    <cfRule type="expression" dxfId="1227" priority="1197" stopIfTrue="1">
      <formula>M189="Conocimiento"</formula>
    </cfRule>
    <cfRule type="expression" dxfId="1226" priority="1198" stopIfTrue="1">
      <formula>M189="Pecado"</formula>
    </cfRule>
    <cfRule type="expression" dxfId="1225" priority="1199" stopIfTrue="1">
      <formula>M189="Paz"</formula>
    </cfRule>
    <cfRule type="expression" dxfId="1224" priority="1200" stopIfTrue="1">
      <formula>M189="Nobleza"</formula>
    </cfRule>
    <cfRule type="expression" dxfId="1223" priority="1201" stopIfTrue="1">
      <formula>M189="Musical"</formula>
    </cfRule>
    <cfRule type="expression" dxfId="1222" priority="1202" stopIfTrue="1">
      <formula>M189="Muerte"</formula>
    </cfRule>
    <cfRule type="expression" dxfId="1221" priority="1203" stopIfTrue="1">
      <formula>M189="Literae"</formula>
    </cfRule>
    <cfRule type="expression" dxfId="1220" priority="1204" stopIfTrue="1">
      <formula>M189="Guerra"</formula>
    </cfRule>
    <cfRule type="expression" dxfId="1219" priority="1205" stopIfTrue="1">
      <formula>M189="Caos"</formula>
    </cfRule>
    <cfRule type="expression" dxfId="1218" priority="1206" stopIfTrue="1">
      <formula>M189="Nigromancia"</formula>
    </cfRule>
    <cfRule type="expression" dxfId="1217" priority="1207" stopIfTrue="1">
      <formula>M189="Ilusión"</formula>
    </cfRule>
    <cfRule type="expression" dxfId="1216" priority="1208" stopIfTrue="1">
      <formula>M189="Esencia"</formula>
    </cfRule>
    <cfRule type="expression" dxfId="1215" priority="1209" stopIfTrue="1">
      <formula>M189="Tierra"</formula>
    </cfRule>
    <cfRule type="expression" dxfId="1214" priority="1210" stopIfTrue="1">
      <formula>M189="Fuego"</formula>
    </cfRule>
    <cfRule type="expression" dxfId="1213" priority="1211" stopIfTrue="1">
      <formula>M189="Agua"</formula>
    </cfRule>
    <cfRule type="expression" dxfId="1212" priority="1212" stopIfTrue="1">
      <formula>M189="Aire"</formula>
    </cfRule>
    <cfRule type="expression" dxfId="1211" priority="1213" stopIfTrue="1">
      <formula>M189="Destrucción"</formula>
    </cfRule>
    <cfRule type="expression" dxfId="1210" priority="1214" stopIfTrue="1">
      <formula>M189="Creación"</formula>
    </cfRule>
    <cfRule type="expression" dxfId="1209" priority="1215" stopIfTrue="1">
      <formula>M189="Oscuridad"</formula>
    </cfRule>
    <cfRule type="expression" dxfId="1208" priority="1216" stopIfTrue="1">
      <formula>M189="Luz"</formula>
    </cfRule>
  </conditionalFormatting>
  <conditionalFormatting sqref="V189">
    <cfRule type="expression" dxfId="1207" priority="1163" stopIfTrue="1">
      <formula>$P$7="No"</formula>
    </cfRule>
    <cfRule type="expression" dxfId="1206" priority="1164" stopIfTrue="1">
      <formula>AND($P$6&lt;&gt;0,AB189&gt;$P$6)</formula>
    </cfRule>
    <cfRule type="expression" dxfId="1205" priority="1165" stopIfTrue="1">
      <formula>AF189="Vacío"</formula>
    </cfRule>
    <cfRule type="expression" dxfId="1204" priority="1166" stopIfTrue="1">
      <formula>AF189="Umbral"</formula>
    </cfRule>
    <cfRule type="expression" dxfId="1203" priority="1167" stopIfTrue="1">
      <formula>AF189="Tiempo"</formula>
    </cfRule>
    <cfRule type="expression" dxfId="1202" priority="1168" stopIfTrue="1">
      <formula>AF189="Sueños"</formula>
    </cfRule>
    <cfRule type="expression" dxfId="1201" priority="1169" stopIfTrue="1">
      <formula>AF189="Sangre"</formula>
    </cfRule>
    <cfRule type="expression" dxfId="1200" priority="1170" stopIfTrue="1">
      <formula>AF189="Conocimiento"</formula>
    </cfRule>
    <cfRule type="expression" dxfId="1199" priority="1171" stopIfTrue="1">
      <formula>AF189="Pecado"</formula>
    </cfRule>
    <cfRule type="expression" dxfId="1198" priority="1172" stopIfTrue="1">
      <formula>AF189="Paz"</formula>
    </cfRule>
    <cfRule type="expression" dxfId="1197" priority="1173" stopIfTrue="1">
      <formula>AF189="Nobleza"</formula>
    </cfRule>
    <cfRule type="expression" dxfId="1196" priority="1174" stopIfTrue="1">
      <formula>AF189="Musical"</formula>
    </cfRule>
    <cfRule type="expression" dxfId="1195" priority="1175" stopIfTrue="1">
      <formula>AF189="Muerte"</formula>
    </cfRule>
    <cfRule type="expression" dxfId="1194" priority="1176" stopIfTrue="1">
      <formula>AF189="Literae"</formula>
    </cfRule>
    <cfRule type="expression" dxfId="1193" priority="1177" stopIfTrue="1">
      <formula>AF189="Guerra"</formula>
    </cfRule>
    <cfRule type="expression" dxfId="1192" priority="1178" stopIfTrue="1">
      <formula>AF189="Caos"</formula>
    </cfRule>
    <cfRule type="expression" dxfId="1191" priority="1179" stopIfTrue="1">
      <formula>AF189="Nigromancia"</formula>
    </cfRule>
    <cfRule type="expression" dxfId="1190" priority="1180" stopIfTrue="1">
      <formula>AF189="Ilusión"</formula>
    </cfRule>
    <cfRule type="expression" dxfId="1189" priority="1181" stopIfTrue="1">
      <formula>AF189="Esencia"</formula>
    </cfRule>
    <cfRule type="expression" dxfId="1188" priority="1182" stopIfTrue="1">
      <formula>AF189="Tierra"</formula>
    </cfRule>
    <cfRule type="expression" dxfId="1187" priority="1183" stopIfTrue="1">
      <formula>AF189="Fuego"</formula>
    </cfRule>
    <cfRule type="expression" dxfId="1186" priority="1184" stopIfTrue="1">
      <formula>AF189="Agua"</formula>
    </cfRule>
    <cfRule type="expression" dxfId="1185" priority="1185" stopIfTrue="1">
      <formula>AF189="Aire"</formula>
    </cfRule>
    <cfRule type="expression" dxfId="1184" priority="1186" stopIfTrue="1">
      <formula>AF189="Destrucción"</formula>
    </cfRule>
    <cfRule type="expression" dxfId="1183" priority="1187" stopIfTrue="1">
      <formula>AF189="Creación"</formula>
    </cfRule>
    <cfRule type="expression" dxfId="1182" priority="1188" stopIfTrue="1">
      <formula>AF189="Oscuridad"</formula>
    </cfRule>
    <cfRule type="expression" dxfId="1181" priority="1189" stopIfTrue="1">
      <formula>AF189="Luz"</formula>
    </cfRule>
  </conditionalFormatting>
  <conditionalFormatting sqref="C212">
    <cfRule type="expression" dxfId="1180" priority="1136" stopIfTrue="1">
      <formula>$P$7="No"</formula>
    </cfRule>
    <cfRule type="expression" dxfId="1179" priority="1137" stopIfTrue="1">
      <formula>AND($P$6&lt;&gt;0,I212&gt;$P$6)</formula>
    </cfRule>
    <cfRule type="expression" dxfId="1178" priority="1138" stopIfTrue="1">
      <formula>M212="Vacío"</formula>
    </cfRule>
    <cfRule type="expression" dxfId="1177" priority="1139" stopIfTrue="1">
      <formula>M212="Umbral"</formula>
    </cfRule>
    <cfRule type="expression" dxfId="1176" priority="1140" stopIfTrue="1">
      <formula>M212="Tiempo"</formula>
    </cfRule>
    <cfRule type="expression" dxfId="1175" priority="1141" stopIfTrue="1">
      <formula>M212="Sueños"</formula>
    </cfRule>
    <cfRule type="expression" dxfId="1174" priority="1142" stopIfTrue="1">
      <formula>M212="Sangre"</formula>
    </cfRule>
    <cfRule type="expression" dxfId="1173" priority="1143" stopIfTrue="1">
      <formula>M212="Conocimiento"</formula>
    </cfRule>
    <cfRule type="expression" dxfId="1172" priority="1144" stopIfTrue="1">
      <formula>M212="Pecado"</formula>
    </cfRule>
    <cfRule type="expression" dxfId="1171" priority="1145" stopIfTrue="1">
      <formula>M212="Paz"</formula>
    </cfRule>
    <cfRule type="expression" dxfId="1170" priority="1146" stopIfTrue="1">
      <formula>M212="Nobleza"</formula>
    </cfRule>
    <cfRule type="expression" dxfId="1169" priority="1147" stopIfTrue="1">
      <formula>M212="Musical"</formula>
    </cfRule>
    <cfRule type="expression" dxfId="1168" priority="1148" stopIfTrue="1">
      <formula>M212="Muerte"</formula>
    </cfRule>
    <cfRule type="expression" dxfId="1167" priority="1149" stopIfTrue="1">
      <formula>M212="Literae"</formula>
    </cfRule>
    <cfRule type="expression" dxfId="1166" priority="1150" stopIfTrue="1">
      <formula>M212="Guerra"</formula>
    </cfRule>
    <cfRule type="expression" dxfId="1165" priority="1151" stopIfTrue="1">
      <formula>M212="Caos"</formula>
    </cfRule>
    <cfRule type="expression" dxfId="1164" priority="1152" stopIfTrue="1">
      <formula>M212="Nigromancia"</formula>
    </cfRule>
    <cfRule type="expression" dxfId="1163" priority="1153" stopIfTrue="1">
      <formula>M212="Ilusión"</formula>
    </cfRule>
    <cfRule type="expression" dxfId="1162" priority="1154" stopIfTrue="1">
      <formula>M212="Esencia"</formula>
    </cfRule>
    <cfRule type="expression" dxfId="1161" priority="1155" stopIfTrue="1">
      <formula>M212="Tierra"</formula>
    </cfRule>
    <cfRule type="expression" dxfId="1160" priority="1156" stopIfTrue="1">
      <formula>M212="Fuego"</formula>
    </cfRule>
    <cfRule type="expression" dxfId="1159" priority="1157" stopIfTrue="1">
      <formula>M212="Agua"</formula>
    </cfRule>
    <cfRule type="expression" dxfId="1158" priority="1158" stopIfTrue="1">
      <formula>M212="Aire"</formula>
    </cfRule>
    <cfRule type="expression" dxfId="1157" priority="1159" stopIfTrue="1">
      <formula>M212="Destrucción"</formula>
    </cfRule>
    <cfRule type="expression" dxfId="1156" priority="1160" stopIfTrue="1">
      <formula>M212="Creación"</formula>
    </cfRule>
    <cfRule type="expression" dxfId="1155" priority="1161" stopIfTrue="1">
      <formula>M212="Oscuridad"</formula>
    </cfRule>
    <cfRule type="expression" dxfId="1154" priority="1162" stopIfTrue="1">
      <formula>M212="Luz"</formula>
    </cfRule>
  </conditionalFormatting>
  <conditionalFormatting sqref="V212">
    <cfRule type="expression" dxfId="1153" priority="1109" stopIfTrue="1">
      <formula>$P$7="No"</formula>
    </cfRule>
    <cfRule type="expression" dxfId="1152" priority="1110" stopIfTrue="1">
      <formula>AND($P$6&lt;&gt;0,AB212&gt;$P$6)</formula>
    </cfRule>
    <cfRule type="expression" dxfId="1151" priority="1111" stopIfTrue="1">
      <formula>AF212="Vacío"</formula>
    </cfRule>
    <cfRule type="expression" dxfId="1150" priority="1112" stopIfTrue="1">
      <formula>AF212="Umbral"</formula>
    </cfRule>
    <cfRule type="expression" dxfId="1149" priority="1113" stopIfTrue="1">
      <formula>AF212="Tiempo"</formula>
    </cfRule>
    <cfRule type="expression" dxfId="1148" priority="1114" stopIfTrue="1">
      <formula>AF212="Sueños"</formula>
    </cfRule>
    <cfRule type="expression" dxfId="1147" priority="1115" stopIfTrue="1">
      <formula>AF212="Sangre"</formula>
    </cfRule>
    <cfRule type="expression" dxfId="1146" priority="1116" stopIfTrue="1">
      <formula>AF212="Conocimiento"</formula>
    </cfRule>
    <cfRule type="expression" dxfId="1145" priority="1117" stopIfTrue="1">
      <formula>AF212="Pecado"</formula>
    </cfRule>
    <cfRule type="expression" dxfId="1144" priority="1118" stopIfTrue="1">
      <formula>AF212="Paz"</formula>
    </cfRule>
    <cfRule type="expression" dxfId="1143" priority="1119" stopIfTrue="1">
      <formula>AF212="Nobleza"</formula>
    </cfRule>
    <cfRule type="expression" dxfId="1142" priority="1120" stopIfTrue="1">
      <formula>AF212="Musical"</formula>
    </cfRule>
    <cfRule type="expression" dxfId="1141" priority="1121" stopIfTrue="1">
      <formula>AF212="Muerte"</formula>
    </cfRule>
    <cfRule type="expression" dxfId="1140" priority="1122" stopIfTrue="1">
      <formula>AF212="Literae"</formula>
    </cfRule>
    <cfRule type="expression" dxfId="1139" priority="1123" stopIfTrue="1">
      <formula>AF212="Guerra"</formula>
    </cfRule>
    <cfRule type="expression" dxfId="1138" priority="1124" stopIfTrue="1">
      <formula>AF212="Caos"</formula>
    </cfRule>
    <cfRule type="expression" dxfId="1137" priority="1125" stopIfTrue="1">
      <formula>AF212="Nigromancia"</formula>
    </cfRule>
    <cfRule type="expression" dxfId="1136" priority="1126" stopIfTrue="1">
      <formula>AF212="Ilusión"</formula>
    </cfRule>
    <cfRule type="expression" dxfId="1135" priority="1127" stopIfTrue="1">
      <formula>AF212="Esencia"</formula>
    </cfRule>
    <cfRule type="expression" dxfId="1134" priority="1128" stopIfTrue="1">
      <formula>AF212="Tierra"</formula>
    </cfRule>
    <cfRule type="expression" dxfId="1133" priority="1129" stopIfTrue="1">
      <formula>AF212="Fuego"</formula>
    </cfRule>
    <cfRule type="expression" dxfId="1132" priority="1130" stopIfTrue="1">
      <formula>AF212="Agua"</formula>
    </cfRule>
    <cfRule type="expression" dxfId="1131" priority="1131" stopIfTrue="1">
      <formula>AF212="Aire"</formula>
    </cfRule>
    <cfRule type="expression" dxfId="1130" priority="1132" stopIfTrue="1">
      <formula>AF212="Destrucción"</formula>
    </cfRule>
    <cfRule type="expression" dxfId="1129" priority="1133" stopIfTrue="1">
      <formula>AF212="Creación"</formula>
    </cfRule>
    <cfRule type="expression" dxfId="1128" priority="1134" stopIfTrue="1">
      <formula>AF212="Oscuridad"</formula>
    </cfRule>
    <cfRule type="expression" dxfId="1127" priority="1135" stopIfTrue="1">
      <formula>AF212="Luz"</formula>
    </cfRule>
  </conditionalFormatting>
  <conditionalFormatting sqref="C234">
    <cfRule type="expression" dxfId="1126" priority="1028" stopIfTrue="1">
      <formula>$P$7="No"</formula>
    </cfRule>
    <cfRule type="expression" dxfId="1125" priority="1029" stopIfTrue="1">
      <formula>AND($P$6&lt;&gt;0,I234&gt;$P$6)</formula>
    </cfRule>
    <cfRule type="expression" dxfId="1124" priority="1030" stopIfTrue="1">
      <formula>M234="Vacío"</formula>
    </cfRule>
    <cfRule type="expression" dxfId="1123" priority="1031" stopIfTrue="1">
      <formula>M234="Umbral"</formula>
    </cfRule>
    <cfRule type="expression" dxfId="1122" priority="1032" stopIfTrue="1">
      <formula>M234="Tiempo"</formula>
    </cfRule>
    <cfRule type="expression" dxfId="1121" priority="1033" stopIfTrue="1">
      <formula>M234="Sueños"</formula>
    </cfRule>
    <cfRule type="expression" dxfId="1120" priority="1034" stopIfTrue="1">
      <formula>M234="Sangre"</formula>
    </cfRule>
    <cfRule type="expression" dxfId="1119" priority="1035" stopIfTrue="1">
      <formula>M234="Conocimiento"</formula>
    </cfRule>
    <cfRule type="expression" dxfId="1118" priority="1036" stopIfTrue="1">
      <formula>M234="Pecado"</formula>
    </cfRule>
    <cfRule type="expression" dxfId="1117" priority="1037" stopIfTrue="1">
      <formula>M234="Paz"</formula>
    </cfRule>
    <cfRule type="expression" dxfId="1116" priority="1038" stopIfTrue="1">
      <formula>M234="Nobleza"</formula>
    </cfRule>
    <cfRule type="expression" dxfId="1115" priority="1039" stopIfTrue="1">
      <formula>M234="Musical"</formula>
    </cfRule>
    <cfRule type="expression" dxfId="1114" priority="1040" stopIfTrue="1">
      <formula>M234="Muerte"</formula>
    </cfRule>
    <cfRule type="expression" dxfId="1113" priority="1041" stopIfTrue="1">
      <formula>M234="Literae"</formula>
    </cfRule>
    <cfRule type="expression" dxfId="1112" priority="1042" stopIfTrue="1">
      <formula>M234="Guerra"</formula>
    </cfRule>
    <cfRule type="expression" dxfId="1111" priority="1043" stopIfTrue="1">
      <formula>M234="Caos"</formula>
    </cfRule>
    <cfRule type="expression" dxfId="1110" priority="1044" stopIfTrue="1">
      <formula>M234="Nigromancia"</formula>
    </cfRule>
    <cfRule type="expression" dxfId="1109" priority="1045" stopIfTrue="1">
      <formula>M234="Ilusión"</formula>
    </cfRule>
    <cfRule type="expression" dxfId="1108" priority="1046" stopIfTrue="1">
      <formula>M234="Esencia"</formula>
    </cfRule>
    <cfRule type="expression" dxfId="1107" priority="1047" stopIfTrue="1">
      <formula>M234="Tierra"</formula>
    </cfRule>
    <cfRule type="expression" dxfId="1106" priority="1048" stopIfTrue="1">
      <formula>M234="Fuego"</formula>
    </cfRule>
    <cfRule type="expression" dxfId="1105" priority="1049" stopIfTrue="1">
      <formula>M234="Agua"</formula>
    </cfRule>
    <cfRule type="expression" dxfId="1104" priority="1050" stopIfTrue="1">
      <formula>M234="Aire"</formula>
    </cfRule>
    <cfRule type="expression" dxfId="1103" priority="1051" stopIfTrue="1">
      <formula>M234="Destrucción"</formula>
    </cfRule>
    <cfRule type="expression" dxfId="1102" priority="1052" stopIfTrue="1">
      <formula>M234="Creación"</formula>
    </cfRule>
    <cfRule type="expression" dxfId="1101" priority="1053" stopIfTrue="1">
      <formula>M234="Oscuridad"</formula>
    </cfRule>
    <cfRule type="expression" dxfId="1100" priority="1054" stopIfTrue="1">
      <formula>M234="Luz"</formula>
    </cfRule>
  </conditionalFormatting>
  <conditionalFormatting sqref="V234">
    <cfRule type="expression" dxfId="1099" priority="1001" stopIfTrue="1">
      <formula>$P$7="No"</formula>
    </cfRule>
    <cfRule type="expression" dxfId="1098" priority="1002" stopIfTrue="1">
      <formula>AND($P$6&lt;&gt;0,AB234&gt;$P$6)</formula>
    </cfRule>
    <cfRule type="expression" dxfId="1097" priority="1003" stopIfTrue="1">
      <formula>AF234="Vacío"</formula>
    </cfRule>
    <cfRule type="expression" dxfId="1096" priority="1004" stopIfTrue="1">
      <formula>AF234="Umbral"</formula>
    </cfRule>
    <cfRule type="expression" dxfId="1095" priority="1005" stopIfTrue="1">
      <formula>AF234="Tiempo"</formula>
    </cfRule>
    <cfRule type="expression" dxfId="1094" priority="1006" stopIfTrue="1">
      <formula>AF234="Sueños"</formula>
    </cfRule>
    <cfRule type="expression" dxfId="1093" priority="1007" stopIfTrue="1">
      <formula>AF234="Sangre"</formula>
    </cfRule>
    <cfRule type="expression" dxfId="1092" priority="1008" stopIfTrue="1">
      <formula>AF234="Conocimiento"</formula>
    </cfRule>
    <cfRule type="expression" dxfId="1091" priority="1009" stopIfTrue="1">
      <formula>AF234="Pecado"</formula>
    </cfRule>
    <cfRule type="expression" dxfId="1090" priority="1010" stopIfTrue="1">
      <formula>AF234="Paz"</formula>
    </cfRule>
    <cfRule type="expression" dxfId="1089" priority="1011" stopIfTrue="1">
      <formula>AF234="Nobleza"</formula>
    </cfRule>
    <cfRule type="expression" dxfId="1088" priority="1012" stopIfTrue="1">
      <formula>AF234="Musical"</formula>
    </cfRule>
    <cfRule type="expression" dxfId="1087" priority="1013" stopIfTrue="1">
      <formula>AF234="Muerte"</formula>
    </cfRule>
    <cfRule type="expression" dxfId="1086" priority="1014" stopIfTrue="1">
      <formula>AF234="Literae"</formula>
    </cfRule>
    <cfRule type="expression" dxfId="1085" priority="1015" stopIfTrue="1">
      <formula>AF234="Guerra"</formula>
    </cfRule>
    <cfRule type="expression" dxfId="1084" priority="1016" stopIfTrue="1">
      <formula>AF234="Caos"</formula>
    </cfRule>
    <cfRule type="expression" dxfId="1083" priority="1017" stopIfTrue="1">
      <formula>AF234="Nigromancia"</formula>
    </cfRule>
    <cfRule type="expression" dxfId="1082" priority="1018" stopIfTrue="1">
      <formula>AF234="Ilusión"</formula>
    </cfRule>
    <cfRule type="expression" dxfId="1081" priority="1019" stopIfTrue="1">
      <formula>AF234="Esencia"</formula>
    </cfRule>
    <cfRule type="expression" dxfId="1080" priority="1020" stopIfTrue="1">
      <formula>AF234="Tierra"</formula>
    </cfRule>
    <cfRule type="expression" dxfId="1079" priority="1021" stopIfTrue="1">
      <formula>AF234="Fuego"</formula>
    </cfRule>
    <cfRule type="expression" dxfId="1078" priority="1022" stopIfTrue="1">
      <formula>AF234="Agua"</formula>
    </cfRule>
    <cfRule type="expression" dxfId="1077" priority="1023" stopIfTrue="1">
      <formula>AF234="Aire"</formula>
    </cfRule>
    <cfRule type="expression" dxfId="1076" priority="1024" stopIfTrue="1">
      <formula>AF234="Destrucción"</formula>
    </cfRule>
    <cfRule type="expression" dxfId="1075" priority="1025" stopIfTrue="1">
      <formula>AF234="Creación"</formula>
    </cfRule>
    <cfRule type="expression" dxfId="1074" priority="1026" stopIfTrue="1">
      <formula>AF234="Oscuridad"</formula>
    </cfRule>
    <cfRule type="expression" dxfId="1073" priority="1027" stopIfTrue="1">
      <formula>AF234="Luz"</formula>
    </cfRule>
  </conditionalFormatting>
  <conditionalFormatting sqref="C245">
    <cfRule type="expression" dxfId="1072" priority="974" stopIfTrue="1">
      <formula>$P$7="No"</formula>
    </cfRule>
    <cfRule type="expression" dxfId="1071" priority="975" stopIfTrue="1">
      <formula>AND($P$6&lt;&gt;0,I245&gt;$P$6)</formula>
    </cfRule>
    <cfRule type="expression" dxfId="1070" priority="976" stopIfTrue="1">
      <formula>M245="Vacío"</formula>
    </cfRule>
    <cfRule type="expression" dxfId="1069" priority="977" stopIfTrue="1">
      <formula>M245="Umbral"</formula>
    </cfRule>
    <cfRule type="expression" dxfId="1068" priority="978" stopIfTrue="1">
      <formula>M245="Tiempo"</formula>
    </cfRule>
    <cfRule type="expression" dxfId="1067" priority="979" stopIfTrue="1">
      <formula>M245="Sueños"</formula>
    </cfRule>
    <cfRule type="expression" dxfId="1066" priority="980" stopIfTrue="1">
      <formula>M245="Sangre"</formula>
    </cfRule>
    <cfRule type="expression" dxfId="1065" priority="981" stopIfTrue="1">
      <formula>M245="Conocimiento"</formula>
    </cfRule>
    <cfRule type="expression" dxfId="1064" priority="982" stopIfTrue="1">
      <formula>M245="Pecado"</formula>
    </cfRule>
    <cfRule type="expression" dxfId="1063" priority="983" stopIfTrue="1">
      <formula>M245="Paz"</formula>
    </cfRule>
    <cfRule type="expression" dxfId="1062" priority="984" stopIfTrue="1">
      <formula>M245="Nobleza"</formula>
    </cfRule>
    <cfRule type="expression" dxfId="1061" priority="985" stopIfTrue="1">
      <formula>M245="Musical"</formula>
    </cfRule>
    <cfRule type="expression" dxfId="1060" priority="986" stopIfTrue="1">
      <formula>M245="Muerte"</formula>
    </cfRule>
    <cfRule type="expression" dxfId="1059" priority="987" stopIfTrue="1">
      <formula>M245="Literae"</formula>
    </cfRule>
    <cfRule type="expression" dxfId="1058" priority="988" stopIfTrue="1">
      <formula>M245="Guerra"</formula>
    </cfRule>
    <cfRule type="expression" dxfId="1057" priority="989" stopIfTrue="1">
      <formula>M245="Caos"</formula>
    </cfRule>
    <cfRule type="expression" dxfId="1056" priority="990" stopIfTrue="1">
      <formula>M245="Nigromancia"</formula>
    </cfRule>
    <cfRule type="expression" dxfId="1055" priority="991" stopIfTrue="1">
      <formula>M245="Ilusión"</formula>
    </cfRule>
    <cfRule type="expression" dxfId="1054" priority="992" stopIfTrue="1">
      <formula>M245="Esencia"</formula>
    </cfRule>
    <cfRule type="expression" dxfId="1053" priority="993" stopIfTrue="1">
      <formula>M245="Tierra"</formula>
    </cfRule>
    <cfRule type="expression" dxfId="1052" priority="994" stopIfTrue="1">
      <formula>M245="Fuego"</formula>
    </cfRule>
    <cfRule type="expression" dxfId="1051" priority="995" stopIfTrue="1">
      <formula>M245="Agua"</formula>
    </cfRule>
    <cfRule type="expression" dxfId="1050" priority="996" stopIfTrue="1">
      <formula>M245="Aire"</formula>
    </cfRule>
    <cfRule type="expression" dxfId="1049" priority="997" stopIfTrue="1">
      <formula>M245="Destrucción"</formula>
    </cfRule>
    <cfRule type="expression" dxfId="1048" priority="998" stopIfTrue="1">
      <formula>M245="Creación"</formula>
    </cfRule>
    <cfRule type="expression" dxfId="1047" priority="999" stopIfTrue="1">
      <formula>M245="Oscuridad"</formula>
    </cfRule>
    <cfRule type="expression" dxfId="1046" priority="1000" stopIfTrue="1">
      <formula>M245="Luz"</formula>
    </cfRule>
  </conditionalFormatting>
  <conditionalFormatting sqref="V245">
    <cfRule type="expression" dxfId="1045" priority="947" stopIfTrue="1">
      <formula>$P$7="No"</formula>
    </cfRule>
    <cfRule type="expression" dxfId="1044" priority="948" stopIfTrue="1">
      <formula>AND($P$6&lt;&gt;0,AB245&gt;$P$6)</formula>
    </cfRule>
    <cfRule type="expression" dxfId="1043" priority="949" stopIfTrue="1">
      <formula>AF245="Vacío"</formula>
    </cfRule>
    <cfRule type="expression" dxfId="1042" priority="950" stopIfTrue="1">
      <formula>AF245="Umbral"</formula>
    </cfRule>
    <cfRule type="expression" dxfId="1041" priority="951" stopIfTrue="1">
      <formula>AF245="Tiempo"</formula>
    </cfRule>
    <cfRule type="expression" dxfId="1040" priority="952" stopIfTrue="1">
      <formula>AF245="Sueños"</formula>
    </cfRule>
    <cfRule type="expression" dxfId="1039" priority="953" stopIfTrue="1">
      <formula>AF245="Sangre"</formula>
    </cfRule>
    <cfRule type="expression" dxfId="1038" priority="954" stopIfTrue="1">
      <formula>AF245="Conocimiento"</formula>
    </cfRule>
    <cfRule type="expression" dxfId="1037" priority="955" stopIfTrue="1">
      <formula>AF245="Pecado"</formula>
    </cfRule>
    <cfRule type="expression" dxfId="1036" priority="956" stopIfTrue="1">
      <formula>AF245="Paz"</formula>
    </cfRule>
    <cfRule type="expression" dxfId="1035" priority="957" stopIfTrue="1">
      <formula>AF245="Nobleza"</formula>
    </cfRule>
    <cfRule type="expression" dxfId="1034" priority="958" stopIfTrue="1">
      <formula>AF245="Musical"</formula>
    </cfRule>
    <cfRule type="expression" dxfId="1033" priority="959" stopIfTrue="1">
      <formula>AF245="Muerte"</formula>
    </cfRule>
    <cfRule type="expression" dxfId="1032" priority="960" stopIfTrue="1">
      <formula>AF245="Literae"</formula>
    </cfRule>
    <cfRule type="expression" dxfId="1031" priority="961" stopIfTrue="1">
      <formula>AF245="Guerra"</formula>
    </cfRule>
    <cfRule type="expression" dxfId="1030" priority="962" stopIfTrue="1">
      <formula>AF245="Caos"</formula>
    </cfRule>
    <cfRule type="expression" dxfId="1029" priority="963" stopIfTrue="1">
      <formula>AF245="Nigromancia"</formula>
    </cfRule>
    <cfRule type="expression" dxfId="1028" priority="964" stopIfTrue="1">
      <formula>AF245="Ilusión"</formula>
    </cfRule>
    <cfRule type="expression" dxfId="1027" priority="965" stopIfTrue="1">
      <formula>AF245="Esencia"</formula>
    </cfRule>
    <cfRule type="expression" dxfId="1026" priority="966" stopIfTrue="1">
      <formula>AF245="Tierra"</formula>
    </cfRule>
    <cfRule type="expression" dxfId="1025" priority="967" stopIfTrue="1">
      <formula>AF245="Fuego"</formula>
    </cfRule>
    <cfRule type="expression" dxfId="1024" priority="968" stopIfTrue="1">
      <formula>AF245="Agua"</formula>
    </cfRule>
    <cfRule type="expression" dxfId="1023" priority="969" stopIfTrue="1">
      <formula>AF245="Aire"</formula>
    </cfRule>
    <cfRule type="expression" dxfId="1022" priority="970" stopIfTrue="1">
      <formula>AF245="Destrucción"</formula>
    </cfRule>
    <cfRule type="expression" dxfId="1021" priority="971" stopIfTrue="1">
      <formula>AF245="Creación"</formula>
    </cfRule>
    <cfRule type="expression" dxfId="1020" priority="972" stopIfTrue="1">
      <formula>AF245="Oscuridad"</formula>
    </cfRule>
    <cfRule type="expression" dxfId="1019" priority="973" stopIfTrue="1">
      <formula>AF245="Luz"</formula>
    </cfRule>
  </conditionalFormatting>
  <conditionalFormatting sqref="C256">
    <cfRule type="expression" dxfId="1018" priority="920" stopIfTrue="1">
      <formula>$P$7="No"</formula>
    </cfRule>
    <cfRule type="expression" dxfId="1017" priority="921" stopIfTrue="1">
      <formula>AND($P$6&lt;&gt;0,I256&gt;$P$6)</formula>
    </cfRule>
    <cfRule type="expression" dxfId="1016" priority="922" stopIfTrue="1">
      <formula>M256="Vacío"</formula>
    </cfRule>
    <cfRule type="expression" dxfId="1015" priority="923" stopIfTrue="1">
      <formula>M256="Umbral"</formula>
    </cfRule>
    <cfRule type="expression" dxfId="1014" priority="924" stopIfTrue="1">
      <formula>M256="Tiempo"</formula>
    </cfRule>
    <cfRule type="expression" dxfId="1013" priority="925" stopIfTrue="1">
      <formula>M256="Sueños"</formula>
    </cfRule>
    <cfRule type="expression" dxfId="1012" priority="926" stopIfTrue="1">
      <formula>M256="Sangre"</formula>
    </cfRule>
    <cfRule type="expression" dxfId="1011" priority="927" stopIfTrue="1">
      <formula>M256="Conocimiento"</formula>
    </cfRule>
    <cfRule type="expression" dxfId="1010" priority="928" stopIfTrue="1">
      <formula>M256="Pecado"</formula>
    </cfRule>
    <cfRule type="expression" dxfId="1009" priority="929" stopIfTrue="1">
      <formula>M256="Paz"</formula>
    </cfRule>
    <cfRule type="expression" dxfId="1008" priority="930" stopIfTrue="1">
      <formula>M256="Nobleza"</formula>
    </cfRule>
    <cfRule type="expression" dxfId="1007" priority="931" stopIfTrue="1">
      <formula>M256="Musical"</formula>
    </cfRule>
    <cfRule type="expression" dxfId="1006" priority="932" stopIfTrue="1">
      <formula>M256="Muerte"</formula>
    </cfRule>
    <cfRule type="expression" dxfId="1005" priority="933" stopIfTrue="1">
      <formula>M256="Literae"</formula>
    </cfRule>
    <cfRule type="expression" dxfId="1004" priority="934" stopIfTrue="1">
      <formula>M256="Guerra"</formula>
    </cfRule>
    <cfRule type="expression" dxfId="1003" priority="935" stopIfTrue="1">
      <formula>M256="Caos"</formula>
    </cfRule>
    <cfRule type="expression" dxfId="1002" priority="936" stopIfTrue="1">
      <formula>M256="Nigromancia"</formula>
    </cfRule>
    <cfRule type="expression" dxfId="1001" priority="937" stopIfTrue="1">
      <formula>M256="Ilusión"</formula>
    </cfRule>
    <cfRule type="expression" dxfId="1000" priority="938" stopIfTrue="1">
      <formula>M256="Esencia"</formula>
    </cfRule>
    <cfRule type="expression" dxfId="999" priority="939" stopIfTrue="1">
      <formula>M256="Tierra"</formula>
    </cfRule>
    <cfRule type="expression" dxfId="998" priority="940" stopIfTrue="1">
      <formula>M256="Fuego"</formula>
    </cfRule>
    <cfRule type="expression" dxfId="997" priority="941" stopIfTrue="1">
      <formula>M256="Agua"</formula>
    </cfRule>
    <cfRule type="expression" dxfId="996" priority="942" stopIfTrue="1">
      <formula>M256="Aire"</formula>
    </cfRule>
    <cfRule type="expression" dxfId="995" priority="943" stopIfTrue="1">
      <formula>M256="Destrucción"</formula>
    </cfRule>
    <cfRule type="expression" dxfId="994" priority="944" stopIfTrue="1">
      <formula>M256="Creación"</formula>
    </cfRule>
    <cfRule type="expression" dxfId="993" priority="945" stopIfTrue="1">
      <formula>M256="Oscuridad"</formula>
    </cfRule>
    <cfRule type="expression" dxfId="992" priority="946" stopIfTrue="1">
      <formula>M256="Luz"</formula>
    </cfRule>
  </conditionalFormatting>
  <conditionalFormatting sqref="V256">
    <cfRule type="expression" dxfId="991" priority="893" stopIfTrue="1">
      <formula>$P$7="No"</formula>
    </cfRule>
    <cfRule type="expression" dxfId="990" priority="894" stopIfTrue="1">
      <formula>AND($P$6&lt;&gt;0,AB256&gt;$P$6)</formula>
    </cfRule>
    <cfRule type="expression" dxfId="989" priority="895" stopIfTrue="1">
      <formula>AF256="Vacío"</formula>
    </cfRule>
    <cfRule type="expression" dxfId="988" priority="896" stopIfTrue="1">
      <formula>AF256="Umbral"</formula>
    </cfRule>
    <cfRule type="expression" dxfId="987" priority="897" stopIfTrue="1">
      <formula>AF256="Tiempo"</formula>
    </cfRule>
    <cfRule type="expression" dxfId="986" priority="898" stopIfTrue="1">
      <formula>AF256="Sueños"</formula>
    </cfRule>
    <cfRule type="expression" dxfId="985" priority="899" stopIfTrue="1">
      <formula>AF256="Sangre"</formula>
    </cfRule>
    <cfRule type="expression" dxfId="984" priority="900" stopIfTrue="1">
      <formula>AF256="Conocimiento"</formula>
    </cfRule>
    <cfRule type="expression" dxfId="983" priority="901" stopIfTrue="1">
      <formula>AF256="Pecado"</formula>
    </cfRule>
    <cfRule type="expression" dxfId="982" priority="902" stopIfTrue="1">
      <formula>AF256="Paz"</formula>
    </cfRule>
    <cfRule type="expression" dxfId="981" priority="903" stopIfTrue="1">
      <formula>AF256="Nobleza"</formula>
    </cfRule>
    <cfRule type="expression" dxfId="980" priority="904" stopIfTrue="1">
      <formula>AF256="Musical"</formula>
    </cfRule>
    <cfRule type="expression" dxfId="979" priority="905" stopIfTrue="1">
      <formula>AF256="Muerte"</formula>
    </cfRule>
    <cfRule type="expression" dxfId="978" priority="906" stopIfTrue="1">
      <formula>AF256="Literae"</formula>
    </cfRule>
    <cfRule type="expression" dxfId="977" priority="907" stopIfTrue="1">
      <formula>AF256="Guerra"</formula>
    </cfRule>
    <cfRule type="expression" dxfId="976" priority="908" stopIfTrue="1">
      <formula>AF256="Caos"</formula>
    </cfRule>
    <cfRule type="expression" dxfId="975" priority="909" stopIfTrue="1">
      <formula>AF256="Nigromancia"</formula>
    </cfRule>
    <cfRule type="expression" dxfId="974" priority="910" stopIfTrue="1">
      <formula>AF256="Ilusión"</formula>
    </cfRule>
    <cfRule type="expression" dxfId="973" priority="911" stopIfTrue="1">
      <formula>AF256="Esencia"</formula>
    </cfRule>
    <cfRule type="expression" dxfId="972" priority="912" stopIfTrue="1">
      <formula>AF256="Tierra"</formula>
    </cfRule>
    <cfRule type="expression" dxfId="971" priority="913" stopIfTrue="1">
      <formula>AF256="Fuego"</formula>
    </cfRule>
    <cfRule type="expression" dxfId="970" priority="914" stopIfTrue="1">
      <formula>AF256="Agua"</formula>
    </cfRule>
    <cfRule type="expression" dxfId="969" priority="915" stopIfTrue="1">
      <formula>AF256="Aire"</formula>
    </cfRule>
    <cfRule type="expression" dxfId="968" priority="916" stopIfTrue="1">
      <formula>AF256="Destrucción"</formula>
    </cfRule>
    <cfRule type="expression" dxfId="967" priority="917" stopIfTrue="1">
      <formula>AF256="Creación"</formula>
    </cfRule>
    <cfRule type="expression" dxfId="966" priority="918" stopIfTrue="1">
      <formula>AF256="Oscuridad"</formula>
    </cfRule>
    <cfRule type="expression" dxfId="965" priority="919" stopIfTrue="1">
      <formula>AF256="Luz"</formula>
    </cfRule>
  </conditionalFormatting>
  <conditionalFormatting sqref="C279">
    <cfRule type="expression" dxfId="964" priority="866" stopIfTrue="1">
      <formula>$P$7="No"</formula>
    </cfRule>
    <cfRule type="expression" dxfId="963" priority="867" stopIfTrue="1">
      <formula>AND($P$6&lt;&gt;0,I279&gt;$P$6)</formula>
    </cfRule>
    <cfRule type="expression" dxfId="962" priority="868" stopIfTrue="1">
      <formula>M279="Vacío"</formula>
    </cfRule>
    <cfRule type="expression" dxfId="961" priority="869" stopIfTrue="1">
      <formula>M279="Umbral"</formula>
    </cfRule>
    <cfRule type="expression" dxfId="960" priority="870" stopIfTrue="1">
      <formula>M279="Tiempo"</formula>
    </cfRule>
    <cfRule type="expression" dxfId="959" priority="871" stopIfTrue="1">
      <formula>M279="Sueños"</formula>
    </cfRule>
    <cfRule type="expression" dxfId="958" priority="872" stopIfTrue="1">
      <formula>M279="Sangre"</formula>
    </cfRule>
    <cfRule type="expression" dxfId="957" priority="873" stopIfTrue="1">
      <formula>M279="Conocimiento"</formula>
    </cfRule>
    <cfRule type="expression" dxfId="956" priority="874" stopIfTrue="1">
      <formula>M279="Pecado"</formula>
    </cfRule>
    <cfRule type="expression" dxfId="955" priority="875" stopIfTrue="1">
      <formula>M279="Paz"</formula>
    </cfRule>
    <cfRule type="expression" dxfId="954" priority="876" stopIfTrue="1">
      <formula>M279="Nobleza"</formula>
    </cfRule>
    <cfRule type="expression" dxfId="953" priority="877" stopIfTrue="1">
      <formula>M279="Musical"</formula>
    </cfRule>
    <cfRule type="expression" dxfId="952" priority="878" stopIfTrue="1">
      <formula>M279="Muerte"</formula>
    </cfRule>
    <cfRule type="expression" dxfId="951" priority="879" stopIfTrue="1">
      <formula>M279="Literae"</formula>
    </cfRule>
    <cfRule type="expression" dxfId="950" priority="880" stopIfTrue="1">
      <formula>M279="Guerra"</formula>
    </cfRule>
    <cfRule type="expression" dxfId="949" priority="881" stopIfTrue="1">
      <formula>M279="Caos"</formula>
    </cfRule>
    <cfRule type="expression" dxfId="948" priority="882" stopIfTrue="1">
      <formula>M279="Nigromancia"</formula>
    </cfRule>
    <cfRule type="expression" dxfId="947" priority="883" stopIfTrue="1">
      <formula>M279="Ilusión"</formula>
    </cfRule>
    <cfRule type="expression" dxfId="946" priority="884" stopIfTrue="1">
      <formula>M279="Esencia"</formula>
    </cfRule>
    <cfRule type="expression" dxfId="945" priority="885" stopIfTrue="1">
      <formula>M279="Tierra"</formula>
    </cfRule>
    <cfRule type="expression" dxfId="944" priority="886" stopIfTrue="1">
      <formula>M279="Fuego"</formula>
    </cfRule>
    <cfRule type="expression" dxfId="943" priority="887" stopIfTrue="1">
      <formula>M279="Agua"</formula>
    </cfRule>
    <cfRule type="expression" dxfId="942" priority="888" stopIfTrue="1">
      <formula>M279="Aire"</formula>
    </cfRule>
    <cfRule type="expression" dxfId="941" priority="889" stopIfTrue="1">
      <formula>M279="Destrucción"</formula>
    </cfRule>
    <cfRule type="expression" dxfId="940" priority="890" stopIfTrue="1">
      <formula>M279="Creación"</formula>
    </cfRule>
    <cfRule type="expression" dxfId="939" priority="891" stopIfTrue="1">
      <formula>M279="Oscuridad"</formula>
    </cfRule>
    <cfRule type="expression" dxfId="938" priority="892" stopIfTrue="1">
      <formula>M279="Luz"</formula>
    </cfRule>
  </conditionalFormatting>
  <conditionalFormatting sqref="V279">
    <cfRule type="expression" dxfId="937" priority="839" stopIfTrue="1">
      <formula>$P$7="No"</formula>
    </cfRule>
    <cfRule type="expression" dxfId="936" priority="840" stopIfTrue="1">
      <formula>AND($P$6&lt;&gt;0,AB279&gt;$P$6)</formula>
    </cfRule>
    <cfRule type="expression" dxfId="935" priority="841" stopIfTrue="1">
      <formula>AF279="Vacío"</formula>
    </cfRule>
    <cfRule type="expression" dxfId="934" priority="842" stopIfTrue="1">
      <formula>AF279="Umbral"</formula>
    </cfRule>
    <cfRule type="expression" dxfId="933" priority="843" stopIfTrue="1">
      <formula>AF279="Tiempo"</formula>
    </cfRule>
    <cfRule type="expression" dxfId="932" priority="844" stopIfTrue="1">
      <formula>AF279="Sueños"</formula>
    </cfRule>
    <cfRule type="expression" dxfId="931" priority="845" stopIfTrue="1">
      <formula>AF279="Sangre"</formula>
    </cfRule>
    <cfRule type="expression" dxfId="930" priority="846" stopIfTrue="1">
      <formula>AF279="Conocimiento"</formula>
    </cfRule>
    <cfRule type="expression" dxfId="929" priority="847" stopIfTrue="1">
      <formula>AF279="Pecado"</formula>
    </cfRule>
    <cfRule type="expression" dxfId="928" priority="848" stopIfTrue="1">
      <formula>AF279="Paz"</formula>
    </cfRule>
    <cfRule type="expression" dxfId="927" priority="849" stopIfTrue="1">
      <formula>AF279="Nobleza"</formula>
    </cfRule>
    <cfRule type="expression" dxfId="926" priority="850" stopIfTrue="1">
      <formula>AF279="Musical"</formula>
    </cfRule>
    <cfRule type="expression" dxfId="925" priority="851" stopIfTrue="1">
      <formula>AF279="Muerte"</formula>
    </cfRule>
    <cfRule type="expression" dxfId="924" priority="852" stopIfTrue="1">
      <formula>AF279="Literae"</formula>
    </cfRule>
    <cfRule type="expression" dxfId="923" priority="853" stopIfTrue="1">
      <formula>AF279="Guerra"</formula>
    </cfRule>
    <cfRule type="expression" dxfId="922" priority="854" stopIfTrue="1">
      <formula>AF279="Caos"</formula>
    </cfRule>
    <cfRule type="expression" dxfId="921" priority="855" stopIfTrue="1">
      <formula>AF279="Nigromancia"</formula>
    </cfRule>
    <cfRule type="expression" dxfId="920" priority="856" stopIfTrue="1">
      <formula>AF279="Ilusión"</formula>
    </cfRule>
    <cfRule type="expression" dxfId="919" priority="857" stopIfTrue="1">
      <formula>AF279="Esencia"</formula>
    </cfRule>
    <cfRule type="expression" dxfId="918" priority="858" stopIfTrue="1">
      <formula>AF279="Tierra"</formula>
    </cfRule>
    <cfRule type="expression" dxfId="917" priority="859" stopIfTrue="1">
      <formula>AF279="Fuego"</formula>
    </cfRule>
    <cfRule type="expression" dxfId="916" priority="860" stopIfTrue="1">
      <formula>AF279="Agua"</formula>
    </cfRule>
    <cfRule type="expression" dxfId="915" priority="861" stopIfTrue="1">
      <formula>AF279="Aire"</formula>
    </cfRule>
    <cfRule type="expression" dxfId="914" priority="862" stopIfTrue="1">
      <formula>AF279="Destrucción"</formula>
    </cfRule>
    <cfRule type="expression" dxfId="913" priority="863" stopIfTrue="1">
      <formula>AF279="Creación"</formula>
    </cfRule>
    <cfRule type="expression" dxfId="912" priority="864" stopIfTrue="1">
      <formula>AF279="Oscuridad"</formula>
    </cfRule>
    <cfRule type="expression" dxfId="911" priority="865" stopIfTrue="1">
      <formula>AF279="Luz"</formula>
    </cfRule>
  </conditionalFormatting>
  <conditionalFormatting sqref="C301">
    <cfRule type="expression" dxfId="910" priority="758" stopIfTrue="1">
      <formula>$P$7="No"</formula>
    </cfRule>
    <cfRule type="expression" dxfId="909" priority="759" stopIfTrue="1">
      <formula>AND($P$6&lt;&gt;0,I301&gt;$P$6)</formula>
    </cfRule>
    <cfRule type="expression" dxfId="908" priority="760" stopIfTrue="1">
      <formula>M301="Vacío"</formula>
    </cfRule>
    <cfRule type="expression" dxfId="907" priority="761" stopIfTrue="1">
      <formula>M301="Umbral"</formula>
    </cfRule>
    <cfRule type="expression" dxfId="906" priority="762" stopIfTrue="1">
      <formula>M301="Tiempo"</formula>
    </cfRule>
    <cfRule type="expression" dxfId="905" priority="763" stopIfTrue="1">
      <formula>M301="Sueños"</formula>
    </cfRule>
    <cfRule type="expression" dxfId="904" priority="764" stopIfTrue="1">
      <formula>M301="Sangre"</formula>
    </cfRule>
    <cfRule type="expression" dxfId="903" priority="765" stopIfTrue="1">
      <formula>M301="Conocimiento"</formula>
    </cfRule>
    <cfRule type="expression" dxfId="902" priority="766" stopIfTrue="1">
      <formula>M301="Pecado"</formula>
    </cfRule>
    <cfRule type="expression" dxfId="901" priority="767" stopIfTrue="1">
      <formula>M301="Paz"</formula>
    </cfRule>
    <cfRule type="expression" dxfId="900" priority="768" stopIfTrue="1">
      <formula>M301="Nobleza"</formula>
    </cfRule>
    <cfRule type="expression" dxfId="899" priority="769" stopIfTrue="1">
      <formula>M301="Musical"</formula>
    </cfRule>
    <cfRule type="expression" dxfId="898" priority="770" stopIfTrue="1">
      <formula>M301="Muerte"</formula>
    </cfRule>
    <cfRule type="expression" dxfId="897" priority="771" stopIfTrue="1">
      <formula>M301="Literae"</formula>
    </cfRule>
    <cfRule type="expression" dxfId="896" priority="772" stopIfTrue="1">
      <formula>M301="Guerra"</formula>
    </cfRule>
    <cfRule type="expression" dxfId="895" priority="773" stopIfTrue="1">
      <formula>M301="Caos"</formula>
    </cfRule>
    <cfRule type="expression" dxfId="894" priority="774" stopIfTrue="1">
      <formula>M301="Nigromancia"</formula>
    </cfRule>
    <cfRule type="expression" dxfId="893" priority="775" stopIfTrue="1">
      <formula>M301="Ilusión"</formula>
    </cfRule>
    <cfRule type="expression" dxfId="892" priority="776" stopIfTrue="1">
      <formula>M301="Esencia"</formula>
    </cfRule>
    <cfRule type="expression" dxfId="891" priority="777" stopIfTrue="1">
      <formula>M301="Tierra"</formula>
    </cfRule>
    <cfRule type="expression" dxfId="890" priority="778" stopIfTrue="1">
      <formula>M301="Fuego"</formula>
    </cfRule>
    <cfRule type="expression" dxfId="889" priority="779" stopIfTrue="1">
      <formula>M301="Agua"</formula>
    </cfRule>
    <cfRule type="expression" dxfId="888" priority="780" stopIfTrue="1">
      <formula>M301="Aire"</formula>
    </cfRule>
    <cfRule type="expression" dxfId="887" priority="781" stopIfTrue="1">
      <formula>M301="Destrucción"</formula>
    </cfRule>
    <cfRule type="expression" dxfId="886" priority="782" stopIfTrue="1">
      <formula>M301="Creación"</formula>
    </cfRule>
    <cfRule type="expression" dxfId="885" priority="783" stopIfTrue="1">
      <formula>M301="Oscuridad"</formula>
    </cfRule>
    <cfRule type="expression" dxfId="884" priority="784" stopIfTrue="1">
      <formula>M301="Luz"</formula>
    </cfRule>
  </conditionalFormatting>
  <conditionalFormatting sqref="V301">
    <cfRule type="expression" dxfId="883" priority="731" stopIfTrue="1">
      <formula>$P$7="No"</formula>
    </cfRule>
    <cfRule type="expression" dxfId="882" priority="732" stopIfTrue="1">
      <formula>AND($P$6&lt;&gt;0,AB301&gt;$P$6)</formula>
    </cfRule>
    <cfRule type="expression" dxfId="881" priority="733" stopIfTrue="1">
      <formula>AF301="Vacío"</formula>
    </cfRule>
    <cfRule type="expression" dxfId="880" priority="734" stopIfTrue="1">
      <formula>AF301="Umbral"</formula>
    </cfRule>
    <cfRule type="expression" dxfId="879" priority="735" stopIfTrue="1">
      <formula>AF301="Tiempo"</formula>
    </cfRule>
    <cfRule type="expression" dxfId="878" priority="736" stopIfTrue="1">
      <formula>AF301="Sueños"</formula>
    </cfRule>
    <cfRule type="expression" dxfId="877" priority="737" stopIfTrue="1">
      <formula>AF301="Sangre"</formula>
    </cfRule>
    <cfRule type="expression" dxfId="876" priority="738" stopIfTrue="1">
      <formula>AF301="Conocimiento"</formula>
    </cfRule>
    <cfRule type="expression" dxfId="875" priority="739" stopIfTrue="1">
      <formula>AF301="Pecado"</formula>
    </cfRule>
    <cfRule type="expression" dxfId="874" priority="740" stopIfTrue="1">
      <formula>AF301="Paz"</formula>
    </cfRule>
    <cfRule type="expression" dxfId="873" priority="741" stopIfTrue="1">
      <formula>AF301="Nobleza"</formula>
    </cfRule>
    <cfRule type="expression" dxfId="872" priority="742" stopIfTrue="1">
      <formula>AF301="Musical"</formula>
    </cfRule>
    <cfRule type="expression" dxfId="871" priority="743" stopIfTrue="1">
      <formula>AF301="Muerte"</formula>
    </cfRule>
    <cfRule type="expression" dxfId="870" priority="744" stopIfTrue="1">
      <formula>AF301="Literae"</formula>
    </cfRule>
    <cfRule type="expression" dxfId="869" priority="745" stopIfTrue="1">
      <formula>AF301="Guerra"</formula>
    </cfRule>
    <cfRule type="expression" dxfId="868" priority="746" stopIfTrue="1">
      <formula>AF301="Caos"</formula>
    </cfRule>
    <cfRule type="expression" dxfId="867" priority="747" stopIfTrue="1">
      <formula>AF301="Nigromancia"</formula>
    </cfRule>
    <cfRule type="expression" dxfId="866" priority="748" stopIfTrue="1">
      <formula>AF301="Ilusión"</formula>
    </cfRule>
    <cfRule type="expression" dxfId="865" priority="749" stopIfTrue="1">
      <formula>AF301="Esencia"</formula>
    </cfRule>
    <cfRule type="expression" dxfId="864" priority="750" stopIfTrue="1">
      <formula>AF301="Tierra"</formula>
    </cfRule>
    <cfRule type="expression" dxfId="863" priority="751" stopIfTrue="1">
      <formula>AF301="Fuego"</formula>
    </cfRule>
    <cfRule type="expression" dxfId="862" priority="752" stopIfTrue="1">
      <formula>AF301="Agua"</formula>
    </cfRule>
    <cfRule type="expression" dxfId="861" priority="753" stopIfTrue="1">
      <formula>AF301="Aire"</formula>
    </cfRule>
    <cfRule type="expression" dxfId="860" priority="754" stopIfTrue="1">
      <formula>AF301="Destrucción"</formula>
    </cfRule>
    <cfRule type="expression" dxfId="859" priority="755" stopIfTrue="1">
      <formula>AF301="Creación"</formula>
    </cfRule>
    <cfRule type="expression" dxfId="858" priority="756" stopIfTrue="1">
      <formula>AF301="Oscuridad"</formula>
    </cfRule>
    <cfRule type="expression" dxfId="857" priority="757" stopIfTrue="1">
      <formula>AF301="Luz"</formula>
    </cfRule>
  </conditionalFormatting>
  <conditionalFormatting sqref="C312">
    <cfRule type="expression" dxfId="856" priority="704" stopIfTrue="1">
      <formula>$P$7="No"</formula>
    </cfRule>
    <cfRule type="expression" dxfId="855" priority="705" stopIfTrue="1">
      <formula>AND($P$6&lt;&gt;0,I312&gt;$P$6)</formula>
    </cfRule>
    <cfRule type="expression" dxfId="854" priority="706" stopIfTrue="1">
      <formula>M312="Vacío"</formula>
    </cfRule>
    <cfRule type="expression" dxfId="853" priority="707" stopIfTrue="1">
      <formula>M312="Umbral"</formula>
    </cfRule>
    <cfRule type="expression" dxfId="852" priority="708" stopIfTrue="1">
      <formula>M312="Tiempo"</formula>
    </cfRule>
    <cfRule type="expression" dxfId="851" priority="709" stopIfTrue="1">
      <formula>M312="Sueños"</formula>
    </cfRule>
    <cfRule type="expression" dxfId="850" priority="710" stopIfTrue="1">
      <formula>M312="Sangre"</formula>
    </cfRule>
    <cfRule type="expression" dxfId="849" priority="711" stopIfTrue="1">
      <formula>M312="Conocimiento"</formula>
    </cfRule>
    <cfRule type="expression" dxfId="848" priority="712" stopIfTrue="1">
      <formula>M312="Pecado"</formula>
    </cfRule>
    <cfRule type="expression" dxfId="847" priority="713" stopIfTrue="1">
      <formula>M312="Paz"</formula>
    </cfRule>
    <cfRule type="expression" dxfId="846" priority="714" stopIfTrue="1">
      <formula>M312="Nobleza"</formula>
    </cfRule>
    <cfRule type="expression" dxfId="845" priority="715" stopIfTrue="1">
      <formula>M312="Musical"</formula>
    </cfRule>
    <cfRule type="expression" dxfId="844" priority="716" stopIfTrue="1">
      <formula>M312="Muerte"</formula>
    </cfRule>
    <cfRule type="expression" dxfId="843" priority="717" stopIfTrue="1">
      <formula>M312="Literae"</formula>
    </cfRule>
    <cfRule type="expression" dxfId="842" priority="718" stopIfTrue="1">
      <formula>M312="Guerra"</formula>
    </cfRule>
    <cfRule type="expression" dxfId="841" priority="719" stopIfTrue="1">
      <formula>M312="Caos"</formula>
    </cfRule>
    <cfRule type="expression" dxfId="840" priority="720" stopIfTrue="1">
      <formula>M312="Nigromancia"</formula>
    </cfRule>
    <cfRule type="expression" dxfId="839" priority="721" stopIfTrue="1">
      <formula>M312="Ilusión"</formula>
    </cfRule>
    <cfRule type="expression" dxfId="838" priority="722" stopIfTrue="1">
      <formula>M312="Esencia"</formula>
    </cfRule>
    <cfRule type="expression" dxfId="837" priority="723" stopIfTrue="1">
      <formula>M312="Tierra"</formula>
    </cfRule>
    <cfRule type="expression" dxfId="836" priority="724" stopIfTrue="1">
      <formula>M312="Fuego"</formula>
    </cfRule>
    <cfRule type="expression" dxfId="835" priority="725" stopIfTrue="1">
      <formula>M312="Agua"</formula>
    </cfRule>
    <cfRule type="expression" dxfId="834" priority="726" stopIfTrue="1">
      <formula>M312="Aire"</formula>
    </cfRule>
    <cfRule type="expression" dxfId="833" priority="727" stopIfTrue="1">
      <formula>M312="Destrucción"</formula>
    </cfRule>
    <cfRule type="expression" dxfId="832" priority="728" stopIfTrue="1">
      <formula>M312="Creación"</formula>
    </cfRule>
    <cfRule type="expression" dxfId="831" priority="729" stopIfTrue="1">
      <formula>M312="Oscuridad"</formula>
    </cfRule>
    <cfRule type="expression" dxfId="830" priority="730" stopIfTrue="1">
      <formula>M312="Luz"</formula>
    </cfRule>
  </conditionalFormatting>
  <conditionalFormatting sqref="V312">
    <cfRule type="expression" dxfId="829" priority="677" stopIfTrue="1">
      <formula>$P$7="No"</formula>
    </cfRule>
    <cfRule type="expression" dxfId="828" priority="678" stopIfTrue="1">
      <formula>AND($P$6&lt;&gt;0,AB312&gt;$P$6)</formula>
    </cfRule>
    <cfRule type="expression" dxfId="827" priority="679" stopIfTrue="1">
      <formula>AF312="Vacío"</formula>
    </cfRule>
    <cfRule type="expression" dxfId="826" priority="680" stopIfTrue="1">
      <formula>AF312="Umbral"</formula>
    </cfRule>
    <cfRule type="expression" dxfId="825" priority="681" stopIfTrue="1">
      <formula>AF312="Tiempo"</formula>
    </cfRule>
    <cfRule type="expression" dxfId="824" priority="682" stopIfTrue="1">
      <formula>AF312="Sueños"</formula>
    </cfRule>
    <cfRule type="expression" dxfId="823" priority="683" stopIfTrue="1">
      <formula>AF312="Sangre"</formula>
    </cfRule>
    <cfRule type="expression" dxfId="822" priority="684" stopIfTrue="1">
      <formula>AF312="Conocimiento"</formula>
    </cfRule>
    <cfRule type="expression" dxfId="821" priority="685" stopIfTrue="1">
      <formula>AF312="Pecado"</formula>
    </cfRule>
    <cfRule type="expression" dxfId="820" priority="686" stopIfTrue="1">
      <formula>AF312="Paz"</formula>
    </cfRule>
    <cfRule type="expression" dxfId="819" priority="687" stopIfTrue="1">
      <formula>AF312="Nobleza"</formula>
    </cfRule>
    <cfRule type="expression" dxfId="818" priority="688" stopIfTrue="1">
      <formula>AF312="Musical"</formula>
    </cfRule>
    <cfRule type="expression" dxfId="817" priority="689" stopIfTrue="1">
      <formula>AF312="Muerte"</formula>
    </cfRule>
    <cfRule type="expression" dxfId="816" priority="690" stopIfTrue="1">
      <formula>AF312="Literae"</formula>
    </cfRule>
    <cfRule type="expression" dxfId="815" priority="691" stopIfTrue="1">
      <formula>AF312="Guerra"</formula>
    </cfRule>
    <cfRule type="expression" dxfId="814" priority="692" stopIfTrue="1">
      <formula>AF312="Caos"</formula>
    </cfRule>
    <cfRule type="expression" dxfId="813" priority="693" stopIfTrue="1">
      <formula>AF312="Nigromancia"</formula>
    </cfRule>
    <cfRule type="expression" dxfId="812" priority="694" stopIfTrue="1">
      <formula>AF312="Ilusión"</formula>
    </cfRule>
    <cfRule type="expression" dxfId="811" priority="695" stopIfTrue="1">
      <formula>AF312="Esencia"</formula>
    </cfRule>
    <cfRule type="expression" dxfId="810" priority="696" stopIfTrue="1">
      <formula>AF312="Tierra"</formula>
    </cfRule>
    <cfRule type="expression" dxfId="809" priority="697" stopIfTrue="1">
      <formula>AF312="Fuego"</formula>
    </cfRule>
    <cfRule type="expression" dxfId="808" priority="698" stopIfTrue="1">
      <formula>AF312="Agua"</formula>
    </cfRule>
    <cfRule type="expression" dxfId="807" priority="699" stopIfTrue="1">
      <formula>AF312="Aire"</formula>
    </cfRule>
    <cfRule type="expression" dxfId="806" priority="700" stopIfTrue="1">
      <formula>AF312="Destrucción"</formula>
    </cfRule>
    <cfRule type="expression" dxfId="805" priority="701" stopIfTrue="1">
      <formula>AF312="Creación"</formula>
    </cfRule>
    <cfRule type="expression" dxfId="804" priority="702" stopIfTrue="1">
      <formula>AF312="Oscuridad"</formula>
    </cfRule>
    <cfRule type="expression" dxfId="803" priority="703" stopIfTrue="1">
      <formula>AF312="Luz"</formula>
    </cfRule>
  </conditionalFormatting>
  <conditionalFormatting sqref="C323">
    <cfRule type="expression" dxfId="802" priority="650" stopIfTrue="1">
      <formula>$P$7="No"</formula>
    </cfRule>
    <cfRule type="expression" dxfId="801" priority="651" stopIfTrue="1">
      <formula>AND($P$6&lt;&gt;0,I323&gt;$P$6)</formula>
    </cfRule>
    <cfRule type="expression" dxfId="800" priority="652" stopIfTrue="1">
      <formula>M323="Vacío"</formula>
    </cfRule>
    <cfRule type="expression" dxfId="799" priority="653" stopIfTrue="1">
      <formula>M323="Umbral"</formula>
    </cfRule>
    <cfRule type="expression" dxfId="798" priority="654" stopIfTrue="1">
      <formula>M323="Tiempo"</formula>
    </cfRule>
    <cfRule type="expression" dxfId="797" priority="655" stopIfTrue="1">
      <formula>M323="Sueños"</formula>
    </cfRule>
    <cfRule type="expression" dxfId="796" priority="656" stopIfTrue="1">
      <formula>M323="Sangre"</formula>
    </cfRule>
    <cfRule type="expression" dxfId="795" priority="657" stopIfTrue="1">
      <formula>M323="Conocimiento"</formula>
    </cfRule>
    <cfRule type="expression" dxfId="794" priority="658" stopIfTrue="1">
      <formula>M323="Pecado"</formula>
    </cfRule>
    <cfRule type="expression" dxfId="793" priority="659" stopIfTrue="1">
      <formula>M323="Paz"</formula>
    </cfRule>
    <cfRule type="expression" dxfId="792" priority="660" stopIfTrue="1">
      <formula>M323="Nobleza"</formula>
    </cfRule>
    <cfRule type="expression" dxfId="791" priority="661" stopIfTrue="1">
      <formula>M323="Musical"</formula>
    </cfRule>
    <cfRule type="expression" dxfId="790" priority="662" stopIfTrue="1">
      <formula>M323="Muerte"</formula>
    </cfRule>
    <cfRule type="expression" dxfId="789" priority="663" stopIfTrue="1">
      <formula>M323="Literae"</formula>
    </cfRule>
    <cfRule type="expression" dxfId="788" priority="664" stopIfTrue="1">
      <formula>M323="Guerra"</formula>
    </cfRule>
    <cfRule type="expression" dxfId="787" priority="665" stopIfTrue="1">
      <formula>M323="Caos"</formula>
    </cfRule>
    <cfRule type="expression" dxfId="786" priority="666" stopIfTrue="1">
      <formula>M323="Nigromancia"</formula>
    </cfRule>
    <cfRule type="expression" dxfId="785" priority="667" stopIfTrue="1">
      <formula>M323="Ilusión"</formula>
    </cfRule>
    <cfRule type="expression" dxfId="784" priority="668" stopIfTrue="1">
      <formula>M323="Esencia"</formula>
    </cfRule>
    <cfRule type="expression" dxfId="783" priority="669" stopIfTrue="1">
      <formula>M323="Tierra"</formula>
    </cfRule>
    <cfRule type="expression" dxfId="782" priority="670" stopIfTrue="1">
      <formula>M323="Fuego"</formula>
    </cfRule>
    <cfRule type="expression" dxfId="781" priority="671" stopIfTrue="1">
      <formula>M323="Agua"</formula>
    </cfRule>
    <cfRule type="expression" dxfId="780" priority="672" stopIfTrue="1">
      <formula>M323="Aire"</formula>
    </cfRule>
    <cfRule type="expression" dxfId="779" priority="673" stopIfTrue="1">
      <formula>M323="Destrucción"</formula>
    </cfRule>
    <cfRule type="expression" dxfId="778" priority="674" stopIfTrue="1">
      <formula>M323="Creación"</formula>
    </cfRule>
    <cfRule type="expression" dxfId="777" priority="675" stopIfTrue="1">
      <formula>M323="Oscuridad"</formula>
    </cfRule>
    <cfRule type="expression" dxfId="776" priority="676" stopIfTrue="1">
      <formula>M323="Luz"</formula>
    </cfRule>
  </conditionalFormatting>
  <conditionalFormatting sqref="V323">
    <cfRule type="expression" dxfId="775" priority="623" stopIfTrue="1">
      <formula>$P$7="No"</formula>
    </cfRule>
    <cfRule type="expression" dxfId="774" priority="624" stopIfTrue="1">
      <formula>AND($P$6&lt;&gt;0,AB323&gt;$P$6)</formula>
    </cfRule>
    <cfRule type="expression" dxfId="773" priority="625" stopIfTrue="1">
      <formula>AF323="Vacío"</formula>
    </cfRule>
    <cfRule type="expression" dxfId="772" priority="626" stopIfTrue="1">
      <formula>AF323="Umbral"</formula>
    </cfRule>
    <cfRule type="expression" dxfId="771" priority="627" stopIfTrue="1">
      <formula>AF323="Tiempo"</formula>
    </cfRule>
    <cfRule type="expression" dxfId="770" priority="628" stopIfTrue="1">
      <formula>AF323="Sueños"</formula>
    </cfRule>
    <cfRule type="expression" dxfId="769" priority="629" stopIfTrue="1">
      <formula>AF323="Sangre"</formula>
    </cfRule>
    <cfRule type="expression" dxfId="768" priority="630" stopIfTrue="1">
      <formula>AF323="Conocimiento"</formula>
    </cfRule>
    <cfRule type="expression" dxfId="767" priority="631" stopIfTrue="1">
      <formula>AF323="Pecado"</formula>
    </cfRule>
    <cfRule type="expression" dxfId="766" priority="632" stopIfTrue="1">
      <formula>AF323="Paz"</formula>
    </cfRule>
    <cfRule type="expression" dxfId="765" priority="633" stopIfTrue="1">
      <formula>AF323="Nobleza"</formula>
    </cfRule>
    <cfRule type="expression" dxfId="764" priority="634" stopIfTrue="1">
      <formula>AF323="Musical"</formula>
    </cfRule>
    <cfRule type="expression" dxfId="763" priority="635" stopIfTrue="1">
      <formula>AF323="Muerte"</formula>
    </cfRule>
    <cfRule type="expression" dxfId="762" priority="636" stopIfTrue="1">
      <formula>AF323="Literae"</formula>
    </cfRule>
    <cfRule type="expression" dxfId="761" priority="637" stopIfTrue="1">
      <formula>AF323="Guerra"</formula>
    </cfRule>
    <cfRule type="expression" dxfId="760" priority="638" stopIfTrue="1">
      <formula>AF323="Caos"</formula>
    </cfRule>
    <cfRule type="expression" dxfId="759" priority="639" stopIfTrue="1">
      <formula>AF323="Nigromancia"</formula>
    </cfRule>
    <cfRule type="expression" dxfId="758" priority="640" stopIfTrue="1">
      <formula>AF323="Ilusión"</formula>
    </cfRule>
    <cfRule type="expression" dxfId="757" priority="641" stopIfTrue="1">
      <formula>AF323="Esencia"</formula>
    </cfRule>
    <cfRule type="expression" dxfId="756" priority="642" stopIfTrue="1">
      <formula>AF323="Tierra"</formula>
    </cfRule>
    <cfRule type="expression" dxfId="755" priority="643" stopIfTrue="1">
      <formula>AF323="Fuego"</formula>
    </cfRule>
    <cfRule type="expression" dxfId="754" priority="644" stopIfTrue="1">
      <formula>AF323="Agua"</formula>
    </cfRule>
    <cfRule type="expression" dxfId="753" priority="645" stopIfTrue="1">
      <formula>AF323="Aire"</formula>
    </cfRule>
    <cfRule type="expression" dxfId="752" priority="646" stopIfTrue="1">
      <formula>AF323="Destrucción"</formula>
    </cfRule>
    <cfRule type="expression" dxfId="751" priority="647" stopIfTrue="1">
      <formula>AF323="Creación"</formula>
    </cfRule>
    <cfRule type="expression" dxfId="750" priority="648" stopIfTrue="1">
      <formula>AF323="Oscuridad"</formula>
    </cfRule>
    <cfRule type="expression" dxfId="749" priority="649" stopIfTrue="1">
      <formula>AF323="Luz"</formula>
    </cfRule>
  </conditionalFormatting>
  <conditionalFormatting sqref="C156">
    <cfRule type="expression" dxfId="748" priority="469" stopIfTrue="1">
      <formula>AND($P$6&lt;&gt;0,I156&gt;$P$6)</formula>
    </cfRule>
    <cfRule type="expression" dxfId="747" priority="476" stopIfTrue="1">
      <formula>$M$22="Espacio"</formula>
    </cfRule>
    <cfRule type="expression" dxfId="746" priority="477" stopIfTrue="1">
      <formula>$M$22="Curación"</formula>
    </cfRule>
    <cfRule type="expression" dxfId="745" priority="478" stopIfTrue="1">
      <formula>M156="Olvido"</formula>
    </cfRule>
    <cfRule type="expression" dxfId="744" priority="479" stopIfTrue="1">
      <formula>$P$7="No"</formula>
    </cfRule>
    <cfRule type="expression" dxfId="743" priority="480" stopIfTrue="1">
      <formula>M156="Vacío"</formula>
    </cfRule>
    <cfRule type="expression" dxfId="742" priority="481" stopIfTrue="1">
      <formula>M156="Umbral"</formula>
    </cfRule>
    <cfRule type="expression" dxfId="741" priority="482" stopIfTrue="1">
      <formula>M156="Tiempo"</formula>
    </cfRule>
    <cfRule type="expression" dxfId="740" priority="483" stopIfTrue="1">
      <formula>M156="Sueños"</formula>
    </cfRule>
    <cfRule type="expression" dxfId="739" priority="484" stopIfTrue="1">
      <formula>M156="Sangre"</formula>
    </cfRule>
    <cfRule type="expression" dxfId="738" priority="485" stopIfTrue="1">
      <formula>M156="Conocimiento"</formula>
    </cfRule>
    <cfRule type="expression" dxfId="737" priority="486" stopIfTrue="1">
      <formula>M156="Pecado"</formula>
    </cfRule>
    <cfRule type="expression" dxfId="736" priority="487" stopIfTrue="1">
      <formula>M156="Paz"</formula>
    </cfRule>
    <cfRule type="expression" dxfId="735" priority="488" stopIfTrue="1">
      <formula>M156="Nobleza"</formula>
    </cfRule>
    <cfRule type="expression" dxfId="734" priority="489" stopIfTrue="1">
      <formula>M156="Musical"</formula>
    </cfRule>
    <cfRule type="expression" dxfId="733" priority="490" stopIfTrue="1">
      <formula>M156="Muerte"</formula>
    </cfRule>
    <cfRule type="expression" dxfId="732" priority="491" stopIfTrue="1">
      <formula>M156="Literae"</formula>
    </cfRule>
    <cfRule type="expression" dxfId="731" priority="492" stopIfTrue="1">
      <formula>M156="Guerra"</formula>
    </cfRule>
    <cfRule type="expression" dxfId="730" priority="493" stopIfTrue="1">
      <formula>M156="Caos"</formula>
    </cfRule>
    <cfRule type="expression" dxfId="729" priority="494" stopIfTrue="1">
      <formula>M156="Nigromancia"</formula>
    </cfRule>
    <cfRule type="expression" dxfId="728" priority="495" stopIfTrue="1">
      <formula>M156="Ilusión"</formula>
    </cfRule>
    <cfRule type="expression" dxfId="727" priority="496" stopIfTrue="1">
      <formula>M156="Esencia"</formula>
    </cfRule>
    <cfRule type="expression" dxfId="726" priority="497" stopIfTrue="1">
      <formula>M156="Tierra"</formula>
    </cfRule>
    <cfRule type="expression" dxfId="725" priority="498" stopIfTrue="1">
      <formula>M156="Fuego"</formula>
    </cfRule>
    <cfRule type="expression" dxfId="724" priority="499" stopIfTrue="1">
      <formula>M156="Agua"</formula>
    </cfRule>
    <cfRule type="expression" dxfId="723" priority="500" stopIfTrue="1">
      <formula>M156="Aire"</formula>
    </cfRule>
    <cfRule type="expression" dxfId="722" priority="501" stopIfTrue="1">
      <formula>M156="Destrucción"</formula>
    </cfRule>
    <cfRule type="expression" dxfId="721" priority="502" stopIfTrue="1">
      <formula>M156="Creación"</formula>
    </cfRule>
    <cfRule type="expression" dxfId="720" priority="503" stopIfTrue="1">
      <formula>M156="Oscuridad"</formula>
    </cfRule>
    <cfRule type="expression" dxfId="719" priority="504" stopIfTrue="1">
      <formula>M156="Luz"</formula>
    </cfRule>
  </conditionalFormatting>
  <conditionalFormatting sqref="C156:G156">
    <cfRule type="expression" dxfId="718" priority="470">
      <formula>$M$22="Estaciones"</formula>
    </cfRule>
    <cfRule type="expression" dxfId="717" priority="471" stopIfTrue="1">
      <formula>$M$22="Fantasía"</formula>
    </cfRule>
    <cfRule type="expression" dxfId="716" priority="472" stopIfTrue="1">
      <formula>$M$22="Gemas"</formula>
    </cfRule>
    <cfRule type="expression" dxfId="715" priority="473" stopIfTrue="1">
      <formula>$M$22="Apuestas"</formula>
    </cfRule>
    <cfRule type="expression" dxfId="714" priority="474" stopIfTrue="1">
      <formula>$M$22="Energía"</formula>
    </cfRule>
    <cfRule type="expression" dxfId="713" priority="475" stopIfTrue="1">
      <formula>$M$22="Ley"</formula>
    </cfRule>
  </conditionalFormatting>
  <conditionalFormatting sqref="V290">
    <cfRule type="expression" dxfId="712" priority="289" stopIfTrue="1">
      <formula>AND($P$6&lt;&gt;0,AB290&gt;$P$6)</formula>
    </cfRule>
    <cfRule type="expression" dxfId="711" priority="296" stopIfTrue="1">
      <formula>$M$22="Espacio"</formula>
    </cfRule>
    <cfRule type="expression" dxfId="710" priority="297" stopIfTrue="1">
      <formula>$M$22="Curación"</formula>
    </cfRule>
    <cfRule type="expression" dxfId="709" priority="298" stopIfTrue="1">
      <formula>AF290="Olvido"</formula>
    </cfRule>
    <cfRule type="expression" dxfId="708" priority="299" stopIfTrue="1">
      <formula>$P$7="No"</formula>
    </cfRule>
    <cfRule type="expression" dxfId="707" priority="300" stopIfTrue="1">
      <formula>AF290="Vacío"</formula>
    </cfRule>
    <cfRule type="expression" dxfId="706" priority="301" stopIfTrue="1">
      <formula>AF290="Umbral"</formula>
    </cfRule>
    <cfRule type="expression" dxfId="705" priority="302" stopIfTrue="1">
      <formula>AF290="Tiempo"</formula>
    </cfRule>
    <cfRule type="expression" dxfId="704" priority="303" stopIfTrue="1">
      <formula>AF290="Sueños"</formula>
    </cfRule>
    <cfRule type="expression" dxfId="703" priority="304" stopIfTrue="1">
      <formula>AF290="Sangre"</formula>
    </cfRule>
    <cfRule type="expression" dxfId="702" priority="305" stopIfTrue="1">
      <formula>AF290="Conocimiento"</formula>
    </cfRule>
    <cfRule type="expression" dxfId="701" priority="306" stopIfTrue="1">
      <formula>AF290="Pecado"</formula>
    </cfRule>
    <cfRule type="expression" dxfId="700" priority="307" stopIfTrue="1">
      <formula>AF290="Paz"</formula>
    </cfRule>
    <cfRule type="expression" dxfId="699" priority="308" stopIfTrue="1">
      <formula>AF290="Nobleza"</formula>
    </cfRule>
    <cfRule type="expression" dxfId="698" priority="309" stopIfTrue="1">
      <formula>AF290="Musical"</formula>
    </cfRule>
    <cfRule type="expression" dxfId="697" priority="310" stopIfTrue="1">
      <formula>AF290="Muerte"</formula>
    </cfRule>
    <cfRule type="expression" dxfId="696" priority="311" stopIfTrue="1">
      <formula>AF290="Literae"</formula>
    </cfRule>
    <cfRule type="expression" dxfId="695" priority="312" stopIfTrue="1">
      <formula>AF290="Guerra"</formula>
    </cfRule>
    <cfRule type="expression" dxfId="694" priority="313" stopIfTrue="1">
      <formula>AF290="Caos"</formula>
    </cfRule>
    <cfRule type="expression" dxfId="693" priority="314" stopIfTrue="1">
      <formula>AF290="Nigromancia"</formula>
    </cfRule>
    <cfRule type="expression" dxfId="692" priority="315" stopIfTrue="1">
      <formula>AF290="Ilusión"</formula>
    </cfRule>
    <cfRule type="expression" dxfId="691" priority="316" stopIfTrue="1">
      <formula>AF290="Esencia"</formula>
    </cfRule>
    <cfRule type="expression" dxfId="690" priority="317" stopIfTrue="1">
      <formula>AF290="Tierra"</formula>
    </cfRule>
    <cfRule type="expression" dxfId="689" priority="318" stopIfTrue="1">
      <formula>AF290="Fuego"</formula>
    </cfRule>
    <cfRule type="expression" dxfId="688" priority="319" stopIfTrue="1">
      <formula>AF290="Agua"</formula>
    </cfRule>
    <cfRule type="expression" dxfId="687" priority="320" stopIfTrue="1">
      <formula>AF290="Aire"</formula>
    </cfRule>
    <cfRule type="expression" dxfId="686" priority="321" stopIfTrue="1">
      <formula>AF290="Destrucción"</formula>
    </cfRule>
    <cfRule type="expression" dxfId="685" priority="322" stopIfTrue="1">
      <formula>AF290="Creación"</formula>
    </cfRule>
    <cfRule type="expression" dxfId="684" priority="323" stopIfTrue="1">
      <formula>AF290="Oscuridad"</formula>
    </cfRule>
    <cfRule type="expression" dxfId="683" priority="324" stopIfTrue="1">
      <formula>AF290="Luz"</formula>
    </cfRule>
  </conditionalFormatting>
  <conditionalFormatting sqref="V290:Z290">
    <cfRule type="expression" dxfId="682" priority="290">
      <formula>$M$22="Estaciones"</formula>
    </cfRule>
    <cfRule type="expression" dxfId="681" priority="291" stopIfTrue="1">
      <formula>$M$22="Fantasía"</formula>
    </cfRule>
    <cfRule type="expression" dxfId="680" priority="292" stopIfTrue="1">
      <formula>$M$22="Gemas"</formula>
    </cfRule>
    <cfRule type="expression" dxfId="679" priority="293" stopIfTrue="1">
      <formula>$M$22="Apuestas"</formula>
    </cfRule>
    <cfRule type="expression" dxfId="678" priority="294" stopIfTrue="1">
      <formula>$M$22="Energía"</formula>
    </cfRule>
    <cfRule type="expression" dxfId="677" priority="295" stopIfTrue="1">
      <formula>$M$22="Ley"</formula>
    </cfRule>
  </conditionalFormatting>
  <conditionalFormatting sqref="C290">
    <cfRule type="expression" dxfId="676" priority="253" stopIfTrue="1">
      <formula>AND($P$6&lt;&gt;0,I290&gt;$P$6)</formula>
    </cfRule>
    <cfRule type="expression" dxfId="675" priority="260" stopIfTrue="1">
      <formula>$M$22="Espacio"</formula>
    </cfRule>
    <cfRule type="expression" dxfId="674" priority="261" stopIfTrue="1">
      <formula>$M$22="Curación"</formula>
    </cfRule>
    <cfRule type="expression" dxfId="673" priority="262" stopIfTrue="1">
      <formula>M290="Olvido"</formula>
    </cfRule>
    <cfRule type="expression" dxfId="672" priority="263" stopIfTrue="1">
      <formula>$P$7="No"</formula>
    </cfRule>
    <cfRule type="expression" dxfId="671" priority="264" stopIfTrue="1">
      <formula>M290="Vacío"</formula>
    </cfRule>
    <cfRule type="expression" dxfId="670" priority="265" stopIfTrue="1">
      <formula>M290="Umbral"</formula>
    </cfRule>
    <cfRule type="expression" dxfId="669" priority="266" stopIfTrue="1">
      <formula>M290="Tiempo"</formula>
    </cfRule>
    <cfRule type="expression" dxfId="668" priority="267" stopIfTrue="1">
      <formula>M290="Sueños"</formula>
    </cfRule>
    <cfRule type="expression" dxfId="667" priority="268" stopIfTrue="1">
      <formula>M290="Sangre"</formula>
    </cfRule>
    <cfRule type="expression" dxfId="666" priority="269" stopIfTrue="1">
      <formula>M290="Conocimiento"</formula>
    </cfRule>
    <cfRule type="expression" dxfId="665" priority="270" stopIfTrue="1">
      <formula>M290="Pecado"</formula>
    </cfRule>
    <cfRule type="expression" dxfId="664" priority="271" stopIfTrue="1">
      <formula>M290="Paz"</formula>
    </cfRule>
    <cfRule type="expression" dxfId="663" priority="272" stopIfTrue="1">
      <formula>M290="Nobleza"</formula>
    </cfRule>
    <cfRule type="expression" dxfId="662" priority="273" stopIfTrue="1">
      <formula>M290="Musical"</formula>
    </cfRule>
    <cfRule type="expression" dxfId="661" priority="274" stopIfTrue="1">
      <formula>M290="Muerte"</formula>
    </cfRule>
    <cfRule type="expression" dxfId="660" priority="275" stopIfTrue="1">
      <formula>M290="Literae"</formula>
    </cfRule>
    <cfRule type="expression" dxfId="659" priority="276" stopIfTrue="1">
      <formula>M290="Guerra"</formula>
    </cfRule>
    <cfRule type="expression" dxfId="658" priority="277" stopIfTrue="1">
      <formula>M290="Caos"</formula>
    </cfRule>
    <cfRule type="expression" dxfId="657" priority="278" stopIfTrue="1">
      <formula>M290="Nigromancia"</formula>
    </cfRule>
    <cfRule type="expression" dxfId="656" priority="279" stopIfTrue="1">
      <formula>M290="Ilusión"</formula>
    </cfRule>
    <cfRule type="expression" dxfId="655" priority="280" stopIfTrue="1">
      <formula>M290="Esencia"</formula>
    </cfRule>
    <cfRule type="expression" dxfId="654" priority="281" stopIfTrue="1">
      <formula>M290="Tierra"</formula>
    </cfRule>
    <cfRule type="expression" dxfId="653" priority="282" stopIfTrue="1">
      <formula>M290="Fuego"</formula>
    </cfRule>
    <cfRule type="expression" dxfId="652" priority="283" stopIfTrue="1">
      <formula>M290="Agua"</formula>
    </cfRule>
    <cfRule type="expression" dxfId="651" priority="284" stopIfTrue="1">
      <formula>M290="Aire"</formula>
    </cfRule>
    <cfRule type="expression" dxfId="650" priority="285" stopIfTrue="1">
      <formula>M290="Destrucción"</formula>
    </cfRule>
    <cfRule type="expression" dxfId="649" priority="286" stopIfTrue="1">
      <formula>M290="Creación"</formula>
    </cfRule>
    <cfRule type="expression" dxfId="648" priority="287" stopIfTrue="1">
      <formula>M290="Oscuridad"</formula>
    </cfRule>
    <cfRule type="expression" dxfId="647" priority="288" stopIfTrue="1">
      <formula>M290="Luz"</formula>
    </cfRule>
  </conditionalFormatting>
  <conditionalFormatting sqref="C290:G290">
    <cfRule type="expression" dxfId="646" priority="254">
      <formula>$M$22="Estaciones"</formula>
    </cfRule>
    <cfRule type="expression" dxfId="645" priority="255" stopIfTrue="1">
      <formula>$M$22="Fantasía"</formula>
    </cfRule>
    <cfRule type="expression" dxfId="644" priority="256" stopIfTrue="1">
      <formula>$M$22="Gemas"</formula>
    </cfRule>
    <cfRule type="expression" dxfId="643" priority="257" stopIfTrue="1">
      <formula>$M$22="Apuestas"</formula>
    </cfRule>
    <cfRule type="expression" dxfId="642" priority="258" stopIfTrue="1">
      <formula>$M$22="Energía"</formula>
    </cfRule>
    <cfRule type="expression" dxfId="641" priority="259" stopIfTrue="1">
      <formula>$M$22="Ley"</formula>
    </cfRule>
  </conditionalFormatting>
  <conditionalFormatting sqref="C223">
    <cfRule type="expression" dxfId="640" priority="217" stopIfTrue="1">
      <formula>AND($P$6&lt;&gt;0,I223&gt;$P$6)</formula>
    </cfRule>
    <cfRule type="expression" dxfId="639" priority="224" stopIfTrue="1">
      <formula>$M$22="Espacio"</formula>
    </cfRule>
    <cfRule type="expression" dxfId="638" priority="225" stopIfTrue="1">
      <formula>$M$22="Curación"</formula>
    </cfRule>
    <cfRule type="expression" dxfId="637" priority="226" stopIfTrue="1">
      <formula>M223="Olvido"</formula>
    </cfRule>
    <cfRule type="expression" dxfId="636" priority="227" stopIfTrue="1">
      <formula>$P$7="No"</formula>
    </cfRule>
    <cfRule type="expression" dxfId="635" priority="228" stopIfTrue="1">
      <formula>M223="Vacío"</formula>
    </cfRule>
    <cfRule type="expression" dxfId="634" priority="229" stopIfTrue="1">
      <formula>M223="Umbral"</formula>
    </cfRule>
    <cfRule type="expression" dxfId="633" priority="230" stopIfTrue="1">
      <formula>M223="Tiempo"</formula>
    </cfRule>
    <cfRule type="expression" dxfId="632" priority="231" stopIfTrue="1">
      <formula>M223="Sueños"</formula>
    </cfRule>
    <cfRule type="expression" dxfId="631" priority="232" stopIfTrue="1">
      <formula>M223="Sangre"</formula>
    </cfRule>
    <cfRule type="expression" dxfId="630" priority="233" stopIfTrue="1">
      <formula>M223="Conocimiento"</formula>
    </cfRule>
    <cfRule type="expression" dxfId="629" priority="234" stopIfTrue="1">
      <formula>M223="Pecado"</formula>
    </cfRule>
    <cfRule type="expression" dxfId="628" priority="235" stopIfTrue="1">
      <formula>M223="Paz"</formula>
    </cfRule>
    <cfRule type="expression" dxfId="627" priority="236" stopIfTrue="1">
      <formula>M223="Nobleza"</formula>
    </cfRule>
    <cfRule type="expression" dxfId="626" priority="237" stopIfTrue="1">
      <formula>M223="Musical"</formula>
    </cfRule>
    <cfRule type="expression" dxfId="625" priority="238" stopIfTrue="1">
      <formula>M223="Muerte"</formula>
    </cfRule>
    <cfRule type="expression" dxfId="624" priority="239" stopIfTrue="1">
      <formula>M223="Literae"</formula>
    </cfRule>
    <cfRule type="expression" dxfId="623" priority="240" stopIfTrue="1">
      <formula>M223="Guerra"</formula>
    </cfRule>
    <cfRule type="expression" dxfId="622" priority="241" stopIfTrue="1">
      <formula>M223="Caos"</formula>
    </cfRule>
    <cfRule type="expression" dxfId="621" priority="242" stopIfTrue="1">
      <formula>M223="Nigromancia"</formula>
    </cfRule>
    <cfRule type="expression" dxfId="620" priority="243" stopIfTrue="1">
      <formula>M223="Ilusión"</formula>
    </cfRule>
    <cfRule type="expression" dxfId="619" priority="244" stopIfTrue="1">
      <formula>M223="Esencia"</formula>
    </cfRule>
    <cfRule type="expression" dxfId="618" priority="245" stopIfTrue="1">
      <formula>M223="Tierra"</formula>
    </cfRule>
    <cfRule type="expression" dxfId="617" priority="246" stopIfTrue="1">
      <formula>M223="Fuego"</formula>
    </cfRule>
    <cfRule type="expression" dxfId="616" priority="247" stopIfTrue="1">
      <formula>M223="Agua"</formula>
    </cfRule>
    <cfRule type="expression" dxfId="615" priority="248" stopIfTrue="1">
      <formula>M223="Aire"</formula>
    </cfRule>
    <cfRule type="expression" dxfId="614" priority="249" stopIfTrue="1">
      <formula>M223="Destrucción"</formula>
    </cfRule>
    <cfRule type="expression" dxfId="613" priority="250" stopIfTrue="1">
      <formula>M223="Creación"</formula>
    </cfRule>
    <cfRule type="expression" dxfId="612" priority="251" stopIfTrue="1">
      <formula>M223="Oscuridad"</formula>
    </cfRule>
    <cfRule type="expression" dxfId="611" priority="252" stopIfTrue="1">
      <formula>M223="Luz"</formula>
    </cfRule>
  </conditionalFormatting>
  <conditionalFormatting sqref="C223:G223">
    <cfRule type="expression" dxfId="610" priority="218">
      <formula>$M$22="Estaciones"</formula>
    </cfRule>
    <cfRule type="expression" dxfId="609" priority="219" stopIfTrue="1">
      <formula>$M$22="Fantasía"</formula>
    </cfRule>
    <cfRule type="expression" dxfId="608" priority="220" stopIfTrue="1">
      <formula>$M$22="Gemas"</formula>
    </cfRule>
    <cfRule type="expression" dxfId="607" priority="221" stopIfTrue="1">
      <formula>$M$22="Apuestas"</formula>
    </cfRule>
    <cfRule type="expression" dxfId="606" priority="222" stopIfTrue="1">
      <formula>$M$22="Energía"</formula>
    </cfRule>
    <cfRule type="expression" dxfId="605" priority="223" stopIfTrue="1">
      <formula>$M$22="Ley"</formula>
    </cfRule>
  </conditionalFormatting>
  <conditionalFormatting sqref="V223">
    <cfRule type="expression" dxfId="604" priority="181" stopIfTrue="1">
      <formula>AND($P$6&lt;&gt;0,AB223&gt;$P$6)</formula>
    </cfRule>
    <cfRule type="expression" dxfId="603" priority="188" stopIfTrue="1">
      <formula>$M$22="Espacio"</formula>
    </cfRule>
    <cfRule type="expression" dxfId="602" priority="189" stopIfTrue="1">
      <formula>$M$22="Curación"</formula>
    </cfRule>
    <cfRule type="expression" dxfId="601" priority="190" stopIfTrue="1">
      <formula>AF223="Olvido"</formula>
    </cfRule>
    <cfRule type="expression" dxfId="600" priority="191" stopIfTrue="1">
      <formula>$P$7="No"</formula>
    </cfRule>
    <cfRule type="expression" dxfId="599" priority="192" stopIfTrue="1">
      <formula>AF223="Vacío"</formula>
    </cfRule>
    <cfRule type="expression" dxfId="598" priority="193" stopIfTrue="1">
      <formula>AF223="Umbral"</formula>
    </cfRule>
    <cfRule type="expression" dxfId="597" priority="194" stopIfTrue="1">
      <formula>AF223="Tiempo"</formula>
    </cfRule>
    <cfRule type="expression" dxfId="596" priority="195" stopIfTrue="1">
      <formula>AF223="Sueños"</formula>
    </cfRule>
    <cfRule type="expression" dxfId="595" priority="196" stopIfTrue="1">
      <formula>AF223="Sangre"</formula>
    </cfRule>
    <cfRule type="expression" dxfId="594" priority="197" stopIfTrue="1">
      <formula>AF223="Conocimiento"</formula>
    </cfRule>
    <cfRule type="expression" dxfId="593" priority="198" stopIfTrue="1">
      <formula>AF223="Pecado"</formula>
    </cfRule>
    <cfRule type="expression" dxfId="592" priority="199" stopIfTrue="1">
      <formula>AF223="Paz"</formula>
    </cfRule>
    <cfRule type="expression" dxfId="591" priority="200" stopIfTrue="1">
      <formula>AF223="Nobleza"</formula>
    </cfRule>
    <cfRule type="expression" dxfId="590" priority="201" stopIfTrue="1">
      <formula>AF223="Musical"</formula>
    </cfRule>
    <cfRule type="expression" dxfId="589" priority="202" stopIfTrue="1">
      <formula>AF223="Muerte"</formula>
    </cfRule>
    <cfRule type="expression" dxfId="588" priority="203" stopIfTrue="1">
      <formula>AF223="Literae"</formula>
    </cfRule>
    <cfRule type="expression" dxfId="587" priority="204" stopIfTrue="1">
      <formula>AF223="Guerra"</formula>
    </cfRule>
    <cfRule type="expression" dxfId="586" priority="205" stopIfTrue="1">
      <formula>AF223="Caos"</formula>
    </cfRule>
    <cfRule type="expression" dxfId="585" priority="206" stopIfTrue="1">
      <formula>AF223="Nigromancia"</formula>
    </cfRule>
    <cfRule type="expression" dxfId="584" priority="207" stopIfTrue="1">
      <formula>AF223="Ilusión"</formula>
    </cfRule>
    <cfRule type="expression" dxfId="583" priority="208" stopIfTrue="1">
      <formula>AF223="Esencia"</formula>
    </cfRule>
    <cfRule type="expression" dxfId="582" priority="209" stopIfTrue="1">
      <formula>AF223="Tierra"</formula>
    </cfRule>
    <cfRule type="expression" dxfId="581" priority="210" stopIfTrue="1">
      <formula>AF223="Fuego"</formula>
    </cfRule>
    <cfRule type="expression" dxfId="580" priority="211" stopIfTrue="1">
      <formula>AF223="Agua"</formula>
    </cfRule>
    <cfRule type="expression" dxfId="579" priority="212" stopIfTrue="1">
      <formula>AF223="Aire"</formula>
    </cfRule>
    <cfRule type="expression" dxfId="578" priority="213" stopIfTrue="1">
      <formula>AF223="Destrucción"</formula>
    </cfRule>
    <cfRule type="expression" dxfId="577" priority="214" stopIfTrue="1">
      <formula>AF223="Creación"</formula>
    </cfRule>
    <cfRule type="expression" dxfId="576" priority="215" stopIfTrue="1">
      <formula>AF223="Oscuridad"</formula>
    </cfRule>
    <cfRule type="expression" dxfId="575" priority="216" stopIfTrue="1">
      <formula>AF223="Luz"</formula>
    </cfRule>
  </conditionalFormatting>
  <conditionalFormatting sqref="V223:Z223">
    <cfRule type="expression" dxfId="574" priority="182">
      <formula>$M$22="Estaciones"</formula>
    </cfRule>
    <cfRule type="expression" dxfId="573" priority="183" stopIfTrue="1">
      <formula>$M$22="Fantasía"</formula>
    </cfRule>
    <cfRule type="expression" dxfId="572" priority="184" stopIfTrue="1">
      <formula>$M$22="Gemas"</formula>
    </cfRule>
    <cfRule type="expression" dxfId="571" priority="185" stopIfTrue="1">
      <formula>$M$22="Apuestas"</formula>
    </cfRule>
    <cfRule type="expression" dxfId="570" priority="186" stopIfTrue="1">
      <formula>$M$22="Energía"</formula>
    </cfRule>
    <cfRule type="expression" dxfId="569" priority="187" stopIfTrue="1">
      <formula>$M$22="Ley"</formula>
    </cfRule>
  </conditionalFormatting>
  <conditionalFormatting sqref="V156">
    <cfRule type="expression" dxfId="568" priority="145" stopIfTrue="1">
      <formula>AND($P$6&lt;&gt;0,AB156&gt;$P$6)</formula>
    </cfRule>
    <cfRule type="expression" dxfId="567" priority="152" stopIfTrue="1">
      <formula>$M$22="Espacio"</formula>
    </cfRule>
    <cfRule type="expression" dxfId="566" priority="153" stopIfTrue="1">
      <formula>$M$22="Curación"</formula>
    </cfRule>
    <cfRule type="expression" dxfId="565" priority="154" stopIfTrue="1">
      <formula>AF156="Olvido"</formula>
    </cfRule>
    <cfRule type="expression" dxfId="564" priority="155" stopIfTrue="1">
      <formula>$P$7="No"</formula>
    </cfRule>
    <cfRule type="expression" dxfId="563" priority="156" stopIfTrue="1">
      <formula>AF156="Vacío"</formula>
    </cfRule>
    <cfRule type="expression" dxfId="562" priority="157" stopIfTrue="1">
      <formula>AF156="Umbral"</formula>
    </cfRule>
    <cfRule type="expression" dxfId="561" priority="158" stopIfTrue="1">
      <formula>AF156="Tiempo"</formula>
    </cfRule>
    <cfRule type="expression" dxfId="560" priority="159" stopIfTrue="1">
      <formula>AF156="Sueños"</formula>
    </cfRule>
    <cfRule type="expression" dxfId="559" priority="160" stopIfTrue="1">
      <formula>AF156="Sangre"</formula>
    </cfRule>
    <cfRule type="expression" dxfId="558" priority="161" stopIfTrue="1">
      <formula>AF156="Conocimiento"</formula>
    </cfRule>
    <cfRule type="expression" dxfId="557" priority="162" stopIfTrue="1">
      <formula>AF156="Pecado"</formula>
    </cfRule>
    <cfRule type="expression" dxfId="556" priority="163" stopIfTrue="1">
      <formula>AF156="Paz"</formula>
    </cfRule>
    <cfRule type="expression" dxfId="555" priority="164" stopIfTrue="1">
      <formula>AF156="Nobleza"</formula>
    </cfRule>
    <cfRule type="expression" dxfId="554" priority="165" stopIfTrue="1">
      <formula>AF156="Musical"</formula>
    </cfRule>
    <cfRule type="expression" dxfId="553" priority="166" stopIfTrue="1">
      <formula>AF156="Muerte"</formula>
    </cfRule>
    <cfRule type="expression" dxfId="552" priority="167" stopIfTrue="1">
      <formula>AF156="Literae"</formula>
    </cfRule>
    <cfRule type="expression" dxfId="551" priority="168" stopIfTrue="1">
      <formula>AF156="Guerra"</formula>
    </cfRule>
    <cfRule type="expression" dxfId="550" priority="169" stopIfTrue="1">
      <formula>AF156="Caos"</formula>
    </cfRule>
    <cfRule type="expression" dxfId="549" priority="170" stopIfTrue="1">
      <formula>AF156="Nigromancia"</formula>
    </cfRule>
    <cfRule type="expression" dxfId="548" priority="171" stopIfTrue="1">
      <formula>AF156="Ilusión"</formula>
    </cfRule>
    <cfRule type="expression" dxfId="547" priority="172" stopIfTrue="1">
      <formula>AF156="Esencia"</formula>
    </cfRule>
    <cfRule type="expression" dxfId="546" priority="173" stopIfTrue="1">
      <formula>AF156="Tierra"</formula>
    </cfRule>
    <cfRule type="expression" dxfId="545" priority="174" stopIfTrue="1">
      <formula>AF156="Fuego"</formula>
    </cfRule>
    <cfRule type="expression" dxfId="544" priority="175" stopIfTrue="1">
      <formula>AF156="Agua"</formula>
    </cfRule>
    <cfRule type="expression" dxfId="543" priority="176" stopIfTrue="1">
      <formula>AF156="Aire"</formula>
    </cfRule>
    <cfRule type="expression" dxfId="542" priority="177" stopIfTrue="1">
      <formula>AF156="Destrucción"</formula>
    </cfRule>
    <cfRule type="expression" dxfId="541" priority="178" stopIfTrue="1">
      <formula>AF156="Creación"</formula>
    </cfRule>
    <cfRule type="expression" dxfId="540" priority="179" stopIfTrue="1">
      <formula>AF156="Oscuridad"</formula>
    </cfRule>
    <cfRule type="expression" dxfId="539" priority="180" stopIfTrue="1">
      <formula>AF156="Luz"</formula>
    </cfRule>
  </conditionalFormatting>
  <conditionalFormatting sqref="V156:Z156">
    <cfRule type="expression" dxfId="538" priority="146">
      <formula>$M$22="Estaciones"</formula>
    </cfRule>
    <cfRule type="expression" dxfId="537" priority="147" stopIfTrue="1">
      <formula>$M$22="Fantasía"</formula>
    </cfRule>
    <cfRule type="expression" dxfId="536" priority="148" stopIfTrue="1">
      <formula>$M$22="Gemas"</formula>
    </cfRule>
    <cfRule type="expression" dxfId="535" priority="149" stopIfTrue="1">
      <formula>$M$22="Apuestas"</formula>
    </cfRule>
    <cfRule type="expression" dxfId="534" priority="150" stopIfTrue="1">
      <formula>$M$22="Energía"</formula>
    </cfRule>
    <cfRule type="expression" dxfId="533" priority="151" stopIfTrue="1">
      <formula>$M$22="Ley"</formula>
    </cfRule>
  </conditionalFormatting>
  <conditionalFormatting sqref="V89">
    <cfRule type="expression" dxfId="532" priority="109" stopIfTrue="1">
      <formula>AND($P$6&lt;&gt;0,AB89&gt;$P$6)</formula>
    </cfRule>
    <cfRule type="expression" dxfId="531" priority="116" stopIfTrue="1">
      <formula>$M$22="Espacio"</formula>
    </cfRule>
    <cfRule type="expression" dxfId="530" priority="117" stopIfTrue="1">
      <formula>$M$22="Curación"</formula>
    </cfRule>
    <cfRule type="expression" dxfId="529" priority="118" stopIfTrue="1">
      <formula>AF89="Olvido"</formula>
    </cfRule>
    <cfRule type="expression" dxfId="528" priority="119" stopIfTrue="1">
      <formula>$P$7="No"</formula>
    </cfRule>
    <cfRule type="expression" dxfId="527" priority="120" stopIfTrue="1">
      <formula>AF89="Vacío"</formula>
    </cfRule>
    <cfRule type="expression" dxfId="526" priority="121" stopIfTrue="1">
      <formula>AF89="Umbral"</formula>
    </cfRule>
    <cfRule type="expression" dxfId="525" priority="122" stopIfTrue="1">
      <formula>AF89="Tiempo"</formula>
    </cfRule>
    <cfRule type="expression" dxfId="524" priority="123" stopIfTrue="1">
      <formula>AF89="Sueños"</formula>
    </cfRule>
    <cfRule type="expression" dxfId="523" priority="124" stopIfTrue="1">
      <formula>AF89="Sangre"</formula>
    </cfRule>
    <cfRule type="expression" dxfId="522" priority="125" stopIfTrue="1">
      <formula>AF89="Conocimiento"</formula>
    </cfRule>
    <cfRule type="expression" dxfId="521" priority="126" stopIfTrue="1">
      <formula>AF89="Pecado"</formula>
    </cfRule>
    <cfRule type="expression" dxfId="520" priority="127" stopIfTrue="1">
      <formula>AF89="Paz"</formula>
    </cfRule>
    <cfRule type="expression" dxfId="519" priority="128" stopIfTrue="1">
      <formula>AF89="Nobleza"</formula>
    </cfRule>
    <cfRule type="expression" dxfId="518" priority="129" stopIfTrue="1">
      <formula>AF89="Musical"</formula>
    </cfRule>
    <cfRule type="expression" dxfId="517" priority="130" stopIfTrue="1">
      <formula>AF89="Muerte"</formula>
    </cfRule>
    <cfRule type="expression" dxfId="516" priority="131" stopIfTrue="1">
      <formula>AF89="Literae"</formula>
    </cfRule>
    <cfRule type="expression" dxfId="515" priority="132" stopIfTrue="1">
      <formula>AF89="Guerra"</formula>
    </cfRule>
    <cfRule type="expression" dxfId="514" priority="133" stopIfTrue="1">
      <formula>AF89="Caos"</formula>
    </cfRule>
    <cfRule type="expression" dxfId="513" priority="134" stopIfTrue="1">
      <formula>AF89="Nigromancia"</formula>
    </cfRule>
    <cfRule type="expression" dxfId="512" priority="135" stopIfTrue="1">
      <formula>AF89="Ilusión"</formula>
    </cfRule>
    <cfRule type="expression" dxfId="511" priority="136" stopIfTrue="1">
      <formula>AF89="Esencia"</formula>
    </cfRule>
    <cfRule type="expression" dxfId="510" priority="137" stopIfTrue="1">
      <formula>AF89="Tierra"</formula>
    </cfRule>
    <cfRule type="expression" dxfId="509" priority="138" stopIfTrue="1">
      <formula>AF89="Fuego"</formula>
    </cfRule>
    <cfRule type="expression" dxfId="508" priority="139" stopIfTrue="1">
      <formula>AF89="Agua"</formula>
    </cfRule>
    <cfRule type="expression" dxfId="507" priority="140" stopIfTrue="1">
      <formula>AF89="Aire"</formula>
    </cfRule>
    <cfRule type="expression" dxfId="506" priority="141" stopIfTrue="1">
      <formula>AF89="Destrucción"</formula>
    </cfRule>
    <cfRule type="expression" dxfId="505" priority="142" stopIfTrue="1">
      <formula>AF89="Creación"</formula>
    </cfRule>
    <cfRule type="expression" dxfId="504" priority="143" stopIfTrue="1">
      <formula>AF89="Oscuridad"</formula>
    </cfRule>
    <cfRule type="expression" dxfId="503" priority="144" stopIfTrue="1">
      <formula>AF89="Luz"</formula>
    </cfRule>
  </conditionalFormatting>
  <conditionalFormatting sqref="V89:Z89">
    <cfRule type="expression" dxfId="502" priority="110">
      <formula>$M$22="Estaciones"</formula>
    </cfRule>
    <cfRule type="expression" dxfId="501" priority="111" stopIfTrue="1">
      <formula>$M$22="Fantasía"</formula>
    </cfRule>
    <cfRule type="expression" dxfId="500" priority="112" stopIfTrue="1">
      <formula>$M$22="Gemas"</formula>
    </cfRule>
    <cfRule type="expression" dxfId="499" priority="113" stopIfTrue="1">
      <formula>$M$22="Apuestas"</formula>
    </cfRule>
    <cfRule type="expression" dxfId="498" priority="114" stopIfTrue="1">
      <formula>$M$22="Energía"</formula>
    </cfRule>
    <cfRule type="expression" dxfId="497" priority="115" stopIfTrue="1">
      <formula>$M$22="Ley"</formula>
    </cfRule>
  </conditionalFormatting>
  <conditionalFormatting sqref="C89">
    <cfRule type="expression" dxfId="496" priority="73" stopIfTrue="1">
      <formula>AND($P$6&lt;&gt;0,I89&gt;$P$6)</formula>
    </cfRule>
    <cfRule type="expression" dxfId="495" priority="80" stopIfTrue="1">
      <formula>$M$22="Espacio"</formula>
    </cfRule>
    <cfRule type="expression" dxfId="494" priority="81" stopIfTrue="1">
      <formula>$M$22="Curación"</formula>
    </cfRule>
    <cfRule type="expression" dxfId="493" priority="82" stopIfTrue="1">
      <formula>M89="Olvido"</formula>
    </cfRule>
    <cfRule type="expression" dxfId="492" priority="83" stopIfTrue="1">
      <formula>$P$7="No"</formula>
    </cfRule>
    <cfRule type="expression" dxfId="491" priority="84" stopIfTrue="1">
      <formula>M89="Vacío"</formula>
    </cfRule>
    <cfRule type="expression" dxfId="490" priority="85" stopIfTrue="1">
      <formula>M89="Umbral"</formula>
    </cfRule>
    <cfRule type="expression" dxfId="489" priority="86" stopIfTrue="1">
      <formula>M89="Tiempo"</formula>
    </cfRule>
    <cfRule type="expression" dxfId="488" priority="87" stopIfTrue="1">
      <formula>M89="Sueños"</formula>
    </cfRule>
    <cfRule type="expression" dxfId="487" priority="88" stopIfTrue="1">
      <formula>M89="Sangre"</formula>
    </cfRule>
    <cfRule type="expression" dxfId="486" priority="89" stopIfTrue="1">
      <formula>M89="Conocimiento"</formula>
    </cfRule>
    <cfRule type="expression" dxfId="485" priority="90" stopIfTrue="1">
      <formula>M89="Pecado"</formula>
    </cfRule>
    <cfRule type="expression" dxfId="484" priority="91" stopIfTrue="1">
      <formula>M89="Paz"</formula>
    </cfRule>
    <cfRule type="expression" dxfId="483" priority="92" stopIfTrue="1">
      <formula>M89="Nobleza"</formula>
    </cfRule>
    <cfRule type="expression" dxfId="482" priority="93" stopIfTrue="1">
      <formula>M89="Musical"</formula>
    </cfRule>
    <cfRule type="expression" dxfId="481" priority="94" stopIfTrue="1">
      <formula>M89="Muerte"</formula>
    </cfRule>
    <cfRule type="expression" dxfId="480" priority="95" stopIfTrue="1">
      <formula>M89="Literae"</formula>
    </cfRule>
    <cfRule type="expression" dxfId="479" priority="96" stopIfTrue="1">
      <formula>M89="Guerra"</formula>
    </cfRule>
    <cfRule type="expression" dxfId="478" priority="97" stopIfTrue="1">
      <formula>M89="Caos"</formula>
    </cfRule>
    <cfRule type="expression" dxfId="477" priority="98" stopIfTrue="1">
      <formula>M89="Nigromancia"</formula>
    </cfRule>
    <cfRule type="expression" dxfId="476" priority="99" stopIfTrue="1">
      <formula>M89="Ilusión"</formula>
    </cfRule>
    <cfRule type="expression" dxfId="475" priority="100" stopIfTrue="1">
      <formula>M89="Esencia"</formula>
    </cfRule>
    <cfRule type="expression" dxfId="474" priority="101" stopIfTrue="1">
      <formula>M89="Tierra"</formula>
    </cfRule>
    <cfRule type="expression" dxfId="473" priority="102" stopIfTrue="1">
      <formula>M89="Fuego"</formula>
    </cfRule>
    <cfRule type="expression" dxfId="472" priority="103" stopIfTrue="1">
      <formula>M89="Agua"</formula>
    </cfRule>
    <cfRule type="expression" dxfId="471" priority="104" stopIfTrue="1">
      <formula>M89="Aire"</formula>
    </cfRule>
    <cfRule type="expression" dxfId="470" priority="105" stopIfTrue="1">
      <formula>M89="Destrucción"</formula>
    </cfRule>
    <cfRule type="expression" dxfId="469" priority="106" stopIfTrue="1">
      <formula>M89="Creación"</formula>
    </cfRule>
    <cfRule type="expression" dxfId="468" priority="107" stopIfTrue="1">
      <formula>M89="Oscuridad"</formula>
    </cfRule>
    <cfRule type="expression" dxfId="467" priority="108" stopIfTrue="1">
      <formula>M89="Luz"</formula>
    </cfRule>
  </conditionalFormatting>
  <conditionalFormatting sqref="C89:G89">
    <cfRule type="expression" dxfId="466" priority="74">
      <formula>$M$22="Estaciones"</formula>
    </cfRule>
    <cfRule type="expression" dxfId="465" priority="75" stopIfTrue="1">
      <formula>$M$22="Fantasía"</formula>
    </cfRule>
    <cfRule type="expression" dxfId="464" priority="76" stopIfTrue="1">
      <formula>$M$22="Gemas"</formula>
    </cfRule>
    <cfRule type="expression" dxfId="463" priority="77" stopIfTrue="1">
      <formula>$M$22="Apuestas"</formula>
    </cfRule>
    <cfRule type="expression" dxfId="462" priority="78" stopIfTrue="1">
      <formula>$M$22="Energía"</formula>
    </cfRule>
    <cfRule type="expression" dxfId="461" priority="79" stopIfTrue="1">
      <formula>$M$22="Ley"</formula>
    </cfRule>
  </conditionalFormatting>
  <conditionalFormatting sqref="C22">
    <cfRule type="expression" dxfId="460" priority="37" stopIfTrue="1">
      <formula>AND($P$6&lt;&gt;0,I22&gt;$P$6)</formula>
    </cfRule>
    <cfRule type="expression" dxfId="459" priority="44" stopIfTrue="1">
      <formula>$M$22="Espacio"</formula>
    </cfRule>
    <cfRule type="expression" dxfId="458" priority="45" stopIfTrue="1">
      <formula>$M$22="Curación"</formula>
    </cfRule>
    <cfRule type="expression" dxfId="457" priority="46" stopIfTrue="1">
      <formula>M22="Olvido"</formula>
    </cfRule>
    <cfRule type="expression" dxfId="456" priority="47" stopIfTrue="1">
      <formula>$P$7="No"</formula>
    </cfRule>
    <cfRule type="expression" dxfId="455" priority="48" stopIfTrue="1">
      <formula>M22="Vacío"</formula>
    </cfRule>
    <cfRule type="expression" dxfId="454" priority="49" stopIfTrue="1">
      <formula>M22="Umbral"</formula>
    </cfRule>
    <cfRule type="expression" dxfId="453" priority="50" stopIfTrue="1">
      <formula>M22="Tiempo"</formula>
    </cfRule>
    <cfRule type="expression" dxfId="452" priority="51" stopIfTrue="1">
      <formula>M22="Sueños"</formula>
    </cfRule>
    <cfRule type="expression" dxfId="451" priority="52" stopIfTrue="1">
      <formula>M22="Sangre"</formula>
    </cfRule>
    <cfRule type="expression" dxfId="450" priority="53" stopIfTrue="1">
      <formula>M22="Conocimiento"</formula>
    </cfRule>
    <cfRule type="expression" dxfId="449" priority="54" stopIfTrue="1">
      <formula>M22="Pecado"</formula>
    </cfRule>
    <cfRule type="expression" dxfId="448" priority="55" stopIfTrue="1">
      <formula>M22="Paz"</formula>
    </cfRule>
    <cfRule type="expression" dxfId="447" priority="56" stopIfTrue="1">
      <formula>M22="Nobleza"</formula>
    </cfRule>
    <cfRule type="expression" dxfId="446" priority="57" stopIfTrue="1">
      <formula>M22="Musical"</formula>
    </cfRule>
    <cfRule type="expression" dxfId="445" priority="58" stopIfTrue="1">
      <formula>M22="Muerte"</formula>
    </cfRule>
    <cfRule type="expression" dxfId="444" priority="59" stopIfTrue="1">
      <formula>M22="Literae"</formula>
    </cfRule>
    <cfRule type="expression" dxfId="443" priority="60" stopIfTrue="1">
      <formula>M22="Guerra"</formula>
    </cfRule>
    <cfRule type="expression" dxfId="442" priority="61" stopIfTrue="1">
      <formula>M22="Caos"</formula>
    </cfRule>
    <cfRule type="expression" dxfId="441" priority="62" stopIfTrue="1">
      <formula>M22="Nigromancia"</formula>
    </cfRule>
    <cfRule type="expression" dxfId="440" priority="63" stopIfTrue="1">
      <formula>M22="Ilusión"</formula>
    </cfRule>
    <cfRule type="expression" dxfId="439" priority="64" stopIfTrue="1">
      <formula>M22="Esencia"</formula>
    </cfRule>
    <cfRule type="expression" dxfId="438" priority="65" stopIfTrue="1">
      <formula>M22="Tierra"</formula>
    </cfRule>
    <cfRule type="expression" dxfId="437" priority="66" stopIfTrue="1">
      <formula>M22="Fuego"</formula>
    </cfRule>
    <cfRule type="expression" dxfId="436" priority="67" stopIfTrue="1">
      <formula>M22="Agua"</formula>
    </cfRule>
    <cfRule type="expression" dxfId="435" priority="68" stopIfTrue="1">
      <formula>M22="Aire"</formula>
    </cfRule>
    <cfRule type="expression" dxfId="434" priority="69" stopIfTrue="1">
      <formula>M22="Destrucción"</formula>
    </cfRule>
    <cfRule type="expression" dxfId="433" priority="70" stopIfTrue="1">
      <formula>M22="Creación"</formula>
    </cfRule>
    <cfRule type="expression" dxfId="432" priority="71" stopIfTrue="1">
      <formula>M22="Oscuridad"</formula>
    </cfRule>
    <cfRule type="expression" dxfId="431" priority="72" stopIfTrue="1">
      <formula>M22="Luz"</formula>
    </cfRule>
  </conditionalFormatting>
  <conditionalFormatting sqref="C22:G22">
    <cfRule type="expression" dxfId="430" priority="38">
      <formula>$M$22="Estaciones"</formula>
    </cfRule>
    <cfRule type="expression" dxfId="429" priority="39" stopIfTrue="1">
      <formula>$M$22="Fantasía"</formula>
    </cfRule>
    <cfRule type="expression" dxfId="428" priority="40" stopIfTrue="1">
      <formula>$M$22="Gemas"</formula>
    </cfRule>
    <cfRule type="expression" dxfId="427" priority="41" stopIfTrue="1">
      <formula>$M$22="Apuestas"</formula>
    </cfRule>
    <cfRule type="expression" dxfId="426" priority="42" stopIfTrue="1">
      <formula>$M$22="Energía"</formula>
    </cfRule>
    <cfRule type="expression" dxfId="425" priority="43" stopIfTrue="1">
      <formula>$M$22="Ley"</formula>
    </cfRule>
  </conditionalFormatting>
  <conditionalFormatting sqref="V22">
    <cfRule type="expression" dxfId="424" priority="1" stopIfTrue="1">
      <formula>AND($P$6&lt;&gt;0,AB22&gt;$P$6)</formula>
    </cfRule>
    <cfRule type="expression" dxfId="423" priority="8" stopIfTrue="1">
      <formula>$M$22="Espacio"</formula>
    </cfRule>
    <cfRule type="expression" dxfId="422" priority="9" stopIfTrue="1">
      <formula>$M$22="Curación"</formula>
    </cfRule>
    <cfRule type="expression" dxfId="421" priority="10" stopIfTrue="1">
      <formula>AF22="Olvido"</formula>
    </cfRule>
    <cfRule type="expression" dxfId="420" priority="11" stopIfTrue="1">
      <formula>$P$7="No"</formula>
    </cfRule>
    <cfRule type="expression" dxfId="419" priority="12" stopIfTrue="1">
      <formula>AF22="Vacío"</formula>
    </cfRule>
    <cfRule type="expression" dxfId="418" priority="13" stopIfTrue="1">
      <formula>AF22="Umbral"</formula>
    </cfRule>
    <cfRule type="expression" dxfId="417" priority="14" stopIfTrue="1">
      <formula>AF22="Tiempo"</formula>
    </cfRule>
    <cfRule type="expression" dxfId="416" priority="15" stopIfTrue="1">
      <formula>AF22="Sueños"</formula>
    </cfRule>
    <cfRule type="expression" dxfId="415" priority="16" stopIfTrue="1">
      <formula>AF22="Sangre"</formula>
    </cfRule>
    <cfRule type="expression" dxfId="414" priority="17" stopIfTrue="1">
      <formula>AF22="Conocimiento"</formula>
    </cfRule>
    <cfRule type="expression" dxfId="413" priority="18" stopIfTrue="1">
      <formula>AF22="Pecado"</formula>
    </cfRule>
    <cfRule type="expression" dxfId="412" priority="19" stopIfTrue="1">
      <formula>AF22="Paz"</formula>
    </cfRule>
    <cfRule type="expression" dxfId="411" priority="20" stopIfTrue="1">
      <formula>AF22="Nobleza"</formula>
    </cfRule>
    <cfRule type="expression" dxfId="410" priority="21" stopIfTrue="1">
      <formula>AF22="Musical"</formula>
    </cfRule>
    <cfRule type="expression" dxfId="409" priority="22" stopIfTrue="1">
      <formula>AF22="Muerte"</formula>
    </cfRule>
    <cfRule type="expression" dxfId="408" priority="23" stopIfTrue="1">
      <formula>AF22="Literae"</formula>
    </cfRule>
    <cfRule type="expression" dxfId="407" priority="24" stopIfTrue="1">
      <formula>AF22="Guerra"</formula>
    </cfRule>
    <cfRule type="expression" dxfId="406" priority="25" stopIfTrue="1">
      <formula>AF22="Caos"</formula>
    </cfRule>
    <cfRule type="expression" dxfId="405" priority="26" stopIfTrue="1">
      <formula>AF22="Nigromancia"</formula>
    </cfRule>
    <cfRule type="expression" dxfId="404" priority="27" stopIfTrue="1">
      <formula>AF22="Ilusión"</formula>
    </cfRule>
    <cfRule type="expression" dxfId="403" priority="28" stopIfTrue="1">
      <formula>AF22="Esencia"</formula>
    </cfRule>
    <cfRule type="expression" dxfId="402" priority="29" stopIfTrue="1">
      <formula>AF22="Tierra"</formula>
    </cfRule>
    <cfRule type="expression" dxfId="401" priority="30" stopIfTrue="1">
      <formula>AF22="Fuego"</formula>
    </cfRule>
    <cfRule type="expression" dxfId="400" priority="31" stopIfTrue="1">
      <formula>AF22="Agua"</formula>
    </cfRule>
    <cfRule type="expression" dxfId="399" priority="32" stopIfTrue="1">
      <formula>AF22="Aire"</formula>
    </cfRule>
    <cfRule type="expression" dxfId="398" priority="33" stopIfTrue="1">
      <formula>AF22="Destrucción"</formula>
    </cfRule>
    <cfRule type="expression" dxfId="397" priority="34" stopIfTrue="1">
      <formula>AF22="Creación"</formula>
    </cfRule>
    <cfRule type="expression" dxfId="396" priority="35" stopIfTrue="1">
      <formula>AF22="Oscuridad"</formula>
    </cfRule>
    <cfRule type="expression" dxfId="395" priority="36" stopIfTrue="1">
      <formula>AF22="Luz"</formula>
    </cfRule>
  </conditionalFormatting>
  <conditionalFormatting sqref="V22:Z22">
    <cfRule type="expression" dxfId="394" priority="2">
      <formula>$M$22="Estaciones"</formula>
    </cfRule>
    <cfRule type="expression" dxfId="393" priority="3" stopIfTrue="1">
      <formula>$M$22="Fantasía"</formula>
    </cfRule>
    <cfRule type="expression" dxfId="392" priority="4" stopIfTrue="1">
      <formula>$M$22="Gemas"</formula>
    </cfRule>
    <cfRule type="expression" dxfId="391" priority="5" stopIfTrue="1">
      <formula>$M$22="Apuestas"</formula>
    </cfRule>
    <cfRule type="expression" dxfId="390" priority="6" stopIfTrue="1">
      <formula>$M$22="Energía"</formula>
    </cfRule>
    <cfRule type="expression" dxfId="389" priority="7" stopIfTrue="1">
      <formula>$M$22="Ley"</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I296"/>
  <sheetViews>
    <sheetView topLeftCell="AT1" zoomScaleNormal="100" workbookViewId="0">
      <selection activeCell="BA16" sqref="BA16"/>
    </sheetView>
  </sheetViews>
  <sheetFormatPr baseColWidth="10" defaultColWidth="11.42578125" defaultRowHeight="12.75"/>
  <cols>
    <col min="1" max="1" width="3.7109375" style="702" customWidth="1"/>
    <col min="2" max="2" width="12.28515625" style="332" customWidth="1"/>
    <col min="3" max="3" width="13.85546875" style="332" customWidth="1"/>
    <col min="4" max="4" width="14.140625" style="332" customWidth="1"/>
    <col min="5" max="5" width="14.42578125" style="332" customWidth="1"/>
    <col min="6" max="8" width="6.140625" style="332" customWidth="1"/>
    <col min="9" max="18" width="8.42578125" style="332" customWidth="1"/>
    <col min="19" max="19" width="8.140625" style="332" customWidth="1"/>
    <col min="20" max="20" width="8" style="332" customWidth="1"/>
    <col min="21" max="21" width="7.85546875" style="332" customWidth="1"/>
    <col min="22" max="24" width="6.5703125" style="332" customWidth="1"/>
    <col min="25" max="27" width="6.140625" style="332" customWidth="1"/>
    <col min="28" max="28" width="18.42578125" style="332" customWidth="1"/>
    <col min="29" max="42" width="6.140625" style="332" customWidth="1"/>
    <col min="43" max="43" width="5.85546875" style="332" customWidth="1"/>
    <col min="44" max="44" width="26.140625" style="332" customWidth="1"/>
    <col min="45" max="45" width="26.42578125" style="332" customWidth="1"/>
    <col min="46" max="60" width="11.42578125" style="332"/>
    <col min="61" max="61" width="22.85546875" style="332" customWidth="1"/>
    <col min="62" max="16384" width="11.42578125" style="332"/>
  </cols>
  <sheetData>
    <row r="1" spans="1:69" ht="12.75" customHeight="1">
      <c r="A1" s="702">
        <v>1</v>
      </c>
    </row>
    <row r="2" spans="1:69" ht="12.75" customHeight="1" thickBot="1">
      <c r="A2" s="702">
        <v>2</v>
      </c>
      <c r="S2" s="335"/>
      <c r="T2" s="335"/>
      <c r="U2" s="335"/>
      <c r="V2" s="335"/>
      <c r="W2" s="335"/>
      <c r="X2" s="335"/>
      <c r="Y2" s="335"/>
      <c r="Z2" s="335"/>
      <c r="AA2" s="335"/>
    </row>
    <row r="3" spans="1:69" ht="12.75" customHeight="1" thickBot="1">
      <c r="A3" s="702">
        <v>3</v>
      </c>
      <c r="B3" s="3485"/>
      <c r="C3" s="8469" t="s">
        <v>5384</v>
      </c>
      <c r="D3" s="7157"/>
      <c r="E3" s="7157"/>
      <c r="F3" s="7157"/>
      <c r="G3" s="7157"/>
      <c r="H3" s="7157"/>
      <c r="I3" s="7157"/>
      <c r="J3" s="7157"/>
      <c r="K3" s="7157"/>
      <c r="L3" s="7157"/>
      <c r="M3" s="7157"/>
      <c r="N3" s="7157"/>
      <c r="O3" s="7157"/>
      <c r="P3" s="7157"/>
      <c r="Q3" s="7157"/>
      <c r="R3" s="7157"/>
      <c r="S3" s="7157"/>
      <c r="T3" s="7157"/>
      <c r="U3" s="7157"/>
      <c r="V3" s="7157"/>
      <c r="W3" s="7157"/>
      <c r="X3" s="7157"/>
      <c r="Y3" s="7157"/>
      <c r="Z3" s="8470"/>
      <c r="AA3" s="335"/>
      <c r="AB3" s="8463" t="s">
        <v>8836</v>
      </c>
      <c r="AC3" s="8464"/>
      <c r="AD3" s="8464"/>
      <c r="AE3" s="8464"/>
      <c r="AF3" s="8464"/>
      <c r="AG3" s="8464"/>
      <c r="AH3" s="8464"/>
      <c r="AI3" s="8464"/>
      <c r="AJ3" s="8464"/>
      <c r="AK3" s="8464"/>
      <c r="AL3" s="8464"/>
      <c r="AM3" s="8464"/>
      <c r="AN3" s="8464"/>
      <c r="AO3" s="8465"/>
      <c r="AQ3" s="8444" t="s">
        <v>8343</v>
      </c>
      <c r="AR3" s="8445"/>
      <c r="AS3" s="8446"/>
      <c r="AU3" s="8450" t="s">
        <v>8278</v>
      </c>
      <c r="AV3" s="8451"/>
      <c r="AW3" s="8451"/>
      <c r="AX3" s="8451"/>
      <c r="AY3" s="8451"/>
      <c r="AZ3" s="8451"/>
      <c r="BA3" s="8451"/>
      <c r="BB3" s="8451"/>
      <c r="BC3" s="8451"/>
      <c r="BD3" s="8451"/>
      <c r="BE3" s="8451"/>
      <c r="BF3" s="8451"/>
      <c r="BG3" s="8451"/>
      <c r="BH3" s="8451"/>
      <c r="BI3" s="8451"/>
      <c r="BJ3" s="8451"/>
      <c r="BK3" s="8451"/>
      <c r="BL3" s="8451"/>
      <c r="BM3" s="8451"/>
      <c r="BN3" s="8451"/>
      <c r="BO3" s="8451"/>
      <c r="BP3" s="8451"/>
      <c r="BQ3" s="8452"/>
    </row>
    <row r="4" spans="1:69" ht="12.75" customHeight="1" thickBot="1">
      <c r="A4" s="702">
        <v>4</v>
      </c>
      <c r="B4" s="3486"/>
      <c r="C4" s="8469"/>
      <c r="D4" s="7157"/>
      <c r="E4" s="7157"/>
      <c r="F4" s="7157"/>
      <c r="G4" s="7157"/>
      <c r="H4" s="7157"/>
      <c r="I4" s="7157"/>
      <c r="J4" s="7157"/>
      <c r="K4" s="7157"/>
      <c r="L4" s="7157"/>
      <c r="M4" s="7157"/>
      <c r="N4" s="7157"/>
      <c r="O4" s="7157"/>
      <c r="P4" s="7157"/>
      <c r="Q4" s="7157"/>
      <c r="R4" s="7157"/>
      <c r="S4" s="7157"/>
      <c r="T4" s="7157"/>
      <c r="U4" s="7157"/>
      <c r="V4" s="7157"/>
      <c r="W4" s="7157"/>
      <c r="X4" s="7157"/>
      <c r="Y4" s="7157"/>
      <c r="Z4" s="8470"/>
      <c r="AA4" s="339"/>
      <c r="AB4" s="8466"/>
      <c r="AC4" s="8467"/>
      <c r="AD4" s="8467"/>
      <c r="AE4" s="8467"/>
      <c r="AF4" s="8467"/>
      <c r="AG4" s="8467"/>
      <c r="AH4" s="8467"/>
      <c r="AI4" s="8467"/>
      <c r="AJ4" s="8467"/>
      <c r="AK4" s="8467"/>
      <c r="AL4" s="8467"/>
      <c r="AM4" s="8467"/>
      <c r="AN4" s="8467"/>
      <c r="AO4" s="8468"/>
      <c r="AQ4" s="8447"/>
      <c r="AR4" s="8448"/>
      <c r="AS4" s="8449"/>
      <c r="AU4" s="3023" t="s">
        <v>64</v>
      </c>
      <c r="AV4" s="3024" t="s">
        <v>66</v>
      </c>
      <c r="AW4" s="3024" t="s">
        <v>68</v>
      </c>
      <c r="AX4" s="3024" t="s">
        <v>70</v>
      </c>
      <c r="AY4" s="3024" t="s">
        <v>8265</v>
      </c>
      <c r="AZ4" s="3024" t="s">
        <v>73</v>
      </c>
      <c r="BA4" s="3031" t="s">
        <v>76</v>
      </c>
      <c r="BB4" s="3024" t="s">
        <v>74</v>
      </c>
      <c r="BC4" s="3024" t="s">
        <v>77</v>
      </c>
      <c r="BD4" s="3024" t="s">
        <v>78</v>
      </c>
      <c r="BE4" s="3024" t="s">
        <v>80</v>
      </c>
      <c r="BF4" s="3024" t="s">
        <v>1553</v>
      </c>
      <c r="BG4" s="3025" t="s">
        <v>10050</v>
      </c>
      <c r="BH4" s="3025" t="s">
        <v>10051</v>
      </c>
      <c r="BI4" s="3025" t="s">
        <v>10052</v>
      </c>
      <c r="BJ4" s="3025" t="s">
        <v>10062</v>
      </c>
      <c r="BK4" s="3025" t="s">
        <v>10053</v>
      </c>
      <c r="BL4" s="3025" t="s">
        <v>10054</v>
      </c>
      <c r="BM4" s="3025" t="s">
        <v>10055</v>
      </c>
      <c r="BN4" s="3025" t="s">
        <v>10056</v>
      </c>
      <c r="BO4" s="3025" t="s">
        <v>10060</v>
      </c>
      <c r="BP4" s="3024" t="s">
        <v>8279</v>
      </c>
      <c r="BQ4" s="3043" t="s">
        <v>10057</v>
      </c>
    </row>
    <row r="5" spans="1:69" ht="17.25" customHeight="1" thickBot="1">
      <c r="A5" s="702">
        <v>5</v>
      </c>
      <c r="B5" s="8440" t="s">
        <v>11055</v>
      </c>
      <c r="C5" s="3487"/>
      <c r="D5" s="3488">
        <v>1</v>
      </c>
      <c r="E5" s="3488">
        <v>2</v>
      </c>
      <c r="F5" s="3488">
        <v>3</v>
      </c>
      <c r="G5" s="3488">
        <v>4</v>
      </c>
      <c r="H5" s="3488">
        <v>5</v>
      </c>
      <c r="I5" s="3488">
        <v>6</v>
      </c>
      <c r="J5" s="3488">
        <v>7</v>
      </c>
      <c r="K5" s="3488">
        <v>8</v>
      </c>
      <c r="L5" s="3489">
        <v>9</v>
      </c>
      <c r="M5" s="3489">
        <v>10</v>
      </c>
      <c r="N5" s="3489">
        <v>11</v>
      </c>
      <c r="O5" s="3489">
        <v>12</v>
      </c>
      <c r="P5" s="3489">
        <v>13</v>
      </c>
      <c r="Q5" s="3489">
        <v>14</v>
      </c>
      <c r="R5" s="3489">
        <v>15</v>
      </c>
      <c r="S5" s="8442" t="s">
        <v>6555</v>
      </c>
      <c r="T5" s="8442" t="s">
        <v>1258</v>
      </c>
      <c r="U5" s="8442"/>
      <c r="V5" s="8442"/>
      <c r="W5" s="8442" t="s">
        <v>5983</v>
      </c>
      <c r="X5" s="8442"/>
      <c r="Y5" s="8442" t="s">
        <v>2475</v>
      </c>
      <c r="Z5" s="8471"/>
      <c r="AA5" s="341"/>
      <c r="AB5" s="3533">
        <v>1</v>
      </c>
      <c r="AC5" s="3534">
        <v>2</v>
      </c>
      <c r="AD5" s="3534">
        <v>3</v>
      </c>
      <c r="AE5" s="3534">
        <v>4</v>
      </c>
      <c r="AF5" s="3534">
        <v>5</v>
      </c>
      <c r="AG5" s="3534">
        <v>6</v>
      </c>
      <c r="AH5" s="3534">
        <v>7</v>
      </c>
      <c r="AI5" s="3534">
        <v>8</v>
      </c>
      <c r="AJ5" s="3534">
        <v>9</v>
      </c>
      <c r="AK5" s="3534">
        <v>10</v>
      </c>
      <c r="AL5" s="3534">
        <v>11</v>
      </c>
      <c r="AM5" s="3534">
        <v>12</v>
      </c>
      <c r="AN5" s="3534">
        <v>13</v>
      </c>
      <c r="AO5" s="3535">
        <v>14</v>
      </c>
      <c r="AQ5" s="2026"/>
      <c r="AR5" s="2027" t="s">
        <v>9154</v>
      </c>
      <c r="AS5" s="2035" t="s">
        <v>2666</v>
      </c>
      <c r="AU5" s="3044">
        <f>IF(ISNA(VLOOKUP(AU4,Psíquicos!$C$26:$E$37,1,0)),0,1)</f>
        <v>0</v>
      </c>
      <c r="AV5" s="3045">
        <f>IF(ISNA(VLOOKUP(AV4,Psíquicos!$C$26:$E$37,1,0)),0,1)</f>
        <v>0</v>
      </c>
      <c r="AW5" s="3045">
        <f>IF(ISNA(VLOOKUP(AW4,Psíquicos!$C$26:$E$37,1,0)),0,1)</f>
        <v>0</v>
      </c>
      <c r="AX5" s="3045">
        <f>IF(ISNA(VLOOKUP(AX4,Psíquicos!$C$26:$E$37,1,0)),0,1)</f>
        <v>0</v>
      </c>
      <c r="AY5" s="3045">
        <f>IF(ISNA(VLOOKUP(AY4,Psíquicos!$C$26:$E$37,1,0)),0,1)</f>
        <v>0</v>
      </c>
      <c r="AZ5" s="3045">
        <f>IF(ISNA(VLOOKUP(AZ4,Psíquicos!$C$26:$E$37,1,0)),0,1)</f>
        <v>0</v>
      </c>
      <c r="BA5" s="3046">
        <f>IF(ISNA(VLOOKUP(BA4,Psíquicos!$C$26:$E$37,1,0)),0,1)</f>
        <v>0</v>
      </c>
      <c r="BB5" s="3045">
        <f>IF(ISNA(VLOOKUP(BB4,Psíquicos!$C$26:$E$37,1,0)),0,1)</f>
        <v>0</v>
      </c>
      <c r="BC5" s="3045">
        <f>IF(ISNA(VLOOKUP(BC4,Psíquicos!$C$26:$E$37,1,0)),0,1)</f>
        <v>0</v>
      </c>
      <c r="BD5" s="3045">
        <f>IF(ISNA(VLOOKUP(BD4,Psíquicos!$C$26:$E$37,1,0)),0,1)</f>
        <v>0</v>
      </c>
      <c r="BE5" s="3045">
        <f>IF(ISNA(VLOOKUP(BE4,Psíquicos!$C$26:$E$37,1,0)),0,1)</f>
        <v>0</v>
      </c>
      <c r="BF5" s="3045">
        <f>IF(ISNA(VLOOKUP(BF4,Psíquicos!$C$26:$E$37,1,0)),0,1)</f>
        <v>0</v>
      </c>
      <c r="BG5" s="3047">
        <f>IF(ISNA(VLOOKUP(BG4,Psíquicos!$C$26:$E$37,1,0)),0,1)</f>
        <v>0</v>
      </c>
      <c r="BH5" s="3047">
        <f>IF(ISNA(VLOOKUP(BH4,Psíquicos!$C$26:$E$37,1,0)),0,1)</f>
        <v>0</v>
      </c>
      <c r="BI5" s="3047">
        <f>IF(ISNA(VLOOKUP(BI4,Psíquicos!$C$26:$E$37,1,0)),0,1)</f>
        <v>0</v>
      </c>
      <c r="BJ5" s="3047">
        <f>IF(ISNA(VLOOKUP(BJ4,Psíquicos!$C$26:$E$37,1,0)),0,1)</f>
        <v>0</v>
      </c>
      <c r="BK5" s="3047">
        <f>IF(ISNA(VLOOKUP(BK4,Psíquicos!$C$26:$E$37,1,0)),0,1)</f>
        <v>0</v>
      </c>
      <c r="BL5" s="3047">
        <f>IF(ISNA(VLOOKUP(BL4,Psíquicos!$C$26:$E$37,1,0)),0,1)</f>
        <v>0</v>
      </c>
      <c r="BM5" s="3047">
        <f>IF(ISNA(VLOOKUP(BM4,Psíquicos!$C$26:$E$37,1,0)),0,1)</f>
        <v>0</v>
      </c>
      <c r="BN5" s="3047">
        <f>IF(ISNA(VLOOKUP(BN4,Psíquicos!$C$26:$E$37,1,0)),0,1)</f>
        <v>0</v>
      </c>
      <c r="BO5" s="3047">
        <f>IF(ISNA(VLOOKUP(BO4,Psíquicos!$C$26:$E$37,1,0)),0,1)</f>
        <v>0</v>
      </c>
      <c r="BP5" s="3045">
        <v>1</v>
      </c>
      <c r="BQ5" s="3048">
        <f>IF('Red Neuronal'!W43=5,1,0)</f>
        <v>0</v>
      </c>
    </row>
    <row r="6" spans="1:69" ht="12.75" customHeight="1" thickBot="1">
      <c r="A6" s="702">
        <v>6</v>
      </c>
      <c r="B6" s="8441"/>
      <c r="C6" s="3490"/>
      <c r="D6" s="3491" t="s">
        <v>1301</v>
      </c>
      <c r="E6" s="3491" t="s">
        <v>81</v>
      </c>
      <c r="F6" s="3491" t="s">
        <v>1262</v>
      </c>
      <c r="G6" s="3491" t="s">
        <v>5385</v>
      </c>
      <c r="H6" s="3491" t="s">
        <v>2658</v>
      </c>
      <c r="I6" s="3491" t="s">
        <v>6747</v>
      </c>
      <c r="J6" s="3491" t="s">
        <v>6748</v>
      </c>
      <c r="K6" s="3491" t="s">
        <v>6749</v>
      </c>
      <c r="L6" s="3491" t="s">
        <v>6758</v>
      </c>
      <c r="M6" s="3491" t="s">
        <v>6750</v>
      </c>
      <c r="N6" s="3491" t="s">
        <v>6751</v>
      </c>
      <c r="O6" s="3491" t="s">
        <v>6752</v>
      </c>
      <c r="P6" s="3491" t="s">
        <v>6753</v>
      </c>
      <c r="Q6" s="3491" t="s">
        <v>6754</v>
      </c>
      <c r="R6" s="3491" t="s">
        <v>6755</v>
      </c>
      <c r="S6" s="8443"/>
      <c r="T6" s="3492" t="s">
        <v>8313</v>
      </c>
      <c r="U6" s="3492" t="s">
        <v>11056</v>
      </c>
      <c r="V6" s="3513" t="s">
        <v>2016</v>
      </c>
      <c r="W6" s="4250" t="s">
        <v>13938</v>
      </c>
      <c r="X6" s="4250" t="s">
        <v>13939</v>
      </c>
      <c r="Y6" s="3492" t="s">
        <v>10834</v>
      </c>
      <c r="Z6" s="3514" t="s">
        <v>11057</v>
      </c>
      <c r="AB6" s="1794" t="s">
        <v>1301</v>
      </c>
      <c r="AC6" s="1795" t="s">
        <v>8838</v>
      </c>
      <c r="AD6" s="1795" t="s">
        <v>8839</v>
      </c>
      <c r="AE6" s="1795" t="s">
        <v>6747</v>
      </c>
      <c r="AF6" s="1795" t="s">
        <v>6748</v>
      </c>
      <c r="AG6" s="1795" t="s">
        <v>6749</v>
      </c>
      <c r="AH6" s="1795" t="s">
        <v>6758</v>
      </c>
      <c r="AI6" s="1795" t="s">
        <v>6750</v>
      </c>
      <c r="AJ6" s="1795" t="s">
        <v>6751</v>
      </c>
      <c r="AK6" s="1795" t="s">
        <v>6752</v>
      </c>
      <c r="AL6" s="1795" t="s">
        <v>6753</v>
      </c>
      <c r="AM6" s="1795" t="s">
        <v>6754</v>
      </c>
      <c r="AN6" s="1795" t="s">
        <v>6755</v>
      </c>
      <c r="AO6" s="1792" t="s">
        <v>8837</v>
      </c>
      <c r="AQ6" s="2036" t="s">
        <v>9155</v>
      </c>
      <c r="AR6" s="2028" t="str">
        <f>"'Tablas Psiquica'!"&amp;ADDRESS(ROW($AR$7),COLUMN($AR$7))&amp;":"&amp;ADDRESS(ROW($AR$7)+COUNTIF(AR7:AR145,"?*")-1,COLUMN($AR$7))</f>
        <v>'Tablas Psiquica'!$AR$7:$AR$11</v>
      </c>
      <c r="AS6" s="2037" t="str">
        <f>"'Tablas Psiquica'!"&amp;ADDRESS(ROW($AS$7),COLUMN($AS$7))&amp;":"&amp;ADDRESS(ROW($AS$7)+COUNTIF(AS7:AS145,"?*")-1,COLUMN($AS$7))</f>
        <v>'Tablas Psiquica'!$AS$7:$AS$11</v>
      </c>
      <c r="AU6" s="3029" t="s">
        <v>83</v>
      </c>
      <c r="AV6" s="3030" t="s">
        <v>99</v>
      </c>
      <c r="AW6" s="3719" t="s">
        <v>113</v>
      </c>
      <c r="AX6" s="3030" t="s">
        <v>125</v>
      </c>
      <c r="AY6" s="3030" t="s">
        <v>139</v>
      </c>
      <c r="AZ6" s="3030" t="s">
        <v>151</v>
      </c>
      <c r="BA6" s="3033" t="s">
        <v>163</v>
      </c>
      <c r="BB6" s="3719" t="s">
        <v>173</v>
      </c>
      <c r="BC6" s="3720" t="s">
        <v>178</v>
      </c>
      <c r="BD6" s="3030" t="s">
        <v>184</v>
      </c>
      <c r="BE6" s="3034" t="s">
        <v>194</v>
      </c>
      <c r="BF6" s="3034" t="s">
        <v>201</v>
      </c>
      <c r="BG6" s="3033" t="s">
        <v>10221</v>
      </c>
      <c r="BH6" s="3035" t="s">
        <v>10222</v>
      </c>
      <c r="BI6" s="3035" t="s">
        <v>10223</v>
      </c>
      <c r="BJ6" s="3035" t="s">
        <v>10224</v>
      </c>
      <c r="BK6" s="3035" t="s">
        <v>10225</v>
      </c>
      <c r="BL6" s="3035" t="s">
        <v>10226</v>
      </c>
      <c r="BM6" s="3035" t="s">
        <v>10227</v>
      </c>
      <c r="BN6" s="3035" t="s">
        <v>10228</v>
      </c>
      <c r="BO6" s="3035" t="s">
        <v>10281</v>
      </c>
      <c r="BP6" s="3034" t="s">
        <v>210</v>
      </c>
      <c r="BQ6" s="3721">
        <f>IF(BK24&lt;&gt;"",BK24,0)</f>
        <v>0</v>
      </c>
    </row>
    <row r="7" spans="1:69" ht="12.75" customHeight="1">
      <c r="A7" s="702">
        <v>7</v>
      </c>
      <c r="B7" s="3493">
        <f>IF(OR(S7=0),0,SUM($S$6:S7))</f>
        <v>0</v>
      </c>
      <c r="C7" s="3494"/>
      <c r="D7" s="3495" t="s">
        <v>82</v>
      </c>
      <c r="E7" s="342"/>
      <c r="F7" s="343"/>
      <c r="G7" s="343"/>
      <c r="H7" s="344"/>
      <c r="I7" s="3571"/>
      <c r="J7" s="3571"/>
      <c r="K7" s="3571"/>
      <c r="L7" s="3571"/>
      <c r="M7" s="3571"/>
      <c r="N7" s="3571"/>
      <c r="O7" s="3571"/>
      <c r="P7" s="3571"/>
      <c r="Q7" s="3571"/>
      <c r="R7" s="3571"/>
      <c r="S7" s="3515">
        <f>S8</f>
        <v>0</v>
      </c>
      <c r="T7" s="3515"/>
      <c r="U7" s="3521"/>
      <c r="V7" s="3522"/>
      <c r="W7" s="3157"/>
      <c r="X7" s="4251"/>
      <c r="Y7" s="404">
        <f t="shared" ref="Y7:Y70" si="0">T7+U7</f>
        <v>0</v>
      </c>
      <c r="Z7" s="3496">
        <f t="shared" ref="Z7:Z70" si="1">T7+V7</f>
        <v>0</v>
      </c>
      <c r="AB7" s="3536" t="s">
        <v>82</v>
      </c>
      <c r="AC7" s="342"/>
      <c r="AD7" s="342"/>
      <c r="AE7" s="798"/>
      <c r="AF7" s="798"/>
      <c r="AG7" s="798"/>
      <c r="AH7" s="798"/>
      <c r="AI7" s="798"/>
      <c r="AJ7" s="798"/>
      <c r="AK7" s="798"/>
      <c r="AL7" s="798"/>
      <c r="AM7" s="798"/>
      <c r="AN7" s="798"/>
      <c r="AO7" s="1793" t="e">
        <f>IF(COUNTIF(Psíquicos!$AD$20:$AH$65,AB7),VALUE(INDEX('Tablas psiquica'!$AE7:$AN7,MATCH('Tablas psiquica'!$AD7,'Tablas psiquica'!$AE$6:$AN$6,0))),0)</f>
        <v>#N/A</v>
      </c>
      <c r="AQ7" s="2031">
        <f>IFERROR(IF(VLOOKUP(AR7,$D$7:$G$296,4,FALSE)&lt;&gt;"No",MAX(AQ$5:AQ5)+1,0),"")</f>
        <v>1</v>
      </c>
      <c r="AR7" s="2032" t="str">
        <f t="shared" ref="AR7:AR38" si="2">IF(ISNA(VLOOKUP(A1,$B$7:$D$296,3,FALSE)),"",VLOOKUP(A1,$B$7:$D$296,3,FALSE))</f>
        <v>&gt; PODERES MATRICIALES</v>
      </c>
      <c r="AS7" s="2038" t="str">
        <f>IFERROR(VLOOKUP(Tablas!$A1,$AQ$7:$AR$145,2,FALSE),"")</f>
        <v>&gt; PODERES MATRICIALES</v>
      </c>
      <c r="AU7" s="3026" t="s">
        <v>84</v>
      </c>
      <c r="AV7" s="3028" t="s">
        <v>100</v>
      </c>
      <c r="AW7" s="786" t="s">
        <v>114</v>
      </c>
      <c r="AX7" s="3028" t="s">
        <v>126</v>
      </c>
      <c r="AY7" s="3028" t="s">
        <v>140</v>
      </c>
      <c r="AZ7" s="3028" t="s">
        <v>152</v>
      </c>
      <c r="BA7" s="3036" t="s">
        <v>207</v>
      </c>
      <c r="BB7" s="3196" t="s">
        <v>11762</v>
      </c>
      <c r="BC7" s="3196" t="s">
        <v>11764</v>
      </c>
      <c r="BD7" s="3028" t="s">
        <v>185</v>
      </c>
      <c r="BE7" s="3037" t="s">
        <v>195</v>
      </c>
      <c r="BF7" s="3037" t="s">
        <v>202</v>
      </c>
      <c r="BG7" s="3036" t="s">
        <v>10229</v>
      </c>
      <c r="BH7" s="3038" t="s">
        <v>10230</v>
      </c>
      <c r="BI7" s="3038" t="s">
        <v>10231</v>
      </c>
      <c r="BJ7" s="3038" t="s">
        <v>10232</v>
      </c>
      <c r="BK7" s="3038" t="s">
        <v>10233</v>
      </c>
      <c r="BL7" s="3038" t="s">
        <v>10234</v>
      </c>
      <c r="BM7" s="3038" t="s">
        <v>10235</v>
      </c>
      <c r="BN7" s="3038" t="s">
        <v>10236</v>
      </c>
      <c r="BO7" s="3038" t="s">
        <v>10282</v>
      </c>
      <c r="BP7" s="3037" t="s">
        <v>211</v>
      </c>
      <c r="BQ7" s="3722">
        <f t="shared" ref="BQ7:BQ20" si="3">IF(BK25&lt;&gt;"",BK25,0)</f>
        <v>0</v>
      </c>
    </row>
    <row r="8" spans="1:69" ht="12.75" customHeight="1">
      <c r="A8" s="702">
        <v>8</v>
      </c>
      <c r="B8" s="3493">
        <f>IF(OR(S8=0),0,SUM($S$6:S8))</f>
        <v>0</v>
      </c>
      <c r="C8" s="3494"/>
      <c r="D8" s="257" t="s">
        <v>83</v>
      </c>
      <c r="E8" s="342" t="s">
        <v>64</v>
      </c>
      <c r="F8" s="343">
        <v>1</v>
      </c>
      <c r="G8" s="343" t="s">
        <v>2422</v>
      </c>
      <c r="H8" s="344" t="s">
        <v>1166</v>
      </c>
      <c r="I8" s="3571" t="s">
        <v>5386</v>
      </c>
      <c r="J8" s="3571" t="s">
        <v>5387</v>
      </c>
      <c r="K8" s="3571" t="s">
        <v>5388</v>
      </c>
      <c r="L8" s="3571" t="s">
        <v>5389</v>
      </c>
      <c r="M8" s="3571" t="s">
        <v>5390</v>
      </c>
      <c r="N8" s="3571" t="s">
        <v>5391</v>
      </c>
      <c r="O8" s="3571" t="s">
        <v>5392</v>
      </c>
      <c r="P8" s="3571" t="s">
        <v>5393</v>
      </c>
      <c r="Q8" s="3571" t="s">
        <v>5394</v>
      </c>
      <c r="R8" s="3571" t="s">
        <v>5395</v>
      </c>
      <c r="S8" s="3516">
        <f>IF(COUNTIF(Psíquicos!$C$26:$E$37,E8)=0,0,1)</f>
        <v>0</v>
      </c>
      <c r="T8" s="3517">
        <f>COUNTIF(Psíquicos!$V$20:$Z$73,'Tablas psiquica'!D8)</f>
        <v>0</v>
      </c>
      <c r="U8" s="404"/>
      <c r="V8" s="3523"/>
      <c r="W8" s="4252" t="s">
        <v>13940</v>
      </c>
      <c r="X8" s="4253" t="s">
        <v>13941</v>
      </c>
      <c r="Y8" s="404">
        <f t="shared" si="0"/>
        <v>0</v>
      </c>
      <c r="Z8" s="3496">
        <f t="shared" si="1"/>
        <v>0</v>
      </c>
      <c r="AB8" s="3537" t="s">
        <v>83</v>
      </c>
      <c r="AC8" s="342" t="str" cm="1">
        <f t="array" ref="AC8">INDEX($I$6:$R$6,SUMPRODUCT(ISNUMBER(SEARCH("Fatiga",I8:R8))*1)+1)</f>
        <v>MED</v>
      </c>
      <c r="AD8" s="342" t="str">
        <f>IFERROR(VLOOKUP(AB8,Psíquicos!$AD$11:$AK$67,8,FALSE),AC8)</f>
        <v>MED</v>
      </c>
      <c r="AE8" s="798"/>
      <c r="AF8" s="798"/>
      <c r="AG8" s="798" t="str">
        <f t="shared" ref="AG8:AN8" si="4">MID(K8,5,LEN(K8))</f>
        <v>10</v>
      </c>
      <c r="AH8" s="798" t="str">
        <f t="shared" si="4"/>
        <v>30</v>
      </c>
      <c r="AI8" s="798" t="str">
        <f t="shared" si="4"/>
        <v>50</v>
      </c>
      <c r="AJ8" s="798" t="str">
        <f t="shared" si="4"/>
        <v>80</v>
      </c>
      <c r="AK8" s="798" t="str">
        <f t="shared" si="4"/>
        <v>120</v>
      </c>
      <c r="AL8" s="798" t="str">
        <f t="shared" si="4"/>
        <v>160</v>
      </c>
      <c r="AM8" s="798" t="str">
        <f t="shared" si="4"/>
        <v>200</v>
      </c>
      <c r="AN8" s="798" t="str">
        <f t="shared" si="4"/>
        <v>240</v>
      </c>
      <c r="AO8" s="1793">
        <f>IF(COUNTIF(Psíquicos!$AD$20:$AH$65,AB8),VALUE(INDEX('Tablas psiquica'!$AE8:$AN8,MATCH('Tablas psiquica'!$AD8,'Tablas psiquica'!$AE$6:$AN$6,0))),0)</f>
        <v>0</v>
      </c>
      <c r="AQ8" s="2029">
        <f>IFERROR(IF(VLOOKUP(AR8,$D$7:$G$296,4,FALSE)&lt;&gt;"No",MAX(AQ$5:AQ7)+1,0),"")</f>
        <v>2</v>
      </c>
      <c r="AR8" s="2030" t="str">
        <f t="shared" si="2"/>
        <v>Destruir matrices</v>
      </c>
      <c r="AS8" s="2039" t="str">
        <f>IFERROR(VLOOKUP(Tablas!$A2,$AQ$7:$AR$145,2,FALSE),"")</f>
        <v>Destruir matrices</v>
      </c>
      <c r="AU8" s="3026" t="s">
        <v>85</v>
      </c>
      <c r="AV8" s="3028" t="s">
        <v>101</v>
      </c>
      <c r="AW8" s="786" t="s">
        <v>115</v>
      </c>
      <c r="AX8" s="3028" t="s">
        <v>127</v>
      </c>
      <c r="AY8" s="3028" t="s">
        <v>141</v>
      </c>
      <c r="AZ8" s="3028" t="s">
        <v>153</v>
      </c>
      <c r="BA8" s="3036" t="s">
        <v>164</v>
      </c>
      <c r="BB8" s="3196" t="s">
        <v>11763</v>
      </c>
      <c r="BC8" s="3196" t="s">
        <v>179</v>
      </c>
      <c r="BD8" s="3028" t="s">
        <v>186</v>
      </c>
      <c r="BE8" s="3037" t="s">
        <v>196</v>
      </c>
      <c r="BF8" s="3037" t="s">
        <v>203</v>
      </c>
      <c r="BG8" s="3036" t="s">
        <v>10237</v>
      </c>
      <c r="BH8" s="3038" t="s">
        <v>10238</v>
      </c>
      <c r="BI8" s="3038" t="s">
        <v>10239</v>
      </c>
      <c r="BJ8" s="3038" t="s">
        <v>10240</v>
      </c>
      <c r="BK8" s="3038" t="s">
        <v>10241</v>
      </c>
      <c r="BL8" s="3038" t="s">
        <v>10242</v>
      </c>
      <c r="BM8" s="3038" t="s">
        <v>10243</v>
      </c>
      <c r="BN8" s="3038" t="s">
        <v>10244</v>
      </c>
      <c r="BO8" s="3038" t="s">
        <v>10283</v>
      </c>
      <c r="BP8" s="3037" t="s">
        <v>212</v>
      </c>
      <c r="BQ8" s="3722">
        <f t="shared" si="3"/>
        <v>0</v>
      </c>
    </row>
    <row r="9" spans="1:69" ht="12.75" customHeight="1">
      <c r="A9" s="702">
        <v>9</v>
      </c>
      <c r="B9" s="3493">
        <f>IF(OR(S9=0),0,SUM($S$6:S9))</f>
        <v>0</v>
      </c>
      <c r="C9" s="3494"/>
      <c r="D9" s="257" t="s">
        <v>84</v>
      </c>
      <c r="E9" s="342" t="s">
        <v>64</v>
      </c>
      <c r="F9" s="343">
        <v>1</v>
      </c>
      <c r="G9" s="343" t="s">
        <v>2422</v>
      </c>
      <c r="H9" s="344" t="s">
        <v>1165</v>
      </c>
      <c r="I9" s="3571" t="s">
        <v>5386</v>
      </c>
      <c r="J9" s="3571" t="s">
        <v>5387</v>
      </c>
      <c r="K9" s="3571" t="s">
        <v>5396</v>
      </c>
      <c r="L9" s="3571" t="s">
        <v>5397</v>
      </c>
      <c r="M9" s="3571" t="s">
        <v>5398</v>
      </c>
      <c r="N9" s="3571" t="s">
        <v>5399</v>
      </c>
      <c r="O9" s="3571" t="s">
        <v>5400</v>
      </c>
      <c r="P9" s="3571" t="s">
        <v>5401</v>
      </c>
      <c r="Q9" s="3571" t="s">
        <v>5402</v>
      </c>
      <c r="R9" s="3571" t="s">
        <v>5403</v>
      </c>
      <c r="S9" s="3516">
        <f>IF(COUNTIF(Psíquicos!$C$26:$E$37,E9)=0,0,1)</f>
        <v>0</v>
      </c>
      <c r="T9" s="3517">
        <f>COUNTIF(Psíquicos!$V$20:$Z$73,'Tablas psiquica'!D9)</f>
        <v>0</v>
      </c>
      <c r="U9" s="404"/>
      <c r="V9" s="3523"/>
      <c r="W9" s="4252" t="s">
        <v>13942</v>
      </c>
      <c r="X9" s="4253" t="s">
        <v>13943</v>
      </c>
      <c r="Y9" s="404">
        <f t="shared" si="0"/>
        <v>0</v>
      </c>
      <c r="Z9" s="3496">
        <f t="shared" si="1"/>
        <v>0</v>
      </c>
      <c r="AB9" s="3537" t="s">
        <v>84</v>
      </c>
      <c r="AC9" s="342" t="str" cm="1">
        <f t="array" ref="AC9">INDEX($I$6:$R$6,SUMPRODUCT(ISNUMBER(SEARCH("Fatiga",I9:R9))*1)+1)</f>
        <v>MED</v>
      </c>
      <c r="AD9" s="342" t="str">
        <f>IFERROR(VLOOKUP(AB9,Psíquicos!$AD$11:$AK$67,8,FALSE),AC9)</f>
        <v>MED</v>
      </c>
      <c r="AE9" s="798"/>
      <c r="AF9" s="798"/>
      <c r="AG9" s="798"/>
      <c r="AH9" s="798"/>
      <c r="AI9" s="798"/>
      <c r="AJ9" s="798"/>
      <c r="AK9" s="798"/>
      <c r="AL9" s="798"/>
      <c r="AM9" s="798"/>
      <c r="AN9" s="798"/>
      <c r="AO9" s="1793">
        <f>IF(COUNTIF(Psíquicos!$AD$20:$AH$65,AB9),VALUE(INDEX('Tablas psiquica'!$AE9:$AN9,MATCH('Tablas psiquica'!$AD9,'Tablas psiquica'!$AE$6:$AN$6,0))),0)</f>
        <v>0</v>
      </c>
      <c r="AQ9" s="2029">
        <f>IFERROR(IF(VLOOKUP(AR9,$D$7:$G$296,4,FALSE)&lt;&gt;"No",MAX(AQ$5:AQ8)+1,0),"")</f>
        <v>3</v>
      </c>
      <c r="AR9" s="2030" t="str">
        <f t="shared" si="2"/>
        <v>Sentir matrices</v>
      </c>
      <c r="AS9" s="2039" t="str">
        <f>IFERROR(VLOOKUP(Tablas!$A3,$AQ$7:$AR$145,2,FALSE),"")</f>
        <v>Sentir matrices</v>
      </c>
      <c r="AU9" s="3026" t="s">
        <v>86</v>
      </c>
      <c r="AV9" s="3028" t="s">
        <v>10245</v>
      </c>
      <c r="AW9" s="786" t="s">
        <v>116</v>
      </c>
      <c r="AX9" s="3028" t="s">
        <v>128</v>
      </c>
      <c r="AY9" s="3028" t="s">
        <v>1536</v>
      </c>
      <c r="AZ9" s="3028" t="s">
        <v>154</v>
      </c>
      <c r="BA9" s="3036" t="s">
        <v>165</v>
      </c>
      <c r="BB9" s="786" t="s">
        <v>174</v>
      </c>
      <c r="BC9" s="3196" t="s">
        <v>180</v>
      </c>
      <c r="BD9" s="3028" t="s">
        <v>187</v>
      </c>
      <c r="BE9" s="3037" t="s">
        <v>197</v>
      </c>
      <c r="BF9" s="3037" t="s">
        <v>204</v>
      </c>
      <c r="BG9" s="3036" t="s">
        <v>10246</v>
      </c>
      <c r="BH9" s="3038" t="s">
        <v>10247</v>
      </c>
      <c r="BI9" s="3038" t="s">
        <v>10248</v>
      </c>
      <c r="BJ9" s="3038" t="s">
        <v>10249</v>
      </c>
      <c r="BK9" s="3038" t="s">
        <v>10250</v>
      </c>
      <c r="BL9" s="3038" t="s">
        <v>10251</v>
      </c>
      <c r="BM9" s="3038" t="s">
        <v>10252</v>
      </c>
      <c r="BN9" s="3038" t="s">
        <v>10253</v>
      </c>
      <c r="BO9" s="3038" t="s">
        <v>10284</v>
      </c>
      <c r="BP9" s="3037" t="s">
        <v>213</v>
      </c>
      <c r="BQ9" s="3722">
        <f t="shared" si="3"/>
        <v>0</v>
      </c>
    </row>
    <row r="10" spans="1:69" ht="12.75" customHeight="1">
      <c r="A10" s="702">
        <v>10</v>
      </c>
      <c r="B10" s="3493">
        <f>IF(OR(S10=0),0,SUM($S$6:S10))</f>
        <v>0</v>
      </c>
      <c r="C10" s="3494"/>
      <c r="D10" s="257" t="s">
        <v>85</v>
      </c>
      <c r="E10" s="342" t="s">
        <v>64</v>
      </c>
      <c r="F10" s="343">
        <v>1</v>
      </c>
      <c r="G10" s="343" t="s">
        <v>2422</v>
      </c>
      <c r="H10" s="344" t="s">
        <v>1165</v>
      </c>
      <c r="I10" s="3571" t="s">
        <v>5386</v>
      </c>
      <c r="J10" s="3571" t="s">
        <v>5387</v>
      </c>
      <c r="K10" s="3571" t="s">
        <v>11450</v>
      </c>
      <c r="L10" s="3571" t="s">
        <v>11462</v>
      </c>
      <c r="M10" s="3571" t="s">
        <v>11472</v>
      </c>
      <c r="N10" s="3571" t="s">
        <v>11483</v>
      </c>
      <c r="O10" s="3571" t="s">
        <v>11513</v>
      </c>
      <c r="P10" s="3571" t="s">
        <v>11495</v>
      </c>
      <c r="Q10" s="3571" t="s">
        <v>11504</v>
      </c>
      <c r="R10" s="3571" t="s">
        <v>11510</v>
      </c>
      <c r="S10" s="3516">
        <f>IF(COUNTIF(Psíquicos!$C$26:$E$37,E10)=0,0,1)</f>
        <v>0</v>
      </c>
      <c r="T10" s="3517">
        <f>COUNTIF(Psíquicos!$V$20:$Z$73,'Tablas psiquica'!D10)</f>
        <v>0</v>
      </c>
      <c r="U10" s="404"/>
      <c r="V10" s="3523"/>
      <c r="W10" s="4252" t="s">
        <v>13944</v>
      </c>
      <c r="X10" s="4253" t="s">
        <v>13945</v>
      </c>
      <c r="Y10" s="404">
        <f t="shared" si="0"/>
        <v>0</v>
      </c>
      <c r="Z10" s="3496">
        <f t="shared" si="1"/>
        <v>0</v>
      </c>
      <c r="AB10" s="3537" t="s">
        <v>85</v>
      </c>
      <c r="AC10" s="342" t="str" cm="1">
        <f t="array" ref="AC10">INDEX($I$6:$R$6,SUMPRODUCT(ISNUMBER(SEARCH("Fatiga",I10:R10))*1)+1)</f>
        <v>MED</v>
      </c>
      <c r="AD10" s="342" t="str">
        <f>IFERROR(VLOOKUP(AB10,Psíquicos!$AD$11:$AK$67,8,FALSE),AC10)</f>
        <v>MED</v>
      </c>
      <c r="AE10" s="798"/>
      <c r="AF10" s="798"/>
      <c r="AG10" s="798"/>
      <c r="AH10" s="798"/>
      <c r="AI10" s="798"/>
      <c r="AJ10" s="798"/>
      <c r="AK10" s="798"/>
      <c r="AL10" s="798"/>
      <c r="AM10" s="798"/>
      <c r="AN10" s="798"/>
      <c r="AO10" s="1793">
        <f>IF(COUNTIF(Psíquicos!$AD$20:$AH$65,AB10),VALUE(INDEX('Tablas psiquica'!$AE10:$AN10,MATCH('Tablas psiquica'!$AD10,'Tablas psiquica'!$AE$6:$AN$6,0))),0)</f>
        <v>0</v>
      </c>
      <c r="AQ10" s="2029">
        <f>IFERROR(IF(VLOOKUP(AR10,$D$7:$G$296,4,FALSE)&lt;&gt;"No",MAX(AQ$5:AQ9)+1,0),"")</f>
        <v>4</v>
      </c>
      <c r="AR10" s="2030" t="str">
        <f t="shared" si="2"/>
        <v>Ocultar matrices</v>
      </c>
      <c r="AS10" s="2033" t="str">
        <f>IFERROR(VLOOKUP(Tablas!$A4,$AQ$7:$AR$145,2,FALSE),"")</f>
        <v>Ocultar matrices</v>
      </c>
      <c r="AU10" s="3026" t="s">
        <v>87</v>
      </c>
      <c r="AV10" s="3028" t="s">
        <v>102</v>
      </c>
      <c r="AW10" s="3196" t="s">
        <v>11760</v>
      </c>
      <c r="AX10" s="3028" t="s">
        <v>129</v>
      </c>
      <c r="AY10" s="3028" t="s">
        <v>142</v>
      </c>
      <c r="AZ10" s="3028" t="s">
        <v>155</v>
      </c>
      <c r="BA10" s="3036" t="s">
        <v>166</v>
      </c>
      <c r="BB10" s="786" t="s">
        <v>175</v>
      </c>
      <c r="BC10" s="3196" t="s">
        <v>181</v>
      </c>
      <c r="BD10" s="3028" t="s">
        <v>188</v>
      </c>
      <c r="BE10" s="3037" t="s">
        <v>198</v>
      </c>
      <c r="BF10" s="3037" t="s">
        <v>205</v>
      </c>
      <c r="BG10" s="3038" t="s">
        <v>11107</v>
      </c>
      <c r="BH10" s="3038" t="s">
        <v>10255</v>
      </c>
      <c r="BI10" s="3038" t="s">
        <v>10256</v>
      </c>
      <c r="BJ10" s="3038" t="s">
        <v>10257</v>
      </c>
      <c r="BK10" s="3038" t="s">
        <v>595</v>
      </c>
      <c r="BL10" s="3038" t="s">
        <v>10258</v>
      </c>
      <c r="BM10" s="3038" t="s">
        <v>10259</v>
      </c>
      <c r="BN10" s="3038" t="s">
        <v>10260</v>
      </c>
      <c r="BO10" s="3038" t="s">
        <v>11059</v>
      </c>
      <c r="BP10" s="3037"/>
      <c r="BQ10" s="3722">
        <f t="shared" si="3"/>
        <v>0</v>
      </c>
    </row>
    <row r="11" spans="1:69" ht="12.75" customHeight="1">
      <c r="A11" s="702">
        <v>11</v>
      </c>
      <c r="B11" s="3493">
        <f>IF(OR(S11=0),0,SUM($S$6:S11))</f>
        <v>0</v>
      </c>
      <c r="C11" s="3494"/>
      <c r="D11" s="257" t="s">
        <v>86</v>
      </c>
      <c r="E11" s="342" t="s">
        <v>64</v>
      </c>
      <c r="F11" s="343">
        <v>1</v>
      </c>
      <c r="G11" s="343" t="s">
        <v>2422</v>
      </c>
      <c r="H11" s="344" t="s">
        <v>1165</v>
      </c>
      <c r="I11" s="3571" t="s">
        <v>5404</v>
      </c>
      <c r="J11" s="3571" t="s">
        <v>5387</v>
      </c>
      <c r="K11" s="3571" t="s">
        <v>11451</v>
      </c>
      <c r="L11" s="3571" t="s">
        <v>11463</v>
      </c>
      <c r="M11" s="3571" t="s">
        <v>11473</v>
      </c>
      <c r="N11" s="3571" t="s">
        <v>11484</v>
      </c>
      <c r="O11" s="3571" t="s">
        <v>11514</v>
      </c>
      <c r="P11" s="3571" t="s">
        <v>11496</v>
      </c>
      <c r="Q11" s="3571" t="s">
        <v>11505</v>
      </c>
      <c r="R11" s="3571" t="s">
        <v>5405</v>
      </c>
      <c r="S11" s="3516">
        <f>IF(COUNTIF(Psíquicos!$C$26:$E$37,E11)=0,0,1)</f>
        <v>0</v>
      </c>
      <c r="T11" s="3517">
        <f>COUNTIF(Psíquicos!$V$20:$Z$73,'Tablas psiquica'!D11)</f>
        <v>0</v>
      </c>
      <c r="U11" s="404"/>
      <c r="V11" s="3523"/>
      <c r="W11" s="4252" t="s">
        <v>13940</v>
      </c>
      <c r="X11" s="4253" t="s">
        <v>13946</v>
      </c>
      <c r="Y11" s="404">
        <f t="shared" si="0"/>
        <v>0</v>
      </c>
      <c r="Z11" s="3496">
        <f t="shared" si="1"/>
        <v>0</v>
      </c>
      <c r="AB11" s="3537" t="s">
        <v>86</v>
      </c>
      <c r="AC11" s="342" t="str" cm="1">
        <f t="array" ref="AC11">INDEX($I$6:$R$6,SUMPRODUCT(ISNUMBER(SEARCH("Fatiga",I11:R11))*1)+1)</f>
        <v>MED</v>
      </c>
      <c r="AD11" s="342" t="str">
        <f>IFERROR(VLOOKUP(AB11,Psíquicos!$AD$11:$AK$67,8,FALSE),AC11)</f>
        <v>MED</v>
      </c>
      <c r="AE11" s="798"/>
      <c r="AF11" s="798"/>
      <c r="AG11" s="798"/>
      <c r="AH11" s="798"/>
      <c r="AI11" s="798"/>
      <c r="AJ11" s="798"/>
      <c r="AK11" s="798"/>
      <c r="AL11" s="798"/>
      <c r="AM11" s="798"/>
      <c r="AN11" s="798"/>
      <c r="AO11" s="1793">
        <f>IF(COUNTIF(Psíquicos!$AD$20:$AH$65,AB11),VALUE(INDEX('Tablas psiquica'!$AE11:$AN11,MATCH('Tablas psiquica'!$AD11,'Tablas psiquica'!$AE$6:$AN$6,0))),0)</f>
        <v>0</v>
      </c>
      <c r="AQ11" s="2029">
        <f>IFERROR(IF(VLOOKUP(AR11,$D$7:$G$296,4,FALSE)&lt;&gt;"No",MAX(AQ$5:AQ10)+1,0),"")</f>
        <v>5</v>
      </c>
      <c r="AR11" s="2030" t="str">
        <f t="shared" si="2"/>
        <v>Conectar matrices</v>
      </c>
      <c r="AS11" s="2033" t="str">
        <f>IFERROR(VLOOKUP(Tablas!$A5,$AQ$7:$AR$145,2,FALSE),"")</f>
        <v>Conectar matrices</v>
      </c>
      <c r="AU11" s="3026" t="s">
        <v>88</v>
      </c>
      <c r="AV11" s="3028" t="s">
        <v>103</v>
      </c>
      <c r="AW11" s="786" t="s">
        <v>117</v>
      </c>
      <c r="AX11" s="3028" t="s">
        <v>130</v>
      </c>
      <c r="AY11" s="3028" t="s">
        <v>143</v>
      </c>
      <c r="AZ11" s="3028" t="s">
        <v>156</v>
      </c>
      <c r="BA11" s="3038" t="s">
        <v>10264</v>
      </c>
      <c r="BB11" s="786" t="s">
        <v>176</v>
      </c>
      <c r="BC11" s="3196" t="s">
        <v>182</v>
      </c>
      <c r="BD11" s="3028" t="s">
        <v>189</v>
      </c>
      <c r="BE11" s="3037" t="s">
        <v>199</v>
      </c>
      <c r="BF11" s="3037" t="s">
        <v>206</v>
      </c>
      <c r="BG11" s="3038"/>
      <c r="BH11" s="3038" t="s">
        <v>10261</v>
      </c>
      <c r="BI11" s="3038" t="s">
        <v>10262</v>
      </c>
      <c r="BJ11" s="3038" t="s">
        <v>10263</v>
      </c>
      <c r="BK11" s="3038" t="s">
        <v>10265</v>
      </c>
      <c r="BL11" s="3038" t="s">
        <v>10266</v>
      </c>
      <c r="BM11" s="3038" t="s">
        <v>10267</v>
      </c>
      <c r="BN11" s="3038" t="s">
        <v>10268</v>
      </c>
      <c r="BO11" s="3038" t="s">
        <v>10285</v>
      </c>
      <c r="BP11" s="3037"/>
      <c r="BQ11" s="3722">
        <f t="shared" si="3"/>
        <v>0</v>
      </c>
    </row>
    <row r="12" spans="1:69" ht="12.75" customHeight="1">
      <c r="A12" s="702">
        <v>12</v>
      </c>
      <c r="B12" s="3493">
        <f>IF(OR(S12=0),0,SUM($S$6:S12))</f>
        <v>0</v>
      </c>
      <c r="C12" s="3494"/>
      <c r="D12" s="257" t="s">
        <v>87</v>
      </c>
      <c r="E12" s="342" t="s">
        <v>64</v>
      </c>
      <c r="F12" s="343">
        <v>1</v>
      </c>
      <c r="G12" s="343" t="s">
        <v>2422</v>
      </c>
      <c r="H12" s="344" t="s">
        <v>1165</v>
      </c>
      <c r="I12" s="3571" t="s">
        <v>5386</v>
      </c>
      <c r="J12" s="3571" t="s">
        <v>5387</v>
      </c>
      <c r="K12" s="3571" t="s">
        <v>11443</v>
      </c>
      <c r="L12" s="3571" t="s">
        <v>11450</v>
      </c>
      <c r="M12" s="3571" t="s">
        <v>11462</v>
      </c>
      <c r="N12" s="3571" t="s">
        <v>11472</v>
      </c>
      <c r="O12" s="3571" t="s">
        <v>11483</v>
      </c>
      <c r="P12" s="3571" t="s">
        <v>11513</v>
      </c>
      <c r="Q12" s="3571" t="s">
        <v>11495</v>
      </c>
      <c r="R12" s="3571" t="s">
        <v>11504</v>
      </c>
      <c r="S12" s="3516">
        <f>IF(COUNTIF(Psíquicos!$C$26:$E$37,E12)=0,0,1)</f>
        <v>0</v>
      </c>
      <c r="T12" s="3517">
        <f>COUNTIF(Psíquicos!$V$20:$Z$73,'Tablas psiquica'!D12)</f>
        <v>0</v>
      </c>
      <c r="U12" s="404"/>
      <c r="V12" s="3523"/>
      <c r="W12" s="4252" t="s">
        <v>13947</v>
      </c>
      <c r="X12" s="4253" t="s">
        <v>13948</v>
      </c>
      <c r="Y12" s="404">
        <f t="shared" si="0"/>
        <v>0</v>
      </c>
      <c r="Z12" s="3496">
        <f t="shared" si="1"/>
        <v>0</v>
      </c>
      <c r="AB12" s="3537" t="s">
        <v>87</v>
      </c>
      <c r="AC12" s="342" t="str" cm="1">
        <f t="array" ref="AC12">INDEX($I$6:$R$6,SUMPRODUCT(ISNUMBER(SEARCH("Fatiga",I12:R12))*1)+1)</f>
        <v>MED</v>
      </c>
      <c r="AD12" s="342" t="str">
        <f>IFERROR(VLOOKUP(AB12,Psíquicos!$AD$11:$AK$67,8,FALSE),AC12)</f>
        <v>MED</v>
      </c>
      <c r="AE12" s="798"/>
      <c r="AF12" s="798"/>
      <c r="AG12" s="798"/>
      <c r="AH12" s="798"/>
      <c r="AI12" s="798"/>
      <c r="AJ12" s="798"/>
      <c r="AK12" s="798"/>
      <c r="AL12" s="798"/>
      <c r="AM12" s="798"/>
      <c r="AN12" s="798"/>
      <c r="AO12" s="1793">
        <f>IF(COUNTIF(Psíquicos!$AD$20:$AH$65,AB12),VALUE(INDEX('Tablas psiquica'!$AE12:$AN12,MATCH('Tablas psiquica'!$AD12,'Tablas psiquica'!$AE$6:$AN$6,0))),0)</f>
        <v>0</v>
      </c>
      <c r="AQ12" s="2029" t="str">
        <f>IFERROR(IF(VLOOKUP(AR12,$D$7:$G$296,4,FALSE)&lt;&gt;"No",MAX(AQ$5:AQ11)+1,0),"")</f>
        <v/>
      </c>
      <c r="AR12" s="2030" t="str">
        <f t="shared" si="2"/>
        <v/>
      </c>
      <c r="AS12" s="2033" t="str">
        <f>IFERROR(VLOOKUP(Tablas!$A6,$AQ$7:$AR$145,2,FALSE),"")</f>
        <v/>
      </c>
      <c r="AU12" s="3026" t="s">
        <v>89</v>
      </c>
      <c r="AV12" s="3028" t="s">
        <v>104</v>
      </c>
      <c r="AW12" s="786" t="s">
        <v>118</v>
      </c>
      <c r="AX12" s="3028" t="s">
        <v>131</v>
      </c>
      <c r="AY12" s="3028" t="s">
        <v>144</v>
      </c>
      <c r="AZ12" s="3028" t="s">
        <v>157</v>
      </c>
      <c r="BA12" s="3036" t="s">
        <v>170</v>
      </c>
      <c r="BB12" s="3037"/>
      <c r="BC12" s="3037"/>
      <c r="BD12" s="3028" t="s">
        <v>190</v>
      </c>
      <c r="BE12" s="3037" t="s">
        <v>80</v>
      </c>
      <c r="BF12" s="3037"/>
      <c r="BG12" s="3038"/>
      <c r="BH12" s="3038" t="s">
        <v>10269</v>
      </c>
      <c r="BI12" s="3038" t="s">
        <v>10270</v>
      </c>
      <c r="BJ12" s="3038" t="s">
        <v>10271</v>
      </c>
      <c r="BK12" s="3038"/>
      <c r="BL12" s="3038" t="s">
        <v>10272</v>
      </c>
      <c r="BM12" s="3038" t="s">
        <v>10273</v>
      </c>
      <c r="BN12" s="3038" t="s">
        <v>10274</v>
      </c>
      <c r="BO12" s="3038" t="s">
        <v>10286</v>
      </c>
      <c r="BP12" s="3037"/>
      <c r="BQ12" s="3722">
        <f t="shared" si="3"/>
        <v>0</v>
      </c>
    </row>
    <row r="13" spans="1:69" ht="12.75" customHeight="1">
      <c r="A13" s="702">
        <v>13</v>
      </c>
      <c r="B13" s="3493">
        <f>IF(OR(S13=0),0,SUM($S$6:S13))</f>
        <v>0</v>
      </c>
      <c r="C13" s="3494"/>
      <c r="D13" s="257" t="s">
        <v>88</v>
      </c>
      <c r="E13" s="342" t="s">
        <v>64</v>
      </c>
      <c r="F13" s="343">
        <v>1</v>
      </c>
      <c r="G13" s="343" t="s">
        <v>2422</v>
      </c>
      <c r="H13" s="344" t="s">
        <v>1165</v>
      </c>
      <c r="I13" s="3571" t="s">
        <v>5406</v>
      </c>
      <c r="J13" s="3571" t="s">
        <v>5386</v>
      </c>
      <c r="K13" s="3571" t="s">
        <v>11443</v>
      </c>
      <c r="L13" s="3571" t="s">
        <v>11450</v>
      </c>
      <c r="M13" s="3571" t="s">
        <v>11462</v>
      </c>
      <c r="N13" s="3571" t="s">
        <v>11472</v>
      </c>
      <c r="O13" s="3571" t="s">
        <v>11483</v>
      </c>
      <c r="P13" s="3571" t="s">
        <v>11513</v>
      </c>
      <c r="Q13" s="3571" t="s">
        <v>11495</v>
      </c>
      <c r="R13" s="3571" t="s">
        <v>11504</v>
      </c>
      <c r="S13" s="3516">
        <f>IF(COUNTIF(Psíquicos!$C$26:$E$37,E13)=0,0,1)</f>
        <v>0</v>
      </c>
      <c r="T13" s="3517">
        <f>COUNTIF(Psíquicos!$V$20:$Z$73,'Tablas psiquica'!D13)</f>
        <v>0</v>
      </c>
      <c r="U13" s="404"/>
      <c r="V13" s="3523"/>
      <c r="W13" s="4252" t="s">
        <v>13942</v>
      </c>
      <c r="X13" s="4253" t="s">
        <v>13949</v>
      </c>
      <c r="Y13" s="404">
        <f t="shared" si="0"/>
        <v>0</v>
      </c>
      <c r="Z13" s="3496">
        <f t="shared" si="1"/>
        <v>0</v>
      </c>
      <c r="AB13" s="3537" t="s">
        <v>88</v>
      </c>
      <c r="AC13" s="342" t="str" cm="1">
        <f t="array" ref="AC13">INDEX($I$6:$R$6,SUMPRODUCT(ISNUMBER(SEARCH("Fatiga",I13:R13))*1)+1)</f>
        <v>MED</v>
      </c>
      <c r="AD13" s="342" t="str">
        <f>IFERROR(VLOOKUP(AB13,Psíquicos!$AD$11:$AK$67,8,FALSE),AC13)</f>
        <v>MED</v>
      </c>
      <c r="AE13" s="798"/>
      <c r="AF13" s="798"/>
      <c r="AG13" s="798"/>
      <c r="AH13" s="798"/>
      <c r="AI13" s="798"/>
      <c r="AJ13" s="798"/>
      <c r="AK13" s="798"/>
      <c r="AL13" s="798"/>
      <c r="AM13" s="798"/>
      <c r="AN13" s="798"/>
      <c r="AO13" s="1793">
        <f>IF(COUNTIF(Psíquicos!$AD$20:$AH$65,AB13),VALUE(INDEX('Tablas psiquica'!$AE13:$AN13,MATCH('Tablas psiquica'!$AD13,'Tablas psiquica'!$AE$6:$AN$6,0))),0)</f>
        <v>0</v>
      </c>
      <c r="AQ13" s="2029" t="str">
        <f>IFERROR(IF(VLOOKUP(AR13,$D$7:$G$296,4,FALSE)&lt;&gt;"No",MAX(AQ$5:AQ12)+1,0),"")</f>
        <v/>
      </c>
      <c r="AR13" s="2030" t="str">
        <f t="shared" si="2"/>
        <v/>
      </c>
      <c r="AS13" s="2033" t="str">
        <f>IFERROR(VLOOKUP(Tablas!$A7,$AQ$7:$AR$145,2,FALSE),"")</f>
        <v/>
      </c>
      <c r="AU13" s="3026" t="s">
        <v>90</v>
      </c>
      <c r="AV13" s="3028" t="s">
        <v>105</v>
      </c>
      <c r="AW13" s="786" t="s">
        <v>119</v>
      </c>
      <c r="AX13" s="3028" t="s">
        <v>132</v>
      </c>
      <c r="AY13" s="3028" t="s">
        <v>145</v>
      </c>
      <c r="AZ13" s="3028" t="s">
        <v>158</v>
      </c>
      <c r="BA13" s="3036" t="s">
        <v>167</v>
      </c>
      <c r="BB13" s="3037"/>
      <c r="BC13" s="3037"/>
      <c r="BD13" s="3028" t="s">
        <v>191</v>
      </c>
      <c r="BE13" s="3037"/>
      <c r="BF13" s="3037"/>
      <c r="BG13" s="3038"/>
      <c r="BH13" s="3038" t="s">
        <v>10317</v>
      </c>
      <c r="BI13" s="3038"/>
      <c r="BJ13" s="3038" t="s">
        <v>10275</v>
      </c>
      <c r="BK13" s="3038"/>
      <c r="BL13" s="3038" t="s">
        <v>10276</v>
      </c>
      <c r="BM13" s="3038" t="s">
        <v>10277</v>
      </c>
      <c r="BN13" s="3038" t="s">
        <v>10278</v>
      </c>
      <c r="BO13" s="3038" t="s">
        <v>10287</v>
      </c>
      <c r="BP13" s="3037"/>
      <c r="BQ13" s="3722">
        <f t="shared" si="3"/>
        <v>0</v>
      </c>
    </row>
    <row r="14" spans="1:69" ht="12.75" customHeight="1">
      <c r="A14" s="702">
        <v>14</v>
      </c>
      <c r="B14" s="3493">
        <f>IF(OR(S14=0),0,SUM($S$6:S14))</f>
        <v>0</v>
      </c>
      <c r="C14" s="3494"/>
      <c r="D14" s="257" t="s">
        <v>89</v>
      </c>
      <c r="E14" s="342" t="s">
        <v>64</v>
      </c>
      <c r="F14" s="343">
        <v>2</v>
      </c>
      <c r="G14" s="343" t="s">
        <v>2422</v>
      </c>
      <c r="H14" s="344" t="s">
        <v>1165</v>
      </c>
      <c r="I14" s="3571" t="s">
        <v>5407</v>
      </c>
      <c r="J14" s="3571" t="s">
        <v>5406</v>
      </c>
      <c r="K14" s="3571" t="s">
        <v>5386</v>
      </c>
      <c r="L14" s="3571" t="s">
        <v>11450</v>
      </c>
      <c r="M14" s="3571" t="s">
        <v>11462</v>
      </c>
      <c r="N14" s="3571" t="s">
        <v>11472</v>
      </c>
      <c r="O14" s="3571" t="s">
        <v>11483</v>
      </c>
      <c r="P14" s="3571" t="s">
        <v>11513</v>
      </c>
      <c r="Q14" s="3571" t="s">
        <v>11495</v>
      </c>
      <c r="R14" s="3571" t="s">
        <v>11510</v>
      </c>
      <c r="S14" s="3516">
        <f>IF(COUNTIF(Psíquicos!$C$26:$E$37,E14)=0,0,1)</f>
        <v>0</v>
      </c>
      <c r="T14" s="3517">
        <f>COUNTIF(Psíquicos!$V$20:$Z$73,'Tablas psiquica'!D14)</f>
        <v>0</v>
      </c>
      <c r="U14" s="404"/>
      <c r="V14" s="3523"/>
      <c r="W14" s="4252" t="s">
        <v>13950</v>
      </c>
      <c r="X14" s="4253" t="s">
        <v>13951</v>
      </c>
      <c r="Y14" s="404">
        <f t="shared" si="0"/>
        <v>0</v>
      </c>
      <c r="Z14" s="3496">
        <f t="shared" si="1"/>
        <v>0</v>
      </c>
      <c r="AB14" s="3537" t="s">
        <v>89</v>
      </c>
      <c r="AC14" s="342" t="str" cm="1">
        <f t="array" ref="AC14">INDEX($I$6:$R$6,SUMPRODUCT(ISNUMBER(SEARCH("Fatiga",I14:R14))*1)+1)</f>
        <v>DIF</v>
      </c>
      <c r="AD14" s="342" t="str">
        <f>IFERROR(VLOOKUP(AB14,Psíquicos!$AD$11:$AK$67,8,FALSE),AC14)</f>
        <v>DIF</v>
      </c>
      <c r="AE14" s="798"/>
      <c r="AF14" s="798"/>
      <c r="AG14" s="798"/>
      <c r="AH14" s="798"/>
      <c r="AI14" s="798"/>
      <c r="AJ14" s="798"/>
      <c r="AK14" s="798"/>
      <c r="AL14" s="798"/>
      <c r="AM14" s="798"/>
      <c r="AN14" s="798"/>
      <c r="AO14" s="1793">
        <f>IF(COUNTIF(Psíquicos!$AD$20:$AH$65,AB14),VALUE(INDEX('Tablas psiquica'!$AE14:$AN14,MATCH('Tablas psiquica'!$AD14,'Tablas psiquica'!$AE$6:$AN$6,0))),0)</f>
        <v>0</v>
      </c>
      <c r="AQ14" s="2029" t="str">
        <f>IFERROR(IF(VLOOKUP(AR14,$D$7:$G$296,4,FALSE)&lt;&gt;"No",MAX(AQ$5:AQ13)+1,0),"")</f>
        <v/>
      </c>
      <c r="AR14" s="2030" t="str">
        <f t="shared" si="2"/>
        <v/>
      </c>
      <c r="AS14" s="2033" t="str">
        <f>IFERROR(VLOOKUP(Tablas!$A8,$AQ$7:$AR$145,2,FALSE),"")</f>
        <v/>
      </c>
      <c r="AU14" s="3026" t="s">
        <v>91</v>
      </c>
      <c r="AV14" s="3028" t="s">
        <v>106</v>
      </c>
      <c r="AW14" s="786" t="s">
        <v>120</v>
      </c>
      <c r="AX14" s="3028" t="s">
        <v>133</v>
      </c>
      <c r="AY14" s="3028" t="s">
        <v>146</v>
      </c>
      <c r="AZ14" s="3028" t="s">
        <v>159</v>
      </c>
      <c r="BA14" s="3036" t="s">
        <v>168</v>
      </c>
      <c r="BB14" s="3037"/>
      <c r="BC14" s="3037"/>
      <c r="BD14" s="3028" t="s">
        <v>192</v>
      </c>
      <c r="BE14" s="3037"/>
      <c r="BF14" s="3037"/>
      <c r="BG14" s="3038"/>
      <c r="BH14" s="3038"/>
      <c r="BI14" s="3038"/>
      <c r="BJ14" s="3038" t="s">
        <v>10279</v>
      </c>
      <c r="BK14" s="3038"/>
      <c r="BL14" s="3038"/>
      <c r="BM14" s="3038"/>
      <c r="BN14" s="3038" t="s">
        <v>11061</v>
      </c>
      <c r="BO14" s="3038" t="s">
        <v>10288</v>
      </c>
      <c r="BP14" s="3037"/>
      <c r="BQ14" s="3722">
        <f t="shared" si="3"/>
        <v>0</v>
      </c>
    </row>
    <row r="15" spans="1:69" ht="12.75" customHeight="1">
      <c r="A15" s="702">
        <v>15</v>
      </c>
      <c r="B15" s="3493">
        <f>IF(OR(S15=0),0,SUM($S$6:S15))</f>
        <v>0</v>
      </c>
      <c r="C15" s="3494"/>
      <c r="D15" s="257" t="s">
        <v>90</v>
      </c>
      <c r="E15" s="342" t="s">
        <v>64</v>
      </c>
      <c r="F15" s="343">
        <v>2</v>
      </c>
      <c r="G15" s="343" t="s">
        <v>1241</v>
      </c>
      <c r="H15" s="344" t="s">
        <v>1165</v>
      </c>
      <c r="I15" s="3571" t="s">
        <v>5408</v>
      </c>
      <c r="J15" s="3571" t="s">
        <v>5406</v>
      </c>
      <c r="K15" s="3571" t="s">
        <v>5386</v>
      </c>
      <c r="L15" s="3571" t="s">
        <v>11462</v>
      </c>
      <c r="M15" s="3571" t="s">
        <v>11472</v>
      </c>
      <c r="N15" s="3571" t="s">
        <v>11483</v>
      </c>
      <c r="O15" s="3571" t="s">
        <v>11513</v>
      </c>
      <c r="P15" s="3571" t="s">
        <v>11495</v>
      </c>
      <c r="Q15" s="3571" t="s">
        <v>11504</v>
      </c>
      <c r="R15" s="3571" t="s">
        <v>5409</v>
      </c>
      <c r="S15" s="3516">
        <f>IF(COUNTIF(Psíquicos!$C$26:$E$37,E15)=0,0,1)</f>
        <v>0</v>
      </c>
      <c r="T15" s="3517">
        <f>COUNTIF(Psíquicos!$V$20:$Z$73,'Tablas psiquica'!D15)</f>
        <v>0</v>
      </c>
      <c r="U15" s="404"/>
      <c r="V15" s="3523"/>
      <c r="W15" s="4252" t="s">
        <v>13952</v>
      </c>
      <c r="X15" s="4253" t="s">
        <v>13953</v>
      </c>
      <c r="Y15" s="404">
        <f t="shared" si="0"/>
        <v>0</v>
      </c>
      <c r="Z15" s="3496">
        <f t="shared" si="1"/>
        <v>0</v>
      </c>
      <c r="AB15" s="3537" t="s">
        <v>91</v>
      </c>
      <c r="AC15" s="342" t="str" cm="1">
        <f t="array" ref="AC15">INDEX($I$6:$R$6,SUMPRODUCT(ISNUMBER(SEARCH("Fatiga",I16:R16))*1)+1)</f>
        <v>DIF</v>
      </c>
      <c r="AD15" s="342" t="str">
        <f>IFERROR(VLOOKUP(AB15,Psíquicos!$AD$11:$AK$67,8,FALSE),AC15)</f>
        <v>DIF</v>
      </c>
      <c r="AE15" s="798"/>
      <c r="AF15" s="798"/>
      <c r="AG15" s="798"/>
      <c r="AH15" s="798"/>
      <c r="AI15" s="798"/>
      <c r="AJ15" s="798"/>
      <c r="AK15" s="798"/>
      <c r="AL15" s="798"/>
      <c r="AM15" s="798"/>
      <c r="AN15" s="798"/>
      <c r="AO15" s="1793">
        <f>IF(COUNTIF(Psíquicos!$AD$20:$AH$65,AB15),VALUE(INDEX('Tablas psiquica'!$AE15:$AN15,MATCH('Tablas psiquica'!$AD15,'Tablas psiquica'!$AE$6:$AN$6,0))),0)</f>
        <v>0</v>
      </c>
      <c r="AQ15" s="2029" t="str">
        <f>IFERROR(IF(VLOOKUP(AR15,$D$7:$G$296,4,FALSE)&lt;&gt;"No",MAX(AQ$5:AQ14)+1,0),"")</f>
        <v/>
      </c>
      <c r="AR15" s="2030" t="str">
        <f t="shared" si="2"/>
        <v/>
      </c>
      <c r="AS15" s="2033" t="str">
        <f>IFERROR(VLOOKUP(Tablas!$A9,$AQ$7:$AR$145,2,FALSE),"")</f>
        <v/>
      </c>
      <c r="AU15" s="3026" t="s">
        <v>92</v>
      </c>
      <c r="AV15" s="3028" t="s">
        <v>107</v>
      </c>
      <c r="AW15" s="786" t="s">
        <v>121</v>
      </c>
      <c r="AX15" s="3028" t="s">
        <v>134</v>
      </c>
      <c r="AY15" s="3028" t="s">
        <v>1228</v>
      </c>
      <c r="AZ15" s="3028" t="s">
        <v>160</v>
      </c>
      <c r="BA15" s="3036" t="s">
        <v>169</v>
      </c>
      <c r="BB15" s="3037"/>
      <c r="BC15" s="3037"/>
      <c r="BD15" s="3037"/>
      <c r="BE15" s="3037"/>
      <c r="BF15" s="3037"/>
      <c r="BG15" s="3038"/>
      <c r="BH15" s="3038"/>
      <c r="BI15" s="3038"/>
      <c r="BJ15" s="3038" t="s">
        <v>10280</v>
      </c>
      <c r="BK15" s="3038"/>
      <c r="BL15" s="3038"/>
      <c r="BM15" s="3038"/>
      <c r="BN15" s="3038"/>
      <c r="BO15" s="3038" t="s">
        <v>10289</v>
      </c>
      <c r="BP15" s="3037"/>
      <c r="BQ15" s="3722">
        <f t="shared" si="3"/>
        <v>0</v>
      </c>
    </row>
    <row r="16" spans="1:69" ht="12.75" customHeight="1">
      <c r="A16" s="702">
        <v>16</v>
      </c>
      <c r="B16" s="3493">
        <f>IF(OR(S16=0),0,SUM($S$6:S16))</f>
        <v>0</v>
      </c>
      <c r="C16" s="3494"/>
      <c r="D16" s="257" t="s">
        <v>91</v>
      </c>
      <c r="E16" s="342" t="s">
        <v>64</v>
      </c>
      <c r="F16" s="343">
        <v>2</v>
      </c>
      <c r="G16" s="343" t="s">
        <v>2422</v>
      </c>
      <c r="H16" s="344" t="s">
        <v>1165</v>
      </c>
      <c r="I16" s="3571" t="s">
        <v>5407</v>
      </c>
      <c r="J16" s="3571" t="s">
        <v>5406</v>
      </c>
      <c r="K16" s="3571" t="s">
        <v>5386</v>
      </c>
      <c r="L16" s="3571" t="s">
        <v>5396</v>
      </c>
      <c r="M16" s="3571" t="s">
        <v>5397</v>
      </c>
      <c r="N16" s="3571" t="s">
        <v>5398</v>
      </c>
      <c r="O16" s="3571" t="s">
        <v>5399</v>
      </c>
      <c r="P16" s="3571" t="s">
        <v>5400</v>
      </c>
      <c r="Q16" s="3571" t="s">
        <v>5401</v>
      </c>
      <c r="R16" s="3571" t="s">
        <v>5403</v>
      </c>
      <c r="S16" s="3516">
        <f>IF(COUNTIF(Psíquicos!$C$26:$E$37,E16)=0,0,1)</f>
        <v>0</v>
      </c>
      <c r="T16" s="3517">
        <f>COUNTIF(Psíquicos!$V$20:$Z$73,'Tablas psiquica'!D16)</f>
        <v>0</v>
      </c>
      <c r="U16" s="404"/>
      <c r="V16" s="3523"/>
      <c r="W16" s="4252" t="s">
        <v>13944</v>
      </c>
      <c r="X16" s="4253" t="s">
        <v>13954</v>
      </c>
      <c r="Y16" s="404">
        <f t="shared" si="0"/>
        <v>0</v>
      </c>
      <c r="Z16" s="3496">
        <f t="shared" si="1"/>
        <v>0</v>
      </c>
      <c r="AB16" s="3537" t="s">
        <v>93</v>
      </c>
      <c r="AC16" s="342" t="str" cm="1">
        <f t="array" ref="AC16">INDEX($I$6:$R$6,SUMPRODUCT(ISNUMBER(SEARCH("Fatiga",I18:R18))*1)+1)</f>
        <v>MDF</v>
      </c>
      <c r="AD16" s="342" t="str">
        <f>IFERROR(VLOOKUP(AB16,Psíquicos!$AD$11:$AK$67,8,FALSE),AC16)</f>
        <v>MDF</v>
      </c>
      <c r="AE16" s="798"/>
      <c r="AF16" s="798"/>
      <c r="AG16" s="798"/>
      <c r="AH16" s="798"/>
      <c r="AI16" s="798"/>
      <c r="AJ16" s="798"/>
      <c r="AK16" s="798"/>
      <c r="AL16" s="798"/>
      <c r="AM16" s="798"/>
      <c r="AN16" s="798"/>
      <c r="AO16" s="1793">
        <f>IF(COUNTIF(Psíquicos!$AD$20:$AH$65,AB16),VALUE(INDEX('Tablas psiquica'!$AE16:$AN16,MATCH('Tablas psiquica'!$AD16,'Tablas psiquica'!$AE$6:$AN$6,0))),0)</f>
        <v>0</v>
      </c>
      <c r="AQ16" s="2029" t="str">
        <f>IFERROR(IF(VLOOKUP(AR16,$D$7:$G$296,4,FALSE)&lt;&gt;"No",MAX(AQ$5:AQ15)+1,0),"")</f>
        <v/>
      </c>
      <c r="AR16" s="2030" t="str">
        <f t="shared" si="2"/>
        <v/>
      </c>
      <c r="AS16" s="2033" t="str">
        <f>IFERROR(VLOOKUP(Tablas!$A10,$AQ$7:$AR$145,2,FALSE),"")</f>
        <v/>
      </c>
      <c r="AU16" s="3026" t="s">
        <v>93</v>
      </c>
      <c r="AV16" s="3028" t="s">
        <v>108</v>
      </c>
      <c r="AW16" s="786" t="s">
        <v>122</v>
      </c>
      <c r="AX16" s="3028" t="s">
        <v>135</v>
      </c>
      <c r="AY16" s="3028" t="s">
        <v>147</v>
      </c>
      <c r="AZ16" s="3028" t="s">
        <v>161</v>
      </c>
      <c r="BA16" s="3036" t="s">
        <v>208</v>
      </c>
      <c r="BB16" s="3037"/>
      <c r="BC16" s="3037"/>
      <c r="BD16" s="3037"/>
      <c r="BE16" s="3037"/>
      <c r="BF16" s="3037"/>
      <c r="BG16" s="3038"/>
      <c r="BH16" s="3038"/>
      <c r="BI16" s="3038"/>
      <c r="BJ16" s="3038"/>
      <c r="BK16" s="3038"/>
      <c r="BL16" s="3038"/>
      <c r="BM16" s="3038"/>
      <c r="BN16" s="3038"/>
      <c r="BO16" s="3038"/>
      <c r="BP16" s="3037"/>
      <c r="BQ16" s="3722">
        <f t="shared" si="3"/>
        <v>0</v>
      </c>
    </row>
    <row r="17" spans="1:87" ht="12.75" customHeight="1">
      <c r="A17" s="702">
        <v>17</v>
      </c>
      <c r="B17" s="3493">
        <f>IF(OR(S17=0),0,SUM($S$6:S17))</f>
        <v>0</v>
      </c>
      <c r="C17" s="3494"/>
      <c r="D17" s="257" t="s">
        <v>92</v>
      </c>
      <c r="E17" s="342" t="s">
        <v>64</v>
      </c>
      <c r="F17" s="343">
        <v>2</v>
      </c>
      <c r="G17" s="343" t="s">
        <v>1241</v>
      </c>
      <c r="H17" s="344" t="s">
        <v>1165</v>
      </c>
      <c r="I17" s="3571" t="s">
        <v>5408</v>
      </c>
      <c r="J17" s="3571" t="s">
        <v>5407</v>
      </c>
      <c r="K17" s="3571" t="s">
        <v>5406</v>
      </c>
      <c r="L17" s="3571" t="s">
        <v>5386</v>
      </c>
      <c r="M17" s="3571" t="s">
        <v>11450</v>
      </c>
      <c r="N17" s="3571" t="s">
        <v>11462</v>
      </c>
      <c r="O17" s="3571" t="s">
        <v>11472</v>
      </c>
      <c r="P17" s="3571" t="s">
        <v>11483</v>
      </c>
      <c r="Q17" s="3571" t="s">
        <v>11513</v>
      </c>
      <c r="R17" s="3571" t="s">
        <v>11495</v>
      </c>
      <c r="S17" s="3516">
        <f>IF(COUNTIF(Psíquicos!$C$26:$E$37,E17)=0,0,1)</f>
        <v>0</v>
      </c>
      <c r="T17" s="3517">
        <f>COUNTIF(Psíquicos!$V$20:$Z$73,'Tablas psiquica'!D17)</f>
        <v>0</v>
      </c>
      <c r="U17" s="404"/>
      <c r="V17" s="3523"/>
      <c r="W17" s="4252" t="s">
        <v>13952</v>
      </c>
      <c r="X17" s="4253" t="s">
        <v>13955</v>
      </c>
      <c r="Y17" s="404">
        <f t="shared" si="0"/>
        <v>0</v>
      </c>
      <c r="Z17" s="3496">
        <f t="shared" si="1"/>
        <v>0</v>
      </c>
      <c r="AB17" s="3537" t="s">
        <v>94</v>
      </c>
      <c r="AC17" s="342" t="str" cm="1">
        <f t="array" ref="AC17">INDEX($I$6:$R$6,SUMPRODUCT(ISNUMBER(SEARCH("Fatiga",I19:R19))*1)+1)</f>
        <v>MDF</v>
      </c>
      <c r="AD17" s="342" t="str">
        <f>IFERROR(VLOOKUP(AB17,Psíquicos!$AD$11:$AK$67,8,FALSE),AC17)</f>
        <v>MDF</v>
      </c>
      <c r="AE17" s="798"/>
      <c r="AF17" s="798"/>
      <c r="AG17" s="798"/>
      <c r="AH17" s="798"/>
      <c r="AI17" s="798"/>
      <c r="AJ17" s="798"/>
      <c r="AK17" s="798"/>
      <c r="AL17" s="798"/>
      <c r="AM17" s="798"/>
      <c r="AN17" s="798"/>
      <c r="AO17" s="1793">
        <f>IF(COUNTIF(Psíquicos!$AD$20:$AH$65,AB17),VALUE(INDEX('Tablas psiquica'!$AE17:$AN17,MATCH('Tablas psiquica'!$AD17,'Tablas psiquica'!$AE$6:$AN$6,0))),0)</f>
        <v>0</v>
      </c>
      <c r="AQ17" s="2029" t="str">
        <f>IFERROR(IF(VLOOKUP(AR17,$D$7:$G$296,4,FALSE)&lt;&gt;"No",MAX(AQ$5:AQ16)+1,0),"")</f>
        <v/>
      </c>
      <c r="AR17" s="2030" t="str">
        <f t="shared" si="2"/>
        <v/>
      </c>
      <c r="AS17" s="2033" t="str">
        <f>IFERROR(VLOOKUP(Tablas!$A11,$AQ$7:$AR$145,2,FALSE),"")</f>
        <v/>
      </c>
      <c r="AU17" s="3026" t="s">
        <v>94</v>
      </c>
      <c r="AV17" s="3028" t="s">
        <v>109</v>
      </c>
      <c r="AW17" s="786" t="s">
        <v>123</v>
      </c>
      <c r="AX17" s="3028" t="s">
        <v>136</v>
      </c>
      <c r="AY17" s="3028" t="s">
        <v>148</v>
      </c>
      <c r="AZ17" s="3037"/>
      <c r="BA17" s="3036" t="s">
        <v>171</v>
      </c>
      <c r="BB17" s="3037"/>
      <c r="BC17" s="3037"/>
      <c r="BD17" s="3037"/>
      <c r="BE17" s="3037"/>
      <c r="BF17" s="3037"/>
      <c r="BG17" s="3038"/>
      <c r="BH17" s="3038"/>
      <c r="BI17" s="3038"/>
      <c r="BJ17" s="3038"/>
      <c r="BK17" s="3038"/>
      <c r="BL17" s="3038"/>
      <c r="BM17" s="3038"/>
      <c r="BN17" s="3038"/>
      <c r="BO17" s="3038"/>
      <c r="BP17" s="3037"/>
      <c r="BQ17" s="3722">
        <f t="shared" si="3"/>
        <v>0</v>
      </c>
    </row>
    <row r="18" spans="1:87" ht="12.75" customHeight="1">
      <c r="A18" s="702">
        <v>18</v>
      </c>
      <c r="B18" s="3493">
        <f>IF(OR(S18=0),0,SUM($S$6:S18))</f>
        <v>0</v>
      </c>
      <c r="C18" s="3494"/>
      <c r="D18" s="257" t="s">
        <v>93</v>
      </c>
      <c r="E18" s="342" t="s">
        <v>64</v>
      </c>
      <c r="F18" s="343">
        <v>2</v>
      </c>
      <c r="G18" s="343" t="s">
        <v>2422</v>
      </c>
      <c r="H18" s="344" t="s">
        <v>1165</v>
      </c>
      <c r="I18" s="3571" t="s">
        <v>5408</v>
      </c>
      <c r="J18" s="3571" t="s">
        <v>5407</v>
      </c>
      <c r="K18" s="3571" t="s">
        <v>5406</v>
      </c>
      <c r="L18" s="3571" t="s">
        <v>5386</v>
      </c>
      <c r="M18" s="3571" t="s">
        <v>5410</v>
      </c>
      <c r="N18" s="3571" t="s">
        <v>5411</v>
      </c>
      <c r="O18" s="3571" t="s">
        <v>5412</v>
      </c>
      <c r="P18" s="3571" t="s">
        <v>5413</v>
      </c>
      <c r="Q18" s="3571" t="s">
        <v>5414</v>
      </c>
      <c r="R18" s="3571" t="s">
        <v>5403</v>
      </c>
      <c r="S18" s="3516">
        <f>IF(COUNTIF(Psíquicos!$C$26:$E$37,E18)=0,0,1)</f>
        <v>0</v>
      </c>
      <c r="T18" s="3517">
        <f>COUNTIF(Psíquicos!$V$20:$Z$73,'Tablas psiquica'!D18)</f>
        <v>0</v>
      </c>
      <c r="U18" s="404"/>
      <c r="V18" s="3523"/>
      <c r="W18" s="4252" t="s">
        <v>13956</v>
      </c>
      <c r="X18" s="4253" t="s">
        <v>13957</v>
      </c>
      <c r="Y18" s="404">
        <f t="shared" si="0"/>
        <v>0</v>
      </c>
      <c r="Z18" s="3496">
        <f t="shared" si="1"/>
        <v>0</v>
      </c>
      <c r="AB18" s="3537" t="s">
        <v>95</v>
      </c>
      <c r="AC18" s="342" t="str" cm="1">
        <f t="array" ref="AC18">INDEX($I$6:$R$6,SUMPRODUCT(ISNUMBER(SEARCH("Fatiga",I21:R21))*1)+1)</f>
        <v>MDF</v>
      </c>
      <c r="AD18" s="342" t="str">
        <f>IFERROR(VLOOKUP(AB18,Psíquicos!$AD$11:$AK$67,8,FALSE),AC18)</f>
        <v>MDF</v>
      </c>
      <c r="AE18" s="798"/>
      <c r="AF18" s="798"/>
      <c r="AG18" s="798"/>
      <c r="AH18" s="798"/>
      <c r="AI18" s="798"/>
      <c r="AJ18" s="798"/>
      <c r="AK18" s="798"/>
      <c r="AL18" s="798"/>
      <c r="AM18" s="798"/>
      <c r="AN18" s="798"/>
      <c r="AO18" s="1793">
        <f>IF(COUNTIF(Psíquicos!$AD$20:$AH$65,AB18),VALUE(INDEX('Tablas psiquica'!$AE18:$AN18,MATCH('Tablas psiquica'!$AD18,'Tablas psiquica'!$AE$6:$AN$6,0))),0)</f>
        <v>0</v>
      </c>
      <c r="AQ18" s="2029" t="str">
        <f>IFERROR(IF(VLOOKUP(AR18,$D$7:$G$296,4,FALSE)&lt;&gt;"No",MAX(AQ$5:AQ17)+1,0),"")</f>
        <v/>
      </c>
      <c r="AR18" s="2030" t="str">
        <f t="shared" si="2"/>
        <v/>
      </c>
      <c r="AS18" s="2033" t="str">
        <f>IFERROR(VLOOKUP(Tablas!$A12,$AQ$7:$AR$145,2,FALSE),"")</f>
        <v/>
      </c>
      <c r="AU18" s="3026" t="s">
        <v>95</v>
      </c>
      <c r="AV18" s="3028" t="s">
        <v>110</v>
      </c>
      <c r="AW18" s="3037"/>
      <c r="AX18" s="3028" t="s">
        <v>137</v>
      </c>
      <c r="AY18" s="3028" t="s">
        <v>149</v>
      </c>
      <c r="AZ18" s="3037"/>
      <c r="BA18" s="3036" t="s">
        <v>9595</v>
      </c>
      <c r="BB18" s="3037"/>
      <c r="BC18" s="3037"/>
      <c r="BD18" s="3037"/>
      <c r="BE18" s="3037"/>
      <c r="BF18" s="3037"/>
      <c r="BG18" s="3038"/>
      <c r="BH18" s="3038"/>
      <c r="BI18" s="3038"/>
      <c r="BJ18" s="3038"/>
      <c r="BK18" s="3038"/>
      <c r="BL18" s="3038"/>
      <c r="BM18" s="3038"/>
      <c r="BN18" s="3038"/>
      <c r="BO18" s="3038"/>
      <c r="BP18" s="3037"/>
      <c r="BQ18" s="3722">
        <f t="shared" si="3"/>
        <v>0</v>
      </c>
    </row>
    <row r="19" spans="1:87" ht="12.75" customHeight="1">
      <c r="A19" s="702">
        <v>19</v>
      </c>
      <c r="B19" s="3493">
        <f>IF(OR(S19=0),0,SUM($S$6:S19))</f>
        <v>0</v>
      </c>
      <c r="C19" s="3494"/>
      <c r="D19" s="257" t="s">
        <v>94</v>
      </c>
      <c r="E19" s="342" t="s">
        <v>64</v>
      </c>
      <c r="F19" s="343">
        <v>2</v>
      </c>
      <c r="G19" s="343" t="s">
        <v>2422</v>
      </c>
      <c r="H19" s="344" t="s">
        <v>1165</v>
      </c>
      <c r="I19" s="3571" t="s">
        <v>5408</v>
      </c>
      <c r="J19" s="3571" t="s">
        <v>5407</v>
      </c>
      <c r="K19" s="3571" t="s">
        <v>5406</v>
      </c>
      <c r="L19" s="3571" t="s">
        <v>5386</v>
      </c>
      <c r="M19" s="3571" t="s">
        <v>11474</v>
      </c>
      <c r="N19" s="3571" t="s">
        <v>11485</v>
      </c>
      <c r="O19" s="3571" t="s">
        <v>11515</v>
      </c>
      <c r="P19" s="3571" t="s">
        <v>11497</v>
      </c>
      <c r="Q19" s="3571" t="s">
        <v>11506</v>
      </c>
      <c r="R19" s="3571" t="s">
        <v>5415</v>
      </c>
      <c r="S19" s="3516">
        <f>IF(COUNTIF(Psíquicos!$C$26:$E$37,E19)=0,0,1)</f>
        <v>0</v>
      </c>
      <c r="T19" s="3517">
        <f>COUNTIF(Psíquicos!$V$20:$Z$73,'Tablas psiquica'!D19)</f>
        <v>0</v>
      </c>
      <c r="U19" s="404"/>
      <c r="V19" s="3523"/>
      <c r="W19" s="4252" t="s">
        <v>13952</v>
      </c>
      <c r="X19" s="4253" t="s">
        <v>13958</v>
      </c>
      <c r="Y19" s="404">
        <f t="shared" si="0"/>
        <v>0</v>
      </c>
      <c r="Z19" s="3496">
        <f t="shared" si="1"/>
        <v>0</v>
      </c>
      <c r="AB19" s="3537" t="s">
        <v>9594</v>
      </c>
      <c r="AC19" s="342" t="str" cm="1">
        <f t="array" ref="AC19">INDEX($I$6:$R$6,SUMPRODUCT(ISNUMBER(SEARCH("Fatiga",I23:R23))*1)+1)</f>
        <v>MDF</v>
      </c>
      <c r="AD19" s="342" t="str">
        <f>IFERROR(VLOOKUP(AB19,Psíquicos!$AD$11:$AK$67,8,FALSE),AC19)</f>
        <v>MDF</v>
      </c>
      <c r="AE19" s="798"/>
      <c r="AF19" s="798"/>
      <c r="AG19" s="798"/>
      <c r="AH19" s="798"/>
      <c r="AI19" s="798"/>
      <c r="AJ19" s="798"/>
      <c r="AK19" s="798"/>
      <c r="AL19" s="798"/>
      <c r="AM19" s="798"/>
      <c r="AN19" s="798"/>
      <c r="AO19" s="1793">
        <f>IF(COUNTIF(Psíquicos!$AD$20:$AH$65,AB19),VALUE(INDEX('Tablas psiquica'!$AE19:$AN19,MATCH('Tablas psiquica'!$AD19,'Tablas psiquica'!$AE$6:$AN$6,0))),0)</f>
        <v>0</v>
      </c>
      <c r="AQ19" s="2029" t="str">
        <f>IFERROR(IF(VLOOKUP(AR19,$D$7:$G$296,4,FALSE)&lt;&gt;"No",MAX(AQ$5:AQ18)+1,0),"")</f>
        <v/>
      </c>
      <c r="AR19" s="2030" t="str">
        <f t="shared" si="2"/>
        <v/>
      </c>
      <c r="AS19" s="2033" t="str">
        <f>IFERROR(VLOOKUP(Tablas!$A13,$AQ$7:$AR$145,2,FALSE),"")</f>
        <v/>
      </c>
      <c r="AU19" s="3026" t="s">
        <v>96</v>
      </c>
      <c r="AV19" s="3028" t="s">
        <v>111</v>
      </c>
      <c r="AW19" s="3037"/>
      <c r="AX19" s="3037"/>
      <c r="AY19" s="3037"/>
      <c r="AZ19" s="3037"/>
      <c r="BA19" s="3039"/>
      <c r="BB19" s="3037"/>
      <c r="BC19" s="3037"/>
      <c r="BD19" s="3037"/>
      <c r="BE19" s="3037"/>
      <c r="BF19" s="3037"/>
      <c r="BG19" s="3038"/>
      <c r="BH19" s="3038"/>
      <c r="BI19" s="3038"/>
      <c r="BJ19" s="3038"/>
      <c r="BK19" s="3038"/>
      <c r="BL19" s="3038"/>
      <c r="BM19" s="3038"/>
      <c r="BN19" s="3038"/>
      <c r="BO19" s="3038"/>
      <c r="BP19" s="3037"/>
      <c r="BQ19" s="3722">
        <f t="shared" si="3"/>
        <v>0</v>
      </c>
    </row>
    <row r="20" spans="1:87" ht="12.75" customHeight="1" thickBot="1">
      <c r="A20" s="702">
        <v>20</v>
      </c>
      <c r="B20" s="3493">
        <f>IF(OR(S20=0),0,SUM($S$6:S20))</f>
        <v>0</v>
      </c>
      <c r="C20" s="3494"/>
      <c r="D20" s="257" t="s">
        <v>11759</v>
      </c>
      <c r="E20" s="342" t="s">
        <v>64</v>
      </c>
      <c r="F20" s="343">
        <v>2</v>
      </c>
      <c r="G20" s="343" t="s">
        <v>1241</v>
      </c>
      <c r="H20" s="344" t="s">
        <v>1165</v>
      </c>
      <c r="I20" s="3571" t="s">
        <v>5408</v>
      </c>
      <c r="J20" s="3571" t="s">
        <v>5407</v>
      </c>
      <c r="K20" s="3571" t="s">
        <v>5406</v>
      </c>
      <c r="L20" s="3571" t="s">
        <v>5386</v>
      </c>
      <c r="M20" s="3571" t="s">
        <v>11450</v>
      </c>
      <c r="N20" s="3571" t="s">
        <v>11462</v>
      </c>
      <c r="O20" s="3571" t="s">
        <v>11472</v>
      </c>
      <c r="P20" s="3571" t="s">
        <v>11483</v>
      </c>
      <c r="Q20" s="3571" t="s">
        <v>11513</v>
      </c>
      <c r="R20" s="3571" t="s">
        <v>11504</v>
      </c>
      <c r="S20" s="3516">
        <f>IF(COUNTIF(Psíquicos!$C$26:$E$37,E20)=0,0,1)</f>
        <v>0</v>
      </c>
      <c r="T20" s="3517">
        <f>COUNTIF(Psíquicos!$V$20:$Z$73,'Tablas psiquica'!D20)</f>
        <v>0</v>
      </c>
      <c r="U20" s="404"/>
      <c r="V20" s="3523"/>
      <c r="W20" s="4254" t="s">
        <v>1315</v>
      </c>
      <c r="X20" s="4255" t="s">
        <v>1315</v>
      </c>
      <c r="Y20" s="404">
        <f t="shared" si="0"/>
        <v>0</v>
      </c>
      <c r="Z20" s="3496">
        <f t="shared" si="1"/>
        <v>0</v>
      </c>
      <c r="AB20" s="3537" t="s">
        <v>98</v>
      </c>
      <c r="AC20" s="342"/>
      <c r="AD20" s="342"/>
      <c r="AE20" s="798"/>
      <c r="AF20" s="798"/>
      <c r="AG20" s="798"/>
      <c r="AH20" s="798"/>
      <c r="AI20" s="798"/>
      <c r="AJ20" s="798"/>
      <c r="AK20" s="798"/>
      <c r="AL20" s="798"/>
      <c r="AM20" s="798"/>
      <c r="AN20" s="798"/>
      <c r="AO20" s="1793" t="e">
        <f>IF(COUNTIF(Psíquicos!$AD$20:$AH$65,AB20),VALUE(INDEX('Tablas psiquica'!$AE20:$AN20,MATCH('Tablas psiquica'!$AD20,'Tablas psiquica'!$AE$6:$AN$6,0))),0)</f>
        <v>#N/A</v>
      </c>
      <c r="AQ20" s="2029" t="str">
        <f>IFERROR(IF(VLOOKUP(AR20,$D$7:$G$296,4,FALSE)&lt;&gt;"No",MAX(AQ$5:AQ19)+1,0),"")</f>
        <v/>
      </c>
      <c r="AR20" s="2030" t="str">
        <f t="shared" si="2"/>
        <v/>
      </c>
      <c r="AS20" s="2033" t="str">
        <f>IFERROR(VLOOKUP(Tablas!$A14,$AQ$7:$AR$145,2,FALSE),"")</f>
        <v/>
      </c>
      <c r="AU20" s="3027" t="s">
        <v>9594</v>
      </c>
      <c r="AV20" s="3040"/>
      <c r="AW20" s="3040"/>
      <c r="AX20" s="3040"/>
      <c r="AY20" s="3040"/>
      <c r="AZ20" s="3040"/>
      <c r="BA20" s="3041"/>
      <c r="BB20" s="3040"/>
      <c r="BC20" s="3040"/>
      <c r="BD20" s="3040"/>
      <c r="BE20" s="3040"/>
      <c r="BF20" s="3040"/>
      <c r="BG20" s="3042"/>
      <c r="BH20" s="3042"/>
      <c r="BI20" s="3042"/>
      <c r="BJ20" s="3042"/>
      <c r="BK20" s="3042"/>
      <c r="BL20" s="3042"/>
      <c r="BM20" s="3042"/>
      <c r="BN20" s="3042"/>
      <c r="BO20" s="3042"/>
      <c r="BP20" s="3040"/>
      <c r="BQ20" s="3723">
        <f t="shared" si="3"/>
        <v>0</v>
      </c>
    </row>
    <row r="21" spans="1:87" ht="12.75" customHeight="1" thickBot="1">
      <c r="A21" s="702">
        <v>21</v>
      </c>
      <c r="B21" s="3493">
        <f>IF(OR(S21=0),0,SUM($S$6:S21))</f>
        <v>0</v>
      </c>
      <c r="C21" s="3494"/>
      <c r="D21" s="257" t="s">
        <v>95</v>
      </c>
      <c r="E21" s="342" t="s">
        <v>64</v>
      </c>
      <c r="F21" s="343">
        <v>3</v>
      </c>
      <c r="G21" s="343" t="s">
        <v>2422</v>
      </c>
      <c r="H21" s="344" t="s">
        <v>1165</v>
      </c>
      <c r="I21" s="3571" t="s">
        <v>5416</v>
      </c>
      <c r="J21" s="3571" t="s">
        <v>5408</v>
      </c>
      <c r="K21" s="3571" t="s">
        <v>5407</v>
      </c>
      <c r="L21" s="3571" t="s">
        <v>5406</v>
      </c>
      <c r="M21" s="3571" t="s">
        <v>11450</v>
      </c>
      <c r="N21" s="3571" t="s">
        <v>11462</v>
      </c>
      <c r="O21" s="3571" t="s">
        <v>11472</v>
      </c>
      <c r="P21" s="3571" t="s">
        <v>11483</v>
      </c>
      <c r="Q21" s="3571" t="s">
        <v>11513</v>
      </c>
      <c r="R21" s="3571" t="s">
        <v>11504</v>
      </c>
      <c r="S21" s="3516">
        <f>IF(COUNTIF(Psíquicos!$C$26:$E$37,E21)=0,0,1)</f>
        <v>0</v>
      </c>
      <c r="T21" s="3517">
        <f>COUNTIF(Psíquicos!$V$20:$Z$73,'Tablas psiquica'!D21)</f>
        <v>0</v>
      </c>
      <c r="U21" s="404"/>
      <c r="V21" s="3523"/>
      <c r="W21" s="4252" t="s">
        <v>13952</v>
      </c>
      <c r="X21" s="4253" t="s">
        <v>13959</v>
      </c>
      <c r="Y21" s="404">
        <f t="shared" si="0"/>
        <v>0</v>
      </c>
      <c r="Z21" s="3496">
        <f t="shared" si="1"/>
        <v>0</v>
      </c>
      <c r="AB21" s="3537" t="s">
        <v>99</v>
      </c>
      <c r="AC21" s="342" t="str" cm="1">
        <f t="array" ref="AC21">INDEX($I$6:$R$6,SUMPRODUCT(ISNUMBER(SEARCH("Fatiga",I25:R25))*1)+1)</f>
        <v>FAC</v>
      </c>
      <c r="AD21" s="342" t="str">
        <f>IFERROR(VLOOKUP(AB21,Psíquicos!$AD$11:$AK$67,8,FALSE),AC21)</f>
        <v>FAC</v>
      </c>
      <c r="AE21" s="798"/>
      <c r="AF21" s="798"/>
      <c r="AG21" s="798"/>
      <c r="AH21" s="798"/>
      <c r="AI21" s="798"/>
      <c r="AJ21" s="798"/>
      <c r="AK21" s="798"/>
      <c r="AL21" s="798"/>
      <c r="AM21" s="798"/>
      <c r="AN21" s="798"/>
      <c r="AO21" s="1793">
        <f>IF(COUNTIF(Psíquicos!$AD$20:$AH$65,AB21),VALUE(INDEX('Tablas psiquica'!$AE21:$AN21,MATCH('Tablas psiquica'!$AD21,'Tablas psiquica'!$AE$6:$AN$6,0))),0)</f>
        <v>0</v>
      </c>
      <c r="AQ21" s="2029" t="str">
        <f>IFERROR(IF(VLOOKUP(AR21,$D$7:$G$296,4,FALSE)&lt;&gt;"No",MAX(AQ$5:AQ20)+1,0),"")</f>
        <v/>
      </c>
      <c r="AR21" s="2030" t="str">
        <f t="shared" si="2"/>
        <v/>
      </c>
      <c r="AS21" s="2033" t="str">
        <f>IFERROR(VLOOKUP(Tablas!$A15,$AQ$7:$AR$145,2,FALSE),"")</f>
        <v/>
      </c>
    </row>
    <row r="22" spans="1:87" ht="12.75" customHeight="1" thickBot="1">
      <c r="A22" s="702">
        <v>22</v>
      </c>
      <c r="B22" s="3493">
        <f>IF(OR(S22=0),0,SUM($S$6:S22))</f>
        <v>0</v>
      </c>
      <c r="C22" s="3494"/>
      <c r="D22" s="257" t="s">
        <v>96</v>
      </c>
      <c r="E22" s="342" t="s">
        <v>64</v>
      </c>
      <c r="F22" s="343">
        <v>3</v>
      </c>
      <c r="G22" s="343" t="s">
        <v>1241</v>
      </c>
      <c r="H22" s="344" t="s">
        <v>1165</v>
      </c>
      <c r="I22" s="3571" t="s">
        <v>5417</v>
      </c>
      <c r="J22" s="3571" t="s">
        <v>5416</v>
      </c>
      <c r="K22" s="3571" t="s">
        <v>5408</v>
      </c>
      <c r="L22" s="3571" t="s">
        <v>5407</v>
      </c>
      <c r="M22" s="3571" t="s">
        <v>5406</v>
      </c>
      <c r="N22" s="3571" t="s">
        <v>11472</v>
      </c>
      <c r="O22" s="3571" t="s">
        <v>11483</v>
      </c>
      <c r="P22" s="3571" t="s">
        <v>11513</v>
      </c>
      <c r="Q22" s="3571" t="s">
        <v>11504</v>
      </c>
      <c r="R22" s="3571" t="s">
        <v>11510</v>
      </c>
      <c r="S22" s="3516">
        <f>IF(COUNTIF(Psíquicos!$C$26:$E$37,E22)=0,0,1)</f>
        <v>0</v>
      </c>
      <c r="T22" s="3517">
        <f>COUNTIF(Psíquicos!$V$20:$Z$73,'Tablas psiquica'!D22)</f>
        <v>0</v>
      </c>
      <c r="U22" s="404"/>
      <c r="V22" s="3523"/>
      <c r="W22" s="4252" t="s">
        <v>13952</v>
      </c>
      <c r="X22" s="4251" t="s">
        <v>13960</v>
      </c>
      <c r="Y22" s="404">
        <f t="shared" si="0"/>
        <v>0</v>
      </c>
      <c r="Z22" s="3496">
        <f t="shared" si="1"/>
        <v>0</v>
      </c>
      <c r="AB22" s="3537" t="s">
        <v>101</v>
      </c>
      <c r="AC22" s="342" t="str" cm="1">
        <f t="array" ref="AC22">INDEX($I$6:$R$6,SUMPRODUCT(ISNUMBER(SEARCH("Fatiga",I27:R27))*1)+1)</f>
        <v>MED</v>
      </c>
      <c r="AD22" s="342" t="str">
        <f>IFERROR(VLOOKUP(AB22,Psíquicos!$AD$11:$AK$67,8,FALSE),AC22)</f>
        <v>MED</v>
      </c>
      <c r="AE22" s="798"/>
      <c r="AF22" s="798"/>
      <c r="AG22" s="798"/>
      <c r="AH22" s="798"/>
      <c r="AI22" s="798"/>
      <c r="AJ22" s="798"/>
      <c r="AK22" s="798"/>
      <c r="AL22" s="798"/>
      <c r="AM22" s="798"/>
      <c r="AN22" s="798"/>
      <c r="AO22" s="1793">
        <f>IF(COUNTIF(Psíquicos!$AD$20:$AH$65,AB22),VALUE(INDEX('Tablas psiquica'!$AE22:$AN22,MATCH('Tablas psiquica'!$AD22,'Tablas psiquica'!$AE$6:$AN$6,0))),0)</f>
        <v>0</v>
      </c>
      <c r="AQ22" s="2029" t="str">
        <f>IFERROR(IF(VLOOKUP(AR22,$D$7:$G$296,4,FALSE)&lt;&gt;"No",MAX(AQ$5:AQ21)+1,0),"")</f>
        <v/>
      </c>
      <c r="AR22" s="2030" t="str">
        <f t="shared" si="2"/>
        <v/>
      </c>
      <c r="AS22" s="2033" t="str">
        <f>IFERROR(VLOOKUP(Tablas!$A16,$AQ$7:$AR$145,2,FALSE),"")</f>
        <v/>
      </c>
      <c r="AU22" s="8453" t="s">
        <v>10159</v>
      </c>
      <c r="AV22" s="8454"/>
      <c r="AW22" s="8454"/>
      <c r="AX22" s="8454"/>
      <c r="AY22" s="8454"/>
      <c r="AZ22" s="8454"/>
      <c r="BA22" s="8454"/>
      <c r="BB22" s="8454"/>
      <c r="BC22" s="8454"/>
      <c r="BD22" s="8455"/>
      <c r="BF22" s="8459" t="s">
        <v>10057</v>
      </c>
      <c r="BG22" s="8460"/>
      <c r="BH22" s="8460"/>
      <c r="BI22" s="8460"/>
      <c r="BJ22" s="8460"/>
      <c r="BK22" s="8461"/>
      <c r="BM22" s="332">
        <v>1</v>
      </c>
      <c r="BN22" s="332">
        <v>2</v>
      </c>
      <c r="BO22" s="332">
        <v>3</v>
      </c>
      <c r="BP22" s="332">
        <v>4</v>
      </c>
      <c r="BQ22" s="332">
        <v>5</v>
      </c>
      <c r="BR22" s="332">
        <v>6</v>
      </c>
      <c r="BS22" s="332">
        <v>7</v>
      </c>
      <c r="BT22" s="332">
        <v>8</v>
      </c>
      <c r="BV22" s="3085" t="s">
        <v>1300</v>
      </c>
      <c r="BW22" s="3086" t="s">
        <v>9763</v>
      </c>
      <c r="BX22" s="3086" t="s">
        <v>10362</v>
      </c>
      <c r="BY22" s="3086" t="s">
        <v>10363</v>
      </c>
      <c r="BZ22" s="3086" t="s">
        <v>10364</v>
      </c>
      <c r="CA22" s="3086" t="s">
        <v>10365</v>
      </c>
      <c r="CB22" s="3086" t="s">
        <v>10366</v>
      </c>
      <c r="CC22" s="3086" t="s">
        <v>10367</v>
      </c>
      <c r="CD22" s="3087" t="s">
        <v>10368</v>
      </c>
      <c r="CF22" s="3085" t="s">
        <v>1300</v>
      </c>
      <c r="CG22" s="3086" t="s">
        <v>10410</v>
      </c>
      <c r="CH22" s="3086" t="s">
        <v>10411</v>
      </c>
      <c r="CI22" s="3087" t="s">
        <v>10412</v>
      </c>
    </row>
    <row r="23" spans="1:87" ht="12.75" customHeight="1" thickBot="1">
      <c r="A23" s="702">
        <v>23</v>
      </c>
      <c r="B23" s="3493">
        <f>IF(OR(S23=0),0,SUM($S$6:S23))</f>
        <v>0</v>
      </c>
      <c r="C23" s="3494"/>
      <c r="D23" s="257" t="s">
        <v>9594</v>
      </c>
      <c r="E23" s="342" t="s">
        <v>64</v>
      </c>
      <c r="F23" s="343">
        <v>3</v>
      </c>
      <c r="G23" s="343" t="s">
        <v>2422</v>
      </c>
      <c r="H23" s="344" t="s">
        <v>1165</v>
      </c>
      <c r="I23" s="3571" t="s">
        <v>5417</v>
      </c>
      <c r="J23" s="3571" t="s">
        <v>5416</v>
      </c>
      <c r="K23" s="3571" t="s">
        <v>5408</v>
      </c>
      <c r="L23" s="3571" t="s">
        <v>5406</v>
      </c>
      <c r="M23" s="3571" t="s">
        <v>5418</v>
      </c>
      <c r="N23" s="3571" t="s">
        <v>5396</v>
      </c>
      <c r="O23" s="3571" t="s">
        <v>5398</v>
      </c>
      <c r="P23" s="3571" t="s">
        <v>5399</v>
      </c>
      <c r="Q23" s="3571" t="s">
        <v>5400</v>
      </c>
      <c r="R23" s="3571" t="s">
        <v>5419</v>
      </c>
      <c r="S23" s="3516">
        <f>IF(COUNTIF(Psíquicos!$C$26:$E$37,E23)=0,0,1)</f>
        <v>0</v>
      </c>
      <c r="T23" s="3517">
        <f>COUNTIF(Psíquicos!$V$20:$Z$73,'Tablas psiquica'!D23)</f>
        <v>0</v>
      </c>
      <c r="U23" s="404"/>
      <c r="V23" s="3523"/>
      <c r="W23" s="4252" t="s">
        <v>13952</v>
      </c>
      <c r="X23" s="4251" t="s">
        <v>13961</v>
      </c>
      <c r="Y23" s="404">
        <f t="shared" si="0"/>
        <v>0</v>
      </c>
      <c r="Z23" s="3496">
        <f t="shared" si="1"/>
        <v>0</v>
      </c>
      <c r="AB23" s="3537" t="s">
        <v>10245</v>
      </c>
      <c r="AC23" s="342" t="str" cm="1">
        <f t="array" ref="AC23">INDEX($I$6:$R$6,SUMPRODUCT(ISNUMBER(SEARCH("Fatiga",I28:R28))*1)+(IF(OR(Personalización!$AF$79='Tablas psiquica'!AB22,Personalización!$AF$80='Tablas psiquica'!AB22),1,0)+1))</f>
        <v>MED</v>
      </c>
      <c r="AD23" s="342" t="str">
        <f>IFERROR(VLOOKUP(AB23,Psíquicos!$AD$11:$AK$67,8,FALSE),AC23)</f>
        <v>MED</v>
      </c>
      <c r="AE23" s="798"/>
      <c r="AF23" s="798"/>
      <c r="AG23" s="798" t="str">
        <f t="shared" ref="AG23:AN23" si="5">MID(K28,4,LEN(K28))</f>
        <v>1</v>
      </c>
      <c r="AH23" s="798" t="str">
        <f t="shared" si="5"/>
        <v>2</v>
      </c>
      <c r="AI23" s="798" t="str">
        <f t="shared" si="5"/>
        <v>4</v>
      </c>
      <c r="AJ23" s="798" t="str">
        <f t="shared" si="5"/>
        <v>6</v>
      </c>
      <c r="AK23" s="798" t="str">
        <f t="shared" si="5"/>
        <v>8</v>
      </c>
      <c r="AL23" s="798" t="str">
        <f t="shared" si="5"/>
        <v>10</v>
      </c>
      <c r="AM23" s="798" t="str">
        <f t="shared" si="5"/>
        <v>12</v>
      </c>
      <c r="AN23" s="798" t="str">
        <f t="shared" si="5"/>
        <v>14</v>
      </c>
      <c r="AO23" s="1793">
        <f>IF(COUNTIF(Psíquicos!$AD$20:$AH$65,AB23),VALUE(INDEX('Tablas psiquica'!$AE23:$AN23,MATCH('Tablas psiquica'!$AD23,'Tablas psiquica'!$AE$6:$AN$6,0))),0)</f>
        <v>0</v>
      </c>
      <c r="AQ23" s="2029" t="str">
        <f>IFERROR(IF(VLOOKUP(AR23,$D$7:$G$296,4,FALSE)&lt;&gt;"No",MAX(AQ$5:AQ22)+1,0),"")</f>
        <v/>
      </c>
      <c r="AR23" s="2030" t="str">
        <f t="shared" si="2"/>
        <v/>
      </c>
      <c r="AS23" s="2033" t="str">
        <f>IFERROR(VLOOKUP(Tablas!$A17,$AQ$7:$AR$145,2,FALSE),"")</f>
        <v/>
      </c>
      <c r="AU23" s="8456"/>
      <c r="AV23" s="8457"/>
      <c r="AW23" s="8457"/>
      <c r="AX23" s="8457"/>
      <c r="AY23" s="8457"/>
      <c r="AZ23" s="8457"/>
      <c r="BA23" s="8457"/>
      <c r="BB23" s="8457"/>
      <c r="BC23" s="8457"/>
      <c r="BD23" s="8458"/>
      <c r="BF23" s="3055" t="s">
        <v>10290</v>
      </c>
      <c r="BG23" s="3056" t="s">
        <v>10291</v>
      </c>
      <c r="BH23" s="3057" t="s">
        <v>10292</v>
      </c>
      <c r="BI23" s="3058" t="s">
        <v>10293</v>
      </c>
      <c r="BJ23" s="3059" t="s">
        <v>10294</v>
      </c>
      <c r="BK23" s="3060" t="s">
        <v>10295</v>
      </c>
      <c r="BM23" s="8111" t="s">
        <v>1407</v>
      </c>
      <c r="BN23" s="8462"/>
      <c r="BO23" s="8462"/>
      <c r="BP23" s="8462"/>
      <c r="BQ23" s="8462"/>
      <c r="BR23" s="8462"/>
      <c r="BS23" s="8462"/>
      <c r="BT23" s="8112"/>
      <c r="BV23" s="3061" t="s">
        <v>6056</v>
      </c>
      <c r="BW23" s="3071" t="s">
        <v>9303</v>
      </c>
      <c r="BX23" s="3072" t="s">
        <v>10369</v>
      </c>
      <c r="BY23" s="3072" t="s">
        <v>10370</v>
      </c>
      <c r="BZ23" s="3072" t="s">
        <v>10371</v>
      </c>
      <c r="CA23" s="3072" t="s">
        <v>6013</v>
      </c>
      <c r="CB23" s="3072" t="s">
        <v>10372</v>
      </c>
      <c r="CC23" s="3071" t="s">
        <v>10373</v>
      </c>
      <c r="CD23" s="3080" t="s">
        <v>1315</v>
      </c>
      <c r="CF23" s="3061" t="s">
        <v>6056</v>
      </c>
      <c r="CG23" s="3079">
        <v>1</v>
      </c>
      <c r="CH23" s="3079" t="s">
        <v>1315</v>
      </c>
      <c r="CI23" s="3080"/>
    </row>
    <row r="24" spans="1:87" ht="12.75" customHeight="1">
      <c r="A24" s="702">
        <v>24</v>
      </c>
      <c r="B24" s="3493">
        <f>IF(OR(S24=0),0,SUM($S$6:S24))</f>
        <v>0</v>
      </c>
      <c r="C24" s="3494"/>
      <c r="D24" s="257" t="s">
        <v>98</v>
      </c>
      <c r="E24" s="342"/>
      <c r="F24" s="343"/>
      <c r="G24" s="343"/>
      <c r="H24" s="344"/>
      <c r="I24" s="3571"/>
      <c r="J24" s="3571"/>
      <c r="K24" s="3571"/>
      <c r="L24" s="3571"/>
      <c r="M24" s="3571"/>
      <c r="N24" s="3571"/>
      <c r="O24" s="3571"/>
      <c r="P24" s="3571"/>
      <c r="Q24" s="3571"/>
      <c r="R24" s="3571"/>
      <c r="S24" s="3517">
        <f>S25</f>
        <v>0</v>
      </c>
      <c r="T24" s="3517"/>
      <c r="U24" s="404"/>
      <c r="V24" s="3523"/>
      <c r="W24" s="4252"/>
      <c r="X24" s="4251"/>
      <c r="Y24" s="404">
        <f t="shared" si="0"/>
        <v>0</v>
      </c>
      <c r="Z24" s="3496">
        <f t="shared" si="1"/>
        <v>0</v>
      </c>
      <c r="AB24" s="3537" t="s">
        <v>102</v>
      </c>
      <c r="AC24" s="342" t="str" cm="1">
        <f t="array" ref="AC24">INDEX($I$6:$R$6,SUMPRODUCT(ISNUMBER(SEARCH("Fatiga",I29:R29))*1)+1)</f>
        <v>MED</v>
      </c>
      <c r="AD24" s="342" t="str">
        <f>IFERROR(VLOOKUP(AB24,Psíquicos!$AD$11:$AK$67,8,FALSE),AC24)</f>
        <v>MED</v>
      </c>
      <c r="AE24" s="798"/>
      <c r="AF24" s="798"/>
      <c r="AG24" s="798"/>
      <c r="AH24" s="798"/>
      <c r="AI24" s="798"/>
      <c r="AJ24" s="798"/>
      <c r="AK24" s="798"/>
      <c r="AL24" s="798"/>
      <c r="AM24" s="798"/>
      <c r="AN24" s="798"/>
      <c r="AO24" s="1793">
        <f>IF(COUNTIF(Psíquicos!$AD$20:$AH$65,AB24),VALUE(INDEX('Tablas psiquica'!$AE24:$AN24,MATCH('Tablas psiquica'!$AD24,'Tablas psiquica'!$AE$6:$AN$6,0))),0)</f>
        <v>0</v>
      </c>
      <c r="AQ24" s="2029" t="str">
        <f>IFERROR(IF(VLOOKUP(AR24,$D$7:$G$296,4,FALSE)&lt;&gt;"No",MAX(AQ$5:AQ23)+1,0),"")</f>
        <v/>
      </c>
      <c r="AR24" s="2030" t="str">
        <f t="shared" si="2"/>
        <v/>
      </c>
      <c r="AS24" s="2033" t="str">
        <f>IFERROR(VLOOKUP(Tablas!$A18,$AQ$7:$AR$145,2,FALSE),"")</f>
        <v/>
      </c>
      <c r="AU24" s="3049">
        <f>IF(AV24="",0,1)</f>
        <v>0</v>
      </c>
      <c r="AV24" s="3020" t="str">
        <f>IF('Red Neuronal'!U35=10,"Manipulación psiónica","")</f>
        <v/>
      </c>
      <c r="AW24" s="3088"/>
      <c r="AX24" s="3020" t="str">
        <f>IF('Red Neuronal'!T36=1,"Permite reordenar CV permanentes, excepto los de las disciplinas","")</f>
        <v/>
      </c>
      <c r="AY24" s="3020"/>
      <c r="AZ24" s="3020"/>
      <c r="BA24" s="3020"/>
      <c r="BB24" s="3020"/>
      <c r="BC24" s="3020"/>
      <c r="BD24" s="3089"/>
      <c r="BF24" s="3061" t="str">
        <f>IF(BJ24=1,1,"")</f>
        <v/>
      </c>
      <c r="BG24" s="3032" t="str">
        <f t="shared" ref="BG24:BG55" si="6">IFERROR(SMALL($BF$24:$BF$89,BH24),"")</f>
        <v/>
      </c>
      <c r="BH24" s="3062">
        <v>1</v>
      </c>
      <c r="BI24" s="3600" t="s">
        <v>10296</v>
      </c>
      <c r="BJ24" s="3063">
        <f>IF(SUM(T178,T296)=2,1,0)</f>
        <v>0</v>
      </c>
      <c r="BK24" s="3064" t="str">
        <f t="shared" ref="BK24:BK55" si="7">IF(BG24="","",IFERROR(VLOOKUP(BG24,$BF$24:$BK$89,4,FALSE),""))</f>
        <v/>
      </c>
      <c r="BM24" s="3061"/>
      <c r="BN24" s="3083" t="s">
        <v>1410</v>
      </c>
      <c r="BO24" s="3083" t="s">
        <v>1357</v>
      </c>
      <c r="BP24" s="3083" t="s">
        <v>1411</v>
      </c>
      <c r="BQ24" s="3083" t="s">
        <v>1412</v>
      </c>
      <c r="BR24" s="3083" t="s">
        <v>1414</v>
      </c>
      <c r="BS24" s="3083" t="s">
        <v>1413</v>
      </c>
      <c r="BT24" s="3084" t="s">
        <v>1415</v>
      </c>
      <c r="BV24" s="3061" t="s">
        <v>10374</v>
      </c>
      <c r="BW24" s="3071" t="s">
        <v>10375</v>
      </c>
      <c r="BX24" s="3073" t="s">
        <v>10376</v>
      </c>
      <c r="BY24" s="3079" t="s">
        <v>1315</v>
      </c>
      <c r="BZ24" s="3079" t="s">
        <v>1315</v>
      </c>
      <c r="CA24" s="3079" t="s">
        <v>1315</v>
      </c>
      <c r="CB24" s="3079" t="s">
        <v>1315</v>
      </c>
      <c r="CC24" s="3079" t="s">
        <v>1315</v>
      </c>
      <c r="CD24" s="3080" t="s">
        <v>1315</v>
      </c>
      <c r="CF24" s="3061" t="s">
        <v>10374</v>
      </c>
      <c r="CG24" s="3079">
        <v>1</v>
      </c>
      <c r="CH24" s="3079" t="s">
        <v>1315</v>
      </c>
      <c r="CI24" s="3080"/>
    </row>
    <row r="25" spans="1:87" ht="12.75" customHeight="1">
      <c r="A25" s="702">
        <v>25</v>
      </c>
      <c r="B25" s="3493">
        <f>IF(OR(S25=0),0,SUM($S$6:S25))</f>
        <v>0</v>
      </c>
      <c r="C25" s="3494"/>
      <c r="D25" s="257" t="s">
        <v>99</v>
      </c>
      <c r="E25" s="342" t="s">
        <v>66</v>
      </c>
      <c r="F25" s="343">
        <v>1</v>
      </c>
      <c r="G25" s="343" t="s">
        <v>2422</v>
      </c>
      <c r="H25" s="344" t="s">
        <v>1165</v>
      </c>
      <c r="I25" s="3571" t="s">
        <v>5387</v>
      </c>
      <c r="J25" s="3571" t="s">
        <v>5420</v>
      </c>
      <c r="K25" s="3571" t="s">
        <v>5421</v>
      </c>
      <c r="L25" s="3571" t="s">
        <v>5422</v>
      </c>
      <c r="M25" s="3571" t="s">
        <v>5423</v>
      </c>
      <c r="N25" s="3571" t="s">
        <v>5424</v>
      </c>
      <c r="O25" s="3571" t="s">
        <v>5425</v>
      </c>
      <c r="P25" s="3571" t="s">
        <v>5426</v>
      </c>
      <c r="Q25" s="3571" t="s">
        <v>5427</v>
      </c>
      <c r="R25" s="3571" t="s">
        <v>5428</v>
      </c>
      <c r="S25" s="3516">
        <f>IF(COUNTIF(Psíquicos!$C$26:$E$37,E25)=0,0,1)</f>
        <v>0</v>
      </c>
      <c r="T25" s="3517">
        <f>COUNTIF(Psíquicos!$V$20:$Z$73,'Tablas psiquica'!D25)</f>
        <v>0</v>
      </c>
      <c r="U25" s="404"/>
      <c r="V25" s="3523"/>
      <c r="W25" s="4252" t="s">
        <v>13962</v>
      </c>
      <c r="X25" s="4251" t="s">
        <v>13963</v>
      </c>
      <c r="Y25" s="404">
        <f t="shared" si="0"/>
        <v>0</v>
      </c>
      <c r="Z25" s="3496">
        <f t="shared" si="1"/>
        <v>0</v>
      </c>
      <c r="AB25" s="3537" t="s">
        <v>104</v>
      </c>
      <c r="AC25" s="342" t="str" cm="1">
        <f t="array" ref="AC25">INDEX($I$6:$R$6,SUMPRODUCT(ISNUMBER(SEARCH("Fatiga",I31:R31))*1)+1)</f>
        <v>DIF</v>
      </c>
      <c r="AD25" s="342" t="str">
        <f>IFERROR(VLOOKUP(AB25,Psíquicos!$AD$11:$AK$67,8,FALSE),AC25)</f>
        <v>DIF</v>
      </c>
      <c r="AE25" s="798"/>
      <c r="AF25" s="798"/>
      <c r="AG25" s="798"/>
      <c r="AH25" s="798"/>
      <c r="AI25" s="798"/>
      <c r="AJ25" s="798"/>
      <c r="AK25" s="798"/>
      <c r="AL25" s="798"/>
      <c r="AM25" s="798"/>
      <c r="AN25" s="798"/>
      <c r="AO25" s="1793">
        <f>IF(COUNTIF(Psíquicos!$AD$20:$AH$65,AB25),VALUE(INDEX('Tablas psiquica'!$AE25:$AN25,MATCH('Tablas psiquica'!$AD25,'Tablas psiquica'!$AE$6:$AN$6,0))),0)</f>
        <v>0</v>
      </c>
      <c r="AQ25" s="2029" t="str">
        <f>IFERROR(IF(VLOOKUP(AR25,$D$7:$G$296,4,FALSE)&lt;&gt;"No",MAX(AQ$5:AQ24)+1,0),"")</f>
        <v/>
      </c>
      <c r="AR25" s="2030" t="str">
        <f t="shared" si="2"/>
        <v/>
      </c>
      <c r="AS25" s="2033" t="str">
        <f>IFERROR(VLOOKUP(Tablas!$A19,$AQ$7:$AR$145,2,FALSE),"")</f>
        <v/>
      </c>
      <c r="AU25" s="3051">
        <f>IF(AV25="",AU24,AU24+1)</f>
        <v>0</v>
      </c>
      <c r="AV25" s="3020" t="str">
        <f>IF(OR('Red Neuronal'!S43=10,'Red Neuronal'!U49=10),"Voluntad férrea","")</f>
        <v/>
      </c>
      <c r="AW25" s="3021"/>
      <c r="AX25" s="3020" t="str">
        <f>IF(OR('Red Neuronal'!R44=1,'Red Neuronal'!T50=1),"Aumenta la cantidad de CVs como cansancios mentales","")</f>
        <v/>
      </c>
      <c r="AY25" s="3020"/>
      <c r="AZ25" s="3020"/>
      <c r="BA25" s="3020"/>
      <c r="BB25" s="3020"/>
      <c r="BC25" s="3020"/>
      <c r="BD25" s="3089"/>
      <c r="BF25" s="3061" t="str">
        <f>IF(BJ25=1,SUM(BJ$24:$BJ25),"")</f>
        <v/>
      </c>
      <c r="BG25" s="3032" t="str">
        <f t="shared" si="6"/>
        <v/>
      </c>
      <c r="BH25" s="3062">
        <v>2</v>
      </c>
      <c r="BI25" s="3600" t="s">
        <v>10297</v>
      </c>
      <c r="BJ25" s="3065">
        <f>IF(SUM(T211,OR(T174,T146))=2,1,0)</f>
        <v>0</v>
      </c>
      <c r="BK25" s="3064" t="str">
        <f t="shared" si="7"/>
        <v/>
      </c>
      <c r="BM25" s="3061" t="s">
        <v>1450</v>
      </c>
      <c r="BN25" s="3032">
        <v>0</v>
      </c>
      <c r="BO25" s="3032">
        <v>0</v>
      </c>
      <c r="BP25" s="3032">
        <v>0</v>
      </c>
      <c r="BQ25" s="3032">
        <v>0</v>
      </c>
      <c r="BR25" s="3032">
        <v>0</v>
      </c>
      <c r="BS25" s="3032">
        <v>0</v>
      </c>
      <c r="BT25" s="3050">
        <v>0</v>
      </c>
      <c r="BV25" s="3061" t="s">
        <v>10369</v>
      </c>
      <c r="BW25" s="3074" t="s">
        <v>1315</v>
      </c>
      <c r="BX25" s="3073" t="s">
        <v>6056</v>
      </c>
      <c r="BY25" s="3073" t="s">
        <v>6013</v>
      </c>
      <c r="BZ25" s="3073" t="s">
        <v>10372</v>
      </c>
      <c r="CA25" s="3071" t="s">
        <v>10373</v>
      </c>
      <c r="CB25" s="3071" t="s">
        <v>10377</v>
      </c>
      <c r="CC25" s="3079" t="s">
        <v>1315</v>
      </c>
      <c r="CD25" s="3080" t="s">
        <v>1315</v>
      </c>
      <c r="CF25" s="3061" t="s">
        <v>10369</v>
      </c>
      <c r="CG25" s="3079">
        <v>1</v>
      </c>
      <c r="CH25" s="3079" t="s">
        <v>1315</v>
      </c>
      <c r="CI25" s="3080"/>
    </row>
    <row r="26" spans="1:87" ht="12.75" customHeight="1">
      <c r="A26" s="702">
        <v>26</v>
      </c>
      <c r="B26" s="3493">
        <f>IF(OR(S26=0),0,SUM($S$6:S26))</f>
        <v>0</v>
      </c>
      <c r="C26" s="3494"/>
      <c r="D26" s="257" t="s">
        <v>100</v>
      </c>
      <c r="E26" s="342" t="s">
        <v>66</v>
      </c>
      <c r="F26" s="343">
        <v>1</v>
      </c>
      <c r="G26" s="343" t="s">
        <v>1241</v>
      </c>
      <c r="H26" s="344" t="s">
        <v>1165</v>
      </c>
      <c r="I26" s="3571" t="s">
        <v>5386</v>
      </c>
      <c r="J26" s="3571" t="s">
        <v>5387</v>
      </c>
      <c r="K26" s="3571" t="s">
        <v>5429</v>
      </c>
      <c r="L26" s="3571" t="s">
        <v>5430</v>
      </c>
      <c r="M26" s="3571" t="s">
        <v>5431</v>
      </c>
      <c r="N26" s="3571" t="s">
        <v>5432</v>
      </c>
      <c r="O26" s="3571" t="s">
        <v>5433</v>
      </c>
      <c r="P26" s="3571" t="s">
        <v>5434</v>
      </c>
      <c r="Q26" s="3571" t="s">
        <v>5435</v>
      </c>
      <c r="R26" s="3571" t="s">
        <v>5436</v>
      </c>
      <c r="S26" s="3516">
        <f>IF(COUNTIF(Psíquicos!$C$26:$E$37,E26)=0,0,1)</f>
        <v>0</v>
      </c>
      <c r="T26" s="3517">
        <f>COUNTIF(Psíquicos!$V$20:$Z$73,'Tablas psiquica'!D26)</f>
        <v>0</v>
      </c>
      <c r="U26" s="404"/>
      <c r="V26" s="3523"/>
      <c r="W26" s="4252" t="s">
        <v>13940</v>
      </c>
      <c r="X26" s="4251" t="s">
        <v>13964</v>
      </c>
      <c r="Y26" s="404">
        <f t="shared" si="0"/>
        <v>0</v>
      </c>
      <c r="Z26" s="3496">
        <f t="shared" si="1"/>
        <v>0</v>
      </c>
      <c r="AB26" s="3537" t="s">
        <v>105</v>
      </c>
      <c r="AC26" s="342" t="str" cm="1">
        <f t="array" ref="AC26">INDEX($I$6:$R$6,SUMPRODUCT(ISNUMBER(SEARCH("Fatiga",I32:R32))*1)+1)</f>
        <v>MDF</v>
      </c>
      <c r="AD26" s="342" t="str">
        <f>IFERROR(VLOOKUP(AB26,Psíquicos!$AD$11:$AK$67,8,FALSE),AC26)</f>
        <v>MDF</v>
      </c>
      <c r="AE26" s="798"/>
      <c r="AF26" s="798"/>
      <c r="AG26" s="798"/>
      <c r="AH26" s="798"/>
      <c r="AI26" s="798"/>
      <c r="AJ26" s="798"/>
      <c r="AK26" s="798"/>
      <c r="AL26" s="798"/>
      <c r="AM26" s="798"/>
      <c r="AN26" s="798"/>
      <c r="AO26" s="1793">
        <f>IF(COUNTIF(Psíquicos!$AD$20:$AH$65,AB26),VALUE(INDEX('Tablas psiquica'!$AE26:$AN26,MATCH('Tablas psiquica'!$AD26,'Tablas psiquica'!$AE$6:$AN$6,0))),0)</f>
        <v>0</v>
      </c>
      <c r="AQ26" s="2029" t="str">
        <f>IFERROR(IF(VLOOKUP(AR26,$D$7:$G$296,4,FALSE)&lt;&gt;"No",MAX(AQ$5:AQ25)+1,0),"")</f>
        <v/>
      </c>
      <c r="AR26" s="2030" t="str">
        <f t="shared" si="2"/>
        <v/>
      </c>
      <c r="AS26" s="2033" t="str">
        <f>IFERROR(VLOOKUP(Tablas!$A20,$AQ$7:$AR$145,2,FALSE),"")</f>
        <v/>
      </c>
      <c r="AU26" s="3051">
        <f>IF(AV26="",AU25,AU25+1)</f>
        <v>0</v>
      </c>
      <c r="AV26" s="3020" t="str">
        <f>IF('Red Neuronal'!V44=1,"Poderes sinérgicos","")</f>
        <v/>
      </c>
      <c r="AW26" s="3021"/>
      <c r="AX26" s="3020" t="str">
        <f>IF('Red Neuronal'!V44=1,"Capacidad de usar poderes sinérgicos","")</f>
        <v/>
      </c>
      <c r="AY26" s="3020"/>
      <c r="AZ26" s="3020"/>
      <c r="BA26" s="3020"/>
      <c r="BB26" s="3020"/>
      <c r="BC26" s="3020"/>
      <c r="BD26" s="3089"/>
      <c r="BF26" s="3061" t="str">
        <f>IF(BJ26=1,SUM(BJ$24:$BJ26),"")</f>
        <v/>
      </c>
      <c r="BG26" s="3032" t="str">
        <f t="shared" si="6"/>
        <v/>
      </c>
      <c r="BH26" s="3062">
        <v>3</v>
      </c>
      <c r="BI26" s="3600" t="s">
        <v>10298</v>
      </c>
      <c r="BJ26" s="3065">
        <f>IF(SUM(T14,T93)=2,1,0)</f>
        <v>0</v>
      </c>
      <c r="BK26" s="3064" t="str">
        <f t="shared" si="7"/>
        <v/>
      </c>
      <c r="BM26" s="3061" t="s">
        <v>10351</v>
      </c>
      <c r="BN26" s="3032">
        <v>1</v>
      </c>
      <c r="BO26" s="3032">
        <v>1</v>
      </c>
      <c r="BP26" s="3032">
        <v>1</v>
      </c>
      <c r="BQ26" s="3032"/>
      <c r="BR26" s="3032"/>
      <c r="BS26" s="3032"/>
      <c r="BT26" s="3050"/>
      <c r="BV26" s="3061" t="s">
        <v>10370</v>
      </c>
      <c r="BW26" s="3074" t="s">
        <v>1315</v>
      </c>
      <c r="BX26" s="3073" t="s">
        <v>6056</v>
      </c>
      <c r="BY26" s="3073" t="s">
        <v>6013</v>
      </c>
      <c r="BZ26" s="3073" t="s">
        <v>6013</v>
      </c>
      <c r="CA26" s="3071" t="s">
        <v>10373</v>
      </c>
      <c r="CB26" s="3079" t="s">
        <v>1315</v>
      </c>
      <c r="CC26" s="3079" t="s">
        <v>1315</v>
      </c>
      <c r="CD26" s="3080" t="s">
        <v>1315</v>
      </c>
      <c r="CF26" s="3061" t="s">
        <v>10370</v>
      </c>
      <c r="CG26" s="3079">
        <v>1</v>
      </c>
      <c r="CH26" s="3079" t="s">
        <v>1315</v>
      </c>
      <c r="CI26" s="3080"/>
    </row>
    <row r="27" spans="1:87" ht="12.75" customHeight="1">
      <c r="A27" s="702">
        <v>27</v>
      </c>
      <c r="B27" s="3493">
        <f>IF(OR(S27=0),0,SUM($S$6:S27))</f>
        <v>0</v>
      </c>
      <c r="C27" s="3494"/>
      <c r="D27" s="257" t="s">
        <v>101</v>
      </c>
      <c r="E27" s="342" t="s">
        <v>66</v>
      </c>
      <c r="F27" s="343">
        <v>1</v>
      </c>
      <c r="G27" s="343" t="s">
        <v>2422</v>
      </c>
      <c r="H27" s="344" t="s">
        <v>1166</v>
      </c>
      <c r="I27" s="3571" t="s">
        <v>5386</v>
      </c>
      <c r="J27" s="3571" t="s">
        <v>5387</v>
      </c>
      <c r="K27" s="3571" t="s">
        <v>5437</v>
      </c>
      <c r="L27" s="3571" t="s">
        <v>5438</v>
      </c>
      <c r="M27" s="3571" t="s">
        <v>5439</v>
      </c>
      <c r="N27" s="3571" t="s">
        <v>5440</v>
      </c>
      <c r="O27" s="3571" t="s">
        <v>5441</v>
      </c>
      <c r="P27" s="3571" t="s">
        <v>5442</v>
      </c>
      <c r="Q27" s="3571" t="s">
        <v>5443</v>
      </c>
      <c r="R27" s="3571" t="s">
        <v>5444</v>
      </c>
      <c r="S27" s="3516">
        <f>IF(COUNTIF(Psíquicos!$C$26:$E$37,E27)=0,0,1)</f>
        <v>0</v>
      </c>
      <c r="T27" s="3517">
        <f>COUNTIF(Psíquicos!$V$20:$Z$73,'Tablas psiquica'!D27)</f>
        <v>0</v>
      </c>
      <c r="U27" s="404"/>
      <c r="V27" s="3523">
        <v>1</v>
      </c>
      <c r="W27" s="4252" t="s">
        <v>13952</v>
      </c>
      <c r="X27" s="4251" t="s">
        <v>13965</v>
      </c>
      <c r="Y27" s="404">
        <f t="shared" si="0"/>
        <v>0</v>
      </c>
      <c r="Z27" s="3496">
        <f t="shared" si="1"/>
        <v>1</v>
      </c>
      <c r="AB27" s="3537" t="s">
        <v>107</v>
      </c>
      <c r="AC27" s="342" t="str" cm="1">
        <f t="array" ref="AC27">INDEX($I$6:$R$6,SUMPRODUCT(ISNUMBER(SEARCH("Fatiga",I34:R34))*1)+1)</f>
        <v>DIF</v>
      </c>
      <c r="AD27" s="342" t="str">
        <f>IFERROR(VLOOKUP(AB27,Psíquicos!$AD$11:$AK$67,8,FALSE),AC27)</f>
        <v>DIF</v>
      </c>
      <c r="AE27" s="798"/>
      <c r="AF27" s="798"/>
      <c r="AG27" s="798"/>
      <c r="AH27" s="798" t="str">
        <f t="shared" ref="AH27:AN27" si="8">MID(L34,SEARCH("lo ",L34)+3,LEN(L34))</f>
        <v>6</v>
      </c>
      <c r="AI27" s="798" t="str">
        <f t="shared" si="8"/>
        <v>8</v>
      </c>
      <c r="AJ27" s="798" t="str">
        <f t="shared" si="8"/>
        <v>10</v>
      </c>
      <c r="AK27" s="798" t="str">
        <f t="shared" si="8"/>
        <v>12</v>
      </c>
      <c r="AL27" s="798" t="str">
        <f t="shared" si="8"/>
        <v>14</v>
      </c>
      <c r="AM27" s="798" t="str">
        <f t="shared" si="8"/>
        <v>16</v>
      </c>
      <c r="AN27" s="798" t="str">
        <f t="shared" si="8"/>
        <v>18</v>
      </c>
      <c r="AO27" s="1793">
        <f>IF(COUNTIF(Psíquicos!$AD$20:$AH$65,AB27),VALUE(INDEX('Tablas psiquica'!$AE27:$AN27,MATCH('Tablas psiquica'!$AD27,'Tablas psiquica'!$AE$6:$AN$6,0))),0)</f>
        <v>0</v>
      </c>
      <c r="AQ27" s="2029" t="str">
        <f>IFERROR(IF(VLOOKUP(AR27,$D$7:$G$296,4,FALSE)&lt;&gt;"No",MAX(AQ$5:AQ26)+1,0),"")</f>
        <v/>
      </c>
      <c r="AR27" s="2030" t="str">
        <f t="shared" si="2"/>
        <v/>
      </c>
      <c r="AS27" s="2033" t="str">
        <f>IFERROR(VLOOKUP(Tablas!$A21,$AQ$7:$AR$145,2,FALSE),"")</f>
        <v/>
      </c>
      <c r="AU27" s="3051">
        <f>IF(AV27="",AU26,AU26+1)</f>
        <v>0</v>
      </c>
      <c r="AV27" s="3020" t="str">
        <f>IF('Red Neuronal'!V28=1,"Concentración profunda","")</f>
        <v/>
      </c>
      <c r="AW27" s="3021"/>
      <c r="AX27" s="3020" t="str">
        <f>IF('Red Neuronal'!V28=1,"Por cada grado de concentración, obtiene un CV efímero","")</f>
        <v/>
      </c>
      <c r="AY27" s="3020"/>
      <c r="AZ27" s="3020"/>
      <c r="BA27" s="3020"/>
      <c r="BB27" s="3020"/>
      <c r="BC27" s="3020"/>
      <c r="BD27" s="3089"/>
      <c r="BF27" s="3061" t="str">
        <f>IF(BJ27=1,SUM(BJ$24:$BJ27),"")</f>
        <v/>
      </c>
      <c r="BG27" s="3032" t="str">
        <f t="shared" si="6"/>
        <v/>
      </c>
      <c r="BH27" s="3062">
        <v>4</v>
      </c>
      <c r="BI27" s="3600" t="s">
        <v>218</v>
      </c>
      <c r="BJ27" s="3065">
        <f>IF(SUM(D97,T170)=2,1,0)</f>
        <v>0</v>
      </c>
      <c r="BK27" s="3064" t="str">
        <f t="shared" si="7"/>
        <v/>
      </c>
      <c r="BM27" s="3061" t="s">
        <v>10352</v>
      </c>
      <c r="BN27" s="3032">
        <v>1</v>
      </c>
      <c r="BO27" s="3032">
        <v>1</v>
      </c>
      <c r="BP27" s="3032">
        <v>1</v>
      </c>
      <c r="BQ27" s="3032"/>
      <c r="BR27" s="3032"/>
      <c r="BS27" s="3032"/>
      <c r="BT27" s="3050"/>
      <c r="BV27" s="3061" t="s">
        <v>10371</v>
      </c>
      <c r="BW27" s="3074" t="s">
        <v>1315</v>
      </c>
      <c r="BX27" s="3073" t="s">
        <v>6056</v>
      </c>
      <c r="BY27" s="3073" t="s">
        <v>10378</v>
      </c>
      <c r="BZ27" s="3071" t="s">
        <v>3019</v>
      </c>
      <c r="CA27" s="3079" t="s">
        <v>1315</v>
      </c>
      <c r="CB27" s="3079" t="s">
        <v>1315</v>
      </c>
      <c r="CC27" s="3079" t="s">
        <v>1315</v>
      </c>
      <c r="CD27" s="3080" t="s">
        <v>1315</v>
      </c>
      <c r="CF27" s="3061" t="s">
        <v>10371</v>
      </c>
      <c r="CG27" s="3079">
        <v>1</v>
      </c>
      <c r="CH27" s="3079" t="s">
        <v>1315</v>
      </c>
      <c r="CI27" s="3080"/>
    </row>
    <row r="28" spans="1:87" ht="12.75" customHeight="1">
      <c r="A28" s="702">
        <v>28</v>
      </c>
      <c r="B28" s="3493">
        <f>IF(OR(S28=0),0,SUM($S$6:S28))</f>
        <v>0</v>
      </c>
      <c r="C28" s="3494"/>
      <c r="D28" s="257" t="s">
        <v>10245</v>
      </c>
      <c r="E28" s="342" t="s">
        <v>66</v>
      </c>
      <c r="F28" s="343">
        <v>1</v>
      </c>
      <c r="G28" s="343" t="s">
        <v>2422</v>
      </c>
      <c r="H28" s="344" t="s">
        <v>1166</v>
      </c>
      <c r="I28" s="3571" t="s">
        <v>5386</v>
      </c>
      <c r="J28" s="3571" t="s">
        <v>5387</v>
      </c>
      <c r="K28" s="3571" t="s">
        <v>5445</v>
      </c>
      <c r="L28" s="3571" t="s">
        <v>4052</v>
      </c>
      <c r="M28" s="3571" t="s">
        <v>4053</v>
      </c>
      <c r="N28" s="3571" t="s">
        <v>4054</v>
      </c>
      <c r="O28" s="3571" t="s">
        <v>4055</v>
      </c>
      <c r="P28" s="3571" t="s">
        <v>5446</v>
      </c>
      <c r="Q28" s="3571" t="s">
        <v>5447</v>
      </c>
      <c r="R28" s="3571" t="s">
        <v>5448</v>
      </c>
      <c r="S28" s="3516">
        <f>IF(COUNTIF(Psíquicos!$C$26:$E$37,E28)=0,0,1)</f>
        <v>0</v>
      </c>
      <c r="T28" s="3517">
        <f>COUNTIF(Psíquicos!$V$20:$Z$73,'Tablas psiquica'!D28)</f>
        <v>0</v>
      </c>
      <c r="U28" s="404"/>
      <c r="V28" s="3523"/>
      <c r="W28" s="4252" t="s">
        <v>13944</v>
      </c>
      <c r="X28" s="4253" t="s">
        <v>13966</v>
      </c>
      <c r="Y28" s="404">
        <f t="shared" si="0"/>
        <v>0</v>
      </c>
      <c r="Z28" s="3496">
        <f t="shared" si="1"/>
        <v>0</v>
      </c>
      <c r="AB28" s="3537" t="s">
        <v>108</v>
      </c>
      <c r="AC28" s="342" t="str" cm="1">
        <f t="array" ref="AC28">INDEX($I$6:$R$6,SUMPRODUCT(ISNUMBER(SEARCH("Fatiga",I35:R35))*1)+1)</f>
        <v>DIF</v>
      </c>
      <c r="AD28" s="342" t="str">
        <f>IFERROR(VLOOKUP(AB28,Psíquicos!$AD$11:$AK$67,8,FALSE),AC28)</f>
        <v>DIF</v>
      </c>
      <c r="AE28" s="798"/>
      <c r="AF28" s="798"/>
      <c r="AG28" s="798"/>
      <c r="AH28" s="798"/>
      <c r="AI28" s="798"/>
      <c r="AJ28" s="798"/>
      <c r="AK28" s="798"/>
      <c r="AL28" s="798"/>
      <c r="AM28" s="798"/>
      <c r="AN28" s="798"/>
      <c r="AO28" s="1793">
        <f>IF(COUNTIF(Psíquicos!$AD$20:$AH$65,AB28),VALUE(INDEX('Tablas psiquica'!$AE28:$AN28,MATCH('Tablas psiquica'!$AD28,'Tablas psiquica'!$AE$6:$AN$6,0))),0)</f>
        <v>0</v>
      </c>
      <c r="AQ28" s="2029" t="str">
        <f>IFERROR(IF(VLOOKUP(AR28,$D$7:$G$296,4,FALSE)&lt;&gt;"No",MAX(AQ$5:AQ27)+1,0),"")</f>
        <v/>
      </c>
      <c r="AR28" s="2030" t="str">
        <f t="shared" si="2"/>
        <v/>
      </c>
      <c r="AS28" s="2033" t="str">
        <f>IFERROR(VLOOKUP(Tablas!$A22,$AQ$7:$AR$145,2,FALSE),"")</f>
        <v/>
      </c>
      <c r="AU28" s="3051">
        <f t="shared" ref="AU28:AU62" si="9">IF(AV28="",AU27,AU27+1)</f>
        <v>0</v>
      </c>
      <c r="AV28" s="3020" t="str">
        <f>IF('Red Neuronal'!S27&gt;0,"Maniobras maestras","")</f>
        <v/>
      </c>
      <c r="AW28" s="3021"/>
      <c r="AX28" s="3020" t="str">
        <f>IF('Red Neuronal'!S27&gt;0,"Acceso a una Maniobra maestra","")</f>
        <v/>
      </c>
      <c r="AY28" s="3020"/>
      <c r="AZ28" s="3020"/>
      <c r="BA28" s="3020"/>
      <c r="BB28" s="3020"/>
      <c r="BC28" s="3020"/>
      <c r="BD28" s="3089"/>
      <c r="BF28" s="3061" t="str">
        <f>IF(BJ28=1,SUM(BJ$24:$BJ28),"")</f>
        <v/>
      </c>
      <c r="BG28" s="3032" t="str">
        <f t="shared" si="6"/>
        <v/>
      </c>
      <c r="BH28" s="3062">
        <v>5</v>
      </c>
      <c r="BI28" s="3600" t="s">
        <v>10299</v>
      </c>
      <c r="BJ28" s="3065">
        <f>IF(SUM(T18,T123)=2,1,0)</f>
        <v>0</v>
      </c>
      <c r="BK28" s="3064" t="str">
        <f t="shared" si="7"/>
        <v/>
      </c>
      <c r="BM28" s="3061" t="s">
        <v>10353</v>
      </c>
      <c r="BN28" s="3032">
        <v>2</v>
      </c>
      <c r="BO28" s="3032">
        <v>2</v>
      </c>
      <c r="BP28" s="3032">
        <v>2</v>
      </c>
      <c r="BQ28" s="3032"/>
      <c r="BR28" s="3032"/>
      <c r="BS28" s="3032"/>
      <c r="BT28" s="3050"/>
      <c r="BV28" s="3061" t="s">
        <v>6013</v>
      </c>
      <c r="BW28" s="3074" t="s">
        <v>1315</v>
      </c>
      <c r="BX28" s="3073" t="s">
        <v>10372</v>
      </c>
      <c r="BY28" s="3073" t="s">
        <v>6056</v>
      </c>
      <c r="BZ28" s="3073" t="s">
        <v>10379</v>
      </c>
      <c r="CA28" s="3073" t="s">
        <v>6923</v>
      </c>
      <c r="CB28" s="3073" t="s">
        <v>10369</v>
      </c>
      <c r="CC28" s="3073" t="s">
        <v>10370</v>
      </c>
      <c r="CD28" s="3075" t="s">
        <v>10380</v>
      </c>
      <c r="CF28" s="3061" t="s">
        <v>6013</v>
      </c>
      <c r="CG28" s="3079">
        <v>1</v>
      </c>
      <c r="CH28" s="3079" t="s">
        <v>1315</v>
      </c>
      <c r="CI28" s="3080"/>
    </row>
    <row r="29" spans="1:87" ht="12.75" customHeight="1">
      <c r="A29" s="702">
        <v>29</v>
      </c>
      <c r="B29" s="3493">
        <f>IF(OR(S29=0),0,SUM($S$6:S29))</f>
        <v>0</v>
      </c>
      <c r="C29" s="3494"/>
      <c r="D29" s="257" t="s">
        <v>102</v>
      </c>
      <c r="E29" s="342" t="s">
        <v>66</v>
      </c>
      <c r="F29" s="343">
        <v>1</v>
      </c>
      <c r="G29" s="343" t="s">
        <v>2422</v>
      </c>
      <c r="H29" s="344" t="s">
        <v>1165</v>
      </c>
      <c r="I29" s="3571" t="s">
        <v>5386</v>
      </c>
      <c r="J29" s="3571" t="s">
        <v>5387</v>
      </c>
      <c r="K29" s="3571" t="s">
        <v>5449</v>
      </c>
      <c r="L29" s="3571" t="s">
        <v>5429</v>
      </c>
      <c r="M29" s="3571" t="s">
        <v>5430</v>
      </c>
      <c r="N29" s="3571" t="s">
        <v>5450</v>
      </c>
      <c r="O29" s="3571" t="s">
        <v>5451</v>
      </c>
      <c r="P29" s="3571" t="s">
        <v>5452</v>
      </c>
      <c r="Q29" s="3571" t="s">
        <v>5453</v>
      </c>
      <c r="R29" s="3571" t="s">
        <v>5454</v>
      </c>
      <c r="S29" s="3516">
        <f>IF(COUNTIF(Psíquicos!$C$26:$E$37,E29)=0,0,1)</f>
        <v>0</v>
      </c>
      <c r="T29" s="3517">
        <f>COUNTIF(Psíquicos!$V$20:$Z$73,'Tablas psiquica'!D29)</f>
        <v>0</v>
      </c>
      <c r="U29" s="404"/>
      <c r="V29" s="3523"/>
      <c r="W29" s="4252" t="s">
        <v>13942</v>
      </c>
      <c r="X29" s="4253" t="s">
        <v>13967</v>
      </c>
      <c r="Y29" s="404">
        <f t="shared" si="0"/>
        <v>0</v>
      </c>
      <c r="Z29" s="3496">
        <f t="shared" si="1"/>
        <v>0</v>
      </c>
      <c r="AB29" s="3537" t="s">
        <v>110</v>
      </c>
      <c r="AC29" s="342" t="str" cm="1">
        <f t="array" ref="AC29">INDEX($I$6:$R$6,SUMPRODUCT(ISNUMBER(SEARCH("Fatiga",I37:R37))*1)+1)</f>
        <v>CIM</v>
      </c>
      <c r="AD29" s="342" t="str">
        <f>IFERROR(VLOOKUP(AB29,Psíquicos!$AD$11:$AK$67,8,FALSE),AC29)</f>
        <v>CIM</v>
      </c>
      <c r="AE29" s="798"/>
      <c r="AF29" s="798"/>
      <c r="AG29" s="798"/>
      <c r="AH29" s="798"/>
      <c r="AI29" s="798"/>
      <c r="AJ29" s="798"/>
      <c r="AK29" s="798"/>
      <c r="AL29" s="798"/>
      <c r="AM29" s="798"/>
      <c r="AN29" s="798"/>
      <c r="AO29" s="1793">
        <f>IF(COUNTIF(Psíquicos!$AD$20:$AH$65,AB29),VALUE(INDEX('Tablas psiquica'!$AE29:$AN29,MATCH('Tablas psiquica'!$AD29,'Tablas psiquica'!$AE$6:$AN$6,0))),0)</f>
        <v>0</v>
      </c>
      <c r="AQ29" s="2029" t="str">
        <f>IFERROR(IF(VLOOKUP(AR29,$D$7:$G$296,4,FALSE)&lt;&gt;"No",MAX(AQ$5:AQ28)+1,0),"")</f>
        <v/>
      </c>
      <c r="AR29" s="2030" t="str">
        <f t="shared" si="2"/>
        <v/>
      </c>
      <c r="AS29" s="2033" t="str">
        <f>IFERROR(VLOOKUP(Tablas!$A23,$AQ$7:$AR$145,2,FALSE),"")</f>
        <v/>
      </c>
      <c r="AU29" s="3051">
        <f t="shared" si="9"/>
        <v>0</v>
      </c>
      <c r="AV29" s="3020" t="str">
        <f>IF('Red Neuronal'!U21=10,"Nirvana","")</f>
        <v/>
      </c>
      <c r="AW29" s="3021"/>
      <c r="AX29" s="3020" t="str">
        <f>IF('Red Neuronal'!U21=10,"Aumenta la concentración máxima. 2h otorga +60","")</f>
        <v/>
      </c>
      <c r="AY29" s="3020"/>
      <c r="AZ29" s="3020"/>
      <c r="BA29" s="3020"/>
      <c r="BB29" s="3020"/>
      <c r="BC29" s="3020"/>
      <c r="BD29" s="3089"/>
      <c r="BF29" s="3061" t="str">
        <f>IF(BJ29=1,SUM(BJ$24:$BJ29),"")</f>
        <v/>
      </c>
      <c r="BG29" s="3032" t="str">
        <f t="shared" si="6"/>
        <v/>
      </c>
      <c r="BH29" s="3062">
        <v>6</v>
      </c>
      <c r="BI29" s="3600" t="s">
        <v>10300</v>
      </c>
      <c r="BJ29" s="3065">
        <f>IF(SUM(T177,OR(T197,T191))=2,1,0)</f>
        <v>0</v>
      </c>
      <c r="BK29" s="3064" t="str">
        <f t="shared" si="7"/>
        <v/>
      </c>
      <c r="BM29" s="3061" t="s">
        <v>10354</v>
      </c>
      <c r="BN29" s="3032">
        <v>2</v>
      </c>
      <c r="BO29" s="3032">
        <v>2</v>
      </c>
      <c r="BP29" s="3032">
        <v>2</v>
      </c>
      <c r="BQ29" s="3032"/>
      <c r="BR29" s="3032"/>
      <c r="BS29" s="3032"/>
      <c r="BT29" s="3050"/>
      <c r="BV29" s="3061" t="s">
        <v>10372</v>
      </c>
      <c r="BW29" s="3071" t="s">
        <v>412</v>
      </c>
      <c r="BX29" s="3073" t="s">
        <v>6013</v>
      </c>
      <c r="BY29" s="3073" t="s">
        <v>10379</v>
      </c>
      <c r="BZ29" s="3073" t="s">
        <v>6923</v>
      </c>
      <c r="CA29" s="3073" t="s">
        <v>6056</v>
      </c>
      <c r="CB29" s="3073" t="s">
        <v>10369</v>
      </c>
      <c r="CC29" s="3073" t="s">
        <v>10370</v>
      </c>
      <c r="CD29" s="3075" t="s">
        <v>10380</v>
      </c>
      <c r="CF29" s="3061" t="s">
        <v>10372</v>
      </c>
      <c r="CG29" s="3079">
        <v>1</v>
      </c>
      <c r="CH29" s="3079" t="s">
        <v>1315</v>
      </c>
      <c r="CI29" s="3080"/>
    </row>
    <row r="30" spans="1:87" ht="12.75" customHeight="1">
      <c r="A30" s="702">
        <v>30</v>
      </c>
      <c r="B30" s="3493">
        <f>IF(OR(S30=0),0,SUM($S$6:S30))</f>
        <v>0</v>
      </c>
      <c r="C30" s="3494"/>
      <c r="D30" s="257" t="s">
        <v>103</v>
      </c>
      <c r="E30" s="342" t="s">
        <v>66</v>
      </c>
      <c r="F30" s="343">
        <v>2</v>
      </c>
      <c r="G30" s="343" t="s">
        <v>1241</v>
      </c>
      <c r="H30" s="344" t="s">
        <v>1165</v>
      </c>
      <c r="I30" s="3571" t="s">
        <v>5406</v>
      </c>
      <c r="J30" s="3571" t="s">
        <v>5386</v>
      </c>
      <c r="K30" s="3571" t="s">
        <v>5387</v>
      </c>
      <c r="L30" s="3572" t="s">
        <v>6495</v>
      </c>
      <c r="M30" s="3572" t="s">
        <v>6496</v>
      </c>
      <c r="N30" s="3572" t="s">
        <v>6497</v>
      </c>
      <c r="O30" s="3572" t="s">
        <v>6498</v>
      </c>
      <c r="P30" s="3572" t="s">
        <v>6499</v>
      </c>
      <c r="Q30" s="3572" t="s">
        <v>6500</v>
      </c>
      <c r="R30" s="3572" t="s">
        <v>6501</v>
      </c>
      <c r="S30" s="3516">
        <f>IF(COUNTIF(Psíquicos!$C$26:$E$37,E30)=0,0,1)</f>
        <v>0</v>
      </c>
      <c r="T30" s="3517">
        <f>COUNTIF(Psíquicos!$V$20:$Z$73,'Tablas psiquica'!D30)</f>
        <v>0</v>
      </c>
      <c r="U30" s="404"/>
      <c r="V30" s="3523"/>
      <c r="W30" s="4252" t="s">
        <v>13968</v>
      </c>
      <c r="X30" s="4251" t="s">
        <v>13969</v>
      </c>
      <c r="Y30" s="404">
        <f t="shared" si="0"/>
        <v>0</v>
      </c>
      <c r="Z30" s="3496">
        <f t="shared" si="1"/>
        <v>0</v>
      </c>
      <c r="AB30" s="3537" t="s">
        <v>112</v>
      </c>
      <c r="AC30" s="342"/>
      <c r="AD30" s="342"/>
      <c r="AE30" s="798"/>
      <c r="AF30" s="798"/>
      <c r="AG30" s="798"/>
      <c r="AH30" s="798"/>
      <c r="AI30" s="798"/>
      <c r="AJ30" s="798"/>
      <c r="AK30" s="798"/>
      <c r="AL30" s="798"/>
      <c r="AM30" s="798"/>
      <c r="AN30" s="798"/>
      <c r="AO30" s="1793" t="e">
        <f>IF(COUNTIF(Psíquicos!$AD$20:$AH$65,AB30),VALUE(INDEX('Tablas psiquica'!$AE30:$AN30,MATCH('Tablas psiquica'!$AD30,'Tablas psiquica'!$AE$6:$AN$6,0))),0)</f>
        <v>#N/A</v>
      </c>
      <c r="AQ30" s="2029" t="str">
        <f>IFERROR(IF(VLOOKUP(AR30,$D$7:$G$296,4,FALSE)&lt;&gt;"No",MAX(AQ$5:AQ29)+1,0),"")</f>
        <v/>
      </c>
      <c r="AR30" s="2030" t="str">
        <f t="shared" si="2"/>
        <v/>
      </c>
      <c r="AS30" s="2033" t="str">
        <f>IFERROR(VLOOKUP(Tablas!$A24,$AQ$7:$AR$145,2,FALSE),"")</f>
        <v/>
      </c>
      <c r="AU30" s="3051">
        <f t="shared" si="9"/>
        <v>0</v>
      </c>
      <c r="AV30" s="3020" t="str">
        <f>IF('Red Neuronal'!P30=5,"Mente violenta","")</f>
        <v/>
      </c>
      <c r="AW30" s="3021"/>
      <c r="AX30" s="3020" t="str">
        <f>IF('Red Neuronal'!P30=5,"Por cada 40 de Potencial, +10 al daño base de poderes y +100 PV de escudos","")</f>
        <v/>
      </c>
      <c r="AY30" s="3020"/>
      <c r="AZ30" s="3020"/>
      <c r="BA30" s="3020"/>
      <c r="BB30" s="3020"/>
      <c r="BC30" s="3020"/>
      <c r="BD30" s="3089"/>
      <c r="BF30" s="3061" t="str">
        <f>IF(BJ30=1,SUM(BJ$24:$BJ30),"")</f>
        <v/>
      </c>
      <c r="BG30" s="3032" t="str">
        <f t="shared" si="6"/>
        <v/>
      </c>
      <c r="BH30" s="3062">
        <v>7</v>
      </c>
      <c r="BI30" s="3600" t="s">
        <v>10301</v>
      </c>
      <c r="BJ30" s="3065">
        <f>IF(SUM(T71,T211)=2,1,0)</f>
        <v>0</v>
      </c>
      <c r="BK30" s="3064" t="str">
        <f t="shared" si="7"/>
        <v/>
      </c>
      <c r="BM30" s="3061" t="s">
        <v>10355</v>
      </c>
      <c r="BN30" s="3032">
        <v>2</v>
      </c>
      <c r="BO30" s="3032">
        <v>2</v>
      </c>
      <c r="BP30" s="3032">
        <v>2</v>
      </c>
      <c r="BQ30" s="3032">
        <v>1</v>
      </c>
      <c r="BR30" s="3032"/>
      <c r="BS30" s="3032"/>
      <c r="BT30" s="3050"/>
      <c r="BV30" s="3061" t="s">
        <v>10381</v>
      </c>
      <c r="BW30" s="3071" t="s">
        <v>10380</v>
      </c>
      <c r="BX30" s="3073" t="s">
        <v>10382</v>
      </c>
      <c r="BY30" s="3076" t="s">
        <v>1912</v>
      </c>
      <c r="BZ30" s="3073" t="s">
        <v>10379</v>
      </c>
      <c r="CA30" s="3073" t="s">
        <v>10383</v>
      </c>
      <c r="CB30" s="3032"/>
      <c r="CC30" s="3032"/>
      <c r="CD30" s="3080" t="s">
        <v>1315</v>
      </c>
      <c r="CF30" s="3061" t="s">
        <v>10381</v>
      </c>
      <c r="CG30" s="3079">
        <v>2</v>
      </c>
      <c r="CH30" s="3079" t="s">
        <v>1315</v>
      </c>
      <c r="CI30" s="3080"/>
    </row>
    <row r="31" spans="1:87" ht="12.75" customHeight="1">
      <c r="A31" s="702">
        <v>31</v>
      </c>
      <c r="B31" s="3493">
        <f>IF(OR(S31=0),0,SUM($S$6:S31))</f>
        <v>0</v>
      </c>
      <c r="C31" s="3494"/>
      <c r="D31" s="257" t="s">
        <v>104</v>
      </c>
      <c r="E31" s="342" t="s">
        <v>66</v>
      </c>
      <c r="F31" s="343">
        <v>2</v>
      </c>
      <c r="G31" s="343" t="s">
        <v>2422</v>
      </c>
      <c r="H31" s="344" t="s">
        <v>1165</v>
      </c>
      <c r="I31" s="3571" t="s">
        <v>5406</v>
      </c>
      <c r="J31" s="3571" t="s">
        <v>5386</v>
      </c>
      <c r="K31" s="3571" t="s">
        <v>5387</v>
      </c>
      <c r="L31" s="3571" t="s">
        <v>11328</v>
      </c>
      <c r="M31" s="3571" t="s">
        <v>11358</v>
      </c>
      <c r="N31" s="3571" t="s">
        <v>11387</v>
      </c>
      <c r="O31" s="3571" t="s">
        <v>11405</v>
      </c>
      <c r="P31" s="3571" t="s">
        <v>9669</v>
      </c>
      <c r="Q31" s="3571" t="s">
        <v>9670</v>
      </c>
      <c r="R31" s="3571" t="s">
        <v>9671</v>
      </c>
      <c r="S31" s="3516">
        <f>IF(COUNTIF(Psíquicos!$C$26:$E$37,E31)=0,0,1)</f>
        <v>0</v>
      </c>
      <c r="T31" s="3517">
        <f>COUNTIF(Psíquicos!$V$20:$Z$73,'Tablas psiquica'!D31)</f>
        <v>0</v>
      </c>
      <c r="U31" s="404"/>
      <c r="V31" s="3523"/>
      <c r="W31" s="4252" t="s">
        <v>13952</v>
      </c>
      <c r="X31" s="4251" t="s">
        <v>13970</v>
      </c>
      <c r="Y31" s="404">
        <f t="shared" si="0"/>
        <v>0</v>
      </c>
      <c r="Z31" s="3496">
        <f t="shared" si="1"/>
        <v>0</v>
      </c>
      <c r="AB31" s="3537" t="s">
        <v>113</v>
      </c>
      <c r="AC31" s="342" t="str" cm="1">
        <f t="array" ref="AC31">INDEX($I$6:$R$6,SUMPRODUCT(ISNUMBER(SEARCH("Fatiga",I40:R40))*1)+1)</f>
        <v>FAC</v>
      </c>
      <c r="AD31" s="342" t="str">
        <f>IFERROR(VLOOKUP(AB31,Psíquicos!$AD$11:$AK$67,8,FALSE),AC31)</f>
        <v>FAC</v>
      </c>
      <c r="AE31" s="798"/>
      <c r="AF31" s="798"/>
      <c r="AG31" s="798"/>
      <c r="AH31" s="798"/>
      <c r="AI31" s="798"/>
      <c r="AJ31" s="798"/>
      <c r="AK31" s="798"/>
      <c r="AL31" s="798"/>
      <c r="AM31" s="798"/>
      <c r="AN31" s="798"/>
      <c r="AO31" s="1793">
        <f>IF(COUNTIF(Psíquicos!$AD$20:$AH$65,AB31),VALUE(INDEX('Tablas psiquica'!$AE31:$AN31,MATCH('Tablas psiquica'!$AD31,'Tablas psiquica'!$AE$6:$AN$6,0))),0)</f>
        <v>0</v>
      </c>
      <c r="AQ31" s="2029" t="str">
        <f>IFERROR(IF(VLOOKUP(AR31,$D$7:$G$296,4,FALSE)&lt;&gt;"No",MAX(AQ$5:AQ30)+1,0),"")</f>
        <v/>
      </c>
      <c r="AR31" s="2030" t="str">
        <f t="shared" si="2"/>
        <v/>
      </c>
      <c r="AS31" s="2033" t="str">
        <f>IFERROR(VLOOKUP(Tablas!$A25,$AQ$7:$AR$145,2,FALSE),"")</f>
        <v/>
      </c>
      <c r="AU31" s="3051">
        <f t="shared" si="9"/>
        <v>0</v>
      </c>
      <c r="AV31" s="3020" t="str">
        <f>IF(SUM('Red Neuronal'!G31+'Red Neuronal'!C26+'Red Neuronal'!C36=3),"Fortalecer defensivo (3)",IF(SUM('Red Neuronal'!G31+'Red Neuronal'!C26+'Red Neuronal'!C36=2),"Fortalecer defensivo (2)",IF(SUM('Red Neuronal'!G31+'Red Neuronal'!C26+'Red Neuronal'!C36=1)=1,"Fortalecer defensivo (1)","")))</f>
        <v/>
      </c>
      <c r="AW31" s="3021"/>
      <c r="AX31" s="3020" t="str">
        <f>IF(AV31="","","Otorga mejoras a las capacidades ofensivas o defensivas. Ver")</f>
        <v/>
      </c>
      <c r="AY31" s="3020"/>
      <c r="AZ31" s="3020"/>
      <c r="BA31" s="3020"/>
      <c r="BB31" s="3020"/>
      <c r="BC31" s="3020"/>
      <c r="BD31" s="3089"/>
      <c r="BF31" s="3061" t="str">
        <f>IF(BJ31=1,SUM(BJ$24:$BJ31),"")</f>
        <v/>
      </c>
      <c r="BG31" s="3032" t="str">
        <f t="shared" si="6"/>
        <v/>
      </c>
      <c r="BH31" s="3062">
        <v>8</v>
      </c>
      <c r="BI31" s="3600" t="s">
        <v>10302</v>
      </c>
      <c r="BJ31" s="3065">
        <f>IF(SUM(T156,T132)=2,1,0)</f>
        <v>0</v>
      </c>
      <c r="BK31" s="3064" t="str">
        <f t="shared" si="7"/>
        <v/>
      </c>
      <c r="BM31" s="3061" t="s">
        <v>10356</v>
      </c>
      <c r="BN31" s="3032">
        <v>3</v>
      </c>
      <c r="BO31" s="3032">
        <v>3</v>
      </c>
      <c r="BP31" s="3032">
        <v>3</v>
      </c>
      <c r="BQ31" s="3032"/>
      <c r="BR31" s="3032"/>
      <c r="BS31" s="3032"/>
      <c r="BT31" s="3050">
        <v>1</v>
      </c>
      <c r="BV31" s="3061" t="s">
        <v>10382</v>
      </c>
      <c r="BW31" s="3071" t="s">
        <v>10373</v>
      </c>
      <c r="BX31" s="3073" t="s">
        <v>10381</v>
      </c>
      <c r="BY31" s="3077" t="s">
        <v>10384</v>
      </c>
      <c r="BZ31" s="3077" t="s">
        <v>10385</v>
      </c>
      <c r="CA31" s="3077" t="s">
        <v>10386</v>
      </c>
      <c r="CB31" s="3077" t="s">
        <v>8065</v>
      </c>
      <c r="CC31" s="3077" t="s">
        <v>10387</v>
      </c>
      <c r="CD31" s="3080" t="s">
        <v>1315</v>
      </c>
      <c r="CF31" s="3061" t="s">
        <v>10382</v>
      </c>
      <c r="CG31" s="3079">
        <v>1</v>
      </c>
      <c r="CH31" s="3079" t="s">
        <v>1315</v>
      </c>
      <c r="CI31" s="3080"/>
    </row>
    <row r="32" spans="1:87" ht="12.75" customHeight="1">
      <c r="A32" s="702">
        <v>32</v>
      </c>
      <c r="B32" s="3493">
        <f>IF(OR(S32=0),0,SUM($S$6:S32))</f>
        <v>0</v>
      </c>
      <c r="C32" s="3494"/>
      <c r="D32" s="257" t="s">
        <v>105</v>
      </c>
      <c r="E32" s="342" t="s">
        <v>66</v>
      </c>
      <c r="F32" s="343">
        <v>2</v>
      </c>
      <c r="G32" s="343" t="s">
        <v>2422</v>
      </c>
      <c r="H32" s="344" t="s">
        <v>1165</v>
      </c>
      <c r="I32" s="3571" t="s">
        <v>5408</v>
      </c>
      <c r="J32" s="3571" t="s">
        <v>5407</v>
      </c>
      <c r="K32" s="3571" t="s">
        <v>5406</v>
      </c>
      <c r="L32" s="3571" t="s">
        <v>5386</v>
      </c>
      <c r="M32" s="3571" t="s">
        <v>5455</v>
      </c>
      <c r="N32" s="3571" t="s">
        <v>5456</v>
      </c>
      <c r="O32" s="3571" t="s">
        <v>5457</v>
      </c>
      <c r="P32" s="3571" t="s">
        <v>5458</v>
      </c>
      <c r="Q32" s="3571" t="s">
        <v>5459</v>
      </c>
      <c r="R32" s="3571" t="s">
        <v>5460</v>
      </c>
      <c r="S32" s="3516">
        <f>IF(COUNTIF(Psíquicos!$C$26:$E$37,E32)=0,0,1)</f>
        <v>0</v>
      </c>
      <c r="T32" s="3517">
        <f>COUNTIF(Psíquicos!$V$20:$Z$73,'Tablas psiquica'!D32)</f>
        <v>0</v>
      </c>
      <c r="U32" s="404"/>
      <c r="V32" s="3523"/>
      <c r="W32" s="4252" t="s">
        <v>13952</v>
      </c>
      <c r="X32" s="4251" t="s">
        <v>13971</v>
      </c>
      <c r="Y32" s="404">
        <f t="shared" si="0"/>
        <v>0</v>
      </c>
      <c r="Z32" s="3496">
        <f t="shared" si="1"/>
        <v>0</v>
      </c>
      <c r="AB32" s="3537" t="s">
        <v>115</v>
      </c>
      <c r="AC32" s="342" t="str" cm="1">
        <f t="array" ref="AC32">INDEX($I$6:$R$6,SUMPRODUCT(ISNUMBER(SEARCH("Fatiga",I42:R42))*1)+1)</f>
        <v>MED</v>
      </c>
      <c r="AD32" s="342" t="str">
        <f>IFERROR(VLOOKUP(AB32,Psíquicos!$AD$11:$AK$67,8,FALSE),AC32)</f>
        <v>MED</v>
      </c>
      <c r="AE32" s="798"/>
      <c r="AF32" s="798"/>
      <c r="AG32" s="798"/>
      <c r="AH32" s="798"/>
      <c r="AI32" s="798"/>
      <c r="AJ32" s="798"/>
      <c r="AK32" s="798"/>
      <c r="AL32" s="798"/>
      <c r="AM32" s="798"/>
      <c r="AN32" s="798"/>
      <c r="AO32" s="1793">
        <f>IF(COUNTIF(Psíquicos!$AD$20:$AH$65,AB32),VALUE(INDEX('Tablas psiquica'!$AE32:$AN32,MATCH('Tablas psiquica'!$AD32,'Tablas psiquica'!$AE$6:$AN$6,0))),0)</f>
        <v>0</v>
      </c>
      <c r="AQ32" s="2029" t="str">
        <f>IFERROR(IF(VLOOKUP(AR32,$D$7:$G$296,4,FALSE)&lt;&gt;"No",MAX(AQ$5:AQ31)+1,0),"")</f>
        <v/>
      </c>
      <c r="AR32" s="2030" t="str">
        <f t="shared" si="2"/>
        <v/>
      </c>
      <c r="AS32" s="2033" t="str">
        <f>IFERROR(VLOOKUP(Tablas!$A26,$AQ$7:$AR$145,2,FALSE),"")</f>
        <v/>
      </c>
      <c r="AU32" s="3162">
        <f t="shared" si="9"/>
        <v>0</v>
      </c>
      <c r="AV32" s="3163" t="str">
        <f>IF(SUM('Red Neuronal'!O21+'Red Neuronal'!O16+'Red Neuronal'!K16=3),"Fortalecer ofensivo (3)",IF(SUM('Red Neuronal'!O21+'Red Neuronal'!O16+'Red Neuronal'!K16=2),"Fortalecer ofensivo (2)",IF(SUM('Red Neuronal'!O21+'Red Neuronal'!O16+'Red Neuronal'!K16=1)=1,"Fortalecer ofensivo (1)","")))</f>
        <v/>
      </c>
      <c r="AW32" s="3079"/>
      <c r="AX32" s="3165" t="str">
        <f>IF(AV32="","","Otorga mejoras a las capacidades ofensivas o defensivas. Ver")</f>
        <v/>
      </c>
      <c r="AY32" s="3079"/>
      <c r="AZ32" s="3079"/>
      <c r="BA32" s="3079"/>
      <c r="BB32" s="3079"/>
      <c r="BC32" s="3079"/>
      <c r="BD32" s="3164"/>
      <c r="BF32" s="3061" t="str">
        <f>IF(BJ32=1,SUM(BJ$24:$BJ32),"")</f>
        <v/>
      </c>
      <c r="BG32" s="3032" t="str">
        <f t="shared" si="6"/>
        <v/>
      </c>
      <c r="BH32" s="3062">
        <v>9</v>
      </c>
      <c r="BI32" s="3600" t="s">
        <v>10303</v>
      </c>
      <c r="BJ32" s="3065">
        <f>IF(SUM(T147,T187)=2,1,0)</f>
        <v>0</v>
      </c>
      <c r="BK32" s="3064" t="str">
        <f t="shared" si="7"/>
        <v/>
      </c>
      <c r="BM32" s="3061" t="s">
        <v>10357</v>
      </c>
      <c r="BN32" s="3032">
        <v>2</v>
      </c>
      <c r="BO32" s="3032">
        <v>2</v>
      </c>
      <c r="BP32" s="3032">
        <v>2</v>
      </c>
      <c r="BQ32" s="3032">
        <v>2</v>
      </c>
      <c r="BR32" s="3032"/>
      <c r="BS32" s="3032"/>
      <c r="BT32" s="3050"/>
      <c r="BV32" s="3061" t="s">
        <v>355</v>
      </c>
      <c r="BW32" s="3074" t="s">
        <v>1315</v>
      </c>
      <c r="BX32" s="3076" t="s">
        <v>10388</v>
      </c>
      <c r="BY32" s="3071" t="s">
        <v>10389</v>
      </c>
      <c r="BZ32" s="3079" t="s">
        <v>1315</v>
      </c>
      <c r="CA32" s="3079" t="s">
        <v>1315</v>
      </c>
      <c r="CB32" s="3079" t="s">
        <v>1315</v>
      </c>
      <c r="CC32" s="3079" t="s">
        <v>1315</v>
      </c>
      <c r="CD32" s="3080" t="s">
        <v>1315</v>
      </c>
      <c r="CF32" s="3061" t="s">
        <v>355</v>
      </c>
      <c r="CG32" s="3079">
        <v>2</v>
      </c>
      <c r="CH32" s="3079" t="s">
        <v>1315</v>
      </c>
      <c r="CI32" s="3080"/>
    </row>
    <row r="33" spans="1:87" ht="12.75" customHeight="1">
      <c r="A33" s="702">
        <v>33</v>
      </c>
      <c r="B33" s="3493">
        <f>IF(OR(S33=0),0,SUM($S$6:S33))</f>
        <v>0</v>
      </c>
      <c r="C33" s="3494"/>
      <c r="D33" s="257" t="s">
        <v>106</v>
      </c>
      <c r="E33" s="342" t="s">
        <v>66</v>
      </c>
      <c r="F33" s="343">
        <v>2</v>
      </c>
      <c r="G33" s="343" t="s">
        <v>1241</v>
      </c>
      <c r="H33" s="344" t="s">
        <v>1165</v>
      </c>
      <c r="I33" s="3571" t="s">
        <v>5408</v>
      </c>
      <c r="J33" s="3571" t="s">
        <v>5407</v>
      </c>
      <c r="K33" s="3571" t="s">
        <v>5406</v>
      </c>
      <c r="L33" s="3571" t="s">
        <v>5386</v>
      </c>
      <c r="M33" s="3571" t="s">
        <v>5461</v>
      </c>
      <c r="N33" s="3571" t="s">
        <v>8748</v>
      </c>
      <c r="O33" s="3571" t="s">
        <v>8749</v>
      </c>
      <c r="P33" s="3571" t="s">
        <v>8750</v>
      </c>
      <c r="Q33" s="3571" t="s">
        <v>8751</v>
      </c>
      <c r="R33" s="3571" t="s">
        <v>11118</v>
      </c>
      <c r="S33" s="3516">
        <f>IF(COUNTIF(Psíquicos!$C$26:$E$37,E33)=0,0,1)</f>
        <v>0</v>
      </c>
      <c r="T33" s="3517">
        <f>COUNTIF(Psíquicos!$V$20:$Z$73,'Tablas psiquica'!D33)</f>
        <v>0</v>
      </c>
      <c r="U33" s="404"/>
      <c r="V33" s="3523"/>
      <c r="W33" s="4256" t="s">
        <v>13942</v>
      </c>
      <c r="X33" s="4253" t="s">
        <v>13972</v>
      </c>
      <c r="Y33" s="404">
        <f t="shared" si="0"/>
        <v>0</v>
      </c>
      <c r="Z33" s="3496">
        <f t="shared" si="1"/>
        <v>0</v>
      </c>
      <c r="AB33" s="3537" t="s">
        <v>11760</v>
      </c>
      <c r="AC33" s="342" t="str" cm="1">
        <f t="array" ref="AC33">INDEX($I$6:$R$6,SUMPRODUCT(ISNUMBER(SEARCH("Fatiga",I44:R44))*1)+1)</f>
        <v>DIF</v>
      </c>
      <c r="AD33" s="342" t="str">
        <f>IFERROR(VLOOKUP(AB33,Psíquicos!$AD$11:$AK$67,8,FALSE),AC33)</f>
        <v>DIF</v>
      </c>
      <c r="AE33" s="798"/>
      <c r="AF33" s="798"/>
      <c r="AG33" s="798"/>
      <c r="AH33" s="798"/>
      <c r="AI33" s="798"/>
      <c r="AJ33" s="798"/>
      <c r="AK33" s="798"/>
      <c r="AL33" s="798"/>
      <c r="AM33" s="798"/>
      <c r="AN33" s="798"/>
      <c r="AO33" s="1793">
        <f>IF(COUNTIF(Psíquicos!$AD$20:$AH$65,AB33),VALUE(INDEX('Tablas psiquica'!$AE33:$AN33,MATCH('Tablas psiquica'!$AD33,'Tablas psiquica'!$AE$6:$AN$6,0))),0)</f>
        <v>0</v>
      </c>
      <c r="AQ33" s="2029" t="str">
        <f>IFERROR(IF(VLOOKUP(AR33,$D$7:$G$296,4,FALSE)&lt;&gt;"No",MAX(AQ$5:AQ32)+1,0),"")</f>
        <v/>
      </c>
      <c r="AR33" s="2030" t="str">
        <f t="shared" si="2"/>
        <v/>
      </c>
      <c r="AS33" s="2033" t="str">
        <f>IFERROR(VLOOKUP(Tablas!$A27,$AQ$7:$AR$145,2,FALSE),"")</f>
        <v/>
      </c>
      <c r="AU33" s="3051">
        <f t="shared" si="9"/>
        <v>0</v>
      </c>
      <c r="AV33" s="3020" t="str">
        <f>IF(SUM('Red Neuronal'!O26+'Red Neuronal'!K26)=2,"Matrices corrosivas (2)",IF(SUM('Red Neuronal'!$O$26+'Red Neuronal'!$K$26)=1,"Matrices corrosivas (1)",""))</f>
        <v/>
      </c>
      <c r="AW33" s="3021"/>
      <c r="AX33" s="3020" t="str">
        <f>IF(SUM('Red Neuronal'!O26+'Red Neuronal'!K26)=2,"Aumenta el daño base +10 y reduce 2 TAs por cada grado superado",IF(SUM('Red Neuronal'!O26+'Red Neuronal'!K26)=1,"Aumenta el daño base +5 y reduce 1 TA por cada grado superado",""))</f>
        <v/>
      </c>
      <c r="AY33" s="3020"/>
      <c r="AZ33" s="3020"/>
      <c r="BA33" s="3020"/>
      <c r="BB33" s="3020"/>
      <c r="BC33" s="3020"/>
      <c r="BD33" s="3089"/>
      <c r="BF33" s="3061" t="str">
        <f>IF(BJ33=1,SUM(BJ$24:$BJ33),"")</f>
        <v/>
      </c>
      <c r="BG33" s="3032" t="str">
        <f t="shared" si="6"/>
        <v/>
      </c>
      <c r="BH33" s="3062">
        <v>10</v>
      </c>
      <c r="BI33" s="3600" t="s">
        <v>10304</v>
      </c>
      <c r="BJ33" s="3065">
        <f>IF(SUM(T48,T59)=2,1,0)</f>
        <v>0</v>
      </c>
      <c r="BK33" s="3064" t="str">
        <f t="shared" si="7"/>
        <v/>
      </c>
      <c r="BM33" s="3061" t="s">
        <v>10358</v>
      </c>
      <c r="BN33" s="3032">
        <v>2</v>
      </c>
      <c r="BO33" s="3032">
        <v>2</v>
      </c>
      <c r="BP33" s="3032">
        <v>2</v>
      </c>
      <c r="BQ33" s="3032"/>
      <c r="BR33" s="3032"/>
      <c r="BS33" s="3032">
        <v>1</v>
      </c>
      <c r="BT33" s="3050"/>
      <c r="BV33" s="3061" t="s">
        <v>10390</v>
      </c>
      <c r="BW33" s="3074" t="s">
        <v>1315</v>
      </c>
      <c r="BX33" s="3071" t="s">
        <v>10373</v>
      </c>
      <c r="BY33" s="3079" t="s">
        <v>1315</v>
      </c>
      <c r="BZ33" s="3079" t="s">
        <v>1315</v>
      </c>
      <c r="CA33" s="3079" t="s">
        <v>1315</v>
      </c>
      <c r="CB33" s="3079" t="s">
        <v>1315</v>
      </c>
      <c r="CC33" s="3079" t="s">
        <v>1315</v>
      </c>
      <c r="CD33" s="3080" t="s">
        <v>1315</v>
      </c>
      <c r="CF33" s="3061" t="s">
        <v>10390</v>
      </c>
      <c r="CG33" s="3079">
        <v>1</v>
      </c>
      <c r="CH33" s="3079" t="s">
        <v>1315</v>
      </c>
      <c r="CI33" s="3080"/>
    </row>
    <row r="34" spans="1:87" ht="12.75" customHeight="1">
      <c r="A34" s="702">
        <v>34</v>
      </c>
      <c r="B34" s="3493">
        <f>IF(OR(S34=0),0,SUM($S$6:S34))</f>
        <v>0</v>
      </c>
      <c r="C34" s="3494"/>
      <c r="D34" s="257" t="s">
        <v>107</v>
      </c>
      <c r="E34" s="342" t="s">
        <v>66</v>
      </c>
      <c r="F34" s="343">
        <v>2</v>
      </c>
      <c r="G34" s="343" t="s">
        <v>2422</v>
      </c>
      <c r="H34" s="344" t="s">
        <v>1165</v>
      </c>
      <c r="I34" s="3571" t="s">
        <v>5406</v>
      </c>
      <c r="J34" s="3571" t="s">
        <v>5386</v>
      </c>
      <c r="K34" s="3571" t="s">
        <v>5387</v>
      </c>
      <c r="L34" s="3571" t="s">
        <v>4577</v>
      </c>
      <c r="M34" s="3571" t="s">
        <v>4578</v>
      </c>
      <c r="N34" s="3571" t="s">
        <v>4579</v>
      </c>
      <c r="O34" s="3571" t="s">
        <v>5462</v>
      </c>
      <c r="P34" s="3571" t="s">
        <v>5463</v>
      </c>
      <c r="Q34" s="3571" t="s">
        <v>5464</v>
      </c>
      <c r="R34" s="3571" t="s">
        <v>5465</v>
      </c>
      <c r="S34" s="3516">
        <f>IF(COUNTIF(Psíquicos!$C$26:$E$37,E34)=0,0,1)</f>
        <v>0</v>
      </c>
      <c r="T34" s="3517">
        <f>COUNTIF(Psíquicos!$V$20:$Z$73,'Tablas psiquica'!D34)</f>
        <v>0</v>
      </c>
      <c r="U34" s="404"/>
      <c r="V34" s="3523"/>
      <c r="W34" s="4252" t="s">
        <v>13956</v>
      </c>
      <c r="X34" s="4253" t="s">
        <v>13973</v>
      </c>
      <c r="Y34" s="404">
        <f t="shared" si="0"/>
        <v>0</v>
      </c>
      <c r="Z34" s="3496">
        <f t="shared" si="1"/>
        <v>0</v>
      </c>
      <c r="AB34" s="3537" t="s">
        <v>117</v>
      </c>
      <c r="AC34" s="342" t="str" cm="1">
        <f t="array" ref="AC34">INDEX($I$6:$R$6,SUMPRODUCT(ISNUMBER(SEARCH("Fatiga",I45:R45))*1)+1)</f>
        <v>DIF</v>
      </c>
      <c r="AD34" s="342" t="str">
        <f>IFERROR(VLOOKUP(AB34,Psíquicos!$AD$11:$AK$67,8,FALSE),AC34)</f>
        <v>DIF</v>
      </c>
      <c r="AE34" s="798"/>
      <c r="AF34" s="798"/>
      <c r="AG34" s="798"/>
      <c r="AH34" s="798"/>
      <c r="AI34" s="798"/>
      <c r="AJ34" s="798"/>
      <c r="AK34" s="798"/>
      <c r="AL34" s="798"/>
      <c r="AM34" s="798"/>
      <c r="AN34" s="798"/>
      <c r="AO34" s="1793">
        <f>IF(COUNTIF(Psíquicos!$AD$20:$AH$65,AB34),VALUE(INDEX('Tablas psiquica'!$AE34:$AN34,MATCH('Tablas psiquica'!$AD34,'Tablas psiquica'!$AE$6:$AN$6,0))),0)</f>
        <v>0</v>
      </c>
      <c r="AQ34" s="2029" t="str">
        <f>IFERROR(IF(VLOOKUP(AR34,$D$7:$G$296,4,FALSE)&lt;&gt;"No",MAX(AQ$5:AQ33)+1,0),"")</f>
        <v/>
      </c>
      <c r="AR34" s="2030" t="str">
        <f t="shared" si="2"/>
        <v/>
      </c>
      <c r="AS34" s="2033" t="str">
        <f>IFERROR(VLOOKUP(Tablas!$A28,$AQ$7:$AR$145,2,FALSE),"")</f>
        <v/>
      </c>
      <c r="AU34" s="3051">
        <f t="shared" si="9"/>
        <v>0</v>
      </c>
      <c r="AV34" s="3020" t="str">
        <f>IF(SUM('Red Neuronal'!K21+'Red Neuronal'!G26)=2,"Precisión psíquica (2)",IF(SUM('Red Neuronal'!K21+'Red Neuronal'!G26)=1,"Precisión psíquica (1)",""))</f>
        <v/>
      </c>
      <c r="AW34" s="3021"/>
      <c r="AX34" s="3020" t="str">
        <f>IF(SUM('Red Neuronal'!K21+'Red Neuronal'!G26)=2,"Regla de preciso en todo poder de Ataque",IF(SUM('Red Neuronal'!K21+'Red Neuronal'!G26)=1,"Regla de preciso en los poderes de Ataque sin área",""))</f>
        <v/>
      </c>
      <c r="AY34" s="3020"/>
      <c r="AZ34" s="3020"/>
      <c r="BA34" s="3020"/>
      <c r="BB34" s="3020"/>
      <c r="BC34" s="3020"/>
      <c r="BD34" s="3089"/>
      <c r="BF34" s="3061" t="str">
        <f>IF(BJ34=1,SUM(BJ$24:$BJ34),"")</f>
        <v/>
      </c>
      <c r="BG34" s="3032" t="str">
        <f t="shared" si="6"/>
        <v/>
      </c>
      <c r="BH34" s="3062">
        <v>11</v>
      </c>
      <c r="BI34" s="3601" t="s">
        <v>10305</v>
      </c>
      <c r="BJ34" s="3065">
        <f>IF(SUM(T75,OR(T95,T199))=2,1,0)</f>
        <v>0</v>
      </c>
      <c r="BK34" s="3064" t="str">
        <f t="shared" si="7"/>
        <v/>
      </c>
      <c r="BM34" s="3061" t="s">
        <v>10359</v>
      </c>
      <c r="BN34" s="3032">
        <v>2</v>
      </c>
      <c r="BO34" s="3032">
        <v>2</v>
      </c>
      <c r="BP34" s="3032">
        <v>2</v>
      </c>
      <c r="BQ34" s="3032">
        <v>4</v>
      </c>
      <c r="BR34" s="3032"/>
      <c r="BS34" s="3032"/>
      <c r="BT34" s="3050"/>
      <c r="BV34" s="3061" t="s">
        <v>10379</v>
      </c>
      <c r="BW34" s="3071"/>
      <c r="BX34" s="3073" t="s">
        <v>10372</v>
      </c>
      <c r="BY34" s="3073" t="s">
        <v>6013</v>
      </c>
      <c r="BZ34" s="3073" t="s">
        <v>6923</v>
      </c>
      <c r="CA34" s="3073" t="s">
        <v>10391</v>
      </c>
      <c r="CB34" s="3071" t="s">
        <v>10373</v>
      </c>
      <c r="CC34" s="3071" t="s">
        <v>10389</v>
      </c>
      <c r="CD34" s="3080" t="s">
        <v>1315</v>
      </c>
      <c r="CF34" s="3061" t="s">
        <v>10379</v>
      </c>
      <c r="CG34" s="3079">
        <v>1</v>
      </c>
      <c r="CH34" s="3079">
        <v>2</v>
      </c>
      <c r="CI34" s="3080"/>
    </row>
    <row r="35" spans="1:87" ht="12.75" customHeight="1">
      <c r="A35" s="702">
        <v>35</v>
      </c>
      <c r="B35" s="3493">
        <f>IF(OR(S35=0),0,SUM($S$6:S35))</f>
        <v>0</v>
      </c>
      <c r="C35" s="3494"/>
      <c r="D35" s="257" t="s">
        <v>108</v>
      </c>
      <c r="E35" s="342" t="s">
        <v>66</v>
      </c>
      <c r="F35" s="343">
        <v>2</v>
      </c>
      <c r="G35" s="343" t="s">
        <v>2422</v>
      </c>
      <c r="H35" s="344" t="s">
        <v>1165</v>
      </c>
      <c r="I35" s="3571" t="s">
        <v>5407</v>
      </c>
      <c r="J35" s="3571" t="s">
        <v>5406</v>
      </c>
      <c r="K35" s="3571" t="s">
        <v>5386</v>
      </c>
      <c r="L35" s="3571" t="s">
        <v>5466</v>
      </c>
      <c r="M35" s="3571" t="s">
        <v>11329</v>
      </c>
      <c r="N35" s="3571" t="s">
        <v>11343</v>
      </c>
      <c r="O35" s="3571" t="s">
        <v>11359</v>
      </c>
      <c r="P35" s="3571" t="s">
        <v>11373</v>
      </c>
      <c r="Q35" s="3571" t="s">
        <v>11388</v>
      </c>
      <c r="R35" s="3571" t="s">
        <v>11398</v>
      </c>
      <c r="S35" s="3516">
        <f>IF(COUNTIF(Psíquicos!$C$26:$E$37,E35)=0,0,1)</f>
        <v>0</v>
      </c>
      <c r="T35" s="3517">
        <f>COUNTIF(Psíquicos!$V$20:$Z$73,'Tablas psiquica'!D35)</f>
        <v>0</v>
      </c>
      <c r="U35" s="404"/>
      <c r="V35" s="3523"/>
      <c r="W35" s="4252" t="s">
        <v>13944</v>
      </c>
      <c r="X35" s="4251" t="s">
        <v>13974</v>
      </c>
      <c r="Y35" s="404">
        <f t="shared" si="0"/>
        <v>0</v>
      </c>
      <c r="Z35" s="3496">
        <f t="shared" si="1"/>
        <v>0</v>
      </c>
      <c r="AB35" s="3537" t="s">
        <v>118</v>
      </c>
      <c r="AC35" s="342" t="str" cm="1">
        <f t="array" ref="AC35">INDEX($I$6:$R$6,SUMPRODUCT(ISNUMBER(SEARCH("Fatiga",I46:R46))*1)+1)</f>
        <v>DIF</v>
      </c>
      <c r="AD35" s="342" t="str">
        <f>IFERROR(VLOOKUP(AB35,Psíquicos!$AD$11:$AK$67,8,FALSE),AC35)</f>
        <v>DIF</v>
      </c>
      <c r="AE35" s="798"/>
      <c r="AF35" s="798"/>
      <c r="AG35" s="798"/>
      <c r="AH35" s="798"/>
      <c r="AI35" s="798"/>
      <c r="AJ35" s="798"/>
      <c r="AK35" s="798"/>
      <c r="AL35" s="798"/>
      <c r="AM35" s="798"/>
      <c r="AN35" s="798"/>
      <c r="AO35" s="1793">
        <f>IF(COUNTIF(Psíquicos!$AD$20:$AH$65,AB35),VALUE(INDEX('Tablas psiquica'!$AE35:$AN35,MATCH('Tablas psiquica'!$AD35,'Tablas psiquica'!$AE$6:$AN$6,0))),0)</f>
        <v>0</v>
      </c>
      <c r="AQ35" s="2029" t="str">
        <f>IFERROR(IF(VLOOKUP(AR35,$D$7:$G$296,4,FALSE)&lt;&gt;"No",MAX(AQ$5:AQ34)+1,0),"")</f>
        <v/>
      </c>
      <c r="AR35" s="2030" t="str">
        <f t="shared" si="2"/>
        <v/>
      </c>
      <c r="AS35" s="2033" t="str">
        <f>IFERROR(VLOOKUP(Tablas!$A29,$AQ$7:$AR$145,2,FALSE),"")</f>
        <v/>
      </c>
      <c r="AU35" s="3051">
        <f t="shared" si="9"/>
        <v>0</v>
      </c>
      <c r="AV35" s="3020" t="str">
        <f>IF(SUM('Red Neuronal'!K31+'Red Neuronal'!C31)=2,"Defensa asegurada (2)",IF(SUM('Red Neuronal'!K31+'Red Neuronal'!C31)=1,"Defensa asegurada (1)",""))</f>
        <v/>
      </c>
      <c r="AW35" s="3021"/>
      <c r="AX35" s="3020" t="str">
        <f>IF(SUM('Red Neuronal'!K31+'Red Neuronal'!C31)=2,"El escudo usa todo el Potencial Psíquico",IF(SUM('Red Neuronal'!K31+'Red Neuronal'!C31)=1,"El escudo usa la mitad del Potencial Psíquico",""))</f>
        <v/>
      </c>
      <c r="AY35" s="3020"/>
      <c r="AZ35" s="3020"/>
      <c r="BA35" s="3020"/>
      <c r="BB35" s="3020"/>
      <c r="BC35" s="3020"/>
      <c r="BD35" s="3089"/>
      <c r="BF35" s="3061" t="str">
        <f>IF(BJ35=1,SUM(BJ$24:$BJ35),"")</f>
        <v/>
      </c>
      <c r="BG35" s="3032" t="str">
        <f t="shared" si="6"/>
        <v/>
      </c>
      <c r="BH35" s="3062">
        <v>12</v>
      </c>
      <c r="BI35" s="3601" t="s">
        <v>10306</v>
      </c>
      <c r="BJ35" s="3065">
        <f>IF(SUM(T15,T132)=2,1,0)</f>
        <v>0</v>
      </c>
      <c r="BK35" s="3064" t="str">
        <f t="shared" si="7"/>
        <v/>
      </c>
      <c r="BM35" s="3061" t="s">
        <v>10360</v>
      </c>
      <c r="BN35" s="3032">
        <v>3</v>
      </c>
      <c r="BO35" s="3032">
        <v>3</v>
      </c>
      <c r="BP35" s="3032">
        <v>3</v>
      </c>
      <c r="BQ35" s="3032"/>
      <c r="BR35" s="3032"/>
      <c r="BS35" s="3032"/>
      <c r="BT35" s="3050"/>
      <c r="BV35" s="3061" t="s">
        <v>10383</v>
      </c>
      <c r="BW35" s="3071" t="s">
        <v>10392</v>
      </c>
      <c r="BX35" s="3073" t="s">
        <v>10381</v>
      </c>
      <c r="BY35" s="3076" t="s">
        <v>10388</v>
      </c>
      <c r="BZ35" s="3076" t="s">
        <v>10393</v>
      </c>
      <c r="CA35" s="3071" t="s">
        <v>10389</v>
      </c>
      <c r="CB35" s="3079" t="s">
        <v>1315</v>
      </c>
      <c r="CC35" s="3079" t="s">
        <v>1315</v>
      </c>
      <c r="CD35" s="3080" t="s">
        <v>1315</v>
      </c>
      <c r="CF35" s="3061" t="s">
        <v>10383</v>
      </c>
      <c r="CG35" s="3079">
        <v>2</v>
      </c>
      <c r="CH35" s="3079"/>
      <c r="CI35" s="3080"/>
    </row>
    <row r="36" spans="1:87" ht="12.75" customHeight="1" thickBot="1">
      <c r="A36" s="702">
        <v>36</v>
      </c>
      <c r="B36" s="3493">
        <f>IF(OR(S36=0),0,SUM($S$6:S36))</f>
        <v>0</v>
      </c>
      <c r="C36" s="3494"/>
      <c r="D36" s="257" t="s">
        <v>109</v>
      </c>
      <c r="E36" s="342" t="s">
        <v>66</v>
      </c>
      <c r="F36" s="343">
        <v>3</v>
      </c>
      <c r="G36" s="343" t="s">
        <v>1241</v>
      </c>
      <c r="H36" s="344" t="s">
        <v>1165</v>
      </c>
      <c r="I36" s="3571" t="s">
        <v>5417</v>
      </c>
      <c r="J36" s="3571" t="s">
        <v>5416</v>
      </c>
      <c r="K36" s="3571" t="s">
        <v>5408</v>
      </c>
      <c r="L36" s="3571" t="s">
        <v>5407</v>
      </c>
      <c r="M36" s="3571" t="s">
        <v>5406</v>
      </c>
      <c r="N36" s="3571" t="s">
        <v>5467</v>
      </c>
      <c r="O36" s="3571" t="s">
        <v>5468</v>
      </c>
      <c r="P36" s="3571" t="s">
        <v>5469</v>
      </c>
      <c r="Q36" s="3571" t="s">
        <v>5470</v>
      </c>
      <c r="R36" s="3571" t="s">
        <v>5471</v>
      </c>
      <c r="S36" s="3516">
        <f>IF(COUNTIF(Psíquicos!$C$26:$E$37,E36)=0,0,1)</f>
        <v>0</v>
      </c>
      <c r="T36" s="3517">
        <f>COUNTIF(Psíquicos!$V$20:$Z$73,'Tablas psiquica'!D36)</f>
        <v>0</v>
      </c>
      <c r="U36" s="404"/>
      <c r="V36" s="3523"/>
      <c r="W36" s="4252" t="s">
        <v>13975</v>
      </c>
      <c r="X36" s="4253" t="s">
        <v>13976</v>
      </c>
      <c r="Y36" s="404">
        <f t="shared" si="0"/>
        <v>0</v>
      </c>
      <c r="Z36" s="3496">
        <f t="shared" si="1"/>
        <v>0</v>
      </c>
      <c r="AB36" s="3537" t="s">
        <v>119</v>
      </c>
      <c r="AC36" s="342" t="str" cm="1">
        <f t="array" ref="AC36">INDEX($I$6:$R$6,SUMPRODUCT(ISNUMBER(SEARCH("Fatiga",I47:R47))*1)+1)</f>
        <v>MDF</v>
      </c>
      <c r="AD36" s="342" t="str">
        <f>IFERROR(VLOOKUP(AB36,Psíquicos!$AD$11:$AK$67,8,FALSE),AC36)</f>
        <v>MDF</v>
      </c>
      <c r="AE36" s="798"/>
      <c r="AF36" s="798"/>
      <c r="AG36" s="798"/>
      <c r="AH36" s="798"/>
      <c r="AI36" s="798"/>
      <c r="AJ36" s="798"/>
      <c r="AK36" s="798"/>
      <c r="AL36" s="798"/>
      <c r="AM36" s="798"/>
      <c r="AN36" s="798"/>
      <c r="AO36" s="1793">
        <f>IF(COUNTIF(Psíquicos!$AD$20:$AH$65,AB36),VALUE(INDEX('Tablas psiquica'!$AE36:$AN36,MATCH('Tablas psiquica'!$AD36,'Tablas psiquica'!$AE$6:$AN$6,0))),0)</f>
        <v>0</v>
      </c>
      <c r="AQ36" s="2029" t="str">
        <f>IFERROR(IF(VLOOKUP(AR36,$D$7:$G$296,4,FALSE)&lt;&gt;"No",MAX(AQ$5:AQ35)+1,0),"")</f>
        <v/>
      </c>
      <c r="AR36" s="2030" t="str">
        <f t="shared" si="2"/>
        <v/>
      </c>
      <c r="AS36" s="2033" t="str">
        <f>IFERROR(VLOOKUP(Tablas!$A30,$AQ$7:$AR$145,2,FALSE),"")</f>
        <v/>
      </c>
      <c r="AU36" s="3051">
        <f t="shared" si="9"/>
        <v>0</v>
      </c>
      <c r="AV36" s="3020" t="str">
        <f>IF('Red Neuronal'!G16=1,"Frenesí psiónco","")</f>
        <v/>
      </c>
      <c r="AW36" s="3021"/>
      <c r="AX36" s="3020" t="str">
        <f>IF('Red Neuronal'!G16=1,"Aumenta el Potencial y las capacidades de los demás nodos. Ver","")</f>
        <v/>
      </c>
      <c r="AY36" s="3020"/>
      <c r="AZ36" s="3020"/>
      <c r="BA36" s="3020"/>
      <c r="BB36" s="3020"/>
      <c r="BC36" s="3020"/>
      <c r="BD36" s="3089"/>
      <c r="BF36" s="3061" t="str">
        <f>IF(BJ36=1,SUM(BJ$24:$BJ36),"")</f>
        <v/>
      </c>
      <c r="BG36" s="3032" t="str">
        <f t="shared" si="6"/>
        <v/>
      </c>
      <c r="BH36" s="3062">
        <v>13</v>
      </c>
      <c r="BI36" s="3601" t="s">
        <v>10307</v>
      </c>
      <c r="BJ36" s="3065">
        <f>IF(SUM(T74,T135)=2,1,0)</f>
        <v>0</v>
      </c>
      <c r="BK36" s="3064" t="str">
        <f t="shared" si="7"/>
        <v/>
      </c>
      <c r="BM36" s="3068" t="s">
        <v>10361</v>
      </c>
      <c r="BN36" s="3053">
        <v>4</v>
      </c>
      <c r="BO36" s="3053">
        <v>4</v>
      </c>
      <c r="BP36" s="3053">
        <v>4</v>
      </c>
      <c r="BQ36" s="3053"/>
      <c r="BR36" s="3053"/>
      <c r="BS36" s="3053"/>
      <c r="BT36" s="3054">
        <v>3</v>
      </c>
      <c r="BV36" s="3061" t="s">
        <v>6923</v>
      </c>
      <c r="BW36" s="3074" t="s">
        <v>1315</v>
      </c>
      <c r="BX36" s="3073" t="s">
        <v>6013</v>
      </c>
      <c r="BY36" s="3073" t="s">
        <v>10372</v>
      </c>
      <c r="BZ36" s="3073" t="s">
        <v>10379</v>
      </c>
      <c r="CA36" s="3073" t="s">
        <v>10391</v>
      </c>
      <c r="CB36" s="3071" t="s">
        <v>10373</v>
      </c>
      <c r="CC36" s="3071" t="s">
        <v>10389</v>
      </c>
      <c r="CD36" s="3080" t="s">
        <v>1315</v>
      </c>
      <c r="CF36" s="3061" t="s">
        <v>6923</v>
      </c>
      <c r="CG36" s="3079">
        <v>1</v>
      </c>
      <c r="CH36" s="3079">
        <v>2</v>
      </c>
      <c r="CI36" s="3080">
        <v>3</v>
      </c>
    </row>
    <row r="37" spans="1:87" ht="12.75" customHeight="1">
      <c r="A37" s="702">
        <v>37</v>
      </c>
      <c r="B37" s="3493">
        <f>IF(OR(S37=0),0,SUM($S$6:S37))</f>
        <v>0</v>
      </c>
      <c r="C37" s="3494"/>
      <c r="D37" s="257" t="s">
        <v>110</v>
      </c>
      <c r="E37" s="342" t="s">
        <v>66</v>
      </c>
      <c r="F37" s="343">
        <v>3</v>
      </c>
      <c r="G37" s="343" t="s">
        <v>2422</v>
      </c>
      <c r="H37" s="344" t="s">
        <v>1165</v>
      </c>
      <c r="I37" s="3571" t="s">
        <v>5472</v>
      </c>
      <c r="J37" s="3571" t="s">
        <v>5473</v>
      </c>
      <c r="K37" s="3571" t="s">
        <v>5417</v>
      </c>
      <c r="L37" s="3571" t="s">
        <v>5416</v>
      </c>
      <c r="M37" s="3571" t="s">
        <v>5408</v>
      </c>
      <c r="N37" s="3571" t="s">
        <v>5406</v>
      </c>
      <c r="O37" s="3571" t="s">
        <v>5474</v>
      </c>
      <c r="P37" s="3571" t="s">
        <v>5475</v>
      </c>
      <c r="Q37" s="3571" t="s">
        <v>5476</v>
      </c>
      <c r="R37" s="3571" t="s">
        <v>5477</v>
      </c>
      <c r="S37" s="3516">
        <f>IF(COUNTIF(Psíquicos!$C$26:$E$37,E37)=0,0,1)</f>
        <v>0</v>
      </c>
      <c r="T37" s="3517">
        <f>COUNTIF(Psíquicos!$V$20:$Z$73,'Tablas psiquica'!D37)</f>
        <v>0</v>
      </c>
      <c r="U37" s="404"/>
      <c r="V37" s="3523"/>
      <c r="W37" s="4252" t="s">
        <v>13962</v>
      </c>
      <c r="X37" s="4251" t="s">
        <v>13963</v>
      </c>
      <c r="Y37" s="404">
        <f t="shared" si="0"/>
        <v>0</v>
      </c>
      <c r="Z37" s="3496">
        <f t="shared" si="1"/>
        <v>0</v>
      </c>
      <c r="AB37" s="3537" t="s">
        <v>120</v>
      </c>
      <c r="AC37" s="342" t="str" cm="1">
        <f t="array" ref="AC37">INDEX($I$6:$R$6,SUMPRODUCT(ISNUMBER(SEARCH("Fatiga",I48:R48))*1)+1)</f>
        <v>MDF</v>
      </c>
      <c r="AD37" s="342" t="str">
        <f>IFERROR(VLOOKUP(AB37,Psíquicos!$AD$11:$AK$67,8,FALSE),AC37)</f>
        <v>MDF</v>
      </c>
      <c r="AE37" s="798"/>
      <c r="AF37" s="798"/>
      <c r="AG37" s="798"/>
      <c r="AH37" s="798"/>
      <c r="AI37" s="798"/>
      <c r="AJ37" s="798"/>
      <c r="AK37" s="798"/>
      <c r="AL37" s="798"/>
      <c r="AM37" s="798"/>
      <c r="AN37" s="798"/>
      <c r="AO37" s="1793">
        <f>IF(COUNTIF(Psíquicos!$AD$20:$AH$65,AB37),VALUE(INDEX('Tablas psiquica'!$AE37:$AN37,MATCH('Tablas psiquica'!$AD37,'Tablas psiquica'!$AE$6:$AN$6,0))),0)</f>
        <v>0</v>
      </c>
      <c r="AQ37" s="2029" t="str">
        <f>IFERROR(IF(VLOOKUP(AR37,$D$7:$G$296,4,FALSE)&lt;&gt;"No",MAX(AQ$5:AQ36)+1,0),"")</f>
        <v/>
      </c>
      <c r="AR37" s="2030" t="str">
        <f t="shared" si="2"/>
        <v/>
      </c>
      <c r="AS37" s="2033" t="str">
        <f>IFERROR(VLOOKUP(Tablas!$A31,$AQ$7:$AR$145,2,FALSE),"")</f>
        <v/>
      </c>
      <c r="AU37" s="3051">
        <f t="shared" si="9"/>
        <v>0</v>
      </c>
      <c r="AV37" s="3020" t="str">
        <f>IF('Red Neuronal'!C21=1,"Escudo verdadero","")</f>
        <v/>
      </c>
      <c r="AW37" s="3021"/>
      <c r="AX37" s="3020" t="str">
        <f>IF('Red Neuronal'!C21=1,"Dobla PV de escudos, +2 TAs en poderes. Gastar 1 CV para parar energía","")</f>
        <v/>
      </c>
      <c r="AY37" s="3020"/>
      <c r="AZ37" s="3020"/>
      <c r="BA37" s="3020"/>
      <c r="BB37" s="3020"/>
      <c r="BC37" s="3020"/>
      <c r="BD37" s="3089"/>
      <c r="BF37" s="3061" t="str">
        <f>IF(BJ37=1,SUM(BJ$24:$BJ37),"")</f>
        <v/>
      </c>
      <c r="BG37" s="3032" t="str">
        <f t="shared" si="6"/>
        <v/>
      </c>
      <c r="BH37" s="3062">
        <v>14</v>
      </c>
      <c r="BI37" s="3601" t="s">
        <v>10308</v>
      </c>
      <c r="BJ37" s="3065">
        <f>IF(SUM(T110,T102)=2,1,0)</f>
        <v>0</v>
      </c>
      <c r="BK37" s="3064" t="str">
        <f t="shared" si="7"/>
        <v/>
      </c>
      <c r="BV37" s="3061" t="s">
        <v>10378</v>
      </c>
      <c r="BW37" s="3071" t="s">
        <v>3019</v>
      </c>
      <c r="BX37" s="3073" t="s">
        <v>10371</v>
      </c>
      <c r="BY37" s="3071" t="s">
        <v>9303</v>
      </c>
      <c r="BZ37" s="3079" t="s">
        <v>1315</v>
      </c>
      <c r="CA37" s="3079" t="s">
        <v>1315</v>
      </c>
      <c r="CB37" s="3079" t="s">
        <v>1315</v>
      </c>
      <c r="CC37" s="3079" t="s">
        <v>1315</v>
      </c>
      <c r="CD37" s="3080" t="s">
        <v>1315</v>
      </c>
      <c r="CF37" s="3061" t="s">
        <v>10378</v>
      </c>
      <c r="CG37" s="3079">
        <v>2</v>
      </c>
      <c r="CH37" s="3079"/>
      <c r="CI37" s="3080"/>
    </row>
    <row r="38" spans="1:87" ht="12.75" customHeight="1">
      <c r="A38" s="702">
        <v>38</v>
      </c>
      <c r="B38" s="3493">
        <f>IF(OR(S38=0),0,SUM($S$6:S38))</f>
        <v>0</v>
      </c>
      <c r="C38" s="3494"/>
      <c r="D38" s="257" t="s">
        <v>111</v>
      </c>
      <c r="E38" s="342" t="s">
        <v>66</v>
      </c>
      <c r="F38" s="343">
        <v>3</v>
      </c>
      <c r="G38" s="343" t="s">
        <v>1241</v>
      </c>
      <c r="H38" s="344" t="s">
        <v>1165</v>
      </c>
      <c r="I38" s="3571" t="s">
        <v>5472</v>
      </c>
      <c r="J38" s="3571" t="s">
        <v>5473</v>
      </c>
      <c r="K38" s="3571" t="s">
        <v>5417</v>
      </c>
      <c r="L38" s="3571" t="s">
        <v>5416</v>
      </c>
      <c r="M38" s="3571" t="s">
        <v>5408</v>
      </c>
      <c r="N38" s="3571" t="s">
        <v>5407</v>
      </c>
      <c r="O38" s="3571" t="s">
        <v>5406</v>
      </c>
      <c r="P38" s="3571" t="s">
        <v>11344</v>
      </c>
      <c r="Q38" s="3571" t="s">
        <v>11360</v>
      </c>
      <c r="R38" s="3571" t="s">
        <v>11389</v>
      </c>
      <c r="S38" s="3516">
        <f>IF(COUNTIF(Psíquicos!$C$26:$E$37,E38)=0,0,1)</f>
        <v>0</v>
      </c>
      <c r="T38" s="3517">
        <f>COUNTIF(Psíquicos!$V$20:$Z$73,'Tablas psiquica'!D38)</f>
        <v>0</v>
      </c>
      <c r="U38" s="404"/>
      <c r="V38" s="3523"/>
      <c r="W38" s="4252" t="s">
        <v>13977</v>
      </c>
      <c r="X38" s="4253" t="s">
        <v>13978</v>
      </c>
      <c r="Y38" s="404">
        <f t="shared" si="0"/>
        <v>0</v>
      </c>
      <c r="Z38" s="3496">
        <f t="shared" si="1"/>
        <v>0</v>
      </c>
      <c r="AB38" s="3537" t="s">
        <v>122</v>
      </c>
      <c r="AC38" s="342" t="str" cm="1">
        <f t="array" ref="AC38">INDEX($I$6:$R$6,SUMPRODUCT(ISNUMBER(SEARCH("Fatiga",I50:R50))*1)+1)</f>
        <v>DIF</v>
      </c>
      <c r="AD38" s="342" t="str">
        <f>IFERROR(VLOOKUP(AB38,Psíquicos!$AD$11:$AK$67,8,FALSE),AC38)</f>
        <v>DIF</v>
      </c>
      <c r="AE38" s="798"/>
      <c r="AF38" s="798"/>
      <c r="AG38" s="798"/>
      <c r="AH38" s="798"/>
      <c r="AI38" s="798"/>
      <c r="AJ38" s="798"/>
      <c r="AK38" s="798"/>
      <c r="AL38" s="798"/>
      <c r="AM38" s="798"/>
      <c r="AN38" s="798"/>
      <c r="AO38" s="1793">
        <f>IF(COUNTIF(Psíquicos!$AD$20:$AH$65,AB38),VALUE(INDEX('Tablas psiquica'!$AE38:$AN38,MATCH('Tablas psiquica'!$AD38,'Tablas psiquica'!$AE$6:$AN$6,0))),0)</f>
        <v>0</v>
      </c>
      <c r="AQ38" s="2029" t="str">
        <f>IFERROR(IF(VLOOKUP(AR38,$D$7:$G$296,4,FALSE)&lt;&gt;"No",MAX(AQ$5:AQ37)+1,0),"")</f>
        <v/>
      </c>
      <c r="AR38" s="2030" t="str">
        <f t="shared" si="2"/>
        <v/>
      </c>
      <c r="AS38" s="2033" t="str">
        <f>IFERROR(VLOOKUP(Tablas!$A32,$AQ$7:$AR$145,2,FALSE),"")</f>
        <v/>
      </c>
      <c r="AU38" s="3051">
        <f t="shared" si="9"/>
        <v>0</v>
      </c>
      <c r="AV38" s="3020" t="str">
        <f>IF('Red Neuronal'!C16=1,"Maestría Psi: Voluntad Dual","")</f>
        <v/>
      </c>
      <c r="AW38" s="3021"/>
      <c r="AX38" s="3020" t="str">
        <f>IF('Red Neuronal'!C16=1,"Permite realizar dos poderes sin dividir el Potencial, ambos en grado base","")</f>
        <v/>
      </c>
      <c r="AY38" s="3020"/>
      <c r="AZ38" s="3020"/>
      <c r="BA38" s="3020"/>
      <c r="BB38" s="3020"/>
      <c r="BC38" s="3020"/>
      <c r="BD38" s="3089"/>
      <c r="BF38" s="3061" t="str">
        <f>IF(BJ38=1,SUM(BJ$24:$BJ38),"")</f>
        <v/>
      </c>
      <c r="BG38" s="3032" t="str">
        <f t="shared" si="6"/>
        <v/>
      </c>
      <c r="BH38" s="3062">
        <v>15</v>
      </c>
      <c r="BI38" s="3601" t="s">
        <v>10309</v>
      </c>
      <c r="BJ38" s="3065">
        <f>IF(SUM(T112,T119)=2,1,0)</f>
        <v>0</v>
      </c>
      <c r="BK38" s="3064" t="str">
        <f t="shared" si="7"/>
        <v/>
      </c>
      <c r="BV38" s="3061" t="s">
        <v>10394</v>
      </c>
      <c r="BW38" s="3074" t="s">
        <v>1315</v>
      </c>
      <c r="BX38" s="3076" t="s">
        <v>10388</v>
      </c>
      <c r="BY38" s="3076" t="s">
        <v>10393</v>
      </c>
      <c r="BZ38" s="3071" t="s">
        <v>9303</v>
      </c>
      <c r="CA38" s="3071" t="s">
        <v>10389</v>
      </c>
      <c r="CB38" s="3079" t="s">
        <v>1315</v>
      </c>
      <c r="CC38" s="3079" t="s">
        <v>1315</v>
      </c>
      <c r="CD38" s="3080" t="s">
        <v>1315</v>
      </c>
      <c r="CF38" s="3061" t="s">
        <v>10394</v>
      </c>
      <c r="CG38" s="3079">
        <v>2</v>
      </c>
      <c r="CH38" s="3079"/>
      <c r="CI38" s="3080"/>
    </row>
    <row r="39" spans="1:87" ht="12.75" customHeight="1">
      <c r="A39" s="702">
        <v>39</v>
      </c>
      <c r="B39" s="3493">
        <f>IF(OR(S39=0),0,SUM($S$6:S39))</f>
        <v>0</v>
      </c>
      <c r="C39" s="3494"/>
      <c r="D39" s="257" t="s">
        <v>112</v>
      </c>
      <c r="E39" s="342"/>
      <c r="F39" s="343"/>
      <c r="G39" s="343"/>
      <c r="H39" s="344"/>
      <c r="I39" s="3571"/>
      <c r="J39" s="3571"/>
      <c r="K39" s="3571"/>
      <c r="L39" s="3571"/>
      <c r="M39" s="3571"/>
      <c r="N39" s="3571"/>
      <c r="O39" s="3571"/>
      <c r="P39" s="3571"/>
      <c r="Q39" s="3571"/>
      <c r="R39" s="3571"/>
      <c r="S39" s="3517">
        <f>S40</f>
        <v>0</v>
      </c>
      <c r="T39" s="3517"/>
      <c r="U39" s="404"/>
      <c r="V39" s="3523"/>
      <c r="W39" s="4252"/>
      <c r="X39" s="4251"/>
      <c r="Y39" s="404">
        <f t="shared" si="0"/>
        <v>0</v>
      </c>
      <c r="Z39" s="3496">
        <f t="shared" si="1"/>
        <v>0</v>
      </c>
      <c r="AB39" s="3537" t="s">
        <v>123</v>
      </c>
      <c r="AC39" s="342" t="str" cm="1">
        <f t="array" ref="AC39">INDEX($I$6:$R$6,SUMPRODUCT(ISNUMBER(SEARCH("Fatiga",I51:R51))*1)+1)</f>
        <v>CIM</v>
      </c>
      <c r="AD39" s="342" t="str">
        <f>IFERROR(VLOOKUP(AB39,Psíquicos!$AD$11:$AK$67,8,FALSE),AC39)</f>
        <v>CIM</v>
      </c>
      <c r="AE39" s="798"/>
      <c r="AF39" s="798"/>
      <c r="AG39" s="798"/>
      <c r="AH39" s="798"/>
      <c r="AI39" s="798"/>
      <c r="AJ39" s="798"/>
      <c r="AK39" s="798"/>
      <c r="AL39" s="798"/>
      <c r="AM39" s="798"/>
      <c r="AN39" s="798"/>
      <c r="AO39" s="1793">
        <f>IF(COUNTIF(Psíquicos!$AD$20:$AH$65,AB39),VALUE(INDEX('Tablas psiquica'!$AE39:$AN39,MATCH('Tablas psiquica'!$AD39,'Tablas psiquica'!$AE$6:$AN$6,0))),0)</f>
        <v>0</v>
      </c>
      <c r="AQ39" s="2029" t="str">
        <f>IFERROR(IF(VLOOKUP(AR39,$D$7:$G$296,4,FALSE)&lt;&gt;"No",MAX(AQ$5:AQ38)+1,0),"")</f>
        <v/>
      </c>
      <c r="AR39" s="2030" t="str">
        <f t="shared" ref="AR39:AR70" si="10">IF(ISNA(VLOOKUP(A33,$B$7:$D$296,3,FALSE)),"",VLOOKUP(A33,$B$7:$D$296,3,FALSE))</f>
        <v/>
      </c>
      <c r="AS39" s="2033" t="str">
        <f>IFERROR(VLOOKUP(Tablas!$A33,$AQ$7:$AR$145,2,FALSE),"")</f>
        <v/>
      </c>
      <c r="AU39" s="3051">
        <f t="shared" si="9"/>
        <v>0</v>
      </c>
      <c r="AV39" s="3020" t="str">
        <f>IF('Red Neuronal'!O41=1,"Transmisión psíquica","")</f>
        <v/>
      </c>
      <c r="AW39" s="3021"/>
      <c r="AX39" s="3020" t="str">
        <f>IF('Red Neuronal'!O41=1,"Transfiere CVs entre mentalistas","")</f>
        <v/>
      </c>
      <c r="AY39" s="3020"/>
      <c r="AZ39" s="3020"/>
      <c r="BA39" s="3020"/>
      <c r="BB39" s="3020"/>
      <c r="BC39" s="3020"/>
      <c r="BD39" s="3089"/>
      <c r="BF39" s="3061" t="str">
        <f>IF(BJ39=1,SUM(BJ$24:$BJ39),"")</f>
        <v/>
      </c>
      <c r="BG39" s="3032" t="str">
        <f t="shared" si="6"/>
        <v/>
      </c>
      <c r="BH39" s="3062">
        <v>16</v>
      </c>
      <c r="BI39" s="3600" t="s">
        <v>10310</v>
      </c>
      <c r="BJ39" s="3065">
        <f>IF(SUM(T17,T43)=2,1,0)</f>
        <v>0</v>
      </c>
      <c r="BK39" s="3064" t="str">
        <f t="shared" si="7"/>
        <v/>
      </c>
      <c r="BV39" s="3061" t="s">
        <v>10376</v>
      </c>
      <c r="BW39" s="3071" t="s">
        <v>10375</v>
      </c>
      <c r="BX39" s="3073" t="s">
        <v>10374</v>
      </c>
      <c r="BY39" s="3079" t="s">
        <v>1315</v>
      </c>
      <c r="BZ39" s="3079" t="s">
        <v>1315</v>
      </c>
      <c r="CA39" s="3079" t="s">
        <v>1315</v>
      </c>
      <c r="CB39" s="3079" t="s">
        <v>1315</v>
      </c>
      <c r="CC39" s="3079" t="s">
        <v>1315</v>
      </c>
      <c r="CD39" s="3080" t="s">
        <v>1315</v>
      </c>
      <c r="CF39" s="3061" t="s">
        <v>10376</v>
      </c>
      <c r="CG39" s="3079">
        <v>1</v>
      </c>
      <c r="CH39" s="3079">
        <v>2</v>
      </c>
      <c r="CI39" s="3080">
        <v>3</v>
      </c>
    </row>
    <row r="40" spans="1:87" ht="12.75" customHeight="1">
      <c r="A40" s="702">
        <v>40</v>
      </c>
      <c r="B40" s="3493">
        <f>IF(OR(S40=0),0,SUM($S$6:S40))</f>
        <v>0</v>
      </c>
      <c r="C40" s="3494"/>
      <c r="D40" s="257" t="s">
        <v>113</v>
      </c>
      <c r="E40" s="342" t="s">
        <v>68</v>
      </c>
      <c r="F40" s="343">
        <v>1</v>
      </c>
      <c r="G40" s="343" t="s">
        <v>2422</v>
      </c>
      <c r="H40" s="344" t="s">
        <v>1165</v>
      </c>
      <c r="I40" s="3571" t="s">
        <v>5387</v>
      </c>
      <c r="J40" s="3571" t="s">
        <v>3334</v>
      </c>
      <c r="K40" s="3571" t="s">
        <v>4479</v>
      </c>
      <c r="L40" s="3571" t="s">
        <v>3335</v>
      </c>
      <c r="M40" s="3571" t="s">
        <v>5478</v>
      </c>
      <c r="N40" s="3571" t="s">
        <v>3336</v>
      </c>
      <c r="O40" s="3571" t="s">
        <v>5479</v>
      </c>
      <c r="P40" s="3571" t="s">
        <v>5480</v>
      </c>
      <c r="Q40" s="3571" t="s">
        <v>3337</v>
      </c>
      <c r="R40" s="3571" t="s">
        <v>3999</v>
      </c>
      <c r="S40" s="3516">
        <f>IF(COUNTIF(Psíquicos!$C$26:$E$37,E40)=0,0,1)</f>
        <v>0</v>
      </c>
      <c r="T40" s="3517">
        <f>COUNTIF(Psíquicos!$V$20:$Z$73,'Tablas psiquica'!D40)</f>
        <v>0</v>
      </c>
      <c r="U40" s="404"/>
      <c r="V40" s="3523"/>
      <c r="W40" s="4252" t="s">
        <v>13962</v>
      </c>
      <c r="X40" s="4251" t="s">
        <v>13979</v>
      </c>
      <c r="Y40" s="404">
        <f t="shared" si="0"/>
        <v>0</v>
      </c>
      <c r="Z40" s="3496">
        <f t="shared" si="1"/>
        <v>0</v>
      </c>
      <c r="AB40" s="3537" t="s">
        <v>124</v>
      </c>
      <c r="AC40" s="342"/>
      <c r="AD40" s="342"/>
      <c r="AE40" s="798"/>
      <c r="AF40" s="798"/>
      <c r="AG40" s="798"/>
      <c r="AH40" s="798"/>
      <c r="AI40" s="798"/>
      <c r="AJ40" s="798"/>
      <c r="AK40" s="798"/>
      <c r="AL40" s="798"/>
      <c r="AM40" s="798"/>
      <c r="AN40" s="798"/>
      <c r="AO40" s="1793" t="e">
        <f>IF(COUNTIF(Psíquicos!$AD$20:$AH$65,AB40),VALUE(INDEX('Tablas psiquica'!$AE40:$AN40,MATCH('Tablas psiquica'!$AD40,'Tablas psiquica'!$AE$6:$AN$6,0))),0)</f>
        <v>#N/A</v>
      </c>
      <c r="AQ40" s="2029" t="str">
        <f>IFERROR(IF(VLOOKUP(AR40,$D$7:$G$296,4,FALSE)&lt;&gt;"No",MAX(AQ$5:AQ39)+1,0),"")</f>
        <v/>
      </c>
      <c r="AR40" s="2030" t="str">
        <f t="shared" si="10"/>
        <v/>
      </c>
      <c r="AS40" s="2033" t="str">
        <f>IFERROR(VLOOKUP(Tablas!$A34,$AQ$7:$AR$145,2,FALSE),"")</f>
        <v/>
      </c>
      <c r="AU40" s="3051">
        <f t="shared" si="9"/>
        <v>0</v>
      </c>
      <c r="AV40" s="3020" t="str">
        <f>IF('Red Neuronal'!K41=1,"Enaltecer matrices","")</f>
        <v/>
      </c>
      <c r="AW40" s="3021"/>
      <c r="AX40" s="3020" t="str">
        <f>IF('Red Neuronal'!O41=1,"Reduce la fatiga en la mitad del nivel del psíquico hacia arriba","")</f>
        <v/>
      </c>
      <c r="AY40" s="3020"/>
      <c r="AZ40" s="3020"/>
      <c r="BA40" s="3020"/>
      <c r="BB40" s="3020"/>
      <c r="BC40" s="3020"/>
      <c r="BD40" s="3089"/>
      <c r="BF40" s="3061" t="str">
        <f>IF(BJ40=1,SUM(BJ$24:$BJ40),"")</f>
        <v/>
      </c>
      <c r="BG40" s="3032" t="str">
        <f t="shared" si="6"/>
        <v/>
      </c>
      <c r="BH40" s="3062">
        <v>17</v>
      </c>
      <c r="BI40" s="3600" t="s">
        <v>10311</v>
      </c>
      <c r="BJ40" s="3065">
        <f>IF(SUM(T107,T208)=2,1,0)</f>
        <v>0</v>
      </c>
      <c r="BK40" s="3064" t="str">
        <f t="shared" si="7"/>
        <v/>
      </c>
      <c r="BV40" s="3061" t="s">
        <v>10395</v>
      </c>
      <c r="BW40" s="3074" t="s">
        <v>1315</v>
      </c>
      <c r="BX40" s="3073" t="s">
        <v>10391</v>
      </c>
      <c r="BY40" s="3073" t="s">
        <v>10378</v>
      </c>
      <c r="BZ40" s="3073" t="s">
        <v>10396</v>
      </c>
      <c r="CA40" s="3071" t="s">
        <v>9303</v>
      </c>
      <c r="CB40" s="3071" t="s">
        <v>10389</v>
      </c>
      <c r="CC40" s="3079" t="s">
        <v>1315</v>
      </c>
      <c r="CD40" s="3080" t="s">
        <v>1315</v>
      </c>
      <c r="CF40" s="3061" t="s">
        <v>10395</v>
      </c>
      <c r="CG40" s="3079">
        <v>1</v>
      </c>
      <c r="CH40" s="3079"/>
      <c r="CI40" s="3080"/>
    </row>
    <row r="41" spans="1:87" ht="12.75" customHeight="1">
      <c r="A41" s="702">
        <v>41</v>
      </c>
      <c r="B41" s="3493">
        <f>IF(OR(S41=0),0,SUM($S$6:S41))</f>
        <v>0</v>
      </c>
      <c r="C41" s="3494"/>
      <c r="D41" s="257" t="s">
        <v>114</v>
      </c>
      <c r="E41" s="342" t="s">
        <v>68</v>
      </c>
      <c r="F41" s="343">
        <v>1</v>
      </c>
      <c r="G41" s="343" t="s">
        <v>1241</v>
      </c>
      <c r="H41" s="344" t="s">
        <v>1165</v>
      </c>
      <c r="I41" s="3571" t="s">
        <v>5387</v>
      </c>
      <c r="J41" s="3571" t="s">
        <v>5481</v>
      </c>
      <c r="K41" s="3571" t="s">
        <v>5482</v>
      </c>
      <c r="L41" s="3571" t="s">
        <v>11330</v>
      </c>
      <c r="M41" s="3571" t="s">
        <v>11345</v>
      </c>
      <c r="N41" s="3571" t="s">
        <v>11361</v>
      </c>
      <c r="O41" s="3571" t="s">
        <v>11374</v>
      </c>
      <c r="P41" s="3571" t="s">
        <v>11390</v>
      </c>
      <c r="Q41" s="3571" t="s">
        <v>11399</v>
      </c>
      <c r="R41" s="3571" t="s">
        <v>5483</v>
      </c>
      <c r="S41" s="3516">
        <f>IF(COUNTIF(Psíquicos!$C$26:$E$37,E41)=0,0,1)</f>
        <v>0</v>
      </c>
      <c r="T41" s="3517">
        <f>COUNTIF(Psíquicos!$V$20:$Z$73,'Tablas psiquica'!D41)</f>
        <v>0</v>
      </c>
      <c r="U41" s="404"/>
      <c r="V41" s="3523"/>
      <c r="W41" s="4252" t="s">
        <v>13940</v>
      </c>
      <c r="X41" s="4251" t="s">
        <v>13979</v>
      </c>
      <c r="Y41" s="404">
        <f t="shared" si="0"/>
        <v>0</v>
      </c>
      <c r="Z41" s="3496">
        <f t="shared" si="1"/>
        <v>0</v>
      </c>
      <c r="AB41" s="3537" t="s">
        <v>125</v>
      </c>
      <c r="AC41" s="342" t="str" cm="1">
        <f t="array" ref="AC41">INDEX($I$6:$R$6,SUMPRODUCT(ISNUMBER(SEARCH("Fatiga",I53:R53))*1)+1)</f>
        <v>FAC</v>
      </c>
      <c r="AD41" s="342" t="str">
        <f>IFERROR(VLOOKUP(AB41,Psíquicos!$AD$11:$AK$67,8,FALSE),AC41)</f>
        <v>FAC</v>
      </c>
      <c r="AE41" s="798"/>
      <c r="AF41" s="798"/>
      <c r="AG41" s="798"/>
      <c r="AH41" s="798"/>
      <c r="AI41" s="798"/>
      <c r="AJ41" s="798"/>
      <c r="AK41" s="798"/>
      <c r="AL41" s="798"/>
      <c r="AM41" s="798"/>
      <c r="AN41" s="798"/>
      <c r="AO41" s="1793">
        <f>IF(COUNTIF(Psíquicos!$AD$20:$AH$65,AB41),VALUE(INDEX('Tablas psiquica'!$AE41:$AN41,MATCH('Tablas psiquica'!$AD41,'Tablas psiquica'!$AE$6:$AN$6,0))),0)</f>
        <v>0</v>
      </c>
      <c r="AQ41" s="2029" t="str">
        <f>IFERROR(IF(VLOOKUP(AR41,$D$7:$G$296,4,FALSE)&lt;&gt;"No",MAX(AQ$5:AQ40)+1,0),"")</f>
        <v/>
      </c>
      <c r="AR41" s="2030" t="str">
        <f t="shared" si="10"/>
        <v/>
      </c>
      <c r="AS41" s="2033" t="str">
        <f>IFERROR(VLOOKUP(Tablas!$A35,$AQ$7:$AR$145,2,FALSE),"")</f>
        <v/>
      </c>
      <c r="AU41" s="3051">
        <f t="shared" si="9"/>
        <v>0</v>
      </c>
      <c r="AV41" s="3020" t="str">
        <f>IF(SUM('Red Neuronal'!K56+'Red Neuronal'!O46)=2,"Anular matrices (2)",IF(SUM('Red Neuronal'!K56+'Red Neuronal'!O46)=1,"Anular matrices (1)",""))</f>
        <v/>
      </c>
      <c r="AW41" s="3021"/>
      <c r="AX41" s="3020" t="str">
        <f>IF(SUM('Red Neuronal'!K56+'Red Neuronal'!O46)=2,"Disminuye en dos grados los poderes",IF(SUM('Red Neuronal'!K56+'Red Neuronal'!O46)=1,"Disminuye en un grado los poderes",""))</f>
        <v/>
      </c>
      <c r="AY41" s="3020"/>
      <c r="AZ41" s="3020"/>
      <c r="BA41" s="3020"/>
      <c r="BB41" s="3020"/>
      <c r="BC41" s="3020"/>
      <c r="BD41" s="3089"/>
      <c r="BF41" s="3061" t="str">
        <f>IF(BJ41=1,SUM(BJ$24:$BJ41),"")</f>
        <v/>
      </c>
      <c r="BG41" s="3032" t="str">
        <f t="shared" si="6"/>
        <v/>
      </c>
      <c r="BH41" s="3062">
        <v>18</v>
      </c>
      <c r="BI41" s="3600" t="s">
        <v>323</v>
      </c>
      <c r="BJ41" s="3065">
        <f>IF(SUM(T76,T191)=2,1,0)</f>
        <v>0</v>
      </c>
      <c r="BK41" s="3064" t="str">
        <f t="shared" si="7"/>
        <v/>
      </c>
      <c r="BV41" s="3061" t="s">
        <v>10397</v>
      </c>
      <c r="BW41" s="3074" t="s">
        <v>1315</v>
      </c>
      <c r="BX41" s="3073" t="s">
        <v>6923</v>
      </c>
      <c r="BY41" s="3073" t="s">
        <v>10379</v>
      </c>
      <c r="BZ41" s="3073" t="s">
        <v>10372</v>
      </c>
      <c r="CA41" s="3073" t="s">
        <v>10391</v>
      </c>
      <c r="CB41" s="3073" t="s">
        <v>6013</v>
      </c>
      <c r="CC41" s="3071" t="s">
        <v>10389</v>
      </c>
      <c r="CD41" s="3080" t="s">
        <v>1315</v>
      </c>
      <c r="CF41" s="3061" t="s">
        <v>10397</v>
      </c>
      <c r="CG41" s="3079">
        <v>1</v>
      </c>
      <c r="CH41" s="3079">
        <v>2</v>
      </c>
      <c r="CI41" s="3080">
        <v>3</v>
      </c>
    </row>
    <row r="42" spans="1:87" ht="12.75" customHeight="1">
      <c r="A42" s="702">
        <v>42</v>
      </c>
      <c r="B42" s="3493">
        <f>IF(OR(S42=0),0,SUM($S$6:S42))</f>
        <v>0</v>
      </c>
      <c r="C42" s="3494"/>
      <c r="D42" s="257" t="s">
        <v>115</v>
      </c>
      <c r="E42" s="342" t="s">
        <v>68</v>
      </c>
      <c r="F42" s="343">
        <v>1</v>
      </c>
      <c r="G42" s="343" t="s">
        <v>2422</v>
      </c>
      <c r="H42" s="344" t="s">
        <v>1165</v>
      </c>
      <c r="I42" s="3571" t="s">
        <v>5386</v>
      </c>
      <c r="J42" s="3571" t="s">
        <v>5387</v>
      </c>
      <c r="K42" s="3571" t="s">
        <v>5484</v>
      </c>
      <c r="L42" s="3571" t="s">
        <v>5485</v>
      </c>
      <c r="M42" s="3571" t="s">
        <v>11331</v>
      </c>
      <c r="N42" s="3571" t="s">
        <v>11346</v>
      </c>
      <c r="O42" s="3571" t="s">
        <v>11362</v>
      </c>
      <c r="P42" s="3571" t="s">
        <v>11375</v>
      </c>
      <c r="Q42" s="3571" t="s">
        <v>11391</v>
      </c>
      <c r="R42" s="3571" t="s">
        <v>11406</v>
      </c>
      <c r="S42" s="3516">
        <f>IF(COUNTIF(Psíquicos!$C$26:$E$37,E42)=0,0,1)</f>
        <v>0</v>
      </c>
      <c r="T42" s="3517">
        <f>COUNTIF(Psíquicos!$V$20:$Z$73,'Tablas psiquica'!D42)</f>
        <v>0</v>
      </c>
      <c r="U42" s="404"/>
      <c r="V42" s="3523"/>
      <c r="W42" s="4252" t="s">
        <v>13952</v>
      </c>
      <c r="X42" s="4253" t="s">
        <v>13980</v>
      </c>
      <c r="Y42" s="404">
        <f t="shared" si="0"/>
        <v>0</v>
      </c>
      <c r="Z42" s="3496">
        <f t="shared" si="1"/>
        <v>0</v>
      </c>
      <c r="AB42" s="3537" t="s">
        <v>126</v>
      </c>
      <c r="AC42" s="342" t="str" cm="1">
        <f t="array" ref="AC42">INDEX($I$6:$R$6,SUMPRODUCT(ISNUMBER(SEARCH("Fatiga",I54:R54))*1)+1)</f>
        <v>DIF</v>
      </c>
      <c r="AD42" s="342" t="str">
        <f>IFERROR(VLOOKUP(AB42,Psíquicos!$AD$11:$AK$67,8,FALSE),AC42)</f>
        <v>DIF</v>
      </c>
      <c r="AE42" s="798"/>
      <c r="AF42" s="798"/>
      <c r="AG42" s="798"/>
      <c r="AH42" s="798"/>
      <c r="AI42" s="798"/>
      <c r="AJ42" s="798"/>
      <c r="AK42" s="798"/>
      <c r="AL42" s="798"/>
      <c r="AM42" s="798"/>
      <c r="AN42" s="798"/>
      <c r="AO42" s="1793">
        <f>IF(COUNTIF(Psíquicos!$AD$20:$AH$65,AB42),VALUE(INDEX('Tablas psiquica'!$AE42:$AN42,MATCH('Tablas psiquica'!$AD42,'Tablas psiquica'!$AE$6:$AN$6,0))),0)</f>
        <v>0</v>
      </c>
      <c r="AQ42" s="2029" t="str">
        <f>IFERROR(IF(VLOOKUP(AR42,$D$7:$G$296,4,FALSE)&lt;&gt;"No",MAX(AQ$5:AQ41)+1,0),"")</f>
        <v/>
      </c>
      <c r="AR42" s="2030" t="str">
        <f t="shared" si="10"/>
        <v/>
      </c>
      <c r="AS42" s="2033" t="str">
        <f>IFERROR(VLOOKUP(Tablas!$A36,$AQ$7:$AR$145,2,FALSE),"")</f>
        <v/>
      </c>
      <c r="AU42" s="3051">
        <f t="shared" si="9"/>
        <v>0</v>
      </c>
      <c r="AV42" s="3020"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
      </c>
      <c r="AW42" s="3021"/>
      <c r="AX42" s="3020" t="str">
        <f>IF(SUM('Red Neuronal'!G46+'Red Neuronal'!G56+'Red Neuronal'!O51+'Red Neuronal'!T56+'Red Neuronal'!C41+'Red Neuronal'!G46)=6,"+10 Potencial para poderes de nivel 1, 2 y 3","+10 Potencial para poderes de nivel 1 y 2")</f>
        <v>+10 Potencial para poderes de nivel 1 y 2</v>
      </c>
      <c r="AY42" s="3020"/>
      <c r="AZ42" s="3020"/>
      <c r="BA42" s="3020"/>
      <c r="BB42" s="3020"/>
      <c r="BC42" s="3020"/>
      <c r="BD42" s="3089"/>
      <c r="BF42" s="3061" t="str">
        <f>IF(BJ42=1,SUM(BJ$24:$BJ42),"")</f>
        <v/>
      </c>
      <c r="BG42" s="3032" t="str">
        <f t="shared" si="6"/>
        <v/>
      </c>
      <c r="BH42" s="3062">
        <v>19</v>
      </c>
      <c r="BI42" s="3600" t="s">
        <v>10312</v>
      </c>
      <c r="BJ42" s="3065">
        <f>IF(SUM(T102,T42)=2,1,0)</f>
        <v>0</v>
      </c>
      <c r="BK42" s="3064" t="str">
        <f t="shared" si="7"/>
        <v/>
      </c>
      <c r="BV42" s="3061" t="s">
        <v>10398</v>
      </c>
      <c r="BW42" s="3074" t="s">
        <v>1315</v>
      </c>
      <c r="BX42" s="3073" t="s">
        <v>6923</v>
      </c>
      <c r="BY42" s="3073" t="s">
        <v>10379</v>
      </c>
      <c r="BZ42" s="3073" t="s">
        <v>10397</v>
      </c>
      <c r="CA42" s="3032"/>
      <c r="CB42" s="3032"/>
      <c r="CC42" s="3032"/>
      <c r="CD42" s="3080" t="s">
        <v>1315</v>
      </c>
      <c r="CF42" s="3061" t="s">
        <v>10398</v>
      </c>
      <c r="CG42" s="3079">
        <v>1</v>
      </c>
      <c r="CH42" s="3079"/>
      <c r="CI42" s="3080"/>
    </row>
    <row r="43" spans="1:87" ht="12.75" customHeight="1">
      <c r="A43" s="702">
        <v>43</v>
      </c>
      <c r="B43" s="3493">
        <f>IF(OR(S43=0),0,SUM($S$6:S43))</f>
        <v>0</v>
      </c>
      <c r="C43" s="3494"/>
      <c r="D43" s="257" t="s">
        <v>116</v>
      </c>
      <c r="E43" s="342" t="s">
        <v>68</v>
      </c>
      <c r="F43" s="343">
        <v>1</v>
      </c>
      <c r="G43" s="343" t="s">
        <v>1241</v>
      </c>
      <c r="H43" s="344" t="s">
        <v>1165</v>
      </c>
      <c r="I43" s="3571" t="s">
        <v>5406</v>
      </c>
      <c r="J43" s="3571" t="s">
        <v>5386</v>
      </c>
      <c r="K43" s="3571" t="s">
        <v>5387</v>
      </c>
      <c r="L43" s="3571" t="s">
        <v>5486</v>
      </c>
      <c r="M43" s="3571" t="s">
        <v>5487</v>
      </c>
      <c r="N43" s="3571" t="s">
        <v>5488</v>
      </c>
      <c r="O43" s="3571" t="s">
        <v>5489</v>
      </c>
      <c r="P43" s="3571" t="s">
        <v>5490</v>
      </c>
      <c r="Q43" s="3571" t="s">
        <v>5491</v>
      </c>
      <c r="R43" s="3571" t="s">
        <v>5492</v>
      </c>
      <c r="S43" s="3516">
        <f>IF(COUNTIF(Psíquicos!$C$26:$E$37,E43)=0,0,1)</f>
        <v>0</v>
      </c>
      <c r="T43" s="3517">
        <f>COUNTIF(Psíquicos!$V$20:$Z$73,'Tablas psiquica'!D43)</f>
        <v>0</v>
      </c>
      <c r="U43" s="404">
        <v>1</v>
      </c>
      <c r="V43" s="3523"/>
      <c r="W43" s="4252" t="s">
        <v>13944</v>
      </c>
      <c r="X43" s="4251" t="s">
        <v>13981</v>
      </c>
      <c r="Y43" s="404">
        <f t="shared" si="0"/>
        <v>1</v>
      </c>
      <c r="Z43" s="3496">
        <f t="shared" si="1"/>
        <v>0</v>
      </c>
      <c r="AB43" s="3537" t="s">
        <v>127</v>
      </c>
      <c r="AC43" s="342" t="str" cm="1">
        <f t="array" ref="AC43">INDEX($I$6:$R$6,SUMPRODUCT(ISNUMBER(SEARCH("Fatiga",I55:R55))*1)+1)</f>
        <v>FAC</v>
      </c>
      <c r="AD43" s="342" t="str">
        <f>IFERROR(VLOOKUP(AB43,Psíquicos!$AD$11:$AK$67,8,FALSE),AC43)</f>
        <v>FAC</v>
      </c>
      <c r="AE43" s="798"/>
      <c r="AF43" s="798"/>
      <c r="AG43" s="798"/>
      <c r="AH43" s="798"/>
      <c r="AI43" s="798"/>
      <c r="AJ43" s="798"/>
      <c r="AK43" s="798"/>
      <c r="AL43" s="798"/>
      <c r="AM43" s="798"/>
      <c r="AN43" s="798"/>
      <c r="AO43" s="1793">
        <f>IF(COUNTIF(Psíquicos!$AD$20:$AH$65,AB43),VALUE(INDEX('Tablas psiquica'!$AE43:$AN43,MATCH('Tablas psiquica'!$AD43,'Tablas psiquica'!$AE$6:$AN$6,0))),0)</f>
        <v>0</v>
      </c>
      <c r="AQ43" s="2029" t="str">
        <f>IFERROR(IF(VLOOKUP(AR43,$D$7:$G$296,4,FALSE)&lt;&gt;"No",MAX(AQ$5:AQ42)+1,0),"")</f>
        <v/>
      </c>
      <c r="AR43" s="2030" t="str">
        <f t="shared" si="10"/>
        <v/>
      </c>
      <c r="AS43" s="2033" t="str">
        <f>IFERROR(VLOOKUP(Tablas!$A37,$AQ$7:$AR$145,2,FALSE),"")</f>
        <v/>
      </c>
      <c r="AU43" s="3051">
        <f t="shared" si="9"/>
        <v>0</v>
      </c>
      <c r="AV43" s="3020" t="str">
        <f>IF('Red Neuronal'!C51=1,"Despertar matrices","")</f>
        <v/>
      </c>
      <c r="AW43" s="3021"/>
      <c r="AX43" s="3020" t="str">
        <f>IF('Red Neuronal'!C51=1,"Despierta las matrices de los personajes alrededor. Ver","")</f>
        <v/>
      </c>
      <c r="AY43" s="3020"/>
      <c r="AZ43" s="3020"/>
      <c r="BA43" s="3020"/>
      <c r="BB43" s="3020"/>
      <c r="BC43" s="3020"/>
      <c r="BD43" s="3089"/>
      <c r="BF43" s="3061" t="str">
        <f>IF(BJ43=1,SUM(BJ$24:$BJ43),"")</f>
        <v/>
      </c>
      <c r="BG43" s="3032" t="str">
        <f t="shared" si="6"/>
        <v/>
      </c>
      <c r="BH43" s="3062">
        <v>20</v>
      </c>
      <c r="BI43" s="3600" t="s">
        <v>6124</v>
      </c>
      <c r="BJ43" s="3065">
        <f>IF(SUM(T119,T296)=2,1,0)</f>
        <v>0</v>
      </c>
      <c r="BK43" s="3064" t="str">
        <f t="shared" si="7"/>
        <v/>
      </c>
      <c r="BV43" s="3061" t="s">
        <v>10396</v>
      </c>
      <c r="BW43" s="3074" t="s">
        <v>1315</v>
      </c>
      <c r="BX43" s="3073" t="s">
        <v>10391</v>
      </c>
      <c r="BY43" s="3073" t="s">
        <v>10378</v>
      </c>
      <c r="BZ43" s="3076" t="s">
        <v>10388</v>
      </c>
      <c r="CA43" s="3076" t="s">
        <v>10393</v>
      </c>
      <c r="CB43" s="3071" t="s">
        <v>9303</v>
      </c>
      <c r="CC43" s="3071" t="s">
        <v>10389</v>
      </c>
      <c r="CD43" s="3080" t="s">
        <v>1315</v>
      </c>
      <c r="CF43" s="3061" t="s">
        <v>10396</v>
      </c>
      <c r="CG43" s="3079">
        <v>1</v>
      </c>
      <c r="CH43" s="3079"/>
      <c r="CI43" s="3080"/>
    </row>
    <row r="44" spans="1:87" ht="12.75" customHeight="1">
      <c r="A44" s="702">
        <v>44</v>
      </c>
      <c r="B44" s="3498">
        <f>IF(OR(S44=0),0,SUM($S$6:S44))</f>
        <v>0</v>
      </c>
      <c r="C44" s="3499"/>
      <c r="D44" s="3500" t="s">
        <v>11760</v>
      </c>
      <c r="E44" s="2746" t="s">
        <v>68</v>
      </c>
      <c r="F44" s="2745">
        <v>1</v>
      </c>
      <c r="G44" s="2745" t="s">
        <v>2422</v>
      </c>
      <c r="H44" s="3511" t="s">
        <v>1165</v>
      </c>
      <c r="I44" s="2744" t="s">
        <v>5407</v>
      </c>
      <c r="J44" s="2744" t="s">
        <v>5406</v>
      </c>
      <c r="K44" s="2744" t="s">
        <v>5386</v>
      </c>
      <c r="L44" s="2744" t="s">
        <v>5418</v>
      </c>
      <c r="M44" s="2744" t="s">
        <v>5728</v>
      </c>
      <c r="N44" s="2744" t="s">
        <v>5660</v>
      </c>
      <c r="O44" s="2744" t="s">
        <v>11578</v>
      </c>
      <c r="P44" s="2744" t="s">
        <v>11761</v>
      </c>
      <c r="Q44" s="2744" t="s">
        <v>5729</v>
      </c>
      <c r="R44" s="2744" t="s">
        <v>5397</v>
      </c>
      <c r="S44" s="3519">
        <f>IF(COUNTIF(Psíquicos!$C$26:$E$37,E44)=0,0,1)</f>
        <v>0</v>
      </c>
      <c r="T44" s="3518">
        <f>COUNTIF(Psíquicos!$V$20:$Z$73,'Tablas psiquica'!D44)</f>
        <v>0</v>
      </c>
      <c r="U44" s="3512">
        <v>1</v>
      </c>
      <c r="V44" s="3524"/>
      <c r="W44" s="4254" t="s">
        <v>1315</v>
      </c>
      <c r="X44" s="4255" t="s">
        <v>1315</v>
      </c>
      <c r="Y44" s="3512">
        <f t="shared" si="0"/>
        <v>1</v>
      </c>
      <c r="Z44" s="3502">
        <f t="shared" si="1"/>
        <v>0</v>
      </c>
      <c r="AB44" s="3537" t="s">
        <v>129</v>
      </c>
      <c r="AC44" s="342" t="str" cm="1">
        <f t="array" ref="AC44">INDEX($I$6:$R$6,SUMPRODUCT(ISNUMBER(SEARCH("Fatiga",I57:R57))*1)+1)</f>
        <v>DIF</v>
      </c>
      <c r="AD44" s="342" t="str">
        <f>IFERROR(VLOOKUP(AB44,Psíquicos!$AD$11:$AK$67,8,FALSE),AC44)</f>
        <v>DIF</v>
      </c>
      <c r="AE44" s="798"/>
      <c r="AF44" s="798"/>
      <c r="AG44" s="798"/>
      <c r="AH44" s="798"/>
      <c r="AI44" s="798"/>
      <c r="AJ44" s="798"/>
      <c r="AK44" s="798"/>
      <c r="AL44" s="798"/>
      <c r="AM44" s="798"/>
      <c r="AN44" s="798"/>
      <c r="AO44" s="1793">
        <f>IF(COUNTIF(Psíquicos!$AD$20:$AH$65,AB44),VALUE(INDEX('Tablas psiquica'!$AE44:$AN44,MATCH('Tablas psiquica'!$AD44,'Tablas psiquica'!$AE$6:$AN$6,0))),0)</f>
        <v>0</v>
      </c>
      <c r="AQ44" s="2029" t="str">
        <f>IFERROR(IF(VLOOKUP(AR44,$D$7:$G$296,4,FALSE)&lt;&gt;"No",MAX(AQ$5:AQ43)+1,0),"")</f>
        <v/>
      </c>
      <c r="AR44" s="2030" t="str">
        <f t="shared" si="10"/>
        <v/>
      </c>
      <c r="AS44" s="2033" t="str">
        <f>IFERROR(VLOOKUP(Tablas!$A38,$AQ$7:$AR$145,2,FALSE),"")</f>
        <v/>
      </c>
      <c r="AU44" s="3051">
        <f t="shared" si="9"/>
        <v>0</v>
      </c>
      <c r="AV44" s="3020" t="str">
        <f>IF(SUM('Red Neuronal'!C46+'Red Neuronal'!G41)=2,"Matrices replicantes (2)",IF(SUM('Red Neuronal'!C46+'Red Neuronal'!G41)=1,"Matrices replicantes (1)",""))</f>
        <v/>
      </c>
      <c r="AW44" s="3021"/>
      <c r="AX44" s="3020" t="str">
        <f>IF(SUM('Red Neuronal'!C46+'Red Neuronal'!G41)=2,"Copia disciplinas y poderes hasta inhumano",IF(SUM('Red Neuronal'!C46+'Red Neuronal'!G41)=1,"Copia poderes hasta absurdo",""))</f>
        <v/>
      </c>
      <c r="AY44" s="3020"/>
      <c r="AZ44" s="3020"/>
      <c r="BA44" s="3020"/>
      <c r="BB44" s="3020"/>
      <c r="BC44" s="3020"/>
      <c r="BD44" s="3089"/>
      <c r="BF44" s="3061" t="str">
        <f>IF(BJ44=1,SUM(BJ$24:$BJ44),"")</f>
        <v/>
      </c>
      <c r="BG44" s="3032" t="str">
        <f t="shared" si="6"/>
        <v/>
      </c>
      <c r="BH44" s="3062">
        <v>21</v>
      </c>
      <c r="BI44" s="3600" t="s">
        <v>11686</v>
      </c>
      <c r="BJ44" s="3065">
        <f>IF(SUM(T215,OR(T208,T105,T23))=2,1,0)</f>
        <v>0</v>
      </c>
      <c r="BK44" s="3064" t="str">
        <f t="shared" si="7"/>
        <v/>
      </c>
      <c r="BV44" s="3061" t="s">
        <v>1115</v>
      </c>
      <c r="BW44" s="3074" t="s">
        <v>1315</v>
      </c>
      <c r="BX44" s="3079" t="s">
        <v>1315</v>
      </c>
      <c r="BY44" s="3079" t="s">
        <v>1315</v>
      </c>
      <c r="BZ44" s="3079" t="s">
        <v>1315</v>
      </c>
      <c r="CA44" s="3079" t="s">
        <v>1315</v>
      </c>
      <c r="CB44" s="3079" t="s">
        <v>1315</v>
      </c>
      <c r="CC44" s="3079" t="s">
        <v>1315</v>
      </c>
      <c r="CD44" s="3080" t="s">
        <v>1315</v>
      </c>
      <c r="CF44" s="3061" t="s">
        <v>1115</v>
      </c>
      <c r="CG44" s="3079" t="s">
        <v>1315</v>
      </c>
      <c r="CH44" s="3079"/>
      <c r="CI44" s="3080"/>
    </row>
    <row r="45" spans="1:87" ht="12.75" customHeight="1">
      <c r="A45" s="702">
        <v>45</v>
      </c>
      <c r="B45" s="3493">
        <f>IF(OR(S45=0),0,SUM($S$6:S45))</f>
        <v>0</v>
      </c>
      <c r="C45" s="3494"/>
      <c r="D45" s="257" t="s">
        <v>117</v>
      </c>
      <c r="E45" s="342" t="s">
        <v>68</v>
      </c>
      <c r="F45" s="343">
        <v>2</v>
      </c>
      <c r="G45" s="343" t="s">
        <v>2422</v>
      </c>
      <c r="H45" s="344" t="s">
        <v>1165</v>
      </c>
      <c r="I45" s="3571" t="s">
        <v>5406</v>
      </c>
      <c r="J45" s="3571" t="s">
        <v>5386</v>
      </c>
      <c r="K45" s="3571" t="s">
        <v>5387</v>
      </c>
      <c r="L45" s="3571" t="s">
        <v>3335</v>
      </c>
      <c r="M45" s="3571" t="s">
        <v>3336</v>
      </c>
      <c r="N45" s="3571" t="s">
        <v>3998</v>
      </c>
      <c r="O45" s="3571" t="s">
        <v>3337</v>
      </c>
      <c r="P45" s="3571" t="s">
        <v>5493</v>
      </c>
      <c r="Q45" s="3571" t="s">
        <v>5494</v>
      </c>
      <c r="R45" s="3571" t="s">
        <v>5495</v>
      </c>
      <c r="S45" s="3516">
        <f>IF(COUNTIF(Psíquicos!$C$26:$E$37,E45)=0,0,1)</f>
        <v>0</v>
      </c>
      <c r="T45" s="3517">
        <f>COUNTIF(Psíquicos!$V$20:$Z$73,'Tablas psiquica'!D45)</f>
        <v>0</v>
      </c>
      <c r="U45" s="404"/>
      <c r="V45" s="3523"/>
      <c r="W45" s="4252" t="s">
        <v>13940</v>
      </c>
      <c r="X45" s="4251" t="s">
        <v>13979</v>
      </c>
      <c r="Y45" s="404">
        <f t="shared" si="0"/>
        <v>0</v>
      </c>
      <c r="Z45" s="3496">
        <f t="shared" si="1"/>
        <v>0</v>
      </c>
      <c r="AB45" s="3537" t="s">
        <v>131</v>
      </c>
      <c r="AC45" s="342" t="str" cm="1">
        <f t="array" ref="AC45">INDEX($I$6:$R$6,SUMPRODUCT(ISNUMBER(SEARCH("Fatiga",I59:R59))*1)+1)</f>
        <v>MDF</v>
      </c>
      <c r="AD45" s="342" t="str">
        <f>IFERROR(VLOOKUP(AB45,Psíquicos!$AD$11:$AK$67,8,FALSE),AC45)</f>
        <v>MDF</v>
      </c>
      <c r="AE45" s="798"/>
      <c r="AF45" s="798"/>
      <c r="AG45" s="798"/>
      <c r="AH45" s="798"/>
      <c r="AI45" s="798"/>
      <c r="AJ45" s="798"/>
      <c r="AK45" s="798"/>
      <c r="AL45" s="798"/>
      <c r="AM45" s="798"/>
      <c r="AN45" s="798"/>
      <c r="AO45" s="1793">
        <f>IF(COUNTIF(Psíquicos!$AD$20:$AH$65,AB45),VALUE(INDEX('Tablas psiquica'!$AE45:$AN45,MATCH('Tablas psiquica'!$AD45,'Tablas psiquica'!$AE$6:$AN$6,0))),0)</f>
        <v>0</v>
      </c>
      <c r="AQ45" s="2029" t="str">
        <f>IFERROR(IF(VLOOKUP(AR45,$D$7:$G$296,4,FALSE)&lt;&gt;"No",MAX(AQ$5:AQ44)+1,0),"")</f>
        <v/>
      </c>
      <c r="AR45" s="2030" t="str">
        <f t="shared" si="10"/>
        <v/>
      </c>
      <c r="AS45" s="2033" t="str">
        <f>IFERROR(VLOOKUP(Tablas!$A39,$AQ$7:$AR$145,2,FALSE),"")</f>
        <v/>
      </c>
      <c r="AU45" s="3051">
        <f t="shared" si="9"/>
        <v>0</v>
      </c>
      <c r="AV45" s="3020" t="str">
        <f>IF(SUM('Red Neuronal'!O56+'Red Neuronal'!G51)=2,"Prestamista (2)",IF(SUM('Red Neuronal'!O56+'Red Neuronal'!G51)=1,"Prestamista (1)",""))</f>
        <v/>
      </c>
      <c r="AW45" s="3021"/>
      <c r="AX45" s="3020" t="str">
        <f>IF(SUM('Red Neuronal'!O56+'Red Neuronal'!G51)=2,"Transfiere un poder a otro mentalista, hasta 100 metros de distancia",IF(SUM('Red Neuronal'!O56+'Red Neuronal'!G51)=1,"Transfiere un poder a otro mentalista, hasta 50 metros de distancia",""))</f>
        <v/>
      </c>
      <c r="AY45" s="3020"/>
      <c r="AZ45" s="3020"/>
      <c r="BA45" s="3020"/>
      <c r="BB45" s="3020"/>
      <c r="BC45" s="3020"/>
      <c r="BD45" s="3089"/>
      <c r="BF45" s="3061" t="str">
        <f>IF(BJ45=1,SUM(BJ$24:$BJ45),"")</f>
        <v/>
      </c>
      <c r="BG45" s="3032" t="str">
        <f t="shared" si="6"/>
        <v/>
      </c>
      <c r="BH45" s="3062">
        <v>22</v>
      </c>
      <c r="BI45" s="3600" t="s">
        <v>9358</v>
      </c>
      <c r="BJ45" s="3065">
        <f>IF(SUM(T182,T32)=2,1,0)</f>
        <v>0</v>
      </c>
      <c r="BK45" s="3064" t="str">
        <f t="shared" si="7"/>
        <v/>
      </c>
      <c r="BV45" s="3061" t="s">
        <v>1903</v>
      </c>
      <c r="BW45" s="3074" t="s">
        <v>1315</v>
      </c>
      <c r="BX45" s="3073" t="s">
        <v>6013</v>
      </c>
      <c r="BY45" s="3073" t="s">
        <v>10372</v>
      </c>
      <c r="BZ45" s="3073" t="s">
        <v>10379</v>
      </c>
      <c r="CA45" s="3073" t="s">
        <v>6923</v>
      </c>
      <c r="CB45" s="3071" t="s">
        <v>10380</v>
      </c>
      <c r="CC45" s="3071" t="s">
        <v>412</v>
      </c>
      <c r="CD45" s="3080" t="s">
        <v>1315</v>
      </c>
      <c r="CF45" s="3061" t="s">
        <v>1903</v>
      </c>
      <c r="CG45" s="3079">
        <v>1</v>
      </c>
      <c r="CH45" s="3079"/>
      <c r="CI45" s="3080"/>
    </row>
    <row r="46" spans="1:87" ht="12.75" customHeight="1">
      <c r="A46" s="702">
        <v>46</v>
      </c>
      <c r="B46" s="3493">
        <f>IF(OR(S46=0),0,SUM($S$6:S46))</f>
        <v>0</v>
      </c>
      <c r="C46" s="3494"/>
      <c r="D46" s="257" t="s">
        <v>118</v>
      </c>
      <c r="E46" s="342" t="s">
        <v>68</v>
      </c>
      <c r="F46" s="343">
        <v>2</v>
      </c>
      <c r="G46" s="343" t="s">
        <v>2422</v>
      </c>
      <c r="H46" s="344" t="s">
        <v>1166</v>
      </c>
      <c r="I46" s="3571" t="s">
        <v>5406</v>
      </c>
      <c r="J46" s="3571" t="s">
        <v>5386</v>
      </c>
      <c r="K46" s="3571" t="s">
        <v>5387</v>
      </c>
      <c r="L46" s="3571" t="s">
        <v>3335</v>
      </c>
      <c r="M46" s="3571" t="s">
        <v>3336</v>
      </c>
      <c r="N46" s="3571" t="s">
        <v>3998</v>
      </c>
      <c r="O46" s="3571" t="s">
        <v>3337</v>
      </c>
      <c r="P46" s="3571" t="s">
        <v>5493</v>
      </c>
      <c r="Q46" s="3571" t="s">
        <v>5494</v>
      </c>
      <c r="R46" s="3571" t="s">
        <v>5495</v>
      </c>
      <c r="S46" s="3516">
        <f>IF(COUNTIF(Psíquicos!$C$26:$E$37,E46)=0,0,1)</f>
        <v>0</v>
      </c>
      <c r="T46" s="3517">
        <f>COUNTIF(Psíquicos!$V$20:$Z$73,'Tablas psiquica'!D46)</f>
        <v>0</v>
      </c>
      <c r="U46" s="404"/>
      <c r="V46" s="3523"/>
      <c r="W46" s="4252" t="s">
        <v>13982</v>
      </c>
      <c r="X46" s="4251" t="s">
        <v>13983</v>
      </c>
      <c r="Y46" s="404">
        <f t="shared" si="0"/>
        <v>0</v>
      </c>
      <c r="Z46" s="3496">
        <f t="shared" si="1"/>
        <v>0</v>
      </c>
      <c r="AB46" s="3537" t="s">
        <v>132</v>
      </c>
      <c r="AC46" s="342" t="str" cm="1">
        <f t="array" ref="AC46">INDEX($I$6:$R$6,SUMPRODUCT(ISNUMBER(SEARCH("Fatiga",I60:R60))*1)+1)</f>
        <v>DIF</v>
      </c>
      <c r="AD46" s="342" t="str">
        <f>IFERROR(VLOOKUP(AB46,Psíquicos!$AD$11:$AK$67,8,FALSE),AC46)</f>
        <v>DIF</v>
      </c>
      <c r="AE46" s="798"/>
      <c r="AF46" s="798"/>
      <c r="AG46" s="798"/>
      <c r="AH46" s="798"/>
      <c r="AI46" s="798"/>
      <c r="AJ46" s="798"/>
      <c r="AK46" s="798"/>
      <c r="AL46" s="798"/>
      <c r="AM46" s="798"/>
      <c r="AN46" s="798"/>
      <c r="AO46" s="1793">
        <f>IF(COUNTIF(Psíquicos!$AD$20:$AH$65,AB46),VALUE(INDEX('Tablas psiquica'!$AE46:$AN46,MATCH('Tablas psiquica'!$AD46,'Tablas psiquica'!$AE$6:$AN$6,0))),0)</f>
        <v>0</v>
      </c>
      <c r="AQ46" s="2029" t="str">
        <f>IFERROR(IF(VLOOKUP(AR46,$D$7:$G$296,4,FALSE)&lt;&gt;"No",MAX(AQ$5:AQ45)+1,0),"")</f>
        <v/>
      </c>
      <c r="AR46" s="2030" t="str">
        <f t="shared" si="10"/>
        <v/>
      </c>
      <c r="AS46" s="2033" t="str">
        <f>IFERROR(VLOOKUP(Tablas!$A40,$AQ$7:$AR$145,2,FALSE),"")</f>
        <v/>
      </c>
      <c r="AU46" s="3051">
        <f t="shared" si="9"/>
        <v>0</v>
      </c>
      <c r="AV46" s="3020" t="str">
        <f>IF('Red Neuronal'!C56=1,"Maestría psi: Mente Colmena","")</f>
        <v/>
      </c>
      <c r="AW46" s="3021"/>
      <c r="AX46" s="3020" t="str">
        <f>IF('Red Neuronal'!C56=1,"+30 al Potencial, permite elegir nuevos poderes. Ver","")</f>
        <v/>
      </c>
      <c r="AY46" s="3020"/>
      <c r="AZ46" s="3020"/>
      <c r="BA46" s="3020"/>
      <c r="BB46" s="3020"/>
      <c r="BC46" s="3020"/>
      <c r="BD46" s="3089"/>
      <c r="BF46" s="3061" t="str">
        <f>IF(BJ46=1,SUM(BJ$24:$BJ46),"")</f>
        <v/>
      </c>
      <c r="BG46" s="3032" t="str">
        <f t="shared" si="6"/>
        <v/>
      </c>
      <c r="BH46" s="3062">
        <v>23</v>
      </c>
      <c r="BI46" s="3600" t="s">
        <v>10313</v>
      </c>
      <c r="BJ46" s="3065">
        <f>IF(SUM(T174,T132)=2,1,0)</f>
        <v>0</v>
      </c>
      <c r="BK46" s="3064" t="str">
        <f t="shared" si="7"/>
        <v/>
      </c>
      <c r="BV46" s="3061" t="s">
        <v>1912</v>
      </c>
      <c r="BW46" s="3071" t="s">
        <v>10399</v>
      </c>
      <c r="BX46" s="3073" t="s">
        <v>10381</v>
      </c>
      <c r="BY46" s="3076" t="s">
        <v>2558</v>
      </c>
      <c r="BZ46" s="3076" t="s">
        <v>10400</v>
      </c>
      <c r="CA46" s="3079" t="s">
        <v>1315</v>
      </c>
      <c r="CB46" s="3079" t="s">
        <v>1315</v>
      </c>
      <c r="CC46" s="3079" t="s">
        <v>1315</v>
      </c>
      <c r="CD46" s="3080" t="s">
        <v>1315</v>
      </c>
      <c r="CF46" s="3061" t="s">
        <v>1912</v>
      </c>
      <c r="CG46" s="3079">
        <v>1</v>
      </c>
      <c r="CH46" s="3079"/>
      <c r="CI46" s="3080"/>
    </row>
    <row r="47" spans="1:87" ht="12.75" customHeight="1">
      <c r="A47" s="702">
        <v>47</v>
      </c>
      <c r="B47" s="3493">
        <f>IF(OR(S47=0),0,SUM($S$6:S47))</f>
        <v>0</v>
      </c>
      <c r="C47" s="3494"/>
      <c r="D47" s="257" t="s">
        <v>119</v>
      </c>
      <c r="E47" s="342" t="s">
        <v>68</v>
      </c>
      <c r="F47" s="343">
        <v>2</v>
      </c>
      <c r="G47" s="343" t="s">
        <v>2422</v>
      </c>
      <c r="H47" s="344" t="s">
        <v>1165</v>
      </c>
      <c r="I47" s="3571" t="s">
        <v>5407</v>
      </c>
      <c r="J47" s="3571" t="s">
        <v>5406</v>
      </c>
      <c r="K47" s="3571" t="s">
        <v>5386</v>
      </c>
      <c r="L47" s="3571" t="s">
        <v>5387</v>
      </c>
      <c r="M47" s="3571" t="s">
        <v>5486</v>
      </c>
      <c r="N47" s="3571" t="s">
        <v>5487</v>
      </c>
      <c r="O47" s="3571" t="s">
        <v>5496</v>
      </c>
      <c r="P47" s="3571" t="s">
        <v>5497</v>
      </c>
      <c r="Q47" s="3571" t="s">
        <v>5498</v>
      </c>
      <c r="R47" s="3571" t="s">
        <v>5499</v>
      </c>
      <c r="S47" s="3516">
        <f>IF(COUNTIF(Psíquicos!$C$26:$E$37,E47)=0,0,1)</f>
        <v>0</v>
      </c>
      <c r="T47" s="3517">
        <f>COUNTIF(Psíquicos!$V$20:$Z$73,'Tablas psiquica'!D47)</f>
        <v>0</v>
      </c>
      <c r="U47" s="404"/>
      <c r="V47" s="3523"/>
      <c r="W47" s="4252" t="s">
        <v>13944</v>
      </c>
      <c r="X47" s="4251" t="s">
        <v>13984</v>
      </c>
      <c r="Y47" s="404">
        <f t="shared" si="0"/>
        <v>0</v>
      </c>
      <c r="Z47" s="3496">
        <f t="shared" si="1"/>
        <v>0</v>
      </c>
      <c r="AB47" s="3537" t="s">
        <v>133</v>
      </c>
      <c r="AC47" s="342" t="str" cm="1">
        <f t="array" ref="AC47">INDEX($I$6:$R$6,SUMPRODUCT(ISNUMBER(SEARCH("Fatiga",I61:R61))*1)+1)</f>
        <v>ABS</v>
      </c>
      <c r="AD47" s="342" t="str">
        <f>IFERROR(VLOOKUP(AB47,Psíquicos!$AD$11:$AK$67,8,FALSE),AC47)</f>
        <v>ABS</v>
      </c>
      <c r="AE47" s="798"/>
      <c r="AF47" s="798"/>
      <c r="AG47" s="798"/>
      <c r="AH47" s="798"/>
      <c r="AI47" s="798"/>
      <c r="AJ47" s="798"/>
      <c r="AK47" s="798"/>
      <c r="AL47" s="798"/>
      <c r="AM47" s="798"/>
      <c r="AN47" s="798"/>
      <c r="AO47" s="1793">
        <f>IF(COUNTIF(Psíquicos!$AD$20:$AH$65,AB47),VALUE(INDEX('Tablas psiquica'!$AE47:$AN47,MATCH('Tablas psiquica'!$AD47,'Tablas psiquica'!$AE$6:$AN$6,0))),0)</f>
        <v>0</v>
      </c>
      <c r="AQ47" s="2029" t="str">
        <f>IFERROR(IF(VLOOKUP(AR47,$D$7:$G$296,4,FALSE)&lt;&gt;"No",MAX(AQ$5:AQ46)+1,0),"")</f>
        <v/>
      </c>
      <c r="AR47" s="2030" t="str">
        <f t="shared" si="10"/>
        <v/>
      </c>
      <c r="AS47" s="2033" t="str">
        <f>IFERROR(VLOOKUP(Tablas!$A41,$AQ$7:$AR$145,2,FALSE),"")</f>
        <v/>
      </c>
      <c r="AU47" s="3051">
        <f t="shared" si="9"/>
        <v>0</v>
      </c>
      <c r="AV47" s="3020" t="str">
        <f>IF('Red Neuronal'!Y31=1,"Psiónica salvaje","")</f>
        <v/>
      </c>
      <c r="AW47" s="3021"/>
      <c r="AX47" s="3020" t="str">
        <f>IF('Red Neuronal'!Y31=1,"Permite usar las reglas de Psiónica Salvaje. Ver","")</f>
        <v/>
      </c>
      <c r="AY47" s="3020"/>
      <c r="AZ47" s="3020"/>
      <c r="BA47" s="3020"/>
      <c r="BB47" s="3020"/>
      <c r="BC47" s="3020"/>
      <c r="BD47" s="3089"/>
      <c r="BF47" s="3061" t="str">
        <f>IF(BJ47=1,SUM(BJ$24:$BJ47),"")</f>
        <v/>
      </c>
      <c r="BG47" s="3032" t="str">
        <f t="shared" si="6"/>
        <v/>
      </c>
      <c r="BH47" s="3062">
        <v>24</v>
      </c>
      <c r="BI47" s="3600" t="s">
        <v>10314</v>
      </c>
      <c r="BJ47" s="3065">
        <f>IF(SUM(T170,T71)=2,1,0)</f>
        <v>0</v>
      </c>
      <c r="BK47" s="3064" t="str">
        <f t="shared" si="7"/>
        <v/>
      </c>
      <c r="BV47" s="3061" t="s">
        <v>2558</v>
      </c>
      <c r="BW47" s="3071" t="s">
        <v>10399</v>
      </c>
      <c r="BX47" s="3076" t="s">
        <v>1912</v>
      </c>
      <c r="BY47" s="3076" t="s">
        <v>10400</v>
      </c>
      <c r="BZ47" s="3076" t="s">
        <v>10401</v>
      </c>
      <c r="CA47" s="3079" t="s">
        <v>1315</v>
      </c>
      <c r="CB47" s="3079" t="s">
        <v>1315</v>
      </c>
      <c r="CC47" s="3079" t="s">
        <v>1315</v>
      </c>
      <c r="CD47" s="3080" t="s">
        <v>1315</v>
      </c>
      <c r="CF47" s="3061" t="s">
        <v>2558</v>
      </c>
      <c r="CG47" s="3079">
        <v>2</v>
      </c>
      <c r="CH47" s="3079"/>
      <c r="CI47" s="3080"/>
    </row>
    <row r="48" spans="1:87" ht="12.75" customHeight="1">
      <c r="A48" s="702">
        <v>48</v>
      </c>
      <c r="B48" s="3493">
        <f>IF(OR(S48=0),0,SUM($S$6:S48))</f>
        <v>0</v>
      </c>
      <c r="C48" s="3494"/>
      <c r="D48" s="257" t="s">
        <v>120</v>
      </c>
      <c r="E48" s="342" t="s">
        <v>68</v>
      </c>
      <c r="F48" s="343">
        <v>2</v>
      </c>
      <c r="G48" s="343" t="s">
        <v>2422</v>
      </c>
      <c r="H48" s="344" t="s">
        <v>1165</v>
      </c>
      <c r="I48" s="3571" t="s">
        <v>5407</v>
      </c>
      <c r="J48" s="3571" t="s">
        <v>5406</v>
      </c>
      <c r="K48" s="3571" t="s">
        <v>5386</v>
      </c>
      <c r="L48" s="3571" t="s">
        <v>5387</v>
      </c>
      <c r="M48" s="3571" t="s">
        <v>5500</v>
      </c>
      <c r="N48" s="3571" t="s">
        <v>5501</v>
      </c>
      <c r="O48" s="3571" t="s">
        <v>5502</v>
      </c>
      <c r="P48" s="3571" t="s">
        <v>5503</v>
      </c>
      <c r="Q48" s="3571" t="s">
        <v>5504</v>
      </c>
      <c r="R48" s="3571" t="s">
        <v>5505</v>
      </c>
      <c r="S48" s="3516">
        <f>IF(COUNTIF(Psíquicos!$C$26:$E$37,E48)=0,0,1)</f>
        <v>0</v>
      </c>
      <c r="T48" s="3517">
        <f>COUNTIF(Psíquicos!$V$20:$Z$73,'Tablas psiquica'!D48)</f>
        <v>0</v>
      </c>
      <c r="U48" s="404"/>
      <c r="V48" s="3523"/>
      <c r="W48" s="4252" t="s">
        <v>13985</v>
      </c>
      <c r="X48" s="4253" t="s">
        <v>13986</v>
      </c>
      <c r="Y48" s="404">
        <f t="shared" si="0"/>
        <v>0</v>
      </c>
      <c r="Z48" s="3496">
        <f t="shared" si="1"/>
        <v>0</v>
      </c>
      <c r="AB48" s="3537" t="s">
        <v>134</v>
      </c>
      <c r="AC48" s="342" t="str" cm="1">
        <f t="array" ref="AC48">INDEX($I$6:$R$6,SUMPRODUCT(ISNUMBER(SEARCH("Fatiga",I62:R62))*1)+1)</f>
        <v>DIF</v>
      </c>
      <c r="AD48" s="342" t="str">
        <f>IFERROR(VLOOKUP(AB48,Psíquicos!$AD$11:$AK$67,8,FALSE),AC48)</f>
        <v>DIF</v>
      </c>
      <c r="AE48" s="798"/>
      <c r="AF48" s="798"/>
      <c r="AG48" s="798"/>
      <c r="AH48" s="798"/>
      <c r="AI48" s="798"/>
      <c r="AJ48" s="798"/>
      <c r="AK48" s="798"/>
      <c r="AL48" s="798"/>
      <c r="AM48" s="798"/>
      <c r="AN48" s="798"/>
      <c r="AO48" s="1793">
        <f>IF(COUNTIF(Psíquicos!$AD$20:$AH$65,AB48),VALUE(INDEX('Tablas psiquica'!$AE48:$AN48,MATCH('Tablas psiquica'!$AD48,'Tablas psiquica'!$AE$6:$AN$6,0))),0)</f>
        <v>0</v>
      </c>
      <c r="AQ48" s="2029" t="str">
        <f>IFERROR(IF(VLOOKUP(AR48,$D$7:$G$296,4,FALSE)&lt;&gt;"No",MAX(AQ$5:AQ47)+1,0),"")</f>
        <v/>
      </c>
      <c r="AR48" s="2030" t="str">
        <f t="shared" si="10"/>
        <v/>
      </c>
      <c r="AS48" s="2033" t="str">
        <f>IFERROR(VLOOKUP(Tablas!$A42,$AQ$7:$AR$145,2,FALSE),"")</f>
        <v/>
      </c>
      <c r="AU48" s="3051">
        <f t="shared" si="9"/>
        <v>0</v>
      </c>
      <c r="AV48" s="3020" t="str">
        <f>IF(SUM('Red Neuronal'!Y21+'Red Neuronal'!T16+'Red Neuronal'!AC16)=3,"Desatar (3)",IF(SUM('Red Neuronal'!Y21+'Red Neuronal'!T16+'Red Neuronal'!AC16)=2,"Desatar (2)",IF(SUM('Red Neuronal'!Y21+'Red Neuronal'!T16+'Red Neuronal'!AC16)=1,"Desatar (1)","")))</f>
        <v/>
      </c>
      <c r="AW48" s="3021"/>
      <c r="AX48" s="3020"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
      </c>
      <c r="AY48" s="3020"/>
      <c r="AZ48" s="3020"/>
      <c r="BA48" s="3020"/>
      <c r="BB48" s="3020"/>
      <c r="BC48" s="3020"/>
      <c r="BD48" s="3089"/>
      <c r="BF48" s="3061" t="str">
        <f>IF(BJ48=1,SUM(BJ$24:$BJ48),"")</f>
        <v/>
      </c>
      <c r="BG48" s="3032" t="str">
        <f t="shared" si="6"/>
        <v/>
      </c>
      <c r="BH48" s="3062">
        <v>25</v>
      </c>
      <c r="BI48" s="3600" t="s">
        <v>10315</v>
      </c>
      <c r="BJ48" s="3065">
        <f>IF(SUM(T118,T124)=2,1,0)</f>
        <v>0</v>
      </c>
      <c r="BK48" s="3064" t="str">
        <f t="shared" si="7"/>
        <v/>
      </c>
      <c r="BV48" s="3061" t="s">
        <v>1540</v>
      </c>
      <c r="BW48" s="3074" t="s">
        <v>1315</v>
      </c>
      <c r="BX48" s="3079" t="s">
        <v>1315</v>
      </c>
      <c r="BY48" s="3079" t="s">
        <v>1315</v>
      </c>
      <c r="BZ48" s="3079" t="s">
        <v>1315</v>
      </c>
      <c r="CA48" s="3079" t="s">
        <v>1315</v>
      </c>
      <c r="CB48" s="3079" t="s">
        <v>1315</v>
      </c>
      <c r="CC48" s="3079" t="s">
        <v>1315</v>
      </c>
      <c r="CD48" s="3080" t="s">
        <v>1315</v>
      </c>
      <c r="CF48" s="3061" t="s">
        <v>1540</v>
      </c>
      <c r="CG48" s="3079">
        <v>1</v>
      </c>
      <c r="CH48" s="3079"/>
      <c r="CI48" s="3080"/>
    </row>
    <row r="49" spans="1:87" ht="12.75" customHeight="1">
      <c r="A49" s="702">
        <v>49</v>
      </c>
      <c r="B49" s="3493">
        <f>IF(OR(S49=0),0,SUM($S$6:S49))</f>
        <v>0</v>
      </c>
      <c r="C49" s="3494"/>
      <c r="D49" s="257" t="s">
        <v>121</v>
      </c>
      <c r="E49" s="342" t="s">
        <v>68</v>
      </c>
      <c r="F49" s="343">
        <v>3</v>
      </c>
      <c r="G49" s="343" t="s">
        <v>1241</v>
      </c>
      <c r="H49" s="344" t="s">
        <v>1165</v>
      </c>
      <c r="I49" s="3571" t="s">
        <v>5417</v>
      </c>
      <c r="J49" s="3571" t="s">
        <v>5416</v>
      </c>
      <c r="K49" s="3571" t="s">
        <v>5408</v>
      </c>
      <c r="L49" s="3571" t="s">
        <v>5407</v>
      </c>
      <c r="M49" s="3571" t="s">
        <v>5406</v>
      </c>
      <c r="N49" s="3571" t="s">
        <v>11332</v>
      </c>
      <c r="O49" s="3571" t="s">
        <v>11347</v>
      </c>
      <c r="P49" s="3571" t="s">
        <v>11363</v>
      </c>
      <c r="Q49" s="3571" t="s">
        <v>11376</v>
      </c>
      <c r="R49" s="3571" t="s">
        <v>11400</v>
      </c>
      <c r="S49" s="3516">
        <f>IF(COUNTIF(Psíquicos!$C$26:$E$37,E49)=0,0,1)</f>
        <v>0</v>
      </c>
      <c r="T49" s="3517">
        <f>COUNTIF(Psíquicos!$V$20:$Z$73,'Tablas psiquica'!D49)</f>
        <v>0</v>
      </c>
      <c r="U49" s="404">
        <v>1</v>
      </c>
      <c r="V49" s="3523"/>
      <c r="W49" s="4252" t="s">
        <v>13987</v>
      </c>
      <c r="X49" s="4253" t="s">
        <v>13980</v>
      </c>
      <c r="Y49" s="404">
        <f t="shared" si="0"/>
        <v>1</v>
      </c>
      <c r="Z49" s="3496">
        <f t="shared" si="1"/>
        <v>0</v>
      </c>
      <c r="AB49" s="3537" t="s">
        <v>135</v>
      </c>
      <c r="AC49" s="342" t="str" cm="1">
        <f t="array" ref="AC49">INDEX($I$6:$R$6,SUMPRODUCT(ISNUMBER(SEARCH("Fatiga",I63:R63))*1)+1)</f>
        <v>ABS</v>
      </c>
      <c r="AD49" s="342" t="str">
        <f>IFERROR(VLOOKUP(AB49,Psíquicos!$AD$11:$AK$67,8,FALSE),AC49)</f>
        <v>ABS</v>
      </c>
      <c r="AE49" s="798"/>
      <c r="AF49" s="798"/>
      <c r="AG49" s="798"/>
      <c r="AH49" s="798"/>
      <c r="AI49" s="798"/>
      <c r="AJ49" s="798"/>
      <c r="AK49" s="798"/>
      <c r="AL49" s="798"/>
      <c r="AM49" s="798"/>
      <c r="AN49" s="798"/>
      <c r="AO49" s="1793">
        <f>IF(COUNTIF(Psíquicos!$AD$20:$AH$65,AB49),VALUE(INDEX('Tablas psiquica'!$AE49:$AN49,MATCH('Tablas psiquica'!$AD49,'Tablas psiquica'!$AE$6:$AN$6,0))),0)</f>
        <v>0</v>
      </c>
      <c r="AQ49" s="2029" t="str">
        <f>IFERROR(IF(VLOOKUP(AR49,$D$7:$G$296,4,FALSE)&lt;&gt;"No",MAX(AQ$5:AQ48)+1,0),"")</f>
        <v/>
      </c>
      <c r="AR49" s="2030" t="str">
        <f t="shared" si="10"/>
        <v/>
      </c>
      <c r="AS49" s="2033" t="str">
        <f>IFERROR(VLOOKUP(Tablas!$A43,$AQ$7:$AR$145,2,FALSE),"")</f>
        <v/>
      </c>
      <c r="AU49" s="3051">
        <f t="shared" si="9"/>
        <v>0</v>
      </c>
      <c r="AV49" s="3020" t="str">
        <f>IF(SUM('Red Neuronal'!Y16+'Red Neuronal'!Y26+'Red Neuronal'!AC21)=3,"Resistencia psi (3)",IF(SUM('Red Neuronal'!Y16+'Red Neuronal'!Y26+'Red Neuronal'!AC21)=2,"Resistencia psi (2)",IF(SUM('Red Neuronal'!Y16+'Red Neuronal'!Y26+'Red Neuronal'!AC21)=1,"Resistencia psi (1)","")))</f>
        <v/>
      </c>
      <c r="AW49" s="3021"/>
      <c r="AX49" s="3020"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
      </c>
      <c r="AY49" s="3020"/>
      <c r="AZ49" s="3020"/>
      <c r="BA49" s="3020"/>
      <c r="BB49" s="3020"/>
      <c r="BC49" s="3020"/>
      <c r="BD49" s="3089"/>
      <c r="BF49" s="3061" t="str">
        <f>IF(BJ49=1,SUM(BJ$24:$BJ49),"")</f>
        <v/>
      </c>
      <c r="BG49" s="3032" t="str">
        <f t="shared" si="6"/>
        <v/>
      </c>
      <c r="BH49" s="3062">
        <v>26</v>
      </c>
      <c r="BI49" s="3600" t="s">
        <v>10316</v>
      </c>
      <c r="BJ49" s="3065">
        <f>IF(SUM(T146,OR(T38,T181))=2,1,0)</f>
        <v>0</v>
      </c>
      <c r="BK49" s="3064" t="str">
        <f t="shared" si="7"/>
        <v/>
      </c>
      <c r="BV49" s="3061" t="s">
        <v>10400</v>
      </c>
      <c r="BW49" s="3074" t="s">
        <v>1315</v>
      </c>
      <c r="BX49" s="3076" t="s">
        <v>10388</v>
      </c>
      <c r="BY49" s="3076" t="s">
        <v>10393</v>
      </c>
      <c r="BZ49" s="3076" t="s">
        <v>2558</v>
      </c>
      <c r="CA49" s="3076" t="s">
        <v>1912</v>
      </c>
      <c r="CB49" s="3071" t="s">
        <v>9303</v>
      </c>
      <c r="CC49" s="3071" t="s">
        <v>10389</v>
      </c>
      <c r="CD49" s="3080" t="s">
        <v>1315</v>
      </c>
      <c r="CF49" s="3061" t="s">
        <v>10400</v>
      </c>
      <c r="CG49" s="3079">
        <v>1</v>
      </c>
      <c r="CH49" s="3079"/>
      <c r="CI49" s="3080"/>
    </row>
    <row r="50" spans="1:87" ht="12.75" customHeight="1">
      <c r="A50" s="702">
        <v>50</v>
      </c>
      <c r="B50" s="3493">
        <f>IF(OR(S50=0),0,SUM($S$6:S50))</f>
        <v>0</v>
      </c>
      <c r="C50" s="3494"/>
      <c r="D50" s="257" t="s">
        <v>122</v>
      </c>
      <c r="E50" s="342" t="s">
        <v>68</v>
      </c>
      <c r="F50" s="343">
        <v>3</v>
      </c>
      <c r="G50" s="343" t="s">
        <v>2422</v>
      </c>
      <c r="H50" s="344" t="s">
        <v>1165</v>
      </c>
      <c r="I50" s="3571" t="s">
        <v>5417</v>
      </c>
      <c r="J50" s="3571" t="s">
        <v>5416</v>
      </c>
      <c r="K50" s="3571" t="s">
        <v>5408</v>
      </c>
      <c r="L50" s="3571" t="s">
        <v>5506</v>
      </c>
      <c r="M50" s="3571" t="s">
        <v>5507</v>
      </c>
      <c r="N50" s="3571" t="s">
        <v>5508</v>
      </c>
      <c r="O50" s="3571" t="s">
        <v>4689</v>
      </c>
      <c r="P50" s="3571" t="s">
        <v>5509</v>
      </c>
      <c r="Q50" s="3571" t="s">
        <v>4690</v>
      </c>
      <c r="R50" s="3571" t="s">
        <v>5510</v>
      </c>
      <c r="S50" s="3516">
        <f>IF(COUNTIF(Psíquicos!$C$26:$E$37,E50)=0,0,1)</f>
        <v>0</v>
      </c>
      <c r="T50" s="3517">
        <f>COUNTIF(Psíquicos!$V$20:$Z$73,'Tablas psiquica'!D50)</f>
        <v>0</v>
      </c>
      <c r="U50" s="404">
        <v>1</v>
      </c>
      <c r="V50" s="3523"/>
      <c r="W50" s="4252" t="s">
        <v>13988</v>
      </c>
      <c r="X50" s="4251" t="s">
        <v>13989</v>
      </c>
      <c r="Y50" s="404">
        <f t="shared" si="0"/>
        <v>1</v>
      </c>
      <c r="Z50" s="3496">
        <f t="shared" si="1"/>
        <v>0</v>
      </c>
      <c r="AB50" s="3537" t="s">
        <v>136</v>
      </c>
      <c r="AC50" s="342" t="str" cm="1">
        <f t="array" ref="AC50">INDEX($I$6:$R$6,SUMPRODUCT(ISNUMBER(SEARCH("Fatiga",I64:R64))*1)+1)</f>
        <v>ABS</v>
      </c>
      <c r="AD50" s="342" t="str">
        <f>IFERROR(VLOOKUP(AB50,Psíquicos!$AD$11:$AK$67,8,FALSE),AC50)</f>
        <v>ABS</v>
      </c>
      <c r="AE50" s="798"/>
      <c r="AF50" s="798"/>
      <c r="AG50" s="798"/>
      <c r="AH50" s="798"/>
      <c r="AI50" s="798"/>
      <c r="AJ50" s="798"/>
      <c r="AK50" s="798"/>
      <c r="AL50" s="798"/>
      <c r="AM50" s="798"/>
      <c r="AN50" s="798"/>
      <c r="AO50" s="1793">
        <f>IF(COUNTIF(Psíquicos!$AD$20:$AH$65,AB50),VALUE(INDEX('Tablas psiquica'!$AE50:$AN50,MATCH('Tablas psiquica'!$AD50,'Tablas psiquica'!$AE$6:$AN$6,0))),0)</f>
        <v>0</v>
      </c>
      <c r="AQ50" s="2029" t="str">
        <f>IFERROR(IF(VLOOKUP(AR50,$D$7:$G$296,4,FALSE)&lt;&gt;"No",MAX(AQ$5:AQ49)+1,0),"")</f>
        <v/>
      </c>
      <c r="AR50" s="2030" t="str">
        <f t="shared" si="10"/>
        <v/>
      </c>
      <c r="AS50" s="2033" t="str">
        <f>IFERROR(VLOOKUP(Tablas!$A44,$AQ$7:$AR$145,2,FALSE),"")</f>
        <v/>
      </c>
      <c r="AU50" s="3051">
        <f t="shared" si="9"/>
        <v>0</v>
      </c>
      <c r="AV50" s="3020" t="str">
        <f>IF(SUM('Red Neuronal'!AC31+'Red Neuronal'!AK31+'Red Neuronal'!AG26)=3,"Drenar energía física (3)",IF(SUM('Red Neuronal'!AC31+'Red Neuronal'!AK31+'Red Neuronal'!AG26)=2,"Drenar Energía física (2)",IF(SUM('Red Neuronal'!AC31+'Red Neuronal'!AK31+'Red Neuronal'!AG26)=1,"Drenar Energía física (1)","")))</f>
        <v/>
      </c>
      <c r="AW50" s="3021"/>
      <c r="AX50" s="3020"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Y50" s="3020"/>
      <c r="AZ50" s="3020"/>
      <c r="BA50" s="3020"/>
      <c r="BB50" s="3020"/>
      <c r="BC50" s="3020"/>
      <c r="BD50" s="3089"/>
      <c r="BF50" s="3061" t="str">
        <f>IF(BJ50=1,SUM(BJ$24:$BJ50),"")</f>
        <v/>
      </c>
      <c r="BG50" s="3032" t="str">
        <f t="shared" si="6"/>
        <v/>
      </c>
      <c r="BH50" s="3062">
        <v>27</v>
      </c>
      <c r="BI50" s="3600" t="s">
        <v>11673</v>
      </c>
      <c r="BJ50" s="3065">
        <f>IF(SUM(T124,T144)=2,1,0)</f>
        <v>0</v>
      </c>
      <c r="BK50" s="3064" t="str">
        <f t="shared" si="7"/>
        <v/>
      </c>
      <c r="BV50" s="3061" t="s">
        <v>2594</v>
      </c>
      <c r="BW50" s="3074" t="s">
        <v>1315</v>
      </c>
      <c r="BX50" s="3076" t="s">
        <v>10388</v>
      </c>
      <c r="BY50" s="3076" t="s">
        <v>10393</v>
      </c>
      <c r="BZ50" s="3071" t="s">
        <v>10389</v>
      </c>
      <c r="CA50" s="3079" t="s">
        <v>1315</v>
      </c>
      <c r="CB50" s="3079" t="s">
        <v>1315</v>
      </c>
      <c r="CC50" s="3079" t="s">
        <v>1315</v>
      </c>
      <c r="CD50" s="3080" t="s">
        <v>1315</v>
      </c>
      <c r="CF50" s="3061" t="s">
        <v>2594</v>
      </c>
      <c r="CG50" s="3079">
        <v>2</v>
      </c>
      <c r="CH50" s="3079"/>
      <c r="CI50" s="3080"/>
    </row>
    <row r="51" spans="1:87" ht="12.75" customHeight="1">
      <c r="A51" s="702">
        <v>51</v>
      </c>
      <c r="B51" s="3493">
        <f>IF(OR(S51=0),0,SUM($S$6:S51))</f>
        <v>0</v>
      </c>
      <c r="C51" s="3494"/>
      <c r="D51" s="257" t="s">
        <v>123</v>
      </c>
      <c r="E51" s="342" t="s">
        <v>68</v>
      </c>
      <c r="F51" s="343">
        <v>3</v>
      </c>
      <c r="G51" s="343" t="s">
        <v>2422</v>
      </c>
      <c r="H51" s="344" t="s">
        <v>1165</v>
      </c>
      <c r="I51" s="3571" t="s">
        <v>5473</v>
      </c>
      <c r="J51" s="3571" t="s">
        <v>5417</v>
      </c>
      <c r="K51" s="3571" t="s">
        <v>5416</v>
      </c>
      <c r="L51" s="3571" t="s">
        <v>5408</v>
      </c>
      <c r="M51" s="3571" t="s">
        <v>5407</v>
      </c>
      <c r="N51" s="3571" t="s">
        <v>5406</v>
      </c>
      <c r="O51" s="3571" t="s">
        <v>5493</v>
      </c>
      <c r="P51" s="3571" t="s">
        <v>5494</v>
      </c>
      <c r="Q51" s="3571" t="s">
        <v>5495</v>
      </c>
      <c r="R51" s="3571" t="s">
        <v>5511</v>
      </c>
      <c r="S51" s="3516">
        <f>IF(COUNTIF(Psíquicos!$C$26:$E$37,E51)=0,0,1)</f>
        <v>0</v>
      </c>
      <c r="T51" s="3517">
        <f>COUNTIF(Psíquicos!$V$20:$Z$73,'Tablas psiquica'!D51)</f>
        <v>0</v>
      </c>
      <c r="U51" s="404"/>
      <c r="V51" s="3523"/>
      <c r="W51" s="4252" t="s">
        <v>13947</v>
      </c>
      <c r="X51" s="4251" t="s">
        <v>13979</v>
      </c>
      <c r="Y51" s="404">
        <f t="shared" si="0"/>
        <v>0</v>
      </c>
      <c r="Z51" s="3496">
        <f t="shared" si="1"/>
        <v>0</v>
      </c>
      <c r="AB51" s="3537" t="s">
        <v>137</v>
      </c>
      <c r="AC51" s="342" t="str" cm="1">
        <f t="array" ref="AC51">INDEX($I$6:$R$6,SUMPRODUCT(ISNUMBER(SEARCH("Fatiga",I65:R65))*1)+1)</f>
        <v>CIM</v>
      </c>
      <c r="AD51" s="342" t="str">
        <f>IFERROR(VLOOKUP(AB51,Psíquicos!$AD$11:$AK$67,8,FALSE),AC51)</f>
        <v>CIM</v>
      </c>
      <c r="AE51" s="798"/>
      <c r="AF51" s="798"/>
      <c r="AG51" s="798"/>
      <c r="AH51" s="798"/>
      <c r="AI51" s="798"/>
      <c r="AJ51" s="798"/>
      <c r="AK51" s="798"/>
      <c r="AL51" s="798"/>
      <c r="AM51" s="798"/>
      <c r="AN51" s="798"/>
      <c r="AO51" s="1793">
        <f>IF(COUNTIF(Psíquicos!$AD$20:$AH$65,AB51),VALUE(INDEX('Tablas psiquica'!$AE51:$AN51,MATCH('Tablas psiquica'!$AD51,'Tablas psiquica'!$AE$6:$AN$6,0))),0)</f>
        <v>0</v>
      </c>
      <c r="AQ51" s="2029" t="str">
        <f>IFERROR(IF(VLOOKUP(AR51,$D$7:$G$296,4,FALSE)&lt;&gt;"No",MAX(AQ$5:AQ50)+1,0),"")</f>
        <v/>
      </c>
      <c r="AR51" s="2030" t="str">
        <f t="shared" si="10"/>
        <v/>
      </c>
      <c r="AS51" s="2033" t="str">
        <f>IFERROR(VLOOKUP(Tablas!$A45,$AQ$7:$AR$145,2,FALSE),"")</f>
        <v/>
      </c>
      <c r="AU51" s="3051">
        <f t="shared" si="9"/>
        <v>0</v>
      </c>
      <c r="AV51" s="3020" t="str">
        <f>IF(SUM('Red Neuronal'!AC26+'Red Neuronal'!AG31+'Red Neuronal'!AK26)=3,"Sobrecarga (3)",IF(SUM('Red Neuronal'!AC26+'Red Neuronal'!AG31+'Red Neuronal'!AK26)=2,"Sobrecarga (2)",IF(SUM('Red Neuronal'!AC26+'Red Neuronal'!AG31+'Red Neuronal'!AK26)=1,"Sobrecarga (1)","")))</f>
        <v/>
      </c>
      <c r="AW51" s="3021"/>
      <c r="AX51" s="3020" t="str">
        <f>IF(AV51="","","Aumenta el Potencial a cambio de incrementar el índice de pifia. Ver")</f>
        <v/>
      </c>
      <c r="AY51" s="3020"/>
      <c r="AZ51" s="3020"/>
      <c r="BA51" s="3020"/>
      <c r="BB51" s="3020"/>
      <c r="BC51" s="3020"/>
      <c r="BD51" s="3089"/>
      <c r="BF51" s="3061" t="str">
        <f>IF(BJ51=1,SUM(BJ$24:$BJ51),"")</f>
        <v/>
      </c>
      <c r="BG51" s="3032" t="str">
        <f t="shared" si="6"/>
        <v/>
      </c>
      <c r="BH51" s="3062">
        <v>28</v>
      </c>
      <c r="BI51" s="3600" t="s">
        <v>10318</v>
      </c>
      <c r="BJ51" s="3065">
        <f>IF(SUM(T53,OR(T161,T208))=2,1,0)</f>
        <v>0</v>
      </c>
      <c r="BK51" s="3064" t="str">
        <f t="shared" si="7"/>
        <v/>
      </c>
      <c r="BV51" s="3061" t="s">
        <v>10393</v>
      </c>
      <c r="BW51" s="3074" t="s">
        <v>1315</v>
      </c>
      <c r="BX51" s="3076" t="s">
        <v>10401</v>
      </c>
      <c r="BY51" s="3073" t="s">
        <v>10383</v>
      </c>
      <c r="BZ51" s="3071" t="s">
        <v>10389</v>
      </c>
      <c r="CA51" s="3079" t="s">
        <v>1315</v>
      </c>
      <c r="CB51" s="3079" t="s">
        <v>1315</v>
      </c>
      <c r="CC51" s="3079" t="s">
        <v>1315</v>
      </c>
      <c r="CD51" s="3080" t="s">
        <v>1315</v>
      </c>
      <c r="CF51" s="3061" t="s">
        <v>10393</v>
      </c>
      <c r="CG51" s="3079">
        <v>2</v>
      </c>
      <c r="CH51" s="3079"/>
      <c r="CI51" s="3080"/>
    </row>
    <row r="52" spans="1:87" ht="12.75" customHeight="1">
      <c r="A52" s="702">
        <v>52</v>
      </c>
      <c r="B52" s="3493">
        <f>IF(OR(S52=0),0,SUM($S$6:S52))</f>
        <v>0</v>
      </c>
      <c r="C52" s="3494"/>
      <c r="D52" s="257" t="s">
        <v>124</v>
      </c>
      <c r="E52" s="342"/>
      <c r="F52" s="343"/>
      <c r="G52" s="343"/>
      <c r="H52" s="344"/>
      <c r="I52" s="3571"/>
      <c r="J52" s="3571"/>
      <c r="K52" s="3571"/>
      <c r="L52" s="3571"/>
      <c r="M52" s="3571"/>
      <c r="N52" s="3571"/>
      <c r="O52" s="3571"/>
      <c r="P52" s="3571"/>
      <c r="Q52" s="3571"/>
      <c r="R52" s="3571"/>
      <c r="S52" s="3517">
        <f>S53</f>
        <v>0</v>
      </c>
      <c r="T52" s="3517"/>
      <c r="U52" s="404"/>
      <c r="V52" s="3523"/>
      <c r="W52" s="4252"/>
      <c r="X52" s="4251"/>
      <c r="Y52" s="404">
        <f t="shared" si="0"/>
        <v>0</v>
      </c>
      <c r="Z52" s="3496">
        <f t="shared" si="1"/>
        <v>0</v>
      </c>
      <c r="AB52" s="3537" t="s">
        <v>138</v>
      </c>
      <c r="AC52" s="342"/>
      <c r="AD52" s="342"/>
      <c r="AE52" s="798"/>
      <c r="AF52" s="798"/>
      <c r="AG52" s="798"/>
      <c r="AH52" s="798"/>
      <c r="AI52" s="798"/>
      <c r="AJ52" s="798"/>
      <c r="AK52" s="798"/>
      <c r="AL52" s="798"/>
      <c r="AM52" s="798"/>
      <c r="AN52" s="798"/>
      <c r="AO52" s="1793" t="e">
        <f>IF(COUNTIF(Psíquicos!$AD$20:$AH$65,AB52),VALUE(INDEX('Tablas psiquica'!$AE52:$AN52,MATCH('Tablas psiquica'!$AD52,'Tablas psiquica'!$AE$6:$AN$6,0))),0)</f>
        <v>#N/A</v>
      </c>
      <c r="AQ52" s="2029" t="str">
        <f>IFERROR(IF(VLOOKUP(AR52,$D$7:$G$296,4,FALSE)&lt;&gt;"No",MAX(AQ$5:AQ51)+1,0),"")</f>
        <v/>
      </c>
      <c r="AR52" s="2030" t="str">
        <f t="shared" si="10"/>
        <v/>
      </c>
      <c r="AS52" s="2033" t="str">
        <f>IFERROR(VLOOKUP(Tablas!$A46,$AQ$7:$AR$145,2,FALSE),"")</f>
        <v/>
      </c>
      <c r="AU52" s="3051">
        <f t="shared" si="9"/>
        <v>0</v>
      </c>
      <c r="AV52" s="3020" t="str">
        <f>IF('Red Neuronal'!AK21=1,"Recursión","")</f>
        <v/>
      </c>
      <c r="AW52" s="3021"/>
      <c r="AX52" s="3020" t="str">
        <f>IF(AV52="","","Replica el poder usado con un -15 al Potencial y a la Proyección")</f>
        <v/>
      </c>
      <c r="AY52" s="3020"/>
      <c r="AZ52" s="3020"/>
      <c r="BA52" s="3020"/>
      <c r="BB52" s="3020"/>
      <c r="BC52" s="3020"/>
      <c r="BD52" s="3089"/>
      <c r="BF52" s="3061" t="str">
        <f>IF(BJ52=1,SUM(BJ$24:$BJ52),"")</f>
        <v/>
      </c>
      <c r="BG52" s="3032" t="str">
        <f t="shared" si="6"/>
        <v/>
      </c>
      <c r="BH52" s="3062">
        <v>29</v>
      </c>
      <c r="BI52" s="3600" t="s">
        <v>10319</v>
      </c>
      <c r="BJ52" s="3065">
        <f>IF(SUM(T40,OR(T161,T208))=2,1,0)</f>
        <v>0</v>
      </c>
      <c r="BK52" s="3064" t="str">
        <f t="shared" si="7"/>
        <v/>
      </c>
      <c r="BV52" s="3061" t="s">
        <v>10402</v>
      </c>
      <c r="BW52" s="3074" t="s">
        <v>1315</v>
      </c>
      <c r="BX52" s="3073" t="s">
        <v>10383</v>
      </c>
      <c r="BY52" s="3076" t="s">
        <v>10401</v>
      </c>
      <c r="BZ52" s="3076" t="s">
        <v>10403</v>
      </c>
      <c r="CA52" s="3071" t="s">
        <v>9303</v>
      </c>
      <c r="CB52" s="3071" t="s">
        <v>10389</v>
      </c>
      <c r="CC52" s="3079" t="s">
        <v>1315</v>
      </c>
      <c r="CD52" s="3080" t="s">
        <v>1315</v>
      </c>
      <c r="CF52" s="3061" t="s">
        <v>10402</v>
      </c>
      <c r="CG52" s="3079">
        <v>3</v>
      </c>
      <c r="CH52" s="3079"/>
      <c r="CI52" s="3080"/>
    </row>
    <row r="53" spans="1:87" ht="12.75" customHeight="1">
      <c r="A53" s="702">
        <v>53</v>
      </c>
      <c r="B53" s="3493">
        <f>IF(OR(S53=0),0,SUM($S$6:S53))</f>
        <v>0</v>
      </c>
      <c r="C53" s="3494"/>
      <c r="D53" s="257" t="s">
        <v>125</v>
      </c>
      <c r="E53" s="342" t="s">
        <v>70</v>
      </c>
      <c r="F53" s="343">
        <v>1</v>
      </c>
      <c r="G53" s="343" t="s">
        <v>2422</v>
      </c>
      <c r="H53" s="344" t="s">
        <v>1165</v>
      </c>
      <c r="I53" s="3571" t="s">
        <v>5387</v>
      </c>
      <c r="J53" s="3571" t="s">
        <v>3334</v>
      </c>
      <c r="K53" s="3571" t="s">
        <v>4479</v>
      </c>
      <c r="L53" s="3571" t="s">
        <v>3335</v>
      </c>
      <c r="M53" s="3571" t="s">
        <v>5478</v>
      </c>
      <c r="N53" s="3571" t="s">
        <v>3336</v>
      </c>
      <c r="O53" s="3571" t="s">
        <v>5479</v>
      </c>
      <c r="P53" s="3571" t="s">
        <v>5480</v>
      </c>
      <c r="Q53" s="3571" t="s">
        <v>3337</v>
      </c>
      <c r="R53" s="3571" t="s">
        <v>3999</v>
      </c>
      <c r="S53" s="3516">
        <f>IF(COUNTIF(Psíquicos!$C$26:$E$37,E53)=0,0,1)</f>
        <v>0</v>
      </c>
      <c r="T53" s="3517">
        <f>COUNTIF(Psíquicos!$V$20:$Z$73,'Tablas psiquica'!D53)</f>
        <v>0</v>
      </c>
      <c r="U53" s="404"/>
      <c r="V53" s="3523"/>
      <c r="W53" s="4252"/>
      <c r="X53" s="4251"/>
      <c r="Y53" s="404">
        <f t="shared" si="0"/>
        <v>0</v>
      </c>
      <c r="Z53" s="3496">
        <f t="shared" si="1"/>
        <v>0</v>
      </c>
      <c r="AB53" s="3537" t="s">
        <v>139</v>
      </c>
      <c r="AC53" s="342" t="str" cm="1">
        <f t="array" ref="AC53">INDEX($I$6:$R$6,SUMPRODUCT(ISNUMBER(SEARCH("Fatiga",I67:R67))*1)+1)</f>
        <v>FAC</v>
      </c>
      <c r="AD53" s="342" t="str">
        <f>IFERROR(VLOOKUP(AB53,Psíquicos!$AD$11:$AK$67,8,FALSE),AC53)</f>
        <v>FAC</v>
      </c>
      <c r="AE53" s="798" t="str">
        <f t="shared" ref="AE53:AN55" si="11">IF(ISNUMBER(VALUE(MID(I67,SEARCH("+",I67)+1,3))),VALUE(MID(I67,SEARCH("+",I67)+1,3)),"")</f>
        <v/>
      </c>
      <c r="AF53" s="798">
        <f t="shared" si="11"/>
        <v>10</v>
      </c>
      <c r="AG53" s="798">
        <f t="shared" si="11"/>
        <v>20</v>
      </c>
      <c r="AH53" s="798">
        <f t="shared" si="11"/>
        <v>40</v>
      </c>
      <c r="AI53" s="798">
        <f t="shared" si="11"/>
        <v>80</v>
      </c>
      <c r="AJ53" s="798">
        <f t="shared" si="11"/>
        <v>120</v>
      </c>
      <c r="AK53" s="798">
        <f t="shared" si="11"/>
        <v>180</v>
      </c>
      <c r="AL53" s="798">
        <f t="shared" si="11"/>
        <v>220</v>
      </c>
      <c r="AM53" s="798">
        <f t="shared" si="11"/>
        <v>280</v>
      </c>
      <c r="AN53" s="798">
        <f t="shared" si="11"/>
        <v>320</v>
      </c>
      <c r="AO53" s="1793">
        <f>IF(COUNTIF(Psíquicos!$AD$20:$AH$65,AB53),VALUE(INDEX('Tablas psiquica'!$AE53:$AN53,MATCH('Tablas psiquica'!$AD53,'Tablas psiquica'!$AE$6:$AN$6,0))),0)</f>
        <v>0</v>
      </c>
      <c r="AQ53" s="2029" t="str">
        <f>IFERROR(IF(VLOOKUP(AR53,$D$7:$G$296,4,FALSE)&lt;&gt;"No",MAX(AQ$5:AQ52)+1,0),"")</f>
        <v/>
      </c>
      <c r="AR53" s="2030" t="str">
        <f t="shared" si="10"/>
        <v/>
      </c>
      <c r="AS53" s="2033" t="str">
        <f>IFERROR(VLOOKUP(Tablas!$A47,$AQ$7:$AR$145,2,FALSE),"")</f>
        <v/>
      </c>
      <c r="AU53" s="3051">
        <f t="shared" si="9"/>
        <v>0</v>
      </c>
      <c r="AV53" s="3020" t="str">
        <f>IF('Red Neuronal'!AG16=1,"Explotar potencial oculto","")</f>
        <v/>
      </c>
      <c r="AW53" s="3021"/>
      <c r="AX53" s="3020" t="str">
        <f>IF(AV53="","","Obtiene CVs efímeros de matrices latentes. Ver")</f>
        <v/>
      </c>
      <c r="AY53" s="3020"/>
      <c r="AZ53" s="3020"/>
      <c r="BA53" s="3020"/>
      <c r="BB53" s="3020"/>
      <c r="BC53" s="3020"/>
      <c r="BD53" s="3089"/>
      <c r="BF53" s="3061" t="str">
        <f>IF(BJ53=1,SUM(BJ$24:$BJ53),"")</f>
        <v/>
      </c>
      <c r="BG53" s="3032" t="str">
        <f t="shared" si="6"/>
        <v/>
      </c>
      <c r="BH53" s="3062">
        <v>39</v>
      </c>
      <c r="BI53" s="3600" t="s">
        <v>10320</v>
      </c>
      <c r="BJ53" s="3065">
        <f>IF(SUM(T128,T183)=2,1,0)</f>
        <v>0</v>
      </c>
      <c r="BK53" s="3064" t="str">
        <f t="shared" si="7"/>
        <v/>
      </c>
      <c r="BV53" s="3061" t="s">
        <v>10401</v>
      </c>
      <c r="BW53" s="3071" t="s">
        <v>10404</v>
      </c>
      <c r="BX53" s="3076" t="s">
        <v>10388</v>
      </c>
      <c r="BY53" s="3076" t="s">
        <v>10393</v>
      </c>
      <c r="BZ53" s="3071" t="s">
        <v>9303</v>
      </c>
      <c r="CA53" s="3071" t="s">
        <v>10389</v>
      </c>
      <c r="CB53" s="3079" t="s">
        <v>1315</v>
      </c>
      <c r="CC53" s="3079" t="s">
        <v>1315</v>
      </c>
      <c r="CD53" s="3080" t="s">
        <v>1315</v>
      </c>
      <c r="CF53" s="3061" t="s">
        <v>10401</v>
      </c>
      <c r="CG53" s="3079">
        <v>1</v>
      </c>
      <c r="CH53" s="3079"/>
      <c r="CI53" s="3080"/>
    </row>
    <row r="54" spans="1:87" ht="12.75" customHeight="1">
      <c r="A54" s="702">
        <v>54</v>
      </c>
      <c r="B54" s="3493">
        <f>IF(OR(S54=0),0,SUM($S$6:S54))</f>
        <v>0</v>
      </c>
      <c r="C54" s="3494"/>
      <c r="D54" s="257" t="s">
        <v>126</v>
      </c>
      <c r="E54" s="342" t="s">
        <v>70</v>
      </c>
      <c r="F54" s="343">
        <v>1</v>
      </c>
      <c r="G54" s="343" t="s">
        <v>2422</v>
      </c>
      <c r="H54" s="344" t="s">
        <v>1165</v>
      </c>
      <c r="I54" s="3571" t="s">
        <v>5406</v>
      </c>
      <c r="J54" s="3571" t="s">
        <v>5386</v>
      </c>
      <c r="K54" s="3571" t="s">
        <v>5387</v>
      </c>
      <c r="L54" s="3571" t="s">
        <v>5512</v>
      </c>
      <c r="M54" s="3571" t="s">
        <v>5513</v>
      </c>
      <c r="N54" s="3571" t="s">
        <v>5514</v>
      </c>
      <c r="O54" s="3571" t="s">
        <v>5515</v>
      </c>
      <c r="P54" s="3571" t="s">
        <v>4002</v>
      </c>
      <c r="Q54" s="3571" t="s">
        <v>4004</v>
      </c>
      <c r="R54" s="3571" t="s">
        <v>5516</v>
      </c>
      <c r="S54" s="3516">
        <f>IF(COUNTIF(Psíquicos!$C$26:$E$37,E54)=0,0,1)</f>
        <v>0</v>
      </c>
      <c r="T54" s="3517">
        <f>COUNTIF(Psíquicos!$V$20:$Z$73,'Tablas psiquica'!D54)</f>
        <v>0</v>
      </c>
      <c r="U54" s="404"/>
      <c r="V54" s="3523"/>
      <c r="W54" s="4252" t="s">
        <v>13956</v>
      </c>
      <c r="X54" s="4251" t="s">
        <v>13979</v>
      </c>
      <c r="Y54" s="404">
        <f t="shared" si="0"/>
        <v>0</v>
      </c>
      <c r="Z54" s="3496">
        <f t="shared" si="1"/>
        <v>0</v>
      </c>
      <c r="AB54" s="3537" t="s">
        <v>140</v>
      </c>
      <c r="AC54" s="342" t="str" cm="1">
        <f t="array" ref="AC54">INDEX($I$6:$R$6,SUMPRODUCT(ISNUMBER(SEARCH("Fatiga",I68:R68))*1)+1)</f>
        <v>FAC</v>
      </c>
      <c r="AD54" s="342" t="str">
        <f>IFERROR(VLOOKUP(AB54,Psíquicos!$AD$11:$AK$67,8,FALSE),AC54)</f>
        <v>FAC</v>
      </c>
      <c r="AE54" s="798" t="str">
        <f t="shared" si="11"/>
        <v/>
      </c>
      <c r="AF54" s="798">
        <f t="shared" si="11"/>
        <v>10</v>
      </c>
      <c r="AG54" s="798">
        <f t="shared" si="11"/>
        <v>20</v>
      </c>
      <c r="AH54" s="798">
        <f t="shared" si="11"/>
        <v>40</v>
      </c>
      <c r="AI54" s="798">
        <f t="shared" si="11"/>
        <v>80</v>
      </c>
      <c r="AJ54" s="798">
        <f t="shared" si="11"/>
        <v>120</v>
      </c>
      <c r="AK54" s="798">
        <f t="shared" si="11"/>
        <v>180</v>
      </c>
      <c r="AL54" s="798">
        <f t="shared" si="11"/>
        <v>220</v>
      </c>
      <c r="AM54" s="798">
        <f t="shared" si="11"/>
        <v>280</v>
      </c>
      <c r="AN54" s="798">
        <f t="shared" si="11"/>
        <v>320</v>
      </c>
      <c r="AO54" s="1793">
        <f>IF(COUNTIF(Psíquicos!$AD$20:$AH$65,AB54),VALUE(INDEX('Tablas psiquica'!$AE54:$AN54,MATCH('Tablas psiquica'!$AD54,'Tablas psiquica'!$AE$6:$AN$6,0))),0)</f>
        <v>0</v>
      </c>
      <c r="AP54" s="2084" t="s">
        <v>9465</v>
      </c>
      <c r="AQ54" s="2029" t="str">
        <f>IFERROR(IF(VLOOKUP(AR54,$D$7:$G$296,4,FALSE)&lt;&gt;"No",MAX(AQ$5:AQ53)+1,0),"")</f>
        <v/>
      </c>
      <c r="AR54" s="2030" t="str">
        <f t="shared" si="10"/>
        <v/>
      </c>
      <c r="AS54" s="2033" t="str">
        <f>IFERROR(VLOOKUP(Tablas!$A48,$AQ$7:$AR$145,2,FALSE),"")</f>
        <v/>
      </c>
      <c r="AU54" s="3051">
        <f t="shared" si="9"/>
        <v>0</v>
      </c>
      <c r="AV54" s="3020" t="str">
        <f>IF('Red Neuronal'!AK16=1,"Maestria psi: Arconte","")</f>
        <v/>
      </c>
      <c r="AW54" s="3021"/>
      <c r="AX54" s="3020" t="str">
        <f>IF(AV54="","","El personaje se convierte en una masa matricial. Ver")</f>
        <v/>
      </c>
      <c r="AY54" s="3020"/>
      <c r="AZ54" s="3020"/>
      <c r="BA54" s="3020"/>
      <c r="BB54" s="3020"/>
      <c r="BC54" s="3020"/>
      <c r="BD54" s="3089"/>
      <c r="BF54" s="3061" t="str">
        <f>IF(BJ54=1,SUM(BJ$24:$BJ54),"")</f>
        <v/>
      </c>
      <c r="BG54" s="3032" t="str">
        <f t="shared" si="6"/>
        <v/>
      </c>
      <c r="BH54" s="3062">
        <v>31</v>
      </c>
      <c r="BI54" s="3600" t="s">
        <v>10321</v>
      </c>
      <c r="BJ54" s="3065">
        <f>IF(SUM(T107,T296)=2,1,0)</f>
        <v>0</v>
      </c>
      <c r="BK54" s="3064" t="str">
        <f t="shared" si="7"/>
        <v/>
      </c>
      <c r="BV54" s="3061" t="s">
        <v>10403</v>
      </c>
      <c r="BW54" s="3074" t="s">
        <v>1315</v>
      </c>
      <c r="BX54" s="3076" t="s">
        <v>10388</v>
      </c>
      <c r="BY54" s="3071" t="s">
        <v>9303</v>
      </c>
      <c r="BZ54" s="3071" t="s">
        <v>10389</v>
      </c>
      <c r="CA54" s="3071" t="s">
        <v>3019</v>
      </c>
      <c r="CB54" s="3071" t="s">
        <v>10405</v>
      </c>
      <c r="CC54" s="3079" t="s">
        <v>1315</v>
      </c>
      <c r="CD54" s="3080" t="s">
        <v>1315</v>
      </c>
      <c r="CF54" s="3061" t="s">
        <v>10403</v>
      </c>
      <c r="CG54" s="3079">
        <v>3</v>
      </c>
      <c r="CH54" s="3079"/>
      <c r="CI54" s="3080"/>
    </row>
    <row r="55" spans="1:87" ht="12.75" customHeight="1">
      <c r="A55" s="702">
        <v>55</v>
      </c>
      <c r="B55" s="3493">
        <f>IF(OR(S55=0),0,SUM($S$6:S55))</f>
        <v>0</v>
      </c>
      <c r="C55" s="3494"/>
      <c r="D55" s="257" t="s">
        <v>127</v>
      </c>
      <c r="E55" s="342" t="s">
        <v>70</v>
      </c>
      <c r="F55" s="343">
        <v>1</v>
      </c>
      <c r="G55" s="343" t="s">
        <v>2422</v>
      </c>
      <c r="H55" s="344" t="s">
        <v>1165</v>
      </c>
      <c r="I55" s="3571" t="s">
        <v>5387</v>
      </c>
      <c r="J55" s="3571" t="s">
        <v>5481</v>
      </c>
      <c r="K55" s="3571" t="s">
        <v>5482</v>
      </c>
      <c r="L55" s="3571" t="s">
        <v>11330</v>
      </c>
      <c r="M55" s="3571" t="s">
        <v>11345</v>
      </c>
      <c r="N55" s="3571" t="s">
        <v>11361</v>
      </c>
      <c r="O55" s="3571" t="s">
        <v>11374</v>
      </c>
      <c r="P55" s="3571" t="s">
        <v>11390</v>
      </c>
      <c r="Q55" s="3571" t="s">
        <v>11399</v>
      </c>
      <c r="R55" s="3571" t="s">
        <v>5483</v>
      </c>
      <c r="S55" s="3516">
        <f>IF(COUNTIF(Psíquicos!$C$26:$E$37,E55)=0,0,1)</f>
        <v>0</v>
      </c>
      <c r="T55" s="3517">
        <f>COUNTIF(Psíquicos!$V$20:$Z$73,'Tablas psiquica'!D55)</f>
        <v>0</v>
      </c>
      <c r="U55" s="404"/>
      <c r="V55" s="3523"/>
      <c r="W55" s="4252" t="s">
        <v>13952</v>
      </c>
      <c r="X55" s="4251" t="s">
        <v>13990</v>
      </c>
      <c r="Y55" s="404">
        <f t="shared" si="0"/>
        <v>0</v>
      </c>
      <c r="Z55" s="3496">
        <f t="shared" si="1"/>
        <v>0</v>
      </c>
      <c r="AB55" s="3537" t="s">
        <v>141</v>
      </c>
      <c r="AC55" s="342" t="str" cm="1">
        <f t="array" ref="AC55">INDEX($I$6:$R$6,SUMPRODUCT(ISNUMBER(SEARCH("Fatiga",I69:R69))*1)+1)</f>
        <v>MED</v>
      </c>
      <c r="AD55" s="342" t="str">
        <f>IFERROR(VLOOKUP(AB55,Psíquicos!$AD$11:$AK$67,8,FALSE),AC55)</f>
        <v>MED</v>
      </c>
      <c r="AE55" s="798" t="str">
        <f t="shared" si="11"/>
        <v/>
      </c>
      <c r="AF55" s="798" t="str">
        <f t="shared" si="11"/>
        <v/>
      </c>
      <c r="AG55" s="798">
        <f t="shared" si="11"/>
        <v>1</v>
      </c>
      <c r="AH55" s="798">
        <f t="shared" si="11"/>
        <v>2</v>
      </c>
      <c r="AI55" s="798">
        <f t="shared" si="11"/>
        <v>3</v>
      </c>
      <c r="AJ55" s="798">
        <f t="shared" si="11"/>
        <v>4</v>
      </c>
      <c r="AK55" s="798">
        <f t="shared" si="11"/>
        <v>5</v>
      </c>
      <c r="AL55" s="798">
        <f t="shared" si="11"/>
        <v>6</v>
      </c>
      <c r="AM55" s="798">
        <f t="shared" si="11"/>
        <v>8</v>
      </c>
      <c r="AN55" s="798">
        <f t="shared" si="11"/>
        <v>10</v>
      </c>
      <c r="AO55" s="1793">
        <f>IF(COUNTIF(Psíquicos!$AD$20:$AH$65,AB55),VALUE(INDEX('Tablas psiquica'!$AE55:$AN55,MATCH('Tablas psiquica'!$AD55,'Tablas psiquica'!$AE$6:$AN$6,0))),0)</f>
        <v>0</v>
      </c>
      <c r="AP55" s="2083">
        <f>IF(COUNTIF(Psíquicos!$AD$20:$AH$79,AB56)&gt;0,IF(MATCH('Tablas psiquica'!$AD56,'Tablas psiquica'!$AE$6:$AN$6,0)&gt;6,2,1),0)</f>
        <v>0</v>
      </c>
      <c r="AQ55" s="2029" t="str">
        <f>IFERROR(IF(VLOOKUP(AR55,$D$7:$G$296,4,FALSE)&lt;&gt;"No",MAX(AQ$5:AQ54)+1,0),"")</f>
        <v/>
      </c>
      <c r="AR55" s="2030" t="str">
        <f t="shared" si="10"/>
        <v/>
      </c>
      <c r="AS55" s="2033" t="str">
        <f>IFERROR(VLOOKUP(Tablas!$A49,$AQ$7:$AR$145,2,FALSE),"")</f>
        <v/>
      </c>
      <c r="AU55" s="3051">
        <f t="shared" si="9"/>
        <v>0</v>
      </c>
      <c r="AV55" s="3020" t="str">
        <f>IF('Red Neuronal'!Y41=1,"Refinamiento neuronal","")</f>
        <v/>
      </c>
      <c r="AW55" s="3021"/>
      <c r="AX55" s="3020" t="str">
        <f>IF(AV$55="","","Al limitar el Potencial a un grado, +10 a la Proy. por cada grado por encima")</f>
        <v/>
      </c>
      <c r="AY55" s="3020"/>
      <c r="AZ55" s="3020"/>
      <c r="BA55" s="3020"/>
      <c r="BB55" s="3020"/>
      <c r="BC55" s="3020"/>
      <c r="BD55" s="3089"/>
      <c r="BF55" s="3061" t="str">
        <f>IF(BJ55=1,SUM(BJ$24:$BJ55),"")</f>
        <v/>
      </c>
      <c r="BG55" s="3032" t="str">
        <f t="shared" si="6"/>
        <v/>
      </c>
      <c r="BH55" s="3062">
        <v>32</v>
      </c>
      <c r="BI55" s="3600" t="s">
        <v>10322</v>
      </c>
      <c r="BJ55" s="3065">
        <f>IF(SUM(T74,T84)=2,1,0)</f>
        <v>0</v>
      </c>
      <c r="BK55" s="3064" t="str">
        <f t="shared" si="7"/>
        <v/>
      </c>
      <c r="BV55" s="3061" t="s">
        <v>10406</v>
      </c>
      <c r="BW55" s="3074" t="s">
        <v>1315</v>
      </c>
      <c r="BX55" s="3079" t="s">
        <v>1315</v>
      </c>
      <c r="BY55" s="3079" t="s">
        <v>1315</v>
      </c>
      <c r="BZ55" s="3079" t="s">
        <v>1315</v>
      </c>
      <c r="CA55" s="3079" t="s">
        <v>1315</v>
      </c>
      <c r="CB55" s="3079" t="s">
        <v>1315</v>
      </c>
      <c r="CC55" s="3079" t="s">
        <v>1315</v>
      </c>
      <c r="CD55" s="3080" t="s">
        <v>1315</v>
      </c>
      <c r="CF55" s="3061" t="s">
        <v>10406</v>
      </c>
      <c r="CG55" s="3079">
        <v>1</v>
      </c>
      <c r="CH55" s="3079"/>
      <c r="CI55" s="3080"/>
    </row>
    <row r="56" spans="1:87" ht="12.75" customHeight="1">
      <c r="A56" s="702">
        <v>56</v>
      </c>
      <c r="B56" s="3493">
        <f>IF(OR(S56=0),0,SUM($S$6:S56))</f>
        <v>0</v>
      </c>
      <c r="C56" s="3494"/>
      <c r="D56" s="257" t="s">
        <v>128</v>
      </c>
      <c r="E56" s="342" t="s">
        <v>70</v>
      </c>
      <c r="F56" s="343">
        <v>1</v>
      </c>
      <c r="G56" s="343" t="s">
        <v>1241</v>
      </c>
      <c r="H56" s="344" t="s">
        <v>1165</v>
      </c>
      <c r="I56" s="3571" t="s">
        <v>5386</v>
      </c>
      <c r="J56" s="3571" t="s">
        <v>5387</v>
      </c>
      <c r="K56" s="3571" t="s">
        <v>5484</v>
      </c>
      <c r="L56" s="3571" t="s">
        <v>5485</v>
      </c>
      <c r="M56" s="3571" t="s">
        <v>11331</v>
      </c>
      <c r="N56" s="3571" t="s">
        <v>11346</v>
      </c>
      <c r="O56" s="3571" t="s">
        <v>11362</v>
      </c>
      <c r="P56" s="3571" t="s">
        <v>11375</v>
      </c>
      <c r="Q56" s="3571" t="s">
        <v>11391</v>
      </c>
      <c r="R56" s="3571" t="s">
        <v>11406</v>
      </c>
      <c r="S56" s="3516">
        <f>IF(COUNTIF(Psíquicos!$C$26:$E$37,E56)=0,0,1)</f>
        <v>0</v>
      </c>
      <c r="T56" s="3517">
        <f>COUNTIF(Psíquicos!$V$20:$Z$73,'Tablas psiquica'!D56)</f>
        <v>0</v>
      </c>
      <c r="U56" s="404"/>
      <c r="V56" s="3523"/>
      <c r="W56" s="4252" t="s">
        <v>13952</v>
      </c>
      <c r="X56" s="4253" t="s">
        <v>13980</v>
      </c>
      <c r="Y56" s="404">
        <f t="shared" si="0"/>
        <v>0</v>
      </c>
      <c r="Z56" s="3496">
        <f t="shared" si="1"/>
        <v>0</v>
      </c>
      <c r="AB56" s="3537" t="s">
        <v>1536</v>
      </c>
      <c r="AC56" s="342" t="str" cm="1">
        <f t="array" ref="AC56">INDEX($I$6:$R$6,SUMPRODUCT(ISNUMBER(SEARCH("Fatiga",I70:R70))*1)+1)</f>
        <v>MED</v>
      </c>
      <c r="AD56" s="342" t="str">
        <f>IFERROR(VLOOKUP(AB56,Psíquicos!$AD$11:$AK$67,8,FALSE),AC56)</f>
        <v>MED</v>
      </c>
      <c r="AE56" s="798" t="str">
        <f t="shared" ref="AE56:AF62" si="12">IF(ISNUMBER(VALUE(MID(I70,SEARCH("+",I70)+1,3))),VALUE(MID(I70,SEARCH("+",I70)+1,3)),"")</f>
        <v/>
      </c>
      <c r="AF56" s="798" t="str">
        <f t="shared" si="12"/>
        <v/>
      </c>
      <c r="AG56" s="798">
        <v>0</v>
      </c>
      <c r="AH56" s="798">
        <f t="shared" ref="AH56:AN62" si="13">IF(ISNUMBER(VALUE(MID(L70,SEARCH("+",L70)+1,3))),VALUE(MID(L70,SEARCH("+",L70)+1,3)),"")</f>
        <v>5</v>
      </c>
      <c r="AI56" s="798">
        <f t="shared" si="13"/>
        <v>10</v>
      </c>
      <c r="AJ56" s="798">
        <f t="shared" si="13"/>
        <v>20</v>
      </c>
      <c r="AK56" s="798">
        <f t="shared" si="13"/>
        <v>30</v>
      </c>
      <c r="AL56" s="798">
        <f t="shared" si="13"/>
        <v>40</v>
      </c>
      <c r="AM56" s="798">
        <f t="shared" si="13"/>
        <v>60</v>
      </c>
      <c r="AN56" s="798">
        <f t="shared" si="13"/>
        <v>80</v>
      </c>
      <c r="AO56" s="1793">
        <f>IF(COUNTIF(Psíquicos!$AD$20:$AH$65,AB56),VALUE(INDEX('Tablas psiquica'!$AE56:$AN56,MATCH('Tablas psiquica'!$AD56,'Tablas psiquica'!$AE$6:$AN$6,0))),0)</f>
        <v>0</v>
      </c>
      <c r="AQ56" s="2029" t="str">
        <f>IFERROR(IF(VLOOKUP(AR56,$D$7:$G$296,4,FALSE)&lt;&gt;"No",MAX(AQ$5:AQ55)+1,0),"")</f>
        <v/>
      </c>
      <c r="AR56" s="2030" t="str">
        <f t="shared" si="10"/>
        <v/>
      </c>
      <c r="AS56" s="2033" t="str">
        <f>IFERROR(VLOOKUP(Tablas!$A50,$AQ$7:$AR$145,2,FALSE),"")</f>
        <v/>
      </c>
      <c r="AU56" s="3051">
        <f t="shared" si="9"/>
        <v>0</v>
      </c>
      <c r="AV56" s="3020"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W56" s="3021"/>
      <c r="AX56" s="3020"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Y56" s="3020"/>
      <c r="AZ56" s="3020"/>
      <c r="BA56" s="3020"/>
      <c r="BB56" s="3020"/>
      <c r="BC56" s="3020"/>
      <c r="BD56" s="3089"/>
      <c r="BF56" s="3061" t="str">
        <f>IF(BJ56=1,SUM(BJ$24:$BJ56),"")</f>
        <v/>
      </c>
      <c r="BG56" s="3032" t="str">
        <f t="shared" ref="BG56:BG87" si="14">IFERROR(SMALL($BF$24:$BF$89,BH56),"")</f>
        <v/>
      </c>
      <c r="BH56" s="3062">
        <v>33</v>
      </c>
      <c r="BI56" s="3600" t="s">
        <v>10323</v>
      </c>
      <c r="BJ56" s="3066">
        <f>IF(SUM(T40,T216)=2,1,0)</f>
        <v>0</v>
      </c>
      <c r="BK56" s="3064" t="str">
        <f t="shared" ref="BK56:BK89" si="15">IF(BG56="","",IFERROR(VLOOKUP(BG56,$BF$24:$BK$89,4,FALSE),""))</f>
        <v/>
      </c>
      <c r="BV56" s="3061" t="s">
        <v>10384</v>
      </c>
      <c r="BW56" s="3074" t="s">
        <v>1315</v>
      </c>
      <c r="BX56" s="3073" t="s">
        <v>10382</v>
      </c>
      <c r="BY56" s="3079" t="s">
        <v>1315</v>
      </c>
      <c r="BZ56" s="3079" t="s">
        <v>1315</v>
      </c>
      <c r="CA56" s="3079" t="s">
        <v>1315</v>
      </c>
      <c r="CB56" s="3079" t="s">
        <v>1315</v>
      </c>
      <c r="CC56" s="3079" t="s">
        <v>1315</v>
      </c>
      <c r="CD56" s="3080" t="s">
        <v>1315</v>
      </c>
      <c r="CF56" s="3061" t="s">
        <v>10384</v>
      </c>
      <c r="CG56" s="3079" t="s">
        <v>1315</v>
      </c>
      <c r="CH56" s="3079"/>
      <c r="CI56" s="3080"/>
    </row>
    <row r="57" spans="1:87" ht="12.75" customHeight="1">
      <c r="A57" s="702">
        <v>57</v>
      </c>
      <c r="B57" s="3493">
        <f>IF(OR(S57=0),0,SUM($S$6:S57))</f>
        <v>0</v>
      </c>
      <c r="C57" s="3494"/>
      <c r="D57" s="257" t="s">
        <v>129</v>
      </c>
      <c r="E57" s="342" t="s">
        <v>70</v>
      </c>
      <c r="F57" s="343">
        <v>1</v>
      </c>
      <c r="G57" s="343" t="s">
        <v>2422</v>
      </c>
      <c r="H57" s="344" t="s">
        <v>1165</v>
      </c>
      <c r="I57" s="3571" t="s">
        <v>5408</v>
      </c>
      <c r="J57" s="3571" t="s">
        <v>5407</v>
      </c>
      <c r="K57" s="3571" t="s">
        <v>5406</v>
      </c>
      <c r="L57" s="3571" t="s">
        <v>9532</v>
      </c>
      <c r="M57" s="3571" t="s">
        <v>5461</v>
      </c>
      <c r="N57" s="3571" t="s">
        <v>8748</v>
      </c>
      <c r="O57" s="3571" t="s">
        <v>8749</v>
      </c>
      <c r="P57" s="3571" t="s">
        <v>8750</v>
      </c>
      <c r="Q57" s="3571" t="s">
        <v>8751</v>
      </c>
      <c r="R57" s="3571" t="s">
        <v>11118</v>
      </c>
      <c r="S57" s="3516">
        <f>IF(COUNTIF(Psíquicos!$C$26:$E$37,E57)=0,0,1)</f>
        <v>0</v>
      </c>
      <c r="T57" s="3517">
        <f>COUNTIF(Psíquicos!$V$20:$Z$73,'Tablas psiquica'!D57)</f>
        <v>0</v>
      </c>
      <c r="U57" s="404">
        <v>1</v>
      </c>
      <c r="V57" s="3523"/>
      <c r="W57" s="4252" t="s">
        <v>13952</v>
      </c>
      <c r="X57" s="4253" t="s">
        <v>13980</v>
      </c>
      <c r="Y57" s="404">
        <f t="shared" si="0"/>
        <v>1</v>
      </c>
      <c r="Z57" s="3496">
        <f t="shared" si="1"/>
        <v>0</v>
      </c>
      <c r="AB57" s="3537" t="s">
        <v>142</v>
      </c>
      <c r="AC57" s="342" t="str" cm="1">
        <f t="array" ref="AC57">INDEX($I$6:$R$6,SUMPRODUCT(ISNUMBER(SEARCH("Fatiga",I71:R71))*1)+1)</f>
        <v>DIF</v>
      </c>
      <c r="AD57" s="342" t="str">
        <f>IFERROR(VLOOKUP(AB57,Psíquicos!$AD$11:$AK$67,8,FALSE),AC57)</f>
        <v>DIF</v>
      </c>
      <c r="AE57" s="798" t="str">
        <f t="shared" si="12"/>
        <v/>
      </c>
      <c r="AF57" s="798" t="str">
        <f t="shared" si="12"/>
        <v/>
      </c>
      <c r="AG57" s="798" t="str">
        <f t="shared" ref="AG57:AG62" si="16">IF(ISNUMBER(VALUE(MID(K71,SEARCH("+",K71)+1,3))),VALUE(MID(K71,SEARCH("+",K71)+1,3)),"")</f>
        <v/>
      </c>
      <c r="AH57" s="798">
        <f t="shared" si="13"/>
        <v>1</v>
      </c>
      <c r="AI57" s="798">
        <f t="shared" si="13"/>
        <v>2</v>
      </c>
      <c r="AJ57" s="798">
        <f t="shared" si="13"/>
        <v>3</v>
      </c>
      <c r="AK57" s="798">
        <f t="shared" si="13"/>
        <v>4</v>
      </c>
      <c r="AL57" s="798">
        <f t="shared" si="13"/>
        <v>5</v>
      </c>
      <c r="AM57" s="798">
        <f t="shared" si="13"/>
        <v>6</v>
      </c>
      <c r="AN57" s="798">
        <f t="shared" si="13"/>
        <v>8</v>
      </c>
      <c r="AO57" s="1793">
        <f>IF(COUNTIF(Psíquicos!$AD$20:$AH$65,AB57),VALUE(INDEX('Tablas psiquica'!$AE57:$AN57,MATCH('Tablas psiquica'!$AD57,'Tablas psiquica'!$AE$6:$AN$6,0))),0)</f>
        <v>0</v>
      </c>
      <c r="AQ57" s="2029" t="str">
        <f>IFERROR(IF(VLOOKUP(AR57,$D$7:$G$296,4,FALSE)&lt;&gt;"No",MAX(AQ$5:AQ56)+1,0),"")</f>
        <v/>
      </c>
      <c r="AR57" s="2030" t="str">
        <f t="shared" si="10"/>
        <v/>
      </c>
      <c r="AS57" s="2033" t="str">
        <f>IFERROR(VLOOKUP(Tablas!$A51,$AQ$7:$AR$145,2,FALSE),"")</f>
        <v/>
      </c>
      <c r="AU57" s="3051">
        <f t="shared" si="9"/>
        <v>0</v>
      </c>
      <c r="AV57" s="3020" t="str">
        <f>IF(SUM('Red Neuronal'!Y46+'Red Neuronal'!AC51)=2,"Control espacial (2)",IF(SUM('Red Neuronal'!Y46+'Red Neuronal'!AC51)=1,"Control espacial (1)",""))</f>
        <v/>
      </c>
      <c r="AW57" s="3021"/>
      <c r="AX57" s="3020" t="str">
        <f>IF(SUM('Red Neuronal'!Y46+'Red Neuronal'!AC51)=2,"Permite seleccionar blancos en cualquier poder con área, +50% al área",IF(SUM('Red Neuronal'!Y46+'Red Neuronal'!AC51)=1,"Permite seleccionar blancos en cualquier poder con área",""))</f>
        <v/>
      </c>
      <c r="AY57" s="3020"/>
      <c r="AZ57" s="3020"/>
      <c r="BA57" s="3020"/>
      <c r="BB57" s="3020"/>
      <c r="BC57" s="3020"/>
      <c r="BD57" s="3089"/>
      <c r="BF57" s="3061" t="str">
        <f>IF(BJ57=1,SUM(BJ$24:$BJ57),"")</f>
        <v/>
      </c>
      <c r="BG57" s="3032" t="str">
        <f t="shared" si="14"/>
        <v/>
      </c>
      <c r="BH57" s="3062">
        <v>34</v>
      </c>
      <c r="BI57" s="3600" t="s">
        <v>10324</v>
      </c>
      <c r="BJ57" s="3066">
        <f>IF(SUM(T10,OR(T173,T112))=2,1,0)</f>
        <v>0</v>
      </c>
      <c r="BK57" s="3064" t="str">
        <f t="shared" si="15"/>
        <v/>
      </c>
      <c r="BV57" s="3061" t="s">
        <v>10385</v>
      </c>
      <c r="BW57" s="3074" t="s">
        <v>1315</v>
      </c>
      <c r="BX57" s="3073" t="s">
        <v>10382</v>
      </c>
      <c r="BY57" s="3079" t="s">
        <v>1315</v>
      </c>
      <c r="BZ57" s="3079" t="s">
        <v>1315</v>
      </c>
      <c r="CA57" s="3079" t="s">
        <v>1315</v>
      </c>
      <c r="CB57" s="3079" t="s">
        <v>1315</v>
      </c>
      <c r="CC57" s="3079" t="s">
        <v>1315</v>
      </c>
      <c r="CD57" s="3080" t="s">
        <v>1315</v>
      </c>
      <c r="CF57" s="3061" t="s">
        <v>10385</v>
      </c>
      <c r="CG57" s="3079">
        <v>2</v>
      </c>
      <c r="CH57" s="3079"/>
      <c r="CI57" s="3080"/>
    </row>
    <row r="58" spans="1:87" ht="12.75" customHeight="1">
      <c r="A58" s="702">
        <v>58</v>
      </c>
      <c r="B58" s="3493">
        <f>IF(OR(S58=0),0,SUM($S$6:S58))</f>
        <v>0</v>
      </c>
      <c r="C58" s="3494"/>
      <c r="D58" s="257" t="s">
        <v>130</v>
      </c>
      <c r="E58" s="342" t="s">
        <v>70</v>
      </c>
      <c r="F58" s="343">
        <v>2</v>
      </c>
      <c r="G58" s="343" t="s">
        <v>1241</v>
      </c>
      <c r="H58" s="344" t="s">
        <v>1165</v>
      </c>
      <c r="I58" s="3571" t="s">
        <v>5408</v>
      </c>
      <c r="J58" s="3571" t="s">
        <v>5407</v>
      </c>
      <c r="K58" s="3571" t="s">
        <v>5406</v>
      </c>
      <c r="L58" s="3571" t="s">
        <v>5386</v>
      </c>
      <c r="M58" s="3571" t="s">
        <v>4615</v>
      </c>
      <c r="N58" s="3571" t="s">
        <v>4371</v>
      </c>
      <c r="O58" s="3571" t="s">
        <v>3531</v>
      </c>
      <c r="P58" s="3571" t="s">
        <v>3246</v>
      </c>
      <c r="Q58" s="3571" t="s">
        <v>5517</v>
      </c>
      <c r="R58" s="3571" t="s">
        <v>5518</v>
      </c>
      <c r="S58" s="3516">
        <f>IF(COUNTIF(Psíquicos!$C$26:$E$37,E58)=0,0,1)</f>
        <v>0</v>
      </c>
      <c r="T58" s="3517">
        <f>COUNTIF(Psíquicos!$V$20:$Z$73,'Tablas psiquica'!D58)</f>
        <v>0</v>
      </c>
      <c r="U58" s="404">
        <v>1</v>
      </c>
      <c r="V58" s="3523"/>
      <c r="W58" s="4252" t="s">
        <v>13947</v>
      </c>
      <c r="X58" s="4253" t="s">
        <v>13991</v>
      </c>
      <c r="Y58" s="404">
        <f t="shared" si="0"/>
        <v>1</v>
      </c>
      <c r="Z58" s="3496">
        <f t="shared" si="1"/>
        <v>0</v>
      </c>
      <c r="AB58" s="3537" t="s">
        <v>143</v>
      </c>
      <c r="AC58" s="342" t="str" cm="1">
        <f t="array" ref="AC58">INDEX($I$6:$R$6,SUMPRODUCT(ISNUMBER(SEARCH("Fatiga",I72:R72))*1)+1)</f>
        <v>MED</v>
      </c>
      <c r="AD58" s="342" t="str">
        <f>IFERROR(VLOOKUP(AB58,Psíquicos!$AD$11:$AK$67,8,FALSE),AC58)</f>
        <v>MED</v>
      </c>
      <c r="AE58" s="798" t="str">
        <f t="shared" si="12"/>
        <v/>
      </c>
      <c r="AF58" s="798" t="str">
        <f t="shared" si="12"/>
        <v/>
      </c>
      <c r="AG58" s="798">
        <f t="shared" si="16"/>
        <v>1</v>
      </c>
      <c r="AH58" s="798">
        <f t="shared" si="13"/>
        <v>2</v>
      </c>
      <c r="AI58" s="798">
        <f t="shared" si="13"/>
        <v>3</v>
      </c>
      <c r="AJ58" s="798">
        <f t="shared" si="13"/>
        <v>4</v>
      </c>
      <c r="AK58" s="798">
        <f t="shared" si="13"/>
        <v>5</v>
      </c>
      <c r="AL58" s="798">
        <f t="shared" si="13"/>
        <v>6</v>
      </c>
      <c r="AM58" s="798">
        <f t="shared" si="13"/>
        <v>8</v>
      </c>
      <c r="AN58" s="798">
        <f t="shared" si="13"/>
        <v>10</v>
      </c>
      <c r="AO58" s="1793">
        <f>IF(COUNTIF(Psíquicos!$AD$20:$AH$65,AB58),VALUE(INDEX('Tablas psiquica'!$AE58:$AN58,MATCH('Tablas psiquica'!$AD58,'Tablas psiquica'!$AE$6:$AN$6,0))),0)</f>
        <v>0</v>
      </c>
      <c r="AQ58" s="2029" t="str">
        <f>IFERROR(IF(VLOOKUP(AR58,$D$7:$G$296,4,FALSE)&lt;&gt;"No",MAX(AQ$5:AQ57)+1,0),"")</f>
        <v/>
      </c>
      <c r="AR58" s="2030" t="str">
        <f t="shared" si="10"/>
        <v/>
      </c>
      <c r="AS58" s="2033" t="str">
        <f>IFERROR(VLOOKUP(Tablas!$A52,$AQ$7:$AR$145,2,FALSE),"")</f>
        <v/>
      </c>
      <c r="AU58" s="3051">
        <f t="shared" si="9"/>
        <v>0</v>
      </c>
      <c r="AV58" s="3020"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W58" s="3021"/>
      <c r="AX58" s="3020"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Y58" s="3020"/>
      <c r="AZ58" s="3020"/>
      <c r="BA58" s="3020"/>
      <c r="BB58" s="3020"/>
      <c r="BC58" s="3020"/>
      <c r="BD58" s="3089"/>
      <c r="BF58" s="3061" t="str">
        <f>IF(BJ58=1,SUM(BJ$24:$BJ58),"")</f>
        <v/>
      </c>
      <c r="BG58" s="3032" t="str">
        <f t="shared" si="14"/>
        <v/>
      </c>
      <c r="BH58" s="3062">
        <v>35</v>
      </c>
      <c r="BI58" s="3600" t="s">
        <v>10325</v>
      </c>
      <c r="BJ58" s="3066">
        <f>IF(SUM(T208,OR(T180,T185))=2,1,0)</f>
        <v>0</v>
      </c>
      <c r="BK58" s="3064" t="str">
        <f t="shared" si="15"/>
        <v/>
      </c>
      <c r="BV58" s="3061" t="s">
        <v>10386</v>
      </c>
      <c r="BW58" s="3074" t="s">
        <v>1315</v>
      </c>
      <c r="BX58" s="3073" t="s">
        <v>10382</v>
      </c>
      <c r="BY58" s="3079" t="s">
        <v>1315</v>
      </c>
      <c r="BZ58" s="3079" t="s">
        <v>1315</v>
      </c>
      <c r="CA58" s="3079" t="s">
        <v>1315</v>
      </c>
      <c r="CB58" s="3079" t="s">
        <v>1315</v>
      </c>
      <c r="CC58" s="3079" t="s">
        <v>1315</v>
      </c>
      <c r="CD58" s="3080" t="s">
        <v>1315</v>
      </c>
      <c r="CF58" s="3061" t="s">
        <v>10386</v>
      </c>
      <c r="CG58" s="3079">
        <v>1</v>
      </c>
      <c r="CH58" s="3079"/>
      <c r="CI58" s="3080"/>
    </row>
    <row r="59" spans="1:87" ht="12.75" customHeight="1">
      <c r="A59" s="702">
        <v>59</v>
      </c>
      <c r="B59" s="3493">
        <f>IF(OR(S59=0),0,SUM($S$6:S59))</f>
        <v>0</v>
      </c>
      <c r="C59" s="3494"/>
      <c r="D59" s="257" t="s">
        <v>131</v>
      </c>
      <c r="E59" s="342" t="s">
        <v>70</v>
      </c>
      <c r="F59" s="343">
        <v>2</v>
      </c>
      <c r="G59" s="343" t="s">
        <v>2422</v>
      </c>
      <c r="H59" s="344" t="s">
        <v>1165</v>
      </c>
      <c r="I59" s="3571" t="s">
        <v>5407</v>
      </c>
      <c r="J59" s="3571" t="s">
        <v>5406</v>
      </c>
      <c r="K59" s="3571" t="s">
        <v>5386</v>
      </c>
      <c r="L59" s="3571" t="s">
        <v>5387</v>
      </c>
      <c r="M59" s="3571" t="s">
        <v>5519</v>
      </c>
      <c r="N59" s="3571" t="s">
        <v>5520</v>
      </c>
      <c r="O59" s="3571" t="s">
        <v>5521</v>
      </c>
      <c r="P59" s="3571" t="s">
        <v>5522</v>
      </c>
      <c r="Q59" s="3571" t="s">
        <v>5523</v>
      </c>
      <c r="R59" s="3571" t="s">
        <v>5524</v>
      </c>
      <c r="S59" s="3516">
        <f>IF(COUNTIF(Psíquicos!$C$26:$E$37,E59)=0,0,1)</f>
        <v>0</v>
      </c>
      <c r="T59" s="3517">
        <f>COUNTIF(Psíquicos!$V$20:$Z$73,'Tablas psiquica'!D59)</f>
        <v>0</v>
      </c>
      <c r="U59" s="404"/>
      <c r="V59" s="3523"/>
      <c r="W59" s="4252" t="s">
        <v>13985</v>
      </c>
      <c r="X59" s="4253" t="s">
        <v>13992</v>
      </c>
      <c r="Y59" s="404">
        <f t="shared" si="0"/>
        <v>0</v>
      </c>
      <c r="Z59" s="3496">
        <f t="shared" si="1"/>
        <v>0</v>
      </c>
      <c r="AB59" s="3537" t="s">
        <v>144</v>
      </c>
      <c r="AC59" s="342" t="str" cm="1">
        <f t="array" ref="AC59">INDEX($I$6:$R$6,SUMPRODUCT(ISNUMBER(SEARCH("Fatiga",I73:R73))*1)+1)</f>
        <v>DIF</v>
      </c>
      <c r="AD59" s="342" t="str">
        <f>IFERROR(VLOOKUP(AB59,Psíquicos!$AD$11:$AK$67,8,FALSE),AC59)</f>
        <v>DIF</v>
      </c>
      <c r="AE59" s="798" t="str">
        <f t="shared" si="12"/>
        <v/>
      </c>
      <c r="AF59" s="798" t="str">
        <f t="shared" si="12"/>
        <v/>
      </c>
      <c r="AG59" s="798" t="str">
        <f t="shared" si="16"/>
        <v/>
      </c>
      <c r="AH59" s="798">
        <f t="shared" si="13"/>
        <v>20</v>
      </c>
      <c r="AI59" s="798">
        <f t="shared" si="13"/>
        <v>40</v>
      </c>
      <c r="AJ59" s="798">
        <f t="shared" si="13"/>
        <v>60</v>
      </c>
      <c r="AK59" s="798">
        <f t="shared" si="13"/>
        <v>80</v>
      </c>
      <c r="AL59" s="798">
        <f t="shared" si="13"/>
        <v>120</v>
      </c>
      <c r="AM59" s="798">
        <f t="shared" si="13"/>
        <v>160</v>
      </c>
      <c r="AN59" s="798">
        <f t="shared" si="13"/>
        <v>200</v>
      </c>
      <c r="AO59" s="1793">
        <f>IF(COUNTIF(Psíquicos!$AD$20:$AH$65,AB59),VALUE(INDEX('Tablas psiquica'!$AE59:$AN59,MATCH('Tablas psiquica'!$AD59,'Tablas psiquica'!$AE$6:$AN$6,0))),0)</f>
        <v>0</v>
      </c>
      <c r="AQ59" s="2029" t="str">
        <f>IFERROR(IF(VLOOKUP(AR59,$D$7:$G$296,4,FALSE)&lt;&gt;"No",MAX(AQ$5:AQ58)+1,0),"")</f>
        <v/>
      </c>
      <c r="AR59" s="2030" t="str">
        <f t="shared" si="10"/>
        <v/>
      </c>
      <c r="AS59" s="2033" t="str">
        <f>IFERROR(VLOOKUP(Tablas!$A53,$AQ$7:$AR$145,2,FALSE),"")</f>
        <v/>
      </c>
      <c r="AU59" s="3051">
        <f t="shared" si="9"/>
        <v>0</v>
      </c>
      <c r="AV59" s="3020" t="str">
        <f>IF(SUM('Red Neuronal'!AG41+'Red Neuronal'!AK36)=2,"Maestría innata (2)",IF(SUM('Red Neuronal'!AG41+'Red Neuronal'!AK36)=1,"Maestría innata (1)",""))</f>
        <v/>
      </c>
      <c r="AW59" s="3021"/>
      <c r="AX59" s="3020" t="str">
        <f>IF(SUM('Red Neuronal'!AG41+'Red Neuronal'!AK36)=2,"Aumenta dos innatos en un grado. Impide gastar CVs en ellos",IF(SUM('Red Neuronal'!AG41+'Red Neuronal'!AK36)=1,"Aumenta un innato en un grado. Impide gastar CVs en él",""))</f>
        <v/>
      </c>
      <c r="AY59" s="3020"/>
      <c r="AZ59" s="3020"/>
      <c r="BA59" s="3020"/>
      <c r="BB59" s="3020"/>
      <c r="BC59" s="3020"/>
      <c r="BD59" s="3089"/>
      <c r="BF59" s="3061" t="str">
        <f>IF(BJ59=1,SUM(BJ$24:$BJ59),"")</f>
        <v/>
      </c>
      <c r="BG59" s="3032" t="str">
        <f t="shared" si="14"/>
        <v/>
      </c>
      <c r="BH59" s="3062">
        <v>36</v>
      </c>
      <c r="BI59" s="3600" t="s">
        <v>9346</v>
      </c>
      <c r="BJ59" s="3066">
        <f>IF(SUM(T122,T79)=2,1,0)</f>
        <v>0</v>
      </c>
      <c r="BK59" s="3064" t="str">
        <f t="shared" si="15"/>
        <v/>
      </c>
      <c r="BV59" s="3061" t="s">
        <v>8065</v>
      </c>
      <c r="BW59" s="3074" t="s">
        <v>1315</v>
      </c>
      <c r="BX59" s="3073" t="s">
        <v>10382</v>
      </c>
      <c r="BY59" s="3079" t="s">
        <v>1315</v>
      </c>
      <c r="BZ59" s="3079" t="s">
        <v>1315</v>
      </c>
      <c r="CA59" s="3079" t="s">
        <v>1315</v>
      </c>
      <c r="CB59" s="3079" t="s">
        <v>1315</v>
      </c>
      <c r="CC59" s="3079" t="s">
        <v>1315</v>
      </c>
      <c r="CD59" s="3080" t="s">
        <v>1315</v>
      </c>
      <c r="CF59" s="3061" t="s">
        <v>8065</v>
      </c>
      <c r="CG59" s="3079">
        <v>1</v>
      </c>
      <c r="CH59" s="3079"/>
      <c r="CI59" s="3080"/>
    </row>
    <row r="60" spans="1:87" ht="12.75" customHeight="1">
      <c r="A60" s="702">
        <v>60</v>
      </c>
      <c r="B60" s="3493">
        <f>IF(OR(S60=0),0,SUM($S$6:S60))</f>
        <v>0</v>
      </c>
      <c r="C60" s="3494"/>
      <c r="D60" s="257" t="s">
        <v>132</v>
      </c>
      <c r="E60" s="342" t="s">
        <v>70</v>
      </c>
      <c r="F60" s="343">
        <v>2</v>
      </c>
      <c r="G60" s="343" t="s">
        <v>2422</v>
      </c>
      <c r="H60" s="344" t="s">
        <v>1166</v>
      </c>
      <c r="I60" s="3571" t="s">
        <v>5407</v>
      </c>
      <c r="J60" s="3571" t="s">
        <v>5406</v>
      </c>
      <c r="K60" s="3571" t="s">
        <v>5386</v>
      </c>
      <c r="L60" s="3571" t="s">
        <v>5525</v>
      </c>
      <c r="M60" s="3571" t="s">
        <v>5526</v>
      </c>
      <c r="N60" s="3571" t="s">
        <v>5527</v>
      </c>
      <c r="O60" s="3571" t="s">
        <v>5528</v>
      </c>
      <c r="P60" s="3571" t="s">
        <v>5529</v>
      </c>
      <c r="Q60" s="3571" t="s">
        <v>5530</v>
      </c>
      <c r="R60" s="3571" t="s">
        <v>5531</v>
      </c>
      <c r="S60" s="3516">
        <f>IF(COUNTIF(Psíquicos!$C$26:$E$37,E60)=0,0,1)</f>
        <v>0</v>
      </c>
      <c r="T60" s="3517">
        <f>COUNTIF(Psíquicos!$V$20:$Z$73,'Tablas psiquica'!D60)</f>
        <v>0</v>
      </c>
      <c r="U60" s="404"/>
      <c r="V60" s="3523">
        <v>1</v>
      </c>
      <c r="W60" s="4252" t="s">
        <v>13985</v>
      </c>
      <c r="X60" s="4251" t="s">
        <v>13993</v>
      </c>
      <c r="Y60" s="404">
        <f t="shared" si="0"/>
        <v>0</v>
      </c>
      <c r="Z60" s="3496">
        <f t="shared" si="1"/>
        <v>1</v>
      </c>
      <c r="AB60" s="3537" t="s">
        <v>145</v>
      </c>
      <c r="AC60" s="342" t="str" cm="1">
        <f t="array" ref="AC60">INDEX($I$6:$R$6,SUMPRODUCT(ISNUMBER(SEARCH("Fatiga",I74:R74))*1)+1)</f>
        <v>DIF</v>
      </c>
      <c r="AD60" s="342" t="str">
        <f>IFERROR(VLOOKUP(AB60,Psíquicos!$AD$11:$AK$67,8,FALSE),AC60)</f>
        <v>DIF</v>
      </c>
      <c r="AE60" s="798" t="str">
        <f t="shared" si="12"/>
        <v/>
      </c>
      <c r="AF60" s="798" t="str">
        <f t="shared" si="12"/>
        <v/>
      </c>
      <c r="AG60" s="798" t="str">
        <f t="shared" si="16"/>
        <v/>
      </c>
      <c r="AH60" s="798">
        <f t="shared" si="13"/>
        <v>1</v>
      </c>
      <c r="AI60" s="798">
        <f t="shared" si="13"/>
        <v>2</v>
      </c>
      <c r="AJ60" s="798">
        <f t="shared" si="13"/>
        <v>3</v>
      </c>
      <c r="AK60" s="798">
        <f t="shared" si="13"/>
        <v>4</v>
      </c>
      <c r="AL60" s="798">
        <f t="shared" si="13"/>
        <v>5</v>
      </c>
      <c r="AM60" s="798">
        <f t="shared" si="13"/>
        <v>6</v>
      </c>
      <c r="AN60" s="798">
        <f t="shared" si="13"/>
        <v>8</v>
      </c>
      <c r="AO60" s="1793">
        <f>IF(COUNTIF(Psíquicos!$AD$20:$AH$65,AB60),VALUE(INDEX('Tablas psiquica'!$AE60:$AN60,MATCH('Tablas psiquica'!$AD60,'Tablas psiquica'!$AE$6:$AN$6,0))),0)</f>
        <v>0</v>
      </c>
      <c r="AQ60" s="2029" t="str">
        <f>IFERROR(IF(VLOOKUP(AR60,$D$7:$G$296,4,FALSE)&lt;&gt;"No",MAX(AQ$5:AQ59)+1,0),"")</f>
        <v/>
      </c>
      <c r="AR60" s="2030" t="str">
        <f t="shared" si="10"/>
        <v/>
      </c>
      <c r="AS60" s="2033" t="str">
        <f>IFERROR(VLOOKUP(Tablas!$A54,$AQ$7:$AR$145,2,FALSE),"")</f>
        <v/>
      </c>
      <c r="AU60" s="3051">
        <f t="shared" si="9"/>
        <v>0</v>
      </c>
      <c r="AV60" s="3020" t="str">
        <f>IF('Red Neuronal'!AK51=1,"Energía ilimitada","")</f>
        <v/>
      </c>
      <c r="AW60" s="3021"/>
      <c r="AX60" s="3020" t="str">
        <f>IF(AV$60="","","Al lanzar un poder, obtiene una cantidad de CV efímeros igual al nivel de éste")</f>
        <v/>
      </c>
      <c r="AY60" s="3020"/>
      <c r="AZ60" s="3020"/>
      <c r="BA60" s="3020"/>
      <c r="BB60" s="3020"/>
      <c r="BC60" s="3020"/>
      <c r="BD60" s="3089"/>
      <c r="BF60" s="3061" t="str">
        <f>IF(BJ60=1,SUM(BJ$24:$BJ60),"")</f>
        <v/>
      </c>
      <c r="BG60" s="3032" t="str">
        <f t="shared" si="14"/>
        <v/>
      </c>
      <c r="BH60" s="3062">
        <v>37</v>
      </c>
      <c r="BI60" s="3600" t="s">
        <v>363</v>
      </c>
      <c r="BJ60" s="3066">
        <f>IF(SUM(T156,T118)=2,1,0)</f>
        <v>0</v>
      </c>
      <c r="BK60" s="3064" t="str">
        <f t="shared" si="15"/>
        <v/>
      </c>
      <c r="BV60" s="3061" t="s">
        <v>10387</v>
      </c>
      <c r="BW60" s="3074" t="s">
        <v>1315</v>
      </c>
      <c r="BX60" s="3073" t="s">
        <v>10382</v>
      </c>
      <c r="BY60" s="3079" t="s">
        <v>1315</v>
      </c>
      <c r="BZ60" s="3079" t="s">
        <v>1315</v>
      </c>
      <c r="CA60" s="3079" t="s">
        <v>1315</v>
      </c>
      <c r="CB60" s="3079" t="s">
        <v>1315</v>
      </c>
      <c r="CC60" s="3079" t="s">
        <v>1315</v>
      </c>
      <c r="CD60" s="3080" t="s">
        <v>1315</v>
      </c>
      <c r="CF60" s="3061" t="s">
        <v>10387</v>
      </c>
      <c r="CG60" s="3079">
        <v>2</v>
      </c>
      <c r="CH60" s="3079"/>
      <c r="CI60" s="3080"/>
    </row>
    <row r="61" spans="1:87" ht="12.75" customHeight="1">
      <c r="A61" s="702">
        <v>61</v>
      </c>
      <c r="B61" s="3493">
        <f>IF(OR(S61=0),0,SUM($S$6:S61))</f>
        <v>0</v>
      </c>
      <c r="C61" s="3494"/>
      <c r="D61" s="257" t="s">
        <v>133</v>
      </c>
      <c r="E61" s="342" t="s">
        <v>70</v>
      </c>
      <c r="F61" s="343">
        <v>2</v>
      </c>
      <c r="G61" s="343" t="s">
        <v>2422</v>
      </c>
      <c r="H61" s="344" t="s">
        <v>1165</v>
      </c>
      <c r="I61" s="3571" t="s">
        <v>5416</v>
      </c>
      <c r="J61" s="3571" t="s">
        <v>5408</v>
      </c>
      <c r="K61" s="3571" t="s">
        <v>5407</v>
      </c>
      <c r="L61" s="3571" t="s">
        <v>5406</v>
      </c>
      <c r="M61" s="3571" t="s">
        <v>5386</v>
      </c>
      <c r="N61" s="3571" t="s">
        <v>8748</v>
      </c>
      <c r="O61" s="3571" t="s">
        <v>8749</v>
      </c>
      <c r="P61" s="3571" t="s">
        <v>8750</v>
      </c>
      <c r="Q61" s="3571" t="s">
        <v>8751</v>
      </c>
      <c r="R61" s="3571" t="s">
        <v>11118</v>
      </c>
      <c r="S61" s="3516">
        <f>IF(COUNTIF(Psíquicos!$C$26:$E$37,E61)=0,0,1)</f>
        <v>0</v>
      </c>
      <c r="T61" s="3517">
        <f>COUNTIF(Psíquicos!$V$20:$Z$73,'Tablas psiquica'!D61)</f>
        <v>0</v>
      </c>
      <c r="U61" s="404">
        <v>1</v>
      </c>
      <c r="V61" s="3523"/>
      <c r="W61" s="4252" t="s">
        <v>13987</v>
      </c>
      <c r="X61" s="4251" t="s">
        <v>13994</v>
      </c>
      <c r="Y61" s="404">
        <f t="shared" si="0"/>
        <v>1</v>
      </c>
      <c r="Z61" s="3496">
        <f t="shared" si="1"/>
        <v>0</v>
      </c>
      <c r="AB61" s="3537" t="s">
        <v>146</v>
      </c>
      <c r="AC61" s="342" t="str" cm="1">
        <f t="array" ref="AC61">INDEX($I$6:$R$6,SUMPRODUCT(ISNUMBER(SEARCH("Fatiga",I75:R75))*1)+1)</f>
        <v>DIF</v>
      </c>
      <c r="AD61" s="342" t="str">
        <f>IFERROR(VLOOKUP(AB61,Psíquicos!$AD$11:$AK$67,8,FALSE),AC61)</f>
        <v>DIF</v>
      </c>
      <c r="AE61" s="798" t="str">
        <f t="shared" si="12"/>
        <v/>
      </c>
      <c r="AF61" s="798" t="str">
        <f t="shared" si="12"/>
        <v/>
      </c>
      <c r="AG61" s="798" t="str">
        <f t="shared" si="16"/>
        <v/>
      </c>
      <c r="AH61" s="798">
        <f t="shared" si="13"/>
        <v>10</v>
      </c>
      <c r="AI61" s="798">
        <f t="shared" si="13"/>
        <v>20</v>
      </c>
      <c r="AJ61" s="798">
        <f t="shared" si="13"/>
        <v>40</v>
      </c>
      <c r="AK61" s="798">
        <f t="shared" si="13"/>
        <v>80</v>
      </c>
      <c r="AL61" s="798">
        <f t="shared" si="13"/>
        <v>120</v>
      </c>
      <c r="AM61" s="798">
        <f t="shared" si="13"/>
        <v>160</v>
      </c>
      <c r="AN61" s="798">
        <f t="shared" si="13"/>
        <v>200</v>
      </c>
      <c r="AO61" s="1793">
        <f>IF(COUNTIF(Psíquicos!$AD$20:$AH$65,AB61),VALUE(INDEX('Tablas psiquica'!$AE61:$AN61,MATCH('Tablas psiquica'!$AD61,'Tablas psiquica'!$AE$6:$AN$6,0))),0)</f>
        <v>0</v>
      </c>
      <c r="AQ61" s="2029" t="str">
        <f>IFERROR(IF(VLOOKUP(AR61,$D$7:$G$296,4,FALSE)&lt;&gt;"No",MAX(AQ$5:AQ60)+1,0),"")</f>
        <v/>
      </c>
      <c r="AR61" s="2030" t="str">
        <f t="shared" si="10"/>
        <v/>
      </c>
      <c r="AS61" s="2033" t="str">
        <f>IFERROR(VLOOKUP(Tablas!$A55,$AQ$7:$AR$145,2,FALSE),"")</f>
        <v/>
      </c>
      <c r="AU61" s="3051">
        <f t="shared" si="9"/>
        <v>0</v>
      </c>
      <c r="AV61" s="3020" t="str">
        <f>IF('Red Neuronal'!AG56=1,"Circuito infinito","")</f>
        <v/>
      </c>
      <c r="AW61" s="3021"/>
      <c r="AX61" s="3020" t="str">
        <f>IF(AV$61="","","Reduce el gasto de Potencial. Ver")</f>
        <v/>
      </c>
      <c r="AY61" s="3020"/>
      <c r="AZ61" s="3020"/>
      <c r="BA61" s="3020"/>
      <c r="BB61" s="3020"/>
      <c r="BC61" s="3020"/>
      <c r="BD61" s="3089"/>
      <c r="BF61" s="3061" t="str">
        <f>IF(BJ61=1,SUM(BJ$24:$BJ61),"")</f>
        <v/>
      </c>
      <c r="BG61" s="3032" t="str">
        <f t="shared" si="14"/>
        <v/>
      </c>
      <c r="BH61" s="3062">
        <v>38</v>
      </c>
      <c r="BI61" s="3600" t="s">
        <v>10326</v>
      </c>
      <c r="BJ61" s="3066">
        <f>IF(SUM(D156,D94)=2,1,0)</f>
        <v>0</v>
      </c>
      <c r="BK61" s="3064" t="str">
        <f t="shared" si="15"/>
        <v/>
      </c>
      <c r="BV61" s="3061" t="s">
        <v>9303</v>
      </c>
      <c r="BW61" s="3071" t="s">
        <v>6056</v>
      </c>
      <c r="BX61" s="3079" t="s">
        <v>1315</v>
      </c>
      <c r="BY61" s="3079" t="s">
        <v>1315</v>
      </c>
      <c r="BZ61" s="3079" t="s">
        <v>1315</v>
      </c>
      <c r="CA61" s="3079" t="s">
        <v>1315</v>
      </c>
      <c r="CB61" s="3079" t="s">
        <v>1315</v>
      </c>
      <c r="CC61" s="3079" t="s">
        <v>1315</v>
      </c>
      <c r="CD61" s="3080" t="s">
        <v>1315</v>
      </c>
      <c r="CF61" s="3061" t="s">
        <v>9303</v>
      </c>
      <c r="CG61" s="3079">
        <v>1</v>
      </c>
      <c r="CH61" s="3079"/>
      <c r="CI61" s="3080"/>
    </row>
    <row r="62" spans="1:87" ht="12.75" customHeight="1" thickBot="1">
      <c r="A62" s="702">
        <v>62</v>
      </c>
      <c r="B62" s="3493">
        <f>IF(OR(S62=0),0,SUM($S$6:S62))</f>
        <v>0</v>
      </c>
      <c r="C62" s="3494"/>
      <c r="D62" s="257" t="s">
        <v>134</v>
      </c>
      <c r="E62" s="342" t="s">
        <v>70</v>
      </c>
      <c r="F62" s="343">
        <v>2</v>
      </c>
      <c r="G62" s="343" t="s">
        <v>2422</v>
      </c>
      <c r="H62" s="344" t="s">
        <v>1166</v>
      </c>
      <c r="I62" s="3571" t="s">
        <v>5406</v>
      </c>
      <c r="J62" s="3571" t="s">
        <v>5386</v>
      </c>
      <c r="K62" s="3571" t="s">
        <v>5387</v>
      </c>
      <c r="L62" s="3571" t="s">
        <v>3335</v>
      </c>
      <c r="M62" s="3571" t="s">
        <v>3336</v>
      </c>
      <c r="N62" s="3571" t="s">
        <v>3998</v>
      </c>
      <c r="O62" s="3571" t="s">
        <v>3337</v>
      </c>
      <c r="P62" s="3571" t="s">
        <v>5493</v>
      </c>
      <c r="Q62" s="3571" t="s">
        <v>5494</v>
      </c>
      <c r="R62" s="3571" t="s">
        <v>5495</v>
      </c>
      <c r="S62" s="3516">
        <f>IF(COUNTIF(Psíquicos!$C$26:$E$37,E62)=0,0,1)</f>
        <v>0</v>
      </c>
      <c r="T62" s="3517">
        <f>COUNTIF(Psíquicos!$V$20:$Z$73,'Tablas psiquica'!D62)</f>
        <v>0</v>
      </c>
      <c r="U62" s="404"/>
      <c r="V62" s="3523"/>
      <c r="W62" s="4252" t="s">
        <v>13982</v>
      </c>
      <c r="X62" s="4251" t="s">
        <v>13983</v>
      </c>
      <c r="Y62" s="404">
        <f t="shared" si="0"/>
        <v>0</v>
      </c>
      <c r="Z62" s="3496">
        <f t="shared" si="1"/>
        <v>0</v>
      </c>
      <c r="AB62" s="3537" t="s">
        <v>1228</v>
      </c>
      <c r="AC62" s="342" t="str" cm="1">
        <f t="array" ref="AC62">INDEX($I$6:$R$6,SUMPRODUCT(ISNUMBER(SEARCH("Fatiga",I76:R76))*1)+1)</f>
        <v>DIF</v>
      </c>
      <c r="AD62" s="342" t="str">
        <f>IFERROR(VLOOKUP(AB62,Psíquicos!$AD$11:$AK$67,8,FALSE),AC62)</f>
        <v>DIF</v>
      </c>
      <c r="AE62" s="798" t="str">
        <f t="shared" si="12"/>
        <v/>
      </c>
      <c r="AF62" s="798" t="str">
        <f t="shared" si="12"/>
        <v/>
      </c>
      <c r="AG62" s="798" t="str">
        <f t="shared" si="16"/>
        <v/>
      </c>
      <c r="AH62" s="798">
        <f t="shared" si="13"/>
        <v>1</v>
      </c>
      <c r="AI62" s="798">
        <f t="shared" si="13"/>
        <v>2</v>
      </c>
      <c r="AJ62" s="798">
        <f t="shared" si="13"/>
        <v>4</v>
      </c>
      <c r="AK62" s="798">
        <f t="shared" si="13"/>
        <v>6</v>
      </c>
      <c r="AL62" s="798">
        <f t="shared" si="13"/>
        <v>8</v>
      </c>
      <c r="AM62" s="798">
        <f t="shared" si="13"/>
        <v>10</v>
      </c>
      <c r="AN62" s="798">
        <f t="shared" si="13"/>
        <v>12</v>
      </c>
      <c r="AO62" s="1793">
        <f>IF(COUNTIF(Psíquicos!$AD$20:$AH$65,AB62),VALUE(INDEX('Tablas psiquica'!$AE62:$AN62,MATCH('Tablas psiquica'!$AD62,'Tablas psiquica'!$AE$6:$AN$6,0))),0)</f>
        <v>0</v>
      </c>
      <c r="AQ62" s="2029" t="str">
        <f>IFERROR(IF(VLOOKUP(AR62,$D$7:$G$296,4,FALSE)&lt;&gt;"No",MAX(AQ$5:AQ61)+1,0),"")</f>
        <v/>
      </c>
      <c r="AR62" s="2030" t="str">
        <f t="shared" si="10"/>
        <v/>
      </c>
      <c r="AS62" s="2033" t="str">
        <f>IFERROR(VLOOKUP(Tablas!$A56,$AQ$7:$AR$145,2,FALSE),"")</f>
        <v/>
      </c>
      <c r="AU62" s="3052">
        <f t="shared" si="9"/>
        <v>0</v>
      </c>
      <c r="AV62" s="3022" t="str">
        <f>IF('Red Neuronal'!AK56=1,"Maestría psi: Campo de Investidura","")</f>
        <v/>
      </c>
      <c r="AW62" s="3090"/>
      <c r="AX62" s="3022" t="str">
        <f>IF(AV$61="","","Mejora y aumenta las capacidades de los poderes en un área concreta. Ver")</f>
        <v/>
      </c>
      <c r="AY62" s="3022"/>
      <c r="AZ62" s="3022"/>
      <c r="BA62" s="3022"/>
      <c r="BB62" s="3022"/>
      <c r="BC62" s="3022"/>
      <c r="BD62" s="3091"/>
      <c r="BF62" s="3061" t="str">
        <f>IF(BJ62=1,SUM(BJ$24:$BJ62),"")</f>
        <v/>
      </c>
      <c r="BG62" s="3032" t="str">
        <f t="shared" si="14"/>
        <v/>
      </c>
      <c r="BH62" s="3062">
        <v>39</v>
      </c>
      <c r="BI62" s="3600" t="s">
        <v>10327</v>
      </c>
      <c r="BJ62" s="3066">
        <f>IF(SUM(T27,T47)=2,1,0)</f>
        <v>0</v>
      </c>
      <c r="BK62" s="3064" t="str">
        <f t="shared" si="15"/>
        <v/>
      </c>
      <c r="BV62" s="3061" t="s">
        <v>412</v>
      </c>
      <c r="BW62" s="3071" t="s">
        <v>10372</v>
      </c>
      <c r="BX62" s="3079" t="s">
        <v>1315</v>
      </c>
      <c r="BY62" s="3079" t="s">
        <v>1315</v>
      </c>
      <c r="BZ62" s="3079" t="s">
        <v>1315</v>
      </c>
      <c r="CA62" s="3079" t="s">
        <v>1315</v>
      </c>
      <c r="CB62" s="3079" t="s">
        <v>1315</v>
      </c>
      <c r="CC62" s="3079" t="s">
        <v>1315</v>
      </c>
      <c r="CD62" s="3080" t="s">
        <v>1315</v>
      </c>
      <c r="CF62" s="3061" t="s">
        <v>412</v>
      </c>
      <c r="CG62" s="3079">
        <v>1</v>
      </c>
      <c r="CH62" s="3079"/>
      <c r="CI62" s="3080"/>
    </row>
    <row r="63" spans="1:87" ht="12.75" customHeight="1">
      <c r="A63" s="702">
        <v>63</v>
      </c>
      <c r="B63" s="3493">
        <f>IF(OR(S63=0),0,SUM($S$6:S63))</f>
        <v>0</v>
      </c>
      <c r="C63" s="3494"/>
      <c r="D63" s="257" t="s">
        <v>135</v>
      </c>
      <c r="E63" s="342" t="s">
        <v>70</v>
      </c>
      <c r="F63" s="343">
        <v>3</v>
      </c>
      <c r="G63" s="343" t="s">
        <v>2422</v>
      </c>
      <c r="H63" s="344" t="s">
        <v>1165</v>
      </c>
      <c r="I63" s="3571" t="s">
        <v>5417</v>
      </c>
      <c r="J63" s="3571" t="s">
        <v>5416</v>
      </c>
      <c r="K63" s="3571" t="s">
        <v>5408</v>
      </c>
      <c r="L63" s="3571" t="s">
        <v>5407</v>
      </c>
      <c r="M63" s="3571" t="s">
        <v>5406</v>
      </c>
      <c r="N63" s="3571" t="s">
        <v>5759</v>
      </c>
      <c r="O63" s="3571" t="s">
        <v>5512</v>
      </c>
      <c r="P63" s="3571" t="s">
        <v>9954</v>
      </c>
      <c r="Q63" s="3571" t="s">
        <v>5513</v>
      </c>
      <c r="R63" s="3571" t="s">
        <v>5514</v>
      </c>
      <c r="S63" s="3516">
        <f>IF(COUNTIF(Psíquicos!$C$26:$E$37,E63)=0,0,1)</f>
        <v>0</v>
      </c>
      <c r="T63" s="3517">
        <f>COUNTIF(Psíquicos!$V$20:$Z$73,'Tablas psiquica'!D63)</f>
        <v>0</v>
      </c>
      <c r="U63" s="404">
        <v>1</v>
      </c>
      <c r="V63" s="3523"/>
      <c r="W63" s="4252" t="s">
        <v>13995</v>
      </c>
      <c r="X63" s="4253" t="s">
        <v>13972</v>
      </c>
      <c r="Y63" s="404">
        <f t="shared" si="0"/>
        <v>1</v>
      </c>
      <c r="Z63" s="3496">
        <f t="shared" si="1"/>
        <v>0</v>
      </c>
      <c r="AB63" s="3537" t="s">
        <v>148</v>
      </c>
      <c r="AC63" s="342" t="str" cm="1">
        <f t="array" ref="AC63">INDEX($I$6:$R$6,SUMPRODUCT(ISNUMBER(SEARCH("Fatiga",I78:R78))*1)+1)</f>
        <v>ABS</v>
      </c>
      <c r="AD63" s="342" t="str">
        <f>IFERROR(VLOOKUP(AB63,Psíquicos!$AD$11:$AK$67,8,FALSE),AC63)</f>
        <v>ABS</v>
      </c>
      <c r="AE63" s="798" t="str">
        <f t="shared" ref="AE63:AN63" si="17">IF(ISNUMBER(VALUE(MID(I78,SEARCH("+",I78)+1,3))),VALUE(MID(I78,SEARCH("+",I78)+1,3)),"")</f>
        <v/>
      </c>
      <c r="AF63" s="798" t="str">
        <f t="shared" si="17"/>
        <v/>
      </c>
      <c r="AG63" s="798" t="str">
        <f t="shared" si="17"/>
        <v/>
      </c>
      <c r="AH63" s="798" t="str">
        <f t="shared" si="17"/>
        <v/>
      </c>
      <c r="AI63" s="798" t="str">
        <f t="shared" si="17"/>
        <v/>
      </c>
      <c r="AJ63" s="798">
        <f t="shared" si="17"/>
        <v>1</v>
      </c>
      <c r="AK63" s="798">
        <f t="shared" si="17"/>
        <v>2</v>
      </c>
      <c r="AL63" s="798">
        <f t="shared" si="17"/>
        <v>4</v>
      </c>
      <c r="AM63" s="798">
        <f t="shared" si="17"/>
        <v>6</v>
      </c>
      <c r="AN63" s="798">
        <f t="shared" si="17"/>
        <v>8</v>
      </c>
      <c r="AO63" s="1793">
        <f>IF(COUNTIF(Psíquicos!$AD$20:$AH$65,AB63),VALUE(INDEX('Tablas psiquica'!$AE63:$AN63,MATCH('Tablas psiquica'!$AD63,'Tablas psiquica'!$AE$6:$AN$6,0))),0)</f>
        <v>0</v>
      </c>
      <c r="AQ63" s="2029" t="str">
        <f>IFERROR(IF(VLOOKUP(AR63,$D$7:$G$296,4,FALSE)&lt;&gt;"No",MAX(AQ$5:AQ62)+1,0),"")</f>
        <v/>
      </c>
      <c r="AR63" s="2030" t="str">
        <f t="shared" si="10"/>
        <v/>
      </c>
      <c r="AS63" s="2033" t="str">
        <f>IFERROR(VLOOKUP(Tablas!$A57,$AQ$7:$AR$145,2,FALSE),"")</f>
        <v/>
      </c>
      <c r="BF63" s="3061" t="str">
        <f>IF(BJ63=1,SUM(BJ$24:$BJ63),"")</f>
        <v/>
      </c>
      <c r="BG63" s="3032" t="str">
        <f t="shared" si="14"/>
        <v/>
      </c>
      <c r="BH63" s="3062">
        <v>40</v>
      </c>
      <c r="BI63" s="3600" t="s">
        <v>10328</v>
      </c>
      <c r="BJ63" s="3067">
        <f>IF(SUM(T134,T107)=2,1,0)</f>
        <v>0</v>
      </c>
      <c r="BK63" s="3064" t="str">
        <f t="shared" si="15"/>
        <v/>
      </c>
      <c r="BV63" s="3061" t="s">
        <v>10404</v>
      </c>
      <c r="BW63" s="3071" t="s">
        <v>10401</v>
      </c>
      <c r="BX63" s="3079" t="s">
        <v>1315</v>
      </c>
      <c r="BY63" s="3079" t="s">
        <v>1315</v>
      </c>
      <c r="BZ63" s="3079" t="s">
        <v>1315</v>
      </c>
      <c r="CA63" s="3079" t="s">
        <v>1315</v>
      </c>
      <c r="CB63" s="3079" t="s">
        <v>1315</v>
      </c>
      <c r="CC63" s="3079" t="s">
        <v>1315</v>
      </c>
      <c r="CD63" s="3080" t="s">
        <v>1315</v>
      </c>
      <c r="CF63" s="3061" t="s">
        <v>10404</v>
      </c>
      <c r="CG63" s="3079">
        <v>1</v>
      </c>
      <c r="CH63" s="3079"/>
      <c r="CI63" s="3080"/>
    </row>
    <row r="64" spans="1:87" ht="12.75" customHeight="1">
      <c r="A64" s="702">
        <v>64</v>
      </c>
      <c r="B64" s="3493">
        <f>IF(OR(S64=0),0,SUM($S$6:S64))</f>
        <v>0</v>
      </c>
      <c r="C64" s="3494"/>
      <c r="D64" s="257" t="s">
        <v>136</v>
      </c>
      <c r="E64" s="342" t="s">
        <v>70</v>
      </c>
      <c r="F64" s="343">
        <v>3</v>
      </c>
      <c r="G64" s="343" t="s">
        <v>2422</v>
      </c>
      <c r="H64" s="344" t="s">
        <v>1165</v>
      </c>
      <c r="I64" s="3571" t="s">
        <v>5417</v>
      </c>
      <c r="J64" s="3571" t="s">
        <v>5416</v>
      </c>
      <c r="K64" s="3571" t="s">
        <v>5408</v>
      </c>
      <c r="L64" s="3571" t="s">
        <v>5407</v>
      </c>
      <c r="M64" s="3571" t="s">
        <v>5406</v>
      </c>
      <c r="N64" s="3571" t="s">
        <v>11333</v>
      </c>
      <c r="O64" s="3571" t="s">
        <v>11348</v>
      </c>
      <c r="P64" s="3571" t="s">
        <v>11364</v>
      </c>
      <c r="Q64" s="3571" t="s">
        <v>11377</v>
      </c>
      <c r="R64" s="3571" t="s">
        <v>11392</v>
      </c>
      <c r="S64" s="3516">
        <f>IF(COUNTIF(Psíquicos!$C$26:$E$37,E64)=0,0,1)</f>
        <v>0</v>
      </c>
      <c r="T64" s="3517">
        <f>COUNTIF(Psíquicos!$V$20:$Z$73,'Tablas psiquica'!D64)</f>
        <v>0</v>
      </c>
      <c r="U64" s="404">
        <v>1</v>
      </c>
      <c r="V64" s="3523"/>
      <c r="W64" s="4252" t="s">
        <v>13996</v>
      </c>
      <c r="X64" s="4251" t="s">
        <v>13997</v>
      </c>
      <c r="Y64" s="404">
        <f t="shared" si="0"/>
        <v>1</v>
      </c>
      <c r="Z64" s="3496">
        <f t="shared" si="1"/>
        <v>0</v>
      </c>
      <c r="AB64" s="3537" t="s">
        <v>149</v>
      </c>
      <c r="AC64" s="342" t="str" cm="1">
        <f t="array" ref="AC64">INDEX($I$6:$R$6,SUMPRODUCT(ISNUMBER(SEARCH("Fatiga",I79:R79))*1)+1)</f>
        <v>ABS</v>
      </c>
      <c r="AD64" s="342" t="str">
        <f>IFERROR(VLOOKUP(AB64,Psíquicos!$AD$11:$AK$67,8,FALSE),AC64)</f>
        <v>ABS</v>
      </c>
      <c r="AE64" s="798"/>
      <c r="AF64" s="798"/>
      <c r="AG64" s="798"/>
      <c r="AH64" s="798"/>
      <c r="AI64" s="798"/>
      <c r="AJ64" s="798"/>
      <c r="AK64" s="798"/>
      <c r="AL64" s="798"/>
      <c r="AM64" s="798"/>
      <c r="AN64" s="798"/>
      <c r="AO64" s="1793">
        <f>IF(COUNTIF(Psíquicos!$AD$20:$AH$65,AB64),VALUE(INDEX('Tablas psiquica'!$AE64:$AN64,MATCH('Tablas psiquica'!$AD64,'Tablas psiquica'!$AE$6:$AN$6,0))),0)</f>
        <v>0</v>
      </c>
      <c r="AQ64" s="2029" t="str">
        <f>IFERROR(IF(VLOOKUP(AR64,$D$7:$G$296,4,FALSE)&lt;&gt;"No",MAX(AQ$5:AQ63)+1,0),"")</f>
        <v/>
      </c>
      <c r="AR64" s="2030" t="str">
        <f t="shared" si="10"/>
        <v/>
      </c>
      <c r="AS64" s="2033" t="str">
        <f>IFERROR(VLOOKUP(Tablas!$A58,$AQ$7:$AR$145,2,FALSE),"")</f>
        <v/>
      </c>
      <c r="BF64" s="3061" t="str">
        <f>IF(BJ64=1,SUM(BJ$24:$BJ64),"")</f>
        <v/>
      </c>
      <c r="BG64" s="3032" t="str">
        <f t="shared" si="14"/>
        <v/>
      </c>
      <c r="BH64" s="3062">
        <v>41</v>
      </c>
      <c r="BI64" s="3600" t="s">
        <v>10329</v>
      </c>
      <c r="BJ64" s="3067">
        <f>IF(SUM(T12,T296)=2,1,0)</f>
        <v>0</v>
      </c>
      <c r="BK64" s="3064" t="str">
        <f t="shared" si="15"/>
        <v/>
      </c>
      <c r="BV64" s="3061" t="s">
        <v>10399</v>
      </c>
      <c r="BW64" s="3071" t="s">
        <v>10400</v>
      </c>
      <c r="BX64" s="3079" t="s">
        <v>1315</v>
      </c>
      <c r="BY64" s="3079" t="s">
        <v>1315</v>
      </c>
      <c r="BZ64" s="3079" t="s">
        <v>1315</v>
      </c>
      <c r="CA64" s="3079" t="s">
        <v>1315</v>
      </c>
      <c r="CB64" s="3079" t="s">
        <v>1315</v>
      </c>
      <c r="CC64" s="3079" t="s">
        <v>1315</v>
      </c>
      <c r="CD64" s="3080" t="s">
        <v>1315</v>
      </c>
      <c r="CF64" s="3061" t="s">
        <v>10399</v>
      </c>
      <c r="CG64" s="3079">
        <v>1</v>
      </c>
      <c r="CH64" s="3079"/>
      <c r="CI64" s="3080"/>
    </row>
    <row r="65" spans="1:87" ht="12.75" customHeight="1">
      <c r="A65" s="702">
        <v>65</v>
      </c>
      <c r="B65" s="3493">
        <f>IF(OR(S65=0),0,SUM($S$6:S65))</f>
        <v>0</v>
      </c>
      <c r="C65" s="3494"/>
      <c r="D65" s="257" t="s">
        <v>137</v>
      </c>
      <c r="E65" s="342" t="s">
        <v>70</v>
      </c>
      <c r="F65" s="343">
        <v>3</v>
      </c>
      <c r="G65" s="343" t="s">
        <v>2422</v>
      </c>
      <c r="H65" s="344" t="s">
        <v>1165</v>
      </c>
      <c r="I65" s="3571" t="s">
        <v>5473</v>
      </c>
      <c r="J65" s="3571" t="s">
        <v>5417</v>
      </c>
      <c r="K65" s="3571" t="s">
        <v>5416</v>
      </c>
      <c r="L65" s="3571" t="s">
        <v>5408</v>
      </c>
      <c r="M65" s="3571" t="s">
        <v>5407</v>
      </c>
      <c r="N65" s="3571" t="s">
        <v>5406</v>
      </c>
      <c r="O65" s="3571" t="s">
        <v>5493</v>
      </c>
      <c r="P65" s="3571" t="s">
        <v>5494</v>
      </c>
      <c r="Q65" s="3571" t="s">
        <v>5495</v>
      </c>
      <c r="R65" s="3571" t="s">
        <v>5511</v>
      </c>
      <c r="S65" s="3516">
        <f>IF(COUNTIF(Psíquicos!$C$26:$E$37,E65)=0,0,1)</f>
        <v>0</v>
      </c>
      <c r="T65" s="3517">
        <f>COUNTIF(Psíquicos!$V$20:$Z$73,'Tablas psiquica'!D65)</f>
        <v>0</v>
      </c>
      <c r="U65" s="404"/>
      <c r="V65" s="3523"/>
      <c r="W65" s="4252" t="s">
        <v>13947</v>
      </c>
      <c r="X65" s="4251" t="s">
        <v>13979</v>
      </c>
      <c r="Y65" s="404">
        <f t="shared" si="0"/>
        <v>0</v>
      </c>
      <c r="Z65" s="3496">
        <f t="shared" si="1"/>
        <v>0</v>
      </c>
      <c r="AB65" s="3537" t="s">
        <v>150</v>
      </c>
      <c r="AC65" s="342"/>
      <c r="AD65" s="342"/>
      <c r="AE65" s="798"/>
      <c r="AF65" s="798"/>
      <c r="AG65" s="798"/>
      <c r="AH65" s="798"/>
      <c r="AI65" s="798"/>
      <c r="AJ65" s="798"/>
      <c r="AK65" s="798"/>
      <c r="AL65" s="798"/>
      <c r="AM65" s="798"/>
      <c r="AN65" s="798"/>
      <c r="AO65" s="1793" t="e">
        <f>IF(COUNTIF(Psíquicos!$AD$20:$AH$65,AB65),VALUE(INDEX('Tablas psiquica'!$AE65:$AN65,MATCH('Tablas psiquica'!$AD65,'Tablas psiquica'!$AE$6:$AN$6,0))),0)</f>
        <v>#N/A</v>
      </c>
      <c r="AQ65" s="2029" t="str">
        <f>IFERROR(IF(VLOOKUP(AR65,$D$7:$G$296,4,FALSE)&lt;&gt;"No",MAX(AQ$5:AQ64)+1,0),"")</f>
        <v/>
      </c>
      <c r="AR65" s="2030" t="str">
        <f t="shared" si="10"/>
        <v/>
      </c>
      <c r="AS65" s="2033" t="str">
        <f>IFERROR(VLOOKUP(Tablas!$A59,$AQ$7:$AR$145,2,FALSE),"")</f>
        <v/>
      </c>
      <c r="BF65" s="3061" t="str">
        <f>IF(BJ65=1,SUM(BJ$24:$BJ65),"")</f>
        <v/>
      </c>
      <c r="BG65" s="3032" t="str">
        <f t="shared" si="14"/>
        <v/>
      </c>
      <c r="BH65" s="3062">
        <v>42</v>
      </c>
      <c r="BI65" s="3600" t="s">
        <v>10330</v>
      </c>
      <c r="BJ65" s="3067">
        <f>IF(SUM(T84,OR(T40,T53))=2,1,0)</f>
        <v>0</v>
      </c>
      <c r="BK65" s="3064" t="str">
        <f t="shared" si="15"/>
        <v/>
      </c>
      <c r="BV65" s="3061" t="s">
        <v>10377</v>
      </c>
      <c r="BW65" s="3074" t="s">
        <v>1315</v>
      </c>
      <c r="BX65" s="3079" t="s">
        <v>1315</v>
      </c>
      <c r="BY65" s="3079" t="s">
        <v>1315</v>
      </c>
      <c r="BZ65" s="3079" t="s">
        <v>1315</v>
      </c>
      <c r="CA65" s="3079" t="s">
        <v>1315</v>
      </c>
      <c r="CB65" s="3079" t="s">
        <v>1315</v>
      </c>
      <c r="CC65" s="3079" t="s">
        <v>1315</v>
      </c>
      <c r="CD65" s="3080" t="s">
        <v>1315</v>
      </c>
      <c r="CF65" s="3061" t="s">
        <v>10377</v>
      </c>
      <c r="CG65" s="3079">
        <v>1</v>
      </c>
      <c r="CH65" s="3079"/>
      <c r="CI65" s="3080"/>
    </row>
    <row r="66" spans="1:87" ht="12.75" customHeight="1">
      <c r="A66" s="702">
        <v>66</v>
      </c>
      <c r="B66" s="3493">
        <f>IF(OR(S66=0),0,SUM($S$6:S66))</f>
        <v>0</v>
      </c>
      <c r="C66" s="3494"/>
      <c r="D66" s="257" t="s">
        <v>138</v>
      </c>
      <c r="E66" s="342"/>
      <c r="F66" s="343"/>
      <c r="G66" s="343"/>
      <c r="H66" s="344"/>
      <c r="I66" s="3571"/>
      <c r="J66" s="3571"/>
      <c r="K66" s="3571"/>
      <c r="L66" s="3571"/>
      <c r="M66" s="3571"/>
      <c r="N66" s="3571"/>
      <c r="O66" s="3571"/>
      <c r="P66" s="3571"/>
      <c r="Q66" s="3571"/>
      <c r="R66" s="3571"/>
      <c r="S66" s="3517">
        <f>S67</f>
        <v>0</v>
      </c>
      <c r="T66" s="3517"/>
      <c r="U66" s="404"/>
      <c r="V66" s="3523"/>
      <c r="W66" s="4252"/>
      <c r="X66" s="4251"/>
      <c r="Y66" s="404">
        <f t="shared" si="0"/>
        <v>0</v>
      </c>
      <c r="Z66" s="3496">
        <f t="shared" si="1"/>
        <v>0</v>
      </c>
      <c r="AB66" s="3537" t="s">
        <v>151</v>
      </c>
      <c r="AC66" s="342" t="str" cm="1">
        <f t="array" ref="AC66">INDEX($I$6:$R$6,SUMPRODUCT(ISNUMBER(SEARCH("Fatiga",I81:R81))*1)+1)</f>
        <v>MED</v>
      </c>
      <c r="AD66" s="342" t="str">
        <f>IFERROR(VLOOKUP(AB66,Psíquicos!$AD$11:$AK$67,8,FALSE),AC66)</f>
        <v>MED</v>
      </c>
      <c r="AE66" s="798"/>
      <c r="AF66" s="798"/>
      <c r="AG66" s="798"/>
      <c r="AH66" s="798"/>
      <c r="AI66" s="798"/>
      <c r="AJ66" s="798"/>
      <c r="AK66" s="798"/>
      <c r="AL66" s="798"/>
      <c r="AM66" s="798"/>
      <c r="AN66" s="798"/>
      <c r="AO66" s="1793">
        <f>IF(COUNTIF(Psíquicos!$AD$20:$AH$65,AB66),VALUE(INDEX('Tablas psiquica'!$AE66:$AN66,MATCH('Tablas psiquica'!$AD66,'Tablas psiquica'!$AE$6:$AN$6,0))),0)</f>
        <v>0</v>
      </c>
      <c r="AQ66" s="2029" t="str">
        <f>IFERROR(IF(VLOOKUP(AR66,$D$7:$G$296,4,FALSE)&lt;&gt;"No",MAX(AQ$5:AQ65)+1,0),"")</f>
        <v/>
      </c>
      <c r="AR66" s="2030" t="str">
        <f t="shared" si="10"/>
        <v/>
      </c>
      <c r="AS66" s="2033" t="str">
        <f>IFERROR(VLOOKUP(Tablas!$A60,$AQ$7:$AR$145,2,FALSE),"")</f>
        <v/>
      </c>
      <c r="BF66" s="3061" t="str">
        <f>IF(BJ66=1,SUM(BJ$24:$BJ66),"")</f>
        <v/>
      </c>
      <c r="BG66" s="3032" t="str">
        <f t="shared" si="14"/>
        <v/>
      </c>
      <c r="BH66" s="3062">
        <v>43</v>
      </c>
      <c r="BI66" s="3600" t="s">
        <v>10331</v>
      </c>
      <c r="BJ66" s="3067">
        <f>IF(SUM(T12,T119)=2,1,0)</f>
        <v>0</v>
      </c>
      <c r="BK66" s="3064" t="str">
        <f t="shared" si="15"/>
        <v/>
      </c>
      <c r="BV66" s="3061" t="s">
        <v>10392</v>
      </c>
      <c r="BW66" s="3071" t="s">
        <v>10383</v>
      </c>
      <c r="BX66" s="3079" t="s">
        <v>1315</v>
      </c>
      <c r="BY66" s="3079" t="s">
        <v>1315</v>
      </c>
      <c r="BZ66" s="3079" t="s">
        <v>1315</v>
      </c>
      <c r="CA66" s="3079" t="s">
        <v>1315</v>
      </c>
      <c r="CB66" s="3079" t="s">
        <v>1315</v>
      </c>
      <c r="CC66" s="3079" t="s">
        <v>1315</v>
      </c>
      <c r="CD66" s="3080" t="s">
        <v>1315</v>
      </c>
      <c r="CF66" s="3061" t="s">
        <v>10392</v>
      </c>
      <c r="CG66" s="3079">
        <v>1</v>
      </c>
      <c r="CH66" s="3079"/>
      <c r="CI66" s="3080"/>
    </row>
    <row r="67" spans="1:87" ht="12.75" customHeight="1">
      <c r="A67" s="702">
        <v>67</v>
      </c>
      <c r="B67" s="3493">
        <f>IF(OR(S67=0),0,SUM($S$6:S67))</f>
        <v>0</v>
      </c>
      <c r="C67" s="3494"/>
      <c r="D67" s="257" t="s">
        <v>139</v>
      </c>
      <c r="E67" s="342" t="s">
        <v>72</v>
      </c>
      <c r="F67" s="343">
        <v>1</v>
      </c>
      <c r="G67" s="343" t="s">
        <v>2422</v>
      </c>
      <c r="H67" s="344" t="s">
        <v>1165</v>
      </c>
      <c r="I67" s="3571" t="s">
        <v>5386</v>
      </c>
      <c r="J67" s="3571" t="s">
        <v>5532</v>
      </c>
      <c r="K67" s="3571" t="s">
        <v>5533</v>
      </c>
      <c r="L67" s="3571" t="s">
        <v>5534</v>
      </c>
      <c r="M67" s="3571" t="s">
        <v>5535</v>
      </c>
      <c r="N67" s="3571" t="s">
        <v>5536</v>
      </c>
      <c r="O67" s="3571" t="s">
        <v>5537</v>
      </c>
      <c r="P67" s="3571" t="s">
        <v>5538</v>
      </c>
      <c r="Q67" s="3571" t="s">
        <v>5539</v>
      </c>
      <c r="R67" s="3571" t="s">
        <v>5540</v>
      </c>
      <c r="S67" s="3516">
        <f>IF(COUNTIF(Psíquicos!$C$26:$E$37,E67)=0,0,1)</f>
        <v>0</v>
      </c>
      <c r="T67" s="3517">
        <f>COUNTIF(Psíquicos!$V$20:$Z$73,'Tablas psiquica'!D67)</f>
        <v>0</v>
      </c>
      <c r="U67" s="404"/>
      <c r="V67" s="3523"/>
      <c r="W67" s="4252" t="s">
        <v>13988</v>
      </c>
      <c r="X67" s="4251" t="s">
        <v>13998</v>
      </c>
      <c r="Y67" s="404">
        <f t="shared" si="0"/>
        <v>0</v>
      </c>
      <c r="Z67" s="3496">
        <f t="shared" si="1"/>
        <v>0</v>
      </c>
      <c r="AB67" s="3537" t="s">
        <v>152</v>
      </c>
      <c r="AC67" s="342" t="str" cm="1">
        <f t="array" ref="AC67">INDEX($I$6:$R$6,SUMPRODUCT(ISNUMBER(SEARCH("Fatiga",I82:R82))*1)+1)</f>
        <v>MED</v>
      </c>
      <c r="AD67" s="342" t="str">
        <f>IFERROR(VLOOKUP(AB67,Psíquicos!$AD$11:$AK$67,8,FALSE),AC67)</f>
        <v>MED</v>
      </c>
      <c r="AE67" s="798"/>
      <c r="AF67" s="798"/>
      <c r="AG67" s="798"/>
      <c r="AH67" s="798"/>
      <c r="AI67" s="798"/>
      <c r="AJ67" s="798"/>
      <c r="AK67" s="798"/>
      <c r="AL67" s="798"/>
      <c r="AM67" s="798"/>
      <c r="AN67" s="798"/>
      <c r="AO67" s="1793">
        <f>IF(COUNTIF(Psíquicos!$AD$20:$AH$65,AB67),VALUE(INDEX('Tablas psiquica'!$AE67:$AN67,MATCH('Tablas psiquica'!$AD67,'Tablas psiquica'!$AE$6:$AN$6,0))),0)</f>
        <v>0</v>
      </c>
      <c r="AQ67" s="2029" t="str">
        <f>IFERROR(IF(VLOOKUP(AR67,$D$7:$G$296,4,FALSE)&lt;&gt;"No",MAX(AQ$5:AQ66)+1,0),"")</f>
        <v/>
      </c>
      <c r="AR67" s="2030" t="str">
        <f t="shared" si="10"/>
        <v/>
      </c>
      <c r="AS67" s="2033" t="str">
        <f>IFERROR(VLOOKUP(Tablas!$A61,$AQ$7:$AR$145,2,FALSE),"")</f>
        <v/>
      </c>
      <c r="BF67" s="3061" t="str">
        <f>IF(BJ67=1,SUM(BJ$24:$BJ67),"")</f>
        <v/>
      </c>
      <c r="BG67" s="3032" t="str">
        <f t="shared" si="14"/>
        <v/>
      </c>
      <c r="BH67" s="3062">
        <v>44</v>
      </c>
      <c r="BI67" s="3600" t="s">
        <v>10332</v>
      </c>
      <c r="BJ67" s="3067">
        <f>IF(SUM(T74,T103)=2,1,0)</f>
        <v>0</v>
      </c>
      <c r="BK67" s="3064" t="str">
        <f t="shared" si="15"/>
        <v/>
      </c>
      <c r="BV67" s="3061" t="s">
        <v>10373</v>
      </c>
      <c r="BW67" s="3071" t="s">
        <v>10382</v>
      </c>
      <c r="BX67" s="3073" t="s">
        <v>6056</v>
      </c>
      <c r="BY67" s="3073" t="s">
        <v>10369</v>
      </c>
      <c r="BZ67" s="3073" t="s">
        <v>10370</v>
      </c>
      <c r="CA67" s="3073" t="s">
        <v>10371</v>
      </c>
      <c r="CB67" s="3073" t="s">
        <v>6923</v>
      </c>
      <c r="CC67" s="3032"/>
      <c r="CD67" s="3050"/>
      <c r="CF67" s="3061" t="s">
        <v>10373</v>
      </c>
      <c r="CG67" s="3079">
        <v>1</v>
      </c>
      <c r="CH67" s="3079"/>
      <c r="CI67" s="3080"/>
    </row>
    <row r="68" spans="1:87" ht="12.75" customHeight="1">
      <c r="A68" s="702">
        <v>68</v>
      </c>
      <c r="B68" s="3493">
        <f>IF(OR(S68=0),0,SUM($S$6:S68))</f>
        <v>0</v>
      </c>
      <c r="C68" s="3494"/>
      <c r="D68" s="257" t="s">
        <v>140</v>
      </c>
      <c r="E68" s="342" t="s">
        <v>72</v>
      </c>
      <c r="F68" s="343">
        <v>1</v>
      </c>
      <c r="G68" s="343" t="s">
        <v>2422</v>
      </c>
      <c r="H68" s="344" t="s">
        <v>1165</v>
      </c>
      <c r="I68" s="3571" t="s">
        <v>5386</v>
      </c>
      <c r="J68" s="3571" t="s">
        <v>5541</v>
      </c>
      <c r="K68" s="3571" t="s">
        <v>5542</v>
      </c>
      <c r="L68" s="3571" t="s">
        <v>5543</v>
      </c>
      <c r="M68" s="3571" t="s">
        <v>5544</v>
      </c>
      <c r="N68" s="3571" t="s">
        <v>5545</v>
      </c>
      <c r="O68" s="3571" t="s">
        <v>5546</v>
      </c>
      <c r="P68" s="3571" t="s">
        <v>5547</v>
      </c>
      <c r="Q68" s="3571" t="s">
        <v>5548</v>
      </c>
      <c r="R68" s="3571" t="s">
        <v>5549</v>
      </c>
      <c r="S68" s="3516">
        <f>IF(COUNTIF(Psíquicos!$C$26:$E$37,E68)=0,0,1)</f>
        <v>0</v>
      </c>
      <c r="T68" s="3517">
        <f>COUNTIF(Psíquicos!$V$20:$Z$73,'Tablas psiquica'!D68)</f>
        <v>0</v>
      </c>
      <c r="U68" s="404"/>
      <c r="V68" s="3523"/>
      <c r="W68" s="4252" t="s">
        <v>13988</v>
      </c>
      <c r="X68" s="4251" t="s">
        <v>13998</v>
      </c>
      <c r="Y68" s="404">
        <f t="shared" si="0"/>
        <v>0</v>
      </c>
      <c r="Z68" s="3496">
        <f t="shared" si="1"/>
        <v>0</v>
      </c>
      <c r="AB68" s="3537" t="s">
        <v>153</v>
      </c>
      <c r="AC68" s="342" t="str" cm="1">
        <f t="array" ref="AC68">INDEX($I$6:$R$6,SUMPRODUCT(ISNUMBER(SEARCH("Fatiga",I83:R83))*1)+1)</f>
        <v>DIF</v>
      </c>
      <c r="AD68" s="342" t="str">
        <f>IFERROR(VLOOKUP(AB68,Psíquicos!$AD$11:$AK$67,8,FALSE),AC68)</f>
        <v>DIF</v>
      </c>
      <c r="AE68" s="798"/>
      <c r="AF68" s="798"/>
      <c r="AG68" s="798"/>
      <c r="AH68" s="798"/>
      <c r="AI68" s="798"/>
      <c r="AJ68" s="798"/>
      <c r="AK68" s="798"/>
      <c r="AL68" s="798"/>
      <c r="AM68" s="798"/>
      <c r="AN68" s="798"/>
      <c r="AO68" s="1793">
        <f>IF(COUNTIF(Psíquicos!$AD$20:$AH$65,AB68),VALUE(INDEX('Tablas psiquica'!$AE68:$AN68,MATCH('Tablas psiquica'!$AD68,'Tablas psiquica'!$AE$6:$AN$6,0))),0)</f>
        <v>0</v>
      </c>
      <c r="AQ68" s="2029" t="str">
        <f>IFERROR(IF(VLOOKUP(AR68,$D$7:$G$296,4,FALSE)&lt;&gt;"No",MAX(AQ$5:AQ67)+1,0),"")</f>
        <v/>
      </c>
      <c r="AR68" s="2030" t="str">
        <f t="shared" si="10"/>
        <v/>
      </c>
      <c r="AS68" s="2033" t="str">
        <f>IFERROR(VLOOKUP(Tablas!$A62,$AQ$7:$AR$145,2,FALSE),"")</f>
        <v/>
      </c>
      <c r="BF68" s="3061" t="str">
        <f>IF(BJ68=1,SUM(BJ$24:$BJ68),"")</f>
        <v/>
      </c>
      <c r="BG68" s="3032" t="str">
        <f t="shared" si="14"/>
        <v/>
      </c>
      <c r="BH68" s="3062">
        <v>45</v>
      </c>
      <c r="BI68" s="3600" t="s">
        <v>10333</v>
      </c>
      <c r="BJ68" s="3067">
        <f>IF(SUM(T85,T124)=2,1,0)</f>
        <v>0</v>
      </c>
      <c r="BK68" s="3064" t="str">
        <f t="shared" si="15"/>
        <v/>
      </c>
      <c r="BV68" s="3061" t="s">
        <v>3019</v>
      </c>
      <c r="BW68" s="3071" t="s">
        <v>10378</v>
      </c>
      <c r="BX68" s="3079" t="s">
        <v>1315</v>
      </c>
      <c r="BY68" s="3079" t="s">
        <v>1315</v>
      </c>
      <c r="BZ68" s="3079" t="s">
        <v>1315</v>
      </c>
      <c r="CA68" s="3079" t="s">
        <v>1315</v>
      </c>
      <c r="CB68" s="3079" t="s">
        <v>1315</v>
      </c>
      <c r="CC68" s="3079" t="s">
        <v>1315</v>
      </c>
      <c r="CD68" s="3080" t="s">
        <v>1315</v>
      </c>
      <c r="CF68" s="3061" t="s">
        <v>3019</v>
      </c>
      <c r="CG68" s="3079">
        <v>1</v>
      </c>
      <c r="CH68" s="3079"/>
      <c r="CI68" s="3080"/>
    </row>
    <row r="69" spans="1:87" ht="12.75" customHeight="1">
      <c r="A69" s="702">
        <v>69</v>
      </c>
      <c r="B69" s="3493">
        <f>IF(OR(S69=0),0,SUM($S$6:S69))</f>
        <v>0</v>
      </c>
      <c r="C69" s="3494"/>
      <c r="D69" s="257" t="s">
        <v>141</v>
      </c>
      <c r="E69" s="342" t="s">
        <v>72</v>
      </c>
      <c r="F69" s="343">
        <v>1</v>
      </c>
      <c r="G69" s="343" t="s">
        <v>2422</v>
      </c>
      <c r="H69" s="344" t="s">
        <v>1165</v>
      </c>
      <c r="I69" s="3571" t="s">
        <v>5406</v>
      </c>
      <c r="J69" s="3571" t="s">
        <v>5386</v>
      </c>
      <c r="K69" s="3571" t="s">
        <v>5550</v>
      </c>
      <c r="L69" s="3571" t="s">
        <v>5551</v>
      </c>
      <c r="M69" s="3571" t="s">
        <v>5552</v>
      </c>
      <c r="N69" s="3571" t="s">
        <v>5553</v>
      </c>
      <c r="O69" s="3571" t="s">
        <v>5554</v>
      </c>
      <c r="P69" s="3571" t="s">
        <v>5555</v>
      </c>
      <c r="Q69" s="3571" t="s">
        <v>5556</v>
      </c>
      <c r="R69" s="3571" t="s">
        <v>5557</v>
      </c>
      <c r="S69" s="3516">
        <f>IF(COUNTIF(Psíquicos!$C$26:$E$37,E69)=0,0,1)</f>
        <v>0</v>
      </c>
      <c r="T69" s="3517">
        <f>COUNTIF(Psíquicos!$V$20:$Z$73,'Tablas psiquica'!D69)</f>
        <v>0</v>
      </c>
      <c r="U69" s="404"/>
      <c r="V69" s="3523"/>
      <c r="W69" s="4252" t="s">
        <v>13962</v>
      </c>
      <c r="X69" s="4251" t="s">
        <v>13999</v>
      </c>
      <c r="Y69" s="404">
        <f t="shared" si="0"/>
        <v>0</v>
      </c>
      <c r="Z69" s="3496">
        <f t="shared" si="1"/>
        <v>0</v>
      </c>
      <c r="AB69" s="3537" t="s">
        <v>154</v>
      </c>
      <c r="AC69" s="342" t="str" cm="1">
        <f t="array" ref="AC69">INDEX($I$6:$R$6,SUMPRODUCT(ISNUMBER(SEARCH("Fatiga",I84:R84))*1)+1)</f>
        <v>DIF</v>
      </c>
      <c r="AD69" s="342" t="str">
        <f>IFERROR(VLOOKUP(AB69,Psíquicos!$AD$11:$AK$67,8,FALSE),AC69)</f>
        <v>DIF</v>
      </c>
      <c r="AE69" s="798"/>
      <c r="AF69" s="798"/>
      <c r="AG69" s="798"/>
      <c r="AH69" s="798"/>
      <c r="AI69" s="798"/>
      <c r="AJ69" s="798"/>
      <c r="AK69" s="798"/>
      <c r="AL69" s="798"/>
      <c r="AM69" s="798"/>
      <c r="AN69" s="798"/>
      <c r="AO69" s="1793">
        <f>IF(COUNTIF(Psíquicos!$AD$20:$AH$65,AB69),VALUE(INDEX('Tablas psiquica'!$AE69:$AN69,MATCH('Tablas psiquica'!$AD69,'Tablas psiquica'!$AE$6:$AN$6,0))),0)</f>
        <v>0</v>
      </c>
      <c r="AQ69" s="2029" t="str">
        <f>IFERROR(IF(VLOOKUP(AR69,$D$7:$G$296,4,FALSE)&lt;&gt;"No",MAX(AQ$5:AQ68)+1,0),"")</f>
        <v/>
      </c>
      <c r="AR69" s="2030" t="str">
        <f t="shared" si="10"/>
        <v/>
      </c>
      <c r="AS69" s="2033" t="str">
        <f>IFERROR(VLOOKUP(Tablas!$A63,$AQ$7:$AR$145,2,FALSE),"")</f>
        <v/>
      </c>
      <c r="BF69" s="3061" t="str">
        <f>IF(BJ69=1,SUM(BJ$24:$BJ69),"")</f>
        <v/>
      </c>
      <c r="BG69" s="3032" t="str">
        <f t="shared" si="14"/>
        <v/>
      </c>
      <c r="BH69" s="3062">
        <v>46</v>
      </c>
      <c r="BI69" s="3600" t="s">
        <v>10334</v>
      </c>
      <c r="BJ69" s="3067">
        <f>IF(SUM(T32,T133)=2,1,0)</f>
        <v>0</v>
      </c>
      <c r="BK69" s="3064" t="str">
        <f t="shared" si="15"/>
        <v/>
      </c>
      <c r="BV69" s="3061" t="s">
        <v>10405</v>
      </c>
      <c r="BW69" s="3074" t="s">
        <v>1315</v>
      </c>
      <c r="BX69" s="3079" t="s">
        <v>1315</v>
      </c>
      <c r="BY69" s="3079" t="s">
        <v>1315</v>
      </c>
      <c r="BZ69" s="3079" t="s">
        <v>1315</v>
      </c>
      <c r="CA69" s="3079" t="s">
        <v>1315</v>
      </c>
      <c r="CB69" s="3079" t="s">
        <v>1315</v>
      </c>
      <c r="CC69" s="3079" t="s">
        <v>1315</v>
      </c>
      <c r="CD69" s="3080" t="s">
        <v>1315</v>
      </c>
      <c r="CF69" s="3061" t="s">
        <v>10405</v>
      </c>
      <c r="CG69" s="3079">
        <v>2</v>
      </c>
      <c r="CH69" s="3079"/>
      <c r="CI69" s="3080"/>
    </row>
    <row r="70" spans="1:87" ht="12.75" customHeight="1">
      <c r="A70" s="702">
        <v>70</v>
      </c>
      <c r="B70" s="3493">
        <f>IF(OR(S70=0),0,SUM($S$6:S70))</f>
        <v>0</v>
      </c>
      <c r="C70" s="3494"/>
      <c r="D70" s="257" t="s">
        <v>1536</v>
      </c>
      <c r="E70" s="342" t="s">
        <v>72</v>
      </c>
      <c r="F70" s="343">
        <v>1</v>
      </c>
      <c r="G70" s="343" t="s">
        <v>2422</v>
      </c>
      <c r="H70" s="344" t="s">
        <v>1165</v>
      </c>
      <c r="I70" s="3571" t="s">
        <v>5406</v>
      </c>
      <c r="J70" s="3571" t="s">
        <v>5386</v>
      </c>
      <c r="K70" s="3571" t="s">
        <v>1536</v>
      </c>
      <c r="L70" s="3571" t="s">
        <v>6760</v>
      </c>
      <c r="M70" s="3571" t="s">
        <v>5558</v>
      </c>
      <c r="N70" s="3571" t="s">
        <v>5559</v>
      </c>
      <c r="O70" s="3571" t="s">
        <v>5560</v>
      </c>
      <c r="P70" s="3571" t="s">
        <v>5561</v>
      </c>
      <c r="Q70" s="3571" t="s">
        <v>5562</v>
      </c>
      <c r="R70" s="3571" t="s">
        <v>5563</v>
      </c>
      <c r="S70" s="3516">
        <f>IF(COUNTIF(Psíquicos!$C$26:$E$37,E70)=0,0,1)</f>
        <v>0</v>
      </c>
      <c r="T70" s="3517">
        <f>COUNTIF(Psíquicos!$V$20:$Z$73,'Tablas psiquica'!D70)</f>
        <v>0</v>
      </c>
      <c r="U70" s="404"/>
      <c r="V70" s="3523"/>
      <c r="W70" s="4252" t="s">
        <v>14000</v>
      </c>
      <c r="X70" s="4251" t="s">
        <v>14001</v>
      </c>
      <c r="Y70" s="404">
        <f t="shared" si="0"/>
        <v>0</v>
      </c>
      <c r="Z70" s="3496">
        <f t="shared" si="1"/>
        <v>0</v>
      </c>
      <c r="AB70" s="3537" t="s">
        <v>157</v>
      </c>
      <c r="AC70" s="342" t="str" cm="1">
        <f t="array" ref="AC70">INDEX($I$6:$R$6,SUMPRODUCT(ISNUMBER(SEARCH("Fatiga",I87:R87))*1)+1)</f>
        <v>ABS</v>
      </c>
      <c r="AD70" s="342" t="str">
        <f>IFERROR(VLOOKUP(AB70,Psíquicos!$AD$11:$AK$67,8,FALSE),AC70)</f>
        <v>ABS</v>
      </c>
      <c r="AE70" s="798"/>
      <c r="AF70" s="798"/>
      <c r="AG70" s="798"/>
      <c r="AH70" s="798"/>
      <c r="AI70" s="798"/>
      <c r="AJ70" s="798"/>
      <c r="AK70" s="798"/>
      <c r="AL70" s="798"/>
      <c r="AM70" s="798"/>
      <c r="AN70" s="798"/>
      <c r="AO70" s="1793">
        <f>IF(COUNTIF(Psíquicos!$AD$20:$AH$65,AB70),VALUE(INDEX('Tablas psiquica'!$AE70:$AN70,MATCH('Tablas psiquica'!$AD70,'Tablas psiquica'!$AE$6:$AN$6,0))),0)</f>
        <v>0</v>
      </c>
      <c r="AQ70" s="2029" t="str">
        <f>IFERROR(IF(VLOOKUP(AR70,$D$7:$G$296,4,FALSE)&lt;&gt;"No",MAX(AQ$5:AQ69)+1,0),"")</f>
        <v/>
      </c>
      <c r="AR70" s="2030" t="str">
        <f t="shared" si="10"/>
        <v/>
      </c>
      <c r="AS70" s="2033" t="str">
        <f>IFERROR(VLOOKUP(Tablas!$A64,$AQ$7:$AR$145,2,FALSE),"")</f>
        <v/>
      </c>
      <c r="BF70" s="3061" t="str">
        <f>IF(BJ70=1,SUM(BJ$24:$BJ70),"")</f>
        <v/>
      </c>
      <c r="BG70" s="3032" t="str">
        <f t="shared" si="14"/>
        <v/>
      </c>
      <c r="BH70" s="3062">
        <v>47</v>
      </c>
      <c r="BI70" s="3600" t="s">
        <v>10335</v>
      </c>
      <c r="BJ70" s="3067">
        <f>IF(SUM(T10,T53)=2,1,0)</f>
        <v>0</v>
      </c>
      <c r="BK70" s="3064" t="str">
        <f t="shared" si="15"/>
        <v/>
      </c>
      <c r="BV70" s="3061" t="s">
        <v>10380</v>
      </c>
      <c r="BW70" s="3071" t="s">
        <v>10381</v>
      </c>
      <c r="BX70" s="3079" t="s">
        <v>1315</v>
      </c>
      <c r="BY70" s="3079" t="s">
        <v>1315</v>
      </c>
      <c r="BZ70" s="3079" t="s">
        <v>1315</v>
      </c>
      <c r="CA70" s="3079" t="s">
        <v>1315</v>
      </c>
      <c r="CB70" s="3079" t="s">
        <v>1315</v>
      </c>
      <c r="CC70" s="3079" t="s">
        <v>1315</v>
      </c>
      <c r="CD70" s="3080" t="s">
        <v>1315</v>
      </c>
      <c r="CF70" s="3061" t="s">
        <v>10380</v>
      </c>
      <c r="CG70" s="3079">
        <v>1</v>
      </c>
      <c r="CH70" s="3079"/>
      <c r="CI70" s="3080"/>
    </row>
    <row r="71" spans="1:87" ht="12.75" customHeight="1">
      <c r="A71" s="702">
        <v>71</v>
      </c>
      <c r="B71" s="3493">
        <f>IF(OR(S71=0),0,SUM($S$6:S71))</f>
        <v>0</v>
      </c>
      <c r="C71" s="3494"/>
      <c r="D71" s="257" t="s">
        <v>142</v>
      </c>
      <c r="E71" s="342" t="s">
        <v>72</v>
      </c>
      <c r="F71" s="343">
        <v>1</v>
      </c>
      <c r="G71" s="343" t="s">
        <v>2422</v>
      </c>
      <c r="H71" s="344" t="s">
        <v>1165</v>
      </c>
      <c r="I71" s="3571" t="s">
        <v>5407</v>
      </c>
      <c r="J71" s="3571" t="s">
        <v>5406</v>
      </c>
      <c r="K71" s="3571" t="s">
        <v>5386</v>
      </c>
      <c r="L71" s="3571" t="s">
        <v>5564</v>
      </c>
      <c r="M71" s="3571" t="s">
        <v>5565</v>
      </c>
      <c r="N71" s="3571" t="s">
        <v>5566</v>
      </c>
      <c r="O71" s="3571" t="s">
        <v>5567</v>
      </c>
      <c r="P71" s="3571" t="s">
        <v>5568</v>
      </c>
      <c r="Q71" s="3571" t="s">
        <v>5569</v>
      </c>
      <c r="R71" s="3571" t="s">
        <v>5570</v>
      </c>
      <c r="S71" s="3516">
        <f>IF(COUNTIF(Psíquicos!$C$26:$E$37,E71)=0,0,1)</f>
        <v>0</v>
      </c>
      <c r="T71" s="3517">
        <f>COUNTIF(Psíquicos!$V$20:$Z$73,'Tablas psiquica'!D71)</f>
        <v>0</v>
      </c>
      <c r="U71" s="404"/>
      <c r="V71" s="3523"/>
      <c r="W71" s="4252" t="s">
        <v>13962</v>
      </c>
      <c r="X71" s="4251" t="s">
        <v>13999</v>
      </c>
      <c r="Y71" s="404">
        <f t="shared" ref="Y71:Y134" si="18">T71+U71</f>
        <v>0</v>
      </c>
      <c r="Z71" s="3496">
        <f t="shared" ref="Z71:Z134" si="19">T71+V71</f>
        <v>0</v>
      </c>
      <c r="AB71" s="3537" t="s">
        <v>158</v>
      </c>
      <c r="AC71" s="342" t="str" cm="1">
        <f t="array" ref="AC71">INDEX($I$6:$R$6,SUMPRODUCT(ISNUMBER(SEARCH("Fatiga",I88:R88))*1)+1)</f>
        <v>DIF</v>
      </c>
      <c r="AD71" s="342" t="str">
        <f>IFERROR(VLOOKUP(AB71,Psíquicos!$AD$11:$AK$67,8,FALSE),AC71)</f>
        <v>DIF</v>
      </c>
      <c r="AE71" s="798"/>
      <c r="AF71" s="798"/>
      <c r="AG71" s="798"/>
      <c r="AH71" s="798"/>
      <c r="AI71" s="798"/>
      <c r="AJ71" s="798"/>
      <c r="AK71" s="798"/>
      <c r="AL71" s="798"/>
      <c r="AM71" s="798"/>
      <c r="AN71" s="798"/>
      <c r="AO71" s="1793">
        <f>IF(COUNTIF(Psíquicos!$AD$20:$AH$65,AB71),VALUE(INDEX('Tablas psiquica'!$AE71:$AN71,MATCH('Tablas psiquica'!$AD71,'Tablas psiquica'!$AE$6:$AN$6,0))),0)</f>
        <v>0</v>
      </c>
      <c r="AQ71" s="2029" t="str">
        <f>IFERROR(IF(VLOOKUP(AR71,$D$7:$G$296,4,FALSE)&lt;&gt;"No",MAX(AQ$5:AQ70)+1,0),"")</f>
        <v/>
      </c>
      <c r="AR71" s="2030" t="str">
        <f t="shared" ref="AR71:AR102" si="20">IF(ISNA(VLOOKUP(A65,$B$7:$D$296,3,FALSE)),"",VLOOKUP(A65,$B$7:$D$296,3,FALSE))</f>
        <v/>
      </c>
      <c r="AS71" s="2033" t="str">
        <f>IFERROR(VLOOKUP(Tablas!$A65,$AQ$7:$AR$145,2,FALSE),"")</f>
        <v/>
      </c>
      <c r="BF71" s="3061" t="str">
        <f>IF(BJ71=1,SUM(BJ$24:$BJ71),"")</f>
        <v/>
      </c>
      <c r="BG71" s="3032" t="str">
        <f t="shared" si="14"/>
        <v/>
      </c>
      <c r="BH71" s="3062">
        <v>48</v>
      </c>
      <c r="BI71" s="3600" t="s">
        <v>10336</v>
      </c>
      <c r="BJ71" s="3067">
        <f>IF(SUM(T25,T174)=2,1,0)</f>
        <v>0</v>
      </c>
      <c r="BK71" s="3064" t="str">
        <f t="shared" si="15"/>
        <v/>
      </c>
      <c r="BV71" s="3061" t="s">
        <v>10375</v>
      </c>
      <c r="BW71" s="3071" t="s">
        <v>10374</v>
      </c>
      <c r="BX71" s="3079" t="s">
        <v>1315</v>
      </c>
      <c r="BY71" s="3079" t="s">
        <v>1315</v>
      </c>
      <c r="BZ71" s="3079" t="s">
        <v>1315</v>
      </c>
      <c r="CA71" s="3079" t="s">
        <v>1315</v>
      </c>
      <c r="CB71" s="3079" t="s">
        <v>1315</v>
      </c>
      <c r="CC71" s="3079" t="s">
        <v>1315</v>
      </c>
      <c r="CD71" s="3080" t="s">
        <v>1315</v>
      </c>
      <c r="CF71" s="3061" t="s">
        <v>10375</v>
      </c>
      <c r="CG71" s="3079">
        <v>2</v>
      </c>
      <c r="CH71" s="3079"/>
      <c r="CI71" s="3080"/>
    </row>
    <row r="72" spans="1:87" ht="12.75" customHeight="1">
      <c r="A72" s="702">
        <v>72</v>
      </c>
      <c r="B72" s="3493">
        <f>IF(OR(S72=0),0,SUM($S$6:S72))</f>
        <v>0</v>
      </c>
      <c r="C72" s="3494"/>
      <c r="D72" s="257" t="s">
        <v>143</v>
      </c>
      <c r="E72" s="342" t="s">
        <v>72</v>
      </c>
      <c r="F72" s="343">
        <v>1</v>
      </c>
      <c r="G72" s="343" t="s">
        <v>2422</v>
      </c>
      <c r="H72" s="344" t="s">
        <v>1165</v>
      </c>
      <c r="I72" s="3571" t="s">
        <v>5406</v>
      </c>
      <c r="J72" s="3571" t="s">
        <v>5386</v>
      </c>
      <c r="K72" s="3571" t="s">
        <v>5571</v>
      </c>
      <c r="L72" s="3571" t="s">
        <v>5572</v>
      </c>
      <c r="M72" s="3571" t="s">
        <v>5573</v>
      </c>
      <c r="N72" s="3571" t="s">
        <v>5574</v>
      </c>
      <c r="O72" s="3571" t="s">
        <v>5575</v>
      </c>
      <c r="P72" s="3571" t="s">
        <v>5576</v>
      </c>
      <c r="Q72" s="3571" t="s">
        <v>5577</v>
      </c>
      <c r="R72" s="3571" t="s">
        <v>5578</v>
      </c>
      <c r="S72" s="3516">
        <f>IF(COUNTIF(Psíquicos!$C$26:$E$37,E72)=0,0,1)</f>
        <v>0</v>
      </c>
      <c r="T72" s="3517">
        <f>COUNTIF(Psíquicos!$V$20:$Z$73,'Tablas psiquica'!D72)</f>
        <v>0</v>
      </c>
      <c r="U72" s="404"/>
      <c r="V72" s="3523"/>
      <c r="W72" s="4252" t="s">
        <v>13962</v>
      </c>
      <c r="X72" s="4251" t="s">
        <v>13999</v>
      </c>
      <c r="Y72" s="404">
        <f t="shared" si="18"/>
        <v>0</v>
      </c>
      <c r="Z72" s="3496">
        <f t="shared" si="19"/>
        <v>0</v>
      </c>
      <c r="AB72" s="3537" t="s">
        <v>161</v>
      </c>
      <c r="AC72" s="342" t="str" cm="1">
        <f t="array" ref="AC72">INDEX($I$6:$R$6,SUMPRODUCT(ISNUMBER(SEARCH("Fatiga",I91:R91))*1)+1)</f>
        <v>CIM</v>
      </c>
      <c r="AD72" s="342" t="str">
        <f>IFERROR(VLOOKUP(AB72,Psíquicos!$AD$11:$AK$67,8,FALSE),AC72)</f>
        <v>CIM</v>
      </c>
      <c r="AE72" s="798"/>
      <c r="AF72" s="798"/>
      <c r="AG72" s="798"/>
      <c r="AH72" s="798"/>
      <c r="AI72" s="798"/>
      <c r="AJ72" s="798"/>
      <c r="AK72" s="798"/>
      <c r="AL72" s="798"/>
      <c r="AM72" s="798"/>
      <c r="AN72" s="798"/>
      <c r="AO72" s="1793">
        <f>IF(COUNTIF(Psíquicos!$AD$20:$AH$65,AB72),VALUE(INDEX('Tablas psiquica'!$AE72:$AN72,MATCH('Tablas psiquica'!$AD72,'Tablas psiquica'!$AE$6:$AN$6,0))),0)</f>
        <v>0</v>
      </c>
      <c r="AQ72" s="2029" t="str">
        <f>IFERROR(IF(VLOOKUP(AR72,$D$7:$G$296,4,FALSE)&lt;&gt;"No",MAX(AQ$5:AQ71)+1,0),"")</f>
        <v/>
      </c>
      <c r="AR72" s="2030" t="str">
        <f t="shared" si="20"/>
        <v/>
      </c>
      <c r="AS72" s="2033" t="str">
        <f>IFERROR(VLOOKUP(Tablas!$A66,$AQ$7:$AR$145,2,FALSE),"")</f>
        <v/>
      </c>
      <c r="BF72" s="3061" t="str">
        <f>IF(BJ72=1,SUM(BJ$24:$BJ72),"")</f>
        <v/>
      </c>
      <c r="BG72" s="3032" t="str">
        <f t="shared" si="14"/>
        <v/>
      </c>
      <c r="BH72" s="3062">
        <v>49</v>
      </c>
      <c r="BI72" s="3600" t="s">
        <v>10337</v>
      </c>
      <c r="BJ72" s="3067">
        <f>IF(SUM(T205,T191)=2,1,0)</f>
        <v>0</v>
      </c>
      <c r="BK72" s="3064" t="str">
        <f t="shared" si="15"/>
        <v/>
      </c>
      <c r="BV72" s="3061" t="s">
        <v>10407</v>
      </c>
      <c r="BW72" s="3074" t="s">
        <v>1315</v>
      </c>
      <c r="BX72" s="3079" t="s">
        <v>1315</v>
      </c>
      <c r="BY72" s="3079" t="s">
        <v>1315</v>
      </c>
      <c r="BZ72" s="3079" t="s">
        <v>1315</v>
      </c>
      <c r="CA72" s="3079" t="s">
        <v>1315</v>
      </c>
      <c r="CB72" s="3079" t="s">
        <v>1315</v>
      </c>
      <c r="CC72" s="3079" t="s">
        <v>1315</v>
      </c>
      <c r="CD72" s="3080" t="s">
        <v>1315</v>
      </c>
      <c r="CF72" s="3061" t="s">
        <v>10407</v>
      </c>
      <c r="CG72" s="3079">
        <v>2</v>
      </c>
      <c r="CH72" s="3079"/>
      <c r="CI72" s="3080"/>
    </row>
    <row r="73" spans="1:87" ht="12.75" customHeight="1">
      <c r="A73" s="702">
        <v>73</v>
      </c>
      <c r="B73" s="3493">
        <f>IF(OR(S73=0),0,SUM($S$6:S73))</f>
        <v>0</v>
      </c>
      <c r="C73" s="3494"/>
      <c r="D73" s="257" t="s">
        <v>144</v>
      </c>
      <c r="E73" s="342" t="s">
        <v>72</v>
      </c>
      <c r="F73" s="343">
        <v>2</v>
      </c>
      <c r="G73" s="343" t="s">
        <v>2422</v>
      </c>
      <c r="H73" s="344" t="s">
        <v>1165</v>
      </c>
      <c r="I73" s="3571" t="s">
        <v>5408</v>
      </c>
      <c r="J73" s="3571" t="s">
        <v>5406</v>
      </c>
      <c r="K73" s="3571" t="s">
        <v>5386</v>
      </c>
      <c r="L73" s="3571" t="s">
        <v>5579</v>
      </c>
      <c r="M73" s="3571" t="s">
        <v>5580</v>
      </c>
      <c r="N73" s="3571" t="s">
        <v>5581</v>
      </c>
      <c r="O73" s="3571" t="s">
        <v>5582</v>
      </c>
      <c r="P73" s="3571" t="s">
        <v>5583</v>
      </c>
      <c r="Q73" s="3571" t="s">
        <v>5584</v>
      </c>
      <c r="R73" s="3571" t="s">
        <v>5585</v>
      </c>
      <c r="S73" s="3516">
        <f>IF(COUNTIF(Psíquicos!$C$26:$E$37,E73)=0,0,1)</f>
        <v>0</v>
      </c>
      <c r="T73" s="3517">
        <f>COUNTIF(Psíquicos!$V$20:$Z$73,'Tablas psiquica'!D73)</f>
        <v>0</v>
      </c>
      <c r="U73" s="404"/>
      <c r="V73" s="3523"/>
      <c r="W73" s="4252" t="s">
        <v>13982</v>
      </c>
      <c r="X73" s="4251" t="s">
        <v>14002</v>
      </c>
      <c r="Y73" s="404">
        <f t="shared" si="18"/>
        <v>0</v>
      </c>
      <c r="Z73" s="3496">
        <f t="shared" si="19"/>
        <v>0</v>
      </c>
      <c r="AB73" s="3547" t="s">
        <v>162</v>
      </c>
      <c r="AC73" s="2746"/>
      <c r="AD73" s="2746"/>
      <c r="AE73" s="3548"/>
      <c r="AF73" s="3548"/>
      <c r="AG73" s="3548"/>
      <c r="AH73" s="3548"/>
      <c r="AI73" s="3548"/>
      <c r="AJ73" s="3548"/>
      <c r="AK73" s="3548"/>
      <c r="AL73" s="3548"/>
      <c r="AM73" s="3548"/>
      <c r="AN73" s="3548"/>
      <c r="AO73" s="3549" t="e">
        <f>IF(COUNTIF(Psíquicos!$AD$20:$AH$65,AB73),VALUE(INDEX('Tablas psiquica'!$AE73:$AN73,MATCH('Tablas psiquica'!$AD73,'Tablas psiquica'!$AE$6:$AN$6,0))),0)</f>
        <v>#N/A</v>
      </c>
      <c r="AQ73" s="2029" t="str">
        <f>IFERROR(IF(VLOOKUP(AR73,$D$7:$G$296,4,FALSE)&lt;&gt;"No",MAX(AQ$5:AQ72)+1,0),"")</f>
        <v/>
      </c>
      <c r="AR73" s="2030" t="str">
        <f t="shared" si="20"/>
        <v/>
      </c>
      <c r="AS73" s="2033" t="str">
        <f>IFERROR(VLOOKUP(Tablas!$A67,$AQ$7:$AR$145,2,FALSE),"")</f>
        <v/>
      </c>
      <c r="BF73" s="3061" t="str">
        <f>IF(BJ73=1,SUM(BJ$24:$BJ73),"")</f>
        <v/>
      </c>
      <c r="BG73" s="3032" t="str">
        <f t="shared" si="14"/>
        <v/>
      </c>
      <c r="BH73" s="3062">
        <v>50</v>
      </c>
      <c r="BI73" s="3600" t="s">
        <v>10338</v>
      </c>
      <c r="BJ73" s="3067">
        <f>IF(SUM(T50,OR(T72,T221))=2,1,0)</f>
        <v>0</v>
      </c>
      <c r="BK73" s="3064" t="str">
        <f t="shared" si="15"/>
        <v/>
      </c>
      <c r="BV73" s="3061" t="s">
        <v>10408</v>
      </c>
      <c r="BW73" s="3074" t="s">
        <v>1315</v>
      </c>
      <c r="BX73" s="3076" t="s">
        <v>10388</v>
      </c>
      <c r="BY73" s="3076" t="s">
        <v>10393</v>
      </c>
      <c r="BZ73" s="3079" t="s">
        <v>1315</v>
      </c>
      <c r="CA73" s="3079" t="s">
        <v>1315</v>
      </c>
      <c r="CB73" s="3079" t="s">
        <v>1315</v>
      </c>
      <c r="CC73" s="3079" t="s">
        <v>1315</v>
      </c>
      <c r="CD73" s="3080" t="s">
        <v>1315</v>
      </c>
      <c r="CF73" s="3061" t="s">
        <v>10408</v>
      </c>
      <c r="CG73" s="3079">
        <v>2</v>
      </c>
      <c r="CH73" s="3079"/>
      <c r="CI73" s="3080"/>
    </row>
    <row r="74" spans="1:87" ht="12.75" customHeight="1">
      <c r="A74" s="702">
        <v>74</v>
      </c>
      <c r="B74" s="3493">
        <f>IF(OR(S74=0),0,SUM($S$6:S74))</f>
        <v>0</v>
      </c>
      <c r="C74" s="3494"/>
      <c r="D74" s="257" t="s">
        <v>145</v>
      </c>
      <c r="E74" s="342" t="s">
        <v>72</v>
      </c>
      <c r="F74" s="343">
        <v>2</v>
      </c>
      <c r="G74" s="343" t="s">
        <v>2422</v>
      </c>
      <c r="H74" s="344" t="s">
        <v>1165</v>
      </c>
      <c r="I74" s="3571" t="s">
        <v>5408</v>
      </c>
      <c r="J74" s="3571" t="s">
        <v>5406</v>
      </c>
      <c r="K74" s="3571" t="s">
        <v>5386</v>
      </c>
      <c r="L74" s="3571" t="s">
        <v>5586</v>
      </c>
      <c r="M74" s="3571" t="s">
        <v>5587</v>
      </c>
      <c r="N74" s="3571" t="s">
        <v>5588</v>
      </c>
      <c r="O74" s="3571" t="s">
        <v>5589</v>
      </c>
      <c r="P74" s="3571" t="s">
        <v>5590</v>
      </c>
      <c r="Q74" s="3571" t="s">
        <v>5591</v>
      </c>
      <c r="R74" s="3571" t="s">
        <v>5592</v>
      </c>
      <c r="S74" s="3516">
        <f>IF(COUNTIF(Psíquicos!$C$26:$E$37,E74)=0,0,1)</f>
        <v>0</v>
      </c>
      <c r="T74" s="3517">
        <f>COUNTIF(Psíquicos!$V$20:$Z$73,'Tablas psiquica'!D74)</f>
        <v>0</v>
      </c>
      <c r="U74" s="404"/>
      <c r="V74" s="3523"/>
      <c r="W74" s="4252" t="s">
        <v>13962</v>
      </c>
      <c r="X74" s="4251" t="s">
        <v>13999</v>
      </c>
      <c r="Y74" s="404">
        <f t="shared" si="18"/>
        <v>0</v>
      </c>
      <c r="Z74" s="3496">
        <f t="shared" si="19"/>
        <v>0</v>
      </c>
      <c r="AB74" s="3547" t="s">
        <v>163</v>
      </c>
      <c r="AC74" s="2746" t="str" cm="1">
        <f t="array" ref="AC74">INDEX($I$6:$R$6,SUMPRODUCT(ISNUMBER(SEARCH("Fatiga",I93:R93))*1)+1)</f>
        <v>MED</v>
      </c>
      <c r="AD74" s="2746" t="str">
        <f>IFERROR(VLOOKUP(AB74,Psíquicos!$AD$11:$AK$67,8,FALSE),AC74)</f>
        <v>MED</v>
      </c>
      <c r="AE74" s="3548"/>
      <c r="AF74" s="3548"/>
      <c r="AG74" s="3548"/>
      <c r="AH74" s="3548"/>
      <c r="AI74" s="3548"/>
      <c r="AJ74" s="3548"/>
      <c r="AK74" s="3548"/>
      <c r="AL74" s="3548"/>
      <c r="AM74" s="3548"/>
      <c r="AN74" s="3548"/>
      <c r="AO74" s="3549">
        <f>IF(COUNTIF(Psíquicos!$AD$20:$AH$65,AB74),VALUE(INDEX('Tablas psiquica'!$AE74:$AN74,MATCH('Tablas psiquica'!$AD74,'Tablas psiquica'!$AE$6:$AN$6,0))),0)</f>
        <v>0</v>
      </c>
      <c r="AQ74" s="2029" t="str">
        <f>IFERROR(IF(VLOOKUP(AR74,$D$7:$G$296,4,FALSE)&lt;&gt;"No",MAX(AQ$5:AQ73)+1,0),"")</f>
        <v/>
      </c>
      <c r="AR74" s="2030" t="str">
        <f t="shared" si="20"/>
        <v/>
      </c>
      <c r="AS74" s="2033" t="str">
        <f>IFERROR(VLOOKUP(Tablas!$A68,$AQ$7:$AR$145,2,FALSE),"")</f>
        <v/>
      </c>
      <c r="BF74" s="3061" t="str">
        <f>IF(BJ74=1,SUM(BJ$24:$BJ74),"")</f>
        <v/>
      </c>
      <c r="BG74" s="3032" t="str">
        <f t="shared" si="14"/>
        <v/>
      </c>
      <c r="BH74" s="3062">
        <v>51</v>
      </c>
      <c r="BI74" s="3600" t="s">
        <v>3</v>
      </c>
      <c r="BJ74" s="3067">
        <f>IF(SUM(T143,T60)=2,1,0)</f>
        <v>0</v>
      </c>
      <c r="BK74" s="3064" t="str">
        <f t="shared" si="15"/>
        <v/>
      </c>
      <c r="BV74" s="3061" t="s">
        <v>10389</v>
      </c>
      <c r="BW74" s="3074" t="s">
        <v>1315</v>
      </c>
      <c r="BX74" s="3079" t="s">
        <v>1315</v>
      </c>
      <c r="BY74" s="3079" t="s">
        <v>1315</v>
      </c>
      <c r="BZ74" s="3079" t="s">
        <v>1315</v>
      </c>
      <c r="CA74" s="3079" t="s">
        <v>1315</v>
      </c>
      <c r="CB74" s="3079" t="s">
        <v>1315</v>
      </c>
      <c r="CC74" s="3079" t="s">
        <v>1315</v>
      </c>
      <c r="CD74" s="3080" t="s">
        <v>1315</v>
      </c>
      <c r="CF74" s="3061" t="s">
        <v>10389</v>
      </c>
      <c r="CG74" s="3079">
        <v>2</v>
      </c>
      <c r="CH74" s="3079"/>
      <c r="CI74" s="3080"/>
    </row>
    <row r="75" spans="1:87" ht="12.75" customHeight="1" thickBot="1">
      <c r="A75" s="702">
        <v>75</v>
      </c>
      <c r="B75" s="3493">
        <f>IF(OR(S75=0),0,SUM($S$6:S75))</f>
        <v>0</v>
      </c>
      <c r="C75" s="3494"/>
      <c r="D75" s="257" t="s">
        <v>146</v>
      </c>
      <c r="E75" s="342" t="s">
        <v>72</v>
      </c>
      <c r="F75" s="343">
        <v>2</v>
      </c>
      <c r="G75" s="343" t="s">
        <v>2422</v>
      </c>
      <c r="H75" s="344" t="s">
        <v>1166</v>
      </c>
      <c r="I75" s="3571" t="s">
        <v>5408</v>
      </c>
      <c r="J75" s="3571" t="s">
        <v>5406</v>
      </c>
      <c r="K75" s="3571" t="s">
        <v>5386</v>
      </c>
      <c r="L75" s="3571" t="s">
        <v>5593</v>
      </c>
      <c r="M75" s="3571" t="s">
        <v>5594</v>
      </c>
      <c r="N75" s="3571" t="s">
        <v>5595</v>
      </c>
      <c r="O75" s="3571" t="s">
        <v>5596</v>
      </c>
      <c r="P75" s="3571" t="s">
        <v>5597</v>
      </c>
      <c r="Q75" s="3571" t="s">
        <v>5598</v>
      </c>
      <c r="R75" s="3571" t="s">
        <v>5599</v>
      </c>
      <c r="S75" s="3516">
        <f>IF(COUNTIF(Psíquicos!$C$26:$E$37,E75)=0,0,1)</f>
        <v>0</v>
      </c>
      <c r="T75" s="3517">
        <f>COUNTIF(Psíquicos!$V$20:$Z$73,'Tablas psiquica'!D75)</f>
        <v>0</v>
      </c>
      <c r="U75" s="404"/>
      <c r="V75" s="3523"/>
      <c r="W75" s="4252" t="s">
        <v>14000</v>
      </c>
      <c r="X75" s="4253" t="s">
        <v>14003</v>
      </c>
      <c r="Y75" s="404">
        <f t="shared" si="18"/>
        <v>0</v>
      </c>
      <c r="Z75" s="3496">
        <f t="shared" si="19"/>
        <v>0</v>
      </c>
      <c r="AB75" s="3547" t="s">
        <v>164</v>
      </c>
      <c r="AC75" s="2746" t="str" cm="1">
        <f t="array" ref="AC75">INDEX($I$6:$R$6,SUMPRODUCT(ISNUMBER(SEARCH("Fatiga",I94:R94))*1)+1)</f>
        <v>MED</v>
      </c>
      <c r="AD75" s="2746" t="str">
        <f>IFERROR(VLOOKUP(AB75,Psíquicos!$AD$11:$AK$67,8,FALSE),AC75)</f>
        <v>MED</v>
      </c>
      <c r="AE75" s="3548"/>
      <c r="AF75" s="3548"/>
      <c r="AG75" s="3548"/>
      <c r="AH75" s="3548"/>
      <c r="AI75" s="3548"/>
      <c r="AJ75" s="3548"/>
      <c r="AK75" s="3548"/>
      <c r="AL75" s="3548"/>
      <c r="AM75" s="3548"/>
      <c r="AN75" s="3548"/>
      <c r="AO75" s="3549">
        <f>IF(COUNTIF(Psíquicos!$AD$20:$AH$65,AB75),VALUE(INDEX('Tablas psiquica'!$AE75:$AN75,MATCH('Tablas psiquica'!$AD75,'Tablas psiquica'!$AE$6:$AN$6,0))),0)</f>
        <v>0</v>
      </c>
      <c r="AQ75" s="2029" t="str">
        <f>IFERROR(IF(VLOOKUP(AR75,$D$7:$G$296,4,FALSE)&lt;&gt;"No",MAX(AQ$5:AQ74)+1,0),"")</f>
        <v/>
      </c>
      <c r="AR75" s="2030" t="str">
        <f t="shared" si="20"/>
        <v/>
      </c>
      <c r="AS75" s="2033" t="str">
        <f>IFERROR(VLOOKUP(Tablas!$A69,$AQ$7:$AR$145,2,FALSE),"")</f>
        <v/>
      </c>
      <c r="BF75" s="3061" t="str">
        <f>IF(BJ75=1,SUM(BJ$24:$BJ75),"")</f>
        <v/>
      </c>
      <c r="BG75" s="3032" t="str">
        <f t="shared" si="14"/>
        <v/>
      </c>
      <c r="BH75" s="3062">
        <v>52</v>
      </c>
      <c r="BI75" s="3600" t="s">
        <v>10339</v>
      </c>
      <c r="BJ75" s="3067">
        <f>IF(SUM(T81,T187)=2,1,0)</f>
        <v>0</v>
      </c>
      <c r="BK75" s="3064" t="str">
        <f t="shared" si="15"/>
        <v/>
      </c>
      <c r="BV75" s="3068" t="s">
        <v>10409</v>
      </c>
      <c r="BW75" s="3078" t="s">
        <v>1315</v>
      </c>
      <c r="BX75" s="3082" t="s">
        <v>1315</v>
      </c>
      <c r="BY75" s="3082" t="s">
        <v>1315</v>
      </c>
      <c r="BZ75" s="3082" t="s">
        <v>1315</v>
      </c>
      <c r="CA75" s="3082" t="s">
        <v>1315</v>
      </c>
      <c r="CB75" s="3082" t="s">
        <v>1315</v>
      </c>
      <c r="CC75" s="3082" t="s">
        <v>1315</v>
      </c>
      <c r="CD75" s="3081" t="s">
        <v>1315</v>
      </c>
      <c r="CF75" s="3068" t="s">
        <v>10409</v>
      </c>
      <c r="CG75" s="3082">
        <v>1</v>
      </c>
      <c r="CH75" s="3082"/>
      <c r="CI75" s="3081"/>
    </row>
    <row r="76" spans="1:87" ht="12.75" customHeight="1">
      <c r="A76" s="702">
        <v>76</v>
      </c>
      <c r="B76" s="3493">
        <f>IF(OR(S76=0),0,SUM($S$6:S76))</f>
        <v>0</v>
      </c>
      <c r="C76" s="3494"/>
      <c r="D76" s="257" t="s">
        <v>1228</v>
      </c>
      <c r="E76" s="342" t="s">
        <v>72</v>
      </c>
      <c r="F76" s="343">
        <v>2</v>
      </c>
      <c r="G76" s="343" t="s">
        <v>2422</v>
      </c>
      <c r="H76" s="344" t="s">
        <v>1165</v>
      </c>
      <c r="I76" s="3571" t="s">
        <v>5408</v>
      </c>
      <c r="J76" s="3571" t="s">
        <v>5407</v>
      </c>
      <c r="K76" s="3571" t="s">
        <v>5406</v>
      </c>
      <c r="L76" s="3571" t="s">
        <v>5600</v>
      </c>
      <c r="M76" s="3571" t="s">
        <v>5601</v>
      </c>
      <c r="N76" s="3571" t="s">
        <v>5602</v>
      </c>
      <c r="O76" s="3571" t="s">
        <v>5603</v>
      </c>
      <c r="P76" s="3571" t="s">
        <v>5604</v>
      </c>
      <c r="Q76" s="3571" t="s">
        <v>5605</v>
      </c>
      <c r="R76" s="3571" t="s">
        <v>5606</v>
      </c>
      <c r="S76" s="3516">
        <f>IF(COUNTIF(Psíquicos!$C$26:$E$37,E76)=0,0,1)</f>
        <v>0</v>
      </c>
      <c r="T76" s="3517">
        <f>COUNTIF(Psíquicos!$V$20:$Z$73,'Tablas psiquica'!D76)</f>
        <v>0</v>
      </c>
      <c r="U76" s="404"/>
      <c r="V76" s="3523"/>
      <c r="W76" s="4252" t="s">
        <v>13944</v>
      </c>
      <c r="X76" s="4251" t="s">
        <v>14004</v>
      </c>
      <c r="Y76" s="404">
        <f t="shared" si="18"/>
        <v>0</v>
      </c>
      <c r="Z76" s="3496">
        <f t="shared" si="19"/>
        <v>0</v>
      </c>
      <c r="AB76" s="3547" t="s">
        <v>165</v>
      </c>
      <c r="AC76" s="2746" t="str" cm="1">
        <f t="array" ref="AC76">INDEX($I$6:$R$6,SUMPRODUCT(ISNUMBER(SEARCH("Fatiga",I95:R95))*1)+1)</f>
        <v>MED</v>
      </c>
      <c r="AD76" s="2746" t="str">
        <f>IFERROR(VLOOKUP(AB76,Psíquicos!$AD$11:$AK$67,8,FALSE),AC76)</f>
        <v>MED</v>
      </c>
      <c r="AE76" s="3548"/>
      <c r="AF76" s="3548"/>
      <c r="AG76" s="3548"/>
      <c r="AH76" s="3548"/>
      <c r="AI76" s="3548"/>
      <c r="AJ76" s="3548"/>
      <c r="AK76" s="3548"/>
      <c r="AL76" s="3548"/>
      <c r="AM76" s="3548"/>
      <c r="AN76" s="3548"/>
      <c r="AO76" s="3549">
        <f>IF(COUNTIF(Psíquicos!$AD$20:$AH$65,AB76),VALUE(INDEX('Tablas psiquica'!$AE76:$AN76,MATCH('Tablas psiquica'!$AD76,'Tablas psiquica'!$AE$6:$AN$6,0))),0)</f>
        <v>0</v>
      </c>
      <c r="AQ76" s="2029" t="str">
        <f>IFERROR(IF(VLOOKUP(AR76,$D$7:$G$296,4,FALSE)&lt;&gt;"No",MAX(AQ$5:AQ75)+1,0),"")</f>
        <v/>
      </c>
      <c r="AR76" s="2030" t="str">
        <f t="shared" si="20"/>
        <v/>
      </c>
      <c r="AS76" s="2033" t="str">
        <f>IFERROR(VLOOKUP(Tablas!$A70,$AQ$7:$AR$145,2,FALSE),"")</f>
        <v/>
      </c>
      <c r="BF76" s="3061" t="str">
        <f>IF(BJ76=1,SUM(BJ$24:$BJ76),"")</f>
        <v/>
      </c>
      <c r="BG76" s="3032" t="str">
        <f t="shared" si="14"/>
        <v/>
      </c>
      <c r="BH76" s="3062">
        <v>53</v>
      </c>
      <c r="BI76" s="3600" t="s">
        <v>10340</v>
      </c>
      <c r="BJ76" s="3067">
        <f>IF(SUM(T57,OR(T77,T222))=2,1,0)</f>
        <v>0</v>
      </c>
      <c r="BK76" s="3064" t="str">
        <f t="shared" si="15"/>
        <v/>
      </c>
    </row>
    <row r="77" spans="1:87" ht="12.75" customHeight="1">
      <c r="A77" s="702">
        <v>77</v>
      </c>
      <c r="B77" s="3493">
        <f>IF(OR(S77=0),0,SUM($S$6:S77))</f>
        <v>0</v>
      </c>
      <c r="C77" s="3494"/>
      <c r="D77" s="257" t="s">
        <v>147</v>
      </c>
      <c r="E77" s="342" t="s">
        <v>72</v>
      </c>
      <c r="F77" s="343">
        <v>3</v>
      </c>
      <c r="G77" s="343" t="s">
        <v>1241</v>
      </c>
      <c r="H77" s="344" t="s">
        <v>1165</v>
      </c>
      <c r="I77" s="3571" t="s">
        <v>5417</v>
      </c>
      <c r="J77" s="3571" t="s">
        <v>5416</v>
      </c>
      <c r="K77" s="3571" t="s">
        <v>5408</v>
      </c>
      <c r="L77" s="3571" t="s">
        <v>5407</v>
      </c>
      <c r="M77" s="3571" t="s">
        <v>5406</v>
      </c>
      <c r="N77" s="3571" t="s">
        <v>5607</v>
      </c>
      <c r="O77" s="3571" t="s">
        <v>5608</v>
      </c>
      <c r="P77" s="3571" t="s">
        <v>5609</v>
      </c>
      <c r="Q77" s="3571" t="s">
        <v>5610</v>
      </c>
      <c r="R77" s="3571" t="s">
        <v>5611</v>
      </c>
      <c r="S77" s="3516">
        <f>IF(COUNTIF(Psíquicos!$C$26:$E$37,E77)=0,0,1)</f>
        <v>0</v>
      </c>
      <c r="T77" s="3517">
        <f>COUNTIF(Psíquicos!$V$20:$Z$73,'Tablas psiquica'!D77)</f>
        <v>0</v>
      </c>
      <c r="U77" s="404"/>
      <c r="V77" s="3523"/>
      <c r="W77" s="4252" t="s">
        <v>14000</v>
      </c>
      <c r="X77" s="4251" t="s">
        <v>14005</v>
      </c>
      <c r="Y77" s="404">
        <f t="shared" si="18"/>
        <v>0</v>
      </c>
      <c r="Z77" s="3496">
        <f t="shared" si="19"/>
        <v>0</v>
      </c>
      <c r="AB77" s="3547" t="s">
        <v>166</v>
      </c>
      <c r="AC77" s="2746" t="str" cm="1">
        <f t="array" ref="AC77">INDEX($I$6:$R$6,SUMPRODUCT(ISNUMBER(SEARCH("Fatiga",I97:R97))*1)+1)</f>
        <v>MED</v>
      </c>
      <c r="AD77" s="2746" t="str">
        <f>IFERROR(VLOOKUP(AB77,Psíquicos!$AD$11:$AK$67,8,FALSE),AC77)</f>
        <v>MED</v>
      </c>
      <c r="AE77" s="3548"/>
      <c r="AF77" s="3548"/>
      <c r="AG77" s="3548"/>
      <c r="AH77" s="3548"/>
      <c r="AI77" s="3548"/>
      <c r="AJ77" s="3548"/>
      <c r="AK77" s="3548"/>
      <c r="AL77" s="3548"/>
      <c r="AM77" s="3548"/>
      <c r="AN77" s="3548"/>
      <c r="AO77" s="3549">
        <f>IF(COUNTIF(Psíquicos!$AD$20:$AH$65,AB77),VALUE(INDEX('Tablas psiquica'!$AE77:$AN77,MATCH('Tablas psiquica'!$AD77,'Tablas psiquica'!$AE$6:$AN$6,0))),0)</f>
        <v>0</v>
      </c>
      <c r="AQ77" s="2029" t="str">
        <f>IFERROR(IF(VLOOKUP(AR77,$D$7:$G$296,4,FALSE)&lt;&gt;"No",MAX(AQ$5:AQ76)+1,0),"")</f>
        <v/>
      </c>
      <c r="AR77" s="2030" t="str">
        <f t="shared" si="20"/>
        <v/>
      </c>
      <c r="AS77" s="2033" t="str">
        <f>IFERROR(VLOOKUP(Tablas!$A71,$AQ$7:$AR$145,2,FALSE),"")</f>
        <v/>
      </c>
      <c r="BF77" s="3061" t="str">
        <f>IF(BJ77=1,SUM(BJ$24:$BJ77),"")</f>
        <v/>
      </c>
      <c r="BG77" s="3032" t="str">
        <f t="shared" si="14"/>
        <v/>
      </c>
      <c r="BH77" s="3062">
        <v>54</v>
      </c>
      <c r="BI77" s="3600" t="s">
        <v>10341</v>
      </c>
      <c r="BJ77" s="3067">
        <f>IF(SUM(T53,T124)=2,1,0)</f>
        <v>0</v>
      </c>
      <c r="BK77" s="3064" t="str">
        <f t="shared" si="15"/>
        <v/>
      </c>
    </row>
    <row r="78" spans="1:87" ht="12.75" customHeight="1">
      <c r="A78" s="702">
        <v>78</v>
      </c>
      <c r="B78" s="3493">
        <f>IF(OR(S78=0),0,SUM($S$6:S78))</f>
        <v>0</v>
      </c>
      <c r="C78" s="3494"/>
      <c r="D78" s="257" t="s">
        <v>148</v>
      </c>
      <c r="E78" s="342" t="s">
        <v>72</v>
      </c>
      <c r="F78" s="343">
        <v>3</v>
      </c>
      <c r="G78" s="343" t="s">
        <v>2422</v>
      </c>
      <c r="H78" s="344" t="s">
        <v>1165</v>
      </c>
      <c r="I78" s="3571" t="s">
        <v>5417</v>
      </c>
      <c r="J78" s="3571" t="s">
        <v>5416</v>
      </c>
      <c r="K78" s="3571" t="s">
        <v>5408</v>
      </c>
      <c r="L78" s="3571" t="s">
        <v>5407</v>
      </c>
      <c r="M78" s="3571" t="s">
        <v>5406</v>
      </c>
      <c r="N78" s="3571" t="s">
        <v>5612</v>
      </c>
      <c r="O78" s="3571" t="s">
        <v>5613</v>
      </c>
      <c r="P78" s="3571" t="s">
        <v>5614</v>
      </c>
      <c r="Q78" s="3571" t="s">
        <v>5615</v>
      </c>
      <c r="R78" s="3571" t="s">
        <v>5616</v>
      </c>
      <c r="S78" s="3516">
        <f>IF(COUNTIF(Psíquicos!$C$26:$E$37,E78)=0,0,1)</f>
        <v>0</v>
      </c>
      <c r="T78" s="3517">
        <f>COUNTIF(Psíquicos!$V$20:$Z$73,'Tablas psiquica'!D78)</f>
        <v>0</v>
      </c>
      <c r="U78" s="404"/>
      <c r="V78" s="3523"/>
      <c r="W78" s="4252" t="s">
        <v>1315</v>
      </c>
      <c r="X78" s="4253" t="s">
        <v>1315</v>
      </c>
      <c r="Y78" s="404">
        <f t="shared" si="18"/>
        <v>0</v>
      </c>
      <c r="Z78" s="3496">
        <f t="shared" si="19"/>
        <v>0</v>
      </c>
      <c r="AB78" s="3547" t="s">
        <v>207</v>
      </c>
      <c r="AC78" s="2746" t="str" cm="1">
        <f t="array" ref="AC78">INDEX($I$6:$R$6,SUMPRODUCT(ISNUMBER(SEARCH("Fatiga",I144:R144))*1)+1)</f>
        <v>ABS</v>
      </c>
      <c r="AD78" s="2746" t="str">
        <f>IFERROR(VLOOKUP(AB78,Psíquicos!$AD$11:$AK$67,8,FALSE),AC78)</f>
        <v>ABS</v>
      </c>
      <c r="AE78" s="3548"/>
      <c r="AF78" s="3548"/>
      <c r="AG78" s="3548"/>
      <c r="AH78" s="3548"/>
      <c r="AI78" s="3548"/>
      <c r="AJ78" s="3548"/>
      <c r="AK78" s="3548"/>
      <c r="AL78" s="3548"/>
      <c r="AM78" s="3548"/>
      <c r="AN78" s="3548"/>
      <c r="AO78" s="3549">
        <f>IF(COUNTIF(Psíquicos!$AD$20:$AH$65,AB78),VALUE(INDEX('Tablas psiquica'!$AE108:$AN108,MATCH('Tablas psiquica'!$AD108,'Tablas psiquica'!$AE$6:$AN$6,0))),0)</f>
        <v>0</v>
      </c>
      <c r="AQ78" s="2029" t="str">
        <f>IFERROR(IF(VLOOKUP(AR78,$D$7:$G$296,4,FALSE)&lt;&gt;"No",MAX(AQ$5:AQ77)+1,0),"")</f>
        <v/>
      </c>
      <c r="AR78" s="2030" t="str">
        <f t="shared" si="20"/>
        <v/>
      </c>
      <c r="AS78" s="2033" t="str">
        <f>IFERROR(VLOOKUP(Tablas!$A72,$AQ$7:$AR$145,2,FALSE),"")</f>
        <v/>
      </c>
      <c r="BF78" s="3061" t="str">
        <f>IF(BJ78=1,SUM(BJ$24:$BJ78),"")</f>
        <v/>
      </c>
      <c r="BG78" s="3032" t="str">
        <f t="shared" si="14"/>
        <v/>
      </c>
      <c r="BH78" s="3062">
        <v>55</v>
      </c>
      <c r="BI78" s="3600" t="s">
        <v>9303</v>
      </c>
      <c r="BJ78" s="3067">
        <f>IF(SUM(T61,T191)=2,1,0)</f>
        <v>0</v>
      </c>
      <c r="BK78" s="3064" t="str">
        <f t="shared" si="15"/>
        <v/>
      </c>
    </row>
    <row r="79" spans="1:87" ht="12.75" customHeight="1">
      <c r="A79" s="702">
        <v>79</v>
      </c>
      <c r="B79" s="3493">
        <f>IF(OR(S79=0),0,SUM($S$6:S79))</f>
        <v>0</v>
      </c>
      <c r="C79" s="3494"/>
      <c r="D79" s="257" t="s">
        <v>149</v>
      </c>
      <c r="E79" s="342" t="s">
        <v>72</v>
      </c>
      <c r="F79" s="343">
        <v>3</v>
      </c>
      <c r="G79" s="343" t="s">
        <v>2422</v>
      </c>
      <c r="H79" s="344" t="s">
        <v>1165</v>
      </c>
      <c r="I79" s="3571" t="s">
        <v>5417</v>
      </c>
      <c r="J79" s="3571" t="s">
        <v>5416</v>
      </c>
      <c r="K79" s="3571" t="s">
        <v>5408</v>
      </c>
      <c r="L79" s="3571" t="s">
        <v>5407</v>
      </c>
      <c r="M79" s="3571" t="s">
        <v>5406</v>
      </c>
      <c r="N79" s="3571" t="s">
        <v>5617</v>
      </c>
      <c r="O79" s="3571" t="s">
        <v>5618</v>
      </c>
      <c r="P79" s="3571" t="s">
        <v>5619</v>
      </c>
      <c r="Q79" s="3571" t="s">
        <v>5620</v>
      </c>
      <c r="R79" s="3571" t="s">
        <v>5621</v>
      </c>
      <c r="S79" s="3516">
        <f>IF(COUNTIF(Psíquicos!$C$26:$E$37,E79)=0,0,1)</f>
        <v>0</v>
      </c>
      <c r="T79" s="3517">
        <f>COUNTIF(Psíquicos!$V$20:$Z$73,'Tablas psiquica'!D79)</f>
        <v>0</v>
      </c>
      <c r="U79" s="404"/>
      <c r="V79" s="3523"/>
      <c r="W79" s="4252" t="s">
        <v>13968</v>
      </c>
      <c r="X79" s="4253" t="s">
        <v>14006</v>
      </c>
      <c r="Y79" s="404">
        <f t="shared" si="18"/>
        <v>0</v>
      </c>
      <c r="Z79" s="3496">
        <f t="shared" si="19"/>
        <v>0</v>
      </c>
      <c r="AB79" s="3547" t="s">
        <v>167</v>
      </c>
      <c r="AC79" s="2746" t="str" cm="1">
        <f t="array" ref="AC79">INDEX($I$6:$R$6,SUMPRODUCT(ISNUMBER(SEARCH("Fatiga",I98:R98))*1)+1)</f>
        <v>FAC</v>
      </c>
      <c r="AD79" s="2746" t="str">
        <f>IFERROR(VLOOKUP(AB79,Psíquicos!$AD$11:$AK$67,8,FALSE),AC79)</f>
        <v>FAC</v>
      </c>
      <c r="AE79" s="3548"/>
      <c r="AF79" s="3548"/>
      <c r="AG79" s="3548"/>
      <c r="AH79" s="3548"/>
      <c r="AI79" s="3548"/>
      <c r="AJ79" s="3548"/>
      <c r="AK79" s="3548"/>
      <c r="AL79" s="3548"/>
      <c r="AM79" s="3548"/>
      <c r="AN79" s="3548"/>
      <c r="AO79" s="3549">
        <f>IF(COUNTIF(Psíquicos!$AD$20:$AH$65,AB79),VALUE(INDEX('Tablas psiquica'!$AE79:$AN79,MATCH('Tablas psiquica'!$AD79,'Tablas psiquica'!$AE$6:$AN$6,0))),0)</f>
        <v>0</v>
      </c>
      <c r="AQ79" s="2029" t="str">
        <f>IFERROR(IF(VLOOKUP(AR79,$D$7:$G$296,4,FALSE)&lt;&gt;"No",MAX(AQ$5:AQ78)+1,0),"")</f>
        <v/>
      </c>
      <c r="AR79" s="2030" t="str">
        <f t="shared" si="20"/>
        <v/>
      </c>
      <c r="AS79" s="2033" t="str">
        <f>IFERROR(VLOOKUP(Tablas!$A73,$AQ$7:$AR$145,2,FALSE),"")</f>
        <v/>
      </c>
      <c r="BF79" s="3061" t="str">
        <f>IF(BJ79=1,SUM(BJ$24:$BJ79),"")</f>
        <v/>
      </c>
      <c r="BG79" s="3032" t="str">
        <f t="shared" si="14"/>
        <v/>
      </c>
      <c r="BH79" s="3062">
        <v>56</v>
      </c>
      <c r="BI79" s="3600" t="s">
        <v>10342</v>
      </c>
      <c r="BJ79" s="3067">
        <f>IF(SUM(T112,OR(T33,T202))=2,1,0)</f>
        <v>0</v>
      </c>
      <c r="BK79" s="3064" t="str">
        <f t="shared" si="15"/>
        <v/>
      </c>
    </row>
    <row r="80" spans="1:87" ht="12.75" customHeight="1">
      <c r="A80" s="702">
        <v>80</v>
      </c>
      <c r="B80" s="3493">
        <f>IF(OR(S80=0),0,SUM($S$6:S80))</f>
        <v>0</v>
      </c>
      <c r="C80" s="3494"/>
      <c r="D80" s="257" t="s">
        <v>150</v>
      </c>
      <c r="E80" s="342"/>
      <c r="F80" s="343"/>
      <c r="G80" s="343"/>
      <c r="H80" s="344"/>
      <c r="I80" s="3571"/>
      <c r="J80" s="3571"/>
      <c r="K80" s="3571"/>
      <c r="L80" s="3571"/>
      <c r="M80" s="3571"/>
      <c r="N80" s="3571"/>
      <c r="O80" s="3571"/>
      <c r="P80" s="3571"/>
      <c r="Q80" s="3571"/>
      <c r="R80" s="3571"/>
      <c r="S80" s="3517">
        <f>S81</f>
        <v>0</v>
      </c>
      <c r="T80" s="3517"/>
      <c r="U80" s="404"/>
      <c r="V80" s="3523"/>
      <c r="W80" s="4252"/>
      <c r="X80" s="4251"/>
      <c r="Y80" s="404">
        <f t="shared" si="18"/>
        <v>0</v>
      </c>
      <c r="Z80" s="3496">
        <f t="shared" si="19"/>
        <v>0</v>
      </c>
      <c r="AB80" s="3547" t="s">
        <v>168</v>
      </c>
      <c r="AC80" s="2746" t="str" cm="1">
        <f t="array" ref="AC80">INDEX($I$6:$R$6,SUMPRODUCT(ISNUMBER(SEARCH("Fatiga",I99:R99))*1)+1)</f>
        <v>DIF</v>
      </c>
      <c r="AD80" s="2746" t="str">
        <f>IFERROR(VLOOKUP(AB80,Psíquicos!$AD$11:$AK$67,8,FALSE),AC80)</f>
        <v>DIF</v>
      </c>
      <c r="AE80" s="3548"/>
      <c r="AF80" s="3548"/>
      <c r="AG80" s="3548"/>
      <c r="AH80" s="3548"/>
      <c r="AI80" s="3548"/>
      <c r="AJ80" s="3548"/>
      <c r="AK80" s="3548"/>
      <c r="AL80" s="3548"/>
      <c r="AM80" s="3548"/>
      <c r="AN80" s="3548"/>
      <c r="AO80" s="3549">
        <f>IF(COUNTIF(Psíquicos!$AD$20:$AH$65,AB80),VALUE(INDEX('Tablas psiquica'!$AE80:$AN80,MATCH('Tablas psiquica'!$AD80,'Tablas psiquica'!$AE$6:$AN$6,0))),0)</f>
        <v>0</v>
      </c>
      <c r="AQ80" s="2029" t="str">
        <f>IFERROR(IF(VLOOKUP(AR80,$D$7:$G$296,4,FALSE)&lt;&gt;"No",MAX(AQ$5:AQ79)+1,0),"")</f>
        <v/>
      </c>
      <c r="AR80" s="2030" t="str">
        <f t="shared" si="20"/>
        <v/>
      </c>
      <c r="AS80" s="2033" t="str">
        <f>IFERROR(VLOOKUP(Tablas!$A74,$AQ$7:$AR$145,2,FALSE),"")</f>
        <v/>
      </c>
      <c r="BF80" s="3061" t="str">
        <f>IF(BJ80=1,SUM(BJ$24:$BJ80),"")</f>
        <v/>
      </c>
      <c r="BG80" s="3032" t="str">
        <f t="shared" si="14"/>
        <v/>
      </c>
      <c r="BH80" s="3062">
        <v>57</v>
      </c>
      <c r="BI80" s="3600" t="s">
        <v>10343</v>
      </c>
      <c r="BJ80" s="3067">
        <f>IF(SUM(T111,T178)=2,1,0)</f>
        <v>0</v>
      </c>
      <c r="BK80" s="3064" t="str">
        <f t="shared" si="15"/>
        <v/>
      </c>
    </row>
    <row r="81" spans="1:63" ht="12.75" customHeight="1">
      <c r="A81" s="702">
        <v>81</v>
      </c>
      <c r="B81" s="3493">
        <f>IF(OR(S81=0),0,SUM($S$6:S81))</f>
        <v>0</v>
      </c>
      <c r="C81" s="3494"/>
      <c r="D81" s="257" t="s">
        <v>151</v>
      </c>
      <c r="E81" s="342" t="s">
        <v>73</v>
      </c>
      <c r="F81" s="343">
        <v>1</v>
      </c>
      <c r="G81" s="343" t="s">
        <v>2422</v>
      </c>
      <c r="H81" s="344" t="s">
        <v>1165</v>
      </c>
      <c r="I81" s="3571" t="s">
        <v>5386</v>
      </c>
      <c r="J81" s="3571" t="s">
        <v>5387</v>
      </c>
      <c r="K81" s="3571" t="s">
        <v>5512</v>
      </c>
      <c r="L81" s="3571" t="s">
        <v>5513</v>
      </c>
      <c r="M81" s="3571" t="s">
        <v>5514</v>
      </c>
      <c r="N81" s="3571" t="s">
        <v>5622</v>
      </c>
      <c r="O81" s="3571" t="s">
        <v>5515</v>
      </c>
      <c r="P81" s="3571" t="s">
        <v>4002</v>
      </c>
      <c r="Q81" s="3571" t="s">
        <v>4004</v>
      </c>
      <c r="R81" s="3571" t="s">
        <v>5516</v>
      </c>
      <c r="S81" s="3516">
        <f>IF(COUNTIF(Psíquicos!$C$26:$E$37,E81)=0,0,1)</f>
        <v>0</v>
      </c>
      <c r="T81" s="3517">
        <f>COUNTIF(Psíquicos!$V$20:$Z$73,'Tablas psiquica'!D81)</f>
        <v>0</v>
      </c>
      <c r="U81" s="404"/>
      <c r="V81" s="3523"/>
      <c r="W81" s="4252" t="s">
        <v>13962</v>
      </c>
      <c r="X81" s="4251" t="s">
        <v>14007</v>
      </c>
      <c r="Y81" s="404">
        <f t="shared" si="18"/>
        <v>0</v>
      </c>
      <c r="Z81" s="3496">
        <f t="shared" si="19"/>
        <v>0</v>
      </c>
      <c r="AB81" s="3547" t="s">
        <v>169</v>
      </c>
      <c r="AC81" s="2746" t="str" cm="1">
        <f t="array" ref="AC81">INDEX($I$6:$R$6,SUMPRODUCT(ISNUMBER(SEARCH("Fatiga",I100:R100))*1)+1)</f>
        <v>MDF</v>
      </c>
      <c r="AD81" s="2746" t="str">
        <f>IFERROR(VLOOKUP(AB81,Psíquicos!$AD$11:$AK$67,8,FALSE),AC81)</f>
        <v>MDF</v>
      </c>
      <c r="AE81" s="3548"/>
      <c r="AF81" s="3548"/>
      <c r="AG81" s="3548"/>
      <c r="AH81" s="3548"/>
      <c r="AI81" s="3548"/>
      <c r="AJ81" s="3548"/>
      <c r="AK81" s="3548"/>
      <c r="AL81" s="3548"/>
      <c r="AM81" s="3548"/>
      <c r="AN81" s="3548"/>
      <c r="AO81" s="3549">
        <f>IF(COUNTIF(Psíquicos!$AD$20:$AH$65,AB81),VALUE(INDEX('Tablas psiquica'!$AE81:$AN81,MATCH('Tablas psiquica'!$AD81,'Tablas psiquica'!$AE$6:$AN$6,0))),0)</f>
        <v>0</v>
      </c>
      <c r="AQ81" s="2029" t="str">
        <f>IFERROR(IF(VLOOKUP(AR81,$D$7:$G$296,4,FALSE)&lt;&gt;"No",MAX(AQ$5:AQ80)+1,0),"")</f>
        <v/>
      </c>
      <c r="AR81" s="2030" t="str">
        <f t="shared" si="20"/>
        <v/>
      </c>
      <c r="AS81" s="2033" t="str">
        <f>IFERROR(VLOOKUP(Tablas!$A75,$AQ$7:$AR$145,2,FALSE),"")</f>
        <v/>
      </c>
      <c r="BF81" s="3061" t="str">
        <f>IF(BJ81=1,SUM(BJ$24:$BJ81),"")</f>
        <v/>
      </c>
      <c r="BG81" s="3032" t="str">
        <f t="shared" si="14"/>
        <v/>
      </c>
      <c r="BH81" s="3062">
        <v>58</v>
      </c>
      <c r="BI81" s="3600" t="s">
        <v>10344</v>
      </c>
      <c r="BJ81" s="3067">
        <f>IF(SUM(T119,OR(T132,T134))=2,1,0)</f>
        <v>0</v>
      </c>
      <c r="BK81" s="3064" t="str">
        <f t="shared" si="15"/>
        <v/>
      </c>
    </row>
    <row r="82" spans="1:63" ht="12.75" customHeight="1">
      <c r="A82" s="702">
        <v>82</v>
      </c>
      <c r="B82" s="3493">
        <f>IF(OR(S82=0),0,SUM($S$6:S82))</f>
        <v>0</v>
      </c>
      <c r="C82" s="3494"/>
      <c r="D82" s="257" t="s">
        <v>152</v>
      </c>
      <c r="E82" s="342" t="s">
        <v>73</v>
      </c>
      <c r="F82" s="343">
        <v>1</v>
      </c>
      <c r="G82" s="343" t="s">
        <v>2422</v>
      </c>
      <c r="H82" s="344" t="s">
        <v>1165</v>
      </c>
      <c r="I82" s="3571" t="s">
        <v>5386</v>
      </c>
      <c r="J82" s="3571" t="s">
        <v>5387</v>
      </c>
      <c r="K82" s="3571" t="s">
        <v>3334</v>
      </c>
      <c r="L82" s="3571" t="s">
        <v>5623</v>
      </c>
      <c r="M82" s="3571" t="s">
        <v>5624</v>
      </c>
      <c r="N82" s="3571" t="s">
        <v>5625</v>
      </c>
      <c r="O82" s="3571" t="s">
        <v>5626</v>
      </c>
      <c r="P82" s="3571" t="s">
        <v>5627</v>
      </c>
      <c r="Q82" s="3571" t="s">
        <v>5628</v>
      </c>
      <c r="R82" s="3571" t="s">
        <v>5629</v>
      </c>
      <c r="S82" s="3516">
        <f>IF(COUNTIF(Psíquicos!$C$26:$E$37,E82)=0,0,1)</f>
        <v>0</v>
      </c>
      <c r="T82" s="3517">
        <f>COUNTIF(Psíquicos!$V$20:$Z$73,'Tablas psiquica'!D82)</f>
        <v>0</v>
      </c>
      <c r="U82" s="404"/>
      <c r="V82" s="3523"/>
      <c r="W82" s="4252" t="s">
        <v>13962</v>
      </c>
      <c r="X82" s="4251" t="s">
        <v>14008</v>
      </c>
      <c r="Y82" s="404">
        <f t="shared" si="18"/>
        <v>0</v>
      </c>
      <c r="Z82" s="3496">
        <f t="shared" si="19"/>
        <v>0</v>
      </c>
      <c r="AB82" s="3547" t="s">
        <v>170</v>
      </c>
      <c r="AC82" s="2746" t="str" cm="1">
        <f t="array" ref="AC82">INDEX($I$6:$R$6,SUMPRODUCT(ISNUMBER(SEARCH("Fatiga",I101:R101))*1)+1)</f>
        <v>MDF</v>
      </c>
      <c r="AD82" s="2746" t="str">
        <f>IFERROR(VLOOKUP(AB82,Psíquicos!$AD$11:$AK$67,8,FALSE),AC82)</f>
        <v>MDF</v>
      </c>
      <c r="AE82" s="3548"/>
      <c r="AF82" s="3548"/>
      <c r="AG82" s="3548"/>
      <c r="AH82" s="3548"/>
      <c r="AI82" s="3548"/>
      <c r="AJ82" s="3548"/>
      <c r="AK82" s="3548"/>
      <c r="AL82" s="3548"/>
      <c r="AM82" s="3548"/>
      <c r="AN82" s="3548"/>
      <c r="AO82" s="3549">
        <f>IF(COUNTIF(Psíquicos!$AD$20:$AH$65,AB82),VALUE(INDEX('Tablas psiquica'!$AE82:$AN82,MATCH('Tablas psiquica'!$AD82,'Tablas psiquica'!$AE$6:$AN$6,0))),0)</f>
        <v>0</v>
      </c>
      <c r="AQ82" s="2029" t="str">
        <f>IFERROR(IF(VLOOKUP(AR82,$D$7:$G$296,4,FALSE)&lt;&gt;"No",MAX(AQ$5:AQ81)+1,0),"")</f>
        <v/>
      </c>
      <c r="AR82" s="2030" t="str">
        <f t="shared" si="20"/>
        <v/>
      </c>
      <c r="AS82" s="2033" t="str">
        <f>IFERROR(VLOOKUP(Tablas!$A76,$AQ$7:$AR$145,2,FALSE),"")</f>
        <v/>
      </c>
      <c r="BF82" s="3061" t="str">
        <f>IF(BJ82=1,SUM(BJ$24:$BJ82),"")</f>
        <v/>
      </c>
      <c r="BG82" s="3032" t="str">
        <f t="shared" si="14"/>
        <v/>
      </c>
      <c r="BH82" s="3062">
        <v>59</v>
      </c>
      <c r="BI82" s="3600" t="s">
        <v>10345</v>
      </c>
      <c r="BJ82" s="3067">
        <f>IF(SUM(T163,T150)=2,1,0)</f>
        <v>0</v>
      </c>
      <c r="BK82" s="3064" t="str">
        <f t="shared" si="15"/>
        <v/>
      </c>
    </row>
    <row r="83" spans="1:63" ht="12.75" customHeight="1">
      <c r="A83" s="702">
        <v>83</v>
      </c>
      <c r="B83" s="3493">
        <f>IF(OR(S83=0),0,SUM($S$6:S83))</f>
        <v>0</v>
      </c>
      <c r="C83" s="3494"/>
      <c r="D83" s="257" t="s">
        <v>153</v>
      </c>
      <c r="E83" s="342" t="s">
        <v>73</v>
      </c>
      <c r="F83" s="343">
        <v>1</v>
      </c>
      <c r="G83" s="343" t="s">
        <v>2422</v>
      </c>
      <c r="H83" s="344" t="s">
        <v>1166</v>
      </c>
      <c r="I83" s="3571" t="s">
        <v>5407</v>
      </c>
      <c r="J83" s="3571" t="s">
        <v>5406</v>
      </c>
      <c r="K83" s="3571" t="s">
        <v>5386</v>
      </c>
      <c r="L83" s="3571" t="s">
        <v>5437</v>
      </c>
      <c r="M83" s="3571" t="s">
        <v>5438</v>
      </c>
      <c r="N83" s="3571" t="s">
        <v>5526</v>
      </c>
      <c r="O83" s="3571" t="s">
        <v>5440</v>
      </c>
      <c r="P83" s="3571" t="s">
        <v>5630</v>
      </c>
      <c r="Q83" s="3571" t="s">
        <v>5631</v>
      </c>
      <c r="R83" s="3571" t="s">
        <v>5632</v>
      </c>
      <c r="S83" s="3516">
        <f>IF(COUNTIF(Psíquicos!$C$26:$E$37,E83)=0,0,1)</f>
        <v>0</v>
      </c>
      <c r="T83" s="3517">
        <f>COUNTIF(Psíquicos!$V$20:$Z$73,'Tablas psiquica'!D83)</f>
        <v>0</v>
      </c>
      <c r="U83" s="404"/>
      <c r="V83" s="3523">
        <v>1</v>
      </c>
      <c r="W83" s="4252" t="s">
        <v>13952</v>
      </c>
      <c r="X83" s="4251" t="s">
        <v>14009</v>
      </c>
      <c r="Y83" s="404">
        <f t="shared" si="18"/>
        <v>0</v>
      </c>
      <c r="Z83" s="3496">
        <f t="shared" si="19"/>
        <v>1</v>
      </c>
      <c r="AB83" s="3547" t="s">
        <v>208</v>
      </c>
      <c r="AC83" s="2746" t="str" cm="1">
        <f t="array" ref="AC83">INDEX($I$6:$R$6,SUMPRODUCT(ISNUMBER(SEARCH("Fatiga",I146:R146))*1)+1)</f>
        <v>MED</v>
      </c>
      <c r="AD83" s="2746" t="str">
        <f>IFERROR(VLOOKUP(AB83,Psíquicos!$AD$11:$AK$67,8,FALSE),AC83)</f>
        <v>MED</v>
      </c>
      <c r="AE83" s="3548"/>
      <c r="AF83" s="3548"/>
      <c r="AG83" s="3548"/>
      <c r="AH83" s="3548"/>
      <c r="AI83" s="3548"/>
      <c r="AJ83" s="3548"/>
      <c r="AK83" s="3548"/>
      <c r="AL83" s="3548"/>
      <c r="AM83" s="3548"/>
      <c r="AN83" s="3548"/>
      <c r="AO83" s="3549">
        <f>IF(COUNTIF(Psíquicos!$AD$20:$AH$65,AB83),VALUE(INDEX('Tablas psiquica'!$AE83:$AN83,MATCH('Tablas psiquica'!$AD83,'Tablas psiquica'!$AE$6:$AN$6,0))),0)</f>
        <v>0</v>
      </c>
      <c r="AQ83" s="2029" t="str">
        <f>IFERROR(IF(VLOOKUP(AR83,$D$7:$G$296,4,FALSE)&lt;&gt;"No",MAX(AQ$5:AQ82)+1,0),"")</f>
        <v/>
      </c>
      <c r="AR83" s="2030" t="str">
        <f t="shared" si="20"/>
        <v/>
      </c>
      <c r="AS83" s="2033" t="str">
        <f>IFERROR(VLOOKUP(Tablas!$A77,$AQ$7:$AR$145,2,FALSE),"")</f>
        <v/>
      </c>
      <c r="BF83" s="3061" t="str">
        <f>IF(BJ83=1,SUM(BJ$24:$BJ83),"")</f>
        <v/>
      </c>
      <c r="BG83" s="3032" t="str">
        <f t="shared" si="14"/>
        <v/>
      </c>
      <c r="BH83" s="3062">
        <v>60</v>
      </c>
      <c r="BI83" s="3600" t="s">
        <v>10346</v>
      </c>
      <c r="BJ83" s="3067">
        <f>IF(SUM(T153,T209)=2,1,0)</f>
        <v>0</v>
      </c>
      <c r="BK83" s="3064" t="str">
        <f t="shared" si="15"/>
        <v/>
      </c>
    </row>
    <row r="84" spans="1:63" ht="12.75" customHeight="1">
      <c r="A84" s="702">
        <v>84</v>
      </c>
      <c r="B84" s="3493">
        <f>IF(OR(S84=0),0,SUM($S$6:S84))</f>
        <v>0</v>
      </c>
      <c r="C84" s="3494"/>
      <c r="D84" s="257" t="s">
        <v>154</v>
      </c>
      <c r="E84" s="342" t="s">
        <v>73</v>
      </c>
      <c r="F84" s="343">
        <v>1</v>
      </c>
      <c r="G84" s="343" t="s">
        <v>2422</v>
      </c>
      <c r="H84" s="344" t="s">
        <v>1165</v>
      </c>
      <c r="I84" s="3571" t="s">
        <v>5406</v>
      </c>
      <c r="J84" s="3571" t="s">
        <v>5386</v>
      </c>
      <c r="K84" s="3571" t="s">
        <v>5387</v>
      </c>
      <c r="L84" s="3571" t="s">
        <v>5633</v>
      </c>
      <c r="M84" s="3571" t="s">
        <v>5634</v>
      </c>
      <c r="N84" s="3571" t="s">
        <v>5635</v>
      </c>
      <c r="O84" s="3571" t="s">
        <v>5636</v>
      </c>
      <c r="P84" s="3571" t="s">
        <v>5637</v>
      </c>
      <c r="Q84" s="3571" t="s">
        <v>5638</v>
      </c>
      <c r="R84" s="3571" t="s">
        <v>5639</v>
      </c>
      <c r="S84" s="3516">
        <f>IF(COUNTIF(Psíquicos!$C$26:$E$37,E84)=0,0,1)</f>
        <v>0</v>
      </c>
      <c r="T84" s="3517">
        <f>COUNTIF(Psíquicos!$V$20:$Z$73,'Tablas psiquica'!D84)</f>
        <v>0</v>
      </c>
      <c r="U84" s="404"/>
      <c r="V84" s="3523"/>
      <c r="W84" s="4252" t="s">
        <v>13988</v>
      </c>
      <c r="X84" s="4253" t="s">
        <v>14010</v>
      </c>
      <c r="Y84" s="404">
        <f t="shared" si="18"/>
        <v>0</v>
      </c>
      <c r="Z84" s="3496">
        <f t="shared" si="19"/>
        <v>0</v>
      </c>
      <c r="AB84" s="3537" t="s">
        <v>9595</v>
      </c>
      <c r="AC84" s="342" t="str" cm="1">
        <f t="array" ref="AC84">INDEX($I$6:$R$6,SUMPRODUCT(ISNUMBER(SEARCH("Fatiga",I103:R103))*1)+1)</f>
        <v>ABS</v>
      </c>
      <c r="AD84" s="342" t="str">
        <f>IFERROR(VLOOKUP(AB84,Psíquicos!$AD$11:$AK$67,8,FALSE),AC84)</f>
        <v>ABS</v>
      </c>
      <c r="AE84" s="798"/>
      <c r="AF84" s="798"/>
      <c r="AG84" s="798"/>
      <c r="AH84" s="798"/>
      <c r="AI84" s="798"/>
      <c r="AJ84" s="798"/>
      <c r="AK84" s="798"/>
      <c r="AL84" s="798"/>
      <c r="AM84" s="798"/>
      <c r="AN84" s="798"/>
      <c r="AO84" s="1793">
        <f>IF(COUNTIF(Psíquicos!$AD$20:$AH$65,AB84),VALUE(INDEX('Tablas psiquica'!$AE84:$AN84,MATCH('Tablas psiquica'!$AD84,'Tablas psiquica'!$AE$6:$AN$6,0))),0)</f>
        <v>0</v>
      </c>
      <c r="AQ84" s="2029" t="str">
        <f>IFERROR(IF(VLOOKUP(AR84,$D$7:$G$296,4,FALSE)&lt;&gt;"No",MAX(AQ$5:AQ83)+1,0),"")</f>
        <v/>
      </c>
      <c r="AR84" s="2030" t="str">
        <f t="shared" si="20"/>
        <v/>
      </c>
      <c r="AS84" s="2033" t="str">
        <f>IFERROR(VLOOKUP(Tablas!$A78,$AQ$7:$AR$145,2,FALSE),"")</f>
        <v/>
      </c>
      <c r="BF84" s="3061" t="str">
        <f>IF(BJ84=1,SUM(BJ$24:$BJ84),"")</f>
        <v/>
      </c>
      <c r="BG84" s="3032" t="str">
        <f t="shared" si="14"/>
        <v/>
      </c>
      <c r="BH84" s="3062">
        <v>61</v>
      </c>
      <c r="BI84" s="3600" t="s">
        <v>10347</v>
      </c>
      <c r="BJ84" s="3067">
        <f>IF(SUM(T199,T208)=2,1,0)</f>
        <v>0</v>
      </c>
      <c r="BK84" s="3064" t="str">
        <f t="shared" si="15"/>
        <v/>
      </c>
    </row>
    <row r="85" spans="1:63" ht="12.75" customHeight="1">
      <c r="A85" s="702">
        <v>85</v>
      </c>
      <c r="B85" s="3493">
        <f>IF(OR(S85=0),0,SUM($S$6:S85))</f>
        <v>0</v>
      </c>
      <c r="C85" s="3494"/>
      <c r="D85" s="257" t="s">
        <v>155</v>
      </c>
      <c r="E85" s="342" t="s">
        <v>73</v>
      </c>
      <c r="F85" s="343">
        <v>1</v>
      </c>
      <c r="G85" s="343" t="s">
        <v>1241</v>
      </c>
      <c r="H85" s="344" t="s">
        <v>1165</v>
      </c>
      <c r="I85" s="3571" t="s">
        <v>5406</v>
      </c>
      <c r="J85" s="3571" t="s">
        <v>5386</v>
      </c>
      <c r="K85" s="3571" t="s">
        <v>5387</v>
      </c>
      <c r="L85" s="3571" t="s">
        <v>3922</v>
      </c>
      <c r="M85" s="3571" t="s">
        <v>3923</v>
      </c>
      <c r="N85" s="3571" t="s">
        <v>3531</v>
      </c>
      <c r="O85" s="3571" t="s">
        <v>3246</v>
      </c>
      <c r="P85" s="3571" t="s">
        <v>5640</v>
      </c>
      <c r="Q85" s="3571" t="s">
        <v>5641</v>
      </c>
      <c r="R85" s="3571" t="s">
        <v>5642</v>
      </c>
      <c r="S85" s="3516">
        <f>IF(COUNTIF(Psíquicos!$C$26:$E$37,E85)=0,0,1)</f>
        <v>0</v>
      </c>
      <c r="T85" s="3517">
        <f>COUNTIF(Psíquicos!$V$20:$Z$73,'Tablas psiquica'!D85)</f>
        <v>0</v>
      </c>
      <c r="U85" s="404">
        <v>1</v>
      </c>
      <c r="V85" s="3523"/>
      <c r="W85" s="4252" t="s">
        <v>13944</v>
      </c>
      <c r="X85" s="4251" t="s">
        <v>14011</v>
      </c>
      <c r="Y85" s="404">
        <f t="shared" si="18"/>
        <v>1</v>
      </c>
      <c r="Z85" s="3496">
        <f t="shared" si="19"/>
        <v>0</v>
      </c>
      <c r="AB85" s="3537" t="s">
        <v>172</v>
      </c>
      <c r="AC85" s="342"/>
      <c r="AD85" s="342"/>
      <c r="AE85" s="798"/>
      <c r="AF85" s="798"/>
      <c r="AG85" s="798"/>
      <c r="AH85" s="798"/>
      <c r="AI85" s="798"/>
      <c r="AJ85" s="798"/>
      <c r="AK85" s="798"/>
      <c r="AL85" s="798"/>
      <c r="AM85" s="798"/>
      <c r="AN85" s="798"/>
      <c r="AO85" s="1793" t="e">
        <f>IF(COUNTIF(Psíquicos!$AD$20:$AH$65,AB85),VALUE(INDEX('Tablas psiquica'!#REF!,MATCH('Tablas psiquica'!#REF!,'Tablas psiquica'!$AE$6:$AN$6,0))),0)</f>
        <v>#REF!</v>
      </c>
      <c r="AQ85" s="2029" t="str">
        <f>IFERROR(IF(VLOOKUP(AR85,$D$7:$G$296,4,FALSE)&lt;&gt;"No",MAX(AQ$5:AQ84)+1,0),"")</f>
        <v/>
      </c>
      <c r="AR85" s="2030" t="str">
        <f t="shared" si="20"/>
        <v/>
      </c>
      <c r="AS85" s="2033" t="str">
        <f>IFERROR(VLOOKUP(Tablas!$A79,$AQ$7:$AR$145,2,FALSE),"")</f>
        <v/>
      </c>
      <c r="BF85" s="3061" t="str">
        <f>IF(BJ85=1,SUM(BJ$24:$BJ85),"")</f>
        <v/>
      </c>
      <c r="BG85" s="3032" t="str">
        <f t="shared" si="14"/>
        <v/>
      </c>
      <c r="BH85" s="3062">
        <v>62</v>
      </c>
      <c r="BI85" s="3600" t="s">
        <v>6654</v>
      </c>
      <c r="BJ85" s="3067">
        <f>IF(SUM(T26,T189)=2,1,0)</f>
        <v>0</v>
      </c>
      <c r="BK85" s="3064" t="str">
        <f t="shared" si="15"/>
        <v/>
      </c>
    </row>
    <row r="86" spans="1:63" ht="12.75" customHeight="1">
      <c r="A86" s="702">
        <v>86</v>
      </c>
      <c r="B86" s="3493">
        <f>IF(OR(S86=0),0,SUM($S$6:S86))</f>
        <v>0</v>
      </c>
      <c r="C86" s="3494"/>
      <c r="D86" s="257" t="s">
        <v>156</v>
      </c>
      <c r="E86" s="342" t="s">
        <v>73</v>
      </c>
      <c r="F86" s="343">
        <v>2</v>
      </c>
      <c r="G86" s="343" t="s">
        <v>1241</v>
      </c>
      <c r="H86" s="344" t="s">
        <v>1165</v>
      </c>
      <c r="I86" s="3571" t="s">
        <v>5407</v>
      </c>
      <c r="J86" s="3571" t="s">
        <v>5406</v>
      </c>
      <c r="K86" s="3571" t="s">
        <v>5386</v>
      </c>
      <c r="L86" s="3571" t="s">
        <v>5643</v>
      </c>
      <c r="M86" s="3571" t="s">
        <v>11334</v>
      </c>
      <c r="N86" s="3571" t="s">
        <v>11349</v>
      </c>
      <c r="O86" s="3571" t="s">
        <v>11365</v>
      </c>
      <c r="P86" s="3571" t="s">
        <v>11378</v>
      </c>
      <c r="Q86" s="3571" t="s">
        <v>11401</v>
      </c>
      <c r="R86" s="3571" t="s">
        <v>11407</v>
      </c>
      <c r="S86" s="3516">
        <f>IF(COUNTIF(Psíquicos!$C$26:$E$37,E86)=0,0,1)</f>
        <v>0</v>
      </c>
      <c r="T86" s="3517">
        <f>COUNTIF(Psíquicos!$V$20:$Z$73,'Tablas psiquica'!D86)</f>
        <v>0</v>
      </c>
      <c r="U86" s="404"/>
      <c r="V86" s="3523"/>
      <c r="W86" s="4252" t="s">
        <v>14000</v>
      </c>
      <c r="X86" s="4251" t="s">
        <v>2000</v>
      </c>
      <c r="Y86" s="404">
        <f t="shared" si="18"/>
        <v>0</v>
      </c>
      <c r="Z86" s="3496">
        <f t="shared" si="19"/>
        <v>0</v>
      </c>
      <c r="AB86" s="3537" t="s">
        <v>173</v>
      </c>
      <c r="AC86" s="342" t="str" cm="1">
        <f t="array" ref="AC86">INDEX($I$6:$R$6,SUMPRODUCT(ISNUMBER(SEARCH("Fatiga",I107:R107))*1)+1)</f>
        <v>FAC</v>
      </c>
      <c r="AD86" s="342" t="str">
        <f>IFERROR(VLOOKUP(AB86,Psíquicos!$AD$11:$AK$67,8,FALSE),AC86)</f>
        <v>FAC</v>
      </c>
      <c r="AE86" s="798"/>
      <c r="AF86" s="798"/>
      <c r="AG86" s="798"/>
      <c r="AH86" s="798"/>
      <c r="AI86" s="798"/>
      <c r="AJ86" s="798"/>
      <c r="AK86" s="798"/>
      <c r="AL86" s="798"/>
      <c r="AM86" s="798"/>
      <c r="AN86" s="798"/>
      <c r="AO86" s="1793">
        <f>IF(COUNTIF(Psíquicos!$AD$20:$AH$65,AB86),VALUE(INDEX('Tablas psiquica'!#REF!,MATCH('Tablas psiquica'!#REF!,'Tablas psiquica'!$AE$6:$AN$6,0))),0)</f>
        <v>0</v>
      </c>
      <c r="AQ86" s="2029" t="str">
        <f>IFERROR(IF(VLOOKUP(AR86,$D$7:$G$296,4,FALSE)&lt;&gt;"No",MAX(AQ$5:AQ85)+1,0),"")</f>
        <v/>
      </c>
      <c r="AR86" s="2030" t="str">
        <f t="shared" si="20"/>
        <v/>
      </c>
      <c r="AS86" s="2033" t="str">
        <f>IFERROR(VLOOKUP(Tablas!$A80,$AQ$7:$AR$145,2,FALSE),"")</f>
        <v/>
      </c>
      <c r="BF86" s="3061" t="str">
        <f>IF(BJ86=1,SUM(BJ$24:$BJ86),"")</f>
        <v/>
      </c>
      <c r="BG86" s="3032" t="str">
        <f t="shared" si="14"/>
        <v/>
      </c>
      <c r="BH86" s="3062">
        <v>63</v>
      </c>
      <c r="BI86" s="3600" t="s">
        <v>10348</v>
      </c>
      <c r="BJ86" s="3067">
        <f>IF(SUM(T91,T141)=2,1,0)</f>
        <v>0</v>
      </c>
      <c r="BK86" s="3064" t="str">
        <f t="shared" si="15"/>
        <v/>
      </c>
    </row>
    <row r="87" spans="1:63" ht="12.75" customHeight="1">
      <c r="A87" s="702">
        <v>87</v>
      </c>
      <c r="B87" s="3493">
        <f>IF(OR(S87=0),0,SUM($S$6:S87))</f>
        <v>0</v>
      </c>
      <c r="C87" s="3494"/>
      <c r="D87" s="257" t="s">
        <v>157</v>
      </c>
      <c r="E87" s="342" t="s">
        <v>73</v>
      </c>
      <c r="F87" s="343">
        <v>2</v>
      </c>
      <c r="G87" s="343" t="s">
        <v>2422</v>
      </c>
      <c r="H87" s="344" t="s">
        <v>1166</v>
      </c>
      <c r="I87" s="3571" t="s">
        <v>5416</v>
      </c>
      <c r="J87" s="3571" t="s">
        <v>5408</v>
      </c>
      <c r="K87" s="3571" t="s">
        <v>5407</v>
      </c>
      <c r="L87" s="3571" t="s">
        <v>5406</v>
      </c>
      <c r="M87" s="3571" t="s">
        <v>5386</v>
      </c>
      <c r="N87" s="3571" t="s">
        <v>3336</v>
      </c>
      <c r="O87" s="3571" t="s">
        <v>3998</v>
      </c>
      <c r="P87" s="3571" t="s">
        <v>3337</v>
      </c>
      <c r="Q87" s="3571" t="s">
        <v>5493</v>
      </c>
      <c r="R87" s="3571" t="s">
        <v>5494</v>
      </c>
      <c r="S87" s="3516">
        <f>IF(COUNTIF(Psíquicos!$C$26:$E$37,E87)=0,0,1)</f>
        <v>0</v>
      </c>
      <c r="T87" s="3517">
        <f>COUNTIF(Psíquicos!$V$20:$Z$73,'Tablas psiquica'!D87)</f>
        <v>0</v>
      </c>
      <c r="U87" s="404"/>
      <c r="V87" s="3523"/>
      <c r="W87" s="4252" t="s">
        <v>13952</v>
      </c>
      <c r="X87" s="4251" t="s">
        <v>14012</v>
      </c>
      <c r="Y87" s="404">
        <f t="shared" si="18"/>
        <v>0</v>
      </c>
      <c r="Z87" s="3496">
        <f t="shared" si="19"/>
        <v>0</v>
      </c>
      <c r="AB87" s="3537" t="s">
        <v>11762</v>
      </c>
      <c r="AC87" s="342" t="str" cm="1">
        <f t="array" ref="AC87">INDEX($I$6:$R$6,SUMPRODUCT(ISNUMBER(SEARCH("Fatiga",I108:R108))*1)+1)</f>
        <v>DIF</v>
      </c>
      <c r="AD87" s="342" t="str">
        <f>IFERROR(VLOOKUP(AB87,Psíquicos!$AD$11:$AK$67,8,FALSE),AC87)</f>
        <v>DIF</v>
      </c>
      <c r="AE87" s="798"/>
      <c r="AF87" s="798"/>
      <c r="AG87" s="798"/>
      <c r="AH87" s="798"/>
      <c r="AI87" s="798"/>
      <c r="AJ87" s="798"/>
      <c r="AK87" s="798"/>
      <c r="AL87" s="798"/>
      <c r="AM87" s="798"/>
      <c r="AN87" s="798"/>
      <c r="AO87" s="1793">
        <f>IF(COUNTIF(Psíquicos!$AD$20:$AH$65,AB87),VALUE(INDEX('Tablas psiquica'!$AE85:$AN85,MATCH('Tablas psiquica'!$AD85,'Tablas psiquica'!$AE$6:$AN$6,0))),0)</f>
        <v>0</v>
      </c>
      <c r="AQ87" s="2029" t="str">
        <f>IFERROR(IF(VLOOKUP(AR87,$D$7:$G$296,4,FALSE)&lt;&gt;"No",MAX(AQ$5:AQ86)+1,0),"")</f>
        <v/>
      </c>
      <c r="AR87" s="2030" t="str">
        <f t="shared" si="20"/>
        <v/>
      </c>
      <c r="AS87" s="2033" t="str">
        <f>IFERROR(VLOOKUP(Tablas!$A81,$AQ$7:$AR$145,2,FALSE),"")</f>
        <v/>
      </c>
      <c r="BF87" s="3061" t="str">
        <f>IF(BJ87=1,SUM(BJ$24:$BJ87),"")</f>
        <v/>
      </c>
      <c r="BG87" s="3032" t="str">
        <f t="shared" si="14"/>
        <v/>
      </c>
      <c r="BH87" s="3062">
        <v>64</v>
      </c>
      <c r="BI87" s="3600" t="s">
        <v>10349</v>
      </c>
      <c r="BJ87" s="3067">
        <f>IF(SUM(T139,T191)=2,1,0)</f>
        <v>0</v>
      </c>
      <c r="BK87" s="3064" t="str">
        <f t="shared" si="15"/>
        <v/>
      </c>
    </row>
    <row r="88" spans="1:63" ht="12.75" customHeight="1">
      <c r="A88" s="702">
        <v>88</v>
      </c>
      <c r="B88" s="3493">
        <f>IF(OR(S88=0),0,SUM($S$6:S88))</f>
        <v>0</v>
      </c>
      <c r="C88" s="3494"/>
      <c r="D88" s="257" t="s">
        <v>158</v>
      </c>
      <c r="E88" s="342" t="s">
        <v>73</v>
      </c>
      <c r="F88" s="343">
        <v>2</v>
      </c>
      <c r="G88" s="343" t="s">
        <v>2422</v>
      </c>
      <c r="H88" s="344" t="s">
        <v>1165</v>
      </c>
      <c r="I88" s="3571" t="s">
        <v>5407</v>
      </c>
      <c r="J88" s="3571" t="s">
        <v>5406</v>
      </c>
      <c r="K88" s="3571" t="s">
        <v>5386</v>
      </c>
      <c r="L88" s="3571" t="s">
        <v>5644</v>
      </c>
      <c r="M88" s="3571" t="s">
        <v>5645</v>
      </c>
      <c r="N88" s="3571" t="s">
        <v>5684</v>
      </c>
      <c r="O88" s="3571" t="s">
        <v>5685</v>
      </c>
      <c r="P88" s="3571" t="s">
        <v>5686</v>
      </c>
      <c r="Q88" s="3571" t="s">
        <v>5687</v>
      </c>
      <c r="R88" s="3571" t="s">
        <v>11402</v>
      </c>
      <c r="S88" s="3516">
        <f>IF(COUNTIF(Psíquicos!$C$26:$E$37,E88)=0,0,1)</f>
        <v>0</v>
      </c>
      <c r="T88" s="3517">
        <f>COUNTIF(Psíquicos!$V$20:$Z$73,'Tablas psiquica'!D88)</f>
        <v>0</v>
      </c>
      <c r="U88" s="404"/>
      <c r="V88" s="3523"/>
      <c r="W88" s="4252" t="s">
        <v>13962</v>
      </c>
      <c r="X88" s="4251" t="s">
        <v>14013</v>
      </c>
      <c r="Y88" s="404">
        <f t="shared" si="18"/>
        <v>0</v>
      </c>
      <c r="Z88" s="3496">
        <f t="shared" si="19"/>
        <v>0</v>
      </c>
      <c r="AB88" s="3537" t="s">
        <v>176</v>
      </c>
      <c r="AC88" s="342" t="str" cm="1">
        <f t="array" ref="AC88">INDEX($I$6:$R$6,SUMPRODUCT(ISNUMBER(SEARCH("Fatiga",I110:R110))*1)+1)</f>
        <v>MDF</v>
      </c>
      <c r="AD88" s="342" t="str">
        <f>IFERROR(VLOOKUP(AB88,Psíquicos!$AD$11:$AK$67,8,FALSE),AC88)</f>
        <v>MDF</v>
      </c>
      <c r="AE88" s="798"/>
      <c r="AF88" s="798"/>
      <c r="AG88" s="798"/>
      <c r="AH88" s="798"/>
      <c r="AI88" s="798"/>
      <c r="AJ88" s="798"/>
      <c r="AK88" s="798"/>
      <c r="AL88" s="798"/>
      <c r="AM88" s="798"/>
      <c r="AN88" s="798"/>
      <c r="AO88" s="1793">
        <f>IF(COUNTIF(Psíquicos!$AD$20:$AH$65,AB88),VALUE(INDEX('Tablas psiquica'!$AE86:$AN86,MATCH('Tablas psiquica'!$AD86,'Tablas psiquica'!$AE$6:$AN$6,0))),0)</f>
        <v>0</v>
      </c>
      <c r="AQ88" s="2029" t="str">
        <f>IFERROR(IF(VLOOKUP(AR88,$D$7:$G$296,4,FALSE)&lt;&gt;"No",MAX(AQ$5:AQ87)+1,0),"")</f>
        <v/>
      </c>
      <c r="AR88" s="2030" t="str">
        <f t="shared" si="20"/>
        <v/>
      </c>
      <c r="AS88" s="2033" t="str">
        <f>IFERROR(VLOOKUP(Tablas!$A82,$AQ$7:$AR$145,2,FALSE),"")</f>
        <v/>
      </c>
      <c r="BF88" s="3061" t="str">
        <f>IF(BJ88=1,SUM(BJ$24:$BJ88),"")</f>
        <v/>
      </c>
      <c r="BG88" s="3032" t="str">
        <f t="shared" ref="BG88:BG89" si="21">IFERROR(SMALL($BF$24:$BF$89,BH88),"")</f>
        <v/>
      </c>
      <c r="BH88" s="3062">
        <v>65</v>
      </c>
      <c r="BI88" s="3600" t="s">
        <v>11758</v>
      </c>
      <c r="BJ88" s="3067">
        <f>IF(SUM(T169,T114)=2,1,0)</f>
        <v>0</v>
      </c>
      <c r="BK88" s="3064" t="str">
        <f t="shared" si="15"/>
        <v/>
      </c>
    </row>
    <row r="89" spans="1:63" ht="12.75" customHeight="1" thickBot="1">
      <c r="A89" s="702">
        <v>89</v>
      </c>
      <c r="B89" s="3493">
        <f>IF(OR(S89=0),0,SUM($S$6:S89))</f>
        <v>0</v>
      </c>
      <c r="C89" s="3494"/>
      <c r="D89" s="257" t="s">
        <v>159</v>
      </c>
      <c r="E89" s="342" t="s">
        <v>73</v>
      </c>
      <c r="F89" s="343">
        <v>2</v>
      </c>
      <c r="G89" s="343" t="s">
        <v>1241</v>
      </c>
      <c r="H89" s="344" t="s">
        <v>1165</v>
      </c>
      <c r="I89" s="3571" t="s">
        <v>5408</v>
      </c>
      <c r="J89" s="3571" t="s">
        <v>5407</v>
      </c>
      <c r="K89" s="3571" t="s">
        <v>5406</v>
      </c>
      <c r="L89" s="3571" t="s">
        <v>5386</v>
      </c>
      <c r="M89" s="3571" t="s">
        <v>5645</v>
      </c>
      <c r="N89" s="3571" t="s">
        <v>5684</v>
      </c>
      <c r="O89" s="3571" t="s">
        <v>5685</v>
      </c>
      <c r="P89" s="3571" t="s">
        <v>5686</v>
      </c>
      <c r="Q89" s="3571" t="s">
        <v>5687</v>
      </c>
      <c r="R89" s="3571" t="s">
        <v>11402</v>
      </c>
      <c r="S89" s="3516">
        <f>IF(COUNTIF(Psíquicos!$C$26:$E$37,E89)=0,0,1)</f>
        <v>0</v>
      </c>
      <c r="T89" s="3517">
        <f>COUNTIF(Psíquicos!$V$20:$Z$73,'Tablas psiquica'!D89)</f>
        <v>0</v>
      </c>
      <c r="U89" s="404"/>
      <c r="V89" s="3523"/>
      <c r="W89" s="4252" t="s">
        <v>13944</v>
      </c>
      <c r="X89" s="4253" t="s">
        <v>13980</v>
      </c>
      <c r="Y89" s="404">
        <f t="shared" si="18"/>
        <v>0</v>
      </c>
      <c r="Z89" s="3496">
        <f t="shared" si="19"/>
        <v>0</v>
      </c>
      <c r="AB89" s="3537" t="s">
        <v>177</v>
      </c>
      <c r="AC89" s="342"/>
      <c r="AD89" s="342"/>
      <c r="AE89" s="798"/>
      <c r="AF89" s="798"/>
      <c r="AG89" s="798"/>
      <c r="AH89" s="798"/>
      <c r="AI89" s="798"/>
      <c r="AJ89" s="798"/>
      <c r="AK89" s="798"/>
      <c r="AL89" s="798"/>
      <c r="AM89" s="798"/>
      <c r="AN89" s="798"/>
      <c r="AO89" s="1793">
        <f>IF(COUNTIF(Psíquicos!$AD$20:$AH$65,AB89),VALUE(INDEX('Tablas psiquica'!$AE86:$AN86,MATCH('Tablas psiquica'!$AD86,'Tablas psiquica'!$AE$6:$AN$6,0))),0)</f>
        <v>0</v>
      </c>
      <c r="AQ89" s="2029" t="str">
        <f>IFERROR(IF(VLOOKUP(AR89,$D$7:$G$296,4,FALSE)&lt;&gt;"No",MAX(AQ$5:AQ88)+1,0),"")</f>
        <v/>
      </c>
      <c r="AR89" s="2030" t="str">
        <f t="shared" si="20"/>
        <v/>
      </c>
      <c r="AS89" s="2033" t="str">
        <f>IFERROR(VLOOKUP(Tablas!$A83,$AQ$7:$AR$145,2,FALSE),"")</f>
        <v/>
      </c>
      <c r="BF89" s="3528" t="str">
        <f>IF(BJ89=1,SUM(BJ$24:$BJ89),"")</f>
        <v/>
      </c>
      <c r="BG89" s="3577" t="str">
        <f t="shared" si="21"/>
        <v/>
      </c>
      <c r="BH89" s="3578">
        <v>66</v>
      </c>
      <c r="BI89" s="3069" t="s">
        <v>10350</v>
      </c>
      <c r="BJ89" s="3070">
        <f>IF(SUM(T140,T208)=2,1,0)</f>
        <v>0</v>
      </c>
      <c r="BK89" s="3579" t="str">
        <f t="shared" si="15"/>
        <v/>
      </c>
    </row>
    <row r="90" spans="1:63" ht="12.75" customHeight="1">
      <c r="A90" s="702">
        <v>90</v>
      </c>
      <c r="B90" s="3493">
        <f>IF(OR(S90=0),0,SUM($S$6:S90))</f>
        <v>0</v>
      </c>
      <c r="C90" s="3494"/>
      <c r="D90" s="257" t="s">
        <v>160</v>
      </c>
      <c r="E90" s="342" t="s">
        <v>73</v>
      </c>
      <c r="F90" s="343">
        <v>3</v>
      </c>
      <c r="G90" s="343" t="s">
        <v>1241</v>
      </c>
      <c r="H90" s="344" t="s">
        <v>1165</v>
      </c>
      <c r="I90" s="3571" t="s">
        <v>5417</v>
      </c>
      <c r="J90" s="3571" t="s">
        <v>5416</v>
      </c>
      <c r="K90" s="3571" t="s">
        <v>5408</v>
      </c>
      <c r="L90" s="3571" t="s">
        <v>5407</v>
      </c>
      <c r="M90" s="3571" t="s">
        <v>5406</v>
      </c>
      <c r="N90" s="3571" t="s">
        <v>5646</v>
      </c>
      <c r="O90" s="3571" t="s">
        <v>5647</v>
      </c>
      <c r="P90" s="3571" t="s">
        <v>5648</v>
      </c>
      <c r="Q90" s="3571" t="s">
        <v>5649</v>
      </c>
      <c r="R90" s="3571" t="s">
        <v>5650</v>
      </c>
      <c r="S90" s="3516">
        <f>IF(COUNTIF(Psíquicos!$C$26:$E$37,E90)=0,0,1)</f>
        <v>0</v>
      </c>
      <c r="T90" s="3517">
        <f>COUNTIF(Psíquicos!$V$20:$Z$73,'Tablas psiquica'!D90)</f>
        <v>0</v>
      </c>
      <c r="U90" s="404">
        <v>1</v>
      </c>
      <c r="V90" s="3523"/>
      <c r="W90" s="4252" t="s">
        <v>13942</v>
      </c>
      <c r="X90" s="4251" t="s">
        <v>14011</v>
      </c>
      <c r="Y90" s="404">
        <f t="shared" si="18"/>
        <v>1</v>
      </c>
      <c r="Z90" s="3496">
        <f t="shared" si="19"/>
        <v>0</v>
      </c>
      <c r="AB90" s="3537" t="s">
        <v>178</v>
      </c>
      <c r="AC90" s="342" t="str" cm="1">
        <f t="array" ref="AC90">INDEX($I$6:$R$6,SUMPRODUCT(ISNUMBER(SEARCH("Fatiga",I112:R112))*1)+1)</f>
        <v>ABS</v>
      </c>
      <c r="AD90" s="342" t="str">
        <f>IFERROR(VLOOKUP(AB90,Psíquicos!$AD$11:$AK$67,8,FALSE),AC90)</f>
        <v>ABS</v>
      </c>
      <c r="AE90" s="798"/>
      <c r="AF90" s="798"/>
      <c r="AG90" s="798"/>
      <c r="AH90" s="798"/>
      <c r="AI90" s="798"/>
      <c r="AJ90" s="798"/>
      <c r="AK90" s="798"/>
      <c r="AL90" s="798"/>
      <c r="AM90" s="798"/>
      <c r="AN90" s="798"/>
      <c r="AO90" s="1793">
        <f>IF(COUNTIF(Psíquicos!$AD$20:$AH$65,AB90),VALUE(INDEX('Tablas psiquica'!$AE87:$AN87,MATCH('Tablas psiquica'!$AD87,'Tablas psiquica'!$AE$6:$AN$6,0))),0)</f>
        <v>0</v>
      </c>
      <c r="AQ90" s="2029" t="str">
        <f>IFERROR(IF(VLOOKUP(AR90,$D$7:$G$296,4,FALSE)&lt;&gt;"No",MAX(AQ$5:AQ89)+1,0),"")</f>
        <v/>
      </c>
      <c r="AR90" s="2030" t="str">
        <f t="shared" si="20"/>
        <v/>
      </c>
      <c r="AS90" s="2033" t="str">
        <f>IFERROR(VLOOKUP(Tablas!$A84,$AQ$7:$AR$145,2,FALSE),"")</f>
        <v/>
      </c>
    </row>
    <row r="91" spans="1:63" ht="12.75" customHeight="1">
      <c r="A91" s="702">
        <v>91</v>
      </c>
      <c r="B91" s="3493">
        <f>IF(OR(S91=0),0,SUM($S$6:S91))</f>
        <v>0</v>
      </c>
      <c r="C91" s="3494"/>
      <c r="D91" s="257" t="s">
        <v>161</v>
      </c>
      <c r="E91" s="342" t="s">
        <v>73</v>
      </c>
      <c r="F91" s="343">
        <v>3</v>
      </c>
      <c r="G91" s="343" t="s">
        <v>2422</v>
      </c>
      <c r="H91" s="344" t="s">
        <v>1165</v>
      </c>
      <c r="I91" s="3571" t="s">
        <v>5473</v>
      </c>
      <c r="J91" s="3571" t="s">
        <v>5417</v>
      </c>
      <c r="K91" s="3571" t="s">
        <v>5416</v>
      </c>
      <c r="L91" s="3571" t="s">
        <v>5408</v>
      </c>
      <c r="M91" s="3571" t="s">
        <v>5407</v>
      </c>
      <c r="N91" s="3571" t="s">
        <v>5406</v>
      </c>
      <c r="O91" s="3571" t="s">
        <v>3999</v>
      </c>
      <c r="P91" s="3571" t="s">
        <v>4000</v>
      </c>
      <c r="Q91" s="3571" t="s">
        <v>4001</v>
      </c>
      <c r="R91" s="3571" t="s">
        <v>5651</v>
      </c>
      <c r="S91" s="3516">
        <f>IF(COUNTIF(Psíquicos!$C$26:$E$37,E91)=0,0,1)</f>
        <v>0</v>
      </c>
      <c r="T91" s="3517">
        <f>COUNTIF(Psíquicos!$V$20:$Z$73,'Tablas psiquica'!D91)</f>
        <v>0</v>
      </c>
      <c r="U91" s="404"/>
      <c r="V91" s="3523"/>
      <c r="W91" s="4252" t="s">
        <v>13942</v>
      </c>
      <c r="X91" s="4251" t="s">
        <v>14008</v>
      </c>
      <c r="Y91" s="404">
        <f t="shared" si="18"/>
        <v>0</v>
      </c>
      <c r="Z91" s="3496">
        <f t="shared" si="19"/>
        <v>0</v>
      </c>
      <c r="AB91" s="3537" t="s">
        <v>11764</v>
      </c>
      <c r="AC91" s="342" t="str" cm="1">
        <f t="array" ref="AC91">INDEX($I$6:$R$6,SUMPRODUCT(ISNUMBER(SEARCH("Fatiga",I115:R115))*1)+1)</f>
        <v>DIF</v>
      </c>
      <c r="AD91" s="342" t="str">
        <f>IFERROR(VLOOKUP(AB91,Psíquicos!$AD$11:$AK$67,8,FALSE),AC91)</f>
        <v>DIF</v>
      </c>
      <c r="AE91" s="798"/>
      <c r="AF91" s="798"/>
      <c r="AG91" s="798"/>
      <c r="AH91" s="798"/>
      <c r="AI91" s="798"/>
      <c r="AJ91" s="798"/>
      <c r="AK91" s="798"/>
      <c r="AL91" s="798"/>
      <c r="AM91" s="798"/>
      <c r="AN91" s="798"/>
      <c r="AO91" s="1793">
        <f>IF(COUNTIF(Psíquicos!$AD$20:$AH$65,AB91),VALUE(INDEX('Tablas psiquica'!$AE88:$AN88,MATCH('Tablas psiquica'!$AD88,'Tablas psiquica'!$AE$6:$AN$6,0))),0)</f>
        <v>0</v>
      </c>
      <c r="AQ91" s="2029" t="str">
        <f>IFERROR(IF(VLOOKUP(AR91,$D$7:$G$296,4,FALSE)&lt;&gt;"No",MAX(AQ$5:AQ90)+1,0),"")</f>
        <v/>
      </c>
      <c r="AR91" s="2030" t="str">
        <f t="shared" si="20"/>
        <v/>
      </c>
      <c r="AS91" s="2033" t="str">
        <f>IFERROR(VLOOKUP(Tablas!$A85,$AQ$7:$AR$145,2,FALSE),"")</f>
        <v/>
      </c>
    </row>
    <row r="92" spans="1:63" ht="12.75" customHeight="1">
      <c r="A92" s="702">
        <v>92</v>
      </c>
      <c r="B92" s="3498">
        <f>IF(OR(S92=0),0,SUM($S$6:S92))</f>
        <v>0</v>
      </c>
      <c r="C92" s="3499"/>
      <c r="D92" s="3500" t="s">
        <v>162</v>
      </c>
      <c r="E92" s="2746"/>
      <c r="F92" s="2745"/>
      <c r="G92" s="2745"/>
      <c r="H92" s="3511"/>
      <c r="I92" s="2744"/>
      <c r="J92" s="2744"/>
      <c r="K92" s="2744"/>
      <c r="L92" s="2744"/>
      <c r="M92" s="2744"/>
      <c r="N92" s="2744"/>
      <c r="O92" s="2744"/>
      <c r="P92" s="2744"/>
      <c r="Q92" s="2744"/>
      <c r="R92" s="2744"/>
      <c r="S92" s="3518">
        <f>S93</f>
        <v>0</v>
      </c>
      <c r="T92" s="3518"/>
      <c r="U92" s="3512"/>
      <c r="V92" s="3524"/>
      <c r="W92" s="4254"/>
      <c r="X92" s="4255"/>
      <c r="Y92" s="3512">
        <f t="shared" si="18"/>
        <v>0</v>
      </c>
      <c r="Z92" s="3502">
        <f t="shared" si="19"/>
        <v>0</v>
      </c>
      <c r="AB92" s="3537" t="s">
        <v>179</v>
      </c>
      <c r="AC92" s="342" t="str" cm="1">
        <f t="array" ref="AC92">INDEX($I$6:$R$6,SUMPRODUCT(ISNUMBER(SEARCH("Fatiga",I113:R113))*1)+1)</f>
        <v>RUT</v>
      </c>
      <c r="AD92" s="342" t="str">
        <f>IFERROR(VLOOKUP(AB92,Psíquicos!$AD$11:$AK$67,8,FALSE),AC92)</f>
        <v>RUT</v>
      </c>
      <c r="AE92" s="798"/>
      <c r="AF92" s="798"/>
      <c r="AG92" s="798"/>
      <c r="AH92" s="798"/>
      <c r="AI92" s="798"/>
      <c r="AJ92" s="798"/>
      <c r="AK92" s="798"/>
      <c r="AL92" s="798"/>
      <c r="AM92" s="798"/>
      <c r="AN92" s="798"/>
      <c r="AO92" s="1793">
        <f>IF(COUNTIF(Psíquicos!$AD$20:$AH$65,AB92),VALUE(INDEX('Tablas psiquica'!$AE89:$AN89,MATCH('Tablas psiquica'!$AD89,'Tablas psiquica'!$AE$6:$AN$6,0))),0)</f>
        <v>0</v>
      </c>
      <c r="AQ92" s="2029" t="str">
        <f>IFERROR(IF(VLOOKUP(AR92,$D$7:$G$296,4,FALSE)&lt;&gt;"No",MAX(AQ$5:AQ91)+1,0),"")</f>
        <v/>
      </c>
      <c r="AR92" s="2030" t="str">
        <f t="shared" si="20"/>
        <v/>
      </c>
      <c r="AS92" s="2033" t="str">
        <f>IFERROR(VLOOKUP(Tablas!$A86,$AQ$7:$AR$145,2,FALSE),"")</f>
        <v/>
      </c>
    </row>
    <row r="93" spans="1:63" ht="12.75" customHeight="1">
      <c r="A93" s="702">
        <v>93</v>
      </c>
      <c r="B93" s="3498">
        <f>IF(OR(S93=0),0,SUM($S$6:S93))</f>
        <v>0</v>
      </c>
      <c r="C93" s="3499"/>
      <c r="D93" s="3500" t="s">
        <v>163</v>
      </c>
      <c r="E93" s="2746" t="s">
        <v>76</v>
      </c>
      <c r="F93" s="2745">
        <v>1</v>
      </c>
      <c r="G93" s="2745" t="s">
        <v>2422</v>
      </c>
      <c r="H93" s="3511" t="s">
        <v>1165</v>
      </c>
      <c r="I93" s="2744" t="s">
        <v>5386</v>
      </c>
      <c r="J93" s="2744" t="s">
        <v>5387</v>
      </c>
      <c r="K93" s="2744" t="s">
        <v>11450</v>
      </c>
      <c r="L93" s="2744" t="s">
        <v>11462</v>
      </c>
      <c r="M93" s="2744" t="s">
        <v>11472</v>
      </c>
      <c r="N93" s="2744" t="s">
        <v>11483</v>
      </c>
      <c r="O93" s="2744" t="s">
        <v>11513</v>
      </c>
      <c r="P93" s="2744" t="s">
        <v>11495</v>
      </c>
      <c r="Q93" s="2744" t="s">
        <v>11504</v>
      </c>
      <c r="R93" s="2744" t="s">
        <v>11510</v>
      </c>
      <c r="S93" s="3519">
        <f>IF(COUNTIF(Psíquicos!$C$26:$E$37,E93)=0,0,1)</f>
        <v>0</v>
      </c>
      <c r="T93" s="3518">
        <f>COUNTIF(Psíquicos!$V$20:$Z$73,'Tablas psiquica'!D93)</f>
        <v>0</v>
      </c>
      <c r="U93" s="3512"/>
      <c r="V93" s="3524"/>
      <c r="W93" s="4254" t="s">
        <v>14000</v>
      </c>
      <c r="X93" s="4257" t="s">
        <v>13958</v>
      </c>
      <c r="Y93" s="3512">
        <f t="shared" si="18"/>
        <v>0</v>
      </c>
      <c r="Z93" s="3502">
        <f t="shared" si="19"/>
        <v>0</v>
      </c>
      <c r="AB93" s="3537" t="s">
        <v>181</v>
      </c>
      <c r="AC93" s="342" t="str" cm="1">
        <f t="array" ref="AC93">INDEX($I$6:$R$6,SUMPRODUCT(ISNUMBER(SEARCH("Fatiga",I116:R116))*1)+1)</f>
        <v>MDF</v>
      </c>
      <c r="AD93" s="342" t="str">
        <f>IFERROR(VLOOKUP(AB93,Psíquicos!$AD$11:$AK$67,8,FALSE),AC93)</f>
        <v>MDF</v>
      </c>
      <c r="AE93" s="798"/>
      <c r="AF93" s="798"/>
      <c r="AG93" s="798"/>
      <c r="AH93" s="798"/>
      <c r="AI93" s="798"/>
      <c r="AJ93" s="798"/>
      <c r="AK93" s="798"/>
      <c r="AL93" s="798"/>
      <c r="AM93" s="798"/>
      <c r="AN93" s="798"/>
      <c r="AO93" s="1793">
        <f>IF(COUNTIF(Psíquicos!$AD$20:$AH$65,AB93),VALUE(INDEX('Tablas psiquica'!$AE90:$AN90,MATCH('Tablas psiquica'!$AD90,'Tablas psiquica'!$AE$6:$AN$6,0))),0)</f>
        <v>0</v>
      </c>
      <c r="AQ93" s="2029" t="str">
        <f>IFERROR(IF(VLOOKUP(AR93,$D$7:$G$296,4,FALSE)&lt;&gt;"No",MAX(AQ$5:AQ92)+1,0),"")</f>
        <v/>
      </c>
      <c r="AR93" s="2030" t="str">
        <f t="shared" si="20"/>
        <v/>
      </c>
      <c r="AS93" s="2033" t="str">
        <f>IFERROR(VLOOKUP(Tablas!$A87,$AQ$7:$AR$145,2,FALSE),"")</f>
        <v/>
      </c>
    </row>
    <row r="94" spans="1:63" ht="12.75" customHeight="1">
      <c r="A94" s="702">
        <v>94</v>
      </c>
      <c r="B94" s="3498">
        <f>IF(OR(S94=0),0,SUM($S$6:S94))</f>
        <v>0</v>
      </c>
      <c r="C94" s="3499"/>
      <c r="D94" s="3500" t="s">
        <v>164</v>
      </c>
      <c r="E94" s="2746" t="s">
        <v>76</v>
      </c>
      <c r="F94" s="2745">
        <v>1</v>
      </c>
      <c r="G94" s="2745" t="s">
        <v>2422</v>
      </c>
      <c r="H94" s="3511" t="s">
        <v>1165</v>
      </c>
      <c r="I94" s="2744" t="s">
        <v>5386</v>
      </c>
      <c r="J94" s="2744" t="s">
        <v>5387</v>
      </c>
      <c r="K94" s="2744" t="s">
        <v>11450</v>
      </c>
      <c r="L94" s="2744" t="s">
        <v>11462</v>
      </c>
      <c r="M94" s="2744" t="s">
        <v>11472</v>
      </c>
      <c r="N94" s="2744" t="s">
        <v>11483</v>
      </c>
      <c r="O94" s="2744" t="s">
        <v>11513</v>
      </c>
      <c r="P94" s="2744" t="s">
        <v>11495</v>
      </c>
      <c r="Q94" s="2744" t="s">
        <v>11504</v>
      </c>
      <c r="R94" s="2744" t="s">
        <v>11510</v>
      </c>
      <c r="S94" s="3519">
        <f>IF(COUNTIF(Psíquicos!$C$26:$E$37,E94)=0,0,1)</f>
        <v>0</v>
      </c>
      <c r="T94" s="3518">
        <f>COUNTIF(Psíquicos!$V$20:$Z$73,'Tablas psiquica'!D94)</f>
        <v>0</v>
      </c>
      <c r="U94" s="3512"/>
      <c r="V94" s="3524"/>
      <c r="W94" s="4254" t="s">
        <v>13940</v>
      </c>
      <c r="X94" s="4257" t="s">
        <v>13958</v>
      </c>
      <c r="Y94" s="3512">
        <f t="shared" si="18"/>
        <v>0</v>
      </c>
      <c r="Z94" s="3502">
        <f t="shared" si="19"/>
        <v>0</v>
      </c>
      <c r="AB94" s="3537" t="s">
        <v>183</v>
      </c>
      <c r="AC94" s="342"/>
      <c r="AD94" s="342"/>
      <c r="AE94" s="798"/>
      <c r="AF94" s="798"/>
      <c r="AG94" s="798"/>
      <c r="AH94" s="798"/>
      <c r="AI94" s="798"/>
      <c r="AJ94" s="798"/>
      <c r="AK94" s="798"/>
      <c r="AL94" s="798"/>
      <c r="AM94" s="798"/>
      <c r="AN94" s="798"/>
      <c r="AO94" s="1793">
        <f>IF(COUNTIF(Psíquicos!$AD$20:$AH$65,AB94),VALUE(INDEX('Tablas psiquica'!$AE92:$AN92,MATCH('Tablas psiquica'!$AD92,'Tablas psiquica'!$AE$6:$AN$6,0))),0)</f>
        <v>0</v>
      </c>
      <c r="AQ94" s="2029" t="str">
        <f>IFERROR(IF(VLOOKUP(AR94,$D$7:$G$296,4,FALSE)&lt;&gt;"No",MAX(AQ$5:AQ93)+1,0),"")</f>
        <v/>
      </c>
      <c r="AR94" s="2030" t="str">
        <f t="shared" si="20"/>
        <v/>
      </c>
      <c r="AS94" s="2033" t="str">
        <f>IFERROR(VLOOKUP(Tablas!$A88,$AQ$7:$AR$145,2,FALSE),"")</f>
        <v/>
      </c>
    </row>
    <row r="95" spans="1:63" ht="12.75" customHeight="1">
      <c r="A95" s="702">
        <v>95</v>
      </c>
      <c r="B95" s="3498">
        <f>IF(OR(S95=0),0,SUM($S$6:S95))</f>
        <v>0</v>
      </c>
      <c r="C95" s="3499"/>
      <c r="D95" s="3500" t="s">
        <v>10264</v>
      </c>
      <c r="E95" s="2746" t="s">
        <v>76</v>
      </c>
      <c r="F95" s="2745">
        <v>1</v>
      </c>
      <c r="G95" s="2745" t="s">
        <v>2422</v>
      </c>
      <c r="H95" s="3511" t="s">
        <v>1165</v>
      </c>
      <c r="I95" s="2744" t="s">
        <v>5386</v>
      </c>
      <c r="J95" s="2744" t="s">
        <v>5387</v>
      </c>
      <c r="K95" s="2744" t="s">
        <v>11450</v>
      </c>
      <c r="L95" s="2744" t="s">
        <v>11462</v>
      </c>
      <c r="M95" s="2744" t="s">
        <v>11472</v>
      </c>
      <c r="N95" s="2744" t="s">
        <v>11483</v>
      </c>
      <c r="O95" s="2744" t="s">
        <v>11513</v>
      </c>
      <c r="P95" s="2744" t="s">
        <v>11495</v>
      </c>
      <c r="Q95" s="2744" t="s">
        <v>11504</v>
      </c>
      <c r="R95" s="2744" t="s">
        <v>11510</v>
      </c>
      <c r="S95" s="3519">
        <f>IF(COUNTIF(Psíquicos!$C$26:$E$37,E95)=0,0,1)</f>
        <v>0</v>
      </c>
      <c r="T95" s="3518">
        <f>COUNTIF(Psíquicos!$V$20:$Z$73,'Tablas psiquica'!D95)</f>
        <v>0</v>
      </c>
      <c r="U95" s="3512"/>
      <c r="V95" s="3524"/>
      <c r="W95" s="4254" t="s">
        <v>13940</v>
      </c>
      <c r="X95" s="4257" t="s">
        <v>13958</v>
      </c>
      <c r="Y95" s="3512">
        <f t="shared" si="18"/>
        <v>0</v>
      </c>
      <c r="Z95" s="3502">
        <f t="shared" si="19"/>
        <v>0</v>
      </c>
      <c r="AB95" s="3537" t="s">
        <v>185</v>
      </c>
      <c r="AC95" s="342" t="str" cm="1">
        <f t="array" ref="AC95">INDEX($I$6:$R$6,SUMPRODUCT(ISNUMBER(SEARCH("Fatiga",I120:R120))*1)+1)</f>
        <v>RUT</v>
      </c>
      <c r="AD95" s="342" t="str">
        <f>IFERROR(VLOOKUP(AB95,Psíquicos!$AD$11:$AK$67,8,FALSE),AC95)</f>
        <v>RUT</v>
      </c>
      <c r="AE95" s="798"/>
      <c r="AF95" s="798"/>
      <c r="AG95" s="798"/>
      <c r="AH95" s="798"/>
      <c r="AI95" s="798"/>
      <c r="AJ95" s="798"/>
      <c r="AK95" s="798"/>
      <c r="AL95" s="798"/>
      <c r="AM95" s="798"/>
      <c r="AN95" s="798"/>
      <c r="AO95" s="1793">
        <f>IF(COUNTIF(Psíquicos!$AD$20:$AH$65,AB95),VALUE(INDEX('Tablas psiquica'!$AE93:$AN93,MATCH('Tablas psiquica'!$AD93,'Tablas psiquica'!$AE$6:$AN$6,0))),0)</f>
        <v>0</v>
      </c>
      <c r="AQ95" s="2029" t="str">
        <f>IFERROR(IF(VLOOKUP(AR95,$D$7:$G$296,4,FALSE)&lt;&gt;"No",MAX(AQ$5:AQ94)+1,0),"")</f>
        <v/>
      </c>
      <c r="AR95" s="2030" t="str">
        <f t="shared" si="20"/>
        <v/>
      </c>
      <c r="AS95" s="2033" t="str">
        <f>IFERROR(VLOOKUP(Tablas!$A89,$AQ$7:$AR$145,2,FALSE),"")</f>
        <v/>
      </c>
    </row>
    <row r="96" spans="1:63" ht="12.75" customHeight="1">
      <c r="A96" s="702">
        <v>96</v>
      </c>
      <c r="B96" s="3498">
        <f>IF(OR(S96=0),0,SUM($S$6:S96))</f>
        <v>0</v>
      </c>
      <c r="C96" s="3499"/>
      <c r="D96" s="3500" t="s">
        <v>165</v>
      </c>
      <c r="E96" s="2746" t="s">
        <v>76</v>
      </c>
      <c r="F96" s="2745">
        <v>1</v>
      </c>
      <c r="G96" s="2745" t="s">
        <v>2422</v>
      </c>
      <c r="H96" s="3511" t="s">
        <v>1165</v>
      </c>
      <c r="I96" s="2744" t="s">
        <v>5386</v>
      </c>
      <c r="J96" s="2744" t="s">
        <v>5387</v>
      </c>
      <c r="K96" s="2744" t="s">
        <v>11444</v>
      </c>
      <c r="L96" s="2744" t="s">
        <v>11452</v>
      </c>
      <c r="M96" s="2744" t="s">
        <v>11464</v>
      </c>
      <c r="N96" s="2744" t="s">
        <v>11475</v>
      </c>
      <c r="O96" s="2744" t="s">
        <v>11486</v>
      </c>
      <c r="P96" s="2744" t="s">
        <v>11516</v>
      </c>
      <c r="Q96" s="2744" t="s">
        <v>11498</v>
      </c>
      <c r="R96" s="2744" t="s">
        <v>11507</v>
      </c>
      <c r="S96" s="3519">
        <f>IF(COUNTIF(Psíquicos!$C$26:$E$37,E96)=0,0,1)</f>
        <v>0</v>
      </c>
      <c r="T96" s="3518">
        <f>COUNTIF(Psíquicos!$V$20:$Z$73,'Tablas psiquica'!D96)</f>
        <v>0</v>
      </c>
      <c r="U96" s="3512"/>
      <c r="V96" s="3524"/>
      <c r="W96" s="4254" t="s">
        <v>13940</v>
      </c>
      <c r="X96" s="4255" t="s">
        <v>13976</v>
      </c>
      <c r="Y96" s="3512">
        <f t="shared" si="18"/>
        <v>0</v>
      </c>
      <c r="Z96" s="3502">
        <f t="shared" si="19"/>
        <v>0</v>
      </c>
      <c r="AB96" s="3537" t="s">
        <v>186</v>
      </c>
      <c r="AC96" s="342" t="str" cm="1">
        <f t="array" ref="AC96">INDEX($I$6:$R$6,SUMPRODUCT(ISNUMBER(SEARCH("Fatiga",I121:R121))*1)+1)</f>
        <v>DIF</v>
      </c>
      <c r="AD96" s="342" t="str">
        <f>IFERROR(VLOOKUP(AB96,Psíquicos!$AD$11:$AK$67,8,FALSE),AC96)</f>
        <v>DIF</v>
      </c>
      <c r="AE96" s="798"/>
      <c r="AF96" s="798"/>
      <c r="AG96" s="798"/>
      <c r="AH96" s="798"/>
      <c r="AI96" s="798"/>
      <c r="AJ96" s="798"/>
      <c r="AK96" s="798"/>
      <c r="AL96" s="798"/>
      <c r="AM96" s="798"/>
      <c r="AN96" s="798"/>
      <c r="AO96" s="1793">
        <f>IF(COUNTIF(Psíquicos!$AD$20:$AH$65,AB96),VALUE(INDEX('Tablas psiquica'!$AE94:$AN94,MATCH('Tablas psiquica'!$AD94,'Tablas psiquica'!$AE$6:$AN$6,0))),0)</f>
        <v>0</v>
      </c>
      <c r="AQ96" s="2029" t="str">
        <f>IFERROR(IF(VLOOKUP(AR96,$D$7:$G$296,4,FALSE)&lt;&gt;"No",MAX(AQ$5:AQ95)+1,0),"")</f>
        <v/>
      </c>
      <c r="AR96" s="2030" t="str">
        <f t="shared" si="20"/>
        <v/>
      </c>
      <c r="AS96" s="2033" t="str">
        <f>IFERROR(VLOOKUP(Tablas!$A90,$AQ$7:$AR$145,2,FALSE),"")</f>
        <v/>
      </c>
    </row>
    <row r="97" spans="1:45" ht="12.75" customHeight="1">
      <c r="A97" s="702">
        <v>97</v>
      </c>
      <c r="B97" s="3498">
        <f>IF(OR(S97=0),0,SUM($S$6:S97))</f>
        <v>0</v>
      </c>
      <c r="C97" s="3499"/>
      <c r="D97" s="3500" t="s">
        <v>166</v>
      </c>
      <c r="E97" s="2746" t="s">
        <v>76</v>
      </c>
      <c r="F97" s="2745">
        <v>1</v>
      </c>
      <c r="G97" s="2745" t="s">
        <v>2422</v>
      </c>
      <c r="H97" s="3511" t="s">
        <v>1165</v>
      </c>
      <c r="I97" s="2744" t="s">
        <v>5386</v>
      </c>
      <c r="J97" s="2744" t="s">
        <v>5387</v>
      </c>
      <c r="K97" s="2744" t="s">
        <v>9955</v>
      </c>
      <c r="L97" s="2744" t="s">
        <v>11445</v>
      </c>
      <c r="M97" s="2744" t="s">
        <v>11453</v>
      </c>
      <c r="N97" s="2744" t="s">
        <v>11465</v>
      </c>
      <c r="O97" s="2744" t="s">
        <v>11476</v>
      </c>
      <c r="P97" s="2744" t="s">
        <v>11487</v>
      </c>
      <c r="Q97" s="2744" t="s">
        <v>11517</v>
      </c>
      <c r="R97" s="2744" t="s">
        <v>11499</v>
      </c>
      <c r="S97" s="3519">
        <f>IF(COUNTIF(Psíquicos!$C$26:$E$37,E97)=0,0,1)</f>
        <v>0</v>
      </c>
      <c r="T97" s="3518">
        <f>COUNTIF(Psíquicos!$V$20:$Z$73,'Tablas psiquica'!D97)</f>
        <v>0</v>
      </c>
      <c r="U97" s="3512"/>
      <c r="V97" s="3524"/>
      <c r="W97" s="4254" t="s">
        <v>13982</v>
      </c>
      <c r="X97" s="4255" t="s">
        <v>14014</v>
      </c>
      <c r="Y97" s="3512">
        <f t="shared" si="18"/>
        <v>0</v>
      </c>
      <c r="Z97" s="3502">
        <f t="shared" si="19"/>
        <v>0</v>
      </c>
      <c r="AB97" s="3537" t="s">
        <v>187</v>
      </c>
      <c r="AC97" s="342" t="str" cm="1">
        <f t="array" ref="AC97">INDEX($I$6:$R$6,SUMPRODUCT(ISNUMBER(SEARCH("Fatiga",I122:R122))*1)+1)</f>
        <v>MED</v>
      </c>
      <c r="AD97" s="342" t="str">
        <f>IFERROR(VLOOKUP(AB97,Psíquicos!$AD$11:$AK$67,8,FALSE),AC97)</f>
        <v>MED</v>
      </c>
      <c r="AE97" s="798"/>
      <c r="AF97" s="798"/>
      <c r="AG97" s="798"/>
      <c r="AH97" s="798"/>
      <c r="AI97" s="798"/>
      <c r="AJ97" s="798"/>
      <c r="AK97" s="798"/>
      <c r="AL97" s="798"/>
      <c r="AM97" s="798"/>
      <c r="AN97" s="798"/>
      <c r="AO97" s="1793">
        <f>IF(COUNTIF(Psíquicos!$AD$20:$AH$65,AB97),VALUE(INDEX('Tablas psiquica'!$AE95:$AN95,MATCH('Tablas psiquica'!$AD95,'Tablas psiquica'!$AE$6:$AN$6,0))),0)</f>
        <v>0</v>
      </c>
      <c r="AQ97" s="2029" t="str">
        <f>IFERROR(IF(VLOOKUP(AR97,$D$7:$G$296,4,FALSE)&lt;&gt;"No",MAX(AQ$5:AQ96)+1,0),"")</f>
        <v/>
      </c>
      <c r="AR97" s="2030" t="str">
        <f t="shared" si="20"/>
        <v/>
      </c>
      <c r="AS97" s="2033" t="str">
        <f>IFERROR(VLOOKUP(Tablas!$A91,$AQ$7:$AR$145,2,FALSE),"")</f>
        <v/>
      </c>
    </row>
    <row r="98" spans="1:45" ht="12.75" customHeight="1">
      <c r="A98" s="702">
        <v>98</v>
      </c>
      <c r="B98" s="3498">
        <f>IF(OR(S98=0),0,SUM($S$6:S98))</f>
        <v>0</v>
      </c>
      <c r="C98" s="3499"/>
      <c r="D98" s="3500" t="s">
        <v>207</v>
      </c>
      <c r="E98" s="3509" t="s">
        <v>76</v>
      </c>
      <c r="F98" s="2745">
        <v>1</v>
      </c>
      <c r="G98" s="2745" t="s">
        <v>2422</v>
      </c>
      <c r="H98" s="3511" t="s">
        <v>1166</v>
      </c>
      <c r="I98" s="2744" t="s">
        <v>5387</v>
      </c>
      <c r="J98" s="2744" t="s">
        <v>5779</v>
      </c>
      <c r="K98" s="2744" t="s">
        <v>5780</v>
      </c>
      <c r="L98" s="2744" t="s">
        <v>5781</v>
      </c>
      <c r="M98" s="2744" t="s">
        <v>5782</v>
      </c>
      <c r="N98" s="2744" t="s">
        <v>5783</v>
      </c>
      <c r="O98" s="2744" t="s">
        <v>5784</v>
      </c>
      <c r="P98" s="2744" t="s">
        <v>5785</v>
      </c>
      <c r="Q98" s="2744" t="s">
        <v>5786</v>
      </c>
      <c r="R98" s="2744" t="s">
        <v>5787</v>
      </c>
      <c r="S98" s="3519">
        <f>IF(COUNTIF(Psíquicos!$C$26:$E$37,E98)=0,0,1)</f>
        <v>0</v>
      </c>
      <c r="T98" s="3518">
        <f>COUNTIF(Psíquicos!$V$20:$Z$73,'Tablas psiquica'!D98)</f>
        <v>0</v>
      </c>
      <c r="U98" s="3512"/>
      <c r="V98" s="3524"/>
      <c r="W98" s="4254" t="s">
        <v>13956</v>
      </c>
      <c r="X98" s="4255" t="s">
        <v>14015</v>
      </c>
      <c r="Y98" s="3512">
        <f t="shared" si="18"/>
        <v>0</v>
      </c>
      <c r="Z98" s="3502">
        <f t="shared" si="19"/>
        <v>0</v>
      </c>
      <c r="AB98" s="3537" t="s">
        <v>188</v>
      </c>
      <c r="AC98" s="342" t="str" cm="1">
        <f t="array" ref="AC98">INDEX($I$6:$R$6,SUMPRODUCT(ISNUMBER(SEARCH("Fatiga",I123:R123))*1)+1)</f>
        <v>MED</v>
      </c>
      <c r="AD98" s="342" t="str">
        <f>IFERROR(VLOOKUP(AB98,Psíquicos!$AD$11:$AK$67,8,FALSE),AC98)</f>
        <v>MED</v>
      </c>
      <c r="AE98" s="798"/>
      <c r="AF98" s="798"/>
      <c r="AG98" s="798"/>
      <c r="AH98" s="798"/>
      <c r="AI98" s="798"/>
      <c r="AJ98" s="798"/>
      <c r="AK98" s="798"/>
      <c r="AL98" s="798"/>
      <c r="AM98" s="798"/>
      <c r="AN98" s="798"/>
      <c r="AO98" s="1793">
        <f>IF(COUNTIF(Psíquicos!$AD$20:$AH$65,AB98),VALUE(INDEX('Tablas psiquica'!$AE96:$AN96,MATCH('Tablas psiquica'!$AD96,'Tablas psiquica'!$AE$6:$AN$6,0))),0)</f>
        <v>0</v>
      </c>
      <c r="AQ98" s="2029" t="str">
        <f>IFERROR(IF(VLOOKUP(AR98,$D$7:$G$296,4,FALSE)&lt;&gt;"No",MAX(AQ$5:AQ97)+1,0),"")</f>
        <v/>
      </c>
      <c r="AR98" s="2030" t="str">
        <f t="shared" si="20"/>
        <v/>
      </c>
      <c r="AS98" s="2033" t="str">
        <f>IFERROR(VLOOKUP(Tablas!$A92,$AQ$7:$AR$145,2,FALSE),"")</f>
        <v/>
      </c>
    </row>
    <row r="99" spans="1:45" ht="12.75" customHeight="1">
      <c r="A99" s="702">
        <v>99</v>
      </c>
      <c r="B99" s="3498">
        <f>IF(OR(S99=0),0,SUM($S$6:S99))</f>
        <v>0</v>
      </c>
      <c r="C99" s="3499"/>
      <c r="D99" s="3500" t="s">
        <v>167</v>
      </c>
      <c r="E99" s="2746" t="s">
        <v>76</v>
      </c>
      <c r="F99" s="2745">
        <v>2</v>
      </c>
      <c r="G99" s="2745" t="s">
        <v>2422</v>
      </c>
      <c r="H99" s="3511" t="s">
        <v>1165</v>
      </c>
      <c r="I99" s="2744" t="s">
        <v>5408</v>
      </c>
      <c r="J99" s="2744" t="s">
        <v>5406</v>
      </c>
      <c r="K99" s="2744" t="s">
        <v>5386</v>
      </c>
      <c r="L99" s="2744" t="s">
        <v>11443</v>
      </c>
      <c r="M99" s="2744" t="s">
        <v>11450</v>
      </c>
      <c r="N99" s="2744" t="s">
        <v>11462</v>
      </c>
      <c r="O99" s="2744" t="s">
        <v>11472</v>
      </c>
      <c r="P99" s="2744" t="s">
        <v>11483</v>
      </c>
      <c r="Q99" s="2744" t="s">
        <v>11513</v>
      </c>
      <c r="R99" s="2744" t="s">
        <v>11495</v>
      </c>
      <c r="S99" s="3519">
        <f>IF(COUNTIF(Psíquicos!$C$26:$E$37,E99)=0,0,1)</f>
        <v>0</v>
      </c>
      <c r="T99" s="3518">
        <f>COUNTIF(Psíquicos!$V$20:$Z$73,'Tablas psiquica'!D99)</f>
        <v>0</v>
      </c>
      <c r="U99" s="3512"/>
      <c r="V99" s="3524"/>
      <c r="W99" s="4254" t="s">
        <v>13944</v>
      </c>
      <c r="X99" s="4255" t="s">
        <v>14016</v>
      </c>
      <c r="Y99" s="3512">
        <f t="shared" si="18"/>
        <v>0</v>
      </c>
      <c r="Z99" s="3502">
        <f t="shared" si="19"/>
        <v>0</v>
      </c>
      <c r="AB99" s="3560" t="s">
        <v>189</v>
      </c>
      <c r="AC99" s="342" t="str" cm="1">
        <f t="array" ref="AC99">INDEX($I$6:$R$6,SUMPRODUCT(ISNUMBER(SEARCH(I124:R124,I97:R97))*1)+1)</f>
        <v>RUT</v>
      </c>
      <c r="AD99" s="342" t="str">
        <f>IFERROR(VLOOKUP(AB99,Psíquicos!$AD$11:$AK$67,8,FALSE),AC99)</f>
        <v>RUT</v>
      </c>
      <c r="AE99" s="798"/>
      <c r="AF99" s="798"/>
      <c r="AG99" s="798"/>
      <c r="AH99" s="798"/>
      <c r="AI99" s="798"/>
      <c r="AJ99" s="798"/>
      <c r="AK99" s="798"/>
      <c r="AL99" s="798"/>
      <c r="AM99" s="798"/>
      <c r="AN99" s="798"/>
      <c r="AO99" s="1793">
        <f>IF(COUNTIF(Psíquicos!$AD$20:$AH$65,AB99),VALUE(INDEX('Tablas psiquica'!$AE97:$AN97,MATCH('Tablas psiquica'!$AD97,'Tablas psiquica'!$AE$6:$AN$6,0))),0)</f>
        <v>0</v>
      </c>
      <c r="AQ99" s="2029" t="str">
        <f>IFERROR(IF(VLOOKUP(AR99,$D$7:$G$296,4,FALSE)&lt;&gt;"No",MAX(AQ$5:AQ98)+1,0),"")</f>
        <v/>
      </c>
      <c r="AR99" s="2030" t="str">
        <f t="shared" si="20"/>
        <v/>
      </c>
      <c r="AS99" s="2033" t="str">
        <f>IFERROR(VLOOKUP(Tablas!$A93,$AQ$7:$AR$145,2,FALSE),"")</f>
        <v/>
      </c>
    </row>
    <row r="100" spans="1:45" ht="12.75" customHeight="1">
      <c r="A100" s="702">
        <v>100</v>
      </c>
      <c r="B100" s="3498">
        <f>IF(OR(S100=0),0,SUM($S$6:S100))</f>
        <v>0</v>
      </c>
      <c r="C100" s="3499"/>
      <c r="D100" s="3500" t="s">
        <v>168</v>
      </c>
      <c r="E100" s="2746" t="s">
        <v>76</v>
      </c>
      <c r="F100" s="2745">
        <v>2</v>
      </c>
      <c r="G100" s="2745" t="s">
        <v>2422</v>
      </c>
      <c r="H100" s="3511" t="s">
        <v>1165</v>
      </c>
      <c r="I100" s="2744" t="s">
        <v>5408</v>
      </c>
      <c r="J100" s="2744" t="s">
        <v>5407</v>
      </c>
      <c r="K100" s="2744" t="s">
        <v>5406</v>
      </c>
      <c r="L100" s="2744" t="s">
        <v>5386</v>
      </c>
      <c r="M100" s="2744" t="s">
        <v>11454</v>
      </c>
      <c r="N100" s="2744" t="s">
        <v>11466</v>
      </c>
      <c r="O100" s="2744" t="s">
        <v>11477</v>
      </c>
      <c r="P100" s="2744" t="s">
        <v>11488</v>
      </c>
      <c r="Q100" s="2744" t="s">
        <v>11518</v>
      </c>
      <c r="R100" s="2744" t="s">
        <v>11508</v>
      </c>
      <c r="S100" s="3519">
        <f>IF(COUNTIF(Psíquicos!$C$26:$E$37,E100)=0,0,1)</f>
        <v>0</v>
      </c>
      <c r="T100" s="3518">
        <f>COUNTIF(Psíquicos!$V$20:$Z$73,'Tablas psiquica'!D100)</f>
        <v>0</v>
      </c>
      <c r="U100" s="3512"/>
      <c r="V100" s="3524"/>
      <c r="W100" s="4254" t="s">
        <v>13988</v>
      </c>
      <c r="X100" s="4255" t="s">
        <v>14017</v>
      </c>
      <c r="Y100" s="3512">
        <f t="shared" si="18"/>
        <v>0</v>
      </c>
      <c r="Z100" s="3502">
        <f t="shared" si="19"/>
        <v>0</v>
      </c>
      <c r="AB100" s="3561" t="s">
        <v>192</v>
      </c>
      <c r="AC100" s="342" t="str" cm="1">
        <f t="array" ref="AC100">INDEX($I$6:$R$6,SUMPRODUCT(ISNUMBER(SEARCH("Fatiga",I127:R127))*1)+1)</f>
        <v>DIF</v>
      </c>
      <c r="AD100" s="3539" t="str">
        <f>IFERROR(VLOOKUP(AB100,Psíquicos!$AD$11:$AK$67,8,FALSE),AC100)</f>
        <v>DIF</v>
      </c>
      <c r="AE100" s="3538"/>
      <c r="AF100" s="3538"/>
      <c r="AG100" s="3538"/>
      <c r="AH100" s="3538"/>
      <c r="AI100" s="3538"/>
      <c r="AJ100" s="3538"/>
      <c r="AK100" s="3538"/>
      <c r="AL100" s="3538"/>
      <c r="AM100" s="3538"/>
      <c r="AN100" s="3538"/>
      <c r="AO100" s="1793">
        <f>IF(COUNTIF(Psíquicos!$AD$20:$AH$65,AB100),VALUE(INDEX('Tablas psiquica'!$AE98:$AN98,MATCH('Tablas psiquica'!$AD98,'Tablas psiquica'!$AE$6:$AN$6,0))),0)</f>
        <v>0</v>
      </c>
      <c r="AQ100" s="2029" t="str">
        <f>IFERROR(IF(VLOOKUP(AR100,$D$7:$G$296,4,FALSE)&lt;&gt;"No",MAX(AQ$5:AQ99)+1,0),"")</f>
        <v/>
      </c>
      <c r="AR100" s="2030" t="str">
        <f t="shared" si="20"/>
        <v/>
      </c>
      <c r="AS100" s="2033" t="str">
        <f>IFERROR(VLOOKUP(Tablas!$A94,$AQ$7:$AR$145,2,FALSE),"")</f>
        <v/>
      </c>
    </row>
    <row r="101" spans="1:45" ht="12.75" customHeight="1">
      <c r="A101" s="702">
        <v>101</v>
      </c>
      <c r="B101" s="3498">
        <f>IF(OR(S101=0),0,SUM($S$6:S101))</f>
        <v>0</v>
      </c>
      <c r="C101" s="3499"/>
      <c r="D101" s="3500" t="s">
        <v>169</v>
      </c>
      <c r="E101" s="2746" t="s">
        <v>76</v>
      </c>
      <c r="F101" s="2745">
        <v>2</v>
      </c>
      <c r="G101" s="2745" t="s">
        <v>2422</v>
      </c>
      <c r="H101" s="3511" t="s">
        <v>1165</v>
      </c>
      <c r="I101" s="2744" t="s">
        <v>5408</v>
      </c>
      <c r="J101" s="2744" t="s">
        <v>5407</v>
      </c>
      <c r="K101" s="2744" t="s">
        <v>5406</v>
      </c>
      <c r="L101" s="2744" t="s">
        <v>5386</v>
      </c>
      <c r="M101" s="2744" t="s">
        <v>11450</v>
      </c>
      <c r="N101" s="2744" t="s">
        <v>11462</v>
      </c>
      <c r="O101" s="2744" t="s">
        <v>11472</v>
      </c>
      <c r="P101" s="2744" t="s">
        <v>11483</v>
      </c>
      <c r="Q101" s="2744" t="s">
        <v>11513</v>
      </c>
      <c r="R101" s="2744" t="s">
        <v>11504</v>
      </c>
      <c r="S101" s="3519">
        <f>IF(COUNTIF(Psíquicos!$C$26:$E$37,E101)=0,0,1)</f>
        <v>0</v>
      </c>
      <c r="T101" s="3518">
        <f>COUNTIF(Psíquicos!$V$20:$Z$73,'Tablas psiquica'!D101)</f>
        <v>0</v>
      </c>
      <c r="U101" s="3512"/>
      <c r="V101" s="3524"/>
      <c r="W101" s="4254" t="s">
        <v>13942</v>
      </c>
      <c r="X101" s="4255" t="s">
        <v>14018</v>
      </c>
      <c r="Y101" s="3512">
        <f t="shared" si="18"/>
        <v>0</v>
      </c>
      <c r="Z101" s="3502">
        <f t="shared" si="19"/>
        <v>0</v>
      </c>
      <c r="AB101" s="3560" t="s">
        <v>193</v>
      </c>
      <c r="AC101" s="342"/>
      <c r="AD101" s="342"/>
      <c r="AE101" s="798"/>
      <c r="AF101" s="798"/>
      <c r="AG101" s="798"/>
      <c r="AH101" s="798"/>
      <c r="AI101" s="798"/>
      <c r="AJ101" s="798"/>
      <c r="AK101" s="798"/>
      <c r="AL101" s="798"/>
      <c r="AM101" s="798"/>
      <c r="AN101" s="798"/>
      <c r="AO101" s="1793">
        <f>IF(COUNTIF(Psíquicos!$AD$20:$AH$65,AB101),VALUE(INDEX('Tablas psiquica'!$AE99:$AN99,MATCH('Tablas psiquica'!$AD99,'Tablas psiquica'!$AE$6:$AN$6,0))),0)</f>
        <v>0</v>
      </c>
      <c r="AQ101" s="2029" t="str">
        <f>IFERROR(IF(VLOOKUP(AR101,$D$7:$G$296,4,FALSE)&lt;&gt;"No",MAX(AQ$5:AQ100)+1,0),"")</f>
        <v/>
      </c>
      <c r="AR101" s="2030" t="str">
        <f t="shared" si="20"/>
        <v/>
      </c>
      <c r="AS101" s="2033" t="str">
        <f>IFERROR(VLOOKUP(Tablas!$A95,$AQ$7:$AR$145,2,FALSE),"")</f>
        <v/>
      </c>
    </row>
    <row r="102" spans="1:45" ht="12.75" customHeight="1">
      <c r="A102" s="702">
        <v>102</v>
      </c>
      <c r="B102" s="3498">
        <f>IF(OR(S102=0),0,SUM($S$6:S102))</f>
        <v>0</v>
      </c>
      <c r="C102" s="3499"/>
      <c r="D102" s="3500" t="s">
        <v>170</v>
      </c>
      <c r="E102" s="2746" t="s">
        <v>76</v>
      </c>
      <c r="F102" s="2745">
        <v>2</v>
      </c>
      <c r="G102" s="2745" t="s">
        <v>2422</v>
      </c>
      <c r="H102" s="3511" t="s">
        <v>1165</v>
      </c>
      <c r="I102" s="2744" t="s">
        <v>5408</v>
      </c>
      <c r="J102" s="2744" t="s">
        <v>5407</v>
      </c>
      <c r="K102" s="2744" t="s">
        <v>5406</v>
      </c>
      <c r="L102" s="2744" t="s">
        <v>5386</v>
      </c>
      <c r="M102" s="2744" t="s">
        <v>5652</v>
      </c>
      <c r="N102" s="2744" t="s">
        <v>5399</v>
      </c>
      <c r="O102" s="2744" t="s">
        <v>5653</v>
      </c>
      <c r="P102" s="2744" t="s">
        <v>5400</v>
      </c>
      <c r="Q102" s="2744" t="s">
        <v>5401</v>
      </c>
      <c r="R102" s="2744" t="s">
        <v>5403</v>
      </c>
      <c r="S102" s="3519">
        <f>IF(COUNTIF(Psíquicos!$C$26:$E$37,E102)=0,0,1)</f>
        <v>0</v>
      </c>
      <c r="T102" s="3518">
        <f>COUNTIF(Psíquicos!$V$20:$Z$73,'Tablas psiquica'!D102)</f>
        <v>0</v>
      </c>
      <c r="U102" s="3512"/>
      <c r="V102" s="3524"/>
      <c r="W102" s="4258" t="s">
        <v>13940</v>
      </c>
      <c r="X102" s="4257" t="s">
        <v>14019</v>
      </c>
      <c r="Y102" s="3512">
        <f t="shared" si="18"/>
        <v>0</v>
      </c>
      <c r="Z102" s="3502">
        <f t="shared" si="19"/>
        <v>0</v>
      </c>
      <c r="AB102" s="3537" t="s">
        <v>196</v>
      </c>
      <c r="AC102" s="342" t="str" cm="1">
        <f t="array" ref="AC102">INDEX($I$6:$R$6,SUMPRODUCT(ISNUMBER(SEARCH("Fatiga",I131:R131))*1)+1)</f>
        <v>MED</v>
      </c>
      <c r="AD102" s="342" t="str">
        <f>IFERROR(VLOOKUP(AB102,Psíquicos!$AD$11:$AK$67,8,FALSE),AC102)</f>
        <v>MED</v>
      </c>
      <c r="AE102" s="798"/>
      <c r="AF102" s="798"/>
      <c r="AG102" s="798"/>
      <c r="AH102" s="798"/>
      <c r="AI102" s="798"/>
      <c r="AJ102" s="798"/>
      <c r="AK102" s="798"/>
      <c r="AL102" s="798"/>
      <c r="AM102" s="798"/>
      <c r="AN102" s="798"/>
      <c r="AO102" s="1793">
        <f>IF(COUNTIF(Psíquicos!$AD$20:$AH$65,AB102),VALUE(INDEX('Tablas psiquica'!$AE100:$AN100,MATCH('Tablas psiquica'!$AD100,'Tablas psiquica'!$AE$6:$AN$6,0))),0)</f>
        <v>0</v>
      </c>
      <c r="AQ102" s="2029" t="str">
        <f>IFERROR(IF(VLOOKUP(AR102,$D$7:$G$296,4,FALSE)&lt;&gt;"No",MAX(AQ$5:AQ101)+1,0),"")</f>
        <v/>
      </c>
      <c r="AR102" s="2030" t="str">
        <f t="shared" si="20"/>
        <v/>
      </c>
      <c r="AS102" s="2033" t="str">
        <f>IFERROR(VLOOKUP(Tablas!$A96,$AQ$7:$AR$145,2,FALSE),"")</f>
        <v/>
      </c>
    </row>
    <row r="103" spans="1:45" ht="12.75" customHeight="1">
      <c r="A103" s="702">
        <v>103</v>
      </c>
      <c r="B103" s="3498">
        <f>IF(OR(S103=0),0,SUM($S$6:S103))</f>
        <v>0</v>
      </c>
      <c r="C103" s="3499"/>
      <c r="D103" s="3500" t="s">
        <v>208</v>
      </c>
      <c r="E103" s="3509" t="s">
        <v>76</v>
      </c>
      <c r="F103" s="2745">
        <v>3</v>
      </c>
      <c r="G103" s="2745" t="s">
        <v>2422</v>
      </c>
      <c r="H103" s="3511" t="s">
        <v>1165</v>
      </c>
      <c r="I103" s="2744" t="s">
        <v>5416</v>
      </c>
      <c r="J103" s="2744" t="s">
        <v>5709</v>
      </c>
      <c r="K103" s="2744" t="s">
        <v>5408</v>
      </c>
      <c r="L103" s="2744" t="s">
        <v>5407</v>
      </c>
      <c r="M103" s="2744" t="s">
        <v>5406</v>
      </c>
      <c r="N103" s="2744" t="s">
        <v>5788</v>
      </c>
      <c r="O103" s="2744" t="s">
        <v>211</v>
      </c>
      <c r="P103" s="2744" t="s">
        <v>5789</v>
      </c>
      <c r="Q103" s="2744" t="s">
        <v>5790</v>
      </c>
      <c r="R103" s="2744" t="s">
        <v>5791</v>
      </c>
      <c r="S103" s="3519">
        <f>IF(COUNTIF(Psíquicos!$C$26:$E$37,E103)=0,0,1)</f>
        <v>0</v>
      </c>
      <c r="T103" s="3518">
        <f>COUNTIF(Psíquicos!$V$20:$Z$73,'Tablas psiquica'!D103)</f>
        <v>0</v>
      </c>
      <c r="U103" s="3512"/>
      <c r="V103" s="3524"/>
      <c r="W103" s="4254" t="s">
        <v>13982</v>
      </c>
      <c r="X103" s="4255" t="s">
        <v>7</v>
      </c>
      <c r="Y103" s="3512">
        <f t="shared" si="18"/>
        <v>0</v>
      </c>
      <c r="Z103" s="3502">
        <f t="shared" si="19"/>
        <v>0</v>
      </c>
      <c r="AB103" s="3537" t="s">
        <v>198</v>
      </c>
      <c r="AC103" s="342" t="str" cm="1">
        <f t="array" ref="AC103">INDEX($I$6:$R$6,SUMPRODUCT(ISNUMBER(SEARCH("Fatiga",I133:R133))*1)+1)</f>
        <v>DIF</v>
      </c>
      <c r="AD103" s="342" t="str">
        <f>IFERROR(VLOOKUP(AB103,Psíquicos!$AD$11:$AK$67,8,FALSE),AC103)</f>
        <v>DIF</v>
      </c>
      <c r="AE103" s="798"/>
      <c r="AF103" s="798"/>
      <c r="AG103" s="798"/>
      <c r="AH103" s="798"/>
      <c r="AI103" s="798"/>
      <c r="AJ103" s="798"/>
      <c r="AK103" s="798"/>
      <c r="AL103" s="798"/>
      <c r="AM103" s="798"/>
      <c r="AN103" s="798"/>
      <c r="AO103" s="1793">
        <f>IF(COUNTIF(Psíquicos!$AD$20:$AH$65,AB103),VALUE(INDEX('Tablas psiquica'!$AE101:$AN101,MATCH('Tablas psiquica'!$AD101,'Tablas psiquica'!$AE$6:$AN$6,0))),0)</f>
        <v>0</v>
      </c>
      <c r="AQ103" s="2029" t="str">
        <f>IFERROR(IF(VLOOKUP(AR103,$D$7:$G$296,4,FALSE)&lt;&gt;"No",MAX(AQ$5:AQ102)+1,0),"")</f>
        <v/>
      </c>
      <c r="AR103" s="2030" t="str">
        <f t="shared" ref="AR103:AR134" si="22">IF(ISNA(VLOOKUP(A97,$B$7:$D$296,3,FALSE)),"",VLOOKUP(A97,$B$7:$D$296,3,FALSE))</f>
        <v/>
      </c>
      <c r="AS103" s="2033" t="str">
        <f>IFERROR(VLOOKUP(Tablas!$A97,$AQ$7:$AR$145,2,FALSE),"")</f>
        <v/>
      </c>
    </row>
    <row r="104" spans="1:45" ht="12.75" customHeight="1">
      <c r="A104" s="702">
        <v>104</v>
      </c>
      <c r="B104" s="3498">
        <f>IF(OR(S104=0),0,SUM($S$6:S104))</f>
        <v>0</v>
      </c>
      <c r="C104" s="3499"/>
      <c r="D104" s="3500" t="s">
        <v>171</v>
      </c>
      <c r="E104" s="2746" t="s">
        <v>76</v>
      </c>
      <c r="F104" s="2745">
        <v>3</v>
      </c>
      <c r="G104" s="2745" t="s">
        <v>1241</v>
      </c>
      <c r="H104" s="3511" t="s">
        <v>1165</v>
      </c>
      <c r="I104" s="2744" t="s">
        <v>5417</v>
      </c>
      <c r="J104" s="2744" t="s">
        <v>5416</v>
      </c>
      <c r="K104" s="2744" t="s">
        <v>5408</v>
      </c>
      <c r="L104" s="2744" t="s">
        <v>5407</v>
      </c>
      <c r="M104" s="2744" t="s">
        <v>5406</v>
      </c>
      <c r="N104" s="2744" t="s">
        <v>11462</v>
      </c>
      <c r="O104" s="2744" t="s">
        <v>11472</v>
      </c>
      <c r="P104" s="2744" t="s">
        <v>11483</v>
      </c>
      <c r="Q104" s="2744" t="s">
        <v>11513</v>
      </c>
      <c r="R104" s="2744" t="s">
        <v>11495</v>
      </c>
      <c r="S104" s="3519">
        <f>IF(COUNTIF(Psíquicos!$C$26:$E$37,E104)=0,0,1)</f>
        <v>0</v>
      </c>
      <c r="T104" s="3518">
        <f>COUNTIF(Psíquicos!$V$20:$Z$73,'Tablas psiquica'!D104)</f>
        <v>0</v>
      </c>
      <c r="U104" s="3512"/>
      <c r="V104" s="3524"/>
      <c r="W104" s="4254" t="s">
        <v>14020</v>
      </c>
      <c r="X104" s="4255" t="s">
        <v>14021</v>
      </c>
      <c r="Y104" s="3512">
        <f t="shared" si="18"/>
        <v>0</v>
      </c>
      <c r="Z104" s="3502">
        <f t="shared" si="19"/>
        <v>0</v>
      </c>
      <c r="AB104" s="3537" t="s">
        <v>200</v>
      </c>
      <c r="AC104" s="342"/>
      <c r="AD104" s="342"/>
      <c r="AE104" s="798"/>
      <c r="AF104" s="798"/>
      <c r="AG104" s="798"/>
      <c r="AH104" s="798"/>
      <c r="AI104" s="798"/>
      <c r="AJ104" s="798"/>
      <c r="AK104" s="798"/>
      <c r="AL104" s="798"/>
      <c r="AM104" s="798"/>
      <c r="AN104" s="798"/>
      <c r="AO104" s="1793">
        <f>IF(COUNTIF(Psíquicos!$AD$20:$AH$65,AB104),VALUE(INDEX('Tablas psiquica'!$AE102:$AN102,MATCH('Tablas psiquica'!$AD102,'Tablas psiquica'!$AE$6:$AN$6,0))),0)</f>
        <v>0</v>
      </c>
      <c r="AQ104" s="2029" t="str">
        <f>IFERROR(IF(VLOOKUP(AR104,$D$7:$G$296,4,FALSE)&lt;&gt;"No",MAX(AQ$5:AQ103)+1,0),"")</f>
        <v/>
      </c>
      <c r="AR104" s="2030" t="str">
        <f t="shared" si="22"/>
        <v/>
      </c>
      <c r="AS104" s="2033" t="str">
        <f>IFERROR(VLOOKUP(Tablas!$A98,$AQ$7:$AR$145,2,FALSE),"")</f>
        <v/>
      </c>
    </row>
    <row r="105" spans="1:45" ht="12.75" customHeight="1">
      <c r="A105" s="702">
        <v>105</v>
      </c>
      <c r="B105" s="3498">
        <f>IF(OR(S105=0),0,SUM($S$6:S105))</f>
        <v>0</v>
      </c>
      <c r="C105" s="3499"/>
      <c r="D105" s="3500" t="s">
        <v>9595</v>
      </c>
      <c r="E105" s="2746" t="s">
        <v>76</v>
      </c>
      <c r="F105" s="2745">
        <v>3</v>
      </c>
      <c r="G105" s="2745" t="s">
        <v>2422</v>
      </c>
      <c r="H105" s="3511" t="s">
        <v>1165</v>
      </c>
      <c r="I105" s="2744" t="s">
        <v>5417</v>
      </c>
      <c r="J105" s="2744" t="s">
        <v>5416</v>
      </c>
      <c r="K105" s="2744" t="s">
        <v>5408</v>
      </c>
      <c r="L105" s="2744" t="s">
        <v>5406</v>
      </c>
      <c r="M105" s="2744" t="s">
        <v>5418</v>
      </c>
      <c r="N105" s="2744" t="s">
        <v>5396</v>
      </c>
      <c r="O105" s="2744" t="s">
        <v>5398</v>
      </c>
      <c r="P105" s="2744" t="s">
        <v>5399</v>
      </c>
      <c r="Q105" s="2744" t="s">
        <v>5400</v>
      </c>
      <c r="R105" s="2744" t="s">
        <v>5419</v>
      </c>
      <c r="S105" s="3519">
        <f>IF(COUNTIF(Psíquicos!$C$26:$E$37,E105)=0,0,1)</f>
        <v>0</v>
      </c>
      <c r="T105" s="3518">
        <f>COUNTIF(Psíquicos!$V$20:$Z$73,'Tablas psiquica'!D105)</f>
        <v>0</v>
      </c>
      <c r="U105" s="3512"/>
      <c r="V105" s="3524"/>
      <c r="W105" s="4254" t="s">
        <v>13942</v>
      </c>
      <c r="X105" s="4255" t="s">
        <v>13976</v>
      </c>
      <c r="Y105" s="3512">
        <f t="shared" si="18"/>
        <v>0</v>
      </c>
      <c r="Z105" s="3502">
        <f t="shared" si="19"/>
        <v>0</v>
      </c>
      <c r="AB105" s="3537" t="s">
        <v>201</v>
      </c>
      <c r="AC105" s="342" t="str" cm="1">
        <f t="array" ref="AC105">INDEX($I$6:$R$6,SUMPRODUCT(ISNUMBER(SEARCH("Fatiga",I137:R137))*1)+1)</f>
        <v>ABS</v>
      </c>
      <c r="AD105" s="342" t="str">
        <f>IFERROR(VLOOKUP(AB105,Psíquicos!$AD$11:$AK$67,8,FALSE),AC105)</f>
        <v>ABS</v>
      </c>
      <c r="AE105" s="798"/>
      <c r="AF105" s="798"/>
      <c r="AG105" s="798"/>
      <c r="AH105" s="798"/>
      <c r="AI105" s="798"/>
      <c r="AJ105" s="798"/>
      <c r="AK105" s="798"/>
      <c r="AL105" s="798"/>
      <c r="AM105" s="798"/>
      <c r="AN105" s="798"/>
      <c r="AO105" s="1793">
        <f>IF(COUNTIF(Psíquicos!$AD$20:$AH$65,AB105),VALUE(INDEX('Tablas psiquica'!$AE103:$AN103,MATCH('Tablas psiquica'!$AD103,'Tablas psiquica'!$AE$6:$AN$6,0))),0)</f>
        <v>0</v>
      </c>
      <c r="AQ105" s="2029" t="str">
        <f>IFERROR(IF(VLOOKUP(AR105,$D$7:$G$296,4,FALSE)&lt;&gt;"No",MAX(AQ$5:AQ104)+1,0),"")</f>
        <v/>
      </c>
      <c r="AR105" s="2030" t="str">
        <f t="shared" si="22"/>
        <v/>
      </c>
      <c r="AS105" s="2033" t="str">
        <f>IFERROR(VLOOKUP(Tablas!$A99,$AQ$7:$AR$145,2,FALSE),"")</f>
        <v/>
      </c>
    </row>
    <row r="106" spans="1:45" ht="12.75" customHeight="1">
      <c r="A106" s="702">
        <v>106</v>
      </c>
      <c r="B106" s="3493">
        <f>IF(OR(S106=0),0,SUM($S$6:S106))</f>
        <v>0</v>
      </c>
      <c r="C106" s="3494"/>
      <c r="D106" s="257" t="s">
        <v>172</v>
      </c>
      <c r="E106" s="342"/>
      <c r="F106" s="343"/>
      <c r="G106" s="343"/>
      <c r="H106" s="344"/>
      <c r="I106" s="3571"/>
      <c r="J106" s="3571"/>
      <c r="K106" s="3571"/>
      <c r="L106" s="3571"/>
      <c r="M106" s="3571"/>
      <c r="N106" s="3571"/>
      <c r="O106" s="3571"/>
      <c r="P106" s="3571"/>
      <c r="Q106" s="3571"/>
      <c r="R106" s="3571"/>
      <c r="S106" s="3517">
        <f>S107</f>
        <v>0</v>
      </c>
      <c r="T106" s="3517"/>
      <c r="U106" s="404"/>
      <c r="V106" s="3523"/>
      <c r="W106" s="4252"/>
      <c r="X106" s="4251"/>
      <c r="Y106" s="404">
        <f t="shared" si="18"/>
        <v>0</v>
      </c>
      <c r="Z106" s="3496">
        <f t="shared" si="19"/>
        <v>0</v>
      </c>
      <c r="AB106" s="3537" t="s">
        <v>202</v>
      </c>
      <c r="AC106" s="342" t="str" cm="1">
        <f t="array" ref="AC106">INDEX($I$6:$R$6,SUMPRODUCT(ISNUMBER(SEARCH("Fatiga",I138:R138))*1)+1)</f>
        <v>RUT</v>
      </c>
      <c r="AD106" s="342" t="str">
        <f>IFERROR(VLOOKUP(AB106,Psíquicos!$AD$11:$AK$67,8,FALSE),AC106)</f>
        <v>RUT</v>
      </c>
      <c r="AE106" s="798"/>
      <c r="AF106" s="798"/>
      <c r="AG106" s="798"/>
      <c r="AH106" s="798"/>
      <c r="AI106" s="798"/>
      <c r="AJ106" s="798"/>
      <c r="AK106" s="798"/>
      <c r="AL106" s="798"/>
      <c r="AM106" s="798"/>
      <c r="AN106" s="798"/>
      <c r="AO106" s="1793">
        <f>IF(COUNTIF(Psíquicos!$AD$20:$AH$65,AB106),VALUE(INDEX('Tablas psiquica'!$AE104:$AN104,MATCH('Tablas psiquica'!$AD104,'Tablas psiquica'!$AE$6:$AN$6,0))),0)</f>
        <v>0</v>
      </c>
      <c r="AQ106" s="2029" t="str">
        <f>IFERROR(IF(VLOOKUP(AR106,$D$7:$G$296,4,FALSE)&lt;&gt;"No",MAX(AQ$5:AQ105)+1,0),"")</f>
        <v/>
      </c>
      <c r="AR106" s="2030" t="str">
        <f t="shared" si="22"/>
        <v/>
      </c>
      <c r="AS106" s="2033" t="str">
        <f>IFERROR(VLOOKUP(Tablas!$A100,$AQ$7:$AR$145,2,FALSE),"")</f>
        <v/>
      </c>
    </row>
    <row r="107" spans="1:45" ht="12.75" customHeight="1">
      <c r="A107" s="702">
        <v>107</v>
      </c>
      <c r="B107" s="3493">
        <f>IF(OR(S107=0),0,SUM($S$6:S107))</f>
        <v>0</v>
      </c>
      <c r="C107" s="3494"/>
      <c r="D107" s="257" t="s">
        <v>173</v>
      </c>
      <c r="E107" s="342" t="s">
        <v>74</v>
      </c>
      <c r="F107" s="343">
        <v>1</v>
      </c>
      <c r="G107" s="343" t="s">
        <v>2422</v>
      </c>
      <c r="H107" s="344" t="s">
        <v>1165</v>
      </c>
      <c r="I107" s="3571" t="s">
        <v>5387</v>
      </c>
      <c r="J107" s="3571" t="s">
        <v>5654</v>
      </c>
      <c r="K107" s="3571" t="s">
        <v>5655</v>
      </c>
      <c r="L107" s="3571" t="s">
        <v>3206</v>
      </c>
      <c r="M107" s="3571" t="s">
        <v>5656</v>
      </c>
      <c r="N107" s="3571" t="s">
        <v>3207</v>
      </c>
      <c r="O107" s="3571" t="s">
        <v>3208</v>
      </c>
      <c r="P107" s="3571" t="s">
        <v>3199</v>
      </c>
      <c r="Q107" s="3571" t="s">
        <v>4862</v>
      </c>
      <c r="R107" s="3571" t="s">
        <v>4863</v>
      </c>
      <c r="S107" s="3516">
        <f>IF(COUNTIF(Psíquicos!$C$26:$E$37,E107)=0,0,1)</f>
        <v>0</v>
      </c>
      <c r="T107" s="3517">
        <f>COUNTIF(Psíquicos!$V$20:$Z$73,'Tablas psiquica'!D107)</f>
        <v>0</v>
      </c>
      <c r="U107" s="404"/>
      <c r="V107" s="3523"/>
      <c r="W107" s="4259" t="s">
        <v>13962</v>
      </c>
      <c r="X107" s="4260" t="s">
        <v>14022</v>
      </c>
      <c r="Y107" s="404">
        <f t="shared" si="18"/>
        <v>0</v>
      </c>
      <c r="Z107" s="3496">
        <f t="shared" si="19"/>
        <v>0</v>
      </c>
      <c r="AB107" s="3537" t="s">
        <v>204</v>
      </c>
      <c r="AC107" s="342" t="str" cm="1">
        <f t="array" ref="AC107">INDEX($I$6:$R$6,SUMPRODUCT(ISNUMBER(SEARCH("Fatiga",I140:R140))*1)+1)</f>
        <v>MED</v>
      </c>
      <c r="AD107" s="342" t="str">
        <f>IFERROR(VLOOKUP(AB107,Psíquicos!$AD$11:$AK$67,8,FALSE),AC107)</f>
        <v>MED</v>
      </c>
      <c r="AE107" s="798"/>
      <c r="AF107" s="798"/>
      <c r="AG107" s="798"/>
      <c r="AH107" s="798"/>
      <c r="AI107" s="798"/>
      <c r="AJ107" s="798"/>
      <c r="AK107" s="798"/>
      <c r="AL107" s="798"/>
      <c r="AM107" s="798"/>
      <c r="AN107" s="798"/>
      <c r="AO107" s="1793">
        <f>IF(COUNTIF(Psíquicos!$AD$20:$AH$65,AB107),VALUE(INDEX('Tablas psiquica'!$AE105:$AN105,MATCH('Tablas psiquica'!$AD105,'Tablas psiquica'!$AE$6:$AN$6,0))),0)</f>
        <v>0</v>
      </c>
      <c r="AQ107" s="2029" t="str">
        <f>IFERROR(IF(VLOOKUP(AR107,$D$7:$G$296,4,FALSE)&lt;&gt;"No",MAX(AQ$5:AQ106)+1,0),"")</f>
        <v/>
      </c>
      <c r="AR107" s="2030" t="str">
        <f t="shared" si="22"/>
        <v/>
      </c>
      <c r="AS107" s="2033" t="str">
        <f>IFERROR(VLOOKUP(Tablas!$A101,$AQ$7:$AR$145,2,FALSE),"")</f>
        <v/>
      </c>
    </row>
    <row r="108" spans="1:45" ht="12.75" customHeight="1">
      <c r="A108" s="702">
        <v>108</v>
      </c>
      <c r="B108" s="3498">
        <f>IF(OR(S108=0),0,SUM($S$6:S108))</f>
        <v>0</v>
      </c>
      <c r="C108" s="3499"/>
      <c r="D108" s="3500" t="s">
        <v>11762</v>
      </c>
      <c r="E108" s="2746" t="s">
        <v>74</v>
      </c>
      <c r="F108" s="2745">
        <v>2</v>
      </c>
      <c r="G108" s="2745" t="s">
        <v>2422</v>
      </c>
      <c r="H108" s="3511" t="s">
        <v>1165</v>
      </c>
      <c r="I108" s="2744" t="s">
        <v>5408</v>
      </c>
      <c r="J108" s="2744" t="s">
        <v>5406</v>
      </c>
      <c r="K108" s="2744" t="s">
        <v>5386</v>
      </c>
      <c r="L108" s="2744" t="s">
        <v>11036</v>
      </c>
      <c r="M108" s="2744" t="s">
        <v>11037</v>
      </c>
      <c r="N108" s="2744" t="s">
        <v>11773</v>
      </c>
      <c r="O108" s="2744" t="s">
        <v>11038</v>
      </c>
      <c r="P108" s="2744" t="s">
        <v>11039</v>
      </c>
      <c r="Q108" s="2744" t="s">
        <v>11774</v>
      </c>
      <c r="R108" s="2744" t="s">
        <v>11775</v>
      </c>
      <c r="S108" s="3519">
        <f>IF(COUNTIF(Psíquicos!$C$26:$E$37,E108)=0,0,1)</f>
        <v>0</v>
      </c>
      <c r="T108" s="3518">
        <f>COUNTIF(Psíquicos!$V$20:$Z$73,'Tablas psiquica'!D108)</f>
        <v>0</v>
      </c>
      <c r="U108" s="3512"/>
      <c r="V108" s="3524"/>
      <c r="W108" s="4254" t="s">
        <v>1315</v>
      </c>
      <c r="X108" s="4255" t="s">
        <v>1315</v>
      </c>
      <c r="Y108" s="3512">
        <f t="shared" si="18"/>
        <v>0</v>
      </c>
      <c r="Z108" s="3502">
        <f t="shared" si="19"/>
        <v>0</v>
      </c>
      <c r="AB108" s="3537" t="s">
        <v>205</v>
      </c>
      <c r="AC108" s="342" t="str" cm="1">
        <f t="array" ref="AC108">INDEX($I$6:$R$6,SUMPRODUCT(ISNUMBER(SEARCH("Fatiga",I141:R141))*1)+1)</f>
        <v>MED</v>
      </c>
      <c r="AD108" s="342" t="str">
        <f>IFERROR(VLOOKUP(AB108,Psíquicos!$AD$11:$AK$67,8,FALSE),AC108)</f>
        <v>MED</v>
      </c>
      <c r="AE108" s="798"/>
      <c r="AF108" s="798"/>
      <c r="AG108" s="798"/>
      <c r="AH108" s="798"/>
      <c r="AI108" s="798"/>
      <c r="AJ108" s="798"/>
      <c r="AK108" s="798"/>
      <c r="AL108" s="798"/>
      <c r="AM108" s="798"/>
      <c r="AN108" s="798"/>
      <c r="AO108" s="1793">
        <f>IF(COUNTIF(Psíquicos!$AD$20:$AH$65,AB108),VALUE(INDEX('Tablas psiquica'!$AE106:$AN106,MATCH('Tablas psiquica'!$AD106,'Tablas psiquica'!$AE$6:$AN$6,0))),0)</f>
        <v>0</v>
      </c>
      <c r="AQ108" s="2029" t="str">
        <f>IFERROR(IF(VLOOKUP(AR108,$D$7:$G$296,4,FALSE)&lt;&gt;"No",MAX(AQ$5:AQ107)+1,0),"")</f>
        <v/>
      </c>
      <c r="AR108" s="2030" t="str">
        <f t="shared" si="22"/>
        <v/>
      </c>
      <c r="AS108" s="2033" t="str">
        <f>IFERROR(VLOOKUP(Tablas!$A102,$AQ$7:$AR$145,2,FALSE),"")</f>
        <v/>
      </c>
    </row>
    <row r="109" spans="1:45" ht="12.75" customHeight="1">
      <c r="A109" s="702">
        <v>109</v>
      </c>
      <c r="B109" s="3498">
        <f>IF(OR(S109=0),0,SUM($S$6:S109))</f>
        <v>0</v>
      </c>
      <c r="C109" s="3499"/>
      <c r="D109" s="3500" t="s">
        <v>11763</v>
      </c>
      <c r="E109" s="2746" t="s">
        <v>74</v>
      </c>
      <c r="F109" s="2745">
        <v>2</v>
      </c>
      <c r="G109" s="2745" t="s">
        <v>1241</v>
      </c>
      <c r="H109" s="3511" t="s">
        <v>1165</v>
      </c>
      <c r="I109" s="2744" t="s">
        <v>5417</v>
      </c>
      <c r="J109" s="2744" t="s">
        <v>5416</v>
      </c>
      <c r="K109" s="2744" t="s">
        <v>11765</v>
      </c>
      <c r="L109" s="2744" t="s">
        <v>11766</v>
      </c>
      <c r="M109" s="2744" t="s">
        <v>11767</v>
      </c>
      <c r="N109" s="2744" t="s">
        <v>11768</v>
      </c>
      <c r="O109" s="2744" t="s">
        <v>11769</v>
      </c>
      <c r="P109" s="2744" t="s">
        <v>11770</v>
      </c>
      <c r="Q109" s="2744" t="s">
        <v>11771</v>
      </c>
      <c r="R109" s="2744" t="s">
        <v>11772</v>
      </c>
      <c r="S109" s="3519">
        <f>IF(COUNTIF(Psíquicos!$C$26:$E$37,E109)=0,0,1)</f>
        <v>0</v>
      </c>
      <c r="T109" s="3518">
        <f>COUNTIF(Psíquicos!$V$20:$Z$73,'Tablas psiquica'!D109)</f>
        <v>0</v>
      </c>
      <c r="U109" s="3512"/>
      <c r="V109" s="3524"/>
      <c r="W109" s="4254" t="s">
        <v>1315</v>
      </c>
      <c r="X109" s="4255" t="s">
        <v>1315</v>
      </c>
      <c r="Y109" s="3512">
        <f t="shared" si="18"/>
        <v>0</v>
      </c>
      <c r="Z109" s="3502">
        <f t="shared" si="19"/>
        <v>0</v>
      </c>
      <c r="AB109" s="3547" t="s">
        <v>10835</v>
      </c>
      <c r="AC109" s="2746"/>
      <c r="AD109" s="2746"/>
      <c r="AE109" s="3548"/>
      <c r="AF109" s="3548"/>
      <c r="AG109" s="3548"/>
      <c r="AH109" s="3548"/>
      <c r="AI109" s="3548"/>
      <c r="AJ109" s="3548"/>
      <c r="AK109" s="3548"/>
      <c r="AL109" s="3548"/>
      <c r="AM109" s="3548"/>
      <c r="AN109" s="3548"/>
      <c r="AO109" s="3549" t="e">
        <f>IF(COUNTIF(Psíquicos!$AD$20:$AH$65,AB109),VALUE(INDEX('Tablas psiquica'!$AE109:$AN109,MATCH('Tablas psiquica'!$AD109,'Tablas psiquica'!$AE$6:$AN$6,0))),0)</f>
        <v>#N/A</v>
      </c>
      <c r="AQ109" s="2029" t="str">
        <f>IFERROR(IF(VLOOKUP(AR109,$D$7:$G$296,4,FALSE)&lt;&gt;"No",MAX(AQ$5:AQ108)+1,0),"")</f>
        <v/>
      </c>
      <c r="AR109" s="2030" t="str">
        <f t="shared" si="22"/>
        <v/>
      </c>
      <c r="AS109" s="2033" t="str">
        <f>IFERROR(VLOOKUP(Tablas!$A103,$AQ$7:$AR$145,2,FALSE),"")</f>
        <v/>
      </c>
    </row>
    <row r="110" spans="1:45" ht="12.75" customHeight="1">
      <c r="A110" s="702">
        <v>110</v>
      </c>
      <c r="B110" s="3493">
        <f>IF(OR(S110=0),0,SUM($S$6:S110))</f>
        <v>0</v>
      </c>
      <c r="C110" s="3494"/>
      <c r="D110" s="257" t="s">
        <v>174</v>
      </c>
      <c r="E110" s="342" t="s">
        <v>74</v>
      </c>
      <c r="F110" s="343">
        <v>2</v>
      </c>
      <c r="G110" s="343" t="s">
        <v>1241</v>
      </c>
      <c r="H110" s="344" t="s">
        <v>1165</v>
      </c>
      <c r="I110" s="3571" t="s">
        <v>5408</v>
      </c>
      <c r="J110" s="3571" t="s">
        <v>5407</v>
      </c>
      <c r="K110" s="3571" t="s">
        <v>5406</v>
      </c>
      <c r="L110" s="3571" t="s">
        <v>5386</v>
      </c>
      <c r="M110" s="3571" t="s">
        <v>5654</v>
      </c>
      <c r="N110" s="3571" t="s">
        <v>5655</v>
      </c>
      <c r="O110" s="3571" t="s">
        <v>3206</v>
      </c>
      <c r="P110" s="3571" t="s">
        <v>3207</v>
      </c>
      <c r="Q110" s="3571" t="s">
        <v>3208</v>
      </c>
      <c r="R110" s="3571" t="s">
        <v>3199</v>
      </c>
      <c r="S110" s="3516">
        <f>IF(COUNTIF(Psíquicos!$C$26:$E$37,E110)=0,0,1)</f>
        <v>0</v>
      </c>
      <c r="T110" s="3517">
        <f>COUNTIF(Psíquicos!$V$20:$Z$73,'Tablas psiquica'!D110)</f>
        <v>0</v>
      </c>
      <c r="U110" s="404"/>
      <c r="V110" s="3523"/>
      <c r="W110" s="4259" t="s">
        <v>14000</v>
      </c>
      <c r="X110" s="4260" t="s">
        <v>14023</v>
      </c>
      <c r="Y110" s="404">
        <f t="shared" si="18"/>
        <v>0</v>
      </c>
      <c r="Z110" s="3496">
        <f t="shared" si="19"/>
        <v>0</v>
      </c>
      <c r="AB110" s="3547" t="s">
        <v>10221</v>
      </c>
      <c r="AC110" s="2746" t="str" cm="1">
        <f t="array" ref="AC110">INDEX($I$6:$R$6,SUMPRODUCT(ISNUMBER(SEARCH("Fatiga",I146:R146))*1)+1)</f>
        <v>MED</v>
      </c>
      <c r="AD110" s="2746" t="str">
        <f>IFERROR(VLOOKUP(AB110,Psíquicos!$AD$11:$AK$67,8,FALSE),AC110)</f>
        <v>MED</v>
      </c>
      <c r="AE110" s="3548"/>
      <c r="AF110" s="3548"/>
      <c r="AG110" s="3548"/>
      <c r="AH110" s="3548"/>
      <c r="AI110" s="3548"/>
      <c r="AJ110" s="3548"/>
      <c r="AK110" s="3548"/>
      <c r="AL110" s="3548"/>
      <c r="AM110" s="3548"/>
      <c r="AN110" s="3548"/>
      <c r="AO110" s="3549">
        <f>IF(COUNTIF(Psíquicos!$AD$20:$AH$65,AB110),VALUE(INDEX('Tablas psiquica'!$AE110:$AN110,MATCH('Tablas psiquica'!$AD110,'Tablas psiquica'!$AE$6:$AN$6,0))),0)</f>
        <v>0</v>
      </c>
      <c r="AQ110" s="2029" t="str">
        <f>IFERROR(IF(VLOOKUP(AR110,$D$7:$G$296,4,FALSE)&lt;&gt;"No",MAX(AQ$5:AQ109)+1,0),"")</f>
        <v/>
      </c>
      <c r="AR110" s="2030" t="str">
        <f t="shared" si="22"/>
        <v/>
      </c>
      <c r="AS110" s="2033" t="str">
        <f>IFERROR(VLOOKUP(Tablas!$A104,$AQ$7:$AR$145,2,FALSE),"")</f>
        <v/>
      </c>
    </row>
    <row r="111" spans="1:45" ht="12.75" customHeight="1">
      <c r="A111" s="702">
        <v>111</v>
      </c>
      <c r="B111" s="3493">
        <f>IF(OR(S111=0),0,SUM($S$6:S111))</f>
        <v>0</v>
      </c>
      <c r="C111" s="3494"/>
      <c r="D111" s="257" t="s">
        <v>175</v>
      </c>
      <c r="E111" s="342" t="s">
        <v>74</v>
      </c>
      <c r="F111" s="343">
        <v>2</v>
      </c>
      <c r="G111" s="343" t="s">
        <v>1241</v>
      </c>
      <c r="H111" s="344" t="s">
        <v>1165</v>
      </c>
      <c r="I111" s="3571" t="s">
        <v>5407</v>
      </c>
      <c r="J111" s="3571" t="s">
        <v>5406</v>
      </c>
      <c r="K111" s="3571" t="s">
        <v>5386</v>
      </c>
      <c r="L111" s="3571" t="s">
        <v>11446</v>
      </c>
      <c r="M111" s="3571" t="s">
        <v>11455</v>
      </c>
      <c r="N111" s="3571" t="s">
        <v>11467</v>
      </c>
      <c r="O111" s="3571" t="s">
        <v>11478</v>
      </c>
      <c r="P111" s="3571" t="s">
        <v>11489</v>
      </c>
      <c r="Q111" s="3571" t="s">
        <v>11519</v>
      </c>
      <c r="R111" s="3571" t="s">
        <v>11500</v>
      </c>
      <c r="S111" s="3516">
        <f>IF(COUNTIF(Psíquicos!$C$26:$E$37,E111)=0,0,1)</f>
        <v>0</v>
      </c>
      <c r="T111" s="3517">
        <f>COUNTIF(Psíquicos!$V$20:$Z$73,'Tablas psiquica'!D111)</f>
        <v>0</v>
      </c>
      <c r="U111" s="404"/>
      <c r="V111" s="3523"/>
      <c r="W111" s="4256" t="s">
        <v>13940</v>
      </c>
      <c r="X111" s="4253" t="s">
        <v>14024</v>
      </c>
      <c r="Y111" s="404">
        <f t="shared" si="18"/>
        <v>0</v>
      </c>
      <c r="Z111" s="3496">
        <f t="shared" si="19"/>
        <v>0</v>
      </c>
      <c r="AB111" s="3547" t="s">
        <v>10229</v>
      </c>
      <c r="AC111" s="2746" t="str" cm="1">
        <f t="array" ref="AC111">INDEX($I$6:$R$6,SUMPRODUCT(ISNUMBER(SEARCH("Fatiga",I147:R147))*1)+1)</f>
        <v>MED</v>
      </c>
      <c r="AD111" s="2746" t="str">
        <f>IFERROR(VLOOKUP(AB111,Psíquicos!$AD$11:$AK$67,8,FALSE),AC111)</f>
        <v>MED</v>
      </c>
      <c r="AE111" s="3548"/>
      <c r="AF111" s="3548"/>
      <c r="AG111" s="3548"/>
      <c r="AH111" s="3548"/>
      <c r="AI111" s="3548"/>
      <c r="AJ111" s="3548"/>
      <c r="AK111" s="3548"/>
      <c r="AL111" s="3548"/>
      <c r="AM111" s="3548"/>
      <c r="AN111" s="3548"/>
      <c r="AO111" s="3549">
        <f>IF(COUNTIF(Psíquicos!$AD$20:$AH$65,AB111),VALUE(INDEX('Tablas psiquica'!$AE111:$AN111,MATCH('Tablas psiquica'!$AD111,'Tablas psiquica'!$AE$6:$AN$6,0))),0)</f>
        <v>0</v>
      </c>
      <c r="AQ111" s="2029" t="str">
        <f>IFERROR(IF(VLOOKUP(AR111,$D$7:$G$296,4,FALSE)&lt;&gt;"No",MAX(AQ$5:AQ110)+1,0),"")</f>
        <v/>
      </c>
      <c r="AR111" s="2030" t="str">
        <f t="shared" si="22"/>
        <v/>
      </c>
      <c r="AS111" s="2033" t="str">
        <f>IFERROR(VLOOKUP(Tablas!$A105,$AQ$7:$AR$145,2,FALSE),"")</f>
        <v/>
      </c>
    </row>
    <row r="112" spans="1:45" ht="12.75" customHeight="1">
      <c r="A112" s="702">
        <v>112</v>
      </c>
      <c r="B112" s="3493">
        <f>IF(OR(S112=0),0,SUM($S$6:S112))</f>
        <v>0</v>
      </c>
      <c r="C112" s="3494"/>
      <c r="D112" s="257" t="s">
        <v>176</v>
      </c>
      <c r="E112" s="342" t="s">
        <v>74</v>
      </c>
      <c r="F112" s="343">
        <v>3</v>
      </c>
      <c r="G112" s="343" t="s">
        <v>2422</v>
      </c>
      <c r="H112" s="344" t="s">
        <v>1165</v>
      </c>
      <c r="I112" s="3571" t="s">
        <v>5417</v>
      </c>
      <c r="J112" s="3571" t="s">
        <v>5416</v>
      </c>
      <c r="K112" s="3571" t="s">
        <v>5408</v>
      </c>
      <c r="L112" s="3571" t="s">
        <v>5407</v>
      </c>
      <c r="M112" s="3571" t="s">
        <v>5406</v>
      </c>
      <c r="N112" s="3571" t="s">
        <v>3199</v>
      </c>
      <c r="O112" s="3571" t="s">
        <v>5657</v>
      </c>
      <c r="P112" s="3571" t="s">
        <v>4863</v>
      </c>
      <c r="Q112" s="3571" t="s">
        <v>5658</v>
      </c>
      <c r="R112" s="3571" t="s">
        <v>5659</v>
      </c>
      <c r="S112" s="3516">
        <f>IF(COUNTIF(Psíquicos!$C$26:$E$37,E112)=0,0,1)</f>
        <v>0</v>
      </c>
      <c r="T112" s="3517">
        <f>COUNTIF(Psíquicos!$V$20:$Z$73,'Tablas psiquica'!D112)</f>
        <v>0</v>
      </c>
      <c r="U112" s="404"/>
      <c r="V112" s="3523"/>
      <c r="W112" s="4252" t="s">
        <v>13944</v>
      </c>
      <c r="X112" s="4251" t="s">
        <v>14025</v>
      </c>
      <c r="Y112" s="404">
        <f t="shared" si="18"/>
        <v>0</v>
      </c>
      <c r="Z112" s="3496">
        <f t="shared" si="19"/>
        <v>0</v>
      </c>
      <c r="AB112" s="3547" t="s">
        <v>10237</v>
      </c>
      <c r="AC112" s="2746" t="str" cm="1">
        <f t="array" ref="AC112">INDEX($I$6:$R$6,SUMPRODUCT(ISNUMBER(SEARCH("Fatiga",I148:R148))*1)+1)</f>
        <v>MDF</v>
      </c>
      <c r="AD112" s="2746" t="str">
        <f>IFERROR(VLOOKUP(AB112,Psíquicos!$AD$11:$AK$67,8,FALSE),AC112)</f>
        <v>MDF</v>
      </c>
      <c r="AE112" s="3548"/>
      <c r="AF112" s="3548"/>
      <c r="AG112" s="3548"/>
      <c r="AH112" s="3548"/>
      <c r="AI112" s="3548"/>
      <c r="AJ112" s="3548"/>
      <c r="AK112" s="3548"/>
      <c r="AL112" s="3548"/>
      <c r="AM112" s="3548"/>
      <c r="AN112" s="3548"/>
      <c r="AO112" s="3549">
        <f>IF(COUNTIF(Psíquicos!$AD$20:$AH$65,AB112),VALUE(INDEX('Tablas psiquica'!$AE112:$AN112,MATCH('Tablas psiquica'!$AD112,'Tablas psiquica'!$AE$6:$AN$6,0))),0)</f>
        <v>0</v>
      </c>
      <c r="AQ112" s="2029" t="str">
        <f>IFERROR(IF(VLOOKUP(AR112,$D$7:$G$296,4,FALSE)&lt;&gt;"No",MAX(AQ$5:AQ111)+1,0),"")</f>
        <v/>
      </c>
      <c r="AR112" s="2030" t="str">
        <f t="shared" si="22"/>
        <v/>
      </c>
      <c r="AS112" s="2033" t="str">
        <f>IFERROR(VLOOKUP(Tablas!$A106,$AQ$7:$AR$145,2,FALSE),"")</f>
        <v/>
      </c>
    </row>
    <row r="113" spans="1:45" ht="12.75" customHeight="1">
      <c r="A113" s="702">
        <v>113</v>
      </c>
      <c r="B113" s="3498">
        <f>IF(OR(S113=0),0,SUM($S$6:S113))</f>
        <v>0</v>
      </c>
      <c r="C113" s="3499"/>
      <c r="D113" s="3500" t="s">
        <v>177</v>
      </c>
      <c r="E113" s="2746"/>
      <c r="F113" s="2745"/>
      <c r="G113" s="2745"/>
      <c r="H113" s="3511"/>
      <c r="I113" s="2744"/>
      <c r="J113" s="2744"/>
      <c r="K113" s="2744"/>
      <c r="L113" s="2744"/>
      <c r="M113" s="2744"/>
      <c r="N113" s="2744"/>
      <c r="O113" s="2744"/>
      <c r="P113" s="2744"/>
      <c r="Q113" s="2744"/>
      <c r="R113" s="2744"/>
      <c r="S113" s="3518">
        <f>S114</f>
        <v>0</v>
      </c>
      <c r="T113" s="3518"/>
      <c r="U113" s="3512"/>
      <c r="V113" s="3524"/>
      <c r="W113" s="4254"/>
      <c r="X113" s="4255"/>
      <c r="Y113" s="3512">
        <f t="shared" si="18"/>
        <v>0</v>
      </c>
      <c r="Z113" s="3502">
        <f t="shared" si="19"/>
        <v>0</v>
      </c>
      <c r="AB113" s="3547" t="s">
        <v>10246</v>
      </c>
      <c r="AC113" s="2746" t="str" cm="1">
        <f t="array" ref="AC113">INDEX($I$6:$R$6,SUMPRODUCT(ISNUMBER(SEARCH("Fatiga",I149:R149))*1)+1)</f>
        <v>DIF</v>
      </c>
      <c r="AD113" s="2746" t="str">
        <f>IFERROR(VLOOKUP(AB113,Psíquicos!$AD$11:$AK$67,8,FALSE),AC113)</f>
        <v>DIF</v>
      </c>
      <c r="AE113" s="3548"/>
      <c r="AF113" s="3548"/>
      <c r="AG113" s="3548"/>
      <c r="AH113" s="3548"/>
      <c r="AI113" s="3548"/>
      <c r="AJ113" s="3548"/>
      <c r="AK113" s="3548"/>
      <c r="AL113" s="3548"/>
      <c r="AM113" s="3548"/>
      <c r="AN113" s="3548"/>
      <c r="AO113" s="3549">
        <f>IF(COUNTIF(Psíquicos!$AD$20:$AH$65,AB113),VALUE(INDEX('Tablas psiquica'!$AE113:$AN113,MATCH('Tablas psiquica'!$AD113,'Tablas psiquica'!$AE$6:$AN$6,0))),0)</f>
        <v>0</v>
      </c>
      <c r="AQ113" s="2029" t="str">
        <f>IFERROR(IF(VLOOKUP(AR113,$D$7:$G$296,4,FALSE)&lt;&gt;"No",MAX(AQ$5:AQ112)+1,0),"")</f>
        <v/>
      </c>
      <c r="AR113" s="2030" t="str">
        <f t="shared" si="22"/>
        <v/>
      </c>
      <c r="AS113" s="2033" t="str">
        <f>IFERROR(VLOOKUP(Tablas!$A107,$AQ$7:$AR$145,2,FALSE),"")</f>
        <v/>
      </c>
    </row>
    <row r="114" spans="1:45" ht="12.75" customHeight="1">
      <c r="A114" s="702">
        <v>114</v>
      </c>
      <c r="B114" s="3498">
        <f>IF(OR(S114=0),0,SUM($S$6:S114))</f>
        <v>0</v>
      </c>
      <c r="C114" s="3499"/>
      <c r="D114" s="3500" t="s">
        <v>178</v>
      </c>
      <c r="E114" s="3509" t="s">
        <v>77</v>
      </c>
      <c r="F114" s="2745">
        <v>1</v>
      </c>
      <c r="G114" s="2745" t="s">
        <v>2422</v>
      </c>
      <c r="H114" s="3511" t="s">
        <v>1165</v>
      </c>
      <c r="I114" s="2744" t="s">
        <v>5408</v>
      </c>
      <c r="J114" s="2744" t="s">
        <v>5407</v>
      </c>
      <c r="K114" s="2744" t="s">
        <v>5406</v>
      </c>
      <c r="L114" s="2744" t="s">
        <v>5386</v>
      </c>
      <c r="M114" s="2744" t="s">
        <v>5728</v>
      </c>
      <c r="N114" s="2744" t="s">
        <v>5660</v>
      </c>
      <c r="O114" s="2744" t="s">
        <v>5397</v>
      </c>
      <c r="P114" s="2744" t="s">
        <v>5652</v>
      </c>
      <c r="Q114" s="2744" t="s">
        <v>5661</v>
      </c>
      <c r="R114" s="2744" t="s">
        <v>5662</v>
      </c>
      <c r="S114" s="3519">
        <f>IF(COUNTIF(Psíquicos!$C$26:$E$37,E114)=0,0,1)</f>
        <v>0</v>
      </c>
      <c r="T114" s="3518">
        <f>COUNTIF(Psíquicos!$V$20:$Z$73,'Tablas psiquica'!D114)</f>
        <v>0</v>
      </c>
      <c r="U114" s="3512"/>
      <c r="V114" s="3524"/>
      <c r="W114" s="4254" t="s">
        <v>13952</v>
      </c>
      <c r="X114" s="4255" t="s">
        <v>13976</v>
      </c>
      <c r="Y114" s="3512">
        <f t="shared" si="18"/>
        <v>0</v>
      </c>
      <c r="Z114" s="3502">
        <f t="shared" si="19"/>
        <v>0</v>
      </c>
      <c r="AB114" s="3550" t="s">
        <v>10254</v>
      </c>
      <c r="AC114" s="2746" t="str" cm="1">
        <f t="array" ref="AC114">INDEX($I$6:$R$6,SUMPRODUCT(ISNUMBER(SEARCH("Fatiga",I150:R150))*1)+1)</f>
        <v>ABS</v>
      </c>
      <c r="AD114" s="2746" t="str">
        <f>IFERROR(VLOOKUP(AB114,Psíquicos!$AD$11:$AK$67,8,FALSE),AC114)</f>
        <v>ABS</v>
      </c>
      <c r="AE114" s="3032"/>
      <c r="AF114" s="3032"/>
      <c r="AG114" s="3032"/>
      <c r="AH114" s="3032"/>
      <c r="AI114" s="3032"/>
      <c r="AJ114" s="3032"/>
      <c r="AK114" s="3032"/>
      <c r="AL114" s="3032"/>
      <c r="AM114" s="3032"/>
      <c r="AN114" s="3551"/>
      <c r="AO114" s="3549">
        <f>IF(COUNTIF(Psíquicos!$AD$20:$AH$65,AB114),VALUE(INDEX('Tablas psiquica'!$AE114:$AN114,MATCH('Tablas psiquica'!$AD114,'Tablas psiquica'!$AE$6:$AN$6,0))),0)</f>
        <v>0</v>
      </c>
      <c r="AQ114" s="2029" t="str">
        <f>IFERROR(IF(VLOOKUP(AR114,$D$7:$G$296,4,FALSE)&lt;&gt;"No",MAX(AQ$5:AQ113)+1,0),"")</f>
        <v/>
      </c>
      <c r="AR114" s="2030" t="str">
        <f t="shared" si="22"/>
        <v/>
      </c>
      <c r="AS114" s="2033" t="str">
        <f>IFERROR(VLOOKUP(Tablas!$A108,$AQ$7:$AR$145,2,FALSE),"")</f>
        <v/>
      </c>
    </row>
    <row r="115" spans="1:45" ht="12.75" customHeight="1">
      <c r="A115" s="702">
        <v>115</v>
      </c>
      <c r="B115" s="3498">
        <f>IF(OR(S115=0),0,SUM($S$6:S115))</f>
        <v>0</v>
      </c>
      <c r="C115" s="3499"/>
      <c r="D115" s="3500" t="s">
        <v>11764</v>
      </c>
      <c r="E115" s="3509" t="s">
        <v>77</v>
      </c>
      <c r="F115" s="2745">
        <v>1</v>
      </c>
      <c r="G115" s="2745" t="s">
        <v>2422</v>
      </c>
      <c r="H115" s="3511" t="s">
        <v>1165</v>
      </c>
      <c r="I115" s="2744" t="s">
        <v>5407</v>
      </c>
      <c r="J115" s="2744" t="s">
        <v>5406</v>
      </c>
      <c r="K115" s="2744" t="s">
        <v>5386</v>
      </c>
      <c r="L115" s="2744" t="s">
        <v>5512</v>
      </c>
      <c r="M115" s="2744" t="s">
        <v>5513</v>
      </c>
      <c r="N115" s="2744" t="s">
        <v>5514</v>
      </c>
      <c r="O115" s="2744" t="s">
        <v>5515</v>
      </c>
      <c r="P115" s="2744" t="s">
        <v>4002</v>
      </c>
      <c r="Q115" s="2744" t="s">
        <v>4004</v>
      </c>
      <c r="R115" s="2744" t="s">
        <v>5516</v>
      </c>
      <c r="S115" s="3519">
        <f>IF(COUNTIF(Psíquicos!$C$26:$E$37,E115)=0,0,1)</f>
        <v>0</v>
      </c>
      <c r="T115" s="3518">
        <f>COUNTIF(Psíquicos!$V$20:$Z$73,'Tablas psiquica'!D115)</f>
        <v>0</v>
      </c>
      <c r="U115" s="3512"/>
      <c r="V115" s="3524"/>
      <c r="W115" s="4254" t="s">
        <v>1315</v>
      </c>
      <c r="X115" s="4257" t="s">
        <v>1315</v>
      </c>
      <c r="Y115" s="3512">
        <f t="shared" si="18"/>
        <v>0</v>
      </c>
      <c r="Z115" s="3502">
        <f t="shared" si="19"/>
        <v>0</v>
      </c>
      <c r="AB115" s="3552" t="s">
        <v>10844</v>
      </c>
      <c r="AC115" s="2746"/>
      <c r="AD115" s="2746"/>
      <c r="AE115" s="3553"/>
      <c r="AF115" s="3553"/>
      <c r="AG115" s="3553"/>
      <c r="AH115" s="3553"/>
      <c r="AI115" s="3553"/>
      <c r="AJ115" s="3553"/>
      <c r="AK115" s="3553"/>
      <c r="AL115" s="3553"/>
      <c r="AM115" s="3553"/>
      <c r="AN115" s="3554"/>
      <c r="AO115" s="3549" t="e">
        <f>IF(COUNTIF(Psíquicos!$AD$20:$AH$65,AB115),VALUE(INDEX('Tablas psiquica'!$AE115:$AN115,MATCH('Tablas psiquica'!$AD115,'Tablas psiquica'!$AE$6:$AN$6,0))),0)</f>
        <v>#N/A</v>
      </c>
      <c r="AQ115" s="2029" t="str">
        <f>IFERROR(IF(VLOOKUP(AR115,$D$7:$G$296,4,FALSE)&lt;&gt;"No",MAX(AQ$5:AQ114)+1,0),"")</f>
        <v/>
      </c>
      <c r="AR115" s="2030" t="str">
        <f t="shared" si="22"/>
        <v/>
      </c>
      <c r="AS115" s="2033" t="str">
        <f>IFERROR(VLOOKUP(Tablas!$A109,$AQ$7:$AR$145,2,FALSE),"")</f>
        <v/>
      </c>
    </row>
    <row r="116" spans="1:45" ht="12.75" customHeight="1">
      <c r="A116" s="702">
        <v>116</v>
      </c>
      <c r="B116" s="3498">
        <f>IF(OR(S116=0),0,SUM($S$6:S116))</f>
        <v>0</v>
      </c>
      <c r="C116" s="3499"/>
      <c r="D116" s="3500" t="s">
        <v>179</v>
      </c>
      <c r="E116" s="3509" t="s">
        <v>77</v>
      </c>
      <c r="F116" s="2745">
        <v>2</v>
      </c>
      <c r="G116" s="2745" t="s">
        <v>2422</v>
      </c>
      <c r="H116" s="3511" t="s">
        <v>1165</v>
      </c>
      <c r="I116" s="2744" t="s">
        <v>5408</v>
      </c>
      <c r="J116" s="2744" t="s">
        <v>5407</v>
      </c>
      <c r="K116" s="2744" t="s">
        <v>5406</v>
      </c>
      <c r="L116" s="2744" t="s">
        <v>5386</v>
      </c>
      <c r="M116" s="2744" t="s">
        <v>11093</v>
      </c>
      <c r="N116" s="2744" t="s">
        <v>5663</v>
      </c>
      <c r="O116" s="2744" t="s">
        <v>5664</v>
      </c>
      <c r="P116" s="2744" t="s">
        <v>5665</v>
      </c>
      <c r="Q116" s="2744" t="s">
        <v>5666</v>
      </c>
      <c r="R116" s="2744" t="s">
        <v>5667</v>
      </c>
      <c r="S116" s="3519">
        <f>IF(COUNTIF(Psíquicos!$C$26:$E$37,E116)=0,0,1)</f>
        <v>0</v>
      </c>
      <c r="T116" s="3518">
        <f>COUNTIF(Psíquicos!$V$20:$Z$73,'Tablas psiquica'!D116)</f>
        <v>0</v>
      </c>
      <c r="U116" s="3512"/>
      <c r="V116" s="3524"/>
      <c r="W116" s="4254" t="s">
        <v>13942</v>
      </c>
      <c r="X116" s="4257" t="s">
        <v>14026</v>
      </c>
      <c r="Y116" s="3512">
        <f t="shared" si="18"/>
        <v>0</v>
      </c>
      <c r="Z116" s="3502">
        <f t="shared" si="19"/>
        <v>0</v>
      </c>
      <c r="AB116" s="3550" t="s">
        <v>10222</v>
      </c>
      <c r="AC116" s="2746" t="str" cm="1">
        <f t="array" ref="AC116">INDEX($I$6:$R$6,SUMPRODUCT(ISNUMBER(SEARCH("Fatiga",I152:R152))*1)+1)</f>
        <v>MED</v>
      </c>
      <c r="AD116" s="2746" t="str">
        <f>IFERROR(VLOOKUP(AB116,Psíquicos!$AD$11:$AK$67,8,FALSE),AC116)</f>
        <v>MED</v>
      </c>
      <c r="AE116" s="3032"/>
      <c r="AF116" s="3032"/>
      <c r="AG116" s="3032"/>
      <c r="AH116" s="3032"/>
      <c r="AI116" s="3032"/>
      <c r="AJ116" s="3032"/>
      <c r="AK116" s="3032"/>
      <c r="AL116" s="3032"/>
      <c r="AM116" s="3032"/>
      <c r="AN116" s="3551"/>
      <c r="AO116" s="3549">
        <f>IF(COUNTIF(Psíquicos!$AD$20:$AH$65,AB116),VALUE(INDEX('Tablas psiquica'!$AE116:$AN116,MATCH('Tablas psiquica'!$AD116,'Tablas psiquica'!$AE$6:$AN$6,0))),0)</f>
        <v>0</v>
      </c>
      <c r="AQ116" s="2029" t="str">
        <f>IFERROR(IF(VLOOKUP(AR116,$D$7:$G$296,4,FALSE)&lt;&gt;"No",MAX(AQ$5:AQ115)+1,0),"")</f>
        <v/>
      </c>
      <c r="AR116" s="2030" t="str">
        <f t="shared" si="22"/>
        <v/>
      </c>
      <c r="AS116" s="2033" t="str">
        <f>IFERROR(VLOOKUP(Tablas!$A110,$AQ$7:$AR$145,2,FALSE),"")</f>
        <v/>
      </c>
    </row>
    <row r="117" spans="1:45" ht="12.75" customHeight="1">
      <c r="A117" s="702">
        <v>117</v>
      </c>
      <c r="B117" s="3498">
        <f>IF(OR(S117=0),0,SUM($S$6:S117))</f>
        <v>0</v>
      </c>
      <c r="C117" s="3499"/>
      <c r="D117" s="3500" t="s">
        <v>180</v>
      </c>
      <c r="E117" s="3509" t="s">
        <v>77</v>
      </c>
      <c r="F117" s="2745">
        <v>2</v>
      </c>
      <c r="G117" s="2745" t="s">
        <v>1241</v>
      </c>
      <c r="H117" s="3511" t="s">
        <v>1165</v>
      </c>
      <c r="I117" s="2744" t="s">
        <v>5407</v>
      </c>
      <c r="J117" s="2744" t="s">
        <v>5406</v>
      </c>
      <c r="K117" s="2744" t="s">
        <v>5386</v>
      </c>
      <c r="L117" s="2744" t="s">
        <v>5387</v>
      </c>
      <c r="M117" s="2744" t="s">
        <v>5668</v>
      </c>
      <c r="N117" s="2744" t="s">
        <v>5669</v>
      </c>
      <c r="O117" s="2744" t="s">
        <v>5670</v>
      </c>
      <c r="P117" s="2744" t="s">
        <v>5671</v>
      </c>
      <c r="Q117" s="2744" t="s">
        <v>5672</v>
      </c>
      <c r="R117" s="2744" t="s">
        <v>5673</v>
      </c>
      <c r="S117" s="3519">
        <f>IF(COUNTIF(Psíquicos!$C$26:$E$37,E117)=0,0,1)</f>
        <v>0</v>
      </c>
      <c r="T117" s="3518">
        <f>COUNTIF(Psíquicos!$V$20:$Z$73,'Tablas psiquica'!D117)</f>
        <v>0</v>
      </c>
      <c r="U117" s="3512"/>
      <c r="V117" s="3524"/>
      <c r="W117" s="4254" t="s">
        <v>14027</v>
      </c>
      <c r="X117" s="4255" t="s">
        <v>13976</v>
      </c>
      <c r="Y117" s="3512">
        <f t="shared" si="18"/>
        <v>0</v>
      </c>
      <c r="Z117" s="3502">
        <f t="shared" si="19"/>
        <v>0</v>
      </c>
      <c r="AB117" s="3552" t="s">
        <v>10247</v>
      </c>
      <c r="AC117" s="2746" t="str" cm="1">
        <f t="array" ref="AC117">INDEX($I$6:$R$6,SUMPRODUCT(ISNUMBER(SEARCH("Fatiga",I155:R155))*1)+1)</f>
        <v>MDF</v>
      </c>
      <c r="AD117" s="2746" t="str">
        <f>IFERROR(VLOOKUP(AB117,Psíquicos!$AD$11:$AK$67,8,FALSE),AC117)</f>
        <v>MDF</v>
      </c>
      <c r="AE117" s="3555"/>
      <c r="AF117" s="3555"/>
      <c r="AG117" s="3555"/>
      <c r="AH117" s="3555"/>
      <c r="AI117" s="3555"/>
      <c r="AJ117" s="3555"/>
      <c r="AK117" s="3555"/>
      <c r="AL117" s="3032"/>
      <c r="AM117" s="3032"/>
      <c r="AN117" s="3551"/>
      <c r="AO117" s="3549">
        <f>IF(COUNTIF(Psíquicos!$AD$20:$AH$65,AB117),VALUE(INDEX('Tablas psiquica'!$AE117:$AN117,MATCH('Tablas psiquica'!$AD117,'Tablas psiquica'!$AE$6:$AN$6,0))),0)</f>
        <v>0</v>
      </c>
      <c r="AQ117" s="2029" t="str">
        <f>IFERROR(IF(VLOOKUP(AR117,$D$7:$G$296,4,FALSE)&lt;&gt;"No",MAX(AQ$5:AQ116)+1,0),"")</f>
        <v/>
      </c>
      <c r="AR117" s="2030" t="str">
        <f t="shared" si="22"/>
        <v/>
      </c>
      <c r="AS117" s="2033" t="str">
        <f>IFERROR(VLOOKUP(Tablas!$A111,$AQ$7:$AR$145,2,FALSE),"")</f>
        <v/>
      </c>
    </row>
    <row r="118" spans="1:45" ht="12.75" customHeight="1">
      <c r="A118" s="702">
        <v>118</v>
      </c>
      <c r="B118" s="3498">
        <f>IF(OR(S118=0),0,SUM($S$6:S118))</f>
        <v>0</v>
      </c>
      <c r="C118" s="3499"/>
      <c r="D118" s="3500" t="s">
        <v>181</v>
      </c>
      <c r="E118" s="3509" t="s">
        <v>77</v>
      </c>
      <c r="F118" s="2745">
        <v>3</v>
      </c>
      <c r="G118" s="2745" t="s">
        <v>2422</v>
      </c>
      <c r="H118" s="3511" t="s">
        <v>1165</v>
      </c>
      <c r="I118" s="2744" t="s">
        <v>5408</v>
      </c>
      <c r="J118" s="2744" t="s">
        <v>5407</v>
      </c>
      <c r="K118" s="2744" t="s">
        <v>5406</v>
      </c>
      <c r="L118" s="2744" t="s">
        <v>5386</v>
      </c>
      <c r="M118" s="2744" t="s">
        <v>5728</v>
      </c>
      <c r="N118" s="2744" t="s">
        <v>5660</v>
      </c>
      <c r="O118" s="2744" t="s">
        <v>5397</v>
      </c>
      <c r="P118" s="2744" t="s">
        <v>5674</v>
      </c>
      <c r="Q118" s="2744" t="s">
        <v>5675</v>
      </c>
      <c r="R118" s="2744" t="s">
        <v>5676</v>
      </c>
      <c r="S118" s="3519">
        <f>IF(COUNTIF(Psíquicos!$C$26:$E$37,E118)=0,0,1)</f>
        <v>0</v>
      </c>
      <c r="T118" s="3518">
        <f>COUNTIF(Psíquicos!$V$20:$Z$73,'Tablas psiquica'!D118)</f>
        <v>0</v>
      </c>
      <c r="U118" s="3512"/>
      <c r="V118" s="3524"/>
      <c r="W118" s="4254" t="s">
        <v>13975</v>
      </c>
      <c r="X118" s="4257" t="s">
        <v>14028</v>
      </c>
      <c r="Y118" s="3512">
        <f t="shared" si="18"/>
        <v>0</v>
      </c>
      <c r="Z118" s="3502">
        <f t="shared" si="19"/>
        <v>0</v>
      </c>
      <c r="AB118" s="3559" t="s">
        <v>11063</v>
      </c>
      <c r="AC118" s="2746" t="str" cm="1">
        <f t="array" ref="AC118">INDEX($I$6:$R$6,SUMPRODUCT(ISNUMBER(SEARCH("Fatiga",I156:R156))*1)+1)</f>
        <v>MDF</v>
      </c>
      <c r="AD118" s="2746" t="str">
        <f>IFERROR(VLOOKUP(AB118,Psíquicos!$AD$11:$AK$67,8,FALSE),AC118)</f>
        <v>MDF</v>
      </c>
      <c r="AE118" s="3032"/>
      <c r="AF118" s="3032"/>
      <c r="AG118" s="3032"/>
      <c r="AH118" s="3032"/>
      <c r="AI118" s="3032"/>
      <c r="AJ118" s="3032"/>
      <c r="AK118" s="3032"/>
      <c r="AL118" s="3032"/>
      <c r="AM118" s="3032"/>
      <c r="AN118" s="3032"/>
      <c r="AO118" s="3549">
        <f>IF(COUNTIF(Psíquicos!$AD$20:$AH$65,AB118),VALUE(INDEX('Tablas psiquica'!$AE118:$AN118,MATCH('Tablas psiquica'!$AD118,'Tablas psiquica'!$AE$6:$AN$6,0))),0)</f>
        <v>0</v>
      </c>
      <c r="AQ118" s="2029" t="str">
        <f>IFERROR(IF(VLOOKUP(AR118,$D$7:$G$296,4,FALSE)&lt;&gt;"No",MAX(AQ$5:AQ117)+1,0),"")</f>
        <v/>
      </c>
      <c r="AR118" s="2030" t="str">
        <f t="shared" si="22"/>
        <v/>
      </c>
      <c r="AS118" s="2033" t="str">
        <f>IFERROR(VLOOKUP(Tablas!$A112,$AQ$7:$AR$145,2,FALSE),"")</f>
        <v/>
      </c>
    </row>
    <row r="119" spans="1:45" ht="12.75" customHeight="1">
      <c r="A119" s="702">
        <v>119</v>
      </c>
      <c r="B119" s="3498">
        <f>IF(OR(S119=0),0,SUM($S$6:S119))</f>
        <v>0</v>
      </c>
      <c r="C119" s="3499"/>
      <c r="D119" s="3500" t="s">
        <v>182</v>
      </c>
      <c r="E119" s="3509" t="s">
        <v>77</v>
      </c>
      <c r="F119" s="2745">
        <v>3</v>
      </c>
      <c r="G119" s="2745" t="s">
        <v>1241</v>
      </c>
      <c r="H119" s="3511" t="s">
        <v>1165</v>
      </c>
      <c r="I119" s="2744" t="s">
        <v>5417</v>
      </c>
      <c r="J119" s="2744" t="s">
        <v>5416</v>
      </c>
      <c r="K119" s="2744" t="s">
        <v>5408</v>
      </c>
      <c r="L119" s="2744" t="s">
        <v>5407</v>
      </c>
      <c r="M119" s="2744" t="s">
        <v>5406</v>
      </c>
      <c r="N119" s="2744" t="s">
        <v>5386</v>
      </c>
      <c r="O119" s="2744" t="s">
        <v>11094</v>
      </c>
      <c r="P119" s="2744" t="s">
        <v>11095</v>
      </c>
      <c r="Q119" s="2744" t="s">
        <v>11096</v>
      </c>
      <c r="R119" s="2744" t="s">
        <v>11097</v>
      </c>
      <c r="S119" s="3519">
        <f>IF(COUNTIF(Psíquicos!$C$26:$E$37,E119)=0,0,1)</f>
        <v>0</v>
      </c>
      <c r="T119" s="3518">
        <f>COUNTIF(Psíquicos!$V$20:$Z$73,'Tablas psiquica'!D119)</f>
        <v>0</v>
      </c>
      <c r="U119" s="3512"/>
      <c r="V119" s="3524"/>
      <c r="W119" s="4254" t="s">
        <v>13996</v>
      </c>
      <c r="X119" s="4255" t="s">
        <v>14029</v>
      </c>
      <c r="Y119" s="3512">
        <f t="shared" si="18"/>
        <v>0</v>
      </c>
      <c r="Z119" s="3502">
        <f t="shared" si="19"/>
        <v>0</v>
      </c>
      <c r="AB119" s="3552" t="s">
        <v>10261</v>
      </c>
      <c r="AC119" s="2746" t="str" cm="1">
        <f t="array" ref="AC119">INDEX($I$6:$R$6,SUMPRODUCT(ISNUMBER(SEARCH("Fatiga",I157:R157))*1)+1)</f>
        <v>MDF</v>
      </c>
      <c r="AD119" s="2746" t="str">
        <f>IFERROR(VLOOKUP(AB119,Psíquicos!$AD$11:$AK$67,8,FALSE),AC119)</f>
        <v>MDF</v>
      </c>
      <c r="AE119" s="3555"/>
      <c r="AF119" s="3555"/>
      <c r="AG119" s="3555"/>
      <c r="AH119" s="3555"/>
      <c r="AI119" s="3555"/>
      <c r="AJ119" s="3555"/>
      <c r="AK119" s="3555"/>
      <c r="AL119" s="3032"/>
      <c r="AM119" s="3032"/>
      <c r="AN119" s="3551"/>
      <c r="AO119" s="3549">
        <f>IF(COUNTIF(Psíquicos!$AD$20:$AH$65,AB119),VALUE(INDEX('Tablas psiquica'!$AE119:$AN119,MATCH('Tablas psiquica'!$AD119,'Tablas psiquica'!$AE$6:$AN$6,0))),0)</f>
        <v>0</v>
      </c>
      <c r="AQ119" s="2029" t="str">
        <f>IFERROR(IF(VLOOKUP(AR119,$D$7:$G$296,4,FALSE)&lt;&gt;"No",MAX(AQ$5:AQ118)+1,0),"")</f>
        <v/>
      </c>
      <c r="AR119" s="2030" t="str">
        <f t="shared" si="22"/>
        <v/>
      </c>
      <c r="AS119" s="2033" t="str">
        <f>IFERROR(VLOOKUP(Tablas!$A113,$AQ$7:$AR$145,2,FALSE),"")</f>
        <v/>
      </c>
    </row>
    <row r="120" spans="1:45" ht="12.75" customHeight="1">
      <c r="A120" s="702">
        <v>120</v>
      </c>
      <c r="B120" s="3493">
        <f>IF(OR(S120=0),0,SUM($S$6:S120))</f>
        <v>0</v>
      </c>
      <c r="C120" s="3494"/>
      <c r="D120" s="257" t="s">
        <v>183</v>
      </c>
      <c r="E120" s="342"/>
      <c r="F120" s="343"/>
      <c r="G120" s="343"/>
      <c r="H120" s="344"/>
      <c r="I120" s="3571"/>
      <c r="J120" s="3571"/>
      <c r="K120" s="3571"/>
      <c r="L120" s="3571"/>
      <c r="M120" s="3571"/>
      <c r="N120" s="3571"/>
      <c r="O120" s="3571"/>
      <c r="P120" s="3571"/>
      <c r="Q120" s="3571"/>
      <c r="R120" s="3571"/>
      <c r="S120" s="3517">
        <f>S121</f>
        <v>0</v>
      </c>
      <c r="T120" s="3517"/>
      <c r="U120" s="404"/>
      <c r="V120" s="3523"/>
      <c r="W120" s="4252"/>
      <c r="X120" s="4251"/>
      <c r="Y120" s="404">
        <f t="shared" si="18"/>
        <v>0</v>
      </c>
      <c r="Z120" s="3496">
        <f t="shared" si="19"/>
        <v>0</v>
      </c>
      <c r="AB120" s="3552" t="s">
        <v>10317</v>
      </c>
      <c r="AC120" s="2746" t="str" cm="1">
        <f t="array" ref="AC120">INDEX($I$6:$R$6,SUMPRODUCT(ISNUMBER(SEARCH("Fatiga",I159:R159))*1)+1)</f>
        <v>ABS</v>
      </c>
      <c r="AD120" s="2746" t="str">
        <f>IFERROR(VLOOKUP(AB120,Psíquicos!$AD$11:$AK$67,8,FALSE),AC120)</f>
        <v>ABS</v>
      </c>
      <c r="AE120" s="3555"/>
      <c r="AF120" s="3555"/>
      <c r="AG120" s="3555"/>
      <c r="AH120" s="3555"/>
      <c r="AI120" s="3555"/>
      <c r="AJ120" s="3555"/>
      <c r="AK120" s="3555"/>
      <c r="AL120" s="3032"/>
      <c r="AM120" s="3032"/>
      <c r="AN120" s="3551"/>
      <c r="AO120" s="3549">
        <f>IF(COUNTIF(Psíquicos!$AD$20:$AH$65,AB120),VALUE(INDEX('Tablas psiquica'!$AE120:$AN120,MATCH('Tablas psiquica'!$AD120,'Tablas psiquica'!$AE$6:$AN$6,0))),0)</f>
        <v>0</v>
      </c>
      <c r="AQ120" s="2029" t="str">
        <f>IFERROR(IF(VLOOKUP(AR120,$D$7:$G$296,4,FALSE)&lt;&gt;"No",MAX(AQ$5:AQ119)+1,0),"")</f>
        <v/>
      </c>
      <c r="AR120" s="2030" t="str">
        <f t="shared" si="22"/>
        <v/>
      </c>
      <c r="AS120" s="2033" t="str">
        <f>IFERROR(VLOOKUP(Tablas!$A114,$AQ$7:$AR$145,2,FALSE),"")</f>
        <v/>
      </c>
    </row>
    <row r="121" spans="1:45" ht="12.75" customHeight="1">
      <c r="A121" s="702">
        <v>121</v>
      </c>
      <c r="B121" s="3493">
        <f>IF(OR(S121=0),0,SUM($S$6:S121))</f>
        <v>0</v>
      </c>
      <c r="C121" s="3494"/>
      <c r="D121" s="257" t="s">
        <v>184</v>
      </c>
      <c r="E121" s="359" t="s">
        <v>78</v>
      </c>
      <c r="F121" s="343">
        <v>1</v>
      </c>
      <c r="G121" s="343" t="s">
        <v>1241</v>
      </c>
      <c r="H121" s="344" t="s">
        <v>1165</v>
      </c>
      <c r="I121" s="3571" t="s">
        <v>5406</v>
      </c>
      <c r="J121" s="3571" t="s">
        <v>5386</v>
      </c>
      <c r="K121" s="3571" t="s">
        <v>5387</v>
      </c>
      <c r="L121" s="3571" t="s">
        <v>5512</v>
      </c>
      <c r="M121" s="3571" t="s">
        <v>5677</v>
      </c>
      <c r="N121" s="3571" t="s">
        <v>5513</v>
      </c>
      <c r="O121" s="3571" t="s">
        <v>5678</v>
      </c>
      <c r="P121" s="3571" t="s">
        <v>5679</v>
      </c>
      <c r="Q121" s="3571" t="s">
        <v>5680</v>
      </c>
      <c r="R121" s="3571" t="s">
        <v>5681</v>
      </c>
      <c r="S121" s="3516">
        <f>IF(COUNTIF(Psíquicos!$C$26:$E$37,E121)=0,0,1)</f>
        <v>0</v>
      </c>
      <c r="T121" s="3517">
        <f>COUNTIF(Psíquicos!$V$20:$Z$73,'Tablas psiquica'!D121)</f>
        <v>0</v>
      </c>
      <c r="U121" s="404"/>
      <c r="V121" s="3523"/>
      <c r="W121" s="4252" t="s">
        <v>13956</v>
      </c>
      <c r="X121" s="4251" t="s">
        <v>14030</v>
      </c>
      <c r="Y121" s="404">
        <f t="shared" si="18"/>
        <v>0</v>
      </c>
      <c r="Z121" s="3496">
        <f t="shared" si="19"/>
        <v>0</v>
      </c>
      <c r="AB121" s="3552" t="s">
        <v>10863</v>
      </c>
      <c r="AC121" s="2746"/>
      <c r="AD121" s="2746"/>
      <c r="AE121" s="3555"/>
      <c r="AF121" s="3555"/>
      <c r="AG121" s="3555"/>
      <c r="AH121" s="3555"/>
      <c r="AI121" s="3555"/>
      <c r="AJ121" s="3555"/>
      <c r="AK121" s="3555"/>
      <c r="AL121" s="3032"/>
      <c r="AM121" s="3032"/>
      <c r="AN121" s="3551"/>
      <c r="AO121" s="3549" t="e">
        <f>IF(COUNTIF(Psíquicos!$AD$20:$AH$65,AB121),VALUE(INDEX('Tablas psiquica'!$AE121:$AN121,MATCH('Tablas psiquica'!$AD121,'Tablas psiquica'!$AE$6:$AN$6,0))),0)</f>
        <v>#N/A</v>
      </c>
      <c r="AQ121" s="2029" t="str">
        <f>IFERROR(IF(VLOOKUP(AR121,$D$7:$G$296,4,FALSE)&lt;&gt;"No",MAX(AQ$5:AQ120)+1,0),"")</f>
        <v/>
      </c>
      <c r="AR121" s="2030" t="str">
        <f t="shared" si="22"/>
        <v/>
      </c>
      <c r="AS121" s="2033" t="str">
        <f>IFERROR(VLOOKUP(Tablas!$A115,$AQ$7:$AR$145,2,FALSE),"")</f>
        <v/>
      </c>
    </row>
    <row r="122" spans="1:45" ht="12.75" customHeight="1">
      <c r="A122" s="702">
        <v>122</v>
      </c>
      <c r="B122" s="3493">
        <f>IF(OR(S122=0),0,SUM($S$6:S122))</f>
        <v>0</v>
      </c>
      <c r="C122" s="3494"/>
      <c r="D122" s="257" t="s">
        <v>185</v>
      </c>
      <c r="E122" s="359" t="s">
        <v>78</v>
      </c>
      <c r="F122" s="343">
        <v>1</v>
      </c>
      <c r="G122" s="343" t="s">
        <v>2422</v>
      </c>
      <c r="H122" s="344" t="s">
        <v>1165</v>
      </c>
      <c r="I122" s="3571" t="s">
        <v>5386</v>
      </c>
      <c r="J122" s="3571" t="s">
        <v>5387</v>
      </c>
      <c r="K122" s="3571" t="s">
        <v>3334</v>
      </c>
      <c r="L122" s="3571" t="s">
        <v>4479</v>
      </c>
      <c r="M122" s="3571" t="s">
        <v>3335</v>
      </c>
      <c r="N122" s="3571" t="s">
        <v>5478</v>
      </c>
      <c r="O122" s="3571" t="s">
        <v>3336</v>
      </c>
      <c r="P122" s="3571" t="s">
        <v>5479</v>
      </c>
      <c r="Q122" s="3571" t="s">
        <v>5480</v>
      </c>
      <c r="R122" s="3571" t="s">
        <v>3337</v>
      </c>
      <c r="S122" s="3516">
        <f>IF(COUNTIF(Psíquicos!$C$26:$E$37,E122)=0,0,1)</f>
        <v>0</v>
      </c>
      <c r="T122" s="3517">
        <f>COUNTIF(Psíquicos!$V$20:$Z$73,'Tablas psiquica'!D122)</f>
        <v>0</v>
      </c>
      <c r="U122" s="404"/>
      <c r="V122" s="3523"/>
      <c r="W122" s="4252" t="s">
        <v>14000</v>
      </c>
      <c r="X122" s="4251" t="s">
        <v>13979</v>
      </c>
      <c r="Y122" s="404">
        <f t="shared" si="18"/>
        <v>0</v>
      </c>
      <c r="Z122" s="3496">
        <f t="shared" si="19"/>
        <v>0</v>
      </c>
      <c r="AB122" s="3552" t="s">
        <v>10231</v>
      </c>
      <c r="AC122" s="2746" t="str" cm="1">
        <f t="array" ref="AC122">INDEX($I$6:$R$6,SUMPRODUCT(ISNUMBER(SEARCH("Fatiga",I162:R162))*1)+1)</f>
        <v>DIF</v>
      </c>
      <c r="AD122" s="2746" t="str">
        <f>IFERROR(VLOOKUP(AB122,Psíquicos!$AD$11:$AK$67,8,FALSE),AC122)</f>
        <v>DIF</v>
      </c>
      <c r="AE122" s="3555"/>
      <c r="AF122" s="3555"/>
      <c r="AG122" s="3555"/>
      <c r="AH122" s="3555"/>
      <c r="AI122" s="3032"/>
      <c r="AJ122" s="3555"/>
      <c r="AK122" s="3555"/>
      <c r="AL122" s="3032"/>
      <c r="AM122" s="3032"/>
      <c r="AN122" s="3551"/>
      <c r="AO122" s="3549">
        <f>IF(COUNTIF(Psíquicos!$AD$20:$AH$65,AB122),VALUE(INDEX('Tablas psiquica'!$AE122:$AN122,MATCH('Tablas psiquica'!$AD122,'Tablas psiquica'!$AE$6:$AN$6,0))),0)</f>
        <v>0</v>
      </c>
      <c r="AQ122" s="2029" t="str">
        <f>IFERROR(IF(VLOOKUP(AR122,$D$7:$G$296,4,FALSE)&lt;&gt;"No",MAX(AQ$5:AQ121)+1,0),"")</f>
        <v/>
      </c>
      <c r="AR122" s="2030" t="str">
        <f t="shared" si="22"/>
        <v/>
      </c>
      <c r="AS122" s="2033" t="str">
        <f>IFERROR(VLOOKUP(Tablas!$A116,$AQ$7:$AR$145,2,FALSE),"")</f>
        <v/>
      </c>
    </row>
    <row r="123" spans="1:45" ht="12.75" customHeight="1">
      <c r="A123" s="702">
        <v>123</v>
      </c>
      <c r="B123" s="3493">
        <f>IF(OR(S123=0),0,SUM($S$6:S123))</f>
        <v>0</v>
      </c>
      <c r="C123" s="3494"/>
      <c r="D123" s="257" t="s">
        <v>186</v>
      </c>
      <c r="E123" s="359" t="s">
        <v>78</v>
      </c>
      <c r="F123" s="343">
        <v>1</v>
      </c>
      <c r="G123" s="343" t="s">
        <v>2422</v>
      </c>
      <c r="H123" s="344" t="s">
        <v>1165</v>
      </c>
      <c r="I123" s="3571" t="s">
        <v>5386</v>
      </c>
      <c r="J123" s="3571" t="s">
        <v>5387</v>
      </c>
      <c r="K123" s="3571" t="s">
        <v>5682</v>
      </c>
      <c r="L123" s="3571" t="s">
        <v>5683</v>
      </c>
      <c r="M123" s="3571" t="s">
        <v>5684</v>
      </c>
      <c r="N123" s="3571" t="s">
        <v>5685</v>
      </c>
      <c r="O123" s="3571" t="s">
        <v>5686</v>
      </c>
      <c r="P123" s="3571" t="s">
        <v>5687</v>
      </c>
      <c r="Q123" s="3571" t="s">
        <v>5688</v>
      </c>
      <c r="R123" s="3571" t="s">
        <v>5689</v>
      </c>
      <c r="S123" s="3516">
        <f>IF(COUNTIF(Psíquicos!$C$26:$E$37,E123)=0,0,1)</f>
        <v>0</v>
      </c>
      <c r="T123" s="3517">
        <f>COUNTIF(Psíquicos!$V$20:$Z$73,'Tablas psiquica'!D123)</f>
        <v>0</v>
      </c>
      <c r="U123" s="404"/>
      <c r="V123" s="3523"/>
      <c r="W123" s="4252" t="s">
        <v>13952</v>
      </c>
      <c r="X123" s="4253" t="s">
        <v>13972</v>
      </c>
      <c r="Y123" s="404">
        <f t="shared" si="18"/>
        <v>0</v>
      </c>
      <c r="Z123" s="3496">
        <f t="shared" si="19"/>
        <v>0</v>
      </c>
      <c r="AB123" s="3552" t="s">
        <v>10248</v>
      </c>
      <c r="AC123" s="2746" t="str" cm="1">
        <f t="array" ref="AC123">INDEX($I$6:$R$6,SUMPRODUCT(ISNUMBER(SEARCH("Fatiga",I164:R164))*1)+1)</f>
        <v>MDF</v>
      </c>
      <c r="AD123" s="2746" t="str">
        <f>IFERROR(VLOOKUP(AB123,Psíquicos!$AD$11:$AK$67,8,FALSE),AC123)</f>
        <v>MDF</v>
      </c>
      <c r="AE123" s="3555"/>
      <c r="AF123" s="3555"/>
      <c r="AG123" s="3555"/>
      <c r="AH123" s="3555"/>
      <c r="AI123" s="3032"/>
      <c r="AJ123" s="3032"/>
      <c r="AK123" s="3555"/>
      <c r="AL123" s="3032"/>
      <c r="AM123" s="3032"/>
      <c r="AN123" s="3551"/>
      <c r="AO123" s="3549">
        <f>IF(COUNTIF(Psíquicos!$AD$20:$AH$65,AB123),VALUE(INDEX('Tablas psiquica'!$AE123:$AN123,MATCH('Tablas psiquica'!$AD123,'Tablas psiquica'!$AE$6:$AN$6,0))),0)</f>
        <v>0</v>
      </c>
      <c r="AQ123" s="2029" t="str">
        <f>IFERROR(IF(VLOOKUP(AR123,$D$7:$G$296,4,FALSE)&lt;&gt;"No",MAX(AQ$5:AQ122)+1,0),"")</f>
        <v/>
      </c>
      <c r="AR123" s="2030" t="str">
        <f t="shared" si="22"/>
        <v/>
      </c>
      <c r="AS123" s="2033" t="str">
        <f>IFERROR(VLOOKUP(Tablas!$A117,$AQ$7:$AR$145,2,FALSE),"")</f>
        <v/>
      </c>
    </row>
    <row r="124" spans="1:45" ht="12.75" customHeight="1">
      <c r="A124" s="702">
        <v>124</v>
      </c>
      <c r="B124" s="3493">
        <f>IF(OR(S124=0),0,SUM($S$6:S124))</f>
        <v>0</v>
      </c>
      <c r="C124" s="3494"/>
      <c r="D124" s="257" t="s">
        <v>187</v>
      </c>
      <c r="E124" s="359" t="s">
        <v>78</v>
      </c>
      <c r="F124" s="343">
        <v>1</v>
      </c>
      <c r="G124" s="343" t="s">
        <v>2422</v>
      </c>
      <c r="H124" s="344" t="s">
        <v>1165</v>
      </c>
      <c r="I124" s="3571" t="s">
        <v>5406</v>
      </c>
      <c r="J124" s="3571" t="s">
        <v>5386</v>
      </c>
      <c r="K124" s="3571" t="s">
        <v>5387</v>
      </c>
      <c r="L124" s="3571" t="s">
        <v>5690</v>
      </c>
      <c r="M124" s="3571" t="s">
        <v>5691</v>
      </c>
      <c r="N124" s="3571" t="s">
        <v>5692</v>
      </c>
      <c r="O124" s="3571" t="s">
        <v>5693</v>
      </c>
      <c r="P124" s="3571" t="s">
        <v>5694</v>
      </c>
      <c r="Q124" s="3571" t="s">
        <v>5695</v>
      </c>
      <c r="R124" s="3571" t="s">
        <v>5696</v>
      </c>
      <c r="S124" s="3517">
        <f>S125</f>
        <v>0</v>
      </c>
      <c r="T124" s="3517">
        <f>COUNTIF(Psíquicos!$V$20:$Z$73,'Tablas psiquica'!D124)</f>
        <v>0</v>
      </c>
      <c r="U124" s="404"/>
      <c r="V124" s="3523"/>
      <c r="W124" s="4252" t="s">
        <v>13940</v>
      </c>
      <c r="X124" s="4251" t="s">
        <v>14031</v>
      </c>
      <c r="Y124" s="404">
        <f t="shared" si="18"/>
        <v>0</v>
      </c>
      <c r="Z124" s="3496">
        <f t="shared" si="19"/>
        <v>0</v>
      </c>
      <c r="AB124" s="3552" t="s">
        <v>10256</v>
      </c>
      <c r="AC124" s="2746" t="str" cm="1">
        <f t="array" ref="AC124">INDEX($I$6:$R$6,SUMPRODUCT(ISNUMBER(SEARCH("Fatiga",I165:R165))*1)+1)</f>
        <v>ABS</v>
      </c>
      <c r="AD124" s="2746" t="str">
        <f>IFERROR(VLOOKUP(AB124,Psíquicos!$AD$11:$AK$67,8,FALSE),AC124)</f>
        <v>ABS</v>
      </c>
      <c r="AE124" s="3555"/>
      <c r="AF124" s="3555"/>
      <c r="AG124" s="3555"/>
      <c r="AH124" s="3555"/>
      <c r="AI124" s="3032"/>
      <c r="AJ124" s="3032"/>
      <c r="AK124" s="3555"/>
      <c r="AL124" s="3032"/>
      <c r="AM124" s="3032"/>
      <c r="AN124" s="3551"/>
      <c r="AO124" s="3549">
        <f>IF(COUNTIF(Psíquicos!$AD$20:$AH$65,AB124),VALUE(INDEX('Tablas psiquica'!$AE124:$AN124,MATCH('Tablas psiquica'!$AD124,'Tablas psiquica'!$AE$6:$AN$6,0))),0)</f>
        <v>0</v>
      </c>
      <c r="AQ124" s="2029" t="str">
        <f>IFERROR(IF(VLOOKUP(AR124,$D$7:$G$296,4,FALSE)&lt;&gt;"No",MAX(AQ$5:AQ123)+1,0),"")</f>
        <v/>
      </c>
      <c r="AR124" s="2030" t="str">
        <f t="shared" si="22"/>
        <v/>
      </c>
      <c r="AS124" s="2033" t="str">
        <f>IFERROR(VLOOKUP(Tablas!$A118,$AQ$7:$AR$145,2,FALSE),"")</f>
        <v/>
      </c>
    </row>
    <row r="125" spans="1:45" ht="12.75" customHeight="1">
      <c r="A125" s="702">
        <v>125</v>
      </c>
      <c r="B125" s="3493">
        <f>IF(OR(S125=0),0,SUM($S$6:S125))</f>
        <v>0</v>
      </c>
      <c r="C125" s="3494"/>
      <c r="D125" s="257" t="s">
        <v>188</v>
      </c>
      <c r="E125" s="359" t="s">
        <v>78</v>
      </c>
      <c r="F125" s="343">
        <v>2</v>
      </c>
      <c r="G125" s="343" t="s">
        <v>2422</v>
      </c>
      <c r="H125" s="344" t="s">
        <v>1166</v>
      </c>
      <c r="I125" s="3571" t="s">
        <v>5406</v>
      </c>
      <c r="J125" s="3571" t="s">
        <v>5386</v>
      </c>
      <c r="K125" s="3571" t="s">
        <v>5387</v>
      </c>
      <c r="L125" s="3571" t="s">
        <v>5525</v>
      </c>
      <c r="M125" s="3571" t="s">
        <v>5526</v>
      </c>
      <c r="N125" s="3571" t="s">
        <v>5527</v>
      </c>
      <c r="O125" s="3571" t="s">
        <v>5697</v>
      </c>
      <c r="P125" s="3571" t="s">
        <v>5698</v>
      </c>
      <c r="Q125" s="3571" t="s">
        <v>5699</v>
      </c>
      <c r="R125" s="3571" t="s">
        <v>5700</v>
      </c>
      <c r="S125" s="3516">
        <f>IF(COUNTIF(Psíquicos!$C$26:$E$37,E125)=0,0,1)</f>
        <v>0</v>
      </c>
      <c r="T125" s="3517">
        <f>COUNTIF(Psíquicos!$V$20:$Z$73,'Tablas psiquica'!D125)</f>
        <v>0</v>
      </c>
      <c r="U125" s="404"/>
      <c r="V125" s="3523">
        <v>1</v>
      </c>
      <c r="W125" s="4252" t="s">
        <v>13944</v>
      </c>
      <c r="X125" s="4251" t="s">
        <v>14032</v>
      </c>
      <c r="Y125" s="404">
        <f t="shared" si="18"/>
        <v>0</v>
      </c>
      <c r="Z125" s="3496">
        <f t="shared" si="19"/>
        <v>1</v>
      </c>
      <c r="AB125" s="3552" t="s">
        <v>11060</v>
      </c>
      <c r="AC125" s="2746"/>
      <c r="AD125" s="2746"/>
      <c r="AE125" s="3555"/>
      <c r="AF125" s="3555"/>
      <c r="AG125" s="3555"/>
      <c r="AH125" s="3555"/>
      <c r="AI125" s="3032"/>
      <c r="AJ125" s="3032"/>
      <c r="AK125" s="3555"/>
      <c r="AL125" s="3032"/>
      <c r="AM125" s="3032"/>
      <c r="AN125" s="3551"/>
      <c r="AO125" s="3549" t="e">
        <f>IF(COUNTIF(Psíquicos!$AD$20:$AH$65,AB125),VALUE(INDEX('Tablas psiquica'!$AE125:$AN125,MATCH('Tablas psiquica'!$AD125,'Tablas psiquica'!$AE$6:$AN$6,0))),0)</f>
        <v>#N/A</v>
      </c>
      <c r="AQ125" s="2029" t="str">
        <f>IFERROR(IF(VLOOKUP(AR125,$D$7:$G$296,4,FALSE)&lt;&gt;"No",MAX(AQ$5:AQ124)+1,0),"")</f>
        <v/>
      </c>
      <c r="AR125" s="2030" t="str">
        <f t="shared" si="22"/>
        <v/>
      </c>
      <c r="AS125" s="2033" t="str">
        <f>IFERROR(VLOOKUP(Tablas!$A119,$AQ$7:$AR$145,2,FALSE),"")</f>
        <v/>
      </c>
    </row>
    <row r="126" spans="1:45" ht="12.75" customHeight="1">
      <c r="A126" s="702">
        <v>126</v>
      </c>
      <c r="B126" s="3493">
        <f>IF(OR(S126=0),0,SUM($S$6:S126))</f>
        <v>0</v>
      </c>
      <c r="C126" s="3494"/>
      <c r="D126" s="257" t="s">
        <v>189</v>
      </c>
      <c r="E126" s="359" t="s">
        <v>78</v>
      </c>
      <c r="F126" s="343">
        <v>2</v>
      </c>
      <c r="G126" s="343" t="s">
        <v>2422</v>
      </c>
      <c r="H126" s="344" t="s">
        <v>1165</v>
      </c>
      <c r="I126" s="3571" t="s">
        <v>5406</v>
      </c>
      <c r="J126" s="3571" t="s">
        <v>5386</v>
      </c>
      <c r="K126" s="3571" t="s">
        <v>5387</v>
      </c>
      <c r="L126" s="3571" t="s">
        <v>5701</v>
      </c>
      <c r="M126" s="3571" t="s">
        <v>5702</v>
      </c>
      <c r="N126" s="3571" t="s">
        <v>5703</v>
      </c>
      <c r="O126" s="3571" t="s">
        <v>5704</v>
      </c>
      <c r="P126" s="3571" t="s">
        <v>5705</v>
      </c>
      <c r="Q126" s="3571" t="s">
        <v>5706</v>
      </c>
      <c r="R126" s="3571" t="s">
        <v>5707</v>
      </c>
      <c r="S126" s="3516">
        <f>IF(COUNTIF(Psíquicos!$C$26:$E$37,E126)=0,0,1)</f>
        <v>0</v>
      </c>
      <c r="T126" s="3517">
        <f>COUNTIF(Psíquicos!$V$20:$Z$73,'Tablas psiquica'!D126)</f>
        <v>0</v>
      </c>
      <c r="U126" s="404"/>
      <c r="V126" s="3523"/>
      <c r="W126" s="4252" t="s">
        <v>13942</v>
      </c>
      <c r="X126" s="4251" t="s">
        <v>14033</v>
      </c>
      <c r="Y126" s="404">
        <f t="shared" si="18"/>
        <v>0</v>
      </c>
      <c r="Z126" s="3496">
        <f t="shared" si="19"/>
        <v>0</v>
      </c>
      <c r="AB126" s="3552" t="s">
        <v>10232</v>
      </c>
      <c r="AC126" s="2746" t="str" cm="1">
        <f t="array" ref="AC126">INDEX($I$6:$R$6,SUMPRODUCT(ISNUMBER(SEARCH("Fatiga",I170:R170))*1)+1)</f>
        <v>DIF</v>
      </c>
      <c r="AD126" s="2746" t="str">
        <f>IFERROR(VLOOKUP(AB126,Psíquicos!$AD$11:$AK$67,8,FALSE),AC126)</f>
        <v>DIF</v>
      </c>
      <c r="AE126" s="3555"/>
      <c r="AF126" s="3555"/>
      <c r="AG126" s="3555"/>
      <c r="AH126" s="3555"/>
      <c r="AI126" s="3032"/>
      <c r="AJ126" s="3032"/>
      <c r="AK126" s="3032"/>
      <c r="AL126" s="3032"/>
      <c r="AM126" s="3032"/>
      <c r="AN126" s="3551"/>
      <c r="AO126" s="3549">
        <f>IF(COUNTIF(Psíquicos!$AD$20:$AH$65,AB126),VALUE(INDEX('Tablas psiquica'!$AE126:$AN126,MATCH('Tablas psiquica'!$AD126,'Tablas psiquica'!$AE$6:$AN$6,0))),0)</f>
        <v>0</v>
      </c>
      <c r="AQ126" s="2029" t="str">
        <f>IFERROR(IF(VLOOKUP(AR126,$D$7:$G$296,4,FALSE)&lt;&gt;"No",MAX(AQ$5:AQ125)+1,0),"")</f>
        <v/>
      </c>
      <c r="AR126" s="2030" t="str">
        <f t="shared" si="22"/>
        <v/>
      </c>
      <c r="AS126" s="2033" t="str">
        <f>IFERROR(VLOOKUP(Tablas!$A120,$AQ$7:$AR$145,2,FALSE),"")</f>
        <v/>
      </c>
    </row>
    <row r="127" spans="1:45" ht="12.75" customHeight="1">
      <c r="A127" s="702">
        <v>127</v>
      </c>
      <c r="B127" s="3493">
        <f>IF(OR(S127=0),0,SUM($S$6:S127))</f>
        <v>0</v>
      </c>
      <c r="C127" s="3494"/>
      <c r="D127" s="257" t="s">
        <v>190</v>
      </c>
      <c r="E127" s="359" t="s">
        <v>78</v>
      </c>
      <c r="F127" s="343">
        <v>2</v>
      </c>
      <c r="G127" s="343" t="s">
        <v>1241</v>
      </c>
      <c r="H127" s="344" t="s">
        <v>1165</v>
      </c>
      <c r="I127" s="3571" t="s">
        <v>5406</v>
      </c>
      <c r="J127" s="3571" t="s">
        <v>5386</v>
      </c>
      <c r="K127" s="3571" t="s">
        <v>5387</v>
      </c>
      <c r="L127" s="3571" t="s">
        <v>4615</v>
      </c>
      <c r="M127" s="3571" t="s">
        <v>4371</v>
      </c>
      <c r="N127" s="3571" t="s">
        <v>3246</v>
      </c>
      <c r="O127" s="3571" t="s">
        <v>4372</v>
      </c>
      <c r="P127" s="3571" t="s">
        <v>5708</v>
      </c>
      <c r="Q127" s="3571" t="s">
        <v>4373</v>
      </c>
      <c r="R127" s="3571" t="s">
        <v>3532</v>
      </c>
      <c r="S127" s="3516">
        <f>IF(COUNTIF(Psíquicos!$C$26:$E$37,E127)=0,0,1)</f>
        <v>0</v>
      </c>
      <c r="T127" s="3517">
        <f>COUNTIF(Psíquicos!$V$20:$Z$73,'Tablas psiquica'!D127)</f>
        <v>0</v>
      </c>
      <c r="U127" s="404">
        <v>1</v>
      </c>
      <c r="V127" s="3523"/>
      <c r="W127" s="4252" t="s">
        <v>13982</v>
      </c>
      <c r="X127" s="4253" t="s">
        <v>14034</v>
      </c>
      <c r="Y127" s="404">
        <f t="shared" si="18"/>
        <v>1</v>
      </c>
      <c r="Z127" s="3496">
        <f t="shared" si="19"/>
        <v>0</v>
      </c>
      <c r="AB127" s="3552" t="s">
        <v>10240</v>
      </c>
      <c r="AC127" s="2746" t="str" cm="1">
        <f t="array" ref="AC127">INDEX($I$6:$R$6,SUMPRODUCT(ISNUMBER(SEARCH("Fatiga",I171:R171))*1)+1)</f>
        <v>MED</v>
      </c>
      <c r="AD127" s="2746" t="str">
        <f>IFERROR(VLOOKUP(AB127,Psíquicos!$AD$11:$AK$67,8,FALSE),AC127)</f>
        <v>MED</v>
      </c>
      <c r="AE127" s="3555"/>
      <c r="AF127" s="3555"/>
      <c r="AG127" s="3555"/>
      <c r="AH127" s="3032"/>
      <c r="AI127" s="3032"/>
      <c r="AJ127" s="3032"/>
      <c r="AK127" s="3032"/>
      <c r="AL127" s="3032"/>
      <c r="AM127" s="3032"/>
      <c r="AN127" s="3551"/>
      <c r="AO127" s="3549">
        <f>IF(COUNTIF(Psíquicos!$AD$20:$AH$65,AB127),VALUE(INDEX('Tablas psiquica'!$AE127:$AN127,MATCH('Tablas psiquica'!$AD127,'Tablas psiquica'!$AE$6:$AN$6,0))),0)</f>
        <v>0</v>
      </c>
      <c r="AQ127" s="2029" t="str">
        <f>IFERROR(IF(VLOOKUP(AR127,$D$7:$G$296,4,FALSE)&lt;&gt;"No",MAX(AQ$5:AQ126)+1,0),"")</f>
        <v/>
      </c>
      <c r="AR127" s="2030" t="str">
        <f t="shared" si="22"/>
        <v/>
      </c>
      <c r="AS127" s="2033" t="str">
        <f>IFERROR(VLOOKUP(Tablas!$A121,$AQ$7:$AR$145,2,FALSE),"")</f>
        <v/>
      </c>
    </row>
    <row r="128" spans="1:45" ht="12.75" customHeight="1">
      <c r="A128" s="702">
        <v>128</v>
      </c>
      <c r="B128" s="3493">
        <f>IF(OR(S128=0),0,SUM($S$6:S128))</f>
        <v>0</v>
      </c>
      <c r="C128" s="3494"/>
      <c r="D128" s="257" t="s">
        <v>191</v>
      </c>
      <c r="E128" s="359" t="s">
        <v>78</v>
      </c>
      <c r="F128" s="343">
        <v>3</v>
      </c>
      <c r="G128" s="343" t="s">
        <v>1241</v>
      </c>
      <c r="H128" s="344" t="s">
        <v>1165</v>
      </c>
      <c r="I128" s="3571" t="s">
        <v>5416</v>
      </c>
      <c r="J128" s="3571" t="s">
        <v>5709</v>
      </c>
      <c r="K128" s="3571" t="s">
        <v>5408</v>
      </c>
      <c r="L128" s="3571" t="s">
        <v>5407</v>
      </c>
      <c r="M128" s="3571" t="s">
        <v>5406</v>
      </c>
      <c r="N128" s="3571" t="s">
        <v>5386</v>
      </c>
      <c r="O128" s="3572" t="s">
        <v>5710</v>
      </c>
      <c r="P128" s="3572" t="s">
        <v>5711</v>
      </c>
      <c r="Q128" s="3572" t="s">
        <v>5712</v>
      </c>
      <c r="R128" s="3572" t="s">
        <v>5713</v>
      </c>
      <c r="S128" s="3516">
        <f>IF(COUNTIF(Psíquicos!$C$26:$E$37,E128)=0,0,1)</f>
        <v>0</v>
      </c>
      <c r="T128" s="3517">
        <f>COUNTIF(Psíquicos!$V$20:$Z$73,'Tablas psiquica'!D128)</f>
        <v>0</v>
      </c>
      <c r="U128" s="404">
        <v>1</v>
      </c>
      <c r="V128" s="3523"/>
      <c r="W128" s="4252" t="s">
        <v>13952</v>
      </c>
      <c r="X128" s="4251" t="s">
        <v>14035</v>
      </c>
      <c r="Y128" s="404">
        <f t="shared" si="18"/>
        <v>1</v>
      </c>
      <c r="Z128" s="3496">
        <f t="shared" si="19"/>
        <v>0</v>
      </c>
      <c r="AB128" s="3552" t="s">
        <v>10257</v>
      </c>
      <c r="AC128" s="2746" t="str" cm="1">
        <f t="array" ref="AC128">INDEX($I$6:$R$6,SUMPRODUCT(ISNUMBER(SEARCH("Fatiga",I173:R173))*1)+1)</f>
        <v>MDF</v>
      </c>
      <c r="AD128" s="2746" t="str">
        <f>IFERROR(VLOOKUP(AB128,Psíquicos!$AD$11:$AK$67,8,FALSE),AC128)</f>
        <v>MDF</v>
      </c>
      <c r="AE128" s="3555"/>
      <c r="AF128" s="3555"/>
      <c r="AG128" s="3032"/>
      <c r="AH128" s="3032"/>
      <c r="AI128" s="3032"/>
      <c r="AJ128" s="3032"/>
      <c r="AK128" s="3032"/>
      <c r="AL128" s="3032"/>
      <c r="AM128" s="3032"/>
      <c r="AN128" s="3551"/>
      <c r="AO128" s="3549">
        <f>IF(COUNTIF(Psíquicos!$AD$20:$AH$65,AB128),VALUE(INDEX('Tablas psiquica'!$AE128:$AN128,MATCH('Tablas psiquica'!$AD128,'Tablas psiquica'!$AE$6:$AN$6,0))),0)</f>
        <v>0</v>
      </c>
      <c r="AQ128" s="2029" t="str">
        <f>IFERROR(IF(VLOOKUP(AR128,$D$7:$G$296,4,FALSE)&lt;&gt;"No",MAX(AQ$5:AQ127)+1,0),"")</f>
        <v/>
      </c>
      <c r="AR128" s="2030" t="str">
        <f t="shared" si="22"/>
        <v/>
      </c>
      <c r="AS128" s="2033" t="str">
        <f>IFERROR(VLOOKUP(Tablas!$A122,$AQ$7:$AR$145,2,FALSE),"")</f>
        <v/>
      </c>
    </row>
    <row r="129" spans="1:45" ht="12.75" customHeight="1">
      <c r="A129" s="702">
        <v>129</v>
      </c>
      <c r="B129" s="3493">
        <f>IF(OR(S129=0),0,SUM($S$6:S129))</f>
        <v>0</v>
      </c>
      <c r="C129" s="3494"/>
      <c r="D129" s="257" t="s">
        <v>192</v>
      </c>
      <c r="E129" s="359" t="s">
        <v>78</v>
      </c>
      <c r="F129" s="343">
        <v>3</v>
      </c>
      <c r="G129" s="343" t="s">
        <v>2422</v>
      </c>
      <c r="H129" s="344" t="s">
        <v>1165</v>
      </c>
      <c r="I129" s="3571" t="s">
        <v>5416</v>
      </c>
      <c r="J129" s="3571" t="s">
        <v>5709</v>
      </c>
      <c r="K129" s="3571" t="s">
        <v>5408</v>
      </c>
      <c r="L129" s="3571" t="s">
        <v>5407</v>
      </c>
      <c r="M129" s="3571" t="s">
        <v>5406</v>
      </c>
      <c r="N129" s="3571" t="s">
        <v>5386</v>
      </c>
      <c r="O129" s="3572" t="s">
        <v>5714</v>
      </c>
      <c r="P129" s="3572" t="s">
        <v>5715</v>
      </c>
      <c r="Q129" s="3571" t="s">
        <v>5716</v>
      </c>
      <c r="R129" s="3571" t="s">
        <v>5717</v>
      </c>
      <c r="S129" s="3516">
        <f>IF(COUNTIF(Psíquicos!$C$26:$E$37,E129)=0,0,1)</f>
        <v>0</v>
      </c>
      <c r="T129" s="3517">
        <f>COUNTIF(Psíquicos!$V$20:$Z$73,'Tablas psiquica'!D129)</f>
        <v>0</v>
      </c>
      <c r="U129" s="404"/>
      <c r="V129" s="3523"/>
      <c r="W129" s="4252" t="s">
        <v>14036</v>
      </c>
      <c r="X129" s="4253" t="s">
        <v>13972</v>
      </c>
      <c r="Y129" s="404">
        <f t="shared" si="18"/>
        <v>0</v>
      </c>
      <c r="Z129" s="3496">
        <f t="shared" si="19"/>
        <v>0</v>
      </c>
      <c r="AB129" s="3556" t="s">
        <v>10886</v>
      </c>
      <c r="AC129" s="2746"/>
      <c r="AD129" s="2746"/>
      <c r="AE129" s="3032"/>
      <c r="AF129" s="3032"/>
      <c r="AG129" s="3032"/>
      <c r="AH129" s="3032"/>
      <c r="AI129" s="3032"/>
      <c r="AJ129" s="3032"/>
      <c r="AK129" s="3032"/>
      <c r="AL129" s="3032"/>
      <c r="AM129" s="3032"/>
      <c r="AN129" s="3551"/>
      <c r="AO129" s="3549" t="e">
        <f>IF(COUNTIF(Psíquicos!$AD$20:$AH$65,AB129),VALUE(INDEX('Tablas psiquica'!$AE129:$AN129,MATCH('Tablas psiquica'!$AD129,'Tablas psiquica'!$AE$6:$AN$6,0))),0)</f>
        <v>#N/A</v>
      </c>
      <c r="AQ129" s="2029" t="str">
        <f>IFERROR(IF(VLOOKUP(AR129,$D$7:$G$296,4,FALSE)&lt;&gt;"No",MAX(AQ$5:AQ128)+1,0),"")</f>
        <v/>
      </c>
      <c r="AR129" s="2030" t="str">
        <f t="shared" si="22"/>
        <v/>
      </c>
      <c r="AS129" s="2033" t="str">
        <f>IFERROR(VLOOKUP(Tablas!$A123,$AQ$7:$AR$145,2,FALSE),"")</f>
        <v/>
      </c>
    </row>
    <row r="130" spans="1:45" ht="12.75" customHeight="1">
      <c r="A130" s="702">
        <v>130</v>
      </c>
      <c r="B130" s="3493">
        <f>IF(OR(S130=0),0,SUM($S$6:S130))</f>
        <v>0</v>
      </c>
      <c r="C130" s="3494"/>
      <c r="D130" s="257" t="s">
        <v>193</v>
      </c>
      <c r="E130" s="359"/>
      <c r="F130" s="343"/>
      <c r="G130" s="343"/>
      <c r="H130" s="344"/>
      <c r="I130" s="3571"/>
      <c r="J130" s="3571"/>
      <c r="K130" s="3571"/>
      <c r="L130" s="3571"/>
      <c r="M130" s="3571"/>
      <c r="N130" s="3571"/>
      <c r="O130" s="3571"/>
      <c r="P130" s="3571"/>
      <c r="Q130" s="3571"/>
      <c r="R130" s="3571"/>
      <c r="S130" s="3517">
        <f>S131</f>
        <v>0</v>
      </c>
      <c r="T130" s="3517"/>
      <c r="U130" s="404"/>
      <c r="V130" s="3523"/>
      <c r="W130" s="4252"/>
      <c r="X130" s="4251"/>
      <c r="Y130" s="404">
        <f t="shared" si="18"/>
        <v>0</v>
      </c>
      <c r="Z130" s="3496">
        <f t="shared" si="19"/>
        <v>0</v>
      </c>
      <c r="AB130" s="3556" t="s">
        <v>10225</v>
      </c>
      <c r="AC130" s="2746" t="str" cm="1">
        <f t="array" ref="AC130">INDEX($I$6:$R$6,SUMPRODUCT(ISNUMBER(SEARCH("Fatiga",I180:R180))*1)+1)</f>
        <v>MED</v>
      </c>
      <c r="AD130" s="2746" t="str">
        <f>IFERROR(VLOOKUP(AB130,Psíquicos!$AD$11:$AK$67,8,FALSE),AC130)</f>
        <v>MED</v>
      </c>
      <c r="AE130" s="3032"/>
      <c r="AF130" s="3032"/>
      <c r="AG130" s="3032"/>
      <c r="AH130" s="3032"/>
      <c r="AI130" s="3032"/>
      <c r="AJ130" s="3032"/>
      <c r="AK130" s="3032"/>
      <c r="AL130" s="3032"/>
      <c r="AM130" s="3032"/>
      <c r="AN130" s="3551"/>
      <c r="AO130" s="3549">
        <f>IF(COUNTIF(Psíquicos!$AD$20:$AH$65,AB130),VALUE(INDEX('Tablas psiquica'!$AE130:$AN130,MATCH('Tablas psiquica'!$AD130,'Tablas psiquica'!$AE$6:$AN$6,0))),0)</f>
        <v>0</v>
      </c>
      <c r="AQ130" s="2029" t="str">
        <f>IFERROR(IF(VLOOKUP(AR130,$D$7:$G$296,4,FALSE)&lt;&gt;"No",MAX(AQ$5:AQ129)+1,0),"")</f>
        <v/>
      </c>
      <c r="AR130" s="2030" t="str">
        <f t="shared" si="22"/>
        <v/>
      </c>
      <c r="AS130" s="2033" t="str">
        <f>IFERROR(VLOOKUP(Tablas!$A124,$AQ$7:$AR$145,2,FALSE),"")</f>
        <v/>
      </c>
    </row>
    <row r="131" spans="1:45" ht="12.75" customHeight="1">
      <c r="A131" s="702">
        <v>131</v>
      </c>
      <c r="B131" s="3493">
        <f>IF(OR(S131=0),0,SUM($S$6:S131))</f>
        <v>0</v>
      </c>
      <c r="C131" s="3494"/>
      <c r="D131" s="257" t="s">
        <v>194</v>
      </c>
      <c r="E131" s="359" t="s">
        <v>80</v>
      </c>
      <c r="F131" s="343">
        <v>1</v>
      </c>
      <c r="G131" s="343" t="s">
        <v>1241</v>
      </c>
      <c r="H131" s="344" t="s">
        <v>1165</v>
      </c>
      <c r="I131" s="3571" t="s">
        <v>5386</v>
      </c>
      <c r="J131" s="3571" t="s">
        <v>5387</v>
      </c>
      <c r="K131" s="3571" t="s">
        <v>5718</v>
      </c>
      <c r="L131" s="3571" t="s">
        <v>5719</v>
      </c>
      <c r="M131" s="3571" t="s">
        <v>5720</v>
      </c>
      <c r="N131" s="3571" t="s">
        <v>5721</v>
      </c>
      <c r="O131" s="3571" t="s">
        <v>5722</v>
      </c>
      <c r="P131" s="3571" t="s">
        <v>5723</v>
      </c>
      <c r="Q131" s="3571" t="s">
        <v>5724</v>
      </c>
      <c r="R131" s="3571" t="s">
        <v>5725</v>
      </c>
      <c r="S131" s="3516">
        <f>IF(COUNTIF(Psíquicos!$C$26:$E$37,E131)=0,0,1)</f>
        <v>0</v>
      </c>
      <c r="T131" s="3517">
        <f>COUNTIF(Psíquicos!$V$20:$Z$73,'Tablas psiquica'!D131)</f>
        <v>0</v>
      </c>
      <c r="U131" s="404"/>
      <c r="V131" s="3523"/>
      <c r="W131" s="4252" t="s">
        <v>13962</v>
      </c>
      <c r="X131" s="4251" t="s">
        <v>14037</v>
      </c>
      <c r="Y131" s="404">
        <f t="shared" si="18"/>
        <v>0</v>
      </c>
      <c r="Z131" s="3496">
        <f t="shared" si="19"/>
        <v>0</v>
      </c>
      <c r="AB131" s="3556" t="s">
        <v>10233</v>
      </c>
      <c r="AC131" s="2746" t="str" cm="1">
        <f t="array" ref="AC131">INDEX($I$6:$R$6,SUMPRODUCT(ISNUMBER(SEARCH("Fatiga",I181:R181))*1)+1)</f>
        <v>DIF</v>
      </c>
      <c r="AD131" s="2746" t="str">
        <f>IFERROR(VLOOKUP(AB131,Psíquicos!$AD$11:$AK$67,8,FALSE),AC131)</f>
        <v>DIF</v>
      </c>
      <c r="AE131" s="3032"/>
      <c r="AF131" s="3032"/>
      <c r="AG131" s="3032"/>
      <c r="AH131" s="3032"/>
      <c r="AI131" s="3032"/>
      <c r="AJ131" s="3032"/>
      <c r="AK131" s="3032"/>
      <c r="AL131" s="3032"/>
      <c r="AM131" s="3032"/>
      <c r="AN131" s="3551"/>
      <c r="AO131" s="3549">
        <f>IF(COUNTIF(Psíquicos!$AD$20:$AH$65,AB131),VALUE(INDEX('Tablas psiquica'!$AE131:$AN131,MATCH('Tablas psiquica'!$AD131,'Tablas psiquica'!$AE$6:$AN$6,0))),0)</f>
        <v>0</v>
      </c>
      <c r="AQ131" s="2029" t="str">
        <f>IFERROR(IF(VLOOKUP(AR131,$D$7:$G$296,4,FALSE)&lt;&gt;"No",MAX(AQ$5:AQ130)+1,0),"")</f>
        <v/>
      </c>
      <c r="AR131" s="2030" t="str">
        <f t="shared" si="22"/>
        <v/>
      </c>
      <c r="AS131" s="2033" t="str">
        <f>IFERROR(VLOOKUP(Tablas!$A125,$AQ$7:$AR$145,2,FALSE),"")</f>
        <v/>
      </c>
    </row>
    <row r="132" spans="1:45" ht="12.75" customHeight="1">
      <c r="A132" s="702">
        <v>132</v>
      </c>
      <c r="B132" s="3493">
        <f>IF(OR(S132=0),0,SUM($S$6:S132))</f>
        <v>0</v>
      </c>
      <c r="C132" s="3494"/>
      <c r="D132" s="257" t="s">
        <v>195</v>
      </c>
      <c r="E132" s="359" t="s">
        <v>80</v>
      </c>
      <c r="F132" s="343">
        <v>1</v>
      </c>
      <c r="G132" s="343" t="s">
        <v>1241</v>
      </c>
      <c r="H132" s="344" t="s">
        <v>1165</v>
      </c>
      <c r="I132" s="3571" t="s">
        <v>5407</v>
      </c>
      <c r="J132" s="3571" t="s">
        <v>5406</v>
      </c>
      <c r="K132" s="3571" t="s">
        <v>5386</v>
      </c>
      <c r="L132" s="3571" t="s">
        <v>5726</v>
      </c>
      <c r="M132" s="3571" t="s">
        <v>5727</v>
      </c>
      <c r="N132" s="3571" t="s">
        <v>5418</v>
      </c>
      <c r="O132" s="3571" t="s">
        <v>5728</v>
      </c>
      <c r="P132" s="3571" t="s">
        <v>5660</v>
      </c>
      <c r="Q132" s="3571" t="s">
        <v>5396</v>
      </c>
      <c r="R132" s="3571" t="s">
        <v>5729</v>
      </c>
      <c r="S132" s="3516">
        <f>IF(COUNTIF(Psíquicos!$C$26:$E$37,E132)=0,0,1)</f>
        <v>0</v>
      </c>
      <c r="T132" s="3517">
        <f>COUNTIF(Psíquicos!$V$20:$Z$73,'Tablas psiquica'!D132)</f>
        <v>0</v>
      </c>
      <c r="U132" s="404"/>
      <c r="V132" s="3523"/>
      <c r="W132" s="4251" t="s">
        <v>13952</v>
      </c>
      <c r="X132" s="4251" t="s">
        <v>14038</v>
      </c>
      <c r="Y132" s="404">
        <f t="shared" si="18"/>
        <v>0</v>
      </c>
      <c r="Z132" s="3496">
        <f t="shared" si="19"/>
        <v>0</v>
      </c>
      <c r="AB132" s="3556" t="s">
        <v>10241</v>
      </c>
      <c r="AC132" s="2746" t="str" cm="1">
        <f t="array" ref="AC132">INDEX($I$6:$R$6,SUMPRODUCT(ISNUMBER(SEARCH("Fatiga",I182:R182))*1)+1)</f>
        <v>MDF</v>
      </c>
      <c r="AD132" s="2746" t="str">
        <f>IFERROR(VLOOKUP(AB132,Psíquicos!$AD$11:$AK$67,8,FALSE),AC132)</f>
        <v>MDF</v>
      </c>
      <c r="AE132" s="3032"/>
      <c r="AF132" s="3032"/>
      <c r="AG132" s="3032"/>
      <c r="AH132" s="3032"/>
      <c r="AI132" s="3032"/>
      <c r="AJ132" s="3032"/>
      <c r="AK132" s="3032"/>
      <c r="AL132" s="3032"/>
      <c r="AM132" s="3032"/>
      <c r="AN132" s="3551"/>
      <c r="AO132" s="3549">
        <f>IF(COUNTIF(Psíquicos!$AD$20:$AH$65,AB132),VALUE(INDEX('Tablas psiquica'!$AE132:$AN132,MATCH('Tablas psiquica'!$AD132,'Tablas psiquica'!$AE$6:$AN$6,0))),0)</f>
        <v>0</v>
      </c>
      <c r="AQ132" s="2029" t="str">
        <f>IFERROR(IF(VLOOKUP(AR132,$D$7:$G$296,4,FALSE)&lt;&gt;"No",MAX(AQ$5:AQ131)+1,0),"")</f>
        <v/>
      </c>
      <c r="AR132" s="2030" t="str">
        <f t="shared" si="22"/>
        <v/>
      </c>
      <c r="AS132" s="2033" t="str">
        <f>IFERROR(VLOOKUP(Tablas!$A126,$AQ$7:$AR$145,2,FALSE),"")</f>
        <v/>
      </c>
    </row>
    <row r="133" spans="1:45" ht="12.75" customHeight="1">
      <c r="A133" s="702">
        <v>133</v>
      </c>
      <c r="B133" s="3493">
        <f>IF(OR(S133=0),0,SUM($S$6:S133))</f>
        <v>0</v>
      </c>
      <c r="C133" s="3494"/>
      <c r="D133" s="257" t="s">
        <v>196</v>
      </c>
      <c r="E133" s="359" t="s">
        <v>80</v>
      </c>
      <c r="F133" s="343">
        <v>1</v>
      </c>
      <c r="G133" s="343" t="s">
        <v>2422</v>
      </c>
      <c r="H133" s="344" t="s">
        <v>1166</v>
      </c>
      <c r="I133" s="3571" t="s">
        <v>5407</v>
      </c>
      <c r="J133" s="3571" t="s">
        <v>5406</v>
      </c>
      <c r="K133" s="3571" t="s">
        <v>5386</v>
      </c>
      <c r="L133" s="3571" t="s">
        <v>5730</v>
      </c>
      <c r="M133" s="3571" t="s">
        <v>5731</v>
      </c>
      <c r="N133" s="3571" t="s">
        <v>5732</v>
      </c>
      <c r="O133" s="3571" t="s">
        <v>5733</v>
      </c>
      <c r="P133" s="3571" t="s">
        <v>5734</v>
      </c>
      <c r="Q133" s="3571" t="s">
        <v>5735</v>
      </c>
      <c r="R133" s="3571" t="s">
        <v>5736</v>
      </c>
      <c r="S133" s="3516">
        <f>IF(COUNTIF(Psíquicos!$C$26:$E$37,E133)=0,0,1)</f>
        <v>0</v>
      </c>
      <c r="T133" s="3517">
        <f>COUNTIF(Psíquicos!$V$20:$Z$73,'Tablas psiquica'!D133)</f>
        <v>0</v>
      </c>
      <c r="U133" s="404"/>
      <c r="V133" s="3523"/>
      <c r="W133" s="4252" t="s">
        <v>13952</v>
      </c>
      <c r="X133" s="4251" t="s">
        <v>14039</v>
      </c>
      <c r="Y133" s="404">
        <f t="shared" si="18"/>
        <v>0</v>
      </c>
      <c r="Z133" s="3496">
        <f t="shared" si="19"/>
        <v>0</v>
      </c>
      <c r="AB133" s="3556" t="s">
        <v>10250</v>
      </c>
      <c r="AC133" s="2746" t="str" cm="1">
        <f t="array" ref="AC133">INDEX($I$6:$R$6,SUMPRODUCT(ISNUMBER(SEARCH("Fatiga",I183:R183))*1)+1)</f>
        <v>DIF</v>
      </c>
      <c r="AD133" s="2746" t="str">
        <f>IFERROR(VLOOKUP(AB133,Psíquicos!$AD$11:$AK$67,8,FALSE),AC133)</f>
        <v>DIF</v>
      </c>
      <c r="AE133" s="3032"/>
      <c r="AF133" s="3032"/>
      <c r="AG133" s="3032"/>
      <c r="AH133" s="3032"/>
      <c r="AI133" s="3032"/>
      <c r="AJ133" s="3032"/>
      <c r="AK133" s="3032"/>
      <c r="AL133" s="3032"/>
      <c r="AM133" s="3032"/>
      <c r="AN133" s="3551"/>
      <c r="AO133" s="3549">
        <f>IF(COUNTIF(Psíquicos!$AD$20:$AH$65,AB133),VALUE(INDEX('Tablas psiquica'!$AE133:$AN133,MATCH('Tablas psiquica'!$AD133,'Tablas psiquica'!$AE$6:$AN$6,0))),0)</f>
        <v>0</v>
      </c>
      <c r="AQ133" s="2029" t="str">
        <f>IFERROR(IF(VLOOKUP(AR133,$D$7:$G$296,4,FALSE)&lt;&gt;"No",MAX(AQ$5:AQ132)+1,0),"")</f>
        <v/>
      </c>
      <c r="AR133" s="2030" t="str">
        <f t="shared" si="22"/>
        <v/>
      </c>
      <c r="AS133" s="2033" t="str">
        <f>IFERROR(VLOOKUP(Tablas!$A127,$AQ$7:$AR$145,2,FALSE),"")</f>
        <v/>
      </c>
    </row>
    <row r="134" spans="1:45" ht="12.75" customHeight="1">
      <c r="A134" s="702">
        <v>134</v>
      </c>
      <c r="B134" s="3493">
        <f>IF(OR(S134=0),0,SUM($S$6:S134))</f>
        <v>0</v>
      </c>
      <c r="C134" s="3494"/>
      <c r="D134" s="257" t="s">
        <v>197</v>
      </c>
      <c r="E134" s="359" t="s">
        <v>80</v>
      </c>
      <c r="F134" s="343">
        <v>2</v>
      </c>
      <c r="G134" s="343" t="s">
        <v>1241</v>
      </c>
      <c r="H134" s="344" t="s">
        <v>1165</v>
      </c>
      <c r="I134" s="3571" t="s">
        <v>5416</v>
      </c>
      <c r="J134" s="3571" t="s">
        <v>5408</v>
      </c>
      <c r="K134" s="3571" t="s">
        <v>5407</v>
      </c>
      <c r="L134" s="3571" t="s">
        <v>5406</v>
      </c>
      <c r="M134" s="3571" t="s">
        <v>5386</v>
      </c>
      <c r="N134" s="3571" t="s">
        <v>5652</v>
      </c>
      <c r="O134" s="3571" t="s">
        <v>5399</v>
      </c>
      <c r="P134" s="3571" t="s">
        <v>5400</v>
      </c>
      <c r="Q134" s="3571" t="s">
        <v>5401</v>
      </c>
      <c r="R134" s="3571" t="s">
        <v>5403</v>
      </c>
      <c r="S134" s="3516">
        <f>IF(COUNTIF(Psíquicos!$C$26:$E$37,E134)=0,0,1)</f>
        <v>0</v>
      </c>
      <c r="T134" s="3517">
        <f>COUNTIF(Psíquicos!$V$20:$Z$73,'Tablas psiquica'!D134)</f>
        <v>0</v>
      </c>
      <c r="U134" s="404"/>
      <c r="V134" s="3523"/>
      <c r="W134" s="4251" t="s">
        <v>13952</v>
      </c>
      <c r="X134" s="4251" t="s">
        <v>14040</v>
      </c>
      <c r="Y134" s="404">
        <f t="shared" si="18"/>
        <v>0</v>
      </c>
      <c r="Z134" s="3496">
        <f t="shared" si="19"/>
        <v>0</v>
      </c>
      <c r="AB134" s="3556" t="s">
        <v>10265</v>
      </c>
      <c r="AC134" s="2746" t="str" cm="1">
        <f t="array" ref="AC134">INDEX($I$6:$R$6,SUMPRODUCT(ISNUMBER(SEARCH("Fatiga",I185:R185))*1)+1)</f>
        <v>IMP</v>
      </c>
      <c r="AD134" s="2746" t="str">
        <f>IFERROR(VLOOKUP(AB134,Psíquicos!$AD$11:$AK$67,8,FALSE),AC134)</f>
        <v>IMP</v>
      </c>
      <c r="AE134" s="3032"/>
      <c r="AF134" s="3032"/>
      <c r="AG134" s="3032"/>
      <c r="AH134" s="3032"/>
      <c r="AI134" s="3032"/>
      <c r="AJ134" s="3032"/>
      <c r="AK134" s="3032"/>
      <c r="AL134" s="3032"/>
      <c r="AM134" s="3032"/>
      <c r="AN134" s="3551"/>
      <c r="AO134" s="3549">
        <f>IF(COUNTIF(Psíquicos!$AD$20:$AH$65,AB134),VALUE(INDEX('Tablas psiquica'!$AE134:$AN134,MATCH('Tablas psiquica'!$AD134,'Tablas psiquica'!$AE$6:$AN$6,0))),0)</f>
        <v>0</v>
      </c>
      <c r="AQ134" s="2029" t="str">
        <f>IFERROR(IF(VLOOKUP(AR134,$D$7:$G$296,4,FALSE)&lt;&gt;"No",MAX(AQ$5:AQ133)+1,0),"")</f>
        <v/>
      </c>
      <c r="AR134" s="2030" t="str">
        <f t="shared" si="22"/>
        <v/>
      </c>
      <c r="AS134" s="2033" t="str">
        <f>IFERROR(VLOOKUP(Tablas!$A128,$AQ$7:$AR$145,2,FALSE),"")</f>
        <v/>
      </c>
    </row>
    <row r="135" spans="1:45" ht="12.75" customHeight="1">
      <c r="A135" s="702">
        <v>135</v>
      </c>
      <c r="B135" s="3493">
        <f>IF(OR(S135=0),0,SUM($S$6:S135))</f>
        <v>0</v>
      </c>
      <c r="C135" s="3494"/>
      <c r="D135" s="257" t="s">
        <v>198</v>
      </c>
      <c r="E135" s="359" t="s">
        <v>80</v>
      </c>
      <c r="F135" s="343">
        <v>3</v>
      </c>
      <c r="G135" s="343" t="s">
        <v>2422</v>
      </c>
      <c r="H135" s="344" t="s">
        <v>1165</v>
      </c>
      <c r="I135" s="3571" t="s">
        <v>5417</v>
      </c>
      <c r="J135" s="3571" t="s">
        <v>5416</v>
      </c>
      <c r="K135" s="3571" t="s">
        <v>5408</v>
      </c>
      <c r="L135" s="3571" t="s">
        <v>5407</v>
      </c>
      <c r="M135" s="3571" t="s">
        <v>5406</v>
      </c>
      <c r="N135" s="3571" t="s">
        <v>5737</v>
      </c>
      <c r="O135" s="3571" t="s">
        <v>5738</v>
      </c>
      <c r="P135" s="3571" t="s">
        <v>5739</v>
      </c>
      <c r="Q135" s="3571" t="s">
        <v>5740</v>
      </c>
      <c r="R135" s="3571" t="s">
        <v>5741</v>
      </c>
      <c r="S135" s="3516">
        <f>IF(COUNTIF(Psíquicos!$C$26:$E$37,E135)=0,0,1)</f>
        <v>0</v>
      </c>
      <c r="T135" s="3517">
        <f>COUNTIF(Psíquicos!$V$20:$Z$73,'Tablas psiquica'!D135)</f>
        <v>0</v>
      </c>
      <c r="U135" s="404"/>
      <c r="V135" s="3523"/>
      <c r="W135" s="4252" t="s">
        <v>14041</v>
      </c>
      <c r="X135" s="4253" t="s">
        <v>14042</v>
      </c>
      <c r="Y135" s="404">
        <f t="shared" ref="Y135:Y198" si="23">T135+U135</f>
        <v>0</v>
      </c>
      <c r="Z135" s="3496">
        <f t="shared" ref="Z135:Z198" si="24">T135+V135</f>
        <v>0</v>
      </c>
      <c r="AB135" s="3556" t="s">
        <v>10895</v>
      </c>
      <c r="AC135" s="2746"/>
      <c r="AD135" s="2746"/>
      <c r="AE135" s="3032"/>
      <c r="AF135" s="3032"/>
      <c r="AG135" s="3032"/>
      <c r="AH135" s="3032"/>
      <c r="AI135" s="3032"/>
      <c r="AJ135" s="3032"/>
      <c r="AK135" s="3032"/>
      <c r="AL135" s="3032"/>
      <c r="AM135" s="3032"/>
      <c r="AN135" s="3551"/>
      <c r="AO135" s="3549" t="e">
        <f>IF(COUNTIF(Psíquicos!$AD$20:$AH$65,AB135),VALUE(INDEX('Tablas psiquica'!$AE135:$AN135,MATCH('Tablas psiquica'!$AD135,'Tablas psiquica'!$AE$6:$AN$6,0))),0)</f>
        <v>#N/A</v>
      </c>
      <c r="AQ135" s="2029" t="str">
        <f>IFERROR(IF(VLOOKUP(AR135,$D$7:$G$296,4,FALSE)&lt;&gt;"No",MAX(AQ$5:AQ134)+1,0),"")</f>
        <v/>
      </c>
      <c r="AR135" s="2030" t="str">
        <f t="shared" ref="AR135:AR145" si="25">IF(ISNA(VLOOKUP(A129,$B$7:$D$296,3,FALSE)),"",VLOOKUP(A129,$B$7:$D$296,3,FALSE))</f>
        <v/>
      </c>
      <c r="AS135" s="2033" t="str">
        <f>IFERROR(VLOOKUP(Tablas!$A129,$AQ$7:$AR$145,2,FALSE),"")</f>
        <v/>
      </c>
    </row>
    <row r="136" spans="1:45" ht="12.75" customHeight="1">
      <c r="A136" s="702">
        <v>136</v>
      </c>
      <c r="B136" s="3493">
        <f>IF(OR(S136=0),0,SUM($S$6:S136))</f>
        <v>0</v>
      </c>
      <c r="C136" s="3494"/>
      <c r="D136" s="257" t="s">
        <v>199</v>
      </c>
      <c r="E136" s="359" t="s">
        <v>80</v>
      </c>
      <c r="F136" s="343">
        <v>3</v>
      </c>
      <c r="G136" s="343" t="s">
        <v>1241</v>
      </c>
      <c r="H136" s="344" t="s">
        <v>1165</v>
      </c>
      <c r="I136" s="3571" t="s">
        <v>5472</v>
      </c>
      <c r="J136" s="3571" t="s">
        <v>5473</v>
      </c>
      <c r="K136" s="3571" t="s">
        <v>5417</v>
      </c>
      <c r="L136" s="3571" t="s">
        <v>5416</v>
      </c>
      <c r="M136" s="3571" t="s">
        <v>5408</v>
      </c>
      <c r="N136" s="3571" t="s">
        <v>5406</v>
      </c>
      <c r="O136" s="3571" t="s">
        <v>5742</v>
      </c>
      <c r="P136" s="3571" t="s">
        <v>5743</v>
      </c>
      <c r="Q136" s="3571" t="s">
        <v>5744</v>
      </c>
      <c r="R136" s="3571" t="s">
        <v>5745</v>
      </c>
      <c r="S136" s="3516">
        <f>IF(COUNTIF(Psíquicos!$C$26:$E$37,E136)=0,0,1)</f>
        <v>0</v>
      </c>
      <c r="T136" s="3517">
        <f>COUNTIF(Psíquicos!$V$20:$Z$73,'Tablas psiquica'!D136)</f>
        <v>0</v>
      </c>
      <c r="U136" s="404"/>
      <c r="V136" s="3523"/>
      <c r="W136" s="4252" t="s">
        <v>13942</v>
      </c>
      <c r="X136" s="4251" t="s">
        <v>14037</v>
      </c>
      <c r="Y136" s="404">
        <f t="shared" si="23"/>
        <v>0</v>
      </c>
      <c r="Z136" s="3496">
        <f t="shared" si="24"/>
        <v>0</v>
      </c>
      <c r="AB136" s="3556" t="s">
        <v>10234</v>
      </c>
      <c r="AC136" s="2746" t="str" cm="1">
        <f t="array" ref="AC136">INDEX($I$6:$R$6,SUMPRODUCT(ISNUMBER(SEARCH("Fatiga",I188:R188))*1)+1)</f>
        <v>MDF</v>
      </c>
      <c r="AD136" s="2746" t="str">
        <f>IFERROR(VLOOKUP(AB136,Psíquicos!$AD$11:$AK$67,8,FALSE),AC136)</f>
        <v>MDF</v>
      </c>
      <c r="AE136" s="3032"/>
      <c r="AF136" s="3032"/>
      <c r="AG136" s="3032"/>
      <c r="AH136" s="3032"/>
      <c r="AI136" s="3032"/>
      <c r="AJ136" s="3032"/>
      <c r="AK136" s="3032"/>
      <c r="AL136" s="3032"/>
      <c r="AM136" s="3032"/>
      <c r="AN136" s="3551"/>
      <c r="AO136" s="3549">
        <f>IF(COUNTIF(Psíquicos!$AD$20:$AH$65,AB136),VALUE(INDEX('Tablas psiquica'!$AE136:$AN136,MATCH('Tablas psiquica'!$AD136,'Tablas psiquica'!$AE$6:$AN$6,0))),0)</f>
        <v>0</v>
      </c>
      <c r="AQ136" s="2029" t="str">
        <f>IFERROR(IF(VLOOKUP(AR136,$D$7:$G$296,4,FALSE)&lt;&gt;"No",MAX(AQ$5:AQ135)+1,0),"")</f>
        <v/>
      </c>
      <c r="AR136" s="2030" t="str">
        <f t="shared" si="25"/>
        <v/>
      </c>
      <c r="AS136" s="2033" t="str">
        <f>IFERROR(VLOOKUP(Tablas!$A130,$AQ$7:$AR$145,2,FALSE),"")</f>
        <v/>
      </c>
    </row>
    <row r="137" spans="1:45" ht="12.75" customHeight="1">
      <c r="A137" s="702">
        <v>137</v>
      </c>
      <c r="B137" s="3493">
        <f>IF(OR(S137=0),0,SUM($S$6:S137))</f>
        <v>0</v>
      </c>
      <c r="C137" s="3494"/>
      <c r="D137" s="3497" t="s">
        <v>80</v>
      </c>
      <c r="E137" s="359" t="s">
        <v>80</v>
      </c>
      <c r="F137" s="343">
        <v>3</v>
      </c>
      <c r="G137" s="343" t="s">
        <v>1241</v>
      </c>
      <c r="H137" s="344" t="s">
        <v>1165</v>
      </c>
      <c r="I137" s="3571" t="s">
        <v>5416</v>
      </c>
      <c r="J137" s="3571" t="s">
        <v>5408</v>
      </c>
      <c r="K137" s="3571" t="s">
        <v>5407</v>
      </c>
      <c r="L137" s="3571" t="s">
        <v>5406</v>
      </c>
      <c r="M137" s="3571" t="s">
        <v>5386</v>
      </c>
      <c r="N137" s="3571" t="s">
        <v>5746</v>
      </c>
      <c r="O137" s="3571" t="s">
        <v>5747</v>
      </c>
      <c r="P137" s="3571" t="s">
        <v>5748</v>
      </c>
      <c r="Q137" s="3571" t="s">
        <v>5749</v>
      </c>
      <c r="R137" s="3571" t="s">
        <v>5750</v>
      </c>
      <c r="S137" s="3516">
        <f>IF(COUNTIF(Psíquicos!$C$26:$E$37,E137)=0,0,1)</f>
        <v>0</v>
      </c>
      <c r="T137" s="3517">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404"/>
      <c r="V137" s="3523"/>
      <c r="W137" s="4252" t="s">
        <v>13975</v>
      </c>
      <c r="X137" s="4251" t="s">
        <v>14037</v>
      </c>
      <c r="Y137" s="404">
        <f t="shared" si="23"/>
        <v>0</v>
      </c>
      <c r="Z137" s="3496">
        <f t="shared" si="24"/>
        <v>0</v>
      </c>
      <c r="AB137" s="3556" t="s">
        <v>10258</v>
      </c>
      <c r="AC137" s="2746" t="str" cm="1">
        <f t="array" ref="AC137">INDEX($I$6:$R$6,SUMPRODUCT(ISNUMBER(SEARCH("Fatiga",I191:S191))*1)+1)</f>
        <v>MDF</v>
      </c>
      <c r="AD137" s="2746" t="str">
        <f>IFERROR(VLOOKUP(AB137,Psíquicos!$AD$11:$AK$67,8,FALSE),AC137)</f>
        <v>MDF</v>
      </c>
      <c r="AE137" s="3032"/>
      <c r="AF137" s="3032"/>
      <c r="AG137" s="3032"/>
      <c r="AH137" s="3032"/>
      <c r="AI137" s="3032"/>
      <c r="AJ137" s="3032"/>
      <c r="AK137" s="3032"/>
      <c r="AL137" s="3032"/>
      <c r="AM137" s="3032"/>
      <c r="AN137" s="3551"/>
      <c r="AO137" s="3549">
        <f>IF(COUNTIF(Psíquicos!$AD$20:$AH$65,AB137),VALUE(INDEX('Tablas psiquica'!$AE137:$AN137,MATCH('Tablas psiquica'!$AD137,'Tablas psiquica'!$AE$6:$AN$6,0))),0)</f>
        <v>0</v>
      </c>
      <c r="AQ137" s="2029" t="str">
        <f>IFERROR(IF(VLOOKUP(AR137,$D$7:$G$296,4,FALSE)&lt;&gt;"No",MAX(AQ$5:AQ136)+1,0),"")</f>
        <v/>
      </c>
      <c r="AR137" s="2030" t="str">
        <f t="shared" si="25"/>
        <v/>
      </c>
      <c r="AS137" s="2033" t="str">
        <f>IFERROR(VLOOKUP(Tablas!$A131,$AQ$7:$AR$145,2,FALSE),"")</f>
        <v/>
      </c>
    </row>
    <row r="138" spans="1:45" ht="12.75" customHeight="1">
      <c r="A138" s="702">
        <v>138</v>
      </c>
      <c r="B138" s="3493">
        <f>IF(OR(S138=0),0,SUM($S$6:S138))</f>
        <v>0</v>
      </c>
      <c r="C138" s="3494"/>
      <c r="D138" s="257" t="s">
        <v>200</v>
      </c>
      <c r="E138" s="359"/>
      <c r="F138" s="343"/>
      <c r="G138" s="343"/>
      <c r="H138" s="344"/>
      <c r="I138" s="3571"/>
      <c r="J138" s="3571"/>
      <c r="K138" s="3571"/>
      <c r="L138" s="3571"/>
      <c r="M138" s="3571"/>
      <c r="N138" s="3571"/>
      <c r="O138" s="3571"/>
      <c r="P138" s="3571"/>
      <c r="Q138" s="3571"/>
      <c r="R138" s="3571"/>
      <c r="S138" s="3517">
        <f>S139</f>
        <v>0</v>
      </c>
      <c r="T138" s="3517"/>
      <c r="U138" s="404"/>
      <c r="V138" s="3523"/>
      <c r="W138" s="4252"/>
      <c r="X138" s="4251"/>
      <c r="Y138" s="404">
        <f t="shared" si="23"/>
        <v>0</v>
      </c>
      <c r="Z138" s="3496">
        <f t="shared" si="24"/>
        <v>0</v>
      </c>
      <c r="AB138" s="3556" t="s">
        <v>10905</v>
      </c>
      <c r="AC138" s="2746"/>
      <c r="AD138" s="2746"/>
      <c r="AE138" s="3032"/>
      <c r="AF138" s="3032"/>
      <c r="AG138" s="3032"/>
      <c r="AH138" s="3032"/>
      <c r="AI138" s="3032"/>
      <c r="AJ138" s="3032"/>
      <c r="AK138" s="3032"/>
      <c r="AL138" s="3032"/>
      <c r="AM138" s="3032"/>
      <c r="AN138" s="3551"/>
      <c r="AO138" s="3549" t="e">
        <f>IF(COUNTIF(Psíquicos!$AD$20:$AH$65,AB138),VALUE(INDEX('Tablas psiquica'!$AE138:$AN138,MATCH('Tablas psiquica'!$AD138,'Tablas psiquica'!$AE$6:$AN$6,0))),0)</f>
        <v>#N/A</v>
      </c>
      <c r="AQ138" s="2029" t="str">
        <f>IFERROR(IF(VLOOKUP(AR138,$D$7:$G$296,4,FALSE)&lt;&gt;"No",MAX(AQ$5:AQ137)+1,0),"")</f>
        <v/>
      </c>
      <c r="AR138" s="2030" t="str">
        <f t="shared" si="25"/>
        <v/>
      </c>
      <c r="AS138" s="2033" t="str">
        <f>IFERROR(VLOOKUP(Tablas!$A132,$AQ$7:$AR$145,2,FALSE),"")</f>
        <v/>
      </c>
    </row>
    <row r="139" spans="1:45" ht="12.75" customHeight="1">
      <c r="A139" s="702">
        <v>139</v>
      </c>
      <c r="B139" s="3493">
        <f>IF(OR(S139=0),0,SUM($S$6:S139))</f>
        <v>0</v>
      </c>
      <c r="C139" s="3494"/>
      <c r="D139" s="257" t="s">
        <v>201</v>
      </c>
      <c r="E139" s="359" t="s">
        <v>1553</v>
      </c>
      <c r="F139" s="343">
        <v>1</v>
      </c>
      <c r="G139" s="343" t="s">
        <v>2422</v>
      </c>
      <c r="H139" s="344" t="s">
        <v>1165</v>
      </c>
      <c r="I139" s="3571" t="s">
        <v>5406</v>
      </c>
      <c r="J139" s="3571" t="s">
        <v>5386</v>
      </c>
      <c r="K139" s="3571" t="s">
        <v>5387</v>
      </c>
      <c r="L139" s="3571" t="s">
        <v>5751</v>
      </c>
      <c r="M139" s="3571" t="s">
        <v>5752</v>
      </c>
      <c r="N139" s="3571" t="s">
        <v>5753</v>
      </c>
      <c r="O139" s="3571" t="s">
        <v>5754</v>
      </c>
      <c r="P139" s="3571" t="s">
        <v>5755</v>
      </c>
      <c r="Q139" s="3571" t="s">
        <v>5756</v>
      </c>
      <c r="R139" s="3571" t="s">
        <v>5757</v>
      </c>
      <c r="S139" s="3516">
        <f>IF(COUNTIF(Psíquicos!$C$26:$E$37,E139)=0,0,1)</f>
        <v>0</v>
      </c>
      <c r="T139" s="3517">
        <f>COUNTIF(Psíquicos!$V$20:$Z$73,'Tablas psiquica'!D139)</f>
        <v>0</v>
      </c>
      <c r="U139" s="404"/>
      <c r="V139" s="3523"/>
      <c r="W139" s="4252" t="s">
        <v>13952</v>
      </c>
      <c r="X139" s="4253" t="s">
        <v>13980</v>
      </c>
      <c r="Y139" s="404">
        <f t="shared" si="23"/>
        <v>0</v>
      </c>
      <c r="Z139" s="3496">
        <f t="shared" si="24"/>
        <v>0</v>
      </c>
      <c r="AB139" s="3556" t="s">
        <v>10235</v>
      </c>
      <c r="AC139" s="2746" t="str" cm="1">
        <f t="array" ref="AC139">INDEX($I$6:$R$6,SUMPRODUCT(ISNUMBER(SEARCH("Fatiga",I197:R197))*1)+1)</f>
        <v>DIF</v>
      </c>
      <c r="AD139" s="2746" t="str">
        <f>IFERROR(VLOOKUP(AB139,Psíquicos!$AD$11:$AK$67,8,FALSE),AC139)</f>
        <v>DIF</v>
      </c>
      <c r="AE139" s="3032"/>
      <c r="AF139" s="3032"/>
      <c r="AG139" s="3032"/>
      <c r="AH139" s="3032"/>
      <c r="AI139" s="3032"/>
      <c r="AJ139" s="3032"/>
      <c r="AK139" s="3032"/>
      <c r="AL139" s="3032"/>
      <c r="AM139" s="3032"/>
      <c r="AN139" s="3551"/>
      <c r="AO139" s="3549">
        <f>IF(COUNTIF(Psíquicos!$AD$20:$AH$65,AB139),VALUE(INDEX('Tablas psiquica'!$AE139:$AN139,MATCH('Tablas psiquica'!$AD139,'Tablas psiquica'!$AE$6:$AN$6,0))),0)</f>
        <v>0</v>
      </c>
      <c r="AQ139" s="2029" t="str">
        <f>IFERROR(IF(VLOOKUP(AR139,$D$7:$G$296,4,FALSE)&lt;&gt;"No",MAX(AQ$5:AQ138)+1,0),"")</f>
        <v/>
      </c>
      <c r="AR139" s="2030" t="str">
        <f t="shared" si="25"/>
        <v/>
      </c>
      <c r="AS139" s="2033" t="str">
        <f>IFERROR(VLOOKUP(Tablas!$A133,$AQ$7:$AR$145,2,FALSE),"")</f>
        <v/>
      </c>
    </row>
    <row r="140" spans="1:45" ht="12.75" customHeight="1">
      <c r="A140" s="702">
        <v>140</v>
      </c>
      <c r="B140" s="3493">
        <f>IF(OR(S140=0),0,SUM($S$6:S140))</f>
        <v>0</v>
      </c>
      <c r="C140" s="3494"/>
      <c r="D140" s="257" t="s">
        <v>202</v>
      </c>
      <c r="E140" s="359" t="s">
        <v>1553</v>
      </c>
      <c r="F140" s="343">
        <v>1</v>
      </c>
      <c r="G140" s="343" t="s">
        <v>2422</v>
      </c>
      <c r="H140" s="344" t="s">
        <v>1165</v>
      </c>
      <c r="I140" s="3571" t="s">
        <v>5386</v>
      </c>
      <c r="J140" s="3571" t="s">
        <v>5387</v>
      </c>
      <c r="K140" s="3571" t="s">
        <v>5758</v>
      </c>
      <c r="L140" s="3571" t="s">
        <v>5759</v>
      </c>
      <c r="M140" s="3571" t="s">
        <v>5512</v>
      </c>
      <c r="N140" s="3571" t="s">
        <v>5677</v>
      </c>
      <c r="O140" s="3571" t="s">
        <v>5513</v>
      </c>
      <c r="P140" s="3571" t="s">
        <v>5514</v>
      </c>
      <c r="Q140" s="3571" t="s">
        <v>5622</v>
      </c>
      <c r="R140" s="3571" t="s">
        <v>5515</v>
      </c>
      <c r="S140" s="3516">
        <f>IF(COUNTIF(Psíquicos!$C$26:$E$37,E140)=0,0,1)</f>
        <v>0</v>
      </c>
      <c r="T140" s="3517">
        <f>COUNTIF(Psíquicos!$V$20:$Z$73,'Tablas psiquica'!D140)</f>
        <v>0</v>
      </c>
      <c r="U140" s="404"/>
      <c r="V140" s="3523"/>
      <c r="W140" s="4252" t="s">
        <v>13962</v>
      </c>
      <c r="X140" s="4251" t="s">
        <v>13976</v>
      </c>
      <c r="Y140" s="404">
        <f t="shared" si="23"/>
        <v>0</v>
      </c>
      <c r="Z140" s="3496">
        <f t="shared" si="24"/>
        <v>0</v>
      </c>
      <c r="AB140" s="3556" t="s">
        <v>10243</v>
      </c>
      <c r="AC140" s="2746" t="str" cm="1">
        <f t="array" ref="AC140">INDEX($I$6:$R$6,SUMPRODUCT(ISNUMBER(SEARCH("Fatiga",I198:R198))*1)+1)</f>
        <v>MDF</v>
      </c>
      <c r="AD140" s="2746" t="str">
        <f>IFERROR(VLOOKUP(AB140,Psíquicos!$AD$11:$AK$67,8,FALSE),AC140)</f>
        <v>MDF</v>
      </c>
      <c r="AE140" s="3032"/>
      <c r="AF140" s="3032"/>
      <c r="AG140" s="3032"/>
      <c r="AH140" s="3032"/>
      <c r="AI140" s="3032"/>
      <c r="AJ140" s="3032"/>
      <c r="AK140" s="3032"/>
      <c r="AL140" s="3032"/>
      <c r="AM140" s="3032"/>
      <c r="AN140" s="3551"/>
      <c r="AO140" s="3549">
        <f>IF(COUNTIF(Psíquicos!$AD$20:$AH$65,AB140),VALUE(INDEX('Tablas psiquica'!$AE140:$AN140,MATCH('Tablas psiquica'!$AD140,'Tablas psiquica'!$AE$6:$AN$6,0))),0)</f>
        <v>0</v>
      </c>
      <c r="AQ140" s="2029" t="str">
        <f>IFERROR(IF(VLOOKUP(AR140,$D$7:$G$296,4,FALSE)&lt;&gt;"No",MAX(AQ$5:AQ139)+1,0),"")</f>
        <v/>
      </c>
      <c r="AR140" s="2030" t="str">
        <f t="shared" si="25"/>
        <v/>
      </c>
      <c r="AS140" s="2033" t="str">
        <f>IFERROR(VLOOKUP(Tablas!$A134,$AQ$7:$AR$145,2,FALSE),"")</f>
        <v/>
      </c>
    </row>
    <row r="141" spans="1:45" ht="12.75" customHeight="1">
      <c r="A141" s="702">
        <v>141</v>
      </c>
      <c r="B141" s="3493">
        <f>IF(OR(S141=0),0,SUM($S$6:S141))</f>
        <v>0</v>
      </c>
      <c r="C141" s="3494"/>
      <c r="D141" s="257" t="s">
        <v>203</v>
      </c>
      <c r="E141" s="359" t="s">
        <v>1553</v>
      </c>
      <c r="F141" s="343">
        <v>1</v>
      </c>
      <c r="G141" s="343" t="s">
        <v>1241</v>
      </c>
      <c r="H141" s="344" t="s">
        <v>1165</v>
      </c>
      <c r="I141" s="3571" t="s">
        <v>5386</v>
      </c>
      <c r="J141" s="3571" t="s">
        <v>5387</v>
      </c>
      <c r="K141" s="3571" t="s">
        <v>5760</v>
      </c>
      <c r="L141" s="3571" t="s">
        <v>5761</v>
      </c>
      <c r="M141" s="3571" t="s">
        <v>5762</v>
      </c>
      <c r="N141" s="3571" t="s">
        <v>5763</v>
      </c>
      <c r="O141" s="3571" t="s">
        <v>5764</v>
      </c>
      <c r="P141" s="3571" t="s">
        <v>5765</v>
      </c>
      <c r="Q141" s="3571" t="s">
        <v>5766</v>
      </c>
      <c r="R141" s="3571" t="s">
        <v>5767</v>
      </c>
      <c r="S141" s="3516">
        <f>IF(COUNTIF(Psíquicos!$C$26:$E$37,E141)=0,0,1)</f>
        <v>0</v>
      </c>
      <c r="T141" s="3517">
        <f>COUNTIF(Psíquicos!$V$20:$Z$73,'Tablas psiquica'!D141)</f>
        <v>0</v>
      </c>
      <c r="U141" s="404"/>
      <c r="V141" s="3523"/>
      <c r="W141" s="4252" t="s">
        <v>13956</v>
      </c>
      <c r="X141" s="4253" t="s">
        <v>14043</v>
      </c>
      <c r="Y141" s="404">
        <f t="shared" si="23"/>
        <v>0</v>
      </c>
      <c r="Z141" s="3496">
        <f t="shared" si="24"/>
        <v>0</v>
      </c>
      <c r="AB141" s="3556" t="s">
        <v>10252</v>
      </c>
      <c r="AC141" s="2746" t="str" cm="1">
        <f t="array" ref="AC141">INDEX($I$6:$R$6,SUMPRODUCT(ISNUMBER(SEARCH("Fatiga",I199:R199))*1)+1)</f>
        <v>ABS</v>
      </c>
      <c r="AD141" s="2746" t="str">
        <f>IFERROR(VLOOKUP(AB141,Psíquicos!$AD$11:$AK$67,8,FALSE),AC141)</f>
        <v>ABS</v>
      </c>
      <c r="AE141" s="3032"/>
      <c r="AF141" s="3032"/>
      <c r="AG141" s="3032"/>
      <c r="AH141" s="3032"/>
      <c r="AI141" s="3032"/>
      <c r="AJ141" s="3032"/>
      <c r="AK141" s="3032"/>
      <c r="AL141" s="3032"/>
      <c r="AM141" s="3032"/>
      <c r="AN141" s="3551"/>
      <c r="AO141" s="3549">
        <f>IF(COUNTIF(Psíquicos!$AD$20:$AH$65,AB141),VALUE(INDEX('Tablas psiquica'!$AE141:$AN141,MATCH('Tablas psiquica'!$AD141,'Tablas psiquica'!$AE$6:$AN$6,0))),0)</f>
        <v>0</v>
      </c>
      <c r="AQ141" s="2029" t="str">
        <f>IFERROR(IF(VLOOKUP(AR141,$D$7:$G$296,4,FALSE)&lt;&gt;"No",MAX(AQ$5:AQ140)+1,0),"")</f>
        <v/>
      </c>
      <c r="AR141" s="2030" t="str">
        <f t="shared" si="25"/>
        <v/>
      </c>
      <c r="AS141" s="2033" t="str">
        <f>IFERROR(VLOOKUP(Tablas!$A135,$AQ$7:$AR$145,2,FALSE),"")</f>
        <v/>
      </c>
    </row>
    <row r="142" spans="1:45" ht="12.75" customHeight="1">
      <c r="A142" s="702">
        <v>142</v>
      </c>
      <c r="B142" s="3493">
        <f>IF(OR(S142=0),0,SUM($S$6:S142))</f>
        <v>0</v>
      </c>
      <c r="C142" s="3494"/>
      <c r="D142" s="257" t="s">
        <v>204</v>
      </c>
      <c r="E142" s="359" t="s">
        <v>1553</v>
      </c>
      <c r="F142" s="343">
        <v>2</v>
      </c>
      <c r="G142" s="343" t="s">
        <v>2422</v>
      </c>
      <c r="H142" s="344" t="s">
        <v>1166</v>
      </c>
      <c r="I142" s="3571" t="s">
        <v>5407</v>
      </c>
      <c r="J142" s="3571" t="s">
        <v>5406</v>
      </c>
      <c r="K142" s="3571" t="s">
        <v>5386</v>
      </c>
      <c r="L142" s="3571" t="s">
        <v>5387</v>
      </c>
      <c r="M142" s="3571" t="s">
        <v>5438</v>
      </c>
      <c r="N142" s="3571" t="s">
        <v>5526</v>
      </c>
      <c r="O142" s="3571" t="s">
        <v>5440</v>
      </c>
      <c r="P142" s="3571" t="s">
        <v>5768</v>
      </c>
      <c r="Q142" s="3571" t="s">
        <v>5631</v>
      </c>
      <c r="R142" s="3571" t="s">
        <v>5632</v>
      </c>
      <c r="S142" s="3516">
        <f>IF(COUNTIF(Psíquicos!$C$26:$E$37,E142)=0,0,1)</f>
        <v>0</v>
      </c>
      <c r="T142" s="3517">
        <f>COUNTIF(Psíquicos!$V$20:$Z$73,'Tablas psiquica'!D142)</f>
        <v>0</v>
      </c>
      <c r="U142" s="404"/>
      <c r="V142" s="3523">
        <v>1</v>
      </c>
      <c r="W142" s="4252" t="s">
        <v>13952</v>
      </c>
      <c r="X142" s="4251" t="s">
        <v>14044</v>
      </c>
      <c r="Y142" s="404">
        <f t="shared" si="23"/>
        <v>0</v>
      </c>
      <c r="Z142" s="3496">
        <f t="shared" si="24"/>
        <v>1</v>
      </c>
      <c r="AB142" s="3556" t="s">
        <v>10277</v>
      </c>
      <c r="AC142" s="2746" t="str" cm="1">
        <f t="array" ref="AC142">INDEX($I$6:$R$6,SUMPRODUCT(ISNUMBER(SEARCH("Fatiga",I203:R203))*1)+1)</f>
        <v>CIM</v>
      </c>
      <c r="AD142" s="2746" t="str">
        <f>IFERROR(VLOOKUP(AB142,Psíquicos!$AD$11:$AK$67,8,FALSE),AC142)</f>
        <v>CIM</v>
      </c>
      <c r="AE142" s="3032"/>
      <c r="AF142" s="3032"/>
      <c r="AG142" s="3032"/>
      <c r="AH142" s="3032"/>
      <c r="AI142" s="3032"/>
      <c r="AJ142" s="3032"/>
      <c r="AK142" s="3032"/>
      <c r="AL142" s="3032"/>
      <c r="AM142" s="3032"/>
      <c r="AN142" s="3551"/>
      <c r="AO142" s="3549">
        <f>IF(COUNTIF(Psíquicos!$AD$20:$AH$65,AB142),VALUE(INDEX('Tablas psiquica'!$AE142:$AN142,MATCH('Tablas psiquica'!$AD142,'Tablas psiquica'!$AE$6:$AN$6,0))),0)</f>
        <v>0</v>
      </c>
      <c r="AQ142" s="2029" t="str">
        <f>IFERROR(IF(VLOOKUP(AR142,$D$7:$G$296,4,FALSE)&lt;&gt;"No",MAX(AQ$5:AQ141)+1,0),"")</f>
        <v/>
      </c>
      <c r="AR142" s="2030" t="str">
        <f t="shared" si="25"/>
        <v/>
      </c>
      <c r="AS142" s="2033" t="str">
        <f>IFERROR(VLOOKUP(Tablas!$A136,$AQ$7:$AR$145,2,FALSE),"")</f>
        <v/>
      </c>
    </row>
    <row r="143" spans="1:45" ht="12.75" customHeight="1">
      <c r="A143" s="702">
        <v>143</v>
      </c>
      <c r="B143" s="3493">
        <f>IF(OR(S143=0),0,SUM($S$6:S143))</f>
        <v>0</v>
      </c>
      <c r="C143" s="3494"/>
      <c r="D143" s="257" t="s">
        <v>205</v>
      </c>
      <c r="E143" s="359" t="s">
        <v>1553</v>
      </c>
      <c r="F143" s="343">
        <v>2</v>
      </c>
      <c r="G143" s="343" t="s">
        <v>2422</v>
      </c>
      <c r="H143" s="344" t="s">
        <v>1165</v>
      </c>
      <c r="I143" s="3571" t="s">
        <v>5408</v>
      </c>
      <c r="J143" s="3571" t="s">
        <v>5407</v>
      </c>
      <c r="K143" s="3571" t="s">
        <v>5406</v>
      </c>
      <c r="L143" s="3571" t="s">
        <v>5386</v>
      </c>
      <c r="M143" s="3571" t="s">
        <v>5387</v>
      </c>
      <c r="N143" s="3571" t="s">
        <v>5769</v>
      </c>
      <c r="O143" s="3571" t="s">
        <v>5770</v>
      </c>
      <c r="P143" s="3571" t="s">
        <v>5771</v>
      </c>
      <c r="Q143" s="3571" t="s">
        <v>5772</v>
      </c>
      <c r="R143" s="3571" t="s">
        <v>5773</v>
      </c>
      <c r="S143" s="3516">
        <f>IF(COUNTIF(Psíquicos!$C$26:$E$37,E143)=0,0,1)</f>
        <v>0</v>
      </c>
      <c r="T143" s="3517">
        <f>COUNTIF(Psíquicos!$V$20:$Z$73,'Tablas psiquica'!D143)</f>
        <v>0</v>
      </c>
      <c r="U143" s="404"/>
      <c r="V143" s="3523"/>
      <c r="W143" s="4252" t="s">
        <v>13944</v>
      </c>
      <c r="X143" s="4251" t="s">
        <v>14045</v>
      </c>
      <c r="Y143" s="404">
        <f t="shared" si="23"/>
        <v>0</v>
      </c>
      <c r="Z143" s="3496">
        <f t="shared" si="24"/>
        <v>0</v>
      </c>
      <c r="AB143" s="3556" t="s">
        <v>10920</v>
      </c>
      <c r="AC143" s="2746"/>
      <c r="AD143" s="2746"/>
      <c r="AE143" s="3032"/>
      <c r="AF143" s="3032"/>
      <c r="AG143" s="3032"/>
      <c r="AH143" s="3032"/>
      <c r="AI143" s="3032"/>
      <c r="AJ143" s="3032"/>
      <c r="AK143" s="3032"/>
      <c r="AL143" s="3032"/>
      <c r="AM143" s="3032"/>
      <c r="AN143" s="3551"/>
      <c r="AO143" s="3549" t="e">
        <f>IF(COUNTIF(Psíquicos!$AD$20:$AH$65,AB143),VALUE(INDEX('Tablas psiquica'!$AE143:$AN143,MATCH('Tablas psiquica'!$AD143,'Tablas psiquica'!$AE$6:$AN$6,0))),0)</f>
        <v>#N/A</v>
      </c>
      <c r="AQ143" s="2029" t="str">
        <f>IFERROR(IF(VLOOKUP(AR143,$D$7:$G$296,4,FALSE)&lt;&gt;"No",MAX(AQ$5:AQ142)+1,0),"")</f>
        <v/>
      </c>
      <c r="AR143" s="2030" t="str">
        <f t="shared" si="25"/>
        <v/>
      </c>
      <c r="AS143" s="2033" t="str">
        <f>IFERROR(VLOOKUP(Tablas!$A137,$AQ$7:$AR$145,2,FALSE),"")</f>
        <v/>
      </c>
    </row>
    <row r="144" spans="1:45" ht="12.75" customHeight="1">
      <c r="A144" s="702">
        <v>144</v>
      </c>
      <c r="B144" s="3493">
        <f>IF(OR(S144=0),0,SUM($S$6:S144))</f>
        <v>0</v>
      </c>
      <c r="C144" s="3494"/>
      <c r="D144" s="257" t="s">
        <v>206</v>
      </c>
      <c r="E144" s="359" t="s">
        <v>1553</v>
      </c>
      <c r="F144" s="343">
        <v>3</v>
      </c>
      <c r="G144" s="343" t="s">
        <v>1241</v>
      </c>
      <c r="H144" s="344" t="s">
        <v>1165</v>
      </c>
      <c r="I144" s="3571" t="s">
        <v>5417</v>
      </c>
      <c r="J144" s="3571" t="s">
        <v>5416</v>
      </c>
      <c r="K144" s="3571" t="s">
        <v>5408</v>
      </c>
      <c r="L144" s="3571" t="s">
        <v>5407</v>
      </c>
      <c r="M144" s="3571" t="s">
        <v>5406</v>
      </c>
      <c r="N144" s="3571" t="s">
        <v>5774</v>
      </c>
      <c r="O144" s="3571" t="s">
        <v>5775</v>
      </c>
      <c r="P144" s="3571" t="s">
        <v>5776</v>
      </c>
      <c r="Q144" s="3571" t="s">
        <v>5777</v>
      </c>
      <c r="R144" s="3571" t="s">
        <v>5778</v>
      </c>
      <c r="S144" s="3516">
        <f>IF(COUNTIF(Psíquicos!$C$26:$E$37,E144)=0,0,1)</f>
        <v>0</v>
      </c>
      <c r="T144" s="3517">
        <f>COUNTIF(Psíquicos!$V$20:$Z$73,'Tablas psiquica'!D144)</f>
        <v>0</v>
      </c>
      <c r="U144" s="404"/>
      <c r="V144" s="3523"/>
      <c r="W144" s="4252" t="s">
        <v>13996</v>
      </c>
      <c r="X144" s="4251" t="s">
        <v>14046</v>
      </c>
      <c r="Y144" s="404">
        <f t="shared" si="23"/>
        <v>0</v>
      </c>
      <c r="Z144" s="3496">
        <f t="shared" si="24"/>
        <v>0</v>
      </c>
      <c r="AB144" s="3556" t="s">
        <v>10228</v>
      </c>
      <c r="AC144" s="2746" t="str" cm="1">
        <f t="array" ref="AC144">INDEX($I$6:$R$6,SUMPRODUCT(ISNUMBER(SEARCH("Fatiga",I205:R205))*1)+1)</f>
        <v>MED</v>
      </c>
      <c r="AD144" s="2746" t="str">
        <f>IFERROR(VLOOKUP(AB144,Psíquicos!$AD$11:$AK$67,8,FALSE),AC144)</f>
        <v>MED</v>
      </c>
      <c r="AE144" s="3032"/>
      <c r="AF144" s="3032"/>
      <c r="AG144" s="3032"/>
      <c r="AH144" s="3032"/>
      <c r="AI144" s="3032"/>
      <c r="AJ144" s="3032"/>
      <c r="AK144" s="3032"/>
      <c r="AL144" s="3032"/>
      <c r="AM144" s="3032"/>
      <c r="AN144" s="3551"/>
      <c r="AO144" s="3549">
        <f>IF(COUNTIF(Psíquicos!$AD$20:$AH$65,AB144),VALUE(INDEX('Tablas psiquica'!$AE144:$AN144,MATCH('Tablas psiquica'!$AD144,'Tablas psiquica'!$AE$6:$AN$6,0))),0)</f>
        <v>0</v>
      </c>
      <c r="AQ144" s="2029" t="str">
        <f>IFERROR(IF(VLOOKUP(AR144,$D$7:$G$296,4,FALSE)&lt;&gt;"No",MAX(AQ$5:AQ143)+1,0),"")</f>
        <v/>
      </c>
      <c r="AR144" s="2030" t="str">
        <f t="shared" si="25"/>
        <v/>
      </c>
      <c r="AS144" s="2033" t="str">
        <f>IFERROR(VLOOKUP(Tablas!$A138,$AQ$7:$AR$145,2,FALSE),"")</f>
        <v/>
      </c>
    </row>
    <row r="145" spans="1:45" ht="12.75" customHeight="1" thickBot="1">
      <c r="A145" s="702">
        <v>145</v>
      </c>
      <c r="B145" s="3498">
        <f>IF(OR(S145=0),0,SUM($S$6:S145))</f>
        <v>0</v>
      </c>
      <c r="C145" s="3499"/>
      <c r="D145" s="3500" t="s">
        <v>10835</v>
      </c>
      <c r="E145" s="2746"/>
      <c r="F145" s="2745"/>
      <c r="G145" s="2745"/>
      <c r="H145" s="3501"/>
      <c r="I145" s="2744"/>
      <c r="J145" s="2744"/>
      <c r="K145" s="2744"/>
      <c r="L145" s="2744"/>
      <c r="M145" s="2744"/>
      <c r="N145" s="2744"/>
      <c r="O145" s="2744"/>
      <c r="P145" s="2744"/>
      <c r="Q145" s="2744"/>
      <c r="R145" s="2744"/>
      <c r="S145" s="3518">
        <f>S146</f>
        <v>0</v>
      </c>
      <c r="T145" s="3518"/>
      <c r="U145" s="3512"/>
      <c r="V145" s="3524"/>
      <c r="W145" s="4254"/>
      <c r="X145" s="4255"/>
      <c r="Y145" s="3512">
        <f t="shared" si="23"/>
        <v>0</v>
      </c>
      <c r="Z145" s="3502">
        <f t="shared" si="24"/>
        <v>0</v>
      </c>
      <c r="AB145" s="3556" t="s">
        <v>10236</v>
      </c>
      <c r="AC145" s="2746" t="str" cm="1">
        <f t="array" ref="AC145">INDEX($I$6:$R$6,SUMPRODUCT(ISNUMBER(SEARCH("Fatiga",I206:R206))*1)+1)</f>
        <v>DIF</v>
      </c>
      <c r="AD145" s="2746" t="str">
        <f>IFERROR(VLOOKUP(AB145,Psíquicos!$AD$11:$AK$67,8,FALSE),AC145)</f>
        <v>DIF</v>
      </c>
      <c r="AE145" s="3032"/>
      <c r="AF145" s="3032"/>
      <c r="AG145" s="3032"/>
      <c r="AH145" s="3032"/>
      <c r="AI145" s="3032"/>
      <c r="AJ145" s="3032"/>
      <c r="AK145" s="3032"/>
      <c r="AL145" s="3032"/>
      <c r="AM145" s="3032"/>
      <c r="AN145" s="3551"/>
      <c r="AO145" s="3549">
        <f>IF(COUNTIF(Psíquicos!$AD$20:$AH$65,AB145),VALUE(INDEX('Tablas psiquica'!$AE145:$AN145,MATCH('Tablas psiquica'!$AD145,'Tablas psiquica'!$AE$6:$AN$6,0))),0)</f>
        <v>0</v>
      </c>
      <c r="AQ145" s="2029" t="str">
        <f>IFERROR(IF(VLOOKUP(AR145,$D$7:$G$296,4,FALSE)&lt;&gt;"No",MAX(AQ$5:AQ144)+1,0),"")</f>
        <v/>
      </c>
      <c r="AR145" s="2030" t="str">
        <f t="shared" si="25"/>
        <v/>
      </c>
      <c r="AS145" s="2034" t="str">
        <f>IFERROR(VLOOKUP(Tablas!$A139,$AQ$7:$AR$145,2,FALSE),"")</f>
        <v/>
      </c>
    </row>
    <row r="146" spans="1:45">
      <c r="A146" s="702">
        <v>146</v>
      </c>
      <c r="B146" s="3498">
        <f>IF(OR(S146=0),0,SUM($S$6:S146))</f>
        <v>0</v>
      </c>
      <c r="C146" s="3499"/>
      <c r="D146" s="3500" t="s">
        <v>10221</v>
      </c>
      <c r="E146" s="2746" t="s">
        <v>10050</v>
      </c>
      <c r="F146" s="2745">
        <v>1</v>
      </c>
      <c r="G146" s="2745" t="s">
        <v>2422</v>
      </c>
      <c r="H146" s="3501" t="s">
        <v>1165</v>
      </c>
      <c r="I146" s="2744" t="s">
        <v>5406</v>
      </c>
      <c r="J146" s="2744" t="s">
        <v>5386</v>
      </c>
      <c r="K146" s="2744" t="s">
        <v>10836</v>
      </c>
      <c r="L146" s="2744" t="s">
        <v>10837</v>
      </c>
      <c r="M146" s="2744" t="s">
        <v>10838</v>
      </c>
      <c r="N146" s="2744" t="s">
        <v>10839</v>
      </c>
      <c r="O146" s="2744" t="s">
        <v>10840</v>
      </c>
      <c r="P146" s="2744" t="s">
        <v>11098</v>
      </c>
      <c r="Q146" s="2744" t="s">
        <v>11099</v>
      </c>
      <c r="R146" s="2744" t="s">
        <v>11100</v>
      </c>
      <c r="S146" s="3519">
        <f>IF(COUNTIF(Psíquicos!$C$26:$E$37,E146)=0,0,1)</f>
        <v>0</v>
      </c>
      <c r="T146" s="3518">
        <f>COUNTIF(Psíquicos!$V$20:$Z$73,'Tablas psiquica'!D146)</f>
        <v>0</v>
      </c>
      <c r="U146" s="3512"/>
      <c r="V146" s="3524"/>
      <c r="W146" s="4254" t="s">
        <v>14000</v>
      </c>
      <c r="X146" s="4257" t="s">
        <v>14047</v>
      </c>
      <c r="Y146" s="3512">
        <f t="shared" si="23"/>
        <v>0</v>
      </c>
      <c r="Z146" s="3502">
        <f t="shared" si="24"/>
        <v>0</v>
      </c>
      <c r="AB146" s="3556" t="s">
        <v>10244</v>
      </c>
      <c r="AC146" s="2746" t="str" cm="1">
        <f t="array" ref="AC146">INDEX($I$6:$R$6,SUMPRODUCT(ISNUMBER(SEARCH("Fatiga",I207:R207))*1)+1)</f>
        <v>MED</v>
      </c>
      <c r="AD146" s="2746" t="str">
        <f>IFERROR(VLOOKUP(AB146,Psíquicos!$AD$11:$AK$67,8,FALSE),AC146)</f>
        <v>MED</v>
      </c>
      <c r="AE146" s="3032"/>
      <c r="AF146" s="3032"/>
      <c r="AG146" s="3032"/>
      <c r="AH146" s="3032"/>
      <c r="AI146" s="3032"/>
      <c r="AJ146" s="3032"/>
      <c r="AK146" s="3032"/>
      <c r="AL146" s="3032"/>
      <c r="AM146" s="3032"/>
      <c r="AN146" s="3551"/>
      <c r="AO146" s="3549">
        <f>IF(COUNTIF(Psíquicos!$AD$20:$AH$65,AB146),VALUE(INDEX('Tablas psiquica'!$AE146:$AN146,MATCH('Tablas psiquica'!$AD146,'Tablas psiquica'!$AE$6:$AN$6,0))),0)</f>
        <v>0</v>
      </c>
    </row>
    <row r="147" spans="1:45">
      <c r="A147" s="702">
        <v>147</v>
      </c>
      <c r="B147" s="3498">
        <f>IF(OR(S147=0),0,SUM($S$6:S147))</f>
        <v>0</v>
      </c>
      <c r="C147" s="3499"/>
      <c r="D147" s="3500" t="s">
        <v>10229</v>
      </c>
      <c r="E147" s="2746" t="s">
        <v>10050</v>
      </c>
      <c r="F147" s="2745">
        <v>1</v>
      </c>
      <c r="G147" s="2745" t="s">
        <v>2422</v>
      </c>
      <c r="H147" s="3501" t="s">
        <v>1166</v>
      </c>
      <c r="I147" s="2744" t="s">
        <v>5407</v>
      </c>
      <c r="J147" s="2744" t="s">
        <v>5406</v>
      </c>
      <c r="K147" s="2744" t="s">
        <v>10841</v>
      </c>
      <c r="L147" s="2744" t="s">
        <v>10842</v>
      </c>
      <c r="M147" s="2744" t="s">
        <v>11101</v>
      </c>
      <c r="N147" s="2744" t="s">
        <v>11102</v>
      </c>
      <c r="O147" s="2744" t="s">
        <v>11103</v>
      </c>
      <c r="P147" s="2744" t="s">
        <v>11104</v>
      </c>
      <c r="Q147" s="2744" t="s">
        <v>11105</v>
      </c>
      <c r="R147" s="2744" t="s">
        <v>11106</v>
      </c>
      <c r="S147" s="3519">
        <f>IF(COUNTIF(Psíquicos!$C$26:$E$37,E147)=0,0,1)</f>
        <v>0</v>
      </c>
      <c r="T147" s="3518">
        <f>COUNTIF(Psíquicos!$V$20:$Z$73,'Tablas psiquica'!D147)</f>
        <v>0</v>
      </c>
      <c r="U147" s="3512"/>
      <c r="V147" s="3524">
        <v>1</v>
      </c>
      <c r="W147" s="4254" t="s">
        <v>13952</v>
      </c>
      <c r="X147" s="4257" t="s">
        <v>14048</v>
      </c>
      <c r="Y147" s="3512">
        <f t="shared" si="23"/>
        <v>0</v>
      </c>
      <c r="Z147" s="3502">
        <f t="shared" si="24"/>
        <v>1</v>
      </c>
      <c r="AB147" s="3556" t="s">
        <v>10253</v>
      </c>
      <c r="AC147" s="2746" t="str" cm="1">
        <f t="array" ref="AC147">INDEX($I$6:$R$6,SUMPRODUCT(ISNUMBER(SEARCH("Fatiga",I208:R208))*1)+1)</f>
        <v>DIF</v>
      </c>
      <c r="AD147" s="2746" t="str">
        <f>IFERROR(VLOOKUP(AB147,Psíquicos!$AD$11:$AK$67,8,FALSE),AC147)</f>
        <v>DIF</v>
      </c>
      <c r="AE147" s="3032"/>
      <c r="AF147" s="3032"/>
      <c r="AG147" s="3032"/>
      <c r="AH147" s="3032"/>
      <c r="AI147" s="3032"/>
      <c r="AJ147" s="3032"/>
      <c r="AK147" s="3032"/>
      <c r="AL147" s="3032"/>
      <c r="AM147" s="3032"/>
      <c r="AN147" s="3551"/>
      <c r="AO147" s="3549">
        <f>IF(COUNTIF(Psíquicos!$AD$20:$AH$65,AB147),VALUE(INDEX('Tablas psiquica'!$AE147:$AN147,MATCH('Tablas psiquica'!$AD147,'Tablas psiquica'!$AE$6:$AN$6,0))),0)</f>
        <v>0</v>
      </c>
    </row>
    <row r="148" spans="1:45">
      <c r="A148" s="702">
        <v>148</v>
      </c>
      <c r="B148" s="3498">
        <f>IF(OR(S148=0),0,SUM($S$6:S148))</f>
        <v>0</v>
      </c>
      <c r="C148" s="3499"/>
      <c r="D148" s="3500" t="s">
        <v>10237</v>
      </c>
      <c r="E148" s="2746" t="s">
        <v>10050</v>
      </c>
      <c r="F148" s="2745">
        <v>2</v>
      </c>
      <c r="G148" s="2745" t="s">
        <v>2422</v>
      </c>
      <c r="H148" s="3501" t="s">
        <v>1165</v>
      </c>
      <c r="I148" s="2744" t="s">
        <v>5417</v>
      </c>
      <c r="J148" s="2744" t="s">
        <v>5416</v>
      </c>
      <c r="K148" s="2744" t="s">
        <v>5408</v>
      </c>
      <c r="L148" s="2744" t="s">
        <v>5407</v>
      </c>
      <c r="M148" s="2744" t="s">
        <v>11108</v>
      </c>
      <c r="N148" s="2744" t="s">
        <v>11109</v>
      </c>
      <c r="O148" s="2744" t="s">
        <v>11110</v>
      </c>
      <c r="P148" s="2744" t="s">
        <v>11111</v>
      </c>
      <c r="Q148" s="2744" t="s">
        <v>11112</v>
      </c>
      <c r="R148" s="2744" t="s">
        <v>11113</v>
      </c>
      <c r="S148" s="3519">
        <f>IF(COUNTIF(Psíquicos!$C$26:$E$37,E148)=0,0,1)</f>
        <v>0</v>
      </c>
      <c r="T148" s="3518">
        <f>COUNTIF(Psíquicos!$V$20:$Z$73,'Tablas psiquica'!D148)</f>
        <v>0</v>
      </c>
      <c r="U148" s="3512"/>
      <c r="V148" s="3524"/>
      <c r="W148" s="4254" t="s">
        <v>14041</v>
      </c>
      <c r="X148" s="4257" t="s">
        <v>14049</v>
      </c>
      <c r="Y148" s="3512">
        <f t="shared" si="23"/>
        <v>0</v>
      </c>
      <c r="Z148" s="3502">
        <f t="shared" si="24"/>
        <v>0</v>
      </c>
      <c r="AB148" s="3556" t="s">
        <v>10268</v>
      </c>
      <c r="AC148" s="2746" t="str" cm="1">
        <f t="array" ref="AC148">INDEX($I$6:$R$6,SUMPRODUCT(ISNUMBER(SEARCH("Fatiga",I210:R210))*1)+1)</f>
        <v>DIF</v>
      </c>
      <c r="AD148" s="2746" t="str">
        <f>IFERROR(VLOOKUP(AB148,Psíquicos!$AD$11:$AK$67,8,FALSE),AC148)</f>
        <v>DIF</v>
      </c>
      <c r="AE148" s="3032"/>
      <c r="AF148" s="3032"/>
      <c r="AG148" s="3032"/>
      <c r="AH148" s="3032"/>
      <c r="AI148" s="3032"/>
      <c r="AJ148" s="3032"/>
      <c r="AK148" s="3032"/>
      <c r="AL148" s="3032"/>
      <c r="AM148" s="3032"/>
      <c r="AN148" s="3551"/>
      <c r="AO148" s="3549">
        <f>IF(COUNTIF(Psíquicos!$AD$20:$AH$65,AB148),VALUE(INDEX('Tablas psiquica'!$AE148:$AN148,MATCH('Tablas psiquica'!$AD148,'Tablas psiquica'!$AE$6:$AN$6,0))),0)</f>
        <v>0</v>
      </c>
    </row>
    <row r="149" spans="1:45">
      <c r="A149" s="702">
        <v>149</v>
      </c>
      <c r="B149" s="3503">
        <f>IF(OR(S149=0),0,SUM($S$6:S149))</f>
        <v>0</v>
      </c>
      <c r="C149" s="3032"/>
      <c r="D149" s="3500" t="s">
        <v>10246</v>
      </c>
      <c r="E149" s="2746" t="s">
        <v>10050</v>
      </c>
      <c r="F149" s="2745">
        <v>2</v>
      </c>
      <c r="G149" s="2745" t="s">
        <v>2422</v>
      </c>
      <c r="H149" s="3501" t="s">
        <v>1165</v>
      </c>
      <c r="I149" s="2744" t="s">
        <v>5408</v>
      </c>
      <c r="J149" s="2744" t="s">
        <v>5407</v>
      </c>
      <c r="K149" s="2744" t="s">
        <v>5406</v>
      </c>
      <c r="L149" s="2744" t="s">
        <v>11114</v>
      </c>
      <c r="M149" s="2744" t="s">
        <v>11115</v>
      </c>
      <c r="N149" s="2744" t="s">
        <v>11116</v>
      </c>
      <c r="O149" s="2744" t="s">
        <v>11117</v>
      </c>
      <c r="P149" s="2744" t="s">
        <v>8751</v>
      </c>
      <c r="Q149" s="2744" t="s">
        <v>8752</v>
      </c>
      <c r="R149" s="2744" t="s">
        <v>11118</v>
      </c>
      <c r="S149" s="3519">
        <f>IF(COUNTIF(Psíquicos!$C$26:$E$37,E149)=0,0,1)</f>
        <v>0</v>
      </c>
      <c r="T149" s="3518">
        <f>COUNTIF(Psíquicos!$V$20:$Z$73,'Tablas psiquica'!D149)</f>
        <v>0</v>
      </c>
      <c r="U149" s="3512"/>
      <c r="V149" s="3524"/>
      <c r="W149" s="4254" t="s">
        <v>13942</v>
      </c>
      <c r="X149" s="4257" t="s">
        <v>13980</v>
      </c>
      <c r="Y149" s="3512">
        <f t="shared" si="23"/>
        <v>0</v>
      </c>
      <c r="Z149" s="3502">
        <f t="shared" si="24"/>
        <v>0</v>
      </c>
      <c r="AB149" s="3556" t="s">
        <v>10274</v>
      </c>
      <c r="AC149" s="2746" t="str" cm="1">
        <f t="array" ref="AC149">INDEX($I$6:$R$6,SUMPRODUCT(ISNUMBER(SEARCH("Fatiga",I211:R211))*1)+1)</f>
        <v>DIF</v>
      </c>
      <c r="AD149" s="2746" t="str">
        <f>IFERROR(VLOOKUP(AB149,Psíquicos!$AD$11:$AK$67,8,FALSE),AC149)</f>
        <v>DIF</v>
      </c>
      <c r="AE149" s="3032"/>
      <c r="AF149" s="3032"/>
      <c r="AG149" s="3032"/>
      <c r="AH149" s="3032"/>
      <c r="AI149" s="3032"/>
      <c r="AJ149" s="3032"/>
      <c r="AK149" s="3032"/>
      <c r="AL149" s="3032"/>
      <c r="AM149" s="3032"/>
      <c r="AN149" s="3551"/>
      <c r="AO149" s="3549">
        <f>IF(COUNTIF(Psíquicos!$AD$20:$AH$65,AB149),VALUE(INDEX('Tablas psiquica'!$AE149:$AN149,MATCH('Tablas psiquica'!$AD149,'Tablas psiquica'!$AE$6:$AN$6,0))),0)</f>
        <v>0</v>
      </c>
    </row>
    <row r="150" spans="1:45">
      <c r="A150" s="702">
        <v>150</v>
      </c>
      <c r="B150" s="3503">
        <f>IF(OR(S150=0),0,SUM($S$6:S150))</f>
        <v>0</v>
      </c>
      <c r="C150" s="3032"/>
      <c r="D150" s="3504" t="s">
        <v>11107</v>
      </c>
      <c r="E150" s="2746" t="s">
        <v>10050</v>
      </c>
      <c r="F150" s="3079">
        <v>3</v>
      </c>
      <c r="G150" s="3079" t="s">
        <v>2422</v>
      </c>
      <c r="H150" s="3505" t="s">
        <v>1165</v>
      </c>
      <c r="I150" s="2744" t="s">
        <v>5417</v>
      </c>
      <c r="J150" s="2744" t="s">
        <v>5416</v>
      </c>
      <c r="K150" s="2744" t="s">
        <v>5408</v>
      </c>
      <c r="L150" s="2744" t="s">
        <v>5406</v>
      </c>
      <c r="M150" s="2744" t="s">
        <v>5386</v>
      </c>
      <c r="N150" s="3573" t="s">
        <v>11119</v>
      </c>
      <c r="O150" s="3573" t="s">
        <v>11123</v>
      </c>
      <c r="P150" s="3573" t="s">
        <v>11122</v>
      </c>
      <c r="Q150" s="3573" t="s">
        <v>11121</v>
      </c>
      <c r="R150" s="3573" t="s">
        <v>11120</v>
      </c>
      <c r="S150" s="3519">
        <f>IF(COUNTIF(Psíquicos!$C$26:$E$37,E150)=0,0,1)</f>
        <v>0</v>
      </c>
      <c r="T150" s="3518">
        <f>COUNTIF(Psíquicos!$V$20:$Z$73,'Tablas psiquica'!D150)</f>
        <v>0</v>
      </c>
      <c r="U150" s="3512"/>
      <c r="V150" s="3524"/>
      <c r="W150" s="4254" t="s">
        <v>13996</v>
      </c>
      <c r="X150" s="4257" t="s">
        <v>14047</v>
      </c>
      <c r="Y150" s="3512">
        <f t="shared" si="23"/>
        <v>0</v>
      </c>
      <c r="Z150" s="3502">
        <f t="shared" si="24"/>
        <v>0</v>
      </c>
      <c r="AB150" s="3556" t="s">
        <v>10278</v>
      </c>
      <c r="AC150" s="2746" t="str" cm="1">
        <f t="array" ref="AC150">INDEX($I$6:$R$6,SUMPRODUCT(ISNUMBER(SEARCH("Fatiga",I212:Q212))*1)+1)</f>
        <v>ABS</v>
      </c>
      <c r="AD150" s="2746" t="str">
        <f>IFERROR(VLOOKUP(AB150,Psíquicos!$AD$11:$AK$67,8,FALSE),AC150)</f>
        <v>ABS</v>
      </c>
      <c r="AE150" s="3032"/>
      <c r="AF150" s="3032"/>
      <c r="AG150" s="3032"/>
      <c r="AH150" s="3032"/>
      <c r="AI150" s="3032"/>
      <c r="AJ150" s="3032"/>
      <c r="AK150" s="3032"/>
      <c r="AL150" s="3032"/>
      <c r="AM150" s="3032"/>
      <c r="AN150" s="3551"/>
      <c r="AO150" s="3549">
        <f>IF(COUNTIF(Psíquicos!$AD$20:$AH$65,AB150),VALUE(INDEX('Tablas psiquica'!$AE150:$AN150,MATCH('Tablas psiquica'!$AD150,'Tablas psiquica'!$AE$6:$AN$6,0))),0)</f>
        <v>0</v>
      </c>
    </row>
    <row r="151" spans="1:45">
      <c r="A151" s="702">
        <v>151</v>
      </c>
      <c r="B151" s="3503">
        <f>IF(OR(S151=0),0,SUM($S$6:S151))</f>
        <v>0</v>
      </c>
      <c r="C151" s="3032"/>
      <c r="D151" s="3507" t="s">
        <v>10844</v>
      </c>
      <c r="E151" s="3506"/>
      <c r="F151" s="3079"/>
      <c r="G151" s="3079"/>
      <c r="H151" s="3505"/>
      <c r="I151" s="3039"/>
      <c r="J151" s="3039"/>
      <c r="K151" s="3039"/>
      <c r="L151" s="3039"/>
      <c r="M151" s="3039"/>
      <c r="N151" s="3039"/>
      <c r="O151" s="3039"/>
      <c r="P151" s="3039"/>
      <c r="Q151" s="3039"/>
      <c r="R151" s="3039"/>
      <c r="S151" s="3518">
        <f>S152</f>
        <v>0</v>
      </c>
      <c r="T151" s="3518"/>
      <c r="U151" s="3512"/>
      <c r="V151" s="3524"/>
      <c r="W151" s="4254"/>
      <c r="X151" s="4255"/>
      <c r="Y151" s="3512">
        <f t="shared" si="23"/>
        <v>0</v>
      </c>
      <c r="Z151" s="3502">
        <f t="shared" si="24"/>
        <v>0</v>
      </c>
      <c r="AB151" s="3556" t="s">
        <v>11061</v>
      </c>
      <c r="AC151" s="2746" t="str" cm="1">
        <f t="array" ref="AC151">INDEX($I$6:$R$6,SUMPRODUCT(ISNUMBER(SEARCH("Fatiga",I213:R213))*1)+1)</f>
        <v>IMP</v>
      </c>
      <c r="AD151" s="2746" t="str">
        <f>IFERROR(VLOOKUP(AB151,Psíquicos!$AD$11:$AK$67,8,FALSE),AC151)</f>
        <v>IMP</v>
      </c>
      <c r="AE151" s="3032"/>
      <c r="AF151" s="3032"/>
      <c r="AG151" s="3032"/>
      <c r="AH151" s="3032"/>
      <c r="AI151" s="3032"/>
      <c r="AJ151" s="3032"/>
      <c r="AK151" s="3032"/>
      <c r="AL151" s="3032"/>
      <c r="AM151" s="3032"/>
      <c r="AN151" s="3551"/>
      <c r="AO151" s="3549">
        <f>IF(COUNTIF(Psíquicos!$AD$20:$AH$65,AB151),VALUE(INDEX('Tablas psiquica'!$AE151:$AN151,MATCH('Tablas psiquica'!$AD151,'Tablas psiquica'!$AE$6:$AN$6,0))),0)</f>
        <v>0</v>
      </c>
    </row>
    <row r="152" spans="1:45">
      <c r="A152" s="702">
        <v>152</v>
      </c>
      <c r="B152" s="3503">
        <f>IF(OR(S152=0),0,SUM($S$6:S152))</f>
        <v>0</v>
      </c>
      <c r="C152" s="3032"/>
      <c r="D152" s="3507" t="s">
        <v>10222</v>
      </c>
      <c r="E152" s="3508" t="s">
        <v>10051</v>
      </c>
      <c r="F152" s="3079">
        <v>1</v>
      </c>
      <c r="G152" s="3079" t="s">
        <v>2422</v>
      </c>
      <c r="H152" s="3505" t="s">
        <v>1165</v>
      </c>
      <c r="I152" s="3573" t="s">
        <v>5386</v>
      </c>
      <c r="J152" s="3573" t="s">
        <v>5387</v>
      </c>
      <c r="K152" s="3574" t="s">
        <v>10845</v>
      </c>
      <c r="L152" s="3574" t="s">
        <v>10846</v>
      </c>
      <c r="M152" s="3574" t="s">
        <v>10847</v>
      </c>
      <c r="N152" s="3574" t="s">
        <v>10848</v>
      </c>
      <c r="O152" s="3574" t="s">
        <v>10849</v>
      </c>
      <c r="P152" s="3574" t="s">
        <v>11124</v>
      </c>
      <c r="Q152" s="3574" t="s">
        <v>10850</v>
      </c>
      <c r="R152" s="3574" t="s">
        <v>10851</v>
      </c>
      <c r="S152" s="3519">
        <f>IF(COUNTIF(Psíquicos!$C$26:$E$37,E152)=0,0,1)</f>
        <v>0</v>
      </c>
      <c r="T152" s="3518">
        <f>COUNTIF(Psíquicos!$V$20:$Z$73,'Tablas psiquica'!D152)</f>
        <v>0</v>
      </c>
      <c r="U152" s="3512"/>
      <c r="V152" s="3524"/>
      <c r="W152" s="4254" t="s">
        <v>13952</v>
      </c>
      <c r="X152" s="4257" t="s">
        <v>14050</v>
      </c>
      <c r="Y152" s="3512">
        <f t="shared" si="23"/>
        <v>0</v>
      </c>
      <c r="Z152" s="3502">
        <f t="shared" si="24"/>
        <v>0</v>
      </c>
      <c r="AB152" s="3556" t="s">
        <v>11058</v>
      </c>
      <c r="AC152" s="2746"/>
      <c r="AD152" s="2746"/>
      <c r="AE152" s="3032"/>
      <c r="AF152" s="3032"/>
      <c r="AG152" s="3032"/>
      <c r="AH152" s="3032"/>
      <c r="AI152" s="3032"/>
      <c r="AJ152" s="3032"/>
      <c r="AK152" s="3032"/>
      <c r="AL152" s="3032"/>
      <c r="AM152" s="3032"/>
      <c r="AN152" s="3551"/>
      <c r="AO152" s="3549" t="e">
        <f>IF(COUNTIF(Psíquicos!$AD$20:$AH$65,AB152),VALUE(INDEX('Tablas psiquica'!$AE152:$AN152,MATCH('Tablas psiquica'!$AD152,'Tablas psiquica'!$AE$6:$AN$6,0))),0)</f>
        <v>#N/A</v>
      </c>
    </row>
    <row r="153" spans="1:45">
      <c r="A153" s="702">
        <v>153</v>
      </c>
      <c r="B153" s="3503">
        <f>IF(OR(S153=0),0,SUM($S$6:S153))</f>
        <v>0</v>
      </c>
      <c r="C153" s="3032"/>
      <c r="D153" s="3507" t="s">
        <v>10230</v>
      </c>
      <c r="E153" s="3508" t="s">
        <v>10051</v>
      </c>
      <c r="F153" s="3079">
        <v>1</v>
      </c>
      <c r="G153" s="3079" t="s">
        <v>1241</v>
      </c>
      <c r="H153" s="3505" t="s">
        <v>1165</v>
      </c>
      <c r="I153" s="3573" t="s">
        <v>5406</v>
      </c>
      <c r="J153" s="3573" t="s">
        <v>5386</v>
      </c>
      <c r="K153" s="3573" t="s">
        <v>10852</v>
      </c>
      <c r="L153" s="3573" t="s">
        <v>10853</v>
      </c>
      <c r="M153" s="3573" t="s">
        <v>11125</v>
      </c>
      <c r="N153" s="3573" t="s">
        <v>11126</v>
      </c>
      <c r="O153" s="3573" t="s">
        <v>11127</v>
      </c>
      <c r="P153" s="3573" t="s">
        <v>11128</v>
      </c>
      <c r="Q153" s="3573" t="s">
        <v>11129</v>
      </c>
      <c r="R153" s="3573" t="s">
        <v>11130</v>
      </c>
      <c r="S153" s="3519">
        <f>IF(COUNTIF(Psíquicos!$C$26:$E$37,E153)=0,0,1)</f>
        <v>0</v>
      </c>
      <c r="T153" s="3518">
        <f>COUNTIF(Psíquicos!$V$20:$Z$73,'Tablas psiquica'!D153)</f>
        <v>0</v>
      </c>
      <c r="U153" s="3512"/>
      <c r="V153" s="3524"/>
      <c r="W153" s="4254" t="s">
        <v>13942</v>
      </c>
      <c r="X153" s="4257" t="s">
        <v>14051</v>
      </c>
      <c r="Y153" s="3512">
        <f t="shared" si="23"/>
        <v>0</v>
      </c>
      <c r="Z153" s="3502">
        <f t="shared" si="24"/>
        <v>0</v>
      </c>
      <c r="AB153" s="3558" t="s">
        <v>10283</v>
      </c>
      <c r="AC153" s="2746" t="str" cm="1">
        <f t="array" ref="AC153">INDEX($I$6:$R$6,SUMPRODUCT(ISNUMBER(SEARCH("Fatiga",I217:R217))*1)+1)</f>
        <v>DIF</v>
      </c>
      <c r="AD153" s="2746" t="str">
        <f>IFERROR(VLOOKUP(AB153,Psíquicos!$AD$11:$AK$67,8,FALSE),AC153)</f>
        <v>DIF</v>
      </c>
      <c r="AE153" s="3032"/>
      <c r="AF153" s="3032"/>
      <c r="AG153" s="3032"/>
      <c r="AH153" s="3032"/>
      <c r="AI153" s="3032"/>
      <c r="AJ153" s="3032"/>
      <c r="AK153" s="3032"/>
      <c r="AL153" s="3032"/>
      <c r="AM153" s="3032"/>
      <c r="AN153" s="3551"/>
      <c r="AO153" s="3549">
        <f>IF(COUNTIF(Psíquicos!$AD$20:$AH$65,AB153),VALUE(INDEX('Tablas psiquica'!$AE153:$AN153,MATCH('Tablas psiquica'!$AD153,'Tablas psiquica'!$AE$6:$AN$6,0))),0)</f>
        <v>0</v>
      </c>
      <c r="AR153" s="332" t="s">
        <v>10177</v>
      </c>
    </row>
    <row r="154" spans="1:45">
      <c r="A154" s="702">
        <v>154</v>
      </c>
      <c r="B154" s="3503">
        <f>IF(OR(S154=0),0,SUM($S$6:S154))</f>
        <v>0</v>
      </c>
      <c r="C154" s="3032"/>
      <c r="D154" s="3507" t="s">
        <v>10238</v>
      </c>
      <c r="E154" s="3508" t="s">
        <v>10051</v>
      </c>
      <c r="F154" s="3079">
        <v>1</v>
      </c>
      <c r="G154" s="3079" t="s">
        <v>1241</v>
      </c>
      <c r="H154" s="3505" t="s">
        <v>1165</v>
      </c>
      <c r="I154" s="3573" t="s">
        <v>5407</v>
      </c>
      <c r="J154" s="3573" t="s">
        <v>5406</v>
      </c>
      <c r="K154" s="3573" t="s">
        <v>5386</v>
      </c>
      <c r="L154" s="3573" t="s">
        <v>3531</v>
      </c>
      <c r="M154" s="3573" t="s">
        <v>3247</v>
      </c>
      <c r="N154" s="3573" t="s">
        <v>3532</v>
      </c>
      <c r="O154" s="3573" t="s">
        <v>3533</v>
      </c>
      <c r="P154" s="3573" t="s">
        <v>3561</v>
      </c>
      <c r="Q154" s="3573" t="s">
        <v>10854</v>
      </c>
      <c r="R154" s="3573" t="s">
        <v>10855</v>
      </c>
      <c r="S154" s="3519">
        <f>IF(COUNTIF(Psíquicos!$C$26:$E$37,E154)=0,0,1)</f>
        <v>0</v>
      </c>
      <c r="T154" s="3518">
        <f>COUNTIF(Psíquicos!$V$20:$Z$73,'Tablas psiquica'!D154)</f>
        <v>0</v>
      </c>
      <c r="U154" s="3512"/>
      <c r="V154" s="3524"/>
      <c r="W154" s="4254" t="s">
        <v>13942</v>
      </c>
      <c r="X154" s="4255" t="s">
        <v>14052</v>
      </c>
      <c r="Y154" s="3512">
        <f t="shared" si="23"/>
        <v>0</v>
      </c>
      <c r="Z154" s="3502">
        <f t="shared" si="24"/>
        <v>0</v>
      </c>
      <c r="AB154" s="3558" t="s">
        <v>10284</v>
      </c>
      <c r="AC154" s="2746" t="str" cm="1">
        <f t="array" ref="AC154">INDEX($I$6:$R$6,SUMPRODUCT(ISNUMBER(SEARCH("Fatiga",I218:R218))*1)+1)</f>
        <v>MDF</v>
      </c>
      <c r="AD154" s="2746" t="str">
        <f>IFERROR(VLOOKUP(AB154,Psíquicos!$AD$11:$AK$67,8,FALSE),AC154)</f>
        <v>MDF</v>
      </c>
      <c r="AE154" s="3032"/>
      <c r="AF154" s="3032"/>
      <c r="AG154" s="3032"/>
      <c r="AH154" s="3032"/>
      <c r="AI154" s="3032"/>
      <c r="AJ154" s="3032"/>
      <c r="AK154" s="3032"/>
      <c r="AL154" s="3032"/>
      <c r="AM154" s="3032"/>
      <c r="AN154" s="3551"/>
      <c r="AO154" s="3549">
        <f>IF(COUNTIF(Psíquicos!$AD$20:$AH$65,AB154),VALUE(INDEX('Tablas psiquica'!$AE154:$AN154,MATCH('Tablas psiquica'!$AD154,'Tablas psiquica'!$AE$6:$AN$6,0))),0)</f>
        <v>0</v>
      </c>
      <c r="AR154" s="3602"/>
    </row>
    <row r="155" spans="1:45">
      <c r="A155" s="702">
        <v>155</v>
      </c>
      <c r="B155" s="3503">
        <f>IF(OR(S155=0),0,SUM($S$6:S155))</f>
        <v>0</v>
      </c>
      <c r="C155" s="3032"/>
      <c r="D155" s="3507" t="s">
        <v>10247</v>
      </c>
      <c r="E155" s="3508" t="s">
        <v>10051</v>
      </c>
      <c r="F155" s="3079">
        <v>1</v>
      </c>
      <c r="G155" s="3079" t="s">
        <v>2422</v>
      </c>
      <c r="H155" s="3505" t="s">
        <v>1166</v>
      </c>
      <c r="I155" s="3573" t="s">
        <v>5416</v>
      </c>
      <c r="J155" s="2744" t="s">
        <v>5408</v>
      </c>
      <c r="K155" s="2744" t="s">
        <v>5407</v>
      </c>
      <c r="L155" s="2744" t="s">
        <v>5406</v>
      </c>
      <c r="M155" s="2744" t="s">
        <v>11131</v>
      </c>
      <c r="N155" s="3573" t="s">
        <v>11132</v>
      </c>
      <c r="O155" s="3573" t="s">
        <v>11133</v>
      </c>
      <c r="P155" s="3573" t="s">
        <v>11134</v>
      </c>
      <c r="Q155" s="3573" t="s">
        <v>11135</v>
      </c>
      <c r="R155" s="3573" t="s">
        <v>11136</v>
      </c>
      <c r="S155" s="3519">
        <f>IF(COUNTIF(Psíquicos!$C$26:$E$37,E155)=0,0,1)</f>
        <v>0</v>
      </c>
      <c r="T155" s="3518">
        <f>COUNTIF(Psíquicos!$V$20:$Z$73,'Tablas psiquica'!D155)</f>
        <v>0</v>
      </c>
      <c r="U155" s="3512"/>
      <c r="V155" s="3524"/>
      <c r="W155" s="4254" t="s">
        <v>13942</v>
      </c>
      <c r="X155" s="4255" t="s">
        <v>14053</v>
      </c>
      <c r="Y155" s="3512">
        <f t="shared" si="23"/>
        <v>0</v>
      </c>
      <c r="Z155" s="3502">
        <f t="shared" si="24"/>
        <v>0</v>
      </c>
      <c r="AB155" s="3558" t="s">
        <v>11059</v>
      </c>
      <c r="AC155" s="2746" t="str" cm="1">
        <f t="array" ref="AC155">INDEX($I$6:$R$6,SUMPRODUCT(ISNUMBER(SEARCH("Fatiga",I219:R219))*1)+1)</f>
        <v>MDF</v>
      </c>
      <c r="AD155" s="2746" t="str">
        <f>IFERROR(VLOOKUP(AB155,Psíquicos!$AD$11:$AK$67,8,FALSE),AC155)</f>
        <v>MDF</v>
      </c>
      <c r="AE155" s="3032"/>
      <c r="AF155" s="3032"/>
      <c r="AG155" s="3032"/>
      <c r="AH155" s="3032"/>
      <c r="AI155" s="3032"/>
      <c r="AJ155" s="3032"/>
      <c r="AK155" s="3032"/>
      <c r="AL155" s="3032"/>
      <c r="AM155" s="3032"/>
      <c r="AN155" s="3551"/>
      <c r="AO155" s="3549">
        <f>IF(COUNTIF(Psíquicos!$AD$20:$AH$65,AB155),VALUE(INDEX('Tablas psiquica'!$AE155:$AN155,MATCH('Tablas psiquica'!$AD155,'Tablas psiquica'!$AE$6:$AN$6,0))),0)</f>
        <v>0</v>
      </c>
      <c r="AR155" s="3602" t="e">
        <f>VLOOKUP(Personalización!AF80,'Tablas psiquica'!AR7:AR145,1,FALSE)</f>
        <v>#N/A</v>
      </c>
    </row>
    <row r="156" spans="1:45">
      <c r="A156" s="702">
        <v>156</v>
      </c>
      <c r="B156" s="3503">
        <f>IF(OR(S156=0),0,SUM($S$6:S156))</f>
        <v>0</v>
      </c>
      <c r="C156" s="3032"/>
      <c r="D156" s="3507" t="s">
        <v>10255</v>
      </c>
      <c r="E156" s="3508" t="s">
        <v>10051</v>
      </c>
      <c r="F156" s="3079">
        <v>2</v>
      </c>
      <c r="G156" s="3079" t="s">
        <v>2422</v>
      </c>
      <c r="H156" s="3505" t="s">
        <v>1165</v>
      </c>
      <c r="I156" s="3573" t="s">
        <v>5408</v>
      </c>
      <c r="J156" s="3573" t="s">
        <v>5407</v>
      </c>
      <c r="K156" s="3573" t="s">
        <v>5406</v>
      </c>
      <c r="L156" s="3573" t="s">
        <v>5386</v>
      </c>
      <c r="M156" s="3574" t="s">
        <v>10856</v>
      </c>
      <c r="N156" s="3574" t="s">
        <v>10857</v>
      </c>
      <c r="O156" s="3574" t="s">
        <v>10858</v>
      </c>
      <c r="P156" s="3574" t="s">
        <v>10859</v>
      </c>
      <c r="Q156" s="3574" t="s">
        <v>10860</v>
      </c>
      <c r="R156" s="3574" t="s">
        <v>10861</v>
      </c>
      <c r="S156" s="3519">
        <f>IF(COUNTIF(Psíquicos!$C$26:$E$37,E156)=0,0,1)</f>
        <v>0</v>
      </c>
      <c r="T156" s="3518">
        <f>COUNTIF(Psíquicos!$V$20:$Z$73,'Tablas psiquica'!D156)</f>
        <v>0</v>
      </c>
      <c r="U156" s="3512"/>
      <c r="V156" s="3524"/>
      <c r="W156" s="4254" t="s">
        <v>13987</v>
      </c>
      <c r="X156" s="4257" t="s">
        <v>14054</v>
      </c>
      <c r="Y156" s="3512">
        <f t="shared" si="23"/>
        <v>0</v>
      </c>
      <c r="Z156" s="3502">
        <f t="shared" si="24"/>
        <v>0</v>
      </c>
      <c r="AB156" s="3558" t="s">
        <v>10285</v>
      </c>
      <c r="AC156" s="2746" t="str" cm="1">
        <f t="array" ref="AC156">INDEX($I$6:$R$6,SUMPRODUCT(ISNUMBER(SEARCH("Fatiga",I220:Q220))*1)+1)</f>
        <v>DIF</v>
      </c>
      <c r="AD156" s="2746" t="str">
        <f>IFERROR(VLOOKUP(AB156,Psíquicos!$AD$11:$AK$67,8,FALSE),AC156)</f>
        <v>DIF</v>
      </c>
      <c r="AE156" s="3032"/>
      <c r="AF156" s="3032"/>
      <c r="AG156" s="3032"/>
      <c r="AH156" s="3032"/>
      <c r="AI156" s="3032"/>
      <c r="AJ156" s="3032"/>
      <c r="AK156" s="3032"/>
      <c r="AL156" s="3032"/>
      <c r="AM156" s="3032"/>
      <c r="AN156" s="3551"/>
      <c r="AO156" s="3549">
        <f>IF(COUNTIF(Psíquicos!$AD$20:$AH$65,AB156),VALUE(INDEX('Tablas psiquica'!$AE156:$AN156,MATCH('Tablas psiquica'!$AD156,'Tablas psiquica'!$AE$6:$AN$6,0))),0)</f>
        <v>0</v>
      </c>
    </row>
    <row r="157" spans="1:45">
      <c r="A157" s="702">
        <v>157</v>
      </c>
      <c r="B157" s="3503">
        <f>IF(OR(S157=0),0,SUM($S$6:S157))</f>
        <v>0</v>
      </c>
      <c r="C157" s="3032"/>
      <c r="D157" s="3507" t="s">
        <v>10261</v>
      </c>
      <c r="E157" s="3508" t="s">
        <v>10051</v>
      </c>
      <c r="F157" s="3079">
        <v>2</v>
      </c>
      <c r="G157" s="3079" t="s">
        <v>2422</v>
      </c>
      <c r="H157" s="3505" t="s">
        <v>1165</v>
      </c>
      <c r="I157" s="2744" t="s">
        <v>5416</v>
      </c>
      <c r="J157" s="2744" t="s">
        <v>5408</v>
      </c>
      <c r="K157" s="2744" t="s">
        <v>5407</v>
      </c>
      <c r="L157" s="2744" t="s">
        <v>5406</v>
      </c>
      <c r="M157" s="3573" t="s">
        <v>10862</v>
      </c>
      <c r="N157" s="3573" t="s">
        <v>4479</v>
      </c>
      <c r="O157" s="3573" t="s">
        <v>3335</v>
      </c>
      <c r="P157" s="3573" t="s">
        <v>5478</v>
      </c>
      <c r="Q157" s="3573" t="s">
        <v>3336</v>
      </c>
      <c r="R157" s="3573" t="s">
        <v>3998</v>
      </c>
      <c r="S157" s="3519">
        <f>IF(COUNTIF(Psíquicos!$C$26:$E$37,E157)=0,0,1)</f>
        <v>0</v>
      </c>
      <c r="T157" s="3518">
        <f>COUNTIF(Psíquicos!$V$20:$Z$73,'Tablas psiquica'!D157)</f>
        <v>0</v>
      </c>
      <c r="U157" s="3512"/>
      <c r="V157" s="3524"/>
      <c r="W157" s="4254" t="s">
        <v>14055</v>
      </c>
      <c r="X157" s="4255" t="s">
        <v>14056</v>
      </c>
      <c r="Y157" s="3512">
        <f t="shared" si="23"/>
        <v>0</v>
      </c>
      <c r="Z157" s="3502">
        <f t="shared" si="24"/>
        <v>0</v>
      </c>
      <c r="AB157" s="3550" t="s">
        <v>11064</v>
      </c>
      <c r="AC157" s="2746"/>
      <c r="AD157" s="2746"/>
      <c r="AE157" s="3032"/>
      <c r="AF157" s="3032"/>
      <c r="AG157" s="3032"/>
      <c r="AH157" s="3032"/>
      <c r="AI157" s="3032"/>
      <c r="AJ157" s="3032"/>
      <c r="AK157" s="3032"/>
      <c r="AL157" s="3032"/>
      <c r="AM157" s="3032"/>
      <c r="AN157" s="3032"/>
      <c r="AO157" s="3549" t="e">
        <f>IF(COUNTIF(Psíquicos!$AD$20:$AH$65,AB157),VALUE(INDEX(AE157:AN157,MATCH(AD157,'Tablas psiquica'!$AE$6:$AN$6,0))),0)</f>
        <v>#N/A</v>
      </c>
    </row>
    <row r="158" spans="1:45">
      <c r="A158" s="702">
        <v>158</v>
      </c>
      <c r="B158" s="3503">
        <f>IF(OR(S158=0),0,SUM($S$6:S158))</f>
        <v>0</v>
      </c>
      <c r="C158" s="3032"/>
      <c r="D158" s="3507" t="s">
        <v>10269</v>
      </c>
      <c r="E158" s="3508" t="s">
        <v>10051</v>
      </c>
      <c r="F158" s="3079">
        <v>3</v>
      </c>
      <c r="G158" s="3079" t="s">
        <v>1241</v>
      </c>
      <c r="H158" s="3505" t="s">
        <v>1165</v>
      </c>
      <c r="I158" s="3573" t="s">
        <v>5417</v>
      </c>
      <c r="J158" s="3573" t="s">
        <v>5416</v>
      </c>
      <c r="K158" s="3573" t="s">
        <v>5408</v>
      </c>
      <c r="L158" s="3573" t="s">
        <v>5407</v>
      </c>
      <c r="M158" s="3573" t="s">
        <v>5406</v>
      </c>
      <c r="N158" s="3573" t="s">
        <v>11137</v>
      </c>
      <c r="O158" s="3573" t="s">
        <v>11138</v>
      </c>
      <c r="P158" s="3573" t="s">
        <v>11141</v>
      </c>
      <c r="Q158" s="3573" t="s">
        <v>11139</v>
      </c>
      <c r="R158" s="3573" t="s">
        <v>11140</v>
      </c>
      <c r="S158" s="3519">
        <f>IF(COUNTIF(Psíquicos!$C$26:$E$37,E158)=0,0,1)</f>
        <v>0</v>
      </c>
      <c r="T158" s="3518">
        <f>COUNTIF(Psíquicos!$V$20:$Z$73,'Tablas psiquica'!D158)</f>
        <v>0</v>
      </c>
      <c r="U158" s="3512"/>
      <c r="V158" s="3524"/>
      <c r="W158" s="4254" t="s">
        <v>14041</v>
      </c>
      <c r="X158" s="4255" t="s">
        <v>14057</v>
      </c>
      <c r="Y158" s="3512">
        <f t="shared" si="23"/>
        <v>0</v>
      </c>
      <c r="Z158" s="3502">
        <f t="shared" si="24"/>
        <v>0</v>
      </c>
      <c r="AB158" s="3506" t="s">
        <v>10296</v>
      </c>
      <c r="AC158" s="2746" t="str" cm="1">
        <f t="array" ref="AC158">INDEX($I$6:$R$6,SUMPRODUCT(ISNUMBER(SEARCH("Fatiga",I226:R226))*1)+1)</f>
        <v>ABS</v>
      </c>
      <c r="AD158" s="2746" t="str">
        <f>IFERROR(VLOOKUP(AC158,Psíquicos!$AD$11:$AK$67,8,FALSE),AC158)</f>
        <v>ABS</v>
      </c>
      <c r="AE158" s="3032"/>
      <c r="AF158" s="3032"/>
      <c r="AG158" s="3032"/>
      <c r="AH158" s="3032"/>
      <c r="AI158" s="3032"/>
      <c r="AJ158" s="3032"/>
      <c r="AK158" s="3032"/>
      <c r="AL158" s="3032"/>
      <c r="AM158" s="3032"/>
      <c r="AN158" s="3032"/>
      <c r="AO158" s="3549"/>
    </row>
    <row r="159" spans="1:45">
      <c r="A159" s="702">
        <v>159</v>
      </c>
      <c r="B159" s="3503">
        <f>IF(OR(S159=0),0,SUM($S$6:S159))</f>
        <v>0</v>
      </c>
      <c r="C159" s="3032"/>
      <c r="D159" s="3507" t="s">
        <v>10317</v>
      </c>
      <c r="E159" s="3508" t="s">
        <v>10051</v>
      </c>
      <c r="F159" s="3079">
        <v>3</v>
      </c>
      <c r="G159" s="3079" t="s">
        <v>2422</v>
      </c>
      <c r="H159" s="3505" t="s">
        <v>1165</v>
      </c>
      <c r="I159" s="3573" t="s">
        <v>5416</v>
      </c>
      <c r="J159" s="3573" t="s">
        <v>5408</v>
      </c>
      <c r="K159" s="3573" t="s">
        <v>5407</v>
      </c>
      <c r="L159" s="3573" t="s">
        <v>5406</v>
      </c>
      <c r="M159" s="3573" t="s">
        <v>5386</v>
      </c>
      <c r="N159" s="3573" t="s">
        <v>11142</v>
      </c>
      <c r="O159" s="3574" t="s">
        <v>11143</v>
      </c>
      <c r="P159" s="3574" t="s">
        <v>11144</v>
      </c>
      <c r="Q159" s="3574" t="s">
        <v>11145</v>
      </c>
      <c r="R159" s="3574" t="s">
        <v>11146</v>
      </c>
      <c r="S159" s="3519">
        <f>IF(COUNTIF(Psíquicos!$C$26:$E$37,E159)=0,0,1)</f>
        <v>0</v>
      </c>
      <c r="T159" s="3518">
        <f>COUNTIF(Psíquicos!$V$20:$Z$73,'Tablas psiquica'!D159)</f>
        <v>0</v>
      </c>
      <c r="U159" s="3512"/>
      <c r="V159" s="3524"/>
      <c r="W159" s="4254" t="s">
        <v>14041</v>
      </c>
      <c r="X159" s="4255" t="s">
        <v>14058</v>
      </c>
      <c r="Y159" s="3512">
        <f t="shared" si="23"/>
        <v>0</v>
      </c>
      <c r="Z159" s="3502">
        <f t="shared" si="24"/>
        <v>0</v>
      </c>
      <c r="AB159" s="3506" t="s">
        <v>10297</v>
      </c>
      <c r="AC159" s="2746" t="str" cm="1">
        <f t="array" ref="AC159">INDEX($I$6:$R$6,SUMPRODUCT(ISNUMBER(SEARCH("Fatiga",I227:R227))*1)+1)</f>
        <v>DIF</v>
      </c>
      <c r="AD159" s="2746" t="str">
        <f>IFERROR(VLOOKUP(AC159,Psíquicos!$AD$11:$AK$67,8,FALSE),AC159)</f>
        <v>DIF</v>
      </c>
      <c r="AE159" s="3032"/>
      <c r="AF159" s="3032"/>
      <c r="AG159" s="3032"/>
      <c r="AH159" s="3032"/>
      <c r="AI159" s="3032"/>
      <c r="AJ159" s="3032"/>
      <c r="AK159" s="3032"/>
      <c r="AL159" s="3032"/>
      <c r="AM159" s="3032"/>
      <c r="AN159" s="3032"/>
      <c r="AO159" s="3549"/>
    </row>
    <row r="160" spans="1:45">
      <c r="A160" s="702">
        <v>160</v>
      </c>
      <c r="B160" s="3503">
        <f>IF(OR(S160=0),0,SUM($S$6:S160))</f>
        <v>0</v>
      </c>
      <c r="C160" s="3032"/>
      <c r="D160" s="3507" t="s">
        <v>10863</v>
      </c>
      <c r="E160" s="3508"/>
      <c r="F160" s="3079"/>
      <c r="G160" s="3079"/>
      <c r="H160" s="3505"/>
      <c r="I160" s="3573"/>
      <c r="J160" s="3573"/>
      <c r="K160" s="3573"/>
      <c r="L160" s="3573"/>
      <c r="M160" s="3573"/>
      <c r="N160" s="3573"/>
      <c r="O160" s="3573"/>
      <c r="P160" s="3573"/>
      <c r="Q160" s="3573"/>
      <c r="R160" s="3573"/>
      <c r="S160" s="3518">
        <f>S161</f>
        <v>0</v>
      </c>
      <c r="T160" s="3518"/>
      <c r="U160" s="3512"/>
      <c r="V160" s="3524"/>
      <c r="W160" s="4254"/>
      <c r="X160" s="4255"/>
      <c r="Y160" s="3512">
        <f t="shared" si="23"/>
        <v>0</v>
      </c>
      <c r="Z160" s="3502">
        <f t="shared" si="24"/>
        <v>0</v>
      </c>
      <c r="AB160" s="3506" t="s">
        <v>10298</v>
      </c>
      <c r="AC160" s="2746" t="str" cm="1">
        <f t="array" ref="AC160">INDEX($I$6:$R$6,SUMPRODUCT(ISNUMBER(SEARCH("Fatiga",I228:R228))*1)+1)</f>
        <v>MDF</v>
      </c>
      <c r="AD160" s="2746" t="str">
        <f>IFERROR(VLOOKUP(AC160,Psíquicos!$AD$11:$AK$67,8,FALSE),AC160)</f>
        <v>MDF</v>
      </c>
      <c r="AE160" s="3032"/>
      <c r="AF160" s="3032"/>
      <c r="AG160" s="3032"/>
      <c r="AH160" s="3032"/>
      <c r="AI160" s="3032"/>
      <c r="AJ160" s="3032"/>
      <c r="AK160" s="3032"/>
      <c r="AL160" s="3032"/>
      <c r="AM160" s="3032"/>
      <c r="AN160" s="3032"/>
      <c r="AO160" s="3549"/>
    </row>
    <row r="161" spans="1:41">
      <c r="A161" s="702">
        <v>161</v>
      </c>
      <c r="B161" s="3503">
        <f>IF(OR(S161=0),0,SUM($S$6:S161))</f>
        <v>0</v>
      </c>
      <c r="C161" s="3032"/>
      <c r="D161" s="3507" t="s">
        <v>10223</v>
      </c>
      <c r="E161" s="3508" t="s">
        <v>10052</v>
      </c>
      <c r="F161" s="3079">
        <v>1</v>
      </c>
      <c r="G161" s="3079" t="s">
        <v>1241</v>
      </c>
      <c r="H161" s="3505" t="s">
        <v>1165</v>
      </c>
      <c r="I161" s="3573" t="s">
        <v>5386</v>
      </c>
      <c r="J161" s="3573" t="s">
        <v>5387</v>
      </c>
      <c r="K161" s="3573" t="s">
        <v>11317</v>
      </c>
      <c r="L161" s="3573" t="s">
        <v>11316</v>
      </c>
      <c r="M161" s="3573" t="s">
        <v>11318</v>
      </c>
      <c r="N161" s="3573" t="s">
        <v>11319</v>
      </c>
      <c r="O161" s="3573" t="s">
        <v>11320</v>
      </c>
      <c r="P161" s="3573" t="s">
        <v>11321</v>
      </c>
      <c r="Q161" s="3573" t="s">
        <v>11322</v>
      </c>
      <c r="R161" s="3573" t="s">
        <v>11323</v>
      </c>
      <c r="S161" s="3519">
        <f>IF(COUNTIF(Psíquicos!$C$26:$E$37,E161)=0,0,1)</f>
        <v>0</v>
      </c>
      <c r="T161" s="3518">
        <f>COUNTIF(Psíquicos!$V$20:$Z$73,'Tablas psiquica'!D161)</f>
        <v>0</v>
      </c>
      <c r="U161" s="3512"/>
      <c r="V161" s="3524"/>
      <c r="W161" s="4254" t="s">
        <v>13988</v>
      </c>
      <c r="X161" s="4255" t="s">
        <v>14059</v>
      </c>
      <c r="Y161" s="3512">
        <f t="shared" si="23"/>
        <v>0</v>
      </c>
      <c r="Z161" s="3502">
        <f t="shared" si="24"/>
        <v>0</v>
      </c>
      <c r="AB161" s="3506" t="s">
        <v>218</v>
      </c>
      <c r="AC161" s="2746" t="str" cm="1">
        <f t="array" ref="AC161">INDEX($I$6:$R$6,SUMPRODUCT(ISNUMBER(SEARCH("Fatiga",I229:R229))*1)+1)</f>
        <v>MDF</v>
      </c>
      <c r="AD161" s="2746" t="str">
        <f>IFERROR(VLOOKUP(AC161,Psíquicos!$AD$11:$AK$67,8,FALSE),AC161)</f>
        <v>MDF</v>
      </c>
      <c r="AE161" s="3032"/>
      <c r="AF161" s="3032"/>
      <c r="AG161" s="3032"/>
      <c r="AH161" s="3032"/>
      <c r="AI161" s="3032"/>
      <c r="AJ161" s="3032"/>
      <c r="AK161" s="3032"/>
      <c r="AL161" s="3032"/>
      <c r="AM161" s="3032"/>
      <c r="AN161" s="3032"/>
      <c r="AO161" s="3549"/>
    </row>
    <row r="162" spans="1:41">
      <c r="A162" s="702">
        <v>162</v>
      </c>
      <c r="B162" s="3503">
        <f>IF(OR(S162=0),0,SUM($S$6:S162))</f>
        <v>0</v>
      </c>
      <c r="C162" s="3032"/>
      <c r="D162" s="3507" t="s">
        <v>10231</v>
      </c>
      <c r="E162" s="3508" t="s">
        <v>10052</v>
      </c>
      <c r="F162" s="3079">
        <v>1</v>
      </c>
      <c r="G162" s="3079" t="s">
        <v>2422</v>
      </c>
      <c r="H162" s="3505" t="s">
        <v>1166</v>
      </c>
      <c r="I162" s="3573" t="s">
        <v>5407</v>
      </c>
      <c r="J162" s="3573" t="s">
        <v>5406</v>
      </c>
      <c r="K162" s="3573" t="s">
        <v>5386</v>
      </c>
      <c r="L162" s="3573" t="s">
        <v>10864</v>
      </c>
      <c r="M162" s="3573" t="s">
        <v>10865</v>
      </c>
      <c r="N162" s="3573" t="s">
        <v>10866</v>
      </c>
      <c r="O162" s="3573" t="s">
        <v>10867</v>
      </c>
      <c r="P162" s="3573" t="s">
        <v>11324</v>
      </c>
      <c r="Q162" s="3573" t="s">
        <v>11325</v>
      </c>
      <c r="R162" s="3573" t="s">
        <v>11326</v>
      </c>
      <c r="S162" s="3519">
        <f>IF(COUNTIF(Psíquicos!$C$26:$E$37,E162)=0,0,1)</f>
        <v>0</v>
      </c>
      <c r="T162" s="3518">
        <f>COUNTIF(Psíquicos!$V$20:$Z$73,'Tablas psiquica'!D162)</f>
        <v>0</v>
      </c>
      <c r="U162" s="3512"/>
      <c r="V162" s="3524">
        <v>1</v>
      </c>
      <c r="W162" s="4254" t="s">
        <v>13952</v>
      </c>
      <c r="X162" s="4255" t="s">
        <v>14060</v>
      </c>
      <c r="Y162" s="3512">
        <f t="shared" si="23"/>
        <v>0</v>
      </c>
      <c r="Z162" s="3502">
        <f t="shared" si="24"/>
        <v>1</v>
      </c>
      <c r="AB162" s="3506" t="s">
        <v>10299</v>
      </c>
      <c r="AC162" s="2746" t="str" cm="1">
        <f t="array" ref="AC162">INDEX($I$6:$R$6,SUMPRODUCT(ISNUMBER(SEARCH("Fatiga",I230:R230))*1)+1)</f>
        <v>MDF</v>
      </c>
      <c r="AD162" s="2746" t="str">
        <f>IFERROR(VLOOKUP(AC162,Psíquicos!$AD$11:$AK$67,8,FALSE),AC162)</f>
        <v>MDF</v>
      </c>
      <c r="AE162" s="3032"/>
      <c r="AF162" s="3032"/>
      <c r="AG162" s="3032"/>
      <c r="AH162" s="3032"/>
      <c r="AI162" s="3032"/>
      <c r="AJ162" s="3032"/>
      <c r="AK162" s="3032"/>
      <c r="AL162" s="3032"/>
      <c r="AM162" s="3032"/>
      <c r="AN162" s="3032"/>
      <c r="AO162" s="3549"/>
    </row>
    <row r="163" spans="1:41">
      <c r="A163" s="702">
        <v>163</v>
      </c>
      <c r="B163" s="3503">
        <f>IF(OR(S163=0),0,SUM($S$6:S163))</f>
        <v>0</v>
      </c>
      <c r="C163" s="3032"/>
      <c r="D163" s="3507" t="s">
        <v>10239</v>
      </c>
      <c r="E163" s="3508" t="s">
        <v>10052</v>
      </c>
      <c r="F163" s="3079">
        <v>2</v>
      </c>
      <c r="G163" s="3079" t="s">
        <v>1241</v>
      </c>
      <c r="H163" s="3505" t="s">
        <v>1165</v>
      </c>
      <c r="I163" s="2744" t="s">
        <v>5416</v>
      </c>
      <c r="J163" s="2744" t="s">
        <v>5408</v>
      </c>
      <c r="K163" s="2744" t="s">
        <v>5407</v>
      </c>
      <c r="L163" s="2744" t="s">
        <v>5406</v>
      </c>
      <c r="M163" s="2744" t="s">
        <v>5386</v>
      </c>
      <c r="N163" s="3574" t="s">
        <v>11335</v>
      </c>
      <c r="O163" s="3574" t="s">
        <v>11350</v>
      </c>
      <c r="P163" s="3574" t="s">
        <v>11379</v>
      </c>
      <c r="Q163" s="3574" t="s">
        <v>11408</v>
      </c>
      <c r="R163" s="3574" t="s">
        <v>11327</v>
      </c>
      <c r="S163" s="3519">
        <f>IF(COUNTIF(Psíquicos!$C$26:$E$37,E163)=0,0,1)</f>
        <v>0</v>
      </c>
      <c r="T163" s="3518">
        <f>COUNTIF(Psíquicos!$V$20:$Z$73,'Tablas psiquica'!D163)</f>
        <v>0</v>
      </c>
      <c r="U163" s="3512"/>
      <c r="V163" s="3524"/>
      <c r="W163" s="4254" t="s">
        <v>14000</v>
      </c>
      <c r="X163" s="4257" t="s">
        <v>14061</v>
      </c>
      <c r="Y163" s="3512">
        <f t="shared" si="23"/>
        <v>0</v>
      </c>
      <c r="Z163" s="3502">
        <f t="shared" si="24"/>
        <v>0</v>
      </c>
      <c r="AB163" s="3506" t="s">
        <v>10302</v>
      </c>
      <c r="AC163" s="2746" t="str" cm="1">
        <f t="array" ref="AC163">INDEX($I$6:$R$6,SUMPRODUCT(ISNUMBER(SEARCH("Fatiga",I233:R233))*1)+1)</f>
        <v>DIF</v>
      </c>
      <c r="AD163" s="2746" t="str">
        <f>IFERROR(VLOOKUP(AC163,Psíquicos!$AD$11:$AK$67,8,FALSE),AC163)</f>
        <v>DIF</v>
      </c>
      <c r="AE163" s="3032"/>
      <c r="AF163" s="3032"/>
      <c r="AG163" s="3032"/>
      <c r="AH163" s="3032"/>
      <c r="AI163" s="3032"/>
      <c r="AJ163" s="3032"/>
      <c r="AK163" s="3032"/>
      <c r="AL163" s="3032"/>
      <c r="AM163" s="3032"/>
      <c r="AN163" s="3032"/>
      <c r="AO163" s="3549"/>
    </row>
    <row r="164" spans="1:41">
      <c r="A164" s="702">
        <v>164</v>
      </c>
      <c r="B164" s="3503">
        <f>IF(OR(S164=0),0,SUM($S$6:S164))</f>
        <v>0</v>
      </c>
      <c r="C164" s="3032"/>
      <c r="D164" s="3507" t="s">
        <v>10248</v>
      </c>
      <c r="E164" s="3508" t="s">
        <v>10052</v>
      </c>
      <c r="F164" s="3079">
        <v>2</v>
      </c>
      <c r="G164" s="3079" t="s">
        <v>2422</v>
      </c>
      <c r="H164" s="3505" t="s">
        <v>1165</v>
      </c>
      <c r="I164" s="2744" t="s">
        <v>5416</v>
      </c>
      <c r="J164" s="2744" t="s">
        <v>5408</v>
      </c>
      <c r="K164" s="2744" t="s">
        <v>5407</v>
      </c>
      <c r="L164" s="2744" t="s">
        <v>5406</v>
      </c>
      <c r="M164" s="3574" t="s">
        <v>11409</v>
      </c>
      <c r="N164" s="3574" t="s">
        <v>11410</v>
      </c>
      <c r="O164" s="3574" t="s">
        <v>11411</v>
      </c>
      <c r="P164" s="3574" t="s">
        <v>10868</v>
      </c>
      <c r="Q164" s="3574" t="s">
        <v>10869</v>
      </c>
      <c r="R164" s="3574" t="s">
        <v>10870</v>
      </c>
      <c r="S164" s="3519">
        <f>IF(COUNTIF(Psíquicos!$C$26:$E$37,E164)=0,0,1)</f>
        <v>0</v>
      </c>
      <c r="T164" s="3518">
        <f>COUNTIF(Psíquicos!$V$20:$Z$73,'Tablas psiquica'!D164)</f>
        <v>0</v>
      </c>
      <c r="U164" s="3512"/>
      <c r="V164" s="3524"/>
      <c r="W164" s="4254" t="s">
        <v>13942</v>
      </c>
      <c r="X164" s="4257" t="s">
        <v>14062</v>
      </c>
      <c r="Y164" s="3512">
        <f t="shared" si="23"/>
        <v>0</v>
      </c>
      <c r="Z164" s="3502">
        <f t="shared" si="24"/>
        <v>0</v>
      </c>
      <c r="AB164" s="3506" t="s">
        <v>10303</v>
      </c>
      <c r="AC164" s="2746" t="str" cm="1">
        <f t="array" ref="AC164">INDEX($I$6:$R$6,SUMPRODUCT(ISNUMBER(SEARCH("Fatiga",I234:R234))*1)+1)</f>
        <v>MDF</v>
      </c>
      <c r="AD164" s="2746" t="str">
        <f>IFERROR(VLOOKUP(AC164,Psíquicos!$AD$11:$AK$67,8,FALSE),AC164)</f>
        <v>MDF</v>
      </c>
      <c r="AE164" s="3032"/>
      <c r="AF164" s="3032"/>
      <c r="AG164" s="3032"/>
      <c r="AH164" s="3032"/>
      <c r="AI164" s="3032"/>
      <c r="AJ164" s="3032"/>
      <c r="AK164" s="3032"/>
      <c r="AL164" s="3032"/>
      <c r="AM164" s="3032"/>
      <c r="AN164" s="3032"/>
      <c r="AO164" s="3549"/>
    </row>
    <row r="165" spans="1:41">
      <c r="A165" s="702">
        <v>165</v>
      </c>
      <c r="B165" s="3503">
        <f>IF(OR(S165=0),0,SUM($S$6:S165))</f>
        <v>0</v>
      </c>
      <c r="C165" s="3032"/>
      <c r="D165" s="3507" t="s">
        <v>10256</v>
      </c>
      <c r="E165" s="3508" t="s">
        <v>10052</v>
      </c>
      <c r="F165" s="3079">
        <v>2</v>
      </c>
      <c r="G165" s="3079" t="s">
        <v>2422</v>
      </c>
      <c r="H165" s="3505" t="s">
        <v>1165</v>
      </c>
      <c r="I165" s="2744" t="s">
        <v>5417</v>
      </c>
      <c r="J165" s="2744" t="s">
        <v>5416</v>
      </c>
      <c r="K165" s="2744" t="s">
        <v>5408</v>
      </c>
      <c r="L165" s="2744" t="s">
        <v>5407</v>
      </c>
      <c r="M165" s="2744" t="s">
        <v>5406</v>
      </c>
      <c r="N165" s="3573" t="s">
        <v>5418</v>
      </c>
      <c r="O165" s="3573" t="s">
        <v>5728</v>
      </c>
      <c r="P165" s="3573" t="s">
        <v>11412</v>
      </c>
      <c r="Q165" s="3573" t="s">
        <v>11413</v>
      </c>
      <c r="R165" s="3573" t="s">
        <v>11414</v>
      </c>
      <c r="S165" s="3519">
        <f>IF(COUNTIF(Psíquicos!$C$26:$E$37,E165)=0,0,1)</f>
        <v>0</v>
      </c>
      <c r="T165" s="3518">
        <f>COUNTIF(Psíquicos!$V$20:$Z$73,'Tablas psiquica'!D165)</f>
        <v>0</v>
      </c>
      <c r="U165" s="3512"/>
      <c r="V165" s="3524"/>
      <c r="W165" s="4254" t="s">
        <v>14041</v>
      </c>
      <c r="X165" s="4257" t="s">
        <v>14063</v>
      </c>
      <c r="Y165" s="3512">
        <f t="shared" si="23"/>
        <v>0</v>
      </c>
      <c r="Z165" s="3502">
        <f t="shared" si="24"/>
        <v>0</v>
      </c>
      <c r="AB165" s="3506" t="s">
        <v>10305</v>
      </c>
      <c r="AC165" s="2746" t="str" cm="1">
        <f t="array" ref="AC165">INDEX($I$6:$R$6,SUMPRODUCT(ISNUMBER(SEARCH("Fatiga",I236:R236))*1)+1)</f>
        <v>ABS</v>
      </c>
      <c r="AD165" s="2746" t="str">
        <f>IFERROR(VLOOKUP(AC165,Psíquicos!$AD$11:$AK$67,8,FALSE),AC165)</f>
        <v>ABS</v>
      </c>
      <c r="AE165" s="3032"/>
      <c r="AF165" s="3032"/>
      <c r="AG165" s="3032"/>
      <c r="AH165" s="3032"/>
      <c r="AI165" s="3032"/>
      <c r="AJ165" s="3032"/>
      <c r="AK165" s="3032"/>
      <c r="AL165" s="3032"/>
      <c r="AM165" s="3032"/>
      <c r="AN165" s="3032"/>
      <c r="AO165" s="3549"/>
    </row>
    <row r="166" spans="1:41">
      <c r="A166" s="702">
        <v>166</v>
      </c>
      <c r="B166" s="3503">
        <f>IF(OR(S166=0),0,SUM($S$6:S166))</f>
        <v>0</v>
      </c>
      <c r="C166" s="3032"/>
      <c r="D166" s="3507" t="s">
        <v>10262</v>
      </c>
      <c r="E166" s="3508" t="s">
        <v>10052</v>
      </c>
      <c r="F166" s="3079">
        <v>3</v>
      </c>
      <c r="G166" s="3079" t="s">
        <v>1241</v>
      </c>
      <c r="H166" s="3505" t="s">
        <v>1165</v>
      </c>
      <c r="I166" s="2744" t="s">
        <v>5472</v>
      </c>
      <c r="J166" s="2744" t="s">
        <v>10871</v>
      </c>
      <c r="K166" s="2744" t="s">
        <v>5417</v>
      </c>
      <c r="L166" s="2744" t="s">
        <v>5416</v>
      </c>
      <c r="M166" s="2744" t="s">
        <v>5408</v>
      </c>
      <c r="N166" s="3573" t="s">
        <v>5407</v>
      </c>
      <c r="O166" s="3573" t="s">
        <v>11418</v>
      </c>
      <c r="P166" s="3573" t="s">
        <v>11417</v>
      </c>
      <c r="Q166" s="3573" t="s">
        <v>11416</v>
      </c>
      <c r="R166" s="3573" t="s">
        <v>11415</v>
      </c>
      <c r="S166" s="3519">
        <f>IF(COUNTIF(Psíquicos!$C$26:$E$37,E166)=0,0,1)</f>
        <v>0</v>
      </c>
      <c r="T166" s="3518">
        <f>COUNTIF(Psíquicos!$V$20:$Z$73,'Tablas psiquica'!D166)</f>
        <v>0</v>
      </c>
      <c r="U166" s="3512"/>
      <c r="V166" s="3524"/>
      <c r="W166" s="4254" t="s">
        <v>13996</v>
      </c>
      <c r="X166" s="4255" t="s">
        <v>14064</v>
      </c>
      <c r="Y166" s="3512">
        <f t="shared" si="23"/>
        <v>0</v>
      </c>
      <c r="Z166" s="3502">
        <f t="shared" si="24"/>
        <v>0</v>
      </c>
      <c r="AB166" s="3506" t="s">
        <v>10307</v>
      </c>
      <c r="AC166" s="2746" t="str" cm="1">
        <f t="array" ref="AC166">INDEX($I$6:$R$6,SUMPRODUCT(ISNUMBER(SEARCH("Fatiga",I238:R238))*1)+1)</f>
        <v>ABS</v>
      </c>
      <c r="AD166" s="2746" t="str">
        <f>IFERROR(VLOOKUP(AC166,Psíquicos!$AD$11:$AK$67,8,FALSE),AC166)</f>
        <v>ABS</v>
      </c>
      <c r="AE166" s="3032"/>
      <c r="AF166" s="3032"/>
      <c r="AG166" s="3032"/>
      <c r="AH166" s="3032"/>
      <c r="AI166" s="3032"/>
      <c r="AJ166" s="3032"/>
      <c r="AK166" s="3032"/>
      <c r="AL166" s="3032"/>
      <c r="AM166" s="3032"/>
      <c r="AN166" s="3032"/>
      <c r="AO166" s="3549"/>
    </row>
    <row r="167" spans="1:41">
      <c r="A167" s="702">
        <v>167</v>
      </c>
      <c r="B167" s="3503">
        <f>IF(OR(S167=0),0,SUM($S$6:S167))</f>
        <v>0</v>
      </c>
      <c r="C167" s="3032"/>
      <c r="D167" s="3507" t="s">
        <v>10270</v>
      </c>
      <c r="E167" s="3508" t="s">
        <v>10052</v>
      </c>
      <c r="F167" s="3079">
        <v>3</v>
      </c>
      <c r="G167" s="3079" t="s">
        <v>1241</v>
      </c>
      <c r="H167" s="3505" t="s">
        <v>1165</v>
      </c>
      <c r="I167" s="3573" t="s">
        <v>5472</v>
      </c>
      <c r="J167" s="3573" t="s">
        <v>5473</v>
      </c>
      <c r="K167" s="3573" t="s">
        <v>10872</v>
      </c>
      <c r="L167" s="3573" t="s">
        <v>5417</v>
      </c>
      <c r="M167" s="3573" t="s">
        <v>5416</v>
      </c>
      <c r="N167" s="3573" t="s">
        <v>5408</v>
      </c>
      <c r="O167" s="3573" t="s">
        <v>5407</v>
      </c>
      <c r="P167" s="3573" t="s">
        <v>11419</v>
      </c>
      <c r="Q167" s="3573" t="s">
        <v>11421</v>
      </c>
      <c r="R167" s="3573" t="s">
        <v>11420</v>
      </c>
      <c r="S167" s="3519">
        <f>IF(COUNTIF(Psíquicos!$C$26:$E$37,E167)=0,0,1)</f>
        <v>0</v>
      </c>
      <c r="T167" s="3518">
        <f>COUNTIF(Psíquicos!$V$20:$Z$73,'Tablas psiquica'!D167)</f>
        <v>0</v>
      </c>
      <c r="U167" s="3512"/>
      <c r="V167" s="3524"/>
      <c r="W167" s="4254" t="s">
        <v>13942</v>
      </c>
      <c r="X167" s="4255" t="s">
        <v>14059</v>
      </c>
      <c r="Y167" s="3512">
        <f t="shared" si="23"/>
        <v>0</v>
      </c>
      <c r="Z167" s="3502">
        <f t="shared" si="24"/>
        <v>0</v>
      </c>
      <c r="AB167" s="3506" t="s">
        <v>10309</v>
      </c>
      <c r="AC167" s="2746" t="str" cm="1">
        <f t="array" ref="AC167">INDEX($I$6:$R$6,SUMPRODUCT(ISNUMBER(SEARCH("Fatiga",I240:R240))*1)+1)</f>
        <v>IMP</v>
      </c>
      <c r="AD167" s="2746" t="str">
        <f>IFERROR(VLOOKUP(AC167,Psíquicos!$AD$11:$AK$67,8,FALSE),AC167)</f>
        <v>IMP</v>
      </c>
      <c r="AE167" s="3032"/>
      <c r="AF167" s="3032"/>
      <c r="AG167" s="3032"/>
      <c r="AH167" s="3032"/>
      <c r="AI167" s="3032"/>
      <c r="AJ167" s="3032"/>
      <c r="AK167" s="3032"/>
      <c r="AL167" s="3032"/>
      <c r="AM167" s="3032"/>
      <c r="AN167" s="3032"/>
      <c r="AO167" s="3549"/>
    </row>
    <row r="168" spans="1:41">
      <c r="A168" s="702">
        <v>168</v>
      </c>
      <c r="B168" s="3503">
        <f>IF(OR(S168=0),0,SUM($S$6:S168))</f>
        <v>0</v>
      </c>
      <c r="C168" s="3032"/>
      <c r="D168" s="3507" t="s">
        <v>11060</v>
      </c>
      <c r="E168" s="3508"/>
      <c r="F168" s="3079"/>
      <c r="G168" s="3079"/>
      <c r="H168" s="3505"/>
      <c r="I168" s="3573"/>
      <c r="J168" s="3573"/>
      <c r="K168" s="3573"/>
      <c r="L168" s="3573"/>
      <c r="M168" s="3573"/>
      <c r="N168" s="3573"/>
      <c r="O168" s="3573"/>
      <c r="P168" s="3573"/>
      <c r="Q168" s="3573"/>
      <c r="R168" s="3573"/>
      <c r="S168" s="3518">
        <f>S169</f>
        <v>0</v>
      </c>
      <c r="T168" s="3518"/>
      <c r="U168" s="3512"/>
      <c r="V168" s="3524"/>
      <c r="W168" s="4254"/>
      <c r="X168" s="4255"/>
      <c r="Y168" s="3512">
        <f t="shared" si="23"/>
        <v>0</v>
      </c>
      <c r="Z168" s="3502">
        <f t="shared" si="24"/>
        <v>0</v>
      </c>
      <c r="AB168" s="3506" t="s">
        <v>10312</v>
      </c>
      <c r="AC168" s="2746" t="str" cm="1">
        <f t="array" ref="AC168">INDEX($I$6:$R$6,SUMPRODUCT(ISNUMBER(SEARCH("Fatiga",I244:R244))*1)+1)</f>
        <v>MED</v>
      </c>
      <c r="AD168" s="2746" t="str">
        <f>IFERROR(VLOOKUP(AC168,Psíquicos!$AD$11:$AK$67,8,FALSE),AC168)</f>
        <v>MED</v>
      </c>
      <c r="AE168" s="3032"/>
      <c r="AF168" s="3032"/>
      <c r="AG168" s="3032"/>
      <c r="AH168" s="3032"/>
      <c r="AI168" s="3032"/>
      <c r="AJ168" s="3032"/>
      <c r="AK168" s="3032"/>
      <c r="AL168" s="3032"/>
      <c r="AM168" s="3032"/>
      <c r="AN168" s="3032"/>
      <c r="AO168" s="3549"/>
    </row>
    <row r="169" spans="1:41">
      <c r="A169" s="702">
        <v>169</v>
      </c>
      <c r="B169" s="3503">
        <f>IF(OR(S169=0),0,SUM($S$6:S169))</f>
        <v>0</v>
      </c>
      <c r="C169" s="3032"/>
      <c r="D169" s="3507" t="s">
        <v>10224</v>
      </c>
      <c r="E169" s="3508" t="s">
        <v>10062</v>
      </c>
      <c r="F169" s="3079">
        <v>1</v>
      </c>
      <c r="G169" s="3079" t="s">
        <v>1241</v>
      </c>
      <c r="H169" s="3505" t="s">
        <v>1165</v>
      </c>
      <c r="I169" s="3573" t="s">
        <v>5407</v>
      </c>
      <c r="J169" s="3573" t="s">
        <v>5406</v>
      </c>
      <c r="K169" s="3573" t="s">
        <v>5386</v>
      </c>
      <c r="L169" s="3573" t="s">
        <v>11422</v>
      </c>
      <c r="M169" s="3573" t="s">
        <v>11423</v>
      </c>
      <c r="N169" s="3573" t="s">
        <v>11424</v>
      </c>
      <c r="O169" s="3573" t="s">
        <v>11425</v>
      </c>
      <c r="P169" s="3573" t="s">
        <v>11426</v>
      </c>
      <c r="Q169" s="3573" t="s">
        <v>11427</v>
      </c>
      <c r="R169" s="3573" t="s">
        <v>11428</v>
      </c>
      <c r="S169" s="3519">
        <f>IF(COUNTIF(Psíquicos!$C$26:$E$37,E169)=0,0,1)</f>
        <v>0</v>
      </c>
      <c r="T169" s="3518">
        <f>COUNTIF(Psíquicos!$V$20:$Z$73,'Tablas psiquica'!D169)</f>
        <v>0</v>
      </c>
      <c r="U169" s="3512"/>
      <c r="V169" s="3524"/>
      <c r="W169" s="4254" t="s">
        <v>14000</v>
      </c>
      <c r="X169" s="4255" t="s">
        <v>14065</v>
      </c>
      <c r="Y169" s="3512">
        <f t="shared" si="23"/>
        <v>0</v>
      </c>
      <c r="Z169" s="3502">
        <f t="shared" si="24"/>
        <v>0</v>
      </c>
      <c r="AB169" s="3506" t="s">
        <v>9358</v>
      </c>
      <c r="AC169" s="2746" t="str" cm="1">
        <f t="array" ref="AC169">INDEX($I$6:$R$6,SUMPRODUCT(ISNUMBER(SEARCH("Fatiga",I247:R247))*1)+1)</f>
        <v>DIF</v>
      </c>
      <c r="AD169" s="2746" t="str">
        <f>IFERROR(VLOOKUP(AC169,Psíquicos!$AD$11:$AK$67,8,FALSE),AC169)</f>
        <v>DIF</v>
      </c>
      <c r="AE169" s="3032"/>
      <c r="AF169" s="3032"/>
      <c r="AG169" s="3032"/>
      <c r="AH169" s="3032"/>
      <c r="AI169" s="3032"/>
      <c r="AJ169" s="3032"/>
      <c r="AK169" s="3032"/>
      <c r="AL169" s="3032"/>
      <c r="AM169" s="3032"/>
      <c r="AN169" s="3032"/>
      <c r="AO169" s="3549"/>
    </row>
    <row r="170" spans="1:41">
      <c r="A170" s="702">
        <v>170</v>
      </c>
      <c r="B170" s="3503">
        <f>IF(OR(S170=0),0,SUM($S$6:S170))</f>
        <v>0</v>
      </c>
      <c r="C170" s="3032"/>
      <c r="D170" s="3507" t="s">
        <v>10232</v>
      </c>
      <c r="E170" s="3508" t="s">
        <v>10062</v>
      </c>
      <c r="F170" s="3079">
        <v>1</v>
      </c>
      <c r="G170" s="3079" t="s">
        <v>2422</v>
      </c>
      <c r="H170" s="3505" t="s">
        <v>1165</v>
      </c>
      <c r="I170" s="3573" t="s">
        <v>5407</v>
      </c>
      <c r="J170" s="3573" t="s">
        <v>5406</v>
      </c>
      <c r="K170" s="3573" t="s">
        <v>5386</v>
      </c>
      <c r="L170" s="3573" t="s">
        <v>5418</v>
      </c>
      <c r="M170" s="3573" t="s">
        <v>5728</v>
      </c>
      <c r="N170" s="3573" t="s">
        <v>5660</v>
      </c>
      <c r="O170" s="3573" t="s">
        <v>5396</v>
      </c>
      <c r="P170" s="3573" t="s">
        <v>11429</v>
      </c>
      <c r="Q170" s="3573" t="s">
        <v>5397</v>
      </c>
      <c r="R170" s="3573" t="s">
        <v>5652</v>
      </c>
      <c r="S170" s="3519">
        <f>IF(COUNTIF(Psíquicos!$C$26:$E$37,E170)=0,0,1)</f>
        <v>0</v>
      </c>
      <c r="T170" s="3518">
        <f>COUNTIF(Psíquicos!$V$20:$Z$73,'Tablas psiquica'!D170)</f>
        <v>0</v>
      </c>
      <c r="U170" s="3512"/>
      <c r="V170" s="3524"/>
      <c r="W170" s="4254" t="s">
        <v>13952</v>
      </c>
      <c r="X170" s="4255" t="s">
        <v>14066</v>
      </c>
      <c r="Y170" s="3512">
        <f t="shared" si="23"/>
        <v>0</v>
      </c>
      <c r="Z170" s="3502">
        <f t="shared" si="24"/>
        <v>0</v>
      </c>
      <c r="AB170" s="3506" t="s">
        <v>10315</v>
      </c>
      <c r="AC170" s="2746" t="str" cm="1">
        <f t="array" ref="AC170">INDEX($I$6:$R$6,SUMPRODUCT(ISNUMBER(SEARCH("Fatiga",I250:R250))*1)+1)</f>
        <v>MED</v>
      </c>
      <c r="AD170" s="2746" t="str">
        <f>IFERROR(VLOOKUP(AC170,Psíquicos!$AD$11:$AK$67,8,FALSE),AC170)</f>
        <v>MED</v>
      </c>
      <c r="AE170" s="3032"/>
      <c r="AF170" s="3032"/>
      <c r="AG170" s="3032"/>
      <c r="AH170" s="3032"/>
      <c r="AI170" s="3032"/>
      <c r="AJ170" s="3032"/>
      <c r="AK170" s="3032"/>
      <c r="AL170" s="3032"/>
      <c r="AM170" s="3032"/>
      <c r="AN170" s="3032"/>
      <c r="AO170" s="3549"/>
    </row>
    <row r="171" spans="1:41">
      <c r="A171" s="702">
        <v>171</v>
      </c>
      <c r="B171" s="3503">
        <f>IF(OR(S171=0),0,SUM($S$6:S171))</f>
        <v>0</v>
      </c>
      <c r="C171" s="3032"/>
      <c r="D171" s="3507" t="s">
        <v>10240</v>
      </c>
      <c r="E171" s="3508" t="s">
        <v>10062</v>
      </c>
      <c r="F171" s="3079">
        <v>1</v>
      </c>
      <c r="G171" s="3079" t="s">
        <v>2422</v>
      </c>
      <c r="H171" s="3505" t="s">
        <v>1166</v>
      </c>
      <c r="I171" s="3573" t="s">
        <v>5386</v>
      </c>
      <c r="J171" s="3573" t="s">
        <v>5387</v>
      </c>
      <c r="K171" s="3573" t="s">
        <v>10873</v>
      </c>
      <c r="L171" s="3573" t="s">
        <v>10874</v>
      </c>
      <c r="M171" s="3573" t="s">
        <v>10875</v>
      </c>
      <c r="N171" s="3573" t="s">
        <v>10876</v>
      </c>
      <c r="O171" s="3573" t="s">
        <v>10877</v>
      </c>
      <c r="P171" s="3573" t="s">
        <v>10878</v>
      </c>
      <c r="Q171" s="3573" t="s">
        <v>10879</v>
      </c>
      <c r="R171" s="3573" t="s">
        <v>10880</v>
      </c>
      <c r="S171" s="3519">
        <f>IF(COUNTIF(Psíquicos!$C$26:$E$37,E171)=0,0,1)</f>
        <v>0</v>
      </c>
      <c r="T171" s="3518">
        <f>COUNTIF(Psíquicos!$V$20:$Z$73,'Tablas psiquica'!D171)</f>
        <v>0</v>
      </c>
      <c r="U171" s="3512"/>
      <c r="V171" s="3524">
        <v>1</v>
      </c>
      <c r="W171" s="4254" t="s">
        <v>13944</v>
      </c>
      <c r="X171" s="4255" t="s">
        <v>14067</v>
      </c>
      <c r="Y171" s="3512">
        <f t="shared" si="23"/>
        <v>0</v>
      </c>
      <c r="Z171" s="3502">
        <f t="shared" si="24"/>
        <v>1</v>
      </c>
      <c r="AB171" s="3506" t="s">
        <v>10316</v>
      </c>
      <c r="AC171" s="2746" t="str" cm="1">
        <f t="array" ref="AC171">INDEX($I$6:$R$6,SUMPRODUCT(ISNUMBER(SEARCH("Fatiga",I251:R251))*1)+1)</f>
        <v>MED</v>
      </c>
      <c r="AD171" s="2746" t="str">
        <f>IFERROR(VLOOKUP(AC171,Psíquicos!$AD$11:$AK$67,8,FALSE),AC171)</f>
        <v>MED</v>
      </c>
      <c r="AE171" s="3032"/>
      <c r="AF171" s="3032"/>
      <c r="AG171" s="3032"/>
      <c r="AH171" s="3032"/>
      <c r="AI171" s="3032"/>
      <c r="AJ171" s="3032"/>
      <c r="AK171" s="3032"/>
      <c r="AL171" s="3032"/>
      <c r="AM171" s="3032"/>
      <c r="AN171" s="3032"/>
      <c r="AO171" s="3549"/>
    </row>
    <row r="172" spans="1:41">
      <c r="A172" s="702">
        <v>172</v>
      </c>
      <c r="B172" s="3503">
        <f>IF(OR(S172=0),0,SUM($S$6:S172))</f>
        <v>0</v>
      </c>
      <c r="C172" s="3032"/>
      <c r="D172" s="3507" t="s">
        <v>10249</v>
      </c>
      <c r="E172" s="3508" t="s">
        <v>10062</v>
      </c>
      <c r="F172" s="3079">
        <v>2</v>
      </c>
      <c r="G172" s="3079" t="s">
        <v>1241</v>
      </c>
      <c r="H172" s="3505" t="s">
        <v>1165</v>
      </c>
      <c r="I172" s="3573" t="s">
        <v>5416</v>
      </c>
      <c r="J172" s="3573" t="s">
        <v>5407</v>
      </c>
      <c r="K172" s="3573" t="s">
        <v>5406</v>
      </c>
      <c r="L172" s="3573" t="s">
        <v>5386</v>
      </c>
      <c r="M172" s="3573" t="s">
        <v>11430</v>
      </c>
      <c r="N172" s="3573" t="s">
        <v>11431</v>
      </c>
      <c r="O172" s="3573" t="s">
        <v>11432</v>
      </c>
      <c r="P172" s="3573" t="s">
        <v>11433</v>
      </c>
      <c r="Q172" s="3573" t="s">
        <v>11434</v>
      </c>
      <c r="R172" s="3573" t="s">
        <v>11435</v>
      </c>
      <c r="S172" s="3519">
        <f>IF(COUNTIF(Psíquicos!$C$26:$E$37,E172)=0,0,1)</f>
        <v>0</v>
      </c>
      <c r="T172" s="3518">
        <f>COUNTIF(Psíquicos!$V$20:$Z$73,'Tablas psiquica'!D172)</f>
        <v>0</v>
      </c>
      <c r="U172" s="3512"/>
      <c r="V172" s="3524"/>
      <c r="W172" s="4254" t="s">
        <v>13942</v>
      </c>
      <c r="X172" s="4255" t="s">
        <v>14068</v>
      </c>
      <c r="Y172" s="3512">
        <f t="shared" si="23"/>
        <v>0</v>
      </c>
      <c r="Z172" s="3502">
        <f t="shared" si="24"/>
        <v>0</v>
      </c>
      <c r="AB172" s="3506" t="s">
        <v>10318</v>
      </c>
      <c r="AC172" s="2746" t="str" cm="1">
        <f t="array" ref="AC172">INDEX($I$6:$R$6,SUMPRODUCT(ISNUMBER(SEARCH("Fatiga",I253:R253))*1)+1)</f>
        <v>MDF</v>
      </c>
      <c r="AD172" s="2746" t="str">
        <f>IFERROR(VLOOKUP(AC172,Psíquicos!$AD$11:$AK$67,8,FALSE),AC172)</f>
        <v>MDF</v>
      </c>
      <c r="AE172" s="3032"/>
      <c r="AF172" s="3032"/>
      <c r="AG172" s="3032"/>
      <c r="AH172" s="3032"/>
      <c r="AI172" s="3032"/>
      <c r="AJ172" s="3032"/>
      <c r="AK172" s="3032"/>
      <c r="AL172" s="3032"/>
      <c r="AM172" s="3032"/>
      <c r="AN172" s="3032"/>
      <c r="AO172" s="3549"/>
    </row>
    <row r="173" spans="1:41">
      <c r="A173" s="702">
        <v>173</v>
      </c>
      <c r="B173" s="3503">
        <f>IF(OR(S173=0),0,SUM($S$6:S173))</f>
        <v>0</v>
      </c>
      <c r="C173" s="3032"/>
      <c r="D173" s="3507" t="s">
        <v>10257</v>
      </c>
      <c r="E173" s="3508" t="s">
        <v>10062</v>
      </c>
      <c r="F173" s="3079">
        <v>2</v>
      </c>
      <c r="G173" s="3079" t="s">
        <v>2422</v>
      </c>
      <c r="H173" s="3505" t="s">
        <v>1165</v>
      </c>
      <c r="I173" s="2744" t="s">
        <v>5417</v>
      </c>
      <c r="J173" s="2744" t="s">
        <v>5416</v>
      </c>
      <c r="K173" s="2744" t="s">
        <v>5408</v>
      </c>
      <c r="L173" s="2744" t="s">
        <v>5407</v>
      </c>
      <c r="M173" s="3575" t="s">
        <v>10881</v>
      </c>
      <c r="N173" s="3574" t="s">
        <v>10882</v>
      </c>
      <c r="O173" s="3574" t="s">
        <v>10883</v>
      </c>
      <c r="P173" s="3574" t="s">
        <v>10884</v>
      </c>
      <c r="Q173" s="3574" t="s">
        <v>10885</v>
      </c>
      <c r="R173" s="3574" t="s">
        <v>11436</v>
      </c>
      <c r="S173" s="3519">
        <f>IF(COUNTIF(Psíquicos!$C$26:$E$37,E173)=0,0,1)</f>
        <v>0</v>
      </c>
      <c r="T173" s="3518">
        <f>COUNTIF(Psíquicos!$V$20:$Z$73,'Tablas psiquica'!D173)</f>
        <v>0</v>
      </c>
      <c r="U173" s="3512"/>
      <c r="V173" s="3524"/>
      <c r="W173" s="4254" t="s">
        <v>13985</v>
      </c>
      <c r="X173" s="4257" t="s">
        <v>14069</v>
      </c>
      <c r="Y173" s="3512">
        <f t="shared" si="23"/>
        <v>0</v>
      </c>
      <c r="Z173" s="3502">
        <f t="shared" si="24"/>
        <v>0</v>
      </c>
      <c r="AB173" s="3506" t="s">
        <v>10319</v>
      </c>
      <c r="AC173" s="2746" t="str" cm="1">
        <f t="array" ref="AC173">INDEX($I$6:$R$6,SUMPRODUCT(ISNUMBER(SEARCH("Fatiga",I254:R254))*1)+1)</f>
        <v>MDF</v>
      </c>
      <c r="AD173" s="2746" t="str">
        <f>IFERROR(VLOOKUP(AC173,Psíquicos!$AD$11:$AK$67,8,FALSE),AC173)</f>
        <v>MDF</v>
      </c>
      <c r="AE173" s="3032"/>
      <c r="AF173" s="3032"/>
      <c r="AG173" s="3032"/>
      <c r="AH173" s="3032"/>
      <c r="AI173" s="3032"/>
      <c r="AJ173" s="3032"/>
      <c r="AK173" s="3032"/>
      <c r="AL173" s="3032"/>
      <c r="AM173" s="3032"/>
      <c r="AN173" s="3032"/>
      <c r="AO173" s="3549"/>
    </row>
    <row r="174" spans="1:41">
      <c r="A174" s="702">
        <v>174</v>
      </c>
      <c r="B174" s="3503">
        <f>IF(OR(S174=0),0,SUM($S$6:S174))</f>
        <v>0</v>
      </c>
      <c r="C174" s="3032"/>
      <c r="D174" s="3507" t="s">
        <v>10263</v>
      </c>
      <c r="E174" s="3508" t="s">
        <v>10062</v>
      </c>
      <c r="F174" s="3079">
        <v>2</v>
      </c>
      <c r="G174" s="3079" t="s">
        <v>1241</v>
      </c>
      <c r="H174" s="3505" t="s">
        <v>1165</v>
      </c>
      <c r="I174" s="2744" t="s">
        <v>5416</v>
      </c>
      <c r="J174" s="2744" t="s">
        <v>5408</v>
      </c>
      <c r="K174" s="2744" t="s">
        <v>5407</v>
      </c>
      <c r="L174" s="2744" t="s">
        <v>5406</v>
      </c>
      <c r="M174" s="3573" t="s">
        <v>11437</v>
      </c>
      <c r="N174" s="3573" t="s">
        <v>11438</v>
      </c>
      <c r="O174" s="3573" t="s">
        <v>11439</v>
      </c>
      <c r="P174" s="3573" t="s">
        <v>11440</v>
      </c>
      <c r="Q174" s="3573" t="s">
        <v>11441</v>
      </c>
      <c r="R174" s="3573" t="s">
        <v>11442</v>
      </c>
      <c r="S174" s="3519">
        <f>IF(COUNTIF(Psíquicos!$C$26:$E$37,E174)=0,0,1)</f>
        <v>0</v>
      </c>
      <c r="T174" s="3518">
        <f>COUNTIF(Psíquicos!$V$20:$Z$73,'Tablas psiquica'!D174)</f>
        <v>0</v>
      </c>
      <c r="U174" s="3512"/>
      <c r="V174" s="3524"/>
      <c r="W174" s="4254" t="s">
        <v>13944</v>
      </c>
      <c r="X174" s="4255" t="s">
        <v>14058</v>
      </c>
      <c r="Y174" s="3512">
        <f t="shared" si="23"/>
        <v>0</v>
      </c>
      <c r="Z174" s="3502">
        <f t="shared" si="24"/>
        <v>0</v>
      </c>
      <c r="AB174" s="3506" t="s">
        <v>10321</v>
      </c>
      <c r="AC174" s="2746" t="str" cm="1">
        <f t="array" ref="AC174">INDEX($I$6:$R$6,SUMPRODUCT(ISNUMBER(SEARCH("Fatiga",I256:R256))*1)+1)</f>
        <v>DIF</v>
      </c>
      <c r="AD174" s="2746" t="str">
        <f>IFERROR(VLOOKUP(AC174,Psíquicos!$AD$11:$AK$67,8,FALSE),AC174)</f>
        <v>DIF</v>
      </c>
      <c r="AE174" s="3032"/>
      <c r="AF174" s="3032"/>
      <c r="AG174" s="3032"/>
      <c r="AH174" s="3032"/>
      <c r="AI174" s="3032"/>
      <c r="AJ174" s="3032"/>
      <c r="AK174" s="3032"/>
      <c r="AL174" s="3032"/>
      <c r="AM174" s="3032"/>
      <c r="AN174" s="3032"/>
      <c r="AO174" s="3549"/>
    </row>
    <row r="175" spans="1:41">
      <c r="A175" s="702">
        <v>175</v>
      </c>
      <c r="B175" s="3503">
        <f>IF(OR(S175=0),0,SUM($S$6:S175))</f>
        <v>0</v>
      </c>
      <c r="C175" s="3032"/>
      <c r="D175" s="3507" t="s">
        <v>10271</v>
      </c>
      <c r="E175" s="3508" t="s">
        <v>10062</v>
      </c>
      <c r="F175" s="3079">
        <v>2</v>
      </c>
      <c r="G175" s="3079" t="s">
        <v>1241</v>
      </c>
      <c r="H175" s="3505" t="s">
        <v>1165</v>
      </c>
      <c r="I175" s="3573" t="s">
        <v>5416</v>
      </c>
      <c r="J175" s="3573" t="s">
        <v>5407</v>
      </c>
      <c r="K175" s="3573" t="s">
        <v>5406</v>
      </c>
      <c r="L175" s="3573" t="s">
        <v>5386</v>
      </c>
      <c r="M175" s="3574" t="s">
        <v>11447</v>
      </c>
      <c r="N175" s="3574" t="s">
        <v>11456</v>
      </c>
      <c r="O175" s="3574" t="s">
        <v>11468</v>
      </c>
      <c r="P175" s="3574" t="s">
        <v>11479</v>
      </c>
      <c r="Q175" s="3574" t="s">
        <v>11512</v>
      </c>
      <c r="R175" s="3574" t="s">
        <v>11511</v>
      </c>
      <c r="S175" s="3519">
        <f>IF(COUNTIF(Psíquicos!$C$26:$E$37,E175)=0,0,1)</f>
        <v>0</v>
      </c>
      <c r="T175" s="3518">
        <f>COUNTIF(Psíquicos!$V$20:$Z$73,'Tablas psiquica'!D175)</f>
        <v>0</v>
      </c>
      <c r="U175" s="3512"/>
      <c r="V175" s="3524"/>
      <c r="W175" s="4254" t="s">
        <v>14070</v>
      </c>
      <c r="X175" s="4255" t="s">
        <v>14071</v>
      </c>
      <c r="Y175" s="3512">
        <f t="shared" si="23"/>
        <v>0</v>
      </c>
      <c r="Z175" s="3502">
        <f t="shared" si="24"/>
        <v>0</v>
      </c>
      <c r="AB175" s="3506" t="s">
        <v>10322</v>
      </c>
      <c r="AC175" s="2746" t="str" cm="1">
        <f t="array" ref="AC175">INDEX($I$6:$R$6,SUMPRODUCT(ISNUMBER(SEARCH("Fatiga",I257:R257))*1)+1)</f>
        <v>DIF</v>
      </c>
      <c r="AD175" s="2746" t="str">
        <f>IFERROR(VLOOKUP(AC175,Psíquicos!$AD$11:$AK$67,8,FALSE),AC175)</f>
        <v>DIF</v>
      </c>
      <c r="AE175" s="3032"/>
      <c r="AF175" s="3032"/>
      <c r="AG175" s="3032"/>
      <c r="AH175" s="3032"/>
      <c r="AI175" s="3032"/>
      <c r="AJ175" s="3032"/>
      <c r="AK175" s="3032"/>
      <c r="AL175" s="3032"/>
      <c r="AM175" s="3032"/>
      <c r="AN175" s="3032"/>
      <c r="AO175" s="3549"/>
    </row>
    <row r="176" spans="1:41">
      <c r="A176" s="702">
        <v>176</v>
      </c>
      <c r="B176" s="3503">
        <f>IF(OR(S176=0),0,SUM($S$6:S176))</f>
        <v>0</v>
      </c>
      <c r="C176" s="3032"/>
      <c r="D176" s="3507" t="s">
        <v>10275</v>
      </c>
      <c r="E176" s="3508" t="s">
        <v>10062</v>
      </c>
      <c r="F176" s="3079">
        <v>3</v>
      </c>
      <c r="G176" s="3079" t="s">
        <v>1241</v>
      </c>
      <c r="H176" s="3505" t="s">
        <v>1165</v>
      </c>
      <c r="I176" s="3573" t="s">
        <v>5417</v>
      </c>
      <c r="J176" s="3573" t="s">
        <v>5416</v>
      </c>
      <c r="K176" s="3573" t="s">
        <v>5408</v>
      </c>
      <c r="L176" s="3573" t="s">
        <v>5407</v>
      </c>
      <c r="M176" s="3573" t="s">
        <v>5406</v>
      </c>
      <c r="N176" s="3573" t="s">
        <v>11524</v>
      </c>
      <c r="O176" s="3573" t="s">
        <v>11525</v>
      </c>
      <c r="P176" s="3573" t="s">
        <v>11526</v>
      </c>
      <c r="Q176" s="3573" t="s">
        <v>11527</v>
      </c>
      <c r="R176" s="3573" t="s">
        <v>11528</v>
      </c>
      <c r="S176" s="3519">
        <f>IF(COUNTIF(Psíquicos!$C$26:$E$37,E176)=0,0,1)</f>
        <v>0</v>
      </c>
      <c r="T176" s="3518">
        <f>COUNTIF(Psíquicos!$V$20:$Z$73,'Tablas psiquica'!D176)</f>
        <v>0</v>
      </c>
      <c r="U176" s="3512"/>
      <c r="V176" s="3524"/>
      <c r="W176" s="4254" t="s">
        <v>14041</v>
      </c>
      <c r="X176" s="4257" t="s">
        <v>14072</v>
      </c>
      <c r="Y176" s="3512">
        <f t="shared" si="23"/>
        <v>0</v>
      </c>
      <c r="Z176" s="3502">
        <f t="shared" si="24"/>
        <v>0</v>
      </c>
      <c r="AB176" s="3506" t="s">
        <v>10323</v>
      </c>
      <c r="AC176" s="2746" t="str" cm="1">
        <f t="array" ref="AC176">INDEX($I$6:$R$6,SUMPRODUCT(ISNUMBER(SEARCH("Fatiga",I258:R258))*1)+1)</f>
        <v>MED</v>
      </c>
      <c r="AD176" s="2746" t="str">
        <f>IFERROR(VLOOKUP(AC176,Psíquicos!$AD$11:$AK$67,8,FALSE),AC176)</f>
        <v>MED</v>
      </c>
      <c r="AE176" s="3032"/>
      <c r="AF176" s="3032"/>
      <c r="AG176" s="3032"/>
      <c r="AH176" s="3032"/>
      <c r="AI176" s="3032"/>
      <c r="AJ176" s="3032"/>
      <c r="AK176" s="3032"/>
      <c r="AL176" s="3032"/>
      <c r="AM176" s="3032"/>
      <c r="AN176" s="3032"/>
      <c r="AO176" s="3549"/>
    </row>
    <row r="177" spans="1:41">
      <c r="A177" s="702">
        <v>177</v>
      </c>
      <c r="B177" s="3503">
        <f>IF(OR(S177=0),0,SUM($S$6:S177))</f>
        <v>0</v>
      </c>
      <c r="C177" s="3032"/>
      <c r="D177" s="3507" t="s">
        <v>10279</v>
      </c>
      <c r="E177" s="3508" t="s">
        <v>10062</v>
      </c>
      <c r="F177" s="3079">
        <v>3</v>
      </c>
      <c r="G177" s="3079" t="s">
        <v>1241</v>
      </c>
      <c r="H177" s="3505" t="s">
        <v>1165</v>
      </c>
      <c r="I177" s="3573" t="s">
        <v>5472</v>
      </c>
      <c r="J177" s="3573" t="s">
        <v>5473</v>
      </c>
      <c r="K177" s="3573" t="s">
        <v>5417</v>
      </c>
      <c r="L177" s="3573" t="s">
        <v>5416</v>
      </c>
      <c r="M177" s="3573" t="s">
        <v>5408</v>
      </c>
      <c r="N177" s="3573" t="s">
        <v>5407</v>
      </c>
      <c r="O177" s="3573" t="s">
        <v>5406</v>
      </c>
      <c r="P177" s="3573" t="s">
        <v>11529</v>
      </c>
      <c r="Q177" s="3573" t="s">
        <v>11530</v>
      </c>
      <c r="R177" s="3573" t="s">
        <v>11531</v>
      </c>
      <c r="S177" s="3519">
        <f>IF(COUNTIF(Psíquicos!$C$26:$E$37,E177)=0,0,1)</f>
        <v>0</v>
      </c>
      <c r="T177" s="3518">
        <f>COUNTIF(Psíquicos!$V$20:$Z$73,'Tablas psiquica'!D177)</f>
        <v>0</v>
      </c>
      <c r="U177" s="3512"/>
      <c r="V177" s="3524"/>
      <c r="W177" s="4254" t="s">
        <v>14073</v>
      </c>
      <c r="X177" s="4257" t="s">
        <v>14074</v>
      </c>
      <c r="Y177" s="3512">
        <f t="shared" si="23"/>
        <v>0</v>
      </c>
      <c r="Z177" s="3502">
        <f t="shared" si="24"/>
        <v>0</v>
      </c>
      <c r="AB177" s="3506" t="s">
        <v>10325</v>
      </c>
      <c r="AC177" s="2746" t="str" cm="1">
        <f t="array" ref="AC177">INDEX($I$6:$R$6,SUMPRODUCT(ISNUMBER(SEARCH("Fatiga",I260:R260))*1)+1)</f>
        <v>DIF</v>
      </c>
      <c r="AD177" s="2746" t="str">
        <f>IFERROR(VLOOKUP(AC177,Psíquicos!$AD$11:$AK$67,8,FALSE),AC177)</f>
        <v>DIF</v>
      </c>
      <c r="AE177" s="3032"/>
      <c r="AF177" s="3032"/>
      <c r="AG177" s="3032"/>
      <c r="AH177" s="3032"/>
      <c r="AI177" s="3032"/>
      <c r="AJ177" s="3032"/>
      <c r="AK177" s="3032"/>
      <c r="AL177" s="3032"/>
      <c r="AM177" s="3032"/>
      <c r="AN177" s="3032"/>
      <c r="AO177" s="3549"/>
    </row>
    <row r="178" spans="1:41">
      <c r="A178" s="702">
        <v>178</v>
      </c>
      <c r="B178" s="3503">
        <f>IF(OR(S178=0),0,SUM($S$6:S178))</f>
        <v>0</v>
      </c>
      <c r="C178" s="3032"/>
      <c r="D178" s="3507" t="s">
        <v>10280</v>
      </c>
      <c r="E178" s="3508" t="s">
        <v>10062</v>
      </c>
      <c r="F178" s="3079">
        <v>3</v>
      </c>
      <c r="G178" s="3079" t="s">
        <v>1241</v>
      </c>
      <c r="H178" s="3505" t="s">
        <v>1165</v>
      </c>
      <c r="I178" s="3573" t="s">
        <v>5472</v>
      </c>
      <c r="J178" s="3573" t="s">
        <v>5473</v>
      </c>
      <c r="K178" s="3573" t="s">
        <v>5417</v>
      </c>
      <c r="L178" s="3573" t="s">
        <v>5416</v>
      </c>
      <c r="M178" s="3573" t="s">
        <v>5408</v>
      </c>
      <c r="N178" s="3573" t="s">
        <v>5407</v>
      </c>
      <c r="O178" s="3573" t="s">
        <v>5406</v>
      </c>
      <c r="P178" s="3574" t="s">
        <v>11532</v>
      </c>
      <c r="Q178" s="3574" t="s">
        <v>11533</v>
      </c>
      <c r="R178" s="3574" t="s">
        <v>11534</v>
      </c>
      <c r="S178" s="3519">
        <f>IF(COUNTIF(Psíquicos!$C$26:$E$37,E178)=0,0,1)</f>
        <v>0</v>
      </c>
      <c r="T178" s="3518">
        <f>COUNTIF(Psíquicos!$V$20:$Z$73,'Tablas psiquica'!D178)</f>
        <v>0</v>
      </c>
      <c r="U178" s="3512"/>
      <c r="V178" s="3524"/>
      <c r="W178" s="4254" t="s">
        <v>13995</v>
      </c>
      <c r="X178" s="4257" t="s">
        <v>14075</v>
      </c>
      <c r="Y178" s="3512">
        <f t="shared" si="23"/>
        <v>0</v>
      </c>
      <c r="Z178" s="3502">
        <f t="shared" si="24"/>
        <v>0</v>
      </c>
      <c r="AB178" s="3506" t="s">
        <v>9346</v>
      </c>
      <c r="AC178" s="2746" t="str" cm="1">
        <f t="array" ref="AC178">INDEX($I$6:$R$6,SUMPRODUCT(ISNUMBER(SEARCH("Fatiga",I261:R261))*1)+1)</f>
        <v>DIF</v>
      </c>
      <c r="AD178" s="2746" t="str">
        <f>IFERROR(VLOOKUP(AC178,Psíquicos!$AD$11:$AK$67,8,FALSE),AC178)</f>
        <v>DIF</v>
      </c>
      <c r="AE178" s="3032"/>
      <c r="AF178" s="3032"/>
      <c r="AG178" s="3032"/>
      <c r="AH178" s="3032"/>
      <c r="AI178" s="3032"/>
      <c r="AJ178" s="3032"/>
      <c r="AK178" s="3032"/>
      <c r="AL178" s="3032"/>
      <c r="AM178" s="3032"/>
      <c r="AN178" s="3032"/>
      <c r="AO178" s="3549"/>
    </row>
    <row r="179" spans="1:41">
      <c r="A179" s="702">
        <v>179</v>
      </c>
      <c r="B179" s="3503">
        <f>IF(OR(S179=0),0,SUM($S$6:S179))</f>
        <v>0</v>
      </c>
      <c r="C179" s="3032"/>
      <c r="D179" s="3507" t="s">
        <v>10886</v>
      </c>
      <c r="E179" s="3079"/>
      <c r="F179" s="3032"/>
      <c r="G179" s="3032"/>
      <c r="H179" s="3505"/>
      <c r="I179" s="3573"/>
      <c r="J179" s="3573"/>
      <c r="K179" s="3573"/>
      <c r="L179" s="3573"/>
      <c r="M179" s="3573"/>
      <c r="N179" s="3573"/>
      <c r="O179" s="3573"/>
      <c r="P179" s="3573"/>
      <c r="Q179" s="3573"/>
      <c r="R179" s="3573"/>
      <c r="S179" s="3519">
        <f>S180</f>
        <v>0</v>
      </c>
      <c r="T179" s="3518"/>
      <c r="U179" s="3512"/>
      <c r="V179" s="3524"/>
      <c r="W179" s="4254"/>
      <c r="X179" s="4255"/>
      <c r="Y179" s="3512">
        <f t="shared" si="23"/>
        <v>0</v>
      </c>
      <c r="Z179" s="3502">
        <f t="shared" si="24"/>
        <v>0</v>
      </c>
      <c r="AB179" s="3506" t="s">
        <v>363</v>
      </c>
      <c r="AC179" s="2746" t="str" cm="1">
        <f t="array" ref="AC179">INDEX($I$6:$R$6,SUMPRODUCT(ISNUMBER(SEARCH("Fatiga",I262:R262))*1)+1)</f>
        <v>DIF</v>
      </c>
      <c r="AD179" s="2746" t="str">
        <f>IFERROR(VLOOKUP(AC179,Psíquicos!$AD$11:$AK$67,8,FALSE),AC179)</f>
        <v>DIF</v>
      </c>
      <c r="AE179" s="3032"/>
      <c r="AF179" s="3032"/>
      <c r="AG179" s="3032"/>
      <c r="AH179" s="3032"/>
      <c r="AI179" s="3032"/>
      <c r="AJ179" s="3032"/>
      <c r="AK179" s="3032"/>
      <c r="AL179" s="3032"/>
      <c r="AM179" s="3032"/>
      <c r="AN179" s="3032"/>
      <c r="AO179" s="3549"/>
    </row>
    <row r="180" spans="1:41">
      <c r="A180" s="702">
        <v>180</v>
      </c>
      <c r="B180" s="3503">
        <f>IF(OR(S180=0),0,SUM($S$6:S180))</f>
        <v>0</v>
      </c>
      <c r="C180" s="3032"/>
      <c r="D180" s="3507" t="s">
        <v>10225</v>
      </c>
      <c r="E180" s="3508" t="s">
        <v>10053</v>
      </c>
      <c r="F180" s="3079">
        <v>1</v>
      </c>
      <c r="G180" s="3079" t="s">
        <v>2422</v>
      </c>
      <c r="H180" s="3505" t="s">
        <v>1165</v>
      </c>
      <c r="I180" s="3573" t="s">
        <v>5406</v>
      </c>
      <c r="J180" s="3573" t="s">
        <v>5386</v>
      </c>
      <c r="K180" s="3573" t="s">
        <v>10887</v>
      </c>
      <c r="L180" s="3573" t="s">
        <v>10888</v>
      </c>
      <c r="M180" s="3573" t="s">
        <v>11147</v>
      </c>
      <c r="N180" s="3573" t="s">
        <v>11148</v>
      </c>
      <c r="O180" s="3573" t="s">
        <v>11149</v>
      </c>
      <c r="P180" s="3573" t="s">
        <v>11150</v>
      </c>
      <c r="Q180" s="3573" t="s">
        <v>11151</v>
      </c>
      <c r="R180" s="3573" t="s">
        <v>11152</v>
      </c>
      <c r="S180" s="3519">
        <f>IF(COUNTIF(Psíquicos!$C$26:$E$37,E180)=0,0,1)</f>
        <v>0</v>
      </c>
      <c r="T180" s="3518">
        <f>COUNTIF(Psíquicos!$V$20:$Z$73,'Tablas psiquica'!D180)</f>
        <v>0</v>
      </c>
      <c r="U180" s="3512"/>
      <c r="V180" s="3524"/>
      <c r="W180" s="4254"/>
      <c r="X180" s="4255"/>
      <c r="Y180" s="3512">
        <f t="shared" si="23"/>
        <v>0</v>
      </c>
      <c r="Z180" s="3502">
        <f t="shared" si="24"/>
        <v>0</v>
      </c>
      <c r="AB180" s="3506" t="s">
        <v>10326</v>
      </c>
      <c r="AC180" s="2746" t="str" cm="1">
        <f t="array" ref="AC180">INDEX($I$6:$R$6,SUMPRODUCT(ISNUMBER(SEARCH("Fatiga",I263:R263))*1)+1)</f>
        <v>MED</v>
      </c>
      <c r="AD180" s="2746" t="str">
        <f>IFERROR(VLOOKUP(AC180,Psíquicos!$AD$11:$AK$67,8,FALSE),AC180)</f>
        <v>MED</v>
      </c>
      <c r="AE180" s="3032"/>
      <c r="AF180" s="3032"/>
      <c r="AG180" s="3032"/>
      <c r="AH180" s="3032"/>
      <c r="AI180" s="3032"/>
      <c r="AJ180" s="3032"/>
      <c r="AK180" s="3032"/>
      <c r="AL180" s="3032"/>
      <c r="AM180" s="3032"/>
      <c r="AN180" s="3032"/>
      <c r="AO180" s="3549"/>
    </row>
    <row r="181" spans="1:41">
      <c r="A181" s="702">
        <v>181</v>
      </c>
      <c r="B181" s="3503">
        <f>IF(OR(S181=0),0,SUM($S$6:S181))</f>
        <v>0</v>
      </c>
      <c r="C181" s="3032"/>
      <c r="D181" s="3507" t="s">
        <v>10233</v>
      </c>
      <c r="E181" s="3508" t="s">
        <v>10053</v>
      </c>
      <c r="F181" s="3079">
        <v>1</v>
      </c>
      <c r="G181" s="3079" t="s">
        <v>2422</v>
      </c>
      <c r="H181" s="3505" t="s">
        <v>1165</v>
      </c>
      <c r="I181" s="3573" t="s">
        <v>5407</v>
      </c>
      <c r="J181" s="3573" t="s">
        <v>5406</v>
      </c>
      <c r="K181" s="3573" t="s">
        <v>5386</v>
      </c>
      <c r="L181" s="3573" t="s">
        <v>8745</v>
      </c>
      <c r="M181" s="3573" t="s">
        <v>8746</v>
      </c>
      <c r="N181" s="3573" t="s">
        <v>8747</v>
      </c>
      <c r="O181" s="3573" t="s">
        <v>8748</v>
      </c>
      <c r="P181" s="3573" t="s">
        <v>8749</v>
      </c>
      <c r="Q181" s="3573" t="s">
        <v>8750</v>
      </c>
      <c r="R181" s="3573" t="s">
        <v>8751</v>
      </c>
      <c r="S181" s="3519">
        <f>IF(COUNTIF(Psíquicos!$C$26:$E$37,E181)=0,0,1)</f>
        <v>0</v>
      </c>
      <c r="T181" s="3518">
        <f>COUNTIF(Psíquicos!$V$20:$Z$73,'Tablas psiquica'!D181)</f>
        <v>0</v>
      </c>
      <c r="U181" s="3512"/>
      <c r="V181" s="3524"/>
      <c r="W181" s="4254"/>
      <c r="X181" s="4255"/>
      <c r="Y181" s="3512">
        <f t="shared" si="23"/>
        <v>0</v>
      </c>
      <c r="Z181" s="3502">
        <f t="shared" si="24"/>
        <v>0</v>
      </c>
      <c r="AB181" s="3506" t="s">
        <v>10327</v>
      </c>
      <c r="AC181" s="2746" t="str" cm="1">
        <f t="array" ref="AC181">INDEX($I$6:$R$6,SUMPRODUCT(ISNUMBER(SEARCH("Fatiga",I264:R264))*1)+1)</f>
        <v>DIF</v>
      </c>
      <c r="AD181" s="2746" t="str">
        <f>IFERROR(VLOOKUP(AC181,Psíquicos!$AD$11:$AK$67,8,FALSE),AC181)</f>
        <v>DIF</v>
      </c>
      <c r="AE181" s="3032"/>
      <c r="AF181" s="3032"/>
      <c r="AG181" s="3032"/>
      <c r="AH181" s="3032"/>
      <c r="AI181" s="3032"/>
      <c r="AJ181" s="3032"/>
      <c r="AK181" s="3032"/>
      <c r="AL181" s="3032"/>
      <c r="AM181" s="3032"/>
      <c r="AN181" s="3032"/>
      <c r="AO181" s="3549"/>
    </row>
    <row r="182" spans="1:41">
      <c r="A182" s="702">
        <v>182</v>
      </c>
      <c r="B182" s="3503">
        <f>IF(OR(S182=0),0,SUM($S$6:S182))</f>
        <v>0</v>
      </c>
      <c r="C182" s="3032"/>
      <c r="D182" s="3507" t="s">
        <v>10241</v>
      </c>
      <c r="E182" s="3508" t="s">
        <v>10053</v>
      </c>
      <c r="F182" s="3079">
        <v>2</v>
      </c>
      <c r="G182" s="3079" t="s">
        <v>2422</v>
      </c>
      <c r="H182" s="3505" t="s">
        <v>1166</v>
      </c>
      <c r="I182" s="3573" t="s">
        <v>5408</v>
      </c>
      <c r="J182" s="3573" t="s">
        <v>5407</v>
      </c>
      <c r="K182" s="3573" t="s">
        <v>5406</v>
      </c>
      <c r="L182" s="3573" t="s">
        <v>5386</v>
      </c>
      <c r="M182" s="3573" t="s">
        <v>11153</v>
      </c>
      <c r="N182" s="3573" t="s">
        <v>11154</v>
      </c>
      <c r="O182" s="3573" t="s">
        <v>11155</v>
      </c>
      <c r="P182" s="3573" t="s">
        <v>11156</v>
      </c>
      <c r="Q182" s="3573" t="s">
        <v>11157</v>
      </c>
      <c r="R182" s="3573" t="s">
        <v>11158</v>
      </c>
      <c r="S182" s="3519">
        <f>IF(COUNTIF(Psíquicos!$C$26:$E$37,E182)=0,0,1)</f>
        <v>0</v>
      </c>
      <c r="T182" s="3518">
        <f>COUNTIF(Psíquicos!$V$20:$Z$73,'Tablas psiquica'!D182)</f>
        <v>0</v>
      </c>
      <c r="U182" s="3512"/>
      <c r="V182" s="3524"/>
      <c r="W182" s="4254"/>
      <c r="X182" s="4255"/>
      <c r="Y182" s="3512">
        <f t="shared" si="23"/>
        <v>0</v>
      </c>
      <c r="Z182" s="3502">
        <f t="shared" si="24"/>
        <v>0</v>
      </c>
      <c r="AB182" s="3506" t="s">
        <v>10329</v>
      </c>
      <c r="AC182" s="2746" t="str" cm="1">
        <f t="array" ref="AC182">INDEX($I$6:$R$6,SUMPRODUCT(ISNUMBER(SEARCH("Fatiga",I266:R266))*1)+1)</f>
        <v>MED</v>
      </c>
      <c r="AD182" s="2746" t="str">
        <f>IFERROR(VLOOKUP(AC182,Psíquicos!$AD$11:$AK$67,8,FALSE),AC182)</f>
        <v>MED</v>
      </c>
      <c r="AE182" s="3032"/>
      <c r="AF182" s="3032"/>
      <c r="AG182" s="3032"/>
      <c r="AH182" s="3032"/>
      <c r="AI182" s="3032"/>
      <c r="AJ182" s="3032"/>
      <c r="AK182" s="3032"/>
      <c r="AL182" s="3032"/>
      <c r="AM182" s="3032"/>
      <c r="AN182" s="3032"/>
      <c r="AO182" s="3549"/>
    </row>
    <row r="183" spans="1:41">
      <c r="A183" s="702">
        <v>183</v>
      </c>
      <c r="B183" s="3503">
        <f>IF(OR(S183=0),0,SUM($S$6:S183))</f>
        <v>0</v>
      </c>
      <c r="C183" s="3032"/>
      <c r="D183" s="3507" t="s">
        <v>10250</v>
      </c>
      <c r="E183" s="3508" t="s">
        <v>10053</v>
      </c>
      <c r="F183" s="3079">
        <v>2</v>
      </c>
      <c r="G183" s="3079" t="s">
        <v>2422</v>
      </c>
      <c r="H183" s="3505" t="s">
        <v>1165</v>
      </c>
      <c r="I183" s="3573" t="s">
        <v>5407</v>
      </c>
      <c r="J183" s="3573" t="s">
        <v>5406</v>
      </c>
      <c r="K183" s="3573" t="s">
        <v>5386</v>
      </c>
      <c r="L183" s="3573" t="s">
        <v>11159</v>
      </c>
      <c r="M183" s="3573" t="s">
        <v>10889</v>
      </c>
      <c r="N183" s="3573" t="s">
        <v>10890</v>
      </c>
      <c r="O183" s="3573" t="s">
        <v>10891</v>
      </c>
      <c r="P183" s="3573" t="s">
        <v>10892</v>
      </c>
      <c r="Q183" s="3573" t="s">
        <v>10893</v>
      </c>
      <c r="R183" s="3573" t="s">
        <v>10894</v>
      </c>
      <c r="S183" s="3519">
        <f>IF(COUNTIF(Psíquicos!$C$26:$E$37,E183)=0,0,1)</f>
        <v>0</v>
      </c>
      <c r="T183" s="3518">
        <f>COUNTIF(Psíquicos!$V$20:$Z$73,'Tablas psiquica'!D183)</f>
        <v>0</v>
      </c>
      <c r="U183" s="3512"/>
      <c r="V183" s="3524"/>
      <c r="W183" s="4254"/>
      <c r="X183" s="4255"/>
      <c r="Y183" s="3512">
        <f t="shared" si="23"/>
        <v>0</v>
      </c>
      <c r="Z183" s="3502">
        <f t="shared" si="24"/>
        <v>0</v>
      </c>
      <c r="AB183" s="3506" t="s">
        <v>10330</v>
      </c>
      <c r="AC183" s="2746" t="str" cm="1">
        <f t="array" ref="AC183">INDEX($I$6:$R$6,SUMPRODUCT(ISNUMBER(SEARCH("Fatiga",I267:R267))*1)+1)</f>
        <v>DIF</v>
      </c>
      <c r="AD183" s="2746" t="str">
        <f>IFERROR(VLOOKUP(AC183,Psíquicos!$AD$11:$AK$67,8,FALSE),AC183)</f>
        <v>DIF</v>
      </c>
      <c r="AE183" s="3032"/>
      <c r="AF183" s="3032"/>
      <c r="AG183" s="3032"/>
      <c r="AH183" s="3032"/>
      <c r="AI183" s="3032"/>
      <c r="AJ183" s="3032"/>
      <c r="AK183" s="3032"/>
      <c r="AL183" s="3032"/>
      <c r="AM183" s="3032"/>
      <c r="AN183" s="3032"/>
      <c r="AO183" s="3549"/>
    </row>
    <row r="184" spans="1:41">
      <c r="A184" s="702">
        <v>184</v>
      </c>
      <c r="B184" s="3503">
        <f>IF(OR(S184=0),0,SUM($S$6:S184))</f>
        <v>0</v>
      </c>
      <c r="C184" s="3032"/>
      <c r="D184" s="3507" t="s">
        <v>595</v>
      </c>
      <c r="E184" s="3508" t="s">
        <v>10053</v>
      </c>
      <c r="F184" s="3079">
        <v>3</v>
      </c>
      <c r="G184" s="3079" t="s">
        <v>1241</v>
      </c>
      <c r="H184" s="3505" t="s">
        <v>1165</v>
      </c>
      <c r="I184" s="3573" t="s">
        <v>5416</v>
      </c>
      <c r="J184" s="3573" t="s">
        <v>5408</v>
      </c>
      <c r="K184" s="3573" t="s">
        <v>5407</v>
      </c>
      <c r="L184" s="3573" t="s">
        <v>5406</v>
      </c>
      <c r="M184" s="3573" t="s">
        <v>5386</v>
      </c>
      <c r="N184" s="3573" t="s">
        <v>11160</v>
      </c>
      <c r="O184" s="3573" t="s">
        <v>11161</v>
      </c>
      <c r="P184" s="3573" t="s">
        <v>11162</v>
      </c>
      <c r="Q184" s="3573" t="s">
        <v>11163</v>
      </c>
      <c r="R184" s="3573" t="s">
        <v>11164</v>
      </c>
      <c r="S184" s="3519">
        <f>IF(COUNTIF(Psíquicos!$C$26:$E$37,E184)=0,0,1)</f>
        <v>0</v>
      </c>
      <c r="T184" s="3518">
        <f>COUNTIF(Psíquicos!$V$20:$Z$73,'Tablas psiquica'!D184)</f>
        <v>0</v>
      </c>
      <c r="U184" s="3512"/>
      <c r="V184" s="3524"/>
      <c r="W184" s="4254"/>
      <c r="X184" s="4255"/>
      <c r="Y184" s="3512">
        <f t="shared" si="23"/>
        <v>0</v>
      </c>
      <c r="Z184" s="3502">
        <f t="shared" si="24"/>
        <v>0</v>
      </c>
      <c r="AB184" s="3506" t="s">
        <v>10332</v>
      </c>
      <c r="AC184" s="2746" t="str" cm="1">
        <f t="array" ref="AC184">INDEX($I$6:$R$6,SUMPRODUCT(ISNUMBER(SEARCH("Fatiga",I269:R269))*1)+1)</f>
        <v>DIF</v>
      </c>
      <c r="AD184" s="2746" t="str">
        <f>IFERROR(VLOOKUP(AC184,Psíquicos!$AD$11:$AK$67,8,FALSE),AC184)</f>
        <v>DIF</v>
      </c>
      <c r="AE184" s="3032"/>
      <c r="AF184" s="3032"/>
      <c r="AG184" s="3032"/>
      <c r="AH184" s="3032"/>
      <c r="AI184" s="3032"/>
      <c r="AJ184" s="3032"/>
      <c r="AK184" s="3032"/>
      <c r="AL184" s="3032"/>
      <c r="AM184" s="3032"/>
      <c r="AN184" s="3032"/>
      <c r="AO184" s="3549"/>
    </row>
    <row r="185" spans="1:41">
      <c r="A185" s="702">
        <v>185</v>
      </c>
      <c r="B185" s="3503">
        <f>IF(OR(S185=0),0,SUM($S$6:S185))</f>
        <v>0</v>
      </c>
      <c r="C185" s="3032"/>
      <c r="D185" s="3507" t="s">
        <v>10265</v>
      </c>
      <c r="E185" s="3508" t="s">
        <v>10053</v>
      </c>
      <c r="F185" s="3079">
        <v>3</v>
      </c>
      <c r="G185" s="3079" t="s">
        <v>2422</v>
      </c>
      <c r="H185" s="3505" t="s">
        <v>1165</v>
      </c>
      <c r="I185" s="3573" t="s">
        <v>10843</v>
      </c>
      <c r="J185" s="3573" t="s">
        <v>5472</v>
      </c>
      <c r="K185" s="3573" t="s">
        <v>5417</v>
      </c>
      <c r="L185" s="3573" t="s">
        <v>5416</v>
      </c>
      <c r="M185" s="3573" t="s">
        <v>5408</v>
      </c>
      <c r="N185" s="3573" t="s">
        <v>5407</v>
      </c>
      <c r="O185" s="3573" t="s">
        <v>5406</v>
      </c>
      <c r="P185" s="3573" t="s">
        <v>11165</v>
      </c>
      <c r="Q185" s="3573" t="s">
        <v>11166</v>
      </c>
      <c r="R185" s="3573" t="s">
        <v>11167</v>
      </c>
      <c r="S185" s="3519">
        <f>IF(COUNTIF(Psíquicos!$C$26:$E$37,E185)=0,0,1)</f>
        <v>0</v>
      </c>
      <c r="T185" s="3518">
        <f>COUNTIF(Psíquicos!$V$20:$Z$73,'Tablas psiquica'!D185)</f>
        <v>0</v>
      </c>
      <c r="U185" s="3512"/>
      <c r="V185" s="3524"/>
      <c r="W185" s="4254"/>
      <c r="X185" s="4255"/>
      <c r="Y185" s="3512">
        <f t="shared" si="23"/>
        <v>0</v>
      </c>
      <c r="Z185" s="3502">
        <f t="shared" si="24"/>
        <v>0</v>
      </c>
      <c r="AB185" s="3506" t="s">
        <v>10335</v>
      </c>
      <c r="AC185" s="2746" t="str" cm="1">
        <f t="array" ref="AC185">INDEX($I$6:$R$6,SUMPRODUCT(ISNUMBER(SEARCH("Fatiga",I272:R272))*1)+1)</f>
        <v>DIF</v>
      </c>
      <c r="AD185" s="2746" t="str">
        <f>IFERROR(VLOOKUP(AC185,Psíquicos!$AD$11:$AK$67,8,FALSE),AC185)</f>
        <v>DIF</v>
      </c>
      <c r="AE185" s="3032"/>
      <c r="AF185" s="3032"/>
      <c r="AG185" s="3032"/>
      <c r="AH185" s="3032"/>
      <c r="AI185" s="3032"/>
      <c r="AJ185" s="3032"/>
      <c r="AK185" s="3032"/>
      <c r="AL185" s="3032"/>
      <c r="AM185" s="3032"/>
      <c r="AN185" s="3032"/>
      <c r="AO185" s="3549"/>
    </row>
    <row r="186" spans="1:41">
      <c r="A186" s="702">
        <v>186</v>
      </c>
      <c r="B186" s="3503">
        <f>IF(OR(S186=0),0,SUM($S$6:S186))</f>
        <v>0</v>
      </c>
      <c r="C186" s="3032"/>
      <c r="D186" s="3507" t="s">
        <v>10895</v>
      </c>
      <c r="E186" s="3508"/>
      <c r="F186" s="3079"/>
      <c r="G186" s="3079"/>
      <c r="H186" s="3505"/>
      <c r="I186" s="3573"/>
      <c r="J186" s="3573"/>
      <c r="K186" s="3573"/>
      <c r="L186" s="3573"/>
      <c r="M186" s="3573"/>
      <c r="N186" s="3573"/>
      <c r="O186" s="3573"/>
      <c r="P186" s="3573"/>
      <c r="Q186" s="3573"/>
      <c r="R186" s="3573"/>
      <c r="S186" s="3519">
        <f>S187</f>
        <v>0</v>
      </c>
      <c r="T186" s="3518"/>
      <c r="U186" s="3512"/>
      <c r="V186" s="3524"/>
      <c r="W186" s="4254"/>
      <c r="X186" s="4255"/>
      <c r="Y186" s="3512">
        <f t="shared" si="23"/>
        <v>0</v>
      </c>
      <c r="Z186" s="3502">
        <f t="shared" si="24"/>
        <v>0</v>
      </c>
      <c r="AB186" s="3506" t="s">
        <v>10337</v>
      </c>
      <c r="AC186" s="2746" t="str" cm="1">
        <f t="array" ref="AC186">INDEX($I$6:$R$6,SUMPRODUCT(ISNUMBER(SEARCH("Fatiga",I274:R274))*1)+1)</f>
        <v>DIF</v>
      </c>
      <c r="AD186" s="2746" t="str">
        <f>IFERROR(VLOOKUP(AC186,Psíquicos!$AD$11:$AK$67,8,FALSE),AC186)</f>
        <v>DIF</v>
      </c>
      <c r="AE186" s="3032"/>
      <c r="AF186" s="3032"/>
      <c r="AG186" s="3032"/>
      <c r="AH186" s="3032"/>
      <c r="AI186" s="3032"/>
      <c r="AJ186" s="3032"/>
      <c r="AK186" s="3032"/>
      <c r="AL186" s="3032"/>
      <c r="AM186" s="3032"/>
      <c r="AN186" s="3032"/>
      <c r="AO186" s="3549"/>
    </row>
    <row r="187" spans="1:41">
      <c r="A187" s="702">
        <v>187</v>
      </c>
      <c r="B187" s="3503">
        <f>IF(OR(S187=0),0,SUM($S$6:S187))</f>
        <v>0</v>
      </c>
      <c r="C187" s="3032"/>
      <c r="D187" s="3507" t="s">
        <v>10226</v>
      </c>
      <c r="E187" s="3508" t="s">
        <v>10054</v>
      </c>
      <c r="F187" s="3079">
        <v>1</v>
      </c>
      <c r="G187" s="3079" t="s">
        <v>1241</v>
      </c>
      <c r="H187" s="3505" t="s">
        <v>1165</v>
      </c>
      <c r="I187" s="3573" t="s">
        <v>5406</v>
      </c>
      <c r="J187" s="3573" t="s">
        <v>5386</v>
      </c>
      <c r="K187" s="3573" t="s">
        <v>3334</v>
      </c>
      <c r="L187" s="3573" t="s">
        <v>10896</v>
      </c>
      <c r="M187" s="3573" t="s">
        <v>10897</v>
      </c>
      <c r="N187" s="3573" t="s">
        <v>10898</v>
      </c>
      <c r="O187" s="3573" t="s">
        <v>10899</v>
      </c>
      <c r="P187" s="3573" t="s">
        <v>10900</v>
      </c>
      <c r="Q187" s="3573" t="s">
        <v>10901</v>
      </c>
      <c r="R187" s="3573" t="s">
        <v>10902</v>
      </c>
      <c r="S187" s="3519">
        <f>IF(COUNTIF(Psíquicos!$C$26:$E$37,E187)=0,0,1)</f>
        <v>0</v>
      </c>
      <c r="T187" s="3518">
        <f>COUNTIF(Psíquicos!$V$20:$Z$73,'Tablas psiquica'!D187)</f>
        <v>0</v>
      </c>
      <c r="U187" s="3512"/>
      <c r="V187" s="3524"/>
      <c r="W187" s="4254" t="s">
        <v>13962</v>
      </c>
      <c r="X187" s="4257" t="s">
        <v>14076</v>
      </c>
      <c r="Y187" s="3512">
        <f t="shared" si="23"/>
        <v>0</v>
      </c>
      <c r="Z187" s="3502">
        <f t="shared" si="24"/>
        <v>0</v>
      </c>
      <c r="AB187" s="3506" t="s">
        <v>3</v>
      </c>
      <c r="AC187" s="2746" t="str" cm="1">
        <f t="array" ref="AC187">INDEX($I$6:$R$6,SUMPRODUCT(ISNUMBER(SEARCH("Fatiga",I276:R276))*1)+1)</f>
        <v>MED</v>
      </c>
      <c r="AD187" s="2746" t="str">
        <f>IFERROR(VLOOKUP(AC187,Psíquicos!$AD$11:$AK$67,8,FALSE),AC187)</f>
        <v>MED</v>
      </c>
      <c r="AE187" s="3032"/>
      <c r="AF187" s="3032"/>
      <c r="AG187" s="3032"/>
      <c r="AH187" s="3032"/>
      <c r="AI187" s="3032"/>
      <c r="AJ187" s="3032"/>
      <c r="AK187" s="3032"/>
      <c r="AL187" s="3032"/>
      <c r="AM187" s="3032"/>
      <c r="AN187" s="3032"/>
      <c r="AO187" s="3549"/>
    </row>
    <row r="188" spans="1:41">
      <c r="A188" s="702">
        <v>188</v>
      </c>
      <c r="B188" s="3503">
        <f>IF(OR(S188=0),0,SUM($S$6:S188))</f>
        <v>0</v>
      </c>
      <c r="C188" s="3032"/>
      <c r="D188" s="3507" t="s">
        <v>10234</v>
      </c>
      <c r="E188" s="3508" t="s">
        <v>10054</v>
      </c>
      <c r="F188" s="3079">
        <v>1</v>
      </c>
      <c r="G188" s="3079" t="s">
        <v>2422</v>
      </c>
      <c r="H188" s="3505" t="s">
        <v>1166</v>
      </c>
      <c r="I188" s="3573" t="s">
        <v>5408</v>
      </c>
      <c r="J188" s="3573" t="s">
        <v>5407</v>
      </c>
      <c r="K188" s="3573" t="s">
        <v>5406</v>
      </c>
      <c r="L188" s="3573" t="s">
        <v>5386</v>
      </c>
      <c r="M188" s="3573" t="s">
        <v>11168</v>
      </c>
      <c r="N188" s="3573" t="s">
        <v>11169</v>
      </c>
      <c r="O188" s="3573" t="s">
        <v>11170</v>
      </c>
      <c r="P188" s="3573" t="s">
        <v>11171</v>
      </c>
      <c r="Q188" s="3573" t="s">
        <v>11172</v>
      </c>
      <c r="R188" s="3573" t="s">
        <v>11173</v>
      </c>
      <c r="S188" s="3519">
        <f>IF(COUNTIF(Psíquicos!$C$26:$E$37,E188)=0,0,1)</f>
        <v>0</v>
      </c>
      <c r="T188" s="3518">
        <f>COUNTIF(Psíquicos!$V$20:$Z$73,'Tablas psiquica'!D188)</f>
        <v>0</v>
      </c>
      <c r="U188" s="3512"/>
      <c r="V188" s="3524">
        <v>1</v>
      </c>
      <c r="W188" s="4254" t="s">
        <v>13944</v>
      </c>
      <c r="X188" s="4257" t="s">
        <v>14077</v>
      </c>
      <c r="Y188" s="3512">
        <f t="shared" si="23"/>
        <v>0</v>
      </c>
      <c r="Z188" s="3502">
        <f t="shared" si="24"/>
        <v>1</v>
      </c>
      <c r="AB188" s="3506" t="s">
        <v>10339</v>
      </c>
      <c r="AC188" s="2746" t="str" cm="1">
        <f t="array" ref="AC188">INDEX($I$6:$R$6,SUMPRODUCT(ISNUMBER(SEARCH("Fatiga",I277:R277))*1)+1)</f>
        <v>MDF</v>
      </c>
      <c r="AD188" s="2746" t="str">
        <f>IFERROR(VLOOKUP(AC188,Psíquicos!$AD$11:$AK$67,8,FALSE),AC188)</f>
        <v>MDF</v>
      </c>
      <c r="AE188" s="3032"/>
      <c r="AF188" s="3032"/>
      <c r="AG188" s="3032"/>
      <c r="AH188" s="3032"/>
      <c r="AI188" s="3032"/>
      <c r="AJ188" s="3032"/>
      <c r="AK188" s="3032"/>
      <c r="AL188" s="3032"/>
      <c r="AM188" s="3032"/>
      <c r="AN188" s="3032"/>
      <c r="AO188" s="3549"/>
    </row>
    <row r="189" spans="1:41">
      <c r="A189" s="702">
        <v>189</v>
      </c>
      <c r="B189" s="3503">
        <f>IF(OR(S189=0),0,SUM($S$6:S189))</f>
        <v>0</v>
      </c>
      <c r="C189" s="3032"/>
      <c r="D189" s="3507" t="s">
        <v>10242</v>
      </c>
      <c r="E189" s="3508" t="s">
        <v>10054</v>
      </c>
      <c r="F189" s="3079">
        <v>1</v>
      </c>
      <c r="G189" s="3079" t="s">
        <v>1241</v>
      </c>
      <c r="H189" s="3505" t="s">
        <v>1166</v>
      </c>
      <c r="I189" s="3573" t="s">
        <v>5408</v>
      </c>
      <c r="J189" s="3573" t="s">
        <v>5407</v>
      </c>
      <c r="K189" s="3573" t="s">
        <v>5406</v>
      </c>
      <c r="L189" s="3573" t="s">
        <v>5386</v>
      </c>
      <c r="M189" s="3573" t="s">
        <v>10636</v>
      </c>
      <c r="N189" s="3573" t="s">
        <v>10639</v>
      </c>
      <c r="O189" s="3573" t="s">
        <v>10903</v>
      </c>
      <c r="P189" s="3573" t="s">
        <v>10643</v>
      </c>
      <c r="Q189" s="3573" t="s">
        <v>10647</v>
      </c>
      <c r="R189" s="3573" t="s">
        <v>10904</v>
      </c>
      <c r="S189" s="3519">
        <f>IF(COUNTIF(Psíquicos!$C$26:$E$37,E189)=0,0,1)</f>
        <v>0</v>
      </c>
      <c r="T189" s="3518">
        <f>COUNTIF(Psíquicos!$V$20:$Z$73,'Tablas psiquica'!D189)</f>
        <v>0</v>
      </c>
      <c r="U189" s="3512"/>
      <c r="V189" s="3524"/>
      <c r="W189" s="4254" t="s">
        <v>13982</v>
      </c>
      <c r="X189" s="4257" t="s">
        <v>14078</v>
      </c>
      <c r="Y189" s="3512">
        <f t="shared" si="23"/>
        <v>0</v>
      </c>
      <c r="Z189" s="3502">
        <f t="shared" si="24"/>
        <v>0</v>
      </c>
      <c r="AB189" s="3506" t="s">
        <v>10344</v>
      </c>
      <c r="AC189" s="2746" t="str" cm="1">
        <f t="array" ref="AC189">INDEX($I$6:$R$6,SUMPRODUCT(ISNUMBER(SEARCH("Fatiga",I283:R283))*1)+1)</f>
        <v>DIF</v>
      </c>
      <c r="AD189" s="2746" t="str">
        <f>IFERROR(VLOOKUP(AC189,Psíquicos!$AD$11:$AK$67,8,FALSE),AC189)</f>
        <v>DIF</v>
      </c>
      <c r="AE189" s="3032"/>
      <c r="AF189" s="3032"/>
      <c r="AG189" s="3032"/>
      <c r="AH189" s="3032"/>
      <c r="AI189" s="3032"/>
      <c r="AJ189" s="3032"/>
      <c r="AK189" s="3032"/>
      <c r="AL189" s="3032"/>
      <c r="AM189" s="3032"/>
      <c r="AN189" s="3032"/>
      <c r="AO189" s="3549"/>
    </row>
    <row r="190" spans="1:41">
      <c r="A190" s="702">
        <v>190</v>
      </c>
      <c r="B190" s="3503">
        <f>IF(OR(S190=0),0,SUM($S$6:S190))</f>
        <v>0</v>
      </c>
      <c r="C190" s="3032"/>
      <c r="D190" s="3507" t="s">
        <v>10251</v>
      </c>
      <c r="E190" s="3508" t="s">
        <v>10054</v>
      </c>
      <c r="F190" s="3079">
        <v>2</v>
      </c>
      <c r="G190" s="3079" t="s">
        <v>1241</v>
      </c>
      <c r="H190" s="3505" t="s">
        <v>1165</v>
      </c>
      <c r="I190" s="2744" t="s">
        <v>5416</v>
      </c>
      <c r="J190" s="2744" t="s">
        <v>5408</v>
      </c>
      <c r="K190" s="2744" t="s">
        <v>5407</v>
      </c>
      <c r="L190" s="2744" t="s">
        <v>5406</v>
      </c>
      <c r="M190" s="2744" t="s">
        <v>5386</v>
      </c>
      <c r="N190" s="3573" t="s">
        <v>11174</v>
      </c>
      <c r="O190" s="3573" t="s">
        <v>11175</v>
      </c>
      <c r="P190" s="3573" t="s">
        <v>11176</v>
      </c>
      <c r="Q190" s="3573" t="s">
        <v>11177</v>
      </c>
      <c r="R190" s="3573" t="s">
        <v>11178</v>
      </c>
      <c r="S190" s="3519">
        <f>IF(COUNTIF(Psíquicos!$C$26:$E$37,E190)=0,0,1)</f>
        <v>0</v>
      </c>
      <c r="T190" s="3518">
        <f>COUNTIF(Psíquicos!$V$20:$Z$73,'Tablas psiquica'!D190)</f>
        <v>0</v>
      </c>
      <c r="U190" s="3512"/>
      <c r="V190" s="3524"/>
      <c r="W190" s="4254" t="s">
        <v>13952</v>
      </c>
      <c r="X190" s="4257" t="s">
        <v>14079</v>
      </c>
      <c r="Y190" s="3512">
        <f t="shared" si="23"/>
        <v>0</v>
      </c>
      <c r="Z190" s="3502">
        <f t="shared" si="24"/>
        <v>0</v>
      </c>
      <c r="AB190" s="3506" t="s">
        <v>10347</v>
      </c>
      <c r="AC190" s="2746" t="str" cm="1">
        <f t="array" ref="AC190">INDEX($I$6:$R$6,SUMPRODUCT(ISNUMBER(SEARCH("Fatiga",I286:R286))*1)+1)</f>
        <v>DIF</v>
      </c>
      <c r="AD190" s="2746" t="str">
        <f>IFERROR(VLOOKUP(AC190,Psíquicos!$AD$11:$AK$67,8,FALSE),AC190)</f>
        <v>DIF</v>
      </c>
      <c r="AE190" s="3032"/>
      <c r="AF190" s="3032"/>
      <c r="AG190" s="3032"/>
      <c r="AH190" s="3032"/>
      <c r="AI190" s="3032"/>
      <c r="AJ190" s="3032"/>
      <c r="AK190" s="3032"/>
      <c r="AL190" s="3032"/>
      <c r="AM190" s="3032"/>
      <c r="AN190" s="3032"/>
      <c r="AO190" s="3549"/>
    </row>
    <row r="191" spans="1:41">
      <c r="A191" s="702">
        <v>191</v>
      </c>
      <c r="B191" s="3503">
        <f>IF(OR(S191=0),0,SUM($S$6:S191))</f>
        <v>0</v>
      </c>
      <c r="C191" s="3032"/>
      <c r="D191" s="3507" t="s">
        <v>10258</v>
      </c>
      <c r="E191" s="3508" t="s">
        <v>10054</v>
      </c>
      <c r="F191" s="3079">
        <v>2</v>
      </c>
      <c r="G191" s="3079" t="s">
        <v>2422</v>
      </c>
      <c r="H191" s="3505" t="s">
        <v>1165</v>
      </c>
      <c r="I191" s="3573" t="s">
        <v>5408</v>
      </c>
      <c r="J191" s="3573" t="s">
        <v>5407</v>
      </c>
      <c r="K191" s="3573" t="s">
        <v>5406</v>
      </c>
      <c r="L191" s="3573" t="s">
        <v>5386</v>
      </c>
      <c r="M191" s="3573" t="s">
        <v>8745</v>
      </c>
      <c r="N191" s="3573" t="s">
        <v>8746</v>
      </c>
      <c r="O191" s="3573" t="s">
        <v>8747</v>
      </c>
      <c r="P191" s="3573" t="s">
        <v>8748</v>
      </c>
      <c r="Q191" s="3573" t="s">
        <v>8749</v>
      </c>
      <c r="R191" s="3573" t="s">
        <v>8751</v>
      </c>
      <c r="S191" s="3519">
        <f>IF(COUNTIF(Psíquicos!$C$26:$E$37,E191)=0,0,1)</f>
        <v>0</v>
      </c>
      <c r="T191" s="3518">
        <f>COUNTIF(Psíquicos!$V$20:$Z$73,'Tablas psiquica'!D191)</f>
        <v>0</v>
      </c>
      <c r="U191" s="3512"/>
      <c r="V191" s="3524"/>
      <c r="W191" s="4254" t="s">
        <v>13942</v>
      </c>
      <c r="X191" s="4257" t="s">
        <v>14080</v>
      </c>
      <c r="Y191" s="3512">
        <f t="shared" si="23"/>
        <v>0</v>
      </c>
      <c r="Z191" s="3502">
        <f t="shared" si="24"/>
        <v>0</v>
      </c>
      <c r="AB191" s="3506" t="s">
        <v>10348</v>
      </c>
      <c r="AC191" s="2746" t="str" cm="1">
        <f t="array" ref="AC191">INDEX($I$6:$R$6,SUMPRODUCT(ISNUMBER(SEARCH("Fatiga",I288:R288))*1)+1)</f>
        <v>DIF</v>
      </c>
      <c r="AD191" s="2746" t="str">
        <f>IFERROR(VLOOKUP(AC191,Psíquicos!$AD$11:$AK$67,8,FALSE),AC191)</f>
        <v>DIF</v>
      </c>
      <c r="AE191" s="3032"/>
      <c r="AF191" s="3032"/>
      <c r="AG191" s="3032"/>
      <c r="AH191" s="3032"/>
      <c r="AI191" s="3032"/>
      <c r="AJ191" s="3032"/>
      <c r="AK191" s="3032"/>
      <c r="AL191" s="3032"/>
      <c r="AM191" s="3032"/>
      <c r="AN191" s="3032"/>
      <c r="AO191" s="3549"/>
    </row>
    <row r="192" spans="1:41">
      <c r="A192" s="702">
        <v>192</v>
      </c>
      <c r="B192" s="3503">
        <f>IF(OR(S192=0),0,SUM($S$6:S192))</f>
        <v>0</v>
      </c>
      <c r="C192" s="3032"/>
      <c r="D192" s="3507" t="s">
        <v>10266</v>
      </c>
      <c r="E192" s="3508" t="s">
        <v>10054</v>
      </c>
      <c r="F192" s="3079">
        <v>2</v>
      </c>
      <c r="G192" s="3079" t="s">
        <v>1241</v>
      </c>
      <c r="H192" s="3505" t="s">
        <v>1165</v>
      </c>
      <c r="I192" s="3573" t="s">
        <v>5408</v>
      </c>
      <c r="J192" s="3573" t="s">
        <v>5407</v>
      </c>
      <c r="K192" s="3573" t="s">
        <v>5406</v>
      </c>
      <c r="L192" s="3573" t="s">
        <v>11181</v>
      </c>
      <c r="M192" s="3573" t="s">
        <v>11180</v>
      </c>
      <c r="N192" s="3573" t="s">
        <v>11182</v>
      </c>
      <c r="O192" s="3573" t="s">
        <v>11183</v>
      </c>
      <c r="P192" s="3573" t="s">
        <v>11184</v>
      </c>
      <c r="Q192" s="3573" t="s">
        <v>11185</v>
      </c>
      <c r="R192" s="3573" t="s">
        <v>11186</v>
      </c>
      <c r="S192" s="3519">
        <f>IF(COUNTIF(Psíquicos!$C$26:$E$37,E192)=0,0,1)</f>
        <v>0</v>
      </c>
      <c r="T192" s="3518">
        <f>COUNTIF(Psíquicos!$V$20:$Z$73,'Tablas psiquica'!D192)</f>
        <v>0</v>
      </c>
      <c r="U192" s="3512"/>
      <c r="V192" s="3524"/>
      <c r="W192" s="4254" t="s">
        <v>13942</v>
      </c>
      <c r="X192" s="4257" t="s">
        <v>14081</v>
      </c>
      <c r="Y192" s="3512">
        <f t="shared" si="23"/>
        <v>0</v>
      </c>
      <c r="Z192" s="3502">
        <f t="shared" si="24"/>
        <v>0</v>
      </c>
      <c r="AB192" s="3557" t="s">
        <v>10349</v>
      </c>
      <c r="AC192" s="2746" t="str" cm="1">
        <f t="array" ref="AC192">INDEX($I$6:$R$6,SUMPRODUCT(ISNUMBER(SEARCH("Fatiga",I289:R289))*1)+1)</f>
        <v>DIF</v>
      </c>
      <c r="AD192" s="2746" t="str">
        <f>IFERROR(VLOOKUP(AC192,Psíquicos!$AD$11:$AK$67,8,FALSE),AC192)</f>
        <v>DIF</v>
      </c>
      <c r="AE192" s="3032"/>
      <c r="AF192" s="3032"/>
      <c r="AG192" s="3032"/>
      <c r="AH192" s="3032"/>
      <c r="AI192" s="3032"/>
      <c r="AJ192" s="3032"/>
      <c r="AK192" s="3032"/>
      <c r="AL192" s="3032"/>
      <c r="AM192" s="3032"/>
      <c r="AN192" s="3032"/>
      <c r="AO192" s="3549"/>
    </row>
    <row r="193" spans="1:41">
      <c r="A193" s="702">
        <v>193</v>
      </c>
      <c r="B193" s="3503">
        <f>IF(OR(S193=0),0,SUM($S$6:S193))</f>
        <v>0</v>
      </c>
      <c r="C193" s="3032"/>
      <c r="D193" s="3507" t="s">
        <v>10272</v>
      </c>
      <c r="E193" s="3508" t="s">
        <v>10054</v>
      </c>
      <c r="F193" s="3079">
        <v>3</v>
      </c>
      <c r="G193" s="3079" t="s">
        <v>1241</v>
      </c>
      <c r="H193" s="3505" t="s">
        <v>1165</v>
      </c>
      <c r="I193" s="3573" t="s">
        <v>5472</v>
      </c>
      <c r="J193" s="3573" t="s">
        <v>5473</v>
      </c>
      <c r="K193" s="3573" t="s">
        <v>10871</v>
      </c>
      <c r="L193" s="3573" t="s">
        <v>5417</v>
      </c>
      <c r="M193" s="3573" t="s">
        <v>5416</v>
      </c>
      <c r="N193" s="3573" t="s">
        <v>5408</v>
      </c>
      <c r="O193" s="3573" t="s">
        <v>11190</v>
      </c>
      <c r="P193" s="3573" t="s">
        <v>11189</v>
      </c>
      <c r="Q193" s="3573" t="s">
        <v>11188</v>
      </c>
      <c r="R193" s="3573" t="s">
        <v>11187</v>
      </c>
      <c r="S193" s="3519">
        <f>IF(COUNTIF(Psíquicos!$C$26:$E$37,E193)=0,0,1)</f>
        <v>0</v>
      </c>
      <c r="T193" s="3518">
        <f>COUNTIF(Psíquicos!$V$20:$Z$73,'Tablas psiquica'!D193)</f>
        <v>0</v>
      </c>
      <c r="U193" s="3512"/>
      <c r="V193" s="3524"/>
      <c r="W193" s="4254" t="s">
        <v>14082</v>
      </c>
      <c r="X193" s="4257" t="s">
        <v>13980</v>
      </c>
      <c r="Y193" s="3512">
        <f t="shared" si="23"/>
        <v>0</v>
      </c>
      <c r="Z193" s="3502">
        <f t="shared" si="24"/>
        <v>0</v>
      </c>
      <c r="AB193" s="3557" t="s">
        <v>10350</v>
      </c>
      <c r="AC193" s="2746" t="str" cm="1">
        <f t="array" ref="AC193">INDEX($I$6:$R$6,SUMPRODUCT(ISNUMBER(SEARCH("Fatiga",I290:R290))*1)+1)</f>
        <v>MDF</v>
      </c>
      <c r="AD193" s="2746" t="str">
        <f>IFERROR(VLOOKUP(AC193,Psíquicos!$AD$11:$AK$67,8,FALSE),AC193)</f>
        <v>MDF</v>
      </c>
      <c r="AE193" s="3032"/>
      <c r="AF193" s="3032"/>
      <c r="AG193" s="3032"/>
      <c r="AH193" s="3032"/>
      <c r="AI193" s="3032"/>
      <c r="AJ193" s="3032"/>
      <c r="AK193" s="3032"/>
      <c r="AL193" s="3032"/>
      <c r="AM193" s="3032"/>
      <c r="AN193" s="3032"/>
      <c r="AO193" s="3549"/>
    </row>
    <row r="194" spans="1:41">
      <c r="A194" s="702">
        <v>194</v>
      </c>
      <c r="B194" s="3503">
        <f>IF(OR(S194=0),0,SUM($S$6:S194))</f>
        <v>0</v>
      </c>
      <c r="C194" s="3032"/>
      <c r="D194" s="3507" t="s">
        <v>10276</v>
      </c>
      <c r="E194" s="3508" t="s">
        <v>10054</v>
      </c>
      <c r="F194" s="3079">
        <v>3</v>
      </c>
      <c r="G194" s="3079" t="s">
        <v>1241</v>
      </c>
      <c r="H194" s="3505" t="s">
        <v>1165</v>
      </c>
      <c r="I194" s="3573" t="s">
        <v>5472</v>
      </c>
      <c r="J194" s="3573" t="s">
        <v>5417</v>
      </c>
      <c r="K194" s="3573" t="s">
        <v>5416</v>
      </c>
      <c r="L194" s="3573" t="s">
        <v>5408</v>
      </c>
      <c r="M194" s="3573" t="s">
        <v>5407</v>
      </c>
      <c r="N194" s="3573" t="s">
        <v>11191</v>
      </c>
      <c r="O194" s="3573" t="s">
        <v>11192</v>
      </c>
      <c r="P194" s="3573" t="s">
        <v>11193</v>
      </c>
      <c r="Q194" s="3573" t="s">
        <v>11194</v>
      </c>
      <c r="R194" s="3573" t="s">
        <v>11195</v>
      </c>
      <c r="S194" s="3519">
        <f>IF(COUNTIF(Psíquicos!$C$26:$E$37,E194)=0,0,1)</f>
        <v>0</v>
      </c>
      <c r="T194" s="3518">
        <f>COUNTIF(Psíquicos!$V$20:$Z$73,'Tablas psiquica'!D194)</f>
        <v>0</v>
      </c>
      <c r="U194" s="3512"/>
      <c r="V194" s="3524"/>
      <c r="W194" s="4254" t="s">
        <v>13975</v>
      </c>
      <c r="X194" s="4257" t="s">
        <v>14081</v>
      </c>
      <c r="Y194" s="3512">
        <f t="shared" si="23"/>
        <v>0</v>
      </c>
      <c r="Z194" s="3502">
        <f t="shared" si="24"/>
        <v>0</v>
      </c>
      <c r="AB194" s="3537" t="s">
        <v>209</v>
      </c>
      <c r="AC194" s="342"/>
      <c r="AD194" s="342"/>
      <c r="AE194" s="2030"/>
      <c r="AF194" s="2030"/>
      <c r="AG194" s="3540"/>
      <c r="AH194" s="3540"/>
      <c r="AI194" s="3540"/>
      <c r="AJ194" s="3540"/>
      <c r="AK194" s="3540"/>
      <c r="AL194" s="3540"/>
      <c r="AM194" s="3540"/>
      <c r="AN194" s="3541"/>
      <c r="AO194" s="1793" t="e">
        <f>IF(COUNTIF(Psíquicos!$AD$20:$AH$65,AB194),VALUE(INDEX('Tablas psiquica'!#REF!,MATCH('Tablas psiquica'!#REF!,'Tablas psiquica'!$AE$6:$AN$6,0))),0)</f>
        <v>#REF!</v>
      </c>
    </row>
    <row r="195" spans="1:41">
      <c r="A195" s="702">
        <v>195</v>
      </c>
      <c r="B195" s="3503">
        <f>IF(OR(S195=0),0,SUM($S$6:S195))</f>
        <v>0</v>
      </c>
      <c r="C195" s="3032"/>
      <c r="D195" s="3507" t="s">
        <v>10905</v>
      </c>
      <c r="E195" s="3508"/>
      <c r="F195" s="3032"/>
      <c r="G195" s="3079"/>
      <c r="H195" s="3505"/>
      <c r="I195" s="3573"/>
      <c r="J195" s="3573"/>
      <c r="K195" s="3573"/>
      <c r="L195" s="3573"/>
      <c r="M195" s="3573"/>
      <c r="N195" s="3573"/>
      <c r="O195" s="3573"/>
      <c r="P195" s="3573"/>
      <c r="Q195" s="3573"/>
      <c r="R195" s="3573"/>
      <c r="S195" s="3519">
        <f>S196</f>
        <v>0</v>
      </c>
      <c r="T195" s="3518"/>
      <c r="U195" s="3512"/>
      <c r="V195" s="3524"/>
      <c r="W195" s="4254"/>
      <c r="X195" s="4255"/>
      <c r="Y195" s="3512">
        <f t="shared" si="23"/>
        <v>0</v>
      </c>
      <c r="Z195" s="3502">
        <f t="shared" si="24"/>
        <v>0</v>
      </c>
      <c r="AB195" s="3537" t="s">
        <v>210</v>
      </c>
      <c r="AC195" s="342" t="str" cm="1">
        <f t="array" ref="AC195">INDEX($I$6:$R$6,SUMPRODUCT(ISNUMBER(SEARCH("Fatiga",I293:R293))*1)+1)</f>
        <v>DIF</v>
      </c>
      <c r="AD195" s="342" t="str">
        <f>IFERROR(VLOOKUP(AB195,Psíquicos!$AD$11:$AK$67,8,FALSE),AC195)</f>
        <v>DIF</v>
      </c>
      <c r="AE195" s="3540"/>
      <c r="AF195" s="3540"/>
      <c r="AG195" s="3540"/>
      <c r="AH195" s="3540"/>
      <c r="AI195" s="3540"/>
      <c r="AJ195" s="3540"/>
      <c r="AK195" s="3540"/>
      <c r="AL195" s="3540"/>
      <c r="AM195" s="3540"/>
      <c r="AN195" s="3541"/>
      <c r="AO195" s="1793">
        <f>IF(COUNTIF(Psíquicos!$AD$20:$AH$65,AB195),VALUE(INDEX('Tablas psiquica'!#REF!,MATCH('Tablas psiquica'!#REF!,'Tablas psiquica'!$AE$6:$AN$6,0))),0)</f>
        <v>0</v>
      </c>
    </row>
    <row r="196" spans="1:41">
      <c r="A196" s="702">
        <v>196</v>
      </c>
      <c r="B196" s="3503">
        <f>IF(OR(S196=0),0,SUM($S$6:S196))</f>
        <v>0</v>
      </c>
      <c r="C196" s="3032"/>
      <c r="D196" s="3507" t="s">
        <v>10227</v>
      </c>
      <c r="E196" s="3508" t="s">
        <v>10055</v>
      </c>
      <c r="F196" s="3079">
        <v>1</v>
      </c>
      <c r="G196" s="3079" t="s">
        <v>1241</v>
      </c>
      <c r="H196" s="3505" t="s">
        <v>1165</v>
      </c>
      <c r="I196" s="3573" t="s">
        <v>5406</v>
      </c>
      <c r="J196" s="3573" t="s">
        <v>5386</v>
      </c>
      <c r="K196" s="3573" t="s">
        <v>5387</v>
      </c>
      <c r="L196" s="3573" t="s">
        <v>10906</v>
      </c>
      <c r="M196" s="3573" t="s">
        <v>10907</v>
      </c>
      <c r="N196" s="3573" t="s">
        <v>10908</v>
      </c>
      <c r="O196" s="3573" t="s">
        <v>10909</v>
      </c>
      <c r="P196" s="3573" t="s">
        <v>10910</v>
      </c>
      <c r="Q196" s="3573" t="s">
        <v>10911</v>
      </c>
      <c r="R196" s="3573" t="s">
        <v>10912</v>
      </c>
      <c r="S196" s="3519">
        <f>IF(COUNTIF(Psíquicos!$C$26:$E$37,E196)=0,0,1)</f>
        <v>0</v>
      </c>
      <c r="T196" s="3518">
        <f>COUNTIF(Psíquicos!$V$20:$Z$73,'Tablas psiquica'!D196)</f>
        <v>0</v>
      </c>
      <c r="U196" s="3512"/>
      <c r="V196" s="3524"/>
      <c r="W196" s="4254" t="s">
        <v>14000</v>
      </c>
      <c r="X196" s="4257" t="s">
        <v>14083</v>
      </c>
      <c r="Y196" s="3512">
        <f t="shared" si="23"/>
        <v>0</v>
      </c>
      <c r="Z196" s="3502">
        <f t="shared" si="24"/>
        <v>0</v>
      </c>
      <c r="AB196" s="3537" t="s">
        <v>211</v>
      </c>
      <c r="AC196" s="342" t="str" cm="1">
        <f t="array" ref="AC196">INDEX($I$6:$R$6,SUMPRODUCT(ISNUMBER(SEARCH("Fatiga",I294:R294))*1)+1)</f>
        <v>FAC</v>
      </c>
      <c r="AD196" s="342" t="str">
        <f>IFERROR(VLOOKUP(AB196,Psíquicos!$AD$11:$AK$67,8,FALSE),AC196)</f>
        <v>FAC</v>
      </c>
      <c r="AE196" s="3540"/>
      <c r="AF196" s="3540"/>
      <c r="AG196" s="3540"/>
      <c r="AH196" s="3540"/>
      <c r="AI196" s="3540"/>
      <c r="AJ196" s="3540"/>
      <c r="AK196" s="3540"/>
      <c r="AL196" s="3540"/>
      <c r="AM196" s="3540"/>
      <c r="AN196" s="3541"/>
      <c r="AO196" s="1793">
        <f>IF(COUNTIF(Psíquicos!$AD$20:$AH$65,AB196),VALUE(INDEX('Tablas psiquica'!#REF!,MATCH('Tablas psiquica'!#REF!,'Tablas psiquica'!$AE$6:$AN$6,0))),0)</f>
        <v>0</v>
      </c>
    </row>
    <row r="197" spans="1:41">
      <c r="A197" s="702">
        <v>197</v>
      </c>
      <c r="B197" s="3503">
        <f>IF(OR(S197=0),0,SUM($S$6:S197))</f>
        <v>0</v>
      </c>
      <c r="C197" s="3032"/>
      <c r="D197" s="3507" t="s">
        <v>10235</v>
      </c>
      <c r="E197" s="3508" t="s">
        <v>10055</v>
      </c>
      <c r="F197" s="3079">
        <v>1</v>
      </c>
      <c r="G197" s="3079" t="s">
        <v>2422</v>
      </c>
      <c r="H197" s="3505" t="s">
        <v>1165</v>
      </c>
      <c r="I197" s="3573" t="s">
        <v>5406</v>
      </c>
      <c r="J197" s="3573" t="s">
        <v>5386</v>
      </c>
      <c r="K197" s="3573" t="s">
        <v>5387</v>
      </c>
      <c r="L197" s="3574" t="s">
        <v>10913</v>
      </c>
      <c r="M197" s="3574" t="s">
        <v>10914</v>
      </c>
      <c r="N197" s="3574" t="s">
        <v>10915</v>
      </c>
      <c r="O197" s="3574" t="s">
        <v>10916</v>
      </c>
      <c r="P197" s="3574" t="s">
        <v>10917</v>
      </c>
      <c r="Q197" s="3574" t="s">
        <v>10918</v>
      </c>
      <c r="R197" s="3574" t="s">
        <v>10919</v>
      </c>
      <c r="S197" s="3519">
        <f>IF(COUNTIF(Psíquicos!$C$26:$E$37,E197)=0,0,1)</f>
        <v>0</v>
      </c>
      <c r="T197" s="3518">
        <f>COUNTIF(Psíquicos!$V$20:$Z$73,'Tablas psiquica'!D197)</f>
        <v>0</v>
      </c>
      <c r="U197" s="3512"/>
      <c r="V197" s="3524"/>
      <c r="W197" s="4254" t="s">
        <v>13952</v>
      </c>
      <c r="X197" s="4257" t="s">
        <v>14084</v>
      </c>
      <c r="Y197" s="3512">
        <f t="shared" si="23"/>
        <v>0</v>
      </c>
      <c r="Z197" s="3502">
        <f t="shared" si="24"/>
        <v>0</v>
      </c>
      <c r="AB197" s="3537" t="s">
        <v>212</v>
      </c>
      <c r="AC197" s="342" t="str" cm="1">
        <f t="array" ref="AC197">INDEX($I$6:$R$6,SUMPRODUCT(ISNUMBER(SEARCH("Fatiga",I295:R295))*1)+1)</f>
        <v>MED</v>
      </c>
      <c r="AD197" s="342" t="str">
        <f>IFERROR(VLOOKUP(AB197,Psíquicos!$AD$11:$AK$67,8,FALSE),AC197)</f>
        <v>MED</v>
      </c>
      <c r="AE197" s="3540"/>
      <c r="AF197" s="3540"/>
      <c r="AG197" s="3540"/>
      <c r="AH197" s="3540"/>
      <c r="AI197" s="3540"/>
      <c r="AJ197" s="3540"/>
      <c r="AK197" s="3540"/>
      <c r="AL197" s="3540"/>
      <c r="AM197" s="3540"/>
      <c r="AN197" s="3541"/>
      <c r="AO197" s="1793">
        <f>IF(COUNTIF(Psíquicos!$AD$20:$AH$65,AB197),VALUE(INDEX('Tablas psiquica'!#REF!,MATCH('Tablas psiquica'!#REF!,'Tablas psiquica'!$AE$6:$AN$6,0))),0)</f>
        <v>0</v>
      </c>
    </row>
    <row r="198" spans="1:41" ht="13.5" thickBot="1">
      <c r="A198" s="702">
        <v>198</v>
      </c>
      <c r="B198" s="3503">
        <f>IF(OR(S198=0),0,SUM($S$6:S198))</f>
        <v>0</v>
      </c>
      <c r="C198" s="3032"/>
      <c r="D198" s="3507" t="s">
        <v>10243</v>
      </c>
      <c r="E198" s="3508" t="s">
        <v>10055</v>
      </c>
      <c r="F198" s="3079">
        <v>2</v>
      </c>
      <c r="G198" s="3079" t="s">
        <v>2422</v>
      </c>
      <c r="H198" s="3505" t="s">
        <v>1166</v>
      </c>
      <c r="I198" s="3573" t="s">
        <v>5408</v>
      </c>
      <c r="J198" s="3573" t="s">
        <v>5407</v>
      </c>
      <c r="K198" s="3573" t="s">
        <v>5406</v>
      </c>
      <c r="L198" s="3573" t="s">
        <v>5386</v>
      </c>
      <c r="M198" s="3573" t="s">
        <v>11196</v>
      </c>
      <c r="N198" s="3573" t="s">
        <v>11197</v>
      </c>
      <c r="O198" s="3573" t="s">
        <v>11198</v>
      </c>
      <c r="P198" s="3573" t="s">
        <v>11199</v>
      </c>
      <c r="Q198" s="3573" t="s">
        <v>11200</v>
      </c>
      <c r="R198" s="3573" t="s">
        <v>11201</v>
      </c>
      <c r="S198" s="3519">
        <f>IF(COUNTIF(Psíquicos!$C$26:$E$37,E198)=0,0,1)</f>
        <v>0</v>
      </c>
      <c r="T198" s="3518">
        <f>COUNTIF(Psíquicos!$V$20:$Z$73,'Tablas psiquica'!D198)</f>
        <v>0</v>
      </c>
      <c r="U198" s="3512"/>
      <c r="V198" s="3524">
        <v>1</v>
      </c>
      <c r="W198" s="4254" t="s">
        <v>14000</v>
      </c>
      <c r="X198" s="4257" t="s">
        <v>14077</v>
      </c>
      <c r="Y198" s="3512">
        <f t="shared" si="23"/>
        <v>0</v>
      </c>
      <c r="Z198" s="3502">
        <f t="shared" si="24"/>
        <v>1</v>
      </c>
      <c r="AB198" s="3542" t="s">
        <v>213</v>
      </c>
      <c r="AC198" s="342" t="str" cm="1">
        <f t="array" ref="AC198">INDEX($I$6:$R$6,SUMPRODUCT(ISNUMBER(SEARCH("Fatiga",I296:R296))*1)+1)</f>
        <v>DIF</v>
      </c>
      <c r="AD198" s="3543" t="str">
        <f>IFERROR(VLOOKUP(AB198,Psíquicos!$AD$11:$AK$67,8,FALSE),AC198)</f>
        <v>DIF</v>
      </c>
      <c r="AE198" s="3544"/>
      <c r="AF198" s="3544"/>
      <c r="AG198" s="3544"/>
      <c r="AH198" s="3544"/>
      <c r="AI198" s="3544"/>
      <c r="AJ198" s="3544"/>
      <c r="AK198" s="3544"/>
      <c r="AL198" s="3544"/>
      <c r="AM198" s="3544"/>
      <c r="AN198" s="3545"/>
      <c r="AO198" s="3546">
        <f>IF(COUNTIF(Psíquicos!$AD$20:$AH$65,AB198),VALUE(INDEX('Tablas psiquica'!#REF!,MATCH('Tablas psiquica'!#REF!,'Tablas psiquica'!$AE$6:$AN$6,0))),0)</f>
        <v>0</v>
      </c>
    </row>
    <row r="199" spans="1:41">
      <c r="A199" s="702">
        <v>199</v>
      </c>
      <c r="B199" s="3503">
        <f>IF(OR(S199=0),0,SUM($S$6:S199))</f>
        <v>0</v>
      </c>
      <c r="C199" s="3032"/>
      <c r="D199" s="3507" t="s">
        <v>10252</v>
      </c>
      <c r="E199" s="3508" t="s">
        <v>10055</v>
      </c>
      <c r="F199" s="3079">
        <v>2</v>
      </c>
      <c r="G199" s="3079" t="s">
        <v>2422</v>
      </c>
      <c r="H199" s="3505" t="s">
        <v>1166</v>
      </c>
      <c r="I199" s="2744" t="s">
        <v>5416</v>
      </c>
      <c r="J199" s="2744" t="s">
        <v>5408</v>
      </c>
      <c r="K199" s="2744" t="s">
        <v>5407</v>
      </c>
      <c r="L199" s="2744" t="s">
        <v>5406</v>
      </c>
      <c r="M199" s="3573" t="s">
        <v>5386</v>
      </c>
      <c r="N199" s="3573" t="s">
        <v>11202</v>
      </c>
      <c r="O199" s="3573" t="s">
        <v>11203</v>
      </c>
      <c r="P199" s="3573" t="s">
        <v>11204</v>
      </c>
      <c r="Q199" s="3573" t="s">
        <v>11205</v>
      </c>
      <c r="R199" s="3573" t="s">
        <v>11206</v>
      </c>
      <c r="S199" s="3519">
        <f>IF(COUNTIF(Psíquicos!$C$26:$E$37,E199)=0,0,1)</f>
        <v>0</v>
      </c>
      <c r="T199" s="3518">
        <f>COUNTIF(Psíquicos!$V$20:$Z$73,'Tablas psiquica'!D199)</f>
        <v>0</v>
      </c>
      <c r="U199" s="3512"/>
      <c r="V199" s="3524"/>
      <c r="W199" s="4254" t="s">
        <v>13942</v>
      </c>
      <c r="X199" s="4257" t="s">
        <v>14085</v>
      </c>
      <c r="Y199" s="3512">
        <f t="shared" ref="Y199:Y245" si="26">T199+U199</f>
        <v>0</v>
      </c>
      <c r="Z199" s="3502">
        <f t="shared" ref="Z199:Z245" si="27">T199+V199</f>
        <v>0</v>
      </c>
    </row>
    <row r="200" spans="1:41">
      <c r="A200" s="702">
        <v>200</v>
      </c>
      <c r="B200" s="3503">
        <f>IF(OR(S200=0),0,SUM($S$6:S200))</f>
        <v>0</v>
      </c>
      <c r="C200" s="3032"/>
      <c r="D200" s="3507" t="s">
        <v>10259</v>
      </c>
      <c r="E200" s="3508" t="s">
        <v>10055</v>
      </c>
      <c r="F200" s="3079">
        <v>2</v>
      </c>
      <c r="G200" s="3079" t="s">
        <v>1241</v>
      </c>
      <c r="H200" s="3505" t="s">
        <v>1165</v>
      </c>
      <c r="I200" s="2744" t="s">
        <v>5416</v>
      </c>
      <c r="J200" s="2744" t="s">
        <v>5408</v>
      </c>
      <c r="K200" s="2744" t="s">
        <v>5407</v>
      </c>
      <c r="L200" s="2744" t="s">
        <v>5406</v>
      </c>
      <c r="M200" s="3573" t="s">
        <v>5386</v>
      </c>
      <c r="N200" s="3573" t="s">
        <v>11207</v>
      </c>
      <c r="O200" s="3573" t="s">
        <v>11208</v>
      </c>
      <c r="P200" s="3573" t="s">
        <v>11209</v>
      </c>
      <c r="Q200" s="3573" t="s">
        <v>11210</v>
      </c>
      <c r="R200" s="3573" t="s">
        <v>11211</v>
      </c>
      <c r="S200" s="3519">
        <f>IF(COUNTIF(Psíquicos!$C$26:$E$37,E200)=0,0,1)</f>
        <v>0</v>
      </c>
      <c r="T200" s="3518">
        <f>COUNTIF(Psíquicos!$V$20:$Z$73,'Tablas psiquica'!D200)</f>
        <v>0</v>
      </c>
      <c r="U200" s="3512"/>
      <c r="V200" s="3524"/>
      <c r="W200" s="4254" t="s">
        <v>13942</v>
      </c>
      <c r="X200" s="4257" t="s">
        <v>14086</v>
      </c>
      <c r="Y200" s="3512">
        <f t="shared" si="26"/>
        <v>0</v>
      </c>
      <c r="Z200" s="3502">
        <f t="shared" si="27"/>
        <v>0</v>
      </c>
    </row>
    <row r="201" spans="1:41">
      <c r="A201" s="702">
        <v>201</v>
      </c>
      <c r="B201" s="3503">
        <f>IF(OR(S201=0),0,SUM($S$6:S201))</f>
        <v>0</v>
      </c>
      <c r="C201" s="3032"/>
      <c r="D201" s="3507" t="s">
        <v>10267</v>
      </c>
      <c r="E201" s="3508" t="s">
        <v>10055</v>
      </c>
      <c r="F201" s="3079">
        <v>2</v>
      </c>
      <c r="G201" s="3079" t="s">
        <v>1241</v>
      </c>
      <c r="H201" s="3505" t="s">
        <v>1165</v>
      </c>
      <c r="I201" s="3573" t="s">
        <v>5408</v>
      </c>
      <c r="J201" s="3573" t="s">
        <v>5407</v>
      </c>
      <c r="K201" s="3573" t="s">
        <v>5406</v>
      </c>
      <c r="L201" s="3573" t="s">
        <v>5386</v>
      </c>
      <c r="M201" s="3573" t="s">
        <v>8747</v>
      </c>
      <c r="N201" s="3573" t="s">
        <v>8748</v>
      </c>
      <c r="O201" s="3573" t="s">
        <v>8749</v>
      </c>
      <c r="P201" s="3573" t="s">
        <v>8750</v>
      </c>
      <c r="Q201" s="3573" t="s">
        <v>8751</v>
      </c>
      <c r="R201" s="3573" t="s">
        <v>11118</v>
      </c>
      <c r="S201" s="3519">
        <f>IF(COUNTIF(Psíquicos!$C$26:$E$37,E201)=0,0,1)</f>
        <v>0</v>
      </c>
      <c r="T201" s="3518">
        <f>COUNTIF(Psíquicos!$V$20:$Z$73,'Tablas psiquica'!D201)</f>
        <v>0</v>
      </c>
      <c r="U201" s="3512"/>
      <c r="V201" s="3524"/>
      <c r="W201" s="4254" t="s">
        <v>14041</v>
      </c>
      <c r="X201" s="4255" t="s">
        <v>14087</v>
      </c>
      <c r="Y201" s="3512">
        <f t="shared" si="26"/>
        <v>0</v>
      </c>
      <c r="Z201" s="3502">
        <f t="shared" si="27"/>
        <v>0</v>
      </c>
    </row>
    <row r="202" spans="1:41">
      <c r="A202" s="702">
        <v>202</v>
      </c>
      <c r="B202" s="3503">
        <f>IF(OR(S202=0),0,SUM($S$6:S202))</f>
        <v>0</v>
      </c>
      <c r="C202" s="3032"/>
      <c r="D202" s="3507" t="s">
        <v>10273</v>
      </c>
      <c r="E202" s="3508" t="s">
        <v>10055</v>
      </c>
      <c r="F202" s="3079">
        <v>3</v>
      </c>
      <c r="G202" s="3079" t="s">
        <v>1241</v>
      </c>
      <c r="H202" s="3505" t="s">
        <v>1165</v>
      </c>
      <c r="I202" s="3573" t="s">
        <v>5473</v>
      </c>
      <c r="J202" s="3573" t="s">
        <v>5417</v>
      </c>
      <c r="K202" s="3573" t="s">
        <v>5416</v>
      </c>
      <c r="L202" s="3573" t="s">
        <v>5408</v>
      </c>
      <c r="M202" s="3573" t="s">
        <v>5407</v>
      </c>
      <c r="N202" s="3573" t="s">
        <v>5406</v>
      </c>
      <c r="O202" s="3573" t="s">
        <v>11212</v>
      </c>
      <c r="P202" s="3573" t="s">
        <v>11213</v>
      </c>
      <c r="Q202" s="3573" t="s">
        <v>11214</v>
      </c>
      <c r="R202" s="3573" t="s">
        <v>11215</v>
      </c>
      <c r="S202" s="3519">
        <f>IF(COUNTIF(Psíquicos!$C$26:$E$37,E202)=0,0,1)</f>
        <v>0</v>
      </c>
      <c r="T202" s="3518">
        <f>COUNTIF(Psíquicos!$V$20:$Z$73,'Tablas psiquica'!D202)</f>
        <v>0</v>
      </c>
      <c r="U202" s="3512"/>
      <c r="V202" s="3524"/>
      <c r="W202" s="4254" t="s">
        <v>14041</v>
      </c>
      <c r="X202" s="4257" t="s">
        <v>14088</v>
      </c>
      <c r="Y202" s="3512">
        <f t="shared" si="26"/>
        <v>0</v>
      </c>
      <c r="Z202" s="3502">
        <f t="shared" si="27"/>
        <v>0</v>
      </c>
    </row>
    <row r="203" spans="1:41">
      <c r="A203" s="702">
        <v>203</v>
      </c>
      <c r="B203" s="3503">
        <f>IF(OR(S203=0),0,SUM($S$6:S203))</f>
        <v>0</v>
      </c>
      <c r="C203" s="3032"/>
      <c r="D203" s="3507" t="s">
        <v>10277</v>
      </c>
      <c r="E203" s="3508" t="s">
        <v>10055</v>
      </c>
      <c r="F203" s="3079">
        <v>3</v>
      </c>
      <c r="G203" s="3079" t="s">
        <v>2422</v>
      </c>
      <c r="H203" s="3505" t="s">
        <v>1165</v>
      </c>
      <c r="I203" s="3573" t="s">
        <v>5473</v>
      </c>
      <c r="J203" s="3573" t="s">
        <v>5417</v>
      </c>
      <c r="K203" s="3573" t="s">
        <v>5416</v>
      </c>
      <c r="L203" s="3573" t="s">
        <v>5408</v>
      </c>
      <c r="M203" s="3573" t="s">
        <v>5407</v>
      </c>
      <c r="N203" s="3573" t="s">
        <v>5406</v>
      </c>
      <c r="O203" s="3573" t="s">
        <v>11216</v>
      </c>
      <c r="P203" s="3573" t="s">
        <v>11217</v>
      </c>
      <c r="Q203" s="3573" t="s">
        <v>11218</v>
      </c>
      <c r="R203" s="3573" t="s">
        <v>11219</v>
      </c>
      <c r="S203" s="3519">
        <f>IF(COUNTIF(Psíquicos!$C$26:$E$37,E203)=0,0,1)</f>
        <v>0</v>
      </c>
      <c r="T203" s="3518">
        <f>COUNTIF(Psíquicos!$V$20:$Z$73,'Tablas psiquica'!D203)</f>
        <v>0</v>
      </c>
      <c r="U203" s="3512"/>
      <c r="V203" s="3524"/>
      <c r="W203" s="4254" t="s">
        <v>13996</v>
      </c>
      <c r="X203" s="4257" t="s">
        <v>14089</v>
      </c>
      <c r="Y203" s="3512">
        <f t="shared" si="26"/>
        <v>0</v>
      </c>
      <c r="Z203" s="3502">
        <f t="shared" si="27"/>
        <v>0</v>
      </c>
    </row>
    <row r="204" spans="1:41">
      <c r="A204" s="702">
        <v>204</v>
      </c>
      <c r="B204" s="3503">
        <f>IF(OR(S204=0),0,SUM($S$6:S204))</f>
        <v>0</v>
      </c>
      <c r="C204" s="3032"/>
      <c r="D204" s="3507" t="s">
        <v>10920</v>
      </c>
      <c r="E204" s="3508"/>
      <c r="F204" s="3032"/>
      <c r="G204" s="3079"/>
      <c r="H204" s="3505"/>
      <c r="I204" s="3573"/>
      <c r="J204" s="3573"/>
      <c r="K204" s="3573"/>
      <c r="L204" s="3573"/>
      <c r="M204" s="3573"/>
      <c r="N204" s="3573"/>
      <c r="O204" s="3573"/>
      <c r="P204" s="3573"/>
      <c r="Q204" s="3573"/>
      <c r="R204" s="3573"/>
      <c r="S204" s="3519">
        <f>S205</f>
        <v>0</v>
      </c>
      <c r="T204" s="3518"/>
      <c r="U204" s="3512"/>
      <c r="V204" s="3524"/>
      <c r="W204" s="4254"/>
      <c r="X204" s="4255"/>
      <c r="Y204" s="3512">
        <f t="shared" si="26"/>
        <v>0</v>
      </c>
      <c r="Z204" s="3502">
        <f t="shared" si="27"/>
        <v>0</v>
      </c>
    </row>
    <row r="205" spans="1:41">
      <c r="A205" s="702">
        <v>205</v>
      </c>
      <c r="B205" s="3503">
        <f>IF(OR(S205=0),0,SUM($S$6:S205))</f>
        <v>0</v>
      </c>
      <c r="C205" s="3032"/>
      <c r="D205" s="3507" t="s">
        <v>10228</v>
      </c>
      <c r="E205" s="3508" t="s">
        <v>10056</v>
      </c>
      <c r="F205" s="3079">
        <v>1</v>
      </c>
      <c r="G205" s="3079" t="s">
        <v>2422</v>
      </c>
      <c r="H205" s="3505" t="s">
        <v>1165</v>
      </c>
      <c r="I205" s="3573" t="s">
        <v>5386</v>
      </c>
      <c r="J205" s="3573" t="s">
        <v>5387</v>
      </c>
      <c r="K205" s="3573" t="s">
        <v>11220</v>
      </c>
      <c r="L205" s="3573" t="s">
        <v>11221</v>
      </c>
      <c r="M205" s="3573" t="s">
        <v>11222</v>
      </c>
      <c r="N205" s="3573" t="s">
        <v>11223</v>
      </c>
      <c r="O205" s="3573" t="s">
        <v>11224</v>
      </c>
      <c r="P205" s="3573" t="s">
        <v>11225</v>
      </c>
      <c r="Q205" s="3573" t="s">
        <v>11226</v>
      </c>
      <c r="R205" s="3573" t="s">
        <v>11227</v>
      </c>
      <c r="S205" s="3519">
        <f>IF(COUNTIF(Psíquicos!$C$26:$E$37,E205)=0,0,1)</f>
        <v>0</v>
      </c>
      <c r="T205" s="3518">
        <f>COUNTIF(Psíquicos!$V$20:$Z$73,'Tablas psiquica'!D205)</f>
        <v>0</v>
      </c>
      <c r="U205" s="3512"/>
      <c r="V205" s="3524"/>
      <c r="W205" s="4254" t="s">
        <v>13962</v>
      </c>
      <c r="X205" s="4257" t="s">
        <v>13980</v>
      </c>
      <c r="Y205" s="3512">
        <f t="shared" si="26"/>
        <v>0</v>
      </c>
      <c r="Z205" s="3502">
        <f t="shared" si="27"/>
        <v>0</v>
      </c>
    </row>
    <row r="206" spans="1:41">
      <c r="A206" s="702">
        <v>206</v>
      </c>
      <c r="B206" s="3503">
        <f>IF(OR(S206=0),0,SUM($S$6:S206))</f>
        <v>0</v>
      </c>
      <c r="C206" s="3032"/>
      <c r="D206" s="3507" t="s">
        <v>10236</v>
      </c>
      <c r="E206" s="3508" t="s">
        <v>10056</v>
      </c>
      <c r="F206" s="3079">
        <v>1</v>
      </c>
      <c r="G206" s="3079" t="s">
        <v>2422</v>
      </c>
      <c r="H206" s="3505" t="s">
        <v>1166</v>
      </c>
      <c r="I206" s="2744" t="s">
        <v>5407</v>
      </c>
      <c r="J206" s="2744" t="s">
        <v>5406</v>
      </c>
      <c r="K206" s="2744" t="s">
        <v>5386</v>
      </c>
      <c r="L206" s="3573" t="s">
        <v>10921</v>
      </c>
      <c r="M206" s="3573" t="s">
        <v>10922</v>
      </c>
      <c r="N206" s="3573" t="s">
        <v>10923</v>
      </c>
      <c r="O206" s="3573" t="s">
        <v>10924</v>
      </c>
      <c r="P206" s="3573" t="s">
        <v>11228</v>
      </c>
      <c r="Q206" s="3573" t="s">
        <v>11229</v>
      </c>
      <c r="R206" s="3573" t="s">
        <v>11230</v>
      </c>
      <c r="S206" s="3519">
        <f>IF(COUNTIF(Psíquicos!$C$26:$E$37,E206)=0,0,1)</f>
        <v>0</v>
      </c>
      <c r="T206" s="3518">
        <f>COUNTIF(Psíquicos!$V$20:$Z$73,'Tablas psiquica'!D206)</f>
        <v>0</v>
      </c>
      <c r="U206" s="3512"/>
      <c r="V206" s="3524">
        <v>1</v>
      </c>
      <c r="W206" s="4254" t="s">
        <v>14000</v>
      </c>
      <c r="X206" s="4255" t="s">
        <v>14090</v>
      </c>
      <c r="Y206" s="3512">
        <f t="shared" si="26"/>
        <v>0</v>
      </c>
      <c r="Z206" s="3502">
        <f t="shared" si="27"/>
        <v>1</v>
      </c>
    </row>
    <row r="207" spans="1:41">
      <c r="A207" s="702">
        <v>207</v>
      </c>
      <c r="B207" s="3503">
        <f>IF(OR(S207=0),0,SUM($S$6:S207))</f>
        <v>0</v>
      </c>
      <c r="C207" s="3032"/>
      <c r="D207" s="3507" t="s">
        <v>10244</v>
      </c>
      <c r="E207" s="3508" t="s">
        <v>10056</v>
      </c>
      <c r="F207" s="3079">
        <v>1</v>
      </c>
      <c r="G207" s="3079" t="s">
        <v>2422</v>
      </c>
      <c r="H207" s="3505" t="s">
        <v>1165</v>
      </c>
      <c r="I207" s="3573" t="s">
        <v>5386</v>
      </c>
      <c r="J207" s="3573" t="s">
        <v>5387</v>
      </c>
      <c r="K207" s="3573" t="s">
        <v>11231</v>
      </c>
      <c r="L207" s="3573" t="s">
        <v>11232</v>
      </c>
      <c r="M207" s="3573" t="s">
        <v>11233</v>
      </c>
      <c r="N207" s="3573" t="s">
        <v>11234</v>
      </c>
      <c r="O207" s="3573" t="s">
        <v>11235</v>
      </c>
      <c r="P207" s="3573" t="s">
        <v>11236</v>
      </c>
      <c r="Q207" s="3573" t="s">
        <v>11237</v>
      </c>
      <c r="R207" s="3573" t="s">
        <v>11238</v>
      </c>
      <c r="S207" s="3519">
        <f>IF(COUNTIF(Psíquicos!$C$26:$E$37,E207)=0,0,1)</f>
        <v>0</v>
      </c>
      <c r="T207" s="3518">
        <f>COUNTIF(Psíquicos!$V$20:$Z$73,'Tablas psiquica'!D207)</f>
        <v>0</v>
      </c>
      <c r="U207" s="3512"/>
      <c r="V207" s="3524"/>
      <c r="W207" s="4254" t="s">
        <v>13952</v>
      </c>
      <c r="X207" s="4257" t="s">
        <v>14091</v>
      </c>
      <c r="Y207" s="3512">
        <f t="shared" si="26"/>
        <v>0</v>
      </c>
      <c r="Z207" s="3502">
        <f t="shared" si="27"/>
        <v>0</v>
      </c>
    </row>
    <row r="208" spans="1:41">
      <c r="A208" s="702">
        <v>208</v>
      </c>
      <c r="B208" s="3503">
        <f>IF(OR(S208=0),0,SUM($S$6:S208))</f>
        <v>0</v>
      </c>
      <c r="C208" s="3032"/>
      <c r="D208" s="3507" t="s">
        <v>10253</v>
      </c>
      <c r="E208" s="3508" t="s">
        <v>10056</v>
      </c>
      <c r="F208" s="3079">
        <v>2</v>
      </c>
      <c r="G208" s="3079" t="s">
        <v>2422</v>
      </c>
      <c r="H208" s="3505" t="s">
        <v>1166</v>
      </c>
      <c r="I208" s="2744" t="s">
        <v>5408</v>
      </c>
      <c r="J208" s="2744" t="s">
        <v>5406</v>
      </c>
      <c r="K208" s="2744" t="s">
        <v>5386</v>
      </c>
      <c r="L208" s="3573" t="s">
        <v>8641</v>
      </c>
      <c r="M208" s="3573" t="s">
        <v>10925</v>
      </c>
      <c r="N208" s="3573" t="s">
        <v>8365</v>
      </c>
      <c r="O208" s="3573" t="s">
        <v>10926</v>
      </c>
      <c r="P208" s="3573" t="s">
        <v>4596</v>
      </c>
      <c r="Q208" s="3573" t="s">
        <v>4631</v>
      </c>
      <c r="R208" s="3573" t="s">
        <v>10927</v>
      </c>
      <c r="S208" s="3519">
        <f>IF(COUNTIF(Psíquicos!$C$26:$E$37,E208)=0,0,1)</f>
        <v>0</v>
      </c>
      <c r="T208" s="3518">
        <f>COUNTIF(Psíquicos!$V$20:$Z$73,'Tablas psiquica'!D208)</f>
        <v>0</v>
      </c>
      <c r="U208" s="3512"/>
      <c r="V208" s="3524"/>
      <c r="W208" s="4254" t="s">
        <v>13952</v>
      </c>
      <c r="X208" s="4255" t="s">
        <v>13976</v>
      </c>
      <c r="Y208" s="3512">
        <f t="shared" si="26"/>
        <v>0</v>
      </c>
      <c r="Z208" s="3502">
        <f t="shared" si="27"/>
        <v>0</v>
      </c>
    </row>
    <row r="209" spans="1:26">
      <c r="A209" s="702">
        <v>209</v>
      </c>
      <c r="B209" s="3503">
        <f>IF(OR(S209=0),0,SUM($S$6:S209))</f>
        <v>0</v>
      </c>
      <c r="C209" s="3032"/>
      <c r="D209" s="3507" t="s">
        <v>10260</v>
      </c>
      <c r="E209" s="3508" t="s">
        <v>10056</v>
      </c>
      <c r="F209" s="3079">
        <v>2</v>
      </c>
      <c r="G209" s="3079" t="s">
        <v>1241</v>
      </c>
      <c r="H209" s="3505" t="s">
        <v>1165</v>
      </c>
      <c r="I209" s="3573" t="s">
        <v>5408</v>
      </c>
      <c r="J209" s="3573" t="s">
        <v>5407</v>
      </c>
      <c r="K209" s="3573" t="s">
        <v>5406</v>
      </c>
      <c r="L209" s="3573" t="s">
        <v>10928</v>
      </c>
      <c r="M209" s="3573" t="s">
        <v>10929</v>
      </c>
      <c r="N209" s="3573" t="s">
        <v>10930</v>
      </c>
      <c r="O209" s="3573" t="s">
        <v>10931</v>
      </c>
      <c r="P209" s="3573" t="s">
        <v>10932</v>
      </c>
      <c r="Q209" s="3573" t="s">
        <v>10933</v>
      </c>
      <c r="R209" s="3573" t="s">
        <v>10934</v>
      </c>
      <c r="S209" s="3519">
        <f>IF(COUNTIF(Psíquicos!$C$26:$E$37,E209)=0,0,1)</f>
        <v>0</v>
      </c>
      <c r="T209" s="3518">
        <f>COUNTIF(Psíquicos!$V$20:$Z$73,'Tablas psiquica'!D209)</f>
        <v>0</v>
      </c>
      <c r="U209" s="3512"/>
      <c r="V209" s="3524"/>
      <c r="W209" s="4254" t="s">
        <v>13988</v>
      </c>
      <c r="X209" s="4257" t="s">
        <v>14010</v>
      </c>
      <c r="Y209" s="3512">
        <f t="shared" si="26"/>
        <v>0</v>
      </c>
      <c r="Z209" s="3502">
        <f t="shared" si="27"/>
        <v>0</v>
      </c>
    </row>
    <row r="210" spans="1:26">
      <c r="A210" s="702">
        <v>210</v>
      </c>
      <c r="B210" s="3503">
        <f>IF(OR(S210=0),0,SUM($S$6:S210))</f>
        <v>0</v>
      </c>
      <c r="C210" s="3032"/>
      <c r="D210" s="3507" t="s">
        <v>10268</v>
      </c>
      <c r="E210" s="3508" t="s">
        <v>10056</v>
      </c>
      <c r="F210" s="3079">
        <v>2</v>
      </c>
      <c r="G210" s="3079" t="s">
        <v>2422</v>
      </c>
      <c r="H210" s="3505" t="s">
        <v>1166</v>
      </c>
      <c r="I210" s="2744" t="s">
        <v>5408</v>
      </c>
      <c r="J210" s="2744" t="s">
        <v>5406</v>
      </c>
      <c r="K210" s="2744" t="s">
        <v>5386</v>
      </c>
      <c r="L210" s="3573" t="s">
        <v>11240</v>
      </c>
      <c r="M210" s="3573" t="s">
        <v>11239</v>
      </c>
      <c r="N210" s="3573" t="s">
        <v>11241</v>
      </c>
      <c r="O210" s="3573" t="s">
        <v>11242</v>
      </c>
      <c r="P210" s="3573" t="s">
        <v>11243</v>
      </c>
      <c r="Q210" s="3573" t="s">
        <v>11244</v>
      </c>
      <c r="R210" s="3573" t="s">
        <v>11245</v>
      </c>
      <c r="S210" s="3519">
        <f>IF(COUNTIF(Psíquicos!$C$26:$E$37,E210)=0,0,1)</f>
        <v>0</v>
      </c>
      <c r="T210" s="3518">
        <f>COUNTIF(Psíquicos!$V$20:$Z$73,'Tablas psiquica'!D210)</f>
        <v>0</v>
      </c>
      <c r="U210" s="3512"/>
      <c r="V210" s="3524"/>
      <c r="W210" s="4254" t="s">
        <v>13975</v>
      </c>
      <c r="X210" s="4255" t="s">
        <v>14092</v>
      </c>
      <c r="Y210" s="3512">
        <f t="shared" si="26"/>
        <v>0</v>
      </c>
      <c r="Z210" s="3502">
        <f t="shared" si="27"/>
        <v>0</v>
      </c>
    </row>
    <row r="211" spans="1:26">
      <c r="A211" s="702">
        <v>211</v>
      </c>
      <c r="B211" s="3503">
        <f>IF(OR(S211=0),0,SUM($S$6:S211))</f>
        <v>0</v>
      </c>
      <c r="C211" s="3032"/>
      <c r="D211" s="3507" t="s">
        <v>10274</v>
      </c>
      <c r="E211" s="3508" t="s">
        <v>10056</v>
      </c>
      <c r="F211" s="3079">
        <v>2</v>
      </c>
      <c r="G211" s="3079" t="s">
        <v>2422</v>
      </c>
      <c r="H211" s="3505" t="s">
        <v>1165</v>
      </c>
      <c r="I211" s="2744" t="s">
        <v>5408</v>
      </c>
      <c r="J211" s="2744" t="s">
        <v>10935</v>
      </c>
      <c r="K211" s="2744" t="s">
        <v>5406</v>
      </c>
      <c r="L211" s="3574" t="s">
        <v>5386</v>
      </c>
      <c r="M211" s="3574" t="s">
        <v>11246</v>
      </c>
      <c r="N211" s="3574" t="s">
        <v>11247</v>
      </c>
      <c r="O211" s="3574" t="s">
        <v>11248</v>
      </c>
      <c r="P211" s="3574" t="s">
        <v>11249</v>
      </c>
      <c r="Q211" s="3574" t="s">
        <v>11250</v>
      </c>
      <c r="R211" s="3574" t="s">
        <v>11251</v>
      </c>
      <c r="S211" s="3519">
        <f>IF(COUNTIF(Psíquicos!$C$26:$E$37,E211)=0,0,1)</f>
        <v>0</v>
      </c>
      <c r="T211" s="3518">
        <f>COUNTIF(Psíquicos!$V$20:$Z$73,'Tablas psiquica'!D211)</f>
        <v>0</v>
      </c>
      <c r="U211" s="3512"/>
      <c r="V211" s="3524"/>
      <c r="W211" s="4254" t="s">
        <v>14093</v>
      </c>
      <c r="X211" s="4257" t="s">
        <v>14094</v>
      </c>
      <c r="Y211" s="3512">
        <f t="shared" si="26"/>
        <v>0</v>
      </c>
      <c r="Z211" s="3502">
        <f t="shared" si="27"/>
        <v>0</v>
      </c>
    </row>
    <row r="212" spans="1:26">
      <c r="A212" s="702">
        <v>212</v>
      </c>
      <c r="B212" s="3503">
        <f>IF(OR(S212=0),0,SUM($S$6:S212))</f>
        <v>0</v>
      </c>
      <c r="C212" s="3032"/>
      <c r="D212" s="3507" t="s">
        <v>10278</v>
      </c>
      <c r="E212" s="3508" t="s">
        <v>10056</v>
      </c>
      <c r="F212" s="3079">
        <v>3</v>
      </c>
      <c r="G212" s="3079" t="s">
        <v>2422</v>
      </c>
      <c r="H212" s="3505" t="s">
        <v>1165</v>
      </c>
      <c r="I212" s="2744" t="s">
        <v>5417</v>
      </c>
      <c r="J212" s="2744" t="s">
        <v>5416</v>
      </c>
      <c r="K212" s="2744" t="s">
        <v>5408</v>
      </c>
      <c r="L212" s="2744" t="s">
        <v>5407</v>
      </c>
      <c r="M212" s="2744" t="s">
        <v>5406</v>
      </c>
      <c r="N212" s="3573" t="s">
        <v>11252</v>
      </c>
      <c r="O212" s="3573" t="s">
        <v>11253</v>
      </c>
      <c r="P212" s="3573" t="s">
        <v>11254</v>
      </c>
      <c r="Q212" s="3573" t="s">
        <v>11255</v>
      </c>
      <c r="R212" s="3573" t="s">
        <v>11256</v>
      </c>
      <c r="S212" s="3519">
        <f>IF(COUNTIF(Psíquicos!$C$26:$E$37,E212)=0,0,1)</f>
        <v>0</v>
      </c>
      <c r="T212" s="3518">
        <f>COUNTIF(Psíquicos!$V$20:$Z$73,'Tablas psiquica'!D212)</f>
        <v>0</v>
      </c>
      <c r="U212" s="3512"/>
      <c r="V212" s="3524"/>
      <c r="W212" s="4254" t="s">
        <v>13942</v>
      </c>
      <c r="X212" s="4255" t="s">
        <v>14053</v>
      </c>
      <c r="Y212" s="3512">
        <f t="shared" si="26"/>
        <v>0</v>
      </c>
      <c r="Z212" s="3502">
        <f t="shared" si="27"/>
        <v>0</v>
      </c>
    </row>
    <row r="213" spans="1:26">
      <c r="A213" s="702">
        <v>213</v>
      </c>
      <c r="B213" s="3503">
        <f>IF(OR(S213=0),0,SUM($S$6:S213))</f>
        <v>0</v>
      </c>
      <c r="C213" s="3032"/>
      <c r="D213" s="3507" t="s">
        <v>11061</v>
      </c>
      <c r="E213" s="3508" t="s">
        <v>10056</v>
      </c>
      <c r="F213" s="3079">
        <v>3</v>
      </c>
      <c r="G213" s="3079" t="s">
        <v>1241</v>
      </c>
      <c r="H213" s="3505" t="s">
        <v>1165</v>
      </c>
      <c r="I213" s="2744" t="s">
        <v>5472</v>
      </c>
      <c r="J213" s="3573" t="s">
        <v>5473</v>
      </c>
      <c r="K213" s="3573" t="s">
        <v>5417</v>
      </c>
      <c r="L213" s="3573" t="s">
        <v>5416</v>
      </c>
      <c r="M213" s="3573" t="s">
        <v>5408</v>
      </c>
      <c r="N213" s="3573" t="s">
        <v>5407</v>
      </c>
      <c r="O213" s="3573" t="s">
        <v>5406</v>
      </c>
      <c r="P213" s="2744" t="s">
        <v>11257</v>
      </c>
      <c r="Q213" s="2744" t="s">
        <v>11258</v>
      </c>
      <c r="R213" s="2744" t="s">
        <v>11259</v>
      </c>
      <c r="S213" s="3519">
        <f>IF(COUNTIF(Psíquicos!$C$26:$E$37,E213)=0,0,1)</f>
        <v>0</v>
      </c>
      <c r="T213" s="3518">
        <f>COUNTIF(Psíquicos!$V$20:$Z$73,'Tablas psiquica'!D213)</f>
        <v>0</v>
      </c>
      <c r="U213" s="3512"/>
      <c r="V213" s="3524"/>
      <c r="W213" s="4254" t="s">
        <v>14082</v>
      </c>
      <c r="X213" s="4257" t="s">
        <v>13980</v>
      </c>
      <c r="Y213" s="3512">
        <f t="shared" si="26"/>
        <v>0</v>
      </c>
      <c r="Z213" s="3502">
        <f t="shared" si="27"/>
        <v>0</v>
      </c>
    </row>
    <row r="214" spans="1:26">
      <c r="A214" s="702">
        <v>214</v>
      </c>
      <c r="B214" s="3503">
        <f>IF(OR(S214=0),0,SUM($S$6:S214))</f>
        <v>0</v>
      </c>
      <c r="C214" s="3032"/>
      <c r="D214" s="3507" t="s">
        <v>11058</v>
      </c>
      <c r="E214" s="3508"/>
      <c r="F214" s="3032"/>
      <c r="G214" s="3079"/>
      <c r="H214" s="3505"/>
      <c r="I214" s="3573"/>
      <c r="J214" s="3573"/>
      <c r="K214" s="3573"/>
      <c r="L214" s="3573"/>
      <c r="M214" s="3573"/>
      <c r="N214" s="3573"/>
      <c r="O214" s="3573"/>
      <c r="P214" s="3573"/>
      <c r="Q214" s="3573"/>
      <c r="R214" s="3573"/>
      <c r="S214" s="3519">
        <f>S215</f>
        <v>0</v>
      </c>
      <c r="T214" s="3518"/>
      <c r="U214" s="3512"/>
      <c r="V214" s="3524"/>
      <c r="W214" s="4254"/>
      <c r="X214" s="4255"/>
      <c r="Y214" s="3512">
        <f t="shared" si="26"/>
        <v>0</v>
      </c>
      <c r="Z214" s="3502">
        <f t="shared" si="27"/>
        <v>0</v>
      </c>
    </row>
    <row r="215" spans="1:26">
      <c r="A215" s="702">
        <v>215</v>
      </c>
      <c r="B215" s="3503">
        <f>IF(OR(S215=0),0,SUM($S$6:S215))</f>
        <v>0</v>
      </c>
      <c r="C215" s="3032"/>
      <c r="D215" s="3507" t="s">
        <v>10281</v>
      </c>
      <c r="E215" s="3508" t="s">
        <v>10060</v>
      </c>
      <c r="F215" s="3079">
        <v>1</v>
      </c>
      <c r="G215" s="3079" t="s">
        <v>1241</v>
      </c>
      <c r="H215" s="3505" t="s">
        <v>1165</v>
      </c>
      <c r="I215" s="3573" t="s">
        <v>5386</v>
      </c>
      <c r="J215" s="3573" t="s">
        <v>5387</v>
      </c>
      <c r="K215" s="3574" t="s">
        <v>11260</v>
      </c>
      <c r="L215" s="3574" t="s">
        <v>11262</v>
      </c>
      <c r="M215" s="3574" t="s">
        <v>11261</v>
      </c>
      <c r="N215" s="3574" t="s">
        <v>11263</v>
      </c>
      <c r="O215" s="3574" t="s">
        <v>11264</v>
      </c>
      <c r="P215" s="3574" t="s">
        <v>11265</v>
      </c>
      <c r="Q215" s="3574" t="s">
        <v>11266</v>
      </c>
      <c r="R215" s="3574" t="s">
        <v>11267</v>
      </c>
      <c r="S215" s="3519">
        <f>IF(COUNTIF(Psíquicos!$C$26:$E$37,E215)=0,0,1)</f>
        <v>0</v>
      </c>
      <c r="T215" s="3518">
        <f>COUNTIF(Psíquicos!$V$20:$Z$73,'Tablas psiquica'!D215)</f>
        <v>0</v>
      </c>
      <c r="U215" s="3512"/>
      <c r="V215" s="3524"/>
      <c r="W215" s="4254" t="s">
        <v>14000</v>
      </c>
      <c r="X215" s="4255" t="s">
        <v>14095</v>
      </c>
      <c r="Y215" s="3512">
        <f t="shared" si="26"/>
        <v>0</v>
      </c>
      <c r="Z215" s="3502">
        <f t="shared" si="27"/>
        <v>0</v>
      </c>
    </row>
    <row r="216" spans="1:26">
      <c r="A216" s="702">
        <v>216</v>
      </c>
      <c r="B216" s="3503">
        <f>IF(OR(S216=0),0,SUM($S$6:S216))</f>
        <v>0</v>
      </c>
      <c r="C216" s="3032"/>
      <c r="D216" s="3507" t="s">
        <v>10282</v>
      </c>
      <c r="E216" s="3508" t="s">
        <v>10060</v>
      </c>
      <c r="F216" s="3079">
        <v>1</v>
      </c>
      <c r="G216" s="3079" t="s">
        <v>1241</v>
      </c>
      <c r="H216" s="3505" t="s">
        <v>1166</v>
      </c>
      <c r="I216" s="2744" t="s">
        <v>5386</v>
      </c>
      <c r="J216" s="2744" t="s">
        <v>5387</v>
      </c>
      <c r="K216" s="2744" t="s">
        <v>11268</v>
      </c>
      <c r="L216" s="3573" t="s">
        <v>11269</v>
      </c>
      <c r="M216" s="3573" t="s">
        <v>11270</v>
      </c>
      <c r="N216" s="3573" t="s">
        <v>11271</v>
      </c>
      <c r="O216" s="3573" t="s">
        <v>11272</v>
      </c>
      <c r="P216" s="3573" t="s">
        <v>11273</v>
      </c>
      <c r="Q216" s="3573" t="s">
        <v>11274</v>
      </c>
      <c r="R216" s="3573" t="s">
        <v>11275</v>
      </c>
      <c r="S216" s="3519">
        <f>IF(COUNTIF(Psíquicos!$C$26:$E$37,E216)=0,0,1)</f>
        <v>0</v>
      </c>
      <c r="T216" s="3518">
        <f>COUNTIF(Psíquicos!$V$20:$Z$73,'Tablas psiquica'!D216)</f>
        <v>0</v>
      </c>
      <c r="U216" s="3512"/>
      <c r="V216" s="3524"/>
      <c r="W216" s="4254" t="s">
        <v>13944</v>
      </c>
      <c r="X216" s="4257" t="s">
        <v>14096</v>
      </c>
      <c r="Y216" s="3512">
        <f t="shared" si="26"/>
        <v>0</v>
      </c>
      <c r="Z216" s="3502">
        <f t="shared" si="27"/>
        <v>0</v>
      </c>
    </row>
    <row r="217" spans="1:26">
      <c r="A217" s="702">
        <v>217</v>
      </c>
      <c r="B217" s="3503">
        <f>IF(OR(S217=0),0,SUM($S$6:S217))</f>
        <v>0</v>
      </c>
      <c r="C217" s="3032"/>
      <c r="D217" s="3507" t="s">
        <v>10283</v>
      </c>
      <c r="E217" s="3508" t="s">
        <v>10060</v>
      </c>
      <c r="F217" s="3079">
        <v>1</v>
      </c>
      <c r="G217" s="3079" t="s">
        <v>2422</v>
      </c>
      <c r="H217" s="3505" t="s">
        <v>1165</v>
      </c>
      <c r="I217" s="3573" t="s">
        <v>5406</v>
      </c>
      <c r="J217" s="3573" t="s">
        <v>5386</v>
      </c>
      <c r="K217" s="3573" t="s">
        <v>5387</v>
      </c>
      <c r="L217" s="3573" t="s">
        <v>11078</v>
      </c>
      <c r="M217" s="3573" t="s">
        <v>11079</v>
      </c>
      <c r="N217" s="3573" t="s">
        <v>11080</v>
      </c>
      <c r="O217" s="3573" t="s">
        <v>11081</v>
      </c>
      <c r="P217" s="3573" t="s">
        <v>11082</v>
      </c>
      <c r="Q217" s="3573" t="s">
        <v>11083</v>
      </c>
      <c r="R217" s="3573" t="s">
        <v>11084</v>
      </c>
      <c r="S217" s="3519">
        <f>IF(COUNTIF(Psíquicos!$C$26:$E$37,E217)=0,0,1)</f>
        <v>0</v>
      </c>
      <c r="T217" s="3518">
        <f>COUNTIF(Psíquicos!$V$20:$Z$73,'Tablas psiquica'!D217)</f>
        <v>0</v>
      </c>
      <c r="U217" s="3512"/>
      <c r="V217" s="3524"/>
      <c r="W217" s="4254" t="s">
        <v>13952</v>
      </c>
      <c r="X217" s="4257" t="s">
        <v>14097</v>
      </c>
      <c r="Y217" s="3512">
        <f t="shared" si="26"/>
        <v>0</v>
      </c>
      <c r="Z217" s="3502">
        <f t="shared" si="27"/>
        <v>0</v>
      </c>
    </row>
    <row r="218" spans="1:26">
      <c r="A218" s="702">
        <v>218</v>
      </c>
      <c r="B218" s="3503">
        <f>IF(OR(S218=0),0,SUM($S$6:S218))</f>
        <v>0</v>
      </c>
      <c r="C218" s="3032"/>
      <c r="D218" s="3507" t="s">
        <v>10284</v>
      </c>
      <c r="E218" s="3508" t="s">
        <v>10060</v>
      </c>
      <c r="F218" s="3079">
        <v>2</v>
      </c>
      <c r="G218" s="3079" t="s">
        <v>2422</v>
      </c>
      <c r="H218" s="3505" t="s">
        <v>1166</v>
      </c>
      <c r="I218" s="2744" t="s">
        <v>5408</v>
      </c>
      <c r="J218" s="2744" t="s">
        <v>5407</v>
      </c>
      <c r="K218" s="2744" t="s">
        <v>5406</v>
      </c>
      <c r="L218" s="3573" t="s">
        <v>5386</v>
      </c>
      <c r="M218" s="3573" t="s">
        <v>11276</v>
      </c>
      <c r="N218" s="3573" t="s">
        <v>11277</v>
      </c>
      <c r="O218" s="3573" t="s">
        <v>11278</v>
      </c>
      <c r="P218" s="3573" t="s">
        <v>11279</v>
      </c>
      <c r="Q218" s="3573" t="s">
        <v>11280</v>
      </c>
      <c r="R218" s="3573" t="s">
        <v>11281</v>
      </c>
      <c r="S218" s="3519">
        <f>IF(COUNTIF(Psíquicos!$C$26:$E$37,E218)=0,0,1)</f>
        <v>0</v>
      </c>
      <c r="T218" s="3518">
        <f>COUNTIF(Psíquicos!$V$20:$Z$73,'Tablas psiquica'!D218)</f>
        <v>0</v>
      </c>
      <c r="U218" s="3512"/>
      <c r="V218" s="3524"/>
      <c r="W218" s="4254" t="s">
        <v>13942</v>
      </c>
      <c r="X218" s="4257" t="s">
        <v>14098</v>
      </c>
      <c r="Y218" s="3512">
        <f t="shared" si="26"/>
        <v>0</v>
      </c>
      <c r="Z218" s="3502">
        <f t="shared" si="27"/>
        <v>0</v>
      </c>
    </row>
    <row r="219" spans="1:26">
      <c r="A219" s="702">
        <v>219</v>
      </c>
      <c r="B219" s="3503">
        <f>IF(OR(S219=0),0,SUM($S$6:S219))</f>
        <v>0</v>
      </c>
      <c r="C219" s="3032"/>
      <c r="D219" s="3507" t="s">
        <v>11059</v>
      </c>
      <c r="E219" s="3508" t="s">
        <v>10060</v>
      </c>
      <c r="F219" s="3079">
        <v>2</v>
      </c>
      <c r="G219" s="3079" t="s">
        <v>11062</v>
      </c>
      <c r="H219" s="3505" t="s">
        <v>1165</v>
      </c>
      <c r="I219" s="3573" t="s">
        <v>5408</v>
      </c>
      <c r="J219" s="3573" t="s">
        <v>5407</v>
      </c>
      <c r="K219" s="3573" t="s">
        <v>5406</v>
      </c>
      <c r="L219" s="3573" t="s">
        <v>5386</v>
      </c>
      <c r="M219" s="3573" t="s">
        <v>11282</v>
      </c>
      <c r="N219" s="3573" t="s">
        <v>11283</v>
      </c>
      <c r="O219" s="3573" t="s">
        <v>11284</v>
      </c>
      <c r="P219" s="3573" t="s">
        <v>11285</v>
      </c>
      <c r="Q219" s="3573" t="s">
        <v>11286</v>
      </c>
      <c r="R219" s="3573" t="s">
        <v>11287</v>
      </c>
      <c r="S219" s="3519">
        <f>IF(COUNTIF(Psíquicos!$C$26:$E$37,E219)=0,0,1)</f>
        <v>0</v>
      </c>
      <c r="T219" s="3518">
        <f>COUNTIF(Psíquicos!$V$20:$Z$73,'Tablas psiquica'!D219)</f>
        <v>0</v>
      </c>
      <c r="U219" s="3512"/>
      <c r="V219" s="3524"/>
      <c r="W219" s="4254" t="s">
        <v>14041</v>
      </c>
      <c r="X219" s="4257" t="s">
        <v>14099</v>
      </c>
      <c r="Y219" s="3512">
        <f t="shared" si="26"/>
        <v>0</v>
      </c>
      <c r="Z219" s="3502">
        <f t="shared" si="27"/>
        <v>0</v>
      </c>
    </row>
    <row r="220" spans="1:26">
      <c r="A220" s="702">
        <v>220</v>
      </c>
      <c r="B220" s="3503">
        <f>IF(OR(S220=0),0,SUM($S$6:S220))</f>
        <v>0</v>
      </c>
      <c r="C220" s="3032"/>
      <c r="D220" s="3507" t="s">
        <v>10285</v>
      </c>
      <c r="E220" s="3508" t="s">
        <v>10060</v>
      </c>
      <c r="F220" s="3079">
        <v>2</v>
      </c>
      <c r="G220" s="3079" t="s">
        <v>2422</v>
      </c>
      <c r="H220" s="3505" t="s">
        <v>1166</v>
      </c>
      <c r="I220" s="2744" t="s">
        <v>5408</v>
      </c>
      <c r="J220" s="2744" t="s">
        <v>5407</v>
      </c>
      <c r="K220" s="2744" t="s">
        <v>5406</v>
      </c>
      <c r="L220" s="3573" t="s">
        <v>11288</v>
      </c>
      <c r="M220" s="3573" t="s">
        <v>11289</v>
      </c>
      <c r="N220" s="3573" t="s">
        <v>11290</v>
      </c>
      <c r="O220" s="3573" t="s">
        <v>11291</v>
      </c>
      <c r="P220" s="3573" t="s">
        <v>11292</v>
      </c>
      <c r="Q220" s="3573" t="s">
        <v>11293</v>
      </c>
      <c r="R220" s="3506" t="s">
        <v>11294</v>
      </c>
      <c r="S220" s="3519">
        <f>IF(COUNTIF(Psíquicos!$C$26:$E$37,E220)=0,0,1)</f>
        <v>0</v>
      </c>
      <c r="T220" s="3518">
        <f>COUNTIF(Psíquicos!$V$20:$Z$73,'Tablas psiquica'!D220)</f>
        <v>0</v>
      </c>
      <c r="U220" s="3512"/>
      <c r="V220" s="3524"/>
      <c r="W220" s="4254" t="s">
        <v>13952</v>
      </c>
      <c r="X220" s="4257" t="s">
        <v>14100</v>
      </c>
      <c r="Y220" s="3512">
        <f t="shared" si="26"/>
        <v>0</v>
      </c>
      <c r="Z220" s="3502">
        <f t="shared" si="27"/>
        <v>0</v>
      </c>
    </row>
    <row r="221" spans="1:26">
      <c r="A221" s="702">
        <v>221</v>
      </c>
      <c r="B221" s="3503">
        <f>IF(OR(S221=0),0,SUM($S$6:S221))</f>
        <v>0</v>
      </c>
      <c r="C221" s="3032"/>
      <c r="D221" s="3507" t="s">
        <v>10286</v>
      </c>
      <c r="E221" s="3508" t="s">
        <v>10060</v>
      </c>
      <c r="F221" s="3079">
        <v>2</v>
      </c>
      <c r="G221" s="3079" t="s">
        <v>1241</v>
      </c>
      <c r="H221" s="3505" t="s">
        <v>1165</v>
      </c>
      <c r="I221" s="2744" t="s">
        <v>5416</v>
      </c>
      <c r="J221" s="2744" t="s">
        <v>5408</v>
      </c>
      <c r="K221" s="2744" t="s">
        <v>5407</v>
      </c>
      <c r="L221" s="3574" t="s">
        <v>5406</v>
      </c>
      <c r="M221" s="3574" t="s">
        <v>5386</v>
      </c>
      <c r="N221" s="3574" t="s">
        <v>11295</v>
      </c>
      <c r="O221" s="3574" t="s">
        <v>11296</v>
      </c>
      <c r="P221" s="3574" t="s">
        <v>11297</v>
      </c>
      <c r="Q221" s="3574" t="s">
        <v>11298</v>
      </c>
      <c r="R221" s="3574" t="s">
        <v>11299</v>
      </c>
      <c r="S221" s="3519">
        <f>IF(COUNTIF(Psíquicos!$C$26:$E$37,E221)=0,0,1)</f>
        <v>0</v>
      </c>
      <c r="T221" s="3518">
        <f>COUNTIF(Psíquicos!$V$20:$Z$73,'Tablas psiquica'!D221)</f>
        <v>0</v>
      </c>
      <c r="U221" s="3512"/>
      <c r="V221" s="3524"/>
      <c r="W221" s="4254" t="s">
        <v>13985</v>
      </c>
      <c r="X221" s="4257" t="s">
        <v>14101</v>
      </c>
      <c r="Y221" s="3512">
        <f t="shared" si="26"/>
        <v>0</v>
      </c>
      <c r="Z221" s="3502">
        <f t="shared" si="27"/>
        <v>0</v>
      </c>
    </row>
    <row r="222" spans="1:26">
      <c r="A222" s="702">
        <v>222</v>
      </c>
      <c r="B222" s="3503">
        <f>IF(OR(S222=0),0,SUM($S$6:S222))</f>
        <v>0</v>
      </c>
      <c r="C222" s="3032"/>
      <c r="D222" s="3507" t="s">
        <v>10287</v>
      </c>
      <c r="E222" s="3508" t="s">
        <v>10060</v>
      </c>
      <c r="F222" s="3079">
        <v>2</v>
      </c>
      <c r="G222" s="3079" t="s">
        <v>1241</v>
      </c>
      <c r="H222" s="3505" t="s">
        <v>1165</v>
      </c>
      <c r="I222" s="2744" t="s">
        <v>5408</v>
      </c>
      <c r="J222" s="2744" t="s">
        <v>5407</v>
      </c>
      <c r="K222" s="2744" t="s">
        <v>5406</v>
      </c>
      <c r="L222" s="2744" t="s">
        <v>5386</v>
      </c>
      <c r="M222" s="3575" t="s">
        <v>11300</v>
      </c>
      <c r="N222" s="3574" t="s">
        <v>11301</v>
      </c>
      <c r="O222" s="3574" t="s">
        <v>11302</v>
      </c>
      <c r="P222" s="3574" t="s">
        <v>11303</v>
      </c>
      <c r="Q222" s="3574" t="s">
        <v>11304</v>
      </c>
      <c r="R222" s="3574" t="s">
        <v>11305</v>
      </c>
      <c r="S222" s="3519">
        <f>IF(COUNTIF(Psíquicos!$C$26:$E$37,E222)=0,0,1)</f>
        <v>0</v>
      </c>
      <c r="T222" s="3518">
        <f>COUNTIF(Psíquicos!$V$20:$Z$73,'Tablas psiquica'!D222)</f>
        <v>0</v>
      </c>
      <c r="U222" s="3512"/>
      <c r="V222" s="3524"/>
      <c r="W222" s="4254" t="s">
        <v>13985</v>
      </c>
      <c r="X222" s="4257" t="s">
        <v>14102</v>
      </c>
      <c r="Y222" s="3512">
        <f t="shared" si="26"/>
        <v>0</v>
      </c>
      <c r="Z222" s="3502">
        <f t="shared" si="27"/>
        <v>0</v>
      </c>
    </row>
    <row r="223" spans="1:26">
      <c r="A223" s="702">
        <v>223</v>
      </c>
      <c r="B223" s="3503">
        <f>IF(OR(S223=0),0,SUM($S$6:S223))</f>
        <v>0</v>
      </c>
      <c r="C223" s="3032"/>
      <c r="D223" s="3507" t="s">
        <v>10288</v>
      </c>
      <c r="E223" s="3508" t="s">
        <v>10060</v>
      </c>
      <c r="F223" s="3079">
        <v>3</v>
      </c>
      <c r="G223" s="3079" t="s">
        <v>1241</v>
      </c>
      <c r="H223" s="3505" t="s">
        <v>1165</v>
      </c>
      <c r="I223" s="2744" t="s">
        <v>5417</v>
      </c>
      <c r="J223" s="3573" t="s">
        <v>5416</v>
      </c>
      <c r="K223" s="3573" t="s">
        <v>5408</v>
      </c>
      <c r="L223" s="3573" t="s">
        <v>5407</v>
      </c>
      <c r="M223" s="2744" t="s">
        <v>5406</v>
      </c>
      <c r="N223" s="3573" t="s">
        <v>11307</v>
      </c>
      <c r="O223" s="3573" t="s">
        <v>11306</v>
      </c>
      <c r="P223" s="3573" t="s">
        <v>11308</v>
      </c>
      <c r="Q223" s="2744" t="s">
        <v>11310</v>
      </c>
      <c r="R223" s="2744" t="s">
        <v>11309</v>
      </c>
      <c r="S223" s="3519">
        <f>IF(COUNTIF(Psíquicos!$C$26:$E$37,E223)=0,0,1)</f>
        <v>0</v>
      </c>
      <c r="T223" s="3518">
        <f>COUNTIF(Psíquicos!$V$20:$Z$73,'Tablas psiquica'!D223)</f>
        <v>0</v>
      </c>
      <c r="U223" s="3512"/>
      <c r="V223" s="3524"/>
      <c r="W223" s="4254" t="s">
        <v>14041</v>
      </c>
      <c r="X223" s="4255" t="s">
        <v>14103</v>
      </c>
      <c r="Y223" s="3512">
        <f t="shared" si="26"/>
        <v>0</v>
      </c>
      <c r="Z223" s="3502">
        <f t="shared" si="27"/>
        <v>0</v>
      </c>
    </row>
    <row r="224" spans="1:26">
      <c r="A224" s="702">
        <v>224</v>
      </c>
      <c r="B224" s="3503">
        <f>IF(OR(S224=0),0,SUM($S$6:S224))</f>
        <v>0</v>
      </c>
      <c r="C224" s="3032"/>
      <c r="D224" s="3507" t="s">
        <v>10289</v>
      </c>
      <c r="E224" s="3508" t="s">
        <v>10060</v>
      </c>
      <c r="F224" s="3079">
        <v>3</v>
      </c>
      <c r="G224" s="3079" t="s">
        <v>1241</v>
      </c>
      <c r="H224" s="3505" t="s">
        <v>1165</v>
      </c>
      <c r="I224" s="2744" t="s">
        <v>5416</v>
      </c>
      <c r="J224" s="3573" t="s">
        <v>5408</v>
      </c>
      <c r="K224" s="3573" t="s">
        <v>5407</v>
      </c>
      <c r="L224" s="3573" t="s">
        <v>5406</v>
      </c>
      <c r="M224" s="2744" t="s">
        <v>5386</v>
      </c>
      <c r="N224" s="2744" t="s">
        <v>11311</v>
      </c>
      <c r="O224" s="2744" t="s">
        <v>11312</v>
      </c>
      <c r="P224" s="2744" t="s">
        <v>11313</v>
      </c>
      <c r="Q224" s="2744" t="s">
        <v>11314</v>
      </c>
      <c r="R224" s="2744" t="s">
        <v>11315</v>
      </c>
      <c r="S224" s="3519">
        <f>IF(COUNTIF(Psíquicos!$C$26:$E$37,E224)=0,0,1)</f>
        <v>0</v>
      </c>
      <c r="T224" s="3518">
        <f>COUNTIF(Psíquicos!$V$20:$Z$73,'Tablas psiquica'!D224)</f>
        <v>0</v>
      </c>
      <c r="U224" s="3512"/>
      <c r="V224" s="3524"/>
      <c r="W224" s="4254" t="s">
        <v>13996</v>
      </c>
      <c r="X224" s="4257" t="s">
        <v>14104</v>
      </c>
      <c r="Y224" s="3512">
        <f t="shared" si="26"/>
        <v>0</v>
      </c>
      <c r="Z224" s="3502">
        <f t="shared" si="27"/>
        <v>0</v>
      </c>
    </row>
    <row r="225" spans="1:26">
      <c r="A225" s="702">
        <v>225</v>
      </c>
      <c r="B225" s="3503">
        <f>IF(OR(S225=0),0,SUM($S$6:S225))</f>
        <v>0</v>
      </c>
      <c r="C225" s="3499"/>
      <c r="D225" s="3500" t="s">
        <v>10936</v>
      </c>
      <c r="E225" s="2746"/>
      <c r="F225" s="2745"/>
      <c r="G225" s="2745"/>
      <c r="H225" s="3501"/>
      <c r="I225" s="2744"/>
      <c r="J225" s="2744"/>
      <c r="K225" s="2744"/>
      <c r="L225" s="2744"/>
      <c r="M225" s="2744"/>
      <c r="N225" s="2744"/>
      <c r="O225" s="2744"/>
      <c r="P225" s="2744"/>
      <c r="Q225" s="2744"/>
      <c r="R225" s="2744"/>
      <c r="S225" s="3518">
        <f>IF('Red Neuronal'!W43=5,1,0)</f>
        <v>0</v>
      </c>
      <c r="T225" s="3518"/>
      <c r="U225" s="3512"/>
      <c r="V225" s="3524"/>
      <c r="W225" s="4254"/>
      <c r="X225" s="4255"/>
      <c r="Y225" s="3512">
        <f t="shared" si="26"/>
        <v>0</v>
      </c>
      <c r="Z225" s="3502">
        <f t="shared" si="27"/>
        <v>0</v>
      </c>
    </row>
    <row r="226" spans="1:26">
      <c r="A226" s="702">
        <v>226</v>
      </c>
      <c r="B226" s="3503">
        <f>IF(OR(S226=0),0,SUM($S$6:S226))</f>
        <v>0</v>
      </c>
      <c r="C226" s="3499"/>
      <c r="D226" s="3500" t="s">
        <v>10296</v>
      </c>
      <c r="E226" s="2746" t="s">
        <v>10937</v>
      </c>
      <c r="F226" s="2745" t="s">
        <v>1315</v>
      </c>
      <c r="G226" s="2745" t="s">
        <v>2422</v>
      </c>
      <c r="H226" s="3501" t="s">
        <v>1165</v>
      </c>
      <c r="I226" s="3573" t="s">
        <v>5417</v>
      </c>
      <c r="J226" s="3573" t="s">
        <v>5416</v>
      </c>
      <c r="K226" s="3573" t="s">
        <v>5408</v>
      </c>
      <c r="L226" s="3573" t="s">
        <v>5406</v>
      </c>
      <c r="M226" s="3573" t="s">
        <v>5386</v>
      </c>
      <c r="N226" s="2744" t="s">
        <v>11539</v>
      </c>
      <c r="O226" s="2744" t="s">
        <v>11538</v>
      </c>
      <c r="P226" s="2744" t="s">
        <v>11535</v>
      </c>
      <c r="Q226" s="2744" t="s">
        <v>11536</v>
      </c>
      <c r="R226" s="2744" t="s">
        <v>11537</v>
      </c>
      <c r="S226" s="3519">
        <f t="shared" ref="S226:S257" si="28">IF(VLOOKUP(D226,$BI$24:$BK$89,2,FALSE)=1,1,0)</f>
        <v>0</v>
      </c>
      <c r="T226" s="3518">
        <f>COUNTIF(Psíquicos!$V$20:$Z$73,'Tablas psiquica'!D226)</f>
        <v>0</v>
      </c>
      <c r="U226" s="3512"/>
      <c r="V226" s="3524"/>
      <c r="W226" s="4254" t="s">
        <v>14070</v>
      </c>
      <c r="X226" s="4257" t="s">
        <v>14105</v>
      </c>
      <c r="Y226" s="3512">
        <f t="shared" si="26"/>
        <v>0</v>
      </c>
      <c r="Z226" s="3502">
        <f t="shared" si="27"/>
        <v>0</v>
      </c>
    </row>
    <row r="227" spans="1:26">
      <c r="A227" s="702">
        <v>227</v>
      </c>
      <c r="B227" s="3503">
        <f>IF(OR(S227=0),0,SUM($S$6:S227))</f>
        <v>0</v>
      </c>
      <c r="C227" s="3499"/>
      <c r="D227" s="3500" t="s">
        <v>10297</v>
      </c>
      <c r="E227" s="2746" t="s">
        <v>10937</v>
      </c>
      <c r="F227" s="2745" t="s">
        <v>1315</v>
      </c>
      <c r="G227" s="2745" t="s">
        <v>2422</v>
      </c>
      <c r="H227" s="3501" t="s">
        <v>1165</v>
      </c>
      <c r="I227" s="3573" t="s">
        <v>5408</v>
      </c>
      <c r="J227" s="3573" t="s">
        <v>5407</v>
      </c>
      <c r="K227" s="3573" t="s">
        <v>5406</v>
      </c>
      <c r="L227" s="2744" t="s">
        <v>10938</v>
      </c>
      <c r="M227" s="2744" t="s">
        <v>10939</v>
      </c>
      <c r="N227" s="2744" t="s">
        <v>10940</v>
      </c>
      <c r="O227" s="2744" t="s">
        <v>10941</v>
      </c>
      <c r="P227" s="2744" t="s">
        <v>10942</v>
      </c>
      <c r="Q227" s="2744" t="s">
        <v>10943</v>
      </c>
      <c r="R227" s="2744" t="s">
        <v>10944</v>
      </c>
      <c r="S227" s="3519">
        <f t="shared" si="28"/>
        <v>0</v>
      </c>
      <c r="T227" s="3518">
        <f>COUNTIF(Psíquicos!$V$20:$Z$73,'Tablas psiquica'!D227)</f>
        <v>0</v>
      </c>
      <c r="U227" s="3512"/>
      <c r="V227" s="3524"/>
      <c r="W227" s="4254" t="s">
        <v>13942</v>
      </c>
      <c r="X227" s="4255" t="s">
        <v>6941</v>
      </c>
      <c r="Y227" s="3512">
        <f t="shared" si="26"/>
        <v>0</v>
      </c>
      <c r="Z227" s="3502">
        <f t="shared" si="27"/>
        <v>0</v>
      </c>
    </row>
    <row r="228" spans="1:26">
      <c r="A228" s="702">
        <v>228</v>
      </c>
      <c r="B228" s="3503">
        <f>IF(OR(S228=0),0,SUM($S$6:S228))</f>
        <v>0</v>
      </c>
      <c r="C228" s="3499"/>
      <c r="D228" s="3500" t="s">
        <v>10298</v>
      </c>
      <c r="E228" s="2746" t="s">
        <v>10937</v>
      </c>
      <c r="F228" s="2745" t="s">
        <v>1315</v>
      </c>
      <c r="G228" s="2745" t="s">
        <v>2422</v>
      </c>
      <c r="H228" s="3501" t="s">
        <v>1165</v>
      </c>
      <c r="I228" s="2744" t="s">
        <v>5416</v>
      </c>
      <c r="J228" s="2744" t="s">
        <v>5408</v>
      </c>
      <c r="K228" s="2744" t="s">
        <v>5407</v>
      </c>
      <c r="L228" s="2744" t="s">
        <v>5406</v>
      </c>
      <c r="M228" s="2744" t="s">
        <v>11450</v>
      </c>
      <c r="N228" s="2744" t="s">
        <v>11462</v>
      </c>
      <c r="O228" s="2744" t="s">
        <v>11472</v>
      </c>
      <c r="P228" s="2744" t="s">
        <v>11490</v>
      </c>
      <c r="Q228" s="2744" t="s">
        <v>11520</v>
      </c>
      <c r="R228" s="2744" t="s">
        <v>11501</v>
      </c>
      <c r="S228" s="3519">
        <f t="shared" si="28"/>
        <v>0</v>
      </c>
      <c r="T228" s="3518">
        <f>COUNTIF(Psíquicos!$V$20:$Z$73,'Tablas psiquica'!D228)</f>
        <v>0</v>
      </c>
      <c r="U228" s="3512"/>
      <c r="V228" s="3524"/>
      <c r="W228" s="4254" t="s">
        <v>13952</v>
      </c>
      <c r="X228" s="4257" t="s">
        <v>13958</v>
      </c>
      <c r="Y228" s="3512">
        <f t="shared" si="26"/>
        <v>0</v>
      </c>
      <c r="Z228" s="3502">
        <f t="shared" si="27"/>
        <v>0</v>
      </c>
    </row>
    <row r="229" spans="1:26">
      <c r="A229" s="702">
        <v>229</v>
      </c>
      <c r="B229" s="3503">
        <f>IF(OR(S229=0),0,SUM($S$6:S229))</f>
        <v>0</v>
      </c>
      <c r="C229" s="3499"/>
      <c r="D229" s="3500" t="s">
        <v>218</v>
      </c>
      <c r="E229" s="2746" t="s">
        <v>10937</v>
      </c>
      <c r="F229" s="2745" t="s">
        <v>1315</v>
      </c>
      <c r="G229" s="2745" t="s">
        <v>2422</v>
      </c>
      <c r="H229" s="3501" t="s">
        <v>1165</v>
      </c>
      <c r="I229" s="2744" t="s">
        <v>5416</v>
      </c>
      <c r="J229" s="2744" t="s">
        <v>5408</v>
      </c>
      <c r="K229" s="2744" t="s">
        <v>5407</v>
      </c>
      <c r="L229" s="2744" t="s">
        <v>5406</v>
      </c>
      <c r="M229" s="2744" t="s">
        <v>11540</v>
      </c>
      <c r="N229" s="2744" t="s">
        <v>11541</v>
      </c>
      <c r="O229" s="2744" t="s">
        <v>11545</v>
      </c>
      <c r="P229" s="2744" t="s">
        <v>11542</v>
      </c>
      <c r="Q229" s="2744" t="s">
        <v>11544</v>
      </c>
      <c r="R229" s="2744" t="s">
        <v>11543</v>
      </c>
      <c r="S229" s="3519">
        <f t="shared" si="28"/>
        <v>0</v>
      </c>
      <c r="T229" s="3518">
        <f>COUNTIF(Psíquicos!$V$20:$Z$73,'Tablas psiquica'!D229)</f>
        <v>0</v>
      </c>
      <c r="U229" s="3512"/>
      <c r="V229" s="3524"/>
      <c r="W229" s="4254" t="s">
        <v>14000</v>
      </c>
      <c r="X229" s="4257" t="s">
        <v>13980</v>
      </c>
      <c r="Y229" s="3512">
        <f t="shared" si="26"/>
        <v>0</v>
      </c>
      <c r="Z229" s="3502">
        <f t="shared" si="27"/>
        <v>0</v>
      </c>
    </row>
    <row r="230" spans="1:26">
      <c r="A230" s="702">
        <v>230</v>
      </c>
      <c r="B230" s="3503">
        <f>IF(OR(S230=0),0,SUM($S$6:S230))</f>
        <v>0</v>
      </c>
      <c r="C230" s="3499"/>
      <c r="D230" s="3500" t="s">
        <v>10299</v>
      </c>
      <c r="E230" s="2746" t="s">
        <v>10937</v>
      </c>
      <c r="F230" s="2745" t="s">
        <v>1315</v>
      </c>
      <c r="G230" s="2745" t="s">
        <v>2422</v>
      </c>
      <c r="H230" s="3501" t="s">
        <v>1165</v>
      </c>
      <c r="I230" s="2744" t="s">
        <v>5416</v>
      </c>
      <c r="J230" s="2744" t="s">
        <v>5408</v>
      </c>
      <c r="K230" s="2744" t="s">
        <v>5407</v>
      </c>
      <c r="L230" s="2744" t="s">
        <v>5406</v>
      </c>
      <c r="M230" s="3575" t="s">
        <v>11546</v>
      </c>
      <c r="N230" s="3575" t="s">
        <v>11547</v>
      </c>
      <c r="O230" s="3575" t="s">
        <v>11548</v>
      </c>
      <c r="P230" s="3575" t="s">
        <v>11549</v>
      </c>
      <c r="Q230" s="3575" t="s">
        <v>11550</v>
      </c>
      <c r="R230" s="3575" t="s">
        <v>11551</v>
      </c>
      <c r="S230" s="3519">
        <f t="shared" si="28"/>
        <v>0</v>
      </c>
      <c r="T230" s="3518">
        <f>COUNTIF(Psíquicos!$V$20:$Z$73,'Tablas psiquica'!D230)</f>
        <v>0</v>
      </c>
      <c r="U230" s="3512"/>
      <c r="V230" s="3524"/>
      <c r="W230" s="4254" t="s">
        <v>13944</v>
      </c>
      <c r="X230" s="4255" t="s">
        <v>14106</v>
      </c>
      <c r="Y230" s="3512">
        <f t="shared" si="26"/>
        <v>0</v>
      </c>
      <c r="Z230" s="3502">
        <f t="shared" si="27"/>
        <v>0</v>
      </c>
    </row>
    <row r="231" spans="1:26">
      <c r="A231" s="702">
        <v>231</v>
      </c>
      <c r="B231" s="3503">
        <f>IF(OR(S231=0),0,SUM($S$6:S231))</f>
        <v>0</v>
      </c>
      <c r="C231" s="3499"/>
      <c r="D231" s="3500" t="s">
        <v>10300</v>
      </c>
      <c r="E231" s="2746" t="s">
        <v>10937</v>
      </c>
      <c r="F231" s="2745" t="s">
        <v>1315</v>
      </c>
      <c r="G231" s="2745" t="s">
        <v>1241</v>
      </c>
      <c r="H231" s="3501" t="s">
        <v>1165</v>
      </c>
      <c r="I231" s="2744" t="s">
        <v>5472</v>
      </c>
      <c r="J231" s="3573" t="s">
        <v>5417</v>
      </c>
      <c r="K231" s="3573" t="s">
        <v>5416</v>
      </c>
      <c r="L231" s="3573" t="s">
        <v>5408</v>
      </c>
      <c r="M231" s="3573" t="s">
        <v>5407</v>
      </c>
      <c r="N231" s="3573" t="s">
        <v>5406</v>
      </c>
      <c r="O231" s="2744" t="s">
        <v>11552</v>
      </c>
      <c r="P231" s="2744" t="s">
        <v>11553</v>
      </c>
      <c r="Q231" s="2744" t="s">
        <v>11554</v>
      </c>
      <c r="R231" s="2744" t="s">
        <v>11555</v>
      </c>
      <c r="S231" s="3519">
        <f t="shared" si="28"/>
        <v>0</v>
      </c>
      <c r="T231" s="3518">
        <f>COUNTIF(Psíquicos!$V$20:$Z$73,'Tablas psiquica'!D231)</f>
        <v>0</v>
      </c>
      <c r="U231" s="3512"/>
      <c r="V231" s="3524"/>
      <c r="W231" s="4254" t="s">
        <v>14041</v>
      </c>
      <c r="X231" s="4257" t="s">
        <v>13980</v>
      </c>
      <c r="Y231" s="3512">
        <f t="shared" si="26"/>
        <v>0</v>
      </c>
      <c r="Z231" s="3502">
        <f t="shared" si="27"/>
        <v>0</v>
      </c>
    </row>
    <row r="232" spans="1:26">
      <c r="A232" s="702">
        <v>232</v>
      </c>
      <c r="B232" s="3503">
        <f>IF(OR(S232=0),0,SUM($S$6:S232))</f>
        <v>0</v>
      </c>
      <c r="C232" s="3499"/>
      <c r="D232" s="3500" t="s">
        <v>10301</v>
      </c>
      <c r="E232" s="2746" t="s">
        <v>10937</v>
      </c>
      <c r="F232" s="2745" t="s">
        <v>1315</v>
      </c>
      <c r="G232" s="2745" t="s">
        <v>1241</v>
      </c>
      <c r="H232" s="3501" t="s">
        <v>1165</v>
      </c>
      <c r="I232" s="2744" t="s">
        <v>5417</v>
      </c>
      <c r="J232" s="2744" t="s">
        <v>5416</v>
      </c>
      <c r="K232" s="2744" t="s">
        <v>5408</v>
      </c>
      <c r="L232" s="2744" t="s">
        <v>5407</v>
      </c>
      <c r="M232" s="2744" t="s">
        <v>5406</v>
      </c>
      <c r="N232" s="2744" t="s">
        <v>10945</v>
      </c>
      <c r="O232" s="2744" t="s">
        <v>10946</v>
      </c>
      <c r="P232" s="2744" t="s">
        <v>10947</v>
      </c>
      <c r="Q232" s="2744" t="s">
        <v>10948</v>
      </c>
      <c r="R232" s="2744" t="s">
        <v>10949</v>
      </c>
      <c r="S232" s="3519">
        <f t="shared" si="28"/>
        <v>0</v>
      </c>
      <c r="T232" s="3518">
        <f>COUNTIF(Psíquicos!$V$20:$Z$73,'Tablas psiquica'!D232)</f>
        <v>0</v>
      </c>
      <c r="U232" s="3512"/>
      <c r="V232" s="3524"/>
      <c r="W232" s="4254" t="s">
        <v>13968</v>
      </c>
      <c r="X232" s="4257" t="s">
        <v>14107</v>
      </c>
      <c r="Y232" s="3512">
        <f t="shared" si="26"/>
        <v>0</v>
      </c>
      <c r="Z232" s="3502">
        <f t="shared" si="27"/>
        <v>0</v>
      </c>
    </row>
    <row r="233" spans="1:26">
      <c r="A233" s="702">
        <v>233</v>
      </c>
      <c r="B233" s="3503">
        <f>IF(OR(S233=0),0,SUM($S$6:S233))</f>
        <v>0</v>
      </c>
      <c r="C233" s="3499"/>
      <c r="D233" s="3500" t="s">
        <v>10302</v>
      </c>
      <c r="E233" s="2746" t="s">
        <v>10937</v>
      </c>
      <c r="F233" s="2745" t="s">
        <v>1315</v>
      </c>
      <c r="G233" s="2745" t="s">
        <v>2422</v>
      </c>
      <c r="H233" s="3501" t="s">
        <v>1165</v>
      </c>
      <c r="I233" s="2744" t="s">
        <v>5406</v>
      </c>
      <c r="J233" s="2744" t="s">
        <v>5386</v>
      </c>
      <c r="K233" s="2744" t="s">
        <v>5387</v>
      </c>
      <c r="L233" s="2744" t="s">
        <v>5418</v>
      </c>
      <c r="M233" s="2744" t="s">
        <v>5728</v>
      </c>
      <c r="N233" s="2744" t="s">
        <v>5660</v>
      </c>
      <c r="O233" s="2744" t="s">
        <v>11556</v>
      </c>
      <c r="P233" s="2744" t="s">
        <v>11557</v>
      </c>
      <c r="Q233" s="2744" t="s">
        <v>11558</v>
      </c>
      <c r="R233" s="2744" t="s">
        <v>11559</v>
      </c>
      <c r="S233" s="3519">
        <f t="shared" si="28"/>
        <v>0</v>
      </c>
      <c r="T233" s="3518">
        <f>COUNTIF(Psíquicos!$V$20:$Z$73,'Tablas psiquica'!D233)</f>
        <v>0</v>
      </c>
      <c r="U233" s="3512"/>
      <c r="V233" s="3524"/>
      <c r="W233" s="4254" t="s">
        <v>13942</v>
      </c>
      <c r="X233" s="4257" t="s">
        <v>14108</v>
      </c>
      <c r="Y233" s="3512">
        <f t="shared" si="26"/>
        <v>0</v>
      </c>
      <c r="Z233" s="3502">
        <f t="shared" si="27"/>
        <v>0</v>
      </c>
    </row>
    <row r="234" spans="1:26">
      <c r="A234" s="702">
        <v>234</v>
      </c>
      <c r="B234" s="3503">
        <f>IF(OR(S234=0),0,SUM($S$6:S234))</f>
        <v>0</v>
      </c>
      <c r="C234" s="3499"/>
      <c r="D234" s="3500" t="s">
        <v>10303</v>
      </c>
      <c r="E234" s="2746" t="s">
        <v>10937</v>
      </c>
      <c r="F234" s="2745" t="s">
        <v>1315</v>
      </c>
      <c r="G234" s="2745" t="s">
        <v>2422</v>
      </c>
      <c r="H234" s="3501" t="s">
        <v>1165</v>
      </c>
      <c r="I234" s="2744" t="s">
        <v>5407</v>
      </c>
      <c r="J234" s="2744" t="s">
        <v>5406</v>
      </c>
      <c r="K234" s="2744" t="s">
        <v>5386</v>
      </c>
      <c r="L234" s="2744" t="s">
        <v>5387</v>
      </c>
      <c r="M234" s="2744" t="s">
        <v>5461</v>
      </c>
      <c r="N234" s="2744" t="s">
        <v>8748</v>
      </c>
      <c r="O234" s="2744" t="s">
        <v>8749</v>
      </c>
      <c r="P234" s="2744" t="s">
        <v>8750</v>
      </c>
      <c r="Q234" s="2744" t="s">
        <v>8751</v>
      </c>
      <c r="R234" s="2744" t="s">
        <v>8752</v>
      </c>
      <c r="S234" s="3519">
        <f t="shared" si="28"/>
        <v>0</v>
      </c>
      <c r="T234" s="3518">
        <f>COUNTIF(Psíquicos!$V$20:$Z$73,'Tablas psiquica'!D234)</f>
        <v>0</v>
      </c>
      <c r="U234" s="3512"/>
      <c r="V234" s="3524"/>
      <c r="W234" s="4254" t="s">
        <v>13947</v>
      </c>
      <c r="X234" s="4255" t="s">
        <v>14109</v>
      </c>
      <c r="Y234" s="3512">
        <f t="shared" si="26"/>
        <v>0</v>
      </c>
      <c r="Z234" s="3502">
        <f t="shared" si="27"/>
        <v>0</v>
      </c>
    </row>
    <row r="235" spans="1:26">
      <c r="A235" s="702">
        <v>235</v>
      </c>
      <c r="B235" s="3503">
        <f>IF(OR(S235=0),0,SUM($S$6:S235))</f>
        <v>0</v>
      </c>
      <c r="C235" s="3499"/>
      <c r="D235" s="3500" t="s">
        <v>10304</v>
      </c>
      <c r="E235" s="2746" t="s">
        <v>10937</v>
      </c>
      <c r="F235" s="2745" t="s">
        <v>1315</v>
      </c>
      <c r="G235" s="2745" t="s">
        <v>1241</v>
      </c>
      <c r="H235" s="3501" t="s">
        <v>1165</v>
      </c>
      <c r="I235" s="2744" t="s">
        <v>5417</v>
      </c>
      <c r="J235" s="2744" t="s">
        <v>5416</v>
      </c>
      <c r="K235" s="2744" t="s">
        <v>5408</v>
      </c>
      <c r="L235" s="2744" t="s">
        <v>5407</v>
      </c>
      <c r="M235" s="2744" t="s">
        <v>5406</v>
      </c>
      <c r="N235" s="2744" t="s">
        <v>11560</v>
      </c>
      <c r="O235" s="2744" t="s">
        <v>11561</v>
      </c>
      <c r="P235" s="2744" t="s">
        <v>11562</v>
      </c>
      <c r="Q235" s="2744" t="s">
        <v>11563</v>
      </c>
      <c r="R235" s="2744" t="s">
        <v>11564</v>
      </c>
      <c r="S235" s="3519">
        <f t="shared" si="28"/>
        <v>0</v>
      </c>
      <c r="T235" s="3518">
        <f>COUNTIF(Psíquicos!$V$20:$Z$73,'Tablas psiquica'!D235)</f>
        <v>0</v>
      </c>
      <c r="U235" s="3512"/>
      <c r="V235" s="3524"/>
      <c r="W235" s="4254" t="s">
        <v>13985</v>
      </c>
      <c r="X235" s="4257" t="s">
        <v>13980</v>
      </c>
      <c r="Y235" s="3512">
        <f t="shared" si="26"/>
        <v>0</v>
      </c>
      <c r="Z235" s="3502">
        <f t="shared" si="27"/>
        <v>0</v>
      </c>
    </row>
    <row r="236" spans="1:26">
      <c r="A236" s="702">
        <v>236</v>
      </c>
      <c r="B236" s="3503">
        <f>IF(OR(S236=0),0,SUM($S$6:S236))</f>
        <v>0</v>
      </c>
      <c r="C236" s="3499"/>
      <c r="D236" s="3507" t="s">
        <v>10305</v>
      </c>
      <c r="E236" s="2746" t="s">
        <v>10937</v>
      </c>
      <c r="F236" s="2745" t="s">
        <v>1315</v>
      </c>
      <c r="G236" s="3079" t="s">
        <v>2422</v>
      </c>
      <c r="H236" s="3501" t="s">
        <v>1165</v>
      </c>
      <c r="I236" s="2744" t="s">
        <v>5417</v>
      </c>
      <c r="J236" s="2744" t="s">
        <v>5416</v>
      </c>
      <c r="K236" s="2744" t="s">
        <v>5408</v>
      </c>
      <c r="L236" s="2744" t="s">
        <v>5407</v>
      </c>
      <c r="M236" s="2744" t="s">
        <v>5406</v>
      </c>
      <c r="N236" s="3574" t="s">
        <v>10950</v>
      </c>
      <c r="O236" s="3574" t="s">
        <v>10951</v>
      </c>
      <c r="P236" s="3574" t="s">
        <v>10952</v>
      </c>
      <c r="Q236" s="3574" t="s">
        <v>10953</v>
      </c>
      <c r="R236" s="3574" t="s">
        <v>10954</v>
      </c>
      <c r="S236" s="3519">
        <f t="shared" si="28"/>
        <v>0</v>
      </c>
      <c r="T236" s="3518">
        <f>COUNTIF(Psíquicos!$V$20:$Z$73,'Tablas psiquica'!D236)</f>
        <v>0</v>
      </c>
      <c r="U236" s="3512"/>
      <c r="V236" s="3524"/>
      <c r="W236" s="4254" t="s">
        <v>13952</v>
      </c>
      <c r="X236" s="4257" t="s">
        <v>10950</v>
      </c>
      <c r="Y236" s="3512">
        <f t="shared" si="26"/>
        <v>0</v>
      </c>
      <c r="Z236" s="3502">
        <f t="shared" si="27"/>
        <v>0</v>
      </c>
    </row>
    <row r="237" spans="1:26">
      <c r="A237" s="702">
        <v>237</v>
      </c>
      <c r="B237" s="3503">
        <f>IF(OR(S237=0),0,SUM($S$6:S237))</f>
        <v>0</v>
      </c>
      <c r="C237" s="3499"/>
      <c r="D237" s="3507" t="s">
        <v>10306</v>
      </c>
      <c r="E237" s="2746" t="s">
        <v>10937</v>
      </c>
      <c r="F237" s="2745" t="s">
        <v>1315</v>
      </c>
      <c r="G237" s="3079" t="s">
        <v>1241</v>
      </c>
      <c r="H237" s="3501" t="s">
        <v>1165</v>
      </c>
      <c r="I237" s="2744" t="s">
        <v>5472</v>
      </c>
      <c r="J237" s="2744" t="s">
        <v>5417</v>
      </c>
      <c r="K237" s="2744" t="s">
        <v>5408</v>
      </c>
      <c r="L237" s="2744" t="s">
        <v>5407</v>
      </c>
      <c r="M237" s="2744" t="s">
        <v>5406</v>
      </c>
      <c r="N237" s="3573" t="s">
        <v>11566</v>
      </c>
      <c r="O237" s="3573" t="s">
        <v>11567</v>
      </c>
      <c r="P237" s="3573" t="s">
        <v>11568</v>
      </c>
      <c r="Q237" s="3573" t="s">
        <v>11569</v>
      </c>
      <c r="R237" s="3573" t="s">
        <v>11565</v>
      </c>
      <c r="S237" s="3519">
        <f t="shared" si="28"/>
        <v>0</v>
      </c>
      <c r="T237" s="3518">
        <f>COUNTIF(Psíquicos!$V$20:$Z$73,'Tablas psiquica'!D237)</f>
        <v>0</v>
      </c>
      <c r="U237" s="3512"/>
      <c r="V237" s="3524"/>
      <c r="W237" s="4254" t="s">
        <v>13942</v>
      </c>
      <c r="X237" s="4255" t="s">
        <v>14110</v>
      </c>
      <c r="Y237" s="3512">
        <f t="shared" si="26"/>
        <v>0</v>
      </c>
      <c r="Z237" s="3502">
        <f t="shared" si="27"/>
        <v>0</v>
      </c>
    </row>
    <row r="238" spans="1:26">
      <c r="A238" s="702">
        <v>238</v>
      </c>
      <c r="B238" s="3503">
        <f>IF(OR(S238=0),0,SUM($S$6:S238))</f>
        <v>0</v>
      </c>
      <c r="C238" s="3499"/>
      <c r="D238" s="3507" t="s">
        <v>10307</v>
      </c>
      <c r="E238" s="2746" t="s">
        <v>10937</v>
      </c>
      <c r="F238" s="2745" t="s">
        <v>1315</v>
      </c>
      <c r="G238" s="3079" t="s">
        <v>2422</v>
      </c>
      <c r="H238" s="3501" t="s">
        <v>1165</v>
      </c>
      <c r="I238" s="3573" t="s">
        <v>5416</v>
      </c>
      <c r="J238" s="3573" t="s">
        <v>5408</v>
      </c>
      <c r="K238" s="3573" t="s">
        <v>5407</v>
      </c>
      <c r="L238" s="3573" t="s">
        <v>5406</v>
      </c>
      <c r="M238" s="3573" t="s">
        <v>5386</v>
      </c>
      <c r="N238" s="3573" t="s">
        <v>10955</v>
      </c>
      <c r="O238" s="3573" t="s">
        <v>10956</v>
      </c>
      <c r="P238" s="3573" t="s">
        <v>10957</v>
      </c>
      <c r="Q238" s="3573" t="s">
        <v>10958</v>
      </c>
      <c r="R238" s="3573" t="s">
        <v>10959</v>
      </c>
      <c r="S238" s="3519">
        <f t="shared" si="28"/>
        <v>0</v>
      </c>
      <c r="T238" s="3518">
        <f>COUNTIF(Psíquicos!$V$20:$Z$73,'Tablas psiquica'!D238)</f>
        <v>0</v>
      </c>
      <c r="U238" s="3512"/>
      <c r="V238" s="3524"/>
      <c r="W238" s="4254" t="s">
        <v>14036</v>
      </c>
      <c r="X238" s="4257" t="s">
        <v>14111</v>
      </c>
      <c r="Y238" s="3512">
        <f t="shared" si="26"/>
        <v>0</v>
      </c>
      <c r="Z238" s="3502">
        <f t="shared" si="27"/>
        <v>0</v>
      </c>
    </row>
    <row r="239" spans="1:26">
      <c r="A239" s="702">
        <v>239</v>
      </c>
      <c r="B239" s="3503">
        <f>IF(OR(S239=0),0,SUM($S$6:S239))</f>
        <v>0</v>
      </c>
      <c r="C239" s="3499"/>
      <c r="D239" s="3507" t="s">
        <v>10308</v>
      </c>
      <c r="E239" s="2746" t="s">
        <v>10937</v>
      </c>
      <c r="F239" s="2745" t="s">
        <v>1315</v>
      </c>
      <c r="G239" s="3079" t="s">
        <v>1241</v>
      </c>
      <c r="H239" s="3501" t="s">
        <v>1165</v>
      </c>
      <c r="I239" s="3573" t="s">
        <v>5408</v>
      </c>
      <c r="J239" s="3573" t="s">
        <v>5406</v>
      </c>
      <c r="K239" s="3573" t="s">
        <v>5386</v>
      </c>
      <c r="L239" s="3574" t="s">
        <v>10960</v>
      </c>
      <c r="M239" s="3574" t="s">
        <v>10961</v>
      </c>
      <c r="N239" s="3574" t="s">
        <v>10962</v>
      </c>
      <c r="O239" s="3574" t="s">
        <v>11570</v>
      </c>
      <c r="P239" s="3574" t="s">
        <v>10963</v>
      </c>
      <c r="Q239" s="3574" t="s">
        <v>11571</v>
      </c>
      <c r="R239" s="3574" t="s">
        <v>11572</v>
      </c>
      <c r="S239" s="3519">
        <f t="shared" si="28"/>
        <v>0</v>
      </c>
      <c r="T239" s="3518">
        <f>COUNTIF(Psíquicos!$V$20:$Z$73,'Tablas psiquica'!D239)</f>
        <v>0</v>
      </c>
      <c r="U239" s="3512"/>
      <c r="V239" s="3524"/>
      <c r="W239" s="4254" t="s">
        <v>13947</v>
      </c>
      <c r="X239" s="4255" t="s">
        <v>14112</v>
      </c>
      <c r="Y239" s="3512">
        <f t="shared" si="26"/>
        <v>0</v>
      </c>
      <c r="Z239" s="3502">
        <f t="shared" si="27"/>
        <v>0</v>
      </c>
    </row>
    <row r="240" spans="1:26">
      <c r="A240" s="702">
        <v>240</v>
      </c>
      <c r="B240" s="3503">
        <f>IF(OR(S240=0),0,SUM($S$6:S240))</f>
        <v>0</v>
      </c>
      <c r="C240" s="3499"/>
      <c r="D240" s="3507" t="s">
        <v>10309</v>
      </c>
      <c r="E240" s="2746" t="s">
        <v>10937</v>
      </c>
      <c r="F240" s="2745" t="s">
        <v>1315</v>
      </c>
      <c r="G240" s="3079" t="s">
        <v>2422</v>
      </c>
      <c r="H240" s="3501" t="s">
        <v>1165</v>
      </c>
      <c r="I240" s="3573" t="s">
        <v>10843</v>
      </c>
      <c r="J240" s="3573" t="s">
        <v>5472</v>
      </c>
      <c r="K240" s="3573" t="s">
        <v>5417</v>
      </c>
      <c r="L240" s="3573" t="s">
        <v>5416</v>
      </c>
      <c r="M240" s="3573" t="s">
        <v>5408</v>
      </c>
      <c r="N240" s="3573" t="s">
        <v>5407</v>
      </c>
      <c r="O240" s="3573" t="s">
        <v>5406</v>
      </c>
      <c r="P240" s="3573" t="s">
        <v>10964</v>
      </c>
      <c r="Q240" s="3573" t="s">
        <v>10965</v>
      </c>
      <c r="R240" s="3573" t="s">
        <v>10966</v>
      </c>
      <c r="S240" s="3519">
        <f t="shared" si="28"/>
        <v>0</v>
      </c>
      <c r="T240" s="3518">
        <f>COUNTIF(Psíquicos!$V$20:$Z$73,'Tablas psiquica'!D240)</f>
        <v>0</v>
      </c>
      <c r="U240" s="3512"/>
      <c r="V240" s="3524"/>
      <c r="W240" s="4254" t="s">
        <v>14041</v>
      </c>
      <c r="X240" s="4255" t="s">
        <v>14053</v>
      </c>
      <c r="Y240" s="3512">
        <f t="shared" si="26"/>
        <v>0</v>
      </c>
      <c r="Z240" s="3502">
        <f t="shared" si="27"/>
        <v>0</v>
      </c>
    </row>
    <row r="241" spans="1:26">
      <c r="A241" s="702">
        <v>241</v>
      </c>
      <c r="B241" s="3503">
        <f>IF(OR(S241=0),0,SUM($S$6:S241))</f>
        <v>0</v>
      </c>
      <c r="C241" s="3499"/>
      <c r="D241" s="3500" t="s">
        <v>10310</v>
      </c>
      <c r="E241" s="2746" t="s">
        <v>10937</v>
      </c>
      <c r="F241" s="2745" t="s">
        <v>1315</v>
      </c>
      <c r="G241" s="2745" t="s">
        <v>1241</v>
      </c>
      <c r="H241" s="3501" t="s">
        <v>1165</v>
      </c>
      <c r="I241" s="2744" t="s">
        <v>5408</v>
      </c>
      <c r="J241" s="2744" t="s">
        <v>5407</v>
      </c>
      <c r="K241" s="2744" t="s">
        <v>5406</v>
      </c>
      <c r="L241" s="2744" t="s">
        <v>5386</v>
      </c>
      <c r="M241" s="2744" t="s">
        <v>11448</v>
      </c>
      <c r="N241" s="2744" t="s">
        <v>11457</v>
      </c>
      <c r="O241" s="2744" t="s">
        <v>11469</v>
      </c>
      <c r="P241" s="2744" t="s">
        <v>11480</v>
      </c>
      <c r="Q241" s="2744" t="s">
        <v>11491</v>
      </c>
      <c r="R241" s="2744" t="s">
        <v>11521</v>
      </c>
      <c r="S241" s="3519">
        <f t="shared" si="28"/>
        <v>0</v>
      </c>
      <c r="T241" s="3518">
        <f>COUNTIF(Psíquicos!$V$20:$Z$73,'Tablas psiquica'!D241)</f>
        <v>0</v>
      </c>
      <c r="U241" s="3512"/>
      <c r="V241" s="3524"/>
      <c r="W241" s="4254" t="s">
        <v>14113</v>
      </c>
      <c r="X241" s="4255" t="s">
        <v>14114</v>
      </c>
      <c r="Y241" s="3512">
        <f t="shared" si="26"/>
        <v>0</v>
      </c>
      <c r="Z241" s="3502">
        <f t="shared" si="27"/>
        <v>0</v>
      </c>
    </row>
    <row r="242" spans="1:26">
      <c r="A242" s="702">
        <v>242</v>
      </c>
      <c r="B242" s="3503">
        <f>IF(OR(S242=0),0,SUM($S$6:S242))</f>
        <v>0</v>
      </c>
      <c r="C242" s="3499"/>
      <c r="D242" s="3500" t="s">
        <v>10311</v>
      </c>
      <c r="E242" s="2746" t="s">
        <v>10937</v>
      </c>
      <c r="F242" s="2745" t="s">
        <v>1315</v>
      </c>
      <c r="G242" s="2745" t="s">
        <v>1241</v>
      </c>
      <c r="H242" s="3501" t="s">
        <v>1166</v>
      </c>
      <c r="I242" s="2744" t="s">
        <v>5407</v>
      </c>
      <c r="J242" s="2744" t="s">
        <v>5406</v>
      </c>
      <c r="K242" s="2744" t="s">
        <v>5386</v>
      </c>
      <c r="L242" s="2744" t="s">
        <v>11458</v>
      </c>
      <c r="M242" s="2744" t="s">
        <v>11469</v>
      </c>
      <c r="N242" s="2744" t="s">
        <v>11480</v>
      </c>
      <c r="O242" s="2744" t="s">
        <v>11492</v>
      </c>
      <c r="P242" s="2744" t="s">
        <v>11522</v>
      </c>
      <c r="Q242" s="2744" t="s">
        <v>11502</v>
      </c>
      <c r="R242" s="2744" t="s">
        <v>11573</v>
      </c>
      <c r="S242" s="3519">
        <f t="shared" si="28"/>
        <v>0</v>
      </c>
      <c r="T242" s="3518">
        <f>COUNTIF(Psíquicos!$V$20:$Z$73,'Tablas psiquica'!D242)</f>
        <v>0</v>
      </c>
      <c r="U242" s="3512"/>
      <c r="V242" s="3524"/>
      <c r="W242" s="4254" t="s">
        <v>13940</v>
      </c>
      <c r="X242" s="4255" t="s">
        <v>14114</v>
      </c>
      <c r="Y242" s="3512">
        <f t="shared" si="26"/>
        <v>0</v>
      </c>
      <c r="Z242" s="3502">
        <f t="shared" si="27"/>
        <v>0</v>
      </c>
    </row>
    <row r="243" spans="1:26">
      <c r="A243" s="702">
        <v>243</v>
      </c>
      <c r="B243" s="3503">
        <f>IF(OR(S243=0),0,SUM($S$6:S243))</f>
        <v>0</v>
      </c>
      <c r="C243" s="3499"/>
      <c r="D243" s="3500" t="s">
        <v>323</v>
      </c>
      <c r="E243" s="2746" t="s">
        <v>10937</v>
      </c>
      <c r="F243" s="2745" t="s">
        <v>1315</v>
      </c>
      <c r="G243" s="2745" t="s">
        <v>1241</v>
      </c>
      <c r="H243" s="3501" t="s">
        <v>1166</v>
      </c>
      <c r="I243" s="2744" t="s">
        <v>5407</v>
      </c>
      <c r="J243" s="2744" t="s">
        <v>5406</v>
      </c>
      <c r="K243" s="2744" t="s">
        <v>5386</v>
      </c>
      <c r="L243" s="2744" t="s">
        <v>5387</v>
      </c>
      <c r="M243" s="2744" t="s">
        <v>11574</v>
      </c>
      <c r="N243" s="2744" t="s">
        <v>11336</v>
      </c>
      <c r="O243" s="2744" t="s">
        <v>11351</v>
      </c>
      <c r="P243" s="2744" t="s">
        <v>11366</v>
      </c>
      <c r="Q243" s="2744" t="s">
        <v>11380</v>
      </c>
      <c r="R243" s="2744" t="s">
        <v>11393</v>
      </c>
      <c r="S243" s="3519">
        <f t="shared" si="28"/>
        <v>0</v>
      </c>
      <c r="T243" s="3518">
        <f>COUNTIF(Psíquicos!$V$20:$Z$73,'Tablas psiquica'!D243)</f>
        <v>0</v>
      </c>
      <c r="U243" s="3512"/>
      <c r="V243" s="3524"/>
      <c r="W243" s="4254" t="s">
        <v>13982</v>
      </c>
      <c r="X243" s="4257" t="s">
        <v>14010</v>
      </c>
      <c r="Y243" s="3512">
        <f t="shared" si="26"/>
        <v>0</v>
      </c>
      <c r="Z243" s="3502">
        <f t="shared" si="27"/>
        <v>0</v>
      </c>
    </row>
    <row r="244" spans="1:26">
      <c r="A244" s="702">
        <v>244</v>
      </c>
      <c r="B244" s="3503">
        <f>IF(OR(S244=0),0,SUM($S$6:S244))</f>
        <v>0</v>
      </c>
      <c r="C244" s="3499"/>
      <c r="D244" s="3500" t="s">
        <v>10312</v>
      </c>
      <c r="E244" s="2746" t="s">
        <v>10937</v>
      </c>
      <c r="F244" s="2745" t="s">
        <v>1315</v>
      </c>
      <c r="G244" s="2745" t="s">
        <v>2422</v>
      </c>
      <c r="H244" s="3501" t="s">
        <v>1165</v>
      </c>
      <c r="I244" s="2744" t="s">
        <v>5406</v>
      </c>
      <c r="J244" s="2744" t="s">
        <v>5386</v>
      </c>
      <c r="K244" s="2744" t="s">
        <v>5418</v>
      </c>
      <c r="L244" s="2744" t="s">
        <v>5660</v>
      </c>
      <c r="M244" s="2744" t="s">
        <v>11578</v>
      </c>
      <c r="N244" s="2744" t="s">
        <v>5729</v>
      </c>
      <c r="O244" s="2744" t="s">
        <v>11577</v>
      </c>
      <c r="P244" s="2744" t="s">
        <v>11576</v>
      </c>
      <c r="Q244" s="2744" t="s">
        <v>11575</v>
      </c>
      <c r="R244" s="2744" t="s">
        <v>5653</v>
      </c>
      <c r="S244" s="3519">
        <f t="shared" si="28"/>
        <v>0</v>
      </c>
      <c r="T244" s="3518">
        <f>COUNTIF(Psíquicos!$V$20:$Z$73,'Tablas psiquica'!D244)</f>
        <v>0</v>
      </c>
      <c r="U244" s="3512"/>
      <c r="V244" s="3524"/>
      <c r="W244" s="4254" t="s">
        <v>13944</v>
      </c>
      <c r="X244" s="4255" t="s">
        <v>14115</v>
      </c>
      <c r="Y244" s="3512">
        <f t="shared" si="26"/>
        <v>0</v>
      </c>
      <c r="Z244" s="3502">
        <f t="shared" si="27"/>
        <v>0</v>
      </c>
    </row>
    <row r="245" spans="1:26">
      <c r="A245" s="702">
        <v>245</v>
      </c>
      <c r="B245" s="3503">
        <f>IF(OR(S245=0),0,SUM($S$6:S245))</f>
        <v>0</v>
      </c>
      <c r="C245" s="3499"/>
      <c r="D245" s="3500" t="s">
        <v>6124</v>
      </c>
      <c r="E245" s="2746" t="s">
        <v>10937</v>
      </c>
      <c r="F245" s="2745" t="s">
        <v>1315</v>
      </c>
      <c r="G245" s="2745" t="s">
        <v>1241</v>
      </c>
      <c r="H245" s="3501" t="s">
        <v>1165</v>
      </c>
      <c r="I245" s="2744" t="s">
        <v>5472</v>
      </c>
      <c r="J245" s="2744" t="s">
        <v>5417</v>
      </c>
      <c r="K245" s="2744" t="s">
        <v>5408</v>
      </c>
      <c r="L245" s="2744" t="s">
        <v>5407</v>
      </c>
      <c r="M245" s="2744" t="s">
        <v>5406</v>
      </c>
      <c r="N245" s="3575" t="s">
        <v>10967</v>
      </c>
      <c r="O245" s="3575" t="s">
        <v>10968</v>
      </c>
      <c r="P245" s="3575" t="s">
        <v>10969</v>
      </c>
      <c r="Q245" s="3575" t="s">
        <v>10970</v>
      </c>
      <c r="R245" s="3575" t="s">
        <v>10971</v>
      </c>
      <c r="S245" s="3519">
        <f t="shared" si="28"/>
        <v>0</v>
      </c>
      <c r="T245" s="3518">
        <f>COUNTIF(Psíquicos!$V$20:$Z$73,'Tablas psiquica'!D245)</f>
        <v>0</v>
      </c>
      <c r="U245" s="3512"/>
      <c r="V245" s="3524"/>
      <c r="W245" s="4254" t="s">
        <v>14082</v>
      </c>
      <c r="X245" s="4257" t="s">
        <v>14116</v>
      </c>
      <c r="Y245" s="3512">
        <f t="shared" si="26"/>
        <v>0</v>
      </c>
      <c r="Z245" s="3502">
        <f t="shared" si="27"/>
        <v>0</v>
      </c>
    </row>
    <row r="246" spans="1:26">
      <c r="A246" s="702">
        <v>246</v>
      </c>
      <c r="B246" s="3503">
        <f>IF(OR(S246=0),0,SUM($S$6:S246))</f>
        <v>0</v>
      </c>
      <c r="C246" s="3499"/>
      <c r="D246" s="3500" t="s">
        <v>11686</v>
      </c>
      <c r="E246" s="2746" t="s">
        <v>10937</v>
      </c>
      <c r="F246" s="2745" t="s">
        <v>1315</v>
      </c>
      <c r="G246" s="2745" t="s">
        <v>1241</v>
      </c>
      <c r="H246" s="3501" t="s">
        <v>1165</v>
      </c>
      <c r="I246" s="2744" t="s">
        <v>5416</v>
      </c>
      <c r="J246" s="2744" t="s">
        <v>5408</v>
      </c>
      <c r="K246" s="2744" t="s">
        <v>5407</v>
      </c>
      <c r="L246" s="2744" t="s">
        <v>5406</v>
      </c>
      <c r="M246" s="2744" t="s">
        <v>11687</v>
      </c>
      <c r="N246" s="2744" t="s">
        <v>11688</v>
      </c>
      <c r="O246" s="2744" t="s">
        <v>11689</v>
      </c>
      <c r="P246" s="2744" t="s">
        <v>11690</v>
      </c>
      <c r="Q246" s="2744" t="s">
        <v>11691</v>
      </c>
      <c r="R246" s="2744" t="s">
        <v>11692</v>
      </c>
      <c r="S246" s="3519">
        <f t="shared" si="28"/>
        <v>0</v>
      </c>
      <c r="T246" s="3518"/>
      <c r="U246" s="3512"/>
      <c r="V246" s="3524"/>
      <c r="W246" s="4254" t="s">
        <v>14070</v>
      </c>
      <c r="X246" s="4255" t="s">
        <v>14117</v>
      </c>
      <c r="Y246" s="3512"/>
      <c r="Z246" s="3502"/>
    </row>
    <row r="247" spans="1:26">
      <c r="A247" s="702">
        <v>247</v>
      </c>
      <c r="B247" s="3503">
        <f>IF(OR(S247=0),0,SUM($S$6:S247))</f>
        <v>0</v>
      </c>
      <c r="C247" s="3499"/>
      <c r="D247" s="3500" t="s">
        <v>9358</v>
      </c>
      <c r="E247" s="2746" t="s">
        <v>10937</v>
      </c>
      <c r="F247" s="2745" t="s">
        <v>1315</v>
      </c>
      <c r="G247" s="2745" t="s">
        <v>2422</v>
      </c>
      <c r="H247" s="3501" t="s">
        <v>1166</v>
      </c>
      <c r="I247" s="2744" t="s">
        <v>5406</v>
      </c>
      <c r="J247" s="2744" t="s">
        <v>5386</v>
      </c>
      <c r="K247" s="2744" t="s">
        <v>5387</v>
      </c>
      <c r="L247" s="2744" t="s">
        <v>11674</v>
      </c>
      <c r="M247" s="2744" t="s">
        <v>11675</v>
      </c>
      <c r="N247" s="2744" t="s">
        <v>11676</v>
      </c>
      <c r="O247" s="2744" t="s">
        <v>11677</v>
      </c>
      <c r="P247" s="2744" t="s">
        <v>11678</v>
      </c>
      <c r="Q247" s="2744" t="s">
        <v>11679</v>
      </c>
      <c r="R247" s="3599" t="s">
        <v>11680</v>
      </c>
      <c r="S247" s="3519">
        <f t="shared" si="28"/>
        <v>0</v>
      </c>
      <c r="T247" s="3518"/>
      <c r="U247" s="3512"/>
      <c r="V247" s="3524"/>
      <c r="W247" s="4254" t="s">
        <v>14118</v>
      </c>
      <c r="X247" s="4257" t="s">
        <v>14091</v>
      </c>
      <c r="Y247" s="3512"/>
      <c r="Z247" s="3502"/>
    </row>
    <row r="248" spans="1:26">
      <c r="A248" s="702">
        <v>248</v>
      </c>
      <c r="B248" s="3503">
        <f>IF(OR(S248=0),0,SUM($S$6:S248))</f>
        <v>0</v>
      </c>
      <c r="C248" s="3499"/>
      <c r="D248" s="3500" t="s">
        <v>10313</v>
      </c>
      <c r="E248" s="2746" t="s">
        <v>10937</v>
      </c>
      <c r="F248" s="2745" t="s">
        <v>1315</v>
      </c>
      <c r="G248" s="2745" t="s">
        <v>1241</v>
      </c>
      <c r="H248" s="3501" t="s">
        <v>1165</v>
      </c>
      <c r="I248" s="2744" t="s">
        <v>5416</v>
      </c>
      <c r="J248" s="2744" t="s">
        <v>5408</v>
      </c>
      <c r="K248" s="2744" t="s">
        <v>10972</v>
      </c>
      <c r="L248" s="2744" t="s">
        <v>5406</v>
      </c>
      <c r="M248" s="2744" t="s">
        <v>1581</v>
      </c>
      <c r="N248" s="2744" t="s">
        <v>10973</v>
      </c>
      <c r="O248" s="2744" t="s">
        <v>1584</v>
      </c>
      <c r="P248" s="2744" t="s">
        <v>1586</v>
      </c>
      <c r="Q248" s="2744" t="s">
        <v>10974</v>
      </c>
      <c r="R248" s="2744" t="s">
        <v>10975</v>
      </c>
      <c r="S248" s="3519">
        <f t="shared" si="28"/>
        <v>0</v>
      </c>
      <c r="T248" s="3518">
        <f>COUNTIF(Psíquicos!$V$20:$Z$73,'Tablas psiquica'!D248)</f>
        <v>0</v>
      </c>
      <c r="U248" s="3512"/>
      <c r="V248" s="3524"/>
      <c r="W248" s="4254" t="s">
        <v>13987</v>
      </c>
      <c r="X248" s="4255" t="s">
        <v>14119</v>
      </c>
      <c r="Y248" s="3512">
        <f>T248+U248</f>
        <v>0</v>
      </c>
      <c r="Z248" s="3502">
        <f>T248+V248</f>
        <v>0</v>
      </c>
    </row>
    <row r="249" spans="1:26">
      <c r="A249" s="702">
        <v>249</v>
      </c>
      <c r="B249" s="3503">
        <f>IF(OR(S249=0),0,SUM($S$6:S249))</f>
        <v>0</v>
      </c>
      <c r="C249" s="3499"/>
      <c r="D249" s="3500" t="s">
        <v>10314</v>
      </c>
      <c r="E249" s="2746" t="s">
        <v>10937</v>
      </c>
      <c r="F249" s="2745" t="s">
        <v>1315</v>
      </c>
      <c r="G249" s="2745" t="s">
        <v>1241</v>
      </c>
      <c r="H249" s="3501" t="s">
        <v>1165</v>
      </c>
      <c r="I249" s="2744" t="s">
        <v>5417</v>
      </c>
      <c r="J249" s="2744" t="s">
        <v>5416</v>
      </c>
      <c r="K249" s="2744" t="s">
        <v>5407</v>
      </c>
      <c r="L249" s="2744" t="s">
        <v>5407</v>
      </c>
      <c r="M249" s="2744" t="s">
        <v>5406</v>
      </c>
      <c r="N249" s="2744" t="s">
        <v>11579</v>
      </c>
      <c r="O249" s="2744" t="s">
        <v>11580</v>
      </c>
      <c r="P249" s="2744" t="s">
        <v>11581</v>
      </c>
      <c r="Q249" s="2744" t="s">
        <v>11582</v>
      </c>
      <c r="R249" s="2744" t="s">
        <v>11583</v>
      </c>
      <c r="S249" s="3519">
        <f t="shared" si="28"/>
        <v>0</v>
      </c>
      <c r="T249" s="3518">
        <f>COUNTIF(Psíquicos!$V$20:$Z$73,'Tablas psiquica'!D249)</f>
        <v>0</v>
      </c>
      <c r="U249" s="3512"/>
      <c r="V249" s="3524"/>
      <c r="W249" s="4254" t="s">
        <v>14082</v>
      </c>
      <c r="X249" s="4257" t="s">
        <v>14120</v>
      </c>
      <c r="Y249" s="3512">
        <f>T249+U249</f>
        <v>0</v>
      </c>
      <c r="Z249" s="3502">
        <f>T249+V249</f>
        <v>0</v>
      </c>
    </row>
    <row r="250" spans="1:26">
      <c r="A250" s="702">
        <v>250</v>
      </c>
      <c r="B250" s="3503">
        <f>IF(OR(S250=0),0,SUM($S$6:S250))</f>
        <v>0</v>
      </c>
      <c r="C250" s="3499"/>
      <c r="D250" s="3500" t="s">
        <v>10315</v>
      </c>
      <c r="E250" s="2746" t="s">
        <v>10937</v>
      </c>
      <c r="F250" s="2745" t="s">
        <v>1315</v>
      </c>
      <c r="G250" s="2745" t="s">
        <v>2422</v>
      </c>
      <c r="H250" s="3501" t="s">
        <v>1165</v>
      </c>
      <c r="I250" s="2744" t="s">
        <v>5406</v>
      </c>
      <c r="J250" s="2744" t="s">
        <v>5386</v>
      </c>
      <c r="K250" s="2744" t="s">
        <v>11588</v>
      </c>
      <c r="L250" s="2744" t="s">
        <v>11586</v>
      </c>
      <c r="M250" s="2744" t="s">
        <v>11587</v>
      </c>
      <c r="N250" s="2744" t="s">
        <v>5752</v>
      </c>
      <c r="O250" s="2744" t="s">
        <v>5753</v>
      </c>
      <c r="P250" s="2744" t="s">
        <v>11584</v>
      </c>
      <c r="Q250" s="2744" t="s">
        <v>5755</v>
      </c>
      <c r="R250" s="2744" t="s">
        <v>11585</v>
      </c>
      <c r="S250" s="3519">
        <f t="shared" si="28"/>
        <v>0</v>
      </c>
      <c r="T250" s="3518">
        <f>COUNTIF(Psíquicos!$V$20:$Z$73,'Tablas psiquica'!D250)</f>
        <v>0</v>
      </c>
      <c r="U250" s="3512"/>
      <c r="V250" s="3524"/>
      <c r="W250" s="4254" t="s">
        <v>13962</v>
      </c>
      <c r="X250" s="4257" t="s">
        <v>14121</v>
      </c>
      <c r="Y250" s="3512">
        <f>T250+U250</f>
        <v>0</v>
      </c>
      <c r="Z250" s="3502">
        <f>T250+V250</f>
        <v>0</v>
      </c>
    </row>
    <row r="251" spans="1:26">
      <c r="A251" s="702">
        <v>251</v>
      </c>
      <c r="B251" s="3503">
        <f>IF(OR(S251=0),0,SUM($S$6:S251))</f>
        <v>0</v>
      </c>
      <c r="C251" s="3499"/>
      <c r="D251" s="3500" t="s">
        <v>10316</v>
      </c>
      <c r="E251" s="2746" t="s">
        <v>10937</v>
      </c>
      <c r="F251" s="2745" t="s">
        <v>1315</v>
      </c>
      <c r="G251" s="2745" t="s">
        <v>2422</v>
      </c>
      <c r="H251" s="3501" t="s">
        <v>1165</v>
      </c>
      <c r="I251" s="2744" t="s">
        <v>5406</v>
      </c>
      <c r="J251" s="2744" t="s">
        <v>5386</v>
      </c>
      <c r="K251" s="2744" t="s">
        <v>11589</v>
      </c>
      <c r="L251" s="2744" t="s">
        <v>11590</v>
      </c>
      <c r="M251" s="2744" t="s">
        <v>11337</v>
      </c>
      <c r="N251" s="2744" t="s">
        <v>11352</v>
      </c>
      <c r="O251" s="2744" t="s">
        <v>11367</v>
      </c>
      <c r="P251" s="2744" t="s">
        <v>11381</v>
      </c>
      <c r="Q251" s="2744" t="s">
        <v>11394</v>
      </c>
      <c r="R251" s="2744" t="s">
        <v>11403</v>
      </c>
      <c r="S251" s="3519">
        <f t="shared" si="28"/>
        <v>0</v>
      </c>
      <c r="T251" s="3518">
        <f>COUNTIF(Psíquicos!$V$20:$Z$73,'Tablas psiquica'!D251)</f>
        <v>0</v>
      </c>
      <c r="U251" s="3512"/>
      <c r="V251" s="3524"/>
      <c r="W251" s="4254" t="s">
        <v>13962</v>
      </c>
      <c r="X251" s="4255" t="s">
        <v>14122</v>
      </c>
      <c r="Y251" s="3512">
        <f>T251+U251</f>
        <v>0</v>
      </c>
      <c r="Z251" s="3502">
        <f>T251+V251</f>
        <v>0</v>
      </c>
    </row>
    <row r="252" spans="1:26">
      <c r="A252" s="702">
        <v>252</v>
      </c>
      <c r="B252" s="3503">
        <f>IF(OR(S252=0),0,SUM($S$6:S252))</f>
        <v>0</v>
      </c>
      <c r="C252" s="3499"/>
      <c r="D252" s="3500" t="s">
        <v>11673</v>
      </c>
      <c r="E252" s="2746" t="s">
        <v>10937</v>
      </c>
      <c r="F252" s="2745" t="s">
        <v>1315</v>
      </c>
      <c r="G252" s="2745" t="s">
        <v>1241</v>
      </c>
      <c r="H252" s="3501" t="s">
        <v>1165</v>
      </c>
      <c r="I252" s="2744" t="s">
        <v>5417</v>
      </c>
      <c r="J252" s="2744" t="s">
        <v>5416</v>
      </c>
      <c r="K252" s="2744" t="s">
        <v>5408</v>
      </c>
      <c r="L252" s="2744" t="s">
        <v>5407</v>
      </c>
      <c r="M252" s="2744" t="s">
        <v>5406</v>
      </c>
      <c r="N252" s="2744" t="s">
        <v>11681</v>
      </c>
      <c r="O252" s="2744" t="s">
        <v>11682</v>
      </c>
      <c r="P252" s="2744" t="s">
        <v>11683</v>
      </c>
      <c r="Q252" s="2744" t="s">
        <v>11684</v>
      </c>
      <c r="R252" s="2744" t="s">
        <v>11685</v>
      </c>
      <c r="S252" s="3519">
        <f t="shared" si="28"/>
        <v>0</v>
      </c>
      <c r="T252" s="3518"/>
      <c r="U252" s="3512"/>
      <c r="V252" s="3524"/>
      <c r="W252" s="4254" t="s">
        <v>14041</v>
      </c>
      <c r="X252" s="4257" t="s">
        <v>13991</v>
      </c>
      <c r="Y252" s="3512"/>
      <c r="Z252" s="3502"/>
    </row>
    <row r="253" spans="1:26">
      <c r="A253" s="702">
        <v>253</v>
      </c>
      <c r="B253" s="3503">
        <f>IF(OR(S253=0),0,SUM($S$6:S253))</f>
        <v>0</v>
      </c>
      <c r="C253" s="3499"/>
      <c r="D253" s="3500" t="s">
        <v>10318</v>
      </c>
      <c r="E253" s="2746" t="s">
        <v>10937</v>
      </c>
      <c r="F253" s="2745" t="s">
        <v>1315</v>
      </c>
      <c r="G253" s="2745" t="s">
        <v>2422</v>
      </c>
      <c r="H253" s="3501" t="s">
        <v>1165</v>
      </c>
      <c r="I253" s="2744" t="s">
        <v>5408</v>
      </c>
      <c r="J253" s="2744" t="s">
        <v>5407</v>
      </c>
      <c r="K253" s="2744" t="s">
        <v>5406</v>
      </c>
      <c r="L253" s="2744" t="s">
        <v>5386</v>
      </c>
      <c r="M253" s="2744" t="s">
        <v>10976</v>
      </c>
      <c r="N253" s="2744" t="s">
        <v>11595</v>
      </c>
      <c r="O253" s="2744" t="s">
        <v>11594</v>
      </c>
      <c r="P253" s="2744" t="s">
        <v>11593</v>
      </c>
      <c r="Q253" s="2744" t="s">
        <v>11592</v>
      </c>
      <c r="R253" s="2744" t="s">
        <v>11591</v>
      </c>
      <c r="S253" s="3519">
        <f t="shared" si="28"/>
        <v>0</v>
      </c>
      <c r="T253" s="3518">
        <f>COUNTIF(Psíquicos!$V$20:$Z$73,'Tablas psiquica'!D253)</f>
        <v>0</v>
      </c>
      <c r="U253" s="3512"/>
      <c r="V253" s="3524"/>
      <c r="W253" s="4254" t="s">
        <v>13940</v>
      </c>
      <c r="X253" s="4257" t="s">
        <v>14123</v>
      </c>
      <c r="Y253" s="3512">
        <f t="shared" ref="Y253:Y295" si="29">T253+U253</f>
        <v>0</v>
      </c>
      <c r="Z253" s="3502">
        <f t="shared" ref="Z253:Z295" si="30">T253+V253</f>
        <v>0</v>
      </c>
    </row>
    <row r="254" spans="1:26">
      <c r="A254" s="702">
        <v>254</v>
      </c>
      <c r="B254" s="3503">
        <f>IF(OR(S254=0),0,SUM($S$6:S254))</f>
        <v>0</v>
      </c>
      <c r="C254" s="3499"/>
      <c r="D254" s="3500" t="s">
        <v>10319</v>
      </c>
      <c r="E254" s="2746" t="s">
        <v>10937</v>
      </c>
      <c r="F254" s="2745" t="s">
        <v>1315</v>
      </c>
      <c r="G254" s="2745" t="s">
        <v>2422</v>
      </c>
      <c r="H254" s="3501" t="s">
        <v>1165</v>
      </c>
      <c r="I254" s="2744" t="s">
        <v>5416</v>
      </c>
      <c r="J254" s="2744" t="s">
        <v>5408</v>
      </c>
      <c r="K254" s="2744" t="s">
        <v>5407</v>
      </c>
      <c r="L254" s="2744" t="s">
        <v>5406</v>
      </c>
      <c r="M254" s="2744" t="s">
        <v>10977</v>
      </c>
      <c r="N254" s="2744" t="s">
        <v>10978</v>
      </c>
      <c r="O254" s="2744" t="s">
        <v>10979</v>
      </c>
      <c r="P254" s="2744" t="s">
        <v>11338</v>
      </c>
      <c r="Q254" s="2744" t="s">
        <v>11353</v>
      </c>
      <c r="R254" s="2744" t="s">
        <v>11368</v>
      </c>
      <c r="S254" s="3519">
        <f t="shared" si="28"/>
        <v>0</v>
      </c>
      <c r="T254" s="3518">
        <f>COUNTIF(Psíquicos!$V$20:$Z$73,'Tablas psiquica'!D254)</f>
        <v>0</v>
      </c>
      <c r="U254" s="3512"/>
      <c r="V254" s="3524"/>
      <c r="W254" s="4254" t="s">
        <v>13944</v>
      </c>
      <c r="X254" s="4257" t="s">
        <v>13980</v>
      </c>
      <c r="Y254" s="3512">
        <f t="shared" si="29"/>
        <v>0</v>
      </c>
      <c r="Z254" s="3502">
        <f t="shared" si="30"/>
        <v>0</v>
      </c>
    </row>
    <row r="255" spans="1:26">
      <c r="A255" s="702">
        <v>255</v>
      </c>
      <c r="B255" s="3503">
        <f>IF(OR(S255=0),0,SUM($S$6:S255))</f>
        <v>0</v>
      </c>
      <c r="C255" s="3499"/>
      <c r="D255" s="3500" t="s">
        <v>10320</v>
      </c>
      <c r="E255" s="2746" t="s">
        <v>10937</v>
      </c>
      <c r="F255" s="2745" t="s">
        <v>1315</v>
      </c>
      <c r="G255" s="2745" t="s">
        <v>1241</v>
      </c>
      <c r="H255" s="3501" t="s">
        <v>1165</v>
      </c>
      <c r="I255" s="2744" t="s">
        <v>5417</v>
      </c>
      <c r="J255" s="2744" t="s">
        <v>5416</v>
      </c>
      <c r="K255" s="2744" t="s">
        <v>5408</v>
      </c>
      <c r="L255" s="2744" t="s">
        <v>5407</v>
      </c>
      <c r="M255" s="2744" t="s">
        <v>10980</v>
      </c>
      <c r="N255" s="2744" t="s">
        <v>10981</v>
      </c>
      <c r="O255" s="2744" t="s">
        <v>11599</v>
      </c>
      <c r="P255" s="2744" t="s">
        <v>11598</v>
      </c>
      <c r="Q255" s="2744" t="s">
        <v>11597</v>
      </c>
      <c r="R255" s="2744" t="s">
        <v>11596</v>
      </c>
      <c r="S255" s="3519">
        <f t="shared" si="28"/>
        <v>0</v>
      </c>
      <c r="T255" s="3518">
        <f>COUNTIF(Psíquicos!$V$20:$Z$73,'Tablas psiquica'!D255)</f>
        <v>0</v>
      </c>
      <c r="U255" s="3512"/>
      <c r="V255" s="3524"/>
      <c r="W255" s="4254" t="s">
        <v>14041</v>
      </c>
      <c r="X255" s="4257" t="s">
        <v>14052</v>
      </c>
      <c r="Y255" s="3512">
        <f t="shared" si="29"/>
        <v>0</v>
      </c>
      <c r="Z255" s="3502">
        <f t="shared" si="30"/>
        <v>0</v>
      </c>
    </row>
    <row r="256" spans="1:26">
      <c r="A256" s="702">
        <v>256</v>
      </c>
      <c r="B256" s="3503">
        <f>IF(OR(S256=0),0,SUM($S$6:S256))</f>
        <v>0</v>
      </c>
      <c r="C256" s="3499"/>
      <c r="D256" s="3500" t="s">
        <v>10321</v>
      </c>
      <c r="E256" s="2746" t="s">
        <v>10937</v>
      </c>
      <c r="F256" s="2745" t="s">
        <v>1315</v>
      </c>
      <c r="G256" s="2745" t="s">
        <v>2422</v>
      </c>
      <c r="H256" s="3501" t="s">
        <v>1166</v>
      </c>
      <c r="I256" s="2744" t="s">
        <v>5408</v>
      </c>
      <c r="J256" s="2744" t="s">
        <v>5407</v>
      </c>
      <c r="K256" s="2744" t="s">
        <v>5406</v>
      </c>
      <c r="L256" s="2744" t="s">
        <v>11443</v>
      </c>
      <c r="M256" s="2744" t="s">
        <v>11450</v>
      </c>
      <c r="N256" s="2744" t="s">
        <v>11600</v>
      </c>
      <c r="O256" s="2744" t="s">
        <v>11601</v>
      </c>
      <c r="P256" s="2744" t="s">
        <v>11602</v>
      </c>
      <c r="Q256" s="2744" t="s">
        <v>11603</v>
      </c>
      <c r="R256" s="2744" t="s">
        <v>11604</v>
      </c>
      <c r="S256" s="3519">
        <f t="shared" si="28"/>
        <v>0</v>
      </c>
      <c r="T256" s="3518">
        <f>COUNTIF(Psíquicos!$V$20:$Z$73,'Tablas psiquica'!D256)</f>
        <v>0</v>
      </c>
      <c r="U256" s="3512"/>
      <c r="V256" s="3524"/>
      <c r="W256" s="4254" t="s">
        <v>14118</v>
      </c>
      <c r="X256" s="4257" t="s">
        <v>14124</v>
      </c>
      <c r="Y256" s="3512">
        <f t="shared" si="29"/>
        <v>0</v>
      </c>
      <c r="Z256" s="3502">
        <f t="shared" si="30"/>
        <v>0</v>
      </c>
    </row>
    <row r="257" spans="1:26">
      <c r="A257" s="702">
        <v>257</v>
      </c>
      <c r="B257" s="3503">
        <f>IF(OR(S257=0),0,SUM($S$6:S257))</f>
        <v>0</v>
      </c>
      <c r="C257" s="3499"/>
      <c r="D257" s="3500" t="s">
        <v>10322</v>
      </c>
      <c r="E257" s="2746" t="s">
        <v>10937</v>
      </c>
      <c r="F257" s="2745" t="s">
        <v>1315</v>
      </c>
      <c r="G257" s="2745" t="s">
        <v>2422</v>
      </c>
      <c r="H257" s="3501" t="s">
        <v>1166</v>
      </c>
      <c r="I257" s="2744" t="s">
        <v>5416</v>
      </c>
      <c r="J257" s="2744" t="s">
        <v>5408</v>
      </c>
      <c r="K257" s="2744" t="s">
        <v>5407</v>
      </c>
      <c r="L257" s="2744" t="s">
        <v>5396</v>
      </c>
      <c r="M257" s="2744" t="s">
        <v>5729</v>
      </c>
      <c r="N257" s="2744" t="s">
        <v>5397</v>
      </c>
      <c r="O257" s="2744" t="s">
        <v>5652</v>
      </c>
      <c r="P257" s="2744" t="s">
        <v>5399</v>
      </c>
      <c r="Q257" s="2744" t="s">
        <v>11605</v>
      </c>
      <c r="R257" s="2744" t="s">
        <v>11606</v>
      </c>
      <c r="S257" s="3519">
        <f t="shared" si="28"/>
        <v>0</v>
      </c>
      <c r="T257" s="3518">
        <f>COUNTIF(Psíquicos!$V$20:$Z$73,'Tablas psiquica'!D257)</f>
        <v>0</v>
      </c>
      <c r="U257" s="3512"/>
      <c r="V257" s="3524"/>
      <c r="W257" s="4254" t="s">
        <v>14000</v>
      </c>
      <c r="X257" s="4255" t="s">
        <v>13943</v>
      </c>
      <c r="Y257" s="3512">
        <f t="shared" si="29"/>
        <v>0</v>
      </c>
      <c r="Z257" s="3502">
        <f t="shared" si="30"/>
        <v>0</v>
      </c>
    </row>
    <row r="258" spans="1:26">
      <c r="A258" s="702">
        <v>258</v>
      </c>
      <c r="B258" s="3503">
        <f>IF(OR(S258=0),0,SUM($S$6:S258))</f>
        <v>0</v>
      </c>
      <c r="C258" s="3499"/>
      <c r="D258" s="3500" t="s">
        <v>10323</v>
      </c>
      <c r="E258" s="2746" t="s">
        <v>10937</v>
      </c>
      <c r="F258" s="2745" t="s">
        <v>1315</v>
      </c>
      <c r="G258" s="2745" t="s">
        <v>2422</v>
      </c>
      <c r="H258" s="3501" t="s">
        <v>1166</v>
      </c>
      <c r="I258" s="2744" t="s">
        <v>5406</v>
      </c>
      <c r="J258" s="2744" t="s">
        <v>5386</v>
      </c>
      <c r="K258" s="2744" t="s">
        <v>11607</v>
      </c>
      <c r="L258" s="2744" t="s">
        <v>11608</v>
      </c>
      <c r="M258" s="2744" t="s">
        <v>11609</v>
      </c>
      <c r="N258" s="2744" t="s">
        <v>11610</v>
      </c>
      <c r="O258" s="2744" t="s">
        <v>11611</v>
      </c>
      <c r="P258" s="2744" t="s">
        <v>11612</v>
      </c>
      <c r="Q258" s="2744" t="s">
        <v>11613</v>
      </c>
      <c r="R258" s="2744" t="s">
        <v>11614</v>
      </c>
      <c r="S258" s="3519">
        <f t="shared" ref="S258:S291" si="31">IF(VLOOKUP(D258,$BI$24:$BK$89,2,FALSE)=1,1,0)</f>
        <v>0</v>
      </c>
      <c r="T258" s="3518">
        <f>COUNTIF(Psíquicos!$V$20:$Z$73,'Tablas psiquica'!D258)</f>
        <v>0</v>
      </c>
      <c r="U258" s="3512"/>
      <c r="V258" s="3524"/>
      <c r="W258" s="4254" t="s">
        <v>14000</v>
      </c>
      <c r="X258" s="4255" t="s">
        <v>14125</v>
      </c>
      <c r="Y258" s="3512">
        <f t="shared" si="29"/>
        <v>0</v>
      </c>
      <c r="Z258" s="3502">
        <f t="shared" si="30"/>
        <v>0</v>
      </c>
    </row>
    <row r="259" spans="1:26">
      <c r="A259" s="702">
        <v>259</v>
      </c>
      <c r="B259" s="3503">
        <f>IF(OR(S259=0),0,SUM($S$6:S259))</f>
        <v>0</v>
      </c>
      <c r="C259" s="3499"/>
      <c r="D259" s="3500" t="s">
        <v>10324</v>
      </c>
      <c r="E259" s="2746" t="s">
        <v>10937</v>
      </c>
      <c r="F259" s="2745" t="s">
        <v>1315</v>
      </c>
      <c r="G259" s="2745" t="s">
        <v>1241</v>
      </c>
      <c r="H259" s="3501" t="s">
        <v>1165</v>
      </c>
      <c r="I259" s="2744" t="s">
        <v>5407</v>
      </c>
      <c r="J259" s="2744" t="s">
        <v>5406</v>
      </c>
      <c r="K259" s="2744" t="s">
        <v>5386</v>
      </c>
      <c r="L259" s="3575" t="s">
        <v>10982</v>
      </c>
      <c r="M259" s="3575" t="s">
        <v>10983</v>
      </c>
      <c r="N259" s="3575" t="s">
        <v>10984</v>
      </c>
      <c r="O259" s="3575" t="s">
        <v>10985</v>
      </c>
      <c r="P259" s="3575" t="s">
        <v>10986</v>
      </c>
      <c r="Q259" s="3575" t="s">
        <v>10987</v>
      </c>
      <c r="R259" s="3575" t="s">
        <v>10988</v>
      </c>
      <c r="S259" s="3519">
        <f t="shared" si="31"/>
        <v>0</v>
      </c>
      <c r="T259" s="3518">
        <f>COUNTIF(Psíquicos!$V$20:$Z$73,'Tablas psiquica'!D259)</f>
        <v>0</v>
      </c>
      <c r="U259" s="3512"/>
      <c r="V259" s="3524"/>
      <c r="W259" s="4254" t="s">
        <v>14126</v>
      </c>
      <c r="X259" s="4257" t="s">
        <v>14127</v>
      </c>
      <c r="Y259" s="3512">
        <f t="shared" si="29"/>
        <v>0</v>
      </c>
      <c r="Z259" s="3502">
        <f t="shared" si="30"/>
        <v>0</v>
      </c>
    </row>
    <row r="260" spans="1:26">
      <c r="A260" s="702">
        <v>260</v>
      </c>
      <c r="B260" s="3503">
        <f>IF(OR(S260=0),0,SUM($S$6:S260))</f>
        <v>0</v>
      </c>
      <c r="C260" s="3499"/>
      <c r="D260" s="3500" t="s">
        <v>10325</v>
      </c>
      <c r="E260" s="2746" t="s">
        <v>10937</v>
      </c>
      <c r="F260" s="2745" t="s">
        <v>1315</v>
      </c>
      <c r="G260" s="2745" t="s">
        <v>2422</v>
      </c>
      <c r="H260" s="3501" t="s">
        <v>1166</v>
      </c>
      <c r="I260" s="2744" t="s">
        <v>5407</v>
      </c>
      <c r="J260" s="2744" t="s">
        <v>5406</v>
      </c>
      <c r="K260" s="2744" t="s">
        <v>5386</v>
      </c>
      <c r="L260" s="2744" t="s">
        <v>11615</v>
      </c>
      <c r="M260" s="2744" t="s">
        <v>11616</v>
      </c>
      <c r="N260" s="2744" t="s">
        <v>11617</v>
      </c>
      <c r="O260" s="2744" t="s">
        <v>11339</v>
      </c>
      <c r="P260" s="2744" t="s">
        <v>11354</v>
      </c>
      <c r="Q260" s="2744" t="s">
        <v>11369</v>
      </c>
      <c r="R260" s="2744" t="s">
        <v>11382</v>
      </c>
      <c r="S260" s="3519">
        <f t="shared" si="31"/>
        <v>0</v>
      </c>
      <c r="T260" s="3518">
        <f>COUNTIF(Psíquicos!$V$20:$Z$73,'Tablas psiquica'!D260)</f>
        <v>0</v>
      </c>
      <c r="U260" s="3512"/>
      <c r="V260" s="3524"/>
      <c r="W260" s="4254" t="s">
        <v>13988</v>
      </c>
      <c r="X260" s="4255" t="s">
        <v>2000</v>
      </c>
      <c r="Y260" s="3512">
        <f t="shared" si="29"/>
        <v>0</v>
      </c>
      <c r="Z260" s="3502">
        <f t="shared" si="30"/>
        <v>0</v>
      </c>
    </row>
    <row r="261" spans="1:26">
      <c r="A261" s="702">
        <v>261</v>
      </c>
      <c r="B261" s="3503">
        <f>IF(OR(S261=0),0,SUM($S$6:S261))</f>
        <v>0</v>
      </c>
      <c r="C261" s="3499"/>
      <c r="D261" s="3500" t="s">
        <v>9346</v>
      </c>
      <c r="E261" s="2746" t="s">
        <v>10937</v>
      </c>
      <c r="F261" s="2745" t="s">
        <v>1315</v>
      </c>
      <c r="G261" s="2745" t="s">
        <v>2422</v>
      </c>
      <c r="H261" s="3501" t="s">
        <v>1165</v>
      </c>
      <c r="I261" s="2744" t="s">
        <v>5407</v>
      </c>
      <c r="J261" s="2744" t="s">
        <v>5406</v>
      </c>
      <c r="K261" s="2744" t="s">
        <v>5386</v>
      </c>
      <c r="L261" s="2744" t="s">
        <v>11625</v>
      </c>
      <c r="M261" s="2744" t="s">
        <v>11626</v>
      </c>
      <c r="N261" s="2744" t="s">
        <v>11627</v>
      </c>
      <c r="O261" s="2744" t="s">
        <v>11628</v>
      </c>
      <c r="P261" s="2744" t="s">
        <v>11629</v>
      </c>
      <c r="Q261" s="2744" t="s">
        <v>11630</v>
      </c>
      <c r="R261" s="2744" t="s">
        <v>11631</v>
      </c>
      <c r="S261" s="3519">
        <f t="shared" si="31"/>
        <v>0</v>
      </c>
      <c r="T261" s="3518">
        <f>COUNTIF(Psíquicos!$V$20:$Z$73,'Tablas psiquica'!D261)</f>
        <v>0</v>
      </c>
      <c r="U261" s="3512"/>
      <c r="V261" s="3524"/>
      <c r="W261" s="4254" t="s">
        <v>13940</v>
      </c>
      <c r="X261" s="4257" t="s">
        <v>14128</v>
      </c>
      <c r="Y261" s="3512">
        <f t="shared" si="29"/>
        <v>0</v>
      </c>
      <c r="Z261" s="3502">
        <f t="shared" si="30"/>
        <v>0</v>
      </c>
    </row>
    <row r="262" spans="1:26">
      <c r="A262" s="702">
        <v>262</v>
      </c>
      <c r="B262" s="3503">
        <f>IF(OR(S262=0),0,SUM($S$6:S262))</f>
        <v>0</v>
      </c>
      <c r="C262" s="3499"/>
      <c r="D262" s="3500" t="s">
        <v>363</v>
      </c>
      <c r="E262" s="2746" t="s">
        <v>10937</v>
      </c>
      <c r="F262" s="2745" t="s">
        <v>1315</v>
      </c>
      <c r="G262" s="2745" t="s">
        <v>2422</v>
      </c>
      <c r="H262" s="3501" t="s">
        <v>1165</v>
      </c>
      <c r="I262" s="2744" t="s">
        <v>5407</v>
      </c>
      <c r="J262" s="2744" t="s">
        <v>5406</v>
      </c>
      <c r="K262" s="2744" t="s">
        <v>5386</v>
      </c>
      <c r="L262" s="2744" t="s">
        <v>11618</v>
      </c>
      <c r="M262" s="2744" t="s">
        <v>11619</v>
      </c>
      <c r="N262" s="2744" t="s">
        <v>11620</v>
      </c>
      <c r="O262" s="2744" t="s">
        <v>11621</v>
      </c>
      <c r="P262" s="2744" t="s">
        <v>11622</v>
      </c>
      <c r="Q262" s="2744" t="s">
        <v>11623</v>
      </c>
      <c r="R262" s="2744" t="s">
        <v>11624</v>
      </c>
      <c r="S262" s="3519">
        <f t="shared" si="31"/>
        <v>0</v>
      </c>
      <c r="T262" s="3518">
        <f>COUNTIF(Psíquicos!$V$20:$Z$73,'Tablas psiquica'!D262)</f>
        <v>0</v>
      </c>
      <c r="U262" s="3512"/>
      <c r="V262" s="3524"/>
      <c r="W262" s="4254" t="s">
        <v>14129</v>
      </c>
      <c r="X262" s="4257" t="s">
        <v>13958</v>
      </c>
      <c r="Y262" s="3512">
        <f t="shared" si="29"/>
        <v>0</v>
      </c>
      <c r="Z262" s="3502">
        <f t="shared" si="30"/>
        <v>0</v>
      </c>
    </row>
    <row r="263" spans="1:26">
      <c r="A263" s="702">
        <v>263</v>
      </c>
      <c r="B263" s="3503">
        <f>IF(OR(S263=0),0,SUM($S$6:S263))</f>
        <v>0</v>
      </c>
      <c r="C263" s="3499"/>
      <c r="D263" s="3500" t="s">
        <v>10326</v>
      </c>
      <c r="E263" s="2746" t="s">
        <v>10937</v>
      </c>
      <c r="F263" s="2745" t="s">
        <v>1315</v>
      </c>
      <c r="G263" s="2745" t="s">
        <v>2422</v>
      </c>
      <c r="H263" s="3501" t="s">
        <v>1166</v>
      </c>
      <c r="I263" s="2744" t="s">
        <v>5407</v>
      </c>
      <c r="J263" s="2744" t="s">
        <v>5406</v>
      </c>
      <c r="K263" s="3575" t="s">
        <v>10989</v>
      </c>
      <c r="L263" s="3575" t="s">
        <v>10990</v>
      </c>
      <c r="M263" s="3575" t="s">
        <v>10991</v>
      </c>
      <c r="N263" s="3575" t="s">
        <v>11459</v>
      </c>
      <c r="O263" s="3575" t="s">
        <v>11460</v>
      </c>
      <c r="P263" s="3575" t="s">
        <v>11470</v>
      </c>
      <c r="Q263" s="3575" t="s">
        <v>11481</v>
      </c>
      <c r="R263" s="3575" t="s">
        <v>11493</v>
      </c>
      <c r="S263" s="3519">
        <f t="shared" si="31"/>
        <v>0</v>
      </c>
      <c r="T263" s="3518">
        <f>COUNTIF(Psíquicos!$V$20:$Z$73,'Tablas psiquica'!D263)</f>
        <v>0</v>
      </c>
      <c r="U263" s="3512"/>
      <c r="V263" s="3524"/>
      <c r="W263" s="4254" t="s">
        <v>14118</v>
      </c>
      <c r="X263" s="4257" t="s">
        <v>13958</v>
      </c>
      <c r="Y263" s="3512">
        <f t="shared" si="29"/>
        <v>0</v>
      </c>
      <c r="Z263" s="3502">
        <f t="shared" si="30"/>
        <v>0</v>
      </c>
    </row>
    <row r="264" spans="1:26">
      <c r="A264" s="702">
        <v>264</v>
      </c>
      <c r="B264" s="3503">
        <f>IF(OR(S264=0),0,SUM($S$6:S264))</f>
        <v>0</v>
      </c>
      <c r="C264" s="3499"/>
      <c r="D264" s="3500" t="s">
        <v>10327</v>
      </c>
      <c r="E264" s="2746" t="s">
        <v>10937</v>
      </c>
      <c r="F264" s="2745" t="s">
        <v>1315</v>
      </c>
      <c r="G264" s="2745" t="s">
        <v>2422</v>
      </c>
      <c r="H264" s="3501" t="s">
        <v>1166</v>
      </c>
      <c r="I264" s="2744" t="s">
        <v>5407</v>
      </c>
      <c r="J264" s="2744" t="s">
        <v>5406</v>
      </c>
      <c r="K264" s="3575" t="s">
        <v>5386</v>
      </c>
      <c r="L264" s="3575" t="s">
        <v>11632</v>
      </c>
      <c r="M264" s="3575" t="s">
        <v>11633</v>
      </c>
      <c r="N264" s="3575" t="s">
        <v>11634</v>
      </c>
      <c r="O264" s="3575" t="s">
        <v>11340</v>
      </c>
      <c r="P264" s="3575" t="s">
        <v>11355</v>
      </c>
      <c r="Q264" s="3575" t="s">
        <v>11370</v>
      </c>
      <c r="R264" s="3575" t="s">
        <v>11383</v>
      </c>
      <c r="S264" s="3519">
        <f t="shared" si="31"/>
        <v>0</v>
      </c>
      <c r="T264" s="3518">
        <f>COUNTIF(Psíquicos!$V$20:$Z$73,'Tablas psiquica'!D264)</f>
        <v>0</v>
      </c>
      <c r="U264" s="3512"/>
      <c r="V264" s="3524"/>
      <c r="W264" s="4254" t="s">
        <v>14126</v>
      </c>
      <c r="X264" s="4257" t="s">
        <v>14130</v>
      </c>
      <c r="Y264" s="3512">
        <f t="shared" si="29"/>
        <v>0</v>
      </c>
      <c r="Z264" s="3502">
        <f t="shared" si="30"/>
        <v>0</v>
      </c>
    </row>
    <row r="265" spans="1:26">
      <c r="A265" s="702">
        <v>265</v>
      </c>
      <c r="B265" s="3503">
        <f>IF(OR(S265=0),0,SUM($S$6:S265))</f>
        <v>0</v>
      </c>
      <c r="C265" s="3499"/>
      <c r="D265" s="3500" t="s">
        <v>10328</v>
      </c>
      <c r="E265" s="2746" t="s">
        <v>10937</v>
      </c>
      <c r="F265" s="2745" t="s">
        <v>1315</v>
      </c>
      <c r="G265" s="2745" t="s">
        <v>1241</v>
      </c>
      <c r="H265" s="3501" t="s">
        <v>1166</v>
      </c>
      <c r="I265" s="2744" t="s">
        <v>5408</v>
      </c>
      <c r="J265" s="2744" t="s">
        <v>5407</v>
      </c>
      <c r="K265" s="3575" t="s">
        <v>5406</v>
      </c>
      <c r="L265" s="3575" t="s">
        <v>5386</v>
      </c>
      <c r="M265" s="3575" t="s">
        <v>11450</v>
      </c>
      <c r="N265" s="3575" t="s">
        <v>11462</v>
      </c>
      <c r="O265" s="3575" t="s">
        <v>11472</v>
      </c>
      <c r="P265" s="3575" t="s">
        <v>11483</v>
      </c>
      <c r="Q265" s="3575" t="s">
        <v>11513</v>
      </c>
      <c r="R265" s="3575" t="s">
        <v>11495</v>
      </c>
      <c r="S265" s="3519">
        <f t="shared" si="31"/>
        <v>0</v>
      </c>
      <c r="T265" s="3518">
        <f>COUNTIF(Psíquicos!$V$20:$Z$73,'Tablas psiquica'!D265)</f>
        <v>0</v>
      </c>
      <c r="U265" s="3512"/>
      <c r="V265" s="3524"/>
      <c r="W265" s="4254" t="s">
        <v>14036</v>
      </c>
      <c r="X265" s="4257" t="s">
        <v>13958</v>
      </c>
      <c r="Y265" s="3512">
        <f t="shared" si="29"/>
        <v>0</v>
      </c>
      <c r="Z265" s="3502">
        <f t="shared" si="30"/>
        <v>0</v>
      </c>
    </row>
    <row r="266" spans="1:26">
      <c r="A266" s="702">
        <v>266</v>
      </c>
      <c r="B266" s="3503">
        <f>IF(OR(S266=0),0,SUM($S$6:S266))</f>
        <v>0</v>
      </c>
      <c r="C266" s="3499"/>
      <c r="D266" s="3500" t="s">
        <v>10329</v>
      </c>
      <c r="E266" s="2746" t="s">
        <v>10937</v>
      </c>
      <c r="F266" s="2745" t="s">
        <v>1315</v>
      </c>
      <c r="G266" s="2745" t="s">
        <v>2422</v>
      </c>
      <c r="H266" s="3501" t="s">
        <v>1165</v>
      </c>
      <c r="I266" s="2744" t="s">
        <v>5406</v>
      </c>
      <c r="J266" s="2744" t="s">
        <v>5386</v>
      </c>
      <c r="K266" s="3575" t="s">
        <v>11449</v>
      </c>
      <c r="L266" s="3575" t="s">
        <v>11461</v>
      </c>
      <c r="M266" s="3575" t="s">
        <v>11471</v>
      </c>
      <c r="N266" s="3575" t="s">
        <v>11482</v>
      </c>
      <c r="O266" s="3575" t="s">
        <v>11494</v>
      </c>
      <c r="P266" s="3575" t="s">
        <v>11523</v>
      </c>
      <c r="Q266" s="3575" t="s">
        <v>11503</v>
      </c>
      <c r="R266" s="3575" t="s">
        <v>11509</v>
      </c>
      <c r="S266" s="3519">
        <f t="shared" si="31"/>
        <v>0</v>
      </c>
      <c r="T266" s="3518">
        <f>COUNTIF(Psíquicos!$V$20:$Z$73,'Tablas psiquica'!D266)</f>
        <v>0</v>
      </c>
      <c r="U266" s="3512"/>
      <c r="V266" s="3524"/>
      <c r="W266" s="4254" t="s">
        <v>14000</v>
      </c>
      <c r="X266" s="4257" t="s">
        <v>14131</v>
      </c>
      <c r="Y266" s="3512">
        <f t="shared" si="29"/>
        <v>0</v>
      </c>
      <c r="Z266" s="3502">
        <f t="shared" si="30"/>
        <v>0</v>
      </c>
    </row>
    <row r="267" spans="1:26">
      <c r="A267" s="702">
        <v>267</v>
      </c>
      <c r="B267" s="3503">
        <f>IF(OR(S267=0),0,SUM($S$6:S267))</f>
        <v>0</v>
      </c>
      <c r="C267" s="3499"/>
      <c r="D267" s="3500" t="s">
        <v>10330</v>
      </c>
      <c r="E267" s="2746" t="s">
        <v>10937</v>
      </c>
      <c r="F267" s="2745" t="s">
        <v>1315</v>
      </c>
      <c r="G267" s="2745" t="s">
        <v>2422</v>
      </c>
      <c r="H267" s="3501" t="s">
        <v>1165</v>
      </c>
      <c r="I267" s="2744" t="s">
        <v>5407</v>
      </c>
      <c r="J267" s="2744" t="s">
        <v>5406</v>
      </c>
      <c r="K267" s="3575" t="s">
        <v>5386</v>
      </c>
      <c r="L267" s="3575" t="s">
        <v>11179</v>
      </c>
      <c r="M267" s="3575" t="s">
        <v>11635</v>
      </c>
      <c r="N267" s="3575" t="s">
        <v>11636</v>
      </c>
      <c r="O267" s="3575" t="s">
        <v>11637</v>
      </c>
      <c r="P267" s="3575" t="s">
        <v>11638</v>
      </c>
      <c r="Q267" s="3575" t="s">
        <v>11639</v>
      </c>
      <c r="R267" s="3575" t="s">
        <v>11640</v>
      </c>
      <c r="S267" s="3519">
        <f t="shared" si="31"/>
        <v>0</v>
      </c>
      <c r="T267" s="3518">
        <f>COUNTIF(Psíquicos!$V$20:$Z$73,'Tablas psiquica'!D267)</f>
        <v>0</v>
      </c>
      <c r="U267" s="3512"/>
      <c r="V267" s="3524"/>
      <c r="W267" s="4254" t="s">
        <v>13956</v>
      </c>
      <c r="X267" s="4255" t="s">
        <v>14068</v>
      </c>
      <c r="Y267" s="3512">
        <f t="shared" si="29"/>
        <v>0</v>
      </c>
      <c r="Z267" s="3502">
        <f t="shared" si="30"/>
        <v>0</v>
      </c>
    </row>
    <row r="268" spans="1:26">
      <c r="A268" s="702">
        <v>268</v>
      </c>
      <c r="B268" s="3503">
        <f>IF(OR(S268=0),0,SUM($S$6:S268))</f>
        <v>0</v>
      </c>
      <c r="C268" s="3499"/>
      <c r="D268" s="3500" t="s">
        <v>10331</v>
      </c>
      <c r="E268" s="2746" t="s">
        <v>10937</v>
      </c>
      <c r="F268" s="2745" t="s">
        <v>1315</v>
      </c>
      <c r="G268" s="2745" t="s">
        <v>1241</v>
      </c>
      <c r="H268" s="3501" t="s">
        <v>1165</v>
      </c>
      <c r="I268" s="2744" t="s">
        <v>5408</v>
      </c>
      <c r="J268" s="2744" t="s">
        <v>5407</v>
      </c>
      <c r="K268" s="3575" t="s">
        <v>5406</v>
      </c>
      <c r="L268" s="3575" t="s">
        <v>5386</v>
      </c>
      <c r="M268" s="3575" t="s">
        <v>11450</v>
      </c>
      <c r="N268" s="3575" t="s">
        <v>11462</v>
      </c>
      <c r="O268" s="3575" t="s">
        <v>11472</v>
      </c>
      <c r="P268" s="3575" t="s">
        <v>11483</v>
      </c>
      <c r="Q268" s="3575" t="s">
        <v>11513</v>
      </c>
      <c r="R268" s="3575" t="s">
        <v>11504</v>
      </c>
      <c r="S268" s="3519">
        <f t="shared" si="31"/>
        <v>0</v>
      </c>
      <c r="T268" s="3518">
        <f>COUNTIF(Psíquicos!$V$20:$Z$73,'Tablas psiquica'!D268)</f>
        <v>0</v>
      </c>
      <c r="U268" s="3512"/>
      <c r="V268" s="3524"/>
      <c r="W268" s="4254" t="s">
        <v>13944</v>
      </c>
      <c r="X268" s="4255" t="s">
        <v>14109</v>
      </c>
      <c r="Y268" s="3512">
        <f t="shared" si="29"/>
        <v>0</v>
      </c>
      <c r="Z268" s="3502">
        <f t="shared" si="30"/>
        <v>0</v>
      </c>
    </row>
    <row r="269" spans="1:26">
      <c r="A269" s="702">
        <v>269</v>
      </c>
      <c r="B269" s="3503">
        <f>IF(OR(S269=0),0,SUM($S$6:S269))</f>
        <v>0</v>
      </c>
      <c r="C269" s="3499"/>
      <c r="D269" s="3500" t="s">
        <v>10332</v>
      </c>
      <c r="E269" s="2746" t="s">
        <v>10937</v>
      </c>
      <c r="F269" s="2745" t="s">
        <v>1315</v>
      </c>
      <c r="G269" s="2745" t="s">
        <v>2422</v>
      </c>
      <c r="H269" s="3501" t="s">
        <v>1165</v>
      </c>
      <c r="I269" s="2744" t="s">
        <v>5407</v>
      </c>
      <c r="J269" s="2744" t="s">
        <v>5406</v>
      </c>
      <c r="K269" s="3575" t="s">
        <v>5386</v>
      </c>
      <c r="L269" s="3575" t="s">
        <v>10992</v>
      </c>
      <c r="M269" s="3575" t="s">
        <v>10993</v>
      </c>
      <c r="N269" s="3575" t="s">
        <v>10994</v>
      </c>
      <c r="O269" s="3575" t="s">
        <v>10995</v>
      </c>
      <c r="P269" s="3575" t="s">
        <v>10996</v>
      </c>
      <c r="Q269" s="3575" t="s">
        <v>10</v>
      </c>
      <c r="R269" s="3575" t="s">
        <v>10997</v>
      </c>
      <c r="S269" s="3519">
        <f t="shared" si="31"/>
        <v>0</v>
      </c>
      <c r="T269" s="3518">
        <f>COUNTIF(Psíquicos!$V$20:$Z$73,'Tablas psiquica'!D269)</f>
        <v>0</v>
      </c>
      <c r="U269" s="3512"/>
      <c r="V269" s="3524"/>
      <c r="W269" s="4254" t="s">
        <v>14118</v>
      </c>
      <c r="X269" s="4255" t="s">
        <v>1315</v>
      </c>
      <c r="Y269" s="3512">
        <f t="shared" si="29"/>
        <v>0</v>
      </c>
      <c r="Z269" s="3502">
        <f t="shared" si="30"/>
        <v>0</v>
      </c>
    </row>
    <row r="270" spans="1:26">
      <c r="A270" s="702">
        <v>270</v>
      </c>
      <c r="B270" s="3503">
        <f>IF(OR(S270=0),0,SUM($S$6:S270))</f>
        <v>0</v>
      </c>
      <c r="C270" s="3499"/>
      <c r="D270" s="3500" t="s">
        <v>10333</v>
      </c>
      <c r="E270" s="2746" t="s">
        <v>10937</v>
      </c>
      <c r="F270" s="2745" t="s">
        <v>1315</v>
      </c>
      <c r="G270" s="2745" t="s">
        <v>1241</v>
      </c>
      <c r="H270" s="3501" t="s">
        <v>1165</v>
      </c>
      <c r="I270" s="2744" t="s">
        <v>5473</v>
      </c>
      <c r="J270" s="2744" t="s">
        <v>5417</v>
      </c>
      <c r="K270" s="3575" t="s">
        <v>5416</v>
      </c>
      <c r="L270" s="3575" t="s">
        <v>5408</v>
      </c>
      <c r="M270" s="3575" t="s">
        <v>5407</v>
      </c>
      <c r="N270" s="3575" t="s">
        <v>10998</v>
      </c>
      <c r="O270" s="3575" t="s">
        <v>10999</v>
      </c>
      <c r="P270" s="3575" t="s">
        <v>11000</v>
      </c>
      <c r="Q270" s="3575" t="s">
        <v>11001</v>
      </c>
      <c r="R270" s="3575" t="s">
        <v>11002</v>
      </c>
      <c r="S270" s="3519">
        <f t="shared" si="31"/>
        <v>0</v>
      </c>
      <c r="T270" s="3518">
        <f>COUNTIF(Psíquicos!$V$20:$Z$73,'Tablas psiquica'!D270)</f>
        <v>0</v>
      </c>
      <c r="U270" s="3512"/>
      <c r="V270" s="3524"/>
      <c r="W270" s="4254" t="s">
        <v>14041</v>
      </c>
      <c r="X270" s="4255" t="s">
        <v>14132</v>
      </c>
      <c r="Y270" s="3512">
        <f t="shared" si="29"/>
        <v>0</v>
      </c>
      <c r="Z270" s="3502">
        <f t="shared" si="30"/>
        <v>0</v>
      </c>
    </row>
    <row r="271" spans="1:26">
      <c r="A271" s="702">
        <v>271</v>
      </c>
      <c r="B271" s="3503">
        <f>IF(OR(S271=0),0,SUM($S$6:S271))</f>
        <v>0</v>
      </c>
      <c r="C271" s="3499"/>
      <c r="D271" s="3500" t="s">
        <v>10334</v>
      </c>
      <c r="E271" s="2746" t="s">
        <v>10937</v>
      </c>
      <c r="F271" s="2745" t="s">
        <v>1315</v>
      </c>
      <c r="G271" s="2745" t="s">
        <v>1241</v>
      </c>
      <c r="H271" s="3501" t="s">
        <v>1166</v>
      </c>
      <c r="I271" s="2744" t="s">
        <v>5408</v>
      </c>
      <c r="J271" s="2744" t="s">
        <v>5407</v>
      </c>
      <c r="K271" s="3575" t="s">
        <v>5406</v>
      </c>
      <c r="L271" s="3575" t="s">
        <v>11003</v>
      </c>
      <c r="M271" s="3575" t="s">
        <v>11004</v>
      </c>
      <c r="N271" s="3575" t="s">
        <v>11005</v>
      </c>
      <c r="O271" s="3575" t="s">
        <v>11006</v>
      </c>
      <c r="P271" s="3575" t="s">
        <v>11007</v>
      </c>
      <c r="Q271" s="3575" t="s">
        <v>11008</v>
      </c>
      <c r="R271" s="3575" t="s">
        <v>11009</v>
      </c>
      <c r="S271" s="3519">
        <f t="shared" si="31"/>
        <v>0</v>
      </c>
      <c r="T271" s="3518">
        <f>COUNTIF(Psíquicos!$V$20:$Z$73,'Tablas psiquica'!D271)</f>
        <v>0</v>
      </c>
      <c r="U271" s="3512"/>
      <c r="V271" s="3524"/>
      <c r="W271" s="4254" t="s">
        <v>13952</v>
      </c>
      <c r="X271" s="4255" t="s">
        <v>1315</v>
      </c>
      <c r="Y271" s="3512">
        <f t="shared" si="29"/>
        <v>0</v>
      </c>
      <c r="Z271" s="3502">
        <f t="shared" si="30"/>
        <v>0</v>
      </c>
    </row>
    <row r="272" spans="1:26">
      <c r="A272" s="702">
        <v>272</v>
      </c>
      <c r="B272" s="3503">
        <f>IF(OR(S272=0),0,SUM($S$6:S272))</f>
        <v>0</v>
      </c>
      <c r="C272" s="3499"/>
      <c r="D272" s="3500" t="s">
        <v>10335</v>
      </c>
      <c r="E272" s="2746" t="s">
        <v>10937</v>
      </c>
      <c r="F272" s="2745" t="s">
        <v>1315</v>
      </c>
      <c r="G272" s="2745" t="s">
        <v>2422</v>
      </c>
      <c r="H272" s="3501" t="s">
        <v>1165</v>
      </c>
      <c r="I272" s="2744" t="s">
        <v>5406</v>
      </c>
      <c r="J272" s="2744" t="s">
        <v>5386</v>
      </c>
      <c r="K272" s="3575" t="s">
        <v>5387</v>
      </c>
      <c r="L272" s="3575" t="s">
        <v>11641</v>
      </c>
      <c r="M272" s="3575" t="s">
        <v>11642</v>
      </c>
      <c r="N272" s="3575" t="s">
        <v>11643</v>
      </c>
      <c r="O272" s="3575" t="s">
        <v>11644</v>
      </c>
      <c r="P272" s="3575" t="s">
        <v>11647</v>
      </c>
      <c r="Q272" s="3575" t="s">
        <v>11646</v>
      </c>
      <c r="R272" s="3575" t="s">
        <v>11645</v>
      </c>
      <c r="S272" s="3519">
        <f t="shared" si="31"/>
        <v>0</v>
      </c>
      <c r="T272" s="3518">
        <f>COUNTIF(Psíquicos!$V$20:$Z$73,'Tablas psiquica'!D272)</f>
        <v>0</v>
      </c>
      <c r="U272" s="3512"/>
      <c r="V272" s="3524"/>
      <c r="W272" s="4254" t="s">
        <v>14000</v>
      </c>
      <c r="X272" s="4255" t="s">
        <v>14133</v>
      </c>
      <c r="Y272" s="3512">
        <f t="shared" si="29"/>
        <v>0</v>
      </c>
      <c r="Z272" s="3502">
        <f t="shared" si="30"/>
        <v>0</v>
      </c>
    </row>
    <row r="273" spans="1:26">
      <c r="A273" s="702">
        <v>273</v>
      </c>
      <c r="B273" s="3503">
        <f>IF(OR(S273=0),0,SUM($S$6:S273))</f>
        <v>0</v>
      </c>
      <c r="C273" s="3499"/>
      <c r="D273" s="3500" t="s">
        <v>10336</v>
      </c>
      <c r="E273" s="2746" t="s">
        <v>10937</v>
      </c>
      <c r="F273" s="2745" t="s">
        <v>1315</v>
      </c>
      <c r="G273" s="2745" t="s">
        <v>1241</v>
      </c>
      <c r="H273" s="3501" t="s">
        <v>1165</v>
      </c>
      <c r="I273" s="2744" t="s">
        <v>5408</v>
      </c>
      <c r="J273" s="2744" t="s">
        <v>5407</v>
      </c>
      <c r="K273" s="3575" t="s">
        <v>5406</v>
      </c>
      <c r="L273" s="3575" t="s">
        <v>5386</v>
      </c>
      <c r="M273" s="3575" t="s">
        <v>11648</v>
      </c>
      <c r="N273" s="3575" t="s">
        <v>11341</v>
      </c>
      <c r="O273" s="3575" t="s">
        <v>11356</v>
      </c>
      <c r="P273" s="3575" t="s">
        <v>11371</v>
      </c>
      <c r="Q273" s="3575" t="s">
        <v>11384</v>
      </c>
      <c r="R273" s="3575" t="s">
        <v>11395</v>
      </c>
      <c r="S273" s="3519">
        <f t="shared" si="31"/>
        <v>0</v>
      </c>
      <c r="T273" s="3518">
        <f>COUNTIF(Psíquicos!$V$20:$Z$73,'Tablas psiquica'!D273)</f>
        <v>0</v>
      </c>
      <c r="U273" s="3512"/>
      <c r="V273" s="3524"/>
      <c r="W273" s="4254" t="s">
        <v>14000</v>
      </c>
      <c r="X273" s="4257" t="s">
        <v>13980</v>
      </c>
      <c r="Y273" s="3512">
        <f t="shared" si="29"/>
        <v>0</v>
      </c>
      <c r="Z273" s="3502">
        <f t="shared" si="30"/>
        <v>0</v>
      </c>
    </row>
    <row r="274" spans="1:26">
      <c r="A274" s="702">
        <v>274</v>
      </c>
      <c r="B274" s="3503">
        <f>IF(OR(S274=0),0,SUM($S$6:S274))</f>
        <v>0</v>
      </c>
      <c r="C274" s="3499"/>
      <c r="D274" s="3500" t="s">
        <v>10337</v>
      </c>
      <c r="E274" s="2746" t="s">
        <v>10937</v>
      </c>
      <c r="F274" s="2745" t="s">
        <v>1315</v>
      </c>
      <c r="G274" s="2745" t="s">
        <v>2422</v>
      </c>
      <c r="H274" s="3501" t="s">
        <v>1166</v>
      </c>
      <c r="I274" s="2744" t="s">
        <v>5407</v>
      </c>
      <c r="J274" s="2744" t="s">
        <v>5406</v>
      </c>
      <c r="K274" s="3575" t="s">
        <v>5386</v>
      </c>
      <c r="L274" s="3575" t="s">
        <v>8745</v>
      </c>
      <c r="M274" s="3575" t="s">
        <v>8746</v>
      </c>
      <c r="N274" s="3575" t="s">
        <v>8747</v>
      </c>
      <c r="O274" s="3575" t="s">
        <v>8748</v>
      </c>
      <c r="P274" s="3575" t="s">
        <v>8749</v>
      </c>
      <c r="Q274" s="3575" t="s">
        <v>8750</v>
      </c>
      <c r="R274" s="3575" t="s">
        <v>8751</v>
      </c>
      <c r="S274" s="3519">
        <f t="shared" si="31"/>
        <v>0</v>
      </c>
      <c r="T274" s="3518">
        <f>COUNTIF(Psíquicos!$V$20:$Z$73,'Tablas psiquica'!D274)</f>
        <v>0</v>
      </c>
      <c r="U274" s="3512"/>
      <c r="V274" s="3524"/>
      <c r="W274" s="4254" t="s">
        <v>14000</v>
      </c>
      <c r="X274" s="4255" t="s">
        <v>14134</v>
      </c>
      <c r="Y274" s="3512">
        <f t="shared" si="29"/>
        <v>0</v>
      </c>
      <c r="Z274" s="3502">
        <f t="shared" si="30"/>
        <v>0</v>
      </c>
    </row>
    <row r="275" spans="1:26">
      <c r="A275" s="702">
        <v>275</v>
      </c>
      <c r="B275" s="3503">
        <f>IF(OR(S275=0),0,SUM($S$6:S275))</f>
        <v>0</v>
      </c>
      <c r="C275" s="3499"/>
      <c r="D275" s="3500" t="s">
        <v>10338</v>
      </c>
      <c r="E275" s="2746" t="s">
        <v>10937</v>
      </c>
      <c r="F275" s="2745" t="s">
        <v>1315</v>
      </c>
      <c r="G275" s="2745" t="s">
        <v>1241</v>
      </c>
      <c r="H275" s="3501" t="s">
        <v>1165</v>
      </c>
      <c r="I275" s="2744" t="s">
        <v>5416</v>
      </c>
      <c r="J275" s="2744" t="s">
        <v>5408</v>
      </c>
      <c r="K275" s="3575" t="s">
        <v>5407</v>
      </c>
      <c r="L275" s="3575" t="s">
        <v>5406</v>
      </c>
      <c r="M275" s="3575" t="s">
        <v>5386</v>
      </c>
      <c r="N275" s="3575" t="s">
        <v>11010</v>
      </c>
      <c r="O275" s="3575" t="s">
        <v>11011</v>
      </c>
      <c r="P275" s="3575" t="s">
        <v>11012</v>
      </c>
      <c r="Q275" s="3575" t="s">
        <v>11013</v>
      </c>
      <c r="R275" s="3575" t="s">
        <v>11014</v>
      </c>
      <c r="S275" s="3519">
        <f t="shared" si="31"/>
        <v>0</v>
      </c>
      <c r="T275" s="3518">
        <f>COUNTIF(Psíquicos!$V$20:$Z$73,'Tablas psiquica'!D275)</f>
        <v>0</v>
      </c>
      <c r="U275" s="3512"/>
      <c r="V275" s="3524"/>
      <c r="W275" s="4254" t="s">
        <v>14000</v>
      </c>
      <c r="X275" s="4255" t="s">
        <v>14135</v>
      </c>
      <c r="Y275" s="3512">
        <f t="shared" si="29"/>
        <v>0</v>
      </c>
      <c r="Z275" s="3502">
        <f t="shared" si="30"/>
        <v>0</v>
      </c>
    </row>
    <row r="276" spans="1:26">
      <c r="A276" s="702">
        <v>276</v>
      </c>
      <c r="B276" s="3503">
        <f>IF(OR(S276=0),0,SUM($S$6:S276))</f>
        <v>0</v>
      </c>
      <c r="C276" s="3499"/>
      <c r="D276" s="3500" t="s">
        <v>3</v>
      </c>
      <c r="E276" s="2746" t="s">
        <v>10937</v>
      </c>
      <c r="F276" s="2745" t="s">
        <v>1315</v>
      </c>
      <c r="G276" s="2745" t="s">
        <v>2422</v>
      </c>
      <c r="H276" s="3501" t="s">
        <v>1165</v>
      </c>
      <c r="I276" s="2744" t="s">
        <v>5406</v>
      </c>
      <c r="J276" s="2744" t="s">
        <v>5386</v>
      </c>
      <c r="K276" s="3575" t="s">
        <v>11015</v>
      </c>
      <c r="L276" s="3575" t="s">
        <v>11016</v>
      </c>
      <c r="M276" s="3575" t="s">
        <v>11017</v>
      </c>
      <c r="N276" s="3575" t="s">
        <v>11018</v>
      </c>
      <c r="O276" s="3575" t="s">
        <v>11019</v>
      </c>
      <c r="P276" s="3575" t="s">
        <v>11020</v>
      </c>
      <c r="Q276" s="3575" t="s">
        <v>11021</v>
      </c>
      <c r="R276" s="3575" t="s">
        <v>11022</v>
      </c>
      <c r="S276" s="3519">
        <f t="shared" si="31"/>
        <v>0</v>
      </c>
      <c r="T276" s="3518">
        <f>COUNTIF(Psíquicos!$V$20:$Z$73,'Tablas psiquica'!D276)</f>
        <v>0</v>
      </c>
      <c r="U276" s="3512"/>
      <c r="V276" s="3524"/>
      <c r="W276" s="4254" t="s">
        <v>13952</v>
      </c>
      <c r="X276" s="4255" t="s">
        <v>14136</v>
      </c>
      <c r="Y276" s="3512">
        <f t="shared" si="29"/>
        <v>0</v>
      </c>
      <c r="Z276" s="3502">
        <f t="shared" si="30"/>
        <v>0</v>
      </c>
    </row>
    <row r="277" spans="1:26">
      <c r="A277" s="702">
        <v>277</v>
      </c>
      <c r="B277" s="3503">
        <f>IF(OR(S277=0),0,SUM($S$6:S277))</f>
        <v>0</v>
      </c>
      <c r="C277" s="3499"/>
      <c r="D277" s="3500" t="s">
        <v>10339</v>
      </c>
      <c r="E277" s="2746" t="s">
        <v>10937</v>
      </c>
      <c r="F277" s="2745" t="s">
        <v>1315</v>
      </c>
      <c r="G277" s="2745" t="s">
        <v>2422</v>
      </c>
      <c r="H277" s="3501" t="s">
        <v>1165</v>
      </c>
      <c r="I277" s="2744" t="s">
        <v>5408</v>
      </c>
      <c r="J277" s="2744" t="s">
        <v>5407</v>
      </c>
      <c r="K277" s="3575" t="s">
        <v>5406</v>
      </c>
      <c r="L277" s="3575" t="s">
        <v>5386</v>
      </c>
      <c r="M277" s="3575" t="s">
        <v>11654</v>
      </c>
      <c r="N277" s="3575" t="s">
        <v>11649</v>
      </c>
      <c r="O277" s="3575" t="s">
        <v>11650</v>
      </c>
      <c r="P277" s="3575" t="s">
        <v>11651</v>
      </c>
      <c r="Q277" s="3575" t="s">
        <v>11652</v>
      </c>
      <c r="R277" s="3575" t="s">
        <v>11653</v>
      </c>
      <c r="S277" s="3519">
        <f t="shared" si="31"/>
        <v>0</v>
      </c>
      <c r="T277" s="3518">
        <f>COUNTIF(Psíquicos!$V$20:$Z$73,'Tablas psiquica'!D277)</f>
        <v>0</v>
      </c>
      <c r="U277" s="3512"/>
      <c r="V277" s="3524"/>
      <c r="W277" s="4254" t="s">
        <v>13985</v>
      </c>
      <c r="X277" s="4255" t="s">
        <v>14137</v>
      </c>
      <c r="Y277" s="3512">
        <f t="shared" si="29"/>
        <v>0</v>
      </c>
      <c r="Z277" s="3502">
        <f t="shared" si="30"/>
        <v>0</v>
      </c>
    </row>
    <row r="278" spans="1:26">
      <c r="A278" s="702">
        <v>278</v>
      </c>
      <c r="B278" s="3503">
        <f>IF(OR(S278=0),0,SUM($S$6:S278))</f>
        <v>0</v>
      </c>
      <c r="C278" s="3499"/>
      <c r="D278" s="3500" t="s">
        <v>10340</v>
      </c>
      <c r="E278" s="2746" t="s">
        <v>10937</v>
      </c>
      <c r="F278" s="2745" t="s">
        <v>1315</v>
      </c>
      <c r="G278" s="2745" t="s">
        <v>1241</v>
      </c>
      <c r="H278" s="3501" t="s">
        <v>1165</v>
      </c>
      <c r="I278" s="2744" t="s">
        <v>5416</v>
      </c>
      <c r="J278" s="2744" t="s">
        <v>5408</v>
      </c>
      <c r="K278" s="3575" t="s">
        <v>5407</v>
      </c>
      <c r="L278" s="3575" t="s">
        <v>5406</v>
      </c>
      <c r="M278" s="3575" t="s">
        <v>5386</v>
      </c>
      <c r="N278" s="3575" t="s">
        <v>1584</v>
      </c>
      <c r="O278" s="3575" t="s">
        <v>1586</v>
      </c>
      <c r="P278" s="3575" t="s">
        <v>10975</v>
      </c>
      <c r="Q278" s="3575" t="s">
        <v>11023</v>
      </c>
      <c r="R278" s="3575" t="s">
        <v>11024</v>
      </c>
      <c r="S278" s="3519">
        <f t="shared" si="31"/>
        <v>0</v>
      </c>
      <c r="T278" s="3518">
        <f>COUNTIF(Psíquicos!$V$20:$Z$73,'Tablas psiquica'!D278)</f>
        <v>0</v>
      </c>
      <c r="U278" s="3512"/>
      <c r="V278" s="3524"/>
      <c r="W278" s="4254" t="s">
        <v>13956</v>
      </c>
      <c r="X278" s="4255" t="s">
        <v>14025</v>
      </c>
      <c r="Y278" s="3512">
        <f t="shared" si="29"/>
        <v>0</v>
      </c>
      <c r="Z278" s="3502">
        <f t="shared" si="30"/>
        <v>0</v>
      </c>
    </row>
    <row r="279" spans="1:26">
      <c r="A279" s="702">
        <v>279</v>
      </c>
      <c r="B279" s="3503">
        <f>IF(OR(S279=0),0,SUM($S$6:S279))</f>
        <v>0</v>
      </c>
      <c r="C279" s="3499"/>
      <c r="D279" s="3500" t="s">
        <v>10341</v>
      </c>
      <c r="E279" s="2746" t="s">
        <v>10937</v>
      </c>
      <c r="F279" s="2745" t="s">
        <v>1315</v>
      </c>
      <c r="G279" s="2745" t="s">
        <v>1241</v>
      </c>
      <c r="H279" s="3501" t="s">
        <v>1165</v>
      </c>
      <c r="I279" s="2744" t="s">
        <v>5408</v>
      </c>
      <c r="J279" s="2744" t="s">
        <v>5407</v>
      </c>
      <c r="K279" s="3575" t="s">
        <v>5406</v>
      </c>
      <c r="L279" s="3575" t="s">
        <v>5386</v>
      </c>
      <c r="M279" s="3575" t="s">
        <v>11025</v>
      </c>
      <c r="N279" s="3575" t="s">
        <v>11026</v>
      </c>
      <c r="O279" s="3575" t="s">
        <v>11027</v>
      </c>
      <c r="P279" s="3575" t="s">
        <v>11028</v>
      </c>
      <c r="Q279" s="3575" t="s">
        <v>11029</v>
      </c>
      <c r="R279" s="3575" t="s">
        <v>11030</v>
      </c>
      <c r="S279" s="3519">
        <f t="shared" si="31"/>
        <v>0</v>
      </c>
      <c r="T279" s="3518">
        <f>COUNTIF(Psíquicos!$V$20:$Z$73,'Tablas psiquica'!D279)</f>
        <v>0</v>
      </c>
      <c r="U279" s="3512"/>
      <c r="V279" s="3524"/>
      <c r="W279" s="4254" t="s">
        <v>13944</v>
      </c>
      <c r="X279" s="4254" t="s">
        <v>14058</v>
      </c>
      <c r="Y279" s="3512">
        <f t="shared" si="29"/>
        <v>0</v>
      </c>
      <c r="Z279" s="3502">
        <f t="shared" si="30"/>
        <v>0</v>
      </c>
    </row>
    <row r="280" spans="1:26">
      <c r="A280" s="702">
        <v>280</v>
      </c>
      <c r="B280" s="3503">
        <f>IF(OR(S280=0),0,SUM($S$6:S280))</f>
        <v>0</v>
      </c>
      <c r="C280" s="3499"/>
      <c r="D280" s="3500" t="s">
        <v>9303</v>
      </c>
      <c r="E280" s="2746" t="s">
        <v>10937</v>
      </c>
      <c r="F280" s="2745" t="s">
        <v>1315</v>
      </c>
      <c r="G280" s="2745" t="s">
        <v>1241</v>
      </c>
      <c r="H280" s="3501" t="s">
        <v>1165</v>
      </c>
      <c r="I280" s="2744" t="s">
        <v>5406</v>
      </c>
      <c r="J280" s="2744" t="s">
        <v>5386</v>
      </c>
      <c r="K280" s="3575" t="s">
        <v>5387</v>
      </c>
      <c r="L280" s="3575" t="s">
        <v>11655</v>
      </c>
      <c r="M280" s="3575" t="s">
        <v>11656</v>
      </c>
      <c r="N280" s="3575" t="s">
        <v>11342</v>
      </c>
      <c r="O280" s="3575" t="s">
        <v>11357</v>
      </c>
      <c r="P280" s="3575" t="s">
        <v>11372</v>
      </c>
      <c r="Q280" s="3575" t="s">
        <v>11385</v>
      </c>
      <c r="R280" s="3575" t="s">
        <v>11396</v>
      </c>
      <c r="S280" s="3519">
        <f t="shared" si="31"/>
        <v>0</v>
      </c>
      <c r="T280" s="3518">
        <f>COUNTIF(Psíquicos!$V$20:$Z$73,'Tablas psiquica'!D280)</f>
        <v>0</v>
      </c>
      <c r="U280" s="3512"/>
      <c r="V280" s="3524"/>
      <c r="W280" s="4254" t="s">
        <v>13940</v>
      </c>
      <c r="X280" s="4257" t="s">
        <v>14138</v>
      </c>
      <c r="Y280" s="3512">
        <f t="shared" si="29"/>
        <v>0</v>
      </c>
      <c r="Z280" s="3502">
        <f t="shared" si="30"/>
        <v>0</v>
      </c>
    </row>
    <row r="281" spans="1:26">
      <c r="A281" s="702">
        <v>281</v>
      </c>
      <c r="B281" s="3503">
        <f>IF(OR(S281=0),0,SUM($S$6:S281))</f>
        <v>0</v>
      </c>
      <c r="C281" s="3499"/>
      <c r="D281" s="3500" t="s">
        <v>10342</v>
      </c>
      <c r="E281" s="2746" t="s">
        <v>10937</v>
      </c>
      <c r="F281" s="2745" t="s">
        <v>1315</v>
      </c>
      <c r="G281" s="2745" t="s">
        <v>1241</v>
      </c>
      <c r="H281" s="3501" t="s">
        <v>1165</v>
      </c>
      <c r="I281" s="2744" t="s">
        <v>5406</v>
      </c>
      <c r="J281" s="2744" t="s">
        <v>5386</v>
      </c>
      <c r="K281" s="3575" t="s">
        <v>5387</v>
      </c>
      <c r="L281" s="3575" t="s">
        <v>8747</v>
      </c>
      <c r="M281" s="3575" t="s">
        <v>8748</v>
      </c>
      <c r="N281" s="3575" t="s">
        <v>8749</v>
      </c>
      <c r="O281" s="3575" t="s">
        <v>8750</v>
      </c>
      <c r="P281" s="3575" t="s">
        <v>11386</v>
      </c>
      <c r="Q281" s="3575" t="s">
        <v>11397</v>
      </c>
      <c r="R281" s="3575" t="s">
        <v>11404</v>
      </c>
      <c r="S281" s="3519">
        <f t="shared" si="31"/>
        <v>0</v>
      </c>
      <c r="T281" s="3518">
        <f>COUNTIF(Psíquicos!$V$20:$Z$73,'Tablas psiquica'!D281)</f>
        <v>0</v>
      </c>
      <c r="U281" s="3512"/>
      <c r="V281" s="3524"/>
      <c r="W281" s="4254" t="s">
        <v>14070</v>
      </c>
      <c r="X281" s="4257" t="s">
        <v>13980</v>
      </c>
      <c r="Y281" s="3512">
        <f t="shared" si="29"/>
        <v>0</v>
      </c>
      <c r="Z281" s="3502">
        <f t="shared" si="30"/>
        <v>0</v>
      </c>
    </row>
    <row r="282" spans="1:26">
      <c r="A282" s="702">
        <v>282</v>
      </c>
      <c r="B282" s="3503">
        <f>IF(OR(S282=0),0,SUM($S$6:S282))</f>
        <v>0</v>
      </c>
      <c r="C282" s="3499"/>
      <c r="D282" s="3500" t="s">
        <v>10343</v>
      </c>
      <c r="E282" s="2746" t="s">
        <v>10937</v>
      </c>
      <c r="F282" s="2745" t="s">
        <v>1315</v>
      </c>
      <c r="G282" s="2745" t="s">
        <v>1241</v>
      </c>
      <c r="H282" s="3501" t="s">
        <v>1165</v>
      </c>
      <c r="I282" s="2744" t="s">
        <v>5417</v>
      </c>
      <c r="J282" s="2744" t="s">
        <v>5416</v>
      </c>
      <c r="K282" s="2744" t="s">
        <v>5408</v>
      </c>
      <c r="L282" s="3575" t="s">
        <v>5407</v>
      </c>
      <c r="M282" s="3575" t="s">
        <v>5406</v>
      </c>
      <c r="N282" s="3575" t="s">
        <v>11031</v>
      </c>
      <c r="O282" s="3575" t="s">
        <v>11032</v>
      </c>
      <c r="P282" s="3575" t="s">
        <v>11033</v>
      </c>
      <c r="Q282" s="3575" t="s">
        <v>11034</v>
      </c>
      <c r="R282" s="3575" t="s">
        <v>11035</v>
      </c>
      <c r="S282" s="3519">
        <f t="shared" si="31"/>
        <v>0</v>
      </c>
      <c r="T282" s="3518">
        <f>COUNTIF(Psíquicos!$V$20:$Z$73,'Tablas psiquica'!D282)</f>
        <v>0</v>
      </c>
      <c r="U282" s="3512"/>
      <c r="V282" s="3524"/>
      <c r="W282" s="4254" t="s">
        <v>14000</v>
      </c>
      <c r="X282" s="4255" t="s">
        <v>1315</v>
      </c>
      <c r="Y282" s="3512">
        <f t="shared" si="29"/>
        <v>0</v>
      </c>
      <c r="Z282" s="3502">
        <f t="shared" si="30"/>
        <v>0</v>
      </c>
    </row>
    <row r="283" spans="1:26">
      <c r="A283" s="702">
        <v>283</v>
      </c>
      <c r="B283" s="3503">
        <f>IF(OR(S283=0),0,SUM($S$6:S283))</f>
        <v>0</v>
      </c>
      <c r="C283" s="3499"/>
      <c r="D283" s="3500" t="s">
        <v>10344</v>
      </c>
      <c r="E283" s="2746" t="s">
        <v>10937</v>
      </c>
      <c r="F283" s="2745" t="s">
        <v>1315</v>
      </c>
      <c r="G283" s="2745" t="s">
        <v>2422</v>
      </c>
      <c r="H283" s="3501" t="s">
        <v>1165</v>
      </c>
      <c r="I283" s="2744" t="s">
        <v>5406</v>
      </c>
      <c r="J283" s="2744" t="s">
        <v>5386</v>
      </c>
      <c r="K283" s="3575" t="s">
        <v>5387</v>
      </c>
      <c r="L283" s="3575" t="s">
        <v>11036</v>
      </c>
      <c r="M283" s="3575" t="s">
        <v>11037</v>
      </c>
      <c r="N283" s="3575" t="s">
        <v>11038</v>
      </c>
      <c r="O283" s="3575" t="s">
        <v>11039</v>
      </c>
      <c r="P283" s="3575" t="s">
        <v>11040</v>
      </c>
      <c r="Q283" s="3575" t="s">
        <v>11041</v>
      </c>
      <c r="R283" s="3575" t="s">
        <v>11042</v>
      </c>
      <c r="S283" s="3519">
        <f t="shared" si="31"/>
        <v>0</v>
      </c>
      <c r="T283" s="3518">
        <f>COUNTIF(Psíquicos!$V$20:$Z$73,'Tablas psiquica'!D283)</f>
        <v>0</v>
      </c>
      <c r="U283" s="3512"/>
      <c r="V283" s="3524"/>
      <c r="W283" s="4254" t="s">
        <v>14041</v>
      </c>
      <c r="X283" s="4255" t="s">
        <v>14139</v>
      </c>
      <c r="Y283" s="3512">
        <f t="shared" si="29"/>
        <v>0</v>
      </c>
      <c r="Z283" s="3502">
        <f t="shared" si="30"/>
        <v>0</v>
      </c>
    </row>
    <row r="284" spans="1:26">
      <c r="A284" s="702">
        <v>284</v>
      </c>
      <c r="B284" s="3503">
        <f>IF(OR(S284=0),0,SUM($S$6:S284))</f>
        <v>0</v>
      </c>
      <c r="C284" s="3499"/>
      <c r="D284" s="3500" t="s">
        <v>10345</v>
      </c>
      <c r="E284" s="2746" t="s">
        <v>10937</v>
      </c>
      <c r="F284" s="2745" t="s">
        <v>1315</v>
      </c>
      <c r="G284" s="2745" t="s">
        <v>1241</v>
      </c>
      <c r="H284" s="3501" t="s">
        <v>1165</v>
      </c>
      <c r="I284" s="2744" t="s">
        <v>5416</v>
      </c>
      <c r="J284" s="2744" t="s">
        <v>5408</v>
      </c>
      <c r="K284" s="3575" t="s">
        <v>5407</v>
      </c>
      <c r="L284" s="3575" t="s">
        <v>5406</v>
      </c>
      <c r="M284" s="3575" t="s">
        <v>11043</v>
      </c>
      <c r="N284" s="3575" t="s">
        <v>11044</v>
      </c>
      <c r="O284" s="3575" t="s">
        <v>11045</v>
      </c>
      <c r="P284" s="3575" t="s">
        <v>11046</v>
      </c>
      <c r="Q284" s="3575" t="s">
        <v>11047</v>
      </c>
      <c r="R284" s="3575" t="s">
        <v>11048</v>
      </c>
      <c r="S284" s="3519">
        <f t="shared" si="31"/>
        <v>0</v>
      </c>
      <c r="T284" s="3518">
        <f>COUNTIF(Psíquicos!$V$20:$Z$73,'Tablas psiquica'!D284)</f>
        <v>0</v>
      </c>
      <c r="U284" s="3512"/>
      <c r="V284" s="3524"/>
      <c r="W284" s="4254" t="s">
        <v>14000</v>
      </c>
      <c r="X284" s="4255" t="s">
        <v>14140</v>
      </c>
      <c r="Y284" s="3512">
        <f t="shared" si="29"/>
        <v>0</v>
      </c>
      <c r="Z284" s="3502">
        <f t="shared" si="30"/>
        <v>0</v>
      </c>
    </row>
    <row r="285" spans="1:26">
      <c r="A285" s="702">
        <v>285</v>
      </c>
      <c r="B285" s="3503">
        <f>IF(OR(S285=0),0,SUM($S$6:S285))</f>
        <v>0</v>
      </c>
      <c r="C285" s="3499"/>
      <c r="D285" s="3500" t="s">
        <v>10346</v>
      </c>
      <c r="E285" s="2746" t="s">
        <v>10937</v>
      </c>
      <c r="F285" s="2745" t="s">
        <v>1315</v>
      </c>
      <c r="G285" s="2745" t="s">
        <v>1241</v>
      </c>
      <c r="H285" s="3501" t="s">
        <v>1165</v>
      </c>
      <c r="I285" s="2744" t="s">
        <v>5408</v>
      </c>
      <c r="J285" s="2744" t="s">
        <v>5407</v>
      </c>
      <c r="K285" s="3575" t="s">
        <v>5406</v>
      </c>
      <c r="L285" s="3575" t="s">
        <v>5386</v>
      </c>
      <c r="M285" s="3575" t="s">
        <v>11049</v>
      </c>
      <c r="N285" s="3575" t="s">
        <v>11050</v>
      </c>
      <c r="O285" s="3575" t="s">
        <v>11051</v>
      </c>
      <c r="P285" s="3575" t="s">
        <v>11051</v>
      </c>
      <c r="Q285" s="3575" t="s">
        <v>11052</v>
      </c>
      <c r="R285" s="3575" t="s">
        <v>11053</v>
      </c>
      <c r="S285" s="3519">
        <f t="shared" si="31"/>
        <v>0</v>
      </c>
      <c r="T285" s="3518">
        <f>COUNTIF(Psíquicos!$V$20:$Z$73,'Tablas psiquica'!D285)</f>
        <v>0</v>
      </c>
      <c r="U285" s="3512"/>
      <c r="V285" s="3524"/>
      <c r="W285" s="4254" t="s">
        <v>13982</v>
      </c>
      <c r="X285" s="4255" t="s">
        <v>14141</v>
      </c>
      <c r="Y285" s="3512">
        <f t="shared" si="29"/>
        <v>0</v>
      </c>
      <c r="Z285" s="3502">
        <f t="shared" si="30"/>
        <v>0</v>
      </c>
    </row>
    <row r="286" spans="1:26">
      <c r="A286" s="702">
        <v>286</v>
      </c>
      <c r="B286" s="3503">
        <f>IF(OR(S286=0),0,SUM($S$6:S286))</f>
        <v>0</v>
      </c>
      <c r="C286" s="3499"/>
      <c r="D286" s="3500" t="s">
        <v>10347</v>
      </c>
      <c r="E286" s="2746" t="s">
        <v>10937</v>
      </c>
      <c r="F286" s="2745" t="s">
        <v>1315</v>
      </c>
      <c r="G286" s="2745" t="s">
        <v>2422</v>
      </c>
      <c r="H286" s="3501" t="s">
        <v>1165</v>
      </c>
      <c r="I286" s="2744" t="s">
        <v>5408</v>
      </c>
      <c r="J286" s="2744" t="s">
        <v>5406</v>
      </c>
      <c r="K286" s="3575" t="s">
        <v>5386</v>
      </c>
      <c r="L286" s="3575" t="s">
        <v>8747</v>
      </c>
      <c r="M286" s="3575" t="s">
        <v>8748</v>
      </c>
      <c r="N286" s="3575" t="s">
        <v>8749</v>
      </c>
      <c r="O286" s="3575" t="s">
        <v>8750</v>
      </c>
      <c r="P286" s="3575" t="s">
        <v>8751</v>
      </c>
      <c r="Q286" s="3575" t="s">
        <v>8752</v>
      </c>
      <c r="R286" s="3575" t="s">
        <v>11118</v>
      </c>
      <c r="S286" s="3519">
        <f t="shared" si="31"/>
        <v>0</v>
      </c>
      <c r="T286" s="3518">
        <f>COUNTIF(Psíquicos!$V$20:$Z$73,'Tablas psiquica'!D286)</f>
        <v>0</v>
      </c>
      <c r="U286" s="3512"/>
      <c r="V286" s="3524"/>
      <c r="W286" s="4254" t="s">
        <v>13942</v>
      </c>
      <c r="X286" s="4257" t="s">
        <v>13980</v>
      </c>
      <c r="Y286" s="3512">
        <f t="shared" si="29"/>
        <v>0</v>
      </c>
      <c r="Z286" s="3502">
        <f t="shared" si="30"/>
        <v>0</v>
      </c>
    </row>
    <row r="287" spans="1:26">
      <c r="A287" s="702">
        <v>287</v>
      </c>
      <c r="B287" s="3503">
        <f>IF(OR(S287=0),0,SUM($S$6:S287))</f>
        <v>0</v>
      </c>
      <c r="C287" s="3499"/>
      <c r="D287" s="3500" t="s">
        <v>6654</v>
      </c>
      <c r="E287" s="2746" t="s">
        <v>10937</v>
      </c>
      <c r="F287" s="2745" t="s">
        <v>1315</v>
      </c>
      <c r="G287" s="2745" t="s">
        <v>1241</v>
      </c>
      <c r="H287" s="3501" t="s">
        <v>1165</v>
      </c>
      <c r="I287" s="2744" t="s">
        <v>5386</v>
      </c>
      <c r="J287" s="2744" t="s">
        <v>5387</v>
      </c>
      <c r="K287" s="3575" t="s">
        <v>5429</v>
      </c>
      <c r="L287" s="3575" t="s">
        <v>5430</v>
      </c>
      <c r="M287" s="3575" t="s">
        <v>5431</v>
      </c>
      <c r="N287" s="3575" t="s">
        <v>5432</v>
      </c>
      <c r="O287" s="3575" t="s">
        <v>5433</v>
      </c>
      <c r="P287" s="3575" t="s">
        <v>5434</v>
      </c>
      <c r="Q287" s="3575" t="s">
        <v>5435</v>
      </c>
      <c r="R287" s="3575" t="s">
        <v>5436</v>
      </c>
      <c r="S287" s="3519">
        <f t="shared" si="31"/>
        <v>0</v>
      </c>
      <c r="T287" s="3518">
        <f>COUNTIF(Psíquicos!$V$20:$Z$73,'Tablas psiquica'!D287)</f>
        <v>0</v>
      </c>
      <c r="U287" s="3512"/>
      <c r="V287" s="3524"/>
      <c r="W287" s="4254" t="s">
        <v>13956</v>
      </c>
      <c r="X287" s="4255" t="s">
        <v>14142</v>
      </c>
      <c r="Y287" s="3512">
        <f t="shared" si="29"/>
        <v>0</v>
      </c>
      <c r="Z287" s="3502">
        <f t="shared" si="30"/>
        <v>0</v>
      </c>
    </row>
    <row r="288" spans="1:26">
      <c r="A288" s="702">
        <v>288</v>
      </c>
      <c r="B288" s="3503">
        <f>IF(OR(S288=0),0,SUM($S$6:S288))</f>
        <v>0</v>
      </c>
      <c r="C288" s="3499"/>
      <c r="D288" s="3500" t="s">
        <v>10348</v>
      </c>
      <c r="E288" s="2746" t="s">
        <v>10937</v>
      </c>
      <c r="F288" s="2745" t="s">
        <v>1315</v>
      </c>
      <c r="G288" s="2745" t="s">
        <v>2422</v>
      </c>
      <c r="H288" s="3501" t="s">
        <v>1165</v>
      </c>
      <c r="I288" s="2744" t="s">
        <v>5406</v>
      </c>
      <c r="J288" s="2744" t="s">
        <v>5386</v>
      </c>
      <c r="K288" s="3575" t="s">
        <v>5387</v>
      </c>
      <c r="L288" s="3575" t="s">
        <v>11663</v>
      </c>
      <c r="M288" s="3575" t="s">
        <v>11657</v>
      </c>
      <c r="N288" s="3575" t="s">
        <v>11658</v>
      </c>
      <c r="O288" s="3575" t="s">
        <v>11659</v>
      </c>
      <c r="P288" s="3575" t="s">
        <v>11660</v>
      </c>
      <c r="Q288" s="3575" t="s">
        <v>11661</v>
      </c>
      <c r="R288" s="3575" t="s">
        <v>11662</v>
      </c>
      <c r="S288" s="3519">
        <f t="shared" si="31"/>
        <v>0</v>
      </c>
      <c r="T288" s="3518">
        <f>COUNTIF(Psíquicos!$V$20:$Z$73,'Tablas psiquica'!D288)</f>
        <v>0</v>
      </c>
      <c r="U288" s="3512"/>
      <c r="V288" s="3524"/>
      <c r="W288" s="4254" t="s">
        <v>13988</v>
      </c>
      <c r="X288" s="4257" t="s">
        <v>14143</v>
      </c>
      <c r="Y288" s="3512">
        <f t="shared" si="29"/>
        <v>0</v>
      </c>
      <c r="Z288" s="3502">
        <f t="shared" si="30"/>
        <v>0</v>
      </c>
    </row>
    <row r="289" spans="1:26">
      <c r="A289" s="702">
        <v>289</v>
      </c>
      <c r="B289" s="3503">
        <f>IF(OR(S289=0),0,SUM($S$6:S289))</f>
        <v>0</v>
      </c>
      <c r="C289" s="3499"/>
      <c r="D289" s="3500" t="s">
        <v>10349</v>
      </c>
      <c r="E289" s="2746" t="s">
        <v>10937</v>
      </c>
      <c r="F289" s="2745" t="s">
        <v>1315</v>
      </c>
      <c r="G289" s="2745" t="s">
        <v>2422</v>
      </c>
      <c r="H289" s="3501" t="s">
        <v>1165</v>
      </c>
      <c r="I289" s="2744" t="s">
        <v>5408</v>
      </c>
      <c r="J289" s="2744" t="s">
        <v>5407</v>
      </c>
      <c r="K289" s="3575" t="s">
        <v>11054</v>
      </c>
      <c r="L289" s="3575" t="s">
        <v>5386</v>
      </c>
      <c r="M289" s="3575" t="s">
        <v>11664</v>
      </c>
      <c r="N289" s="3575" t="s">
        <v>11665</v>
      </c>
      <c r="O289" s="3575" t="s">
        <v>11338</v>
      </c>
      <c r="P289" s="3575" t="s">
        <v>11353</v>
      </c>
      <c r="Q289" s="3575" t="s">
        <v>11368</v>
      </c>
      <c r="R289" s="3575" t="s">
        <v>11666</v>
      </c>
      <c r="S289" s="3519">
        <f t="shared" si="31"/>
        <v>0</v>
      </c>
      <c r="T289" s="3518">
        <f>COUNTIF(Psíquicos!$V$20:$Z$73,'Tablas psiquica'!D289)</f>
        <v>0</v>
      </c>
      <c r="U289" s="3512"/>
      <c r="V289" s="3524"/>
      <c r="W289" s="4254" t="s">
        <v>13940</v>
      </c>
      <c r="X289" s="4257" t="s">
        <v>13980</v>
      </c>
      <c r="Y289" s="3512">
        <f t="shared" si="29"/>
        <v>0</v>
      </c>
      <c r="Z289" s="3502">
        <f t="shared" si="30"/>
        <v>0</v>
      </c>
    </row>
    <row r="290" spans="1:26">
      <c r="A290" s="702">
        <v>290</v>
      </c>
      <c r="B290" s="3503">
        <f>IF(OR(S290=0),0,SUM($S$6:S290))</f>
        <v>0</v>
      </c>
      <c r="C290" s="3499"/>
      <c r="D290" s="3500" t="s">
        <v>10350</v>
      </c>
      <c r="E290" s="2746" t="s">
        <v>10937</v>
      </c>
      <c r="F290" s="2745" t="s">
        <v>1315</v>
      </c>
      <c r="G290" s="2745" t="s">
        <v>2422</v>
      </c>
      <c r="H290" s="3501" t="s">
        <v>1165</v>
      </c>
      <c r="I290" s="2744" t="s">
        <v>5408</v>
      </c>
      <c r="J290" s="2744" t="s">
        <v>5407</v>
      </c>
      <c r="K290" s="3575" t="s">
        <v>5406</v>
      </c>
      <c r="L290" s="3575" t="s">
        <v>5386</v>
      </c>
      <c r="M290" s="3575" t="s">
        <v>11672</v>
      </c>
      <c r="N290" s="3575" t="s">
        <v>11671</v>
      </c>
      <c r="O290" s="3575" t="s">
        <v>11670</v>
      </c>
      <c r="P290" s="3575" t="s">
        <v>11669</v>
      </c>
      <c r="Q290" s="3575" t="s">
        <v>11668</v>
      </c>
      <c r="R290" s="3575" t="s">
        <v>11667</v>
      </c>
      <c r="S290" s="3519">
        <f t="shared" si="31"/>
        <v>0</v>
      </c>
      <c r="T290" s="3518">
        <f>COUNTIF(Psíquicos!$V$20:$Z$73,'Tablas psiquica'!D290)</f>
        <v>0</v>
      </c>
      <c r="U290" s="3512"/>
      <c r="V290" s="3524"/>
      <c r="W290" s="4254" t="s">
        <v>14041</v>
      </c>
      <c r="X290" s="4257" t="s">
        <v>13958</v>
      </c>
      <c r="Y290" s="3512">
        <f t="shared" si="29"/>
        <v>0</v>
      </c>
      <c r="Z290" s="3502">
        <f t="shared" si="30"/>
        <v>0</v>
      </c>
    </row>
    <row r="291" spans="1:26">
      <c r="A291" s="702">
        <v>291</v>
      </c>
      <c r="B291" s="3503">
        <f>IF(OR(S291=0),0,SUM($S$6:S291))</f>
        <v>0</v>
      </c>
      <c r="C291" s="3499"/>
      <c r="D291" s="3500" t="s">
        <v>11758</v>
      </c>
      <c r="E291" s="2746" t="s">
        <v>10937</v>
      </c>
      <c r="F291" s="2745" t="s">
        <v>1315</v>
      </c>
      <c r="G291" s="2745" t="s">
        <v>1241</v>
      </c>
      <c r="H291" s="3501" t="s">
        <v>1165</v>
      </c>
      <c r="I291" s="2744" t="s">
        <v>5417</v>
      </c>
      <c r="J291" s="2744" t="s">
        <v>5408</v>
      </c>
      <c r="K291" s="3575" t="s">
        <v>5407</v>
      </c>
      <c r="L291" s="3575" t="s">
        <v>5406</v>
      </c>
      <c r="M291" s="3575" t="s">
        <v>5386</v>
      </c>
      <c r="N291" s="3575" t="s">
        <v>11777</v>
      </c>
      <c r="O291" s="3575" t="s">
        <v>11778</v>
      </c>
      <c r="P291" s="3575" t="s">
        <v>11779</v>
      </c>
      <c r="Q291" s="3575" t="s">
        <v>11781</v>
      </c>
      <c r="R291" s="3575" t="s">
        <v>11780</v>
      </c>
      <c r="S291" s="3519">
        <f t="shared" si="31"/>
        <v>0</v>
      </c>
      <c r="T291" s="3518">
        <f>COUNTIF(Psíquicos!$V$20:$Z$73,'Tablas psiquica'!D291)</f>
        <v>0</v>
      </c>
      <c r="U291" s="3512"/>
      <c r="V291" s="3524"/>
      <c r="W291" s="4254" t="s">
        <v>13987</v>
      </c>
      <c r="X291" s="4257" t="s">
        <v>13958</v>
      </c>
      <c r="Y291" s="3512">
        <f t="shared" si="29"/>
        <v>0</v>
      </c>
      <c r="Z291" s="3502">
        <f t="shared" si="30"/>
        <v>0</v>
      </c>
    </row>
    <row r="292" spans="1:26">
      <c r="A292" s="702">
        <v>292</v>
      </c>
      <c r="B292" s="3503">
        <f>IF(OR(S292=0),0,SUM($S$6:S292))</f>
        <v>1</v>
      </c>
      <c r="C292" s="3499"/>
      <c r="D292" s="3500" t="s">
        <v>209</v>
      </c>
      <c r="E292" s="2746"/>
      <c r="F292" s="2745"/>
      <c r="G292" s="2745"/>
      <c r="H292" s="3501"/>
      <c r="I292" s="2744"/>
      <c r="J292" s="2744"/>
      <c r="K292" s="2744"/>
      <c r="L292" s="2744"/>
      <c r="M292" s="2744"/>
      <c r="N292" s="2744"/>
      <c r="O292" s="2744"/>
      <c r="P292" s="2744"/>
      <c r="Q292" s="2744"/>
      <c r="R292" s="2744"/>
      <c r="S292" s="3518">
        <f>S293</f>
        <v>1</v>
      </c>
      <c r="T292" s="3518"/>
      <c r="U292" s="3512"/>
      <c r="V292" s="3524"/>
      <c r="W292" s="4254"/>
      <c r="X292" s="4255"/>
      <c r="Y292" s="3512">
        <f t="shared" si="29"/>
        <v>0</v>
      </c>
      <c r="Z292" s="3502">
        <f t="shared" si="30"/>
        <v>0</v>
      </c>
    </row>
    <row r="293" spans="1:26">
      <c r="A293" s="702">
        <v>293</v>
      </c>
      <c r="B293" s="3503">
        <f>IF(OR(S293=0),0,SUM($S$6:S293))</f>
        <v>2</v>
      </c>
      <c r="C293" s="3499"/>
      <c r="D293" s="3500" t="s">
        <v>210</v>
      </c>
      <c r="E293" s="2746" t="s">
        <v>5792</v>
      </c>
      <c r="F293" s="2745" t="s">
        <v>1315</v>
      </c>
      <c r="G293" s="2745" t="s">
        <v>2422</v>
      </c>
      <c r="H293" s="3501" t="s">
        <v>1165</v>
      </c>
      <c r="I293" s="2744" t="s">
        <v>5407</v>
      </c>
      <c r="J293" s="2744" t="s">
        <v>5406</v>
      </c>
      <c r="K293" s="2744" t="s">
        <v>5386</v>
      </c>
      <c r="L293" s="2744" t="s">
        <v>5793</v>
      </c>
      <c r="M293" s="2744" t="s">
        <v>5794</v>
      </c>
      <c r="N293" s="2744" t="s">
        <v>5617</v>
      </c>
      <c r="O293" s="2744" t="s">
        <v>5618</v>
      </c>
      <c r="P293" s="2744" t="s">
        <v>5619</v>
      </c>
      <c r="Q293" s="2744" t="s">
        <v>5620</v>
      </c>
      <c r="R293" s="2744" t="s">
        <v>5621</v>
      </c>
      <c r="S293" s="3519">
        <v>1</v>
      </c>
      <c r="T293" s="3518">
        <f>COUNTIF(Psíquicos!$V$20:$Z$73,'Tablas psiquica'!D293)</f>
        <v>0</v>
      </c>
      <c r="U293" s="3512"/>
      <c r="V293" s="3524"/>
      <c r="W293" s="4259" t="s">
        <v>1315</v>
      </c>
      <c r="X293" s="4261" t="s">
        <v>14144</v>
      </c>
      <c r="Y293" s="3512">
        <f t="shared" si="29"/>
        <v>0</v>
      </c>
      <c r="Z293" s="3502">
        <f t="shared" si="30"/>
        <v>0</v>
      </c>
    </row>
    <row r="294" spans="1:26">
      <c r="A294" s="702">
        <v>294</v>
      </c>
      <c r="B294" s="3503">
        <f>IF(OR(S294=0),0,SUM($S$6:S294))</f>
        <v>3</v>
      </c>
      <c r="C294" s="3499"/>
      <c r="D294" s="3500" t="s">
        <v>211</v>
      </c>
      <c r="E294" s="2746" t="s">
        <v>5792</v>
      </c>
      <c r="F294" s="2745" t="s">
        <v>1315</v>
      </c>
      <c r="G294" s="2745" t="s">
        <v>2422</v>
      </c>
      <c r="H294" s="3501" t="s">
        <v>1165</v>
      </c>
      <c r="I294" s="2744" t="s">
        <v>5387</v>
      </c>
      <c r="J294" s="2744" t="s">
        <v>5795</v>
      </c>
      <c r="K294" s="2744" t="s">
        <v>5796</v>
      </c>
      <c r="L294" s="2744" t="s">
        <v>5797</v>
      </c>
      <c r="M294" s="2744" t="s">
        <v>5396</v>
      </c>
      <c r="N294" s="2744" t="s">
        <v>9577</v>
      </c>
      <c r="O294" s="2744" t="s">
        <v>9575</v>
      </c>
      <c r="P294" s="2744" t="s">
        <v>5798</v>
      </c>
      <c r="Q294" s="2744" t="s">
        <v>9576</v>
      </c>
      <c r="R294" s="2744" t="s">
        <v>5799</v>
      </c>
      <c r="S294" s="3519">
        <v>1</v>
      </c>
      <c r="T294" s="3518">
        <f>COUNTIF(Psíquicos!$V$20:$Z$73,'Tablas psiquica'!D294)</f>
        <v>0</v>
      </c>
      <c r="U294" s="3512"/>
      <c r="V294" s="3524"/>
      <c r="W294" s="4259" t="s">
        <v>1315</v>
      </c>
      <c r="X294" s="4260" t="s">
        <v>2000</v>
      </c>
      <c r="Y294" s="3512">
        <f t="shared" si="29"/>
        <v>0</v>
      </c>
      <c r="Z294" s="3502">
        <f t="shared" si="30"/>
        <v>0</v>
      </c>
    </row>
    <row r="295" spans="1:26">
      <c r="A295" s="702">
        <v>295</v>
      </c>
      <c r="B295" s="3503">
        <f>IF(OR(S295=0),0,SUM($S$6:S295))</f>
        <v>4</v>
      </c>
      <c r="C295" s="3499"/>
      <c r="D295" s="3500" t="s">
        <v>212</v>
      </c>
      <c r="E295" s="2746" t="s">
        <v>5792</v>
      </c>
      <c r="F295" s="2745" t="s">
        <v>1315</v>
      </c>
      <c r="G295" s="2745" t="s">
        <v>2422</v>
      </c>
      <c r="H295" s="3501" t="s">
        <v>1166</v>
      </c>
      <c r="I295" s="2744" t="s">
        <v>5386</v>
      </c>
      <c r="J295" s="2744" t="s">
        <v>5387</v>
      </c>
      <c r="K295" s="2744" t="s">
        <v>5800</v>
      </c>
      <c r="L295" s="2744" t="s">
        <v>5801</v>
      </c>
      <c r="M295" s="2744" t="s">
        <v>5802</v>
      </c>
      <c r="N295" s="2744" t="s">
        <v>5803</v>
      </c>
      <c r="O295" s="2744" t="s">
        <v>5804</v>
      </c>
      <c r="P295" s="2744" t="s">
        <v>5805</v>
      </c>
      <c r="Q295" s="2744" t="s">
        <v>5806</v>
      </c>
      <c r="R295" s="2744" t="s">
        <v>5807</v>
      </c>
      <c r="S295" s="3519">
        <v>1</v>
      </c>
      <c r="T295" s="3518">
        <f>COUNTIF(Psíquicos!$V$20:$Z$73,'Tablas psiquica'!D295)</f>
        <v>0</v>
      </c>
      <c r="U295" s="3512"/>
      <c r="V295" s="3524"/>
      <c r="W295" s="4259" t="s">
        <v>1315</v>
      </c>
      <c r="X295" s="4261" t="s">
        <v>14144</v>
      </c>
      <c r="Y295" s="3512">
        <f t="shared" si="29"/>
        <v>0</v>
      </c>
      <c r="Z295" s="3502">
        <f t="shared" si="30"/>
        <v>0</v>
      </c>
    </row>
    <row r="296" spans="1:26" ht="13.5" thickBot="1">
      <c r="A296" s="702">
        <v>296</v>
      </c>
      <c r="B296" s="3527">
        <f>IF(OR(S296=0),0,SUM($S$6:S296))</f>
        <v>5</v>
      </c>
      <c r="C296" s="3528"/>
      <c r="D296" s="3529" t="s">
        <v>213</v>
      </c>
      <c r="E296" s="3530" t="s">
        <v>5792</v>
      </c>
      <c r="F296" s="3531" t="s">
        <v>1315</v>
      </c>
      <c r="G296" s="3531" t="s">
        <v>2422</v>
      </c>
      <c r="H296" s="3532" t="s">
        <v>1165</v>
      </c>
      <c r="I296" s="3576" t="s">
        <v>5407</v>
      </c>
      <c r="J296" s="3576" t="s">
        <v>5406</v>
      </c>
      <c r="K296" s="3576" t="s">
        <v>5386</v>
      </c>
      <c r="L296" s="3576" t="s">
        <v>5808</v>
      </c>
      <c r="M296" s="3576" t="s">
        <v>5809</v>
      </c>
      <c r="N296" s="3576" t="s">
        <v>5810</v>
      </c>
      <c r="O296" s="3576" t="s">
        <v>5811</v>
      </c>
      <c r="P296" s="3576" t="s">
        <v>5812</v>
      </c>
      <c r="Q296" s="3576" t="s">
        <v>5813</v>
      </c>
      <c r="R296" s="3576" t="s">
        <v>5814</v>
      </c>
      <c r="S296" s="3520">
        <v>1</v>
      </c>
      <c r="T296" s="3525">
        <f>COUNTIF(Psíquicos!$V$20:$Z$73,'Tablas psiquica'!D296)</f>
        <v>0</v>
      </c>
      <c r="U296" s="3510"/>
      <c r="V296" s="3526"/>
      <c r="W296" s="4262" t="s">
        <v>1315</v>
      </c>
      <c r="X296" s="4263" t="s">
        <v>14145</v>
      </c>
      <c r="Y296" s="3562">
        <f>COUNTIF(Y7:Y295,2)</f>
        <v>0</v>
      </c>
      <c r="Z296" s="3563">
        <f>COUNTIF(Z7:Z295,2)</f>
        <v>0</v>
      </c>
    </row>
  </sheetData>
  <mergeCells count="12">
    <mergeCell ref="B5:B6"/>
    <mergeCell ref="S5:S6"/>
    <mergeCell ref="AQ3:AS4"/>
    <mergeCell ref="AU3:BQ3"/>
    <mergeCell ref="AU22:BD23"/>
    <mergeCell ref="BF22:BK22"/>
    <mergeCell ref="BM23:BT23"/>
    <mergeCell ref="AB3:AO4"/>
    <mergeCell ref="C3:Z4"/>
    <mergeCell ref="T5:V5"/>
    <mergeCell ref="Y5:Z5"/>
    <mergeCell ref="W5:X5"/>
  </mergeCells>
  <phoneticPr fontId="9" type="noConversion"/>
  <conditionalFormatting sqref="AC7:AC19 AC34:AC43">
    <cfRule type="expression" dxfId="388" priority="1" stopIfTrue="1">
      <formula>$G7&lt;&gt;"No"</formula>
    </cfRule>
  </conditionalFormatting>
  <conditionalFormatting sqref="AC79:AC82">
    <cfRule type="expression" dxfId="387" priority="10279" stopIfTrue="1">
      <formula>$G79&lt;&gt;"No"</formula>
    </cfRule>
  </conditionalFormatting>
  <conditionalFormatting sqref="AC115:AC128">
    <cfRule type="expression" dxfId="386" priority="10305" stopIfTrue="1">
      <formula>$G121&lt;&gt;"No"</formula>
    </cfRule>
  </conditionalFormatting>
  <conditionalFormatting sqref="AC44:AC77 AC20:AC33">
    <cfRule type="expression" dxfId="385" priority="10338" stopIfTrue="1">
      <formula>$G21&lt;&gt;"No"</formula>
    </cfRule>
  </conditionalFormatting>
  <conditionalFormatting sqref="AC84:AC88">
    <cfRule type="expression" dxfId="384" priority="10351" stopIfTrue="1">
      <formula>$G83&lt;&gt;"No"</formula>
    </cfRule>
  </conditionalFormatting>
  <conditionalFormatting sqref="AC111:AC114">
    <cfRule type="expression" dxfId="383" priority="10355" stopIfTrue="1">
      <formula>$G116&lt;&gt;"No"</formula>
    </cfRule>
  </conditionalFormatting>
  <conditionalFormatting sqref="AC109:AC110">
    <cfRule type="expression" dxfId="382" priority="10370" stopIfTrue="1">
      <formula>$G113&lt;&gt;"No"</formula>
    </cfRule>
  </conditionalFormatting>
  <conditionalFormatting sqref="AC157:AC193">
    <cfRule type="expression" dxfId="381" priority="10371" stopIfTrue="1">
      <formula>$G172&lt;&gt;"No"</formula>
    </cfRule>
  </conditionalFormatting>
  <conditionalFormatting sqref="AC78">
    <cfRule type="expression" dxfId="380" priority="10372" stopIfTrue="1">
      <formula>$G110&lt;&gt;"No"</formula>
    </cfRule>
  </conditionalFormatting>
  <conditionalFormatting sqref="AC83">
    <cfRule type="expression" dxfId="379" priority="10373" stopIfTrue="1">
      <formula>$G112&lt;&gt;"No"</formula>
    </cfRule>
  </conditionalFormatting>
  <conditionalFormatting sqref="AC129:AC156">
    <cfRule type="expression" dxfId="378" priority="10374" stopIfTrue="1">
      <formula>$G149&lt;&gt;"No"</formula>
    </cfRule>
  </conditionalFormatting>
  <conditionalFormatting sqref="AC99:AC108 AC89:AC91">
    <cfRule type="expression" dxfId="377" priority="10380" stopIfTrue="1">
      <formula>$G87&lt;&gt;"No"</formula>
    </cfRule>
  </conditionalFormatting>
  <conditionalFormatting sqref="AC92:AC98">
    <cfRule type="expression" dxfId="376" priority="10386" stopIfTrue="1">
      <formula>$G89&lt;&gt;"No"</formula>
    </cfRule>
  </conditionalFormatting>
  <conditionalFormatting sqref="AC194:AC198">
    <cfRule type="expression" dxfId="375" priority="10391" stopIfTrue="1">
      <formula>$G211&lt;&gt;"No"</formula>
    </cfRule>
  </conditionalFormatting>
  <pageMargins left="0.7" right="0.7" top="0.75" bottom="0.75" header="0.3" footer="0.3"/>
  <pageSetup paperSize="9" orientation="portrait" horizontalDpi="300" verticalDpi="12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105"/>
  <sheetViews>
    <sheetView zoomScaleNormal="100" workbookViewId="0">
      <selection activeCell="S6" sqref="S6:X7"/>
    </sheetView>
  </sheetViews>
  <sheetFormatPr baseColWidth="10" defaultColWidth="5.7109375" defaultRowHeight="12" customHeight="1"/>
  <cols>
    <col min="1" max="1" width="2.28515625" style="313" customWidth="1"/>
    <col min="2" max="2" width="2.5703125" style="313" customWidth="1"/>
    <col min="3" max="3" width="4" style="313" customWidth="1"/>
    <col min="4" max="4" width="5.42578125" style="313" customWidth="1"/>
    <col min="5" max="5" width="5.140625" style="313" customWidth="1"/>
    <col min="6" max="6" width="6" style="313" customWidth="1"/>
    <col min="7" max="7" width="8.28515625" style="313" customWidth="1"/>
    <col min="8" max="8" width="7.140625" style="313" customWidth="1"/>
    <col min="9" max="9" width="6" style="313" customWidth="1"/>
    <col min="10" max="10" width="2.7109375" style="313" customWidth="1"/>
    <col min="11" max="11" width="4" style="313" customWidth="1"/>
    <col min="12" max="12" width="5.42578125" style="313" customWidth="1"/>
    <col min="13" max="13" width="5.140625" style="313" customWidth="1"/>
    <col min="14" max="14" width="6" style="313" customWidth="1"/>
    <col min="15" max="15" width="8.28515625" style="313" customWidth="1"/>
    <col min="16" max="16" width="7.140625" style="313" customWidth="1"/>
    <col min="17" max="17" width="6" style="313" customWidth="1"/>
    <col min="18" max="18" width="2.7109375" style="313" customWidth="1"/>
    <col min="19" max="19" width="4" style="313" customWidth="1"/>
    <col min="20" max="20" width="5.42578125" style="313" customWidth="1"/>
    <col min="21" max="21" width="5.140625" style="313" customWidth="1"/>
    <col min="22" max="22" width="6" style="313" customWidth="1"/>
    <col min="23" max="23" width="8.28515625" style="313" customWidth="1"/>
    <col min="24" max="24" width="7.140625" style="313" customWidth="1"/>
    <col min="25" max="25" width="6" style="313" customWidth="1"/>
    <col min="26" max="26" width="2.5703125" style="313" customWidth="1"/>
    <col min="27" max="28" width="2.28515625" style="313" customWidth="1"/>
    <col min="29" max="29" width="2.5703125" style="313" customWidth="1"/>
    <col min="30" max="30" width="4" style="313" customWidth="1"/>
    <col min="31" max="31" width="5.42578125" style="313" customWidth="1"/>
    <col min="32" max="32" width="5.140625" style="313" customWidth="1"/>
    <col min="33" max="33" width="6" style="313" customWidth="1"/>
    <col min="34" max="34" width="8.28515625" style="313" customWidth="1"/>
    <col min="35" max="35" width="7.140625" style="313" customWidth="1"/>
    <col min="36" max="36" width="6" style="313" customWidth="1"/>
    <col min="37" max="37" width="2.7109375" style="313" customWidth="1"/>
    <col min="38" max="38" width="4" style="313" customWidth="1"/>
    <col min="39" max="39" width="5.42578125" style="313" customWidth="1"/>
    <col min="40" max="40" width="5.140625" style="313" customWidth="1"/>
    <col min="41" max="41" width="6" style="313" customWidth="1"/>
    <col min="42" max="42" width="8.28515625" style="313" customWidth="1"/>
    <col min="43" max="43" width="7.140625" style="313" customWidth="1"/>
    <col min="44" max="44" width="6" style="313" customWidth="1"/>
    <col min="45" max="45" width="2.7109375" style="313" customWidth="1"/>
    <col min="46" max="46" width="4" style="313" customWidth="1"/>
    <col min="47" max="47" width="5.42578125" style="313" customWidth="1"/>
    <col min="48" max="48" width="5.140625" style="313" customWidth="1"/>
    <col min="49" max="49" width="6" style="313" customWidth="1"/>
    <col min="50" max="50" width="8.28515625" style="313" customWidth="1"/>
    <col min="51" max="51" width="7.140625" style="313" customWidth="1"/>
    <col min="52" max="52" width="6" style="313" customWidth="1"/>
    <col min="53" max="53" width="2.5703125" style="313" customWidth="1"/>
    <col min="54" max="55" width="2.28515625" style="313" customWidth="1"/>
    <col min="56" max="56" width="2.5703125" style="313" customWidth="1"/>
    <col min="57" max="57" width="4" style="313" customWidth="1"/>
    <col min="58" max="58" width="5.42578125" style="313" customWidth="1"/>
    <col min="59" max="59" width="5.140625" style="313" customWidth="1"/>
    <col min="60" max="60" width="6" style="313" customWidth="1"/>
    <col min="61" max="61" width="8.28515625" style="313" customWidth="1"/>
    <col min="62" max="62" width="7.140625" style="313" customWidth="1"/>
    <col min="63" max="63" width="6" style="313" customWidth="1"/>
    <col min="64" max="64" width="2.7109375" style="313" customWidth="1"/>
    <col min="65" max="65" width="4" style="313" customWidth="1"/>
    <col min="66" max="66" width="5.42578125" style="313" customWidth="1"/>
    <col min="67" max="67" width="5.140625" style="313" customWidth="1"/>
    <col min="68" max="68" width="6" style="313" customWidth="1"/>
    <col min="69" max="69" width="8.28515625" style="313" customWidth="1"/>
    <col min="70" max="70" width="7.140625" style="313" customWidth="1"/>
    <col min="71" max="71" width="6" style="313" customWidth="1"/>
    <col min="72" max="72" width="2.7109375" style="313" customWidth="1"/>
    <col min="73" max="73" width="4" style="313" customWidth="1"/>
    <col min="74" max="74" width="5.42578125" style="313" customWidth="1"/>
    <col min="75" max="75" width="5.140625" style="313" customWidth="1"/>
    <col min="76" max="76" width="6" style="313" customWidth="1"/>
    <col min="77" max="77" width="8.28515625" style="313" customWidth="1"/>
    <col min="78" max="78" width="7.140625" style="313" customWidth="1"/>
    <col min="79" max="79" width="6" style="313" customWidth="1"/>
    <col min="80" max="80" width="2.5703125" style="313" customWidth="1"/>
    <col min="81" max="82" width="2.28515625" style="313" customWidth="1"/>
    <col min="83" max="83" width="2.5703125" style="313" customWidth="1"/>
    <col min="84" max="84" width="4" style="313" customWidth="1"/>
    <col min="85" max="85" width="5.42578125" style="313" customWidth="1"/>
    <col min="86" max="86" width="5.140625" style="313" customWidth="1"/>
    <col min="87" max="87" width="6" style="313" customWidth="1"/>
    <col min="88" max="88" width="8.28515625" style="313" customWidth="1"/>
    <col min="89" max="89" width="7.140625" style="313" customWidth="1"/>
    <col min="90" max="90" width="6" style="313" customWidth="1"/>
    <col min="91" max="91" width="2.7109375" style="313" customWidth="1"/>
    <col min="92" max="92" width="4" style="313" customWidth="1"/>
    <col min="93" max="93" width="5.42578125" style="313" customWidth="1"/>
    <col min="94" max="94" width="5.140625" style="313" customWidth="1"/>
    <col min="95" max="95" width="6" style="313" customWidth="1"/>
    <col min="96" max="96" width="8.28515625" style="313" customWidth="1"/>
    <col min="97" max="97" width="7.140625" style="313" customWidth="1"/>
    <col min="98" max="98" width="6" style="313" customWidth="1"/>
    <col min="99" max="99" width="2.7109375" style="313" customWidth="1"/>
    <col min="100" max="100" width="4" style="313" customWidth="1"/>
    <col min="101" max="101" width="5.42578125" style="313" customWidth="1"/>
    <col min="102" max="102" width="5.140625" style="313" customWidth="1"/>
    <col min="103" max="103" width="6" style="313" customWidth="1"/>
    <col min="104" max="104" width="8.28515625" style="313" customWidth="1"/>
    <col min="105" max="105" width="7.140625" style="313" customWidth="1"/>
    <col min="106" max="106" width="6" style="313" customWidth="1"/>
    <col min="107" max="107" width="2.5703125" style="313" customWidth="1"/>
    <col min="108" max="108" width="2.28515625" style="313" customWidth="1"/>
    <col min="109" max="16384" width="5.7109375" style="313"/>
  </cols>
  <sheetData>
    <row r="1" spans="1:108" ht="12" customHeight="1" thickBot="1">
      <c r="A1" s="8520"/>
      <c r="B1" s="8520"/>
      <c r="C1" s="8520"/>
      <c r="D1" s="8520"/>
      <c r="E1" s="8520"/>
      <c r="F1" s="8520"/>
      <c r="G1" s="8520"/>
      <c r="H1" s="8520"/>
      <c r="I1" s="8520"/>
      <c r="J1" s="8520"/>
      <c r="K1" s="8520"/>
      <c r="L1" s="8520"/>
      <c r="M1" s="8520"/>
      <c r="N1" s="8520"/>
      <c r="O1" s="8520"/>
      <c r="P1" s="8520"/>
      <c r="Q1" s="8520"/>
      <c r="R1" s="8520"/>
      <c r="S1" s="8520"/>
      <c r="T1" s="8520"/>
      <c r="U1" s="8520"/>
      <c r="V1" s="8520"/>
      <c r="W1" s="8520"/>
      <c r="X1" s="8520"/>
      <c r="Y1" s="8520"/>
      <c r="Z1" s="8520"/>
      <c r="AA1" s="8520"/>
      <c r="AB1" s="8520"/>
      <c r="AC1" s="8520"/>
      <c r="AD1" s="8520"/>
      <c r="AE1" s="8520"/>
      <c r="AF1" s="8520"/>
      <c r="AG1" s="8520"/>
      <c r="AH1" s="8520"/>
      <c r="AI1" s="8520"/>
      <c r="AJ1" s="8520"/>
      <c r="AK1" s="8520"/>
      <c r="AL1" s="8520"/>
      <c r="AM1" s="8520"/>
      <c r="AN1" s="8520"/>
      <c r="AO1" s="8520"/>
      <c r="AP1" s="8520"/>
      <c r="AQ1" s="8520"/>
      <c r="AR1" s="8520"/>
      <c r="AS1" s="8520"/>
      <c r="AT1" s="8520"/>
      <c r="AU1" s="8520"/>
      <c r="AV1" s="8520"/>
      <c r="AW1" s="8520"/>
      <c r="AX1" s="8520"/>
      <c r="AY1" s="8520"/>
      <c r="AZ1" s="8520"/>
      <c r="BA1" s="8520"/>
      <c r="BB1" s="8520"/>
      <c r="BC1" s="8520"/>
      <c r="BD1" s="8520"/>
      <c r="BE1" s="8520"/>
      <c r="BF1" s="8520"/>
      <c r="BG1" s="8520"/>
      <c r="BH1" s="8520"/>
      <c r="BI1" s="8520"/>
      <c r="BJ1" s="8520"/>
      <c r="BK1" s="8520"/>
      <c r="BL1" s="8520"/>
      <c r="BM1" s="8520"/>
      <c r="BN1" s="8520"/>
      <c r="BO1" s="8520"/>
      <c r="BP1" s="8520"/>
      <c r="BQ1" s="8520"/>
      <c r="BR1" s="8520"/>
      <c r="BS1" s="8520"/>
      <c r="BT1" s="8520"/>
      <c r="BU1" s="8520"/>
      <c r="BV1" s="8520"/>
      <c r="BW1" s="8520"/>
      <c r="BX1" s="8520"/>
      <c r="BY1" s="8520"/>
      <c r="BZ1" s="8520"/>
      <c r="CA1" s="8520"/>
      <c r="CB1" s="8520"/>
      <c r="CC1" s="8520"/>
      <c r="CD1" s="8520"/>
      <c r="CE1" s="8520"/>
      <c r="CF1" s="8520"/>
      <c r="CG1" s="8520"/>
      <c r="CH1" s="8520"/>
      <c r="CI1" s="8520"/>
      <c r="CJ1" s="8520"/>
      <c r="CK1" s="8520"/>
      <c r="CL1" s="8520"/>
      <c r="CM1" s="8520"/>
      <c r="CN1" s="8520"/>
      <c r="CO1" s="8520"/>
      <c r="CP1" s="8520"/>
      <c r="CQ1" s="8520"/>
      <c r="CR1" s="8520"/>
      <c r="CS1" s="8520"/>
      <c r="CT1" s="8520"/>
      <c r="CU1" s="8520"/>
      <c r="CV1" s="8520"/>
      <c r="CW1" s="8520"/>
      <c r="CX1" s="8520"/>
      <c r="CY1" s="8520"/>
      <c r="CZ1" s="8520"/>
      <c r="DA1" s="8520"/>
      <c r="DB1" s="8520"/>
      <c r="DC1" s="8520"/>
      <c r="DD1" s="8520"/>
    </row>
    <row r="2" spans="1:108" ht="12" customHeight="1" thickBot="1">
      <c r="A2" s="360"/>
      <c r="B2" s="4226"/>
      <c r="C2" s="4227"/>
      <c r="D2" s="4227"/>
      <c r="E2" s="4227"/>
      <c r="F2" s="4227"/>
      <c r="G2" s="4227"/>
      <c r="H2" s="4227"/>
      <c r="I2" s="4227"/>
      <c r="J2" s="4227"/>
      <c r="K2" s="4227"/>
      <c r="L2" s="4227"/>
      <c r="M2" s="4227"/>
      <c r="N2" s="4227"/>
      <c r="O2" s="4227"/>
      <c r="P2" s="4227"/>
      <c r="Q2" s="4227"/>
      <c r="R2" s="4227"/>
      <c r="S2" s="4228"/>
      <c r="T2" s="4227"/>
      <c r="U2" s="4227"/>
      <c r="V2" s="4227"/>
      <c r="W2" s="4227"/>
      <c r="X2" s="4227"/>
      <c r="Y2" s="4227"/>
      <c r="Z2" s="4229"/>
      <c r="AA2" s="360"/>
      <c r="AB2" s="360"/>
      <c r="AC2" s="4226"/>
      <c r="AD2" s="4227"/>
      <c r="AE2" s="4227"/>
      <c r="AF2" s="4227"/>
      <c r="AG2" s="4227"/>
      <c r="AH2" s="4227"/>
      <c r="AI2" s="4227"/>
      <c r="AJ2" s="4227"/>
      <c r="AK2" s="4227"/>
      <c r="AL2" s="4227"/>
      <c r="AM2" s="4227"/>
      <c r="AN2" s="4227"/>
      <c r="AO2" s="4227"/>
      <c r="AP2" s="4227"/>
      <c r="AQ2" s="4227"/>
      <c r="AR2" s="4227"/>
      <c r="AS2" s="4227"/>
      <c r="AT2" s="4228"/>
      <c r="AU2" s="4227"/>
      <c r="AV2" s="4227"/>
      <c r="AW2" s="4227"/>
      <c r="AX2" s="4227"/>
      <c r="AY2" s="4227"/>
      <c r="AZ2" s="4227"/>
      <c r="BA2" s="4229"/>
      <c r="BB2" s="360"/>
      <c r="BC2" s="360"/>
      <c r="BD2" s="4226"/>
      <c r="BE2" s="4227"/>
      <c r="BF2" s="4227"/>
      <c r="BG2" s="4227"/>
      <c r="BH2" s="4227"/>
      <c r="BI2" s="4227"/>
      <c r="BJ2" s="4227"/>
      <c r="BK2" s="4227"/>
      <c r="BL2" s="4227"/>
      <c r="BM2" s="4227"/>
      <c r="BN2" s="4227"/>
      <c r="BO2" s="4227"/>
      <c r="BP2" s="4227"/>
      <c r="BQ2" s="4227"/>
      <c r="BR2" s="4227"/>
      <c r="BS2" s="4227"/>
      <c r="BT2" s="4227"/>
      <c r="BU2" s="4228"/>
      <c r="BV2" s="4227"/>
      <c r="BW2" s="4227"/>
      <c r="BX2" s="4227"/>
      <c r="BY2" s="4227"/>
      <c r="BZ2" s="4227"/>
      <c r="CA2" s="4227"/>
      <c r="CB2" s="4229"/>
      <c r="CC2" s="360"/>
      <c r="CD2" s="360"/>
      <c r="CE2" s="4226"/>
      <c r="CF2" s="4227"/>
      <c r="CG2" s="4227"/>
      <c r="CH2" s="4227"/>
      <c r="CI2" s="4227"/>
      <c r="CJ2" s="4227"/>
      <c r="CK2" s="4227"/>
      <c r="CL2" s="4227"/>
      <c r="CM2" s="4227"/>
      <c r="CN2" s="4227"/>
      <c r="CO2" s="4227"/>
      <c r="CP2" s="4227"/>
      <c r="CQ2" s="4227"/>
      <c r="CR2" s="4227"/>
      <c r="CS2" s="4227"/>
      <c r="CT2" s="4227"/>
      <c r="CU2" s="4227"/>
      <c r="CV2" s="4228"/>
      <c r="CW2" s="4227"/>
      <c r="CX2" s="4227"/>
      <c r="CY2" s="4227"/>
      <c r="CZ2" s="4227"/>
      <c r="DA2" s="4227"/>
      <c r="DB2" s="4227"/>
      <c r="DC2" s="4229"/>
      <c r="DD2" s="360"/>
    </row>
    <row r="3" spans="1:108" ht="12" customHeight="1">
      <c r="A3" s="360"/>
      <c r="B3" s="262"/>
      <c r="C3" s="8523"/>
      <c r="D3" s="8524"/>
      <c r="E3" s="8524"/>
      <c r="F3" s="8524"/>
      <c r="G3" s="8524"/>
      <c r="H3" s="8524"/>
      <c r="I3" s="4230"/>
      <c r="J3" s="4230"/>
      <c r="K3" s="4230"/>
      <c r="L3" s="4230"/>
      <c r="M3" s="4230"/>
      <c r="N3" s="4230"/>
      <c r="O3" s="4230"/>
      <c r="P3" s="4230"/>
      <c r="Q3" s="4230"/>
      <c r="R3" s="3630"/>
      <c r="S3" s="4230"/>
      <c r="T3" s="4230"/>
      <c r="U3" s="4230"/>
      <c r="V3" s="4230"/>
      <c r="W3" s="4230"/>
      <c r="X3" s="4230"/>
      <c r="Y3" s="4231"/>
      <c r="Z3" s="4232"/>
      <c r="AA3" s="360"/>
      <c r="AB3" s="360"/>
      <c r="AC3" s="262"/>
      <c r="AD3" s="8523"/>
      <c r="AE3" s="8524"/>
      <c r="AF3" s="8524"/>
      <c r="AG3" s="8524"/>
      <c r="AH3" s="8524"/>
      <c r="AI3" s="8524"/>
      <c r="AJ3" s="4230"/>
      <c r="AK3" s="4230"/>
      <c r="AL3" s="4230"/>
      <c r="AM3" s="4230"/>
      <c r="AN3" s="4230"/>
      <c r="AO3" s="4230"/>
      <c r="AP3" s="4230"/>
      <c r="AQ3" s="4230"/>
      <c r="AR3" s="4230"/>
      <c r="AS3" s="3630"/>
      <c r="AT3" s="4230"/>
      <c r="AU3" s="4230"/>
      <c r="AV3" s="4230"/>
      <c r="AW3" s="4230"/>
      <c r="AX3" s="4230"/>
      <c r="AY3" s="4230"/>
      <c r="AZ3" s="4231"/>
      <c r="BA3" s="4232"/>
      <c r="BB3" s="360"/>
      <c r="BC3" s="360"/>
      <c r="BD3" s="262"/>
      <c r="BE3" s="8523"/>
      <c r="BF3" s="8524"/>
      <c r="BG3" s="8524"/>
      <c r="BH3" s="8524"/>
      <c r="BI3" s="8524"/>
      <c r="BJ3" s="8524"/>
      <c r="BK3" s="4230"/>
      <c r="BL3" s="4230"/>
      <c r="BM3" s="4230"/>
      <c r="BN3" s="4230"/>
      <c r="BO3" s="4230"/>
      <c r="BP3" s="4230"/>
      <c r="BQ3" s="4230"/>
      <c r="BR3" s="4230"/>
      <c r="BS3" s="4230"/>
      <c r="BT3" s="3630"/>
      <c r="BU3" s="4230"/>
      <c r="BV3" s="4230"/>
      <c r="BW3" s="4230"/>
      <c r="BX3" s="4230"/>
      <c r="BY3" s="4230"/>
      <c r="BZ3" s="4230"/>
      <c r="CA3" s="4231"/>
      <c r="CB3" s="4232"/>
      <c r="CC3" s="360"/>
      <c r="CD3" s="360"/>
      <c r="CE3" s="262"/>
      <c r="CF3" s="8523"/>
      <c r="CG3" s="8524"/>
      <c r="CH3" s="8524"/>
      <c r="CI3" s="8524"/>
      <c r="CJ3" s="8524"/>
      <c r="CK3" s="8524"/>
      <c r="CL3" s="4230"/>
      <c r="CM3" s="4230"/>
      <c r="CN3" s="4230"/>
      <c r="CO3" s="4230"/>
      <c r="CP3" s="4230"/>
      <c r="CQ3" s="4230"/>
      <c r="CR3" s="4230"/>
      <c r="CS3" s="4230"/>
      <c r="CT3" s="4230"/>
      <c r="CU3" s="3630"/>
      <c r="CV3" s="4230"/>
      <c r="CW3" s="4230"/>
      <c r="CX3" s="4230"/>
      <c r="CY3" s="4230"/>
      <c r="CZ3" s="4230"/>
      <c r="DA3" s="4230"/>
      <c r="DB3" s="4231"/>
      <c r="DC3" s="4232"/>
      <c r="DD3" s="360"/>
    </row>
    <row r="4" spans="1:108" ht="12" customHeight="1">
      <c r="A4" s="360"/>
      <c r="B4" s="262"/>
      <c r="C4" s="8382"/>
      <c r="D4" s="8383"/>
      <c r="E4" s="8383"/>
      <c r="F4" s="8383"/>
      <c r="G4" s="8383"/>
      <c r="H4" s="8383"/>
      <c r="I4" s="8521" t="s">
        <v>1184</v>
      </c>
      <c r="J4" s="8521"/>
      <c r="K4" s="4373" t="str">
        <f>IF(OR(General!$F$22="",General!$F$22=0),"",General!$F$22)</f>
        <v/>
      </c>
      <c r="L4" s="4373"/>
      <c r="M4" s="4373"/>
      <c r="N4" s="4373"/>
      <c r="O4" s="4373"/>
      <c r="P4" s="4373"/>
      <c r="Q4" s="4373"/>
      <c r="R4" s="1297"/>
      <c r="S4" s="5709" t="s">
        <v>8280</v>
      </c>
      <c r="T4" s="5710"/>
      <c r="U4" s="5710"/>
      <c r="V4" s="5710"/>
      <c r="W4" s="5710"/>
      <c r="X4" s="5710"/>
      <c r="Y4" s="4233"/>
      <c r="Z4" s="4232"/>
      <c r="AA4" s="360"/>
      <c r="AB4" s="360"/>
      <c r="AC4" s="262"/>
      <c r="AD4" s="8382"/>
      <c r="AE4" s="8383"/>
      <c r="AF4" s="8383"/>
      <c r="AG4" s="8383"/>
      <c r="AH4" s="8383"/>
      <c r="AI4" s="8383"/>
      <c r="AJ4" s="8521" t="s">
        <v>1184</v>
      </c>
      <c r="AK4" s="8521"/>
      <c r="AL4" s="4373" t="str">
        <f>IF(OR(General!$F$22="",General!$F$22=0),"",General!$F$22)</f>
        <v/>
      </c>
      <c r="AM4" s="4373"/>
      <c r="AN4" s="4373"/>
      <c r="AO4" s="4373"/>
      <c r="AP4" s="4373"/>
      <c r="AQ4" s="4373"/>
      <c r="AR4" s="4373"/>
      <c r="AS4" s="1297"/>
      <c r="AT4" s="5709" t="s">
        <v>8281</v>
      </c>
      <c r="AU4" s="5710"/>
      <c r="AV4" s="5710"/>
      <c r="AW4" s="5710"/>
      <c r="AX4" s="5710"/>
      <c r="AY4" s="5710"/>
      <c r="AZ4" s="4233"/>
      <c r="BA4" s="4232"/>
      <c r="BB4" s="360"/>
      <c r="BC4" s="360"/>
      <c r="BD4" s="262"/>
      <c r="BE4" s="8382"/>
      <c r="BF4" s="8383"/>
      <c r="BG4" s="8383"/>
      <c r="BH4" s="8383"/>
      <c r="BI4" s="8383"/>
      <c r="BJ4" s="8383"/>
      <c r="BK4" s="8521" t="s">
        <v>1184</v>
      </c>
      <c r="BL4" s="8521"/>
      <c r="BM4" s="4373" t="str">
        <f>IF(OR(General!$F$22="",General!$F$22=0),"",General!$F$22)</f>
        <v/>
      </c>
      <c r="BN4" s="4373"/>
      <c r="BO4" s="4373"/>
      <c r="BP4" s="4373"/>
      <c r="BQ4" s="4373"/>
      <c r="BR4" s="4373"/>
      <c r="BS4" s="4373"/>
      <c r="BT4" s="1297"/>
      <c r="BU4" s="5709" t="s">
        <v>8282</v>
      </c>
      <c r="BV4" s="5710"/>
      <c r="BW4" s="5710"/>
      <c r="BX4" s="5710"/>
      <c r="BY4" s="5710"/>
      <c r="BZ4" s="5710"/>
      <c r="CA4" s="4233"/>
      <c r="CB4" s="4232"/>
      <c r="CC4" s="360"/>
      <c r="CD4" s="360"/>
      <c r="CE4" s="262"/>
      <c r="CF4" s="8382"/>
      <c r="CG4" s="8383"/>
      <c r="CH4" s="8383"/>
      <c r="CI4" s="8383"/>
      <c r="CJ4" s="8383"/>
      <c r="CK4" s="8383"/>
      <c r="CL4" s="8521" t="s">
        <v>1184</v>
      </c>
      <c r="CM4" s="8521"/>
      <c r="CN4" s="4373" t="str">
        <f>IF(OR(General!$F$22="",General!$F$22=0),"",General!$F$22)</f>
        <v/>
      </c>
      <c r="CO4" s="4373"/>
      <c r="CP4" s="4373"/>
      <c r="CQ4" s="4373"/>
      <c r="CR4" s="4373"/>
      <c r="CS4" s="4373"/>
      <c r="CT4" s="4373"/>
      <c r="CU4" s="1297"/>
      <c r="CV4" s="5709" t="s">
        <v>8283</v>
      </c>
      <c r="CW4" s="5710"/>
      <c r="CX4" s="5710"/>
      <c r="CY4" s="5710"/>
      <c r="CZ4" s="5710"/>
      <c r="DA4" s="5710"/>
      <c r="DB4" s="4233"/>
      <c r="DC4" s="4232"/>
      <c r="DD4" s="360"/>
    </row>
    <row r="5" spans="1:108" ht="12" customHeight="1">
      <c r="A5" s="360"/>
      <c r="B5" s="982">
        <v>32</v>
      </c>
      <c r="C5" s="8382"/>
      <c r="D5" s="8383"/>
      <c r="E5" s="8383"/>
      <c r="F5" s="8383"/>
      <c r="G5" s="8383"/>
      <c r="H5" s="8383"/>
      <c r="I5" s="8522" t="s">
        <v>1185</v>
      </c>
      <c r="J5" s="8522"/>
      <c r="K5" s="4363" t="str">
        <f>IF(LEN(PDs!$E$11)&lt;=$B$5,PDs!$E$11,"… /"&amp;RIGHT(PDs!$E$11,$B$5-FIND("/",RIGHT(PDs!$E$11,$B$5))))</f>
        <v/>
      </c>
      <c r="L5" s="4363"/>
      <c r="M5" s="4363"/>
      <c r="N5" s="4363"/>
      <c r="O5" s="4363"/>
      <c r="P5" s="2003" t="s">
        <v>1186</v>
      </c>
      <c r="Q5" s="2004" t="str">
        <f>Principal!$O$6</f>
        <v>1</v>
      </c>
      <c r="R5" s="1297"/>
      <c r="S5" s="5710"/>
      <c r="T5" s="5710"/>
      <c r="U5" s="5710"/>
      <c r="V5" s="5710"/>
      <c r="W5" s="5710"/>
      <c r="X5" s="5710"/>
      <c r="Y5" s="4233"/>
      <c r="Z5" s="4232"/>
      <c r="AA5" s="360"/>
      <c r="AB5" s="360"/>
      <c r="AC5" s="262"/>
      <c r="AD5" s="8382"/>
      <c r="AE5" s="8383"/>
      <c r="AF5" s="8383"/>
      <c r="AG5" s="8383"/>
      <c r="AH5" s="8383"/>
      <c r="AI5" s="8383"/>
      <c r="AJ5" s="8522" t="s">
        <v>1185</v>
      </c>
      <c r="AK5" s="8522"/>
      <c r="AL5" s="4363" t="str">
        <f>$K$5</f>
        <v/>
      </c>
      <c r="AM5" s="4363"/>
      <c r="AN5" s="4363"/>
      <c r="AO5" s="4363"/>
      <c r="AP5" s="4363"/>
      <c r="AQ5" s="2003" t="s">
        <v>1186</v>
      </c>
      <c r="AR5" s="2004" t="str">
        <f>Principal!$O$6</f>
        <v>1</v>
      </c>
      <c r="AS5" s="1297"/>
      <c r="AT5" s="5710"/>
      <c r="AU5" s="5710"/>
      <c r="AV5" s="5710"/>
      <c r="AW5" s="5710"/>
      <c r="AX5" s="5710"/>
      <c r="AY5" s="5710"/>
      <c r="AZ5" s="4233"/>
      <c r="BA5" s="4232"/>
      <c r="BB5" s="360"/>
      <c r="BC5" s="360"/>
      <c r="BD5" s="262"/>
      <c r="BE5" s="8382"/>
      <c r="BF5" s="8383"/>
      <c r="BG5" s="8383"/>
      <c r="BH5" s="8383"/>
      <c r="BI5" s="8383"/>
      <c r="BJ5" s="8383"/>
      <c r="BK5" s="8522" t="s">
        <v>1185</v>
      </c>
      <c r="BL5" s="8522"/>
      <c r="BM5" s="4363" t="str">
        <f>$K$5</f>
        <v/>
      </c>
      <c r="BN5" s="4363"/>
      <c r="BO5" s="4363"/>
      <c r="BP5" s="4363"/>
      <c r="BQ5" s="4363"/>
      <c r="BR5" s="2003" t="s">
        <v>1186</v>
      </c>
      <c r="BS5" s="2004" t="str">
        <f>Principal!$O$6</f>
        <v>1</v>
      </c>
      <c r="BT5" s="1297"/>
      <c r="BU5" s="5710"/>
      <c r="BV5" s="5710"/>
      <c r="BW5" s="5710"/>
      <c r="BX5" s="5710"/>
      <c r="BY5" s="5710"/>
      <c r="BZ5" s="5710"/>
      <c r="CA5" s="4233"/>
      <c r="CB5" s="4232"/>
      <c r="CC5" s="360"/>
      <c r="CD5" s="360"/>
      <c r="CE5" s="262"/>
      <c r="CF5" s="8382"/>
      <c r="CG5" s="8383"/>
      <c r="CH5" s="8383"/>
      <c r="CI5" s="8383"/>
      <c r="CJ5" s="8383"/>
      <c r="CK5" s="8383"/>
      <c r="CL5" s="8522" t="s">
        <v>1185</v>
      </c>
      <c r="CM5" s="8522"/>
      <c r="CN5" s="4363" t="str">
        <f>$K$5</f>
        <v/>
      </c>
      <c r="CO5" s="4363"/>
      <c r="CP5" s="4363"/>
      <c r="CQ5" s="4363"/>
      <c r="CR5" s="4363"/>
      <c r="CS5" s="2003" t="s">
        <v>1186</v>
      </c>
      <c r="CT5" s="2004" t="str">
        <f>Principal!$O$6</f>
        <v>1</v>
      </c>
      <c r="CU5" s="1297"/>
      <c r="CV5" s="5710"/>
      <c r="CW5" s="5710"/>
      <c r="CX5" s="5710"/>
      <c r="CY5" s="5710"/>
      <c r="CZ5" s="5710"/>
      <c r="DA5" s="5710"/>
      <c r="DB5" s="4233"/>
      <c r="DC5" s="4232"/>
      <c r="DD5" s="360"/>
    </row>
    <row r="6" spans="1:108" ht="12" customHeight="1">
      <c r="A6" s="360"/>
      <c r="B6" s="262"/>
      <c r="C6" s="8382"/>
      <c r="D6" s="8383"/>
      <c r="E6" s="8383"/>
      <c r="F6" s="8383"/>
      <c r="G6" s="8383"/>
      <c r="H6" s="8383"/>
      <c r="I6" s="311"/>
      <c r="J6" s="5709" t="s">
        <v>5821</v>
      </c>
      <c r="K6" s="5710"/>
      <c r="L6" s="5710"/>
      <c r="M6" s="5710"/>
      <c r="N6" s="5710"/>
      <c r="O6" s="5710"/>
      <c r="P6" s="5710"/>
      <c r="Q6" s="311"/>
      <c r="R6" s="1297"/>
      <c r="S6" s="8513"/>
      <c r="T6" s="8514"/>
      <c r="U6" s="8514"/>
      <c r="V6" s="8514"/>
      <c r="W6" s="8514"/>
      <c r="X6" s="8515"/>
      <c r="Y6" s="4233"/>
      <c r="Z6" s="4232"/>
      <c r="AA6" s="360"/>
      <c r="AB6" s="360"/>
      <c r="AC6" s="262"/>
      <c r="AD6" s="8382"/>
      <c r="AE6" s="8383"/>
      <c r="AF6" s="8383"/>
      <c r="AG6" s="8383"/>
      <c r="AH6" s="8383"/>
      <c r="AI6" s="8383"/>
      <c r="AJ6" s="311"/>
      <c r="AK6" s="5709" t="s">
        <v>5821</v>
      </c>
      <c r="AL6" s="5710"/>
      <c r="AM6" s="5710"/>
      <c r="AN6" s="5710"/>
      <c r="AO6" s="5710"/>
      <c r="AP6" s="5710"/>
      <c r="AQ6" s="5710"/>
      <c r="AR6" s="311"/>
      <c r="AS6" s="1297"/>
      <c r="AT6" s="8513" t="s">
        <v>8279</v>
      </c>
      <c r="AU6" s="8514"/>
      <c r="AV6" s="8514"/>
      <c r="AW6" s="8514"/>
      <c r="AX6" s="8514"/>
      <c r="AY6" s="8515"/>
      <c r="AZ6" s="4233"/>
      <c r="BA6" s="4232"/>
      <c r="BB6" s="360"/>
      <c r="BC6" s="360"/>
      <c r="BD6" s="262"/>
      <c r="BE6" s="8382"/>
      <c r="BF6" s="8383"/>
      <c r="BG6" s="8383"/>
      <c r="BH6" s="8383"/>
      <c r="BI6" s="8383"/>
      <c r="BJ6" s="8383"/>
      <c r="BK6" s="311"/>
      <c r="BL6" s="5709" t="s">
        <v>5821</v>
      </c>
      <c r="BM6" s="5710"/>
      <c r="BN6" s="5710"/>
      <c r="BO6" s="5710"/>
      <c r="BP6" s="5710"/>
      <c r="BQ6" s="5710"/>
      <c r="BR6" s="5710"/>
      <c r="BS6" s="311"/>
      <c r="BT6" s="1297"/>
      <c r="BU6" s="8513"/>
      <c r="BV6" s="8514"/>
      <c r="BW6" s="8514"/>
      <c r="BX6" s="8514"/>
      <c r="BY6" s="8514"/>
      <c r="BZ6" s="8515"/>
      <c r="CA6" s="4233"/>
      <c r="CB6" s="4232"/>
      <c r="CC6" s="360"/>
      <c r="CD6" s="360"/>
      <c r="CE6" s="262"/>
      <c r="CF6" s="8382"/>
      <c r="CG6" s="8383"/>
      <c r="CH6" s="8383"/>
      <c r="CI6" s="8383"/>
      <c r="CJ6" s="8383"/>
      <c r="CK6" s="8383"/>
      <c r="CL6" s="311"/>
      <c r="CM6" s="5709" t="s">
        <v>5821</v>
      </c>
      <c r="CN6" s="5710"/>
      <c r="CO6" s="5710"/>
      <c r="CP6" s="5710"/>
      <c r="CQ6" s="5710"/>
      <c r="CR6" s="5710"/>
      <c r="CS6" s="5710"/>
      <c r="CT6" s="311"/>
      <c r="CU6" s="1297"/>
      <c r="CV6" s="8513"/>
      <c r="CW6" s="8514"/>
      <c r="CX6" s="8514"/>
      <c r="CY6" s="8514"/>
      <c r="CZ6" s="8514"/>
      <c r="DA6" s="8515"/>
      <c r="DB6" s="4233"/>
      <c r="DC6" s="4232"/>
      <c r="DD6" s="360"/>
    </row>
    <row r="7" spans="1:108" ht="12" customHeight="1">
      <c r="A7" s="360"/>
      <c r="B7" s="262"/>
      <c r="C7" s="8382"/>
      <c r="D7" s="8383"/>
      <c r="E7" s="8383"/>
      <c r="F7" s="8383"/>
      <c r="G7" s="8383"/>
      <c r="H7" s="8383"/>
      <c r="I7" s="311"/>
      <c r="J7" s="5710"/>
      <c r="K7" s="5710"/>
      <c r="L7" s="5710"/>
      <c r="M7" s="5710"/>
      <c r="N7" s="5710"/>
      <c r="O7" s="5710"/>
      <c r="P7" s="5710"/>
      <c r="Q7" s="311"/>
      <c r="R7" s="1297"/>
      <c r="S7" s="8516"/>
      <c r="T7" s="8517"/>
      <c r="U7" s="8517"/>
      <c r="V7" s="8517"/>
      <c r="W7" s="8517"/>
      <c r="X7" s="8518"/>
      <c r="Y7" s="4234" t="e">
        <f>MATCH(S6,'Tablas psiquica'!$AU$4:$BS$4,0)</f>
        <v>#N/A</v>
      </c>
      <c r="Z7" s="4232"/>
      <c r="AA7" s="360"/>
      <c r="AB7" s="360"/>
      <c r="AC7" s="262"/>
      <c r="AD7" s="8382"/>
      <c r="AE7" s="8383"/>
      <c r="AF7" s="8383"/>
      <c r="AG7" s="8383"/>
      <c r="AH7" s="8383"/>
      <c r="AI7" s="8383"/>
      <c r="AJ7" s="311"/>
      <c r="AK7" s="5710"/>
      <c r="AL7" s="5710"/>
      <c r="AM7" s="5710"/>
      <c r="AN7" s="5710"/>
      <c r="AO7" s="5710"/>
      <c r="AP7" s="5710"/>
      <c r="AQ7" s="5710"/>
      <c r="AR7" s="311"/>
      <c r="AS7" s="1297"/>
      <c r="AT7" s="8516"/>
      <c r="AU7" s="8517"/>
      <c r="AV7" s="8517"/>
      <c r="AW7" s="8517"/>
      <c r="AX7" s="8517"/>
      <c r="AY7" s="8518"/>
      <c r="AZ7" s="4234">
        <f>MATCH(AT6,'Tablas psiquica'!$AU$4:$BS$4,0)</f>
        <v>22</v>
      </c>
      <c r="BA7" s="4232"/>
      <c r="BB7" s="360"/>
      <c r="BC7" s="360"/>
      <c r="BD7" s="262"/>
      <c r="BE7" s="8382"/>
      <c r="BF7" s="8383"/>
      <c r="BG7" s="8383"/>
      <c r="BH7" s="8383"/>
      <c r="BI7" s="8383"/>
      <c r="BJ7" s="8383"/>
      <c r="BK7" s="311"/>
      <c r="BL7" s="5710"/>
      <c r="BM7" s="5710"/>
      <c r="BN7" s="5710"/>
      <c r="BO7" s="5710"/>
      <c r="BP7" s="5710"/>
      <c r="BQ7" s="5710"/>
      <c r="BR7" s="5710"/>
      <c r="BS7" s="311"/>
      <c r="BT7" s="1297"/>
      <c r="BU7" s="8516"/>
      <c r="BV7" s="8517"/>
      <c r="BW7" s="8517"/>
      <c r="BX7" s="8517"/>
      <c r="BY7" s="8517"/>
      <c r="BZ7" s="8518"/>
      <c r="CA7" s="4234" t="e">
        <f>MATCH(BU6,'Tablas psiquica'!$AU$4:$BS$4,0)</f>
        <v>#N/A</v>
      </c>
      <c r="CB7" s="4232"/>
      <c r="CC7" s="360"/>
      <c r="CD7" s="360"/>
      <c r="CE7" s="262"/>
      <c r="CF7" s="8382"/>
      <c r="CG7" s="8383"/>
      <c r="CH7" s="8383"/>
      <c r="CI7" s="8383"/>
      <c r="CJ7" s="8383"/>
      <c r="CK7" s="8383"/>
      <c r="CL7" s="311"/>
      <c r="CM7" s="5710"/>
      <c r="CN7" s="5710"/>
      <c r="CO7" s="5710"/>
      <c r="CP7" s="5710"/>
      <c r="CQ7" s="5710"/>
      <c r="CR7" s="5710"/>
      <c r="CS7" s="5710"/>
      <c r="CT7" s="311"/>
      <c r="CU7" s="1297"/>
      <c r="CV7" s="8516"/>
      <c r="CW7" s="8517"/>
      <c r="CX7" s="8517"/>
      <c r="CY7" s="8517"/>
      <c r="CZ7" s="8517"/>
      <c r="DA7" s="8518"/>
      <c r="DB7" s="4234" t="e">
        <f>MATCH(CV6,'Tablas psiquica'!$AU$4:$BS$4,0)</f>
        <v>#N/A</v>
      </c>
      <c r="DC7" s="4232"/>
      <c r="DD7" s="360"/>
    </row>
    <row r="8" spans="1:108" ht="12" customHeight="1" thickBot="1">
      <c r="A8" s="360"/>
      <c r="B8" s="262"/>
      <c r="C8" s="8525"/>
      <c r="D8" s="8526"/>
      <c r="E8" s="8526"/>
      <c r="F8" s="8526"/>
      <c r="G8" s="8526"/>
      <c r="H8" s="8526"/>
      <c r="I8" s="4235"/>
      <c r="J8" s="4235"/>
      <c r="K8" s="4235"/>
      <c r="L8" s="4235"/>
      <c r="M8" s="4235"/>
      <c r="N8" s="4235"/>
      <c r="O8" s="4235"/>
      <c r="P8" s="4235"/>
      <c r="Q8" s="4235"/>
      <c r="R8" s="4236"/>
      <c r="S8" s="4235"/>
      <c r="T8" s="4235"/>
      <c r="U8" s="4235"/>
      <c r="V8" s="4235"/>
      <c r="W8" s="4235"/>
      <c r="X8" s="4235"/>
      <c r="Y8" s="4237"/>
      <c r="Z8" s="4232"/>
      <c r="AA8" s="360"/>
      <c r="AB8" s="360"/>
      <c r="AC8" s="262"/>
      <c r="AD8" s="8525"/>
      <c r="AE8" s="8526"/>
      <c r="AF8" s="8526"/>
      <c r="AG8" s="8526"/>
      <c r="AH8" s="8526"/>
      <c r="AI8" s="8526"/>
      <c r="AJ8" s="4235"/>
      <c r="AK8" s="4235"/>
      <c r="AL8" s="4235"/>
      <c r="AM8" s="4235"/>
      <c r="AN8" s="4235"/>
      <c r="AO8" s="4235"/>
      <c r="AP8" s="4235"/>
      <c r="AQ8" s="4235"/>
      <c r="AR8" s="4235"/>
      <c r="AS8" s="4236"/>
      <c r="AT8" s="4235"/>
      <c r="AU8" s="4235"/>
      <c r="AV8" s="4235"/>
      <c r="AW8" s="4235"/>
      <c r="AX8" s="4235"/>
      <c r="AY8" s="4235"/>
      <c r="AZ8" s="4237"/>
      <c r="BA8" s="4232"/>
      <c r="BB8" s="360"/>
      <c r="BC8" s="360"/>
      <c r="BD8" s="262"/>
      <c r="BE8" s="8525"/>
      <c r="BF8" s="8526"/>
      <c r="BG8" s="8526"/>
      <c r="BH8" s="8526"/>
      <c r="BI8" s="8526"/>
      <c r="BJ8" s="8526"/>
      <c r="BK8" s="4235"/>
      <c r="BL8" s="4235"/>
      <c r="BM8" s="4235"/>
      <c r="BN8" s="4235"/>
      <c r="BO8" s="4235"/>
      <c r="BP8" s="4235"/>
      <c r="BQ8" s="4235"/>
      <c r="BR8" s="4235"/>
      <c r="BS8" s="4235"/>
      <c r="BT8" s="4236"/>
      <c r="BU8" s="4235"/>
      <c r="BV8" s="4235"/>
      <c r="BW8" s="4235"/>
      <c r="BX8" s="4235"/>
      <c r="BY8" s="4235"/>
      <c r="BZ8" s="4235"/>
      <c r="CA8" s="4237"/>
      <c r="CB8" s="4232"/>
      <c r="CC8" s="360"/>
      <c r="CD8" s="360"/>
      <c r="CE8" s="262"/>
      <c r="CF8" s="8525"/>
      <c r="CG8" s="8526"/>
      <c r="CH8" s="8526"/>
      <c r="CI8" s="8526"/>
      <c r="CJ8" s="8526"/>
      <c r="CK8" s="8526"/>
      <c r="CL8" s="4235"/>
      <c r="CM8" s="4235"/>
      <c r="CN8" s="4235"/>
      <c r="CO8" s="4235"/>
      <c r="CP8" s="4235"/>
      <c r="CQ8" s="4235"/>
      <c r="CR8" s="4235"/>
      <c r="CS8" s="4235"/>
      <c r="CT8" s="4235"/>
      <c r="CU8" s="4236"/>
      <c r="CV8" s="4235"/>
      <c r="CW8" s="4235"/>
      <c r="CX8" s="4235"/>
      <c r="CY8" s="4235"/>
      <c r="CZ8" s="4235"/>
      <c r="DA8" s="4235"/>
      <c r="DB8" s="4237"/>
      <c r="DC8" s="4232"/>
      <c r="DD8" s="360"/>
    </row>
    <row r="9" spans="1:108" ht="12" customHeight="1" thickBot="1">
      <c r="A9" s="360"/>
      <c r="B9" s="262"/>
      <c r="C9" s="976"/>
      <c r="K9" s="976"/>
      <c r="S9" s="976"/>
      <c r="Z9" s="4232"/>
      <c r="AA9" s="360"/>
      <c r="AB9" s="360"/>
      <c r="AC9" s="262"/>
      <c r="AD9" s="976"/>
      <c r="AL9" s="976"/>
      <c r="AT9" s="976"/>
      <c r="BA9" s="4232"/>
      <c r="BB9" s="360"/>
      <c r="BC9" s="360"/>
      <c r="BD9" s="262"/>
      <c r="BE9" s="976"/>
      <c r="BM9" s="976"/>
      <c r="BU9" s="976"/>
      <c r="CB9" s="4232"/>
      <c r="CC9" s="360"/>
      <c r="CD9" s="360"/>
      <c r="CE9" s="262"/>
      <c r="CF9" s="976"/>
      <c r="CN9" s="976"/>
      <c r="CV9" s="976"/>
      <c r="DC9" s="4232"/>
      <c r="DD9" s="360"/>
    </row>
    <row r="10" spans="1:108" ht="12" customHeight="1">
      <c r="A10" s="360"/>
      <c r="B10" s="982">
        <v>1</v>
      </c>
      <c r="C10" s="8511" cm="1">
        <f t="array" ref="C10">IFERROR(INDEX('Tablas psiquica'!$AU$6:$BQ$20,B10,Y$7),0)</f>
        <v>0</v>
      </c>
      <c r="D10" s="8512"/>
      <c r="E10" s="8512"/>
      <c r="F10" s="8512"/>
      <c r="G10" s="8512"/>
      <c r="H10" s="8512"/>
      <c r="I10" s="4238" t="s">
        <v>1262</v>
      </c>
      <c r="J10" s="607">
        <v>2</v>
      </c>
      <c r="K10" s="8511" cm="1">
        <f t="array" ref="K10">IFERROR(INDEX('Tablas psiquica'!$AU$6:$BQ$20,J10,Y$7),0)</f>
        <v>0</v>
      </c>
      <c r="L10" s="8512"/>
      <c r="M10" s="8512"/>
      <c r="N10" s="8512"/>
      <c r="O10" s="8512"/>
      <c r="P10" s="8519"/>
      <c r="Q10" s="4238" t="s">
        <v>1262</v>
      </c>
      <c r="R10" s="982">
        <v>3</v>
      </c>
      <c r="S10" s="8511" cm="1">
        <f t="array" ref="S10">IFERROR(INDEX('Tablas psiquica'!$AU$6:$BQ$20,R10,Y$7),0)</f>
        <v>0</v>
      </c>
      <c r="T10" s="8512"/>
      <c r="U10" s="8512"/>
      <c r="V10" s="8512"/>
      <c r="W10" s="8512"/>
      <c r="X10" s="8519"/>
      <c r="Y10" s="4238" t="s">
        <v>1262</v>
      </c>
      <c r="Z10" s="4232"/>
      <c r="AA10" s="360"/>
      <c r="AB10" s="360"/>
      <c r="AC10" s="982">
        <v>1</v>
      </c>
      <c r="AD10" s="8511" t="str" cm="1">
        <f t="array" ref="AD10">IFERROR(INDEX('Tablas psiquica'!$AU$6:$BQ$20,AC10,AZ$7),0)</f>
        <v>Destruir matrices</v>
      </c>
      <c r="AE10" s="8512"/>
      <c r="AF10" s="8512"/>
      <c r="AG10" s="8512"/>
      <c r="AH10" s="8512"/>
      <c r="AI10" s="8512"/>
      <c r="AJ10" s="4238" t="s">
        <v>1262</v>
      </c>
      <c r="AK10" s="607">
        <v>2</v>
      </c>
      <c r="AL10" s="8511" t="str" cm="1">
        <f t="array" ref="AL10">IFERROR(INDEX('Tablas psiquica'!$AU$6:$BQ$20,AK10,AZ$7),0)</f>
        <v>Sentir matrices</v>
      </c>
      <c r="AM10" s="8512"/>
      <c r="AN10" s="8512"/>
      <c r="AO10" s="8512"/>
      <c r="AP10" s="8512"/>
      <c r="AQ10" s="8512"/>
      <c r="AR10" s="4238" t="s">
        <v>1262</v>
      </c>
      <c r="AS10" s="982">
        <v>3</v>
      </c>
      <c r="AT10" s="8511" t="str" cm="1">
        <f t="array" ref="AT10">IFERROR(INDEX('Tablas psiquica'!$AU$6:$BQ$20,AS10,AZ$7),0)</f>
        <v>Ocultar matrices</v>
      </c>
      <c r="AU10" s="8512"/>
      <c r="AV10" s="8512"/>
      <c r="AW10" s="8512"/>
      <c r="AX10" s="8512"/>
      <c r="AY10" s="8512"/>
      <c r="AZ10" s="4238" t="s">
        <v>1262</v>
      </c>
      <c r="BA10" s="4232"/>
      <c r="BB10" s="360"/>
      <c r="BC10" s="360"/>
      <c r="BD10" s="982">
        <v>1</v>
      </c>
      <c r="BE10" s="8511" cm="1">
        <f t="array" ref="BE10">IFERROR(INDEX('Tablas psiquica'!$AU$6:$BQ$20,BD10,CA$7),0)</f>
        <v>0</v>
      </c>
      <c r="BF10" s="8512"/>
      <c r="BG10" s="8512"/>
      <c r="BH10" s="8512"/>
      <c r="BI10" s="8512"/>
      <c r="BJ10" s="8512"/>
      <c r="BK10" s="4238" t="s">
        <v>1262</v>
      </c>
      <c r="BL10" s="607">
        <v>2</v>
      </c>
      <c r="BM10" s="8511" cm="1">
        <f t="array" ref="BM10">IFERROR(INDEX('Tablas psiquica'!$AU$6:$BQ$20,BL10,CA$7),0)</f>
        <v>0</v>
      </c>
      <c r="BN10" s="8512"/>
      <c r="BO10" s="8512"/>
      <c r="BP10" s="8512"/>
      <c r="BQ10" s="8512"/>
      <c r="BR10" s="8512"/>
      <c r="BS10" s="4238" t="s">
        <v>1262</v>
      </c>
      <c r="BT10" s="982">
        <v>3</v>
      </c>
      <c r="BU10" s="8511" cm="1">
        <f t="array" ref="BU10">IFERROR(INDEX('Tablas psiquica'!$AU$6:$BQ$20,BT10,CA$7),0)</f>
        <v>0</v>
      </c>
      <c r="BV10" s="8512"/>
      <c r="BW10" s="8512"/>
      <c r="BX10" s="8512"/>
      <c r="BY10" s="8512"/>
      <c r="BZ10" s="8512"/>
      <c r="CA10" s="4238" t="s">
        <v>1262</v>
      </c>
      <c r="CB10" s="4232"/>
      <c r="CC10" s="360"/>
      <c r="CD10" s="360"/>
      <c r="CE10" s="982">
        <v>1</v>
      </c>
      <c r="CF10" s="8511" cm="1">
        <f t="array" ref="CF10">IFERROR(INDEX('Tablas psiquica'!$AU$6:$BQ$20,CE10,DB$7),0)</f>
        <v>0</v>
      </c>
      <c r="CG10" s="8512"/>
      <c r="CH10" s="8512"/>
      <c r="CI10" s="8512"/>
      <c r="CJ10" s="8512"/>
      <c r="CK10" s="8512"/>
      <c r="CL10" s="4238" t="s">
        <v>1262</v>
      </c>
      <c r="CM10" s="607">
        <v>2</v>
      </c>
      <c r="CN10" s="8511" cm="1">
        <f t="array" ref="CN10">IFERROR(INDEX('Tablas psiquica'!$AU$6:$BQ$20,CM10,DB$7),0)</f>
        <v>0</v>
      </c>
      <c r="CO10" s="8512"/>
      <c r="CP10" s="8512"/>
      <c r="CQ10" s="8512"/>
      <c r="CR10" s="8512"/>
      <c r="CS10" s="8512"/>
      <c r="CT10" s="4238" t="s">
        <v>1262</v>
      </c>
      <c r="CU10" s="982">
        <v>3</v>
      </c>
      <c r="CV10" s="8511" cm="1">
        <f t="array" ref="CV10">IFERROR(INDEX('Tablas psiquica'!$AU$6:$BQ$20,CU10,DB$7),0)</f>
        <v>0</v>
      </c>
      <c r="CW10" s="8512"/>
      <c r="CX10" s="8512"/>
      <c r="CY10" s="8512"/>
      <c r="CZ10" s="8512"/>
      <c r="DA10" s="8512"/>
      <c r="DB10" s="4238" t="s">
        <v>1262</v>
      </c>
      <c r="DC10" s="4232"/>
      <c r="DD10" s="360"/>
    </row>
    <row r="11" spans="1:108" ht="12" customHeight="1">
      <c r="A11" s="360"/>
      <c r="B11" s="982"/>
      <c r="C11" s="8500" t="str">
        <f>IF(C10=0,"",VLOOKUP(C10,'Tablas psiquica'!$D$7:$R$296,2,FALSE))</f>
        <v/>
      </c>
      <c r="D11" s="8501"/>
      <c r="E11" s="8501"/>
      <c r="F11" s="8502"/>
      <c r="G11" s="8498" t="str" cm="1">
        <f t="array" ref="G11">IF(C10=0,"",IF(INDEX('Tablas psiquica'!$AU$5:$BS$5,1,Y7)=0,"No Accesible",IF(ISNA(VLOOKUP(C10,Psíquicos!$AS$17:$AS$44,1,0)),"Accesible CV","Aprendido")))</f>
        <v/>
      </c>
      <c r="H11" s="8499"/>
      <c r="I11" s="4242" t="str">
        <f>IF(C10=0,"",VLOOKUP(C10,'Tablas psiquica'!$D$7:$R$296,3,FALSE))</f>
        <v/>
      </c>
      <c r="J11" s="607"/>
      <c r="K11" s="8500" t="str">
        <f>IF(K10=0,"",VLOOKUP(K10,'Tablas psiquica'!$D$7:$R$296,2,FALSE))</f>
        <v/>
      </c>
      <c r="L11" s="8501"/>
      <c r="M11" s="8501"/>
      <c r="N11" s="8502"/>
      <c r="O11" s="8498" t="str" cm="1">
        <f t="array" ref="O11">IF(K10=0,"",IF(INDEX('Tablas psiquica'!$AU$5:$BS$5,1,Y7)=0,"No Accesible",IF(ISNA(VLOOKUP(K10,Psíquicos!$AS$17:$AS$44,1,0)),"Accesible CV","Aprendido")))</f>
        <v/>
      </c>
      <c r="P11" s="8499"/>
      <c r="Q11" s="4242" t="str">
        <f>IF(K10=0,"",VLOOKUP(K10,'Tablas psiquica'!$D$7:$R$296,3,FALSE))</f>
        <v/>
      </c>
      <c r="R11" s="982"/>
      <c r="S11" s="8500" t="str">
        <f>IF(S10=0,"",VLOOKUP(S10,'Tablas psiquica'!$D$7:$R$296,2,FALSE))</f>
        <v/>
      </c>
      <c r="T11" s="8501"/>
      <c r="U11" s="8501"/>
      <c r="V11" s="8502"/>
      <c r="W11" s="8498" t="str" cm="1">
        <f t="array" ref="W11">IF(S10=0,"",IF(INDEX('Tablas psiquica'!$AU$5:$BS$5,1,Y7)=0,"No Accesible",IF(ISNA(VLOOKUP(S10,Psíquicos!$AS$17:$AS$44,1,0)),"Accesible CV","Aprendido")))</f>
        <v/>
      </c>
      <c r="X11" s="8499"/>
      <c r="Y11" s="4242" t="str">
        <f>IF(S10=0,"",VLOOKUP(S10,'Tablas psiquica'!$D$7:$R$296,3,FALSE))</f>
        <v/>
      </c>
      <c r="Z11" s="4232"/>
      <c r="AA11" s="360"/>
      <c r="AB11" s="360"/>
      <c r="AC11" s="982"/>
      <c r="AD11" s="8500" t="str">
        <f>IF(AD10=0,"",VLOOKUP(AD10,'Tablas psiquica'!$D$7:$R$296,2,FALSE))</f>
        <v>Poderes Matriciales</v>
      </c>
      <c r="AE11" s="8501"/>
      <c r="AF11" s="8501"/>
      <c r="AG11" s="8502"/>
      <c r="AH11" s="8498" t="str" cm="1">
        <f t="array" ref="AH11">IF(AD10=0,"",IF(INDEX('Tablas psiquica'!$AU$5:$BS$5,1,AZ7)=0,"No Accesible",IF(ISNA(VLOOKUP(AD10,Psíquicos!$AS$17:$AS$44,1,0)),"Accesible CV","Aprendido")))</f>
        <v>Accesible CV</v>
      </c>
      <c r="AI11" s="8499"/>
      <c r="AJ11" s="4242" t="str">
        <f>IF(AD10=0,"",VLOOKUP(AD10,'Tablas psiquica'!$D$7:$R$296,3,FALSE))</f>
        <v>-</v>
      </c>
      <c r="AK11" s="607"/>
      <c r="AL11" s="8500" t="str">
        <f>IF(AL10=0,"",VLOOKUP(AL10,'Tablas psiquica'!$D$7:$R$296,2,FALSE))</f>
        <v>Poderes Matriciales</v>
      </c>
      <c r="AM11" s="8501"/>
      <c r="AN11" s="8501"/>
      <c r="AO11" s="8502"/>
      <c r="AP11" s="8498" t="str" cm="1">
        <f t="array" ref="AP11">IF(AL10=0,"",IF(INDEX('Tablas psiquica'!$AU$5:$BS$5,1,AZ7)=0,"No Accesible",IF(ISNA(VLOOKUP(AL10,Psíquicos!$AS$17:$AS$44,1,0)),"Accesible CV","Aprendido")))</f>
        <v>Accesible CV</v>
      </c>
      <c r="AQ11" s="8499"/>
      <c r="AR11" s="4242" t="str">
        <f>IF(AL10=0,"",VLOOKUP(AL10,'Tablas psiquica'!$D$7:$R$296,3,FALSE))</f>
        <v>-</v>
      </c>
      <c r="AS11" s="982"/>
      <c r="AT11" s="8500" t="str">
        <f>IF(AT10=0,"",VLOOKUP(AT10,'Tablas psiquica'!$D$7:$R$296,2,FALSE))</f>
        <v>Poderes Matriciales</v>
      </c>
      <c r="AU11" s="8501"/>
      <c r="AV11" s="8501"/>
      <c r="AW11" s="8502"/>
      <c r="AX11" s="8498" t="str" cm="1">
        <f t="array" ref="AX11">IF(AT10=0,"",IF(INDEX('Tablas psiquica'!$AU$5:$BS$5,1,AZ7)=0,"No Accesible",IF(ISNA(VLOOKUP(AT10,Psíquicos!$AS$17:$AS$44,1,0)),"Accesible CV","Aprendido")))</f>
        <v>Accesible CV</v>
      </c>
      <c r="AY11" s="8499"/>
      <c r="AZ11" s="4242" t="str">
        <f>IF(AT10=0,"",VLOOKUP(AT10,'Tablas psiquica'!$D$7:$R$296,3,FALSE))</f>
        <v>-</v>
      </c>
      <c r="BA11" s="4232"/>
      <c r="BB11" s="360"/>
      <c r="BC11" s="360"/>
      <c r="BD11" s="982"/>
      <c r="BE11" s="8500" t="str">
        <f>IF(BE10=0,"",VLOOKUP(BE10,'Tablas psiquica'!$D$7:$R$296,2,FALSE))</f>
        <v/>
      </c>
      <c r="BF11" s="8501"/>
      <c r="BG11" s="8501"/>
      <c r="BH11" s="8502"/>
      <c r="BI11" s="8498" t="str" cm="1">
        <f t="array" ref="BI11">IF(BE10=0,"",IF(INDEX('Tablas psiquica'!$AU$5:$BS$5,1,CA7)=0,"No Accesible",IF(ISNA(VLOOKUP(BE10,Psíquicos!$AS$17:$AS$44,1,0)),"Accesible CV","Aprendido")))</f>
        <v/>
      </c>
      <c r="BJ11" s="8499"/>
      <c r="BK11" s="4242" t="str">
        <f>IF(BE10=0,"",VLOOKUP(BE10,'Tablas psiquica'!$D$7:$R$296,3,FALSE))</f>
        <v/>
      </c>
      <c r="BL11" s="607"/>
      <c r="BM11" s="8500" t="str">
        <f>IF(BM10=0,"",VLOOKUP(BM10,'Tablas psiquica'!$D$7:$R$296,2,FALSE))</f>
        <v/>
      </c>
      <c r="BN11" s="8501"/>
      <c r="BO11" s="8501"/>
      <c r="BP11" s="8502"/>
      <c r="BQ11" s="8498" t="str" cm="1">
        <f t="array" ref="BQ11">IF(BM10=0,"",IF(INDEX('Tablas psiquica'!$AU$5:$BS$5,1,CA7)=0,"No Accesible",IF(ISNA(VLOOKUP(BM10,Psíquicos!$AS$17:$AS$44,1,0)),"Accesible CV","Aprendido")))</f>
        <v/>
      </c>
      <c r="BR11" s="8499"/>
      <c r="BS11" s="4242" t="str">
        <f>IF(BM10=0,"",VLOOKUP(BM10,'Tablas psiquica'!$D$7:$R$296,3,FALSE))</f>
        <v/>
      </c>
      <c r="BT11" s="982"/>
      <c r="BU11" s="8500" t="str">
        <f>IF(BU10=0,"",VLOOKUP(BU10,'Tablas psiquica'!$D$7:$R$296,2,FALSE))</f>
        <v/>
      </c>
      <c r="BV11" s="8501"/>
      <c r="BW11" s="8501"/>
      <c r="BX11" s="8502"/>
      <c r="BY11" s="8498" t="str" cm="1">
        <f t="array" ref="BY11">IF(BU10=0,"",IF(INDEX('Tablas psiquica'!$AU$5:$BS$5,1,CA7)=0,"No Accesible",IF(ISNA(VLOOKUP(BU10,Psíquicos!$AS$17:$AS$44,1,0)),"Accesible CV","Aprendido")))</f>
        <v/>
      </c>
      <c r="BZ11" s="8499"/>
      <c r="CA11" s="4242" t="str">
        <f>IF(BU10=0,"",VLOOKUP(BU10,'Tablas psiquica'!$D$7:$R$296,3,FALSE))</f>
        <v/>
      </c>
      <c r="CB11" s="4232"/>
      <c r="CC11" s="360"/>
      <c r="CD11" s="360"/>
      <c r="CE11" s="982"/>
      <c r="CF11" s="8500" t="str">
        <f>IF(CF10=0,"",VLOOKUP(CF10,'Tablas psiquica'!$D$7:$R$296,2,FALSE))</f>
        <v/>
      </c>
      <c r="CG11" s="8501"/>
      <c r="CH11" s="8501"/>
      <c r="CI11" s="8502"/>
      <c r="CJ11" s="8498" t="str" cm="1">
        <f t="array" ref="CJ11">IF(CF10=0,"",IF(INDEX('Tablas psiquica'!$AU$5:$BS$5,1,DB7)=0,"No Accesible",IF(ISNA(VLOOKUP(CF10,Psíquicos!$AS$17:$AS$44,1,0)),"Accesible CV","Aprendido")))</f>
        <v/>
      </c>
      <c r="CK11" s="8499"/>
      <c r="CL11" s="4242" t="str">
        <f>IF(CF10=0,"",VLOOKUP(CF10,'Tablas psiquica'!$D$7:$R$296,3,FALSE))</f>
        <v/>
      </c>
      <c r="CM11" s="607"/>
      <c r="CN11" s="8500" t="str">
        <f>IF(CN10=0,"",VLOOKUP(CN10,'Tablas psiquica'!$D$7:$R$296,2,FALSE))</f>
        <v/>
      </c>
      <c r="CO11" s="8501"/>
      <c r="CP11" s="8501"/>
      <c r="CQ11" s="8502"/>
      <c r="CR11" s="8498" t="str" cm="1">
        <f t="array" ref="CR11">IF(CN10=0,"",IF(INDEX('Tablas psiquica'!$AU$5:$BS$5,1,DB7)=0,"No Accesible",IF(ISNA(VLOOKUP(CN10,Psíquicos!$AS$17:$AS$44,1,0)),"Accesible CV","Aprendido")))</f>
        <v/>
      </c>
      <c r="CS11" s="8499"/>
      <c r="CT11" s="4242" t="str">
        <f>IF(CN10=0,"",VLOOKUP(CN10,'Tablas psiquica'!$D$7:$R$296,3,FALSE))</f>
        <v/>
      </c>
      <c r="CU11" s="982"/>
      <c r="CV11" s="8500" t="str">
        <f>IF(CV10=0,"",VLOOKUP(CV10,'Tablas psiquica'!$D$7:$R$296,2,FALSE))</f>
        <v/>
      </c>
      <c r="CW11" s="8501"/>
      <c r="CX11" s="8501"/>
      <c r="CY11" s="8502"/>
      <c r="CZ11" s="8498" t="str" cm="1">
        <f t="array" ref="CZ11">IF(CV10=0,"",IF(INDEX('Tablas psiquica'!$AU$5:$BS$5,1,DB7)=0,"No Accesible",IF(ISNA(VLOOKUP(CV10,Psíquicos!$AS$17:$AS$44,1,0)),"Accesible CV","Aprendido")))</f>
        <v/>
      </c>
      <c r="DA11" s="8499"/>
      <c r="DB11" s="4242" t="str">
        <f>IF(CV10=0,"",VLOOKUP(CV10,'Tablas psiquica'!$D$7:$R$296,3,FALSE))</f>
        <v/>
      </c>
      <c r="DC11" s="4232"/>
      <c r="DD11" s="360"/>
    </row>
    <row r="12" spans="1:108" ht="12" customHeight="1">
      <c r="A12" s="360"/>
      <c r="B12" s="982"/>
      <c r="C12" s="1455">
        <v>20</v>
      </c>
      <c r="D12" s="8477" t="s">
        <v>1577</v>
      </c>
      <c r="E12" s="8392"/>
      <c r="F12" s="8475" t="str">
        <f>IF(C10=0,"",VLOOKUP(C10,'Tablas psiquica'!$D$7:$R$296,6,FALSE))</f>
        <v/>
      </c>
      <c r="G12" s="7145"/>
      <c r="H12" s="7145"/>
      <c r="I12" s="8476"/>
      <c r="J12" s="607"/>
      <c r="K12" s="1455">
        <v>20</v>
      </c>
      <c r="L12" s="8477" t="s">
        <v>1577</v>
      </c>
      <c r="M12" s="8392"/>
      <c r="N12" s="8475" t="str">
        <f>IF(K10=0,"",VLOOKUP(K10,'Tablas psiquica'!$D$7:$R$296,6,FALSE))</f>
        <v/>
      </c>
      <c r="O12" s="7145"/>
      <c r="P12" s="7145"/>
      <c r="Q12" s="8476"/>
      <c r="R12" s="982"/>
      <c r="S12" s="1455">
        <v>20</v>
      </c>
      <c r="T12" s="8477" t="s">
        <v>1577</v>
      </c>
      <c r="U12" s="8392"/>
      <c r="V12" s="8475" t="str">
        <f>IF(S10=0,"",VLOOKUP(S10,'Tablas psiquica'!$D$7:$R$296,6,FALSE))</f>
        <v/>
      </c>
      <c r="W12" s="7145"/>
      <c r="X12" s="7145"/>
      <c r="Y12" s="8476"/>
      <c r="Z12" s="4232"/>
      <c r="AA12" s="360"/>
      <c r="AB12" s="360"/>
      <c r="AC12" s="982"/>
      <c r="AD12" s="1455">
        <v>20</v>
      </c>
      <c r="AE12" s="8477" t="s">
        <v>1577</v>
      </c>
      <c r="AF12" s="8392"/>
      <c r="AG12" s="8475" t="str">
        <f>IF(AD10=0,"",VLOOKUP(AD10,'Tablas psiquica'!$D$7:$R$296,6,FALSE))</f>
        <v>Fatiga 6</v>
      </c>
      <c r="AH12" s="7145"/>
      <c r="AI12" s="7145"/>
      <c r="AJ12" s="8476"/>
      <c r="AK12" s="607"/>
      <c r="AL12" s="1455">
        <v>20</v>
      </c>
      <c r="AM12" s="8477" t="s">
        <v>1577</v>
      </c>
      <c r="AN12" s="8392"/>
      <c r="AO12" s="8475" t="str">
        <f>IF(AL10=0,"",VLOOKUP(AL10,'Tablas psiquica'!$D$7:$R$296,6,FALSE))</f>
        <v>Fatiga 1</v>
      </c>
      <c r="AP12" s="7145"/>
      <c r="AQ12" s="7145"/>
      <c r="AR12" s="8476"/>
      <c r="AS12" s="982"/>
      <c r="AT12" s="1455">
        <v>20</v>
      </c>
      <c r="AU12" s="8477" t="s">
        <v>1577</v>
      </c>
      <c r="AV12" s="8392"/>
      <c r="AW12" s="8475" t="str">
        <f>IF(AT10=0,"",VLOOKUP(AT10,'Tablas psiquica'!$D$7:$R$296,6,FALSE))</f>
        <v>Fatiga 2</v>
      </c>
      <c r="AX12" s="7145"/>
      <c r="AY12" s="7145"/>
      <c r="AZ12" s="8476"/>
      <c r="BA12" s="4232"/>
      <c r="BB12" s="360"/>
      <c r="BC12" s="360"/>
      <c r="BD12" s="982"/>
      <c r="BE12" s="1455">
        <v>20</v>
      </c>
      <c r="BF12" s="8477" t="s">
        <v>1577</v>
      </c>
      <c r="BG12" s="8392"/>
      <c r="BH12" s="8475" t="str">
        <f>IF(BE10=0,"",VLOOKUP(BE10,'Tablas psiquica'!$D$7:$R$296,6,FALSE))</f>
        <v/>
      </c>
      <c r="BI12" s="7145"/>
      <c r="BJ12" s="7145"/>
      <c r="BK12" s="8476"/>
      <c r="BL12" s="607"/>
      <c r="BM12" s="1455">
        <v>20</v>
      </c>
      <c r="BN12" s="8477" t="s">
        <v>1577</v>
      </c>
      <c r="BO12" s="8392"/>
      <c r="BP12" s="8475" t="str">
        <f>IF(BM10=0,"",VLOOKUP(BM10,'Tablas psiquica'!$D$7:$R$296,6,FALSE))</f>
        <v/>
      </c>
      <c r="BQ12" s="7145"/>
      <c r="BR12" s="7145"/>
      <c r="BS12" s="8476"/>
      <c r="BT12" s="982"/>
      <c r="BU12" s="1455">
        <v>20</v>
      </c>
      <c r="BV12" s="8477" t="s">
        <v>1577</v>
      </c>
      <c r="BW12" s="8392"/>
      <c r="BX12" s="8475" t="str">
        <f>IF(BU10=0,"",VLOOKUP(BU10,'Tablas psiquica'!$D$7:$R$296,6,FALSE))</f>
        <v/>
      </c>
      <c r="BY12" s="7145"/>
      <c r="BZ12" s="7145"/>
      <c r="CA12" s="8476"/>
      <c r="CB12" s="4232"/>
      <c r="CC12" s="360"/>
      <c r="CD12" s="360"/>
      <c r="CE12" s="982"/>
      <c r="CF12" s="1455">
        <v>20</v>
      </c>
      <c r="CG12" s="8477" t="s">
        <v>1577</v>
      </c>
      <c r="CH12" s="8392"/>
      <c r="CI12" s="8475" t="str">
        <f>IF(CF10=0,"",VLOOKUP(CF10,'Tablas psiquica'!$D$7:$R$296,6,FALSE))</f>
        <v/>
      </c>
      <c r="CJ12" s="7145"/>
      <c r="CK12" s="7145"/>
      <c r="CL12" s="8476"/>
      <c r="CM12" s="607"/>
      <c r="CN12" s="1455">
        <v>20</v>
      </c>
      <c r="CO12" s="8477" t="s">
        <v>1577</v>
      </c>
      <c r="CP12" s="8392"/>
      <c r="CQ12" s="8475" t="str">
        <f>IF(CN10=0,"",VLOOKUP(CN10,'Tablas psiquica'!$D$7:$R$296,6,FALSE))</f>
        <v/>
      </c>
      <c r="CR12" s="7145"/>
      <c r="CS12" s="7145"/>
      <c r="CT12" s="8476"/>
      <c r="CU12" s="982"/>
      <c r="CV12" s="1455">
        <v>20</v>
      </c>
      <c r="CW12" s="8477" t="s">
        <v>1577</v>
      </c>
      <c r="CX12" s="8392"/>
      <c r="CY12" s="8475" t="str">
        <f>IF(CV10=0,"",VLOOKUP(CV10,'Tablas psiquica'!$D$7:$R$296,6,FALSE))</f>
        <v/>
      </c>
      <c r="CZ12" s="7145"/>
      <c r="DA12" s="7145"/>
      <c r="DB12" s="8476"/>
      <c r="DC12" s="4232"/>
      <c r="DD12" s="360"/>
    </row>
    <row r="13" spans="1:108" ht="12" customHeight="1">
      <c r="A13" s="360"/>
      <c r="B13" s="982"/>
      <c r="C13" s="1454">
        <v>40</v>
      </c>
      <c r="D13" s="8472" t="s">
        <v>1579</v>
      </c>
      <c r="E13" s="8387"/>
      <c r="F13" s="8473" t="str">
        <f>IF(C10=0,"",VLOOKUP(C10,'Tablas psiquica'!$D$7:$R$296,7,FALSE))</f>
        <v/>
      </c>
      <c r="G13" s="8258"/>
      <c r="H13" s="8258"/>
      <c r="I13" s="8474"/>
      <c r="J13" s="607"/>
      <c r="K13" s="1454">
        <v>40</v>
      </c>
      <c r="L13" s="8472" t="s">
        <v>1579</v>
      </c>
      <c r="M13" s="8387"/>
      <c r="N13" s="8473" t="str">
        <f>IF(K10=0,"",VLOOKUP(K10,'Tablas psiquica'!$D$7:$R$296,7,FALSE))</f>
        <v/>
      </c>
      <c r="O13" s="8258"/>
      <c r="P13" s="8258"/>
      <c r="Q13" s="8474"/>
      <c r="R13" s="982"/>
      <c r="S13" s="1454">
        <v>40</v>
      </c>
      <c r="T13" s="8472" t="s">
        <v>1579</v>
      </c>
      <c r="U13" s="8387"/>
      <c r="V13" s="8473" t="str">
        <f>IF(S10=0,"",VLOOKUP(S10,'Tablas psiquica'!$D$7:$R$296,7,FALSE))</f>
        <v/>
      </c>
      <c r="W13" s="8258"/>
      <c r="X13" s="8258"/>
      <c r="Y13" s="8474"/>
      <c r="Z13" s="4232"/>
      <c r="AA13" s="360"/>
      <c r="AB13" s="360"/>
      <c r="AC13" s="982"/>
      <c r="AD13" s="1454">
        <v>40</v>
      </c>
      <c r="AE13" s="8472" t="s">
        <v>1579</v>
      </c>
      <c r="AF13" s="8387"/>
      <c r="AG13" s="8473" t="str">
        <f>IF(AD10=0,"",VLOOKUP(AD10,'Tablas psiquica'!$D$7:$R$296,7,FALSE))</f>
        <v>Fatiga 4</v>
      </c>
      <c r="AH13" s="8258"/>
      <c r="AI13" s="8258"/>
      <c r="AJ13" s="8474"/>
      <c r="AK13" s="607"/>
      <c r="AL13" s="1454">
        <v>40</v>
      </c>
      <c r="AM13" s="8472" t="s">
        <v>1579</v>
      </c>
      <c r="AN13" s="8387"/>
      <c r="AO13" s="8473" t="str">
        <f>IF(AL10=0,"",VLOOKUP(AL10,'Tablas psiquica'!$D$7:$R$296,7,FALSE))</f>
        <v>10m / Ver matrices activas</v>
      </c>
      <c r="AP13" s="8258"/>
      <c r="AQ13" s="8258"/>
      <c r="AR13" s="8474"/>
      <c r="AS13" s="982"/>
      <c r="AT13" s="1454">
        <v>40</v>
      </c>
      <c r="AU13" s="8472" t="s">
        <v>1579</v>
      </c>
      <c r="AV13" s="8387"/>
      <c r="AW13" s="8473" t="str">
        <f>IF(AT10=0,"",VLOOKUP(AT10,'Tablas psiquica'!$D$7:$R$296,7,FALSE))</f>
        <v>Fatiga 1</v>
      </c>
      <c r="AX13" s="8258"/>
      <c r="AY13" s="8258"/>
      <c r="AZ13" s="8474"/>
      <c r="BA13" s="4232"/>
      <c r="BB13" s="360"/>
      <c r="BC13" s="360"/>
      <c r="BD13" s="982"/>
      <c r="BE13" s="1454">
        <v>40</v>
      </c>
      <c r="BF13" s="8472" t="s">
        <v>1579</v>
      </c>
      <c r="BG13" s="8387"/>
      <c r="BH13" s="8473" t="str">
        <f>IF(BE10=0,"",VLOOKUP(BE10,'Tablas psiquica'!$D$7:$R$296,7,FALSE))</f>
        <v/>
      </c>
      <c r="BI13" s="8258"/>
      <c r="BJ13" s="8258"/>
      <c r="BK13" s="8474"/>
      <c r="BL13" s="607"/>
      <c r="BM13" s="1454">
        <v>40</v>
      </c>
      <c r="BN13" s="8472" t="s">
        <v>1579</v>
      </c>
      <c r="BO13" s="8387"/>
      <c r="BP13" s="8473" t="str">
        <f>IF(BM10=0,"",VLOOKUP(BM10,'Tablas psiquica'!$D$7:$R$296,7,FALSE))</f>
        <v/>
      </c>
      <c r="BQ13" s="8258"/>
      <c r="BR13" s="8258"/>
      <c r="BS13" s="8474"/>
      <c r="BT13" s="982"/>
      <c r="BU13" s="1454">
        <v>40</v>
      </c>
      <c r="BV13" s="8472" t="s">
        <v>1579</v>
      </c>
      <c r="BW13" s="8387"/>
      <c r="BX13" s="8473" t="str">
        <f>IF(BU10=0,"",VLOOKUP(BU10,'Tablas psiquica'!$D$7:$R$296,7,FALSE))</f>
        <v/>
      </c>
      <c r="BY13" s="8258"/>
      <c r="BZ13" s="8258"/>
      <c r="CA13" s="8474"/>
      <c r="CB13" s="4232"/>
      <c r="CC13" s="360"/>
      <c r="CD13" s="360"/>
      <c r="CE13" s="982"/>
      <c r="CF13" s="1454">
        <v>40</v>
      </c>
      <c r="CG13" s="8472" t="s">
        <v>1579</v>
      </c>
      <c r="CH13" s="8387"/>
      <c r="CI13" s="8473" t="str">
        <f>IF(CF10=0,"",VLOOKUP(CF10,'Tablas psiquica'!$D$7:$R$296,7,FALSE))</f>
        <v/>
      </c>
      <c r="CJ13" s="8258"/>
      <c r="CK13" s="8258"/>
      <c r="CL13" s="8474"/>
      <c r="CM13" s="607"/>
      <c r="CN13" s="1454">
        <v>40</v>
      </c>
      <c r="CO13" s="8472" t="s">
        <v>1579</v>
      </c>
      <c r="CP13" s="8387"/>
      <c r="CQ13" s="8473" t="str">
        <f>IF(CN10=0,"",VLOOKUP(CN10,'Tablas psiquica'!$D$7:$R$296,7,FALSE))</f>
        <v/>
      </c>
      <c r="CR13" s="8258"/>
      <c r="CS13" s="8258"/>
      <c r="CT13" s="8474"/>
      <c r="CU13" s="982"/>
      <c r="CV13" s="1454">
        <v>40</v>
      </c>
      <c r="CW13" s="8472" t="s">
        <v>1579</v>
      </c>
      <c r="CX13" s="8387"/>
      <c r="CY13" s="8473" t="str">
        <f>IF(CV10=0,"",VLOOKUP(CV10,'Tablas psiquica'!$D$7:$R$296,7,FALSE))</f>
        <v/>
      </c>
      <c r="CZ13" s="8258"/>
      <c r="DA13" s="8258"/>
      <c r="DB13" s="8474"/>
      <c r="DC13" s="4232"/>
      <c r="DD13" s="360"/>
    </row>
    <row r="14" spans="1:108" ht="12" customHeight="1">
      <c r="A14" s="360"/>
      <c r="B14" s="982"/>
      <c r="C14" s="1455">
        <v>80</v>
      </c>
      <c r="D14" s="8477" t="s">
        <v>1582</v>
      </c>
      <c r="E14" s="8392"/>
      <c r="F14" s="8475" t="str">
        <f>IF(C10=0,"",VLOOKUP(C10,'Tablas psiquica'!$D$7:$R$296,8,FALSE))</f>
        <v/>
      </c>
      <c r="G14" s="7145"/>
      <c r="H14" s="7145"/>
      <c r="I14" s="8476"/>
      <c r="J14" s="607"/>
      <c r="K14" s="1455">
        <v>80</v>
      </c>
      <c r="L14" s="8477" t="s">
        <v>1582</v>
      </c>
      <c r="M14" s="8392"/>
      <c r="N14" s="8475" t="str">
        <f>IF(K10=0,"",VLOOKUP(K10,'Tablas psiquica'!$D$7:$R$296,8,FALSE))</f>
        <v/>
      </c>
      <c r="O14" s="7145"/>
      <c r="P14" s="7145"/>
      <c r="Q14" s="8476"/>
      <c r="R14" s="982"/>
      <c r="S14" s="1455">
        <v>80</v>
      </c>
      <c r="T14" s="8477" t="s">
        <v>1582</v>
      </c>
      <c r="U14" s="8392"/>
      <c r="V14" s="8475" t="str">
        <f>IF(S10=0,"",VLOOKUP(S10,'Tablas psiquica'!$D$7:$R$296,8,FALSE))</f>
        <v/>
      </c>
      <c r="W14" s="7145"/>
      <c r="X14" s="7145"/>
      <c r="Y14" s="8476"/>
      <c r="Z14" s="4232"/>
      <c r="AA14" s="360"/>
      <c r="AB14" s="360"/>
      <c r="AC14" s="982"/>
      <c r="AD14" s="1455">
        <v>80</v>
      </c>
      <c r="AE14" s="8477" t="s">
        <v>1582</v>
      </c>
      <c r="AF14" s="8392"/>
      <c r="AG14" s="8475" t="str">
        <f>IF(AD10=0,"",VLOOKUP(AD10,'Tablas psiquica'!$D$7:$R$296,8,FALSE))</f>
        <v>Fatiga 2</v>
      </c>
      <c r="AH14" s="7145"/>
      <c r="AI14" s="7145"/>
      <c r="AJ14" s="8476"/>
      <c r="AK14" s="607"/>
      <c r="AL14" s="1455">
        <v>80</v>
      </c>
      <c r="AM14" s="8477" t="s">
        <v>1582</v>
      </c>
      <c r="AN14" s="8392"/>
      <c r="AO14" s="8475" t="str">
        <f>IF(AL10=0,"",VLOOKUP(AL10,'Tablas psiquica'!$D$7:$R$296,8,FALSE))</f>
        <v>25m / Detecta poder latente</v>
      </c>
      <c r="AP14" s="7145"/>
      <c r="AQ14" s="7145"/>
      <c r="AR14" s="8476"/>
      <c r="AS14" s="982"/>
      <c r="AT14" s="1455">
        <v>80</v>
      </c>
      <c r="AU14" s="8477" t="s">
        <v>1582</v>
      </c>
      <c r="AV14" s="8392"/>
      <c r="AW14" s="8475" t="str">
        <f>IF(AT10=0,"",VLOOKUP(AT10,'Tablas psiquica'!$D$7:$R$296,8,FALSE))</f>
        <v xml:space="preserve"> -2 grados de dificultad</v>
      </c>
      <c r="AX14" s="7145"/>
      <c r="AY14" s="7145"/>
      <c r="AZ14" s="8476"/>
      <c r="BA14" s="4232"/>
      <c r="BB14" s="360"/>
      <c r="BC14" s="360"/>
      <c r="BD14" s="982"/>
      <c r="BE14" s="1455">
        <v>80</v>
      </c>
      <c r="BF14" s="8477" t="s">
        <v>1582</v>
      </c>
      <c r="BG14" s="8392"/>
      <c r="BH14" s="8475" t="str">
        <f>IF(BE10=0,"",VLOOKUP(BE10,'Tablas psiquica'!$D$7:$R$296,8,FALSE))</f>
        <v/>
      </c>
      <c r="BI14" s="7145"/>
      <c r="BJ14" s="7145"/>
      <c r="BK14" s="8476"/>
      <c r="BL14" s="607"/>
      <c r="BM14" s="1455">
        <v>80</v>
      </c>
      <c r="BN14" s="8477" t="s">
        <v>1582</v>
      </c>
      <c r="BO14" s="8392"/>
      <c r="BP14" s="8475" t="str">
        <f>IF(BM10=0,"",VLOOKUP(BM10,'Tablas psiquica'!$D$7:$R$296,8,FALSE))</f>
        <v/>
      </c>
      <c r="BQ14" s="7145"/>
      <c r="BR14" s="7145"/>
      <c r="BS14" s="8476"/>
      <c r="BT14" s="982"/>
      <c r="BU14" s="1455">
        <v>80</v>
      </c>
      <c r="BV14" s="8477" t="s">
        <v>1582</v>
      </c>
      <c r="BW14" s="8392"/>
      <c r="BX14" s="8475" t="str">
        <f>IF(BU10=0,"",VLOOKUP(BU10,'Tablas psiquica'!$D$7:$R$296,8,FALSE))</f>
        <v/>
      </c>
      <c r="BY14" s="7145"/>
      <c r="BZ14" s="7145"/>
      <c r="CA14" s="8476"/>
      <c r="CB14" s="4232"/>
      <c r="CC14" s="360"/>
      <c r="CD14" s="360"/>
      <c r="CE14" s="982"/>
      <c r="CF14" s="1455">
        <v>80</v>
      </c>
      <c r="CG14" s="8477" t="s">
        <v>1582</v>
      </c>
      <c r="CH14" s="8392"/>
      <c r="CI14" s="8475" t="str">
        <f>IF(CF10=0,"",VLOOKUP(CF10,'Tablas psiquica'!$D$7:$R$296,8,FALSE))</f>
        <v/>
      </c>
      <c r="CJ14" s="7145"/>
      <c r="CK14" s="7145"/>
      <c r="CL14" s="8476"/>
      <c r="CM14" s="607"/>
      <c r="CN14" s="1455">
        <v>80</v>
      </c>
      <c r="CO14" s="8477" t="s">
        <v>1582</v>
      </c>
      <c r="CP14" s="8392"/>
      <c r="CQ14" s="8475" t="str">
        <f>IF(CN10=0,"",VLOOKUP(CN10,'Tablas psiquica'!$D$7:$R$296,8,FALSE))</f>
        <v/>
      </c>
      <c r="CR14" s="7145"/>
      <c r="CS14" s="7145"/>
      <c r="CT14" s="8476"/>
      <c r="CU14" s="982"/>
      <c r="CV14" s="1455">
        <v>80</v>
      </c>
      <c r="CW14" s="8477" t="s">
        <v>1582</v>
      </c>
      <c r="CX14" s="8392"/>
      <c r="CY14" s="8475" t="str">
        <f>IF(CV10=0,"",VLOOKUP(CV10,'Tablas psiquica'!$D$7:$R$296,8,FALSE))</f>
        <v/>
      </c>
      <c r="CZ14" s="7145"/>
      <c r="DA14" s="7145"/>
      <c r="DB14" s="8476"/>
      <c r="DC14" s="4232"/>
      <c r="DD14" s="360"/>
    </row>
    <row r="15" spans="1:108" ht="12" customHeight="1">
      <c r="A15" s="360"/>
      <c r="B15" s="982"/>
      <c r="C15" s="1454">
        <v>120</v>
      </c>
      <c r="D15" s="8472" t="s">
        <v>1585</v>
      </c>
      <c r="E15" s="8387"/>
      <c r="F15" s="8473" t="str">
        <f>IF(C10=0,"",VLOOKUP(C10,'Tablas psiquica'!$D$7:$R$296,9,FALSE))</f>
        <v/>
      </c>
      <c r="G15" s="8258"/>
      <c r="H15" s="8258"/>
      <c r="I15" s="8474"/>
      <c r="J15" s="607"/>
      <c r="K15" s="1454">
        <v>120</v>
      </c>
      <c r="L15" s="8472" t="s">
        <v>1585</v>
      </c>
      <c r="M15" s="8387"/>
      <c r="N15" s="8473" t="str">
        <f>IF(K10=0,"",VLOOKUP(K10,'Tablas psiquica'!$D$7:$R$296,9,FALSE))</f>
        <v/>
      </c>
      <c r="O15" s="8258"/>
      <c r="P15" s="8258"/>
      <c r="Q15" s="8474"/>
      <c r="R15" s="982"/>
      <c r="S15" s="1454">
        <v>120</v>
      </c>
      <c r="T15" s="8472" t="s">
        <v>1585</v>
      </c>
      <c r="U15" s="8387"/>
      <c r="V15" s="8473" t="str">
        <f>IF(S10=0,"",VLOOKUP(S10,'Tablas psiquica'!$D$7:$R$296,9,FALSE))</f>
        <v/>
      </c>
      <c r="W15" s="8258"/>
      <c r="X15" s="8258"/>
      <c r="Y15" s="8474"/>
      <c r="Z15" s="4232"/>
      <c r="AA15" s="360"/>
      <c r="AB15" s="360"/>
      <c r="AC15" s="982"/>
      <c r="AD15" s="1454">
        <v>120</v>
      </c>
      <c r="AE15" s="8472" t="s">
        <v>1585</v>
      </c>
      <c r="AF15" s="8387"/>
      <c r="AG15" s="8473" t="str">
        <f>IF(AD10=0,"",VLOOKUP(AD10,'Tablas psiquica'!$D$7:$R$296,9,FALSE))</f>
        <v>Poderes de nivel Medio</v>
      </c>
      <c r="AH15" s="8258"/>
      <c r="AI15" s="8258"/>
      <c r="AJ15" s="8474"/>
      <c r="AK15" s="607"/>
      <c r="AL15" s="1454">
        <v>120</v>
      </c>
      <c r="AM15" s="8472" t="s">
        <v>1585</v>
      </c>
      <c r="AN15" s="8387"/>
      <c r="AO15" s="8473" t="str">
        <f>IF(AL10=0,"",VLOOKUP(AL10,'Tablas psiquica'!$D$7:$R$296,9,FALSE))</f>
        <v>50m / Reconocer poder</v>
      </c>
      <c r="AP15" s="8258"/>
      <c r="AQ15" s="8258"/>
      <c r="AR15" s="8474"/>
      <c r="AS15" s="982"/>
      <c r="AT15" s="1454">
        <v>120</v>
      </c>
      <c r="AU15" s="8472" t="s">
        <v>1585</v>
      </c>
      <c r="AV15" s="8387"/>
      <c r="AW15" s="8473" t="str">
        <f>IF(AT10=0,"",VLOOKUP(AT10,'Tablas psiquica'!$D$7:$R$296,9,FALSE))</f>
        <v xml:space="preserve"> -3 grados de dificultad</v>
      </c>
      <c r="AX15" s="8258"/>
      <c r="AY15" s="8258"/>
      <c r="AZ15" s="8474"/>
      <c r="BA15" s="4232"/>
      <c r="BB15" s="360"/>
      <c r="BC15" s="360"/>
      <c r="BD15" s="982"/>
      <c r="BE15" s="1454">
        <v>120</v>
      </c>
      <c r="BF15" s="8472" t="s">
        <v>1585</v>
      </c>
      <c r="BG15" s="8387"/>
      <c r="BH15" s="8473" t="str">
        <f>IF(BE10=0,"",VLOOKUP(BE10,'Tablas psiquica'!$D$7:$R$296,9,FALSE))</f>
        <v/>
      </c>
      <c r="BI15" s="8258"/>
      <c r="BJ15" s="8258"/>
      <c r="BK15" s="8474"/>
      <c r="BL15" s="607"/>
      <c r="BM15" s="1454">
        <v>120</v>
      </c>
      <c r="BN15" s="8472" t="s">
        <v>1585</v>
      </c>
      <c r="BO15" s="8387"/>
      <c r="BP15" s="8473" t="str">
        <f>IF(BM10=0,"",VLOOKUP(BM10,'Tablas psiquica'!$D$7:$R$296,9,FALSE))</f>
        <v/>
      </c>
      <c r="BQ15" s="8258"/>
      <c r="BR15" s="8258"/>
      <c r="BS15" s="8474"/>
      <c r="BT15" s="982"/>
      <c r="BU15" s="1454">
        <v>120</v>
      </c>
      <c r="BV15" s="8472" t="s">
        <v>1585</v>
      </c>
      <c r="BW15" s="8387"/>
      <c r="BX15" s="8473" t="str">
        <f>IF(BU10=0,"",VLOOKUP(BU10,'Tablas psiquica'!$D$7:$R$296,9,FALSE))</f>
        <v/>
      </c>
      <c r="BY15" s="8258"/>
      <c r="BZ15" s="8258"/>
      <c r="CA15" s="8474"/>
      <c r="CB15" s="4232"/>
      <c r="CC15" s="360"/>
      <c r="CD15" s="360"/>
      <c r="CE15" s="982"/>
      <c r="CF15" s="1454">
        <v>120</v>
      </c>
      <c r="CG15" s="8472" t="s">
        <v>1585</v>
      </c>
      <c r="CH15" s="8387"/>
      <c r="CI15" s="8473" t="str">
        <f>IF(CF10=0,"",VLOOKUP(CF10,'Tablas psiquica'!$D$7:$R$296,9,FALSE))</f>
        <v/>
      </c>
      <c r="CJ15" s="8258"/>
      <c r="CK15" s="8258"/>
      <c r="CL15" s="8474"/>
      <c r="CM15" s="607"/>
      <c r="CN15" s="1454">
        <v>120</v>
      </c>
      <c r="CO15" s="8472" t="s">
        <v>1585</v>
      </c>
      <c r="CP15" s="8387"/>
      <c r="CQ15" s="8473" t="str">
        <f>IF(CN10=0,"",VLOOKUP(CN10,'Tablas psiquica'!$D$7:$R$296,9,FALSE))</f>
        <v/>
      </c>
      <c r="CR15" s="8258"/>
      <c r="CS15" s="8258"/>
      <c r="CT15" s="8474"/>
      <c r="CU15" s="982"/>
      <c r="CV15" s="1454">
        <v>120</v>
      </c>
      <c r="CW15" s="8472" t="s">
        <v>1585</v>
      </c>
      <c r="CX15" s="8387"/>
      <c r="CY15" s="8473" t="str">
        <f>IF(CV10=0,"",VLOOKUP(CV10,'Tablas psiquica'!$D$7:$R$296,9,FALSE))</f>
        <v/>
      </c>
      <c r="CZ15" s="8258"/>
      <c r="DA15" s="8258"/>
      <c r="DB15" s="8474"/>
      <c r="DC15" s="4232"/>
      <c r="DD15" s="360"/>
    </row>
    <row r="16" spans="1:108" ht="12" customHeight="1">
      <c r="A16" s="360"/>
      <c r="B16" s="982"/>
      <c r="C16" s="1455">
        <v>140</v>
      </c>
      <c r="D16" s="8477" t="s">
        <v>5822</v>
      </c>
      <c r="E16" s="8392"/>
      <c r="F16" s="8475" t="str">
        <f>IF(C10=0,"",VLOOKUP(C10,'Tablas psiquica'!$D$7:$R$296,10,FALSE))</f>
        <v/>
      </c>
      <c r="G16" s="7145"/>
      <c r="H16" s="7145"/>
      <c r="I16" s="8476"/>
      <c r="J16" s="607"/>
      <c r="K16" s="1455">
        <v>140</v>
      </c>
      <c r="L16" s="8477" t="s">
        <v>5822</v>
      </c>
      <c r="M16" s="8392"/>
      <c r="N16" s="8475" t="str">
        <f>IF(K10=0,"",VLOOKUP(K10,'Tablas psiquica'!$D$7:$R$296,10,FALSE))</f>
        <v/>
      </c>
      <c r="O16" s="7145"/>
      <c r="P16" s="7145"/>
      <c r="Q16" s="8476"/>
      <c r="R16" s="982"/>
      <c r="S16" s="1455">
        <v>140</v>
      </c>
      <c r="T16" s="8477" t="s">
        <v>5822</v>
      </c>
      <c r="U16" s="8392"/>
      <c r="V16" s="8475" t="str">
        <f>IF(S10=0,"",VLOOKUP(S10,'Tablas psiquica'!$D$7:$R$296,10,FALSE))</f>
        <v/>
      </c>
      <c r="W16" s="7145"/>
      <c r="X16" s="7145"/>
      <c r="Y16" s="8476"/>
      <c r="Z16" s="4232"/>
      <c r="AA16" s="360"/>
      <c r="AB16" s="360"/>
      <c r="AC16" s="982"/>
      <c r="AD16" s="1455">
        <v>140</v>
      </c>
      <c r="AE16" s="8477" t="s">
        <v>5822</v>
      </c>
      <c r="AF16" s="8392"/>
      <c r="AG16" s="8475" t="str">
        <f>IF(AD10=0,"",VLOOKUP(AD10,'Tablas psiquica'!$D$7:$R$296,10,FALSE))</f>
        <v>Poderes de nivel Dificil</v>
      </c>
      <c r="AH16" s="7145"/>
      <c r="AI16" s="7145"/>
      <c r="AJ16" s="8476"/>
      <c r="AK16" s="607"/>
      <c r="AL16" s="1455">
        <v>140</v>
      </c>
      <c r="AM16" s="8477" t="s">
        <v>5822</v>
      </c>
      <c r="AN16" s="8392"/>
      <c r="AO16" s="8475" t="str">
        <f>IF(AL10=0,"",VLOOKUP(AL10,'Tablas psiquica'!$D$7:$R$296,10,FALSE))</f>
        <v>100 m</v>
      </c>
      <c r="AP16" s="7145"/>
      <c r="AQ16" s="7145"/>
      <c r="AR16" s="8476"/>
      <c r="AS16" s="982"/>
      <c r="AT16" s="1455">
        <v>140</v>
      </c>
      <c r="AU16" s="8477" t="s">
        <v>5822</v>
      </c>
      <c r="AV16" s="8392"/>
      <c r="AW16" s="8475" t="str">
        <f>IF(AT10=0,"",VLOOKUP(AT10,'Tablas psiquica'!$D$7:$R$296,10,FALSE))</f>
        <v xml:space="preserve"> -4 grados de dificultad</v>
      </c>
      <c r="AX16" s="7145"/>
      <c r="AY16" s="7145"/>
      <c r="AZ16" s="8476"/>
      <c r="BA16" s="4232"/>
      <c r="BB16" s="360"/>
      <c r="BC16" s="360"/>
      <c r="BD16" s="982"/>
      <c r="BE16" s="1455">
        <v>140</v>
      </c>
      <c r="BF16" s="8477" t="s">
        <v>5822</v>
      </c>
      <c r="BG16" s="8392"/>
      <c r="BH16" s="8475" t="str">
        <f>IF(BE10=0,"",VLOOKUP(BE10,'Tablas psiquica'!$D$7:$R$296,10,FALSE))</f>
        <v/>
      </c>
      <c r="BI16" s="7145"/>
      <c r="BJ16" s="7145"/>
      <c r="BK16" s="8476"/>
      <c r="BL16" s="607"/>
      <c r="BM16" s="1455">
        <v>140</v>
      </c>
      <c r="BN16" s="8477" t="s">
        <v>5822</v>
      </c>
      <c r="BO16" s="8392"/>
      <c r="BP16" s="8475" t="str">
        <f>IF(BM10=0,"",VLOOKUP(BM10,'Tablas psiquica'!$D$7:$R$296,10,FALSE))</f>
        <v/>
      </c>
      <c r="BQ16" s="7145"/>
      <c r="BR16" s="7145"/>
      <c r="BS16" s="8476"/>
      <c r="BT16" s="982"/>
      <c r="BU16" s="1455">
        <v>140</v>
      </c>
      <c r="BV16" s="8477" t="s">
        <v>5822</v>
      </c>
      <c r="BW16" s="8392"/>
      <c r="BX16" s="8475" t="str">
        <f>IF(BU10=0,"",VLOOKUP(BU10,'Tablas psiquica'!$D$7:$R$296,10,FALSE))</f>
        <v/>
      </c>
      <c r="BY16" s="7145"/>
      <c r="BZ16" s="7145"/>
      <c r="CA16" s="8476"/>
      <c r="CB16" s="4232"/>
      <c r="CC16" s="360"/>
      <c r="CD16" s="360"/>
      <c r="CE16" s="982"/>
      <c r="CF16" s="1455">
        <v>140</v>
      </c>
      <c r="CG16" s="8477" t="s">
        <v>5822</v>
      </c>
      <c r="CH16" s="8392"/>
      <c r="CI16" s="8475" t="str">
        <f>IF(CF10=0,"",VLOOKUP(CF10,'Tablas psiquica'!$D$7:$R$296,10,FALSE))</f>
        <v/>
      </c>
      <c r="CJ16" s="7145"/>
      <c r="CK16" s="7145"/>
      <c r="CL16" s="8476"/>
      <c r="CM16" s="607"/>
      <c r="CN16" s="1455">
        <v>140</v>
      </c>
      <c r="CO16" s="8477" t="s">
        <v>5822</v>
      </c>
      <c r="CP16" s="8392"/>
      <c r="CQ16" s="8475" t="str">
        <f>IF(CN10=0,"",VLOOKUP(CN10,'Tablas psiquica'!$D$7:$R$296,10,FALSE))</f>
        <v/>
      </c>
      <c r="CR16" s="7145"/>
      <c r="CS16" s="7145"/>
      <c r="CT16" s="8476"/>
      <c r="CU16" s="982"/>
      <c r="CV16" s="1455">
        <v>140</v>
      </c>
      <c r="CW16" s="8477" t="s">
        <v>5822</v>
      </c>
      <c r="CX16" s="8392"/>
      <c r="CY16" s="8475" t="str">
        <f>IF(CV10=0,"",VLOOKUP(CV10,'Tablas psiquica'!$D$7:$R$296,10,FALSE))</f>
        <v/>
      </c>
      <c r="CZ16" s="7145"/>
      <c r="DA16" s="7145"/>
      <c r="DB16" s="8476"/>
      <c r="DC16" s="4232"/>
      <c r="DD16" s="360"/>
    </row>
    <row r="17" spans="1:108" ht="12" customHeight="1">
      <c r="A17" s="360"/>
      <c r="B17" s="982"/>
      <c r="C17" s="1454">
        <v>180</v>
      </c>
      <c r="D17" s="8472" t="s">
        <v>1589</v>
      </c>
      <c r="E17" s="8387"/>
      <c r="F17" s="8473" t="str">
        <f>IF(C10=0,"",VLOOKUP(C10,'Tablas psiquica'!$D$7:$R$296,11,FALSE))</f>
        <v/>
      </c>
      <c r="G17" s="8258"/>
      <c r="H17" s="8258"/>
      <c r="I17" s="8474"/>
      <c r="J17" s="607"/>
      <c r="K17" s="1454">
        <v>180</v>
      </c>
      <c r="L17" s="8472" t="s">
        <v>1589</v>
      </c>
      <c r="M17" s="8387"/>
      <c r="N17" s="8473" t="str">
        <f>IF(K10=0,"",VLOOKUP(K10,'Tablas psiquica'!$D$7:$R$296,11,FALSE))</f>
        <v/>
      </c>
      <c r="O17" s="8258"/>
      <c r="P17" s="8258"/>
      <c r="Q17" s="8474"/>
      <c r="R17" s="982"/>
      <c r="S17" s="1454">
        <v>180</v>
      </c>
      <c r="T17" s="8472" t="s">
        <v>1589</v>
      </c>
      <c r="U17" s="8387"/>
      <c r="V17" s="8473" t="str">
        <f>IF(S10=0,"",VLOOKUP(S10,'Tablas psiquica'!$D$7:$R$296,11,FALSE))</f>
        <v/>
      </c>
      <c r="W17" s="8258"/>
      <c r="X17" s="8258"/>
      <c r="Y17" s="8474"/>
      <c r="Z17" s="4232"/>
      <c r="AA17" s="360"/>
      <c r="AB17" s="360"/>
      <c r="AC17" s="982"/>
      <c r="AD17" s="1454">
        <v>180</v>
      </c>
      <c r="AE17" s="8472" t="s">
        <v>1589</v>
      </c>
      <c r="AF17" s="8387"/>
      <c r="AG17" s="8473" t="str">
        <f>IF(AD10=0,"",VLOOKUP(AD10,'Tablas psiquica'!$D$7:$R$296,11,FALSE))</f>
        <v>Poderes de nivel Muy Dificil</v>
      </c>
      <c r="AH17" s="8258"/>
      <c r="AI17" s="8258"/>
      <c r="AJ17" s="8474"/>
      <c r="AK17" s="607"/>
      <c r="AL17" s="1454">
        <v>180</v>
      </c>
      <c r="AM17" s="8472" t="s">
        <v>1589</v>
      </c>
      <c r="AN17" s="8387"/>
      <c r="AO17" s="8473" t="str">
        <f>IF(AL10=0,"",VLOOKUP(AL10,'Tablas psiquica'!$D$7:$R$296,11,FALSE))</f>
        <v>250m Detecta disciplinas</v>
      </c>
      <c r="AP17" s="8258"/>
      <c r="AQ17" s="8258"/>
      <c r="AR17" s="8474"/>
      <c r="AS17" s="982"/>
      <c r="AT17" s="1454">
        <v>180</v>
      </c>
      <c r="AU17" s="8472" t="s">
        <v>1589</v>
      </c>
      <c r="AV17" s="8387"/>
      <c r="AW17" s="8473" t="str">
        <f>IF(AT10=0,"",VLOOKUP(AT10,'Tablas psiquica'!$D$7:$R$296,11,FALSE))</f>
        <v xml:space="preserve"> -5 grados de dificultad</v>
      </c>
      <c r="AX17" s="8258"/>
      <c r="AY17" s="8258"/>
      <c r="AZ17" s="8474"/>
      <c r="BA17" s="4232"/>
      <c r="BB17" s="360"/>
      <c r="BC17" s="360"/>
      <c r="BD17" s="982"/>
      <c r="BE17" s="1454">
        <v>180</v>
      </c>
      <c r="BF17" s="8472" t="s">
        <v>1589</v>
      </c>
      <c r="BG17" s="8387"/>
      <c r="BH17" s="8473" t="str">
        <f>IF(BE10=0,"",VLOOKUP(BE10,'Tablas psiquica'!$D$7:$R$296,11,FALSE))</f>
        <v/>
      </c>
      <c r="BI17" s="8258"/>
      <c r="BJ17" s="8258"/>
      <c r="BK17" s="8474"/>
      <c r="BL17" s="607"/>
      <c r="BM17" s="1454">
        <v>180</v>
      </c>
      <c r="BN17" s="8472" t="s">
        <v>1589</v>
      </c>
      <c r="BO17" s="8387"/>
      <c r="BP17" s="8473" t="str">
        <f>IF(BM10=0,"",VLOOKUP(BM10,'Tablas psiquica'!$D$7:$R$296,11,FALSE))</f>
        <v/>
      </c>
      <c r="BQ17" s="8258"/>
      <c r="BR17" s="8258"/>
      <c r="BS17" s="8474"/>
      <c r="BT17" s="982"/>
      <c r="BU17" s="1454">
        <v>180</v>
      </c>
      <c r="BV17" s="8472" t="s">
        <v>1589</v>
      </c>
      <c r="BW17" s="8387"/>
      <c r="BX17" s="8473" t="str">
        <f>IF(BU10=0,"",VLOOKUP(BU10,'Tablas psiquica'!$D$7:$R$296,11,FALSE))</f>
        <v/>
      </c>
      <c r="BY17" s="8258"/>
      <c r="BZ17" s="8258"/>
      <c r="CA17" s="8474"/>
      <c r="CB17" s="4232"/>
      <c r="CC17" s="360"/>
      <c r="CD17" s="360"/>
      <c r="CE17" s="982"/>
      <c r="CF17" s="1454">
        <v>180</v>
      </c>
      <c r="CG17" s="8472" t="s">
        <v>1589</v>
      </c>
      <c r="CH17" s="8387"/>
      <c r="CI17" s="8473" t="str">
        <f>IF(CF10=0,"",VLOOKUP(CF10,'Tablas psiquica'!$D$7:$R$296,11,FALSE))</f>
        <v/>
      </c>
      <c r="CJ17" s="8258"/>
      <c r="CK17" s="8258"/>
      <c r="CL17" s="8474"/>
      <c r="CM17" s="607"/>
      <c r="CN17" s="1454">
        <v>180</v>
      </c>
      <c r="CO17" s="8472" t="s">
        <v>1589</v>
      </c>
      <c r="CP17" s="8387"/>
      <c r="CQ17" s="8473" t="str">
        <f>IF(CN10=0,"",VLOOKUP(CN10,'Tablas psiquica'!$D$7:$R$296,11,FALSE))</f>
        <v/>
      </c>
      <c r="CR17" s="8258"/>
      <c r="CS17" s="8258"/>
      <c r="CT17" s="8474"/>
      <c r="CU17" s="982"/>
      <c r="CV17" s="1454">
        <v>180</v>
      </c>
      <c r="CW17" s="8472" t="s">
        <v>1589</v>
      </c>
      <c r="CX17" s="8387"/>
      <c r="CY17" s="8473" t="str">
        <f>IF(CV10=0,"",VLOOKUP(CV10,'Tablas psiquica'!$D$7:$R$296,11,FALSE))</f>
        <v/>
      </c>
      <c r="CZ17" s="8258"/>
      <c r="DA17" s="8258"/>
      <c r="DB17" s="8474"/>
      <c r="DC17" s="4232"/>
      <c r="DD17" s="360"/>
    </row>
    <row r="18" spans="1:108" ht="12" customHeight="1">
      <c r="A18" s="360"/>
      <c r="B18" s="982"/>
      <c r="C18" s="1455">
        <v>240</v>
      </c>
      <c r="D18" s="8477" t="s">
        <v>5823</v>
      </c>
      <c r="E18" s="8392"/>
      <c r="F18" s="8475" t="str">
        <f>IF(C10=0,"",VLOOKUP(C10,'Tablas psiquica'!$D$7:$R$296,12,FALSE))</f>
        <v/>
      </c>
      <c r="G18" s="7145"/>
      <c r="H18" s="7145"/>
      <c r="I18" s="8476"/>
      <c r="J18" s="607"/>
      <c r="K18" s="1455">
        <v>240</v>
      </c>
      <c r="L18" s="8477" t="s">
        <v>5823</v>
      </c>
      <c r="M18" s="8392"/>
      <c r="N18" s="8475" t="str">
        <f>IF(K10=0,"",VLOOKUP(K10,'Tablas psiquica'!$D$7:$R$296,12,FALSE))</f>
        <v/>
      </c>
      <c r="O18" s="7145"/>
      <c r="P18" s="7145"/>
      <c r="Q18" s="8476"/>
      <c r="R18" s="982"/>
      <c r="S18" s="1455">
        <v>240</v>
      </c>
      <c r="T18" s="8477" t="s">
        <v>5823</v>
      </c>
      <c r="U18" s="8392"/>
      <c r="V18" s="8475" t="str">
        <f>IF(S10=0,"",VLOOKUP(S10,'Tablas psiquica'!$D$7:$R$296,12,FALSE))</f>
        <v/>
      </c>
      <c r="W18" s="7145"/>
      <c r="X18" s="7145"/>
      <c r="Y18" s="8476"/>
      <c r="Z18" s="4232"/>
      <c r="AA18" s="360"/>
      <c r="AB18" s="360"/>
      <c r="AC18" s="982"/>
      <c r="AD18" s="1455">
        <v>240</v>
      </c>
      <c r="AE18" s="8477" t="s">
        <v>5823</v>
      </c>
      <c r="AF18" s="8392"/>
      <c r="AG18" s="8475" t="str">
        <f>IF(AD10=0,"",VLOOKUP(AD10,'Tablas psiquica'!$D$7:$R$296,12,FALSE))</f>
        <v>Poderes de nivel Absurdo</v>
      </c>
      <c r="AH18" s="7145"/>
      <c r="AI18" s="7145"/>
      <c r="AJ18" s="8476"/>
      <c r="AK18" s="607"/>
      <c r="AL18" s="1455">
        <v>240</v>
      </c>
      <c r="AM18" s="8477" t="s">
        <v>5823</v>
      </c>
      <c r="AN18" s="8392"/>
      <c r="AO18" s="8475" t="str">
        <f>IF(AL10=0,"",VLOOKUP(AL10,'Tablas psiquica'!$D$7:$R$296,12,FALSE))</f>
        <v>500m Mide potencial</v>
      </c>
      <c r="AP18" s="7145"/>
      <c r="AQ18" s="7145"/>
      <c r="AR18" s="8476"/>
      <c r="AS18" s="982"/>
      <c r="AT18" s="1455">
        <v>240</v>
      </c>
      <c r="AU18" s="8477" t="s">
        <v>5823</v>
      </c>
      <c r="AV18" s="8392"/>
      <c r="AW18" s="8475" t="str">
        <f>IF(AT10=0,"",VLOOKUP(AT10,'Tablas psiquica'!$D$7:$R$296,12,FALSE))</f>
        <v xml:space="preserve"> -6 grados de dificultad</v>
      </c>
      <c r="AX18" s="7145"/>
      <c r="AY18" s="7145"/>
      <c r="AZ18" s="8476"/>
      <c r="BA18" s="4232"/>
      <c r="BB18" s="360"/>
      <c r="BC18" s="360"/>
      <c r="BD18" s="982"/>
      <c r="BE18" s="1455">
        <v>240</v>
      </c>
      <c r="BF18" s="8477" t="s">
        <v>5823</v>
      </c>
      <c r="BG18" s="8392"/>
      <c r="BH18" s="8475" t="str">
        <f>IF(BE10=0,"",VLOOKUP(BE10,'Tablas psiquica'!$D$7:$R$296,12,FALSE))</f>
        <v/>
      </c>
      <c r="BI18" s="7145"/>
      <c r="BJ18" s="7145"/>
      <c r="BK18" s="8476"/>
      <c r="BL18" s="607"/>
      <c r="BM18" s="1455">
        <v>240</v>
      </c>
      <c r="BN18" s="8477" t="s">
        <v>5823</v>
      </c>
      <c r="BO18" s="8392"/>
      <c r="BP18" s="8475" t="str">
        <f>IF(BM10=0,"",VLOOKUP(BM10,'Tablas psiquica'!$D$7:$R$296,12,FALSE))</f>
        <v/>
      </c>
      <c r="BQ18" s="7145"/>
      <c r="BR18" s="7145"/>
      <c r="BS18" s="8476"/>
      <c r="BT18" s="982"/>
      <c r="BU18" s="1455">
        <v>240</v>
      </c>
      <c r="BV18" s="8477" t="s">
        <v>5823</v>
      </c>
      <c r="BW18" s="8392"/>
      <c r="BX18" s="8475" t="str">
        <f>IF(BU10=0,"",VLOOKUP(BU10,'Tablas psiquica'!$D$7:$R$296,12,FALSE))</f>
        <v/>
      </c>
      <c r="BY18" s="7145"/>
      <c r="BZ18" s="7145"/>
      <c r="CA18" s="8476"/>
      <c r="CB18" s="4232"/>
      <c r="CC18" s="360"/>
      <c r="CD18" s="360"/>
      <c r="CE18" s="982"/>
      <c r="CF18" s="1455">
        <v>240</v>
      </c>
      <c r="CG18" s="8477" t="s">
        <v>5823</v>
      </c>
      <c r="CH18" s="8392"/>
      <c r="CI18" s="8475" t="str">
        <f>IF(CF10=0,"",VLOOKUP(CF10,'Tablas psiquica'!$D$7:$R$296,12,FALSE))</f>
        <v/>
      </c>
      <c r="CJ18" s="7145"/>
      <c r="CK18" s="7145"/>
      <c r="CL18" s="8476"/>
      <c r="CM18" s="607"/>
      <c r="CN18" s="1455">
        <v>240</v>
      </c>
      <c r="CO18" s="8477" t="s">
        <v>5823</v>
      </c>
      <c r="CP18" s="8392"/>
      <c r="CQ18" s="8475" t="str">
        <f>IF(CN10=0,"",VLOOKUP(CN10,'Tablas psiquica'!$D$7:$R$296,12,FALSE))</f>
        <v/>
      </c>
      <c r="CR18" s="7145"/>
      <c r="CS18" s="7145"/>
      <c r="CT18" s="8476"/>
      <c r="CU18" s="982"/>
      <c r="CV18" s="1455">
        <v>240</v>
      </c>
      <c r="CW18" s="8477" t="s">
        <v>5823</v>
      </c>
      <c r="CX18" s="8392"/>
      <c r="CY18" s="8475" t="str">
        <f>IF(CV10=0,"",VLOOKUP(CV10,'Tablas psiquica'!$D$7:$R$296,12,FALSE))</f>
        <v/>
      </c>
      <c r="CZ18" s="7145"/>
      <c r="DA18" s="7145"/>
      <c r="DB18" s="8476"/>
      <c r="DC18" s="4232"/>
      <c r="DD18" s="360"/>
    </row>
    <row r="19" spans="1:108" ht="12" customHeight="1">
      <c r="A19" s="360"/>
      <c r="B19" s="982"/>
      <c r="C19" s="1454">
        <v>280</v>
      </c>
      <c r="D19" s="8472" t="s">
        <v>1592</v>
      </c>
      <c r="E19" s="8387"/>
      <c r="F19" s="8473" t="str">
        <f>IF(C10=0,"",VLOOKUP(C10,'Tablas psiquica'!$D$7:$R$296,13,FALSE))</f>
        <v/>
      </c>
      <c r="G19" s="8258"/>
      <c r="H19" s="8258"/>
      <c r="I19" s="8474"/>
      <c r="J19" s="607"/>
      <c r="K19" s="1454">
        <v>280</v>
      </c>
      <c r="L19" s="8472" t="s">
        <v>1592</v>
      </c>
      <c r="M19" s="8387"/>
      <c r="N19" s="8473" t="str">
        <f>IF(K10=0,"",VLOOKUP(K10,'Tablas psiquica'!$D$7:$R$296,13,FALSE))</f>
        <v/>
      </c>
      <c r="O19" s="8258"/>
      <c r="P19" s="8258"/>
      <c r="Q19" s="8474"/>
      <c r="R19" s="982"/>
      <c r="S19" s="1454">
        <v>280</v>
      </c>
      <c r="T19" s="8472" t="s">
        <v>1592</v>
      </c>
      <c r="U19" s="8387"/>
      <c r="V19" s="8473" t="str">
        <f>IF(S10=0,"",VLOOKUP(S10,'Tablas psiquica'!$D$7:$R$296,13,FALSE))</f>
        <v/>
      </c>
      <c r="W19" s="8258"/>
      <c r="X19" s="8258"/>
      <c r="Y19" s="8474"/>
      <c r="Z19" s="4232"/>
      <c r="AA19" s="360"/>
      <c r="AB19" s="360"/>
      <c r="AC19" s="982"/>
      <c r="AD19" s="1454">
        <v>280</v>
      </c>
      <c r="AE19" s="8472" t="s">
        <v>1592</v>
      </c>
      <c r="AF19" s="8387"/>
      <c r="AG19" s="8473" t="str">
        <f>IF(AD10=0,"",VLOOKUP(AD10,'Tablas psiquica'!$D$7:$R$296,13,FALSE))</f>
        <v>Poderes de nivel Casi Imposible</v>
      </c>
      <c r="AH19" s="8258"/>
      <c r="AI19" s="8258"/>
      <c r="AJ19" s="8474"/>
      <c r="AK19" s="607"/>
      <c r="AL19" s="1454">
        <v>280</v>
      </c>
      <c r="AM19" s="8472" t="s">
        <v>1592</v>
      </c>
      <c r="AN19" s="8387"/>
      <c r="AO19" s="8473" t="str">
        <f>IF(AL10=0,"",VLOOKUP(AL10,'Tablas psiquica'!$D$7:$R$296,13,FALSE))</f>
        <v xml:space="preserve">1km Detecta los CV libres </v>
      </c>
      <c r="AP19" s="8258"/>
      <c r="AQ19" s="8258"/>
      <c r="AR19" s="8474"/>
      <c r="AS19" s="982"/>
      <c r="AT19" s="1454">
        <v>280</v>
      </c>
      <c r="AU19" s="8472" t="s">
        <v>1592</v>
      </c>
      <c r="AV19" s="8387"/>
      <c r="AW19" s="8473" t="str">
        <f>IF(AT10=0,"",VLOOKUP(AT10,'Tablas psiquica'!$D$7:$R$296,13,FALSE))</f>
        <v xml:space="preserve"> -7 grados de dificultad</v>
      </c>
      <c r="AX19" s="8258"/>
      <c r="AY19" s="8258"/>
      <c r="AZ19" s="8474"/>
      <c r="BA19" s="4232"/>
      <c r="BB19" s="360"/>
      <c r="BC19" s="360"/>
      <c r="BD19" s="982"/>
      <c r="BE19" s="1454">
        <v>280</v>
      </c>
      <c r="BF19" s="8472" t="s">
        <v>1592</v>
      </c>
      <c r="BG19" s="8387"/>
      <c r="BH19" s="8473" t="str">
        <f>IF(BE10=0,"",VLOOKUP(BE10,'Tablas psiquica'!$D$7:$R$296,13,FALSE))</f>
        <v/>
      </c>
      <c r="BI19" s="8258"/>
      <c r="BJ19" s="8258"/>
      <c r="BK19" s="8474"/>
      <c r="BL19" s="607"/>
      <c r="BM19" s="1454">
        <v>280</v>
      </c>
      <c r="BN19" s="8472" t="s">
        <v>1592</v>
      </c>
      <c r="BO19" s="8387"/>
      <c r="BP19" s="8473" t="str">
        <f>IF(BM10=0,"",VLOOKUP(BM10,'Tablas psiquica'!$D$7:$R$296,13,FALSE))</f>
        <v/>
      </c>
      <c r="BQ19" s="8258"/>
      <c r="BR19" s="8258"/>
      <c r="BS19" s="8474"/>
      <c r="BT19" s="982"/>
      <c r="BU19" s="1454">
        <v>280</v>
      </c>
      <c r="BV19" s="8472" t="s">
        <v>1592</v>
      </c>
      <c r="BW19" s="8387"/>
      <c r="BX19" s="8473" t="str">
        <f>IF(BU10=0,"",VLOOKUP(BU10,'Tablas psiquica'!$D$7:$R$296,13,FALSE))</f>
        <v/>
      </c>
      <c r="BY19" s="8258"/>
      <c r="BZ19" s="8258"/>
      <c r="CA19" s="8474"/>
      <c r="CB19" s="4232"/>
      <c r="CC19" s="360"/>
      <c r="CD19" s="360"/>
      <c r="CE19" s="982"/>
      <c r="CF19" s="1454">
        <v>280</v>
      </c>
      <c r="CG19" s="8472" t="s">
        <v>1592</v>
      </c>
      <c r="CH19" s="8387"/>
      <c r="CI19" s="8473" t="str">
        <f>IF(CF10=0,"",VLOOKUP(CF10,'Tablas psiquica'!$D$7:$R$296,13,FALSE))</f>
        <v/>
      </c>
      <c r="CJ19" s="8258"/>
      <c r="CK19" s="8258"/>
      <c r="CL19" s="8474"/>
      <c r="CM19" s="607"/>
      <c r="CN19" s="1454">
        <v>280</v>
      </c>
      <c r="CO19" s="8472" t="s">
        <v>1592</v>
      </c>
      <c r="CP19" s="8387"/>
      <c r="CQ19" s="8473" t="str">
        <f>IF(CN10=0,"",VLOOKUP(CN10,'Tablas psiquica'!$D$7:$R$296,13,FALSE))</f>
        <v/>
      </c>
      <c r="CR19" s="8258"/>
      <c r="CS19" s="8258"/>
      <c r="CT19" s="8474"/>
      <c r="CU19" s="982"/>
      <c r="CV19" s="1454">
        <v>280</v>
      </c>
      <c r="CW19" s="8472" t="s">
        <v>1592</v>
      </c>
      <c r="CX19" s="8387"/>
      <c r="CY19" s="8473" t="str">
        <f>IF(CV10=0,"",VLOOKUP(CV10,'Tablas psiquica'!$D$7:$R$296,13,FALSE))</f>
        <v/>
      </c>
      <c r="CZ19" s="8258"/>
      <c r="DA19" s="8258"/>
      <c r="DB19" s="8474"/>
      <c r="DC19" s="4232"/>
      <c r="DD19" s="360"/>
    </row>
    <row r="20" spans="1:108" ht="12" customHeight="1">
      <c r="A20" s="360"/>
      <c r="B20" s="982"/>
      <c r="C20" s="1455">
        <v>320</v>
      </c>
      <c r="D20" s="8477" t="s">
        <v>1594</v>
      </c>
      <c r="E20" s="8392"/>
      <c r="F20" s="8475" t="str">
        <f>IF(C10=0,"",VLOOKUP(C10,'Tablas psiquica'!$D$7:$R$296,14,FALSE))</f>
        <v/>
      </c>
      <c r="G20" s="7145"/>
      <c r="H20" s="7145"/>
      <c r="I20" s="8476"/>
      <c r="J20" s="607"/>
      <c r="K20" s="1455">
        <v>320</v>
      </c>
      <c r="L20" s="8477" t="s">
        <v>1594</v>
      </c>
      <c r="M20" s="8392"/>
      <c r="N20" s="8475" t="str">
        <f>IF(K10=0,"",VLOOKUP(K10,'Tablas psiquica'!$D$7:$R$296,14,FALSE))</f>
        <v/>
      </c>
      <c r="O20" s="7145"/>
      <c r="P20" s="7145"/>
      <c r="Q20" s="8476"/>
      <c r="R20" s="982"/>
      <c r="S20" s="1455">
        <v>320</v>
      </c>
      <c r="T20" s="8477" t="s">
        <v>1594</v>
      </c>
      <c r="U20" s="8392"/>
      <c r="V20" s="8475" t="str">
        <f>IF(S10=0,"",VLOOKUP(S10,'Tablas psiquica'!$D$7:$R$296,14,FALSE))</f>
        <v/>
      </c>
      <c r="W20" s="7145"/>
      <c r="X20" s="7145"/>
      <c r="Y20" s="8476"/>
      <c r="Z20" s="4232"/>
      <c r="AA20" s="360"/>
      <c r="AB20" s="360"/>
      <c r="AC20" s="982"/>
      <c r="AD20" s="1455">
        <v>320</v>
      </c>
      <c r="AE20" s="8477" t="s">
        <v>1594</v>
      </c>
      <c r="AF20" s="8392"/>
      <c r="AG20" s="8475" t="str">
        <f>IF(AD10=0,"",VLOOKUP(AD10,'Tablas psiquica'!$D$7:$R$296,14,FALSE))</f>
        <v>Poderes de nivel Imposible</v>
      </c>
      <c r="AH20" s="7145"/>
      <c r="AI20" s="7145"/>
      <c r="AJ20" s="8476"/>
      <c r="AK20" s="607"/>
      <c r="AL20" s="1455">
        <v>320</v>
      </c>
      <c r="AM20" s="8477" t="s">
        <v>1594</v>
      </c>
      <c r="AN20" s="8392"/>
      <c r="AO20" s="8475" t="str">
        <f>IF(AL10=0,"",VLOOKUP(AL10,'Tablas psiquica'!$D$7:$R$296,14,FALSE))</f>
        <v>5km Poderes de otro psíquico</v>
      </c>
      <c r="AP20" s="7145"/>
      <c r="AQ20" s="7145"/>
      <c r="AR20" s="8476"/>
      <c r="AS20" s="982"/>
      <c r="AT20" s="1455">
        <v>320</v>
      </c>
      <c r="AU20" s="8477" t="s">
        <v>1594</v>
      </c>
      <c r="AV20" s="8392"/>
      <c r="AW20" s="8475" t="str">
        <f>IF(AT10=0,"",VLOOKUP(AT10,'Tablas psiquica'!$D$7:$R$296,14,FALSE))</f>
        <v xml:space="preserve"> -8 grados de dificultad</v>
      </c>
      <c r="AX20" s="7145"/>
      <c r="AY20" s="7145"/>
      <c r="AZ20" s="8476"/>
      <c r="BA20" s="4232"/>
      <c r="BB20" s="360"/>
      <c r="BC20" s="360"/>
      <c r="BD20" s="982"/>
      <c r="BE20" s="1455">
        <v>320</v>
      </c>
      <c r="BF20" s="8477" t="s">
        <v>1594</v>
      </c>
      <c r="BG20" s="8392"/>
      <c r="BH20" s="8475" t="str">
        <f>IF(BE10=0,"",VLOOKUP(BE10,'Tablas psiquica'!$D$7:$R$296,14,FALSE))</f>
        <v/>
      </c>
      <c r="BI20" s="7145"/>
      <c r="BJ20" s="7145"/>
      <c r="BK20" s="8476"/>
      <c r="BL20" s="607"/>
      <c r="BM20" s="1455">
        <v>320</v>
      </c>
      <c r="BN20" s="8477" t="s">
        <v>1594</v>
      </c>
      <c r="BO20" s="8392"/>
      <c r="BP20" s="8475" t="str">
        <f>IF(BM10=0,"",VLOOKUP(BM10,'Tablas psiquica'!$D$7:$R$296,14,FALSE))</f>
        <v/>
      </c>
      <c r="BQ20" s="7145"/>
      <c r="BR20" s="7145"/>
      <c r="BS20" s="8476"/>
      <c r="BT20" s="982"/>
      <c r="BU20" s="1455">
        <v>320</v>
      </c>
      <c r="BV20" s="8477" t="s">
        <v>1594</v>
      </c>
      <c r="BW20" s="8392"/>
      <c r="BX20" s="8475" t="str">
        <f>IF(BU10=0,"",VLOOKUP(BU10,'Tablas psiquica'!$D$7:$R$296,14,FALSE))</f>
        <v/>
      </c>
      <c r="BY20" s="7145"/>
      <c r="BZ20" s="7145"/>
      <c r="CA20" s="8476"/>
      <c r="CB20" s="4232"/>
      <c r="CC20" s="360"/>
      <c r="CD20" s="360"/>
      <c r="CE20" s="982"/>
      <c r="CF20" s="1455">
        <v>320</v>
      </c>
      <c r="CG20" s="8477" t="s">
        <v>1594</v>
      </c>
      <c r="CH20" s="8392"/>
      <c r="CI20" s="8475" t="str">
        <f>IF(CF10=0,"",VLOOKUP(CF10,'Tablas psiquica'!$D$7:$R$296,14,FALSE))</f>
        <v/>
      </c>
      <c r="CJ20" s="7145"/>
      <c r="CK20" s="7145"/>
      <c r="CL20" s="8476"/>
      <c r="CM20" s="607"/>
      <c r="CN20" s="1455">
        <v>320</v>
      </c>
      <c r="CO20" s="8477" t="s">
        <v>1594</v>
      </c>
      <c r="CP20" s="8392"/>
      <c r="CQ20" s="8475" t="str">
        <f>IF(CN10=0,"",VLOOKUP(CN10,'Tablas psiquica'!$D$7:$R$296,14,FALSE))</f>
        <v/>
      </c>
      <c r="CR20" s="7145"/>
      <c r="CS20" s="7145"/>
      <c r="CT20" s="8476"/>
      <c r="CU20" s="982"/>
      <c r="CV20" s="1455">
        <v>320</v>
      </c>
      <c r="CW20" s="8477" t="s">
        <v>1594</v>
      </c>
      <c r="CX20" s="8392"/>
      <c r="CY20" s="8475" t="str">
        <f>IF(CV10=0,"",VLOOKUP(CV10,'Tablas psiquica'!$D$7:$R$296,14,FALSE))</f>
        <v/>
      </c>
      <c r="CZ20" s="7145"/>
      <c r="DA20" s="7145"/>
      <c r="DB20" s="8476"/>
      <c r="DC20" s="4232"/>
      <c r="DD20" s="360"/>
    </row>
    <row r="21" spans="1:108" ht="12" customHeight="1">
      <c r="A21" s="360"/>
      <c r="B21" s="982"/>
      <c r="C21" s="4243">
        <v>440</v>
      </c>
      <c r="D21" s="8478" t="s">
        <v>1537</v>
      </c>
      <c r="E21" s="8479"/>
      <c r="F21" s="8480" t="str">
        <f>IF(C10=0,"",VLOOKUP(C10,'Tablas psiquica'!$D$7:$R$296,15,FALSE))</f>
        <v/>
      </c>
      <c r="G21" s="8481"/>
      <c r="H21" s="8481"/>
      <c r="I21" s="8482"/>
      <c r="J21" s="607"/>
      <c r="K21" s="4243">
        <v>440</v>
      </c>
      <c r="L21" s="8478" t="s">
        <v>1537</v>
      </c>
      <c r="M21" s="8479"/>
      <c r="N21" s="8480" t="str">
        <f>IF(K10=0,"",VLOOKUP(K10,'Tablas psiquica'!$D$7:$R$296,15,FALSE))</f>
        <v/>
      </c>
      <c r="O21" s="8481"/>
      <c r="P21" s="8481"/>
      <c r="Q21" s="8482"/>
      <c r="R21" s="982"/>
      <c r="S21" s="4243">
        <v>440</v>
      </c>
      <c r="T21" s="8478" t="s">
        <v>1537</v>
      </c>
      <c r="U21" s="8479"/>
      <c r="V21" s="8480" t="str">
        <f>IF(S10=0,"",VLOOKUP(S10,'Tablas psiquica'!$D$7:$R$296,15,FALSE))</f>
        <v/>
      </c>
      <c r="W21" s="8481"/>
      <c r="X21" s="8481"/>
      <c r="Y21" s="8482"/>
      <c r="Z21" s="4232"/>
      <c r="AA21" s="360"/>
      <c r="AB21" s="360"/>
      <c r="AC21" s="982"/>
      <c r="AD21" s="4243">
        <v>440</v>
      </c>
      <c r="AE21" s="8478" t="s">
        <v>1537</v>
      </c>
      <c r="AF21" s="8479"/>
      <c r="AG21" s="8480" t="str">
        <f>IF(AD10=0,"",VLOOKUP(AD10,'Tablas psiquica'!$D$7:$R$296,15,FALSE))</f>
        <v>Poderes de nivel Inhumano</v>
      </c>
      <c r="AH21" s="8481"/>
      <c r="AI21" s="8481"/>
      <c r="AJ21" s="8482"/>
      <c r="AK21" s="607"/>
      <c r="AL21" s="4243">
        <v>440</v>
      </c>
      <c r="AM21" s="8478" t="s">
        <v>1537</v>
      </c>
      <c r="AN21" s="8479"/>
      <c r="AO21" s="8480" t="str">
        <f>IF(AL10=0,"",VLOOKUP(AL10,'Tablas psiquica'!$D$7:$R$296,15,FALSE))</f>
        <v xml:space="preserve">100km </v>
      </c>
      <c r="AP21" s="8481"/>
      <c r="AQ21" s="8481"/>
      <c r="AR21" s="8482"/>
      <c r="AS21" s="982"/>
      <c r="AT21" s="4243">
        <v>440</v>
      </c>
      <c r="AU21" s="8478" t="s">
        <v>1537</v>
      </c>
      <c r="AV21" s="8479"/>
      <c r="AW21" s="8480" t="str">
        <f>IF(AT10=0,"",VLOOKUP(AT10,'Tablas psiquica'!$D$7:$R$296,15,FALSE))</f>
        <v xml:space="preserve"> -9 grados de dificultad</v>
      </c>
      <c r="AX21" s="8481"/>
      <c r="AY21" s="8481"/>
      <c r="AZ21" s="8482"/>
      <c r="BA21" s="4232"/>
      <c r="BB21" s="360"/>
      <c r="BC21" s="360"/>
      <c r="BD21" s="982"/>
      <c r="BE21" s="4243">
        <v>440</v>
      </c>
      <c r="BF21" s="8478" t="s">
        <v>1537</v>
      </c>
      <c r="BG21" s="8479"/>
      <c r="BH21" s="8480" t="str">
        <f>IF(BE10=0,"",VLOOKUP(BE10,'Tablas psiquica'!$D$7:$R$296,15,FALSE))</f>
        <v/>
      </c>
      <c r="BI21" s="8481"/>
      <c r="BJ21" s="8481"/>
      <c r="BK21" s="8482"/>
      <c r="BL21" s="607"/>
      <c r="BM21" s="4243">
        <v>440</v>
      </c>
      <c r="BN21" s="8478" t="s">
        <v>1537</v>
      </c>
      <c r="BO21" s="8479"/>
      <c r="BP21" s="8480" t="str">
        <f>IF(BM10=0,"",VLOOKUP(BM10,'Tablas psiquica'!$D$7:$R$296,15,FALSE))</f>
        <v/>
      </c>
      <c r="BQ21" s="8481"/>
      <c r="BR21" s="8481"/>
      <c r="BS21" s="8482"/>
      <c r="BT21" s="982"/>
      <c r="BU21" s="4243">
        <v>440</v>
      </c>
      <c r="BV21" s="8478" t="s">
        <v>1537</v>
      </c>
      <c r="BW21" s="8479"/>
      <c r="BX21" s="8480" t="str">
        <f>IF(BU10=0,"",VLOOKUP(BU10,'Tablas psiquica'!$D$7:$R$296,15,FALSE))</f>
        <v/>
      </c>
      <c r="BY21" s="8481"/>
      <c r="BZ21" s="8481"/>
      <c r="CA21" s="8482"/>
      <c r="CB21" s="4232"/>
      <c r="CC21" s="360"/>
      <c r="CD21" s="360"/>
      <c r="CE21" s="982"/>
      <c r="CF21" s="4243">
        <v>440</v>
      </c>
      <c r="CG21" s="8478" t="s">
        <v>1537</v>
      </c>
      <c r="CH21" s="8479"/>
      <c r="CI21" s="8480" t="str">
        <f>IF(CF10=0,"",VLOOKUP(CF10,'Tablas psiquica'!$D$7:$R$296,15,FALSE))</f>
        <v/>
      </c>
      <c r="CJ21" s="8481"/>
      <c r="CK21" s="8481"/>
      <c r="CL21" s="8482"/>
      <c r="CM21" s="607"/>
      <c r="CN21" s="4243">
        <v>440</v>
      </c>
      <c r="CO21" s="8478" t="s">
        <v>1537</v>
      </c>
      <c r="CP21" s="8479"/>
      <c r="CQ21" s="8480" t="str">
        <f>IF(CN10=0,"",VLOOKUP(CN10,'Tablas psiquica'!$D$7:$R$296,15,FALSE))</f>
        <v/>
      </c>
      <c r="CR21" s="8481"/>
      <c r="CS21" s="8481"/>
      <c r="CT21" s="8482"/>
      <c r="CU21" s="982"/>
      <c r="CV21" s="4243">
        <v>440</v>
      </c>
      <c r="CW21" s="8478" t="s">
        <v>1537</v>
      </c>
      <c r="CX21" s="8479"/>
      <c r="CY21" s="8480" t="str">
        <f>IF(CV10=0,"",VLOOKUP(CV10,'Tablas psiquica'!$D$7:$R$296,15,FALSE))</f>
        <v/>
      </c>
      <c r="CZ21" s="8481"/>
      <c r="DA21" s="8481"/>
      <c r="DB21" s="8482"/>
      <c r="DC21" s="4232"/>
      <c r="DD21" s="360"/>
    </row>
    <row r="22" spans="1:108" ht="12" customHeight="1">
      <c r="A22" s="360"/>
      <c r="B22" s="982"/>
      <c r="C22" s="8503" t="s">
        <v>5824</v>
      </c>
      <c r="D22" s="8504"/>
      <c r="E22" s="4239" t="str">
        <f>IF(C10=0,"",VLOOKUP(C10,'Tablas psiquica'!$D$7:$R$296,4,FALSE))</f>
        <v/>
      </c>
      <c r="F22" s="8505" t="s">
        <v>5819</v>
      </c>
      <c r="G22" s="8505"/>
      <c r="H22" s="8501" t="str">
        <f>IF(C10=0,"",VLOOKUP(C10,'Tablas psiquica'!$D$7:$R$296,5,FALSE))</f>
        <v/>
      </c>
      <c r="I22" s="8506"/>
      <c r="J22" s="607"/>
      <c r="K22" s="8496" t="s">
        <v>5824</v>
      </c>
      <c r="L22" s="8490"/>
      <c r="M22" s="4244" t="str">
        <f>IF(K10=0,"",VLOOKUP(K10,'Tablas psiquica'!$D$7:$R$296,4,FALSE))</f>
        <v/>
      </c>
      <c r="N22" s="8483" t="s">
        <v>5819</v>
      </c>
      <c r="O22" s="8483"/>
      <c r="P22" s="8484" t="str">
        <f>IF(K10=0,"",VLOOKUP(K10,'Tablas psiquica'!$D$7:$R$296,5,FALSE))</f>
        <v/>
      </c>
      <c r="Q22" s="8485"/>
      <c r="R22" s="982"/>
      <c r="S22" s="8496" t="s">
        <v>5824</v>
      </c>
      <c r="T22" s="8490"/>
      <c r="U22" s="4244" t="str">
        <f>IF(S10=0,"",VLOOKUP(S10,'Tablas psiquica'!$D$7:$R$296,4,FALSE))</f>
        <v/>
      </c>
      <c r="V22" s="8483" t="s">
        <v>5819</v>
      </c>
      <c r="W22" s="8483"/>
      <c r="X22" s="8484" t="str">
        <f>IF(S10=0,"",VLOOKUP(S10,'Tablas psiquica'!$D$7:$R$296,5,FALSE))</f>
        <v/>
      </c>
      <c r="Y22" s="8485"/>
      <c r="Z22" s="4232"/>
      <c r="AA22" s="360"/>
      <c r="AB22" s="360"/>
      <c r="AC22" s="982"/>
      <c r="AD22" s="8496" t="s">
        <v>5824</v>
      </c>
      <c r="AE22" s="8490"/>
      <c r="AF22" s="4244" t="str">
        <f>IF(AD10=0,"",VLOOKUP(AD10,'Tablas psiquica'!$D$7:$R$296,4,FALSE))</f>
        <v>Sí</v>
      </c>
      <c r="AG22" s="8483" t="s">
        <v>5819</v>
      </c>
      <c r="AH22" s="8483"/>
      <c r="AI22" s="8484" t="str">
        <f>IF(AD10=0,"",VLOOKUP(AD10,'Tablas psiquica'!$D$7:$R$296,5,FALSE))</f>
        <v>Activa</v>
      </c>
      <c r="AJ22" s="8485"/>
      <c r="AK22" s="607"/>
      <c r="AL22" s="8496" t="s">
        <v>5824</v>
      </c>
      <c r="AM22" s="8490"/>
      <c r="AN22" s="4244" t="str">
        <f>IF(AL10=0,"",VLOOKUP(AL10,'Tablas psiquica'!$D$7:$R$296,4,FALSE))</f>
        <v>Sí</v>
      </c>
      <c r="AO22" s="8483" t="s">
        <v>5819</v>
      </c>
      <c r="AP22" s="8483"/>
      <c r="AQ22" s="8484" t="str">
        <f>IF(AL10=0,"",VLOOKUP(AL10,'Tablas psiquica'!$D$7:$R$296,5,FALSE))</f>
        <v>Activa</v>
      </c>
      <c r="AR22" s="8485"/>
      <c r="AS22" s="982"/>
      <c r="AT22" s="8496" t="s">
        <v>5824</v>
      </c>
      <c r="AU22" s="8490"/>
      <c r="AV22" s="4244" t="str">
        <f>IF(AT10=0,"",VLOOKUP(AT10,'Tablas psiquica'!$D$7:$R$296,4,FALSE))</f>
        <v>Sí</v>
      </c>
      <c r="AW22" s="8483" t="s">
        <v>5819</v>
      </c>
      <c r="AX22" s="8483"/>
      <c r="AY22" s="8484" t="str">
        <f>IF(AT10=0,"",VLOOKUP(AT10,'Tablas psiquica'!$D$7:$R$296,5,FALSE))</f>
        <v>Pasiva</v>
      </c>
      <c r="AZ22" s="8485"/>
      <c r="BA22" s="4232"/>
      <c r="BB22" s="360"/>
      <c r="BC22" s="360"/>
      <c r="BD22" s="982"/>
      <c r="BE22" s="8496" t="s">
        <v>5824</v>
      </c>
      <c r="BF22" s="8490"/>
      <c r="BG22" s="4244" t="str">
        <f>IF(BE10=0,"",VLOOKUP(BE10,'Tablas psiquica'!$D$7:$R$296,4,FALSE))</f>
        <v/>
      </c>
      <c r="BH22" s="8507" t="s">
        <v>5819</v>
      </c>
      <c r="BI22" s="8508"/>
      <c r="BJ22" s="8509" t="str">
        <f>IF(BE10=0,"",VLOOKUP(BE10,'Tablas psiquica'!$D$7:$R$296,5,FALSE))</f>
        <v/>
      </c>
      <c r="BK22" s="8510"/>
      <c r="BL22" s="607"/>
      <c r="BM22" s="8496" t="s">
        <v>5824</v>
      </c>
      <c r="BN22" s="8490"/>
      <c r="BO22" s="4244" t="str">
        <f>IF(BM10=0,"",VLOOKUP(BM10,'Tablas psiquica'!$D$7:$R$296,4,FALSE))</f>
        <v/>
      </c>
      <c r="BP22" s="8483" t="s">
        <v>5819</v>
      </c>
      <c r="BQ22" s="8483"/>
      <c r="BR22" s="8484" t="str">
        <f>IF(BM10=0,"",VLOOKUP(BM10,'Tablas psiquica'!$D$7:$R$296,5,FALSE))</f>
        <v/>
      </c>
      <c r="BS22" s="8485"/>
      <c r="BT22" s="982"/>
      <c r="BU22" s="8496" t="s">
        <v>5824</v>
      </c>
      <c r="BV22" s="8490"/>
      <c r="BW22" s="4244" t="str">
        <f>IF(BU10=0,"",VLOOKUP(BU10,'Tablas psiquica'!$D$7:$R$296,4,FALSE))</f>
        <v/>
      </c>
      <c r="BX22" s="8483" t="s">
        <v>5819</v>
      </c>
      <c r="BY22" s="8483"/>
      <c r="BZ22" s="8484" t="str">
        <f>IF(BU10=0,"",VLOOKUP(BU10,'Tablas psiquica'!$D$7:$R$296,5,FALSE))</f>
        <v/>
      </c>
      <c r="CA22" s="8485"/>
      <c r="CB22" s="4232"/>
      <c r="CC22" s="360"/>
      <c r="CD22" s="360"/>
      <c r="CE22" s="982"/>
      <c r="CF22" s="8496" t="s">
        <v>5824</v>
      </c>
      <c r="CG22" s="8490"/>
      <c r="CH22" s="4244" t="str">
        <f>IF(CF10=0,"",VLOOKUP(CF10,'Tablas psiquica'!$D$7:$R$296,4,FALSE))</f>
        <v/>
      </c>
      <c r="CI22" s="8483" t="s">
        <v>5819</v>
      </c>
      <c r="CJ22" s="8483"/>
      <c r="CK22" s="8484" t="str">
        <f>IF(CF10=0,"",VLOOKUP(CF10,'Tablas psiquica'!$D$7:$R$296,5,FALSE))</f>
        <v/>
      </c>
      <c r="CL22" s="8485"/>
      <c r="CM22" s="607"/>
      <c r="CN22" s="8496" t="s">
        <v>5824</v>
      </c>
      <c r="CO22" s="8490"/>
      <c r="CP22" s="4244" t="str">
        <f>IF(CN10=0,"",VLOOKUP(CN10,'Tablas psiquica'!$D$7:$R$296,4,FALSE))</f>
        <v/>
      </c>
      <c r="CQ22" s="8483" t="s">
        <v>5819</v>
      </c>
      <c r="CR22" s="8483"/>
      <c r="CS22" s="8484" t="str">
        <f>IF(CN10=0,"",VLOOKUP(CN10,'Tablas psiquica'!$D$7:$R$296,5,FALSE))</f>
        <v/>
      </c>
      <c r="CT22" s="8485"/>
      <c r="CU22" s="982"/>
      <c r="CV22" s="8496" t="s">
        <v>5824</v>
      </c>
      <c r="CW22" s="8490"/>
      <c r="CX22" s="4244" t="str">
        <f>IF(CV10=0,"",VLOOKUP(CV10,'Tablas psiquica'!$D$7:$R$296,4,FALSE))</f>
        <v/>
      </c>
      <c r="CY22" s="8483" t="s">
        <v>5819</v>
      </c>
      <c r="CZ22" s="8483"/>
      <c r="DA22" s="8484" t="str">
        <f>IF(CV10=0,"",VLOOKUP(CV10,'Tablas psiquica'!$D$7:$R$296,5,FALSE))</f>
        <v/>
      </c>
      <c r="DB22" s="8485"/>
      <c r="DC22" s="4232"/>
      <c r="DD22" s="360"/>
    </row>
    <row r="23" spans="1:108" ht="12" customHeight="1">
      <c r="A23" s="360"/>
      <c r="B23" s="982"/>
      <c r="C23" s="8496" t="s">
        <v>13936</v>
      </c>
      <c r="D23" s="8490"/>
      <c r="E23" s="8486" t="str">
        <f>IF(C10=0,"",VLOOKUP(C10,'Tablas psiquica'!$D$7:$Z$296,20,FALSE))</f>
        <v/>
      </c>
      <c r="F23" s="8487"/>
      <c r="G23" s="8490" t="s">
        <v>13937</v>
      </c>
      <c r="H23" s="8492" t="str">
        <f>IF(C10=0,"",VLOOKUP(C10,'Tablas psiquica'!$D$7:$Z$296,21,FALSE))</f>
        <v/>
      </c>
      <c r="I23" s="8493"/>
      <c r="J23" s="607"/>
      <c r="K23" s="8496" t="s">
        <v>13936</v>
      </c>
      <c r="L23" s="8490"/>
      <c r="M23" s="8486" t="str">
        <f>IF(K10=0,"",VLOOKUP(K10,'Tablas psiquica'!$D$7:$Z$296,20,FALSE))</f>
        <v/>
      </c>
      <c r="N23" s="8487"/>
      <c r="O23" s="8490" t="s">
        <v>13937</v>
      </c>
      <c r="P23" s="8492" t="str">
        <f>IF(K10=0,"",VLOOKUP(K10,'Tablas psiquica'!$D$7:$Z$296,21,FALSE))</f>
        <v/>
      </c>
      <c r="Q23" s="8493"/>
      <c r="R23" s="607"/>
      <c r="S23" s="8496" t="s">
        <v>13936</v>
      </c>
      <c r="T23" s="8490"/>
      <c r="U23" s="8486" t="str">
        <f>IF(S10=0,"",VLOOKUP(S10,'Tablas psiquica'!$D$7:$Z$296,20,FALSE))</f>
        <v/>
      </c>
      <c r="V23" s="8487"/>
      <c r="W23" s="8490" t="s">
        <v>13937</v>
      </c>
      <c r="X23" s="8492" t="str">
        <f>IF(S10=0,"",VLOOKUP(S10,'Tablas psiquica'!$D$7:$Z$296,21,FALSE))</f>
        <v/>
      </c>
      <c r="Y23" s="8493"/>
      <c r="Z23" s="4232"/>
      <c r="AA23" s="360"/>
      <c r="AB23" s="360"/>
      <c r="AC23" s="982"/>
      <c r="AD23" s="8496" t="s">
        <v>13936</v>
      </c>
      <c r="AE23" s="8490"/>
      <c r="AF23" s="8486" t="str">
        <f>IF(AD10=0,"",VLOOKUP(AD10,'Tablas psiquica'!$D$7:$Z$296,20,FALSE))</f>
        <v>-</v>
      </c>
      <c r="AG23" s="8487"/>
      <c r="AH23" s="8490" t="s">
        <v>13937</v>
      </c>
      <c r="AI23" s="8492" t="str">
        <f>IF(AD10=0,"",VLOOKUP(AD10,'Tablas psiquica'!$D$7:$Z$296,21,FALSE))</f>
        <v>+1 al grado</v>
      </c>
      <c r="AJ23" s="8493"/>
      <c r="AK23" s="607"/>
      <c r="AL23" s="8496" t="s">
        <v>13936</v>
      </c>
      <c r="AM23" s="8490"/>
      <c r="AN23" s="8486" t="str">
        <f>IF(AL10=0,"",VLOOKUP(AL10,'Tablas psiquica'!$D$7:$Z$296,20,FALSE))</f>
        <v>-</v>
      </c>
      <c r="AO23" s="8487"/>
      <c r="AP23" s="8490" t="s">
        <v>13937</v>
      </c>
      <c r="AQ23" s="8492" t="str">
        <f>IF(AL10=0,"",VLOOKUP(AL10,'Tablas psiquica'!$D$7:$Z$296,21,FALSE))</f>
        <v>Ver</v>
      </c>
      <c r="AR23" s="8493"/>
      <c r="AS23" s="607"/>
      <c r="AT23" s="8496" t="s">
        <v>13936</v>
      </c>
      <c r="AU23" s="8490"/>
      <c r="AV23" s="8486" t="str">
        <f>IF(AT10=0,"",VLOOKUP(AT10,'Tablas psiquica'!$D$7:$Z$296,20,FALSE))</f>
        <v>-</v>
      </c>
      <c r="AW23" s="8487"/>
      <c r="AX23" s="8490" t="s">
        <v>13937</v>
      </c>
      <c r="AY23" s="8492" t="str">
        <f>IF(AT10=0,"",VLOOKUP(AT10,'Tablas psiquica'!$D$7:$Z$296,21,FALSE))</f>
        <v>+1 al grado</v>
      </c>
      <c r="AZ23" s="8493"/>
      <c r="BA23" s="4232"/>
      <c r="BB23" s="360"/>
      <c r="BC23" s="360"/>
      <c r="BD23" s="982"/>
      <c r="BE23" s="8496" t="s">
        <v>13936</v>
      </c>
      <c r="BF23" s="8490"/>
      <c r="BG23" s="8486" t="str">
        <f>IF(BE10=0,"",VLOOKUP(BE10,'Tablas psiquica'!$D$7:$Z$296,20,FALSE))</f>
        <v/>
      </c>
      <c r="BH23" s="8487"/>
      <c r="BI23" s="8490" t="s">
        <v>13937</v>
      </c>
      <c r="BJ23" s="8492" t="str">
        <f>IF(BE10=0,"",VLOOKUP(BE10,'Tablas psiquica'!$D$7:$Z$296,21,FALSE))</f>
        <v/>
      </c>
      <c r="BK23" s="8493"/>
      <c r="BL23" s="607"/>
      <c r="BM23" s="8496" t="s">
        <v>13936</v>
      </c>
      <c r="BN23" s="8490"/>
      <c r="BO23" s="8486" t="str">
        <f>IF(BM10=0,"",VLOOKUP(BM10,'Tablas psiquica'!$D$7:$Z$296,20,FALSE))</f>
        <v/>
      </c>
      <c r="BP23" s="8487"/>
      <c r="BQ23" s="8490" t="s">
        <v>13937</v>
      </c>
      <c r="BR23" s="8492" t="str">
        <f>IF(BM10=0,"",VLOOKUP(BM10,'Tablas psiquica'!$D$7:$Z$296,21,FALSE))</f>
        <v/>
      </c>
      <c r="BS23" s="8493"/>
      <c r="BT23" s="607"/>
      <c r="BU23" s="8496" t="s">
        <v>13936</v>
      </c>
      <c r="BV23" s="8490"/>
      <c r="BW23" s="8486" t="str">
        <f>IF(BU10=0,"",VLOOKUP(BU10,'Tablas psiquica'!$D$7:$Z$296,20,FALSE))</f>
        <v/>
      </c>
      <c r="BX23" s="8487"/>
      <c r="BY23" s="8490" t="s">
        <v>13937</v>
      </c>
      <c r="BZ23" s="8492" t="str">
        <f>IF(BU10=0,"",VLOOKUP(BU10,'Tablas psiquica'!$D$7:$Z$296,21,FALSE))</f>
        <v/>
      </c>
      <c r="CA23" s="8493"/>
      <c r="CB23" s="4232"/>
      <c r="CC23" s="360"/>
      <c r="CD23" s="360"/>
      <c r="CE23" s="982"/>
      <c r="CF23" s="8496" t="s">
        <v>13936</v>
      </c>
      <c r="CG23" s="8490"/>
      <c r="CH23" s="8486" t="str">
        <f>IF(CF10=0,"",VLOOKUP(CF10,'Tablas psiquica'!$D$7:$Z$296,20,FALSE))</f>
        <v/>
      </c>
      <c r="CI23" s="8487"/>
      <c r="CJ23" s="8490" t="s">
        <v>13937</v>
      </c>
      <c r="CK23" s="8492" t="str">
        <f>IF(CF10=0,"",VLOOKUP(CF10,'Tablas psiquica'!$D$7:$Z$296,21,FALSE))</f>
        <v/>
      </c>
      <c r="CL23" s="8493"/>
      <c r="CM23" s="607"/>
      <c r="CN23" s="8496" t="s">
        <v>13936</v>
      </c>
      <c r="CO23" s="8490"/>
      <c r="CP23" s="8486" t="str">
        <f>IF(CN10=0,"",VLOOKUP(CN10,'Tablas psiquica'!$D$7:$Z$296,20,FALSE))</f>
        <v/>
      </c>
      <c r="CQ23" s="8487"/>
      <c r="CR23" s="8490" t="s">
        <v>13937</v>
      </c>
      <c r="CS23" s="8492" t="str">
        <f>IF(CN10=0,"",VLOOKUP(CN10,'Tablas psiquica'!$D$7:$Z$296,21,FALSE))</f>
        <v/>
      </c>
      <c r="CT23" s="8493"/>
      <c r="CU23" s="607"/>
      <c r="CV23" s="8496" t="s">
        <v>13936</v>
      </c>
      <c r="CW23" s="8490"/>
      <c r="CX23" s="8486" t="str">
        <f>IF(CV10=0,"",VLOOKUP(CV10,'Tablas psiquica'!$D$7:$Z$296,20,FALSE))</f>
        <v/>
      </c>
      <c r="CY23" s="8487"/>
      <c r="CZ23" s="8490" t="s">
        <v>13937</v>
      </c>
      <c r="DA23" s="8492" t="str">
        <f>IF(CV10=0,"",VLOOKUP(CV10,'Tablas psiquica'!$D$7:$Z$296,21,FALSE))</f>
        <v/>
      </c>
      <c r="DB23" s="8493"/>
      <c r="DC23" s="4232"/>
      <c r="DD23" s="360"/>
    </row>
    <row r="24" spans="1:108" ht="12" customHeight="1" thickBot="1">
      <c r="A24" s="360"/>
      <c r="B24" s="982"/>
      <c r="C24" s="8497"/>
      <c r="D24" s="8491"/>
      <c r="E24" s="8488"/>
      <c r="F24" s="8489"/>
      <c r="G24" s="8491"/>
      <c r="H24" s="8494"/>
      <c r="I24" s="8495"/>
      <c r="J24" s="607"/>
      <c r="K24" s="8497"/>
      <c r="L24" s="8491"/>
      <c r="M24" s="8488"/>
      <c r="N24" s="8489"/>
      <c r="O24" s="8491"/>
      <c r="P24" s="8494"/>
      <c r="Q24" s="8495"/>
      <c r="R24" s="607"/>
      <c r="S24" s="8497"/>
      <c r="T24" s="8491"/>
      <c r="U24" s="8488"/>
      <c r="V24" s="8489"/>
      <c r="W24" s="8491"/>
      <c r="X24" s="8494"/>
      <c r="Y24" s="8495"/>
      <c r="Z24" s="4232"/>
      <c r="AA24" s="360"/>
      <c r="AB24" s="360"/>
      <c r="AC24" s="982"/>
      <c r="AD24" s="8497"/>
      <c r="AE24" s="8491"/>
      <c r="AF24" s="8488"/>
      <c r="AG24" s="8489"/>
      <c r="AH24" s="8491"/>
      <c r="AI24" s="8494"/>
      <c r="AJ24" s="8495"/>
      <c r="AK24" s="607"/>
      <c r="AL24" s="8497"/>
      <c r="AM24" s="8491"/>
      <c r="AN24" s="8488"/>
      <c r="AO24" s="8489"/>
      <c r="AP24" s="8491"/>
      <c r="AQ24" s="8494"/>
      <c r="AR24" s="8495"/>
      <c r="AS24" s="607"/>
      <c r="AT24" s="8497"/>
      <c r="AU24" s="8491"/>
      <c r="AV24" s="8488"/>
      <c r="AW24" s="8489"/>
      <c r="AX24" s="8491"/>
      <c r="AY24" s="8494"/>
      <c r="AZ24" s="8495"/>
      <c r="BA24" s="4232"/>
      <c r="BB24" s="360"/>
      <c r="BC24" s="360"/>
      <c r="BD24" s="982"/>
      <c r="BE24" s="8497"/>
      <c r="BF24" s="8491"/>
      <c r="BG24" s="8488"/>
      <c r="BH24" s="8489"/>
      <c r="BI24" s="8491"/>
      <c r="BJ24" s="8494"/>
      <c r="BK24" s="8495"/>
      <c r="BL24" s="607"/>
      <c r="BM24" s="8497"/>
      <c r="BN24" s="8491"/>
      <c r="BO24" s="8488"/>
      <c r="BP24" s="8489"/>
      <c r="BQ24" s="8491"/>
      <c r="BR24" s="8494"/>
      <c r="BS24" s="8495"/>
      <c r="BT24" s="607"/>
      <c r="BU24" s="8497"/>
      <c r="BV24" s="8491"/>
      <c r="BW24" s="8488"/>
      <c r="BX24" s="8489"/>
      <c r="BY24" s="8491"/>
      <c r="BZ24" s="8494"/>
      <c r="CA24" s="8495"/>
      <c r="CB24" s="4232"/>
      <c r="CC24" s="360"/>
      <c r="CD24" s="360"/>
      <c r="CE24" s="982"/>
      <c r="CF24" s="8497"/>
      <c r="CG24" s="8491"/>
      <c r="CH24" s="8488"/>
      <c r="CI24" s="8489"/>
      <c r="CJ24" s="8491"/>
      <c r="CK24" s="8494"/>
      <c r="CL24" s="8495"/>
      <c r="CM24" s="607"/>
      <c r="CN24" s="8497"/>
      <c r="CO24" s="8491"/>
      <c r="CP24" s="8488"/>
      <c r="CQ24" s="8489"/>
      <c r="CR24" s="8491"/>
      <c r="CS24" s="8494"/>
      <c r="CT24" s="8495"/>
      <c r="CU24" s="607"/>
      <c r="CV24" s="8497"/>
      <c r="CW24" s="8491"/>
      <c r="CX24" s="8488"/>
      <c r="CY24" s="8489"/>
      <c r="CZ24" s="8491"/>
      <c r="DA24" s="8494"/>
      <c r="DB24" s="8495"/>
      <c r="DC24" s="4232"/>
      <c r="DD24" s="360"/>
    </row>
    <row r="25" spans="1:108" ht="12" customHeight="1" thickBot="1">
      <c r="A25" s="360"/>
      <c r="B25" s="982"/>
      <c r="C25" s="976"/>
      <c r="J25" s="607"/>
      <c r="K25" s="976"/>
      <c r="R25" s="607"/>
      <c r="S25" s="976"/>
      <c r="Y25" s="377"/>
      <c r="Z25" s="4232"/>
      <c r="AA25" s="360"/>
      <c r="AB25" s="360"/>
      <c r="AC25" s="982"/>
      <c r="AD25" s="976"/>
      <c r="AK25" s="607"/>
      <c r="AL25" s="976"/>
      <c r="AS25" s="607"/>
      <c r="AT25" s="976"/>
      <c r="AZ25" s="377"/>
      <c r="BA25" s="4232"/>
      <c r="BB25" s="360"/>
      <c r="BC25" s="360"/>
      <c r="BD25" s="982"/>
      <c r="BE25" s="976"/>
      <c r="BL25" s="607"/>
      <c r="BM25" s="976"/>
      <c r="BT25" s="607"/>
      <c r="BU25" s="976"/>
      <c r="CA25" s="377"/>
      <c r="CB25" s="4232"/>
      <c r="CC25" s="360"/>
      <c r="CD25" s="360"/>
      <c r="CE25" s="982"/>
      <c r="CF25" s="976"/>
      <c r="CM25" s="607"/>
      <c r="CN25" s="976"/>
      <c r="CU25" s="607"/>
      <c r="CV25" s="976"/>
      <c r="DB25" s="377"/>
      <c r="DC25" s="4232"/>
      <c r="DD25" s="360"/>
    </row>
    <row r="26" spans="1:108" ht="12" customHeight="1">
      <c r="A26" s="360"/>
      <c r="B26" s="982">
        <v>4</v>
      </c>
      <c r="C26" s="8511" cm="1">
        <f t="array" ref="C26">IFERROR(INDEX('Tablas psiquica'!$AU$6:$BQ$20,B26,Y$7),0)</f>
        <v>0</v>
      </c>
      <c r="D26" s="8512"/>
      <c r="E26" s="8512"/>
      <c r="F26" s="8512"/>
      <c r="G26" s="8512"/>
      <c r="H26" s="8512"/>
      <c r="I26" s="4238" t="s">
        <v>1262</v>
      </c>
      <c r="J26" s="607">
        <v>5</v>
      </c>
      <c r="K26" s="8511" cm="1">
        <f t="array" ref="K26">IFERROR(INDEX('Tablas psiquica'!$AU$6:$BQ$20,J26,Y$7),0)</f>
        <v>0</v>
      </c>
      <c r="L26" s="8512"/>
      <c r="M26" s="8512"/>
      <c r="N26" s="8512"/>
      <c r="O26" s="8512"/>
      <c r="P26" s="8512"/>
      <c r="Q26" s="4238" t="s">
        <v>1262</v>
      </c>
      <c r="R26" s="982">
        <v>6</v>
      </c>
      <c r="S26" s="8511" cm="1">
        <f t="array" ref="S26">IFERROR(INDEX('Tablas psiquica'!$AU$6:$BQ$20,R26,Y$7),0)</f>
        <v>0</v>
      </c>
      <c r="T26" s="8512"/>
      <c r="U26" s="8512"/>
      <c r="V26" s="8512"/>
      <c r="W26" s="8512"/>
      <c r="X26" s="8512"/>
      <c r="Y26" s="4238" t="s">
        <v>1262</v>
      </c>
      <c r="Z26" s="4232"/>
      <c r="AA26" s="360"/>
      <c r="AB26" s="360"/>
      <c r="AC26" s="982">
        <v>4</v>
      </c>
      <c r="AD26" s="8511" t="str" cm="1">
        <f t="array" ref="AD26">IFERROR(INDEX('Tablas psiquica'!$AU$6:$BQ$20,AC26,AZ$7),0)</f>
        <v>Conectar matrices</v>
      </c>
      <c r="AE26" s="8512"/>
      <c r="AF26" s="8512"/>
      <c r="AG26" s="8512"/>
      <c r="AH26" s="8512"/>
      <c r="AI26" s="8512"/>
      <c r="AJ26" s="4238" t="s">
        <v>1262</v>
      </c>
      <c r="AK26" s="607">
        <v>5</v>
      </c>
      <c r="AL26" s="8511" cm="1">
        <f t="array" ref="AL26">IFERROR(INDEX('Tablas psiquica'!$AU$6:$BQ$20,AK26,AZ$7),0)</f>
        <v>0</v>
      </c>
      <c r="AM26" s="8512"/>
      <c r="AN26" s="8512"/>
      <c r="AO26" s="8512"/>
      <c r="AP26" s="8512"/>
      <c r="AQ26" s="8512"/>
      <c r="AR26" s="4238" t="s">
        <v>1262</v>
      </c>
      <c r="AS26" s="982">
        <v>6</v>
      </c>
      <c r="AT26" s="8511" cm="1">
        <f t="array" ref="AT26">IFERROR(INDEX('Tablas psiquica'!$AU$6:$BQ$20,AS26,AZ$7),0)</f>
        <v>0</v>
      </c>
      <c r="AU26" s="8512"/>
      <c r="AV26" s="8512"/>
      <c r="AW26" s="8512"/>
      <c r="AX26" s="8512"/>
      <c r="AY26" s="8512"/>
      <c r="AZ26" s="4238" t="s">
        <v>1262</v>
      </c>
      <c r="BA26" s="4232"/>
      <c r="BB26" s="360"/>
      <c r="BC26" s="360"/>
      <c r="BD26" s="982">
        <v>4</v>
      </c>
      <c r="BE26" s="8511" cm="1">
        <f t="array" ref="BE26">IFERROR(INDEX('Tablas psiquica'!$AU$6:$BQ$20,BD26,CA$7),0)</f>
        <v>0</v>
      </c>
      <c r="BF26" s="8512"/>
      <c r="BG26" s="8512"/>
      <c r="BH26" s="8512"/>
      <c r="BI26" s="8512"/>
      <c r="BJ26" s="8512"/>
      <c r="BK26" s="4238" t="s">
        <v>1262</v>
      </c>
      <c r="BL26" s="607">
        <v>5</v>
      </c>
      <c r="BM26" s="8511" cm="1">
        <f t="array" ref="BM26">IFERROR(INDEX('Tablas psiquica'!$AU$6:$BQ$20,BL26,CA$7),0)</f>
        <v>0</v>
      </c>
      <c r="BN26" s="8512"/>
      <c r="BO26" s="8512"/>
      <c r="BP26" s="8512"/>
      <c r="BQ26" s="8512"/>
      <c r="BR26" s="8512"/>
      <c r="BS26" s="4238" t="s">
        <v>1262</v>
      </c>
      <c r="BT26" s="982">
        <v>6</v>
      </c>
      <c r="BU26" s="8511" cm="1">
        <f t="array" ref="BU26">IFERROR(INDEX('Tablas psiquica'!$AU$6:$BQ$20,BT26,CA$7),0)</f>
        <v>0</v>
      </c>
      <c r="BV26" s="8512"/>
      <c r="BW26" s="8512"/>
      <c r="BX26" s="8512"/>
      <c r="BY26" s="8512"/>
      <c r="BZ26" s="8512"/>
      <c r="CA26" s="4238" t="s">
        <v>1262</v>
      </c>
      <c r="CB26" s="4232"/>
      <c r="CC26" s="360"/>
      <c r="CD26" s="360"/>
      <c r="CE26" s="982">
        <v>4</v>
      </c>
      <c r="CF26" s="8511" cm="1">
        <f t="array" ref="CF26">IFERROR(INDEX('Tablas psiquica'!$AU$6:$BQ$20,CE26,DB$7),0)</f>
        <v>0</v>
      </c>
      <c r="CG26" s="8512"/>
      <c r="CH26" s="8512"/>
      <c r="CI26" s="8512"/>
      <c r="CJ26" s="8512"/>
      <c r="CK26" s="8512"/>
      <c r="CL26" s="4238" t="s">
        <v>1262</v>
      </c>
      <c r="CM26" s="607">
        <v>5</v>
      </c>
      <c r="CN26" s="8511" cm="1">
        <f t="array" ref="CN26">IFERROR(INDEX('Tablas psiquica'!$AU$6:$BQ$20,CM26,DB$7),0)</f>
        <v>0</v>
      </c>
      <c r="CO26" s="8512"/>
      <c r="CP26" s="8512"/>
      <c r="CQ26" s="8512"/>
      <c r="CR26" s="8512"/>
      <c r="CS26" s="8512"/>
      <c r="CT26" s="4238" t="s">
        <v>1262</v>
      </c>
      <c r="CU26" s="982">
        <v>6</v>
      </c>
      <c r="CV26" s="8511" cm="1">
        <f t="array" ref="CV26">IFERROR(INDEX('Tablas psiquica'!$AU$6:$BQ$20,CU26,DB$7),0)</f>
        <v>0</v>
      </c>
      <c r="CW26" s="8512"/>
      <c r="CX26" s="8512"/>
      <c r="CY26" s="8512"/>
      <c r="CZ26" s="8512"/>
      <c r="DA26" s="8512"/>
      <c r="DB26" s="4238" t="s">
        <v>1262</v>
      </c>
      <c r="DC26" s="4232"/>
      <c r="DD26" s="360"/>
    </row>
    <row r="27" spans="1:108" ht="12" customHeight="1">
      <c r="A27" s="360"/>
      <c r="B27" s="982"/>
      <c r="C27" s="8500" t="str">
        <f>IF(C26=0,"",VLOOKUP(C26,'Tablas psiquica'!$D$7:$R$296,2,FALSE))</f>
        <v/>
      </c>
      <c r="D27" s="8501"/>
      <c r="E27" s="8501"/>
      <c r="F27" s="8502"/>
      <c r="G27" s="8498" t="str" cm="1">
        <f t="array" ref="G27">IF(C26=0,"",IF(INDEX('Tablas psiquica'!$AU$5:$BS$5,1,Y7)=0,"No Accesible",IF(ISNA(VLOOKUP(C26,Psíquicos!$AS$17:$AS$44,1,0)),"Accesible CV","Aprendido")))</f>
        <v/>
      </c>
      <c r="H27" s="8499"/>
      <c r="I27" s="4242" t="str">
        <f>IF(C26=0,"",VLOOKUP(C26,'Tablas psiquica'!$D$7:$R$296,3,FALSE))</f>
        <v/>
      </c>
      <c r="J27" s="607"/>
      <c r="K27" s="8500" t="str">
        <f>IF(K26=0,"",VLOOKUP(K26,'Tablas psiquica'!$D$7:$R$296,2,FALSE))</f>
        <v/>
      </c>
      <c r="L27" s="8501"/>
      <c r="M27" s="8501"/>
      <c r="N27" s="8502"/>
      <c r="O27" s="8498" t="str" cm="1">
        <f t="array" ref="O27">IF(K26=0,"",IF(INDEX('Tablas psiquica'!$AU$5:$BS$5,1,Y7)=0,"No Accesible",IF(ISNA(VLOOKUP(K26,Psíquicos!$AS$17:$AS$44,1,0)),"Accesible CV","Aprendido")))</f>
        <v/>
      </c>
      <c r="P27" s="8499"/>
      <c r="Q27" s="4242" t="str">
        <f>IF(K26=0,"",VLOOKUP(K26,'Tablas psiquica'!$D$7:$R$296,3,FALSE))</f>
        <v/>
      </c>
      <c r="R27" s="982"/>
      <c r="S27" s="8500" t="str">
        <f>IF(S26=0,"",VLOOKUP(S26,'Tablas psiquica'!$D$7:$R$296,2,FALSE))</f>
        <v/>
      </c>
      <c r="T27" s="8501"/>
      <c r="U27" s="8501"/>
      <c r="V27" s="8502"/>
      <c r="W27" s="8498" t="str" cm="1">
        <f t="array" ref="W27">IF(OR(S26=0,S26=""),"",IF(INDEX('Tablas psiquica'!$AU$5:$BS$5,1,Y7)=0,"No Accesible",IF(ISNA(VLOOKUP(S26,Psíquicos!$AS$17:$AS$44,1,0)),"Accesible CV","Aprendido")))</f>
        <v/>
      </c>
      <c r="X27" s="8499"/>
      <c r="Y27" s="4242" t="str">
        <f>IF(S26=0,"",VLOOKUP(S26,'Tablas psiquica'!$D$7:$R$296,3,FALSE))</f>
        <v/>
      </c>
      <c r="Z27" s="4232"/>
      <c r="AA27" s="360"/>
      <c r="AB27" s="360"/>
      <c r="AC27" s="982"/>
      <c r="AD27" s="8500" t="str">
        <f>IF(AD26=0,"",VLOOKUP(AD26,'Tablas psiquica'!$D$7:$R$296,2,FALSE))</f>
        <v>Poderes Matriciales</v>
      </c>
      <c r="AE27" s="8501"/>
      <c r="AF27" s="8501"/>
      <c r="AG27" s="8502"/>
      <c r="AH27" s="8498" t="str" cm="1">
        <f t="array" ref="AH27">IF(AD26=0,"",IF(INDEX('Tablas psiquica'!$AU$5:$BS$5,1,AZ7)=0,"No Accesible",IF(ISNA(VLOOKUP(AD26,Psíquicos!$AS$17:$AS$44,1,0)),"Accesible CV","Aprendido")))</f>
        <v>Accesible CV</v>
      </c>
      <c r="AI27" s="8499"/>
      <c r="AJ27" s="4242" t="str">
        <f>IF(AD26=0,"",VLOOKUP(AD26,'Tablas psiquica'!$D$7:$R$296,3,FALSE))</f>
        <v>-</v>
      </c>
      <c r="AK27" s="607"/>
      <c r="AL27" s="8500" t="str">
        <f>IF(AL26=0,"",VLOOKUP(AL26,'Tablas psiquica'!$D$7:$R$296,2,FALSE))</f>
        <v/>
      </c>
      <c r="AM27" s="8501"/>
      <c r="AN27" s="8501"/>
      <c r="AO27" s="8502"/>
      <c r="AP27" s="8498" t="str" cm="1">
        <f t="array" ref="AP27">IF(AL26=0,"",IF(INDEX('Tablas psiquica'!$AU$5:$BS$5,1,AZ7)=0,"No Accesible",IF(ISNA(VLOOKUP(AL26,Psíquicos!$AS$17:$AS$44,1,0)),"Accesible CV","Aprendido")))</f>
        <v/>
      </c>
      <c r="AQ27" s="8499"/>
      <c r="AR27" s="4242" t="str">
        <f>IF(AL26=0,"",VLOOKUP(AL26,'Tablas psiquica'!$D$7:$R$296,3,FALSE))</f>
        <v/>
      </c>
      <c r="AS27" s="982"/>
      <c r="AT27" s="8500" t="str">
        <f>IF(AT26=0,"",VLOOKUP(AT26,'Tablas psiquica'!$D$7:$R$296,2,FALSE))</f>
        <v/>
      </c>
      <c r="AU27" s="8501"/>
      <c r="AV27" s="8501"/>
      <c r="AW27" s="8502"/>
      <c r="AX27" s="8498" t="str" cm="1">
        <f t="array" ref="AX27">IF(AT26=0,"",IF(INDEX('Tablas psiquica'!$AU$5:$BS$5,1,AZ7)=0,"No Accesible",IF(ISNA(VLOOKUP(AT26,Psíquicos!$AS$17:$AS$44,1,0)),"Accesible CV","Aprendido")))</f>
        <v/>
      </c>
      <c r="AY27" s="8499"/>
      <c r="AZ27" s="4242" t="str">
        <f>IF(AT26=0,"",VLOOKUP(AT26,'Tablas psiquica'!$D$7:$R$296,3,FALSE))</f>
        <v/>
      </c>
      <c r="BA27" s="4232"/>
      <c r="BB27" s="360"/>
      <c r="BC27" s="360"/>
      <c r="BD27" s="982"/>
      <c r="BE27" s="8500" t="str">
        <f>IF(BE26=0,"",VLOOKUP(BE26,'Tablas psiquica'!$D$7:$R$296,2,FALSE))</f>
        <v/>
      </c>
      <c r="BF27" s="8501"/>
      <c r="BG27" s="8501"/>
      <c r="BH27" s="8502"/>
      <c r="BI27" s="8498" t="str" cm="1">
        <f t="array" ref="BI27">IF(BE26=0,"",IF(INDEX('Tablas psiquica'!$AU$5:$BS$5,1,CA7)=0,"No Accesible",IF(ISNA(VLOOKUP(BE26,Psíquicos!$AS$17:$AS$44,1,0)),"Accesible CV","Aprendido")))</f>
        <v/>
      </c>
      <c r="BJ27" s="8499"/>
      <c r="BK27" s="4242" t="str">
        <f>IF(BE26=0,"",VLOOKUP(BE26,'Tablas psiquica'!$D$7:$R$296,3,FALSE))</f>
        <v/>
      </c>
      <c r="BL27" s="607"/>
      <c r="BM27" s="8500" t="str">
        <f>IF(BM26=0,"",VLOOKUP(BM26,'Tablas psiquica'!$D$7:$R$296,2,FALSE))</f>
        <v/>
      </c>
      <c r="BN27" s="8501"/>
      <c r="BO27" s="8501"/>
      <c r="BP27" s="8502"/>
      <c r="BQ27" s="8498" t="str" cm="1">
        <f t="array" ref="BQ27">IF(BM26=0,"",IF(INDEX('Tablas psiquica'!$AU$5:$BS$5,1,CA7)=0,"No Accesible",IF(ISNA(VLOOKUP(BM26,Psíquicos!$AS$17:$AS$44,1,0)),"Accesible CV","Aprendido")))</f>
        <v/>
      </c>
      <c r="BR27" s="8499"/>
      <c r="BS27" s="4242" t="str">
        <f>IF(BM26=0,"",VLOOKUP(BM26,'Tablas psiquica'!$D$7:$R$296,3,FALSE))</f>
        <v/>
      </c>
      <c r="BT27" s="982"/>
      <c r="BU27" s="8500" t="str">
        <f>IF(BU26=0,"",VLOOKUP(BU26,'Tablas psiquica'!$D$7:$R$296,2,FALSE))</f>
        <v/>
      </c>
      <c r="BV27" s="8501"/>
      <c r="BW27" s="8501"/>
      <c r="BX27" s="8502"/>
      <c r="BY27" s="8498" t="str" cm="1">
        <f t="array" ref="BY27">IF(BU26=0,"",IF(INDEX('Tablas psiquica'!$AU$5:$BS$5,1,CA7)=0,"No Accesible",IF(ISNA(VLOOKUP(BU26,Psíquicos!$AS$17:$AS$44,1,0)),"Accesible CV","Aprendido")))</f>
        <v/>
      </c>
      <c r="BZ27" s="8499"/>
      <c r="CA27" s="4242" t="str">
        <f>IF(BU26=0,"",VLOOKUP(BU26,'Tablas psiquica'!$D$7:$R$296,3,FALSE))</f>
        <v/>
      </c>
      <c r="CB27" s="4232"/>
      <c r="CC27" s="360"/>
      <c r="CD27" s="360"/>
      <c r="CE27" s="982"/>
      <c r="CF27" s="8500" t="str">
        <f>IF(CF26=0,"",VLOOKUP(CF26,'Tablas psiquica'!$D$7:$R$296,2,FALSE))</f>
        <v/>
      </c>
      <c r="CG27" s="8501"/>
      <c r="CH27" s="8501"/>
      <c r="CI27" s="8502"/>
      <c r="CJ27" s="8498" t="str" cm="1">
        <f t="array" ref="CJ27">IF(CF26=0,"",IF(INDEX('Tablas psiquica'!$AU$5:$BS$5,1,DB7)=0,"No Accesible",IF(ISNA(VLOOKUP(CF26,Psíquicos!$AS$17:$AS$44,1,0)),"Accesible CV","Aprendido")))</f>
        <v/>
      </c>
      <c r="CK27" s="8499"/>
      <c r="CL27" s="4242" t="str">
        <f>IF(CF26=0,"",VLOOKUP(CF26,'Tablas psiquica'!$D$7:$R$296,3,FALSE))</f>
        <v/>
      </c>
      <c r="CM27" s="607"/>
      <c r="CN27" s="8500" t="str">
        <f>IF(CN26=0,"",VLOOKUP(CN26,'Tablas psiquica'!$D$7:$R$296,2,FALSE))</f>
        <v/>
      </c>
      <c r="CO27" s="8501"/>
      <c r="CP27" s="8501"/>
      <c r="CQ27" s="8502"/>
      <c r="CR27" s="8498" t="str" cm="1">
        <f t="array" ref="CR27">IF(CN26=0,"",IF(INDEX('Tablas psiquica'!$AU$5:$BS$5,1,DB7)=0,"No Accesible",IF(ISNA(VLOOKUP(CN26,Psíquicos!$AS$17:$AS$44,1,0)),"Accesible CV","Aprendido")))</f>
        <v/>
      </c>
      <c r="CS27" s="8499"/>
      <c r="CT27" s="4242" t="str">
        <f>IF(CN26=0,"",VLOOKUP(CN26,'Tablas psiquica'!$D$7:$R$296,3,FALSE))</f>
        <v/>
      </c>
      <c r="CU27" s="982"/>
      <c r="CV27" s="8500" t="str">
        <f>IF(CV26=0,"",VLOOKUP(CV26,'Tablas psiquica'!$D$7:$R$296,2,FALSE))</f>
        <v/>
      </c>
      <c r="CW27" s="8501"/>
      <c r="CX27" s="8501"/>
      <c r="CY27" s="8502"/>
      <c r="CZ27" s="8498" t="str" cm="1">
        <f t="array" ref="CZ27">IF(CV26=0,"",IF(INDEX('Tablas psiquica'!$AU$5:$BS$5,1,DB7)=0,"No Accesible",IF(ISNA(VLOOKUP(CV26,Psíquicos!$AS$17:$AS$44,1,0)),"Accesible CV","Aprendido")))</f>
        <v/>
      </c>
      <c r="DA27" s="8499"/>
      <c r="DB27" s="4242" t="str">
        <f>IF(CV26=0,"",VLOOKUP(CV26,'Tablas psiquica'!$D$7:$R$296,3,FALSE))</f>
        <v/>
      </c>
      <c r="DC27" s="4232"/>
      <c r="DD27" s="360"/>
    </row>
    <row r="28" spans="1:108" ht="12" customHeight="1">
      <c r="A28" s="360"/>
      <c r="B28" s="982"/>
      <c r="C28" s="1455">
        <v>20</v>
      </c>
      <c r="D28" s="8477" t="s">
        <v>1577</v>
      </c>
      <c r="E28" s="8392"/>
      <c r="F28" s="8475" t="str">
        <f>IF(C26=0,"",VLOOKUP(C26,'Tablas psiquica'!$D$7:$R$296,6,FALSE))</f>
        <v/>
      </c>
      <c r="G28" s="7145"/>
      <c r="H28" s="7145"/>
      <c r="I28" s="8476"/>
      <c r="J28" s="607"/>
      <c r="K28" s="1455">
        <v>20</v>
      </c>
      <c r="L28" s="8477" t="s">
        <v>1577</v>
      </c>
      <c r="M28" s="8392"/>
      <c r="N28" s="8475" t="str">
        <f>IF(K26=0,"",VLOOKUP(K26,'Tablas psiquica'!$D$7:$R$296,6,FALSE))</f>
        <v/>
      </c>
      <c r="O28" s="7145"/>
      <c r="P28" s="7145"/>
      <c r="Q28" s="8476"/>
      <c r="R28" s="982"/>
      <c r="S28" s="1455">
        <v>20</v>
      </c>
      <c r="T28" s="8477" t="s">
        <v>1577</v>
      </c>
      <c r="U28" s="8392"/>
      <c r="V28" s="8475" t="str">
        <f>IF(S26=0,"",VLOOKUP(S26,'Tablas psiquica'!$D$7:$R$296,6,FALSE))</f>
        <v/>
      </c>
      <c r="W28" s="7145"/>
      <c r="X28" s="7145"/>
      <c r="Y28" s="8476"/>
      <c r="Z28" s="4232"/>
      <c r="AA28" s="360"/>
      <c r="AB28" s="360"/>
      <c r="AC28" s="982"/>
      <c r="AD28" s="1455">
        <v>20</v>
      </c>
      <c r="AE28" s="8477" t="s">
        <v>1577</v>
      </c>
      <c r="AF28" s="8392"/>
      <c r="AG28" s="8475" t="str">
        <f>IF(AD26=0,"",VLOOKUP(AD26,'Tablas psiquica'!$D$7:$R$296,6,FALSE))</f>
        <v>Fatiga 6</v>
      </c>
      <c r="AH28" s="7145"/>
      <c r="AI28" s="7145"/>
      <c r="AJ28" s="8476"/>
      <c r="AK28" s="607"/>
      <c r="AL28" s="1455">
        <v>20</v>
      </c>
      <c r="AM28" s="8477" t="s">
        <v>1577</v>
      </c>
      <c r="AN28" s="8392"/>
      <c r="AO28" s="8475" t="str">
        <f>IF(AL26=0,"",VLOOKUP(AL26,'Tablas psiquica'!$D$7:$R$296,6,FALSE))</f>
        <v/>
      </c>
      <c r="AP28" s="7145"/>
      <c r="AQ28" s="7145"/>
      <c r="AR28" s="8476"/>
      <c r="AS28" s="982"/>
      <c r="AT28" s="1455">
        <v>20</v>
      </c>
      <c r="AU28" s="8477" t="s">
        <v>1577</v>
      </c>
      <c r="AV28" s="8392"/>
      <c r="AW28" s="8475" t="str">
        <f>IF(AT26=0,"",VLOOKUP(AT26,'Tablas psiquica'!$D$7:$R$296,6,FALSE))</f>
        <v/>
      </c>
      <c r="AX28" s="7145"/>
      <c r="AY28" s="7145"/>
      <c r="AZ28" s="8476"/>
      <c r="BA28" s="4232"/>
      <c r="BB28" s="360"/>
      <c r="BC28" s="360"/>
      <c r="BD28" s="982"/>
      <c r="BE28" s="1455">
        <v>20</v>
      </c>
      <c r="BF28" s="8477" t="s">
        <v>1577</v>
      </c>
      <c r="BG28" s="8392"/>
      <c r="BH28" s="8475" t="str">
        <f>IF(BE26=0,"",VLOOKUP(BE26,'Tablas psiquica'!$D$7:$R$296,6,FALSE))</f>
        <v/>
      </c>
      <c r="BI28" s="7145"/>
      <c r="BJ28" s="7145"/>
      <c r="BK28" s="8476"/>
      <c r="BL28" s="607"/>
      <c r="BM28" s="1455">
        <v>20</v>
      </c>
      <c r="BN28" s="8477" t="s">
        <v>1577</v>
      </c>
      <c r="BO28" s="8392"/>
      <c r="BP28" s="8475" t="str">
        <f>IF(BM26=0,"",VLOOKUP(BM26,'Tablas psiquica'!$D$7:$R$296,6,FALSE))</f>
        <v/>
      </c>
      <c r="BQ28" s="7145"/>
      <c r="BR28" s="7145"/>
      <c r="BS28" s="8476"/>
      <c r="BT28" s="982"/>
      <c r="BU28" s="1455">
        <v>20</v>
      </c>
      <c r="BV28" s="8477" t="s">
        <v>1577</v>
      </c>
      <c r="BW28" s="8392"/>
      <c r="BX28" s="8475" t="str">
        <f>IF(BU26=0,"",VLOOKUP(BU26,'Tablas psiquica'!$D$7:$R$296,6,FALSE))</f>
        <v/>
      </c>
      <c r="BY28" s="7145"/>
      <c r="BZ28" s="7145"/>
      <c r="CA28" s="8476"/>
      <c r="CB28" s="4232"/>
      <c r="CC28" s="360"/>
      <c r="CD28" s="360"/>
      <c r="CE28" s="982"/>
      <c r="CF28" s="1455">
        <v>20</v>
      </c>
      <c r="CG28" s="8477" t="s">
        <v>1577</v>
      </c>
      <c r="CH28" s="8392"/>
      <c r="CI28" s="8475" t="str">
        <f>IF(CF26=0,"",VLOOKUP(CF26,'Tablas psiquica'!$D$7:$R$296,6,FALSE))</f>
        <v/>
      </c>
      <c r="CJ28" s="7145"/>
      <c r="CK28" s="7145"/>
      <c r="CL28" s="8476"/>
      <c r="CM28" s="607"/>
      <c r="CN28" s="1455">
        <v>20</v>
      </c>
      <c r="CO28" s="8477" t="s">
        <v>1577</v>
      </c>
      <c r="CP28" s="8392"/>
      <c r="CQ28" s="8475" t="str">
        <f>IF(CN26=0,"",VLOOKUP(CN26,'Tablas psiquica'!$D$7:$R$296,6,FALSE))</f>
        <v/>
      </c>
      <c r="CR28" s="7145"/>
      <c r="CS28" s="7145"/>
      <c r="CT28" s="8476"/>
      <c r="CU28" s="982"/>
      <c r="CV28" s="1455">
        <v>20</v>
      </c>
      <c r="CW28" s="8477" t="s">
        <v>1577</v>
      </c>
      <c r="CX28" s="8392"/>
      <c r="CY28" s="8475" t="str">
        <f>IF(CV26=0,"",VLOOKUP(CV26,'Tablas psiquica'!$D$7:$R$296,6,FALSE))</f>
        <v/>
      </c>
      <c r="CZ28" s="7145"/>
      <c r="DA28" s="7145"/>
      <c r="DB28" s="8476"/>
      <c r="DC28" s="4232"/>
      <c r="DD28" s="360"/>
    </row>
    <row r="29" spans="1:108" ht="12" customHeight="1">
      <c r="A29" s="360"/>
      <c r="B29" s="982"/>
      <c r="C29" s="1454">
        <v>40</v>
      </c>
      <c r="D29" s="8472" t="s">
        <v>1579</v>
      </c>
      <c r="E29" s="8387"/>
      <c r="F29" s="8473" t="str">
        <f>IF(C26=0,"",VLOOKUP(C26,'Tablas psiquica'!$D$7:$R$296,7,FALSE))</f>
        <v/>
      </c>
      <c r="G29" s="8258"/>
      <c r="H29" s="8258"/>
      <c r="I29" s="8474"/>
      <c r="J29" s="607"/>
      <c r="K29" s="1454">
        <v>40</v>
      </c>
      <c r="L29" s="8472" t="s">
        <v>1579</v>
      </c>
      <c r="M29" s="8387"/>
      <c r="N29" s="8473" t="str">
        <f>IF(K26=0,"",VLOOKUP(K26,'Tablas psiquica'!$D$7:$R$296,7,FALSE))</f>
        <v/>
      </c>
      <c r="O29" s="8258"/>
      <c r="P29" s="8258"/>
      <c r="Q29" s="8474"/>
      <c r="R29" s="982"/>
      <c r="S29" s="1454">
        <v>40</v>
      </c>
      <c r="T29" s="8472" t="s">
        <v>1579</v>
      </c>
      <c r="U29" s="8387"/>
      <c r="V29" s="8473" t="str">
        <f>IF(S26=0,"",VLOOKUP(S26,'Tablas psiquica'!$D$7:$R$296,7,FALSE))</f>
        <v/>
      </c>
      <c r="W29" s="8258"/>
      <c r="X29" s="8258"/>
      <c r="Y29" s="8474"/>
      <c r="Z29" s="4232"/>
      <c r="AA29" s="360"/>
      <c r="AB29" s="360"/>
      <c r="AC29" s="982"/>
      <c r="AD29" s="1454">
        <v>40</v>
      </c>
      <c r="AE29" s="8472" t="s">
        <v>1579</v>
      </c>
      <c r="AF29" s="8387"/>
      <c r="AG29" s="8473" t="str">
        <f>IF(AD26=0,"",VLOOKUP(AD26,'Tablas psiquica'!$D$7:$R$296,7,FALSE))</f>
        <v>Fatiga 4</v>
      </c>
      <c r="AH29" s="8258"/>
      <c r="AI29" s="8258"/>
      <c r="AJ29" s="8474"/>
      <c r="AK29" s="607"/>
      <c r="AL29" s="1454">
        <v>40</v>
      </c>
      <c r="AM29" s="8472" t="s">
        <v>1579</v>
      </c>
      <c r="AN29" s="8387"/>
      <c r="AO29" s="8473" t="str">
        <f>IF(AL26=0,"",VLOOKUP(AL26,'Tablas psiquica'!$D$7:$R$296,7,FALSE))</f>
        <v/>
      </c>
      <c r="AP29" s="8258"/>
      <c r="AQ29" s="8258"/>
      <c r="AR29" s="8474"/>
      <c r="AS29" s="982"/>
      <c r="AT29" s="1454">
        <v>40</v>
      </c>
      <c r="AU29" s="8472" t="s">
        <v>1579</v>
      </c>
      <c r="AV29" s="8387"/>
      <c r="AW29" s="8473" t="str">
        <f>IF(AT26=0,"",VLOOKUP(AT26,'Tablas psiquica'!$D$7:$R$296,7,FALSE))</f>
        <v/>
      </c>
      <c r="AX29" s="8258"/>
      <c r="AY29" s="8258"/>
      <c r="AZ29" s="8474"/>
      <c r="BA29" s="4232"/>
      <c r="BB29" s="360"/>
      <c r="BC29" s="360"/>
      <c r="BD29" s="982"/>
      <c r="BE29" s="1454">
        <v>40</v>
      </c>
      <c r="BF29" s="8472" t="s">
        <v>1579</v>
      </c>
      <c r="BG29" s="8387"/>
      <c r="BH29" s="8473" t="str">
        <f>IF(BE26=0,"",VLOOKUP(BE26,'Tablas psiquica'!$D$7:$R$296,7,FALSE))</f>
        <v/>
      </c>
      <c r="BI29" s="8258"/>
      <c r="BJ29" s="8258"/>
      <c r="BK29" s="8474"/>
      <c r="BL29" s="607"/>
      <c r="BM29" s="1454">
        <v>40</v>
      </c>
      <c r="BN29" s="8472" t="s">
        <v>1579</v>
      </c>
      <c r="BO29" s="8387"/>
      <c r="BP29" s="8473" t="str">
        <f>IF(BM26=0,"",VLOOKUP(BM26,'Tablas psiquica'!$D$7:$R$296,7,FALSE))</f>
        <v/>
      </c>
      <c r="BQ29" s="8258"/>
      <c r="BR29" s="8258"/>
      <c r="BS29" s="8474"/>
      <c r="BT29" s="982"/>
      <c r="BU29" s="1454">
        <v>40</v>
      </c>
      <c r="BV29" s="8472" t="s">
        <v>1579</v>
      </c>
      <c r="BW29" s="8387"/>
      <c r="BX29" s="8473" t="str">
        <f>IF(BU26=0,"",VLOOKUP(BU26,'Tablas psiquica'!$D$7:$R$296,7,FALSE))</f>
        <v/>
      </c>
      <c r="BY29" s="8258"/>
      <c r="BZ29" s="8258"/>
      <c r="CA29" s="8474"/>
      <c r="CB29" s="4232"/>
      <c r="CC29" s="360"/>
      <c r="CD29" s="360"/>
      <c r="CE29" s="982"/>
      <c r="CF29" s="1454">
        <v>40</v>
      </c>
      <c r="CG29" s="8472" t="s">
        <v>1579</v>
      </c>
      <c r="CH29" s="8387"/>
      <c r="CI29" s="8473" t="str">
        <f>IF(CF26=0,"",VLOOKUP(CF26,'Tablas psiquica'!$D$7:$R$296,7,FALSE))</f>
        <v/>
      </c>
      <c r="CJ29" s="8258"/>
      <c r="CK29" s="8258"/>
      <c r="CL29" s="8474"/>
      <c r="CM29" s="607"/>
      <c r="CN29" s="1454">
        <v>40</v>
      </c>
      <c r="CO29" s="8472" t="s">
        <v>1579</v>
      </c>
      <c r="CP29" s="8387"/>
      <c r="CQ29" s="8473" t="str">
        <f>IF(CN26=0,"",VLOOKUP(CN26,'Tablas psiquica'!$D$7:$R$296,7,FALSE))</f>
        <v/>
      </c>
      <c r="CR29" s="8258"/>
      <c r="CS29" s="8258"/>
      <c r="CT29" s="8474"/>
      <c r="CU29" s="982"/>
      <c r="CV29" s="1454">
        <v>40</v>
      </c>
      <c r="CW29" s="8472" t="s">
        <v>1579</v>
      </c>
      <c r="CX29" s="8387"/>
      <c r="CY29" s="8473" t="str">
        <f>IF(CV26=0,"",VLOOKUP(CV26,'Tablas psiquica'!$D$7:$R$296,7,FALSE))</f>
        <v/>
      </c>
      <c r="CZ29" s="8258"/>
      <c r="DA29" s="8258"/>
      <c r="DB29" s="8474"/>
      <c r="DC29" s="4232"/>
      <c r="DD29" s="360"/>
    </row>
    <row r="30" spans="1:108" ht="12" customHeight="1">
      <c r="A30" s="360"/>
      <c r="B30" s="982"/>
      <c r="C30" s="1455">
        <v>80</v>
      </c>
      <c r="D30" s="8477" t="s">
        <v>1582</v>
      </c>
      <c r="E30" s="8392"/>
      <c r="F30" s="8475" t="str">
        <f>IF(C26=0,"",VLOOKUP(C26,'Tablas psiquica'!$D$7:$R$296,8,FALSE))</f>
        <v/>
      </c>
      <c r="G30" s="7145"/>
      <c r="H30" s="7145"/>
      <c r="I30" s="8476"/>
      <c r="J30" s="607"/>
      <c r="K30" s="1455">
        <v>80</v>
      </c>
      <c r="L30" s="8477" t="s">
        <v>1582</v>
      </c>
      <c r="M30" s="8392"/>
      <c r="N30" s="8475" t="str">
        <f>IF(K26=0,"",VLOOKUP(K26,'Tablas psiquica'!$D$7:$R$296,8,FALSE))</f>
        <v/>
      </c>
      <c r="O30" s="7145"/>
      <c r="P30" s="7145"/>
      <c r="Q30" s="8476"/>
      <c r="R30" s="982"/>
      <c r="S30" s="1455">
        <v>80</v>
      </c>
      <c r="T30" s="8477" t="s">
        <v>1582</v>
      </c>
      <c r="U30" s="8392"/>
      <c r="V30" s="8475" t="str">
        <f>IF(S26=0,"",VLOOKUP(S26,'Tablas psiquica'!$D$7:$R$296,8,FALSE))</f>
        <v/>
      </c>
      <c r="W30" s="7145"/>
      <c r="X30" s="7145"/>
      <c r="Y30" s="8476"/>
      <c r="Z30" s="4232"/>
      <c r="AA30" s="360"/>
      <c r="AB30" s="360"/>
      <c r="AC30" s="982"/>
      <c r="AD30" s="1455">
        <v>80</v>
      </c>
      <c r="AE30" s="8477" t="s">
        <v>1582</v>
      </c>
      <c r="AF30" s="8392"/>
      <c r="AG30" s="8475" t="str">
        <f>IF(AD26=0,"",VLOOKUP(AD26,'Tablas psiquica'!$D$7:$R$296,8,FALSE))</f>
        <v>Fatiga 2</v>
      </c>
      <c r="AH30" s="7145"/>
      <c r="AI30" s="7145"/>
      <c r="AJ30" s="8476"/>
      <c r="AK30" s="607"/>
      <c r="AL30" s="1455">
        <v>80</v>
      </c>
      <c r="AM30" s="8477" t="s">
        <v>1582</v>
      </c>
      <c r="AN30" s="8392"/>
      <c r="AO30" s="8475" t="str">
        <f>IF(AL26=0,"",VLOOKUP(AL26,'Tablas psiquica'!$D$7:$R$296,8,FALSE))</f>
        <v/>
      </c>
      <c r="AP30" s="7145"/>
      <c r="AQ30" s="7145"/>
      <c r="AR30" s="8476"/>
      <c r="AS30" s="982"/>
      <c r="AT30" s="1455">
        <v>80</v>
      </c>
      <c r="AU30" s="8477" t="s">
        <v>1582</v>
      </c>
      <c r="AV30" s="8392"/>
      <c r="AW30" s="8475" t="str">
        <f>IF(AT26=0,"",VLOOKUP(AT26,'Tablas psiquica'!$D$7:$R$296,8,FALSE))</f>
        <v/>
      </c>
      <c r="AX30" s="7145"/>
      <c r="AY30" s="7145"/>
      <c r="AZ30" s="8476"/>
      <c r="BA30" s="4232"/>
      <c r="BB30" s="360"/>
      <c r="BC30" s="360"/>
      <c r="BD30" s="982"/>
      <c r="BE30" s="1455">
        <v>80</v>
      </c>
      <c r="BF30" s="8477" t="s">
        <v>1582</v>
      </c>
      <c r="BG30" s="8392"/>
      <c r="BH30" s="8475" t="str">
        <f>IF(BE26=0,"",VLOOKUP(BE26,'Tablas psiquica'!$D$7:$R$296,8,FALSE))</f>
        <v/>
      </c>
      <c r="BI30" s="7145"/>
      <c r="BJ30" s="7145"/>
      <c r="BK30" s="8476"/>
      <c r="BL30" s="607"/>
      <c r="BM30" s="1455">
        <v>80</v>
      </c>
      <c r="BN30" s="8477" t="s">
        <v>1582</v>
      </c>
      <c r="BO30" s="8392"/>
      <c r="BP30" s="8475" t="str">
        <f>IF(BM26=0,"",VLOOKUP(BM26,'Tablas psiquica'!$D$7:$R$296,8,FALSE))</f>
        <v/>
      </c>
      <c r="BQ30" s="7145"/>
      <c r="BR30" s="7145"/>
      <c r="BS30" s="8476"/>
      <c r="BT30" s="982"/>
      <c r="BU30" s="1455">
        <v>80</v>
      </c>
      <c r="BV30" s="8477" t="s">
        <v>1582</v>
      </c>
      <c r="BW30" s="8392"/>
      <c r="BX30" s="8475" t="str">
        <f>IF(BU26=0,"",VLOOKUP(BU26,'Tablas psiquica'!$D$7:$R$296,8,FALSE))</f>
        <v/>
      </c>
      <c r="BY30" s="7145"/>
      <c r="BZ30" s="7145"/>
      <c r="CA30" s="8476"/>
      <c r="CB30" s="4232"/>
      <c r="CC30" s="360"/>
      <c r="CD30" s="360"/>
      <c r="CE30" s="982"/>
      <c r="CF30" s="1455">
        <v>80</v>
      </c>
      <c r="CG30" s="8477" t="s">
        <v>1582</v>
      </c>
      <c r="CH30" s="8392"/>
      <c r="CI30" s="8475" t="str">
        <f>IF(CF26=0,"",VLOOKUP(CF26,'Tablas psiquica'!$D$7:$R$296,8,FALSE))</f>
        <v/>
      </c>
      <c r="CJ30" s="7145"/>
      <c r="CK30" s="7145"/>
      <c r="CL30" s="8476"/>
      <c r="CM30" s="607"/>
      <c r="CN30" s="1455">
        <v>80</v>
      </c>
      <c r="CO30" s="8477" t="s">
        <v>1582</v>
      </c>
      <c r="CP30" s="8392"/>
      <c r="CQ30" s="8475" t="str">
        <f>IF(CN26=0,"",VLOOKUP(CN26,'Tablas psiquica'!$D$7:$R$296,8,FALSE))</f>
        <v/>
      </c>
      <c r="CR30" s="7145"/>
      <c r="CS30" s="7145"/>
      <c r="CT30" s="8476"/>
      <c r="CU30" s="982"/>
      <c r="CV30" s="1455">
        <v>80</v>
      </c>
      <c r="CW30" s="8477" t="s">
        <v>1582</v>
      </c>
      <c r="CX30" s="8392"/>
      <c r="CY30" s="8475" t="str">
        <f>IF(CV26=0,"",VLOOKUP(CV26,'Tablas psiquica'!$D$7:$R$296,8,FALSE))</f>
        <v/>
      </c>
      <c r="CZ30" s="7145"/>
      <c r="DA30" s="7145"/>
      <c r="DB30" s="8476"/>
      <c r="DC30" s="4232"/>
      <c r="DD30" s="360"/>
    </row>
    <row r="31" spans="1:108" ht="12" customHeight="1">
      <c r="A31" s="360"/>
      <c r="B31" s="982"/>
      <c r="C31" s="1454">
        <v>120</v>
      </c>
      <c r="D31" s="8472" t="s">
        <v>1585</v>
      </c>
      <c r="E31" s="8387"/>
      <c r="F31" s="8473" t="str">
        <f>IF(C26=0,"",VLOOKUP(C26,'Tablas psiquica'!$D$7:$R$296,9,FALSE))</f>
        <v/>
      </c>
      <c r="G31" s="8258"/>
      <c r="H31" s="8258"/>
      <c r="I31" s="8474"/>
      <c r="J31" s="607"/>
      <c r="K31" s="1454">
        <v>120</v>
      </c>
      <c r="L31" s="8472" t="s">
        <v>1585</v>
      </c>
      <c r="M31" s="8387"/>
      <c r="N31" s="8473" t="str">
        <f>IF(K26=0,"",VLOOKUP(K26,'Tablas psiquica'!$D$7:$R$296,9,FALSE))</f>
        <v/>
      </c>
      <c r="O31" s="8258"/>
      <c r="P31" s="8258"/>
      <c r="Q31" s="8474"/>
      <c r="R31" s="982"/>
      <c r="S31" s="1454">
        <v>120</v>
      </c>
      <c r="T31" s="8472" t="s">
        <v>1585</v>
      </c>
      <c r="U31" s="8387"/>
      <c r="V31" s="8473" t="str">
        <f>IF(S26=0,"",VLOOKUP(S26,'Tablas psiquica'!$D$7:$R$296,9,FALSE))</f>
        <v/>
      </c>
      <c r="W31" s="8258"/>
      <c r="X31" s="8258"/>
      <c r="Y31" s="8474"/>
      <c r="Z31" s="4232"/>
      <c r="AA31" s="360"/>
      <c r="AB31" s="360"/>
      <c r="AC31" s="982"/>
      <c r="AD31" s="1454">
        <v>120</v>
      </c>
      <c r="AE31" s="8472" t="s">
        <v>1585</v>
      </c>
      <c r="AF31" s="8387"/>
      <c r="AG31" s="8473" t="str">
        <f>IF(AD26=0,"",VLOOKUP(AD26,'Tablas psiquica'!$D$7:$R$296,9,FALSE))</f>
        <v>2 indivíduos</v>
      </c>
      <c r="AH31" s="8258"/>
      <c r="AI31" s="8258"/>
      <c r="AJ31" s="8474"/>
      <c r="AK31" s="607"/>
      <c r="AL31" s="1454">
        <v>120</v>
      </c>
      <c r="AM31" s="8472" t="s">
        <v>1585</v>
      </c>
      <c r="AN31" s="8387"/>
      <c r="AO31" s="8473" t="str">
        <f>IF(AL26=0,"",VLOOKUP(AL26,'Tablas psiquica'!$D$7:$R$296,9,FALSE))</f>
        <v/>
      </c>
      <c r="AP31" s="8258"/>
      <c r="AQ31" s="8258"/>
      <c r="AR31" s="8474"/>
      <c r="AS31" s="982"/>
      <c r="AT31" s="1454">
        <v>120</v>
      </c>
      <c r="AU31" s="8472" t="s">
        <v>1585</v>
      </c>
      <c r="AV31" s="8387"/>
      <c r="AW31" s="8473" t="str">
        <f>IF(AT26=0,"",VLOOKUP(AT26,'Tablas psiquica'!$D$7:$R$296,9,FALSE))</f>
        <v/>
      </c>
      <c r="AX31" s="8258"/>
      <c r="AY31" s="8258"/>
      <c r="AZ31" s="8474"/>
      <c r="BA31" s="4232"/>
      <c r="BB31" s="360"/>
      <c r="BC31" s="360"/>
      <c r="BD31" s="982"/>
      <c r="BE31" s="1454">
        <v>120</v>
      </c>
      <c r="BF31" s="8472" t="s">
        <v>1585</v>
      </c>
      <c r="BG31" s="8387"/>
      <c r="BH31" s="8473" t="str">
        <f>IF(BE26=0,"",VLOOKUP(BE26,'Tablas psiquica'!$D$7:$R$296,9,FALSE))</f>
        <v/>
      </c>
      <c r="BI31" s="8258"/>
      <c r="BJ31" s="8258"/>
      <c r="BK31" s="8474"/>
      <c r="BL31" s="607"/>
      <c r="BM31" s="1454">
        <v>120</v>
      </c>
      <c r="BN31" s="8472" t="s">
        <v>1585</v>
      </c>
      <c r="BO31" s="8387"/>
      <c r="BP31" s="8473" t="str">
        <f>IF(BM26=0,"",VLOOKUP(BM26,'Tablas psiquica'!$D$7:$R$296,9,FALSE))</f>
        <v/>
      </c>
      <c r="BQ31" s="8258"/>
      <c r="BR31" s="8258"/>
      <c r="BS31" s="8474"/>
      <c r="BT31" s="982"/>
      <c r="BU31" s="1454">
        <v>120</v>
      </c>
      <c r="BV31" s="8472" t="s">
        <v>1585</v>
      </c>
      <c r="BW31" s="8387"/>
      <c r="BX31" s="8473" t="str">
        <f>IF(BU26=0,"",VLOOKUP(BU26,'Tablas psiquica'!$D$7:$R$296,9,FALSE))</f>
        <v/>
      </c>
      <c r="BY31" s="8258"/>
      <c r="BZ31" s="8258"/>
      <c r="CA31" s="8474"/>
      <c r="CB31" s="4232"/>
      <c r="CC31" s="360"/>
      <c r="CD31" s="360"/>
      <c r="CE31" s="982"/>
      <c r="CF31" s="1454">
        <v>120</v>
      </c>
      <c r="CG31" s="8472" t="s">
        <v>1585</v>
      </c>
      <c r="CH31" s="8387"/>
      <c r="CI31" s="8473" t="str">
        <f>IF(CF26=0,"",VLOOKUP(CF26,'Tablas psiquica'!$D$7:$R$296,9,FALSE))</f>
        <v/>
      </c>
      <c r="CJ31" s="8258"/>
      <c r="CK31" s="8258"/>
      <c r="CL31" s="8474"/>
      <c r="CM31" s="607"/>
      <c r="CN31" s="1454">
        <v>120</v>
      </c>
      <c r="CO31" s="8472" t="s">
        <v>1585</v>
      </c>
      <c r="CP31" s="8387"/>
      <c r="CQ31" s="8473" t="str">
        <f>IF(CN26=0,"",VLOOKUP(CN26,'Tablas psiquica'!$D$7:$R$296,9,FALSE))</f>
        <v/>
      </c>
      <c r="CR31" s="8258"/>
      <c r="CS31" s="8258"/>
      <c r="CT31" s="8474"/>
      <c r="CU31" s="982"/>
      <c r="CV31" s="1454">
        <v>120</v>
      </c>
      <c r="CW31" s="8472" t="s">
        <v>1585</v>
      </c>
      <c r="CX31" s="8387"/>
      <c r="CY31" s="8473" t="str">
        <f>IF(CV26=0,"",VLOOKUP(CV26,'Tablas psiquica'!$D$7:$R$296,9,FALSE))</f>
        <v/>
      </c>
      <c r="CZ31" s="8258"/>
      <c r="DA31" s="8258"/>
      <c r="DB31" s="8474"/>
      <c r="DC31" s="4232"/>
      <c r="DD31" s="360"/>
    </row>
    <row r="32" spans="1:108" ht="12" customHeight="1">
      <c r="A32" s="360"/>
      <c r="B32" s="982"/>
      <c r="C32" s="1455">
        <v>140</v>
      </c>
      <c r="D32" s="8477" t="s">
        <v>5822</v>
      </c>
      <c r="E32" s="8392"/>
      <c r="F32" s="8475" t="str">
        <f>IF(C26=0,"",VLOOKUP(C26,'Tablas psiquica'!$D$7:$R$296,10,FALSE))</f>
        <v/>
      </c>
      <c r="G32" s="7145"/>
      <c r="H32" s="7145"/>
      <c r="I32" s="8476"/>
      <c r="J32" s="607"/>
      <c r="K32" s="1455">
        <v>140</v>
      </c>
      <c r="L32" s="8477" t="s">
        <v>5822</v>
      </c>
      <c r="M32" s="8392"/>
      <c r="N32" s="8475" t="str">
        <f>IF(K26=0,"",VLOOKUP(K26,'Tablas psiquica'!$D$7:$R$296,10,FALSE))</f>
        <v/>
      </c>
      <c r="O32" s="7145"/>
      <c r="P32" s="7145"/>
      <c r="Q32" s="8476"/>
      <c r="R32" s="982"/>
      <c r="S32" s="1455">
        <v>140</v>
      </c>
      <c r="T32" s="8477" t="s">
        <v>5822</v>
      </c>
      <c r="U32" s="8392"/>
      <c r="V32" s="8475" t="str">
        <f>IF(S26=0,"",VLOOKUP(S26,'Tablas psiquica'!$D$7:$R$296,10,FALSE))</f>
        <v/>
      </c>
      <c r="W32" s="7145"/>
      <c r="X32" s="7145"/>
      <c r="Y32" s="8476"/>
      <c r="Z32" s="4232"/>
      <c r="AA32" s="360"/>
      <c r="AB32" s="360"/>
      <c r="AC32" s="982"/>
      <c r="AD32" s="1455">
        <v>140</v>
      </c>
      <c r="AE32" s="8477" t="s">
        <v>5822</v>
      </c>
      <c r="AF32" s="8392"/>
      <c r="AG32" s="8475" t="str">
        <f>IF(AD26=0,"",VLOOKUP(AD26,'Tablas psiquica'!$D$7:$R$296,10,FALSE))</f>
        <v>3 indivíduos</v>
      </c>
      <c r="AH32" s="7145"/>
      <c r="AI32" s="7145"/>
      <c r="AJ32" s="8476"/>
      <c r="AK32" s="607"/>
      <c r="AL32" s="1455">
        <v>140</v>
      </c>
      <c r="AM32" s="8477" t="s">
        <v>5822</v>
      </c>
      <c r="AN32" s="8392"/>
      <c r="AO32" s="8475" t="str">
        <f>IF(AL26=0,"",VLOOKUP(AL26,'Tablas psiquica'!$D$7:$R$296,10,FALSE))</f>
        <v/>
      </c>
      <c r="AP32" s="7145"/>
      <c r="AQ32" s="7145"/>
      <c r="AR32" s="8476"/>
      <c r="AS32" s="982"/>
      <c r="AT32" s="1455">
        <v>140</v>
      </c>
      <c r="AU32" s="8477" t="s">
        <v>5822</v>
      </c>
      <c r="AV32" s="8392"/>
      <c r="AW32" s="8475" t="str">
        <f>IF(AT26=0,"",VLOOKUP(AT26,'Tablas psiquica'!$D$7:$R$296,10,FALSE))</f>
        <v/>
      </c>
      <c r="AX32" s="7145"/>
      <c r="AY32" s="7145"/>
      <c r="AZ32" s="8476"/>
      <c r="BA32" s="4232"/>
      <c r="BB32" s="360"/>
      <c r="BC32" s="360"/>
      <c r="BD32" s="982"/>
      <c r="BE32" s="1455">
        <v>140</v>
      </c>
      <c r="BF32" s="8477" t="s">
        <v>5822</v>
      </c>
      <c r="BG32" s="8392"/>
      <c r="BH32" s="8475" t="str">
        <f>IF(BE26=0,"",VLOOKUP(BE26,'Tablas psiquica'!$D$7:$R$296,10,FALSE))</f>
        <v/>
      </c>
      <c r="BI32" s="7145"/>
      <c r="BJ32" s="7145"/>
      <c r="BK32" s="8476"/>
      <c r="BL32" s="607"/>
      <c r="BM32" s="1455">
        <v>140</v>
      </c>
      <c r="BN32" s="8477" t="s">
        <v>5822</v>
      </c>
      <c r="BO32" s="8392"/>
      <c r="BP32" s="8475" t="str">
        <f>IF(BM26=0,"",VLOOKUP(BM26,'Tablas psiquica'!$D$7:$R$296,10,FALSE))</f>
        <v/>
      </c>
      <c r="BQ32" s="7145"/>
      <c r="BR32" s="7145"/>
      <c r="BS32" s="8476"/>
      <c r="BT32" s="982"/>
      <c r="BU32" s="1455">
        <v>140</v>
      </c>
      <c r="BV32" s="8477" t="s">
        <v>5822</v>
      </c>
      <c r="BW32" s="8392"/>
      <c r="BX32" s="8475" t="str">
        <f>IF(BU26=0,"",VLOOKUP(BU26,'Tablas psiquica'!$D$7:$R$296,10,FALSE))</f>
        <v/>
      </c>
      <c r="BY32" s="7145"/>
      <c r="BZ32" s="7145"/>
      <c r="CA32" s="8476"/>
      <c r="CB32" s="4232"/>
      <c r="CC32" s="360"/>
      <c r="CD32" s="360"/>
      <c r="CE32" s="982"/>
      <c r="CF32" s="1455">
        <v>140</v>
      </c>
      <c r="CG32" s="8477" t="s">
        <v>5822</v>
      </c>
      <c r="CH32" s="8392"/>
      <c r="CI32" s="8475" t="str">
        <f>IF(CF26=0,"",VLOOKUP(CF26,'Tablas psiquica'!$D$7:$R$296,10,FALSE))</f>
        <v/>
      </c>
      <c r="CJ32" s="7145"/>
      <c r="CK32" s="7145"/>
      <c r="CL32" s="8476"/>
      <c r="CM32" s="607"/>
      <c r="CN32" s="1455">
        <v>140</v>
      </c>
      <c r="CO32" s="8477" t="s">
        <v>5822</v>
      </c>
      <c r="CP32" s="8392"/>
      <c r="CQ32" s="8475" t="str">
        <f>IF(CN26=0,"",VLOOKUP(CN26,'Tablas psiquica'!$D$7:$R$296,10,FALSE))</f>
        <v/>
      </c>
      <c r="CR32" s="7145"/>
      <c r="CS32" s="7145"/>
      <c r="CT32" s="8476"/>
      <c r="CU32" s="982"/>
      <c r="CV32" s="1455">
        <v>140</v>
      </c>
      <c r="CW32" s="8477" t="s">
        <v>5822</v>
      </c>
      <c r="CX32" s="8392"/>
      <c r="CY32" s="8475" t="str">
        <f>IF(CV26=0,"",VLOOKUP(CV26,'Tablas psiquica'!$D$7:$R$296,10,FALSE))</f>
        <v/>
      </c>
      <c r="CZ32" s="7145"/>
      <c r="DA32" s="7145"/>
      <c r="DB32" s="8476"/>
      <c r="DC32" s="4232"/>
      <c r="DD32" s="360"/>
    </row>
    <row r="33" spans="1:108" ht="12" customHeight="1">
      <c r="A33" s="360"/>
      <c r="B33" s="982"/>
      <c r="C33" s="1454">
        <v>180</v>
      </c>
      <c r="D33" s="8472" t="s">
        <v>1589</v>
      </c>
      <c r="E33" s="8387"/>
      <c r="F33" s="8473" t="str">
        <f>IF(C26=0,"",VLOOKUP(C26,'Tablas psiquica'!$D$7:$R$296,11,FALSE))</f>
        <v/>
      </c>
      <c r="G33" s="8258"/>
      <c r="H33" s="8258"/>
      <c r="I33" s="8474"/>
      <c r="J33" s="607"/>
      <c r="K33" s="1454">
        <v>180</v>
      </c>
      <c r="L33" s="8472" t="s">
        <v>1589</v>
      </c>
      <c r="M33" s="8387"/>
      <c r="N33" s="8473" t="str">
        <f>IF(K26=0,"",VLOOKUP(K26,'Tablas psiquica'!$D$7:$R$296,11,FALSE))</f>
        <v/>
      </c>
      <c r="O33" s="8258"/>
      <c r="P33" s="8258"/>
      <c r="Q33" s="8474"/>
      <c r="R33" s="982"/>
      <c r="S33" s="1454">
        <v>180</v>
      </c>
      <c r="T33" s="8472" t="s">
        <v>1589</v>
      </c>
      <c r="U33" s="8387"/>
      <c r="V33" s="8473" t="str">
        <f>IF(S26=0,"",VLOOKUP(S26,'Tablas psiquica'!$D$7:$R$296,11,FALSE))</f>
        <v/>
      </c>
      <c r="W33" s="8258"/>
      <c r="X33" s="8258"/>
      <c r="Y33" s="8474"/>
      <c r="Z33" s="4232"/>
      <c r="AA33" s="360"/>
      <c r="AB33" s="360"/>
      <c r="AC33" s="982"/>
      <c r="AD33" s="1454">
        <v>180</v>
      </c>
      <c r="AE33" s="8472" t="s">
        <v>1589</v>
      </c>
      <c r="AF33" s="8387"/>
      <c r="AG33" s="8473" t="str">
        <f>IF(AD26=0,"",VLOOKUP(AD26,'Tablas psiquica'!$D$7:$R$296,11,FALSE))</f>
        <v>4 indivíduos</v>
      </c>
      <c r="AH33" s="8258"/>
      <c r="AI33" s="8258"/>
      <c r="AJ33" s="8474"/>
      <c r="AK33" s="607"/>
      <c r="AL33" s="1454">
        <v>180</v>
      </c>
      <c r="AM33" s="8472" t="s">
        <v>1589</v>
      </c>
      <c r="AN33" s="8387"/>
      <c r="AO33" s="8473" t="str">
        <f>IF(AL26=0,"",VLOOKUP(AL26,'Tablas psiquica'!$D$7:$R$296,11,FALSE))</f>
        <v/>
      </c>
      <c r="AP33" s="8258"/>
      <c r="AQ33" s="8258"/>
      <c r="AR33" s="8474"/>
      <c r="AS33" s="982"/>
      <c r="AT33" s="1454">
        <v>180</v>
      </c>
      <c r="AU33" s="8472" t="s">
        <v>1589</v>
      </c>
      <c r="AV33" s="8387"/>
      <c r="AW33" s="8473" t="str">
        <f>IF(AT26=0,"",VLOOKUP(AT26,'Tablas psiquica'!$D$7:$R$296,11,FALSE))</f>
        <v/>
      </c>
      <c r="AX33" s="8258"/>
      <c r="AY33" s="8258"/>
      <c r="AZ33" s="8474"/>
      <c r="BA33" s="4232"/>
      <c r="BB33" s="360"/>
      <c r="BC33" s="360"/>
      <c r="BD33" s="982"/>
      <c r="BE33" s="1454">
        <v>180</v>
      </c>
      <c r="BF33" s="8472" t="s">
        <v>1589</v>
      </c>
      <c r="BG33" s="8387"/>
      <c r="BH33" s="8473" t="str">
        <f>IF(BE26=0,"",VLOOKUP(BE26,'Tablas psiquica'!$D$7:$R$296,11,FALSE))</f>
        <v/>
      </c>
      <c r="BI33" s="8258"/>
      <c r="BJ33" s="8258"/>
      <c r="BK33" s="8474"/>
      <c r="BL33" s="607"/>
      <c r="BM33" s="1454">
        <v>180</v>
      </c>
      <c r="BN33" s="8472" t="s">
        <v>1589</v>
      </c>
      <c r="BO33" s="8387"/>
      <c r="BP33" s="8473" t="str">
        <f>IF(BM26=0,"",VLOOKUP(BM26,'Tablas psiquica'!$D$7:$R$296,11,FALSE))</f>
        <v/>
      </c>
      <c r="BQ33" s="8258"/>
      <c r="BR33" s="8258"/>
      <c r="BS33" s="8474"/>
      <c r="BT33" s="982"/>
      <c r="BU33" s="1454">
        <v>180</v>
      </c>
      <c r="BV33" s="8472" t="s">
        <v>1589</v>
      </c>
      <c r="BW33" s="8387"/>
      <c r="BX33" s="8473" t="str">
        <f>IF(BU26=0,"",VLOOKUP(BU26,'Tablas psiquica'!$D$7:$R$296,11,FALSE))</f>
        <v/>
      </c>
      <c r="BY33" s="8258"/>
      <c r="BZ33" s="8258"/>
      <c r="CA33" s="8474"/>
      <c r="CB33" s="4232"/>
      <c r="CC33" s="360"/>
      <c r="CD33" s="360"/>
      <c r="CE33" s="982"/>
      <c r="CF33" s="1454">
        <v>180</v>
      </c>
      <c r="CG33" s="8472" t="s">
        <v>1589</v>
      </c>
      <c r="CH33" s="8387"/>
      <c r="CI33" s="8473" t="str">
        <f>IF(CF26=0,"",VLOOKUP(CF26,'Tablas psiquica'!$D$7:$R$296,11,FALSE))</f>
        <v/>
      </c>
      <c r="CJ33" s="8258"/>
      <c r="CK33" s="8258"/>
      <c r="CL33" s="8474"/>
      <c r="CM33" s="607"/>
      <c r="CN33" s="1454">
        <v>180</v>
      </c>
      <c r="CO33" s="8472" t="s">
        <v>1589</v>
      </c>
      <c r="CP33" s="8387"/>
      <c r="CQ33" s="8473" t="str">
        <f>IF(CN26=0,"",VLOOKUP(CN26,'Tablas psiquica'!$D$7:$R$296,11,FALSE))</f>
        <v/>
      </c>
      <c r="CR33" s="8258"/>
      <c r="CS33" s="8258"/>
      <c r="CT33" s="8474"/>
      <c r="CU33" s="982"/>
      <c r="CV33" s="1454">
        <v>180</v>
      </c>
      <c r="CW33" s="8472" t="s">
        <v>1589</v>
      </c>
      <c r="CX33" s="8387"/>
      <c r="CY33" s="8473" t="str">
        <f>IF(CV26=0,"",VLOOKUP(CV26,'Tablas psiquica'!$D$7:$R$296,11,FALSE))</f>
        <v/>
      </c>
      <c r="CZ33" s="8258"/>
      <c r="DA33" s="8258"/>
      <c r="DB33" s="8474"/>
      <c r="DC33" s="4232"/>
      <c r="DD33" s="360"/>
    </row>
    <row r="34" spans="1:108" ht="12" customHeight="1">
      <c r="A34" s="360"/>
      <c r="B34" s="982"/>
      <c r="C34" s="1455">
        <v>240</v>
      </c>
      <c r="D34" s="8477" t="s">
        <v>5823</v>
      </c>
      <c r="E34" s="8392"/>
      <c r="F34" s="8475" t="str">
        <f>IF(C26=0,"",VLOOKUP(C26,'Tablas psiquica'!$D$7:$R$296,12,FALSE))</f>
        <v/>
      </c>
      <c r="G34" s="7145"/>
      <c r="H34" s="7145"/>
      <c r="I34" s="8476"/>
      <c r="J34" s="607"/>
      <c r="K34" s="1455">
        <v>240</v>
      </c>
      <c r="L34" s="8477" t="s">
        <v>5823</v>
      </c>
      <c r="M34" s="8392"/>
      <c r="N34" s="8475" t="str">
        <f>IF(K26=0,"",VLOOKUP(K26,'Tablas psiquica'!$D$7:$R$296,12,FALSE))</f>
        <v/>
      </c>
      <c r="O34" s="7145"/>
      <c r="P34" s="7145"/>
      <c r="Q34" s="8476"/>
      <c r="R34" s="982"/>
      <c r="S34" s="1455">
        <v>240</v>
      </c>
      <c r="T34" s="8477" t="s">
        <v>5823</v>
      </c>
      <c r="U34" s="8392"/>
      <c r="V34" s="8475" t="str">
        <f>IF(S26=0,"",VLOOKUP(S26,'Tablas psiquica'!$D$7:$R$296,12,FALSE))</f>
        <v/>
      </c>
      <c r="W34" s="7145"/>
      <c r="X34" s="7145"/>
      <c r="Y34" s="8476"/>
      <c r="Z34" s="4232"/>
      <c r="AA34" s="360"/>
      <c r="AB34" s="360"/>
      <c r="AC34" s="982"/>
      <c r="AD34" s="1455">
        <v>240</v>
      </c>
      <c r="AE34" s="8477" t="s">
        <v>5823</v>
      </c>
      <c r="AF34" s="8392"/>
      <c r="AG34" s="8475" t="str">
        <f>IF(AD26=0,"",VLOOKUP(AD26,'Tablas psiquica'!$D$7:$R$296,12,FALSE))</f>
        <v>6 indivíduos</v>
      </c>
      <c r="AH34" s="7145"/>
      <c r="AI34" s="7145"/>
      <c r="AJ34" s="8476"/>
      <c r="AK34" s="607"/>
      <c r="AL34" s="1455">
        <v>240</v>
      </c>
      <c r="AM34" s="8477" t="s">
        <v>5823</v>
      </c>
      <c r="AN34" s="8392"/>
      <c r="AO34" s="8475" t="str">
        <f>IF(AL26=0,"",VLOOKUP(AL26,'Tablas psiquica'!$D$7:$R$296,12,FALSE))</f>
        <v/>
      </c>
      <c r="AP34" s="7145"/>
      <c r="AQ34" s="7145"/>
      <c r="AR34" s="8476"/>
      <c r="AS34" s="982"/>
      <c r="AT34" s="1455">
        <v>240</v>
      </c>
      <c r="AU34" s="8477" t="s">
        <v>5823</v>
      </c>
      <c r="AV34" s="8392"/>
      <c r="AW34" s="8475" t="str">
        <f>IF(AT26=0,"",VLOOKUP(AT26,'Tablas psiquica'!$D$7:$R$296,12,FALSE))</f>
        <v/>
      </c>
      <c r="AX34" s="7145"/>
      <c r="AY34" s="7145"/>
      <c r="AZ34" s="8476"/>
      <c r="BA34" s="4232"/>
      <c r="BB34" s="360"/>
      <c r="BC34" s="360"/>
      <c r="BD34" s="982"/>
      <c r="BE34" s="1455">
        <v>240</v>
      </c>
      <c r="BF34" s="8477" t="s">
        <v>5823</v>
      </c>
      <c r="BG34" s="8392"/>
      <c r="BH34" s="8475" t="str">
        <f>IF(BE26=0,"",VLOOKUP(BE26,'Tablas psiquica'!$D$7:$R$296,12,FALSE))</f>
        <v/>
      </c>
      <c r="BI34" s="7145"/>
      <c r="BJ34" s="7145"/>
      <c r="BK34" s="8476"/>
      <c r="BL34" s="607"/>
      <c r="BM34" s="1455">
        <v>240</v>
      </c>
      <c r="BN34" s="8477" t="s">
        <v>5823</v>
      </c>
      <c r="BO34" s="8392"/>
      <c r="BP34" s="8475" t="str">
        <f>IF(BM26=0,"",VLOOKUP(BM26,'Tablas psiquica'!$D$7:$R$296,12,FALSE))</f>
        <v/>
      </c>
      <c r="BQ34" s="7145"/>
      <c r="BR34" s="7145"/>
      <c r="BS34" s="8476"/>
      <c r="BT34" s="982"/>
      <c r="BU34" s="1455">
        <v>240</v>
      </c>
      <c r="BV34" s="8477" t="s">
        <v>5823</v>
      </c>
      <c r="BW34" s="8392"/>
      <c r="BX34" s="8475" t="str">
        <f>IF(BU26=0,"",VLOOKUP(BU26,'Tablas psiquica'!$D$7:$R$296,12,FALSE))</f>
        <v/>
      </c>
      <c r="BY34" s="7145"/>
      <c r="BZ34" s="7145"/>
      <c r="CA34" s="8476"/>
      <c r="CB34" s="4232"/>
      <c r="CC34" s="360"/>
      <c r="CD34" s="360"/>
      <c r="CE34" s="982"/>
      <c r="CF34" s="1455">
        <v>240</v>
      </c>
      <c r="CG34" s="8477" t="s">
        <v>5823</v>
      </c>
      <c r="CH34" s="8392"/>
      <c r="CI34" s="8475" t="str">
        <f>IF(CF26=0,"",VLOOKUP(CF26,'Tablas psiquica'!$D$7:$R$296,12,FALSE))</f>
        <v/>
      </c>
      <c r="CJ34" s="7145"/>
      <c r="CK34" s="7145"/>
      <c r="CL34" s="8476"/>
      <c r="CM34" s="607"/>
      <c r="CN34" s="1455">
        <v>240</v>
      </c>
      <c r="CO34" s="8477" t="s">
        <v>5823</v>
      </c>
      <c r="CP34" s="8392"/>
      <c r="CQ34" s="8475" t="str">
        <f>IF(CN26=0,"",VLOOKUP(CN26,'Tablas psiquica'!$D$7:$R$296,12,FALSE))</f>
        <v/>
      </c>
      <c r="CR34" s="7145"/>
      <c r="CS34" s="7145"/>
      <c r="CT34" s="8476"/>
      <c r="CU34" s="982"/>
      <c r="CV34" s="1455">
        <v>240</v>
      </c>
      <c r="CW34" s="8477" t="s">
        <v>5823</v>
      </c>
      <c r="CX34" s="8392"/>
      <c r="CY34" s="8475" t="str">
        <f>IF(CV26=0,"",VLOOKUP(CV26,'Tablas psiquica'!$D$7:$R$296,12,FALSE))</f>
        <v/>
      </c>
      <c r="CZ34" s="7145"/>
      <c r="DA34" s="7145"/>
      <c r="DB34" s="8476"/>
      <c r="DC34" s="4232"/>
      <c r="DD34" s="360"/>
    </row>
    <row r="35" spans="1:108" ht="12" customHeight="1">
      <c r="A35" s="360"/>
      <c r="B35" s="982"/>
      <c r="C35" s="1454">
        <v>280</v>
      </c>
      <c r="D35" s="8472" t="s">
        <v>1592</v>
      </c>
      <c r="E35" s="8387"/>
      <c r="F35" s="8473" t="str">
        <f>IF(C26=0,"",VLOOKUP(C26,'Tablas psiquica'!$D$7:$R$296,13,FALSE))</f>
        <v/>
      </c>
      <c r="G35" s="8258"/>
      <c r="H35" s="8258"/>
      <c r="I35" s="8474"/>
      <c r="J35" s="607"/>
      <c r="K35" s="1454">
        <v>280</v>
      </c>
      <c r="L35" s="8472" t="s">
        <v>1592</v>
      </c>
      <c r="M35" s="8387"/>
      <c r="N35" s="8473" t="str">
        <f>IF(K26=0,"",VLOOKUP(K26,'Tablas psiquica'!$D$7:$R$296,13,FALSE))</f>
        <v/>
      </c>
      <c r="O35" s="8258"/>
      <c r="P35" s="8258"/>
      <c r="Q35" s="8474"/>
      <c r="R35" s="982"/>
      <c r="S35" s="1454">
        <v>280</v>
      </c>
      <c r="T35" s="8472" t="s">
        <v>1592</v>
      </c>
      <c r="U35" s="8387"/>
      <c r="V35" s="8473" t="str">
        <f>IF(S26=0,"",VLOOKUP(S26,'Tablas psiquica'!$D$7:$R$296,13,FALSE))</f>
        <v/>
      </c>
      <c r="W35" s="8258"/>
      <c r="X35" s="8258"/>
      <c r="Y35" s="8474"/>
      <c r="Z35" s="4232"/>
      <c r="AA35" s="360"/>
      <c r="AB35" s="360"/>
      <c r="AC35" s="982"/>
      <c r="AD35" s="1454">
        <v>280</v>
      </c>
      <c r="AE35" s="8472" t="s">
        <v>1592</v>
      </c>
      <c r="AF35" s="8387"/>
      <c r="AG35" s="8473" t="str">
        <f>IF(AD26=0,"",VLOOKUP(AD26,'Tablas psiquica'!$D$7:$R$296,13,FALSE))</f>
        <v>8 indivíduos</v>
      </c>
      <c r="AH35" s="8258"/>
      <c r="AI35" s="8258"/>
      <c r="AJ35" s="8474"/>
      <c r="AK35" s="607"/>
      <c r="AL35" s="1454">
        <v>280</v>
      </c>
      <c r="AM35" s="8472" t="s">
        <v>1592</v>
      </c>
      <c r="AN35" s="8387"/>
      <c r="AO35" s="8473" t="str">
        <f>IF(AL26=0,"",VLOOKUP(AL26,'Tablas psiquica'!$D$7:$R$296,13,FALSE))</f>
        <v/>
      </c>
      <c r="AP35" s="8258"/>
      <c r="AQ35" s="8258"/>
      <c r="AR35" s="8474"/>
      <c r="AS35" s="982"/>
      <c r="AT35" s="1454">
        <v>280</v>
      </c>
      <c r="AU35" s="8472" t="s">
        <v>1592</v>
      </c>
      <c r="AV35" s="8387"/>
      <c r="AW35" s="8473" t="str">
        <f>IF(AT26=0,"",VLOOKUP(AT26,'Tablas psiquica'!$D$7:$R$296,13,FALSE))</f>
        <v/>
      </c>
      <c r="AX35" s="8258"/>
      <c r="AY35" s="8258"/>
      <c r="AZ35" s="8474"/>
      <c r="BA35" s="4232"/>
      <c r="BB35" s="360"/>
      <c r="BC35" s="360"/>
      <c r="BD35" s="982"/>
      <c r="BE35" s="1454">
        <v>280</v>
      </c>
      <c r="BF35" s="8472" t="s">
        <v>1592</v>
      </c>
      <c r="BG35" s="8387"/>
      <c r="BH35" s="8473" t="str">
        <f>IF(BE26=0,"",VLOOKUP(BE26,'Tablas psiquica'!$D$7:$R$296,13,FALSE))</f>
        <v/>
      </c>
      <c r="BI35" s="8258"/>
      <c r="BJ35" s="8258"/>
      <c r="BK35" s="8474"/>
      <c r="BL35" s="607"/>
      <c r="BM35" s="1454">
        <v>280</v>
      </c>
      <c r="BN35" s="8472" t="s">
        <v>1592</v>
      </c>
      <c r="BO35" s="8387"/>
      <c r="BP35" s="8473" t="str">
        <f>IF(BM26=0,"",VLOOKUP(BM26,'Tablas psiquica'!$D$7:$R$296,13,FALSE))</f>
        <v/>
      </c>
      <c r="BQ35" s="8258"/>
      <c r="BR35" s="8258"/>
      <c r="BS35" s="8474"/>
      <c r="BT35" s="982"/>
      <c r="BU35" s="1454">
        <v>280</v>
      </c>
      <c r="BV35" s="8472" t="s">
        <v>1592</v>
      </c>
      <c r="BW35" s="8387"/>
      <c r="BX35" s="8473" t="str">
        <f>IF(BU26=0,"",VLOOKUP(BU26,'Tablas psiquica'!$D$7:$R$296,13,FALSE))</f>
        <v/>
      </c>
      <c r="BY35" s="8258"/>
      <c r="BZ35" s="8258"/>
      <c r="CA35" s="8474"/>
      <c r="CB35" s="4232"/>
      <c r="CC35" s="360"/>
      <c r="CD35" s="360"/>
      <c r="CE35" s="982"/>
      <c r="CF35" s="1454">
        <v>280</v>
      </c>
      <c r="CG35" s="8472" t="s">
        <v>1592</v>
      </c>
      <c r="CH35" s="8387"/>
      <c r="CI35" s="8473" t="str">
        <f>IF(CF26=0,"",VLOOKUP(CF26,'Tablas psiquica'!$D$7:$R$296,13,FALSE))</f>
        <v/>
      </c>
      <c r="CJ35" s="8258"/>
      <c r="CK35" s="8258"/>
      <c r="CL35" s="8474"/>
      <c r="CM35" s="607"/>
      <c r="CN35" s="1454">
        <v>280</v>
      </c>
      <c r="CO35" s="8472" t="s">
        <v>1592</v>
      </c>
      <c r="CP35" s="8387"/>
      <c r="CQ35" s="8473" t="str">
        <f>IF(CN26=0,"",VLOOKUP(CN26,'Tablas psiquica'!$D$7:$R$296,13,FALSE))</f>
        <v/>
      </c>
      <c r="CR35" s="8258"/>
      <c r="CS35" s="8258"/>
      <c r="CT35" s="8474"/>
      <c r="CU35" s="982"/>
      <c r="CV35" s="1454">
        <v>280</v>
      </c>
      <c r="CW35" s="8472" t="s">
        <v>1592</v>
      </c>
      <c r="CX35" s="8387"/>
      <c r="CY35" s="8473" t="str">
        <f>IF(CV26=0,"",VLOOKUP(CV26,'Tablas psiquica'!$D$7:$R$296,13,FALSE))</f>
        <v/>
      </c>
      <c r="CZ35" s="8258"/>
      <c r="DA35" s="8258"/>
      <c r="DB35" s="8474"/>
      <c r="DC35" s="4232"/>
      <c r="DD35" s="360"/>
    </row>
    <row r="36" spans="1:108" ht="12" customHeight="1">
      <c r="A36" s="360"/>
      <c r="B36" s="982"/>
      <c r="C36" s="1455">
        <v>320</v>
      </c>
      <c r="D36" s="8477" t="s">
        <v>1594</v>
      </c>
      <c r="E36" s="8392"/>
      <c r="F36" s="8475" t="str">
        <f>IF(C26=0,"",VLOOKUP(C26,'Tablas psiquica'!$D$7:$R$296,14,FALSE))</f>
        <v/>
      </c>
      <c r="G36" s="7145"/>
      <c r="H36" s="7145"/>
      <c r="I36" s="8476"/>
      <c r="J36" s="607"/>
      <c r="K36" s="1455">
        <v>320</v>
      </c>
      <c r="L36" s="8477" t="s">
        <v>1594</v>
      </c>
      <c r="M36" s="8392"/>
      <c r="N36" s="8475" t="str">
        <f>IF(K26=0,"",VLOOKUP(K26,'Tablas psiquica'!$D$7:$R$296,14,FALSE))</f>
        <v/>
      </c>
      <c r="O36" s="7145"/>
      <c r="P36" s="7145"/>
      <c r="Q36" s="8476"/>
      <c r="R36" s="982"/>
      <c r="S36" s="1455">
        <v>320</v>
      </c>
      <c r="T36" s="8477" t="s">
        <v>1594</v>
      </c>
      <c r="U36" s="8392"/>
      <c r="V36" s="8475" t="str">
        <f>IF(S26=0,"",VLOOKUP(S26,'Tablas psiquica'!$D$7:$R$296,14,FALSE))</f>
        <v/>
      </c>
      <c r="W36" s="7145"/>
      <c r="X36" s="7145"/>
      <c r="Y36" s="8476"/>
      <c r="Z36" s="4232"/>
      <c r="AA36" s="360"/>
      <c r="AB36" s="360"/>
      <c r="AC36" s="982"/>
      <c r="AD36" s="1455">
        <v>320</v>
      </c>
      <c r="AE36" s="8477" t="s">
        <v>1594</v>
      </c>
      <c r="AF36" s="8392"/>
      <c r="AG36" s="8475" t="str">
        <f>IF(AD26=0,"",VLOOKUP(AD26,'Tablas psiquica'!$D$7:$R$296,14,FALSE))</f>
        <v>10 indivíduos</v>
      </c>
      <c r="AH36" s="7145"/>
      <c r="AI36" s="7145"/>
      <c r="AJ36" s="8476"/>
      <c r="AK36" s="607"/>
      <c r="AL36" s="1455">
        <v>320</v>
      </c>
      <c r="AM36" s="8477" t="s">
        <v>1594</v>
      </c>
      <c r="AN36" s="8392"/>
      <c r="AO36" s="8475" t="str">
        <f>IF(AL26=0,"",VLOOKUP(AL26,'Tablas psiquica'!$D$7:$R$296,14,FALSE))</f>
        <v/>
      </c>
      <c r="AP36" s="7145"/>
      <c r="AQ36" s="7145"/>
      <c r="AR36" s="8476"/>
      <c r="AS36" s="982"/>
      <c r="AT36" s="1455">
        <v>320</v>
      </c>
      <c r="AU36" s="8477" t="s">
        <v>1594</v>
      </c>
      <c r="AV36" s="8392"/>
      <c r="AW36" s="8475" t="str">
        <f>IF(AT26=0,"",VLOOKUP(AT26,'Tablas psiquica'!$D$7:$R$296,14,FALSE))</f>
        <v/>
      </c>
      <c r="AX36" s="7145"/>
      <c r="AY36" s="7145"/>
      <c r="AZ36" s="8476"/>
      <c r="BA36" s="4232"/>
      <c r="BB36" s="360"/>
      <c r="BC36" s="360"/>
      <c r="BD36" s="982"/>
      <c r="BE36" s="1455">
        <v>320</v>
      </c>
      <c r="BF36" s="8477" t="s">
        <v>1594</v>
      </c>
      <c r="BG36" s="8392"/>
      <c r="BH36" s="8475" t="str">
        <f>IF(BE26=0,"",VLOOKUP(BE26,'Tablas psiquica'!$D$7:$R$296,14,FALSE))</f>
        <v/>
      </c>
      <c r="BI36" s="7145"/>
      <c r="BJ36" s="7145"/>
      <c r="BK36" s="8476"/>
      <c r="BL36" s="607"/>
      <c r="BM36" s="1455">
        <v>320</v>
      </c>
      <c r="BN36" s="8477" t="s">
        <v>1594</v>
      </c>
      <c r="BO36" s="8392"/>
      <c r="BP36" s="8475" t="str">
        <f>IF(BM26=0,"",VLOOKUP(BM26,'Tablas psiquica'!$D$7:$R$296,14,FALSE))</f>
        <v/>
      </c>
      <c r="BQ36" s="7145"/>
      <c r="BR36" s="7145"/>
      <c r="BS36" s="8476"/>
      <c r="BT36" s="982"/>
      <c r="BU36" s="1455">
        <v>320</v>
      </c>
      <c r="BV36" s="8477" t="s">
        <v>1594</v>
      </c>
      <c r="BW36" s="8392"/>
      <c r="BX36" s="8475" t="str">
        <f>IF(BU26=0,"",VLOOKUP(BU26,'Tablas psiquica'!$D$7:$R$296,14,FALSE))</f>
        <v/>
      </c>
      <c r="BY36" s="7145"/>
      <c r="BZ36" s="7145"/>
      <c r="CA36" s="8476"/>
      <c r="CB36" s="4232"/>
      <c r="CC36" s="360"/>
      <c r="CD36" s="360"/>
      <c r="CE36" s="982"/>
      <c r="CF36" s="1455">
        <v>320</v>
      </c>
      <c r="CG36" s="8477" t="s">
        <v>1594</v>
      </c>
      <c r="CH36" s="8392"/>
      <c r="CI36" s="8475" t="str">
        <f>IF(CF26=0,"",VLOOKUP(CF26,'Tablas psiquica'!$D$7:$R$296,14,FALSE))</f>
        <v/>
      </c>
      <c r="CJ36" s="7145"/>
      <c r="CK36" s="7145"/>
      <c r="CL36" s="8476"/>
      <c r="CM36" s="607"/>
      <c r="CN36" s="1455">
        <v>320</v>
      </c>
      <c r="CO36" s="8477" t="s">
        <v>1594</v>
      </c>
      <c r="CP36" s="8392"/>
      <c r="CQ36" s="8475" t="str">
        <f>IF(CN26=0,"",VLOOKUP(CN26,'Tablas psiquica'!$D$7:$R$296,14,FALSE))</f>
        <v/>
      </c>
      <c r="CR36" s="7145"/>
      <c r="CS36" s="7145"/>
      <c r="CT36" s="8476"/>
      <c r="CU36" s="982"/>
      <c r="CV36" s="1455">
        <v>320</v>
      </c>
      <c r="CW36" s="8477" t="s">
        <v>1594</v>
      </c>
      <c r="CX36" s="8392"/>
      <c r="CY36" s="8475" t="str">
        <f>IF(CV26=0,"",VLOOKUP(CV26,'Tablas psiquica'!$D$7:$R$296,14,FALSE))</f>
        <v/>
      </c>
      <c r="CZ36" s="7145"/>
      <c r="DA36" s="7145"/>
      <c r="DB36" s="8476"/>
      <c r="DC36" s="4232"/>
      <c r="DD36" s="360"/>
    </row>
    <row r="37" spans="1:108" ht="12" customHeight="1">
      <c r="A37" s="360"/>
      <c r="B37" s="982"/>
      <c r="C37" s="4243">
        <v>440</v>
      </c>
      <c r="D37" s="8478" t="s">
        <v>1537</v>
      </c>
      <c r="E37" s="8479"/>
      <c r="F37" s="8480" t="str">
        <f>IF(C26=0,"",VLOOKUP(C26,'Tablas psiquica'!$D$7:$R$296,15,FALSE))</f>
        <v/>
      </c>
      <c r="G37" s="8481"/>
      <c r="H37" s="8481"/>
      <c r="I37" s="8482"/>
      <c r="J37" s="607"/>
      <c r="K37" s="4243">
        <v>440</v>
      </c>
      <c r="L37" s="8478" t="s">
        <v>1537</v>
      </c>
      <c r="M37" s="8479"/>
      <c r="N37" s="8480" t="str">
        <f>IF(K26=0,"",VLOOKUP(K26,'Tablas psiquica'!$D$7:$R$296,15,FALSE))</f>
        <v/>
      </c>
      <c r="O37" s="8481"/>
      <c r="P37" s="8481"/>
      <c r="Q37" s="8482"/>
      <c r="R37" s="982"/>
      <c r="S37" s="4243">
        <v>440</v>
      </c>
      <c r="T37" s="8478" t="s">
        <v>1537</v>
      </c>
      <c r="U37" s="8479"/>
      <c r="V37" s="8480" t="str">
        <f>IF(S26=0,"",VLOOKUP(S26,'Tablas psiquica'!$D$7:$R$296,15,FALSE))</f>
        <v/>
      </c>
      <c r="W37" s="8481"/>
      <c r="X37" s="8481"/>
      <c r="Y37" s="8482"/>
      <c r="Z37" s="4232"/>
      <c r="AA37" s="360"/>
      <c r="AB37" s="360"/>
      <c r="AC37" s="982"/>
      <c r="AD37" s="4243">
        <v>440</v>
      </c>
      <c r="AE37" s="8478" t="s">
        <v>1537</v>
      </c>
      <c r="AF37" s="8479"/>
      <c r="AG37" s="8480" t="str">
        <f>IF(AD26=0,"",VLOOKUP(AD26,'Tablas psiquica'!$D$7:$R$296,15,FALSE))</f>
        <v>20 indivíduos</v>
      </c>
      <c r="AH37" s="8481"/>
      <c r="AI37" s="8481"/>
      <c r="AJ37" s="8482"/>
      <c r="AK37" s="607"/>
      <c r="AL37" s="4243">
        <v>440</v>
      </c>
      <c r="AM37" s="8478" t="s">
        <v>1537</v>
      </c>
      <c r="AN37" s="8479"/>
      <c r="AO37" s="8480" t="str">
        <f>IF(AL26=0,"",VLOOKUP(AL26,'Tablas psiquica'!$D$7:$R$296,15,FALSE))</f>
        <v/>
      </c>
      <c r="AP37" s="8481"/>
      <c r="AQ37" s="8481"/>
      <c r="AR37" s="8482"/>
      <c r="AS37" s="982"/>
      <c r="AT37" s="4243">
        <v>440</v>
      </c>
      <c r="AU37" s="8478" t="s">
        <v>1537</v>
      </c>
      <c r="AV37" s="8479"/>
      <c r="AW37" s="8480" t="str">
        <f>IF(AT26=0,"",VLOOKUP(AT26,'Tablas psiquica'!$D$7:$R$296,15,FALSE))</f>
        <v/>
      </c>
      <c r="AX37" s="8481"/>
      <c r="AY37" s="8481"/>
      <c r="AZ37" s="8482"/>
      <c r="BA37" s="4232"/>
      <c r="BB37" s="360"/>
      <c r="BC37" s="360"/>
      <c r="BD37" s="982"/>
      <c r="BE37" s="4243">
        <v>440</v>
      </c>
      <c r="BF37" s="8478" t="s">
        <v>1537</v>
      </c>
      <c r="BG37" s="8479"/>
      <c r="BH37" s="8480" t="str">
        <f>IF(BE26=0,"",VLOOKUP(BE26,'Tablas psiquica'!$D$7:$R$296,15,FALSE))</f>
        <v/>
      </c>
      <c r="BI37" s="8481"/>
      <c r="BJ37" s="8481"/>
      <c r="BK37" s="8482"/>
      <c r="BL37" s="607"/>
      <c r="BM37" s="4243">
        <v>440</v>
      </c>
      <c r="BN37" s="8478" t="s">
        <v>1537</v>
      </c>
      <c r="BO37" s="8479"/>
      <c r="BP37" s="8480" t="str">
        <f>IF(BM26=0,"",VLOOKUP(BM26,'Tablas psiquica'!$D$7:$R$296,15,FALSE))</f>
        <v/>
      </c>
      <c r="BQ37" s="8481"/>
      <c r="BR37" s="8481"/>
      <c r="BS37" s="8482"/>
      <c r="BT37" s="982"/>
      <c r="BU37" s="4243">
        <v>440</v>
      </c>
      <c r="BV37" s="8478" t="s">
        <v>1537</v>
      </c>
      <c r="BW37" s="8479"/>
      <c r="BX37" s="8480" t="str">
        <f>IF(BU26=0,"",VLOOKUP(BU26,'Tablas psiquica'!$D$7:$R$296,15,FALSE))</f>
        <v/>
      </c>
      <c r="BY37" s="8481"/>
      <c r="BZ37" s="8481"/>
      <c r="CA37" s="8482"/>
      <c r="CB37" s="4232"/>
      <c r="CC37" s="360"/>
      <c r="CD37" s="360"/>
      <c r="CE37" s="982"/>
      <c r="CF37" s="4243">
        <v>440</v>
      </c>
      <c r="CG37" s="8478" t="s">
        <v>1537</v>
      </c>
      <c r="CH37" s="8479"/>
      <c r="CI37" s="8480" t="str">
        <f>IF(CF26=0,"",VLOOKUP(CF26,'Tablas psiquica'!$D$7:$R$296,15,FALSE))</f>
        <v/>
      </c>
      <c r="CJ37" s="8481"/>
      <c r="CK37" s="8481"/>
      <c r="CL37" s="8482"/>
      <c r="CM37" s="607"/>
      <c r="CN37" s="4243">
        <v>440</v>
      </c>
      <c r="CO37" s="8478" t="s">
        <v>1537</v>
      </c>
      <c r="CP37" s="8479"/>
      <c r="CQ37" s="8480" t="str">
        <f>IF(CN26=0,"",VLOOKUP(CN26,'Tablas psiquica'!$D$7:$R$296,15,FALSE))</f>
        <v/>
      </c>
      <c r="CR37" s="8481"/>
      <c r="CS37" s="8481"/>
      <c r="CT37" s="8482"/>
      <c r="CU37" s="982"/>
      <c r="CV37" s="4243">
        <v>440</v>
      </c>
      <c r="CW37" s="8478" t="s">
        <v>1537</v>
      </c>
      <c r="CX37" s="8479"/>
      <c r="CY37" s="8480" t="str">
        <f>IF(CV26=0,"",VLOOKUP(CV26,'Tablas psiquica'!$D$7:$R$296,15,FALSE))</f>
        <v/>
      </c>
      <c r="CZ37" s="8481"/>
      <c r="DA37" s="8481"/>
      <c r="DB37" s="8482"/>
      <c r="DC37" s="4232"/>
      <c r="DD37" s="360"/>
    </row>
    <row r="38" spans="1:108" ht="12" customHeight="1">
      <c r="A38" s="360"/>
      <c r="B38" s="982"/>
      <c r="C38" s="8496" t="s">
        <v>5824</v>
      </c>
      <c r="D38" s="8490"/>
      <c r="E38" s="4244" t="str">
        <f>IF(C26=0,"",VLOOKUP(C26,'Tablas psiquica'!$D$7:$R$296,4,FALSE))</f>
        <v/>
      </c>
      <c r="F38" s="8483" t="s">
        <v>5819</v>
      </c>
      <c r="G38" s="8483"/>
      <c r="H38" s="8484" t="str">
        <f>IF(C26=0,"",VLOOKUP(C26,'Tablas psiquica'!$D$7:$R$296,5,FALSE))</f>
        <v/>
      </c>
      <c r="I38" s="8485"/>
      <c r="J38" s="607"/>
      <c r="K38" s="8496" t="s">
        <v>5824</v>
      </c>
      <c r="L38" s="8490"/>
      <c r="M38" s="4244" t="str">
        <f>IF(K26=0,"",VLOOKUP(K26,'Tablas psiquica'!$D$7:$R$296,4,FALSE))</f>
        <v/>
      </c>
      <c r="N38" s="8483" t="s">
        <v>5819</v>
      </c>
      <c r="O38" s="8483"/>
      <c r="P38" s="8484" t="str">
        <f>IF(K26=0,"",VLOOKUP(K26,'Tablas psiquica'!$D$7:$R$296,5,FALSE))</f>
        <v/>
      </c>
      <c r="Q38" s="8485"/>
      <c r="R38" s="982"/>
      <c r="S38" s="8496" t="s">
        <v>5824</v>
      </c>
      <c r="T38" s="8490"/>
      <c r="U38" s="4244" t="str">
        <f>IF(S26=0,"",VLOOKUP(S26,'Tablas psiquica'!$D$7:$R$296,4,FALSE))</f>
        <v/>
      </c>
      <c r="V38" s="8483" t="s">
        <v>5819</v>
      </c>
      <c r="W38" s="8483"/>
      <c r="X38" s="8484" t="str">
        <f>IF(S26=0,"",VLOOKUP(S26,'Tablas psiquica'!$D$7:$R$296,5,FALSE))</f>
        <v/>
      </c>
      <c r="Y38" s="8485"/>
      <c r="Z38" s="4232"/>
      <c r="AA38" s="360"/>
      <c r="AB38" s="360"/>
      <c r="AC38" s="982"/>
      <c r="AD38" s="8496" t="s">
        <v>5824</v>
      </c>
      <c r="AE38" s="8490"/>
      <c r="AF38" s="4244" t="str">
        <f>IF(AD26=0,"",VLOOKUP(AD26,'Tablas psiquica'!$D$7:$R$296,4,FALSE))</f>
        <v>Sí</v>
      </c>
      <c r="AG38" s="8483" t="s">
        <v>5819</v>
      </c>
      <c r="AH38" s="8483"/>
      <c r="AI38" s="8484" t="str">
        <f>IF(AD26=0,"",VLOOKUP(AD26,'Tablas psiquica'!$D$7:$R$296,5,FALSE))</f>
        <v>Activa</v>
      </c>
      <c r="AJ38" s="8485"/>
      <c r="AK38" s="607"/>
      <c r="AL38" s="8496" t="s">
        <v>5824</v>
      </c>
      <c r="AM38" s="8490"/>
      <c r="AN38" s="4244" t="str">
        <f>IF(AL26=0,"",VLOOKUP(AL26,'Tablas psiquica'!$D$7:$R$296,4,FALSE))</f>
        <v/>
      </c>
      <c r="AO38" s="8483" t="s">
        <v>5819</v>
      </c>
      <c r="AP38" s="8483"/>
      <c r="AQ38" s="8484" t="str">
        <f>IF(AL26=0,"",VLOOKUP(AL26,'Tablas psiquica'!$D$7:$R$296,5,FALSE))</f>
        <v/>
      </c>
      <c r="AR38" s="8485"/>
      <c r="AS38" s="982"/>
      <c r="AT38" s="8496" t="s">
        <v>5824</v>
      </c>
      <c r="AU38" s="8490"/>
      <c r="AV38" s="4244" t="str">
        <f>IF(AT26=0,"",VLOOKUP(AT26,'Tablas psiquica'!$D$7:$R$296,4,FALSE))</f>
        <v/>
      </c>
      <c r="AW38" s="8483" t="s">
        <v>5819</v>
      </c>
      <c r="AX38" s="8483"/>
      <c r="AY38" s="8484" t="str">
        <f>IF(AT26=0,"",VLOOKUP(AT26,'Tablas psiquica'!$D$7:$R$296,5,FALSE))</f>
        <v/>
      </c>
      <c r="AZ38" s="8485"/>
      <c r="BA38" s="4232"/>
      <c r="BB38" s="360"/>
      <c r="BC38" s="360"/>
      <c r="BD38" s="982"/>
      <c r="BE38" s="8496" t="s">
        <v>5824</v>
      </c>
      <c r="BF38" s="8490"/>
      <c r="BG38" s="4244" t="str">
        <f>IF(BE26=0,"",VLOOKUP(BE26,'Tablas psiquica'!$D$7:$R$296,4,FALSE))</f>
        <v/>
      </c>
      <c r="BH38" s="8483" t="s">
        <v>5819</v>
      </c>
      <c r="BI38" s="8483"/>
      <c r="BJ38" s="8484" t="str">
        <f>IF(BE26=0,"",VLOOKUP(BE26,'Tablas psiquica'!$D$7:$R$296,5,FALSE))</f>
        <v/>
      </c>
      <c r="BK38" s="8485"/>
      <c r="BL38" s="607"/>
      <c r="BM38" s="8496" t="s">
        <v>5824</v>
      </c>
      <c r="BN38" s="8490"/>
      <c r="BO38" s="4244" t="str">
        <f>IF(BM26=0,"",VLOOKUP(BM26,'Tablas psiquica'!$D$7:$R$296,4,FALSE))</f>
        <v/>
      </c>
      <c r="BP38" s="8483" t="s">
        <v>5819</v>
      </c>
      <c r="BQ38" s="8483"/>
      <c r="BR38" s="8484" t="str">
        <f>IF(BM26=0,"",VLOOKUP(BM26,'Tablas psiquica'!$D$7:$R$296,5,FALSE))</f>
        <v/>
      </c>
      <c r="BS38" s="8485"/>
      <c r="BT38" s="982"/>
      <c r="BU38" s="8496" t="s">
        <v>5824</v>
      </c>
      <c r="BV38" s="8490"/>
      <c r="BW38" s="4244" t="str">
        <f>IF(BU26=0,"",VLOOKUP(BU26,'Tablas psiquica'!$D$7:$R$296,4,FALSE))</f>
        <v/>
      </c>
      <c r="BX38" s="8483" t="s">
        <v>5819</v>
      </c>
      <c r="BY38" s="8483"/>
      <c r="BZ38" s="8484" t="str">
        <f>IF(BU26=0,"",VLOOKUP(BU26,'Tablas psiquica'!$D$7:$R$296,5,FALSE))</f>
        <v/>
      </c>
      <c r="CA38" s="8485"/>
      <c r="CB38" s="4232"/>
      <c r="CC38" s="360"/>
      <c r="CD38" s="360"/>
      <c r="CE38" s="982"/>
      <c r="CF38" s="8496" t="s">
        <v>5824</v>
      </c>
      <c r="CG38" s="8490"/>
      <c r="CH38" s="4244" t="str">
        <f>IF(CF26=0,"",VLOOKUP(CF26,'Tablas psiquica'!$D$7:$R$296,4,FALSE))</f>
        <v/>
      </c>
      <c r="CI38" s="8483" t="s">
        <v>5819</v>
      </c>
      <c r="CJ38" s="8483"/>
      <c r="CK38" s="8484" t="str">
        <f>IF(CF26=0,"",VLOOKUP(CF26,'Tablas psiquica'!$D$7:$R$296,5,FALSE))</f>
        <v/>
      </c>
      <c r="CL38" s="8485"/>
      <c r="CM38" s="607"/>
      <c r="CN38" s="8496" t="s">
        <v>5824</v>
      </c>
      <c r="CO38" s="8490"/>
      <c r="CP38" s="4244" t="str">
        <f>IF(CN26=0,"",VLOOKUP(CN26,'Tablas psiquica'!$D$7:$R$296,4,FALSE))</f>
        <v/>
      </c>
      <c r="CQ38" s="8483" t="s">
        <v>5819</v>
      </c>
      <c r="CR38" s="8483"/>
      <c r="CS38" s="8484" t="str">
        <f>IF(CN26=0,"",VLOOKUP(CN26,'Tablas psiquica'!$D$7:$R$296,5,FALSE))</f>
        <v/>
      </c>
      <c r="CT38" s="8485"/>
      <c r="CU38" s="982"/>
      <c r="CV38" s="8496" t="s">
        <v>5824</v>
      </c>
      <c r="CW38" s="8490"/>
      <c r="CX38" s="4244" t="str">
        <f>IF(CV26=0,"",VLOOKUP(CV26,'Tablas psiquica'!$D$7:$R$296,4,FALSE))</f>
        <v/>
      </c>
      <c r="CY38" s="8483" t="s">
        <v>5819</v>
      </c>
      <c r="CZ38" s="8483"/>
      <c r="DA38" s="8484" t="str">
        <f>IF(CV26=0,"",VLOOKUP(CV26,'Tablas psiquica'!$D$7:$R$296,5,FALSE))</f>
        <v/>
      </c>
      <c r="DB38" s="8485"/>
      <c r="DC38" s="4232"/>
      <c r="DD38" s="360"/>
    </row>
    <row r="39" spans="1:108" ht="12" customHeight="1">
      <c r="A39" s="360"/>
      <c r="B39" s="982"/>
      <c r="C39" s="8496" t="s">
        <v>13936</v>
      </c>
      <c r="D39" s="8490"/>
      <c r="E39" s="8486" t="str">
        <f>IF(C26=0,"",VLOOKUP(C26,'Tablas psiquica'!$D$7:$Z$296,20,FALSE))</f>
        <v/>
      </c>
      <c r="F39" s="8487"/>
      <c r="G39" s="8490" t="s">
        <v>13937</v>
      </c>
      <c r="H39" s="8492" t="str">
        <f>IF(C26=0,"",VLOOKUP(C26,'Tablas psiquica'!$D$7:$Z$296,21,FALSE))</f>
        <v/>
      </c>
      <c r="I39" s="8493"/>
      <c r="J39" s="607"/>
      <c r="K39" s="8496" t="s">
        <v>13936</v>
      </c>
      <c r="L39" s="8490"/>
      <c r="M39" s="8486" t="str">
        <f>IF(K26=0,"",VLOOKUP(K26,'Tablas psiquica'!$D$7:$Z$296,20,FALSE))</f>
        <v/>
      </c>
      <c r="N39" s="8487"/>
      <c r="O39" s="8490" t="s">
        <v>13937</v>
      </c>
      <c r="P39" s="8492" t="str">
        <f>IF(K26=0,"",VLOOKUP(K26,'Tablas psiquica'!$D$7:$Z$296,21,FALSE))</f>
        <v/>
      </c>
      <c r="Q39" s="8493"/>
      <c r="R39" s="607"/>
      <c r="S39" s="8496" t="s">
        <v>13936</v>
      </c>
      <c r="T39" s="8490"/>
      <c r="U39" s="8486" t="str">
        <f>IF(S26=0,"",VLOOKUP(S26,'Tablas psiquica'!$D$7:$Z$296,20,FALSE))</f>
        <v/>
      </c>
      <c r="V39" s="8487"/>
      <c r="W39" s="8490" t="s">
        <v>13937</v>
      </c>
      <c r="X39" s="8492" t="str">
        <f>IF(S26=0,"",VLOOKUP(S26,'Tablas psiquica'!$D$7:$Z$296,21,FALSE))</f>
        <v/>
      </c>
      <c r="Y39" s="8493"/>
      <c r="Z39" s="4232"/>
      <c r="AA39" s="360"/>
      <c r="AB39" s="360"/>
      <c r="AC39" s="982"/>
      <c r="AD39" s="8496" t="s">
        <v>13936</v>
      </c>
      <c r="AE39" s="8490"/>
      <c r="AF39" s="8486" t="str">
        <f>IF(AD26=0,"",VLOOKUP(AD26,'Tablas psiquica'!$D$7:$Z$296,20,FALSE))</f>
        <v>-</v>
      </c>
      <c r="AG39" s="8487"/>
      <c r="AH39" s="8490" t="s">
        <v>13937</v>
      </c>
      <c r="AI39" s="8492" t="str">
        <f>IF(AD26=0,"",VLOOKUP(AD26,'Tablas psiquica'!$D$7:$Z$296,21,FALSE))</f>
        <v>Permite poderes con 1/2 Potencial</v>
      </c>
      <c r="AJ39" s="8493"/>
      <c r="AK39" s="607"/>
      <c r="AL39" s="8496" t="s">
        <v>13936</v>
      </c>
      <c r="AM39" s="8490"/>
      <c r="AN39" s="8486" t="str">
        <f>IF(AL26=0,"",VLOOKUP(AL26,'Tablas psiquica'!$D$7:$Z$296,20,FALSE))</f>
        <v/>
      </c>
      <c r="AO39" s="8487"/>
      <c r="AP39" s="8490" t="s">
        <v>13937</v>
      </c>
      <c r="AQ39" s="8492" t="str">
        <f>IF(AL26=0,"",VLOOKUP(AL26,'Tablas psiquica'!$D$7:$Z$296,21,FALSE))</f>
        <v/>
      </c>
      <c r="AR39" s="8493"/>
      <c r="AS39" s="607"/>
      <c r="AT39" s="8496" t="s">
        <v>13936</v>
      </c>
      <c r="AU39" s="8490"/>
      <c r="AV39" s="8486" t="str">
        <f>IF(AT26=0,"",VLOOKUP(AT26,'Tablas psiquica'!$D$7:$Z$296,20,FALSE))</f>
        <v/>
      </c>
      <c r="AW39" s="8487"/>
      <c r="AX39" s="8490" t="s">
        <v>13937</v>
      </c>
      <c r="AY39" s="8492" t="str">
        <f>IF(AT26=0,"",VLOOKUP(AT26,'Tablas psiquica'!$D$7:$Z$296,21,FALSE))</f>
        <v/>
      </c>
      <c r="AZ39" s="8493"/>
      <c r="BA39" s="4232"/>
      <c r="BB39" s="360"/>
      <c r="BC39" s="360"/>
      <c r="BD39" s="982"/>
      <c r="BE39" s="8496" t="s">
        <v>13936</v>
      </c>
      <c r="BF39" s="8490"/>
      <c r="BG39" s="8486" t="str">
        <f>IF(BE26=0,"",VLOOKUP(BE26,'Tablas psiquica'!$D$7:$Z$296,20,FALSE))</f>
        <v/>
      </c>
      <c r="BH39" s="8487"/>
      <c r="BI39" s="8490" t="s">
        <v>13937</v>
      </c>
      <c r="BJ39" s="8492" t="str">
        <f>IF(BE26=0,"",VLOOKUP(BE26,'Tablas psiquica'!$D$7:$Z$296,21,FALSE))</f>
        <v/>
      </c>
      <c r="BK39" s="8493"/>
      <c r="BL39" s="607"/>
      <c r="BM39" s="8496" t="s">
        <v>13936</v>
      </c>
      <c r="BN39" s="8490"/>
      <c r="BO39" s="8486" t="str">
        <f>IF(BM26=0,"",VLOOKUP(BM26,'Tablas psiquica'!$D$7:$Z$296,20,FALSE))</f>
        <v/>
      </c>
      <c r="BP39" s="8487"/>
      <c r="BQ39" s="8490" t="s">
        <v>13937</v>
      </c>
      <c r="BR39" s="8492" t="str">
        <f>IF(BM26=0,"",VLOOKUP(BM26,'Tablas psiquica'!$D$7:$Z$296,21,FALSE))</f>
        <v/>
      </c>
      <c r="BS39" s="8493"/>
      <c r="BT39" s="607"/>
      <c r="BU39" s="8496" t="s">
        <v>13936</v>
      </c>
      <c r="BV39" s="8490"/>
      <c r="BW39" s="8486" t="str">
        <f>IF(BU26=0,"",VLOOKUP(BU26,'Tablas psiquica'!$D$7:$Z$296,20,FALSE))</f>
        <v/>
      </c>
      <c r="BX39" s="8487"/>
      <c r="BY39" s="8490" t="s">
        <v>13937</v>
      </c>
      <c r="BZ39" s="8492" t="str">
        <f>IF(BU26=0,"",VLOOKUP(BU26,'Tablas psiquica'!$D$7:$Z$296,21,FALSE))</f>
        <v/>
      </c>
      <c r="CA39" s="8493"/>
      <c r="CB39" s="4232"/>
      <c r="CC39" s="360"/>
      <c r="CD39" s="360"/>
      <c r="CE39" s="982"/>
      <c r="CF39" s="8496" t="s">
        <v>13936</v>
      </c>
      <c r="CG39" s="8490"/>
      <c r="CH39" s="8486" t="str">
        <f>IF(CF26=0,"",VLOOKUP(CF26,'Tablas psiquica'!$D$7:$Z$296,20,FALSE))</f>
        <v/>
      </c>
      <c r="CI39" s="8487"/>
      <c r="CJ39" s="8490" t="s">
        <v>13937</v>
      </c>
      <c r="CK39" s="8492" t="str">
        <f>IF(CF26=0,"",VLOOKUP(CF26,'Tablas psiquica'!$D$7:$Z$296,21,FALSE))</f>
        <v/>
      </c>
      <c r="CL39" s="8493"/>
      <c r="CM39" s="607"/>
      <c r="CN39" s="8496" t="s">
        <v>13936</v>
      </c>
      <c r="CO39" s="8490"/>
      <c r="CP39" s="8486" t="str">
        <f>IF(CN26=0,"",VLOOKUP(CN26,'Tablas psiquica'!$D$7:$Z$296,20,FALSE))</f>
        <v/>
      </c>
      <c r="CQ39" s="8487"/>
      <c r="CR39" s="8490" t="s">
        <v>13937</v>
      </c>
      <c r="CS39" s="8492" t="str">
        <f>IF(CN26=0,"",VLOOKUP(CN26,'Tablas psiquica'!$D$7:$Z$296,21,FALSE))</f>
        <v/>
      </c>
      <c r="CT39" s="8493"/>
      <c r="CU39" s="607"/>
      <c r="CV39" s="8496" t="s">
        <v>13936</v>
      </c>
      <c r="CW39" s="8490"/>
      <c r="CX39" s="8486" t="str">
        <f>IF(CV26=0,"",VLOOKUP(CV26,'Tablas psiquica'!$D$7:$Z$296,20,FALSE))</f>
        <v/>
      </c>
      <c r="CY39" s="8487"/>
      <c r="CZ39" s="8490" t="s">
        <v>13937</v>
      </c>
      <c r="DA39" s="8492" t="str">
        <f>IF(CV26=0,"",VLOOKUP(CV26,'Tablas psiquica'!$D$7:$Z$296,21,FALSE))</f>
        <v/>
      </c>
      <c r="DB39" s="8493"/>
      <c r="DC39" s="4232"/>
      <c r="DD39" s="360"/>
    </row>
    <row r="40" spans="1:108" ht="12" customHeight="1" thickBot="1">
      <c r="A40" s="360"/>
      <c r="B40" s="982"/>
      <c r="C40" s="8497"/>
      <c r="D40" s="8491"/>
      <c r="E40" s="8488"/>
      <c r="F40" s="8489"/>
      <c r="G40" s="8491"/>
      <c r="H40" s="8494"/>
      <c r="I40" s="8495"/>
      <c r="J40" s="607"/>
      <c r="K40" s="8497"/>
      <c r="L40" s="8491"/>
      <c r="M40" s="8488"/>
      <c r="N40" s="8489"/>
      <c r="O40" s="8491"/>
      <c r="P40" s="8494"/>
      <c r="Q40" s="8495"/>
      <c r="R40" s="607"/>
      <c r="S40" s="8497"/>
      <c r="T40" s="8491"/>
      <c r="U40" s="8488"/>
      <c r="V40" s="8489"/>
      <c r="W40" s="8491"/>
      <c r="X40" s="8494"/>
      <c r="Y40" s="8495"/>
      <c r="Z40" s="4232"/>
      <c r="AA40" s="360"/>
      <c r="AB40" s="360"/>
      <c r="AC40" s="982"/>
      <c r="AD40" s="8497"/>
      <c r="AE40" s="8491"/>
      <c r="AF40" s="8488"/>
      <c r="AG40" s="8489"/>
      <c r="AH40" s="8491"/>
      <c r="AI40" s="8494"/>
      <c r="AJ40" s="8495"/>
      <c r="AK40" s="607"/>
      <c r="AL40" s="8497"/>
      <c r="AM40" s="8491"/>
      <c r="AN40" s="8488"/>
      <c r="AO40" s="8489"/>
      <c r="AP40" s="8491"/>
      <c r="AQ40" s="8494"/>
      <c r="AR40" s="8495"/>
      <c r="AS40" s="607"/>
      <c r="AT40" s="8497"/>
      <c r="AU40" s="8491"/>
      <c r="AV40" s="8488"/>
      <c r="AW40" s="8489"/>
      <c r="AX40" s="8491"/>
      <c r="AY40" s="8494"/>
      <c r="AZ40" s="8495"/>
      <c r="BA40" s="4232"/>
      <c r="BB40" s="360"/>
      <c r="BC40" s="360"/>
      <c r="BD40" s="982"/>
      <c r="BE40" s="8497"/>
      <c r="BF40" s="8491"/>
      <c r="BG40" s="8488"/>
      <c r="BH40" s="8489"/>
      <c r="BI40" s="8491"/>
      <c r="BJ40" s="8494"/>
      <c r="BK40" s="8495"/>
      <c r="BL40" s="607"/>
      <c r="BM40" s="8497"/>
      <c r="BN40" s="8491"/>
      <c r="BO40" s="8488"/>
      <c r="BP40" s="8489"/>
      <c r="BQ40" s="8491"/>
      <c r="BR40" s="8494"/>
      <c r="BS40" s="8495"/>
      <c r="BT40" s="607"/>
      <c r="BU40" s="8497"/>
      <c r="BV40" s="8491"/>
      <c r="BW40" s="8488"/>
      <c r="BX40" s="8489"/>
      <c r="BY40" s="8491"/>
      <c r="BZ40" s="8494"/>
      <c r="CA40" s="8495"/>
      <c r="CB40" s="4232"/>
      <c r="CC40" s="360"/>
      <c r="CD40" s="360"/>
      <c r="CE40" s="982"/>
      <c r="CF40" s="8497"/>
      <c r="CG40" s="8491"/>
      <c r="CH40" s="8488"/>
      <c r="CI40" s="8489"/>
      <c r="CJ40" s="8491"/>
      <c r="CK40" s="8494"/>
      <c r="CL40" s="8495"/>
      <c r="CM40" s="607"/>
      <c r="CN40" s="8497"/>
      <c r="CO40" s="8491"/>
      <c r="CP40" s="8488"/>
      <c r="CQ40" s="8489"/>
      <c r="CR40" s="8491"/>
      <c r="CS40" s="8494"/>
      <c r="CT40" s="8495"/>
      <c r="CU40" s="607"/>
      <c r="CV40" s="8497"/>
      <c r="CW40" s="8491"/>
      <c r="CX40" s="8488"/>
      <c r="CY40" s="8489"/>
      <c r="CZ40" s="8491"/>
      <c r="DA40" s="8494"/>
      <c r="DB40" s="8495"/>
      <c r="DC40" s="4232"/>
      <c r="DD40" s="360"/>
    </row>
    <row r="41" spans="1:108" ht="12" customHeight="1" thickBot="1">
      <c r="A41" s="360"/>
      <c r="B41" s="982"/>
      <c r="C41" s="976"/>
      <c r="J41" s="607"/>
      <c r="K41" s="976"/>
      <c r="R41" s="607"/>
      <c r="S41" s="976"/>
      <c r="Z41" s="4232"/>
      <c r="AA41" s="360"/>
      <c r="AB41" s="360"/>
      <c r="AC41" s="982"/>
      <c r="AD41" s="976"/>
      <c r="AK41" s="607"/>
      <c r="AL41" s="976"/>
      <c r="AS41" s="607"/>
      <c r="AT41" s="976"/>
      <c r="BA41" s="4232"/>
      <c r="BB41" s="360"/>
      <c r="BC41" s="360"/>
      <c r="BD41" s="982"/>
      <c r="BE41" s="976"/>
      <c r="BL41" s="607"/>
      <c r="BM41" s="976"/>
      <c r="BT41" s="607"/>
      <c r="BU41" s="976"/>
      <c r="CB41" s="4232"/>
      <c r="CC41" s="360"/>
      <c r="CD41" s="360"/>
      <c r="CE41" s="982"/>
      <c r="CF41" s="976"/>
      <c r="CM41" s="607"/>
      <c r="CN41" s="976"/>
      <c r="CU41" s="607"/>
      <c r="CV41" s="976"/>
      <c r="DC41" s="4232"/>
      <c r="DD41" s="360"/>
    </row>
    <row r="42" spans="1:108" ht="12" customHeight="1">
      <c r="A42" s="360"/>
      <c r="B42" s="982">
        <v>7</v>
      </c>
      <c r="C42" s="8511" cm="1">
        <f t="array" ref="C42">IFERROR(INDEX('Tablas psiquica'!$AU$6:$BQ$20,B42,Y$7),0)</f>
        <v>0</v>
      </c>
      <c r="D42" s="8512"/>
      <c r="E42" s="8512"/>
      <c r="F42" s="8512"/>
      <c r="G42" s="8512"/>
      <c r="H42" s="8512"/>
      <c r="I42" s="4238" t="s">
        <v>1262</v>
      </c>
      <c r="J42" s="607">
        <v>8</v>
      </c>
      <c r="K42" s="8511" cm="1">
        <f t="array" ref="K42">IFERROR(INDEX('Tablas psiquica'!$AU$6:$BQ$20,J42,Y$7),0)</f>
        <v>0</v>
      </c>
      <c r="L42" s="8512"/>
      <c r="M42" s="8512"/>
      <c r="N42" s="8512"/>
      <c r="O42" s="8512"/>
      <c r="P42" s="8512"/>
      <c r="Q42" s="4238" t="s">
        <v>1262</v>
      </c>
      <c r="R42" s="982">
        <v>9</v>
      </c>
      <c r="S42" s="8511" cm="1">
        <f t="array" ref="S42">IFERROR(INDEX('Tablas psiquica'!$AU$6:$BQ$20,R42,Y$7),0)</f>
        <v>0</v>
      </c>
      <c r="T42" s="8512"/>
      <c r="U42" s="8512"/>
      <c r="V42" s="8512"/>
      <c r="W42" s="8512"/>
      <c r="X42" s="8512"/>
      <c r="Y42" s="4238" t="s">
        <v>1262</v>
      </c>
      <c r="Z42" s="4232"/>
      <c r="AA42" s="360"/>
      <c r="AB42" s="360"/>
      <c r="AC42" s="982">
        <v>7</v>
      </c>
      <c r="AD42" s="8511" cm="1">
        <f t="array" ref="AD42">IFERROR(INDEX('Tablas psiquica'!$AU$6:$BQ$20,AC42,AZ$7),0)</f>
        <v>0</v>
      </c>
      <c r="AE42" s="8512"/>
      <c r="AF42" s="8512"/>
      <c r="AG42" s="8512"/>
      <c r="AH42" s="8512"/>
      <c r="AI42" s="8512"/>
      <c r="AJ42" s="4238" t="s">
        <v>1262</v>
      </c>
      <c r="AK42" s="607">
        <v>8</v>
      </c>
      <c r="AL42" s="8511" cm="1">
        <f t="array" ref="AL42">IFERROR(INDEX('Tablas psiquica'!$AU$6:$BQ$20,AK42,AZ$7),0)</f>
        <v>0</v>
      </c>
      <c r="AM42" s="8512"/>
      <c r="AN42" s="8512"/>
      <c r="AO42" s="8512"/>
      <c r="AP42" s="8512"/>
      <c r="AQ42" s="8512"/>
      <c r="AR42" s="4238" t="s">
        <v>1262</v>
      </c>
      <c r="AS42" s="982">
        <v>9</v>
      </c>
      <c r="AT42" s="8511" cm="1">
        <f t="array" ref="AT42">IFERROR(INDEX('Tablas psiquica'!$AU$6:$BQ$20,AS42,AZ$7),0)</f>
        <v>0</v>
      </c>
      <c r="AU42" s="8512"/>
      <c r="AV42" s="8512"/>
      <c r="AW42" s="8512"/>
      <c r="AX42" s="8512"/>
      <c r="AY42" s="8512"/>
      <c r="AZ42" s="4238" t="s">
        <v>1262</v>
      </c>
      <c r="BA42" s="4232"/>
      <c r="BB42" s="360"/>
      <c r="BC42" s="360"/>
      <c r="BD42" s="982">
        <v>7</v>
      </c>
      <c r="BE42" s="8511" cm="1">
        <f t="array" ref="BE42">IFERROR(INDEX('Tablas psiquica'!$AU$6:$BQ$20,BD42,CA$7),0)</f>
        <v>0</v>
      </c>
      <c r="BF42" s="8512"/>
      <c r="BG42" s="8512"/>
      <c r="BH42" s="8512"/>
      <c r="BI42" s="8512"/>
      <c r="BJ42" s="8512"/>
      <c r="BK42" s="4238" t="s">
        <v>1262</v>
      </c>
      <c r="BL42" s="607">
        <v>8</v>
      </c>
      <c r="BM42" s="8511" cm="1">
        <f t="array" ref="BM42">IFERROR(INDEX('Tablas psiquica'!$AU$6:$BQ$20,BL42,CA$7),0)</f>
        <v>0</v>
      </c>
      <c r="BN42" s="8512"/>
      <c r="BO42" s="8512"/>
      <c r="BP42" s="8512"/>
      <c r="BQ42" s="8512"/>
      <c r="BR42" s="8512"/>
      <c r="BS42" s="4238" t="s">
        <v>1262</v>
      </c>
      <c r="BT42" s="982">
        <v>9</v>
      </c>
      <c r="BU42" s="8511" cm="1">
        <f t="array" ref="BU42">IFERROR(INDEX('Tablas psiquica'!$AU$6:$BQ$20,BT42,CA$7),0)</f>
        <v>0</v>
      </c>
      <c r="BV42" s="8512"/>
      <c r="BW42" s="8512"/>
      <c r="BX42" s="8512"/>
      <c r="BY42" s="8512"/>
      <c r="BZ42" s="8512"/>
      <c r="CA42" s="4238" t="s">
        <v>1262</v>
      </c>
      <c r="CB42" s="4232"/>
      <c r="CC42" s="360"/>
      <c r="CD42" s="360"/>
      <c r="CE42" s="982">
        <v>7</v>
      </c>
      <c r="CF42" s="8511" cm="1">
        <f t="array" ref="CF42">IFERROR(INDEX('Tablas psiquica'!$AU$6:$BQ$20,CE42,DB$7),0)</f>
        <v>0</v>
      </c>
      <c r="CG42" s="8512"/>
      <c r="CH42" s="8512"/>
      <c r="CI42" s="8512"/>
      <c r="CJ42" s="8512"/>
      <c r="CK42" s="8512"/>
      <c r="CL42" s="4238" t="s">
        <v>1262</v>
      </c>
      <c r="CM42" s="607">
        <v>8</v>
      </c>
      <c r="CN42" s="8511" cm="1">
        <f t="array" ref="CN42">IFERROR(INDEX('Tablas psiquica'!$AU$6:$BQ$20,CM42,DB$7),0)</f>
        <v>0</v>
      </c>
      <c r="CO42" s="8512"/>
      <c r="CP42" s="8512"/>
      <c r="CQ42" s="8512"/>
      <c r="CR42" s="8512"/>
      <c r="CS42" s="8512"/>
      <c r="CT42" s="4238" t="s">
        <v>1262</v>
      </c>
      <c r="CU42" s="982">
        <v>9</v>
      </c>
      <c r="CV42" s="8511" cm="1">
        <f t="array" ref="CV42">IFERROR(INDEX('Tablas psiquica'!$AU$6:$BQ$20,CU42,DB$7),0)</f>
        <v>0</v>
      </c>
      <c r="CW42" s="8512"/>
      <c r="CX42" s="8512"/>
      <c r="CY42" s="8512"/>
      <c r="CZ42" s="8512"/>
      <c r="DA42" s="8512"/>
      <c r="DB42" s="4238" t="s">
        <v>1262</v>
      </c>
      <c r="DC42" s="4232"/>
      <c r="DD42" s="360"/>
    </row>
    <row r="43" spans="1:108" ht="12" customHeight="1">
      <c r="A43" s="360"/>
      <c r="B43" s="982"/>
      <c r="C43" s="8500" t="str">
        <f>IF(C42=0,"",VLOOKUP(C42,'Tablas psiquica'!$D$7:$R$296,2,FALSE))</f>
        <v/>
      </c>
      <c r="D43" s="8501"/>
      <c r="E43" s="8501"/>
      <c r="F43" s="8502"/>
      <c r="G43" s="8498" t="str" cm="1">
        <f t="array" ref="G43">IF(C42=0,"",IF(INDEX('Tablas psiquica'!$AU$5:$BS$5,1,Y7)=0,"No Accesible",IF(ISNA(VLOOKUP(C42,Psíquicos!$AS$17:$AS$44,1,0)),"Accesible CV","Aprendido")))</f>
        <v/>
      </c>
      <c r="H43" s="8499"/>
      <c r="I43" s="4242" t="str">
        <f>IF(C42=0,"",VLOOKUP(C42,'Tablas psiquica'!$D$7:$R$296,3,FALSE))</f>
        <v/>
      </c>
      <c r="J43" s="806"/>
      <c r="K43" s="8500" t="str">
        <f>IF(K42=0,"",VLOOKUP(K42,'Tablas psiquica'!$D$7:$R$296,2,FALSE))</f>
        <v/>
      </c>
      <c r="L43" s="8501"/>
      <c r="M43" s="8501"/>
      <c r="N43" s="8502"/>
      <c r="O43" s="8498" t="str" cm="1">
        <f t="array" ref="O43">IF(K42=0,"",IF(INDEX('Tablas psiquica'!$AU$5:$BS$5,1,Y7)=0,"No Accesible",IF(ISNA(VLOOKUP(K42,Psíquicos!$AS$17:$AS$44,1,0)),"Accesible CV","Aprendido")))</f>
        <v/>
      </c>
      <c r="P43" s="8499"/>
      <c r="Q43" s="4242" t="str">
        <f>IF(K42=0,"",VLOOKUP(K42,'Tablas psiquica'!$D$7:$R$296,3,FALSE))</f>
        <v/>
      </c>
      <c r="R43" s="982"/>
      <c r="S43" s="8500" t="str">
        <f>IF(S42=0,"",VLOOKUP(S42,'Tablas psiquica'!$D$7:$R$296,2,FALSE))</f>
        <v/>
      </c>
      <c r="T43" s="8501"/>
      <c r="U43" s="8501"/>
      <c r="V43" s="8502"/>
      <c r="W43" s="8498" t="str" cm="1">
        <f t="array" ref="W43">IF(S42=0,"",IF(INDEX('Tablas psiquica'!$AU$5:$BS$5,1,Y7)=0,"No Accesible",IF(ISNA(VLOOKUP(S42,Psíquicos!$AS$17:$AS$44,1,0)),"Accesible CV","Aprendido")))</f>
        <v/>
      </c>
      <c r="X43" s="8499"/>
      <c r="Y43" s="4242" t="str">
        <f>IF(S42=0,"",VLOOKUP(S42,'Tablas psiquica'!$D$7:$R$296,3,FALSE))</f>
        <v/>
      </c>
      <c r="Z43" s="4232"/>
      <c r="AA43" s="360"/>
      <c r="AB43" s="360"/>
      <c r="AC43" s="982"/>
      <c r="AD43" s="8500" t="str">
        <f>IF(AD42=0,"",VLOOKUP(AD42,'Tablas psiquica'!$D$7:$R$296,2,FALSE))</f>
        <v/>
      </c>
      <c r="AE43" s="8501"/>
      <c r="AF43" s="8501"/>
      <c r="AG43" s="8502"/>
      <c r="AH43" s="8498" t="str" cm="1">
        <f t="array" ref="AH43">IF(AD42=0,"",IF(INDEX('Tablas psiquica'!$AU$5:$BS$5,1,AZ7)=0,"No Accesible",IF(ISNA(VLOOKUP(AD42,Psíquicos!$AS$17:$AS$44,1,0)),"Accesible CV","Aprendido")))</f>
        <v/>
      </c>
      <c r="AI43" s="8499"/>
      <c r="AJ43" s="4242" t="str">
        <f>IF(AD42=0,"",VLOOKUP(AD42,'Tablas psiquica'!$D$7:$R$296,3,FALSE))</f>
        <v/>
      </c>
      <c r="AK43" s="806"/>
      <c r="AL43" s="8500" t="str">
        <f>IF(AL42=0,"",VLOOKUP(AL42,'Tablas psiquica'!$D$7:$R$296,2,FALSE))</f>
        <v/>
      </c>
      <c r="AM43" s="8501"/>
      <c r="AN43" s="8501"/>
      <c r="AO43" s="8502"/>
      <c r="AP43" s="8498" t="str" cm="1">
        <f t="array" ref="AP43">IF(AL42=0,"",IF(INDEX('Tablas psiquica'!$AU$5:$BS$5,1,AZ7)=0,"No Accesible",IF(ISNA(VLOOKUP(AL42,Psíquicos!$AS$17:$AS$44,1,0)),"Accesible CV","Aprendido")))</f>
        <v/>
      </c>
      <c r="AQ43" s="8499"/>
      <c r="AR43" s="4242" t="str">
        <f>IF(AL42=0,"",VLOOKUP(AL42,'Tablas psiquica'!$D$7:$R$296,3,FALSE))</f>
        <v/>
      </c>
      <c r="AS43" s="982"/>
      <c r="AT43" s="8500" t="str">
        <f>IF(AT42=0,"",VLOOKUP(AT42,'Tablas psiquica'!$D$7:$R$296,2,FALSE))</f>
        <v/>
      </c>
      <c r="AU43" s="8501"/>
      <c r="AV43" s="8501"/>
      <c r="AW43" s="8502"/>
      <c r="AX43" s="8498" t="str" cm="1">
        <f t="array" ref="AX43">IF(AT42=0,"",IF(INDEX('Tablas psiquica'!$AU$5:$BS$5,1,AZ7)=0,"No Accesible",IF(ISNA(VLOOKUP(AT42,Psíquicos!$AS$17:$AS$44,1,0)),"Accesible CV","Aprendido")))</f>
        <v/>
      </c>
      <c r="AY43" s="8499"/>
      <c r="AZ43" s="4242" t="str">
        <f>IF(AT42=0,"",VLOOKUP(AT42,'Tablas psiquica'!$D$7:$R$296,3,FALSE))</f>
        <v/>
      </c>
      <c r="BA43" s="4232"/>
      <c r="BB43" s="360"/>
      <c r="BC43" s="360"/>
      <c r="BD43" s="982"/>
      <c r="BE43" s="8500" t="str">
        <f>IF(BE42=0,"",VLOOKUP(BE42,'Tablas psiquica'!$D$7:$R$296,2,FALSE))</f>
        <v/>
      </c>
      <c r="BF43" s="8501"/>
      <c r="BG43" s="8501"/>
      <c r="BH43" s="8502"/>
      <c r="BI43" s="8498" t="str" cm="1">
        <f t="array" ref="BI43">IF(BE42=0,"",IF(INDEX('Tablas psiquica'!$AU$5:$BS$5,1,CA7)=0,"No Accesible",IF(ISNA(VLOOKUP(BE42,Psíquicos!$AS$17:$AS$44,1,0)),"Accesible CV","Aprendido")))</f>
        <v/>
      </c>
      <c r="BJ43" s="8499"/>
      <c r="BK43" s="4242" t="str">
        <f>IF(BE42=0,"",VLOOKUP(BE42,'Tablas psiquica'!$D$7:$R$296,3,FALSE))</f>
        <v/>
      </c>
      <c r="BL43" s="806"/>
      <c r="BM43" s="8500" t="str">
        <f>IF(BM42=0,"",VLOOKUP(BM42,'Tablas psiquica'!$D$7:$R$296,2,FALSE))</f>
        <v/>
      </c>
      <c r="BN43" s="8501"/>
      <c r="BO43" s="8501"/>
      <c r="BP43" s="8502"/>
      <c r="BQ43" s="8498" t="str" cm="1">
        <f t="array" ref="BQ43">IF(BM42=0,"",IF(INDEX('Tablas psiquica'!$AU$5:$BS$5,1,CA7)=0,"No Accesible",IF(ISNA(VLOOKUP(BM42,Psíquicos!$AS$17:$AS$44,1,0)),"Accesible CV","Aprendido")))</f>
        <v/>
      </c>
      <c r="BR43" s="8499"/>
      <c r="BS43" s="4242" t="str">
        <f>IF(BM42=0,"",VLOOKUP(BM42,'Tablas psiquica'!$D$7:$R$296,3,FALSE))</f>
        <v/>
      </c>
      <c r="BT43" s="982"/>
      <c r="BU43" s="8500" t="str">
        <f>IF(BU42=0,"",VLOOKUP(BU42,'Tablas psiquica'!$D$7:$R$296,2,FALSE))</f>
        <v/>
      </c>
      <c r="BV43" s="8501"/>
      <c r="BW43" s="8501"/>
      <c r="BX43" s="8502"/>
      <c r="BY43" s="8498" t="str" cm="1">
        <f t="array" ref="BY43">IF(BU42=0,"",IF(INDEX('Tablas psiquica'!$AU$5:$BS$5,1,CA7)=0,"No Accesible",IF(ISNA(VLOOKUP(BU42,Psíquicos!$AS$17:$AS$44,1,0)),"Accesible CV","Aprendido")))</f>
        <v/>
      </c>
      <c r="BZ43" s="8499"/>
      <c r="CA43" s="4242" t="str">
        <f>IF(BU42=0,"",VLOOKUP(BU42,'Tablas psiquica'!$D$7:$R$296,3,FALSE))</f>
        <v/>
      </c>
      <c r="CB43" s="4232"/>
      <c r="CC43" s="360"/>
      <c r="CD43" s="360"/>
      <c r="CE43" s="982"/>
      <c r="CF43" s="8500" t="str">
        <f>IF(CF42=0,"",VLOOKUP(CF42,'Tablas psiquica'!$D$7:$R$296,2,FALSE))</f>
        <v/>
      </c>
      <c r="CG43" s="8501"/>
      <c r="CH43" s="8501"/>
      <c r="CI43" s="8502"/>
      <c r="CJ43" s="8498" t="str" cm="1">
        <f t="array" ref="CJ43">IF(CF42=0,"",IF(INDEX('Tablas psiquica'!$AU$5:$BS$5,1,DB7)=0,"No Accesible",IF(ISNA(VLOOKUP(CF42,Psíquicos!$AS$17:$AS$44,1,0)),"Accesible CV","Aprendido")))</f>
        <v/>
      </c>
      <c r="CK43" s="8499"/>
      <c r="CL43" s="4242" t="str">
        <f>IF(CF42=0,"",VLOOKUP(CF42,'Tablas psiquica'!$D$7:$R$296,3,FALSE))</f>
        <v/>
      </c>
      <c r="CM43" s="806"/>
      <c r="CN43" s="8500" t="str">
        <f>IF(CN42=0,"",VLOOKUP(CN42,'Tablas psiquica'!$D$7:$R$296,2,FALSE))</f>
        <v/>
      </c>
      <c r="CO43" s="8501"/>
      <c r="CP43" s="8501"/>
      <c r="CQ43" s="8502"/>
      <c r="CR43" s="8498" t="str" cm="1">
        <f t="array" ref="CR43">IF(CN42=0,"",IF(INDEX('Tablas psiquica'!$AU$5:$BS$5,1,DB7)=0,"No Accesible",IF(ISNA(VLOOKUP(CN42,Psíquicos!$AS$17:$AS$44,1,0)),"Accesible CV","Aprendido")))</f>
        <v/>
      </c>
      <c r="CS43" s="8499"/>
      <c r="CT43" s="4242" t="str">
        <f>IF(CN42=0,"",VLOOKUP(CN42,'Tablas psiquica'!$D$7:$R$296,3,FALSE))</f>
        <v/>
      </c>
      <c r="CU43" s="982"/>
      <c r="CV43" s="8500" t="str">
        <f>IF(CV42=0,"",VLOOKUP(CV42,'Tablas psiquica'!$D$7:$R$296,2,FALSE))</f>
        <v/>
      </c>
      <c r="CW43" s="8501"/>
      <c r="CX43" s="8501"/>
      <c r="CY43" s="8502"/>
      <c r="CZ43" s="8498" t="str" cm="1">
        <f t="array" ref="CZ43">IF(CV42=0,"",IF(INDEX('Tablas psiquica'!$AU$5:$BS$5,1,DB7)=0,"No Accesible",IF(ISNA(VLOOKUP(CV42,Psíquicos!$AS$17:$AS$44,1,0)),"Accesible CV","Aprendido")))</f>
        <v/>
      </c>
      <c r="DA43" s="8499"/>
      <c r="DB43" s="4242" t="str">
        <f>IF(CV42=0,"",VLOOKUP(CV42,'Tablas psiquica'!$D$7:$R$296,3,FALSE))</f>
        <v/>
      </c>
      <c r="DC43" s="4232"/>
      <c r="DD43" s="360"/>
    </row>
    <row r="44" spans="1:108" ht="12" customHeight="1">
      <c r="A44" s="360"/>
      <c r="B44" s="982"/>
      <c r="C44" s="1455">
        <v>20</v>
      </c>
      <c r="D44" s="8477" t="s">
        <v>1577</v>
      </c>
      <c r="E44" s="8392"/>
      <c r="F44" s="8475" t="str">
        <f>IF(C42=0,"",VLOOKUP(C42,'Tablas psiquica'!$D$7:$R$296,6,FALSE))</f>
        <v/>
      </c>
      <c r="G44" s="7145"/>
      <c r="H44" s="7145"/>
      <c r="I44" s="8476"/>
      <c r="J44" s="607"/>
      <c r="K44" s="1455">
        <v>20</v>
      </c>
      <c r="L44" s="8477" t="s">
        <v>1577</v>
      </c>
      <c r="M44" s="8392"/>
      <c r="N44" s="8475" t="str">
        <f>IF(K42=0,"",VLOOKUP(K42,'Tablas psiquica'!$D$7:$R$296,6,FALSE))</f>
        <v/>
      </c>
      <c r="O44" s="7145"/>
      <c r="P44" s="7145"/>
      <c r="Q44" s="8476"/>
      <c r="R44" s="982"/>
      <c r="S44" s="1455">
        <v>20</v>
      </c>
      <c r="T44" s="8477" t="s">
        <v>1577</v>
      </c>
      <c r="U44" s="8392"/>
      <c r="V44" s="8475" t="str">
        <f>IF(S42=0,"",VLOOKUP(S42,'Tablas psiquica'!$D$7:$R$296,6,FALSE))</f>
        <v/>
      </c>
      <c r="W44" s="7145"/>
      <c r="X44" s="7145"/>
      <c r="Y44" s="8476"/>
      <c r="Z44" s="4232"/>
      <c r="AA44" s="360"/>
      <c r="AB44" s="360"/>
      <c r="AC44" s="982"/>
      <c r="AD44" s="1455">
        <v>20</v>
      </c>
      <c r="AE44" s="8477" t="s">
        <v>1577</v>
      </c>
      <c r="AF44" s="8392"/>
      <c r="AG44" s="8475" t="str">
        <f>IF(AD42=0,"",VLOOKUP(AD42,'Tablas psiquica'!$D$7:$R$296,6,FALSE))</f>
        <v/>
      </c>
      <c r="AH44" s="7145"/>
      <c r="AI44" s="7145"/>
      <c r="AJ44" s="8476"/>
      <c r="AK44" s="607"/>
      <c r="AL44" s="1455">
        <v>20</v>
      </c>
      <c r="AM44" s="8477" t="s">
        <v>1577</v>
      </c>
      <c r="AN44" s="8392"/>
      <c r="AO44" s="8475" t="str">
        <f>IF(AL42=0,"",VLOOKUP(AL42,'Tablas psiquica'!$D$7:$R$296,6,FALSE))</f>
        <v/>
      </c>
      <c r="AP44" s="7145"/>
      <c r="AQ44" s="7145"/>
      <c r="AR44" s="8476"/>
      <c r="AS44" s="982"/>
      <c r="AT44" s="1455">
        <v>20</v>
      </c>
      <c r="AU44" s="8477" t="s">
        <v>1577</v>
      </c>
      <c r="AV44" s="8392"/>
      <c r="AW44" s="8475" t="str">
        <f>IF(AT42=0,"",VLOOKUP(AT42,'Tablas psiquica'!$D$7:$R$296,6,FALSE))</f>
        <v/>
      </c>
      <c r="AX44" s="7145"/>
      <c r="AY44" s="7145"/>
      <c r="AZ44" s="8476"/>
      <c r="BA44" s="4232"/>
      <c r="BB44" s="360"/>
      <c r="BC44" s="360"/>
      <c r="BD44" s="982"/>
      <c r="BE44" s="1455">
        <v>20</v>
      </c>
      <c r="BF44" s="8477" t="s">
        <v>1577</v>
      </c>
      <c r="BG44" s="8392"/>
      <c r="BH44" s="8475" t="str">
        <f>IF(BE42=0,"",VLOOKUP(BE42,'Tablas psiquica'!$D$7:$R$296,6,FALSE))</f>
        <v/>
      </c>
      <c r="BI44" s="7145"/>
      <c r="BJ44" s="7145"/>
      <c r="BK44" s="8476"/>
      <c r="BL44" s="607"/>
      <c r="BM44" s="1455">
        <v>20</v>
      </c>
      <c r="BN44" s="8477" t="s">
        <v>1577</v>
      </c>
      <c r="BO44" s="8392"/>
      <c r="BP44" s="8475" t="str">
        <f>IF(BM42=0,"",VLOOKUP(BM42,'Tablas psiquica'!$D$7:$R$296,6,FALSE))</f>
        <v/>
      </c>
      <c r="BQ44" s="7145"/>
      <c r="BR44" s="7145"/>
      <c r="BS44" s="8476"/>
      <c r="BT44" s="982"/>
      <c r="BU44" s="1455">
        <v>20</v>
      </c>
      <c r="BV44" s="8477" t="s">
        <v>1577</v>
      </c>
      <c r="BW44" s="8392"/>
      <c r="BX44" s="8475" t="str">
        <f>IF(BU42=0,"",VLOOKUP(BU42,'Tablas psiquica'!$D$7:$R$296,6,FALSE))</f>
        <v/>
      </c>
      <c r="BY44" s="7145"/>
      <c r="BZ44" s="7145"/>
      <c r="CA44" s="8476"/>
      <c r="CB44" s="4232"/>
      <c r="CC44" s="360"/>
      <c r="CD44" s="360"/>
      <c r="CE44" s="982"/>
      <c r="CF44" s="1455">
        <v>20</v>
      </c>
      <c r="CG44" s="8477" t="s">
        <v>1577</v>
      </c>
      <c r="CH44" s="8392"/>
      <c r="CI44" s="8475" t="str">
        <f>IF(CF42=0,"",VLOOKUP(CF42,'Tablas psiquica'!$D$7:$R$296,6,FALSE))</f>
        <v/>
      </c>
      <c r="CJ44" s="7145"/>
      <c r="CK44" s="7145"/>
      <c r="CL44" s="8476"/>
      <c r="CM44" s="607"/>
      <c r="CN44" s="1455">
        <v>20</v>
      </c>
      <c r="CO44" s="8477" t="s">
        <v>1577</v>
      </c>
      <c r="CP44" s="8392"/>
      <c r="CQ44" s="8475" t="str">
        <f>IF(CN42=0,"",VLOOKUP(CN42,'Tablas psiquica'!$D$7:$R$296,6,FALSE))</f>
        <v/>
      </c>
      <c r="CR44" s="7145"/>
      <c r="CS44" s="7145"/>
      <c r="CT44" s="8476"/>
      <c r="CU44" s="982"/>
      <c r="CV44" s="1455">
        <v>20</v>
      </c>
      <c r="CW44" s="8477" t="s">
        <v>1577</v>
      </c>
      <c r="CX44" s="8392"/>
      <c r="CY44" s="8475" t="str">
        <f>IF(CV42=0,"",VLOOKUP(CV42,'Tablas psiquica'!$D$7:$R$296,6,FALSE))</f>
        <v/>
      </c>
      <c r="CZ44" s="7145"/>
      <c r="DA44" s="7145"/>
      <c r="DB44" s="8476"/>
      <c r="DC44" s="4232"/>
      <c r="DD44" s="360"/>
    </row>
    <row r="45" spans="1:108" ht="12" customHeight="1">
      <c r="A45" s="360"/>
      <c r="B45" s="982"/>
      <c r="C45" s="1454">
        <v>40</v>
      </c>
      <c r="D45" s="8472" t="s">
        <v>1579</v>
      </c>
      <c r="E45" s="8387"/>
      <c r="F45" s="8473" t="str">
        <f>IF(C42=0,"",VLOOKUP(C42,'Tablas psiquica'!$D$7:$R$296,7,FALSE))</f>
        <v/>
      </c>
      <c r="G45" s="8258"/>
      <c r="H45" s="8258"/>
      <c r="I45" s="8474"/>
      <c r="J45" s="607"/>
      <c r="K45" s="1454">
        <v>40</v>
      </c>
      <c r="L45" s="8472" t="s">
        <v>1579</v>
      </c>
      <c r="M45" s="8387"/>
      <c r="N45" s="8473" t="str">
        <f>IF(K42=0,"",VLOOKUP(K42,'Tablas psiquica'!$D$7:$R$296,7,FALSE))</f>
        <v/>
      </c>
      <c r="O45" s="8258"/>
      <c r="P45" s="8258"/>
      <c r="Q45" s="8474"/>
      <c r="R45" s="982"/>
      <c r="S45" s="1454">
        <v>40</v>
      </c>
      <c r="T45" s="8472" t="s">
        <v>1579</v>
      </c>
      <c r="U45" s="8387"/>
      <c r="V45" s="8473" t="str">
        <f>IF(S42=0,"",VLOOKUP(S42,'Tablas psiquica'!$D$7:$R$296,7,FALSE))</f>
        <v/>
      </c>
      <c r="W45" s="8258"/>
      <c r="X45" s="8258"/>
      <c r="Y45" s="8474"/>
      <c r="Z45" s="4232"/>
      <c r="AA45" s="360"/>
      <c r="AB45" s="360"/>
      <c r="AC45" s="982"/>
      <c r="AD45" s="1454">
        <v>40</v>
      </c>
      <c r="AE45" s="8472" t="s">
        <v>1579</v>
      </c>
      <c r="AF45" s="8387"/>
      <c r="AG45" s="8473" t="str">
        <f>IF(AD42=0,"",VLOOKUP(AD42,'Tablas psiquica'!$D$7:$R$296,7,FALSE))</f>
        <v/>
      </c>
      <c r="AH45" s="8258"/>
      <c r="AI45" s="8258"/>
      <c r="AJ45" s="8474"/>
      <c r="AK45" s="607"/>
      <c r="AL45" s="1454">
        <v>40</v>
      </c>
      <c r="AM45" s="8472" t="s">
        <v>1579</v>
      </c>
      <c r="AN45" s="8387"/>
      <c r="AO45" s="8473" t="str">
        <f>IF(AL42=0,"",VLOOKUP(AL42,'Tablas psiquica'!$D$7:$R$296,7,FALSE))</f>
        <v/>
      </c>
      <c r="AP45" s="8258"/>
      <c r="AQ45" s="8258"/>
      <c r="AR45" s="8474"/>
      <c r="AS45" s="982"/>
      <c r="AT45" s="1454">
        <v>40</v>
      </c>
      <c r="AU45" s="8472" t="s">
        <v>1579</v>
      </c>
      <c r="AV45" s="8387"/>
      <c r="AW45" s="8473" t="str">
        <f>IF(AT42=0,"",VLOOKUP(AT42,'Tablas psiquica'!$D$7:$R$296,7,FALSE))</f>
        <v/>
      </c>
      <c r="AX45" s="8258"/>
      <c r="AY45" s="8258"/>
      <c r="AZ45" s="8474"/>
      <c r="BA45" s="4232"/>
      <c r="BB45" s="360"/>
      <c r="BC45" s="360"/>
      <c r="BD45" s="982"/>
      <c r="BE45" s="1454">
        <v>40</v>
      </c>
      <c r="BF45" s="8472" t="s">
        <v>1579</v>
      </c>
      <c r="BG45" s="8387"/>
      <c r="BH45" s="8473" t="str">
        <f>IF(BE42=0,"",VLOOKUP(BE42,'Tablas psiquica'!$D$7:$R$296,7,FALSE))</f>
        <v/>
      </c>
      <c r="BI45" s="8258"/>
      <c r="BJ45" s="8258"/>
      <c r="BK45" s="8474"/>
      <c r="BL45" s="607"/>
      <c r="BM45" s="1454">
        <v>40</v>
      </c>
      <c r="BN45" s="8472" t="s">
        <v>1579</v>
      </c>
      <c r="BO45" s="8387"/>
      <c r="BP45" s="8473" t="str">
        <f>IF(BM42=0,"",VLOOKUP(BM42,'Tablas psiquica'!$D$7:$R$296,7,FALSE))</f>
        <v/>
      </c>
      <c r="BQ45" s="8258"/>
      <c r="BR45" s="8258"/>
      <c r="BS45" s="8474"/>
      <c r="BT45" s="982"/>
      <c r="BU45" s="1454">
        <v>40</v>
      </c>
      <c r="BV45" s="8472" t="s">
        <v>1579</v>
      </c>
      <c r="BW45" s="8387"/>
      <c r="BX45" s="8473" t="str">
        <f>IF(BU42=0,"",VLOOKUP(BU42,'Tablas psiquica'!$D$7:$R$296,7,FALSE))</f>
        <v/>
      </c>
      <c r="BY45" s="8258"/>
      <c r="BZ45" s="8258"/>
      <c r="CA45" s="8474"/>
      <c r="CB45" s="4232"/>
      <c r="CC45" s="360"/>
      <c r="CD45" s="360"/>
      <c r="CE45" s="982"/>
      <c r="CF45" s="1454">
        <v>40</v>
      </c>
      <c r="CG45" s="8472" t="s">
        <v>1579</v>
      </c>
      <c r="CH45" s="8387"/>
      <c r="CI45" s="8473" t="str">
        <f>IF(CF42=0,"",VLOOKUP(CF42,'Tablas psiquica'!$D$7:$R$296,7,FALSE))</f>
        <v/>
      </c>
      <c r="CJ45" s="8258"/>
      <c r="CK45" s="8258"/>
      <c r="CL45" s="8474"/>
      <c r="CM45" s="607"/>
      <c r="CN45" s="1454">
        <v>40</v>
      </c>
      <c r="CO45" s="8472" t="s">
        <v>1579</v>
      </c>
      <c r="CP45" s="8387"/>
      <c r="CQ45" s="8473" t="str">
        <f>IF(CN42=0,"",VLOOKUP(CN42,'Tablas psiquica'!$D$7:$R$296,7,FALSE))</f>
        <v/>
      </c>
      <c r="CR45" s="8258"/>
      <c r="CS45" s="8258"/>
      <c r="CT45" s="8474"/>
      <c r="CU45" s="982"/>
      <c r="CV45" s="1454">
        <v>40</v>
      </c>
      <c r="CW45" s="8472" t="s">
        <v>1579</v>
      </c>
      <c r="CX45" s="8387"/>
      <c r="CY45" s="8473" t="str">
        <f>IF(CV42=0,"",VLOOKUP(CV42,'Tablas psiquica'!$D$7:$R$296,7,FALSE))</f>
        <v/>
      </c>
      <c r="CZ45" s="8258"/>
      <c r="DA45" s="8258"/>
      <c r="DB45" s="8474"/>
      <c r="DC45" s="4232"/>
      <c r="DD45" s="360"/>
    </row>
    <row r="46" spans="1:108" ht="12" customHeight="1">
      <c r="A46" s="360"/>
      <c r="B46" s="982"/>
      <c r="C46" s="1455">
        <v>80</v>
      </c>
      <c r="D46" s="8477" t="s">
        <v>1582</v>
      </c>
      <c r="E46" s="8392"/>
      <c r="F46" s="8475" t="str">
        <f>IF(C42=0,"",VLOOKUP(C42,'Tablas psiquica'!$D$7:$R$296,8,FALSE))</f>
        <v/>
      </c>
      <c r="G46" s="7145"/>
      <c r="H46" s="7145"/>
      <c r="I46" s="8476"/>
      <c r="J46" s="607"/>
      <c r="K46" s="1455">
        <v>80</v>
      </c>
      <c r="L46" s="8477" t="s">
        <v>1582</v>
      </c>
      <c r="M46" s="8392"/>
      <c r="N46" s="8475" t="str">
        <f>IF(K42=0,"",VLOOKUP(K42,'Tablas psiquica'!$D$7:$R$296,8,FALSE))</f>
        <v/>
      </c>
      <c r="O46" s="7145"/>
      <c r="P46" s="7145"/>
      <c r="Q46" s="8476"/>
      <c r="R46" s="982"/>
      <c r="S46" s="1455">
        <v>80</v>
      </c>
      <c r="T46" s="8477" t="s">
        <v>1582</v>
      </c>
      <c r="U46" s="8392"/>
      <c r="V46" s="8475" t="str">
        <f>IF(S42=0,"",VLOOKUP(S42,'Tablas psiquica'!$D$7:$R$296,8,FALSE))</f>
        <v/>
      </c>
      <c r="W46" s="7145"/>
      <c r="X46" s="7145"/>
      <c r="Y46" s="8476"/>
      <c r="Z46" s="4232"/>
      <c r="AA46" s="360"/>
      <c r="AB46" s="360"/>
      <c r="AC46" s="982"/>
      <c r="AD46" s="1455">
        <v>80</v>
      </c>
      <c r="AE46" s="8477" t="s">
        <v>1582</v>
      </c>
      <c r="AF46" s="8392"/>
      <c r="AG46" s="8475" t="str">
        <f>IF(AD42=0,"",VLOOKUP(AD42,'Tablas psiquica'!$D$7:$R$296,8,FALSE))</f>
        <v/>
      </c>
      <c r="AH46" s="7145"/>
      <c r="AI46" s="7145"/>
      <c r="AJ46" s="8476"/>
      <c r="AK46" s="607"/>
      <c r="AL46" s="1455">
        <v>80</v>
      </c>
      <c r="AM46" s="8477" t="s">
        <v>1582</v>
      </c>
      <c r="AN46" s="8392"/>
      <c r="AO46" s="8475" t="str">
        <f>IF(AL42=0,"",VLOOKUP(AL42,'Tablas psiquica'!$D$7:$R$296,8,FALSE))</f>
        <v/>
      </c>
      <c r="AP46" s="7145"/>
      <c r="AQ46" s="7145"/>
      <c r="AR46" s="8476"/>
      <c r="AS46" s="982"/>
      <c r="AT46" s="1455">
        <v>80</v>
      </c>
      <c r="AU46" s="8477" t="s">
        <v>1582</v>
      </c>
      <c r="AV46" s="8392"/>
      <c r="AW46" s="8475" t="str">
        <f>IF(AT42=0,"",VLOOKUP(AT42,'Tablas psiquica'!$D$7:$R$296,8,FALSE))</f>
        <v/>
      </c>
      <c r="AX46" s="7145"/>
      <c r="AY46" s="7145"/>
      <c r="AZ46" s="8476"/>
      <c r="BA46" s="4232"/>
      <c r="BB46" s="360"/>
      <c r="BC46" s="360"/>
      <c r="BD46" s="982"/>
      <c r="BE46" s="1455">
        <v>80</v>
      </c>
      <c r="BF46" s="8477" t="s">
        <v>1582</v>
      </c>
      <c r="BG46" s="8392"/>
      <c r="BH46" s="8475" t="str">
        <f>IF(BE42=0,"",VLOOKUP(BE42,'Tablas psiquica'!$D$7:$R$296,8,FALSE))</f>
        <v/>
      </c>
      <c r="BI46" s="7145"/>
      <c r="BJ46" s="7145"/>
      <c r="BK46" s="8476"/>
      <c r="BL46" s="607"/>
      <c r="BM46" s="1455">
        <v>80</v>
      </c>
      <c r="BN46" s="8477" t="s">
        <v>1582</v>
      </c>
      <c r="BO46" s="8392"/>
      <c r="BP46" s="8475" t="str">
        <f>IF(BM42=0,"",VLOOKUP(BM42,'Tablas psiquica'!$D$7:$R$296,8,FALSE))</f>
        <v/>
      </c>
      <c r="BQ46" s="7145"/>
      <c r="BR46" s="7145"/>
      <c r="BS46" s="8476"/>
      <c r="BT46" s="982"/>
      <c r="BU46" s="1455">
        <v>80</v>
      </c>
      <c r="BV46" s="8477" t="s">
        <v>1582</v>
      </c>
      <c r="BW46" s="8392"/>
      <c r="BX46" s="8475" t="str">
        <f>IF(BU42=0,"",VLOOKUP(BU42,'Tablas psiquica'!$D$7:$R$296,8,FALSE))</f>
        <v/>
      </c>
      <c r="BY46" s="7145"/>
      <c r="BZ46" s="7145"/>
      <c r="CA46" s="8476"/>
      <c r="CB46" s="4232"/>
      <c r="CC46" s="360"/>
      <c r="CD46" s="360"/>
      <c r="CE46" s="982"/>
      <c r="CF46" s="1455">
        <v>80</v>
      </c>
      <c r="CG46" s="8477" t="s">
        <v>1582</v>
      </c>
      <c r="CH46" s="8392"/>
      <c r="CI46" s="8475" t="str">
        <f>IF(CF42=0,"",VLOOKUP(CF42,'Tablas psiquica'!$D$7:$R$296,8,FALSE))</f>
        <v/>
      </c>
      <c r="CJ46" s="7145"/>
      <c r="CK46" s="7145"/>
      <c r="CL46" s="8476"/>
      <c r="CM46" s="607"/>
      <c r="CN46" s="1455">
        <v>80</v>
      </c>
      <c r="CO46" s="8477" t="s">
        <v>1582</v>
      </c>
      <c r="CP46" s="8392"/>
      <c r="CQ46" s="8475" t="str">
        <f>IF(CN42=0,"",VLOOKUP(CN42,'Tablas psiquica'!$D$7:$R$296,8,FALSE))</f>
        <v/>
      </c>
      <c r="CR46" s="7145"/>
      <c r="CS46" s="7145"/>
      <c r="CT46" s="8476"/>
      <c r="CU46" s="982"/>
      <c r="CV46" s="1455">
        <v>80</v>
      </c>
      <c r="CW46" s="8477" t="s">
        <v>1582</v>
      </c>
      <c r="CX46" s="8392"/>
      <c r="CY46" s="8475" t="str">
        <f>IF(CV42=0,"",VLOOKUP(CV42,'Tablas psiquica'!$D$7:$R$296,8,FALSE))</f>
        <v/>
      </c>
      <c r="CZ46" s="7145"/>
      <c r="DA46" s="7145"/>
      <c r="DB46" s="8476"/>
      <c r="DC46" s="4232"/>
      <c r="DD46" s="360"/>
    </row>
    <row r="47" spans="1:108" ht="12" customHeight="1">
      <c r="A47" s="360"/>
      <c r="B47" s="982"/>
      <c r="C47" s="1454">
        <v>120</v>
      </c>
      <c r="D47" s="8472" t="s">
        <v>1585</v>
      </c>
      <c r="E47" s="8387"/>
      <c r="F47" s="8473" t="str">
        <f>IF(C42=0,"",VLOOKUP(C42,'Tablas psiquica'!$D$7:$R$296,9,FALSE))</f>
        <v/>
      </c>
      <c r="G47" s="8258"/>
      <c r="H47" s="8258"/>
      <c r="I47" s="8474"/>
      <c r="J47" s="607"/>
      <c r="K47" s="1454">
        <v>120</v>
      </c>
      <c r="L47" s="8472" t="s">
        <v>1585</v>
      </c>
      <c r="M47" s="8387"/>
      <c r="N47" s="8473" t="str">
        <f>IF(K42=0,"",VLOOKUP(K42,'Tablas psiquica'!$D$7:$R$296,9,FALSE))</f>
        <v/>
      </c>
      <c r="O47" s="8258"/>
      <c r="P47" s="8258"/>
      <c r="Q47" s="8474"/>
      <c r="R47" s="982"/>
      <c r="S47" s="1454">
        <v>120</v>
      </c>
      <c r="T47" s="8472" t="s">
        <v>1585</v>
      </c>
      <c r="U47" s="8387"/>
      <c r="V47" s="8473" t="str">
        <f>IF(S42=0,"",VLOOKUP(S42,'Tablas psiquica'!$D$7:$R$296,9,FALSE))</f>
        <v/>
      </c>
      <c r="W47" s="8258"/>
      <c r="X47" s="8258"/>
      <c r="Y47" s="8474"/>
      <c r="Z47" s="4232"/>
      <c r="AA47" s="360"/>
      <c r="AB47" s="360"/>
      <c r="AC47" s="982"/>
      <c r="AD47" s="1454">
        <v>120</v>
      </c>
      <c r="AE47" s="8472" t="s">
        <v>1585</v>
      </c>
      <c r="AF47" s="8387"/>
      <c r="AG47" s="8473" t="str">
        <f>IF(AD42=0,"",VLOOKUP(AD42,'Tablas psiquica'!$D$7:$R$296,9,FALSE))</f>
        <v/>
      </c>
      <c r="AH47" s="8258"/>
      <c r="AI47" s="8258"/>
      <c r="AJ47" s="8474"/>
      <c r="AK47" s="607"/>
      <c r="AL47" s="1454">
        <v>120</v>
      </c>
      <c r="AM47" s="8472" t="s">
        <v>1585</v>
      </c>
      <c r="AN47" s="8387"/>
      <c r="AO47" s="8473" t="str">
        <f>IF(AL42=0,"",VLOOKUP(AL42,'Tablas psiquica'!$D$7:$R$296,9,FALSE))</f>
        <v/>
      </c>
      <c r="AP47" s="8258"/>
      <c r="AQ47" s="8258"/>
      <c r="AR47" s="8474"/>
      <c r="AS47" s="982"/>
      <c r="AT47" s="1454">
        <v>120</v>
      </c>
      <c r="AU47" s="8472" t="s">
        <v>1585</v>
      </c>
      <c r="AV47" s="8387"/>
      <c r="AW47" s="8473" t="str">
        <f>IF(AT42=0,"",VLOOKUP(AT42,'Tablas psiquica'!$D$7:$R$296,9,FALSE))</f>
        <v/>
      </c>
      <c r="AX47" s="8258"/>
      <c r="AY47" s="8258"/>
      <c r="AZ47" s="8474"/>
      <c r="BA47" s="4232"/>
      <c r="BB47" s="360"/>
      <c r="BC47" s="360"/>
      <c r="BD47" s="982"/>
      <c r="BE47" s="1454">
        <v>120</v>
      </c>
      <c r="BF47" s="8472" t="s">
        <v>1585</v>
      </c>
      <c r="BG47" s="8387"/>
      <c r="BH47" s="8473" t="str">
        <f>IF(BE42=0,"",VLOOKUP(BE42,'Tablas psiquica'!$D$7:$R$296,9,FALSE))</f>
        <v/>
      </c>
      <c r="BI47" s="8258"/>
      <c r="BJ47" s="8258"/>
      <c r="BK47" s="8474"/>
      <c r="BL47" s="607"/>
      <c r="BM47" s="1454">
        <v>120</v>
      </c>
      <c r="BN47" s="8472" t="s">
        <v>1585</v>
      </c>
      <c r="BO47" s="8387"/>
      <c r="BP47" s="8473" t="str">
        <f>IF(BM42=0,"",VLOOKUP(BM42,'Tablas psiquica'!$D$7:$R$296,9,FALSE))</f>
        <v/>
      </c>
      <c r="BQ47" s="8258"/>
      <c r="BR47" s="8258"/>
      <c r="BS47" s="8474"/>
      <c r="BT47" s="982"/>
      <c r="BU47" s="1454">
        <v>120</v>
      </c>
      <c r="BV47" s="8472" t="s">
        <v>1585</v>
      </c>
      <c r="BW47" s="8387"/>
      <c r="BX47" s="8473" t="str">
        <f>IF(BU42=0,"",VLOOKUP(BU42,'Tablas psiquica'!$D$7:$R$296,9,FALSE))</f>
        <v/>
      </c>
      <c r="BY47" s="8258"/>
      <c r="BZ47" s="8258"/>
      <c r="CA47" s="8474"/>
      <c r="CB47" s="4232"/>
      <c r="CC47" s="360"/>
      <c r="CD47" s="360"/>
      <c r="CE47" s="982"/>
      <c r="CF47" s="1454">
        <v>120</v>
      </c>
      <c r="CG47" s="8472" t="s">
        <v>1585</v>
      </c>
      <c r="CH47" s="8387"/>
      <c r="CI47" s="8473" t="str">
        <f>IF(CF42=0,"",VLOOKUP(CF42,'Tablas psiquica'!$D$7:$R$296,9,FALSE))</f>
        <v/>
      </c>
      <c r="CJ47" s="8258"/>
      <c r="CK47" s="8258"/>
      <c r="CL47" s="8474"/>
      <c r="CM47" s="607"/>
      <c r="CN47" s="1454">
        <v>120</v>
      </c>
      <c r="CO47" s="8472" t="s">
        <v>1585</v>
      </c>
      <c r="CP47" s="8387"/>
      <c r="CQ47" s="8473" t="str">
        <f>IF(CN42=0,"",VLOOKUP(CN42,'Tablas psiquica'!$D$7:$R$296,9,FALSE))</f>
        <v/>
      </c>
      <c r="CR47" s="8258"/>
      <c r="CS47" s="8258"/>
      <c r="CT47" s="8474"/>
      <c r="CU47" s="982"/>
      <c r="CV47" s="1454">
        <v>120</v>
      </c>
      <c r="CW47" s="8472" t="s">
        <v>1585</v>
      </c>
      <c r="CX47" s="8387"/>
      <c r="CY47" s="8473" t="str">
        <f>IF(CV42=0,"",VLOOKUP(CV42,'Tablas psiquica'!$D$7:$R$296,9,FALSE))</f>
        <v/>
      </c>
      <c r="CZ47" s="8258"/>
      <c r="DA47" s="8258"/>
      <c r="DB47" s="8474"/>
      <c r="DC47" s="4232"/>
      <c r="DD47" s="360"/>
    </row>
    <row r="48" spans="1:108" ht="12" customHeight="1">
      <c r="A48" s="360"/>
      <c r="B48" s="982"/>
      <c r="C48" s="1455">
        <v>140</v>
      </c>
      <c r="D48" s="8477" t="s">
        <v>5822</v>
      </c>
      <c r="E48" s="8392"/>
      <c r="F48" s="8475" t="str">
        <f>IF(C42=0,"",VLOOKUP(C42,'Tablas psiquica'!$D$7:$R$296,10,FALSE))</f>
        <v/>
      </c>
      <c r="G48" s="7145"/>
      <c r="H48" s="7145"/>
      <c r="I48" s="8476"/>
      <c r="J48" s="607"/>
      <c r="K48" s="1455">
        <v>140</v>
      </c>
      <c r="L48" s="8477" t="s">
        <v>5822</v>
      </c>
      <c r="M48" s="8392"/>
      <c r="N48" s="8475" t="str">
        <f>IF(K42=0,"",VLOOKUP(K42,'Tablas psiquica'!$D$7:$R$296,10,FALSE))</f>
        <v/>
      </c>
      <c r="O48" s="7145"/>
      <c r="P48" s="7145"/>
      <c r="Q48" s="8476"/>
      <c r="R48" s="982"/>
      <c r="S48" s="1455">
        <v>140</v>
      </c>
      <c r="T48" s="8477" t="s">
        <v>5822</v>
      </c>
      <c r="U48" s="8392"/>
      <c r="V48" s="8475" t="str">
        <f>IF(S42=0,"",VLOOKUP(S42,'Tablas psiquica'!$D$7:$R$296,10,FALSE))</f>
        <v/>
      </c>
      <c r="W48" s="7145"/>
      <c r="X48" s="7145"/>
      <c r="Y48" s="8476"/>
      <c r="Z48" s="4232"/>
      <c r="AA48" s="360"/>
      <c r="AB48" s="360"/>
      <c r="AC48" s="982"/>
      <c r="AD48" s="1455">
        <v>140</v>
      </c>
      <c r="AE48" s="8477" t="s">
        <v>5822</v>
      </c>
      <c r="AF48" s="8392"/>
      <c r="AG48" s="8475" t="str">
        <f>IF(AD42=0,"",VLOOKUP(AD42,'Tablas psiquica'!$D$7:$R$296,10,FALSE))</f>
        <v/>
      </c>
      <c r="AH48" s="7145"/>
      <c r="AI48" s="7145"/>
      <c r="AJ48" s="8476"/>
      <c r="AK48" s="607"/>
      <c r="AL48" s="1455">
        <v>140</v>
      </c>
      <c r="AM48" s="8477" t="s">
        <v>5822</v>
      </c>
      <c r="AN48" s="8392"/>
      <c r="AO48" s="8475" t="str">
        <f>IF(AL42=0,"",VLOOKUP(AL42,'Tablas psiquica'!$D$7:$R$296,10,FALSE))</f>
        <v/>
      </c>
      <c r="AP48" s="7145"/>
      <c r="AQ48" s="7145"/>
      <c r="AR48" s="8476"/>
      <c r="AS48" s="982"/>
      <c r="AT48" s="1455">
        <v>140</v>
      </c>
      <c r="AU48" s="8477" t="s">
        <v>5822</v>
      </c>
      <c r="AV48" s="8392"/>
      <c r="AW48" s="8475" t="str">
        <f>IF(AT42=0,"",VLOOKUP(AT42,'Tablas psiquica'!$D$7:$R$296,10,FALSE))</f>
        <v/>
      </c>
      <c r="AX48" s="7145"/>
      <c r="AY48" s="7145"/>
      <c r="AZ48" s="8476"/>
      <c r="BA48" s="4232"/>
      <c r="BB48" s="360"/>
      <c r="BC48" s="360"/>
      <c r="BD48" s="982"/>
      <c r="BE48" s="1455">
        <v>140</v>
      </c>
      <c r="BF48" s="8477" t="s">
        <v>5822</v>
      </c>
      <c r="BG48" s="8392"/>
      <c r="BH48" s="8475" t="str">
        <f>IF(BE42=0,"",VLOOKUP(BE42,'Tablas psiquica'!$D$7:$R$296,10,FALSE))</f>
        <v/>
      </c>
      <c r="BI48" s="7145"/>
      <c r="BJ48" s="7145"/>
      <c r="BK48" s="8476"/>
      <c r="BL48" s="607"/>
      <c r="BM48" s="1455">
        <v>140</v>
      </c>
      <c r="BN48" s="8477" t="s">
        <v>5822</v>
      </c>
      <c r="BO48" s="8392"/>
      <c r="BP48" s="8475" t="str">
        <f>IF(BM42=0,"",VLOOKUP(BM42,'Tablas psiquica'!$D$7:$R$296,10,FALSE))</f>
        <v/>
      </c>
      <c r="BQ48" s="7145"/>
      <c r="BR48" s="7145"/>
      <c r="BS48" s="8476"/>
      <c r="BT48" s="982"/>
      <c r="BU48" s="1455">
        <v>140</v>
      </c>
      <c r="BV48" s="8477" t="s">
        <v>5822</v>
      </c>
      <c r="BW48" s="8392"/>
      <c r="BX48" s="8475" t="str">
        <f>IF(BU42=0,"",VLOOKUP(BU42,'Tablas psiquica'!$D$7:$R$296,10,FALSE))</f>
        <v/>
      </c>
      <c r="BY48" s="7145"/>
      <c r="BZ48" s="7145"/>
      <c r="CA48" s="8476"/>
      <c r="CB48" s="4232"/>
      <c r="CC48" s="360"/>
      <c r="CD48" s="360"/>
      <c r="CE48" s="982"/>
      <c r="CF48" s="1455">
        <v>140</v>
      </c>
      <c r="CG48" s="8477" t="s">
        <v>5822</v>
      </c>
      <c r="CH48" s="8392"/>
      <c r="CI48" s="8475" t="str">
        <f>IF(CF42=0,"",VLOOKUP(CF42,'Tablas psiquica'!$D$7:$R$296,10,FALSE))</f>
        <v/>
      </c>
      <c r="CJ48" s="7145"/>
      <c r="CK48" s="7145"/>
      <c r="CL48" s="8476"/>
      <c r="CM48" s="607"/>
      <c r="CN48" s="1455">
        <v>140</v>
      </c>
      <c r="CO48" s="8477" t="s">
        <v>5822</v>
      </c>
      <c r="CP48" s="8392"/>
      <c r="CQ48" s="8475" t="str">
        <f>IF(CN42=0,"",VLOOKUP(CN42,'Tablas psiquica'!$D$7:$R$296,10,FALSE))</f>
        <v/>
      </c>
      <c r="CR48" s="7145"/>
      <c r="CS48" s="7145"/>
      <c r="CT48" s="8476"/>
      <c r="CU48" s="982"/>
      <c r="CV48" s="1455">
        <v>140</v>
      </c>
      <c r="CW48" s="8477" t="s">
        <v>5822</v>
      </c>
      <c r="CX48" s="8392"/>
      <c r="CY48" s="8475" t="str">
        <f>IF(CV42=0,"",VLOOKUP(CV42,'Tablas psiquica'!$D$7:$R$296,10,FALSE))</f>
        <v/>
      </c>
      <c r="CZ48" s="7145"/>
      <c r="DA48" s="7145"/>
      <c r="DB48" s="8476"/>
      <c r="DC48" s="4232"/>
      <c r="DD48" s="360"/>
    </row>
    <row r="49" spans="1:108" ht="12" customHeight="1">
      <c r="A49" s="360"/>
      <c r="B49" s="982"/>
      <c r="C49" s="1454">
        <v>180</v>
      </c>
      <c r="D49" s="8472" t="s">
        <v>1589</v>
      </c>
      <c r="E49" s="8387"/>
      <c r="F49" s="8473" t="str">
        <f>IF(C42=0,"",VLOOKUP(C42,'Tablas psiquica'!$D$7:$R$296,11,FALSE))</f>
        <v/>
      </c>
      <c r="G49" s="8258"/>
      <c r="H49" s="8258"/>
      <c r="I49" s="8474"/>
      <c r="J49" s="607"/>
      <c r="K49" s="1454">
        <v>180</v>
      </c>
      <c r="L49" s="8472" t="s">
        <v>1589</v>
      </c>
      <c r="M49" s="8387"/>
      <c r="N49" s="8473" t="str">
        <f>IF(K42=0,"",VLOOKUP(K42,'Tablas psiquica'!$D$7:$R$296,11,FALSE))</f>
        <v/>
      </c>
      <c r="O49" s="8258"/>
      <c r="P49" s="8258"/>
      <c r="Q49" s="8474"/>
      <c r="R49" s="982"/>
      <c r="S49" s="1454">
        <v>180</v>
      </c>
      <c r="T49" s="8472" t="s">
        <v>1589</v>
      </c>
      <c r="U49" s="8387"/>
      <c r="V49" s="8473" t="str">
        <f>IF(S42=0,"",VLOOKUP(S42,'Tablas psiquica'!$D$7:$R$296,11,FALSE))</f>
        <v/>
      </c>
      <c r="W49" s="8258"/>
      <c r="X49" s="8258"/>
      <c r="Y49" s="8474"/>
      <c r="Z49" s="4232"/>
      <c r="AA49" s="360"/>
      <c r="AB49" s="360"/>
      <c r="AC49" s="982"/>
      <c r="AD49" s="1454">
        <v>180</v>
      </c>
      <c r="AE49" s="8472" t="s">
        <v>1589</v>
      </c>
      <c r="AF49" s="8387"/>
      <c r="AG49" s="8473" t="str">
        <f>IF(AD42=0,"",VLOOKUP(AD42,'Tablas psiquica'!$D$7:$R$296,11,FALSE))</f>
        <v/>
      </c>
      <c r="AH49" s="8258"/>
      <c r="AI49" s="8258"/>
      <c r="AJ49" s="8474"/>
      <c r="AK49" s="607"/>
      <c r="AL49" s="1454">
        <v>180</v>
      </c>
      <c r="AM49" s="8472" t="s">
        <v>1589</v>
      </c>
      <c r="AN49" s="8387"/>
      <c r="AO49" s="8473" t="str">
        <f>IF(AL42=0,"",VLOOKUP(AL42,'Tablas psiquica'!$D$7:$R$296,11,FALSE))</f>
        <v/>
      </c>
      <c r="AP49" s="8258"/>
      <c r="AQ49" s="8258"/>
      <c r="AR49" s="8474"/>
      <c r="AS49" s="982"/>
      <c r="AT49" s="1454">
        <v>180</v>
      </c>
      <c r="AU49" s="8472" t="s">
        <v>1589</v>
      </c>
      <c r="AV49" s="8387"/>
      <c r="AW49" s="8473" t="str">
        <f>IF(AT42=0,"",VLOOKUP(AT42,'Tablas psiquica'!$D$7:$R$296,11,FALSE))</f>
        <v/>
      </c>
      <c r="AX49" s="8258"/>
      <c r="AY49" s="8258"/>
      <c r="AZ49" s="8474"/>
      <c r="BA49" s="4232"/>
      <c r="BB49" s="360"/>
      <c r="BC49" s="360"/>
      <c r="BD49" s="982"/>
      <c r="BE49" s="1454">
        <v>180</v>
      </c>
      <c r="BF49" s="8472" t="s">
        <v>1589</v>
      </c>
      <c r="BG49" s="8387"/>
      <c r="BH49" s="8473" t="str">
        <f>IF(BE42=0,"",VLOOKUP(BE42,'Tablas psiquica'!$D$7:$R$296,11,FALSE))</f>
        <v/>
      </c>
      <c r="BI49" s="8258"/>
      <c r="BJ49" s="8258"/>
      <c r="BK49" s="8474"/>
      <c r="BL49" s="607"/>
      <c r="BM49" s="1454">
        <v>180</v>
      </c>
      <c r="BN49" s="8472" t="s">
        <v>1589</v>
      </c>
      <c r="BO49" s="8387"/>
      <c r="BP49" s="8473" t="str">
        <f>IF(BM42=0,"",VLOOKUP(BM42,'Tablas psiquica'!$D$7:$R$296,11,FALSE))</f>
        <v/>
      </c>
      <c r="BQ49" s="8258"/>
      <c r="BR49" s="8258"/>
      <c r="BS49" s="8474"/>
      <c r="BT49" s="982"/>
      <c r="BU49" s="1454">
        <v>180</v>
      </c>
      <c r="BV49" s="8472" t="s">
        <v>1589</v>
      </c>
      <c r="BW49" s="8387"/>
      <c r="BX49" s="8473" t="str">
        <f>IF(BU42=0,"",VLOOKUP(BU42,'Tablas psiquica'!$D$7:$R$296,11,FALSE))</f>
        <v/>
      </c>
      <c r="BY49" s="8258"/>
      <c r="BZ49" s="8258"/>
      <c r="CA49" s="8474"/>
      <c r="CB49" s="4232"/>
      <c r="CC49" s="360"/>
      <c r="CD49" s="360"/>
      <c r="CE49" s="982"/>
      <c r="CF49" s="1454">
        <v>180</v>
      </c>
      <c r="CG49" s="8472" t="s">
        <v>1589</v>
      </c>
      <c r="CH49" s="8387"/>
      <c r="CI49" s="8473" t="str">
        <f>IF(CF42=0,"",VLOOKUP(CF42,'Tablas psiquica'!$D$7:$R$296,11,FALSE))</f>
        <v/>
      </c>
      <c r="CJ49" s="8258"/>
      <c r="CK49" s="8258"/>
      <c r="CL49" s="8474"/>
      <c r="CM49" s="607"/>
      <c r="CN49" s="1454">
        <v>180</v>
      </c>
      <c r="CO49" s="8472" t="s">
        <v>1589</v>
      </c>
      <c r="CP49" s="8387"/>
      <c r="CQ49" s="8473" t="str">
        <f>IF(CN42=0,"",VLOOKUP(CN42,'Tablas psiquica'!$D$7:$R$296,11,FALSE))</f>
        <v/>
      </c>
      <c r="CR49" s="8258"/>
      <c r="CS49" s="8258"/>
      <c r="CT49" s="8474"/>
      <c r="CU49" s="982"/>
      <c r="CV49" s="1454">
        <v>180</v>
      </c>
      <c r="CW49" s="8472" t="s">
        <v>1589</v>
      </c>
      <c r="CX49" s="8387"/>
      <c r="CY49" s="8473" t="str">
        <f>IF(CV42=0,"",VLOOKUP(CV42,'Tablas psiquica'!$D$7:$R$296,11,FALSE))</f>
        <v/>
      </c>
      <c r="CZ49" s="8258"/>
      <c r="DA49" s="8258"/>
      <c r="DB49" s="8474"/>
      <c r="DC49" s="4232"/>
      <c r="DD49" s="360"/>
    </row>
    <row r="50" spans="1:108" ht="12" customHeight="1">
      <c r="A50" s="360"/>
      <c r="B50" s="982"/>
      <c r="C50" s="1455">
        <v>240</v>
      </c>
      <c r="D50" s="8477" t="s">
        <v>5823</v>
      </c>
      <c r="E50" s="8392"/>
      <c r="F50" s="8475" t="str">
        <f>IF(C42=0,"",VLOOKUP(C42,'Tablas psiquica'!$D$7:$R$296,12,FALSE))</f>
        <v/>
      </c>
      <c r="G50" s="7145"/>
      <c r="H50" s="7145"/>
      <c r="I50" s="8476"/>
      <c r="J50" s="607"/>
      <c r="K50" s="1455">
        <v>240</v>
      </c>
      <c r="L50" s="8477" t="s">
        <v>5823</v>
      </c>
      <c r="M50" s="8392"/>
      <c r="N50" s="8475" t="str">
        <f>IF(K42=0,"",VLOOKUP(K42,'Tablas psiquica'!$D$7:$R$296,12,FALSE))</f>
        <v/>
      </c>
      <c r="O50" s="7145"/>
      <c r="P50" s="7145"/>
      <c r="Q50" s="8476"/>
      <c r="R50" s="982"/>
      <c r="S50" s="1455">
        <v>240</v>
      </c>
      <c r="T50" s="8477" t="s">
        <v>5823</v>
      </c>
      <c r="U50" s="8392"/>
      <c r="V50" s="8475" t="str">
        <f>IF(S42=0,"",VLOOKUP(S42,'Tablas psiquica'!$D$7:$R$296,12,FALSE))</f>
        <v/>
      </c>
      <c r="W50" s="7145"/>
      <c r="X50" s="7145"/>
      <c r="Y50" s="8476"/>
      <c r="Z50" s="4232"/>
      <c r="AA50" s="360"/>
      <c r="AB50" s="360"/>
      <c r="AC50" s="982"/>
      <c r="AD50" s="1455">
        <v>240</v>
      </c>
      <c r="AE50" s="8477" t="s">
        <v>5823</v>
      </c>
      <c r="AF50" s="8392"/>
      <c r="AG50" s="8475" t="str">
        <f>IF(AD42=0,"",VLOOKUP(AD42,'Tablas psiquica'!$D$7:$R$296,12,FALSE))</f>
        <v/>
      </c>
      <c r="AH50" s="7145"/>
      <c r="AI50" s="7145"/>
      <c r="AJ50" s="8476"/>
      <c r="AK50" s="607"/>
      <c r="AL50" s="1455">
        <v>240</v>
      </c>
      <c r="AM50" s="8477" t="s">
        <v>5823</v>
      </c>
      <c r="AN50" s="8392"/>
      <c r="AO50" s="8475" t="str">
        <f>IF(AL42=0,"",VLOOKUP(AL42,'Tablas psiquica'!$D$7:$R$296,12,FALSE))</f>
        <v/>
      </c>
      <c r="AP50" s="7145"/>
      <c r="AQ50" s="7145"/>
      <c r="AR50" s="8476"/>
      <c r="AS50" s="982"/>
      <c r="AT50" s="1455">
        <v>240</v>
      </c>
      <c r="AU50" s="8477" t="s">
        <v>5823</v>
      </c>
      <c r="AV50" s="8392"/>
      <c r="AW50" s="8475" t="str">
        <f>IF(AT42=0,"",VLOOKUP(AT42,'Tablas psiquica'!$D$7:$R$296,12,FALSE))</f>
        <v/>
      </c>
      <c r="AX50" s="7145"/>
      <c r="AY50" s="7145"/>
      <c r="AZ50" s="8476"/>
      <c r="BA50" s="4232"/>
      <c r="BB50" s="360"/>
      <c r="BC50" s="360"/>
      <c r="BD50" s="982"/>
      <c r="BE50" s="1455">
        <v>240</v>
      </c>
      <c r="BF50" s="8477" t="s">
        <v>5823</v>
      </c>
      <c r="BG50" s="8392"/>
      <c r="BH50" s="8475" t="str">
        <f>IF(BE42=0,"",VLOOKUP(BE42,'Tablas psiquica'!$D$7:$R$296,12,FALSE))</f>
        <v/>
      </c>
      <c r="BI50" s="7145"/>
      <c r="BJ50" s="7145"/>
      <c r="BK50" s="8476"/>
      <c r="BL50" s="607"/>
      <c r="BM50" s="1455">
        <v>240</v>
      </c>
      <c r="BN50" s="8477" t="s">
        <v>5823</v>
      </c>
      <c r="BO50" s="8392"/>
      <c r="BP50" s="8475" t="str">
        <f>IF(BM42=0,"",VLOOKUP(BM42,'Tablas psiquica'!$D$7:$R$296,12,FALSE))</f>
        <v/>
      </c>
      <c r="BQ50" s="7145"/>
      <c r="BR50" s="7145"/>
      <c r="BS50" s="8476"/>
      <c r="BT50" s="982"/>
      <c r="BU50" s="1455">
        <v>240</v>
      </c>
      <c r="BV50" s="8477" t="s">
        <v>5823</v>
      </c>
      <c r="BW50" s="8392"/>
      <c r="BX50" s="8475" t="str">
        <f>IF(BU42=0,"",VLOOKUP(BU42,'Tablas psiquica'!$D$7:$R$296,12,FALSE))</f>
        <v/>
      </c>
      <c r="BY50" s="7145"/>
      <c r="BZ50" s="7145"/>
      <c r="CA50" s="8476"/>
      <c r="CB50" s="4232"/>
      <c r="CC50" s="360"/>
      <c r="CD50" s="360"/>
      <c r="CE50" s="982"/>
      <c r="CF50" s="1455">
        <v>240</v>
      </c>
      <c r="CG50" s="8477" t="s">
        <v>5823</v>
      </c>
      <c r="CH50" s="8392"/>
      <c r="CI50" s="8475" t="str">
        <f>IF(CF42=0,"",VLOOKUP(CF42,'Tablas psiquica'!$D$7:$R$296,12,FALSE))</f>
        <v/>
      </c>
      <c r="CJ50" s="7145"/>
      <c r="CK50" s="7145"/>
      <c r="CL50" s="8476"/>
      <c r="CM50" s="607"/>
      <c r="CN50" s="1455">
        <v>240</v>
      </c>
      <c r="CO50" s="8477" t="s">
        <v>5823</v>
      </c>
      <c r="CP50" s="8392"/>
      <c r="CQ50" s="8475" t="str">
        <f>IF(CN42=0,"",VLOOKUP(CN42,'Tablas psiquica'!$D$7:$R$296,12,FALSE))</f>
        <v/>
      </c>
      <c r="CR50" s="7145"/>
      <c r="CS50" s="7145"/>
      <c r="CT50" s="8476"/>
      <c r="CU50" s="982"/>
      <c r="CV50" s="1455">
        <v>240</v>
      </c>
      <c r="CW50" s="8477" t="s">
        <v>5823</v>
      </c>
      <c r="CX50" s="8392"/>
      <c r="CY50" s="8475" t="str">
        <f>IF(CV42=0,"",VLOOKUP(CV42,'Tablas psiquica'!$D$7:$R$296,12,FALSE))</f>
        <v/>
      </c>
      <c r="CZ50" s="7145"/>
      <c r="DA50" s="7145"/>
      <c r="DB50" s="8476"/>
      <c r="DC50" s="4232"/>
      <c r="DD50" s="360"/>
    </row>
    <row r="51" spans="1:108" ht="12" customHeight="1">
      <c r="A51" s="360"/>
      <c r="B51" s="982"/>
      <c r="C51" s="1454">
        <v>280</v>
      </c>
      <c r="D51" s="8472" t="s">
        <v>1592</v>
      </c>
      <c r="E51" s="8387"/>
      <c r="F51" s="8473" t="str">
        <f>IF(C42=0,"",VLOOKUP(C42,'Tablas psiquica'!$D$7:$R$296,13,FALSE))</f>
        <v/>
      </c>
      <c r="G51" s="8258"/>
      <c r="H51" s="8258"/>
      <c r="I51" s="8474"/>
      <c r="J51" s="607"/>
      <c r="K51" s="1454">
        <v>280</v>
      </c>
      <c r="L51" s="8472" t="s">
        <v>1592</v>
      </c>
      <c r="M51" s="8387"/>
      <c r="N51" s="8473" t="str">
        <f>IF(K42=0,"",VLOOKUP(K42,'Tablas psiquica'!$D$7:$R$296,13,FALSE))</f>
        <v/>
      </c>
      <c r="O51" s="8258"/>
      <c r="P51" s="8258"/>
      <c r="Q51" s="8474"/>
      <c r="R51" s="982"/>
      <c r="S51" s="1454">
        <v>280</v>
      </c>
      <c r="T51" s="8472" t="s">
        <v>1592</v>
      </c>
      <c r="U51" s="8387"/>
      <c r="V51" s="8473" t="str">
        <f>IF(S42=0,"",VLOOKUP(S42,'Tablas psiquica'!$D$7:$R$296,13,FALSE))</f>
        <v/>
      </c>
      <c r="W51" s="8258"/>
      <c r="X51" s="8258"/>
      <c r="Y51" s="8474"/>
      <c r="Z51" s="4232"/>
      <c r="AA51" s="360"/>
      <c r="AB51" s="360"/>
      <c r="AC51" s="982"/>
      <c r="AD51" s="1454">
        <v>280</v>
      </c>
      <c r="AE51" s="8472" t="s">
        <v>1592</v>
      </c>
      <c r="AF51" s="8387"/>
      <c r="AG51" s="8473" t="str">
        <f>IF(AD42=0,"",VLOOKUP(AD42,'Tablas psiquica'!$D$7:$R$296,13,FALSE))</f>
        <v/>
      </c>
      <c r="AH51" s="8258"/>
      <c r="AI51" s="8258"/>
      <c r="AJ51" s="8474"/>
      <c r="AK51" s="607"/>
      <c r="AL51" s="1454">
        <v>280</v>
      </c>
      <c r="AM51" s="8472" t="s">
        <v>1592</v>
      </c>
      <c r="AN51" s="8387"/>
      <c r="AO51" s="8473" t="str">
        <f>IF(AL42=0,"",VLOOKUP(AL42,'Tablas psiquica'!$D$7:$R$296,13,FALSE))</f>
        <v/>
      </c>
      <c r="AP51" s="8258"/>
      <c r="AQ51" s="8258"/>
      <c r="AR51" s="8474"/>
      <c r="AS51" s="982"/>
      <c r="AT51" s="1454">
        <v>280</v>
      </c>
      <c r="AU51" s="8472" t="s">
        <v>1592</v>
      </c>
      <c r="AV51" s="8387"/>
      <c r="AW51" s="8473" t="str">
        <f>IF(AT42=0,"",VLOOKUP(AT42,'Tablas psiquica'!$D$7:$R$296,13,FALSE))</f>
        <v/>
      </c>
      <c r="AX51" s="8258"/>
      <c r="AY51" s="8258"/>
      <c r="AZ51" s="8474"/>
      <c r="BA51" s="4232"/>
      <c r="BB51" s="360"/>
      <c r="BC51" s="360"/>
      <c r="BD51" s="982"/>
      <c r="BE51" s="1454">
        <v>280</v>
      </c>
      <c r="BF51" s="8472" t="s">
        <v>1592</v>
      </c>
      <c r="BG51" s="8387"/>
      <c r="BH51" s="8473" t="str">
        <f>IF(BE42=0,"",VLOOKUP(BE42,'Tablas psiquica'!$D$7:$R$296,13,FALSE))</f>
        <v/>
      </c>
      <c r="BI51" s="8258"/>
      <c r="BJ51" s="8258"/>
      <c r="BK51" s="8474"/>
      <c r="BL51" s="607"/>
      <c r="BM51" s="1454">
        <v>280</v>
      </c>
      <c r="BN51" s="8472" t="s">
        <v>1592</v>
      </c>
      <c r="BO51" s="8387"/>
      <c r="BP51" s="8473" t="str">
        <f>IF(BM42=0,"",VLOOKUP(BM42,'Tablas psiquica'!$D$7:$R$296,13,FALSE))</f>
        <v/>
      </c>
      <c r="BQ51" s="8258"/>
      <c r="BR51" s="8258"/>
      <c r="BS51" s="8474"/>
      <c r="BT51" s="982"/>
      <c r="BU51" s="1454">
        <v>280</v>
      </c>
      <c r="BV51" s="8472" t="s">
        <v>1592</v>
      </c>
      <c r="BW51" s="8387"/>
      <c r="BX51" s="8473" t="str">
        <f>IF(BU42=0,"",VLOOKUP(BU42,'Tablas psiquica'!$D$7:$R$296,13,FALSE))</f>
        <v/>
      </c>
      <c r="BY51" s="8258"/>
      <c r="BZ51" s="8258"/>
      <c r="CA51" s="8474"/>
      <c r="CB51" s="4232"/>
      <c r="CC51" s="360"/>
      <c r="CD51" s="360"/>
      <c r="CE51" s="982"/>
      <c r="CF51" s="1454">
        <v>280</v>
      </c>
      <c r="CG51" s="8472" t="s">
        <v>1592</v>
      </c>
      <c r="CH51" s="8387"/>
      <c r="CI51" s="8473" t="str">
        <f>IF(CF42=0,"",VLOOKUP(CF42,'Tablas psiquica'!$D$7:$R$296,13,FALSE))</f>
        <v/>
      </c>
      <c r="CJ51" s="8258"/>
      <c r="CK51" s="8258"/>
      <c r="CL51" s="8474"/>
      <c r="CM51" s="607"/>
      <c r="CN51" s="1454">
        <v>280</v>
      </c>
      <c r="CO51" s="8472" t="s">
        <v>1592</v>
      </c>
      <c r="CP51" s="8387"/>
      <c r="CQ51" s="8473" t="str">
        <f>IF(CN42=0,"",VLOOKUP(CN42,'Tablas psiquica'!$D$7:$R$296,13,FALSE))</f>
        <v/>
      </c>
      <c r="CR51" s="8258"/>
      <c r="CS51" s="8258"/>
      <c r="CT51" s="8474"/>
      <c r="CU51" s="982"/>
      <c r="CV51" s="1454">
        <v>280</v>
      </c>
      <c r="CW51" s="8472" t="s">
        <v>1592</v>
      </c>
      <c r="CX51" s="8387"/>
      <c r="CY51" s="8473" t="str">
        <f>IF(CV42=0,"",VLOOKUP(CV42,'Tablas psiquica'!$D$7:$R$296,13,FALSE))</f>
        <v/>
      </c>
      <c r="CZ51" s="8258"/>
      <c r="DA51" s="8258"/>
      <c r="DB51" s="8474"/>
      <c r="DC51" s="4232"/>
      <c r="DD51" s="360"/>
    </row>
    <row r="52" spans="1:108" ht="12" customHeight="1">
      <c r="A52" s="360"/>
      <c r="B52" s="982"/>
      <c r="C52" s="1455">
        <v>320</v>
      </c>
      <c r="D52" s="8477" t="s">
        <v>1594</v>
      </c>
      <c r="E52" s="8392"/>
      <c r="F52" s="8475" t="str">
        <f>IF(C42=0,"",VLOOKUP(C42,'Tablas psiquica'!$D$7:$R$296,14,FALSE))</f>
        <v/>
      </c>
      <c r="G52" s="7145"/>
      <c r="H52" s="7145"/>
      <c r="I52" s="8476"/>
      <c r="J52" s="607"/>
      <c r="K52" s="1455">
        <v>320</v>
      </c>
      <c r="L52" s="8477" t="s">
        <v>1594</v>
      </c>
      <c r="M52" s="8392"/>
      <c r="N52" s="8475" t="str">
        <f>IF(K42=0,"",VLOOKUP(K42,'Tablas psiquica'!$D$7:$R$296,14,FALSE))</f>
        <v/>
      </c>
      <c r="O52" s="7145"/>
      <c r="P52" s="7145"/>
      <c r="Q52" s="8476"/>
      <c r="R52" s="982"/>
      <c r="S52" s="1455">
        <v>320</v>
      </c>
      <c r="T52" s="8477" t="s">
        <v>1594</v>
      </c>
      <c r="U52" s="8392"/>
      <c r="V52" s="8475" t="str">
        <f>IF(S42=0,"",VLOOKUP(S42,'Tablas psiquica'!$D$7:$R$296,14,FALSE))</f>
        <v/>
      </c>
      <c r="W52" s="7145"/>
      <c r="X52" s="7145"/>
      <c r="Y52" s="8476"/>
      <c r="Z52" s="4232"/>
      <c r="AA52" s="360"/>
      <c r="AB52" s="360"/>
      <c r="AC52" s="982"/>
      <c r="AD52" s="1455">
        <v>320</v>
      </c>
      <c r="AE52" s="8477" t="s">
        <v>1594</v>
      </c>
      <c r="AF52" s="8392"/>
      <c r="AG52" s="8475" t="str">
        <f>IF(AD42=0,"",VLOOKUP(AD42,'Tablas psiquica'!$D$7:$R$296,14,FALSE))</f>
        <v/>
      </c>
      <c r="AH52" s="7145"/>
      <c r="AI52" s="7145"/>
      <c r="AJ52" s="8476"/>
      <c r="AK52" s="607"/>
      <c r="AL52" s="1455">
        <v>320</v>
      </c>
      <c r="AM52" s="8477" t="s">
        <v>1594</v>
      </c>
      <c r="AN52" s="8392"/>
      <c r="AO52" s="8475" t="str">
        <f>IF(AL42=0,"",VLOOKUP(AL42,'Tablas psiquica'!$D$7:$R$296,14,FALSE))</f>
        <v/>
      </c>
      <c r="AP52" s="7145"/>
      <c r="AQ52" s="7145"/>
      <c r="AR52" s="8476"/>
      <c r="AS52" s="982"/>
      <c r="AT52" s="1455">
        <v>320</v>
      </c>
      <c r="AU52" s="8477" t="s">
        <v>1594</v>
      </c>
      <c r="AV52" s="8392"/>
      <c r="AW52" s="8475" t="str">
        <f>IF(AT42=0,"",VLOOKUP(AT42,'Tablas psiquica'!$D$7:$R$296,14,FALSE))</f>
        <v/>
      </c>
      <c r="AX52" s="7145"/>
      <c r="AY52" s="7145"/>
      <c r="AZ52" s="8476"/>
      <c r="BA52" s="4232"/>
      <c r="BB52" s="360"/>
      <c r="BC52" s="360"/>
      <c r="BD52" s="982"/>
      <c r="BE52" s="1455">
        <v>320</v>
      </c>
      <c r="BF52" s="8477" t="s">
        <v>1594</v>
      </c>
      <c r="BG52" s="8392"/>
      <c r="BH52" s="8475" t="str">
        <f>IF(BE42=0,"",VLOOKUP(BE42,'Tablas psiquica'!$D$7:$R$296,14,FALSE))</f>
        <v/>
      </c>
      <c r="BI52" s="7145"/>
      <c r="BJ52" s="7145"/>
      <c r="BK52" s="8476"/>
      <c r="BL52" s="607"/>
      <c r="BM52" s="1455">
        <v>320</v>
      </c>
      <c r="BN52" s="8477" t="s">
        <v>1594</v>
      </c>
      <c r="BO52" s="8392"/>
      <c r="BP52" s="8475" t="str">
        <f>IF(BM42=0,"",VLOOKUP(BM42,'Tablas psiquica'!$D$7:$R$296,14,FALSE))</f>
        <v/>
      </c>
      <c r="BQ52" s="7145"/>
      <c r="BR52" s="7145"/>
      <c r="BS52" s="8476"/>
      <c r="BT52" s="982"/>
      <c r="BU52" s="1455">
        <v>320</v>
      </c>
      <c r="BV52" s="8477" t="s">
        <v>1594</v>
      </c>
      <c r="BW52" s="8392"/>
      <c r="BX52" s="8475" t="str">
        <f>IF(BU42=0,"",VLOOKUP(BU42,'Tablas psiquica'!$D$7:$R$296,14,FALSE))</f>
        <v/>
      </c>
      <c r="BY52" s="7145"/>
      <c r="BZ52" s="7145"/>
      <c r="CA52" s="8476"/>
      <c r="CB52" s="4232"/>
      <c r="CC52" s="360"/>
      <c r="CD52" s="360"/>
      <c r="CE52" s="982"/>
      <c r="CF52" s="1455">
        <v>320</v>
      </c>
      <c r="CG52" s="8477" t="s">
        <v>1594</v>
      </c>
      <c r="CH52" s="8392"/>
      <c r="CI52" s="8475" t="str">
        <f>IF(CF42=0,"",VLOOKUP(CF42,'Tablas psiquica'!$D$7:$R$296,14,FALSE))</f>
        <v/>
      </c>
      <c r="CJ52" s="7145"/>
      <c r="CK52" s="7145"/>
      <c r="CL52" s="8476"/>
      <c r="CM52" s="607"/>
      <c r="CN52" s="1455">
        <v>320</v>
      </c>
      <c r="CO52" s="8477" t="s">
        <v>1594</v>
      </c>
      <c r="CP52" s="8392"/>
      <c r="CQ52" s="8475" t="str">
        <f>IF(CN42=0,"",VLOOKUP(CN42,'Tablas psiquica'!$D$7:$R$296,14,FALSE))</f>
        <v/>
      </c>
      <c r="CR52" s="7145"/>
      <c r="CS52" s="7145"/>
      <c r="CT52" s="8476"/>
      <c r="CU52" s="982"/>
      <c r="CV52" s="1455">
        <v>320</v>
      </c>
      <c r="CW52" s="8477" t="s">
        <v>1594</v>
      </c>
      <c r="CX52" s="8392"/>
      <c r="CY52" s="8475" t="str">
        <f>IF(CV42=0,"",VLOOKUP(CV42,'Tablas psiquica'!$D$7:$R$296,14,FALSE))</f>
        <v/>
      </c>
      <c r="CZ52" s="7145"/>
      <c r="DA52" s="7145"/>
      <c r="DB52" s="8476"/>
      <c r="DC52" s="4232"/>
      <c r="DD52" s="360"/>
    </row>
    <row r="53" spans="1:108" ht="12" customHeight="1">
      <c r="A53" s="360"/>
      <c r="B53" s="982"/>
      <c r="C53" s="4243">
        <v>440</v>
      </c>
      <c r="D53" s="8478" t="s">
        <v>1537</v>
      </c>
      <c r="E53" s="8479"/>
      <c r="F53" s="8480" t="str">
        <f>IF(C42=0,"",VLOOKUP(C42,'Tablas psiquica'!$D$7:$R$296,15,FALSE))</f>
        <v/>
      </c>
      <c r="G53" s="8481"/>
      <c r="H53" s="8481"/>
      <c r="I53" s="8482"/>
      <c r="J53" s="607"/>
      <c r="K53" s="4243">
        <v>440</v>
      </c>
      <c r="L53" s="8478" t="s">
        <v>1537</v>
      </c>
      <c r="M53" s="8479"/>
      <c r="N53" s="8480" t="str">
        <f>IF(K42=0,"",VLOOKUP(K42,'Tablas psiquica'!$D$7:$R$296,15,FALSE))</f>
        <v/>
      </c>
      <c r="O53" s="8481"/>
      <c r="P53" s="8481"/>
      <c r="Q53" s="8482"/>
      <c r="R53" s="982"/>
      <c r="S53" s="4243">
        <v>440</v>
      </c>
      <c r="T53" s="8478" t="s">
        <v>1537</v>
      </c>
      <c r="U53" s="8479"/>
      <c r="V53" s="8480" t="str">
        <f>IF(S42=0,"",VLOOKUP(S42,'Tablas psiquica'!$D$7:$R$296,15,FALSE))</f>
        <v/>
      </c>
      <c r="W53" s="8481"/>
      <c r="X53" s="8481"/>
      <c r="Y53" s="8482"/>
      <c r="Z53" s="4232"/>
      <c r="AA53" s="360"/>
      <c r="AB53" s="360"/>
      <c r="AC53" s="982"/>
      <c r="AD53" s="4243">
        <v>440</v>
      </c>
      <c r="AE53" s="8478" t="s">
        <v>1537</v>
      </c>
      <c r="AF53" s="8479"/>
      <c r="AG53" s="8480" t="str">
        <f>IF(AD42=0,"",VLOOKUP(AD42,'Tablas psiquica'!$D$7:$R$296,15,FALSE))</f>
        <v/>
      </c>
      <c r="AH53" s="8481"/>
      <c r="AI53" s="8481"/>
      <c r="AJ53" s="8482"/>
      <c r="AK53" s="607"/>
      <c r="AL53" s="4243">
        <v>440</v>
      </c>
      <c r="AM53" s="8478" t="s">
        <v>1537</v>
      </c>
      <c r="AN53" s="8479"/>
      <c r="AO53" s="8480" t="str">
        <f>IF(AL42=0,"",VLOOKUP(AL42,'Tablas psiquica'!$D$7:$R$296,15,FALSE))</f>
        <v/>
      </c>
      <c r="AP53" s="8481"/>
      <c r="AQ53" s="8481"/>
      <c r="AR53" s="8482"/>
      <c r="AS53" s="982"/>
      <c r="AT53" s="4243">
        <v>440</v>
      </c>
      <c r="AU53" s="8478" t="s">
        <v>1537</v>
      </c>
      <c r="AV53" s="8479"/>
      <c r="AW53" s="8480" t="str">
        <f>IF(AT42=0,"",VLOOKUP(AT42,'Tablas psiquica'!$D$7:$R$296,15,FALSE))</f>
        <v/>
      </c>
      <c r="AX53" s="8481"/>
      <c r="AY53" s="8481"/>
      <c r="AZ53" s="8482"/>
      <c r="BA53" s="4232"/>
      <c r="BB53" s="360"/>
      <c r="BC53" s="360"/>
      <c r="BD53" s="982"/>
      <c r="BE53" s="4243">
        <v>440</v>
      </c>
      <c r="BF53" s="8478" t="s">
        <v>1537</v>
      </c>
      <c r="BG53" s="8479"/>
      <c r="BH53" s="8480" t="str">
        <f>IF(BE42=0,"",VLOOKUP(BE42,'Tablas psiquica'!$D$7:$R$296,15,FALSE))</f>
        <v/>
      </c>
      <c r="BI53" s="8481"/>
      <c r="BJ53" s="8481"/>
      <c r="BK53" s="8482"/>
      <c r="BL53" s="607"/>
      <c r="BM53" s="4243">
        <v>440</v>
      </c>
      <c r="BN53" s="8478" t="s">
        <v>1537</v>
      </c>
      <c r="BO53" s="8479"/>
      <c r="BP53" s="8480" t="str">
        <f>IF(BM42=0,"",VLOOKUP(BM42,'Tablas psiquica'!$D$7:$R$296,15,FALSE))</f>
        <v/>
      </c>
      <c r="BQ53" s="8481"/>
      <c r="BR53" s="8481"/>
      <c r="BS53" s="8482"/>
      <c r="BT53" s="982"/>
      <c r="BU53" s="4243">
        <v>440</v>
      </c>
      <c r="BV53" s="8478" t="s">
        <v>1537</v>
      </c>
      <c r="BW53" s="8479"/>
      <c r="BX53" s="8480" t="str">
        <f>IF(BU42=0,"",VLOOKUP(BU42,'Tablas psiquica'!$D$7:$R$296,15,FALSE))</f>
        <v/>
      </c>
      <c r="BY53" s="8481"/>
      <c r="BZ53" s="8481"/>
      <c r="CA53" s="8482"/>
      <c r="CB53" s="4232"/>
      <c r="CC53" s="360"/>
      <c r="CD53" s="360"/>
      <c r="CE53" s="982"/>
      <c r="CF53" s="4243">
        <v>440</v>
      </c>
      <c r="CG53" s="8478" t="s">
        <v>1537</v>
      </c>
      <c r="CH53" s="8479"/>
      <c r="CI53" s="8480" t="str">
        <f>IF(CF42=0,"",VLOOKUP(CF42,'Tablas psiquica'!$D$7:$R$296,15,FALSE))</f>
        <v/>
      </c>
      <c r="CJ53" s="8481"/>
      <c r="CK53" s="8481"/>
      <c r="CL53" s="8482"/>
      <c r="CM53" s="607"/>
      <c r="CN53" s="4243">
        <v>440</v>
      </c>
      <c r="CO53" s="8478" t="s">
        <v>1537</v>
      </c>
      <c r="CP53" s="8479"/>
      <c r="CQ53" s="8480" t="str">
        <f>IF(CN42=0,"",VLOOKUP(CN42,'Tablas psiquica'!$D$7:$R$296,15,FALSE))</f>
        <v/>
      </c>
      <c r="CR53" s="8481"/>
      <c r="CS53" s="8481"/>
      <c r="CT53" s="8482"/>
      <c r="CU53" s="982"/>
      <c r="CV53" s="4243">
        <v>440</v>
      </c>
      <c r="CW53" s="8478" t="s">
        <v>1537</v>
      </c>
      <c r="CX53" s="8479"/>
      <c r="CY53" s="8480" t="str">
        <f>IF(CV42=0,"",VLOOKUP(CV42,'Tablas psiquica'!$D$7:$R$296,15,FALSE))</f>
        <v/>
      </c>
      <c r="CZ53" s="8481"/>
      <c r="DA53" s="8481"/>
      <c r="DB53" s="8482"/>
      <c r="DC53" s="4232"/>
      <c r="DD53" s="360"/>
    </row>
    <row r="54" spans="1:108" ht="12" customHeight="1">
      <c r="A54" s="360"/>
      <c r="B54" s="982"/>
      <c r="C54" s="8496" t="s">
        <v>5824</v>
      </c>
      <c r="D54" s="8490"/>
      <c r="E54" s="4244" t="str">
        <f>IF(C42=0,"",VLOOKUP(C42,'Tablas psiquica'!$D$7:$R$296,4,FALSE))</f>
        <v/>
      </c>
      <c r="F54" s="8483" t="s">
        <v>5819</v>
      </c>
      <c r="G54" s="8483"/>
      <c r="H54" s="8484" t="str">
        <f>IF(C42=0,"",VLOOKUP(C42,'Tablas psiquica'!$D$7:$R$296,5,FALSE))</f>
        <v/>
      </c>
      <c r="I54" s="8485"/>
      <c r="J54" s="607"/>
      <c r="K54" s="8496" t="s">
        <v>5824</v>
      </c>
      <c r="L54" s="8490"/>
      <c r="M54" s="4244" t="str">
        <f>IF(K42=0,"",VLOOKUP(K42,'Tablas psiquica'!$D$7:$R$296,4,FALSE))</f>
        <v/>
      </c>
      <c r="N54" s="8483" t="s">
        <v>5819</v>
      </c>
      <c r="O54" s="8483"/>
      <c r="P54" s="8484" t="str">
        <f>IF(K42=0,"",VLOOKUP(K42,'Tablas psiquica'!$D$7:$R$296,5,FALSE))</f>
        <v/>
      </c>
      <c r="Q54" s="8485"/>
      <c r="R54" s="982"/>
      <c r="S54" s="8496" t="s">
        <v>5824</v>
      </c>
      <c r="T54" s="8490"/>
      <c r="U54" s="4244" t="str">
        <f>IF(S42=0,"",VLOOKUP(S42,'Tablas psiquica'!$D$7:$R$296,4,FALSE))</f>
        <v/>
      </c>
      <c r="V54" s="8483" t="s">
        <v>5819</v>
      </c>
      <c r="W54" s="8483"/>
      <c r="X54" s="8484" t="str">
        <f>IF(S42=0,"",VLOOKUP(S42,'Tablas psiquica'!$D$7:$R$296,5,FALSE))</f>
        <v/>
      </c>
      <c r="Y54" s="8485"/>
      <c r="Z54" s="4232"/>
      <c r="AA54" s="360"/>
      <c r="AB54" s="360"/>
      <c r="AC54" s="982"/>
      <c r="AD54" s="8496" t="s">
        <v>5824</v>
      </c>
      <c r="AE54" s="8490"/>
      <c r="AF54" s="4244" t="str">
        <f>IF(AD42=0,"",VLOOKUP(AD42,'Tablas psiquica'!$D$7:$R$296,4,FALSE))</f>
        <v/>
      </c>
      <c r="AG54" s="8483" t="s">
        <v>5819</v>
      </c>
      <c r="AH54" s="8483"/>
      <c r="AI54" s="8484" t="str">
        <f>IF(AD42=0,"",VLOOKUP(AD42,'Tablas psiquica'!$D$7:$R$296,5,FALSE))</f>
        <v/>
      </c>
      <c r="AJ54" s="8485"/>
      <c r="AK54" s="607"/>
      <c r="AL54" s="8496" t="s">
        <v>5824</v>
      </c>
      <c r="AM54" s="8490"/>
      <c r="AN54" s="4244" t="str">
        <f>IF(AL42=0,"",VLOOKUP(AL42,'Tablas psiquica'!$D$7:$R$296,4,FALSE))</f>
        <v/>
      </c>
      <c r="AO54" s="8483" t="s">
        <v>5819</v>
      </c>
      <c r="AP54" s="8483"/>
      <c r="AQ54" s="8484" t="str">
        <f>IF(AL42=0,"",VLOOKUP(AL42,'Tablas psiquica'!$D$7:$R$296,5,FALSE))</f>
        <v/>
      </c>
      <c r="AR54" s="8485"/>
      <c r="AS54" s="982"/>
      <c r="AT54" s="8496" t="s">
        <v>5824</v>
      </c>
      <c r="AU54" s="8490"/>
      <c r="AV54" s="4244" t="str">
        <f>IF(AT42=0,"",VLOOKUP(AT42,'Tablas psiquica'!$D$7:$R$296,4,FALSE))</f>
        <v/>
      </c>
      <c r="AW54" s="8483" t="s">
        <v>5819</v>
      </c>
      <c r="AX54" s="8483"/>
      <c r="AY54" s="8484" t="str">
        <f>IF(AT42=0,"",VLOOKUP(AT42,'Tablas psiquica'!$D$7:$R$296,5,FALSE))</f>
        <v/>
      </c>
      <c r="AZ54" s="8485"/>
      <c r="BA54" s="4232"/>
      <c r="BB54" s="360"/>
      <c r="BC54" s="360"/>
      <c r="BD54" s="982"/>
      <c r="BE54" s="8496" t="s">
        <v>5824</v>
      </c>
      <c r="BF54" s="8490"/>
      <c r="BG54" s="4244" t="str">
        <f>IF(BE42=0,"",VLOOKUP(BE42,'Tablas psiquica'!$D$7:$R$296,4,FALSE))</f>
        <v/>
      </c>
      <c r="BH54" s="8483" t="s">
        <v>5819</v>
      </c>
      <c r="BI54" s="8483"/>
      <c r="BJ54" s="8484" t="str">
        <f>IF(BE42=0,"",VLOOKUP(BE42,'Tablas psiquica'!$D$7:$R$296,5,FALSE))</f>
        <v/>
      </c>
      <c r="BK54" s="8485"/>
      <c r="BL54" s="607"/>
      <c r="BM54" s="8496" t="s">
        <v>5824</v>
      </c>
      <c r="BN54" s="8490"/>
      <c r="BO54" s="4244" t="str">
        <f>IF(BM42=0,"",VLOOKUP(BM42,'Tablas psiquica'!$D$7:$R$296,4,FALSE))</f>
        <v/>
      </c>
      <c r="BP54" s="8483" t="s">
        <v>5819</v>
      </c>
      <c r="BQ54" s="8483"/>
      <c r="BR54" s="8484" t="str">
        <f>IF(BM42=0,"",VLOOKUP(BM42,'Tablas psiquica'!$D$7:$R$296,5,FALSE))</f>
        <v/>
      </c>
      <c r="BS54" s="8485"/>
      <c r="BT54" s="982"/>
      <c r="BU54" s="8496" t="s">
        <v>5824</v>
      </c>
      <c r="BV54" s="8490"/>
      <c r="BW54" s="4244" t="str">
        <f>IF(BU42=0,"",VLOOKUP(BU42,'Tablas psiquica'!$D$7:$R$296,4,FALSE))</f>
        <v/>
      </c>
      <c r="BX54" s="8483" t="s">
        <v>5819</v>
      </c>
      <c r="BY54" s="8483"/>
      <c r="BZ54" s="8484" t="str">
        <f>IF(BU42=0,"",VLOOKUP(BU42,'Tablas psiquica'!$D$7:$R$296,5,FALSE))</f>
        <v/>
      </c>
      <c r="CA54" s="8485"/>
      <c r="CB54" s="4232"/>
      <c r="CC54" s="360"/>
      <c r="CD54" s="360"/>
      <c r="CE54" s="982"/>
      <c r="CF54" s="8496" t="s">
        <v>5824</v>
      </c>
      <c r="CG54" s="8490"/>
      <c r="CH54" s="4244" t="str">
        <f>IF(CF42=0,"",VLOOKUP(CF42,'Tablas psiquica'!$D$7:$R$296,4,FALSE))</f>
        <v/>
      </c>
      <c r="CI54" s="8483" t="s">
        <v>5819</v>
      </c>
      <c r="CJ54" s="8483"/>
      <c r="CK54" s="8484" t="str">
        <f>IF(CF42=0,"",VLOOKUP(CF42,'Tablas psiquica'!$D$7:$R$296,5,FALSE))</f>
        <v/>
      </c>
      <c r="CL54" s="8485"/>
      <c r="CM54" s="607"/>
      <c r="CN54" s="8496" t="s">
        <v>5824</v>
      </c>
      <c r="CO54" s="8490"/>
      <c r="CP54" s="4244" t="str">
        <f>IF(CN42=0,"",VLOOKUP(CN42,'Tablas psiquica'!$D$7:$R$296,4,FALSE))</f>
        <v/>
      </c>
      <c r="CQ54" s="8483" t="s">
        <v>5819</v>
      </c>
      <c r="CR54" s="8483"/>
      <c r="CS54" s="8484" t="str">
        <f>IF(CN42=0,"",VLOOKUP(CN42,'Tablas psiquica'!$D$7:$R$296,5,FALSE))</f>
        <v/>
      </c>
      <c r="CT54" s="8485"/>
      <c r="CU54" s="982"/>
      <c r="CV54" s="8496" t="s">
        <v>5824</v>
      </c>
      <c r="CW54" s="8490"/>
      <c r="CX54" s="4244" t="str">
        <f>IF(CV42=0,"",VLOOKUP(CV42,'Tablas psiquica'!$D$7:$R$296,4,FALSE))</f>
        <v/>
      </c>
      <c r="CY54" s="8483" t="s">
        <v>5819</v>
      </c>
      <c r="CZ54" s="8483"/>
      <c r="DA54" s="8484" t="str">
        <f>IF(CV42=0,"",VLOOKUP(CV42,'Tablas psiquica'!$D$7:$R$296,5,FALSE))</f>
        <v/>
      </c>
      <c r="DB54" s="8485"/>
      <c r="DC54" s="4232"/>
      <c r="DD54" s="360"/>
    </row>
    <row r="55" spans="1:108" ht="12" customHeight="1">
      <c r="A55" s="360"/>
      <c r="B55" s="982"/>
      <c r="C55" s="8496" t="s">
        <v>13936</v>
      </c>
      <c r="D55" s="8490"/>
      <c r="E55" s="8486" t="str">
        <f>IF(C42=0,"",VLOOKUP(C42,'Tablas psiquica'!$D$7:$X$296,20,FALSE))</f>
        <v/>
      </c>
      <c r="F55" s="8487"/>
      <c r="G55" s="8490" t="s">
        <v>13937</v>
      </c>
      <c r="H55" s="8492" t="str">
        <f>IF(C42=0,"",VLOOKUP(C42,'Tablas psiquica'!$D$7:$X$296,21,FALSE))</f>
        <v/>
      </c>
      <c r="I55" s="8493"/>
      <c r="J55" s="607"/>
      <c r="K55" s="8496" t="s">
        <v>13936</v>
      </c>
      <c r="L55" s="8490"/>
      <c r="M55" s="8486" t="str">
        <f>IF(K42=0,"",VLOOKUP(K42,'Tablas psiquica'!$D$7:$X$296,20,FALSE))</f>
        <v/>
      </c>
      <c r="N55" s="8487"/>
      <c r="O55" s="8490" t="s">
        <v>13937</v>
      </c>
      <c r="P55" s="8492" t="str">
        <f>IF(K42=0,"",VLOOKUP(K42,'Tablas psiquica'!$D$7:$X$296,21,FALSE))</f>
        <v/>
      </c>
      <c r="Q55" s="8493"/>
      <c r="R55" s="607"/>
      <c r="S55" s="8496" t="s">
        <v>13936</v>
      </c>
      <c r="T55" s="8490"/>
      <c r="U55" s="8486" t="str">
        <f>IF(S42=0,"",VLOOKUP(S42,'Tablas psiquica'!$D$7:$X$296,20,FALSE))</f>
        <v/>
      </c>
      <c r="V55" s="8487"/>
      <c r="W55" s="8490" t="s">
        <v>13937</v>
      </c>
      <c r="X55" s="8492" t="str">
        <f>IF(S42=0,"",VLOOKUP(S42,'Tablas psiquica'!$D$7:$X$296,21,FALSE))</f>
        <v/>
      </c>
      <c r="Y55" s="8493"/>
      <c r="Z55" s="4232"/>
      <c r="AA55" s="360"/>
      <c r="AB55" s="360"/>
      <c r="AC55" s="982"/>
      <c r="AD55" s="8496" t="s">
        <v>13936</v>
      </c>
      <c r="AE55" s="8490"/>
      <c r="AF55" s="8486" t="str">
        <f>IF(AD42=0,"",VLOOKUP(AD42,'Tablas psiquica'!$D$7:$X$296,20,FALSE))</f>
        <v/>
      </c>
      <c r="AG55" s="8487"/>
      <c r="AH55" s="8490" t="s">
        <v>13937</v>
      </c>
      <c r="AI55" s="8492" t="str">
        <f>IF(AD42=0,"",VLOOKUP(AD42,'Tablas psiquica'!$D$7:$X$296,21,FALSE))</f>
        <v/>
      </c>
      <c r="AJ55" s="8493"/>
      <c r="AK55" s="607"/>
      <c r="AL55" s="8496" t="s">
        <v>13936</v>
      </c>
      <c r="AM55" s="8490"/>
      <c r="AN55" s="8486" t="str">
        <f>IF(AL42=0,"",VLOOKUP(AL42,'Tablas psiquica'!$D$7:$X$296,20,FALSE))</f>
        <v/>
      </c>
      <c r="AO55" s="8487"/>
      <c r="AP55" s="8490" t="s">
        <v>13937</v>
      </c>
      <c r="AQ55" s="8492" t="str">
        <f>IF(AL42=0,"",VLOOKUP(AL42,'Tablas psiquica'!$D$7:$X$296,21,FALSE))</f>
        <v/>
      </c>
      <c r="AR55" s="8493"/>
      <c r="AS55" s="607"/>
      <c r="AT55" s="8496" t="s">
        <v>13936</v>
      </c>
      <c r="AU55" s="8490"/>
      <c r="AV55" s="8486" t="str">
        <f>IF(AT42=0,"",VLOOKUP(AT42,'Tablas psiquica'!$D$7:$X$296,20,FALSE))</f>
        <v/>
      </c>
      <c r="AW55" s="8487"/>
      <c r="AX55" s="8490" t="s">
        <v>13937</v>
      </c>
      <c r="AY55" s="8492" t="str">
        <f>IF(AT42=0,"",VLOOKUP(AT42,'Tablas psiquica'!$D$7:$X$296,21,FALSE))</f>
        <v/>
      </c>
      <c r="AZ55" s="8493"/>
      <c r="BA55" s="4232"/>
      <c r="BB55" s="360"/>
      <c r="BC55" s="360"/>
      <c r="BD55" s="982"/>
      <c r="BE55" s="8496" t="s">
        <v>13936</v>
      </c>
      <c r="BF55" s="8490"/>
      <c r="BG55" s="8486" t="str">
        <f>IF(BE42=0,"",VLOOKUP(BE42,'Tablas psiquica'!$D$7:$X$296,20,FALSE))</f>
        <v/>
      </c>
      <c r="BH55" s="8487"/>
      <c r="BI55" s="8490" t="s">
        <v>13937</v>
      </c>
      <c r="BJ55" s="8492" t="str">
        <f>IF(BE42=0,"",VLOOKUP(BE42,'Tablas psiquica'!$D$7:$X$296,21,FALSE))</f>
        <v/>
      </c>
      <c r="BK55" s="8493"/>
      <c r="BL55" s="607"/>
      <c r="BM55" s="8496" t="s">
        <v>13936</v>
      </c>
      <c r="BN55" s="8490"/>
      <c r="BO55" s="8486" t="str">
        <f>IF(BM42=0,"",VLOOKUP(BM42,'Tablas psiquica'!$D$7:$X$296,20,FALSE))</f>
        <v/>
      </c>
      <c r="BP55" s="8487"/>
      <c r="BQ55" s="8490" t="s">
        <v>13937</v>
      </c>
      <c r="BR55" s="8492" t="str">
        <f>IF(BM42=0,"",VLOOKUP(BM42,'Tablas psiquica'!$D$7:$X$296,21,FALSE))</f>
        <v/>
      </c>
      <c r="BS55" s="8493"/>
      <c r="BT55" s="607"/>
      <c r="BU55" s="8496" t="s">
        <v>13936</v>
      </c>
      <c r="BV55" s="8490"/>
      <c r="BW55" s="8486" t="str">
        <f>IF(BU42=0,"",VLOOKUP(BU42,'Tablas psiquica'!$D$7:$X$296,20,FALSE))</f>
        <v/>
      </c>
      <c r="BX55" s="8487"/>
      <c r="BY55" s="8490" t="s">
        <v>13937</v>
      </c>
      <c r="BZ55" s="8492" t="str">
        <f>IF(BU42=0,"",VLOOKUP(BU42,'Tablas psiquica'!$D$7:$X$296,21,FALSE))</f>
        <v/>
      </c>
      <c r="CA55" s="8493"/>
      <c r="CB55" s="4232"/>
      <c r="CC55" s="360"/>
      <c r="CD55" s="360"/>
      <c r="CE55" s="982"/>
      <c r="CF55" s="8496" t="s">
        <v>13936</v>
      </c>
      <c r="CG55" s="8490"/>
      <c r="CH55" s="8486" t="str">
        <f>IF(CF42=0,"",VLOOKUP(CF42,'Tablas psiquica'!$D$7:$X$296,20,FALSE))</f>
        <v/>
      </c>
      <c r="CI55" s="8487"/>
      <c r="CJ55" s="8490" t="s">
        <v>13937</v>
      </c>
      <c r="CK55" s="8492" t="str">
        <f>IF(CF42=0,"",VLOOKUP(CF42,'Tablas psiquica'!$D$7:$X$296,21,FALSE))</f>
        <v/>
      </c>
      <c r="CL55" s="8493"/>
      <c r="CM55" s="607"/>
      <c r="CN55" s="8496" t="s">
        <v>13936</v>
      </c>
      <c r="CO55" s="8490"/>
      <c r="CP55" s="8486" t="str">
        <f>IF(CN42=0,"",VLOOKUP(CN42,'Tablas psiquica'!$D$7:$X$296,20,FALSE))</f>
        <v/>
      </c>
      <c r="CQ55" s="8487"/>
      <c r="CR55" s="8490" t="s">
        <v>13937</v>
      </c>
      <c r="CS55" s="8492" t="str">
        <f>IF(CN42=0,"",VLOOKUP(CN42,'Tablas psiquica'!$D$7:$X$296,21,FALSE))</f>
        <v/>
      </c>
      <c r="CT55" s="8493"/>
      <c r="CU55" s="607"/>
      <c r="CV55" s="8496" t="s">
        <v>13936</v>
      </c>
      <c r="CW55" s="8490"/>
      <c r="CX55" s="8486" t="str">
        <f>IF(CV42=0,"",VLOOKUP(CV42,'Tablas psiquica'!$D$7:$X$296,20,FALSE))</f>
        <v/>
      </c>
      <c r="CY55" s="8487"/>
      <c r="CZ55" s="8490" t="s">
        <v>13937</v>
      </c>
      <c r="DA55" s="8492" t="str">
        <f>IF(CV42=0,"",VLOOKUP(CV42,'Tablas psiquica'!$D$7:$X$296,21,FALSE))</f>
        <v/>
      </c>
      <c r="DB55" s="8493"/>
      <c r="DC55" s="4232"/>
      <c r="DD55" s="360"/>
    </row>
    <row r="56" spans="1:108" ht="12" customHeight="1" thickBot="1">
      <c r="A56" s="360"/>
      <c r="B56" s="982"/>
      <c r="C56" s="8497"/>
      <c r="D56" s="8491"/>
      <c r="E56" s="8488"/>
      <c r="F56" s="8489"/>
      <c r="G56" s="8491"/>
      <c r="H56" s="8494"/>
      <c r="I56" s="8495"/>
      <c r="J56" s="607"/>
      <c r="K56" s="8497"/>
      <c r="L56" s="8491"/>
      <c r="M56" s="8488"/>
      <c r="N56" s="8489"/>
      <c r="O56" s="8491"/>
      <c r="P56" s="8494"/>
      <c r="Q56" s="8495"/>
      <c r="R56" s="607"/>
      <c r="S56" s="8497"/>
      <c r="T56" s="8491"/>
      <c r="U56" s="8488"/>
      <c r="V56" s="8489"/>
      <c r="W56" s="8491"/>
      <c r="X56" s="8494"/>
      <c r="Y56" s="8495"/>
      <c r="Z56" s="4232"/>
      <c r="AA56" s="360"/>
      <c r="AB56" s="360"/>
      <c r="AC56" s="982"/>
      <c r="AD56" s="8497"/>
      <c r="AE56" s="8491"/>
      <c r="AF56" s="8488"/>
      <c r="AG56" s="8489"/>
      <c r="AH56" s="8491"/>
      <c r="AI56" s="8494"/>
      <c r="AJ56" s="8495"/>
      <c r="AK56" s="607"/>
      <c r="AL56" s="8497"/>
      <c r="AM56" s="8491"/>
      <c r="AN56" s="8488"/>
      <c r="AO56" s="8489"/>
      <c r="AP56" s="8491"/>
      <c r="AQ56" s="8494"/>
      <c r="AR56" s="8495"/>
      <c r="AS56" s="607"/>
      <c r="AT56" s="8497"/>
      <c r="AU56" s="8491"/>
      <c r="AV56" s="8488"/>
      <c r="AW56" s="8489"/>
      <c r="AX56" s="8491"/>
      <c r="AY56" s="8494"/>
      <c r="AZ56" s="8495"/>
      <c r="BA56" s="4232"/>
      <c r="BB56" s="360"/>
      <c r="BC56" s="360"/>
      <c r="BD56" s="982"/>
      <c r="BE56" s="8497"/>
      <c r="BF56" s="8491"/>
      <c r="BG56" s="8488"/>
      <c r="BH56" s="8489"/>
      <c r="BI56" s="8491"/>
      <c r="BJ56" s="8494"/>
      <c r="BK56" s="8495"/>
      <c r="BL56" s="607"/>
      <c r="BM56" s="8497"/>
      <c r="BN56" s="8491"/>
      <c r="BO56" s="8488"/>
      <c r="BP56" s="8489"/>
      <c r="BQ56" s="8491"/>
      <c r="BR56" s="8494"/>
      <c r="BS56" s="8495"/>
      <c r="BT56" s="607"/>
      <c r="BU56" s="8497"/>
      <c r="BV56" s="8491"/>
      <c r="BW56" s="8488"/>
      <c r="BX56" s="8489"/>
      <c r="BY56" s="8491"/>
      <c r="BZ56" s="8494"/>
      <c r="CA56" s="8495"/>
      <c r="CB56" s="4232"/>
      <c r="CC56" s="360"/>
      <c r="CD56" s="360"/>
      <c r="CE56" s="982"/>
      <c r="CF56" s="8497"/>
      <c r="CG56" s="8491"/>
      <c r="CH56" s="8488"/>
      <c r="CI56" s="8489"/>
      <c r="CJ56" s="8491"/>
      <c r="CK56" s="8494"/>
      <c r="CL56" s="8495"/>
      <c r="CM56" s="607"/>
      <c r="CN56" s="8497"/>
      <c r="CO56" s="8491"/>
      <c r="CP56" s="8488"/>
      <c r="CQ56" s="8489"/>
      <c r="CR56" s="8491"/>
      <c r="CS56" s="8494"/>
      <c r="CT56" s="8495"/>
      <c r="CU56" s="607"/>
      <c r="CV56" s="8497"/>
      <c r="CW56" s="8491"/>
      <c r="CX56" s="8488"/>
      <c r="CY56" s="8489"/>
      <c r="CZ56" s="8491"/>
      <c r="DA56" s="8494"/>
      <c r="DB56" s="8495"/>
      <c r="DC56" s="4232"/>
      <c r="DD56" s="360"/>
    </row>
    <row r="57" spans="1:108" ht="12" customHeight="1" thickBot="1">
      <c r="A57" s="360"/>
      <c r="B57" s="982"/>
      <c r="C57" s="976"/>
      <c r="J57" s="607"/>
      <c r="K57" s="976"/>
      <c r="R57" s="607"/>
      <c r="S57" s="976"/>
      <c r="Z57" s="4232"/>
      <c r="AA57" s="360"/>
      <c r="AB57" s="360"/>
      <c r="AC57" s="982"/>
      <c r="AD57" s="976"/>
      <c r="AK57" s="607"/>
      <c r="AL57" s="976"/>
      <c r="AS57" s="607"/>
      <c r="AT57" s="976"/>
      <c r="BA57" s="4232"/>
      <c r="BB57" s="360"/>
      <c r="BC57" s="360"/>
      <c r="BD57" s="982"/>
      <c r="BE57" s="976"/>
      <c r="BL57" s="607"/>
      <c r="BM57" s="976"/>
      <c r="BT57" s="607"/>
      <c r="BU57" s="976"/>
      <c r="CB57" s="4232"/>
      <c r="CC57" s="360"/>
      <c r="CD57" s="360"/>
      <c r="CE57" s="982"/>
      <c r="CF57" s="976"/>
      <c r="CM57" s="607"/>
      <c r="CN57" s="976"/>
      <c r="CU57" s="607"/>
      <c r="CV57" s="976"/>
      <c r="DC57" s="4232"/>
      <c r="DD57" s="360"/>
    </row>
    <row r="58" spans="1:108" ht="12" customHeight="1">
      <c r="A58" s="360"/>
      <c r="B58" s="982">
        <v>10</v>
      </c>
      <c r="C58" s="8511" cm="1">
        <f t="array" ref="C58">IFERROR(INDEX('Tablas psiquica'!$AU$6:$BQ$20,B58,Y$7),0)</f>
        <v>0</v>
      </c>
      <c r="D58" s="8512"/>
      <c r="E58" s="8512"/>
      <c r="F58" s="8512"/>
      <c r="G58" s="8512"/>
      <c r="H58" s="8512"/>
      <c r="I58" s="4238" t="s">
        <v>1262</v>
      </c>
      <c r="J58" s="607">
        <v>11</v>
      </c>
      <c r="K58" s="8511" cm="1">
        <f t="array" ref="K58">IFERROR(INDEX('Tablas psiquica'!$AU$6:$BQ$20,J58,Y$7),0)</f>
        <v>0</v>
      </c>
      <c r="L58" s="8512"/>
      <c r="M58" s="8512"/>
      <c r="N58" s="8512"/>
      <c r="O58" s="8512"/>
      <c r="P58" s="8512"/>
      <c r="Q58" s="4238" t="s">
        <v>1262</v>
      </c>
      <c r="R58" s="982">
        <v>12</v>
      </c>
      <c r="S58" s="8511" cm="1">
        <f t="array" ref="S58">IFERROR(INDEX('Tablas psiquica'!$AU$6:$BQ$20,R58,Y$7),0)</f>
        <v>0</v>
      </c>
      <c r="T58" s="8512"/>
      <c r="U58" s="8512"/>
      <c r="V58" s="8512"/>
      <c r="W58" s="8512"/>
      <c r="X58" s="8512"/>
      <c r="Y58" s="4238" t="s">
        <v>1262</v>
      </c>
      <c r="Z58" s="4232"/>
      <c r="AA58" s="360"/>
      <c r="AB58" s="360"/>
      <c r="AC58" s="982">
        <v>10</v>
      </c>
      <c r="AD58" s="8511" cm="1">
        <f t="array" ref="AD58">IFERROR(INDEX('Tablas psiquica'!$AU$6:$BQ$20,AC58,AZ$7),0)</f>
        <v>0</v>
      </c>
      <c r="AE58" s="8512"/>
      <c r="AF58" s="8512"/>
      <c r="AG58" s="8512"/>
      <c r="AH58" s="8512"/>
      <c r="AI58" s="8512"/>
      <c r="AJ58" s="4238" t="s">
        <v>1262</v>
      </c>
      <c r="AK58" s="607">
        <v>11</v>
      </c>
      <c r="AL58" s="8511" cm="1">
        <f t="array" ref="AL58">IFERROR(INDEX('Tablas psiquica'!$AU$6:$BQ$20,AK58,AZ$7),0)</f>
        <v>0</v>
      </c>
      <c r="AM58" s="8512"/>
      <c r="AN58" s="8512"/>
      <c r="AO58" s="8512"/>
      <c r="AP58" s="8512"/>
      <c r="AQ58" s="8512"/>
      <c r="AR58" s="4238" t="s">
        <v>1262</v>
      </c>
      <c r="AS58" s="982">
        <v>12</v>
      </c>
      <c r="AT58" s="8511" cm="1">
        <f t="array" ref="AT58">IFERROR(INDEX('Tablas psiquica'!$AU$6:$BQ$20,AS58,AZ$7),0)</f>
        <v>0</v>
      </c>
      <c r="AU58" s="8512"/>
      <c r="AV58" s="8512"/>
      <c r="AW58" s="8512"/>
      <c r="AX58" s="8512"/>
      <c r="AY58" s="8512"/>
      <c r="AZ58" s="4238" t="s">
        <v>1262</v>
      </c>
      <c r="BA58" s="4232"/>
      <c r="BB58" s="360"/>
      <c r="BC58" s="360"/>
      <c r="BD58" s="982">
        <v>10</v>
      </c>
      <c r="BE58" s="8511" cm="1">
        <f t="array" ref="BE58">IFERROR(INDEX('Tablas psiquica'!$AU$6:$BQ$20,BD58,CA$7),0)</f>
        <v>0</v>
      </c>
      <c r="BF58" s="8512"/>
      <c r="BG58" s="8512"/>
      <c r="BH58" s="8512"/>
      <c r="BI58" s="8512"/>
      <c r="BJ58" s="8512"/>
      <c r="BK58" s="4238" t="s">
        <v>1262</v>
      </c>
      <c r="BL58" s="607">
        <v>11</v>
      </c>
      <c r="BM58" s="8511" cm="1">
        <f t="array" ref="BM58">IFERROR(INDEX('Tablas psiquica'!$AU$6:$BQ$20,BL58,CA$7),0)</f>
        <v>0</v>
      </c>
      <c r="BN58" s="8512"/>
      <c r="BO58" s="8512"/>
      <c r="BP58" s="8512"/>
      <c r="BQ58" s="8512"/>
      <c r="BR58" s="8512"/>
      <c r="BS58" s="4238" t="s">
        <v>1262</v>
      </c>
      <c r="BT58" s="982">
        <v>12</v>
      </c>
      <c r="BU58" s="8511" cm="1">
        <f t="array" ref="BU58">IFERROR(INDEX('Tablas psiquica'!$AU$6:$BQ$20,BT58,CA$7),0)</f>
        <v>0</v>
      </c>
      <c r="BV58" s="8512"/>
      <c r="BW58" s="8512"/>
      <c r="BX58" s="8512"/>
      <c r="BY58" s="8512"/>
      <c r="BZ58" s="8512"/>
      <c r="CA58" s="4238" t="s">
        <v>1262</v>
      </c>
      <c r="CB58" s="4232"/>
      <c r="CC58" s="360"/>
      <c r="CD58" s="360"/>
      <c r="CE58" s="982">
        <v>10</v>
      </c>
      <c r="CF58" s="8511" cm="1">
        <f t="array" ref="CF58">IFERROR(INDEX('Tablas psiquica'!$AU$6:$BQ$20,CE58,DB$7),0)</f>
        <v>0</v>
      </c>
      <c r="CG58" s="8512"/>
      <c r="CH58" s="8512"/>
      <c r="CI58" s="8512"/>
      <c r="CJ58" s="8512"/>
      <c r="CK58" s="8512"/>
      <c r="CL58" s="4238" t="s">
        <v>1262</v>
      </c>
      <c r="CM58" s="607">
        <v>11</v>
      </c>
      <c r="CN58" s="8511" cm="1">
        <f t="array" ref="CN58">IFERROR(INDEX('Tablas psiquica'!$AU$6:$BQ$20,CM58,DB$7),0)</f>
        <v>0</v>
      </c>
      <c r="CO58" s="8512"/>
      <c r="CP58" s="8512"/>
      <c r="CQ58" s="8512"/>
      <c r="CR58" s="8512"/>
      <c r="CS58" s="8512"/>
      <c r="CT58" s="4238" t="s">
        <v>1262</v>
      </c>
      <c r="CU58" s="982">
        <v>12</v>
      </c>
      <c r="CV58" s="8511" cm="1">
        <f t="array" ref="CV58">IFERROR(INDEX('Tablas psiquica'!$AU$6:$BQ$20,CU58,DB$7),0)</f>
        <v>0</v>
      </c>
      <c r="CW58" s="8512"/>
      <c r="CX58" s="8512"/>
      <c r="CY58" s="8512"/>
      <c r="CZ58" s="8512"/>
      <c r="DA58" s="8512"/>
      <c r="DB58" s="4238" t="s">
        <v>1262</v>
      </c>
      <c r="DC58" s="4232"/>
      <c r="DD58" s="360"/>
    </row>
    <row r="59" spans="1:108" ht="12" customHeight="1">
      <c r="A59" s="360"/>
      <c r="B59" s="982"/>
      <c r="C59" s="8500" t="str">
        <f>IF(C58=0,"",VLOOKUP(C58,'Tablas psiquica'!$D$7:$R$296,2,FALSE))</f>
        <v/>
      </c>
      <c r="D59" s="8501"/>
      <c r="E59" s="8501"/>
      <c r="F59" s="8502"/>
      <c r="G59" s="8498" t="str" cm="1">
        <f t="array" ref="G59">IF(C58=0,"",IF(INDEX('Tablas psiquica'!$AU$5:$BQ$5,1,Y7)=0,"No Accesible",IF(ISNA(VLOOKUP(C58,Psíquicos!$AS$17:$AS$44,1,0)),"Accesible CV","Aprendido")))</f>
        <v/>
      </c>
      <c r="H59" s="8499"/>
      <c r="I59" s="4242" t="str">
        <f>IF(C58=0,"",VLOOKUP(C58,'Tablas psiquica'!$D$7:$R$296,3,FALSE))</f>
        <v/>
      </c>
      <c r="J59" s="607"/>
      <c r="K59" s="8500" t="str">
        <f>IF(K58=0,"",VLOOKUP(K58,'Tablas psiquica'!$D$7:$R$296,2,FALSE))</f>
        <v/>
      </c>
      <c r="L59" s="8501"/>
      <c r="M59" s="8501"/>
      <c r="N59" s="8502"/>
      <c r="O59" s="8498" t="str" cm="1">
        <f t="array" ref="O59">IF(K58=0,"",IF(INDEX('Tablas psiquica'!$AU$5:$BQ$5,1,Y7)=0,"No Accesible",IF(ISNA(VLOOKUP(K58,Psíquicos!$AS$17:$AS$44,1,0)),"Accesible CV","Aprendido")))</f>
        <v/>
      </c>
      <c r="P59" s="8499"/>
      <c r="Q59" s="4242" t="str">
        <f>IF(K58=0,"",VLOOKUP(K58,'Tablas psiquica'!$D$7:$R$296,3,FALSE))</f>
        <v/>
      </c>
      <c r="R59" s="982"/>
      <c r="S59" s="8500" t="str">
        <f>IF(S58=0,"",VLOOKUP(S58,'Tablas psiquica'!$D$7:$R$296,2,FALSE))</f>
        <v/>
      </c>
      <c r="T59" s="8501"/>
      <c r="U59" s="8501"/>
      <c r="V59" s="8502"/>
      <c r="W59" s="8498" t="str" cm="1">
        <f t="array" ref="W59">IF(S58=0,"",IF(INDEX('Tablas psiquica'!$AU$5:$BQ$5,1,Y7)=0,"No Accesible",IF(ISNA(VLOOKUP(S58,Psíquicos!$AS$17:$AS$44,1,0)),"Accesible CV","Aprendido")))</f>
        <v/>
      </c>
      <c r="X59" s="8499"/>
      <c r="Y59" s="4242" t="str">
        <f>IF(S58=0,"",VLOOKUP(S58,'Tablas psiquica'!$D$7:$R$296,3,FALSE))</f>
        <v/>
      </c>
      <c r="Z59" s="4232"/>
      <c r="AA59" s="360"/>
      <c r="AB59" s="360"/>
      <c r="AC59" s="982"/>
      <c r="AD59" s="8500" t="str">
        <f>IF(AD58=0,"",VLOOKUP(AD58,'Tablas psiquica'!$D$7:$R$296,2,FALSE))</f>
        <v/>
      </c>
      <c r="AE59" s="8501"/>
      <c r="AF59" s="8501"/>
      <c r="AG59" s="8502"/>
      <c r="AH59" s="8498" t="str" cm="1">
        <f t="array" ref="AH59">IF(AD58=0,"",IF(INDEX('Tablas psiquica'!$AU$5:$BQ$5,1,AZ7)=0,"No Accesible",IF(ISNA(VLOOKUP(AD58,Psíquicos!$AS$17:$AS$44,1,0)),"Accesible CV","Aprendido")))</f>
        <v/>
      </c>
      <c r="AI59" s="8499"/>
      <c r="AJ59" s="4242" t="str">
        <f>IF(AD58=0,"",VLOOKUP(AD58,'Tablas psiquica'!$D$7:$R$296,3,FALSE))</f>
        <v/>
      </c>
      <c r="AK59" s="607"/>
      <c r="AL59" s="8500" t="str">
        <f>IF(AL58=0,"",VLOOKUP(AL58,'Tablas psiquica'!$D$7:$R$296,2,FALSE))</f>
        <v/>
      </c>
      <c r="AM59" s="8501"/>
      <c r="AN59" s="8501"/>
      <c r="AO59" s="8502"/>
      <c r="AP59" s="8498" t="str" cm="1">
        <f t="array" ref="AP59">IF(AL58=0,"",IF(INDEX('Tablas psiquica'!$AU$5:$BQ$5,1,AZ7)=0,"No Accesible",IF(ISNA(VLOOKUP(AL58,Psíquicos!$AS$17:$AS$44,1,0)),"Accesible CV","Aprendido")))</f>
        <v/>
      </c>
      <c r="AQ59" s="8499"/>
      <c r="AR59" s="4242" t="str">
        <f>IF(AL58=0,"",VLOOKUP(AL58,'Tablas psiquica'!$D$7:$R$296,3,FALSE))</f>
        <v/>
      </c>
      <c r="AS59" s="982"/>
      <c r="AT59" s="8500" t="str">
        <f>IF(AT58=0,"",VLOOKUP(AT58,'Tablas psiquica'!$D$7:$R$296,2,FALSE))</f>
        <v/>
      </c>
      <c r="AU59" s="8501"/>
      <c r="AV59" s="8501"/>
      <c r="AW59" s="8502"/>
      <c r="AX59" s="8498" t="str" cm="1">
        <f t="array" ref="AX59">IF(AT58=0,"",IF(INDEX('Tablas psiquica'!$AU$5:$BQ$5,1,AZ7)=0,"No Accesible",IF(ISNA(VLOOKUP(AT58,Psíquicos!$AS$17:$AS$44,1,0)),"Accesible CV","Aprendido")))</f>
        <v/>
      </c>
      <c r="AY59" s="8499"/>
      <c r="AZ59" s="4242" t="str">
        <f>IF(AT58=0,"",VLOOKUP(AT58,'Tablas psiquica'!$D$7:$R$296,3,FALSE))</f>
        <v/>
      </c>
      <c r="BA59" s="4232"/>
      <c r="BB59" s="360"/>
      <c r="BC59" s="360"/>
      <c r="BD59" s="982"/>
      <c r="BE59" s="8500" t="str">
        <f>IF(BE58=0,"",VLOOKUP(BE58,'Tablas psiquica'!$D$7:$R$296,2,FALSE))</f>
        <v/>
      </c>
      <c r="BF59" s="8501"/>
      <c r="BG59" s="8501"/>
      <c r="BH59" s="8502"/>
      <c r="BI59" s="8498" t="str" cm="1">
        <f t="array" ref="BI59">IF(BE58=0,"",IF(INDEX('Tablas psiquica'!$AU$5:$BQ$5,1,CA7)=0,"No Accesible",IF(ISNA(VLOOKUP(BE58,Psíquicos!$AS$17:$AS$44,1,0)),"Accesible CV","Aprendido")))</f>
        <v/>
      </c>
      <c r="BJ59" s="8499"/>
      <c r="BK59" s="4242" t="str">
        <f>IF(BE58=0,"",VLOOKUP(BE58,'Tablas psiquica'!$D$7:$R$296,3,FALSE))</f>
        <v/>
      </c>
      <c r="BL59" s="607"/>
      <c r="BM59" s="8500" t="str">
        <f>IF(BM58=0,"",VLOOKUP(BM58,'Tablas psiquica'!$D$7:$R$296,2,FALSE))</f>
        <v/>
      </c>
      <c r="BN59" s="8501"/>
      <c r="BO59" s="8501"/>
      <c r="BP59" s="8502"/>
      <c r="BQ59" s="8498" t="str" cm="1">
        <f t="array" ref="BQ59">IF(BM58=0,"",IF(INDEX('Tablas psiquica'!$AU$5:$BQ$5,1,CA7)=0,"No Accesible",IF(ISNA(VLOOKUP(BM58,Psíquicos!$AS$17:$AS$44,1,0)),"Accesible CV","Aprendido")))</f>
        <v/>
      </c>
      <c r="BR59" s="8499"/>
      <c r="BS59" s="4242" t="str">
        <f>IF(BM58=0,"",VLOOKUP(BM58,'Tablas psiquica'!$D$7:$R$296,3,FALSE))</f>
        <v/>
      </c>
      <c r="BT59" s="982"/>
      <c r="BU59" s="8500" t="str">
        <f>IF(BU58=0,"",VLOOKUP(BU58,'Tablas psiquica'!$D$7:$R$296,2,FALSE))</f>
        <v/>
      </c>
      <c r="BV59" s="8501"/>
      <c r="BW59" s="8501"/>
      <c r="BX59" s="8502"/>
      <c r="BY59" s="8498" t="str" cm="1">
        <f t="array" ref="BY59">IF(BU58=0,"",IF(INDEX('Tablas psiquica'!$AU$5:$BQ$5,1,CA7)=0,"No Accesible",IF(ISNA(VLOOKUP(BU58,Psíquicos!$AS$17:$AS$44,1,0)),"Accesible CV","Aprendido")))</f>
        <v/>
      </c>
      <c r="BZ59" s="8499"/>
      <c r="CA59" s="4242" t="str">
        <f>IF(BU58=0,"",VLOOKUP(BU58,'Tablas psiquica'!$D$7:$R$296,3,FALSE))</f>
        <v/>
      </c>
      <c r="CB59" s="4232"/>
      <c r="CC59" s="360"/>
      <c r="CD59" s="360"/>
      <c r="CE59" s="982"/>
      <c r="CF59" s="8500" t="str">
        <f>IF(CF58=0,"",VLOOKUP(CF58,'Tablas psiquica'!$D$7:$R$296,2,FALSE))</f>
        <v/>
      </c>
      <c r="CG59" s="8501"/>
      <c r="CH59" s="8501"/>
      <c r="CI59" s="8502"/>
      <c r="CJ59" s="8498" t="str" cm="1">
        <f t="array" ref="CJ59">IF(CF58=0,"",IF(INDEX('Tablas psiquica'!$AU$5:$BQ$5,1,DB7)=0,"No Accesible",IF(ISNA(VLOOKUP(CF58,Psíquicos!$AS$17:$AS$44,1,0)),"Accesible CV","Aprendido")))</f>
        <v/>
      </c>
      <c r="CK59" s="8499"/>
      <c r="CL59" s="4242" t="str">
        <f>IF(CF58=0,"",VLOOKUP(CF58,'Tablas psiquica'!$D$7:$R$296,3,FALSE))</f>
        <v/>
      </c>
      <c r="CM59" s="607"/>
      <c r="CN59" s="8500" t="str">
        <f>IF(CN58=0,"",VLOOKUP(CN58,'Tablas psiquica'!$D$7:$R$296,2,FALSE))</f>
        <v/>
      </c>
      <c r="CO59" s="8501"/>
      <c r="CP59" s="8501"/>
      <c r="CQ59" s="8502"/>
      <c r="CR59" s="8498" t="str" cm="1">
        <f t="array" ref="CR59">IF(CN58=0,"",IF(INDEX('Tablas psiquica'!$AU$5:$BQ$5,1,DB7)=0,"No Accesible",IF(ISNA(VLOOKUP(CN58,Psíquicos!$AS$17:$AS$44,1,0)),"Accesible CV","Aprendido")))</f>
        <v/>
      </c>
      <c r="CS59" s="8499"/>
      <c r="CT59" s="4242" t="str">
        <f>IF(CN58=0,"",VLOOKUP(CN58,'Tablas psiquica'!$D$7:$R$296,3,FALSE))</f>
        <v/>
      </c>
      <c r="CU59" s="982"/>
      <c r="CV59" s="8500" t="str">
        <f>IF(CV58=0,"",VLOOKUP(CV58,'Tablas psiquica'!$D$7:$R$296,2,FALSE))</f>
        <v/>
      </c>
      <c r="CW59" s="8501"/>
      <c r="CX59" s="8501"/>
      <c r="CY59" s="8502"/>
      <c r="CZ59" s="8498" t="str" cm="1">
        <f t="array" ref="CZ59">IF(CV58=0,"",IF(INDEX('Tablas psiquica'!$AU$5:$BQ$5,1,DB7)=0,"No Accesible",IF(ISNA(VLOOKUP(CV58,Psíquicos!$AS$17:$AS$44,1,0)),"Accesible CV","Aprendido")))</f>
        <v/>
      </c>
      <c r="DA59" s="8499"/>
      <c r="DB59" s="4242" t="str">
        <f>IF(CV58=0,"",VLOOKUP(CV58,'Tablas psiquica'!$D$7:$R$296,3,FALSE))</f>
        <v/>
      </c>
      <c r="DC59" s="4232"/>
      <c r="DD59" s="360"/>
    </row>
    <row r="60" spans="1:108" ht="12" customHeight="1">
      <c r="A60" s="360"/>
      <c r="B60" s="982"/>
      <c r="C60" s="1455">
        <v>20</v>
      </c>
      <c r="D60" s="8477" t="s">
        <v>1577</v>
      </c>
      <c r="E60" s="8392"/>
      <c r="F60" s="8475" t="str">
        <f>IF(C58=0,"",VLOOKUP(C58,'Tablas psiquica'!$D$7:$R$296,6,FALSE))</f>
        <v/>
      </c>
      <c r="G60" s="7145"/>
      <c r="H60" s="7145"/>
      <c r="I60" s="8476"/>
      <c r="J60" s="607"/>
      <c r="K60" s="1455">
        <v>20</v>
      </c>
      <c r="L60" s="8477" t="s">
        <v>1577</v>
      </c>
      <c r="M60" s="8392"/>
      <c r="N60" s="8475" t="str">
        <f>IF(K58=0,"",VLOOKUP(K58,'Tablas psiquica'!$D$7:$R$296,6,FALSE))</f>
        <v/>
      </c>
      <c r="O60" s="7145"/>
      <c r="P60" s="7145"/>
      <c r="Q60" s="8476"/>
      <c r="R60" s="982"/>
      <c r="S60" s="1455">
        <v>20</v>
      </c>
      <c r="T60" s="8477" t="s">
        <v>1577</v>
      </c>
      <c r="U60" s="8392"/>
      <c r="V60" s="8475" t="str">
        <f>IF(S58=0,"",VLOOKUP(S58,'Tablas psiquica'!$D$7:$R$296,6,FALSE))</f>
        <v/>
      </c>
      <c r="W60" s="7145"/>
      <c r="X60" s="7145"/>
      <c r="Y60" s="8476"/>
      <c r="Z60" s="4232"/>
      <c r="AA60" s="360"/>
      <c r="AB60" s="360"/>
      <c r="AC60" s="982"/>
      <c r="AD60" s="1455">
        <v>20</v>
      </c>
      <c r="AE60" s="8477" t="s">
        <v>1577</v>
      </c>
      <c r="AF60" s="8392"/>
      <c r="AG60" s="8475" t="str">
        <f>IF(AD58=0,"",VLOOKUP(AD58,'Tablas psiquica'!$D$7:$R$296,6,FALSE))</f>
        <v/>
      </c>
      <c r="AH60" s="7145"/>
      <c r="AI60" s="7145"/>
      <c r="AJ60" s="8476"/>
      <c r="AK60" s="607"/>
      <c r="AL60" s="1455">
        <v>20</v>
      </c>
      <c r="AM60" s="8477" t="s">
        <v>1577</v>
      </c>
      <c r="AN60" s="8392"/>
      <c r="AO60" s="8475" t="str">
        <f>IF(AL58=0,"",VLOOKUP(AL58,'Tablas psiquica'!$D$7:$R$296,6,FALSE))</f>
        <v/>
      </c>
      <c r="AP60" s="7145"/>
      <c r="AQ60" s="7145"/>
      <c r="AR60" s="8476"/>
      <c r="AS60" s="982"/>
      <c r="AT60" s="1455">
        <v>20</v>
      </c>
      <c r="AU60" s="8477" t="s">
        <v>1577</v>
      </c>
      <c r="AV60" s="8392"/>
      <c r="AW60" s="8475" t="str">
        <f>IF(AT58=0,"",VLOOKUP(AT58,'Tablas psiquica'!$D$7:$R$296,6,FALSE))</f>
        <v/>
      </c>
      <c r="AX60" s="7145"/>
      <c r="AY60" s="7145"/>
      <c r="AZ60" s="8476"/>
      <c r="BA60" s="4232"/>
      <c r="BB60" s="360"/>
      <c r="BC60" s="360"/>
      <c r="BD60" s="982"/>
      <c r="BE60" s="1455">
        <v>20</v>
      </c>
      <c r="BF60" s="8477" t="s">
        <v>1577</v>
      </c>
      <c r="BG60" s="8392"/>
      <c r="BH60" s="8475" t="str">
        <f>IF(BE58=0,"",VLOOKUP(BE58,'Tablas psiquica'!$D$7:$R$296,6,FALSE))</f>
        <v/>
      </c>
      <c r="BI60" s="7145"/>
      <c r="BJ60" s="7145"/>
      <c r="BK60" s="8476"/>
      <c r="BL60" s="607"/>
      <c r="BM60" s="1455">
        <v>20</v>
      </c>
      <c r="BN60" s="8477" t="s">
        <v>1577</v>
      </c>
      <c r="BO60" s="8392"/>
      <c r="BP60" s="8475" t="str">
        <f>IF(BM58=0,"",VLOOKUP(BM58,'Tablas psiquica'!$D$7:$R$296,6,FALSE))</f>
        <v/>
      </c>
      <c r="BQ60" s="7145"/>
      <c r="BR60" s="7145"/>
      <c r="BS60" s="8476"/>
      <c r="BT60" s="982"/>
      <c r="BU60" s="1455">
        <v>20</v>
      </c>
      <c r="BV60" s="8477" t="s">
        <v>1577</v>
      </c>
      <c r="BW60" s="8392"/>
      <c r="BX60" s="8475" t="str">
        <f>IF(BU58=0,"",VLOOKUP(BU58,'Tablas psiquica'!$D$7:$R$296,6,FALSE))</f>
        <v/>
      </c>
      <c r="BY60" s="7145"/>
      <c r="BZ60" s="7145"/>
      <c r="CA60" s="8476"/>
      <c r="CB60" s="4232"/>
      <c r="CC60" s="360"/>
      <c r="CD60" s="360"/>
      <c r="CE60" s="982"/>
      <c r="CF60" s="1455">
        <v>20</v>
      </c>
      <c r="CG60" s="8477" t="s">
        <v>1577</v>
      </c>
      <c r="CH60" s="8392"/>
      <c r="CI60" s="8475" t="str">
        <f>IF(CF58=0,"",VLOOKUP(CF58,'Tablas psiquica'!$D$7:$R$296,6,FALSE))</f>
        <v/>
      </c>
      <c r="CJ60" s="7145"/>
      <c r="CK60" s="7145"/>
      <c r="CL60" s="8476"/>
      <c r="CM60" s="607"/>
      <c r="CN60" s="1455">
        <v>20</v>
      </c>
      <c r="CO60" s="8477" t="s">
        <v>1577</v>
      </c>
      <c r="CP60" s="8392"/>
      <c r="CQ60" s="8475" t="str">
        <f>IF(CN58=0,"",VLOOKUP(CN58,'Tablas psiquica'!$D$7:$R$296,6,FALSE))</f>
        <v/>
      </c>
      <c r="CR60" s="7145"/>
      <c r="CS60" s="7145"/>
      <c r="CT60" s="8476"/>
      <c r="CU60" s="982"/>
      <c r="CV60" s="1455">
        <v>20</v>
      </c>
      <c r="CW60" s="8477" t="s">
        <v>1577</v>
      </c>
      <c r="CX60" s="8392"/>
      <c r="CY60" s="8475" t="str">
        <f>IF(CV58=0,"",VLOOKUP(CV58,'Tablas psiquica'!$D$7:$R$296,6,FALSE))</f>
        <v/>
      </c>
      <c r="CZ60" s="7145"/>
      <c r="DA60" s="7145"/>
      <c r="DB60" s="8476"/>
      <c r="DC60" s="4232"/>
      <c r="DD60" s="360"/>
    </row>
    <row r="61" spans="1:108" ht="12" customHeight="1">
      <c r="A61" s="360"/>
      <c r="B61" s="982"/>
      <c r="C61" s="1454">
        <v>40</v>
      </c>
      <c r="D61" s="8472" t="s">
        <v>1579</v>
      </c>
      <c r="E61" s="8387"/>
      <c r="F61" s="8473" t="str">
        <f>IF(C58=0,"",VLOOKUP(C58,'Tablas psiquica'!$D$7:$R$296,7,FALSE))</f>
        <v/>
      </c>
      <c r="G61" s="8258"/>
      <c r="H61" s="8258"/>
      <c r="I61" s="8474"/>
      <c r="J61" s="607"/>
      <c r="K61" s="1454">
        <v>40</v>
      </c>
      <c r="L61" s="8472" t="s">
        <v>1579</v>
      </c>
      <c r="M61" s="8387"/>
      <c r="N61" s="8473" t="str">
        <f>IF(K58=0,"",VLOOKUP(K58,'Tablas psiquica'!$D$7:$R$296,7,FALSE))</f>
        <v/>
      </c>
      <c r="O61" s="8258"/>
      <c r="P61" s="8258"/>
      <c r="Q61" s="8474"/>
      <c r="R61" s="982"/>
      <c r="S61" s="1454">
        <v>40</v>
      </c>
      <c r="T61" s="8472" t="s">
        <v>1579</v>
      </c>
      <c r="U61" s="8387"/>
      <c r="V61" s="8473" t="str">
        <f>IF(S58=0,"",VLOOKUP(S58,'Tablas psiquica'!$D$7:$R$296,7,FALSE))</f>
        <v/>
      </c>
      <c r="W61" s="8258"/>
      <c r="X61" s="8258"/>
      <c r="Y61" s="8474"/>
      <c r="Z61" s="4232"/>
      <c r="AA61" s="360"/>
      <c r="AB61" s="360"/>
      <c r="AC61" s="982"/>
      <c r="AD61" s="1454">
        <v>40</v>
      </c>
      <c r="AE61" s="8472" t="s">
        <v>1579</v>
      </c>
      <c r="AF61" s="8387"/>
      <c r="AG61" s="8473" t="str">
        <f>IF(AD58=0,"",VLOOKUP(AD58,'Tablas psiquica'!$D$7:$R$296,7,FALSE))</f>
        <v/>
      </c>
      <c r="AH61" s="8258"/>
      <c r="AI61" s="8258"/>
      <c r="AJ61" s="8474"/>
      <c r="AK61" s="607"/>
      <c r="AL61" s="1454">
        <v>40</v>
      </c>
      <c r="AM61" s="8472" t="s">
        <v>1579</v>
      </c>
      <c r="AN61" s="8387"/>
      <c r="AO61" s="8473" t="str">
        <f>IF(AL58=0,"",VLOOKUP(AL58,'Tablas psiquica'!$D$7:$R$296,7,FALSE))</f>
        <v/>
      </c>
      <c r="AP61" s="8258"/>
      <c r="AQ61" s="8258"/>
      <c r="AR61" s="8474"/>
      <c r="AS61" s="982"/>
      <c r="AT61" s="1454">
        <v>40</v>
      </c>
      <c r="AU61" s="8472" t="s">
        <v>1579</v>
      </c>
      <c r="AV61" s="8387"/>
      <c r="AW61" s="8473" t="str">
        <f>IF(AT58=0,"",VLOOKUP(AT58,'Tablas psiquica'!$D$7:$R$296,7,FALSE))</f>
        <v/>
      </c>
      <c r="AX61" s="8258"/>
      <c r="AY61" s="8258"/>
      <c r="AZ61" s="8474"/>
      <c r="BA61" s="4232"/>
      <c r="BB61" s="360"/>
      <c r="BC61" s="360"/>
      <c r="BD61" s="982"/>
      <c r="BE61" s="1454">
        <v>40</v>
      </c>
      <c r="BF61" s="8472" t="s">
        <v>1579</v>
      </c>
      <c r="BG61" s="8387"/>
      <c r="BH61" s="8473" t="str">
        <f>IF(BE58=0,"",VLOOKUP(BE58,'Tablas psiquica'!$D$7:$R$296,7,FALSE))</f>
        <v/>
      </c>
      <c r="BI61" s="8258"/>
      <c r="BJ61" s="8258"/>
      <c r="BK61" s="8474"/>
      <c r="BL61" s="607"/>
      <c r="BM61" s="1454">
        <v>40</v>
      </c>
      <c r="BN61" s="8472" t="s">
        <v>1579</v>
      </c>
      <c r="BO61" s="8387"/>
      <c r="BP61" s="8473" t="str">
        <f>IF(BM58=0,"",VLOOKUP(BM58,'Tablas psiquica'!$D$7:$R$296,7,FALSE))</f>
        <v/>
      </c>
      <c r="BQ61" s="8258"/>
      <c r="BR61" s="8258"/>
      <c r="BS61" s="8474"/>
      <c r="BT61" s="982"/>
      <c r="BU61" s="1454">
        <v>40</v>
      </c>
      <c r="BV61" s="8472" t="s">
        <v>1579</v>
      </c>
      <c r="BW61" s="8387"/>
      <c r="BX61" s="8473" t="str">
        <f>IF(BU58=0,"",VLOOKUP(BU58,'Tablas psiquica'!$D$7:$R$296,7,FALSE))</f>
        <v/>
      </c>
      <c r="BY61" s="8258"/>
      <c r="BZ61" s="8258"/>
      <c r="CA61" s="8474"/>
      <c r="CB61" s="4232"/>
      <c r="CC61" s="360"/>
      <c r="CD61" s="360"/>
      <c r="CE61" s="982"/>
      <c r="CF61" s="1454">
        <v>40</v>
      </c>
      <c r="CG61" s="8472" t="s">
        <v>1579</v>
      </c>
      <c r="CH61" s="8387"/>
      <c r="CI61" s="8473" t="str">
        <f>IF(CF58=0,"",VLOOKUP(CF58,'Tablas psiquica'!$D$7:$R$296,7,FALSE))</f>
        <v/>
      </c>
      <c r="CJ61" s="8258"/>
      <c r="CK61" s="8258"/>
      <c r="CL61" s="8474"/>
      <c r="CM61" s="607"/>
      <c r="CN61" s="1454">
        <v>40</v>
      </c>
      <c r="CO61" s="8472" t="s">
        <v>1579</v>
      </c>
      <c r="CP61" s="8387"/>
      <c r="CQ61" s="8473" t="str">
        <f>IF(CN58=0,"",VLOOKUP(CN58,'Tablas psiquica'!$D$7:$R$296,7,FALSE))</f>
        <v/>
      </c>
      <c r="CR61" s="8258"/>
      <c r="CS61" s="8258"/>
      <c r="CT61" s="8474"/>
      <c r="CU61" s="982"/>
      <c r="CV61" s="1454">
        <v>40</v>
      </c>
      <c r="CW61" s="8472" t="s">
        <v>1579</v>
      </c>
      <c r="CX61" s="8387"/>
      <c r="CY61" s="8473" t="str">
        <f>IF(CV58=0,"",VLOOKUP(CV58,'Tablas psiquica'!$D$7:$R$296,7,FALSE))</f>
        <v/>
      </c>
      <c r="CZ61" s="8258"/>
      <c r="DA61" s="8258"/>
      <c r="DB61" s="8474"/>
      <c r="DC61" s="4232"/>
      <c r="DD61" s="360"/>
    </row>
    <row r="62" spans="1:108" ht="12" customHeight="1">
      <c r="A62" s="360"/>
      <c r="B62" s="982"/>
      <c r="C62" s="1455">
        <v>80</v>
      </c>
      <c r="D62" s="8477" t="s">
        <v>1582</v>
      </c>
      <c r="E62" s="8392"/>
      <c r="F62" s="8475" t="str">
        <f>IF(C58=0,"",VLOOKUP(C58,'Tablas psiquica'!$D$7:$R$296,8,FALSE))</f>
        <v/>
      </c>
      <c r="G62" s="7145"/>
      <c r="H62" s="7145"/>
      <c r="I62" s="8476"/>
      <c r="J62" s="607"/>
      <c r="K62" s="1455">
        <v>80</v>
      </c>
      <c r="L62" s="8477" t="s">
        <v>1582</v>
      </c>
      <c r="M62" s="8392"/>
      <c r="N62" s="8475" t="str">
        <f>IF(K58=0,"",VLOOKUP(K58,'Tablas psiquica'!$D$7:$R$296,8,FALSE))</f>
        <v/>
      </c>
      <c r="O62" s="7145"/>
      <c r="P62" s="7145"/>
      <c r="Q62" s="8476"/>
      <c r="R62" s="982"/>
      <c r="S62" s="1455">
        <v>80</v>
      </c>
      <c r="T62" s="8477" t="s">
        <v>1582</v>
      </c>
      <c r="U62" s="8392"/>
      <c r="V62" s="8475" t="str">
        <f>IF(S58=0,"",VLOOKUP(S58,'Tablas psiquica'!$D$7:$R$296,8,FALSE))</f>
        <v/>
      </c>
      <c r="W62" s="7145"/>
      <c r="X62" s="7145"/>
      <c r="Y62" s="8476"/>
      <c r="Z62" s="4232"/>
      <c r="AA62" s="360"/>
      <c r="AB62" s="360"/>
      <c r="AC62" s="982"/>
      <c r="AD62" s="1455">
        <v>80</v>
      </c>
      <c r="AE62" s="8477" t="s">
        <v>1582</v>
      </c>
      <c r="AF62" s="8392"/>
      <c r="AG62" s="8475" t="str">
        <f>IF(AD58=0,"",VLOOKUP(AD58,'Tablas psiquica'!$D$7:$R$296,8,FALSE))</f>
        <v/>
      </c>
      <c r="AH62" s="7145"/>
      <c r="AI62" s="7145"/>
      <c r="AJ62" s="8476"/>
      <c r="AK62" s="607"/>
      <c r="AL62" s="1455">
        <v>80</v>
      </c>
      <c r="AM62" s="8477" t="s">
        <v>1582</v>
      </c>
      <c r="AN62" s="8392"/>
      <c r="AO62" s="8475" t="str">
        <f>IF(AL58=0,"",VLOOKUP(AL58,'Tablas psiquica'!$D$7:$R$296,8,FALSE))</f>
        <v/>
      </c>
      <c r="AP62" s="7145"/>
      <c r="AQ62" s="7145"/>
      <c r="AR62" s="8476"/>
      <c r="AS62" s="982"/>
      <c r="AT62" s="1455">
        <v>80</v>
      </c>
      <c r="AU62" s="8477" t="s">
        <v>1582</v>
      </c>
      <c r="AV62" s="8392"/>
      <c r="AW62" s="8475" t="str">
        <f>IF(AT58=0,"",VLOOKUP(AT58,'Tablas psiquica'!$D$7:$R$296,8,FALSE))</f>
        <v/>
      </c>
      <c r="AX62" s="7145"/>
      <c r="AY62" s="7145"/>
      <c r="AZ62" s="8476"/>
      <c r="BA62" s="4232"/>
      <c r="BB62" s="360"/>
      <c r="BC62" s="360"/>
      <c r="BD62" s="982"/>
      <c r="BE62" s="1455">
        <v>80</v>
      </c>
      <c r="BF62" s="8477" t="s">
        <v>1582</v>
      </c>
      <c r="BG62" s="8392"/>
      <c r="BH62" s="8475" t="str">
        <f>IF(BE58=0,"",VLOOKUP(BE58,'Tablas psiquica'!$D$7:$R$296,8,FALSE))</f>
        <v/>
      </c>
      <c r="BI62" s="7145"/>
      <c r="BJ62" s="7145"/>
      <c r="BK62" s="8476"/>
      <c r="BL62" s="607"/>
      <c r="BM62" s="1455">
        <v>80</v>
      </c>
      <c r="BN62" s="8477" t="s">
        <v>1582</v>
      </c>
      <c r="BO62" s="8392"/>
      <c r="BP62" s="8475" t="str">
        <f>IF(BM58=0,"",VLOOKUP(BM58,'Tablas psiquica'!$D$7:$R$296,8,FALSE))</f>
        <v/>
      </c>
      <c r="BQ62" s="7145"/>
      <c r="BR62" s="7145"/>
      <c r="BS62" s="8476"/>
      <c r="BT62" s="982"/>
      <c r="BU62" s="1455">
        <v>80</v>
      </c>
      <c r="BV62" s="8477" t="s">
        <v>1582</v>
      </c>
      <c r="BW62" s="8392"/>
      <c r="BX62" s="8475" t="str">
        <f>IF(BU58=0,"",VLOOKUP(BU58,'Tablas psiquica'!$D$7:$R$296,8,FALSE))</f>
        <v/>
      </c>
      <c r="BY62" s="7145"/>
      <c r="BZ62" s="7145"/>
      <c r="CA62" s="8476"/>
      <c r="CB62" s="4232"/>
      <c r="CC62" s="360"/>
      <c r="CD62" s="360"/>
      <c r="CE62" s="982"/>
      <c r="CF62" s="1455">
        <v>80</v>
      </c>
      <c r="CG62" s="8477" t="s">
        <v>1582</v>
      </c>
      <c r="CH62" s="8392"/>
      <c r="CI62" s="8475" t="str">
        <f>IF(CF58=0,"",VLOOKUP(CF58,'Tablas psiquica'!$D$7:$R$296,8,FALSE))</f>
        <v/>
      </c>
      <c r="CJ62" s="7145"/>
      <c r="CK62" s="7145"/>
      <c r="CL62" s="8476"/>
      <c r="CM62" s="607"/>
      <c r="CN62" s="1455">
        <v>80</v>
      </c>
      <c r="CO62" s="8477" t="s">
        <v>1582</v>
      </c>
      <c r="CP62" s="8392"/>
      <c r="CQ62" s="8475" t="str">
        <f>IF(CN58=0,"",VLOOKUP(CN58,'Tablas psiquica'!$D$7:$R$296,8,FALSE))</f>
        <v/>
      </c>
      <c r="CR62" s="7145"/>
      <c r="CS62" s="7145"/>
      <c r="CT62" s="8476"/>
      <c r="CU62" s="982"/>
      <c r="CV62" s="1455">
        <v>80</v>
      </c>
      <c r="CW62" s="8477" t="s">
        <v>1582</v>
      </c>
      <c r="CX62" s="8392"/>
      <c r="CY62" s="8475" t="str">
        <f>IF(CV58=0,"",VLOOKUP(CV58,'Tablas psiquica'!$D$7:$R$296,8,FALSE))</f>
        <v/>
      </c>
      <c r="CZ62" s="7145"/>
      <c r="DA62" s="7145"/>
      <c r="DB62" s="8476"/>
      <c r="DC62" s="4232"/>
      <c r="DD62" s="360"/>
    </row>
    <row r="63" spans="1:108" ht="12" customHeight="1">
      <c r="A63" s="360"/>
      <c r="B63" s="982"/>
      <c r="C63" s="1454">
        <v>120</v>
      </c>
      <c r="D63" s="8472" t="s">
        <v>1585</v>
      </c>
      <c r="E63" s="8387"/>
      <c r="F63" s="8473" t="str">
        <f>IF(C58=0,"",VLOOKUP(C58,'Tablas psiquica'!$D$7:$R$296,9,FALSE))</f>
        <v/>
      </c>
      <c r="G63" s="8258"/>
      <c r="H63" s="8258"/>
      <c r="I63" s="8474"/>
      <c r="J63" s="607"/>
      <c r="K63" s="1454">
        <v>120</v>
      </c>
      <c r="L63" s="8472" t="s">
        <v>1585</v>
      </c>
      <c r="M63" s="8387"/>
      <c r="N63" s="8473" t="str">
        <f>IF(K58=0,"",VLOOKUP(K58,'Tablas psiquica'!$D$7:$R$296,9,FALSE))</f>
        <v/>
      </c>
      <c r="O63" s="8258"/>
      <c r="P63" s="8258"/>
      <c r="Q63" s="8474"/>
      <c r="R63" s="982"/>
      <c r="S63" s="1454">
        <v>120</v>
      </c>
      <c r="T63" s="8472" t="s">
        <v>1585</v>
      </c>
      <c r="U63" s="8387"/>
      <c r="V63" s="8473" t="str">
        <f>IF(S58=0,"",VLOOKUP(S58,'Tablas psiquica'!$D$7:$R$296,9,FALSE))</f>
        <v/>
      </c>
      <c r="W63" s="8258"/>
      <c r="X63" s="8258"/>
      <c r="Y63" s="8474"/>
      <c r="Z63" s="4232"/>
      <c r="AA63" s="360"/>
      <c r="AB63" s="360"/>
      <c r="AC63" s="982"/>
      <c r="AD63" s="1454">
        <v>120</v>
      </c>
      <c r="AE63" s="8472" t="s">
        <v>1585</v>
      </c>
      <c r="AF63" s="8387"/>
      <c r="AG63" s="8473" t="str">
        <f>IF(AD58=0,"",VLOOKUP(AD58,'Tablas psiquica'!$D$7:$R$296,9,FALSE))</f>
        <v/>
      </c>
      <c r="AH63" s="8258"/>
      <c r="AI63" s="8258"/>
      <c r="AJ63" s="8474"/>
      <c r="AK63" s="607"/>
      <c r="AL63" s="1454">
        <v>120</v>
      </c>
      <c r="AM63" s="8472" t="s">
        <v>1585</v>
      </c>
      <c r="AN63" s="8387"/>
      <c r="AO63" s="8473" t="str">
        <f>IF(AL58=0,"",VLOOKUP(AL58,'Tablas psiquica'!$D$7:$R$296,9,FALSE))</f>
        <v/>
      </c>
      <c r="AP63" s="8258"/>
      <c r="AQ63" s="8258"/>
      <c r="AR63" s="8474"/>
      <c r="AS63" s="982"/>
      <c r="AT63" s="1454">
        <v>120</v>
      </c>
      <c r="AU63" s="8472" t="s">
        <v>1585</v>
      </c>
      <c r="AV63" s="8387"/>
      <c r="AW63" s="8473" t="str">
        <f>IF(AT58=0,"",VLOOKUP(AT58,'Tablas psiquica'!$D$7:$R$296,9,FALSE))</f>
        <v/>
      </c>
      <c r="AX63" s="8258"/>
      <c r="AY63" s="8258"/>
      <c r="AZ63" s="8474"/>
      <c r="BA63" s="4232"/>
      <c r="BB63" s="360"/>
      <c r="BC63" s="360"/>
      <c r="BD63" s="982"/>
      <c r="BE63" s="1454">
        <v>120</v>
      </c>
      <c r="BF63" s="8472" t="s">
        <v>1585</v>
      </c>
      <c r="BG63" s="8387"/>
      <c r="BH63" s="8473" t="str">
        <f>IF(BE58=0,"",VLOOKUP(BE58,'Tablas psiquica'!$D$7:$R$296,9,FALSE))</f>
        <v/>
      </c>
      <c r="BI63" s="8258"/>
      <c r="BJ63" s="8258"/>
      <c r="BK63" s="8474"/>
      <c r="BL63" s="607"/>
      <c r="BM63" s="1454">
        <v>120</v>
      </c>
      <c r="BN63" s="8472" t="s">
        <v>1585</v>
      </c>
      <c r="BO63" s="8387"/>
      <c r="BP63" s="8473" t="str">
        <f>IF(BM58=0,"",VLOOKUP(BM58,'Tablas psiquica'!$D$7:$R$296,9,FALSE))</f>
        <v/>
      </c>
      <c r="BQ63" s="8258"/>
      <c r="BR63" s="8258"/>
      <c r="BS63" s="8474"/>
      <c r="BT63" s="982"/>
      <c r="BU63" s="1454">
        <v>120</v>
      </c>
      <c r="BV63" s="8472" t="s">
        <v>1585</v>
      </c>
      <c r="BW63" s="8387"/>
      <c r="BX63" s="8473" t="str">
        <f>IF(BU58=0,"",VLOOKUP(BU58,'Tablas psiquica'!$D$7:$R$296,9,FALSE))</f>
        <v/>
      </c>
      <c r="BY63" s="8258"/>
      <c r="BZ63" s="8258"/>
      <c r="CA63" s="8474"/>
      <c r="CB63" s="4232"/>
      <c r="CC63" s="360"/>
      <c r="CD63" s="360"/>
      <c r="CE63" s="982"/>
      <c r="CF63" s="1454">
        <v>120</v>
      </c>
      <c r="CG63" s="8472" t="s">
        <v>1585</v>
      </c>
      <c r="CH63" s="8387"/>
      <c r="CI63" s="8473" t="str">
        <f>IF(CF58=0,"",VLOOKUP(CF58,'Tablas psiquica'!$D$7:$R$296,9,FALSE))</f>
        <v/>
      </c>
      <c r="CJ63" s="8258"/>
      <c r="CK63" s="8258"/>
      <c r="CL63" s="8474"/>
      <c r="CM63" s="607"/>
      <c r="CN63" s="1454">
        <v>120</v>
      </c>
      <c r="CO63" s="8472" t="s">
        <v>1585</v>
      </c>
      <c r="CP63" s="8387"/>
      <c r="CQ63" s="8473" t="str">
        <f>IF(CN58=0,"",VLOOKUP(CN58,'Tablas psiquica'!$D$7:$R$296,9,FALSE))</f>
        <v/>
      </c>
      <c r="CR63" s="8258"/>
      <c r="CS63" s="8258"/>
      <c r="CT63" s="8474"/>
      <c r="CU63" s="982"/>
      <c r="CV63" s="1454">
        <v>120</v>
      </c>
      <c r="CW63" s="8472" t="s">
        <v>1585</v>
      </c>
      <c r="CX63" s="8387"/>
      <c r="CY63" s="8473" t="str">
        <f>IF(CV58=0,"",VLOOKUP(CV58,'Tablas psiquica'!$D$7:$R$296,9,FALSE))</f>
        <v/>
      </c>
      <c r="CZ63" s="8258"/>
      <c r="DA63" s="8258"/>
      <c r="DB63" s="8474"/>
      <c r="DC63" s="4232"/>
      <c r="DD63" s="360"/>
    </row>
    <row r="64" spans="1:108" ht="12" customHeight="1">
      <c r="A64" s="360"/>
      <c r="B64" s="982"/>
      <c r="C64" s="1455">
        <v>140</v>
      </c>
      <c r="D64" s="8477" t="s">
        <v>5822</v>
      </c>
      <c r="E64" s="8392"/>
      <c r="F64" s="8475" t="str">
        <f>IF(C58=0,"",VLOOKUP(C58,'Tablas psiquica'!$D$7:$R$296,10,FALSE))</f>
        <v/>
      </c>
      <c r="G64" s="7145"/>
      <c r="H64" s="7145"/>
      <c r="I64" s="8476"/>
      <c r="J64" s="607"/>
      <c r="K64" s="1455">
        <v>140</v>
      </c>
      <c r="L64" s="8477" t="s">
        <v>5822</v>
      </c>
      <c r="M64" s="8392"/>
      <c r="N64" s="8475" t="str">
        <f>IF(K58=0,"",VLOOKUP(K58,'Tablas psiquica'!$D$7:$R$296,10,FALSE))</f>
        <v/>
      </c>
      <c r="O64" s="7145"/>
      <c r="P64" s="7145"/>
      <c r="Q64" s="8476"/>
      <c r="R64" s="982"/>
      <c r="S64" s="1455">
        <v>140</v>
      </c>
      <c r="T64" s="8477" t="s">
        <v>5822</v>
      </c>
      <c r="U64" s="8392"/>
      <c r="V64" s="8475" t="str">
        <f>IF(S58=0,"",VLOOKUP(S58,'Tablas psiquica'!$D$7:$R$296,10,FALSE))</f>
        <v/>
      </c>
      <c r="W64" s="7145"/>
      <c r="X64" s="7145"/>
      <c r="Y64" s="8476"/>
      <c r="Z64" s="4232"/>
      <c r="AA64" s="360"/>
      <c r="AB64" s="360"/>
      <c r="AC64" s="982"/>
      <c r="AD64" s="1455">
        <v>140</v>
      </c>
      <c r="AE64" s="8477" t="s">
        <v>5822</v>
      </c>
      <c r="AF64" s="8392"/>
      <c r="AG64" s="8475" t="str">
        <f>IF(AD58=0,"",VLOOKUP(AD58,'Tablas psiquica'!$D$7:$R$296,10,FALSE))</f>
        <v/>
      </c>
      <c r="AH64" s="7145"/>
      <c r="AI64" s="7145"/>
      <c r="AJ64" s="8476"/>
      <c r="AK64" s="607"/>
      <c r="AL64" s="1455">
        <v>140</v>
      </c>
      <c r="AM64" s="8477" t="s">
        <v>5822</v>
      </c>
      <c r="AN64" s="8392"/>
      <c r="AO64" s="8475" t="str">
        <f>IF(AL58=0,"",VLOOKUP(AL58,'Tablas psiquica'!$D$7:$R$296,10,FALSE))</f>
        <v/>
      </c>
      <c r="AP64" s="7145"/>
      <c r="AQ64" s="7145"/>
      <c r="AR64" s="8476"/>
      <c r="AS64" s="982"/>
      <c r="AT64" s="1455">
        <v>140</v>
      </c>
      <c r="AU64" s="8477" t="s">
        <v>5822</v>
      </c>
      <c r="AV64" s="8392"/>
      <c r="AW64" s="8475" t="str">
        <f>IF(AT58=0,"",VLOOKUP(AT58,'Tablas psiquica'!$D$7:$R$296,10,FALSE))</f>
        <v/>
      </c>
      <c r="AX64" s="7145"/>
      <c r="AY64" s="7145"/>
      <c r="AZ64" s="8476"/>
      <c r="BA64" s="4232"/>
      <c r="BB64" s="360"/>
      <c r="BC64" s="360"/>
      <c r="BD64" s="982"/>
      <c r="BE64" s="1455">
        <v>140</v>
      </c>
      <c r="BF64" s="8477" t="s">
        <v>5822</v>
      </c>
      <c r="BG64" s="8392"/>
      <c r="BH64" s="8475" t="str">
        <f>IF(BE58=0,"",VLOOKUP(BE58,'Tablas psiquica'!$D$7:$R$296,10,FALSE))</f>
        <v/>
      </c>
      <c r="BI64" s="7145"/>
      <c r="BJ64" s="7145"/>
      <c r="BK64" s="8476"/>
      <c r="BL64" s="607"/>
      <c r="BM64" s="1455">
        <v>140</v>
      </c>
      <c r="BN64" s="8477" t="s">
        <v>5822</v>
      </c>
      <c r="BO64" s="8392"/>
      <c r="BP64" s="8475" t="str">
        <f>IF(BM58=0,"",VLOOKUP(BM58,'Tablas psiquica'!$D$7:$R$296,10,FALSE))</f>
        <v/>
      </c>
      <c r="BQ64" s="7145"/>
      <c r="BR64" s="7145"/>
      <c r="BS64" s="8476"/>
      <c r="BT64" s="982"/>
      <c r="BU64" s="1455">
        <v>140</v>
      </c>
      <c r="BV64" s="8477" t="s">
        <v>5822</v>
      </c>
      <c r="BW64" s="8392"/>
      <c r="BX64" s="8475" t="str">
        <f>IF(BU58=0,"",VLOOKUP(BU58,'Tablas psiquica'!$D$7:$R$296,10,FALSE))</f>
        <v/>
      </c>
      <c r="BY64" s="7145"/>
      <c r="BZ64" s="7145"/>
      <c r="CA64" s="8476"/>
      <c r="CB64" s="4232"/>
      <c r="CC64" s="360"/>
      <c r="CD64" s="360"/>
      <c r="CE64" s="982"/>
      <c r="CF64" s="1455">
        <v>140</v>
      </c>
      <c r="CG64" s="8477" t="s">
        <v>5822</v>
      </c>
      <c r="CH64" s="8392"/>
      <c r="CI64" s="8475" t="str">
        <f>IF(CF58=0,"",VLOOKUP(CF58,'Tablas psiquica'!$D$7:$R$296,10,FALSE))</f>
        <v/>
      </c>
      <c r="CJ64" s="7145"/>
      <c r="CK64" s="7145"/>
      <c r="CL64" s="8476"/>
      <c r="CM64" s="607"/>
      <c r="CN64" s="1455">
        <v>140</v>
      </c>
      <c r="CO64" s="8477" t="s">
        <v>5822</v>
      </c>
      <c r="CP64" s="8392"/>
      <c r="CQ64" s="8475" t="str">
        <f>IF(CN58=0,"",VLOOKUP(CN58,'Tablas psiquica'!$D$7:$R$296,10,FALSE))</f>
        <v/>
      </c>
      <c r="CR64" s="7145"/>
      <c r="CS64" s="7145"/>
      <c r="CT64" s="8476"/>
      <c r="CU64" s="982"/>
      <c r="CV64" s="1455">
        <v>140</v>
      </c>
      <c r="CW64" s="8477" t="s">
        <v>5822</v>
      </c>
      <c r="CX64" s="8392"/>
      <c r="CY64" s="8475" t="str">
        <f>IF(CV58=0,"",VLOOKUP(CV58,'Tablas psiquica'!$D$7:$R$296,10,FALSE))</f>
        <v/>
      </c>
      <c r="CZ64" s="7145"/>
      <c r="DA64" s="7145"/>
      <c r="DB64" s="8476"/>
      <c r="DC64" s="4232"/>
      <c r="DD64" s="360"/>
    </row>
    <row r="65" spans="1:108" ht="12" customHeight="1">
      <c r="A65" s="360"/>
      <c r="B65" s="982"/>
      <c r="C65" s="1454">
        <v>180</v>
      </c>
      <c r="D65" s="8472" t="s">
        <v>1589</v>
      </c>
      <c r="E65" s="8387"/>
      <c r="F65" s="8473" t="str">
        <f>IF(C58=0,"",VLOOKUP(C58,'Tablas psiquica'!$D$7:$R$296,11,FALSE))</f>
        <v/>
      </c>
      <c r="G65" s="8258"/>
      <c r="H65" s="8258"/>
      <c r="I65" s="8474"/>
      <c r="J65" s="607"/>
      <c r="K65" s="1454">
        <v>180</v>
      </c>
      <c r="L65" s="8472" t="s">
        <v>1589</v>
      </c>
      <c r="M65" s="8387"/>
      <c r="N65" s="8473" t="str">
        <f>IF(K58=0,"",VLOOKUP(K58,'Tablas psiquica'!$D$7:$R$296,11,FALSE))</f>
        <v/>
      </c>
      <c r="O65" s="8258"/>
      <c r="P65" s="8258"/>
      <c r="Q65" s="8474"/>
      <c r="R65" s="982"/>
      <c r="S65" s="1454">
        <v>180</v>
      </c>
      <c r="T65" s="8472" t="s">
        <v>1589</v>
      </c>
      <c r="U65" s="8387"/>
      <c r="V65" s="8473" t="str">
        <f>IF(S58=0,"",VLOOKUP(S58,'Tablas psiquica'!$D$7:$R$296,11,FALSE))</f>
        <v/>
      </c>
      <c r="W65" s="8258"/>
      <c r="X65" s="8258"/>
      <c r="Y65" s="8474"/>
      <c r="Z65" s="4232"/>
      <c r="AA65" s="360"/>
      <c r="AB65" s="360"/>
      <c r="AC65" s="982"/>
      <c r="AD65" s="1454">
        <v>180</v>
      </c>
      <c r="AE65" s="8472" t="s">
        <v>1589</v>
      </c>
      <c r="AF65" s="8387"/>
      <c r="AG65" s="8473" t="str">
        <f>IF(AD58=0,"",VLOOKUP(AD58,'Tablas psiquica'!$D$7:$R$296,11,FALSE))</f>
        <v/>
      </c>
      <c r="AH65" s="8258"/>
      <c r="AI65" s="8258"/>
      <c r="AJ65" s="8474"/>
      <c r="AK65" s="607"/>
      <c r="AL65" s="1454">
        <v>180</v>
      </c>
      <c r="AM65" s="8472" t="s">
        <v>1589</v>
      </c>
      <c r="AN65" s="8387"/>
      <c r="AO65" s="8473" t="str">
        <f>IF(AL58=0,"",VLOOKUP(AL58,'Tablas psiquica'!$D$7:$R$296,11,FALSE))</f>
        <v/>
      </c>
      <c r="AP65" s="8258"/>
      <c r="AQ65" s="8258"/>
      <c r="AR65" s="8474"/>
      <c r="AS65" s="982"/>
      <c r="AT65" s="1454">
        <v>180</v>
      </c>
      <c r="AU65" s="8472" t="s">
        <v>1589</v>
      </c>
      <c r="AV65" s="8387"/>
      <c r="AW65" s="8473" t="str">
        <f>IF(AT58=0,"",VLOOKUP(AT58,'Tablas psiquica'!$D$7:$R$296,11,FALSE))</f>
        <v/>
      </c>
      <c r="AX65" s="8258"/>
      <c r="AY65" s="8258"/>
      <c r="AZ65" s="8474"/>
      <c r="BA65" s="4232"/>
      <c r="BB65" s="360"/>
      <c r="BC65" s="360"/>
      <c r="BD65" s="982"/>
      <c r="BE65" s="1454">
        <v>180</v>
      </c>
      <c r="BF65" s="8472" t="s">
        <v>1589</v>
      </c>
      <c r="BG65" s="8387"/>
      <c r="BH65" s="8473" t="str">
        <f>IF(BE58=0,"",VLOOKUP(BE58,'Tablas psiquica'!$D$7:$R$296,11,FALSE))</f>
        <v/>
      </c>
      <c r="BI65" s="8258"/>
      <c r="BJ65" s="8258"/>
      <c r="BK65" s="8474"/>
      <c r="BL65" s="607"/>
      <c r="BM65" s="1454">
        <v>180</v>
      </c>
      <c r="BN65" s="8472" t="s">
        <v>1589</v>
      </c>
      <c r="BO65" s="8387"/>
      <c r="BP65" s="8473" t="str">
        <f>IF(BM58=0,"",VLOOKUP(BM58,'Tablas psiquica'!$D$7:$R$296,11,FALSE))</f>
        <v/>
      </c>
      <c r="BQ65" s="8258"/>
      <c r="BR65" s="8258"/>
      <c r="BS65" s="8474"/>
      <c r="BT65" s="982"/>
      <c r="BU65" s="1454">
        <v>180</v>
      </c>
      <c r="BV65" s="8472" t="s">
        <v>1589</v>
      </c>
      <c r="BW65" s="8387"/>
      <c r="BX65" s="8473" t="str">
        <f>IF(BU58=0,"",VLOOKUP(BU58,'Tablas psiquica'!$D$7:$R$296,11,FALSE))</f>
        <v/>
      </c>
      <c r="BY65" s="8258"/>
      <c r="BZ65" s="8258"/>
      <c r="CA65" s="8474"/>
      <c r="CB65" s="4232"/>
      <c r="CC65" s="360"/>
      <c r="CD65" s="360"/>
      <c r="CE65" s="982"/>
      <c r="CF65" s="1454">
        <v>180</v>
      </c>
      <c r="CG65" s="8472" t="s">
        <v>1589</v>
      </c>
      <c r="CH65" s="8387"/>
      <c r="CI65" s="8473" t="str">
        <f>IF(CF58=0,"",VLOOKUP(CF58,'Tablas psiquica'!$D$7:$R$296,11,FALSE))</f>
        <v/>
      </c>
      <c r="CJ65" s="8258"/>
      <c r="CK65" s="8258"/>
      <c r="CL65" s="8474"/>
      <c r="CM65" s="607"/>
      <c r="CN65" s="1454">
        <v>180</v>
      </c>
      <c r="CO65" s="8472" t="s">
        <v>1589</v>
      </c>
      <c r="CP65" s="8387"/>
      <c r="CQ65" s="8473" t="str">
        <f>IF(CN58=0,"",VLOOKUP(CN58,'Tablas psiquica'!$D$7:$R$296,11,FALSE))</f>
        <v/>
      </c>
      <c r="CR65" s="8258"/>
      <c r="CS65" s="8258"/>
      <c r="CT65" s="8474"/>
      <c r="CU65" s="982"/>
      <c r="CV65" s="1454">
        <v>180</v>
      </c>
      <c r="CW65" s="8472" t="s">
        <v>1589</v>
      </c>
      <c r="CX65" s="8387"/>
      <c r="CY65" s="8473" t="str">
        <f>IF(CV58=0,"",VLOOKUP(CV58,'Tablas psiquica'!$D$7:$R$296,11,FALSE))</f>
        <v/>
      </c>
      <c r="CZ65" s="8258"/>
      <c r="DA65" s="8258"/>
      <c r="DB65" s="8474"/>
      <c r="DC65" s="4232"/>
      <c r="DD65" s="360"/>
    </row>
    <row r="66" spans="1:108" ht="12" customHeight="1">
      <c r="A66" s="360"/>
      <c r="B66" s="982"/>
      <c r="C66" s="1455">
        <v>240</v>
      </c>
      <c r="D66" s="8477" t="s">
        <v>5823</v>
      </c>
      <c r="E66" s="8392"/>
      <c r="F66" s="8475" t="str">
        <f>IF(C58=0,"",VLOOKUP(C58,'Tablas psiquica'!$D$7:$R$296,12,FALSE))</f>
        <v/>
      </c>
      <c r="G66" s="7145"/>
      <c r="H66" s="7145"/>
      <c r="I66" s="8476"/>
      <c r="J66" s="607"/>
      <c r="K66" s="1455">
        <v>240</v>
      </c>
      <c r="L66" s="8477" t="s">
        <v>5823</v>
      </c>
      <c r="M66" s="8392"/>
      <c r="N66" s="8475" t="str">
        <f>IF(K58=0,"",VLOOKUP(K58,'Tablas psiquica'!$D$7:$R$296,12,FALSE))</f>
        <v/>
      </c>
      <c r="O66" s="7145"/>
      <c r="P66" s="7145"/>
      <c r="Q66" s="8476"/>
      <c r="R66" s="982"/>
      <c r="S66" s="1455">
        <v>240</v>
      </c>
      <c r="T66" s="8477" t="s">
        <v>5823</v>
      </c>
      <c r="U66" s="8392"/>
      <c r="V66" s="8475" t="str">
        <f>IF(S58=0,"",VLOOKUP(S58,'Tablas psiquica'!$D$7:$R$296,12,FALSE))</f>
        <v/>
      </c>
      <c r="W66" s="7145"/>
      <c r="X66" s="7145"/>
      <c r="Y66" s="8476"/>
      <c r="Z66" s="4232"/>
      <c r="AA66" s="360"/>
      <c r="AB66" s="360"/>
      <c r="AC66" s="982"/>
      <c r="AD66" s="1455">
        <v>240</v>
      </c>
      <c r="AE66" s="8477" t="s">
        <v>5823</v>
      </c>
      <c r="AF66" s="8392"/>
      <c r="AG66" s="8475" t="str">
        <f>IF(AD58=0,"",VLOOKUP(AD58,'Tablas psiquica'!$D$7:$R$296,12,FALSE))</f>
        <v/>
      </c>
      <c r="AH66" s="7145"/>
      <c r="AI66" s="7145"/>
      <c r="AJ66" s="8476"/>
      <c r="AK66" s="607"/>
      <c r="AL66" s="1455">
        <v>240</v>
      </c>
      <c r="AM66" s="8477" t="s">
        <v>5823</v>
      </c>
      <c r="AN66" s="8392"/>
      <c r="AO66" s="8475" t="str">
        <f>IF(AL58=0,"",VLOOKUP(AL58,'Tablas psiquica'!$D$7:$R$296,12,FALSE))</f>
        <v/>
      </c>
      <c r="AP66" s="7145"/>
      <c r="AQ66" s="7145"/>
      <c r="AR66" s="8476"/>
      <c r="AS66" s="982"/>
      <c r="AT66" s="1455">
        <v>240</v>
      </c>
      <c r="AU66" s="8477" t="s">
        <v>5823</v>
      </c>
      <c r="AV66" s="8392"/>
      <c r="AW66" s="8475" t="str">
        <f>IF(AT58=0,"",VLOOKUP(AT58,'Tablas psiquica'!$D$7:$R$296,12,FALSE))</f>
        <v/>
      </c>
      <c r="AX66" s="7145"/>
      <c r="AY66" s="7145"/>
      <c r="AZ66" s="8476"/>
      <c r="BA66" s="4232"/>
      <c r="BB66" s="360"/>
      <c r="BC66" s="360"/>
      <c r="BD66" s="982"/>
      <c r="BE66" s="1455">
        <v>240</v>
      </c>
      <c r="BF66" s="8477" t="s">
        <v>5823</v>
      </c>
      <c r="BG66" s="8392"/>
      <c r="BH66" s="8475" t="str">
        <f>IF(BE58=0,"",VLOOKUP(BE58,'Tablas psiquica'!$D$7:$R$296,12,FALSE))</f>
        <v/>
      </c>
      <c r="BI66" s="7145"/>
      <c r="BJ66" s="7145"/>
      <c r="BK66" s="8476"/>
      <c r="BL66" s="607"/>
      <c r="BM66" s="1455">
        <v>240</v>
      </c>
      <c r="BN66" s="8477" t="s">
        <v>5823</v>
      </c>
      <c r="BO66" s="8392"/>
      <c r="BP66" s="8475" t="str">
        <f>IF(BM58=0,"",VLOOKUP(BM58,'Tablas psiquica'!$D$7:$R$296,12,FALSE))</f>
        <v/>
      </c>
      <c r="BQ66" s="7145"/>
      <c r="BR66" s="7145"/>
      <c r="BS66" s="8476"/>
      <c r="BT66" s="982"/>
      <c r="BU66" s="1455">
        <v>240</v>
      </c>
      <c r="BV66" s="8477" t="s">
        <v>5823</v>
      </c>
      <c r="BW66" s="8392"/>
      <c r="BX66" s="8475" t="str">
        <f>IF(BU58=0,"",VLOOKUP(BU58,'Tablas psiquica'!$D$7:$R$296,12,FALSE))</f>
        <v/>
      </c>
      <c r="BY66" s="7145"/>
      <c r="BZ66" s="7145"/>
      <c r="CA66" s="8476"/>
      <c r="CB66" s="4232"/>
      <c r="CC66" s="360"/>
      <c r="CD66" s="360"/>
      <c r="CE66" s="982"/>
      <c r="CF66" s="1455">
        <v>240</v>
      </c>
      <c r="CG66" s="8477" t="s">
        <v>5823</v>
      </c>
      <c r="CH66" s="8392"/>
      <c r="CI66" s="8475" t="str">
        <f>IF(CF58=0,"",VLOOKUP(CF58,'Tablas psiquica'!$D$7:$R$296,12,FALSE))</f>
        <v/>
      </c>
      <c r="CJ66" s="7145"/>
      <c r="CK66" s="7145"/>
      <c r="CL66" s="8476"/>
      <c r="CM66" s="607"/>
      <c r="CN66" s="1455">
        <v>240</v>
      </c>
      <c r="CO66" s="8477" t="s">
        <v>5823</v>
      </c>
      <c r="CP66" s="8392"/>
      <c r="CQ66" s="8475" t="str">
        <f>IF(CN58=0,"",VLOOKUP(CN58,'Tablas psiquica'!$D$7:$R$296,12,FALSE))</f>
        <v/>
      </c>
      <c r="CR66" s="7145"/>
      <c r="CS66" s="7145"/>
      <c r="CT66" s="8476"/>
      <c r="CU66" s="982"/>
      <c r="CV66" s="1455">
        <v>240</v>
      </c>
      <c r="CW66" s="8477" t="s">
        <v>5823</v>
      </c>
      <c r="CX66" s="8392"/>
      <c r="CY66" s="8475" t="str">
        <f>IF(CV58=0,"",VLOOKUP(CV58,'Tablas psiquica'!$D$7:$R$296,12,FALSE))</f>
        <v/>
      </c>
      <c r="CZ66" s="7145"/>
      <c r="DA66" s="7145"/>
      <c r="DB66" s="8476"/>
      <c r="DC66" s="4232"/>
      <c r="DD66" s="360"/>
    </row>
    <row r="67" spans="1:108" ht="12" customHeight="1">
      <c r="A67" s="360"/>
      <c r="B67" s="982"/>
      <c r="C67" s="1454">
        <v>280</v>
      </c>
      <c r="D67" s="8472" t="s">
        <v>1592</v>
      </c>
      <c r="E67" s="8387"/>
      <c r="F67" s="8473" t="str">
        <f>IF(C58=0,"",VLOOKUP(C58,'Tablas psiquica'!$D$7:$R$296,13,FALSE))</f>
        <v/>
      </c>
      <c r="G67" s="8258"/>
      <c r="H67" s="8258"/>
      <c r="I67" s="8474"/>
      <c r="J67" s="607"/>
      <c r="K67" s="1454">
        <v>280</v>
      </c>
      <c r="L67" s="8472" t="s">
        <v>1592</v>
      </c>
      <c r="M67" s="8387"/>
      <c r="N67" s="8473" t="str">
        <f>IF(K58=0,"",VLOOKUP(K58,'Tablas psiquica'!$D$7:$R$296,13,FALSE))</f>
        <v/>
      </c>
      <c r="O67" s="8258"/>
      <c r="P67" s="8258"/>
      <c r="Q67" s="8474"/>
      <c r="R67" s="982"/>
      <c r="S67" s="1454">
        <v>280</v>
      </c>
      <c r="T67" s="8472" t="s">
        <v>1592</v>
      </c>
      <c r="U67" s="8387"/>
      <c r="V67" s="8473" t="str">
        <f>IF(S58=0,"",VLOOKUP(S58,'Tablas psiquica'!$D$7:$R$296,13,FALSE))</f>
        <v/>
      </c>
      <c r="W67" s="8258"/>
      <c r="X67" s="8258"/>
      <c r="Y67" s="8474"/>
      <c r="Z67" s="4232"/>
      <c r="AA67" s="360"/>
      <c r="AB67" s="360"/>
      <c r="AC67" s="982"/>
      <c r="AD67" s="1454">
        <v>280</v>
      </c>
      <c r="AE67" s="8472" t="s">
        <v>1592</v>
      </c>
      <c r="AF67" s="8387"/>
      <c r="AG67" s="8473" t="str">
        <f>IF(AD58=0,"",VLOOKUP(AD58,'Tablas psiquica'!$D$7:$R$296,13,FALSE))</f>
        <v/>
      </c>
      <c r="AH67" s="8258"/>
      <c r="AI67" s="8258"/>
      <c r="AJ67" s="8474"/>
      <c r="AK67" s="607"/>
      <c r="AL67" s="1454">
        <v>280</v>
      </c>
      <c r="AM67" s="8472" t="s">
        <v>1592</v>
      </c>
      <c r="AN67" s="8387"/>
      <c r="AO67" s="8473" t="str">
        <f>IF(AL58=0,"",VLOOKUP(AL58,'Tablas psiquica'!$D$7:$R$296,13,FALSE))</f>
        <v/>
      </c>
      <c r="AP67" s="8258"/>
      <c r="AQ67" s="8258"/>
      <c r="AR67" s="8474"/>
      <c r="AS67" s="982"/>
      <c r="AT67" s="1454">
        <v>280</v>
      </c>
      <c r="AU67" s="8472" t="s">
        <v>1592</v>
      </c>
      <c r="AV67" s="8387"/>
      <c r="AW67" s="8473" t="str">
        <f>IF(AT58=0,"",VLOOKUP(AT58,'Tablas psiquica'!$D$7:$R$296,13,FALSE))</f>
        <v/>
      </c>
      <c r="AX67" s="8258"/>
      <c r="AY67" s="8258"/>
      <c r="AZ67" s="8474"/>
      <c r="BA67" s="4232"/>
      <c r="BB67" s="360"/>
      <c r="BC67" s="360"/>
      <c r="BD67" s="982"/>
      <c r="BE67" s="1454">
        <v>280</v>
      </c>
      <c r="BF67" s="8472" t="s">
        <v>1592</v>
      </c>
      <c r="BG67" s="8387"/>
      <c r="BH67" s="8473" t="str">
        <f>IF(BE58=0,"",VLOOKUP(BE58,'Tablas psiquica'!$D$7:$R$296,13,FALSE))</f>
        <v/>
      </c>
      <c r="BI67" s="8258"/>
      <c r="BJ67" s="8258"/>
      <c r="BK67" s="8474"/>
      <c r="BL67" s="607"/>
      <c r="BM67" s="1454">
        <v>280</v>
      </c>
      <c r="BN67" s="8472" t="s">
        <v>1592</v>
      </c>
      <c r="BO67" s="8387"/>
      <c r="BP67" s="8473" t="str">
        <f>IF(BM58=0,"",VLOOKUP(BM58,'Tablas psiquica'!$D$7:$R$296,13,FALSE))</f>
        <v/>
      </c>
      <c r="BQ67" s="8258"/>
      <c r="BR67" s="8258"/>
      <c r="BS67" s="8474"/>
      <c r="BT67" s="982"/>
      <c r="BU67" s="1454">
        <v>280</v>
      </c>
      <c r="BV67" s="8472" t="s">
        <v>1592</v>
      </c>
      <c r="BW67" s="8387"/>
      <c r="BX67" s="8473" t="str">
        <f>IF(BU58=0,"",VLOOKUP(BU58,'Tablas psiquica'!$D$7:$R$296,13,FALSE))</f>
        <v/>
      </c>
      <c r="BY67" s="8258"/>
      <c r="BZ67" s="8258"/>
      <c r="CA67" s="8474"/>
      <c r="CB67" s="4232"/>
      <c r="CC67" s="360"/>
      <c r="CD67" s="360"/>
      <c r="CE67" s="982"/>
      <c r="CF67" s="1454">
        <v>280</v>
      </c>
      <c r="CG67" s="8472" t="s">
        <v>1592</v>
      </c>
      <c r="CH67" s="8387"/>
      <c r="CI67" s="8473" t="str">
        <f>IF(CF58=0,"",VLOOKUP(CF58,'Tablas psiquica'!$D$7:$R$296,13,FALSE))</f>
        <v/>
      </c>
      <c r="CJ67" s="8258"/>
      <c r="CK67" s="8258"/>
      <c r="CL67" s="8474"/>
      <c r="CM67" s="607"/>
      <c r="CN67" s="1454">
        <v>280</v>
      </c>
      <c r="CO67" s="8472" t="s">
        <v>1592</v>
      </c>
      <c r="CP67" s="8387"/>
      <c r="CQ67" s="8473" t="str">
        <f>IF(CN58=0,"",VLOOKUP(CN58,'Tablas psiquica'!$D$7:$R$296,13,FALSE))</f>
        <v/>
      </c>
      <c r="CR67" s="8258"/>
      <c r="CS67" s="8258"/>
      <c r="CT67" s="8474"/>
      <c r="CU67" s="982"/>
      <c r="CV67" s="1454">
        <v>280</v>
      </c>
      <c r="CW67" s="8472" t="s">
        <v>1592</v>
      </c>
      <c r="CX67" s="8387"/>
      <c r="CY67" s="8473" t="str">
        <f>IF(CV58=0,"",VLOOKUP(CV58,'Tablas psiquica'!$D$7:$R$296,13,FALSE))</f>
        <v/>
      </c>
      <c r="CZ67" s="8258"/>
      <c r="DA67" s="8258"/>
      <c r="DB67" s="8474"/>
      <c r="DC67" s="4232"/>
      <c r="DD67" s="360"/>
    </row>
    <row r="68" spans="1:108" ht="12" customHeight="1">
      <c r="A68" s="360"/>
      <c r="B68" s="982"/>
      <c r="C68" s="1455">
        <v>320</v>
      </c>
      <c r="D68" s="8477" t="s">
        <v>1594</v>
      </c>
      <c r="E68" s="8392"/>
      <c r="F68" s="8475" t="str">
        <f>IF(C58=0,"",VLOOKUP(C58,'Tablas psiquica'!$D$7:$R$296,14,FALSE))</f>
        <v/>
      </c>
      <c r="G68" s="7145"/>
      <c r="H68" s="7145"/>
      <c r="I68" s="8476"/>
      <c r="J68" s="607"/>
      <c r="K68" s="1455">
        <v>320</v>
      </c>
      <c r="L68" s="8477" t="s">
        <v>1594</v>
      </c>
      <c r="M68" s="8392"/>
      <c r="N68" s="8475" t="str">
        <f>IF(K58=0,"",VLOOKUP(K58,'Tablas psiquica'!$D$7:$R$296,14,FALSE))</f>
        <v/>
      </c>
      <c r="O68" s="7145"/>
      <c r="P68" s="7145"/>
      <c r="Q68" s="8476"/>
      <c r="R68" s="982"/>
      <c r="S68" s="1455">
        <v>320</v>
      </c>
      <c r="T68" s="8477" t="s">
        <v>1594</v>
      </c>
      <c r="U68" s="8392"/>
      <c r="V68" s="8475" t="str">
        <f>IF(S58=0,"",VLOOKUP(S58,'Tablas psiquica'!$D$7:$R$296,14,FALSE))</f>
        <v/>
      </c>
      <c r="W68" s="7145"/>
      <c r="X68" s="7145"/>
      <c r="Y68" s="8476"/>
      <c r="Z68" s="4232"/>
      <c r="AA68" s="360"/>
      <c r="AB68" s="360"/>
      <c r="AC68" s="982"/>
      <c r="AD68" s="1455">
        <v>320</v>
      </c>
      <c r="AE68" s="8477" t="s">
        <v>1594</v>
      </c>
      <c r="AF68" s="8392"/>
      <c r="AG68" s="8475" t="str">
        <f>IF(AD58=0,"",VLOOKUP(AD58,'Tablas psiquica'!$D$7:$R$296,14,FALSE))</f>
        <v/>
      </c>
      <c r="AH68" s="7145"/>
      <c r="AI68" s="7145"/>
      <c r="AJ68" s="8476"/>
      <c r="AK68" s="607"/>
      <c r="AL68" s="1455">
        <v>320</v>
      </c>
      <c r="AM68" s="8477" t="s">
        <v>1594</v>
      </c>
      <c r="AN68" s="8392"/>
      <c r="AO68" s="8475" t="str">
        <f>IF(AL58=0,"",VLOOKUP(AL58,'Tablas psiquica'!$D$7:$R$296,14,FALSE))</f>
        <v/>
      </c>
      <c r="AP68" s="7145"/>
      <c r="AQ68" s="7145"/>
      <c r="AR68" s="8476"/>
      <c r="AS68" s="982"/>
      <c r="AT68" s="1455">
        <v>320</v>
      </c>
      <c r="AU68" s="8477" t="s">
        <v>1594</v>
      </c>
      <c r="AV68" s="8392"/>
      <c r="AW68" s="8475" t="str">
        <f>IF(AT58=0,"",VLOOKUP(AT58,'Tablas psiquica'!$D$7:$R$296,14,FALSE))</f>
        <v/>
      </c>
      <c r="AX68" s="7145"/>
      <c r="AY68" s="7145"/>
      <c r="AZ68" s="8476"/>
      <c r="BA68" s="4232"/>
      <c r="BB68" s="360"/>
      <c r="BC68" s="360"/>
      <c r="BD68" s="982"/>
      <c r="BE68" s="1455">
        <v>320</v>
      </c>
      <c r="BF68" s="8477" t="s">
        <v>1594</v>
      </c>
      <c r="BG68" s="8392"/>
      <c r="BH68" s="8475" t="str">
        <f>IF(BE58=0,"",VLOOKUP(BE58,'Tablas psiquica'!$D$7:$R$296,14,FALSE))</f>
        <v/>
      </c>
      <c r="BI68" s="7145"/>
      <c r="BJ68" s="7145"/>
      <c r="BK68" s="8476"/>
      <c r="BL68" s="607"/>
      <c r="BM68" s="1455">
        <v>320</v>
      </c>
      <c r="BN68" s="8477" t="s">
        <v>1594</v>
      </c>
      <c r="BO68" s="8392"/>
      <c r="BP68" s="8475" t="str">
        <f>IF(BM58=0,"",VLOOKUP(BM58,'Tablas psiquica'!$D$7:$R$296,14,FALSE))</f>
        <v/>
      </c>
      <c r="BQ68" s="7145"/>
      <c r="BR68" s="7145"/>
      <c r="BS68" s="8476"/>
      <c r="BT68" s="982"/>
      <c r="BU68" s="1455">
        <v>320</v>
      </c>
      <c r="BV68" s="8477" t="s">
        <v>1594</v>
      </c>
      <c r="BW68" s="8392"/>
      <c r="BX68" s="8475" t="str">
        <f>IF(BU58=0,"",VLOOKUP(BU58,'Tablas psiquica'!$D$7:$R$296,14,FALSE))</f>
        <v/>
      </c>
      <c r="BY68" s="7145"/>
      <c r="BZ68" s="7145"/>
      <c r="CA68" s="8476"/>
      <c r="CB68" s="4232"/>
      <c r="CC68" s="360"/>
      <c r="CD68" s="360"/>
      <c r="CE68" s="982"/>
      <c r="CF68" s="1455">
        <v>320</v>
      </c>
      <c r="CG68" s="8477" t="s">
        <v>1594</v>
      </c>
      <c r="CH68" s="8392"/>
      <c r="CI68" s="8475" t="str">
        <f>IF(CF58=0,"",VLOOKUP(CF58,'Tablas psiquica'!$D$7:$R$296,14,FALSE))</f>
        <v/>
      </c>
      <c r="CJ68" s="7145"/>
      <c r="CK68" s="7145"/>
      <c r="CL68" s="8476"/>
      <c r="CM68" s="607"/>
      <c r="CN68" s="1455">
        <v>320</v>
      </c>
      <c r="CO68" s="8477" t="s">
        <v>1594</v>
      </c>
      <c r="CP68" s="8392"/>
      <c r="CQ68" s="8475" t="str">
        <f>IF(CN58=0,"",VLOOKUP(CN58,'Tablas psiquica'!$D$7:$R$296,14,FALSE))</f>
        <v/>
      </c>
      <c r="CR68" s="7145"/>
      <c r="CS68" s="7145"/>
      <c r="CT68" s="8476"/>
      <c r="CU68" s="982"/>
      <c r="CV68" s="1455">
        <v>320</v>
      </c>
      <c r="CW68" s="8477" t="s">
        <v>1594</v>
      </c>
      <c r="CX68" s="8392"/>
      <c r="CY68" s="8475" t="str">
        <f>IF(CV58=0,"",VLOOKUP(CV58,'Tablas psiquica'!$D$7:$R$296,14,FALSE))</f>
        <v/>
      </c>
      <c r="CZ68" s="7145"/>
      <c r="DA68" s="7145"/>
      <c r="DB68" s="8476"/>
      <c r="DC68" s="4232"/>
      <c r="DD68" s="360"/>
    </row>
    <row r="69" spans="1:108" ht="12" customHeight="1">
      <c r="A69" s="360"/>
      <c r="B69" s="982"/>
      <c r="C69" s="4243">
        <v>440</v>
      </c>
      <c r="D69" s="8478" t="s">
        <v>1537</v>
      </c>
      <c r="E69" s="8479"/>
      <c r="F69" s="8480" t="str">
        <f>IF(C58=0,"",VLOOKUP(C58,'Tablas psiquica'!$D$7:$R$296,15,FALSE))</f>
        <v/>
      </c>
      <c r="G69" s="8481"/>
      <c r="H69" s="8481"/>
      <c r="I69" s="8482"/>
      <c r="J69" s="607"/>
      <c r="K69" s="4243">
        <v>440</v>
      </c>
      <c r="L69" s="8478" t="s">
        <v>1537</v>
      </c>
      <c r="M69" s="8479"/>
      <c r="N69" s="8480" t="str">
        <f>IF(K58=0,"",VLOOKUP(K58,'Tablas psiquica'!$D$7:$R$296,15,FALSE))</f>
        <v/>
      </c>
      <c r="O69" s="8481"/>
      <c r="P69" s="8481"/>
      <c r="Q69" s="8482"/>
      <c r="R69" s="982"/>
      <c r="S69" s="4243">
        <v>440</v>
      </c>
      <c r="T69" s="8478" t="s">
        <v>1537</v>
      </c>
      <c r="U69" s="8479"/>
      <c r="V69" s="8480" t="str">
        <f>IF(S58=0,"",VLOOKUP(S58,'Tablas psiquica'!$D$7:$R$296,15,FALSE))</f>
        <v/>
      </c>
      <c r="W69" s="8481"/>
      <c r="X69" s="8481"/>
      <c r="Y69" s="8482"/>
      <c r="Z69" s="4232"/>
      <c r="AA69" s="360"/>
      <c r="AB69" s="360"/>
      <c r="AC69" s="982"/>
      <c r="AD69" s="4243">
        <v>440</v>
      </c>
      <c r="AE69" s="8478" t="s">
        <v>1537</v>
      </c>
      <c r="AF69" s="8479"/>
      <c r="AG69" s="8480" t="str">
        <f>IF(AD58=0,"",VLOOKUP(AD58,'Tablas psiquica'!$D$7:$R$296,15,FALSE))</f>
        <v/>
      </c>
      <c r="AH69" s="8481"/>
      <c r="AI69" s="8481"/>
      <c r="AJ69" s="8482"/>
      <c r="AK69" s="607"/>
      <c r="AL69" s="4243">
        <v>440</v>
      </c>
      <c r="AM69" s="8478" t="s">
        <v>1537</v>
      </c>
      <c r="AN69" s="8479"/>
      <c r="AO69" s="8480" t="str">
        <f>IF(AL58=0,"",VLOOKUP(AL58,'Tablas psiquica'!$D$7:$R$296,15,FALSE))</f>
        <v/>
      </c>
      <c r="AP69" s="8481"/>
      <c r="AQ69" s="8481"/>
      <c r="AR69" s="8482"/>
      <c r="AS69" s="982"/>
      <c r="AT69" s="4243">
        <v>440</v>
      </c>
      <c r="AU69" s="8478" t="s">
        <v>1537</v>
      </c>
      <c r="AV69" s="8479"/>
      <c r="AW69" s="8480" t="str">
        <f>IF(AT58=0,"",VLOOKUP(AT58,'Tablas psiquica'!$D$7:$R$296,15,FALSE))</f>
        <v/>
      </c>
      <c r="AX69" s="8481"/>
      <c r="AY69" s="8481"/>
      <c r="AZ69" s="8482"/>
      <c r="BA69" s="4232"/>
      <c r="BB69" s="360"/>
      <c r="BC69" s="360"/>
      <c r="BD69" s="982"/>
      <c r="BE69" s="4243">
        <v>440</v>
      </c>
      <c r="BF69" s="8478" t="s">
        <v>1537</v>
      </c>
      <c r="BG69" s="8479"/>
      <c r="BH69" s="8480" t="str">
        <f>IF(BE58=0,"",VLOOKUP(BE58,'Tablas psiquica'!$D$7:$R$296,15,FALSE))</f>
        <v/>
      </c>
      <c r="BI69" s="8481"/>
      <c r="BJ69" s="8481"/>
      <c r="BK69" s="8482"/>
      <c r="BL69" s="607"/>
      <c r="BM69" s="4243">
        <v>440</v>
      </c>
      <c r="BN69" s="8478" t="s">
        <v>1537</v>
      </c>
      <c r="BO69" s="8479"/>
      <c r="BP69" s="8480" t="str">
        <f>IF(BM58=0,"",VLOOKUP(BM58,'Tablas psiquica'!$D$7:$R$296,15,FALSE))</f>
        <v/>
      </c>
      <c r="BQ69" s="8481"/>
      <c r="BR69" s="8481"/>
      <c r="BS69" s="8482"/>
      <c r="BT69" s="982"/>
      <c r="BU69" s="4243">
        <v>440</v>
      </c>
      <c r="BV69" s="8478" t="s">
        <v>1537</v>
      </c>
      <c r="BW69" s="8479"/>
      <c r="BX69" s="8480" t="str">
        <f>IF(BU58=0,"",VLOOKUP(BU58,'Tablas psiquica'!$D$7:$R$296,15,FALSE))</f>
        <v/>
      </c>
      <c r="BY69" s="8481"/>
      <c r="BZ69" s="8481"/>
      <c r="CA69" s="8482"/>
      <c r="CB69" s="4232"/>
      <c r="CC69" s="360"/>
      <c r="CD69" s="360"/>
      <c r="CE69" s="982"/>
      <c r="CF69" s="4243">
        <v>440</v>
      </c>
      <c r="CG69" s="8478" t="s">
        <v>1537</v>
      </c>
      <c r="CH69" s="8479"/>
      <c r="CI69" s="8480" t="str">
        <f>IF(CF58=0,"",VLOOKUP(CF58,'Tablas psiquica'!$D$7:$R$296,15,FALSE))</f>
        <v/>
      </c>
      <c r="CJ69" s="8481"/>
      <c r="CK69" s="8481"/>
      <c r="CL69" s="8482"/>
      <c r="CM69" s="607"/>
      <c r="CN69" s="4243">
        <v>440</v>
      </c>
      <c r="CO69" s="8478" t="s">
        <v>1537</v>
      </c>
      <c r="CP69" s="8479"/>
      <c r="CQ69" s="8480" t="str">
        <f>IF(CN58=0,"",VLOOKUP(CN58,'Tablas psiquica'!$D$7:$R$296,15,FALSE))</f>
        <v/>
      </c>
      <c r="CR69" s="8481"/>
      <c r="CS69" s="8481"/>
      <c r="CT69" s="8482"/>
      <c r="CU69" s="982"/>
      <c r="CV69" s="4243">
        <v>440</v>
      </c>
      <c r="CW69" s="8478" t="s">
        <v>1537</v>
      </c>
      <c r="CX69" s="8479"/>
      <c r="CY69" s="8480" t="str">
        <f>IF(CV58=0,"",VLOOKUP(CV58,'Tablas psiquica'!$D$7:$R$296,15,FALSE))</f>
        <v/>
      </c>
      <c r="CZ69" s="8481"/>
      <c r="DA69" s="8481"/>
      <c r="DB69" s="8482"/>
      <c r="DC69" s="4232"/>
      <c r="DD69" s="360"/>
    </row>
    <row r="70" spans="1:108" ht="12" customHeight="1">
      <c r="A70" s="360"/>
      <c r="B70" s="982"/>
      <c r="C70" s="8496" t="s">
        <v>5824</v>
      </c>
      <c r="D70" s="8490"/>
      <c r="E70" s="4244" t="str">
        <f>IF(C58=0,"",VLOOKUP(C58,'Tablas psiquica'!$D$7:$R$296,4,FALSE))</f>
        <v/>
      </c>
      <c r="F70" s="8483" t="s">
        <v>5819</v>
      </c>
      <c r="G70" s="8483"/>
      <c r="H70" s="8484" t="str">
        <f>IF(C58=0,"",VLOOKUP(C58,'Tablas psiquica'!$D$7:$R$296,5,FALSE))</f>
        <v/>
      </c>
      <c r="I70" s="8485"/>
      <c r="J70" s="607"/>
      <c r="K70" s="8496" t="s">
        <v>5824</v>
      </c>
      <c r="L70" s="8490"/>
      <c r="M70" s="4244" t="str">
        <f>IF(K58=0,"",VLOOKUP(K58,'Tablas psiquica'!$D$7:$R$296,4,FALSE))</f>
        <v/>
      </c>
      <c r="N70" s="8483" t="s">
        <v>5819</v>
      </c>
      <c r="O70" s="8483"/>
      <c r="P70" s="8484" t="str">
        <f>IF(K58=0,"",VLOOKUP(K58,'Tablas psiquica'!$D$7:$R$296,5,FALSE))</f>
        <v/>
      </c>
      <c r="Q70" s="8485"/>
      <c r="R70" s="982"/>
      <c r="S70" s="8496" t="s">
        <v>5824</v>
      </c>
      <c r="T70" s="8490"/>
      <c r="U70" s="4244" t="str">
        <f>IF(S58=0,"",VLOOKUP(S58,'Tablas psiquica'!$D$7:$R$296,4,FALSE))</f>
        <v/>
      </c>
      <c r="V70" s="8483" t="s">
        <v>5819</v>
      </c>
      <c r="W70" s="8483"/>
      <c r="X70" s="8484" t="str">
        <f>IF(S58=0,"",VLOOKUP(S58,'Tablas psiquica'!$D$7:$R$296,5,FALSE))</f>
        <v/>
      </c>
      <c r="Y70" s="8485"/>
      <c r="Z70" s="4232"/>
      <c r="AA70" s="360"/>
      <c r="AB70" s="360"/>
      <c r="AC70" s="982"/>
      <c r="AD70" s="8496" t="s">
        <v>5824</v>
      </c>
      <c r="AE70" s="8490"/>
      <c r="AF70" s="4244" t="str">
        <f>IF(AD58=0,"",VLOOKUP(AD58,'Tablas psiquica'!$D$7:$R$296,4,FALSE))</f>
        <v/>
      </c>
      <c r="AG70" s="8483" t="s">
        <v>5819</v>
      </c>
      <c r="AH70" s="8483"/>
      <c r="AI70" s="8484" t="str">
        <f>IF(AD58=0,"",VLOOKUP(AD58,'Tablas psiquica'!$D$7:$R$296,5,FALSE))</f>
        <v/>
      </c>
      <c r="AJ70" s="8485"/>
      <c r="AK70" s="607"/>
      <c r="AL70" s="8496" t="s">
        <v>5824</v>
      </c>
      <c r="AM70" s="8490"/>
      <c r="AN70" s="4244" t="str">
        <f>IF(AL58=0,"",VLOOKUP(AL58,'Tablas psiquica'!$D$7:$R$296,4,FALSE))</f>
        <v/>
      </c>
      <c r="AO70" s="8483" t="s">
        <v>5819</v>
      </c>
      <c r="AP70" s="8483"/>
      <c r="AQ70" s="8484" t="str">
        <f>IF(AL58=0,"",VLOOKUP(AL58,'Tablas psiquica'!$D$7:$R$296,5,FALSE))</f>
        <v/>
      </c>
      <c r="AR70" s="8485"/>
      <c r="AS70" s="982"/>
      <c r="AT70" s="8496" t="s">
        <v>5824</v>
      </c>
      <c r="AU70" s="8490"/>
      <c r="AV70" s="4244" t="str">
        <f>IF(AT58=0,"",VLOOKUP(AT58,'Tablas psiquica'!$D$7:$R$296,4,FALSE))</f>
        <v/>
      </c>
      <c r="AW70" s="8483" t="s">
        <v>5819</v>
      </c>
      <c r="AX70" s="8483"/>
      <c r="AY70" s="8484" t="str">
        <f>IF(AT58=0,"",VLOOKUP(AT58,'Tablas psiquica'!$D$7:$R$296,5,FALSE))</f>
        <v/>
      </c>
      <c r="AZ70" s="8485"/>
      <c r="BA70" s="4232"/>
      <c r="BB70" s="360"/>
      <c r="BC70" s="360"/>
      <c r="BD70" s="982"/>
      <c r="BE70" s="8496" t="s">
        <v>5824</v>
      </c>
      <c r="BF70" s="8490"/>
      <c r="BG70" s="4244" t="str">
        <f>IF(BE58=0,"",VLOOKUP(BE58,'Tablas psiquica'!$D$7:$R$296,4,FALSE))</f>
        <v/>
      </c>
      <c r="BH70" s="8483" t="s">
        <v>5819</v>
      </c>
      <c r="BI70" s="8483"/>
      <c r="BJ70" s="8484" t="str">
        <f>IF(BE58=0,"",VLOOKUP(BE58,'Tablas psiquica'!$D$7:$R$296,5,FALSE))</f>
        <v/>
      </c>
      <c r="BK70" s="8485"/>
      <c r="BL70" s="607"/>
      <c r="BM70" s="8496" t="s">
        <v>5824</v>
      </c>
      <c r="BN70" s="8490"/>
      <c r="BO70" s="4244" t="str">
        <f>IF(BM58=0,"",VLOOKUP(BM58,'Tablas psiquica'!$D$7:$R$296,4,FALSE))</f>
        <v/>
      </c>
      <c r="BP70" s="8483" t="s">
        <v>5819</v>
      </c>
      <c r="BQ70" s="8483"/>
      <c r="BR70" s="8484" t="str">
        <f>IF(BM58=0,"",VLOOKUP(BM58,'Tablas psiquica'!$D$7:$R$296,5,FALSE))</f>
        <v/>
      </c>
      <c r="BS70" s="8485"/>
      <c r="BT70" s="982"/>
      <c r="BU70" s="8496" t="s">
        <v>5824</v>
      </c>
      <c r="BV70" s="8490"/>
      <c r="BW70" s="4244" t="str">
        <f>IF(BU58=0,"",VLOOKUP(BU58,'Tablas psiquica'!$D$7:$R$296,4,FALSE))</f>
        <v/>
      </c>
      <c r="BX70" s="8483" t="s">
        <v>5819</v>
      </c>
      <c r="BY70" s="8483"/>
      <c r="BZ70" s="8484" t="str">
        <f>IF(BU58=0,"",VLOOKUP(BU58,'Tablas psiquica'!$D$7:$R$296,5,FALSE))</f>
        <v/>
      </c>
      <c r="CA70" s="8485"/>
      <c r="CB70" s="4232"/>
      <c r="CC70" s="360"/>
      <c r="CD70" s="360"/>
      <c r="CE70" s="982"/>
      <c r="CF70" s="8496" t="s">
        <v>5824</v>
      </c>
      <c r="CG70" s="8490"/>
      <c r="CH70" s="4244" t="str">
        <f>IF(CF58=0,"",VLOOKUP(CF58,'Tablas psiquica'!$D$7:$R$296,4,FALSE))</f>
        <v/>
      </c>
      <c r="CI70" s="8483" t="s">
        <v>5819</v>
      </c>
      <c r="CJ70" s="8483"/>
      <c r="CK70" s="8484" t="str">
        <f>IF(CF58=0,"",VLOOKUP(CF58,'Tablas psiquica'!$D$7:$R$296,5,FALSE))</f>
        <v/>
      </c>
      <c r="CL70" s="8485"/>
      <c r="CM70" s="607"/>
      <c r="CN70" s="8496" t="s">
        <v>5824</v>
      </c>
      <c r="CO70" s="8490"/>
      <c r="CP70" s="4244" t="str">
        <f>IF(CN58=0,"",VLOOKUP(CN58,'Tablas psiquica'!$D$7:$R$296,4,FALSE))</f>
        <v/>
      </c>
      <c r="CQ70" s="8483" t="s">
        <v>5819</v>
      </c>
      <c r="CR70" s="8483"/>
      <c r="CS70" s="8484" t="str">
        <f>IF(CN58=0,"",VLOOKUP(CN58,'Tablas psiquica'!$D$7:$R$296,5,FALSE))</f>
        <v/>
      </c>
      <c r="CT70" s="8485"/>
      <c r="CU70" s="982"/>
      <c r="CV70" s="8496" t="s">
        <v>5824</v>
      </c>
      <c r="CW70" s="8490"/>
      <c r="CX70" s="4244" t="str">
        <f>IF(CV58=0,"",VLOOKUP(CV58,'Tablas psiquica'!$D$7:$R$296,4,FALSE))</f>
        <v/>
      </c>
      <c r="CY70" s="8483" t="s">
        <v>5819</v>
      </c>
      <c r="CZ70" s="8483"/>
      <c r="DA70" s="8484" t="str">
        <f>IF(CV58=0,"",VLOOKUP(CV58,'Tablas psiquica'!$D$7:$R$296,5,FALSE))</f>
        <v/>
      </c>
      <c r="DB70" s="8485"/>
      <c r="DC70" s="4232"/>
      <c r="DD70" s="360"/>
    </row>
    <row r="71" spans="1:108" ht="12" customHeight="1">
      <c r="A71" s="360"/>
      <c r="B71" s="982"/>
      <c r="C71" s="8496" t="s">
        <v>13936</v>
      </c>
      <c r="D71" s="8490"/>
      <c r="E71" s="8486" t="str">
        <f>IF(C58=0,"",VLOOKUP(C58,'Tablas psiquica'!$D$7:$X$296,20,FALSE))</f>
        <v/>
      </c>
      <c r="F71" s="8487"/>
      <c r="G71" s="8490" t="s">
        <v>13937</v>
      </c>
      <c r="H71" s="8492" t="str">
        <f>IF(C58=0,"",VLOOKUP(C58,'Tablas psiquica'!$D$7:$X$296,21,FALSE))</f>
        <v/>
      </c>
      <c r="I71" s="8493"/>
      <c r="J71" s="607"/>
      <c r="K71" s="8496" t="s">
        <v>13936</v>
      </c>
      <c r="L71" s="8490"/>
      <c r="M71" s="8486" t="str">
        <f>IF(K58=0,"",VLOOKUP(K58,'Tablas psiquica'!$D$7:$X$296,20,FALSE))</f>
        <v/>
      </c>
      <c r="N71" s="8487"/>
      <c r="O71" s="8490" t="s">
        <v>13937</v>
      </c>
      <c r="P71" s="8492" t="str">
        <f>IF(K58=0,"",VLOOKUP(K58,'Tablas psiquica'!$D$7:$X$296,21,FALSE))</f>
        <v/>
      </c>
      <c r="Q71" s="8493"/>
      <c r="R71" s="607"/>
      <c r="S71" s="8496" t="s">
        <v>13936</v>
      </c>
      <c r="T71" s="8490"/>
      <c r="U71" s="8486" t="str">
        <f>IF(S58=0,"",VLOOKUP(S58,'Tablas psiquica'!$D$7:$X$296,20,FALSE))</f>
        <v/>
      </c>
      <c r="V71" s="8487"/>
      <c r="W71" s="8490" t="s">
        <v>13937</v>
      </c>
      <c r="X71" s="8492" t="str">
        <f>IF(S58=0,"",VLOOKUP(S58,'Tablas psiquica'!$D$7:$X$296,21,FALSE))</f>
        <v/>
      </c>
      <c r="Y71" s="8493"/>
      <c r="Z71" s="4232"/>
      <c r="AA71" s="360"/>
      <c r="AB71" s="360"/>
      <c r="AC71" s="982"/>
      <c r="AD71" s="8496" t="s">
        <v>13936</v>
      </c>
      <c r="AE71" s="8490"/>
      <c r="AF71" s="8486" t="str">
        <f>IF(AD58=0,"",VLOOKUP(AD58,'Tablas psiquica'!$D$7:$X$296,20,FALSE))</f>
        <v/>
      </c>
      <c r="AG71" s="8487"/>
      <c r="AH71" s="8490" t="s">
        <v>13937</v>
      </c>
      <c r="AI71" s="8492" t="str">
        <f>IF(AD58=0,"",VLOOKUP(AD58,'Tablas psiquica'!$D$7:$X$296,21,FALSE))</f>
        <v/>
      </c>
      <c r="AJ71" s="8493"/>
      <c r="AK71" s="607"/>
      <c r="AL71" s="8496" t="s">
        <v>13936</v>
      </c>
      <c r="AM71" s="8490"/>
      <c r="AN71" s="8486" t="str">
        <f>IF(AL58=0,"",VLOOKUP(AL58,'Tablas psiquica'!$D$7:$X$296,20,FALSE))</f>
        <v/>
      </c>
      <c r="AO71" s="8487"/>
      <c r="AP71" s="8490" t="s">
        <v>13937</v>
      </c>
      <c r="AQ71" s="8492" t="str">
        <f>IF(AL58=0,"",VLOOKUP(AL58,'Tablas psiquica'!$D$7:$X$296,21,FALSE))</f>
        <v/>
      </c>
      <c r="AR71" s="8493"/>
      <c r="AS71" s="607"/>
      <c r="AT71" s="8496" t="s">
        <v>13936</v>
      </c>
      <c r="AU71" s="8490"/>
      <c r="AV71" s="8486" t="str">
        <f>IF(AT58=0,"",VLOOKUP(AT58,'Tablas psiquica'!$D$7:$X$296,20,FALSE))</f>
        <v/>
      </c>
      <c r="AW71" s="8487"/>
      <c r="AX71" s="8490" t="s">
        <v>13937</v>
      </c>
      <c r="AY71" s="8492" t="str">
        <f>IF(AT58=0,"",VLOOKUP(AT58,'Tablas psiquica'!$D$7:$X$296,21,FALSE))</f>
        <v/>
      </c>
      <c r="AZ71" s="8493"/>
      <c r="BA71" s="4232"/>
      <c r="BB71" s="360"/>
      <c r="BC71" s="360"/>
      <c r="BD71" s="982"/>
      <c r="BE71" s="8496" t="s">
        <v>13936</v>
      </c>
      <c r="BF71" s="8490"/>
      <c r="BG71" s="8486" t="str">
        <f>IF(BE58=0,"",VLOOKUP(BE58,'Tablas psiquica'!$D$7:$X$296,20,FALSE))</f>
        <v/>
      </c>
      <c r="BH71" s="8487"/>
      <c r="BI71" s="8490" t="s">
        <v>13937</v>
      </c>
      <c r="BJ71" s="8492" t="str">
        <f>IF(BE58=0,"",VLOOKUP(BE58,'Tablas psiquica'!$D$7:$X$296,21,FALSE))</f>
        <v/>
      </c>
      <c r="BK71" s="8493"/>
      <c r="BL71" s="607"/>
      <c r="BM71" s="8496" t="s">
        <v>13936</v>
      </c>
      <c r="BN71" s="8490"/>
      <c r="BO71" s="8486" t="str">
        <f>IF(BM58=0,"",VLOOKUP(BM58,'Tablas psiquica'!$D$7:$X$296,20,FALSE))</f>
        <v/>
      </c>
      <c r="BP71" s="8487"/>
      <c r="BQ71" s="8490" t="s">
        <v>13937</v>
      </c>
      <c r="BR71" s="8492" t="str">
        <f>IF(BM58=0,"",VLOOKUP(BM58,'Tablas psiquica'!$D$7:$X$296,21,FALSE))</f>
        <v/>
      </c>
      <c r="BS71" s="8493"/>
      <c r="BT71" s="607"/>
      <c r="BU71" s="8496" t="s">
        <v>13936</v>
      </c>
      <c r="BV71" s="8490"/>
      <c r="BW71" s="8486" t="str">
        <f>IF(BU58=0,"",VLOOKUP(BU58,'Tablas psiquica'!$D$7:$X$296,20,FALSE))</f>
        <v/>
      </c>
      <c r="BX71" s="8487"/>
      <c r="BY71" s="8490" t="s">
        <v>13937</v>
      </c>
      <c r="BZ71" s="8492" t="str">
        <f>IF(BU58=0,"",VLOOKUP(BU58,'Tablas psiquica'!$D$7:$X$296,21,FALSE))</f>
        <v/>
      </c>
      <c r="CA71" s="8493"/>
      <c r="CB71" s="4232"/>
      <c r="CC71" s="360"/>
      <c r="CD71" s="360"/>
      <c r="CE71" s="982"/>
      <c r="CF71" s="8496" t="s">
        <v>13936</v>
      </c>
      <c r="CG71" s="8490"/>
      <c r="CH71" s="8486" t="str">
        <f>IF(CF58=0,"",VLOOKUP(CF58,'Tablas psiquica'!$D$7:$X$296,20,FALSE))</f>
        <v/>
      </c>
      <c r="CI71" s="8487"/>
      <c r="CJ71" s="8490" t="s">
        <v>13937</v>
      </c>
      <c r="CK71" s="8492" t="str">
        <f>IF(CF58=0,"",VLOOKUP(CF58,'Tablas psiquica'!$D$7:$X$296,21,FALSE))</f>
        <v/>
      </c>
      <c r="CL71" s="8493"/>
      <c r="CM71" s="607"/>
      <c r="CN71" s="8496" t="s">
        <v>13936</v>
      </c>
      <c r="CO71" s="8490"/>
      <c r="CP71" s="8486" t="str">
        <f>IF(CN58=0,"",VLOOKUP(CN58,'Tablas psiquica'!$D$7:$X$296,20,FALSE))</f>
        <v/>
      </c>
      <c r="CQ71" s="8487"/>
      <c r="CR71" s="8490" t="s">
        <v>13937</v>
      </c>
      <c r="CS71" s="8492" t="str">
        <f>IF(CN58=0,"",VLOOKUP(CN58,'Tablas psiquica'!$D$7:$X$296,21,FALSE))</f>
        <v/>
      </c>
      <c r="CT71" s="8493"/>
      <c r="CU71" s="4245"/>
      <c r="CV71" s="8496" t="s">
        <v>13936</v>
      </c>
      <c r="CW71" s="8490"/>
      <c r="CX71" s="8486" t="str">
        <f>IF(CV58=0,"",VLOOKUP(CV58,'Tablas psiquica'!$D$7:$X$296,20,FALSE))</f>
        <v/>
      </c>
      <c r="CY71" s="8487"/>
      <c r="CZ71" s="8490" t="s">
        <v>13937</v>
      </c>
      <c r="DA71" s="8492" t="str">
        <f>IF(CV58=0,"",VLOOKUP(CV58,'Tablas psiquica'!$D$7:$X$296,21,FALSE))</f>
        <v/>
      </c>
      <c r="DB71" s="8493"/>
      <c r="DC71" s="4232"/>
      <c r="DD71" s="360"/>
    </row>
    <row r="72" spans="1:108" ht="12" customHeight="1" thickBot="1">
      <c r="A72" s="360"/>
      <c r="B72" s="982"/>
      <c r="C72" s="8497"/>
      <c r="D72" s="8491"/>
      <c r="E72" s="8488"/>
      <c r="F72" s="8489"/>
      <c r="G72" s="8491"/>
      <c r="H72" s="8494"/>
      <c r="I72" s="8495"/>
      <c r="J72" s="607"/>
      <c r="K72" s="8497"/>
      <c r="L72" s="8491"/>
      <c r="M72" s="8488"/>
      <c r="N72" s="8489"/>
      <c r="O72" s="8491"/>
      <c r="P72" s="8494"/>
      <c r="Q72" s="8495"/>
      <c r="R72" s="607"/>
      <c r="S72" s="8497"/>
      <c r="T72" s="8491"/>
      <c r="U72" s="8488"/>
      <c r="V72" s="8489"/>
      <c r="W72" s="8491"/>
      <c r="X72" s="8494"/>
      <c r="Y72" s="8495"/>
      <c r="Z72" s="4232"/>
      <c r="AA72" s="360"/>
      <c r="AB72" s="360"/>
      <c r="AC72" s="982"/>
      <c r="AD72" s="8497"/>
      <c r="AE72" s="8491"/>
      <c r="AF72" s="8488"/>
      <c r="AG72" s="8489"/>
      <c r="AH72" s="8491"/>
      <c r="AI72" s="8494"/>
      <c r="AJ72" s="8495"/>
      <c r="AK72" s="607"/>
      <c r="AL72" s="8497"/>
      <c r="AM72" s="8491"/>
      <c r="AN72" s="8488"/>
      <c r="AO72" s="8489"/>
      <c r="AP72" s="8491"/>
      <c r="AQ72" s="8494"/>
      <c r="AR72" s="8495"/>
      <c r="AS72" s="607"/>
      <c r="AT72" s="8497"/>
      <c r="AU72" s="8491"/>
      <c r="AV72" s="8488"/>
      <c r="AW72" s="8489"/>
      <c r="AX72" s="8491"/>
      <c r="AY72" s="8494"/>
      <c r="AZ72" s="8495"/>
      <c r="BA72" s="4232"/>
      <c r="BB72" s="360"/>
      <c r="BC72" s="360"/>
      <c r="BD72" s="982"/>
      <c r="BE72" s="8497"/>
      <c r="BF72" s="8491"/>
      <c r="BG72" s="8488"/>
      <c r="BH72" s="8489"/>
      <c r="BI72" s="8491"/>
      <c r="BJ72" s="8494"/>
      <c r="BK72" s="8495"/>
      <c r="BL72" s="607"/>
      <c r="BM72" s="8497"/>
      <c r="BN72" s="8491"/>
      <c r="BO72" s="8488"/>
      <c r="BP72" s="8489"/>
      <c r="BQ72" s="8491"/>
      <c r="BR72" s="8494"/>
      <c r="BS72" s="8495"/>
      <c r="BT72" s="607"/>
      <c r="BU72" s="8497"/>
      <c r="BV72" s="8491"/>
      <c r="BW72" s="8488"/>
      <c r="BX72" s="8489"/>
      <c r="BY72" s="8491"/>
      <c r="BZ72" s="8494"/>
      <c r="CA72" s="8495"/>
      <c r="CB72" s="4232"/>
      <c r="CC72" s="360"/>
      <c r="CD72" s="360"/>
      <c r="CE72" s="982"/>
      <c r="CF72" s="8497"/>
      <c r="CG72" s="8491"/>
      <c r="CH72" s="8488"/>
      <c r="CI72" s="8489"/>
      <c r="CJ72" s="8491"/>
      <c r="CK72" s="8494"/>
      <c r="CL72" s="8495"/>
      <c r="CM72" s="607"/>
      <c r="CN72" s="8497"/>
      <c r="CO72" s="8491"/>
      <c r="CP72" s="8488"/>
      <c r="CQ72" s="8489"/>
      <c r="CR72" s="8491"/>
      <c r="CS72" s="8494"/>
      <c r="CT72" s="8495"/>
      <c r="CU72" s="607"/>
      <c r="CV72" s="8497"/>
      <c r="CW72" s="8491"/>
      <c r="CX72" s="8488"/>
      <c r="CY72" s="8489"/>
      <c r="CZ72" s="8491"/>
      <c r="DA72" s="8494"/>
      <c r="DB72" s="8495"/>
      <c r="DC72" s="4232"/>
      <c r="DD72" s="360"/>
    </row>
    <row r="73" spans="1:108" ht="12" customHeight="1" thickBot="1">
      <c r="A73" s="360"/>
      <c r="B73" s="982"/>
      <c r="C73" s="976"/>
      <c r="J73" s="607"/>
      <c r="K73" s="976"/>
      <c r="R73" s="607"/>
      <c r="S73" s="976"/>
      <c r="Z73" s="4232"/>
      <c r="AA73" s="360"/>
      <c r="AB73" s="360"/>
      <c r="AC73" s="982"/>
      <c r="AD73" s="976"/>
      <c r="AK73" s="607"/>
      <c r="AL73" s="976"/>
      <c r="AS73" s="607"/>
      <c r="AT73" s="976"/>
      <c r="BA73" s="4232"/>
      <c r="BB73" s="360"/>
      <c r="BC73" s="360"/>
      <c r="BD73" s="982"/>
      <c r="BE73" s="976"/>
      <c r="BL73" s="607"/>
      <c r="BM73" s="976"/>
      <c r="BT73" s="607"/>
      <c r="BU73" s="976"/>
      <c r="CB73" s="4232"/>
      <c r="CC73" s="360"/>
      <c r="CD73" s="360"/>
      <c r="CE73" s="982"/>
      <c r="CF73" s="976"/>
      <c r="CM73" s="607"/>
      <c r="CN73" s="976"/>
      <c r="CU73" s="607"/>
      <c r="CV73" s="976"/>
      <c r="DC73" s="4232"/>
      <c r="DD73" s="360"/>
    </row>
    <row r="74" spans="1:108" ht="12" customHeight="1">
      <c r="A74" s="360"/>
      <c r="B74" s="982">
        <v>13</v>
      </c>
      <c r="C74" s="8511" cm="1">
        <f t="array" ref="C74">IFERROR(INDEX('Tablas psiquica'!$AU$6:$BQ$20,B74,Y$7),0)</f>
        <v>0</v>
      </c>
      <c r="D74" s="8512"/>
      <c r="E74" s="8512"/>
      <c r="F74" s="8512"/>
      <c r="G74" s="8512"/>
      <c r="H74" s="8512"/>
      <c r="I74" s="4238" t="s">
        <v>1262</v>
      </c>
      <c r="J74" s="607">
        <v>14</v>
      </c>
      <c r="K74" s="8511" cm="1">
        <f t="array" ref="K74">IFERROR(INDEX('Tablas psiquica'!$AU$6:$BQ$20,J74,Y$7),0)</f>
        <v>0</v>
      </c>
      <c r="L74" s="8512"/>
      <c r="M74" s="8512"/>
      <c r="N74" s="8512"/>
      <c r="O74" s="8512"/>
      <c r="P74" s="8512"/>
      <c r="Q74" s="4238" t="s">
        <v>1262</v>
      </c>
      <c r="R74" s="982">
        <v>15</v>
      </c>
      <c r="S74" s="8511" cm="1">
        <f t="array" ref="S74">IFERROR(INDEX('Tablas psiquica'!$AU$6:$BQ$20,R74,Y$7),0)</f>
        <v>0</v>
      </c>
      <c r="T74" s="8512"/>
      <c r="U74" s="8512"/>
      <c r="V74" s="8512"/>
      <c r="W74" s="8512"/>
      <c r="X74" s="8512"/>
      <c r="Y74" s="4238" t="s">
        <v>1262</v>
      </c>
      <c r="Z74" s="4232"/>
      <c r="AA74" s="360"/>
      <c r="AB74" s="360"/>
      <c r="AC74" s="982">
        <v>13</v>
      </c>
      <c r="AD74" s="8511" cm="1">
        <f t="array" ref="AD74">IFERROR(INDEX('Tablas psiquica'!$AU$6:$BQ$20,AC74,AZ$7),0)</f>
        <v>0</v>
      </c>
      <c r="AE74" s="8512"/>
      <c r="AF74" s="8512"/>
      <c r="AG74" s="8512"/>
      <c r="AH74" s="8512"/>
      <c r="AI74" s="8512"/>
      <c r="AJ74" s="4238" t="s">
        <v>1262</v>
      </c>
      <c r="AK74" s="607">
        <v>14</v>
      </c>
      <c r="AL74" s="8511" cm="1">
        <f t="array" ref="AL74">IFERROR(INDEX('Tablas psiquica'!$AU$6:$BQ$20,AK74,AZ$7),0)</f>
        <v>0</v>
      </c>
      <c r="AM74" s="8512"/>
      <c r="AN74" s="8512"/>
      <c r="AO74" s="8512"/>
      <c r="AP74" s="8512"/>
      <c r="AQ74" s="8512"/>
      <c r="AR74" s="4238" t="s">
        <v>1262</v>
      </c>
      <c r="AS74" s="982">
        <v>15</v>
      </c>
      <c r="AT74" s="8511" cm="1">
        <f t="array" ref="AT74">IFERROR(INDEX('Tablas psiquica'!$AU$6:$BQ$20,AS74,AZ$7),0)</f>
        <v>0</v>
      </c>
      <c r="AU74" s="8512"/>
      <c r="AV74" s="8512"/>
      <c r="AW74" s="8512"/>
      <c r="AX74" s="8512"/>
      <c r="AY74" s="8512"/>
      <c r="AZ74" s="4238" t="s">
        <v>1262</v>
      </c>
      <c r="BA74" s="4232"/>
      <c r="BB74" s="360"/>
      <c r="BC74" s="360"/>
      <c r="BD74" s="982">
        <v>13</v>
      </c>
      <c r="BE74" s="8511" cm="1">
        <f t="array" ref="BE74">IFERROR(INDEX('Tablas psiquica'!$AU$6:$BQ$20,BD74,CA$7),0)</f>
        <v>0</v>
      </c>
      <c r="BF74" s="8512"/>
      <c r="BG74" s="8512"/>
      <c r="BH74" s="8512"/>
      <c r="BI74" s="8512"/>
      <c r="BJ74" s="8512"/>
      <c r="BK74" s="4238" t="s">
        <v>1262</v>
      </c>
      <c r="BL74" s="607">
        <v>14</v>
      </c>
      <c r="BM74" s="8511" cm="1">
        <f t="array" ref="BM74">IFERROR(INDEX('Tablas psiquica'!$AU$6:$BQ$20,BL74,CA$7),0)</f>
        <v>0</v>
      </c>
      <c r="BN74" s="8512"/>
      <c r="BO74" s="8512"/>
      <c r="BP74" s="8512"/>
      <c r="BQ74" s="8512"/>
      <c r="BR74" s="8512"/>
      <c r="BS74" s="4238" t="s">
        <v>1262</v>
      </c>
      <c r="BT74" s="982">
        <v>15</v>
      </c>
      <c r="BU74" s="8511" cm="1">
        <f t="array" ref="BU74">IFERROR(INDEX('Tablas psiquica'!$AU$6:$BQ$20,BT74,CA$7),0)</f>
        <v>0</v>
      </c>
      <c r="BV74" s="8512"/>
      <c r="BW74" s="8512"/>
      <c r="BX74" s="8512"/>
      <c r="BY74" s="8512"/>
      <c r="BZ74" s="8512"/>
      <c r="CA74" s="4238" t="s">
        <v>1262</v>
      </c>
      <c r="CB74" s="4232"/>
      <c r="CC74" s="360"/>
      <c r="CD74" s="360"/>
      <c r="CE74" s="982">
        <v>13</v>
      </c>
      <c r="CF74" s="8511" cm="1">
        <f t="array" ref="CF74">IFERROR(INDEX('Tablas psiquica'!$AU$6:$BQ$20,CE74,DB$7),0)</f>
        <v>0</v>
      </c>
      <c r="CG74" s="8512"/>
      <c r="CH74" s="8512"/>
      <c r="CI74" s="8512"/>
      <c r="CJ74" s="8512"/>
      <c r="CK74" s="8512"/>
      <c r="CL74" s="4238" t="s">
        <v>1262</v>
      </c>
      <c r="CM74" s="607">
        <v>14</v>
      </c>
      <c r="CN74" s="8511" cm="1">
        <f t="array" ref="CN74">IFERROR(INDEX('Tablas psiquica'!$AU$6:$BQ$20,CM74,DB$7),0)</f>
        <v>0</v>
      </c>
      <c r="CO74" s="8512"/>
      <c r="CP74" s="8512"/>
      <c r="CQ74" s="8512"/>
      <c r="CR74" s="8512"/>
      <c r="CS74" s="8512"/>
      <c r="CT74" s="4238" t="s">
        <v>1262</v>
      </c>
      <c r="CU74" s="982">
        <v>15</v>
      </c>
      <c r="CV74" s="8511" cm="1">
        <f t="array" ref="CV74">IFERROR(INDEX('Tablas psiquica'!$AU$6:$BQ$20,CU74,DB$7),0)</f>
        <v>0</v>
      </c>
      <c r="CW74" s="8512"/>
      <c r="CX74" s="8512"/>
      <c r="CY74" s="8512"/>
      <c r="CZ74" s="8512"/>
      <c r="DA74" s="8512"/>
      <c r="DB74" s="4238" t="s">
        <v>1262</v>
      </c>
      <c r="DC74" s="4232"/>
      <c r="DD74" s="360"/>
    </row>
    <row r="75" spans="1:108" ht="12" customHeight="1">
      <c r="A75" s="360"/>
      <c r="B75" s="262"/>
      <c r="C75" s="8500" t="str">
        <f>IF(C74=0,"",VLOOKUP(C74,'Tablas psiquica'!$D$7:$R$296,2,FALSE))</f>
        <v/>
      </c>
      <c r="D75" s="8501"/>
      <c r="E75" s="8501"/>
      <c r="F75" s="8502"/>
      <c r="G75" s="8498" t="str" cm="1">
        <f t="array" ref="G75">IF(C74=0,"",IF(INDEX('Tablas psiquica'!$AU$5:$BQ$5,1,Y7)=0,"No Accesible",IF(ISNA(VLOOKUP(C74,Psíquicos!$AS$17:$AS$44,1,0)),"Accesible CV","Aprendido")))</f>
        <v/>
      </c>
      <c r="H75" s="8499"/>
      <c r="I75" s="4242" t="str">
        <f>IF(C74=0,"",VLOOKUP(C74,'Tablas psiquica'!$D$7:$R$296,3,FALSE))</f>
        <v/>
      </c>
      <c r="K75" s="8500" t="str">
        <f>IF(K74=0,"",VLOOKUP(K74,'Tablas psiquica'!$D$7:$R$296,2,FALSE))</f>
        <v/>
      </c>
      <c r="L75" s="8501"/>
      <c r="M75" s="8501"/>
      <c r="N75" s="8502"/>
      <c r="O75" s="8498" t="str" cm="1">
        <f t="array" ref="O75">IF(K74=0,"",IF(INDEX('Tablas psiquica'!$AU$5:$BQ$5,1,Y7)=0,"No Accesible",IF(ISNA(VLOOKUP(K74,Psíquicos!$AS$17:$AS$44,1,0)),"Accesible CV","Aprendido")))</f>
        <v/>
      </c>
      <c r="P75" s="8499"/>
      <c r="Q75" s="4242" t="str">
        <f>IF(K74=0,"",VLOOKUP(K74,'Tablas psiquica'!$D$7:$R$296,3,FALSE))</f>
        <v/>
      </c>
      <c r="R75" s="262"/>
      <c r="S75" s="8500" t="str">
        <f>IF(S74=0,"",VLOOKUP(S74,'Tablas psiquica'!$D$7:$R$296,2,FALSE))</f>
        <v/>
      </c>
      <c r="T75" s="8501"/>
      <c r="U75" s="8501"/>
      <c r="V75" s="8502"/>
      <c r="W75" s="4240" t="str" cm="1">
        <f t="array" ref="W75">IF(S74=0,"",IF(INDEX('Tablas psiquica'!$AU$5:$BQ$5,1,Y7)=0,"No Accesible",IF(ISNA(VLOOKUP(S74,Psíquicos!$AS$17:$AS$44,1,0)),"Accesible CV","Aprendido")))</f>
        <v/>
      </c>
      <c r="X75" s="4241"/>
      <c r="Y75" s="4242" t="str">
        <f>IF(S74=0,"",VLOOKUP(S74,'Tablas psiquica'!$D$7:$R$296,3,FALSE))</f>
        <v/>
      </c>
      <c r="Z75" s="4232"/>
      <c r="AA75" s="360"/>
      <c r="AB75" s="360"/>
      <c r="AC75" s="262"/>
      <c r="AD75" s="8500" t="str">
        <f>IF(AD74=0,"",VLOOKUP(AD74,'Tablas psiquica'!$D$7:$R$296,2,FALSE))</f>
        <v/>
      </c>
      <c r="AE75" s="8501"/>
      <c r="AF75" s="8501"/>
      <c r="AG75" s="8502"/>
      <c r="AH75" s="8498" t="str" cm="1">
        <f t="array" ref="AH75">IF(AD74=0,"",IF(INDEX('Tablas psiquica'!$AU$5:$BQ$5,1,AZ7)=0,"No Accesible",IF(ISNA(VLOOKUP(AD74,Psíquicos!$AS$17:$AS$44,1,0)),"Accesible CV","Aprendido")))</f>
        <v/>
      </c>
      <c r="AI75" s="8499"/>
      <c r="AJ75" s="4242" t="str">
        <f>IF(AD74=0,"",VLOOKUP(AD74,'Tablas psiquica'!$D$7:$R$296,3,FALSE))</f>
        <v/>
      </c>
      <c r="AL75" s="8500" t="str">
        <f>IF(AL74=0,"",VLOOKUP(AL74,'Tablas psiquica'!$D$7:$R$296,2,FALSE))</f>
        <v/>
      </c>
      <c r="AM75" s="8501"/>
      <c r="AN75" s="8501"/>
      <c r="AO75" s="8502"/>
      <c r="AP75" s="8498" t="str" cm="1">
        <f t="array" ref="AP75">IF(AL74=0,"",IF(INDEX('Tablas psiquica'!$AU$5:$BQ$5,1,AZ7)=0,"No Accesible",IF(ISNA(VLOOKUP(AL74,Psíquicos!$AS$17:$AS$44,1,0)),"Accesible CV","Aprendido")))</f>
        <v/>
      </c>
      <c r="AQ75" s="8499"/>
      <c r="AR75" s="4242" t="str">
        <f>IF(AL74=0,"",VLOOKUP(AL74,'Tablas psiquica'!$D$7:$R$296,3,FALSE))</f>
        <v/>
      </c>
      <c r="AS75" s="262"/>
      <c r="AT75" s="8500" t="str">
        <f>IF(AT74=0,"",VLOOKUP(AT74,'Tablas psiquica'!$D$7:$R$296,2,FALSE))</f>
        <v/>
      </c>
      <c r="AU75" s="8501"/>
      <c r="AV75" s="8501"/>
      <c r="AW75" s="8502"/>
      <c r="AX75" s="8498" t="str" cm="1">
        <f t="array" ref="AX75">IF(AT74=0,"",IF(INDEX('Tablas psiquica'!$AU$5:$BQ$5,1,AZ7)=0,"No Accesible",IF(ISNA(VLOOKUP(AT74,Psíquicos!$AS$17:$AS$44,1,0)),"Accesible CV","Aprendido")))</f>
        <v/>
      </c>
      <c r="AY75" s="8499"/>
      <c r="AZ75" s="4242" t="str">
        <f>IF(AT74=0,"",VLOOKUP(AT74,'Tablas psiquica'!$D$7:$R$296,3,FALSE))</f>
        <v/>
      </c>
      <c r="BA75" s="4232"/>
      <c r="BB75" s="360"/>
      <c r="BC75" s="360"/>
      <c r="BD75" s="262"/>
      <c r="BE75" s="8500" t="str">
        <f>IF(BE74=0,"",VLOOKUP(BE74,'Tablas psiquica'!$D$7:$R$296,2,FALSE))</f>
        <v/>
      </c>
      <c r="BF75" s="8501"/>
      <c r="BG75" s="8501"/>
      <c r="BH75" s="8502"/>
      <c r="BI75" s="8498" t="str" cm="1">
        <f t="array" ref="BI75">IF(BE74=0,"",IF(INDEX('Tablas psiquica'!$AU$5:$BQ$5,1,CA7)=0,"No Accesible",IF(ISNA(VLOOKUP(BE74,Psíquicos!$AS$17:$AS$44,1,0)),"Accesible CV","Aprendido")))</f>
        <v/>
      </c>
      <c r="BJ75" s="8499"/>
      <c r="BK75" s="4242" t="str">
        <f>IF(BE74=0,"",VLOOKUP(BE74,'Tablas psiquica'!$D$7:$R$296,3,FALSE))</f>
        <v/>
      </c>
      <c r="BM75" s="8500" t="str">
        <f>IF(BM74=0,"",VLOOKUP(BM74,'Tablas psiquica'!$D$7:$R$296,2,FALSE))</f>
        <v/>
      </c>
      <c r="BN75" s="8501"/>
      <c r="BO75" s="8501"/>
      <c r="BP75" s="8502"/>
      <c r="BQ75" s="8498" t="str" cm="1">
        <f t="array" ref="BQ75">IF(BM74=0,"",IF(INDEX('Tablas psiquica'!$AU$5:$BQ$5,1,CA7)=0,"No Accesible",IF(ISNA(VLOOKUP(BM74,Psíquicos!$AS$17:$AS$44,1,0)),"Accesible CV","Aprendido")))</f>
        <v/>
      </c>
      <c r="BR75" s="8499"/>
      <c r="BS75" s="4242" t="str">
        <f>IF(BM74=0,"",VLOOKUP(BM74,'Tablas psiquica'!$D$7:$R$296,3,FALSE))</f>
        <v/>
      </c>
      <c r="BT75" s="262"/>
      <c r="BU75" s="8500" t="str">
        <f>IF(BU74=0,"",VLOOKUP(BU74,'Tablas psiquica'!$D$7:$R$296,2,FALSE))</f>
        <v/>
      </c>
      <c r="BV75" s="8501"/>
      <c r="BW75" s="8501"/>
      <c r="BX75" s="8502"/>
      <c r="BY75" s="8498" t="str" cm="1">
        <f t="array" ref="BY75">IF(BU74=0,"",IF(INDEX('Tablas psiquica'!$AU$5:$BQ$5,1,CA7)=0,"No Accesible",IF(ISNA(VLOOKUP(BU74,Psíquicos!$AS$17:$AS$44,1,0)),"Accesible CV","Aprendido")))</f>
        <v/>
      </c>
      <c r="BZ75" s="8499"/>
      <c r="CA75" s="4242" t="str">
        <f>IF(BU74=0,"",VLOOKUP(BU74,'Tablas psiquica'!$D$7:$R$296,3,FALSE))</f>
        <v/>
      </c>
      <c r="CB75" s="4232"/>
      <c r="CC75" s="360"/>
      <c r="CD75" s="360"/>
      <c r="CE75" s="262"/>
      <c r="CF75" s="8500" t="str">
        <f>IF(CF74=0,"",VLOOKUP(CF74,'Tablas psiquica'!$D$7:$R$296,2,FALSE))</f>
        <v/>
      </c>
      <c r="CG75" s="8501"/>
      <c r="CH75" s="8501"/>
      <c r="CI75" s="8502"/>
      <c r="CJ75" s="8498" t="str" cm="1">
        <f t="array" ref="CJ75">IF(CF74=0,"",IF(INDEX('Tablas psiquica'!$AU$5:$BQ$5,1,DB7)=0,"No Accesible",IF(ISNA(VLOOKUP(CF74,Psíquicos!$AS$17:$AS$44,1,0)),"Accesible CV","Aprendido")))</f>
        <v/>
      </c>
      <c r="CK75" s="8499"/>
      <c r="CL75" s="4242" t="str">
        <f>IF(CF74=0,"",VLOOKUP(CF74,'Tablas psiquica'!$D$7:$R$296,3,FALSE))</f>
        <v/>
      </c>
      <c r="CN75" s="8500" t="str">
        <f>IF(CN74=0,"",VLOOKUP(CN74,'Tablas psiquica'!$D$7:$R$296,2,FALSE))</f>
        <v/>
      </c>
      <c r="CO75" s="8501"/>
      <c r="CP75" s="8501"/>
      <c r="CQ75" s="8502"/>
      <c r="CR75" s="8498" t="str" cm="1">
        <f t="array" ref="CR75">IF(CN74=0,"",IF(INDEX('Tablas psiquica'!$AU$5:$BQ$5,1,DB7)=0,"No Accesible",IF(ISNA(VLOOKUP(CN74,Psíquicos!$AS$17:$AS$44,1,0)),"Accesible CV","Aprendido")))</f>
        <v/>
      </c>
      <c r="CS75" s="8499"/>
      <c r="CT75" s="4242" t="str">
        <f>IF(CN74=0,"",VLOOKUP(CN74,'Tablas psiquica'!$D$7:$R$296,3,FALSE))</f>
        <v/>
      </c>
      <c r="CU75" s="262"/>
      <c r="CV75" s="8500" t="str">
        <f>IF(CV74=0,"",VLOOKUP(CV74,'Tablas psiquica'!$D$7:$R$296,2,FALSE))</f>
        <v/>
      </c>
      <c r="CW75" s="8501"/>
      <c r="CX75" s="8501"/>
      <c r="CY75" s="8502"/>
      <c r="CZ75" s="8498" t="str" cm="1">
        <f t="array" ref="CZ75">IF(CV74=0,"",IF(INDEX('Tablas psiquica'!$AU$5:$BQ$5,1,DB7)=0,"No Accesible",IF(ISNA(VLOOKUP(CV74,Psíquicos!$AS$17:$AS$44,1,0)),"Accesible CV","Aprendido")))</f>
        <v/>
      </c>
      <c r="DA75" s="8499"/>
      <c r="DB75" s="4242" t="str">
        <f>IF(CV74=0,"",VLOOKUP(CV74,'Tablas psiquica'!$D$7:$R$296,3,FALSE))</f>
        <v/>
      </c>
      <c r="DC75" s="4232"/>
      <c r="DD75" s="360"/>
    </row>
    <row r="76" spans="1:108" ht="12" customHeight="1">
      <c r="A76" s="360"/>
      <c r="B76" s="262"/>
      <c r="C76" s="1455">
        <v>20</v>
      </c>
      <c r="D76" s="8477" t="s">
        <v>1577</v>
      </c>
      <c r="E76" s="8392"/>
      <c r="F76" s="8475" t="str">
        <f>IF(C74=0,"",VLOOKUP(C74,'Tablas psiquica'!$D$7:$R$296,6,FALSE))</f>
        <v/>
      </c>
      <c r="G76" s="7145"/>
      <c r="H76" s="7145"/>
      <c r="I76" s="8476"/>
      <c r="K76" s="1455">
        <v>20</v>
      </c>
      <c r="L76" s="8477" t="s">
        <v>1577</v>
      </c>
      <c r="M76" s="8392"/>
      <c r="N76" s="8475" t="str">
        <f>IF(K74=0,"",VLOOKUP(K74,'Tablas psiquica'!$D$7:$R$296,6,FALSE))</f>
        <v/>
      </c>
      <c r="O76" s="7145"/>
      <c r="P76" s="7145"/>
      <c r="Q76" s="8476"/>
      <c r="R76" s="262"/>
      <c r="S76" s="1455">
        <v>20</v>
      </c>
      <c r="T76" s="8477" t="s">
        <v>1577</v>
      </c>
      <c r="U76" s="8392"/>
      <c r="V76" s="8475" t="str">
        <f>IF(S74=0,"",VLOOKUP(S74,'Tablas psiquica'!$D$7:$R$296,6,FALSE))</f>
        <v/>
      </c>
      <c r="W76" s="7145"/>
      <c r="X76" s="7145"/>
      <c r="Y76" s="8476"/>
      <c r="Z76" s="4232"/>
      <c r="AA76" s="360"/>
      <c r="AB76" s="360"/>
      <c r="AC76" s="262"/>
      <c r="AD76" s="1455">
        <v>20</v>
      </c>
      <c r="AE76" s="8477" t="s">
        <v>1577</v>
      </c>
      <c r="AF76" s="8392"/>
      <c r="AG76" s="8475" t="str">
        <f>IF(AD74=0,"",VLOOKUP(AD74,'Tablas psiquica'!$D$7:$R$296,6,FALSE))</f>
        <v/>
      </c>
      <c r="AH76" s="7145"/>
      <c r="AI76" s="7145"/>
      <c r="AJ76" s="8476"/>
      <c r="AL76" s="1455">
        <v>20</v>
      </c>
      <c r="AM76" s="8477" t="s">
        <v>1577</v>
      </c>
      <c r="AN76" s="8392"/>
      <c r="AO76" s="8475" t="str">
        <f>IF(AL74=0,"",VLOOKUP(AL74,'Tablas psiquica'!$D$7:$R$296,6,FALSE))</f>
        <v/>
      </c>
      <c r="AP76" s="7145"/>
      <c r="AQ76" s="7145"/>
      <c r="AR76" s="8476"/>
      <c r="AS76" s="262"/>
      <c r="AT76" s="1455">
        <v>20</v>
      </c>
      <c r="AU76" s="8477" t="s">
        <v>1577</v>
      </c>
      <c r="AV76" s="8392"/>
      <c r="AW76" s="8475" t="str">
        <f>IF(AT74=0,"",VLOOKUP(AT74,'Tablas psiquica'!$D$7:$R$296,6,FALSE))</f>
        <v/>
      </c>
      <c r="AX76" s="7145"/>
      <c r="AY76" s="7145"/>
      <c r="AZ76" s="8476"/>
      <c r="BA76" s="4232"/>
      <c r="BB76" s="360"/>
      <c r="BC76" s="360"/>
      <c r="BD76" s="262"/>
      <c r="BE76" s="1455">
        <v>20</v>
      </c>
      <c r="BF76" s="8477" t="s">
        <v>1577</v>
      </c>
      <c r="BG76" s="8392"/>
      <c r="BH76" s="8475" t="str">
        <f>IF(BE74=0,"",VLOOKUP(BE74,'Tablas psiquica'!$D$7:$R$296,6,FALSE))</f>
        <v/>
      </c>
      <c r="BI76" s="7145"/>
      <c r="BJ76" s="7145"/>
      <c r="BK76" s="8476"/>
      <c r="BM76" s="1455">
        <v>20</v>
      </c>
      <c r="BN76" s="8477" t="s">
        <v>1577</v>
      </c>
      <c r="BO76" s="8392"/>
      <c r="BP76" s="8475" t="str">
        <f>IF(BM74=0,"",VLOOKUP(BM74,'Tablas psiquica'!$D$7:$R$296,6,FALSE))</f>
        <v/>
      </c>
      <c r="BQ76" s="7145"/>
      <c r="BR76" s="7145"/>
      <c r="BS76" s="8476"/>
      <c r="BT76" s="262"/>
      <c r="BU76" s="1455">
        <v>20</v>
      </c>
      <c r="BV76" s="8477" t="s">
        <v>1577</v>
      </c>
      <c r="BW76" s="8392"/>
      <c r="BX76" s="8475" t="str">
        <f>IF(BU74=0,"",VLOOKUP(BU74,'Tablas psiquica'!$D$7:$R$296,6,FALSE))</f>
        <v/>
      </c>
      <c r="BY76" s="7145"/>
      <c r="BZ76" s="7145"/>
      <c r="CA76" s="8476"/>
      <c r="CB76" s="4232"/>
      <c r="CC76" s="360"/>
      <c r="CD76" s="360"/>
      <c r="CE76" s="262"/>
      <c r="CF76" s="1455">
        <v>20</v>
      </c>
      <c r="CG76" s="8477" t="s">
        <v>1577</v>
      </c>
      <c r="CH76" s="8392"/>
      <c r="CI76" s="8475" t="str">
        <f>IF(CF74=0,"",VLOOKUP(CF74,'Tablas psiquica'!$D$7:$R$296,6,FALSE))</f>
        <v/>
      </c>
      <c r="CJ76" s="7145"/>
      <c r="CK76" s="7145"/>
      <c r="CL76" s="8476"/>
      <c r="CN76" s="1455">
        <v>20</v>
      </c>
      <c r="CO76" s="8477" t="s">
        <v>1577</v>
      </c>
      <c r="CP76" s="8392"/>
      <c r="CQ76" s="8475" t="str">
        <f>IF(CN74=0,"",VLOOKUP(CN74,'Tablas psiquica'!$D$7:$R$296,6,FALSE))</f>
        <v/>
      </c>
      <c r="CR76" s="7145"/>
      <c r="CS76" s="7145"/>
      <c r="CT76" s="8476"/>
      <c r="CU76" s="262"/>
      <c r="CV76" s="1455">
        <v>20</v>
      </c>
      <c r="CW76" s="8477" t="s">
        <v>1577</v>
      </c>
      <c r="CX76" s="8392"/>
      <c r="CY76" s="8475" t="str">
        <f>IF(CV74=0,"",VLOOKUP(CV74,'Tablas psiquica'!$D$7:$R$296,6,FALSE))</f>
        <v/>
      </c>
      <c r="CZ76" s="7145"/>
      <c r="DA76" s="7145"/>
      <c r="DB76" s="8476"/>
      <c r="DC76" s="4232"/>
      <c r="DD76" s="360"/>
    </row>
    <row r="77" spans="1:108" ht="12" customHeight="1">
      <c r="A77" s="360"/>
      <c r="B77" s="262"/>
      <c r="C77" s="1454">
        <v>40</v>
      </c>
      <c r="D77" s="8472" t="s">
        <v>1579</v>
      </c>
      <c r="E77" s="8387"/>
      <c r="F77" s="8473" t="str">
        <f>IF(C74=0,"",VLOOKUP(C74,'Tablas psiquica'!$D$7:$R$296,7,FALSE))</f>
        <v/>
      </c>
      <c r="G77" s="8258"/>
      <c r="H77" s="8258"/>
      <c r="I77" s="8474"/>
      <c r="K77" s="1454">
        <v>40</v>
      </c>
      <c r="L77" s="8472" t="s">
        <v>1579</v>
      </c>
      <c r="M77" s="8387"/>
      <c r="N77" s="8473" t="str">
        <f>IF(K74=0,"",VLOOKUP(K74,'Tablas psiquica'!$D$7:$R$296,7,FALSE))</f>
        <v/>
      </c>
      <c r="O77" s="8258"/>
      <c r="P77" s="8258"/>
      <c r="Q77" s="8474"/>
      <c r="R77" s="262"/>
      <c r="S77" s="1454">
        <v>40</v>
      </c>
      <c r="T77" s="8472" t="s">
        <v>1579</v>
      </c>
      <c r="U77" s="8387"/>
      <c r="V77" s="8473" t="str">
        <f>IF(S74=0,"",VLOOKUP(S74,'Tablas psiquica'!$D$7:$R$296,7,FALSE))</f>
        <v/>
      </c>
      <c r="W77" s="8258"/>
      <c r="X77" s="8258"/>
      <c r="Y77" s="8474"/>
      <c r="Z77" s="4232"/>
      <c r="AA77" s="360"/>
      <c r="AB77" s="360"/>
      <c r="AC77" s="262"/>
      <c r="AD77" s="1454">
        <v>40</v>
      </c>
      <c r="AE77" s="8472" t="s">
        <v>1579</v>
      </c>
      <c r="AF77" s="8387"/>
      <c r="AG77" s="8473" t="str">
        <f>IF(AD74=0,"",VLOOKUP(AD74,'Tablas psiquica'!$D$7:$R$296,7,FALSE))</f>
        <v/>
      </c>
      <c r="AH77" s="8258"/>
      <c r="AI77" s="8258"/>
      <c r="AJ77" s="8474"/>
      <c r="AL77" s="1454">
        <v>40</v>
      </c>
      <c r="AM77" s="8472" t="s">
        <v>1579</v>
      </c>
      <c r="AN77" s="8387"/>
      <c r="AO77" s="8473" t="str">
        <f>IF(AL74=0,"",VLOOKUP(AL74,'Tablas psiquica'!$D$7:$R$296,7,FALSE))</f>
        <v/>
      </c>
      <c r="AP77" s="8258"/>
      <c r="AQ77" s="8258"/>
      <c r="AR77" s="8474"/>
      <c r="AS77" s="262"/>
      <c r="AT77" s="1454">
        <v>40</v>
      </c>
      <c r="AU77" s="8472" t="s">
        <v>1579</v>
      </c>
      <c r="AV77" s="8387"/>
      <c r="AW77" s="8473" t="str">
        <f>IF(AT74=0,"",VLOOKUP(AT74,'Tablas psiquica'!$D$7:$R$296,7,FALSE))</f>
        <v/>
      </c>
      <c r="AX77" s="8258"/>
      <c r="AY77" s="8258"/>
      <c r="AZ77" s="8474"/>
      <c r="BA77" s="4232"/>
      <c r="BB77" s="360"/>
      <c r="BC77" s="360"/>
      <c r="BD77" s="262"/>
      <c r="BE77" s="1454">
        <v>40</v>
      </c>
      <c r="BF77" s="8472" t="s">
        <v>1579</v>
      </c>
      <c r="BG77" s="8387"/>
      <c r="BH77" s="8473" t="str">
        <f>IF(BE74=0,"",VLOOKUP(BE74,'Tablas psiquica'!$D$7:$R$296,7,FALSE))</f>
        <v/>
      </c>
      <c r="BI77" s="8258"/>
      <c r="BJ77" s="8258"/>
      <c r="BK77" s="8474"/>
      <c r="BM77" s="1454">
        <v>40</v>
      </c>
      <c r="BN77" s="8472" t="s">
        <v>1579</v>
      </c>
      <c r="BO77" s="8387"/>
      <c r="BP77" s="8473" t="str">
        <f>IF(BM74=0,"",VLOOKUP(BM74,'Tablas psiquica'!$D$7:$R$296,7,FALSE))</f>
        <v/>
      </c>
      <c r="BQ77" s="8258"/>
      <c r="BR77" s="8258"/>
      <c r="BS77" s="8474"/>
      <c r="BT77" s="262"/>
      <c r="BU77" s="1454">
        <v>40</v>
      </c>
      <c r="BV77" s="8472" t="s">
        <v>1579</v>
      </c>
      <c r="BW77" s="8387"/>
      <c r="BX77" s="8473" t="str">
        <f>IF(BU74=0,"",VLOOKUP(BU74,'Tablas psiquica'!$D$7:$R$296,7,FALSE))</f>
        <v/>
      </c>
      <c r="BY77" s="8258"/>
      <c r="BZ77" s="8258"/>
      <c r="CA77" s="8474"/>
      <c r="CB77" s="4232"/>
      <c r="CC77" s="360"/>
      <c r="CD77" s="360"/>
      <c r="CE77" s="262"/>
      <c r="CF77" s="1454">
        <v>40</v>
      </c>
      <c r="CG77" s="8472" t="s">
        <v>1579</v>
      </c>
      <c r="CH77" s="8387"/>
      <c r="CI77" s="8473" t="str">
        <f>IF(CF74=0,"",VLOOKUP(CF74,'Tablas psiquica'!$D$7:$R$296,7,FALSE))</f>
        <v/>
      </c>
      <c r="CJ77" s="8258"/>
      <c r="CK77" s="8258"/>
      <c r="CL77" s="8474"/>
      <c r="CN77" s="1454">
        <v>40</v>
      </c>
      <c r="CO77" s="8472" t="s">
        <v>1579</v>
      </c>
      <c r="CP77" s="8387"/>
      <c r="CQ77" s="8473" t="str">
        <f>IF(CN74=0,"",VLOOKUP(CN74,'Tablas psiquica'!$D$7:$R$296,7,FALSE))</f>
        <v/>
      </c>
      <c r="CR77" s="8258"/>
      <c r="CS77" s="8258"/>
      <c r="CT77" s="8474"/>
      <c r="CU77" s="262"/>
      <c r="CV77" s="1454">
        <v>40</v>
      </c>
      <c r="CW77" s="8472" t="s">
        <v>1579</v>
      </c>
      <c r="CX77" s="8387"/>
      <c r="CY77" s="8473" t="str">
        <f>IF(CV74=0,"",VLOOKUP(CV74,'Tablas psiquica'!$D$7:$R$296,7,FALSE))</f>
        <v/>
      </c>
      <c r="CZ77" s="8258"/>
      <c r="DA77" s="8258"/>
      <c r="DB77" s="8474"/>
      <c r="DC77" s="4232"/>
      <c r="DD77" s="360"/>
    </row>
    <row r="78" spans="1:108" ht="12" customHeight="1">
      <c r="A78" s="360"/>
      <c r="B78" s="262"/>
      <c r="C78" s="1455">
        <v>80</v>
      </c>
      <c r="D78" s="8477" t="s">
        <v>1582</v>
      </c>
      <c r="E78" s="8392"/>
      <c r="F78" s="8475" t="str">
        <f>IF(C74=0,"",VLOOKUP(C74,'Tablas psiquica'!$D$7:$R$296,8,FALSE))</f>
        <v/>
      </c>
      <c r="G78" s="7145"/>
      <c r="H78" s="7145"/>
      <c r="I78" s="8476"/>
      <c r="K78" s="1455">
        <v>80</v>
      </c>
      <c r="L78" s="8477" t="s">
        <v>1582</v>
      </c>
      <c r="M78" s="8392"/>
      <c r="N78" s="8475" t="str">
        <f>IF(K74=0,"",VLOOKUP(K74,'Tablas psiquica'!$D$7:$R$296,8,FALSE))</f>
        <v/>
      </c>
      <c r="O78" s="7145"/>
      <c r="P78" s="7145"/>
      <c r="Q78" s="8476"/>
      <c r="R78" s="262"/>
      <c r="S78" s="1455">
        <v>80</v>
      </c>
      <c r="T78" s="8477" t="s">
        <v>1582</v>
      </c>
      <c r="U78" s="8392"/>
      <c r="V78" s="8475" t="str">
        <f>IF(S74=0,"",VLOOKUP(S74,'Tablas psiquica'!$D$7:$R$296,8,FALSE))</f>
        <v/>
      </c>
      <c r="W78" s="7145"/>
      <c r="X78" s="7145"/>
      <c r="Y78" s="8476"/>
      <c r="Z78" s="4232"/>
      <c r="AA78" s="360"/>
      <c r="AB78" s="360"/>
      <c r="AC78" s="262"/>
      <c r="AD78" s="1455">
        <v>80</v>
      </c>
      <c r="AE78" s="8477" t="s">
        <v>1582</v>
      </c>
      <c r="AF78" s="8392"/>
      <c r="AG78" s="8475" t="str">
        <f>IF(AD74=0,"",VLOOKUP(AD74,'Tablas psiquica'!$D$7:$R$296,8,FALSE))</f>
        <v/>
      </c>
      <c r="AH78" s="7145"/>
      <c r="AI78" s="7145"/>
      <c r="AJ78" s="8476"/>
      <c r="AL78" s="1455">
        <v>80</v>
      </c>
      <c r="AM78" s="8477" t="s">
        <v>1582</v>
      </c>
      <c r="AN78" s="8392"/>
      <c r="AO78" s="8475" t="str">
        <f>IF(AL74=0,"",VLOOKUP(AL74,'Tablas psiquica'!$D$7:$R$296,8,FALSE))</f>
        <v/>
      </c>
      <c r="AP78" s="7145"/>
      <c r="AQ78" s="7145"/>
      <c r="AR78" s="8476"/>
      <c r="AS78" s="262"/>
      <c r="AT78" s="1455">
        <v>80</v>
      </c>
      <c r="AU78" s="8477" t="s">
        <v>1582</v>
      </c>
      <c r="AV78" s="8392"/>
      <c r="AW78" s="8475" t="str">
        <f>IF(AT74=0,"",VLOOKUP(AT74,'Tablas psiquica'!$D$7:$R$296,8,FALSE))</f>
        <v/>
      </c>
      <c r="AX78" s="7145"/>
      <c r="AY78" s="7145"/>
      <c r="AZ78" s="8476"/>
      <c r="BA78" s="4232"/>
      <c r="BB78" s="360"/>
      <c r="BC78" s="360"/>
      <c r="BD78" s="262"/>
      <c r="BE78" s="1455">
        <v>80</v>
      </c>
      <c r="BF78" s="8477" t="s">
        <v>1582</v>
      </c>
      <c r="BG78" s="8392"/>
      <c r="BH78" s="8475" t="str">
        <f>IF(BE74=0,"",VLOOKUP(BE74,'Tablas psiquica'!$D$7:$R$296,8,FALSE))</f>
        <v/>
      </c>
      <c r="BI78" s="7145"/>
      <c r="BJ78" s="7145"/>
      <c r="BK78" s="8476"/>
      <c r="BM78" s="1455">
        <v>80</v>
      </c>
      <c r="BN78" s="8477" t="s">
        <v>1582</v>
      </c>
      <c r="BO78" s="8392"/>
      <c r="BP78" s="8475" t="str">
        <f>IF(BM74=0,"",VLOOKUP(BM74,'Tablas psiquica'!$D$7:$R$296,8,FALSE))</f>
        <v/>
      </c>
      <c r="BQ78" s="7145"/>
      <c r="BR78" s="7145"/>
      <c r="BS78" s="8476"/>
      <c r="BT78" s="262"/>
      <c r="BU78" s="1455">
        <v>80</v>
      </c>
      <c r="BV78" s="8477" t="s">
        <v>1582</v>
      </c>
      <c r="BW78" s="8392"/>
      <c r="BX78" s="8475" t="str">
        <f>IF(BU74=0,"",VLOOKUP(BU74,'Tablas psiquica'!$D$7:$R$296,8,FALSE))</f>
        <v/>
      </c>
      <c r="BY78" s="7145"/>
      <c r="BZ78" s="7145"/>
      <c r="CA78" s="8476"/>
      <c r="CB78" s="4232"/>
      <c r="CC78" s="360"/>
      <c r="CD78" s="360"/>
      <c r="CE78" s="262"/>
      <c r="CF78" s="1455">
        <v>80</v>
      </c>
      <c r="CG78" s="8477" t="s">
        <v>1582</v>
      </c>
      <c r="CH78" s="8392"/>
      <c r="CI78" s="8475" t="str">
        <f>IF(CF74=0,"",VLOOKUP(CF74,'Tablas psiquica'!$D$7:$R$296,8,FALSE))</f>
        <v/>
      </c>
      <c r="CJ78" s="7145"/>
      <c r="CK78" s="7145"/>
      <c r="CL78" s="8476"/>
      <c r="CN78" s="1455">
        <v>80</v>
      </c>
      <c r="CO78" s="8477" t="s">
        <v>1582</v>
      </c>
      <c r="CP78" s="8392"/>
      <c r="CQ78" s="8475" t="str">
        <f>IF(CN74=0,"",VLOOKUP(CN74,'Tablas psiquica'!$D$7:$R$296,8,FALSE))</f>
        <v/>
      </c>
      <c r="CR78" s="7145"/>
      <c r="CS78" s="7145"/>
      <c r="CT78" s="8476"/>
      <c r="CU78" s="262"/>
      <c r="CV78" s="1455">
        <v>80</v>
      </c>
      <c r="CW78" s="8477" t="s">
        <v>1582</v>
      </c>
      <c r="CX78" s="8392"/>
      <c r="CY78" s="8475" t="str">
        <f>IF(CV74=0,"",VLOOKUP(CV74,'Tablas psiquica'!$D$7:$R$296,8,FALSE))</f>
        <v/>
      </c>
      <c r="CZ78" s="7145"/>
      <c r="DA78" s="7145"/>
      <c r="DB78" s="8476"/>
      <c r="DC78" s="4232"/>
      <c r="DD78" s="360"/>
    </row>
    <row r="79" spans="1:108" ht="12" customHeight="1">
      <c r="A79" s="360"/>
      <c r="B79" s="262"/>
      <c r="C79" s="1454">
        <v>120</v>
      </c>
      <c r="D79" s="8472" t="s">
        <v>1585</v>
      </c>
      <c r="E79" s="8387"/>
      <c r="F79" s="8473" t="str">
        <f>IF(C74=0,"",VLOOKUP(C74,'Tablas psiquica'!$D$7:$R$296,9,FALSE))</f>
        <v/>
      </c>
      <c r="G79" s="8258"/>
      <c r="H79" s="8258"/>
      <c r="I79" s="8474"/>
      <c r="K79" s="1454">
        <v>120</v>
      </c>
      <c r="L79" s="8472" t="s">
        <v>1585</v>
      </c>
      <c r="M79" s="8387"/>
      <c r="N79" s="8473" t="str">
        <f>IF(K74=0,"",VLOOKUP(K74,'Tablas psiquica'!$D$7:$R$296,9,FALSE))</f>
        <v/>
      </c>
      <c r="O79" s="8258"/>
      <c r="P79" s="8258"/>
      <c r="Q79" s="8474"/>
      <c r="R79" s="262"/>
      <c r="S79" s="1454">
        <v>120</v>
      </c>
      <c r="T79" s="8472" t="s">
        <v>1585</v>
      </c>
      <c r="U79" s="8387"/>
      <c r="V79" s="8473" t="str">
        <f>IF(S74=0,"",VLOOKUP(S74,'Tablas psiquica'!$D$7:$R$296,9,FALSE))</f>
        <v/>
      </c>
      <c r="W79" s="8258"/>
      <c r="X79" s="8258"/>
      <c r="Y79" s="8474"/>
      <c r="Z79" s="4232"/>
      <c r="AA79" s="360"/>
      <c r="AB79" s="360"/>
      <c r="AC79" s="262"/>
      <c r="AD79" s="1454">
        <v>120</v>
      </c>
      <c r="AE79" s="8472" t="s">
        <v>1585</v>
      </c>
      <c r="AF79" s="8387"/>
      <c r="AG79" s="8473" t="str">
        <f>IF(AD74=0,"",VLOOKUP(AD74,'Tablas psiquica'!$D$7:$R$296,9,FALSE))</f>
        <v/>
      </c>
      <c r="AH79" s="8258"/>
      <c r="AI79" s="8258"/>
      <c r="AJ79" s="8474"/>
      <c r="AL79" s="1454">
        <v>120</v>
      </c>
      <c r="AM79" s="8472" t="s">
        <v>1585</v>
      </c>
      <c r="AN79" s="8387"/>
      <c r="AO79" s="8473" t="str">
        <f>IF(AL74=0,"",VLOOKUP(AL74,'Tablas psiquica'!$D$7:$R$296,9,FALSE))</f>
        <v/>
      </c>
      <c r="AP79" s="8258"/>
      <c r="AQ79" s="8258"/>
      <c r="AR79" s="8474"/>
      <c r="AS79" s="262"/>
      <c r="AT79" s="1454">
        <v>120</v>
      </c>
      <c r="AU79" s="8472" t="s">
        <v>1585</v>
      </c>
      <c r="AV79" s="8387"/>
      <c r="AW79" s="8473" t="str">
        <f>IF(AT74=0,"",VLOOKUP(AT74,'Tablas psiquica'!$D$7:$R$296,9,FALSE))</f>
        <v/>
      </c>
      <c r="AX79" s="8258"/>
      <c r="AY79" s="8258"/>
      <c r="AZ79" s="8474"/>
      <c r="BA79" s="4232"/>
      <c r="BB79" s="360"/>
      <c r="BC79" s="360"/>
      <c r="BD79" s="262"/>
      <c r="BE79" s="1454">
        <v>120</v>
      </c>
      <c r="BF79" s="8472" t="s">
        <v>1585</v>
      </c>
      <c r="BG79" s="8387"/>
      <c r="BH79" s="8473" t="str">
        <f>IF(BE74=0,"",VLOOKUP(BE74,'Tablas psiquica'!$D$7:$R$296,9,FALSE))</f>
        <v/>
      </c>
      <c r="BI79" s="8258"/>
      <c r="BJ79" s="8258"/>
      <c r="BK79" s="8474"/>
      <c r="BM79" s="1454">
        <v>120</v>
      </c>
      <c r="BN79" s="8472" t="s">
        <v>1585</v>
      </c>
      <c r="BO79" s="8387"/>
      <c r="BP79" s="8473" t="str">
        <f>IF(BM74=0,"",VLOOKUP(BM74,'Tablas psiquica'!$D$7:$R$296,9,FALSE))</f>
        <v/>
      </c>
      <c r="BQ79" s="8258"/>
      <c r="BR79" s="8258"/>
      <c r="BS79" s="8474"/>
      <c r="BT79" s="262"/>
      <c r="BU79" s="1454">
        <v>120</v>
      </c>
      <c r="BV79" s="8472" t="s">
        <v>1585</v>
      </c>
      <c r="BW79" s="8387"/>
      <c r="BX79" s="8473" t="str">
        <f>IF(BU74=0,"",VLOOKUP(BU74,'Tablas psiquica'!$D$7:$R$296,9,FALSE))</f>
        <v/>
      </c>
      <c r="BY79" s="8258"/>
      <c r="BZ79" s="8258"/>
      <c r="CA79" s="8474"/>
      <c r="CB79" s="4232"/>
      <c r="CC79" s="360"/>
      <c r="CD79" s="360"/>
      <c r="CE79" s="262"/>
      <c r="CF79" s="1454">
        <v>120</v>
      </c>
      <c r="CG79" s="8472" t="s">
        <v>1585</v>
      </c>
      <c r="CH79" s="8387"/>
      <c r="CI79" s="8473" t="str">
        <f>IF(CF74=0,"",VLOOKUP(CF74,'Tablas psiquica'!$D$7:$R$296,9,FALSE))</f>
        <v/>
      </c>
      <c r="CJ79" s="8258"/>
      <c r="CK79" s="8258"/>
      <c r="CL79" s="8474"/>
      <c r="CN79" s="1454">
        <v>120</v>
      </c>
      <c r="CO79" s="8472" t="s">
        <v>1585</v>
      </c>
      <c r="CP79" s="8387"/>
      <c r="CQ79" s="8473" t="str">
        <f>IF(CN74=0,"",VLOOKUP(CN74,'Tablas psiquica'!$D$7:$R$296,9,FALSE))</f>
        <v/>
      </c>
      <c r="CR79" s="8258"/>
      <c r="CS79" s="8258"/>
      <c r="CT79" s="8474"/>
      <c r="CU79" s="262"/>
      <c r="CV79" s="1454">
        <v>120</v>
      </c>
      <c r="CW79" s="8472" t="s">
        <v>1585</v>
      </c>
      <c r="CX79" s="8387"/>
      <c r="CY79" s="8473" t="str">
        <f>IF(CV74=0,"",VLOOKUP(CV74,'Tablas psiquica'!$D$7:$R$296,9,FALSE))</f>
        <v/>
      </c>
      <c r="CZ79" s="8258"/>
      <c r="DA79" s="8258"/>
      <c r="DB79" s="8474"/>
      <c r="DC79" s="4232"/>
      <c r="DD79" s="360"/>
    </row>
    <row r="80" spans="1:108" ht="12" customHeight="1">
      <c r="A80" s="360"/>
      <c r="B80" s="262"/>
      <c r="C80" s="1455">
        <v>140</v>
      </c>
      <c r="D80" s="8477" t="s">
        <v>5822</v>
      </c>
      <c r="E80" s="8392"/>
      <c r="F80" s="8475" t="str">
        <f>IF(C74=0,"",VLOOKUP(C74,'Tablas psiquica'!$D$7:$R$296,10,FALSE))</f>
        <v/>
      </c>
      <c r="G80" s="7145"/>
      <c r="H80" s="7145"/>
      <c r="I80" s="8476"/>
      <c r="K80" s="1455">
        <v>140</v>
      </c>
      <c r="L80" s="8477" t="s">
        <v>5822</v>
      </c>
      <c r="M80" s="8392"/>
      <c r="N80" s="8475" t="str">
        <f>IF(K74=0,"",VLOOKUP(K74,'Tablas psiquica'!$D$7:$R$296,10,FALSE))</f>
        <v/>
      </c>
      <c r="O80" s="7145"/>
      <c r="P80" s="7145"/>
      <c r="Q80" s="8476"/>
      <c r="R80" s="262"/>
      <c r="S80" s="1455">
        <v>140</v>
      </c>
      <c r="T80" s="8477" t="s">
        <v>5822</v>
      </c>
      <c r="U80" s="8392"/>
      <c r="V80" s="8475" t="str">
        <f>IF(S74=0,"",VLOOKUP(S74,'Tablas psiquica'!$D$7:$R$296,10,FALSE))</f>
        <v/>
      </c>
      <c r="W80" s="7145"/>
      <c r="X80" s="7145"/>
      <c r="Y80" s="8476"/>
      <c r="Z80" s="4232"/>
      <c r="AA80" s="360"/>
      <c r="AB80" s="360"/>
      <c r="AC80" s="262"/>
      <c r="AD80" s="1455">
        <v>140</v>
      </c>
      <c r="AE80" s="8477" t="s">
        <v>5822</v>
      </c>
      <c r="AF80" s="8392"/>
      <c r="AG80" s="8475" t="str">
        <f>IF(AD74=0,"",VLOOKUP(AD74,'Tablas psiquica'!$D$7:$R$296,10,FALSE))</f>
        <v/>
      </c>
      <c r="AH80" s="7145"/>
      <c r="AI80" s="7145"/>
      <c r="AJ80" s="8476"/>
      <c r="AL80" s="1455">
        <v>140</v>
      </c>
      <c r="AM80" s="8477" t="s">
        <v>5822</v>
      </c>
      <c r="AN80" s="8392"/>
      <c r="AO80" s="8475" t="str">
        <f>IF(AL74=0,"",VLOOKUP(AL74,'Tablas psiquica'!$D$7:$R$296,10,FALSE))</f>
        <v/>
      </c>
      <c r="AP80" s="7145"/>
      <c r="AQ80" s="7145"/>
      <c r="AR80" s="8476"/>
      <c r="AS80" s="262"/>
      <c r="AT80" s="1455">
        <v>140</v>
      </c>
      <c r="AU80" s="8477" t="s">
        <v>5822</v>
      </c>
      <c r="AV80" s="8392"/>
      <c r="AW80" s="8475" t="str">
        <f>IF(AT74=0,"",VLOOKUP(AT74,'Tablas psiquica'!$D$7:$R$296,10,FALSE))</f>
        <v/>
      </c>
      <c r="AX80" s="7145"/>
      <c r="AY80" s="7145"/>
      <c r="AZ80" s="8476"/>
      <c r="BA80" s="4232"/>
      <c r="BB80" s="360"/>
      <c r="BC80" s="360"/>
      <c r="BD80" s="262"/>
      <c r="BE80" s="1455">
        <v>140</v>
      </c>
      <c r="BF80" s="8477" t="s">
        <v>5822</v>
      </c>
      <c r="BG80" s="8392"/>
      <c r="BH80" s="8475" t="str">
        <f>IF(BE74=0,"",VLOOKUP(BE74,'Tablas psiquica'!$D$7:$R$296,10,FALSE))</f>
        <v/>
      </c>
      <c r="BI80" s="7145"/>
      <c r="BJ80" s="7145"/>
      <c r="BK80" s="8476"/>
      <c r="BM80" s="1455">
        <v>140</v>
      </c>
      <c r="BN80" s="8477" t="s">
        <v>5822</v>
      </c>
      <c r="BO80" s="8392"/>
      <c r="BP80" s="8475" t="str">
        <f>IF(BM74=0,"",VLOOKUP(BM74,'Tablas psiquica'!$D$7:$R$296,10,FALSE))</f>
        <v/>
      </c>
      <c r="BQ80" s="7145"/>
      <c r="BR80" s="7145"/>
      <c r="BS80" s="8476"/>
      <c r="BT80" s="262"/>
      <c r="BU80" s="1455">
        <v>140</v>
      </c>
      <c r="BV80" s="8477" t="s">
        <v>5822</v>
      </c>
      <c r="BW80" s="8392"/>
      <c r="BX80" s="8475" t="str">
        <f>IF(BU74=0,"",VLOOKUP(BU74,'Tablas psiquica'!$D$7:$R$296,10,FALSE))</f>
        <v/>
      </c>
      <c r="BY80" s="7145"/>
      <c r="BZ80" s="7145"/>
      <c r="CA80" s="8476"/>
      <c r="CB80" s="4232"/>
      <c r="CC80" s="360"/>
      <c r="CD80" s="360"/>
      <c r="CE80" s="262"/>
      <c r="CF80" s="1455">
        <v>140</v>
      </c>
      <c r="CG80" s="8477" t="s">
        <v>5822</v>
      </c>
      <c r="CH80" s="8392"/>
      <c r="CI80" s="8475" t="str">
        <f>IF(CF74=0,"",VLOOKUP(CF74,'Tablas psiquica'!$D$7:$R$296,10,FALSE))</f>
        <v/>
      </c>
      <c r="CJ80" s="7145"/>
      <c r="CK80" s="7145"/>
      <c r="CL80" s="8476"/>
      <c r="CN80" s="1455">
        <v>140</v>
      </c>
      <c r="CO80" s="8477" t="s">
        <v>5822</v>
      </c>
      <c r="CP80" s="8392"/>
      <c r="CQ80" s="8475" t="str">
        <f>IF(CN74=0,"",VLOOKUP(CN74,'Tablas psiquica'!$D$7:$R$296,10,FALSE))</f>
        <v/>
      </c>
      <c r="CR80" s="7145"/>
      <c r="CS80" s="7145"/>
      <c r="CT80" s="8476"/>
      <c r="CU80" s="262"/>
      <c r="CV80" s="1455">
        <v>140</v>
      </c>
      <c r="CW80" s="8477" t="s">
        <v>5822</v>
      </c>
      <c r="CX80" s="8392"/>
      <c r="CY80" s="8475" t="str">
        <f>IF(CV74=0,"",VLOOKUP(CV74,'Tablas psiquica'!$D$7:$R$296,10,FALSE))</f>
        <v/>
      </c>
      <c r="CZ80" s="7145"/>
      <c r="DA80" s="7145"/>
      <c r="DB80" s="8476"/>
      <c r="DC80" s="4232"/>
      <c r="DD80" s="360"/>
    </row>
    <row r="81" spans="1:108" ht="12" customHeight="1">
      <c r="A81" s="360"/>
      <c r="B81" s="262"/>
      <c r="C81" s="1454">
        <v>180</v>
      </c>
      <c r="D81" s="8472" t="s">
        <v>1589</v>
      </c>
      <c r="E81" s="8387"/>
      <c r="F81" s="8473" t="str">
        <f>IF(C74=0,"",VLOOKUP(C74,'Tablas psiquica'!$D$7:$R$296,11,FALSE))</f>
        <v/>
      </c>
      <c r="G81" s="8258"/>
      <c r="H81" s="8258"/>
      <c r="I81" s="8474"/>
      <c r="K81" s="1454">
        <v>180</v>
      </c>
      <c r="L81" s="8472" t="s">
        <v>1589</v>
      </c>
      <c r="M81" s="8387"/>
      <c r="N81" s="8473" t="str">
        <f>IF(K74=0,"",VLOOKUP(K74,'Tablas psiquica'!$D$7:$R$296,11,FALSE))</f>
        <v/>
      </c>
      <c r="O81" s="8258"/>
      <c r="P81" s="8258"/>
      <c r="Q81" s="8474"/>
      <c r="R81" s="262"/>
      <c r="S81" s="1454">
        <v>180</v>
      </c>
      <c r="T81" s="8472" t="s">
        <v>1589</v>
      </c>
      <c r="U81" s="8387"/>
      <c r="V81" s="8473" t="str">
        <f>IF(S74=0,"",VLOOKUP(S74,'Tablas psiquica'!$D$7:$R$296,11,FALSE))</f>
        <v/>
      </c>
      <c r="W81" s="8258"/>
      <c r="X81" s="8258"/>
      <c r="Y81" s="8474"/>
      <c r="Z81" s="4232"/>
      <c r="AA81" s="360"/>
      <c r="AB81" s="360"/>
      <c r="AC81" s="262"/>
      <c r="AD81" s="1454">
        <v>180</v>
      </c>
      <c r="AE81" s="8472" t="s">
        <v>1589</v>
      </c>
      <c r="AF81" s="8387"/>
      <c r="AG81" s="8473" t="str">
        <f>IF(AD74=0,"",VLOOKUP(AD74,'Tablas psiquica'!$D$7:$R$296,11,FALSE))</f>
        <v/>
      </c>
      <c r="AH81" s="8258"/>
      <c r="AI81" s="8258"/>
      <c r="AJ81" s="8474"/>
      <c r="AL81" s="1454">
        <v>180</v>
      </c>
      <c r="AM81" s="8472" t="s">
        <v>1589</v>
      </c>
      <c r="AN81" s="8387"/>
      <c r="AO81" s="8473" t="str">
        <f>IF(AL74=0,"",VLOOKUP(AL74,'Tablas psiquica'!$D$7:$R$296,11,FALSE))</f>
        <v/>
      </c>
      <c r="AP81" s="8258"/>
      <c r="AQ81" s="8258"/>
      <c r="AR81" s="8474"/>
      <c r="AS81" s="262"/>
      <c r="AT81" s="1454">
        <v>180</v>
      </c>
      <c r="AU81" s="8472" t="s">
        <v>1589</v>
      </c>
      <c r="AV81" s="8387"/>
      <c r="AW81" s="8473" t="str">
        <f>IF(AT74=0,"",VLOOKUP(AT74,'Tablas psiquica'!$D$7:$R$296,11,FALSE))</f>
        <v/>
      </c>
      <c r="AX81" s="8258"/>
      <c r="AY81" s="8258"/>
      <c r="AZ81" s="8474"/>
      <c r="BA81" s="4232"/>
      <c r="BB81" s="360"/>
      <c r="BC81" s="360"/>
      <c r="BD81" s="262"/>
      <c r="BE81" s="1454">
        <v>180</v>
      </c>
      <c r="BF81" s="8472" t="s">
        <v>1589</v>
      </c>
      <c r="BG81" s="8387"/>
      <c r="BH81" s="8473" t="str">
        <f>IF(BE74=0,"",VLOOKUP(BE74,'Tablas psiquica'!$D$7:$R$296,11,FALSE))</f>
        <v/>
      </c>
      <c r="BI81" s="8258"/>
      <c r="BJ81" s="8258"/>
      <c r="BK81" s="8474"/>
      <c r="BM81" s="1454">
        <v>180</v>
      </c>
      <c r="BN81" s="8472" t="s">
        <v>1589</v>
      </c>
      <c r="BO81" s="8387"/>
      <c r="BP81" s="8473" t="str">
        <f>IF(BM74=0,"",VLOOKUP(BM74,'Tablas psiquica'!$D$7:$R$296,11,FALSE))</f>
        <v/>
      </c>
      <c r="BQ81" s="8258"/>
      <c r="BR81" s="8258"/>
      <c r="BS81" s="8474"/>
      <c r="BT81" s="262"/>
      <c r="BU81" s="1454">
        <v>180</v>
      </c>
      <c r="BV81" s="8472" t="s">
        <v>1589</v>
      </c>
      <c r="BW81" s="8387"/>
      <c r="BX81" s="8473" t="str">
        <f>IF(BU74=0,"",VLOOKUP(BU74,'Tablas psiquica'!$D$7:$R$296,11,FALSE))</f>
        <v/>
      </c>
      <c r="BY81" s="8258"/>
      <c r="BZ81" s="8258"/>
      <c r="CA81" s="8474"/>
      <c r="CB81" s="4232"/>
      <c r="CC81" s="360"/>
      <c r="CD81" s="360"/>
      <c r="CE81" s="262"/>
      <c r="CF81" s="1454">
        <v>180</v>
      </c>
      <c r="CG81" s="8472" t="s">
        <v>1589</v>
      </c>
      <c r="CH81" s="8387"/>
      <c r="CI81" s="8473" t="str">
        <f>IF(CF74=0,"",VLOOKUP(CF74,'Tablas psiquica'!$D$7:$R$296,11,FALSE))</f>
        <v/>
      </c>
      <c r="CJ81" s="8258"/>
      <c r="CK81" s="8258"/>
      <c r="CL81" s="8474"/>
      <c r="CN81" s="1454">
        <v>180</v>
      </c>
      <c r="CO81" s="8472" t="s">
        <v>1589</v>
      </c>
      <c r="CP81" s="8387"/>
      <c r="CQ81" s="8473" t="str">
        <f>IF(CN74=0,"",VLOOKUP(CN74,'Tablas psiquica'!$D$7:$R$296,11,FALSE))</f>
        <v/>
      </c>
      <c r="CR81" s="8258"/>
      <c r="CS81" s="8258"/>
      <c r="CT81" s="8474"/>
      <c r="CU81" s="262"/>
      <c r="CV81" s="1454">
        <v>180</v>
      </c>
      <c r="CW81" s="8472" t="s">
        <v>1589</v>
      </c>
      <c r="CX81" s="8387"/>
      <c r="CY81" s="8473" t="str">
        <f>IF(CV74=0,"",VLOOKUP(CV74,'Tablas psiquica'!$D$7:$R$296,11,FALSE))</f>
        <v/>
      </c>
      <c r="CZ81" s="8258"/>
      <c r="DA81" s="8258"/>
      <c r="DB81" s="8474"/>
      <c r="DC81" s="4232"/>
      <c r="DD81" s="360"/>
    </row>
    <row r="82" spans="1:108" ht="12" customHeight="1">
      <c r="A82" s="360"/>
      <c r="B82" s="262"/>
      <c r="C82" s="1455">
        <v>240</v>
      </c>
      <c r="D82" s="8477" t="s">
        <v>5823</v>
      </c>
      <c r="E82" s="8392"/>
      <c r="F82" s="8475" t="str">
        <f>IF(C74=0,"",VLOOKUP(C74,'Tablas psiquica'!$D$7:$R$296,12,FALSE))</f>
        <v/>
      </c>
      <c r="G82" s="7145"/>
      <c r="H82" s="7145"/>
      <c r="I82" s="8476"/>
      <c r="K82" s="1455">
        <v>240</v>
      </c>
      <c r="L82" s="8477" t="s">
        <v>5823</v>
      </c>
      <c r="M82" s="8392"/>
      <c r="N82" s="8475" t="str">
        <f>IF(K74=0,"",VLOOKUP(K74,'Tablas psiquica'!$D$7:$R$296,12,FALSE))</f>
        <v/>
      </c>
      <c r="O82" s="7145"/>
      <c r="P82" s="7145"/>
      <c r="Q82" s="8476"/>
      <c r="R82" s="262"/>
      <c r="S82" s="1455">
        <v>240</v>
      </c>
      <c r="T82" s="8477" t="s">
        <v>5823</v>
      </c>
      <c r="U82" s="8392"/>
      <c r="V82" s="8475" t="str">
        <f>IF(S74=0,"",VLOOKUP(S74,'Tablas psiquica'!$D$7:$R$296,12,FALSE))</f>
        <v/>
      </c>
      <c r="W82" s="7145"/>
      <c r="X82" s="7145"/>
      <c r="Y82" s="8476"/>
      <c r="Z82" s="4232"/>
      <c r="AA82" s="360"/>
      <c r="AB82" s="360"/>
      <c r="AC82" s="262"/>
      <c r="AD82" s="1455">
        <v>240</v>
      </c>
      <c r="AE82" s="8477" t="s">
        <v>5823</v>
      </c>
      <c r="AF82" s="8392"/>
      <c r="AG82" s="8475" t="str">
        <f>IF(AD74=0,"",VLOOKUP(AD74,'Tablas psiquica'!$D$7:$R$296,12,FALSE))</f>
        <v/>
      </c>
      <c r="AH82" s="7145"/>
      <c r="AI82" s="7145"/>
      <c r="AJ82" s="8476"/>
      <c r="AL82" s="1455">
        <v>240</v>
      </c>
      <c r="AM82" s="8477" t="s">
        <v>5823</v>
      </c>
      <c r="AN82" s="8392"/>
      <c r="AO82" s="8475" t="str">
        <f>IF(AL74=0,"",VLOOKUP(AL74,'Tablas psiquica'!$D$7:$R$296,12,FALSE))</f>
        <v/>
      </c>
      <c r="AP82" s="7145"/>
      <c r="AQ82" s="7145"/>
      <c r="AR82" s="8476"/>
      <c r="AS82" s="262"/>
      <c r="AT82" s="1455">
        <v>240</v>
      </c>
      <c r="AU82" s="8477" t="s">
        <v>5823</v>
      </c>
      <c r="AV82" s="8392"/>
      <c r="AW82" s="8475" t="str">
        <f>IF(AT74=0,"",VLOOKUP(AT74,'Tablas psiquica'!$D$7:$R$296,12,FALSE))</f>
        <v/>
      </c>
      <c r="AX82" s="7145"/>
      <c r="AY82" s="7145"/>
      <c r="AZ82" s="8476"/>
      <c r="BA82" s="4232"/>
      <c r="BB82" s="360"/>
      <c r="BC82" s="360"/>
      <c r="BD82" s="262"/>
      <c r="BE82" s="1455">
        <v>240</v>
      </c>
      <c r="BF82" s="8477" t="s">
        <v>5823</v>
      </c>
      <c r="BG82" s="8392"/>
      <c r="BH82" s="8475" t="str">
        <f>IF(BE74=0,"",VLOOKUP(BE74,'Tablas psiquica'!$D$7:$R$296,12,FALSE))</f>
        <v/>
      </c>
      <c r="BI82" s="7145"/>
      <c r="BJ82" s="7145"/>
      <c r="BK82" s="8476"/>
      <c r="BM82" s="1455">
        <v>240</v>
      </c>
      <c r="BN82" s="8477" t="s">
        <v>5823</v>
      </c>
      <c r="BO82" s="8392"/>
      <c r="BP82" s="8475" t="str">
        <f>IF(BM74=0,"",VLOOKUP(BM74,'Tablas psiquica'!$D$7:$R$296,12,FALSE))</f>
        <v/>
      </c>
      <c r="BQ82" s="7145"/>
      <c r="BR82" s="7145"/>
      <c r="BS82" s="8476"/>
      <c r="BT82" s="262"/>
      <c r="BU82" s="1455">
        <v>240</v>
      </c>
      <c r="BV82" s="8477" t="s">
        <v>5823</v>
      </c>
      <c r="BW82" s="8392"/>
      <c r="BX82" s="8475" t="str">
        <f>IF(BU74=0,"",VLOOKUP(BU74,'Tablas psiquica'!$D$7:$R$296,12,FALSE))</f>
        <v/>
      </c>
      <c r="BY82" s="7145"/>
      <c r="BZ82" s="7145"/>
      <c r="CA82" s="8476"/>
      <c r="CB82" s="4232"/>
      <c r="CC82" s="360"/>
      <c r="CD82" s="360"/>
      <c r="CE82" s="262"/>
      <c r="CF82" s="1455">
        <v>240</v>
      </c>
      <c r="CG82" s="8477" t="s">
        <v>5823</v>
      </c>
      <c r="CH82" s="8392"/>
      <c r="CI82" s="8475" t="str">
        <f>IF(CF74=0,"",VLOOKUP(CF74,'Tablas psiquica'!$D$7:$R$296,12,FALSE))</f>
        <v/>
      </c>
      <c r="CJ82" s="7145"/>
      <c r="CK82" s="7145"/>
      <c r="CL82" s="8476"/>
      <c r="CN82" s="1455">
        <v>240</v>
      </c>
      <c r="CO82" s="8477" t="s">
        <v>5823</v>
      </c>
      <c r="CP82" s="8392"/>
      <c r="CQ82" s="8475" t="str">
        <f>IF(CN74=0,"",VLOOKUP(CN74,'Tablas psiquica'!$D$7:$R$296,12,FALSE))</f>
        <v/>
      </c>
      <c r="CR82" s="7145"/>
      <c r="CS82" s="7145"/>
      <c r="CT82" s="8476"/>
      <c r="CU82" s="262"/>
      <c r="CV82" s="1455">
        <v>240</v>
      </c>
      <c r="CW82" s="8477" t="s">
        <v>5823</v>
      </c>
      <c r="CX82" s="8392"/>
      <c r="CY82" s="8475" t="str">
        <f>IF(CV74=0,"",VLOOKUP(CV74,'Tablas psiquica'!$D$7:$R$296,12,FALSE))</f>
        <v/>
      </c>
      <c r="CZ82" s="7145"/>
      <c r="DA82" s="7145"/>
      <c r="DB82" s="8476"/>
      <c r="DC82" s="4232"/>
      <c r="DD82" s="360"/>
    </row>
    <row r="83" spans="1:108" ht="12" customHeight="1">
      <c r="A83" s="360"/>
      <c r="B83" s="262"/>
      <c r="C83" s="1454">
        <v>280</v>
      </c>
      <c r="D83" s="8472" t="s">
        <v>1592</v>
      </c>
      <c r="E83" s="8387"/>
      <c r="F83" s="8473" t="str">
        <f>IF(C74=0,"",VLOOKUP(C74,'Tablas psiquica'!$D$7:$R$296,13,FALSE))</f>
        <v/>
      </c>
      <c r="G83" s="8258"/>
      <c r="H83" s="8258"/>
      <c r="I83" s="8474"/>
      <c r="K83" s="1454">
        <v>280</v>
      </c>
      <c r="L83" s="8472" t="s">
        <v>1592</v>
      </c>
      <c r="M83" s="8387"/>
      <c r="N83" s="8473" t="str">
        <f>IF(K74=0,"",VLOOKUP(K74,'Tablas psiquica'!$D$7:$R$296,13,FALSE))</f>
        <v/>
      </c>
      <c r="O83" s="8258"/>
      <c r="P83" s="8258"/>
      <c r="Q83" s="8474"/>
      <c r="R83" s="262"/>
      <c r="S83" s="1454">
        <v>280</v>
      </c>
      <c r="T83" s="8472" t="s">
        <v>1592</v>
      </c>
      <c r="U83" s="8387"/>
      <c r="V83" s="8473" t="str">
        <f>IF(S74=0,"",VLOOKUP(S74,'Tablas psiquica'!$D$7:$R$296,13,FALSE))</f>
        <v/>
      </c>
      <c r="W83" s="8258"/>
      <c r="X83" s="8258"/>
      <c r="Y83" s="8474"/>
      <c r="Z83" s="4232"/>
      <c r="AA83" s="360"/>
      <c r="AB83" s="360"/>
      <c r="AC83" s="262"/>
      <c r="AD83" s="1454">
        <v>280</v>
      </c>
      <c r="AE83" s="8472" t="s">
        <v>1592</v>
      </c>
      <c r="AF83" s="8387"/>
      <c r="AG83" s="8473" t="str">
        <f>IF(AD74=0,"",VLOOKUP(AD74,'Tablas psiquica'!$D$7:$R$296,13,FALSE))</f>
        <v/>
      </c>
      <c r="AH83" s="8258"/>
      <c r="AI83" s="8258"/>
      <c r="AJ83" s="8474"/>
      <c r="AL83" s="1454">
        <v>280</v>
      </c>
      <c r="AM83" s="8472" t="s">
        <v>1592</v>
      </c>
      <c r="AN83" s="8387"/>
      <c r="AO83" s="8473" t="str">
        <f>IF(AL74=0,"",VLOOKUP(AL74,'Tablas psiquica'!$D$7:$R$296,13,FALSE))</f>
        <v/>
      </c>
      <c r="AP83" s="8258"/>
      <c r="AQ83" s="8258"/>
      <c r="AR83" s="8474"/>
      <c r="AS83" s="262"/>
      <c r="AT83" s="1454">
        <v>280</v>
      </c>
      <c r="AU83" s="8472" t="s">
        <v>1592</v>
      </c>
      <c r="AV83" s="8387"/>
      <c r="AW83" s="8473" t="str">
        <f>IF(AT74=0,"",VLOOKUP(AT74,'Tablas psiquica'!$D$7:$R$296,13,FALSE))</f>
        <v/>
      </c>
      <c r="AX83" s="8258"/>
      <c r="AY83" s="8258"/>
      <c r="AZ83" s="8474"/>
      <c r="BA83" s="4232"/>
      <c r="BB83" s="360"/>
      <c r="BC83" s="360"/>
      <c r="BD83" s="262"/>
      <c r="BE83" s="1454">
        <v>280</v>
      </c>
      <c r="BF83" s="8472" t="s">
        <v>1592</v>
      </c>
      <c r="BG83" s="8387"/>
      <c r="BH83" s="8473" t="str">
        <f>IF(BE74=0,"",VLOOKUP(BE74,'Tablas psiquica'!$D$7:$R$296,13,FALSE))</f>
        <v/>
      </c>
      <c r="BI83" s="8258"/>
      <c r="BJ83" s="8258"/>
      <c r="BK83" s="8474"/>
      <c r="BM83" s="1454">
        <v>280</v>
      </c>
      <c r="BN83" s="8472" t="s">
        <v>1592</v>
      </c>
      <c r="BO83" s="8387"/>
      <c r="BP83" s="8473" t="str">
        <f>IF(BM74=0,"",VLOOKUP(BM74,'Tablas psiquica'!$D$7:$R$296,13,FALSE))</f>
        <v/>
      </c>
      <c r="BQ83" s="8258"/>
      <c r="BR83" s="8258"/>
      <c r="BS83" s="8474"/>
      <c r="BT83" s="262"/>
      <c r="BU83" s="1454">
        <v>280</v>
      </c>
      <c r="BV83" s="8472" t="s">
        <v>1592</v>
      </c>
      <c r="BW83" s="8387"/>
      <c r="BX83" s="8473" t="str">
        <f>IF(BU74=0,"",VLOOKUP(BU74,'Tablas psiquica'!$D$7:$R$296,13,FALSE))</f>
        <v/>
      </c>
      <c r="BY83" s="8258"/>
      <c r="BZ83" s="8258"/>
      <c r="CA83" s="8474"/>
      <c r="CB83" s="4232"/>
      <c r="CC83" s="360"/>
      <c r="CD83" s="360"/>
      <c r="CE83" s="262"/>
      <c r="CF83" s="1454">
        <v>280</v>
      </c>
      <c r="CG83" s="8472" t="s">
        <v>1592</v>
      </c>
      <c r="CH83" s="8387"/>
      <c r="CI83" s="8473" t="str">
        <f>IF(CF74=0,"",VLOOKUP(CF74,'Tablas psiquica'!$D$7:$R$296,13,FALSE))</f>
        <v/>
      </c>
      <c r="CJ83" s="8258"/>
      <c r="CK83" s="8258"/>
      <c r="CL83" s="8474"/>
      <c r="CN83" s="1454">
        <v>280</v>
      </c>
      <c r="CO83" s="8472" t="s">
        <v>1592</v>
      </c>
      <c r="CP83" s="8387"/>
      <c r="CQ83" s="8473" t="str">
        <f>IF(CN74=0,"",VLOOKUP(CN74,'Tablas psiquica'!$D$7:$R$296,13,FALSE))</f>
        <v/>
      </c>
      <c r="CR83" s="8258"/>
      <c r="CS83" s="8258"/>
      <c r="CT83" s="8474"/>
      <c r="CU83" s="262"/>
      <c r="CV83" s="1454">
        <v>280</v>
      </c>
      <c r="CW83" s="8472" t="s">
        <v>1592</v>
      </c>
      <c r="CX83" s="8387"/>
      <c r="CY83" s="8473" t="str">
        <f>IF(CV74=0,"",VLOOKUP(CV74,'Tablas psiquica'!$D$7:$R$296,13,FALSE))</f>
        <v/>
      </c>
      <c r="CZ83" s="8258"/>
      <c r="DA83" s="8258"/>
      <c r="DB83" s="8474"/>
      <c r="DC83" s="4232"/>
      <c r="DD83" s="360"/>
    </row>
    <row r="84" spans="1:108" ht="12" customHeight="1">
      <c r="A84" s="360"/>
      <c r="B84" s="262"/>
      <c r="C84" s="1455">
        <v>320</v>
      </c>
      <c r="D84" s="8477" t="s">
        <v>1594</v>
      </c>
      <c r="E84" s="8392"/>
      <c r="F84" s="8475" t="str">
        <f>IF(C74=0,"",VLOOKUP(C74,'Tablas psiquica'!$D$7:$R$296,14,FALSE))</f>
        <v/>
      </c>
      <c r="G84" s="7145"/>
      <c r="H84" s="7145"/>
      <c r="I84" s="8476"/>
      <c r="K84" s="1455">
        <v>320</v>
      </c>
      <c r="L84" s="8477" t="s">
        <v>1594</v>
      </c>
      <c r="M84" s="8392"/>
      <c r="N84" s="8475" t="str">
        <f>IF(K74=0,"",VLOOKUP(K74,'Tablas psiquica'!$D$7:$R$296,14,FALSE))</f>
        <v/>
      </c>
      <c r="O84" s="7145"/>
      <c r="P84" s="7145"/>
      <c r="Q84" s="8476"/>
      <c r="R84" s="262"/>
      <c r="S84" s="1455">
        <v>320</v>
      </c>
      <c r="T84" s="8477" t="s">
        <v>1594</v>
      </c>
      <c r="U84" s="8392"/>
      <c r="V84" s="8475" t="str">
        <f>IF(S74=0,"",VLOOKUP(S74,'Tablas psiquica'!$D$7:$R$296,14,FALSE))</f>
        <v/>
      </c>
      <c r="W84" s="7145"/>
      <c r="X84" s="7145"/>
      <c r="Y84" s="8476"/>
      <c r="Z84" s="4232"/>
      <c r="AA84" s="360"/>
      <c r="AB84" s="360"/>
      <c r="AC84" s="262"/>
      <c r="AD84" s="1455">
        <v>320</v>
      </c>
      <c r="AE84" s="8477" t="s">
        <v>1594</v>
      </c>
      <c r="AF84" s="8392"/>
      <c r="AG84" s="8475" t="str">
        <f>IF(AD74=0,"",VLOOKUP(AD74,'Tablas psiquica'!$D$7:$R$296,14,FALSE))</f>
        <v/>
      </c>
      <c r="AH84" s="7145"/>
      <c r="AI84" s="7145"/>
      <c r="AJ84" s="8476"/>
      <c r="AL84" s="1455">
        <v>320</v>
      </c>
      <c r="AM84" s="8477" t="s">
        <v>1594</v>
      </c>
      <c r="AN84" s="8392"/>
      <c r="AO84" s="8475" t="str">
        <f>IF(AL74=0,"",VLOOKUP(AL74,'Tablas psiquica'!$D$7:$R$296,14,FALSE))</f>
        <v/>
      </c>
      <c r="AP84" s="7145"/>
      <c r="AQ84" s="7145"/>
      <c r="AR84" s="8476"/>
      <c r="AS84" s="262"/>
      <c r="AT84" s="1455">
        <v>320</v>
      </c>
      <c r="AU84" s="8477" t="s">
        <v>1594</v>
      </c>
      <c r="AV84" s="8392"/>
      <c r="AW84" s="8475" t="str">
        <f>IF(AT74=0,"",VLOOKUP(AT74,'Tablas psiquica'!$D$7:$R$296,14,FALSE))</f>
        <v/>
      </c>
      <c r="AX84" s="7145"/>
      <c r="AY84" s="7145"/>
      <c r="AZ84" s="8476"/>
      <c r="BA84" s="4232"/>
      <c r="BB84" s="360"/>
      <c r="BC84" s="360"/>
      <c r="BD84" s="262"/>
      <c r="BE84" s="1455">
        <v>320</v>
      </c>
      <c r="BF84" s="8477" t="s">
        <v>1594</v>
      </c>
      <c r="BG84" s="8392"/>
      <c r="BH84" s="8475" t="str">
        <f>IF(BE74=0,"",VLOOKUP(BE74,'Tablas psiquica'!$D$7:$R$296,14,FALSE))</f>
        <v/>
      </c>
      <c r="BI84" s="7145"/>
      <c r="BJ84" s="7145"/>
      <c r="BK84" s="8476"/>
      <c r="BM84" s="1455">
        <v>320</v>
      </c>
      <c r="BN84" s="8477" t="s">
        <v>1594</v>
      </c>
      <c r="BO84" s="8392"/>
      <c r="BP84" s="8475" t="str">
        <f>IF(BM74=0,"",VLOOKUP(BM74,'Tablas psiquica'!$D$7:$R$296,14,FALSE))</f>
        <v/>
      </c>
      <c r="BQ84" s="7145"/>
      <c r="BR84" s="7145"/>
      <c r="BS84" s="8476"/>
      <c r="BT84" s="262"/>
      <c r="BU84" s="1455">
        <v>320</v>
      </c>
      <c r="BV84" s="8477" t="s">
        <v>1594</v>
      </c>
      <c r="BW84" s="8392"/>
      <c r="BX84" s="8475" t="str">
        <f>IF(BU74=0,"",VLOOKUP(BU74,'Tablas psiquica'!$D$7:$R$296,14,FALSE))</f>
        <v/>
      </c>
      <c r="BY84" s="7145"/>
      <c r="BZ84" s="7145"/>
      <c r="CA84" s="8476"/>
      <c r="CB84" s="4232"/>
      <c r="CC84" s="360"/>
      <c r="CD84" s="360"/>
      <c r="CE84" s="262"/>
      <c r="CF84" s="1455">
        <v>320</v>
      </c>
      <c r="CG84" s="8477" t="s">
        <v>1594</v>
      </c>
      <c r="CH84" s="8392"/>
      <c r="CI84" s="8475" t="str">
        <f>IF(CF74=0,"",VLOOKUP(CF74,'Tablas psiquica'!$D$7:$R$296,14,FALSE))</f>
        <v/>
      </c>
      <c r="CJ84" s="7145"/>
      <c r="CK84" s="7145"/>
      <c r="CL84" s="8476"/>
      <c r="CN84" s="1455">
        <v>320</v>
      </c>
      <c r="CO84" s="8477" t="s">
        <v>1594</v>
      </c>
      <c r="CP84" s="8392"/>
      <c r="CQ84" s="8475" t="str">
        <f>IF(CN74=0,"",VLOOKUP(CN74,'Tablas psiquica'!$D$7:$R$296,14,FALSE))</f>
        <v/>
      </c>
      <c r="CR84" s="7145"/>
      <c r="CS84" s="7145"/>
      <c r="CT84" s="8476"/>
      <c r="CU84" s="262"/>
      <c r="CV84" s="1455">
        <v>320</v>
      </c>
      <c r="CW84" s="8477" t="s">
        <v>1594</v>
      </c>
      <c r="CX84" s="8392"/>
      <c r="CY84" s="8475" t="str">
        <f>IF(CV74=0,"",VLOOKUP(CV74,'Tablas psiquica'!$D$7:$R$296,14,FALSE))</f>
        <v/>
      </c>
      <c r="CZ84" s="7145"/>
      <c r="DA84" s="7145"/>
      <c r="DB84" s="8476"/>
      <c r="DC84" s="4232"/>
      <c r="DD84" s="360"/>
    </row>
    <row r="85" spans="1:108" ht="12" customHeight="1">
      <c r="A85" s="360"/>
      <c r="B85" s="262"/>
      <c r="C85" s="4243">
        <v>440</v>
      </c>
      <c r="D85" s="8478" t="s">
        <v>1537</v>
      </c>
      <c r="E85" s="8479"/>
      <c r="F85" s="8480" t="str">
        <f>IF(C74=0,"",VLOOKUP(C74,'Tablas psiquica'!$D$7:$R$296,15,FALSE))</f>
        <v/>
      </c>
      <c r="G85" s="8481"/>
      <c r="H85" s="8481"/>
      <c r="I85" s="8482"/>
      <c r="K85" s="4243">
        <v>440</v>
      </c>
      <c r="L85" s="8478" t="s">
        <v>1537</v>
      </c>
      <c r="M85" s="8479"/>
      <c r="N85" s="8480" t="str">
        <f>IF(K74=0,"",VLOOKUP(K74,'Tablas psiquica'!$D$7:$R$296,15,FALSE))</f>
        <v/>
      </c>
      <c r="O85" s="8481"/>
      <c r="P85" s="8481"/>
      <c r="Q85" s="8482"/>
      <c r="R85" s="262"/>
      <c r="S85" s="4243">
        <v>440</v>
      </c>
      <c r="T85" s="8478" t="s">
        <v>1537</v>
      </c>
      <c r="U85" s="8479"/>
      <c r="V85" s="8480" t="str">
        <f>IF(S74=0,"",VLOOKUP(S74,'Tablas psiquica'!$D$7:$R$296,15,FALSE))</f>
        <v/>
      </c>
      <c r="W85" s="8481"/>
      <c r="X85" s="8481"/>
      <c r="Y85" s="8482"/>
      <c r="Z85" s="4232"/>
      <c r="AA85" s="360"/>
      <c r="AB85" s="360"/>
      <c r="AC85" s="262"/>
      <c r="AD85" s="4243">
        <v>440</v>
      </c>
      <c r="AE85" s="8478" t="s">
        <v>1537</v>
      </c>
      <c r="AF85" s="8479"/>
      <c r="AG85" s="8480" t="str">
        <f>IF(AD74=0,"",VLOOKUP(AD74,'Tablas psiquica'!$D$7:$R$296,15,FALSE))</f>
        <v/>
      </c>
      <c r="AH85" s="8481"/>
      <c r="AI85" s="8481"/>
      <c r="AJ85" s="8482"/>
      <c r="AL85" s="4243">
        <v>440</v>
      </c>
      <c r="AM85" s="8478" t="s">
        <v>1537</v>
      </c>
      <c r="AN85" s="8479"/>
      <c r="AO85" s="8480" t="str">
        <f>IF(AL74=0,"",VLOOKUP(AL74,'Tablas psiquica'!$D$7:$R$296,15,FALSE))</f>
        <v/>
      </c>
      <c r="AP85" s="8481"/>
      <c r="AQ85" s="8481"/>
      <c r="AR85" s="8482"/>
      <c r="AS85" s="262"/>
      <c r="AT85" s="4243">
        <v>440</v>
      </c>
      <c r="AU85" s="8478" t="s">
        <v>1537</v>
      </c>
      <c r="AV85" s="8479"/>
      <c r="AW85" s="8480" t="str">
        <f>IF(AT74=0,"",VLOOKUP(AT74,'Tablas psiquica'!$D$7:$R$296,15,FALSE))</f>
        <v/>
      </c>
      <c r="AX85" s="8481"/>
      <c r="AY85" s="8481"/>
      <c r="AZ85" s="8482"/>
      <c r="BA85" s="4232"/>
      <c r="BB85" s="360"/>
      <c r="BC85" s="360"/>
      <c r="BD85" s="262"/>
      <c r="BE85" s="4243">
        <v>440</v>
      </c>
      <c r="BF85" s="8478" t="s">
        <v>1537</v>
      </c>
      <c r="BG85" s="8479"/>
      <c r="BH85" s="8480" t="str">
        <f>IF(BE74=0,"",VLOOKUP(BE74,'Tablas psiquica'!$D$7:$R$296,15,FALSE))</f>
        <v/>
      </c>
      <c r="BI85" s="8481"/>
      <c r="BJ85" s="8481"/>
      <c r="BK85" s="8482"/>
      <c r="BM85" s="4243">
        <v>440</v>
      </c>
      <c r="BN85" s="8478" t="s">
        <v>1537</v>
      </c>
      <c r="BO85" s="8479"/>
      <c r="BP85" s="8480" t="str">
        <f>IF(BM74=0,"",VLOOKUP(BM74,'Tablas psiquica'!$D$7:$R$296,15,FALSE))</f>
        <v/>
      </c>
      <c r="BQ85" s="8481"/>
      <c r="BR85" s="8481"/>
      <c r="BS85" s="8482"/>
      <c r="BT85" s="262"/>
      <c r="BU85" s="4243">
        <v>440</v>
      </c>
      <c r="BV85" s="8478" t="s">
        <v>1537</v>
      </c>
      <c r="BW85" s="8479"/>
      <c r="BX85" s="8480" t="str">
        <f>IF(BU74=0,"",VLOOKUP(BU74,'Tablas psiquica'!$D$7:$R$296,15,FALSE))</f>
        <v/>
      </c>
      <c r="BY85" s="8481"/>
      <c r="BZ85" s="8481"/>
      <c r="CA85" s="8482"/>
      <c r="CB85" s="4232"/>
      <c r="CC85" s="360"/>
      <c r="CD85" s="360"/>
      <c r="CE85" s="262"/>
      <c r="CF85" s="4243">
        <v>440</v>
      </c>
      <c r="CG85" s="8478" t="s">
        <v>1537</v>
      </c>
      <c r="CH85" s="8479"/>
      <c r="CI85" s="8480" t="str">
        <f>IF(CF74=0,"",VLOOKUP(CF74,'Tablas psiquica'!$D$7:$R$296,15,FALSE))</f>
        <v/>
      </c>
      <c r="CJ85" s="8481"/>
      <c r="CK85" s="8481"/>
      <c r="CL85" s="8482"/>
      <c r="CN85" s="4243">
        <v>440</v>
      </c>
      <c r="CO85" s="8478" t="s">
        <v>1537</v>
      </c>
      <c r="CP85" s="8479"/>
      <c r="CQ85" s="8480" t="str">
        <f>IF(CN74=0,"",VLOOKUP(CN74,'Tablas psiquica'!$D$7:$R$296,15,FALSE))</f>
        <v/>
      </c>
      <c r="CR85" s="8481"/>
      <c r="CS85" s="8481"/>
      <c r="CT85" s="8482"/>
      <c r="CU85" s="262"/>
      <c r="CV85" s="4243">
        <v>440</v>
      </c>
      <c r="CW85" s="8478" t="s">
        <v>1537</v>
      </c>
      <c r="CX85" s="8479"/>
      <c r="CY85" s="8480" t="str">
        <f>IF(CV74=0,"",VLOOKUP(CV74,'Tablas psiquica'!$D$7:$R$296,15,FALSE))</f>
        <v/>
      </c>
      <c r="CZ85" s="8481"/>
      <c r="DA85" s="8481"/>
      <c r="DB85" s="8482"/>
      <c r="DC85" s="4232"/>
      <c r="DD85" s="360"/>
    </row>
    <row r="86" spans="1:108" ht="12" customHeight="1">
      <c r="A86" s="360"/>
      <c r="B86" s="262"/>
      <c r="C86" s="8496" t="s">
        <v>5824</v>
      </c>
      <c r="D86" s="8490"/>
      <c r="E86" s="4244" t="str">
        <f>IF(C74=0,"",VLOOKUP(C74,'Tablas psiquica'!$D$7:$R$296,4,FALSE))</f>
        <v/>
      </c>
      <c r="F86" s="8483" t="s">
        <v>5819</v>
      </c>
      <c r="G86" s="8483"/>
      <c r="H86" s="8484" t="str">
        <f>IF(C74=0,"",VLOOKUP(C74,'Tablas psiquica'!$D$7:$R$296,5,FALSE))</f>
        <v/>
      </c>
      <c r="I86" s="8485"/>
      <c r="K86" s="8496" t="s">
        <v>5824</v>
      </c>
      <c r="L86" s="8490"/>
      <c r="M86" s="4244" t="str">
        <f>IF(K74=0,"",VLOOKUP(K74,'Tablas psiquica'!$D$7:$R$296,4,FALSE))</f>
        <v/>
      </c>
      <c r="N86" s="8483" t="s">
        <v>5819</v>
      </c>
      <c r="O86" s="8483"/>
      <c r="P86" s="8484" t="str">
        <f>IF(K74=0,"",VLOOKUP(K74,'Tablas psiquica'!$D$7:$R$296,5,FALSE))</f>
        <v/>
      </c>
      <c r="Q86" s="8485"/>
      <c r="R86" s="262"/>
      <c r="S86" s="8496" t="s">
        <v>5824</v>
      </c>
      <c r="T86" s="8490"/>
      <c r="U86" s="4244" t="str">
        <f>IF(S74=0,"",VLOOKUP(S74,'Tablas psiquica'!$D$7:$R$296,4,FALSE))</f>
        <v/>
      </c>
      <c r="V86" s="8483" t="s">
        <v>5819</v>
      </c>
      <c r="W86" s="8483"/>
      <c r="X86" s="8484" t="str">
        <f>IF(S74=0,"",VLOOKUP(S74,'Tablas psiquica'!$D$7:$R$296,5,FALSE))</f>
        <v/>
      </c>
      <c r="Y86" s="8485"/>
      <c r="Z86" s="4232"/>
      <c r="AA86" s="360"/>
      <c r="AB86" s="360"/>
      <c r="AC86" s="262"/>
      <c r="AD86" s="8496" t="s">
        <v>5824</v>
      </c>
      <c r="AE86" s="8490"/>
      <c r="AF86" s="4244" t="str">
        <f>IF(AD74=0,"",VLOOKUP(AD74,'Tablas psiquica'!$D$7:$R$296,4,FALSE))</f>
        <v/>
      </c>
      <c r="AG86" s="8483" t="s">
        <v>5819</v>
      </c>
      <c r="AH86" s="8483"/>
      <c r="AI86" s="8484" t="str">
        <f>IF(AD74=0,"",VLOOKUP(AD74,'Tablas psiquica'!$D$7:$R$296,5,FALSE))</f>
        <v/>
      </c>
      <c r="AJ86" s="8485"/>
      <c r="AL86" s="8496" t="s">
        <v>5824</v>
      </c>
      <c r="AM86" s="8490"/>
      <c r="AN86" s="4244" t="str">
        <f>IF(AL74=0,"",VLOOKUP(AL74,'Tablas psiquica'!$D$7:$R$296,4,FALSE))</f>
        <v/>
      </c>
      <c r="AO86" s="8483" t="s">
        <v>5819</v>
      </c>
      <c r="AP86" s="8483"/>
      <c r="AQ86" s="8484" t="str">
        <f>IF(AL74=0,"",VLOOKUP(AL74,'Tablas psiquica'!$D$7:$R$296,5,FALSE))</f>
        <v/>
      </c>
      <c r="AR86" s="8485"/>
      <c r="AS86" s="262"/>
      <c r="AT86" s="8496" t="s">
        <v>5824</v>
      </c>
      <c r="AU86" s="8490"/>
      <c r="AV86" s="4244" t="str">
        <f>IF(AT74=0,"",VLOOKUP(AT74,'Tablas psiquica'!$D$7:$R$296,4,FALSE))</f>
        <v/>
      </c>
      <c r="AW86" s="8483" t="s">
        <v>5819</v>
      </c>
      <c r="AX86" s="8483"/>
      <c r="AY86" s="8484" t="str">
        <f>IF(AT74=0,"",VLOOKUP(AT74,'Tablas psiquica'!$D$7:$R$296,5,FALSE))</f>
        <v/>
      </c>
      <c r="AZ86" s="8485"/>
      <c r="BA86" s="4232"/>
      <c r="BB86" s="360"/>
      <c r="BC86" s="360"/>
      <c r="BD86" s="262"/>
      <c r="BE86" s="8496" t="s">
        <v>5824</v>
      </c>
      <c r="BF86" s="8490"/>
      <c r="BG86" s="4244" t="str">
        <f>IF(BE74=0,"",VLOOKUP(BE74,'Tablas psiquica'!$D$7:$R$296,4,FALSE))</f>
        <v/>
      </c>
      <c r="BH86" s="8483" t="s">
        <v>5819</v>
      </c>
      <c r="BI86" s="8483"/>
      <c r="BJ86" s="8484" t="str">
        <f>IF(BE74=0,"",VLOOKUP(BE74,'Tablas psiquica'!$D$7:$R$296,5,FALSE))</f>
        <v/>
      </c>
      <c r="BK86" s="8485"/>
      <c r="BM86" s="8496" t="s">
        <v>5824</v>
      </c>
      <c r="BN86" s="8490"/>
      <c r="BO86" s="4244" t="str">
        <f>IF(BM74=0,"",VLOOKUP(BM74,'Tablas psiquica'!$D$7:$R$296,4,FALSE))</f>
        <v/>
      </c>
      <c r="BP86" s="8483" t="s">
        <v>5819</v>
      </c>
      <c r="BQ86" s="8483"/>
      <c r="BR86" s="8484" t="str">
        <f>IF(BM74=0,"",VLOOKUP(BM74,'Tablas psiquica'!$D$7:$R$296,5,FALSE))</f>
        <v/>
      </c>
      <c r="BS86" s="8485"/>
      <c r="BT86" s="262"/>
      <c r="BU86" s="8496" t="s">
        <v>5824</v>
      </c>
      <c r="BV86" s="8490"/>
      <c r="BW86" s="4244" t="str">
        <f>IF(BU74=0,"",VLOOKUP(BU74,'Tablas psiquica'!$D$7:$R$296,4,FALSE))</f>
        <v/>
      </c>
      <c r="BX86" s="8483" t="s">
        <v>5819</v>
      </c>
      <c r="BY86" s="8483"/>
      <c r="BZ86" s="8484" t="str">
        <f>IF(BU74=0,"",VLOOKUP(BU74,'Tablas psiquica'!$D$7:$R$296,5,FALSE))</f>
        <v/>
      </c>
      <c r="CA86" s="8485"/>
      <c r="CB86" s="4232"/>
      <c r="CC86" s="360"/>
      <c r="CD86" s="360"/>
      <c r="CE86" s="262"/>
      <c r="CF86" s="8496" t="s">
        <v>5824</v>
      </c>
      <c r="CG86" s="8490"/>
      <c r="CH86" s="4244" t="str">
        <f>IF(CF74=0,"",VLOOKUP(CF74,'Tablas psiquica'!$D$7:$R$296,4,FALSE))</f>
        <v/>
      </c>
      <c r="CI86" s="8483" t="s">
        <v>5819</v>
      </c>
      <c r="CJ86" s="8483"/>
      <c r="CK86" s="8484" t="str">
        <f>IF(CF74=0,"",VLOOKUP(CF74,'Tablas psiquica'!$D$7:$R$296,5,FALSE))</f>
        <v/>
      </c>
      <c r="CL86" s="8485"/>
      <c r="CN86" s="8496" t="s">
        <v>5824</v>
      </c>
      <c r="CO86" s="8490"/>
      <c r="CP86" s="4244" t="str">
        <f>IF(CN74=0,"",VLOOKUP(CN74,'Tablas psiquica'!$D$7:$R$296,4,FALSE))</f>
        <v/>
      </c>
      <c r="CQ86" s="8483" t="s">
        <v>5819</v>
      </c>
      <c r="CR86" s="8483"/>
      <c r="CS86" s="8484" t="str">
        <f>IF(CN74=0,"",VLOOKUP(CN74,'Tablas psiquica'!$D$7:$R$296,5,FALSE))</f>
        <v/>
      </c>
      <c r="CT86" s="8485"/>
      <c r="CU86" s="262"/>
      <c r="CV86" s="8496" t="s">
        <v>5824</v>
      </c>
      <c r="CW86" s="8490"/>
      <c r="CX86" s="4244" t="str">
        <f>IF(CV74=0,"",VLOOKUP(CV74,'Tablas psiquica'!$D$7:$R$296,4,FALSE))</f>
        <v/>
      </c>
      <c r="CY86" s="8483" t="s">
        <v>5819</v>
      </c>
      <c r="CZ86" s="8483"/>
      <c r="DA86" s="8484" t="str">
        <f>IF(CV74=0,"",VLOOKUP(CV74,'Tablas psiquica'!$D$7:$R$296,5,FALSE))</f>
        <v/>
      </c>
      <c r="DB86" s="8485"/>
      <c r="DC86" s="4232"/>
      <c r="DD86" s="360"/>
    </row>
    <row r="87" spans="1:108" ht="12" customHeight="1">
      <c r="A87" s="360"/>
      <c r="B87" s="262"/>
      <c r="C87" s="8496" t="s">
        <v>13936</v>
      </c>
      <c r="D87" s="8490"/>
      <c r="E87" s="8486" t="str">
        <f>IF(C74=0,"",VLOOKUP(C74,'Tablas psiquica'!$D$7:$X$296,20,FALSE))</f>
        <v/>
      </c>
      <c r="F87" s="8487"/>
      <c r="G87" s="8490" t="s">
        <v>13937</v>
      </c>
      <c r="H87" s="8492" t="str">
        <f>IF(C74=0,"",VLOOKUP(C74,'Tablas psiquica'!$D$7:$X$296,21,FALSE))</f>
        <v/>
      </c>
      <c r="I87" s="8493"/>
      <c r="K87" s="8496" t="s">
        <v>13936</v>
      </c>
      <c r="L87" s="8490"/>
      <c r="M87" s="8486" t="str">
        <f>IF(K74=0,"",VLOOKUP(K74,'Tablas psiquica'!$D$7:$X$296,20,FALSE))</f>
        <v/>
      </c>
      <c r="N87" s="8487"/>
      <c r="O87" s="8490" t="s">
        <v>13937</v>
      </c>
      <c r="P87" s="8492" t="str">
        <f>IF(K74=0,"",VLOOKUP(K74,'Tablas psiquica'!$D$7:$X$296,21,FALSE))</f>
        <v/>
      </c>
      <c r="Q87" s="8493"/>
      <c r="S87" s="8496" t="s">
        <v>13936</v>
      </c>
      <c r="T87" s="8490"/>
      <c r="U87" s="8486" t="str">
        <f>IF(S74=0,"",VLOOKUP(S74,'Tablas psiquica'!$D$7:$X$296,20,FALSE))</f>
        <v/>
      </c>
      <c r="V87" s="8487"/>
      <c r="W87" s="8490" t="s">
        <v>13937</v>
      </c>
      <c r="X87" s="8492" t="str">
        <f>IF(S74=0,"",VLOOKUP(S74,'Tablas psiquica'!$D$7:$X$296,21,FALSE))</f>
        <v/>
      </c>
      <c r="Y87" s="8493"/>
      <c r="Z87" s="4232"/>
      <c r="AA87" s="360"/>
      <c r="AB87" s="360"/>
      <c r="AC87" s="262"/>
      <c r="AD87" s="8496" t="s">
        <v>13936</v>
      </c>
      <c r="AE87" s="8490"/>
      <c r="AF87" s="8486" t="str">
        <f>IF(AD74=0,"",VLOOKUP(AD74,'Tablas psiquica'!$D$7:$X$296,20,FALSE))</f>
        <v/>
      </c>
      <c r="AG87" s="8487"/>
      <c r="AH87" s="8490" t="s">
        <v>13937</v>
      </c>
      <c r="AI87" s="8492" t="str">
        <f>IF(AD74=0,"",VLOOKUP(AD74,'Tablas psiquica'!$D$7:$X$296,21,FALSE))</f>
        <v/>
      </c>
      <c r="AJ87" s="8493"/>
      <c r="AL87" s="8496" t="s">
        <v>13936</v>
      </c>
      <c r="AM87" s="8490"/>
      <c r="AN87" s="8486" t="str">
        <f>IF(AL74=0,"",VLOOKUP(AL74,'Tablas psiquica'!$D$7:$X$296,20,FALSE))</f>
        <v/>
      </c>
      <c r="AO87" s="8487"/>
      <c r="AP87" s="8490" t="s">
        <v>13937</v>
      </c>
      <c r="AQ87" s="8492" t="str">
        <f>IF(AL74=0,"",VLOOKUP(AL74,'Tablas psiquica'!$D$7:$X$296,21,FALSE))</f>
        <v/>
      </c>
      <c r="AR87" s="8493"/>
      <c r="AT87" s="8496" t="s">
        <v>13936</v>
      </c>
      <c r="AU87" s="8490"/>
      <c r="AV87" s="8486" t="str">
        <f>IF(AT74=0,"",VLOOKUP(AT74,'Tablas psiquica'!$D$7:$X$296,20,FALSE))</f>
        <v/>
      </c>
      <c r="AW87" s="8487"/>
      <c r="AX87" s="8490" t="s">
        <v>13937</v>
      </c>
      <c r="AY87" s="8492" t="str">
        <f>IF(AT74=0,"",VLOOKUP(AT74,'Tablas psiquica'!$D$7:$X$296,21,FALSE))</f>
        <v/>
      </c>
      <c r="AZ87" s="8493"/>
      <c r="BA87" s="4232"/>
      <c r="BB87" s="360"/>
      <c r="BC87" s="360"/>
      <c r="BD87" s="262"/>
      <c r="BE87" s="8496" t="s">
        <v>13936</v>
      </c>
      <c r="BF87" s="8490"/>
      <c r="BG87" s="8486" t="str">
        <f>IF(BE74=0,"",VLOOKUP(BE74,'Tablas psiquica'!$D$7:$X$296,20,FALSE))</f>
        <v/>
      </c>
      <c r="BH87" s="8487"/>
      <c r="BI87" s="8490" t="s">
        <v>13937</v>
      </c>
      <c r="BJ87" s="8492" t="str">
        <f>IF(BE74=0,"",VLOOKUP(BE74,'Tablas psiquica'!$D$7:$X$296,21,FALSE))</f>
        <v/>
      </c>
      <c r="BK87" s="8493"/>
      <c r="BM87" s="8496" t="s">
        <v>13936</v>
      </c>
      <c r="BN87" s="8490"/>
      <c r="BO87" s="8486" t="str">
        <f>IF(BM74=0,"",VLOOKUP(BM74,'Tablas psiquica'!$D$7:$X$296,20,FALSE))</f>
        <v/>
      </c>
      <c r="BP87" s="8487"/>
      <c r="BQ87" s="8490" t="s">
        <v>13937</v>
      </c>
      <c r="BR87" s="8492" t="str">
        <f>IF(BM74=0,"",VLOOKUP(BM74,'Tablas psiquica'!$D$7:$X$296,21,FALSE))</f>
        <v/>
      </c>
      <c r="BS87" s="8493"/>
      <c r="BU87" s="8496" t="s">
        <v>13936</v>
      </c>
      <c r="BV87" s="8490"/>
      <c r="BW87" s="8486" t="str">
        <f>IF(BU74=0,"",VLOOKUP(BU74,'Tablas psiquica'!$D$7:$X$296,20,FALSE))</f>
        <v/>
      </c>
      <c r="BX87" s="8487"/>
      <c r="BY87" s="8490" t="s">
        <v>13937</v>
      </c>
      <c r="BZ87" s="8492" t="str">
        <f>IF(BU74=0,"",VLOOKUP(BU74,'Tablas psiquica'!$D$7:$X$296,21,FALSE))</f>
        <v/>
      </c>
      <c r="CA87" s="8493"/>
      <c r="CB87" s="4232"/>
      <c r="CC87" s="360"/>
      <c r="CD87" s="360"/>
      <c r="CE87" s="262"/>
      <c r="CF87" s="8496" t="s">
        <v>13936</v>
      </c>
      <c r="CG87" s="8490"/>
      <c r="CH87" s="8486" t="str">
        <f>IF(CF74=0,"",VLOOKUP(CF74,'Tablas psiquica'!$D$7:$X$296,20,FALSE))</f>
        <v/>
      </c>
      <c r="CI87" s="8487"/>
      <c r="CJ87" s="8490" t="s">
        <v>13937</v>
      </c>
      <c r="CK87" s="8492" t="str">
        <f>IF(CF74=0,"",VLOOKUP(CF74,'Tablas psiquica'!$D$7:$X$296,21,FALSE))</f>
        <v/>
      </c>
      <c r="CL87" s="8493"/>
      <c r="CN87" s="8496" t="s">
        <v>13936</v>
      </c>
      <c r="CO87" s="8490"/>
      <c r="CP87" s="8486" t="str">
        <f>IF(CN74=0,"",VLOOKUP(CN74,'Tablas psiquica'!$D$7:$X$296,20,FALSE))</f>
        <v/>
      </c>
      <c r="CQ87" s="8487"/>
      <c r="CR87" s="8490" t="s">
        <v>13937</v>
      </c>
      <c r="CS87" s="8492" t="str">
        <f>IF(CN74=0,"",VLOOKUP(CN74,'Tablas psiquica'!$D$7:$X$296,21,FALSE))</f>
        <v/>
      </c>
      <c r="CT87" s="8493"/>
      <c r="CV87" s="8496" t="s">
        <v>13936</v>
      </c>
      <c r="CW87" s="8490"/>
      <c r="CX87" s="8486" t="str">
        <f>IF(CV74=0,"",VLOOKUP(CV74,'Tablas psiquica'!$D$7:$X$296,20,FALSE))</f>
        <v/>
      </c>
      <c r="CY87" s="8487"/>
      <c r="CZ87" s="8490" t="s">
        <v>13937</v>
      </c>
      <c r="DA87" s="8492" t="str">
        <f>IF(CV74=0,"",VLOOKUP(CV74,'Tablas psiquica'!$D$7:$X$296,21,FALSE))</f>
        <v/>
      </c>
      <c r="DB87" s="8493"/>
      <c r="DC87" s="4232"/>
      <c r="DD87" s="360"/>
    </row>
    <row r="88" spans="1:108" ht="12" customHeight="1" thickBot="1">
      <c r="A88" s="360"/>
      <c r="B88" s="262"/>
      <c r="C88" s="8497"/>
      <c r="D88" s="8491"/>
      <c r="E88" s="8488"/>
      <c r="F88" s="8489"/>
      <c r="G88" s="8491"/>
      <c r="H88" s="8494"/>
      <c r="I88" s="8495"/>
      <c r="K88" s="8497"/>
      <c r="L88" s="8491"/>
      <c r="M88" s="8488"/>
      <c r="N88" s="8489"/>
      <c r="O88" s="8491"/>
      <c r="P88" s="8494"/>
      <c r="Q88" s="8495"/>
      <c r="S88" s="8497"/>
      <c r="T88" s="8491"/>
      <c r="U88" s="8488"/>
      <c r="V88" s="8489"/>
      <c r="W88" s="8491"/>
      <c r="X88" s="8494"/>
      <c r="Y88" s="8495"/>
      <c r="Z88" s="4232"/>
      <c r="AA88" s="360"/>
      <c r="AB88" s="360"/>
      <c r="AC88" s="262"/>
      <c r="AD88" s="8497"/>
      <c r="AE88" s="8491"/>
      <c r="AF88" s="8488"/>
      <c r="AG88" s="8489"/>
      <c r="AH88" s="8491"/>
      <c r="AI88" s="8494"/>
      <c r="AJ88" s="8495"/>
      <c r="AL88" s="8497"/>
      <c r="AM88" s="8491"/>
      <c r="AN88" s="8488"/>
      <c r="AO88" s="8489"/>
      <c r="AP88" s="8491"/>
      <c r="AQ88" s="8494"/>
      <c r="AR88" s="8495"/>
      <c r="AT88" s="8497"/>
      <c r="AU88" s="8491"/>
      <c r="AV88" s="8488"/>
      <c r="AW88" s="8489"/>
      <c r="AX88" s="8491"/>
      <c r="AY88" s="8494"/>
      <c r="AZ88" s="8495"/>
      <c r="BA88" s="4232"/>
      <c r="BB88" s="360"/>
      <c r="BC88" s="360"/>
      <c r="BD88" s="262"/>
      <c r="BE88" s="8497"/>
      <c r="BF88" s="8491"/>
      <c r="BG88" s="8488"/>
      <c r="BH88" s="8489"/>
      <c r="BI88" s="8491"/>
      <c r="BJ88" s="8494"/>
      <c r="BK88" s="8495"/>
      <c r="BM88" s="8497"/>
      <c r="BN88" s="8491"/>
      <c r="BO88" s="8488"/>
      <c r="BP88" s="8489"/>
      <c r="BQ88" s="8491"/>
      <c r="BR88" s="8494"/>
      <c r="BS88" s="8495"/>
      <c r="BU88" s="8497"/>
      <c r="BV88" s="8491"/>
      <c r="BW88" s="8488"/>
      <c r="BX88" s="8489"/>
      <c r="BY88" s="8491"/>
      <c r="BZ88" s="8494"/>
      <c r="CA88" s="8495"/>
      <c r="CB88" s="4232"/>
      <c r="CC88" s="360"/>
      <c r="CD88" s="360"/>
      <c r="CE88" s="262"/>
      <c r="CF88" s="8497"/>
      <c r="CG88" s="8491"/>
      <c r="CH88" s="8488"/>
      <c r="CI88" s="8489"/>
      <c r="CJ88" s="8491"/>
      <c r="CK88" s="8494"/>
      <c r="CL88" s="8495"/>
      <c r="CN88" s="8497"/>
      <c r="CO88" s="8491"/>
      <c r="CP88" s="8488"/>
      <c r="CQ88" s="8489"/>
      <c r="CR88" s="8491"/>
      <c r="CS88" s="8494"/>
      <c r="CT88" s="8495"/>
      <c r="CV88" s="8497"/>
      <c r="CW88" s="8491"/>
      <c r="CX88" s="8488"/>
      <c r="CY88" s="8489"/>
      <c r="CZ88" s="8491"/>
      <c r="DA88" s="8494"/>
      <c r="DB88" s="8495"/>
      <c r="DC88" s="4232"/>
      <c r="DD88" s="360"/>
    </row>
    <row r="89" spans="1:108" ht="12" customHeight="1" thickBot="1">
      <c r="A89" s="360"/>
      <c r="B89" s="4246"/>
      <c r="C89" s="4247"/>
      <c r="D89" s="4247"/>
      <c r="E89" s="4247"/>
      <c r="F89" s="4247"/>
      <c r="G89" s="4247"/>
      <c r="H89" s="4247"/>
      <c r="I89" s="4247"/>
      <c r="J89" s="4247"/>
      <c r="K89" s="4247"/>
      <c r="L89" s="4247"/>
      <c r="M89" s="4247"/>
      <c r="N89" s="4247"/>
      <c r="O89" s="4247"/>
      <c r="P89" s="4247"/>
      <c r="Q89" s="4248"/>
      <c r="R89" s="4247"/>
      <c r="S89" s="4247"/>
      <c r="T89" s="4247"/>
      <c r="U89" s="4247"/>
      <c r="V89" s="4247"/>
      <c r="W89" s="4247"/>
      <c r="X89" s="4247"/>
      <c r="Y89" s="4247"/>
      <c r="Z89" s="4249"/>
      <c r="AA89" s="360"/>
      <c r="AB89" s="360"/>
      <c r="AC89" s="4246"/>
      <c r="AD89" s="4247"/>
      <c r="AE89" s="4247"/>
      <c r="AF89" s="4247"/>
      <c r="AG89" s="4247"/>
      <c r="AH89" s="4247"/>
      <c r="AI89" s="4247"/>
      <c r="AJ89" s="4247"/>
      <c r="AK89" s="4247"/>
      <c r="AL89" s="4247"/>
      <c r="AM89" s="4247"/>
      <c r="AN89" s="4247"/>
      <c r="AO89" s="4247"/>
      <c r="AP89" s="4247"/>
      <c r="AQ89" s="4247"/>
      <c r="AR89" s="4248"/>
      <c r="AS89" s="4247"/>
      <c r="AT89" s="4247"/>
      <c r="AU89" s="4247"/>
      <c r="AV89" s="4247"/>
      <c r="AW89" s="4247"/>
      <c r="AX89" s="4247"/>
      <c r="AY89" s="4247"/>
      <c r="AZ89" s="4247"/>
      <c r="BA89" s="4249"/>
      <c r="BB89" s="360"/>
      <c r="BC89" s="360"/>
      <c r="BD89" s="4246"/>
      <c r="BE89" s="4247"/>
      <c r="BF89" s="4247"/>
      <c r="BG89" s="4247"/>
      <c r="BH89" s="4247"/>
      <c r="BI89" s="4247"/>
      <c r="BJ89" s="4247"/>
      <c r="BK89" s="4247"/>
      <c r="BL89" s="4247"/>
      <c r="BM89" s="4247"/>
      <c r="BN89" s="4247"/>
      <c r="BO89" s="4247"/>
      <c r="BP89" s="4247"/>
      <c r="BQ89" s="4247"/>
      <c r="BR89" s="4247"/>
      <c r="BS89" s="4248"/>
      <c r="BT89" s="4247"/>
      <c r="BU89" s="4247"/>
      <c r="BV89" s="4247"/>
      <c r="BW89" s="4247"/>
      <c r="BX89" s="4247"/>
      <c r="BY89" s="4247"/>
      <c r="BZ89" s="4247"/>
      <c r="CA89" s="4247"/>
      <c r="CB89" s="4249"/>
      <c r="CC89" s="360"/>
      <c r="CD89" s="360"/>
      <c r="CE89" s="4246"/>
      <c r="CF89" s="4247"/>
      <c r="CG89" s="4247"/>
      <c r="CH89" s="4247"/>
      <c r="CI89" s="4247"/>
      <c r="CJ89" s="4247"/>
      <c r="CK89" s="4247"/>
      <c r="CL89" s="4247"/>
      <c r="CM89" s="4247"/>
      <c r="CN89" s="4247"/>
      <c r="CO89" s="4247"/>
      <c r="CP89" s="4247"/>
      <c r="CQ89" s="4247"/>
      <c r="CR89" s="4247"/>
      <c r="CS89" s="4247"/>
      <c r="CT89" s="4248"/>
      <c r="CU89" s="4247"/>
      <c r="CV89" s="4247"/>
      <c r="CW89" s="4247"/>
      <c r="CX89" s="4247"/>
      <c r="CY89" s="4247"/>
      <c r="CZ89" s="4247"/>
      <c r="DA89" s="4247"/>
      <c r="DB89" s="4247"/>
      <c r="DC89" s="4249"/>
      <c r="DD89" s="360"/>
    </row>
    <row r="90" spans="1:108" ht="12" customHeight="1">
      <c r="A90" s="360"/>
      <c r="B90" s="360"/>
      <c r="C90" s="360"/>
      <c r="D90" s="360"/>
      <c r="E90" s="360"/>
      <c r="F90" s="360"/>
      <c r="G90" s="360"/>
      <c r="H90" s="360"/>
      <c r="I90" s="360"/>
      <c r="J90" s="360"/>
      <c r="K90" s="360"/>
      <c r="L90" s="360"/>
      <c r="M90" s="360"/>
      <c r="N90" s="360"/>
      <c r="O90" s="360"/>
      <c r="P90" s="360"/>
      <c r="Q90" s="360"/>
      <c r="R90" s="360"/>
      <c r="S90" s="360"/>
      <c r="T90" s="360"/>
      <c r="U90" s="360"/>
      <c r="V90" s="360"/>
      <c r="W90" s="360"/>
      <c r="X90" s="360"/>
      <c r="Y90" s="360"/>
      <c r="Z90" s="360"/>
      <c r="AA90" s="360"/>
      <c r="AB90" s="360"/>
      <c r="AC90" s="360"/>
      <c r="AD90" s="360"/>
      <c r="AE90" s="360"/>
      <c r="AF90" s="360"/>
      <c r="AG90" s="360"/>
      <c r="AH90" s="360"/>
      <c r="AI90" s="360"/>
      <c r="AJ90" s="360"/>
      <c r="AK90" s="360"/>
      <c r="AL90" s="360"/>
      <c r="AM90" s="360"/>
      <c r="AN90" s="360"/>
      <c r="AO90" s="360"/>
      <c r="AP90" s="360"/>
      <c r="AQ90" s="360"/>
      <c r="AR90" s="360"/>
      <c r="AS90" s="360"/>
      <c r="AT90" s="360"/>
      <c r="AU90" s="360"/>
      <c r="AV90" s="360"/>
      <c r="AW90" s="360"/>
      <c r="AX90" s="360"/>
      <c r="AY90" s="360"/>
      <c r="AZ90" s="360"/>
      <c r="BA90" s="360"/>
      <c r="BB90" s="360"/>
      <c r="BC90" s="360"/>
      <c r="BD90" s="360"/>
      <c r="BE90" s="360"/>
      <c r="BF90" s="360"/>
      <c r="BG90" s="360"/>
      <c r="BH90" s="360"/>
      <c r="BI90" s="360"/>
      <c r="BJ90" s="360"/>
      <c r="BK90" s="360"/>
      <c r="BL90" s="360"/>
      <c r="BM90" s="360"/>
      <c r="BN90" s="360"/>
      <c r="BO90" s="360"/>
      <c r="BP90" s="360"/>
      <c r="BQ90" s="360"/>
      <c r="BR90" s="360"/>
      <c r="BS90" s="360"/>
      <c r="BT90" s="360"/>
      <c r="BU90" s="360"/>
      <c r="BV90" s="360"/>
      <c r="BW90" s="360"/>
      <c r="BX90" s="360"/>
      <c r="BY90" s="360"/>
      <c r="BZ90" s="360"/>
      <c r="CA90" s="360"/>
      <c r="CB90" s="360"/>
      <c r="CC90" s="360"/>
      <c r="CD90" s="360"/>
      <c r="CE90" s="360"/>
      <c r="CF90" s="360"/>
      <c r="CG90" s="360"/>
      <c r="CH90" s="360"/>
      <c r="CI90" s="360"/>
      <c r="CJ90" s="360"/>
      <c r="CK90" s="360"/>
      <c r="CL90" s="360"/>
      <c r="CM90" s="360"/>
      <c r="CN90" s="360"/>
      <c r="CO90" s="360"/>
      <c r="CP90" s="360"/>
      <c r="CQ90" s="360"/>
      <c r="CR90" s="360"/>
      <c r="CS90" s="360"/>
      <c r="CT90" s="360"/>
      <c r="CU90" s="360"/>
      <c r="CV90" s="360"/>
      <c r="CW90" s="360"/>
      <c r="CX90" s="360"/>
      <c r="CY90" s="360"/>
      <c r="CZ90" s="360"/>
      <c r="DA90" s="360"/>
      <c r="DB90" s="360"/>
      <c r="DC90" s="360"/>
      <c r="DD90" s="360"/>
    </row>
    <row r="105" spans="32:32" ht="12" customHeight="1">
      <c r="AF105" s="313" cm="1">
        <f t="array" ref="AF105">IFERROR(INDEX('Tablas psiquica'!$AU$6:$BQ$20,AC58,AZ$7),0)</f>
        <v>0</v>
      </c>
    </row>
  </sheetData>
  <sheetProtection sheet="1" selectLockedCells="1"/>
  <protectedRanges>
    <protectedRange sqref="Y25 AZ25 CA25 DB25" name="Poderes_2_1"/>
    <protectedRange sqref="I11 C10:C11 F10:F11 Q11 K10:K11 N10:N11 Y11 S10:S11 V10:V11 I27 C26:C27 F26:F27 I43 C42:C43 F42:F43 I59 C58:C59 F58:F59 I75 C74:C75 F74:F75 Q27 K26:K27 N26:N27 Q43 K42:K43 N42:N43 Q59 K58:K59 N58:N59 Q75 K74:K75 N74:N75 Y27 S26:S27 V26:V27 Y43 S42:S43 V42:V43 Y59 S58:S59 V58:V59 Y75 S74:S75 V74:V75 AJ11 AD10:AD11 AG10:AG11 AR11 AL10:AL11 AO10:AO11 AZ11 AT10:AT11 AW10:AW11 AJ27 AD26:AD27 AG26:AG27 AJ43 AD42:AD43 AG42:AG43 AJ59 AD58:AD59 AG58:AG59 AJ75 AD74:AD75 AG74:AG75 AR27 AL26:AL27 AO26:AO27 AR43 AL42:AL43 AO42:AO43 AR59 AL58:AL59 AO58:AO59 AR75 AL74:AL75 AO74:AO75 AZ27 AT26:AT27 AW26:AW27 AZ43 AT42:AT43 AW42:AW43 AZ59 AT58:AT59 AW58:AW59 AZ75 AT74:AT75 AW74:AW75 BK11 BE10:BE11 BH10:BH11 BS11 BM10:BM11 BP10:BP11 CA11 BU10:BU11 BX10:BX11 BK27 BE26:BE27 BH26:BH27 BK43 BE42:BE43 BH42:BH43 BK59 BE58:BE59 BH58:BH59 BK75 BE74:BE75 BH74:BH75 BS27 BM26:BM27 BP26:BP27 BS43 BM42:BM43 BP42:BP43 BS59 BM58:BM59 BP58:BP59 BS75 BM74:BM75 BP74:BP75 CA27 BU26:BU27 BX26:BX27 CA43 BU42:BU43 BX42:BX43 CA59 BU58:BU59 BX58:BX59 CA75 BU74:BU75 BX74:BX75 CL11 CF10:CF11 CI10:CI11 CT11 CN10:CN11 CQ10:CQ11 DB11 CV10:CV11 CY10:CY11 CL27 CF26:CF27 CI26:CI27 CL43 CF42:CF43 CI42:CI43 CL59 CF58:CF59 CI58:CI59 CL75 CF74:CF75 CI74:CI75 CT27 CN26:CN27 CQ26:CQ27 CT43 CN42:CN43 CQ42:CQ43 CT59 CN58:CN59 CQ58:CQ59 CT75 CN74:CN75 CQ74:CQ75 DB27 CV26:CV27 CY26:CY27 DB43 CV42:CV43 CY42:CY43 DB59 CV58:CV59 CY58:CY59 DB75 CV74:CV75 CY74:CY75" name="Poderes_1_3_61"/>
    <protectedRange sqref="K4 AL4 BM4 CN4" name="Nombre_1_1_1_1"/>
    <protectedRange sqref="Q5 AR5 BS5 CT5" name="Nivel_1_1_1"/>
  </protectedRanges>
  <mergeCells count="1835">
    <mergeCell ref="CJ87:CJ88"/>
    <mergeCell ref="CK87:CL88"/>
    <mergeCell ref="CN87:CO88"/>
    <mergeCell ref="CP87:CQ88"/>
    <mergeCell ref="CR87:CR88"/>
    <mergeCell ref="CS87:CT88"/>
    <mergeCell ref="CV87:CW88"/>
    <mergeCell ref="CX87:CY88"/>
    <mergeCell ref="CZ87:CZ88"/>
    <mergeCell ref="DA87:DB88"/>
    <mergeCell ref="AV87:AW88"/>
    <mergeCell ref="AX87:AX88"/>
    <mergeCell ref="AY87:AZ88"/>
    <mergeCell ref="BE87:BF88"/>
    <mergeCell ref="BG87:BH88"/>
    <mergeCell ref="BI87:BI88"/>
    <mergeCell ref="BJ87:BK88"/>
    <mergeCell ref="BM87:BN88"/>
    <mergeCell ref="BO87:BP88"/>
    <mergeCell ref="BQ87:BQ88"/>
    <mergeCell ref="BR87:BS88"/>
    <mergeCell ref="BU87:BV88"/>
    <mergeCell ref="BW87:BX88"/>
    <mergeCell ref="BY87:BY88"/>
    <mergeCell ref="BZ87:CA88"/>
    <mergeCell ref="CF87:CG88"/>
    <mergeCell ref="CH87:CI88"/>
    <mergeCell ref="BX86:BY86"/>
    <mergeCell ref="BZ86:CA86"/>
    <mergeCell ref="CF86:CG86"/>
    <mergeCell ref="CI86:CJ86"/>
    <mergeCell ref="CK86:CL86"/>
    <mergeCell ref="CN86:CO86"/>
    <mergeCell ref="CQ86:CR86"/>
    <mergeCell ref="CS86:CT86"/>
    <mergeCell ref="CV86:CW86"/>
    <mergeCell ref="CY86:CZ86"/>
    <mergeCell ref="DA86:DB86"/>
    <mergeCell ref="C87:D88"/>
    <mergeCell ref="E87:F88"/>
    <mergeCell ref="G87:G88"/>
    <mergeCell ref="H87:I88"/>
    <mergeCell ref="K87:L88"/>
    <mergeCell ref="M87:N88"/>
    <mergeCell ref="O87:O88"/>
    <mergeCell ref="P87:Q88"/>
    <mergeCell ref="S87:T88"/>
    <mergeCell ref="U87:V88"/>
    <mergeCell ref="W87:W88"/>
    <mergeCell ref="X87:Y88"/>
    <mergeCell ref="AD87:AE88"/>
    <mergeCell ref="AF87:AG88"/>
    <mergeCell ref="AH87:AH88"/>
    <mergeCell ref="AI87:AJ88"/>
    <mergeCell ref="AL87:AM88"/>
    <mergeCell ref="AN87:AO88"/>
    <mergeCell ref="AP87:AP88"/>
    <mergeCell ref="AQ87:AR88"/>
    <mergeCell ref="AT87:AU88"/>
    <mergeCell ref="BX85:CA85"/>
    <mergeCell ref="CG85:CH85"/>
    <mergeCell ref="CI85:CL85"/>
    <mergeCell ref="CO85:CP85"/>
    <mergeCell ref="CQ85:CT85"/>
    <mergeCell ref="CW85:CX85"/>
    <mergeCell ref="CY85:DB85"/>
    <mergeCell ref="C86:D86"/>
    <mergeCell ref="F86:G86"/>
    <mergeCell ref="H86:I86"/>
    <mergeCell ref="K86:L86"/>
    <mergeCell ref="N86:O86"/>
    <mergeCell ref="P86:Q86"/>
    <mergeCell ref="S86:T86"/>
    <mergeCell ref="V86:W86"/>
    <mergeCell ref="X86:Y86"/>
    <mergeCell ref="AD86:AE86"/>
    <mergeCell ref="AG86:AH86"/>
    <mergeCell ref="AI86:AJ86"/>
    <mergeCell ref="AL86:AM86"/>
    <mergeCell ref="AO86:AP86"/>
    <mergeCell ref="AQ86:AR86"/>
    <mergeCell ref="AT86:AU86"/>
    <mergeCell ref="AW86:AX86"/>
    <mergeCell ref="AY86:AZ86"/>
    <mergeCell ref="BE86:BF86"/>
    <mergeCell ref="BH86:BI86"/>
    <mergeCell ref="BJ86:BK86"/>
    <mergeCell ref="BM86:BN86"/>
    <mergeCell ref="BP86:BQ86"/>
    <mergeCell ref="BR86:BS86"/>
    <mergeCell ref="BU86:BV86"/>
    <mergeCell ref="D85:E85"/>
    <mergeCell ref="F85:I85"/>
    <mergeCell ref="L85:M85"/>
    <mergeCell ref="N85:Q85"/>
    <mergeCell ref="T85:U85"/>
    <mergeCell ref="V85:Y85"/>
    <mergeCell ref="AE85:AF85"/>
    <mergeCell ref="AG85:AJ85"/>
    <mergeCell ref="AM85:AN85"/>
    <mergeCell ref="AO85:AR85"/>
    <mergeCell ref="AU85:AV85"/>
    <mergeCell ref="AW85:AZ85"/>
    <mergeCell ref="BF85:BG85"/>
    <mergeCell ref="BH85:BK85"/>
    <mergeCell ref="BN85:BO85"/>
    <mergeCell ref="BP85:BS85"/>
    <mergeCell ref="BV85:BW85"/>
    <mergeCell ref="BX83:CA83"/>
    <mergeCell ref="CG83:CH83"/>
    <mergeCell ref="CI83:CL83"/>
    <mergeCell ref="CO83:CP83"/>
    <mergeCell ref="CQ83:CT83"/>
    <mergeCell ref="CW83:CX83"/>
    <mergeCell ref="CY83:DB83"/>
    <mergeCell ref="D84:E84"/>
    <mergeCell ref="F84:I84"/>
    <mergeCell ref="L84:M84"/>
    <mergeCell ref="N84:Q84"/>
    <mergeCell ref="T84:U84"/>
    <mergeCell ref="V84:Y84"/>
    <mergeCell ref="AE84:AF84"/>
    <mergeCell ref="AG84:AJ84"/>
    <mergeCell ref="AM84:AN84"/>
    <mergeCell ref="AO84:AR84"/>
    <mergeCell ref="AU84:AV84"/>
    <mergeCell ref="AW84:AZ84"/>
    <mergeCell ref="BF84:BG84"/>
    <mergeCell ref="BH84:BK84"/>
    <mergeCell ref="BN84:BO84"/>
    <mergeCell ref="BP84:BS84"/>
    <mergeCell ref="BV84:BW84"/>
    <mergeCell ref="BX84:CA84"/>
    <mergeCell ref="CG84:CH84"/>
    <mergeCell ref="CI84:CL84"/>
    <mergeCell ref="CO84:CP84"/>
    <mergeCell ref="CQ84:CT84"/>
    <mergeCell ref="CW84:CX84"/>
    <mergeCell ref="CY84:DB84"/>
    <mergeCell ref="D83:E83"/>
    <mergeCell ref="F83:I83"/>
    <mergeCell ref="L83:M83"/>
    <mergeCell ref="N83:Q83"/>
    <mergeCell ref="T83:U83"/>
    <mergeCell ref="V83:Y83"/>
    <mergeCell ref="AE83:AF83"/>
    <mergeCell ref="AG83:AJ83"/>
    <mergeCell ref="AM83:AN83"/>
    <mergeCell ref="AO83:AR83"/>
    <mergeCell ref="AU83:AV83"/>
    <mergeCell ref="AW83:AZ83"/>
    <mergeCell ref="BF83:BG83"/>
    <mergeCell ref="BH83:BK83"/>
    <mergeCell ref="BN83:BO83"/>
    <mergeCell ref="BP83:BS83"/>
    <mergeCell ref="BV83:BW83"/>
    <mergeCell ref="BX81:CA81"/>
    <mergeCell ref="L81:M81"/>
    <mergeCell ref="N81:Q81"/>
    <mergeCell ref="T81:U81"/>
    <mergeCell ref="V81:Y81"/>
    <mergeCell ref="AE81:AF81"/>
    <mergeCell ref="AG81:AJ81"/>
    <mergeCell ref="AM81:AN81"/>
    <mergeCell ref="AO81:AR81"/>
    <mergeCell ref="AU81:AV81"/>
    <mergeCell ref="AW81:AZ81"/>
    <mergeCell ref="BF81:BG81"/>
    <mergeCell ref="BH81:BK81"/>
    <mergeCell ref="BN81:BO81"/>
    <mergeCell ref="BP81:BS81"/>
    <mergeCell ref="BV81:BW81"/>
    <mergeCell ref="CG81:CH81"/>
    <mergeCell ref="CI81:CL81"/>
    <mergeCell ref="CO81:CP81"/>
    <mergeCell ref="CQ81:CT81"/>
    <mergeCell ref="CW81:CX81"/>
    <mergeCell ref="CY81:DB81"/>
    <mergeCell ref="D82:E82"/>
    <mergeCell ref="F82:I82"/>
    <mergeCell ref="L82:M82"/>
    <mergeCell ref="N82:Q82"/>
    <mergeCell ref="T82:U82"/>
    <mergeCell ref="V82:Y82"/>
    <mergeCell ref="AE82:AF82"/>
    <mergeCell ref="AG82:AJ82"/>
    <mergeCell ref="AM82:AN82"/>
    <mergeCell ref="AO82:AR82"/>
    <mergeCell ref="AU82:AV82"/>
    <mergeCell ref="AW82:AZ82"/>
    <mergeCell ref="BF82:BG82"/>
    <mergeCell ref="BH82:BK82"/>
    <mergeCell ref="BN82:BO82"/>
    <mergeCell ref="BP82:BS82"/>
    <mergeCell ref="BV82:BW82"/>
    <mergeCell ref="BX82:CA82"/>
    <mergeCell ref="CG82:CH82"/>
    <mergeCell ref="CI82:CL82"/>
    <mergeCell ref="CO82:CP82"/>
    <mergeCell ref="CQ82:CT82"/>
    <mergeCell ref="CW82:CX82"/>
    <mergeCell ref="CY82:DB82"/>
    <mergeCell ref="D81:E81"/>
    <mergeCell ref="F81:I81"/>
    <mergeCell ref="CG79:CH79"/>
    <mergeCell ref="CI79:CL79"/>
    <mergeCell ref="CO79:CP79"/>
    <mergeCell ref="CQ79:CT79"/>
    <mergeCell ref="CW79:CX79"/>
    <mergeCell ref="CY79:DB79"/>
    <mergeCell ref="D80:E80"/>
    <mergeCell ref="F80:I80"/>
    <mergeCell ref="L80:M80"/>
    <mergeCell ref="N80:Q80"/>
    <mergeCell ref="T80:U80"/>
    <mergeCell ref="V80:Y80"/>
    <mergeCell ref="AE80:AF80"/>
    <mergeCell ref="AG80:AJ80"/>
    <mergeCell ref="AM80:AN80"/>
    <mergeCell ref="AO80:AR80"/>
    <mergeCell ref="AU80:AV80"/>
    <mergeCell ref="AW80:AZ80"/>
    <mergeCell ref="BF80:BG80"/>
    <mergeCell ref="BH80:BK80"/>
    <mergeCell ref="BN80:BO80"/>
    <mergeCell ref="BP80:BS80"/>
    <mergeCell ref="BV80:BW80"/>
    <mergeCell ref="BX80:CA80"/>
    <mergeCell ref="CG80:CH80"/>
    <mergeCell ref="CI80:CL80"/>
    <mergeCell ref="CO80:CP80"/>
    <mergeCell ref="CQ80:CT80"/>
    <mergeCell ref="CW80:CX80"/>
    <mergeCell ref="CY80:DB80"/>
    <mergeCell ref="D79:E79"/>
    <mergeCell ref="F79:I79"/>
    <mergeCell ref="L79:M79"/>
    <mergeCell ref="N79:Q79"/>
    <mergeCell ref="T79:U79"/>
    <mergeCell ref="V79:Y79"/>
    <mergeCell ref="AE79:AF79"/>
    <mergeCell ref="AG79:AJ79"/>
    <mergeCell ref="AM79:AN79"/>
    <mergeCell ref="AO79:AR79"/>
    <mergeCell ref="AU79:AV79"/>
    <mergeCell ref="AW79:AZ79"/>
    <mergeCell ref="BF79:BG79"/>
    <mergeCell ref="BH79:BK79"/>
    <mergeCell ref="BN79:BO79"/>
    <mergeCell ref="BP79:BS79"/>
    <mergeCell ref="BV79:BW79"/>
    <mergeCell ref="BU75:BX75"/>
    <mergeCell ref="G75:H75"/>
    <mergeCell ref="K75:N75"/>
    <mergeCell ref="O75:P75"/>
    <mergeCell ref="S75:V75"/>
    <mergeCell ref="AD75:AG75"/>
    <mergeCell ref="AH75:AI75"/>
    <mergeCell ref="AL75:AO75"/>
    <mergeCell ref="AP75:AQ75"/>
    <mergeCell ref="AT75:AW75"/>
    <mergeCell ref="AX75:AY75"/>
    <mergeCell ref="BE75:BH75"/>
    <mergeCell ref="BI75:BJ75"/>
    <mergeCell ref="BM75:BP75"/>
    <mergeCell ref="BQ75:BR75"/>
    <mergeCell ref="BX79:CA79"/>
    <mergeCell ref="BY75:BZ75"/>
    <mergeCell ref="CF75:CI75"/>
    <mergeCell ref="CJ75:CK75"/>
    <mergeCell ref="CN75:CQ75"/>
    <mergeCell ref="CR75:CS75"/>
    <mergeCell ref="CV75:CY75"/>
    <mergeCell ref="CZ75:DA75"/>
    <mergeCell ref="D78:E78"/>
    <mergeCell ref="F78:I78"/>
    <mergeCell ref="L78:M78"/>
    <mergeCell ref="N78:Q78"/>
    <mergeCell ref="T78:U78"/>
    <mergeCell ref="V78:Y78"/>
    <mergeCell ref="AE78:AF78"/>
    <mergeCell ref="AG78:AJ78"/>
    <mergeCell ref="AM78:AN78"/>
    <mergeCell ref="AO78:AR78"/>
    <mergeCell ref="AU78:AV78"/>
    <mergeCell ref="AW78:AZ78"/>
    <mergeCell ref="BF78:BG78"/>
    <mergeCell ref="BH78:BK78"/>
    <mergeCell ref="BN78:BO78"/>
    <mergeCell ref="BP78:BS78"/>
    <mergeCell ref="BV78:BW78"/>
    <mergeCell ref="BX78:CA78"/>
    <mergeCell ref="CG78:CH78"/>
    <mergeCell ref="CI78:CL78"/>
    <mergeCell ref="CO78:CP78"/>
    <mergeCell ref="CQ78:CT78"/>
    <mergeCell ref="CW78:CX78"/>
    <mergeCell ref="CY78:DB78"/>
    <mergeCell ref="C75:F75"/>
    <mergeCell ref="CG76:CH76"/>
    <mergeCell ref="CJ71:CJ72"/>
    <mergeCell ref="CK71:CL72"/>
    <mergeCell ref="CN71:CO72"/>
    <mergeCell ref="CP71:CQ72"/>
    <mergeCell ref="CR71:CR72"/>
    <mergeCell ref="CS71:CT72"/>
    <mergeCell ref="CV71:CW72"/>
    <mergeCell ref="CX71:CY72"/>
    <mergeCell ref="CZ71:CZ72"/>
    <mergeCell ref="DA71:DB72"/>
    <mergeCell ref="C74:H74"/>
    <mergeCell ref="K74:P74"/>
    <mergeCell ref="S74:X74"/>
    <mergeCell ref="AD74:AI74"/>
    <mergeCell ref="AL74:AQ74"/>
    <mergeCell ref="AT74:AY74"/>
    <mergeCell ref="BE74:BJ74"/>
    <mergeCell ref="BM74:BR74"/>
    <mergeCell ref="BU74:BZ74"/>
    <mergeCell ref="CF74:CK74"/>
    <mergeCell ref="CN74:CS74"/>
    <mergeCell ref="CV74:DA74"/>
    <mergeCell ref="BR71:BS72"/>
    <mergeCell ref="BU71:BV72"/>
    <mergeCell ref="BW71:BX72"/>
    <mergeCell ref="BY71:BY72"/>
    <mergeCell ref="BZ71:CA72"/>
    <mergeCell ref="BJ71:BK72"/>
    <mergeCell ref="BM71:BN72"/>
    <mergeCell ref="BO71:BP72"/>
    <mergeCell ref="BQ71:BQ72"/>
    <mergeCell ref="CF70:CG70"/>
    <mergeCell ref="CI70:CJ70"/>
    <mergeCell ref="CK70:CL70"/>
    <mergeCell ref="CN70:CO70"/>
    <mergeCell ref="CQ70:CR70"/>
    <mergeCell ref="CS70:CT70"/>
    <mergeCell ref="CV70:CW70"/>
    <mergeCell ref="CY70:CZ70"/>
    <mergeCell ref="DA70:DB70"/>
    <mergeCell ref="C71:D72"/>
    <mergeCell ref="E71:F72"/>
    <mergeCell ref="G71:G72"/>
    <mergeCell ref="H71:I72"/>
    <mergeCell ref="K71:L72"/>
    <mergeCell ref="M71:N72"/>
    <mergeCell ref="O71:O72"/>
    <mergeCell ref="P71:Q72"/>
    <mergeCell ref="S71:T72"/>
    <mergeCell ref="U71:V72"/>
    <mergeCell ref="W71:W72"/>
    <mergeCell ref="X71:Y72"/>
    <mergeCell ref="AD71:AE72"/>
    <mergeCell ref="AF71:AG72"/>
    <mergeCell ref="AH71:AH72"/>
    <mergeCell ref="AI71:AJ72"/>
    <mergeCell ref="AL71:AM72"/>
    <mergeCell ref="AN71:AO72"/>
    <mergeCell ref="AP71:AP72"/>
    <mergeCell ref="AQ71:AR72"/>
    <mergeCell ref="AT71:AU72"/>
    <mergeCell ref="CF71:CG72"/>
    <mergeCell ref="CH71:CI72"/>
    <mergeCell ref="BX67:CA67"/>
    <mergeCell ref="CG67:CH67"/>
    <mergeCell ref="CI67:CL67"/>
    <mergeCell ref="CO67:CP67"/>
    <mergeCell ref="CQ67:CT67"/>
    <mergeCell ref="CW67:CX67"/>
    <mergeCell ref="CY67:DB67"/>
    <mergeCell ref="C70:D70"/>
    <mergeCell ref="F70:G70"/>
    <mergeCell ref="H70:I70"/>
    <mergeCell ref="K70:L70"/>
    <mergeCell ref="N70:O70"/>
    <mergeCell ref="P70:Q70"/>
    <mergeCell ref="S70:T70"/>
    <mergeCell ref="V70:W70"/>
    <mergeCell ref="X70:Y70"/>
    <mergeCell ref="AD70:AE70"/>
    <mergeCell ref="AG70:AH70"/>
    <mergeCell ref="AI70:AJ70"/>
    <mergeCell ref="AL70:AM70"/>
    <mergeCell ref="AO70:AP70"/>
    <mergeCell ref="AQ70:AR70"/>
    <mergeCell ref="AT70:AU70"/>
    <mergeCell ref="AW70:AX70"/>
    <mergeCell ref="AY70:AZ70"/>
    <mergeCell ref="BE70:BF70"/>
    <mergeCell ref="BH70:BI70"/>
    <mergeCell ref="BJ70:BK70"/>
    <mergeCell ref="BM70:BN70"/>
    <mergeCell ref="BP70:BQ70"/>
    <mergeCell ref="BR70:BS70"/>
    <mergeCell ref="BU70:BV70"/>
    <mergeCell ref="D67:E67"/>
    <mergeCell ref="F67:I67"/>
    <mergeCell ref="L67:M67"/>
    <mergeCell ref="N67:Q67"/>
    <mergeCell ref="T67:U67"/>
    <mergeCell ref="V67:Y67"/>
    <mergeCell ref="AE67:AF67"/>
    <mergeCell ref="AG67:AJ67"/>
    <mergeCell ref="AM67:AN67"/>
    <mergeCell ref="AO67:AR67"/>
    <mergeCell ref="AU67:AV67"/>
    <mergeCell ref="AW67:AZ67"/>
    <mergeCell ref="BF67:BG67"/>
    <mergeCell ref="BH67:BK67"/>
    <mergeCell ref="BN67:BO67"/>
    <mergeCell ref="BP67:BS67"/>
    <mergeCell ref="BV67:BW67"/>
    <mergeCell ref="CI65:CL65"/>
    <mergeCell ref="CO65:CP65"/>
    <mergeCell ref="CQ65:CT65"/>
    <mergeCell ref="CW65:CX65"/>
    <mergeCell ref="CY65:DB65"/>
    <mergeCell ref="D66:E66"/>
    <mergeCell ref="F66:I66"/>
    <mergeCell ref="L66:M66"/>
    <mergeCell ref="N66:Q66"/>
    <mergeCell ref="T66:U66"/>
    <mergeCell ref="V66:Y66"/>
    <mergeCell ref="AE66:AF66"/>
    <mergeCell ref="AG66:AJ66"/>
    <mergeCell ref="AM66:AN66"/>
    <mergeCell ref="AO66:AR66"/>
    <mergeCell ref="AU66:AV66"/>
    <mergeCell ref="AW66:AZ66"/>
    <mergeCell ref="BF66:BG66"/>
    <mergeCell ref="BH66:BK66"/>
    <mergeCell ref="BN66:BO66"/>
    <mergeCell ref="BP66:BS66"/>
    <mergeCell ref="BV66:BW66"/>
    <mergeCell ref="BX66:CA66"/>
    <mergeCell ref="CG66:CH66"/>
    <mergeCell ref="CI66:CL66"/>
    <mergeCell ref="CO66:CP66"/>
    <mergeCell ref="CQ66:CT66"/>
    <mergeCell ref="CW66:CX66"/>
    <mergeCell ref="CY66:DB66"/>
    <mergeCell ref="D65:E65"/>
    <mergeCell ref="F65:I65"/>
    <mergeCell ref="L65:M65"/>
    <mergeCell ref="N65:Q65"/>
    <mergeCell ref="T65:U65"/>
    <mergeCell ref="V65:Y65"/>
    <mergeCell ref="AE65:AF65"/>
    <mergeCell ref="AG65:AJ65"/>
    <mergeCell ref="AM65:AN65"/>
    <mergeCell ref="AO65:AR65"/>
    <mergeCell ref="AU65:AV65"/>
    <mergeCell ref="AW65:AZ65"/>
    <mergeCell ref="BF65:BG65"/>
    <mergeCell ref="BH65:BK65"/>
    <mergeCell ref="BN65:BO65"/>
    <mergeCell ref="BP65:BS65"/>
    <mergeCell ref="BV65:BW65"/>
    <mergeCell ref="BQ59:BR59"/>
    <mergeCell ref="BU59:BX59"/>
    <mergeCell ref="K59:N59"/>
    <mergeCell ref="O59:P59"/>
    <mergeCell ref="S59:V59"/>
    <mergeCell ref="W59:X59"/>
    <mergeCell ref="AD59:AG59"/>
    <mergeCell ref="AH59:AI59"/>
    <mergeCell ref="AL59:AO59"/>
    <mergeCell ref="AP59:AQ59"/>
    <mergeCell ref="AT59:AW59"/>
    <mergeCell ref="AX59:AY59"/>
    <mergeCell ref="BE59:BH59"/>
    <mergeCell ref="BI59:BJ59"/>
    <mergeCell ref="BM59:BP59"/>
    <mergeCell ref="BV62:BW62"/>
    <mergeCell ref="BX62:CA62"/>
    <mergeCell ref="AE62:AF62"/>
    <mergeCell ref="BY59:BZ59"/>
    <mergeCell ref="CF59:CI59"/>
    <mergeCell ref="CJ59:CK59"/>
    <mergeCell ref="CN59:CQ59"/>
    <mergeCell ref="CR59:CS59"/>
    <mergeCell ref="CV59:CY59"/>
    <mergeCell ref="CZ59:DA59"/>
    <mergeCell ref="D64:E64"/>
    <mergeCell ref="F64:I64"/>
    <mergeCell ref="L64:M64"/>
    <mergeCell ref="N64:Q64"/>
    <mergeCell ref="T64:U64"/>
    <mergeCell ref="V64:Y64"/>
    <mergeCell ref="AE64:AF64"/>
    <mergeCell ref="AG64:AJ64"/>
    <mergeCell ref="AM64:AN64"/>
    <mergeCell ref="AO64:AR64"/>
    <mergeCell ref="AU64:AV64"/>
    <mergeCell ref="AW64:AZ64"/>
    <mergeCell ref="BF64:BG64"/>
    <mergeCell ref="BH64:BK64"/>
    <mergeCell ref="BN64:BO64"/>
    <mergeCell ref="BP64:BS64"/>
    <mergeCell ref="BV64:BW64"/>
    <mergeCell ref="BX64:CA64"/>
    <mergeCell ref="CG64:CH64"/>
    <mergeCell ref="CI64:CL64"/>
    <mergeCell ref="CO64:CP64"/>
    <mergeCell ref="CQ64:CT64"/>
    <mergeCell ref="CW64:CX64"/>
    <mergeCell ref="C59:F59"/>
    <mergeCell ref="G59:H59"/>
    <mergeCell ref="AN55:AO56"/>
    <mergeCell ref="BZ55:CA56"/>
    <mergeCell ref="CF55:CG56"/>
    <mergeCell ref="CH55:CI56"/>
    <mergeCell ref="CJ55:CJ56"/>
    <mergeCell ref="CK55:CL56"/>
    <mergeCell ref="CN55:CO56"/>
    <mergeCell ref="CP55:CQ56"/>
    <mergeCell ref="CR55:CR56"/>
    <mergeCell ref="CS55:CT56"/>
    <mergeCell ref="CV55:CW56"/>
    <mergeCell ref="CX55:CY56"/>
    <mergeCell ref="CZ55:CZ56"/>
    <mergeCell ref="DA55:DB56"/>
    <mergeCell ref="C58:H58"/>
    <mergeCell ref="K58:P58"/>
    <mergeCell ref="S58:X58"/>
    <mergeCell ref="AD58:AI58"/>
    <mergeCell ref="AL58:AQ58"/>
    <mergeCell ref="AT58:AY58"/>
    <mergeCell ref="BE58:BJ58"/>
    <mergeCell ref="BM58:BR58"/>
    <mergeCell ref="BU58:BZ58"/>
    <mergeCell ref="CF58:CK58"/>
    <mergeCell ref="CN58:CS58"/>
    <mergeCell ref="CV58:DA58"/>
    <mergeCell ref="AP55:AP56"/>
    <mergeCell ref="AQ55:AR56"/>
    <mergeCell ref="AT55:AU56"/>
    <mergeCell ref="AV55:AW56"/>
    <mergeCell ref="AX55:AX56"/>
    <mergeCell ref="AY55:AZ56"/>
    <mergeCell ref="C55:D56"/>
    <mergeCell ref="E55:F56"/>
    <mergeCell ref="G55:G56"/>
    <mergeCell ref="H55:I56"/>
    <mergeCell ref="K55:L56"/>
    <mergeCell ref="M55:N56"/>
    <mergeCell ref="O55:O56"/>
    <mergeCell ref="P55:Q56"/>
    <mergeCell ref="S55:T56"/>
    <mergeCell ref="U55:V56"/>
    <mergeCell ref="W55:W56"/>
    <mergeCell ref="X55:Y56"/>
    <mergeCell ref="AD55:AE56"/>
    <mergeCell ref="AF55:AG56"/>
    <mergeCell ref="AH55:AH56"/>
    <mergeCell ref="AI55:AJ56"/>
    <mergeCell ref="AL55:AM56"/>
    <mergeCell ref="BE54:BF54"/>
    <mergeCell ref="BH54:BI54"/>
    <mergeCell ref="BJ54:BK54"/>
    <mergeCell ref="BM54:BN54"/>
    <mergeCell ref="BP54:BQ54"/>
    <mergeCell ref="BR54:BS54"/>
    <mergeCell ref="BU54:BV54"/>
    <mergeCell ref="BG55:BH56"/>
    <mergeCell ref="BI55:BI56"/>
    <mergeCell ref="BJ55:BK56"/>
    <mergeCell ref="BM55:BN56"/>
    <mergeCell ref="BO55:BP56"/>
    <mergeCell ref="BQ55:BQ56"/>
    <mergeCell ref="BR55:BS56"/>
    <mergeCell ref="BU55:BV56"/>
    <mergeCell ref="BW55:BX56"/>
    <mergeCell ref="BY55:BY56"/>
    <mergeCell ref="BE55:BF56"/>
    <mergeCell ref="BX54:BY54"/>
    <mergeCell ref="AU53:AV53"/>
    <mergeCell ref="AW53:AZ53"/>
    <mergeCell ref="BF53:BG53"/>
    <mergeCell ref="BH53:BK53"/>
    <mergeCell ref="BN53:BO53"/>
    <mergeCell ref="BP53:BS53"/>
    <mergeCell ref="BV53:BW53"/>
    <mergeCell ref="BX53:CA53"/>
    <mergeCell ref="CG53:CH53"/>
    <mergeCell ref="CI53:CL53"/>
    <mergeCell ref="CO53:CP53"/>
    <mergeCell ref="CQ53:CT53"/>
    <mergeCell ref="CW53:CX53"/>
    <mergeCell ref="CY53:DB53"/>
    <mergeCell ref="C54:D54"/>
    <mergeCell ref="F54:G54"/>
    <mergeCell ref="H54:I54"/>
    <mergeCell ref="K54:L54"/>
    <mergeCell ref="N54:O54"/>
    <mergeCell ref="P54:Q54"/>
    <mergeCell ref="S54:T54"/>
    <mergeCell ref="V54:W54"/>
    <mergeCell ref="X54:Y54"/>
    <mergeCell ref="AD54:AE54"/>
    <mergeCell ref="AG54:AH54"/>
    <mergeCell ref="AI54:AJ54"/>
    <mergeCell ref="AL54:AM54"/>
    <mergeCell ref="AO54:AP54"/>
    <mergeCell ref="AQ54:AR54"/>
    <mergeCell ref="AT54:AU54"/>
    <mergeCell ref="AW54:AX54"/>
    <mergeCell ref="AY54:AZ54"/>
    <mergeCell ref="D51:E51"/>
    <mergeCell ref="F51:I51"/>
    <mergeCell ref="L51:M51"/>
    <mergeCell ref="N51:Q51"/>
    <mergeCell ref="T51:U51"/>
    <mergeCell ref="V51:Y51"/>
    <mergeCell ref="AE51:AF51"/>
    <mergeCell ref="D53:E53"/>
    <mergeCell ref="F53:I53"/>
    <mergeCell ref="L53:M53"/>
    <mergeCell ref="N53:Q53"/>
    <mergeCell ref="T53:U53"/>
    <mergeCell ref="V53:Y53"/>
    <mergeCell ref="AE53:AF53"/>
    <mergeCell ref="AG53:AJ53"/>
    <mergeCell ref="AM53:AN53"/>
    <mergeCell ref="AO53:AR53"/>
    <mergeCell ref="D52:E52"/>
    <mergeCell ref="F52:I52"/>
    <mergeCell ref="L52:M52"/>
    <mergeCell ref="N52:Q52"/>
    <mergeCell ref="T52:U52"/>
    <mergeCell ref="V52:Y52"/>
    <mergeCell ref="AE52:AF52"/>
    <mergeCell ref="AG52:AJ52"/>
    <mergeCell ref="AM52:AN52"/>
    <mergeCell ref="AO52:AR52"/>
    <mergeCell ref="AU52:AV52"/>
    <mergeCell ref="AW52:AZ52"/>
    <mergeCell ref="BF52:BG52"/>
    <mergeCell ref="BH52:BK52"/>
    <mergeCell ref="BN52:BO52"/>
    <mergeCell ref="BP52:BS52"/>
    <mergeCell ref="BV52:BW52"/>
    <mergeCell ref="AG51:AJ51"/>
    <mergeCell ref="AM51:AN51"/>
    <mergeCell ref="AO51:AR51"/>
    <mergeCell ref="AU51:AV51"/>
    <mergeCell ref="AW51:AZ51"/>
    <mergeCell ref="BF51:BG51"/>
    <mergeCell ref="BH51:BK51"/>
    <mergeCell ref="BN51:BO51"/>
    <mergeCell ref="BP51:BS51"/>
    <mergeCell ref="BV51:BW51"/>
    <mergeCell ref="BY43:BZ43"/>
    <mergeCell ref="K43:N43"/>
    <mergeCell ref="O43:P43"/>
    <mergeCell ref="S43:V43"/>
    <mergeCell ref="W43:X43"/>
    <mergeCell ref="AD43:AG43"/>
    <mergeCell ref="AH43:AI43"/>
    <mergeCell ref="AL43:AO43"/>
    <mergeCell ref="AP43:AQ43"/>
    <mergeCell ref="AT43:AW43"/>
    <mergeCell ref="AX43:AY43"/>
    <mergeCell ref="BE43:BH43"/>
    <mergeCell ref="BI43:BJ43"/>
    <mergeCell ref="BM43:BP43"/>
    <mergeCell ref="BQ43:BR43"/>
    <mergeCell ref="BU43:BX43"/>
    <mergeCell ref="BV48:BW48"/>
    <mergeCell ref="BX48:CA48"/>
    <mergeCell ref="AE48:AF48"/>
    <mergeCell ref="AG48:AJ48"/>
    <mergeCell ref="AM48:AN48"/>
    <mergeCell ref="AO48:AR48"/>
    <mergeCell ref="AU48:AV48"/>
    <mergeCell ref="AW48:AZ48"/>
    <mergeCell ref="CF43:CI43"/>
    <mergeCell ref="CJ43:CK43"/>
    <mergeCell ref="CN43:CQ43"/>
    <mergeCell ref="CR43:CS43"/>
    <mergeCell ref="CV43:CY43"/>
    <mergeCell ref="CZ43:DA43"/>
    <mergeCell ref="D50:E50"/>
    <mergeCell ref="F50:I50"/>
    <mergeCell ref="L50:M50"/>
    <mergeCell ref="N50:Q50"/>
    <mergeCell ref="T50:U50"/>
    <mergeCell ref="V50:Y50"/>
    <mergeCell ref="AE50:AF50"/>
    <mergeCell ref="AG50:AJ50"/>
    <mergeCell ref="AM50:AN50"/>
    <mergeCell ref="AO50:AR50"/>
    <mergeCell ref="AU50:AV50"/>
    <mergeCell ref="AW50:AZ50"/>
    <mergeCell ref="BF50:BG50"/>
    <mergeCell ref="BH50:BK50"/>
    <mergeCell ref="BN50:BO50"/>
    <mergeCell ref="BP50:BS50"/>
    <mergeCell ref="BV50:BW50"/>
    <mergeCell ref="BX50:CA50"/>
    <mergeCell ref="CG50:CH50"/>
    <mergeCell ref="CI50:CL50"/>
    <mergeCell ref="CO50:CP50"/>
    <mergeCell ref="CQ50:CT50"/>
    <mergeCell ref="CW50:CX50"/>
    <mergeCell ref="CY50:DB50"/>
    <mergeCell ref="C43:F43"/>
    <mergeCell ref="G43:H43"/>
    <mergeCell ref="BZ39:CA40"/>
    <mergeCell ref="CF39:CG40"/>
    <mergeCell ref="CH39:CI40"/>
    <mergeCell ref="CJ39:CJ40"/>
    <mergeCell ref="CK39:CL40"/>
    <mergeCell ref="CN39:CO40"/>
    <mergeCell ref="CP39:CQ40"/>
    <mergeCell ref="CR39:CR40"/>
    <mergeCell ref="CS39:CT40"/>
    <mergeCell ref="CV39:CW40"/>
    <mergeCell ref="CX39:CY40"/>
    <mergeCell ref="CZ39:CZ40"/>
    <mergeCell ref="DA39:DB40"/>
    <mergeCell ref="C42:H42"/>
    <mergeCell ref="K42:P42"/>
    <mergeCell ref="S42:X42"/>
    <mergeCell ref="AD42:AI42"/>
    <mergeCell ref="AL42:AQ42"/>
    <mergeCell ref="AT42:AY42"/>
    <mergeCell ref="BE42:BJ42"/>
    <mergeCell ref="BM42:BR42"/>
    <mergeCell ref="BU42:BZ42"/>
    <mergeCell ref="CF42:CK42"/>
    <mergeCell ref="CN42:CS42"/>
    <mergeCell ref="CV42:DA42"/>
    <mergeCell ref="CF38:CG38"/>
    <mergeCell ref="CI38:CJ38"/>
    <mergeCell ref="CK38:CL38"/>
    <mergeCell ref="CN38:CO38"/>
    <mergeCell ref="CQ38:CR38"/>
    <mergeCell ref="CS38:CT38"/>
    <mergeCell ref="CV38:CW38"/>
    <mergeCell ref="CY38:CZ38"/>
    <mergeCell ref="DA38:DB38"/>
    <mergeCell ref="C39:D40"/>
    <mergeCell ref="E39:F40"/>
    <mergeCell ref="G39:G40"/>
    <mergeCell ref="H39:I40"/>
    <mergeCell ref="K39:L40"/>
    <mergeCell ref="M39:N40"/>
    <mergeCell ref="O39:O40"/>
    <mergeCell ref="P39:Q40"/>
    <mergeCell ref="S39:T40"/>
    <mergeCell ref="U39:V40"/>
    <mergeCell ref="W39:W40"/>
    <mergeCell ref="X39:Y40"/>
    <mergeCell ref="AD39:AE40"/>
    <mergeCell ref="AF39:AG40"/>
    <mergeCell ref="AH39:AH40"/>
    <mergeCell ref="AI39:AJ40"/>
    <mergeCell ref="AL39:AM40"/>
    <mergeCell ref="AN39:AO40"/>
    <mergeCell ref="AP39:AP40"/>
    <mergeCell ref="AQ39:AR40"/>
    <mergeCell ref="AT39:AU40"/>
    <mergeCell ref="BW39:BX40"/>
    <mergeCell ref="BY39:BY40"/>
    <mergeCell ref="CI37:CL37"/>
    <mergeCell ref="CO37:CP37"/>
    <mergeCell ref="CQ37:CT37"/>
    <mergeCell ref="CW37:CX37"/>
    <mergeCell ref="CY37:DB37"/>
    <mergeCell ref="C38:D38"/>
    <mergeCell ref="F38:G38"/>
    <mergeCell ref="H38:I38"/>
    <mergeCell ref="K38:L38"/>
    <mergeCell ref="N38:O38"/>
    <mergeCell ref="P38:Q38"/>
    <mergeCell ref="S38:T38"/>
    <mergeCell ref="V38:W38"/>
    <mergeCell ref="X38:Y38"/>
    <mergeCell ref="AD38:AE38"/>
    <mergeCell ref="AG38:AH38"/>
    <mergeCell ref="AI38:AJ38"/>
    <mergeCell ref="AL38:AM38"/>
    <mergeCell ref="AO38:AP38"/>
    <mergeCell ref="AQ38:AR38"/>
    <mergeCell ref="AT38:AU38"/>
    <mergeCell ref="AW38:AX38"/>
    <mergeCell ref="AY38:AZ38"/>
    <mergeCell ref="BE38:BF38"/>
    <mergeCell ref="BH38:BI38"/>
    <mergeCell ref="BJ38:BK38"/>
    <mergeCell ref="BM38:BN38"/>
    <mergeCell ref="BP38:BQ38"/>
    <mergeCell ref="BR38:BS38"/>
    <mergeCell ref="BU38:BV38"/>
    <mergeCell ref="BX38:BY38"/>
    <mergeCell ref="BZ38:CA38"/>
    <mergeCell ref="L37:M37"/>
    <mergeCell ref="N37:Q37"/>
    <mergeCell ref="T37:U37"/>
    <mergeCell ref="V37:Y37"/>
    <mergeCell ref="AE37:AF37"/>
    <mergeCell ref="AG37:AJ37"/>
    <mergeCell ref="AM37:AN37"/>
    <mergeCell ref="AO37:AR37"/>
    <mergeCell ref="AU37:AV37"/>
    <mergeCell ref="AW37:AZ37"/>
    <mergeCell ref="BF37:BG37"/>
    <mergeCell ref="BH37:BK37"/>
    <mergeCell ref="BN37:BO37"/>
    <mergeCell ref="BP37:BS37"/>
    <mergeCell ref="BV37:BW37"/>
    <mergeCell ref="BX37:CA37"/>
    <mergeCell ref="CG37:CH37"/>
    <mergeCell ref="C27:F27"/>
    <mergeCell ref="G27:H27"/>
    <mergeCell ref="K27:N27"/>
    <mergeCell ref="O27:P27"/>
    <mergeCell ref="S27:V27"/>
    <mergeCell ref="W27:X27"/>
    <mergeCell ref="AD27:AG27"/>
    <mergeCell ref="AH27:AI27"/>
    <mergeCell ref="AL27:AO27"/>
    <mergeCell ref="AP27:AQ27"/>
    <mergeCell ref="AT27:AW27"/>
    <mergeCell ref="AX27:AY27"/>
    <mergeCell ref="BE27:BH27"/>
    <mergeCell ref="BI27:BJ27"/>
    <mergeCell ref="BM27:BP27"/>
    <mergeCell ref="BQ27:BR27"/>
    <mergeCell ref="BU27:BX27"/>
    <mergeCell ref="BY23:BY24"/>
    <mergeCell ref="BZ23:CA24"/>
    <mergeCell ref="CF23:CG24"/>
    <mergeCell ref="CH23:CI24"/>
    <mergeCell ref="CJ23:CJ24"/>
    <mergeCell ref="CK23:CL24"/>
    <mergeCell ref="CN23:CO24"/>
    <mergeCell ref="CP23:CQ24"/>
    <mergeCell ref="CR23:CR24"/>
    <mergeCell ref="CS23:CT24"/>
    <mergeCell ref="CV23:CW24"/>
    <mergeCell ref="CX23:CY24"/>
    <mergeCell ref="CZ23:CZ24"/>
    <mergeCell ref="DA23:DB24"/>
    <mergeCell ref="C26:H26"/>
    <mergeCell ref="K26:P26"/>
    <mergeCell ref="S26:X26"/>
    <mergeCell ref="AD26:AI26"/>
    <mergeCell ref="AL26:AQ26"/>
    <mergeCell ref="AT26:AY26"/>
    <mergeCell ref="BE26:BJ26"/>
    <mergeCell ref="BM26:BR26"/>
    <mergeCell ref="BU26:BZ26"/>
    <mergeCell ref="CF26:CK26"/>
    <mergeCell ref="CN26:CS26"/>
    <mergeCell ref="CV26:DA26"/>
    <mergeCell ref="AN23:AO24"/>
    <mergeCell ref="AP23:AP24"/>
    <mergeCell ref="AQ23:AR24"/>
    <mergeCell ref="AT23:AU24"/>
    <mergeCell ref="AV23:AW24"/>
    <mergeCell ref="AX23:AX24"/>
    <mergeCell ref="AY23:AZ24"/>
    <mergeCell ref="BE23:BF24"/>
    <mergeCell ref="BG23:BH24"/>
    <mergeCell ref="BI23:BI24"/>
    <mergeCell ref="BJ23:BK24"/>
    <mergeCell ref="BM23:BN24"/>
    <mergeCell ref="BO23:BP24"/>
    <mergeCell ref="BQ23:BQ24"/>
    <mergeCell ref="BR23:BS24"/>
    <mergeCell ref="BU23:BV24"/>
    <mergeCell ref="BW23:BX24"/>
    <mergeCell ref="C23:D24"/>
    <mergeCell ref="E23:F24"/>
    <mergeCell ref="G23:G24"/>
    <mergeCell ref="H23:I24"/>
    <mergeCell ref="K23:L24"/>
    <mergeCell ref="M23:N24"/>
    <mergeCell ref="O23:O24"/>
    <mergeCell ref="P23:Q24"/>
    <mergeCell ref="S23:T24"/>
    <mergeCell ref="U23:V24"/>
    <mergeCell ref="W23:W24"/>
    <mergeCell ref="X23:Y24"/>
    <mergeCell ref="AD23:AE24"/>
    <mergeCell ref="AF23:AG24"/>
    <mergeCell ref="AH23:AH24"/>
    <mergeCell ref="AI23:AJ24"/>
    <mergeCell ref="AL23:AM24"/>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BY27:BZ27"/>
    <mergeCell ref="CF27:CI27"/>
    <mergeCell ref="CJ27:CK27"/>
    <mergeCell ref="CN27:CQ27"/>
    <mergeCell ref="CR27:CS27"/>
    <mergeCell ref="CV27:CY27"/>
    <mergeCell ref="CZ27:DA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CO36:CP36"/>
    <mergeCell ref="CQ36:CT36"/>
    <mergeCell ref="CW36:CX36"/>
    <mergeCell ref="CY36:DB36"/>
    <mergeCell ref="AE36:AF36"/>
    <mergeCell ref="AG36:AJ36"/>
    <mergeCell ref="AM36:AN36"/>
    <mergeCell ref="AO36:AR36"/>
    <mergeCell ref="AU36:AV36"/>
    <mergeCell ref="AW36:AZ36"/>
    <mergeCell ref="BF36:BG36"/>
    <mergeCell ref="BH36:BK36"/>
    <mergeCell ref="BN36:BO36"/>
    <mergeCell ref="BP36:BS36"/>
    <mergeCell ref="BV36:BW36"/>
    <mergeCell ref="BX36:CA36"/>
    <mergeCell ref="CG36:CH36"/>
    <mergeCell ref="CI36:CL36"/>
    <mergeCell ref="D36:E36"/>
    <mergeCell ref="F36:I36"/>
    <mergeCell ref="L36:M36"/>
    <mergeCell ref="AV39:AW40"/>
    <mergeCell ref="AX39:AX40"/>
    <mergeCell ref="AY39:AZ40"/>
    <mergeCell ref="BE39:BF40"/>
    <mergeCell ref="BG39:BH40"/>
    <mergeCell ref="BI39:BI40"/>
    <mergeCell ref="BJ39:BK40"/>
    <mergeCell ref="BM39:BN40"/>
    <mergeCell ref="BO39:BP40"/>
    <mergeCell ref="BQ39:BQ40"/>
    <mergeCell ref="BR39:BS40"/>
    <mergeCell ref="BU39:BV40"/>
    <mergeCell ref="D45:E45"/>
    <mergeCell ref="F45:I45"/>
    <mergeCell ref="L45:M45"/>
    <mergeCell ref="N45:Q45"/>
    <mergeCell ref="T45:U45"/>
    <mergeCell ref="V45:Y45"/>
    <mergeCell ref="D44:E44"/>
    <mergeCell ref="F44:I44"/>
    <mergeCell ref="L44:M44"/>
    <mergeCell ref="N44:Q44"/>
    <mergeCell ref="T44:U44"/>
    <mergeCell ref="V44:Y44"/>
    <mergeCell ref="N36:Q36"/>
    <mergeCell ref="T36:U36"/>
    <mergeCell ref="V36:Y36"/>
    <mergeCell ref="D37:E37"/>
    <mergeCell ref="F37:I37"/>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BZ54:CA54"/>
    <mergeCell ref="CF54:CG54"/>
    <mergeCell ref="CI54:CJ54"/>
    <mergeCell ref="CK54:CL54"/>
    <mergeCell ref="CN54:CO54"/>
    <mergeCell ref="CQ54:CR54"/>
    <mergeCell ref="CS54:CT54"/>
    <mergeCell ref="CV54:CW54"/>
    <mergeCell ref="CY54:CZ54"/>
    <mergeCell ref="DA54:DB54"/>
    <mergeCell ref="BX51:CA51"/>
    <mergeCell ref="CG51:CH51"/>
    <mergeCell ref="CI51:CL51"/>
    <mergeCell ref="CO51:CP51"/>
    <mergeCell ref="CQ51:CT51"/>
    <mergeCell ref="CW51:CX51"/>
    <mergeCell ref="CY51:DB51"/>
    <mergeCell ref="BX52:CA52"/>
    <mergeCell ref="CG52:CH52"/>
    <mergeCell ref="CI52:CL52"/>
    <mergeCell ref="CO52:CP52"/>
    <mergeCell ref="CQ52:CT52"/>
    <mergeCell ref="CW52:CX52"/>
    <mergeCell ref="CY52:DB52"/>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G69:CH69"/>
    <mergeCell ref="CI69:CL69"/>
    <mergeCell ref="CO69:CP69"/>
    <mergeCell ref="CQ69:CT69"/>
    <mergeCell ref="AO68:AR68"/>
    <mergeCell ref="AU68:AV68"/>
    <mergeCell ref="AW68:AZ68"/>
    <mergeCell ref="D68:E68"/>
    <mergeCell ref="F68:I68"/>
    <mergeCell ref="L68:M68"/>
    <mergeCell ref="N68:Q68"/>
    <mergeCell ref="T68:U68"/>
    <mergeCell ref="V68:Y68"/>
    <mergeCell ref="D69:E69"/>
    <mergeCell ref="F69:I69"/>
    <mergeCell ref="L69:M69"/>
    <mergeCell ref="N69:Q69"/>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CY64:DB64"/>
    <mergeCell ref="CG68:CH68"/>
    <mergeCell ref="CI68:CL68"/>
    <mergeCell ref="CO68:CP68"/>
    <mergeCell ref="CQ68:CT68"/>
    <mergeCell ref="CW68:CX68"/>
    <mergeCell ref="CY68:DB68"/>
    <mergeCell ref="BF68:BG68"/>
    <mergeCell ref="BH68:BK68"/>
    <mergeCell ref="BN68:BO68"/>
    <mergeCell ref="BP68:BS68"/>
    <mergeCell ref="BV68:BW68"/>
    <mergeCell ref="BX65:CA65"/>
    <mergeCell ref="CG65:CH65"/>
    <mergeCell ref="BX68:CA68"/>
    <mergeCell ref="AE68:AF68"/>
    <mergeCell ref="AG68:AJ68"/>
    <mergeCell ref="AM68:AN68"/>
    <mergeCell ref="T69:U69"/>
    <mergeCell ref="V69:Y69"/>
    <mergeCell ref="BX70:BY70"/>
    <mergeCell ref="BZ70:CA70"/>
    <mergeCell ref="D76:E76"/>
    <mergeCell ref="F76:I76"/>
    <mergeCell ref="L76:M76"/>
    <mergeCell ref="N76:Q76"/>
    <mergeCell ref="T76:U76"/>
    <mergeCell ref="V76:Y76"/>
    <mergeCell ref="CG77:CH77"/>
    <mergeCell ref="CI77:CL77"/>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V71:AW72"/>
    <mergeCell ref="AX71:AX72"/>
    <mergeCell ref="AY71:AZ72"/>
    <mergeCell ref="BE71:BF72"/>
    <mergeCell ref="BG71:BH72"/>
    <mergeCell ref="BI71:BI72"/>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D77:E77"/>
    <mergeCell ref="F77:I77"/>
    <mergeCell ref="L77:M77"/>
    <mergeCell ref="N77:Q77"/>
    <mergeCell ref="T77:U77"/>
    <mergeCell ref="V77:Y77"/>
  </mergeCells>
  <conditionalFormatting sqref="C10:H10">
    <cfRule type="cellIs" dxfId="374" priority="180" operator="equal">
      <formula>0</formula>
    </cfRule>
  </conditionalFormatting>
  <conditionalFormatting sqref="K10:P10">
    <cfRule type="cellIs" dxfId="373" priority="179" operator="equal">
      <formula>0</formula>
    </cfRule>
  </conditionalFormatting>
  <conditionalFormatting sqref="S10:X10">
    <cfRule type="cellIs" dxfId="372" priority="178" operator="equal">
      <formula>0</formula>
    </cfRule>
  </conditionalFormatting>
  <conditionalFormatting sqref="C26:H26">
    <cfRule type="cellIs" dxfId="371" priority="177" operator="equal">
      <formula>0</formula>
    </cfRule>
  </conditionalFormatting>
  <conditionalFormatting sqref="C42:H42">
    <cfRule type="cellIs" dxfId="370" priority="176" operator="equal">
      <formula>0</formula>
    </cfRule>
  </conditionalFormatting>
  <conditionalFormatting sqref="C58:H58">
    <cfRule type="cellIs" dxfId="369" priority="175" operator="equal">
      <formula>0</formula>
    </cfRule>
  </conditionalFormatting>
  <conditionalFormatting sqref="C74:H74">
    <cfRule type="cellIs" dxfId="368" priority="174" operator="equal">
      <formula>0</formula>
    </cfRule>
  </conditionalFormatting>
  <conditionalFormatting sqref="K26:P26">
    <cfRule type="cellIs" dxfId="367" priority="173" operator="equal">
      <formula>0</formula>
    </cfRule>
  </conditionalFormatting>
  <conditionalFormatting sqref="K42:P42">
    <cfRule type="cellIs" dxfId="366" priority="172" operator="equal">
      <formula>0</formula>
    </cfRule>
  </conditionalFormatting>
  <conditionalFormatting sqref="K58:P58">
    <cfRule type="cellIs" dxfId="365" priority="171" operator="equal">
      <formula>0</formula>
    </cfRule>
  </conditionalFormatting>
  <conditionalFormatting sqref="K74:P74">
    <cfRule type="cellIs" dxfId="364" priority="170" operator="equal">
      <formula>0</formula>
    </cfRule>
  </conditionalFormatting>
  <conditionalFormatting sqref="S26:X26">
    <cfRule type="cellIs" dxfId="363" priority="169" operator="equal">
      <formula>0</formula>
    </cfRule>
  </conditionalFormatting>
  <conditionalFormatting sqref="S42:X42">
    <cfRule type="cellIs" dxfId="362" priority="168" operator="equal">
      <formula>0</formula>
    </cfRule>
  </conditionalFormatting>
  <conditionalFormatting sqref="S58:X58">
    <cfRule type="cellIs" dxfId="361" priority="167" operator="equal">
      <formula>0</formula>
    </cfRule>
  </conditionalFormatting>
  <conditionalFormatting sqref="S74:X74">
    <cfRule type="cellIs" dxfId="360" priority="166" operator="equal">
      <formula>0</formula>
    </cfRule>
  </conditionalFormatting>
  <conditionalFormatting sqref="AD10:AI10">
    <cfRule type="cellIs" dxfId="359" priority="165" operator="equal">
      <formula>0</formula>
    </cfRule>
  </conditionalFormatting>
  <conditionalFormatting sqref="AL10:AQ10">
    <cfRule type="cellIs" dxfId="358" priority="164" operator="equal">
      <formula>0</formula>
    </cfRule>
  </conditionalFormatting>
  <conditionalFormatting sqref="AT10:AY10">
    <cfRule type="cellIs" dxfId="357" priority="163" operator="equal">
      <formula>0</formula>
    </cfRule>
  </conditionalFormatting>
  <conditionalFormatting sqref="AD26:AI26">
    <cfRule type="cellIs" dxfId="356" priority="162" operator="equal">
      <formula>0</formula>
    </cfRule>
  </conditionalFormatting>
  <conditionalFormatting sqref="AD42:AI42">
    <cfRule type="cellIs" dxfId="355" priority="161" operator="equal">
      <formula>0</formula>
    </cfRule>
  </conditionalFormatting>
  <conditionalFormatting sqref="AD58:AI58">
    <cfRule type="cellIs" dxfId="354" priority="160" operator="equal">
      <formula>0</formula>
    </cfRule>
  </conditionalFormatting>
  <conditionalFormatting sqref="AD74:AI74">
    <cfRule type="cellIs" dxfId="353" priority="159" operator="equal">
      <formula>0</formula>
    </cfRule>
  </conditionalFormatting>
  <conditionalFormatting sqref="AL26:AQ26">
    <cfRule type="cellIs" dxfId="352" priority="158" operator="equal">
      <formula>0</formula>
    </cfRule>
  </conditionalFormatting>
  <conditionalFormatting sqref="AL42:AQ42">
    <cfRule type="cellIs" dxfId="351" priority="157" operator="equal">
      <formula>0</formula>
    </cfRule>
  </conditionalFormatting>
  <conditionalFormatting sqref="AL58:AQ58">
    <cfRule type="cellIs" dxfId="350" priority="156" operator="equal">
      <formula>0</formula>
    </cfRule>
  </conditionalFormatting>
  <conditionalFormatting sqref="AL74:AQ74">
    <cfRule type="cellIs" dxfId="349" priority="155" operator="equal">
      <formula>0</formula>
    </cfRule>
  </conditionalFormatting>
  <conditionalFormatting sqref="AT26:AY26">
    <cfRule type="cellIs" dxfId="348" priority="154" operator="equal">
      <formula>0</formula>
    </cfRule>
  </conditionalFormatting>
  <conditionalFormatting sqref="AT42:AY42">
    <cfRule type="cellIs" dxfId="347" priority="153" operator="equal">
      <formula>0</formula>
    </cfRule>
  </conditionalFormatting>
  <conditionalFormatting sqref="AT58:AY58">
    <cfRule type="cellIs" dxfId="346" priority="152" operator="equal">
      <formula>0</formula>
    </cfRule>
  </conditionalFormatting>
  <conditionalFormatting sqref="AT74:AY74">
    <cfRule type="cellIs" dxfId="345" priority="151" operator="equal">
      <formula>0</formula>
    </cfRule>
  </conditionalFormatting>
  <conditionalFormatting sqref="BE10:BJ10">
    <cfRule type="cellIs" dxfId="344" priority="150" operator="equal">
      <formula>0</formula>
    </cfRule>
  </conditionalFormatting>
  <conditionalFormatting sqref="BM10:BR10">
    <cfRule type="cellIs" dxfId="343" priority="149" operator="equal">
      <formula>0</formula>
    </cfRule>
  </conditionalFormatting>
  <conditionalFormatting sqref="BU10:BZ10">
    <cfRule type="cellIs" dxfId="342" priority="148" operator="equal">
      <formula>0</formula>
    </cfRule>
  </conditionalFormatting>
  <conditionalFormatting sqref="BE26:BJ26">
    <cfRule type="cellIs" dxfId="341" priority="147" operator="equal">
      <formula>0</formula>
    </cfRule>
  </conditionalFormatting>
  <conditionalFormatting sqref="BE42:BJ42">
    <cfRule type="cellIs" dxfId="340" priority="146" operator="equal">
      <formula>0</formula>
    </cfRule>
  </conditionalFormatting>
  <conditionalFormatting sqref="BE58:BJ58">
    <cfRule type="cellIs" dxfId="339" priority="145" operator="equal">
      <formula>0</formula>
    </cfRule>
  </conditionalFormatting>
  <conditionalFormatting sqref="BE74:BJ74">
    <cfRule type="cellIs" dxfId="338" priority="144" operator="equal">
      <formula>0</formula>
    </cfRule>
  </conditionalFormatting>
  <conditionalFormatting sqref="BM26:BR26">
    <cfRule type="cellIs" dxfId="337" priority="143" operator="equal">
      <formula>0</formula>
    </cfRule>
  </conditionalFormatting>
  <conditionalFormatting sqref="BM42:BR42">
    <cfRule type="cellIs" dxfId="336" priority="142" operator="equal">
      <formula>0</formula>
    </cfRule>
  </conditionalFormatting>
  <conditionalFormatting sqref="BM58:BR58">
    <cfRule type="cellIs" dxfId="335" priority="141" operator="equal">
      <formula>0</formula>
    </cfRule>
  </conditionalFormatting>
  <conditionalFormatting sqref="BM74:BR74">
    <cfRule type="cellIs" dxfId="334" priority="140" operator="equal">
      <formula>0</formula>
    </cfRule>
  </conditionalFormatting>
  <conditionalFormatting sqref="BU26:BZ26">
    <cfRule type="cellIs" dxfId="333" priority="139" operator="equal">
      <formula>0</formula>
    </cfRule>
  </conditionalFormatting>
  <conditionalFormatting sqref="BU42:BZ42">
    <cfRule type="cellIs" dxfId="332" priority="138" operator="equal">
      <formula>0</formula>
    </cfRule>
  </conditionalFormatting>
  <conditionalFormatting sqref="BU58:BZ58">
    <cfRule type="cellIs" dxfId="331" priority="137" operator="equal">
      <formula>0</formula>
    </cfRule>
  </conditionalFormatting>
  <conditionalFormatting sqref="BU74:BZ74">
    <cfRule type="cellIs" dxfId="330" priority="136" operator="equal">
      <formula>0</formula>
    </cfRule>
  </conditionalFormatting>
  <conditionalFormatting sqref="CF10:CK10">
    <cfRule type="cellIs" dxfId="329" priority="135" operator="equal">
      <formula>0</formula>
    </cfRule>
  </conditionalFormatting>
  <conditionalFormatting sqref="CN10:CS10">
    <cfRule type="cellIs" dxfId="328" priority="134" operator="equal">
      <formula>0</formula>
    </cfRule>
  </conditionalFormatting>
  <conditionalFormatting sqref="CV10:DA10">
    <cfRule type="cellIs" dxfId="327" priority="133" operator="equal">
      <formula>0</formula>
    </cfRule>
  </conditionalFormatting>
  <conditionalFormatting sqref="CF26:CK26">
    <cfRule type="cellIs" dxfId="326" priority="132" operator="equal">
      <formula>0</formula>
    </cfRule>
  </conditionalFormatting>
  <conditionalFormatting sqref="CF42:CK42">
    <cfRule type="cellIs" dxfId="325" priority="131" operator="equal">
      <formula>0</formula>
    </cfRule>
  </conditionalFormatting>
  <conditionalFormatting sqref="CF58:CK58">
    <cfRule type="cellIs" dxfId="324" priority="130" operator="equal">
      <formula>0</formula>
    </cfRule>
  </conditionalFormatting>
  <conditionalFormatting sqref="CF74:CK74">
    <cfRule type="cellIs" dxfId="323" priority="129" operator="equal">
      <formula>0</formula>
    </cfRule>
  </conditionalFormatting>
  <conditionalFormatting sqref="CN26:CS26">
    <cfRule type="cellIs" dxfId="322" priority="128" operator="equal">
      <formula>0</formula>
    </cfRule>
  </conditionalFormatting>
  <conditionalFormatting sqref="CN42:CS42">
    <cfRule type="cellIs" dxfId="321" priority="127" operator="equal">
      <formula>0</formula>
    </cfRule>
  </conditionalFormatting>
  <conditionalFormatting sqref="CN58:CS58">
    <cfRule type="cellIs" dxfId="320" priority="126" operator="equal">
      <formula>0</formula>
    </cfRule>
  </conditionalFormatting>
  <conditionalFormatting sqref="CN74:CS74">
    <cfRule type="cellIs" dxfId="319" priority="125" operator="equal">
      <formula>0</formula>
    </cfRule>
  </conditionalFormatting>
  <conditionalFormatting sqref="CV26:DA26">
    <cfRule type="cellIs" dxfId="318" priority="124" operator="equal">
      <formula>0</formula>
    </cfRule>
  </conditionalFormatting>
  <conditionalFormatting sqref="CV42:DA42">
    <cfRule type="cellIs" dxfId="317" priority="123" operator="equal">
      <formula>0</formula>
    </cfRule>
  </conditionalFormatting>
  <conditionalFormatting sqref="CV58:DA58">
    <cfRule type="cellIs" dxfId="316" priority="122" operator="equal">
      <formula>0</formula>
    </cfRule>
  </conditionalFormatting>
  <conditionalFormatting sqref="CV74:DA74">
    <cfRule type="cellIs" dxfId="315" priority="121" operator="equal">
      <formula>0</formula>
    </cfRule>
  </conditionalFormatting>
  <conditionalFormatting sqref="W11:X11">
    <cfRule type="expression" dxfId="314" priority="119">
      <formula>W11="Aprendido"</formula>
    </cfRule>
    <cfRule type="expression" dxfId="313" priority="120">
      <formula>$W$11="No accesible"</formula>
    </cfRule>
  </conditionalFormatting>
  <conditionalFormatting sqref="O11:P11">
    <cfRule type="expression" dxfId="312" priority="117">
      <formula>O11="Aprendido"</formula>
    </cfRule>
    <cfRule type="expression" dxfId="311" priority="118">
      <formula>O11="No accesible"</formula>
    </cfRule>
  </conditionalFormatting>
  <conditionalFormatting sqref="G11:H11">
    <cfRule type="expression" dxfId="310" priority="115">
      <formula>G11="Aprendido"</formula>
    </cfRule>
    <cfRule type="expression" dxfId="309" priority="116">
      <formula>G11="No accesible"</formula>
    </cfRule>
  </conditionalFormatting>
  <conditionalFormatting sqref="G27:H27">
    <cfRule type="expression" dxfId="308" priority="113">
      <formula>G27="Aprendido"</formula>
    </cfRule>
    <cfRule type="expression" dxfId="307" priority="114">
      <formula>G27="No accesible"</formula>
    </cfRule>
  </conditionalFormatting>
  <conditionalFormatting sqref="O27:P27">
    <cfRule type="expression" dxfId="306" priority="111">
      <formula>O27="Aprendido"</formula>
    </cfRule>
    <cfRule type="expression" dxfId="305" priority="112">
      <formula>O27="No accesible"</formula>
    </cfRule>
  </conditionalFormatting>
  <conditionalFormatting sqref="W27:X27">
    <cfRule type="expression" dxfId="304" priority="109">
      <formula>W27="Aprendido"</formula>
    </cfRule>
    <cfRule type="expression" dxfId="303" priority="110">
      <formula>W27="No accesible"</formula>
    </cfRule>
  </conditionalFormatting>
  <conditionalFormatting sqref="W43:X43">
    <cfRule type="expression" dxfId="302" priority="107">
      <formula>W43="Aprendido"</formula>
    </cfRule>
    <cfRule type="expression" dxfId="301" priority="108">
      <formula>W43="No accesible"</formula>
    </cfRule>
  </conditionalFormatting>
  <conditionalFormatting sqref="O43:P43">
    <cfRule type="expression" dxfId="300" priority="105">
      <formula>O43="Aprendido"</formula>
    </cfRule>
    <cfRule type="expression" dxfId="299" priority="106">
      <formula>O43="No accesible"</formula>
    </cfRule>
  </conditionalFormatting>
  <conditionalFormatting sqref="G43:H43">
    <cfRule type="expression" dxfId="298" priority="103">
      <formula>G43="Aprendido"</formula>
    </cfRule>
    <cfRule type="expression" dxfId="297" priority="104">
      <formula>G43="No accesible"</formula>
    </cfRule>
  </conditionalFormatting>
  <conditionalFormatting sqref="G59:H59">
    <cfRule type="expression" dxfId="296" priority="101">
      <formula>G59="Aprendido"</formula>
    </cfRule>
    <cfRule type="expression" dxfId="295" priority="102">
      <formula>G59="No accesible"</formula>
    </cfRule>
  </conditionalFormatting>
  <conditionalFormatting sqref="O59:P59">
    <cfRule type="expression" dxfId="294" priority="99">
      <formula>O59="Aprendido"</formula>
    </cfRule>
    <cfRule type="expression" dxfId="293" priority="100">
      <formula>O59="No accesible"</formula>
    </cfRule>
  </conditionalFormatting>
  <conditionalFormatting sqref="W59:X59">
    <cfRule type="expression" dxfId="292" priority="97">
      <formula>W59="Aprendido"</formula>
    </cfRule>
    <cfRule type="expression" dxfId="291" priority="98">
      <formula>W59="No accesible"</formula>
    </cfRule>
  </conditionalFormatting>
  <conditionalFormatting sqref="G75:H75">
    <cfRule type="expression" dxfId="290" priority="95">
      <formula>G75="Aprendido"</formula>
    </cfRule>
    <cfRule type="expression" dxfId="289" priority="96">
      <formula>$G$75="No accesible"</formula>
    </cfRule>
  </conditionalFormatting>
  <conditionalFormatting sqref="O75:P75">
    <cfRule type="expression" dxfId="288" priority="93">
      <formula>O75="Aprendido"</formula>
    </cfRule>
    <cfRule type="expression" dxfId="287" priority="94">
      <formula>O75="No accesible"</formula>
    </cfRule>
  </conditionalFormatting>
  <conditionalFormatting sqref="W75:X75">
    <cfRule type="expression" dxfId="286" priority="91">
      <formula>W75="Aprendido"</formula>
    </cfRule>
    <cfRule type="expression" dxfId="285" priority="92">
      <formula>W75="No accesible"</formula>
    </cfRule>
  </conditionalFormatting>
  <conditionalFormatting sqref="AH11:AI11">
    <cfRule type="expression" dxfId="284" priority="89">
      <formula>AH11="Aprendido"</formula>
    </cfRule>
    <cfRule type="expression" dxfId="283" priority="90">
      <formula>AH11="No accesible"</formula>
    </cfRule>
  </conditionalFormatting>
  <conditionalFormatting sqref="AP11:AQ11">
    <cfRule type="expression" dxfId="282" priority="87">
      <formula>AP11="Aprendido"</formula>
    </cfRule>
    <cfRule type="expression" dxfId="281" priority="88">
      <formula>AP11="No accesible"</formula>
    </cfRule>
  </conditionalFormatting>
  <conditionalFormatting sqref="AX11:AY11">
    <cfRule type="expression" dxfId="280" priority="85">
      <formula>AX11="Aprendido"</formula>
    </cfRule>
    <cfRule type="expression" dxfId="279" priority="86">
      <formula>$AX$11="No accesible"</formula>
    </cfRule>
  </conditionalFormatting>
  <conditionalFormatting sqref="AX27:AY27">
    <cfRule type="expression" dxfId="278" priority="83">
      <formula>AX27="Aprendido"</formula>
    </cfRule>
    <cfRule type="expression" dxfId="277" priority="84">
      <formula>AX27="No accesible"</formula>
    </cfRule>
  </conditionalFormatting>
  <conditionalFormatting sqref="AX43:AY43">
    <cfRule type="expression" dxfId="276" priority="81">
      <formula>AX43="Aprendido"</formula>
    </cfRule>
    <cfRule type="expression" dxfId="275" priority="82">
      <formula>AX43="No accesible"</formula>
    </cfRule>
  </conditionalFormatting>
  <conditionalFormatting sqref="AP27:AQ27">
    <cfRule type="expression" dxfId="274" priority="79">
      <formula>AP27="Aprendido"</formula>
    </cfRule>
    <cfRule type="expression" dxfId="273" priority="80">
      <formula>AP27="No accesible"</formula>
    </cfRule>
  </conditionalFormatting>
  <conditionalFormatting sqref="AP43:AQ43">
    <cfRule type="expression" dxfId="272" priority="77">
      <formula>AP43="Aprendido"</formula>
    </cfRule>
    <cfRule type="expression" dxfId="271" priority="78">
      <formula>AP43="No accesible"</formula>
    </cfRule>
  </conditionalFormatting>
  <conditionalFormatting sqref="AH43:AI43">
    <cfRule type="expression" dxfId="270" priority="75">
      <formula>AH43="Aprendido"</formula>
    </cfRule>
    <cfRule type="expression" dxfId="269" priority="76">
      <formula>AH43="No accesible"</formula>
    </cfRule>
  </conditionalFormatting>
  <conditionalFormatting sqref="AH27:AI27">
    <cfRule type="expression" dxfId="268" priority="73">
      <formula>AH27="Aprendido"</formula>
    </cfRule>
    <cfRule type="expression" dxfId="267" priority="74">
      <formula>AH27="No accesible"</formula>
    </cfRule>
  </conditionalFormatting>
  <conditionalFormatting sqref="AH59:AI59">
    <cfRule type="expression" dxfId="266" priority="71">
      <formula>AH59="Aprendido"</formula>
    </cfRule>
    <cfRule type="expression" dxfId="265" priority="72">
      <formula>AH59="No accesible"</formula>
    </cfRule>
  </conditionalFormatting>
  <conditionalFormatting sqref="AP59:AQ59">
    <cfRule type="expression" dxfId="264" priority="69">
      <formula>AP59="Aprendido"</formula>
    </cfRule>
    <cfRule type="expression" dxfId="263" priority="70">
      <formula>AP59="No accesible"</formula>
    </cfRule>
  </conditionalFormatting>
  <conditionalFormatting sqref="AH75:AI75">
    <cfRule type="expression" dxfId="262" priority="67">
      <formula>AH75="Aprendido"</formula>
    </cfRule>
    <cfRule type="expression" dxfId="261" priority="68">
      <formula>$AH$75="No accesible"</formula>
    </cfRule>
  </conditionalFormatting>
  <conditionalFormatting sqref="AP75:AQ75">
    <cfRule type="expression" dxfId="260" priority="65">
      <formula>AP75="Aprendido"</formula>
    </cfRule>
    <cfRule type="expression" dxfId="259" priority="66">
      <formula>AP75="No accesible"</formula>
    </cfRule>
  </conditionalFormatting>
  <conditionalFormatting sqref="AX75">
    <cfRule type="expression" dxfId="258" priority="63">
      <formula>AX75="Aprendido"</formula>
    </cfRule>
    <cfRule type="expression" dxfId="257" priority="64">
      <formula>AX75="No accesible"</formula>
    </cfRule>
  </conditionalFormatting>
  <conditionalFormatting sqref="AX59:AY59">
    <cfRule type="expression" dxfId="256" priority="61">
      <formula>AX59="Aprendido"</formula>
    </cfRule>
    <cfRule type="expression" dxfId="255" priority="62">
      <formula>AX59="No accesible"</formula>
    </cfRule>
  </conditionalFormatting>
  <conditionalFormatting sqref="BI11:BJ11">
    <cfRule type="expression" dxfId="254" priority="59">
      <formula>BI11="Aprendido"</formula>
    </cfRule>
    <cfRule type="expression" dxfId="253" priority="60">
      <formula>BI11="No accesible"</formula>
    </cfRule>
  </conditionalFormatting>
  <conditionalFormatting sqref="BQ11:BR11">
    <cfRule type="expression" dxfId="252" priority="57">
      <formula>BQ11="Aprendido"</formula>
    </cfRule>
    <cfRule type="expression" dxfId="251" priority="58">
      <formula>BQ11="No accesible"</formula>
    </cfRule>
  </conditionalFormatting>
  <conditionalFormatting sqref="BI27:BJ27">
    <cfRule type="expression" dxfId="250" priority="55">
      <formula>BI27="Aprendido"</formula>
    </cfRule>
    <cfRule type="expression" dxfId="249" priority="56">
      <formula>BI27="No accesible"</formula>
    </cfRule>
  </conditionalFormatting>
  <conditionalFormatting sqref="BQ27:BR27">
    <cfRule type="expression" dxfId="248" priority="53">
      <formula>BQ27="Aprendido"</formula>
    </cfRule>
    <cfRule type="expression" dxfId="247" priority="54">
      <formula>BQ27="No accesible"</formula>
    </cfRule>
  </conditionalFormatting>
  <conditionalFormatting sqref="BY11:BZ11">
    <cfRule type="expression" dxfId="246" priority="51">
      <formula>BY11="Aprendido"</formula>
    </cfRule>
    <cfRule type="expression" dxfId="245" priority="52">
      <formula>$BY$11="No accesible"</formula>
    </cfRule>
  </conditionalFormatting>
  <conditionalFormatting sqref="BY27:BZ27">
    <cfRule type="expression" dxfId="244" priority="49">
      <formula>BY27="Aprendido"</formula>
    </cfRule>
    <cfRule type="expression" dxfId="243" priority="50">
      <formula>BY27="No accesible"</formula>
    </cfRule>
  </conditionalFormatting>
  <conditionalFormatting sqref="BY43:BZ43">
    <cfRule type="expression" dxfId="242" priority="47">
      <formula>BY43="Aprendido"</formula>
    </cfRule>
    <cfRule type="expression" dxfId="241" priority="48">
      <formula>BY43="No accesible"</formula>
    </cfRule>
  </conditionalFormatting>
  <conditionalFormatting sqref="BY59:BZ59">
    <cfRule type="expression" dxfId="240" priority="45">
      <formula>BY59="Aprendido"</formula>
    </cfRule>
    <cfRule type="expression" dxfId="239" priority="46">
      <formula>BY59="No accesible"</formula>
    </cfRule>
  </conditionalFormatting>
  <conditionalFormatting sqref="BQ75:BR75">
    <cfRule type="expression" dxfId="238" priority="43">
      <formula>BQ75="Aprendido"</formula>
    </cfRule>
    <cfRule type="expression" dxfId="237" priority="44">
      <formula>BQ75="No accesible"</formula>
    </cfRule>
  </conditionalFormatting>
  <conditionalFormatting sqref="BQ59:BR59">
    <cfRule type="expression" dxfId="236" priority="41">
      <formula>BQ59="Aprendido"</formula>
    </cfRule>
    <cfRule type="expression" dxfId="235" priority="42">
      <formula>BQ59="No accesible"</formula>
    </cfRule>
  </conditionalFormatting>
  <conditionalFormatting sqref="BQ43:BR43">
    <cfRule type="expression" dxfId="234" priority="39">
      <formula>BQ43="Aprendido"</formula>
    </cfRule>
    <cfRule type="expression" dxfId="233" priority="40">
      <formula>BQ43="No accesible"</formula>
    </cfRule>
  </conditionalFormatting>
  <conditionalFormatting sqref="BI75:BJ75">
    <cfRule type="expression" dxfId="232" priority="37">
      <formula>BI75="Aprendido"</formula>
    </cfRule>
    <cfRule type="expression" dxfId="231" priority="38">
      <formula>$G$75="No accesible"</formula>
    </cfRule>
  </conditionalFormatting>
  <conditionalFormatting sqref="BI59:BJ59">
    <cfRule type="expression" dxfId="230" priority="35">
      <formula>BI59="Aprendido"</formula>
    </cfRule>
    <cfRule type="expression" dxfId="229" priority="36">
      <formula>BI59="No accesible"</formula>
    </cfRule>
  </conditionalFormatting>
  <conditionalFormatting sqref="BI43:BJ43">
    <cfRule type="expression" dxfId="228" priority="33">
      <formula>BI43="Aprendido"</formula>
    </cfRule>
    <cfRule type="expression" dxfId="227" priority="34">
      <formula>BI43="No accesible"</formula>
    </cfRule>
  </conditionalFormatting>
  <conditionalFormatting sqref="CZ43:DA43">
    <cfRule type="expression" dxfId="226" priority="31">
      <formula>CZ43="Aprendido"</formula>
    </cfRule>
    <cfRule type="expression" dxfId="225" priority="32">
      <formula>CZ43="No accesible"</formula>
    </cfRule>
  </conditionalFormatting>
  <conditionalFormatting sqref="CZ59:DA59">
    <cfRule type="expression" dxfId="224" priority="29">
      <formula>CZ59="Aprendido"</formula>
    </cfRule>
    <cfRule type="expression" dxfId="223" priority="30">
      <formula>CZ59="No accesible"</formula>
    </cfRule>
  </conditionalFormatting>
  <conditionalFormatting sqref="CR43:CS43">
    <cfRule type="expression" dxfId="222" priority="27">
      <formula>CR43="Aprendido"</formula>
    </cfRule>
    <cfRule type="expression" dxfId="221" priority="28">
      <formula>CR43="No accesible"</formula>
    </cfRule>
  </conditionalFormatting>
  <conditionalFormatting sqref="CR59:CS59">
    <cfRule type="expression" dxfId="220" priority="25">
      <formula>CR59="Aprendido"</formula>
    </cfRule>
    <cfRule type="expression" dxfId="219" priority="26">
      <formula>CR59="No accesible"</formula>
    </cfRule>
  </conditionalFormatting>
  <conditionalFormatting sqref="CJ59:CK59">
    <cfRule type="expression" dxfId="218" priority="23">
      <formula>CJ59="Aprendido"</formula>
    </cfRule>
    <cfRule type="expression" dxfId="217" priority="24">
      <formula>CJ59="No accesible"</formula>
    </cfRule>
  </conditionalFormatting>
  <conditionalFormatting sqref="CJ43:CK43">
    <cfRule type="expression" dxfId="216" priority="21">
      <formula>CJ43="Aprendido"</formula>
    </cfRule>
    <cfRule type="expression" dxfId="215" priority="22">
      <formula>CJ43="No accesible"</formula>
    </cfRule>
  </conditionalFormatting>
  <conditionalFormatting sqref="CJ27:CK27">
    <cfRule type="expression" dxfId="214" priority="19">
      <formula>CJ27="Aprendido"</formula>
    </cfRule>
    <cfRule type="expression" dxfId="213" priority="20">
      <formula>CJ27="No accesible"</formula>
    </cfRule>
  </conditionalFormatting>
  <conditionalFormatting sqref="CJ11:CK11">
    <cfRule type="expression" dxfId="212" priority="17">
      <formula>CJ11="Aprendido"</formula>
    </cfRule>
    <cfRule type="expression" dxfId="211" priority="18">
      <formula>CJ11="No accesible"</formula>
    </cfRule>
  </conditionalFormatting>
  <conditionalFormatting sqref="CR11:CS11">
    <cfRule type="expression" dxfId="210" priority="15">
      <formula>CR11="Aprendido"</formula>
    </cfRule>
    <cfRule type="expression" dxfId="209" priority="16">
      <formula>CR11="No accesible"</formula>
    </cfRule>
  </conditionalFormatting>
  <conditionalFormatting sqref="CR27:CS27">
    <cfRule type="expression" dxfId="208" priority="13">
      <formula>CR27="Aprendido"</formula>
    </cfRule>
    <cfRule type="expression" dxfId="207" priority="14">
      <formula>CR27="No accesible"</formula>
    </cfRule>
  </conditionalFormatting>
  <conditionalFormatting sqref="CZ11:DA11">
    <cfRule type="expression" dxfId="206" priority="11">
      <formula>CZ11="Aprendido"</formula>
    </cfRule>
    <cfRule type="expression" dxfId="205" priority="12">
      <formula>$CZ$11="No accesible"</formula>
    </cfRule>
  </conditionalFormatting>
  <conditionalFormatting sqref="CZ27:DA27">
    <cfRule type="expression" dxfId="204" priority="9">
      <formula>CZ27="Aprendido"</formula>
    </cfRule>
    <cfRule type="expression" dxfId="203" priority="10">
      <formula>CZ27="No accesible"</formula>
    </cfRule>
  </conditionalFormatting>
  <conditionalFormatting sqref="BY75">
    <cfRule type="expression" dxfId="202" priority="7">
      <formula>BY75="Aprendido"</formula>
    </cfRule>
    <cfRule type="expression" dxfId="201" priority="8">
      <formula>BY75="No accesible"</formula>
    </cfRule>
  </conditionalFormatting>
  <conditionalFormatting sqref="CZ75">
    <cfRule type="expression" dxfId="200" priority="5">
      <formula>CZ75="Aprendido"</formula>
    </cfRule>
    <cfRule type="expression" dxfId="199" priority="6">
      <formula>CZ75="No accesible"</formula>
    </cfRule>
  </conditionalFormatting>
  <conditionalFormatting sqref="CR75:CS75">
    <cfRule type="expression" dxfId="198" priority="3">
      <formula>CR75="Aprendido"</formula>
    </cfRule>
    <cfRule type="expression" dxfId="197" priority="4">
      <formula>CR75="No accesible"</formula>
    </cfRule>
  </conditionalFormatting>
  <conditionalFormatting sqref="CJ75:CK75">
    <cfRule type="expression" dxfId="196" priority="1">
      <formula>CJ75="Aprendido"</formula>
    </cfRule>
    <cfRule type="expression" dxfId="195" priority="2">
      <formula>$G$75="No accesible"</formula>
    </cfRule>
  </conditionalFormatting>
  <dataValidations count="1">
    <dataValidation type="list" allowBlank="1" showInputMessage="1" showErrorMessage="1" sqref="CV6:DA7 AT6:AY7 BU6:BZ7 S6:X7" xr:uid="{4EF73E23-20B8-4EED-8862-65F9830D870A}">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mc:AlternateContent xmlns:mc="http://schemas.openxmlformats.org/markup-compatibility/2006">
      <mc:Choice Requires="x14">
        <control shapeId="56328" r:id="rId7" name="Button 8">
          <controlPr defaultSize="0" print="0" autoFill="0" autoPict="0" macro="[4]!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04F6-5357-40C2-952F-DDDEA9EE3509}">
  <sheetPr codeName="Hoja18">
    <tabColor theme="4" tint="-0.249977111117893"/>
    <pageSetUpPr fitToPage="1"/>
  </sheetPr>
  <dimension ref="A1:DD90"/>
  <sheetViews>
    <sheetView zoomScaleNormal="100" workbookViewId="0">
      <selection activeCell="S10" sqref="S10:X10"/>
    </sheetView>
  </sheetViews>
  <sheetFormatPr baseColWidth="10" defaultColWidth="5.7109375" defaultRowHeight="12" customHeight="1"/>
  <cols>
    <col min="1" max="1" width="2.28515625" style="313" customWidth="1"/>
    <col min="2" max="2" width="2.5703125" style="313" customWidth="1"/>
    <col min="3" max="3" width="4" style="313" customWidth="1"/>
    <col min="4" max="4" width="5.42578125" style="313" customWidth="1"/>
    <col min="5" max="5" width="5.140625" style="313" customWidth="1"/>
    <col min="6" max="6" width="6" style="313" customWidth="1"/>
    <col min="7" max="7" width="8.28515625" style="313" customWidth="1"/>
    <col min="8" max="8" width="7.140625" style="313" customWidth="1"/>
    <col min="9" max="9" width="6" style="313" customWidth="1"/>
    <col min="10" max="10" width="2.7109375" style="313" customWidth="1"/>
    <col min="11" max="11" width="4" style="313" customWidth="1"/>
    <col min="12" max="12" width="5.42578125" style="313" customWidth="1"/>
    <col min="13" max="13" width="5.140625" style="313" customWidth="1"/>
    <col min="14" max="14" width="6" style="313" customWidth="1"/>
    <col min="15" max="15" width="8.28515625" style="313" customWidth="1"/>
    <col min="16" max="16" width="7.140625" style="313" customWidth="1"/>
    <col min="17" max="17" width="6" style="313" customWidth="1"/>
    <col min="18" max="18" width="2.7109375" style="313" customWidth="1"/>
    <col min="19" max="19" width="4" style="313" customWidth="1"/>
    <col min="20" max="20" width="5.42578125" style="313" customWidth="1"/>
    <col min="21" max="21" width="5.140625" style="313" customWidth="1"/>
    <col min="22" max="22" width="6" style="313" customWidth="1"/>
    <col min="23" max="23" width="8.28515625" style="313" customWidth="1"/>
    <col min="24" max="24" width="7.140625" style="313" customWidth="1"/>
    <col min="25" max="25" width="6" style="313" customWidth="1"/>
    <col min="26" max="26" width="2.5703125" style="313" customWidth="1"/>
    <col min="27" max="28" width="2.28515625" style="313" customWidth="1"/>
    <col min="29" max="29" width="2.5703125" style="313" customWidth="1"/>
    <col min="30" max="30" width="4" style="313" customWidth="1"/>
    <col min="31" max="31" width="5.42578125" style="313" customWidth="1"/>
    <col min="32" max="32" width="5.140625" style="313" customWidth="1"/>
    <col min="33" max="33" width="6" style="313" customWidth="1"/>
    <col min="34" max="34" width="8.28515625" style="313" customWidth="1"/>
    <col min="35" max="35" width="7.140625" style="313" customWidth="1"/>
    <col min="36" max="36" width="6" style="313" customWidth="1"/>
    <col min="37" max="37" width="2.7109375" style="313" customWidth="1"/>
    <col min="38" max="38" width="4" style="313" customWidth="1"/>
    <col min="39" max="39" width="5.42578125" style="313" customWidth="1"/>
    <col min="40" max="40" width="5.140625" style="313" customWidth="1"/>
    <col min="41" max="41" width="6" style="313" customWidth="1"/>
    <col min="42" max="42" width="8.28515625" style="313" customWidth="1"/>
    <col min="43" max="43" width="7.140625" style="313" customWidth="1"/>
    <col min="44" max="44" width="6" style="313" customWidth="1"/>
    <col min="45" max="45" width="2.7109375" style="313" customWidth="1"/>
    <col min="46" max="46" width="4" style="313" customWidth="1"/>
    <col min="47" max="47" width="5.42578125" style="313" customWidth="1"/>
    <col min="48" max="48" width="5.140625" style="313" customWidth="1"/>
    <col min="49" max="49" width="6" style="313" customWidth="1"/>
    <col min="50" max="50" width="8.28515625" style="313" customWidth="1"/>
    <col min="51" max="51" width="7.140625" style="313" customWidth="1"/>
    <col min="52" max="52" width="6" style="313" customWidth="1"/>
    <col min="53" max="53" width="2.5703125" style="313" customWidth="1"/>
    <col min="54" max="55" width="2.28515625" style="313" customWidth="1"/>
    <col min="56" max="56" width="2.5703125" style="313" customWidth="1"/>
    <col min="57" max="57" width="4" style="313" customWidth="1"/>
    <col min="58" max="58" width="5.42578125" style="313" customWidth="1"/>
    <col min="59" max="59" width="5.140625" style="313" customWidth="1"/>
    <col min="60" max="60" width="6" style="313" customWidth="1"/>
    <col min="61" max="61" width="8.28515625" style="313" customWidth="1"/>
    <col min="62" max="62" width="7.140625" style="313" customWidth="1"/>
    <col min="63" max="63" width="6" style="313" customWidth="1"/>
    <col min="64" max="64" width="2.7109375" style="313" customWidth="1"/>
    <col min="65" max="65" width="4" style="313" customWidth="1"/>
    <col min="66" max="66" width="5.42578125" style="313" customWidth="1"/>
    <col min="67" max="67" width="5.140625" style="313" customWidth="1"/>
    <col min="68" max="68" width="6" style="313" customWidth="1"/>
    <col min="69" max="69" width="8.28515625" style="313" customWidth="1"/>
    <col min="70" max="70" width="7.140625" style="313" customWidth="1"/>
    <col min="71" max="71" width="6" style="313" customWidth="1"/>
    <col min="72" max="72" width="2.7109375" style="313" customWidth="1"/>
    <col min="73" max="73" width="4" style="313" customWidth="1"/>
    <col min="74" max="74" width="5.42578125" style="313" customWidth="1"/>
    <col min="75" max="75" width="5.140625" style="313" customWidth="1"/>
    <col min="76" max="76" width="6" style="313" customWidth="1"/>
    <col min="77" max="77" width="8.28515625" style="313" customWidth="1"/>
    <col min="78" max="78" width="7.140625" style="313" customWidth="1"/>
    <col min="79" max="79" width="6" style="313" customWidth="1"/>
    <col min="80" max="80" width="2.5703125" style="313" customWidth="1"/>
    <col min="81" max="82" width="2.28515625" style="313" customWidth="1"/>
    <col min="83" max="83" width="2.5703125" style="313" customWidth="1"/>
    <col min="84" max="84" width="4" style="313" customWidth="1"/>
    <col min="85" max="85" width="5.42578125" style="313" customWidth="1"/>
    <col min="86" max="86" width="5.140625" style="313" customWidth="1"/>
    <col min="87" max="87" width="6" style="313" customWidth="1"/>
    <col min="88" max="88" width="8.28515625" style="313" customWidth="1"/>
    <col min="89" max="89" width="7.140625" style="313" customWidth="1"/>
    <col min="90" max="90" width="6" style="313" customWidth="1"/>
    <col min="91" max="91" width="2.7109375" style="313" customWidth="1"/>
    <col min="92" max="92" width="4" style="313" customWidth="1"/>
    <col min="93" max="93" width="5.42578125" style="313" customWidth="1"/>
    <col min="94" max="94" width="5.140625" style="313" customWidth="1"/>
    <col min="95" max="95" width="6" style="313" customWidth="1"/>
    <col min="96" max="96" width="8.28515625" style="313" customWidth="1"/>
    <col min="97" max="97" width="7.140625" style="313" customWidth="1"/>
    <col min="98" max="98" width="6" style="313" customWidth="1"/>
    <col min="99" max="99" width="2.7109375" style="313" customWidth="1"/>
    <col min="100" max="100" width="4" style="313" customWidth="1"/>
    <col min="101" max="101" width="5.42578125" style="313" customWidth="1"/>
    <col min="102" max="102" width="5.140625" style="313" customWidth="1"/>
    <col min="103" max="103" width="6" style="313" customWidth="1"/>
    <col min="104" max="104" width="8.28515625" style="313" customWidth="1"/>
    <col min="105" max="105" width="7.140625" style="313" customWidth="1"/>
    <col min="106" max="106" width="6" style="313" customWidth="1"/>
    <col min="107" max="107" width="2.5703125" style="313" customWidth="1"/>
    <col min="108" max="108" width="2.28515625" style="313" customWidth="1"/>
    <col min="109" max="16384" width="5.7109375" style="313"/>
  </cols>
  <sheetData>
    <row r="1" spans="1:108" ht="12" customHeight="1" thickBot="1">
      <c r="A1" s="8520"/>
      <c r="B1" s="8520"/>
      <c r="C1" s="8520"/>
      <c r="D1" s="8520"/>
      <c r="E1" s="8520"/>
      <c r="F1" s="8520"/>
      <c r="G1" s="8520"/>
      <c r="H1" s="8520"/>
      <c r="I1" s="8520"/>
      <c r="J1" s="8520"/>
      <c r="K1" s="8520"/>
      <c r="L1" s="8520"/>
      <c r="M1" s="8520"/>
      <c r="N1" s="8520"/>
      <c r="O1" s="8520"/>
      <c r="P1" s="8520"/>
      <c r="Q1" s="8520"/>
      <c r="R1" s="8520"/>
      <c r="S1" s="8520"/>
      <c r="T1" s="8520"/>
      <c r="U1" s="8520"/>
      <c r="V1" s="8520"/>
      <c r="W1" s="8520"/>
      <c r="X1" s="8520"/>
      <c r="Y1" s="8520"/>
      <c r="Z1" s="8520"/>
      <c r="AA1" s="8520"/>
      <c r="CL1" s="360"/>
      <c r="CM1" s="360"/>
      <c r="CN1" s="360"/>
      <c r="CO1" s="360"/>
      <c r="CP1" s="360"/>
      <c r="CQ1" s="360"/>
      <c r="CR1" s="360"/>
      <c r="CS1" s="360"/>
      <c r="CT1" s="360"/>
      <c r="CU1" s="360"/>
      <c r="CV1" s="360"/>
      <c r="CW1" s="360"/>
      <c r="CX1" s="360"/>
      <c r="CY1" s="360"/>
      <c r="CZ1" s="360"/>
      <c r="DA1" s="360"/>
      <c r="DB1" s="360"/>
      <c r="DC1" s="360"/>
      <c r="DD1" s="360"/>
    </row>
    <row r="2" spans="1:108" ht="12" customHeight="1" thickBot="1">
      <c r="A2" s="360"/>
      <c r="B2" s="4226"/>
      <c r="C2" s="4227"/>
      <c r="D2" s="4227"/>
      <c r="E2" s="4227"/>
      <c r="F2" s="4227"/>
      <c r="G2" s="4227"/>
      <c r="H2" s="4227"/>
      <c r="I2" s="4227"/>
      <c r="J2" s="4227"/>
      <c r="K2" s="4227"/>
      <c r="L2" s="4227"/>
      <c r="M2" s="4227"/>
      <c r="N2" s="4227"/>
      <c r="O2" s="4227"/>
      <c r="P2" s="4227"/>
      <c r="Q2" s="4227"/>
      <c r="R2" s="4227"/>
      <c r="S2" s="4228"/>
      <c r="T2" s="4227"/>
      <c r="U2" s="4227"/>
      <c r="V2" s="4227"/>
      <c r="W2" s="4227"/>
      <c r="X2" s="4227"/>
      <c r="Y2" s="4227"/>
      <c r="Z2" s="4229"/>
      <c r="AA2" s="360"/>
    </row>
    <row r="3" spans="1:108" ht="12" customHeight="1">
      <c r="A3" s="360"/>
      <c r="B3" s="262"/>
      <c r="C3" s="8523"/>
      <c r="D3" s="8524"/>
      <c r="E3" s="8524"/>
      <c r="F3" s="8524"/>
      <c r="G3" s="8524"/>
      <c r="H3" s="8524"/>
      <c r="I3" s="4230"/>
      <c r="J3" s="4230"/>
      <c r="K3" s="4230"/>
      <c r="L3" s="4230"/>
      <c r="M3" s="4230"/>
      <c r="N3" s="4230"/>
      <c r="O3" s="4230"/>
      <c r="P3" s="4230"/>
      <c r="Q3" s="4230"/>
      <c r="R3" s="3630"/>
      <c r="S3" s="4230"/>
      <c r="T3" s="4230"/>
      <c r="U3" s="4230"/>
      <c r="V3" s="4230"/>
      <c r="W3" s="4230"/>
      <c r="X3" s="4230"/>
      <c r="Y3" s="4231"/>
      <c r="Z3" s="4232"/>
      <c r="AA3" s="360"/>
    </row>
    <row r="4" spans="1:108" ht="12" customHeight="1">
      <c r="A4" s="360"/>
      <c r="B4" s="262"/>
      <c r="C4" s="8382"/>
      <c r="D4" s="8383"/>
      <c r="E4" s="8383"/>
      <c r="F4" s="8383"/>
      <c r="G4" s="8383"/>
      <c r="H4" s="8383"/>
      <c r="I4" s="8521" t="s">
        <v>1184</v>
      </c>
      <c r="J4" s="8521"/>
      <c r="K4" s="4373" t="str">
        <f>IF(OR(General!$F$22="",General!$F$22=0),"",General!$F$22)</f>
        <v/>
      </c>
      <c r="L4" s="4373"/>
      <c r="M4" s="4373"/>
      <c r="N4" s="4373"/>
      <c r="O4" s="4373"/>
      <c r="P4" s="4373"/>
      <c r="Q4" s="4373"/>
      <c r="R4" s="1297"/>
      <c r="S4" s="311"/>
      <c r="T4" s="311"/>
      <c r="U4" s="311"/>
      <c r="V4" s="311"/>
      <c r="W4" s="311"/>
      <c r="X4" s="311"/>
      <c r="Y4" s="4233"/>
      <c r="Z4" s="4232"/>
      <c r="AA4" s="360"/>
    </row>
    <row r="5" spans="1:108" ht="12" customHeight="1">
      <c r="A5" s="360"/>
      <c r="B5" s="982">
        <v>32</v>
      </c>
      <c r="C5" s="8382"/>
      <c r="D5" s="8383"/>
      <c r="E5" s="8383"/>
      <c r="F5" s="8383"/>
      <c r="G5" s="8383"/>
      <c r="H5" s="8383"/>
      <c r="I5" s="8522" t="s">
        <v>1185</v>
      </c>
      <c r="J5" s="8522"/>
      <c r="K5" s="4363" t="str">
        <f>IF(LEN(PDs!$E$11)&lt;=$B$5,PDs!$E$11,"… /"&amp;RIGHT(PDs!$E$11,$B$5-FIND("/",RIGHT(PDs!$E$11,$B$5))))</f>
        <v/>
      </c>
      <c r="L5" s="4363"/>
      <c r="M5" s="4363"/>
      <c r="N5" s="4363"/>
      <c r="O5" s="4363"/>
      <c r="P5" s="2003" t="s">
        <v>1186</v>
      </c>
      <c r="Q5" s="2004" t="str">
        <f>Principal!$O$6</f>
        <v>1</v>
      </c>
      <c r="R5" s="1297"/>
      <c r="S5" s="5709" t="s">
        <v>14146</v>
      </c>
      <c r="T5" s="5710"/>
      <c r="U5" s="5710"/>
      <c r="V5" s="5710"/>
      <c r="W5" s="5710"/>
      <c r="X5" s="5710"/>
      <c r="Y5" s="4233"/>
      <c r="Z5" s="4232"/>
      <c r="AA5" s="360"/>
    </row>
    <row r="6" spans="1:108" ht="12" customHeight="1">
      <c r="A6" s="360"/>
      <c r="B6" s="262"/>
      <c r="C6" s="8382"/>
      <c r="D6" s="8383"/>
      <c r="E6" s="8383"/>
      <c r="F6" s="8383"/>
      <c r="G6" s="8383"/>
      <c r="H6" s="8383"/>
      <c r="I6" s="311"/>
      <c r="J6" s="5709"/>
      <c r="K6" s="5710"/>
      <c r="L6" s="5710"/>
      <c r="M6" s="5710"/>
      <c r="N6" s="5710"/>
      <c r="O6" s="5710"/>
      <c r="P6" s="5710"/>
      <c r="Q6" s="311"/>
      <c r="R6" s="1297"/>
      <c r="S6" s="5710"/>
      <c r="T6" s="5710"/>
      <c r="U6" s="5710"/>
      <c r="V6" s="5710"/>
      <c r="W6" s="5710"/>
      <c r="X6" s="5710"/>
      <c r="Y6" s="4233"/>
      <c r="Z6" s="4232"/>
      <c r="AA6" s="360"/>
    </row>
    <row r="7" spans="1:108" ht="12" customHeight="1">
      <c r="A7" s="360"/>
      <c r="B7" s="262"/>
      <c r="C7" s="8382"/>
      <c r="D7" s="8383"/>
      <c r="E7" s="8383"/>
      <c r="F7" s="8383"/>
      <c r="G7" s="8383"/>
      <c r="H7" s="8383"/>
      <c r="I7" s="311"/>
      <c r="J7" s="5710"/>
      <c r="K7" s="5710"/>
      <c r="L7" s="5710"/>
      <c r="M7" s="5710"/>
      <c r="N7" s="5710"/>
      <c r="O7" s="5710"/>
      <c r="P7" s="5710"/>
      <c r="Q7" s="311"/>
      <c r="R7" s="1297"/>
      <c r="S7" s="311"/>
      <c r="T7" s="311"/>
      <c r="U7" s="311"/>
      <c r="V7" s="311"/>
      <c r="W7" s="311"/>
      <c r="X7" s="311"/>
      <c r="Y7" s="4234"/>
      <c r="Z7" s="4232"/>
      <c r="AA7" s="360"/>
    </row>
    <row r="8" spans="1:108" ht="12" customHeight="1" thickBot="1">
      <c r="A8" s="360"/>
      <c r="B8" s="262"/>
      <c r="C8" s="8525"/>
      <c r="D8" s="8526"/>
      <c r="E8" s="8526"/>
      <c r="F8" s="8526"/>
      <c r="G8" s="8526"/>
      <c r="H8" s="8526"/>
      <c r="I8" s="4235"/>
      <c r="J8" s="4235"/>
      <c r="K8" s="4235"/>
      <c r="L8" s="4235"/>
      <c r="M8" s="4235"/>
      <c r="N8" s="4235"/>
      <c r="O8" s="4235"/>
      <c r="P8" s="4235"/>
      <c r="Q8" s="4235"/>
      <c r="R8" s="4236"/>
      <c r="S8" s="4235"/>
      <c r="T8" s="4235"/>
      <c r="U8" s="4235"/>
      <c r="V8" s="4235"/>
      <c r="W8" s="4235"/>
      <c r="X8" s="4235"/>
      <c r="Y8" s="4237"/>
      <c r="Z8" s="4232"/>
      <c r="AA8" s="360"/>
    </row>
    <row r="9" spans="1:108" ht="12" customHeight="1" thickBot="1">
      <c r="A9" s="360"/>
      <c r="B9" s="262"/>
      <c r="C9" s="976"/>
      <c r="K9" s="976"/>
      <c r="S9" s="976"/>
      <c r="Z9" s="4232"/>
      <c r="AA9" s="360"/>
    </row>
    <row r="10" spans="1:108" ht="12" customHeight="1">
      <c r="A10" s="360"/>
      <c r="B10" s="982">
        <v>1</v>
      </c>
      <c r="C10" s="8527"/>
      <c r="D10" s="8528"/>
      <c r="E10" s="8528"/>
      <c r="F10" s="8528"/>
      <c r="G10" s="8528"/>
      <c r="H10" s="8528"/>
      <c r="I10" s="4238" t="s">
        <v>1262</v>
      </c>
      <c r="J10" s="607">
        <v>2</v>
      </c>
      <c r="K10" s="8527"/>
      <c r="L10" s="8528"/>
      <c r="M10" s="8528"/>
      <c r="N10" s="8528"/>
      <c r="O10" s="8528"/>
      <c r="P10" s="8529"/>
      <c r="Q10" s="4238" t="s">
        <v>1262</v>
      </c>
      <c r="R10" s="982">
        <v>3</v>
      </c>
      <c r="S10" s="8527"/>
      <c r="T10" s="8528"/>
      <c r="U10" s="8528"/>
      <c r="V10" s="8528"/>
      <c r="W10" s="8528"/>
      <c r="X10" s="8529"/>
      <c r="Y10" s="4238" t="s">
        <v>1262</v>
      </c>
      <c r="Z10" s="4232"/>
      <c r="AA10" s="360"/>
    </row>
    <row r="11" spans="1:108" ht="12" customHeight="1">
      <c r="A11" s="360"/>
      <c r="B11" s="982"/>
      <c r="C11" s="8500" t="str">
        <f>IF(C10=0,"",VLOOKUP(C10,'Tablas psiquica'!$D$7:$R$296,2,FALSE))</f>
        <v/>
      </c>
      <c r="D11" s="8501"/>
      <c r="E11" s="8501"/>
      <c r="F11" s="8502"/>
      <c r="G11" s="8498" t="str" cm="1">
        <f t="array" ref="G11">IF(C10=0,"",IF(Psíquicos!AD11=C10,"Acceso natural",IF(INDEX('Tablas psiquica'!$AU$5:$BS$5,1,J11)=0,"No Accesible",IF(ISNA(VLOOKUP(C10,Psíquicos!$AS$17:$AS$44,1,0)),"Accesible CV","Aprendido"))))</f>
        <v/>
      </c>
      <c r="H11" s="8499"/>
      <c r="I11" s="4242" t="str">
        <f>IF(C10=0,"",VLOOKUP(C10,'Tablas psiquica'!$D$7:$R$296,3,FALSE))</f>
        <v/>
      </c>
      <c r="J11" s="4264" t="e">
        <f>MATCH(C11,'Tablas psiquica'!$AU$4:$BS$4,0)</f>
        <v>#N/A</v>
      </c>
      <c r="K11" s="8501" t="str">
        <f>IF(K10=0,"",VLOOKUP(K10,'Tablas psiquica'!$D$7:$R$296,2,FALSE))</f>
        <v/>
      </c>
      <c r="L11" s="8501"/>
      <c r="M11" s="8501"/>
      <c r="N11" s="8502"/>
      <c r="O11" s="8498" t="str" cm="1">
        <f t="array" ref="O11">IF(K10=0,"",IF(Psíquicos!AL11=K10,"Acceso natural",IF(INDEX('Tablas psiquica'!$AU$5:$BS$5,1,R11)=0,"No Accesible",IF(ISNA(VLOOKUP(K10,Psíquicos!$AS$17:$AS$44,1,0)),"Accesible CV","Aprendido"))))</f>
        <v/>
      </c>
      <c r="P11" s="8499"/>
      <c r="Q11" s="4242" t="str">
        <f>IF(K10=0,"",VLOOKUP(K10,'Tablas psiquica'!$D$7:$R$296,3,FALSE))</f>
        <v/>
      </c>
      <c r="R11" s="4264" t="e">
        <f>MATCH(K11,'Tablas psiquica'!$AU$4:$BS$4,0)</f>
        <v>#N/A</v>
      </c>
      <c r="S11" s="8501" t="str">
        <f>IF(S10=0,"",VLOOKUP(S10,'Tablas psiquica'!$D$7:$R$296,2,FALSE))</f>
        <v/>
      </c>
      <c r="T11" s="8501"/>
      <c r="U11" s="8501"/>
      <c r="V11" s="8502"/>
      <c r="W11" s="8498" t="str" cm="1">
        <f t="array" ref="W11">IF(S10=0,"",IF(Psíquicos!AT11=S10,"Acceso natural",IF(INDEX('Tablas psiquica'!$AU$5:$BS$5,1,Z11)=0,"No Accesible",IF(ISNA(VLOOKUP(S10,Psíquicos!$AS$17:$AS$44,1,0)),"Accesible CV","Aprendido"))))</f>
        <v/>
      </c>
      <c r="X11" s="8499"/>
      <c r="Y11" s="4242" t="str">
        <f>IF(S10=0,"",VLOOKUP(S10,'Tablas psiquica'!$D$7:$R$296,3,FALSE))</f>
        <v/>
      </c>
      <c r="Z11" s="4264" t="e">
        <f>MATCH(S11,'Tablas psiquica'!$AU$4:$BS$4,0)</f>
        <v>#N/A</v>
      </c>
      <c r="AA11" s="360"/>
    </row>
    <row r="12" spans="1:108" ht="12" customHeight="1">
      <c r="A12" s="360"/>
      <c r="B12" s="982"/>
      <c r="C12" s="1455">
        <v>20</v>
      </c>
      <c r="D12" s="8477" t="s">
        <v>1577</v>
      </c>
      <c r="E12" s="8392"/>
      <c r="F12" s="8475" t="str">
        <f>IF(C10=0,"",VLOOKUP(C10,'Tablas psiquica'!$D$7:$R$296,6,FALSE))</f>
        <v/>
      </c>
      <c r="G12" s="7145"/>
      <c r="H12" s="7145"/>
      <c r="I12" s="8476"/>
      <c r="J12" s="607"/>
      <c r="K12" s="1455">
        <v>20</v>
      </c>
      <c r="L12" s="8477" t="s">
        <v>1577</v>
      </c>
      <c r="M12" s="8392"/>
      <c r="N12" s="8475" t="str">
        <f>IF(K10=0,"",VLOOKUP(K10,'Tablas psiquica'!$D$7:$R$296,6,FALSE))</f>
        <v/>
      </c>
      <c r="O12" s="7145"/>
      <c r="P12" s="7145"/>
      <c r="Q12" s="8476"/>
      <c r="R12" s="982"/>
      <c r="S12" s="1455">
        <v>20</v>
      </c>
      <c r="T12" s="8477" t="s">
        <v>1577</v>
      </c>
      <c r="U12" s="8392"/>
      <c r="V12" s="8475" t="str">
        <f>IF(S10=0,"",VLOOKUP(S10,'Tablas psiquica'!$D$7:$R$296,6,FALSE))</f>
        <v/>
      </c>
      <c r="W12" s="7145"/>
      <c r="X12" s="7145"/>
      <c r="Y12" s="8476"/>
      <c r="Z12" s="4232"/>
      <c r="AA12" s="360"/>
    </row>
    <row r="13" spans="1:108" ht="12" customHeight="1">
      <c r="A13" s="360"/>
      <c r="B13" s="982"/>
      <c r="C13" s="1454">
        <v>40</v>
      </c>
      <c r="D13" s="8472" t="s">
        <v>1579</v>
      </c>
      <c r="E13" s="8387"/>
      <c r="F13" s="8473" t="str">
        <f>IF(C10=0,"",VLOOKUP(C10,'Tablas psiquica'!$D$7:$R$296,7,FALSE))</f>
        <v/>
      </c>
      <c r="G13" s="8258"/>
      <c r="H13" s="8258"/>
      <c r="I13" s="8474"/>
      <c r="J13" s="607"/>
      <c r="K13" s="1454">
        <v>40</v>
      </c>
      <c r="L13" s="8472" t="s">
        <v>1579</v>
      </c>
      <c r="M13" s="8387"/>
      <c r="N13" s="8473" t="str">
        <f>IF(K10=0,"",VLOOKUP(K10,'Tablas psiquica'!$D$7:$R$296,7,FALSE))</f>
        <v/>
      </c>
      <c r="O13" s="8258"/>
      <c r="P13" s="8258"/>
      <c r="Q13" s="8474"/>
      <c r="R13" s="982"/>
      <c r="S13" s="1454">
        <v>40</v>
      </c>
      <c r="T13" s="8472" t="s">
        <v>1579</v>
      </c>
      <c r="U13" s="8387"/>
      <c r="V13" s="8473" t="str">
        <f>IF(S10=0,"",VLOOKUP(S10,'Tablas psiquica'!$D$7:$R$296,7,FALSE))</f>
        <v/>
      </c>
      <c r="W13" s="8258"/>
      <c r="X13" s="8258"/>
      <c r="Y13" s="8474"/>
      <c r="Z13" s="4232"/>
      <c r="AA13" s="360"/>
    </row>
    <row r="14" spans="1:108" ht="12" customHeight="1">
      <c r="A14" s="360"/>
      <c r="B14" s="982"/>
      <c r="C14" s="1455">
        <v>80</v>
      </c>
      <c r="D14" s="8477" t="s">
        <v>1582</v>
      </c>
      <c r="E14" s="8392"/>
      <c r="F14" s="8475" t="str">
        <f>IF(C10=0,"",VLOOKUP(C10,'Tablas psiquica'!$D$7:$R$296,8,FALSE))</f>
        <v/>
      </c>
      <c r="G14" s="7145"/>
      <c r="H14" s="7145"/>
      <c r="I14" s="8476"/>
      <c r="J14" s="607"/>
      <c r="K14" s="1455">
        <v>80</v>
      </c>
      <c r="L14" s="8477" t="s">
        <v>1582</v>
      </c>
      <c r="M14" s="8392"/>
      <c r="N14" s="8475" t="str">
        <f>IF(K10=0,"",VLOOKUP(K10,'Tablas psiquica'!$D$7:$R$296,8,FALSE))</f>
        <v/>
      </c>
      <c r="O14" s="7145"/>
      <c r="P14" s="7145"/>
      <c r="Q14" s="8476"/>
      <c r="R14" s="982"/>
      <c r="S14" s="1455">
        <v>80</v>
      </c>
      <c r="T14" s="8477" t="s">
        <v>1582</v>
      </c>
      <c r="U14" s="8392"/>
      <c r="V14" s="8475" t="str">
        <f>IF(S10=0,"",VLOOKUP(S10,'Tablas psiquica'!$D$7:$R$296,8,FALSE))</f>
        <v/>
      </c>
      <c r="W14" s="7145"/>
      <c r="X14" s="7145"/>
      <c r="Y14" s="8476"/>
      <c r="Z14" s="4232"/>
      <c r="AA14" s="360"/>
    </row>
    <row r="15" spans="1:108" ht="12" customHeight="1">
      <c r="A15" s="360"/>
      <c r="B15" s="982"/>
      <c r="C15" s="1454">
        <v>120</v>
      </c>
      <c r="D15" s="8472" t="s">
        <v>1585</v>
      </c>
      <c r="E15" s="8387"/>
      <c r="F15" s="8473" t="str">
        <f>IF(C10=0,"",VLOOKUP(C10,'Tablas psiquica'!$D$7:$R$296,9,FALSE))</f>
        <v/>
      </c>
      <c r="G15" s="8258"/>
      <c r="H15" s="8258"/>
      <c r="I15" s="8474"/>
      <c r="J15" s="607"/>
      <c r="K15" s="1454">
        <v>120</v>
      </c>
      <c r="L15" s="8472" t="s">
        <v>1585</v>
      </c>
      <c r="M15" s="8387"/>
      <c r="N15" s="8473" t="str">
        <f>IF(K10=0,"",VLOOKUP(K10,'Tablas psiquica'!$D$7:$R$296,9,FALSE))</f>
        <v/>
      </c>
      <c r="O15" s="8258"/>
      <c r="P15" s="8258"/>
      <c r="Q15" s="8474"/>
      <c r="R15" s="982"/>
      <c r="S15" s="1454">
        <v>120</v>
      </c>
      <c r="T15" s="8472" t="s">
        <v>1585</v>
      </c>
      <c r="U15" s="8387"/>
      <c r="V15" s="8473" t="str">
        <f>IF(S10=0,"",VLOOKUP(S10,'Tablas psiquica'!$D$7:$R$296,9,FALSE))</f>
        <v/>
      </c>
      <c r="W15" s="8258"/>
      <c r="X15" s="8258"/>
      <c r="Y15" s="8474"/>
      <c r="Z15" s="4232"/>
      <c r="AA15" s="360"/>
    </row>
    <row r="16" spans="1:108" ht="12" customHeight="1">
      <c r="A16" s="360"/>
      <c r="B16" s="982"/>
      <c r="C16" s="1455">
        <v>140</v>
      </c>
      <c r="D16" s="8477" t="s">
        <v>5822</v>
      </c>
      <c r="E16" s="8392"/>
      <c r="F16" s="8475" t="str">
        <f>IF(C10=0,"",VLOOKUP(C10,'Tablas psiquica'!$D$7:$R$296,10,FALSE))</f>
        <v/>
      </c>
      <c r="G16" s="7145"/>
      <c r="H16" s="7145"/>
      <c r="I16" s="8476"/>
      <c r="J16" s="607"/>
      <c r="K16" s="1455">
        <v>140</v>
      </c>
      <c r="L16" s="8477" t="s">
        <v>5822</v>
      </c>
      <c r="M16" s="8392"/>
      <c r="N16" s="8475" t="str">
        <f>IF(K10=0,"",VLOOKUP(K10,'Tablas psiquica'!$D$7:$R$296,10,FALSE))</f>
        <v/>
      </c>
      <c r="O16" s="7145"/>
      <c r="P16" s="7145"/>
      <c r="Q16" s="8476"/>
      <c r="R16" s="982"/>
      <c r="S16" s="1455">
        <v>140</v>
      </c>
      <c r="T16" s="8477" t="s">
        <v>5822</v>
      </c>
      <c r="U16" s="8392"/>
      <c r="V16" s="8475" t="str">
        <f>IF(S10=0,"",VLOOKUP(S10,'Tablas psiquica'!$D$7:$R$296,10,FALSE))</f>
        <v/>
      </c>
      <c r="W16" s="7145"/>
      <c r="X16" s="7145"/>
      <c r="Y16" s="8476"/>
      <c r="Z16" s="4232"/>
      <c r="AA16" s="360"/>
    </row>
    <row r="17" spans="1:27" ht="12" customHeight="1">
      <c r="A17" s="360"/>
      <c r="B17" s="982"/>
      <c r="C17" s="1454">
        <v>180</v>
      </c>
      <c r="D17" s="8472" t="s">
        <v>1589</v>
      </c>
      <c r="E17" s="8387"/>
      <c r="F17" s="8473" t="str">
        <f>IF(C10=0,"",VLOOKUP(C10,'Tablas psiquica'!$D$7:$R$296,11,FALSE))</f>
        <v/>
      </c>
      <c r="G17" s="8258"/>
      <c r="H17" s="8258"/>
      <c r="I17" s="8474"/>
      <c r="J17" s="607"/>
      <c r="K17" s="1454">
        <v>180</v>
      </c>
      <c r="L17" s="8472" t="s">
        <v>1589</v>
      </c>
      <c r="M17" s="8387"/>
      <c r="N17" s="8473" t="str">
        <f>IF(K10=0,"",VLOOKUP(K10,'Tablas psiquica'!$D$7:$R$296,11,FALSE))</f>
        <v/>
      </c>
      <c r="O17" s="8258"/>
      <c r="P17" s="8258"/>
      <c r="Q17" s="8474"/>
      <c r="R17" s="982"/>
      <c r="S17" s="1454">
        <v>180</v>
      </c>
      <c r="T17" s="8472" t="s">
        <v>1589</v>
      </c>
      <c r="U17" s="8387"/>
      <c r="V17" s="8473" t="str">
        <f>IF(S10=0,"",VLOOKUP(S10,'Tablas psiquica'!$D$7:$R$296,11,FALSE))</f>
        <v/>
      </c>
      <c r="W17" s="8258"/>
      <c r="X17" s="8258"/>
      <c r="Y17" s="8474"/>
      <c r="Z17" s="4232"/>
      <c r="AA17" s="360"/>
    </row>
    <row r="18" spans="1:27" ht="12" customHeight="1">
      <c r="A18" s="360"/>
      <c r="B18" s="982"/>
      <c r="C18" s="1455">
        <v>240</v>
      </c>
      <c r="D18" s="8477" t="s">
        <v>5823</v>
      </c>
      <c r="E18" s="8392"/>
      <c r="F18" s="8475" t="str">
        <f>IF(C10=0,"",VLOOKUP(C10,'Tablas psiquica'!$D$7:$R$296,12,FALSE))</f>
        <v/>
      </c>
      <c r="G18" s="7145"/>
      <c r="H18" s="7145"/>
      <c r="I18" s="8476"/>
      <c r="J18" s="607"/>
      <c r="K18" s="1455">
        <v>240</v>
      </c>
      <c r="L18" s="8477" t="s">
        <v>5823</v>
      </c>
      <c r="M18" s="8392"/>
      <c r="N18" s="8475" t="str">
        <f>IF(K10=0,"",VLOOKUP(K10,'Tablas psiquica'!$D$7:$R$296,12,FALSE))</f>
        <v/>
      </c>
      <c r="O18" s="7145"/>
      <c r="P18" s="7145"/>
      <c r="Q18" s="8476"/>
      <c r="R18" s="982"/>
      <c r="S18" s="1455">
        <v>240</v>
      </c>
      <c r="T18" s="8477" t="s">
        <v>5823</v>
      </c>
      <c r="U18" s="8392"/>
      <c r="V18" s="8475" t="str">
        <f>IF(S10=0,"",VLOOKUP(S10,'Tablas psiquica'!$D$7:$R$296,12,FALSE))</f>
        <v/>
      </c>
      <c r="W18" s="7145"/>
      <c r="X18" s="7145"/>
      <c r="Y18" s="8476"/>
      <c r="Z18" s="4232"/>
      <c r="AA18" s="360"/>
    </row>
    <row r="19" spans="1:27" ht="12" customHeight="1">
      <c r="A19" s="360"/>
      <c r="B19" s="982"/>
      <c r="C19" s="1454">
        <v>280</v>
      </c>
      <c r="D19" s="8472" t="s">
        <v>1592</v>
      </c>
      <c r="E19" s="8387"/>
      <c r="F19" s="8473" t="str">
        <f>IF(C10=0,"",VLOOKUP(C10,'Tablas psiquica'!$D$7:$R$296,13,FALSE))</f>
        <v/>
      </c>
      <c r="G19" s="8258"/>
      <c r="H19" s="8258"/>
      <c r="I19" s="8474"/>
      <c r="J19" s="607"/>
      <c r="K19" s="1454">
        <v>280</v>
      </c>
      <c r="L19" s="8472" t="s">
        <v>1592</v>
      </c>
      <c r="M19" s="8387"/>
      <c r="N19" s="8473" t="str">
        <f>IF(K10=0,"",VLOOKUP(K10,'Tablas psiquica'!$D$7:$R$296,13,FALSE))</f>
        <v/>
      </c>
      <c r="O19" s="8258"/>
      <c r="P19" s="8258"/>
      <c r="Q19" s="8474"/>
      <c r="R19" s="982"/>
      <c r="S19" s="1454">
        <v>280</v>
      </c>
      <c r="T19" s="8472" t="s">
        <v>1592</v>
      </c>
      <c r="U19" s="8387"/>
      <c r="V19" s="8473" t="str">
        <f>IF(S10=0,"",VLOOKUP(S10,'Tablas psiquica'!$D$7:$R$296,13,FALSE))</f>
        <v/>
      </c>
      <c r="W19" s="8258"/>
      <c r="X19" s="8258"/>
      <c r="Y19" s="8474"/>
      <c r="Z19" s="4232"/>
      <c r="AA19" s="360"/>
    </row>
    <row r="20" spans="1:27" ht="12" customHeight="1">
      <c r="A20" s="360"/>
      <c r="B20" s="982"/>
      <c r="C20" s="1455">
        <v>320</v>
      </c>
      <c r="D20" s="8477" t="s">
        <v>1594</v>
      </c>
      <c r="E20" s="8392"/>
      <c r="F20" s="8475" t="str">
        <f>IF(C10=0,"",VLOOKUP(C10,'Tablas psiquica'!$D$7:$R$296,14,FALSE))</f>
        <v/>
      </c>
      <c r="G20" s="7145"/>
      <c r="H20" s="7145"/>
      <c r="I20" s="8476"/>
      <c r="J20" s="607"/>
      <c r="K20" s="1455">
        <v>320</v>
      </c>
      <c r="L20" s="8477" t="s">
        <v>1594</v>
      </c>
      <c r="M20" s="8392"/>
      <c r="N20" s="8475" t="str">
        <f>IF(K10=0,"",VLOOKUP(K10,'Tablas psiquica'!$D$7:$R$296,14,FALSE))</f>
        <v/>
      </c>
      <c r="O20" s="7145"/>
      <c r="P20" s="7145"/>
      <c r="Q20" s="8476"/>
      <c r="R20" s="982"/>
      <c r="S20" s="1455">
        <v>320</v>
      </c>
      <c r="T20" s="8477" t="s">
        <v>1594</v>
      </c>
      <c r="U20" s="8392"/>
      <c r="V20" s="8475" t="str">
        <f>IF(S10=0,"",VLOOKUP(S10,'Tablas psiquica'!$D$7:$R$296,14,FALSE))</f>
        <v/>
      </c>
      <c r="W20" s="7145"/>
      <c r="X20" s="7145"/>
      <c r="Y20" s="8476"/>
      <c r="Z20" s="4232"/>
      <c r="AA20" s="360"/>
    </row>
    <row r="21" spans="1:27" ht="12" customHeight="1">
      <c r="A21" s="360"/>
      <c r="B21" s="982"/>
      <c r="C21" s="4243">
        <v>440</v>
      </c>
      <c r="D21" s="8478" t="s">
        <v>1537</v>
      </c>
      <c r="E21" s="8479"/>
      <c r="F21" s="8480" t="str">
        <f>IF(C10=0,"",VLOOKUP(C10,'Tablas psiquica'!$D$7:$R$296,15,FALSE))</f>
        <v/>
      </c>
      <c r="G21" s="8481"/>
      <c r="H21" s="8481"/>
      <c r="I21" s="8482"/>
      <c r="J21" s="607"/>
      <c r="K21" s="4243">
        <v>440</v>
      </c>
      <c r="L21" s="8478" t="s">
        <v>1537</v>
      </c>
      <c r="M21" s="8479"/>
      <c r="N21" s="8480" t="str">
        <f>IF(K10=0,"",VLOOKUP(K10,'Tablas psiquica'!$D$7:$R$296,15,FALSE))</f>
        <v/>
      </c>
      <c r="O21" s="8481"/>
      <c r="P21" s="8481"/>
      <c r="Q21" s="8482"/>
      <c r="R21" s="982"/>
      <c r="S21" s="4243">
        <v>440</v>
      </c>
      <c r="T21" s="8478" t="s">
        <v>1537</v>
      </c>
      <c r="U21" s="8479"/>
      <c r="V21" s="8480" t="str">
        <f>IF(S10=0,"",VLOOKUP(S10,'Tablas psiquica'!$D$7:$R$296,15,FALSE))</f>
        <v/>
      </c>
      <c r="W21" s="8481"/>
      <c r="X21" s="8481"/>
      <c r="Y21" s="8482"/>
      <c r="Z21" s="4232"/>
      <c r="AA21" s="360"/>
    </row>
    <row r="22" spans="1:27" ht="12" customHeight="1">
      <c r="A22" s="360"/>
      <c r="B22" s="982"/>
      <c r="C22" s="8503" t="s">
        <v>5824</v>
      </c>
      <c r="D22" s="8504"/>
      <c r="E22" s="4239" t="str">
        <f>IF(C10=0,"",VLOOKUP(C10,'Tablas psiquica'!$D$7:$R$296,4,FALSE))</f>
        <v/>
      </c>
      <c r="F22" s="8505" t="s">
        <v>5819</v>
      </c>
      <c r="G22" s="8505"/>
      <c r="H22" s="8501" t="str">
        <f>IF(C10=0,"",VLOOKUP(C10,'Tablas psiquica'!$D$7:$R$296,5,FALSE))</f>
        <v/>
      </c>
      <c r="I22" s="8506"/>
      <c r="J22" s="607"/>
      <c r="K22" s="8496" t="s">
        <v>5824</v>
      </c>
      <c r="L22" s="8490"/>
      <c r="M22" s="4244" t="str">
        <f>IF(K10=0,"",VLOOKUP(K10,'Tablas psiquica'!$D$7:$R$296,4,FALSE))</f>
        <v/>
      </c>
      <c r="N22" s="8483" t="s">
        <v>5819</v>
      </c>
      <c r="O22" s="8483"/>
      <c r="P22" s="8484" t="str">
        <f>IF(K10=0,"",VLOOKUP(K10,'Tablas psiquica'!$D$7:$R$296,5,FALSE))</f>
        <v/>
      </c>
      <c r="Q22" s="8485"/>
      <c r="R22" s="982"/>
      <c r="S22" s="8496" t="s">
        <v>5824</v>
      </c>
      <c r="T22" s="8490"/>
      <c r="U22" s="4244" t="str">
        <f>IF(S10=0,"",VLOOKUP(S10,'Tablas psiquica'!$D$7:$R$296,4,FALSE))</f>
        <v/>
      </c>
      <c r="V22" s="8483" t="s">
        <v>5819</v>
      </c>
      <c r="W22" s="8483"/>
      <c r="X22" s="8484" t="str">
        <f>IF(S10=0,"",VLOOKUP(S10,'Tablas psiquica'!$D$7:$R$296,5,FALSE))</f>
        <v/>
      </c>
      <c r="Y22" s="8485"/>
      <c r="Z22" s="4232"/>
      <c r="AA22" s="360"/>
    </row>
    <row r="23" spans="1:27" ht="12" customHeight="1">
      <c r="A23" s="360"/>
      <c r="B23" s="982"/>
      <c r="C23" s="8496" t="s">
        <v>13936</v>
      </c>
      <c r="D23" s="8490"/>
      <c r="E23" s="8486" t="str">
        <f>IF(C10=0,"",VLOOKUP(C10,'Tablas psiquica'!$D$7:$Z$296,20,FALSE))</f>
        <v/>
      </c>
      <c r="F23" s="8487"/>
      <c r="G23" s="8490" t="s">
        <v>13937</v>
      </c>
      <c r="H23" s="8492" t="str">
        <f>IF(C10=0,"",VLOOKUP(C10,'Tablas psiquica'!$D$7:$Z$296,21,FALSE))</f>
        <v/>
      </c>
      <c r="I23" s="8493"/>
      <c r="J23" s="607"/>
      <c r="K23" s="8496" t="s">
        <v>13936</v>
      </c>
      <c r="L23" s="8490"/>
      <c r="M23" s="8486" t="str">
        <f>IF(K10=0,"",VLOOKUP(K10,'Tablas psiquica'!$D$7:$Z$296,20,FALSE))</f>
        <v/>
      </c>
      <c r="N23" s="8487"/>
      <c r="O23" s="8490" t="s">
        <v>13937</v>
      </c>
      <c r="P23" s="8492" t="str">
        <f>IF(K10=0,"",VLOOKUP(K10,'Tablas psiquica'!$D$7:$Z$296,21,FALSE))</f>
        <v/>
      </c>
      <c r="Q23" s="8493"/>
      <c r="R23" s="607"/>
      <c r="S23" s="8496" t="s">
        <v>13936</v>
      </c>
      <c r="T23" s="8490"/>
      <c r="U23" s="8486" t="str">
        <f>IF(S10=0,"",VLOOKUP(S10,'Tablas psiquica'!$D$7:$Z$296,20,FALSE))</f>
        <v/>
      </c>
      <c r="V23" s="8487"/>
      <c r="W23" s="8490" t="s">
        <v>13937</v>
      </c>
      <c r="X23" s="8492" t="str">
        <f>IF(S10=0,"",VLOOKUP(S10,'Tablas psiquica'!$D$7:$Z$296,21,FALSE))</f>
        <v/>
      </c>
      <c r="Y23" s="8493"/>
      <c r="Z23" s="4232"/>
      <c r="AA23" s="360"/>
    </row>
    <row r="24" spans="1:27" ht="12" customHeight="1" thickBot="1">
      <c r="A24" s="360"/>
      <c r="B24" s="982"/>
      <c r="C24" s="8497"/>
      <c r="D24" s="8491"/>
      <c r="E24" s="8488"/>
      <c r="F24" s="8489"/>
      <c r="G24" s="8491"/>
      <c r="H24" s="8494"/>
      <c r="I24" s="8495"/>
      <c r="J24" s="607"/>
      <c r="K24" s="8497"/>
      <c r="L24" s="8491"/>
      <c r="M24" s="8488"/>
      <c r="N24" s="8489"/>
      <c r="O24" s="8491"/>
      <c r="P24" s="8494"/>
      <c r="Q24" s="8495"/>
      <c r="R24" s="607"/>
      <c r="S24" s="8497"/>
      <c r="T24" s="8491"/>
      <c r="U24" s="8488"/>
      <c r="V24" s="8489"/>
      <c r="W24" s="8491"/>
      <c r="X24" s="8494"/>
      <c r="Y24" s="8495"/>
      <c r="Z24" s="4232"/>
      <c r="AA24" s="360"/>
    </row>
    <row r="25" spans="1:27" ht="12" customHeight="1" thickBot="1">
      <c r="A25" s="360"/>
      <c r="B25" s="982"/>
      <c r="C25" s="976"/>
      <c r="J25" s="607"/>
      <c r="K25" s="976"/>
      <c r="R25" s="607"/>
      <c r="S25" s="976"/>
      <c r="Y25" s="377"/>
      <c r="Z25" s="4232"/>
      <c r="AA25" s="360"/>
    </row>
    <row r="26" spans="1:27" ht="12" customHeight="1">
      <c r="A26" s="360"/>
      <c r="B26" s="982">
        <v>4</v>
      </c>
      <c r="C26" s="8527"/>
      <c r="D26" s="8528"/>
      <c r="E26" s="8528"/>
      <c r="F26" s="8528"/>
      <c r="G26" s="8528"/>
      <c r="H26" s="8529"/>
      <c r="I26" s="4238" t="s">
        <v>1262</v>
      </c>
      <c r="J26" s="607">
        <v>5</v>
      </c>
      <c r="K26" s="8527"/>
      <c r="L26" s="8528"/>
      <c r="M26" s="8528"/>
      <c r="N26" s="8528"/>
      <c r="O26" s="8528"/>
      <c r="P26" s="8529"/>
      <c r="Q26" s="4238" t="s">
        <v>1262</v>
      </c>
      <c r="R26" s="982">
        <v>6</v>
      </c>
      <c r="S26" s="8527"/>
      <c r="T26" s="8528"/>
      <c r="U26" s="8528"/>
      <c r="V26" s="8528"/>
      <c r="W26" s="8528"/>
      <c r="X26" s="8529"/>
      <c r="Y26" s="4238" t="s">
        <v>1262</v>
      </c>
      <c r="Z26" s="4232"/>
      <c r="AA26" s="360"/>
    </row>
    <row r="27" spans="1:27" ht="12" customHeight="1">
      <c r="A27" s="360"/>
      <c r="B27" s="982"/>
      <c r="C27" s="8500" t="str">
        <f>IF(C26=0,"",VLOOKUP(C26,'Tablas psiquica'!$D$7:$R$296,2,FALSE))</f>
        <v/>
      </c>
      <c r="D27" s="8501"/>
      <c r="E27" s="8501"/>
      <c r="F27" s="8502"/>
      <c r="G27" s="8498" t="str" cm="1">
        <f t="array" ref="G27">IF(C26=0,"",IF(Psíquicos!AD27=C26,"Acceso natural",IF(INDEX('Tablas psiquica'!$AU$5:$BS$5,1,J27)=0,"No Accesible",IF(ISNA(VLOOKUP(C26,Psíquicos!$AS$17:$AS$44,1,0)),"Accesible CV","Aprendido"))))</f>
        <v/>
      </c>
      <c r="H27" s="8499"/>
      <c r="I27" s="4242" t="str">
        <f>IF(C26=0,"",VLOOKUP(C26,'Tablas psiquica'!$D$7:$R$296,3,FALSE))</f>
        <v/>
      </c>
      <c r="J27" s="4264" t="e">
        <f>MATCH(C27,'Tablas psiquica'!$AU$4:$BS$4,0)</f>
        <v>#N/A</v>
      </c>
      <c r="K27" s="8501" t="str">
        <f>IF(K26=0,"",VLOOKUP(K26,'Tablas psiquica'!$D$7:$R$296,2,FALSE))</f>
        <v/>
      </c>
      <c r="L27" s="8501"/>
      <c r="M27" s="8501"/>
      <c r="N27" s="8502"/>
      <c r="O27" s="8498" t="str" cm="1">
        <f t="array" ref="O27">IF(K26=0,"",IF(Psíquicos!AL27=K26,"Acceso natural",IF(INDEX('Tablas psiquica'!$AU$5:$BS$5,1,R27)=0,"No Accesible",IF(ISNA(VLOOKUP(K26,Psíquicos!$AS$17:$AS$44,1,0)),"Accesible CV","Aprendido"))))</f>
        <v/>
      </c>
      <c r="P27" s="8499"/>
      <c r="Q27" s="4242" t="str">
        <f>IF(K26=0,"",VLOOKUP(K26,'Tablas psiquica'!$D$7:$R$296,3,FALSE))</f>
        <v/>
      </c>
      <c r="R27" s="4264" t="e">
        <f>MATCH(K27,'Tablas psiquica'!$AU$4:$BS$4,0)</f>
        <v>#N/A</v>
      </c>
      <c r="S27" s="8501" t="str">
        <f>IF(S26=0,"",VLOOKUP(S26,'Tablas psiquica'!$D$7:$R$296,2,FALSE))</f>
        <v/>
      </c>
      <c r="T27" s="8501"/>
      <c r="U27" s="8501"/>
      <c r="V27" s="8502"/>
      <c r="W27" s="8498" t="str" cm="1">
        <f t="array" ref="W27">IF(S26=0,"",IF(Psíquicos!AT27=S26,"Acceso natural",IF(INDEX('Tablas psiquica'!$AU$5:$BS$5,1,Z27)=0,"No Accesible",IF(ISNA(VLOOKUP(S26,Psíquicos!$AS$17:$AS$44,1,0)),"Accesible CV","Aprendido"))))</f>
        <v/>
      </c>
      <c r="X27" s="8499"/>
      <c r="Y27" s="4242" t="str">
        <f>IF(S26=0,"",VLOOKUP(S26,'Tablas psiquica'!$D$7:$R$296,3,FALSE))</f>
        <v/>
      </c>
      <c r="Z27" s="4264" t="e">
        <f>MATCH(S27,'Tablas psiquica'!$AU$4:$BS$4,0)</f>
        <v>#N/A</v>
      </c>
      <c r="AA27" s="360"/>
    </row>
    <row r="28" spans="1:27" ht="12" customHeight="1">
      <c r="A28" s="360"/>
      <c r="B28" s="982"/>
      <c r="C28" s="1455">
        <v>20</v>
      </c>
      <c r="D28" s="8477" t="s">
        <v>1577</v>
      </c>
      <c r="E28" s="8392"/>
      <c r="F28" s="8475" t="str">
        <f>IF(C26=0,"",VLOOKUP(C26,'Tablas psiquica'!$D$7:$R$296,6,FALSE))</f>
        <v/>
      </c>
      <c r="G28" s="7145"/>
      <c r="H28" s="7145"/>
      <c r="I28" s="8476"/>
      <c r="J28" s="607"/>
      <c r="K28" s="1455">
        <v>20</v>
      </c>
      <c r="L28" s="8477" t="s">
        <v>1577</v>
      </c>
      <c r="M28" s="8392"/>
      <c r="N28" s="8475" t="str">
        <f>IF(K26=0,"",VLOOKUP(K26,'Tablas psiquica'!$D$7:$R$296,6,FALSE))</f>
        <v/>
      </c>
      <c r="O28" s="7145"/>
      <c r="P28" s="7145"/>
      <c r="Q28" s="8476"/>
      <c r="R28" s="982"/>
      <c r="S28" s="1455">
        <v>20</v>
      </c>
      <c r="T28" s="8477" t="s">
        <v>1577</v>
      </c>
      <c r="U28" s="8392"/>
      <c r="V28" s="8475" t="str">
        <f>IF(S26=0,"",VLOOKUP(S26,'Tablas psiquica'!$D$7:$R$296,6,FALSE))</f>
        <v/>
      </c>
      <c r="W28" s="7145"/>
      <c r="X28" s="7145"/>
      <c r="Y28" s="8476"/>
      <c r="Z28" s="4232"/>
      <c r="AA28" s="360"/>
    </row>
    <row r="29" spans="1:27" ht="12" customHeight="1">
      <c r="A29" s="360"/>
      <c r="B29" s="982"/>
      <c r="C29" s="1454">
        <v>40</v>
      </c>
      <c r="D29" s="8472" t="s">
        <v>1579</v>
      </c>
      <c r="E29" s="8387"/>
      <c r="F29" s="8473" t="str">
        <f>IF(C26=0,"",VLOOKUP(C26,'Tablas psiquica'!$D$7:$R$296,7,FALSE))</f>
        <v/>
      </c>
      <c r="G29" s="8258"/>
      <c r="H29" s="8258"/>
      <c r="I29" s="8474"/>
      <c r="J29" s="607"/>
      <c r="K29" s="1454">
        <v>40</v>
      </c>
      <c r="L29" s="8472" t="s">
        <v>1579</v>
      </c>
      <c r="M29" s="8387"/>
      <c r="N29" s="8473" t="str">
        <f>IF(K26=0,"",VLOOKUP(K26,'Tablas psiquica'!$D$7:$R$296,7,FALSE))</f>
        <v/>
      </c>
      <c r="O29" s="8258"/>
      <c r="P29" s="8258"/>
      <c r="Q29" s="8474"/>
      <c r="R29" s="982"/>
      <c r="S29" s="1454">
        <v>40</v>
      </c>
      <c r="T29" s="8472" t="s">
        <v>1579</v>
      </c>
      <c r="U29" s="8387"/>
      <c r="V29" s="8473" t="str">
        <f>IF(S26=0,"",VLOOKUP(S26,'Tablas psiquica'!$D$7:$R$296,7,FALSE))</f>
        <v/>
      </c>
      <c r="W29" s="8258"/>
      <c r="X29" s="8258"/>
      <c r="Y29" s="8474"/>
      <c r="Z29" s="4232"/>
      <c r="AA29" s="360"/>
    </row>
    <row r="30" spans="1:27" ht="12" customHeight="1">
      <c r="A30" s="360"/>
      <c r="B30" s="982"/>
      <c r="C30" s="1455">
        <v>80</v>
      </c>
      <c r="D30" s="8477" t="s">
        <v>1582</v>
      </c>
      <c r="E30" s="8392"/>
      <c r="F30" s="8475" t="str">
        <f>IF(C26=0,"",VLOOKUP(C26,'Tablas psiquica'!$D$7:$R$296,8,FALSE))</f>
        <v/>
      </c>
      <c r="G30" s="7145"/>
      <c r="H30" s="7145"/>
      <c r="I30" s="8476"/>
      <c r="J30" s="607"/>
      <c r="K30" s="1455">
        <v>80</v>
      </c>
      <c r="L30" s="8477" t="s">
        <v>1582</v>
      </c>
      <c r="M30" s="8392"/>
      <c r="N30" s="8475" t="str">
        <f>IF(K26=0,"",VLOOKUP(K26,'Tablas psiquica'!$D$7:$R$296,8,FALSE))</f>
        <v/>
      </c>
      <c r="O30" s="7145"/>
      <c r="P30" s="7145"/>
      <c r="Q30" s="8476"/>
      <c r="R30" s="982"/>
      <c r="S30" s="1455">
        <v>80</v>
      </c>
      <c r="T30" s="8477" t="s">
        <v>1582</v>
      </c>
      <c r="U30" s="8392"/>
      <c r="V30" s="8475" t="str">
        <f>IF(S26=0,"",VLOOKUP(S26,'Tablas psiquica'!$D$7:$R$296,8,FALSE))</f>
        <v/>
      </c>
      <c r="W30" s="7145"/>
      <c r="X30" s="7145"/>
      <c r="Y30" s="8476"/>
      <c r="Z30" s="4232"/>
      <c r="AA30" s="360"/>
    </row>
    <row r="31" spans="1:27" ht="12" customHeight="1">
      <c r="A31" s="360"/>
      <c r="B31" s="982"/>
      <c r="C31" s="1454">
        <v>120</v>
      </c>
      <c r="D31" s="8472" t="s">
        <v>1585</v>
      </c>
      <c r="E31" s="8387"/>
      <c r="F31" s="8473" t="str">
        <f>IF(C26=0,"",VLOOKUP(C26,'Tablas psiquica'!$D$7:$R$296,9,FALSE))</f>
        <v/>
      </c>
      <c r="G31" s="8258"/>
      <c r="H31" s="8258"/>
      <c r="I31" s="8474"/>
      <c r="J31" s="607"/>
      <c r="K31" s="1454">
        <v>120</v>
      </c>
      <c r="L31" s="8472" t="s">
        <v>1585</v>
      </c>
      <c r="M31" s="8387"/>
      <c r="N31" s="8473" t="str">
        <f>IF(K26=0,"",VLOOKUP(K26,'Tablas psiquica'!$D$7:$R$296,9,FALSE))</f>
        <v/>
      </c>
      <c r="O31" s="8258"/>
      <c r="P31" s="8258"/>
      <c r="Q31" s="8474"/>
      <c r="R31" s="982"/>
      <c r="S31" s="1454">
        <v>120</v>
      </c>
      <c r="T31" s="8472" t="s">
        <v>1585</v>
      </c>
      <c r="U31" s="8387"/>
      <c r="V31" s="8473" t="str">
        <f>IF(S26=0,"",VLOOKUP(S26,'Tablas psiquica'!$D$7:$R$296,9,FALSE))</f>
        <v/>
      </c>
      <c r="W31" s="8258"/>
      <c r="X31" s="8258"/>
      <c r="Y31" s="8474"/>
      <c r="Z31" s="4232"/>
      <c r="AA31" s="360"/>
    </row>
    <row r="32" spans="1:27" ht="12" customHeight="1">
      <c r="A32" s="360"/>
      <c r="B32" s="982"/>
      <c r="C32" s="1455">
        <v>140</v>
      </c>
      <c r="D32" s="8477" t="s">
        <v>5822</v>
      </c>
      <c r="E32" s="8392"/>
      <c r="F32" s="8475" t="str">
        <f>IF(C26=0,"",VLOOKUP(C26,'Tablas psiquica'!$D$7:$R$296,10,FALSE))</f>
        <v/>
      </c>
      <c r="G32" s="7145"/>
      <c r="H32" s="7145"/>
      <c r="I32" s="8476"/>
      <c r="J32" s="607"/>
      <c r="K32" s="1455">
        <v>140</v>
      </c>
      <c r="L32" s="8477" t="s">
        <v>5822</v>
      </c>
      <c r="M32" s="8392"/>
      <c r="N32" s="8475" t="str">
        <f>IF(K26=0,"",VLOOKUP(K26,'Tablas psiquica'!$D$7:$R$296,10,FALSE))</f>
        <v/>
      </c>
      <c r="O32" s="7145"/>
      <c r="P32" s="7145"/>
      <c r="Q32" s="8476"/>
      <c r="R32" s="982"/>
      <c r="S32" s="1455">
        <v>140</v>
      </c>
      <c r="T32" s="8477" t="s">
        <v>5822</v>
      </c>
      <c r="U32" s="8392"/>
      <c r="V32" s="8475" t="str">
        <f>IF(S26=0,"",VLOOKUP(S26,'Tablas psiquica'!$D$7:$R$296,10,FALSE))</f>
        <v/>
      </c>
      <c r="W32" s="7145"/>
      <c r="X32" s="7145"/>
      <c r="Y32" s="8476"/>
      <c r="Z32" s="4232"/>
      <c r="AA32" s="360"/>
    </row>
    <row r="33" spans="1:27" ht="12" customHeight="1">
      <c r="A33" s="360"/>
      <c r="B33" s="982"/>
      <c r="C33" s="1454">
        <v>180</v>
      </c>
      <c r="D33" s="8472" t="s">
        <v>1589</v>
      </c>
      <c r="E33" s="8387"/>
      <c r="F33" s="8473" t="str">
        <f>IF(C26=0,"",VLOOKUP(C26,'Tablas psiquica'!$D$7:$R$296,11,FALSE))</f>
        <v/>
      </c>
      <c r="G33" s="8258"/>
      <c r="H33" s="8258"/>
      <c r="I33" s="8474"/>
      <c r="J33" s="607"/>
      <c r="K33" s="1454">
        <v>180</v>
      </c>
      <c r="L33" s="8472" t="s">
        <v>1589</v>
      </c>
      <c r="M33" s="8387"/>
      <c r="N33" s="8473" t="str">
        <f>IF(K26=0,"",VLOOKUP(K26,'Tablas psiquica'!$D$7:$R$296,11,FALSE))</f>
        <v/>
      </c>
      <c r="O33" s="8258"/>
      <c r="P33" s="8258"/>
      <c r="Q33" s="8474"/>
      <c r="R33" s="982"/>
      <c r="S33" s="1454">
        <v>180</v>
      </c>
      <c r="T33" s="8472" t="s">
        <v>1589</v>
      </c>
      <c r="U33" s="8387"/>
      <c r="V33" s="8473" t="str">
        <f>IF(S26=0,"",VLOOKUP(S26,'Tablas psiquica'!$D$7:$R$296,11,FALSE))</f>
        <v/>
      </c>
      <c r="W33" s="8258"/>
      <c r="X33" s="8258"/>
      <c r="Y33" s="8474"/>
      <c r="Z33" s="4232"/>
      <c r="AA33" s="360"/>
    </row>
    <row r="34" spans="1:27" ht="12" customHeight="1">
      <c r="A34" s="360"/>
      <c r="B34" s="982"/>
      <c r="C34" s="1455">
        <v>240</v>
      </c>
      <c r="D34" s="8477" t="s">
        <v>5823</v>
      </c>
      <c r="E34" s="8392"/>
      <c r="F34" s="8475" t="str">
        <f>IF(C26=0,"",VLOOKUP(C26,'Tablas psiquica'!$D$7:$R$296,12,FALSE))</f>
        <v/>
      </c>
      <c r="G34" s="7145"/>
      <c r="H34" s="7145"/>
      <c r="I34" s="8476"/>
      <c r="J34" s="607"/>
      <c r="K34" s="1455">
        <v>240</v>
      </c>
      <c r="L34" s="8477" t="s">
        <v>5823</v>
      </c>
      <c r="M34" s="8392"/>
      <c r="N34" s="8475" t="str">
        <f>IF(K26=0,"",VLOOKUP(K26,'Tablas psiquica'!$D$7:$R$296,12,FALSE))</f>
        <v/>
      </c>
      <c r="O34" s="7145"/>
      <c r="P34" s="7145"/>
      <c r="Q34" s="8476"/>
      <c r="R34" s="982"/>
      <c r="S34" s="1455">
        <v>240</v>
      </c>
      <c r="T34" s="8477" t="s">
        <v>5823</v>
      </c>
      <c r="U34" s="8392"/>
      <c r="V34" s="8475" t="str">
        <f>IF(S26=0,"",VLOOKUP(S26,'Tablas psiquica'!$D$7:$R$296,12,FALSE))</f>
        <v/>
      </c>
      <c r="W34" s="7145"/>
      <c r="X34" s="7145"/>
      <c r="Y34" s="8476"/>
      <c r="Z34" s="4232"/>
      <c r="AA34" s="360"/>
    </row>
    <row r="35" spans="1:27" ht="12" customHeight="1">
      <c r="A35" s="360"/>
      <c r="B35" s="982"/>
      <c r="C35" s="1454">
        <v>280</v>
      </c>
      <c r="D35" s="8472" t="s">
        <v>1592</v>
      </c>
      <c r="E35" s="8387"/>
      <c r="F35" s="8473" t="str">
        <f>IF(C26=0,"",VLOOKUP(C26,'Tablas psiquica'!$D$7:$R$296,13,FALSE))</f>
        <v/>
      </c>
      <c r="G35" s="8258"/>
      <c r="H35" s="8258"/>
      <c r="I35" s="8474"/>
      <c r="J35" s="607"/>
      <c r="K35" s="1454">
        <v>280</v>
      </c>
      <c r="L35" s="8472" t="s">
        <v>1592</v>
      </c>
      <c r="M35" s="8387"/>
      <c r="N35" s="8473" t="str">
        <f>IF(K26=0,"",VLOOKUP(K26,'Tablas psiquica'!$D$7:$R$296,13,FALSE))</f>
        <v/>
      </c>
      <c r="O35" s="8258"/>
      <c r="P35" s="8258"/>
      <c r="Q35" s="8474"/>
      <c r="R35" s="982"/>
      <c r="S35" s="1454">
        <v>280</v>
      </c>
      <c r="T35" s="8472" t="s">
        <v>1592</v>
      </c>
      <c r="U35" s="8387"/>
      <c r="V35" s="8473" t="str">
        <f>IF(S26=0,"",VLOOKUP(S26,'Tablas psiquica'!$D$7:$R$296,13,FALSE))</f>
        <v/>
      </c>
      <c r="W35" s="8258"/>
      <c r="X35" s="8258"/>
      <c r="Y35" s="8474"/>
      <c r="Z35" s="4232"/>
      <c r="AA35" s="360"/>
    </row>
    <row r="36" spans="1:27" ht="12" customHeight="1">
      <c r="A36" s="360"/>
      <c r="B36" s="982"/>
      <c r="C36" s="1455">
        <v>320</v>
      </c>
      <c r="D36" s="8477" t="s">
        <v>1594</v>
      </c>
      <c r="E36" s="8392"/>
      <c r="F36" s="8475" t="str">
        <f>IF(C26=0,"",VLOOKUP(C26,'Tablas psiquica'!$D$7:$R$296,14,FALSE))</f>
        <v/>
      </c>
      <c r="G36" s="7145"/>
      <c r="H36" s="7145"/>
      <c r="I36" s="8476"/>
      <c r="J36" s="607"/>
      <c r="K36" s="1455">
        <v>320</v>
      </c>
      <c r="L36" s="8477" t="s">
        <v>1594</v>
      </c>
      <c r="M36" s="8392"/>
      <c r="N36" s="8475" t="str">
        <f>IF(K26=0,"",VLOOKUP(K26,'Tablas psiquica'!$D$7:$R$296,14,FALSE))</f>
        <v/>
      </c>
      <c r="O36" s="7145"/>
      <c r="P36" s="7145"/>
      <c r="Q36" s="8476"/>
      <c r="R36" s="982"/>
      <c r="S36" s="1455">
        <v>320</v>
      </c>
      <c r="T36" s="8477" t="s">
        <v>1594</v>
      </c>
      <c r="U36" s="8392"/>
      <c r="V36" s="8475" t="str">
        <f>IF(S26=0,"",VLOOKUP(S26,'Tablas psiquica'!$D$7:$R$296,14,FALSE))</f>
        <v/>
      </c>
      <c r="W36" s="7145"/>
      <c r="X36" s="7145"/>
      <c r="Y36" s="8476"/>
      <c r="Z36" s="4232"/>
      <c r="AA36" s="360"/>
    </row>
    <row r="37" spans="1:27" ht="12" customHeight="1">
      <c r="A37" s="360"/>
      <c r="B37" s="982"/>
      <c r="C37" s="4243">
        <v>440</v>
      </c>
      <c r="D37" s="8478" t="s">
        <v>1537</v>
      </c>
      <c r="E37" s="8479"/>
      <c r="F37" s="8480" t="str">
        <f>IF(C26=0,"",VLOOKUP(C26,'Tablas psiquica'!$D$7:$R$296,15,FALSE))</f>
        <v/>
      </c>
      <c r="G37" s="8481"/>
      <c r="H37" s="8481"/>
      <c r="I37" s="8482"/>
      <c r="J37" s="607"/>
      <c r="K37" s="4243">
        <v>440</v>
      </c>
      <c r="L37" s="8478" t="s">
        <v>1537</v>
      </c>
      <c r="M37" s="8479"/>
      <c r="N37" s="8480" t="str">
        <f>IF(K26=0,"",VLOOKUP(K26,'Tablas psiquica'!$D$7:$R$296,15,FALSE))</f>
        <v/>
      </c>
      <c r="O37" s="8481"/>
      <c r="P37" s="8481"/>
      <c r="Q37" s="8482"/>
      <c r="R37" s="982"/>
      <c r="S37" s="4243">
        <v>440</v>
      </c>
      <c r="T37" s="8478" t="s">
        <v>1537</v>
      </c>
      <c r="U37" s="8479"/>
      <c r="V37" s="8480" t="str">
        <f>IF(S26=0,"",VLOOKUP(S26,'Tablas psiquica'!$D$7:$R$296,15,FALSE))</f>
        <v/>
      </c>
      <c r="W37" s="8481"/>
      <c r="X37" s="8481"/>
      <c r="Y37" s="8482"/>
      <c r="Z37" s="4232"/>
      <c r="AA37" s="360"/>
    </row>
    <row r="38" spans="1:27" ht="12" customHeight="1">
      <c r="A38" s="360"/>
      <c r="B38" s="982"/>
      <c r="C38" s="8496" t="s">
        <v>5824</v>
      </c>
      <c r="D38" s="8490"/>
      <c r="E38" s="4244" t="str">
        <f>IF(C26=0,"",VLOOKUP(C26,'Tablas psiquica'!$D$7:$R$296,4,FALSE))</f>
        <v/>
      </c>
      <c r="F38" s="8483" t="s">
        <v>5819</v>
      </c>
      <c r="G38" s="8483"/>
      <c r="H38" s="8484" t="str">
        <f>IF(C26=0,"",VLOOKUP(C26,'Tablas psiquica'!$D$7:$R$296,5,FALSE))</f>
        <v/>
      </c>
      <c r="I38" s="8485"/>
      <c r="J38" s="607"/>
      <c r="K38" s="8496" t="s">
        <v>5824</v>
      </c>
      <c r="L38" s="8490"/>
      <c r="M38" s="4244" t="str">
        <f>IF(K26=0,"",VLOOKUP(K26,'Tablas psiquica'!$D$7:$R$296,4,FALSE))</f>
        <v/>
      </c>
      <c r="N38" s="8483" t="s">
        <v>5819</v>
      </c>
      <c r="O38" s="8483"/>
      <c r="P38" s="8484" t="str">
        <f>IF(K26=0,"",VLOOKUP(K26,'Tablas psiquica'!$D$7:$R$296,5,FALSE))</f>
        <v/>
      </c>
      <c r="Q38" s="8485"/>
      <c r="R38" s="982"/>
      <c r="S38" s="8496" t="s">
        <v>5824</v>
      </c>
      <c r="T38" s="8490"/>
      <c r="U38" s="4244" t="str">
        <f>IF(S26=0,"",VLOOKUP(S26,'Tablas psiquica'!$D$7:$R$296,4,FALSE))</f>
        <v/>
      </c>
      <c r="V38" s="8483" t="s">
        <v>5819</v>
      </c>
      <c r="W38" s="8483"/>
      <c r="X38" s="8484" t="str">
        <f>IF(S26=0,"",VLOOKUP(S26,'Tablas psiquica'!$D$7:$R$296,5,FALSE))</f>
        <v/>
      </c>
      <c r="Y38" s="8485"/>
      <c r="Z38" s="4232"/>
      <c r="AA38" s="360"/>
    </row>
    <row r="39" spans="1:27" ht="12" customHeight="1">
      <c r="A39" s="360"/>
      <c r="B39" s="982"/>
      <c r="C39" s="8496" t="s">
        <v>13936</v>
      </c>
      <c r="D39" s="8490"/>
      <c r="E39" s="8486" t="str">
        <f>IF(C26=0,"",VLOOKUP(C26,'Tablas psiquica'!$D$7:$Z$296,20,FALSE))</f>
        <v/>
      </c>
      <c r="F39" s="8487"/>
      <c r="G39" s="8490" t="s">
        <v>13937</v>
      </c>
      <c r="H39" s="8492" t="str">
        <f>IF(C26=0,"",VLOOKUP(C26,'Tablas psiquica'!$D$7:$Z$296,21,FALSE))</f>
        <v/>
      </c>
      <c r="I39" s="8493"/>
      <c r="J39" s="607"/>
      <c r="K39" s="8496" t="s">
        <v>13936</v>
      </c>
      <c r="L39" s="8490"/>
      <c r="M39" s="8486" t="str">
        <f>IF(K26=0,"",VLOOKUP(K26,'Tablas psiquica'!$D$7:$Z$296,20,FALSE))</f>
        <v/>
      </c>
      <c r="N39" s="8487"/>
      <c r="O39" s="8490" t="s">
        <v>13937</v>
      </c>
      <c r="P39" s="8492" t="str">
        <f>IF(K26=0,"",VLOOKUP(K26,'Tablas psiquica'!$D$7:$Z$296,21,FALSE))</f>
        <v/>
      </c>
      <c r="Q39" s="8493"/>
      <c r="R39" s="607"/>
      <c r="S39" s="8496" t="s">
        <v>13936</v>
      </c>
      <c r="T39" s="8490"/>
      <c r="U39" s="8486" t="str">
        <f>IF(S26=0,"",VLOOKUP(S26,'Tablas psiquica'!$D$7:$Z$296,20,FALSE))</f>
        <v/>
      </c>
      <c r="V39" s="8487"/>
      <c r="W39" s="8490" t="s">
        <v>13937</v>
      </c>
      <c r="X39" s="8492" t="str">
        <f>IF(S26=0,"",VLOOKUP(S26,'Tablas psiquica'!$D$7:$Z$296,21,FALSE))</f>
        <v/>
      </c>
      <c r="Y39" s="8493"/>
      <c r="Z39" s="4232"/>
      <c r="AA39" s="360"/>
    </row>
    <row r="40" spans="1:27" ht="12" customHeight="1" thickBot="1">
      <c r="A40" s="360"/>
      <c r="B40" s="982"/>
      <c r="C40" s="8497"/>
      <c r="D40" s="8491"/>
      <c r="E40" s="8488"/>
      <c r="F40" s="8489"/>
      <c r="G40" s="8491"/>
      <c r="H40" s="8494"/>
      <c r="I40" s="8495"/>
      <c r="J40" s="607"/>
      <c r="K40" s="8497"/>
      <c r="L40" s="8491"/>
      <c r="M40" s="8488"/>
      <c r="N40" s="8489"/>
      <c r="O40" s="8491"/>
      <c r="P40" s="8494"/>
      <c r="Q40" s="8495"/>
      <c r="R40" s="607"/>
      <c r="S40" s="8497"/>
      <c r="T40" s="8491"/>
      <c r="U40" s="8488"/>
      <c r="V40" s="8489"/>
      <c r="W40" s="8491"/>
      <c r="X40" s="8494"/>
      <c r="Y40" s="8495"/>
      <c r="Z40" s="4232"/>
      <c r="AA40" s="360"/>
    </row>
    <row r="41" spans="1:27" ht="12" customHeight="1" thickBot="1">
      <c r="A41" s="360"/>
      <c r="B41" s="982"/>
      <c r="C41" s="976"/>
      <c r="J41" s="607"/>
      <c r="K41" s="976"/>
      <c r="R41" s="607"/>
      <c r="S41" s="976"/>
      <c r="Z41" s="4232"/>
      <c r="AA41" s="360"/>
    </row>
    <row r="42" spans="1:27" ht="12" customHeight="1">
      <c r="A42" s="360"/>
      <c r="B42" s="982">
        <v>7</v>
      </c>
      <c r="C42" s="8527"/>
      <c r="D42" s="8528"/>
      <c r="E42" s="8528"/>
      <c r="F42" s="8528"/>
      <c r="G42" s="8528"/>
      <c r="H42" s="8529"/>
      <c r="I42" s="4238" t="s">
        <v>1262</v>
      </c>
      <c r="J42" s="607">
        <v>8</v>
      </c>
      <c r="K42" s="8527"/>
      <c r="L42" s="8528"/>
      <c r="M42" s="8528"/>
      <c r="N42" s="8528"/>
      <c r="O42" s="8528"/>
      <c r="P42" s="8529"/>
      <c r="Q42" s="4238" t="s">
        <v>1262</v>
      </c>
      <c r="R42" s="982">
        <v>9</v>
      </c>
      <c r="S42" s="8527"/>
      <c r="T42" s="8528"/>
      <c r="U42" s="8528"/>
      <c r="V42" s="8528"/>
      <c r="W42" s="8528"/>
      <c r="X42" s="8529"/>
      <c r="Y42" s="4238" t="s">
        <v>1262</v>
      </c>
      <c r="Z42" s="4232"/>
      <c r="AA42" s="360"/>
    </row>
    <row r="43" spans="1:27" ht="12" customHeight="1">
      <c r="A43" s="360"/>
      <c r="B43" s="982"/>
      <c r="C43" s="8500" t="str">
        <f>IF(C42=0,"",VLOOKUP(C42,'Tablas psiquica'!$D$7:$R$296,2,FALSE))</f>
        <v/>
      </c>
      <c r="D43" s="8501"/>
      <c r="E43" s="8501"/>
      <c r="F43" s="8502"/>
      <c r="G43" s="8498" t="str" cm="1">
        <f t="array" ref="G43">IF(C42=0,"",IF(Psíquicos!AD43=C42,"Acceso natural",IF(INDEX('Tablas psiquica'!$AU$5:$BS$5,1,J43)=0,"No Accesible",IF(ISNA(VLOOKUP(C42,Psíquicos!$AS$17:$AS$44,1,0)),"Accesible CV","Aprendido"))))</f>
        <v/>
      </c>
      <c r="H43" s="8499"/>
      <c r="I43" s="4242" t="str">
        <f>IF(C42=0,"",VLOOKUP(C42,'Tablas psiquica'!$D$7:$R$296,3,FALSE))</f>
        <v/>
      </c>
      <c r="J43" s="4264" t="e">
        <f>MATCH(C43,'Tablas psiquica'!$AU$4:$BS$4,0)</f>
        <v>#N/A</v>
      </c>
      <c r="K43" s="8500" t="str">
        <f>IF(K42=0,"",VLOOKUP(K42,'Tablas psiquica'!$D$7:$R$296,2,FALSE))</f>
        <v/>
      </c>
      <c r="L43" s="8501"/>
      <c r="M43" s="8501"/>
      <c r="N43" s="8502"/>
      <c r="O43" s="8498" t="str" cm="1">
        <f t="array" ref="O43">IF(K42=0,"",IF(Psíquicos!AL43=K42,"Acceso natural",IF(INDEX('Tablas psiquica'!$AU$5:$BS$5,1,R43)=0,"No Accesible",IF(ISNA(VLOOKUP(K42,Psíquicos!$AS$17:$AS$44,1,0)),"Accesible CV","Aprendido"))))</f>
        <v/>
      </c>
      <c r="P43" s="8499"/>
      <c r="Q43" s="4242" t="str">
        <f>IF(K42=0,"",VLOOKUP(K42,'Tablas psiquica'!$D$7:$R$296,3,FALSE))</f>
        <v/>
      </c>
      <c r="R43" s="4264" t="e">
        <f>MATCH(K43,'Tablas psiquica'!$AU$4:$BS$4,0)</f>
        <v>#N/A</v>
      </c>
      <c r="S43" s="8500" t="str">
        <f>IF(S42=0,"",VLOOKUP(S42,'Tablas psiquica'!$D$7:$R$296,2,FALSE))</f>
        <v/>
      </c>
      <c r="T43" s="8501"/>
      <c r="U43" s="8501"/>
      <c r="V43" s="8502"/>
      <c r="W43" s="8498" t="str" cm="1">
        <f t="array" ref="W43">IF(S42=0,"",IF(Psíquicos!AT43=S42,"Acceso natural",IF(INDEX('Tablas psiquica'!$AU$5:$BS$5,1,Z43)=0,"No Accesible",IF(ISNA(VLOOKUP(S42,Psíquicos!$AS$17:$AS$44,1,0)),"Accesible CV","Aprendido"))))</f>
        <v/>
      </c>
      <c r="X43" s="8499"/>
      <c r="Y43" s="4242" t="str">
        <f>IF(S42=0,"",VLOOKUP(S42,'Tablas psiquica'!$D$7:$R$296,3,FALSE))</f>
        <v/>
      </c>
      <c r="Z43" s="4264" t="e">
        <f>MATCH(S43,'Tablas psiquica'!$AU$4:$BS$4,0)</f>
        <v>#N/A</v>
      </c>
      <c r="AA43" s="360"/>
    </row>
    <row r="44" spans="1:27" ht="12" customHeight="1">
      <c r="A44" s="360"/>
      <c r="B44" s="982"/>
      <c r="C44" s="1455">
        <v>20</v>
      </c>
      <c r="D44" s="8477" t="s">
        <v>1577</v>
      </c>
      <c r="E44" s="8392"/>
      <c r="F44" s="8475" t="str">
        <f>IF(C42=0,"",VLOOKUP(C42,'Tablas psiquica'!$D$7:$R$296,6,FALSE))</f>
        <v/>
      </c>
      <c r="G44" s="7145"/>
      <c r="H44" s="7145"/>
      <c r="I44" s="8476"/>
      <c r="J44" s="607"/>
      <c r="K44" s="1455">
        <v>20</v>
      </c>
      <c r="L44" s="8477" t="s">
        <v>1577</v>
      </c>
      <c r="M44" s="8392"/>
      <c r="N44" s="8475" t="str">
        <f>IF(K42=0,"",VLOOKUP(K42,'Tablas psiquica'!$D$7:$R$296,6,FALSE))</f>
        <v/>
      </c>
      <c r="O44" s="7145"/>
      <c r="P44" s="7145"/>
      <c r="Q44" s="8476"/>
      <c r="R44" s="982"/>
      <c r="S44" s="1455">
        <v>20</v>
      </c>
      <c r="T44" s="8477" t="s">
        <v>1577</v>
      </c>
      <c r="U44" s="8392"/>
      <c r="V44" s="8475" t="str">
        <f>IF(S42=0,"",VLOOKUP(S42,'Tablas psiquica'!$D$7:$R$296,6,FALSE))</f>
        <v/>
      </c>
      <c r="W44" s="7145"/>
      <c r="X44" s="7145"/>
      <c r="Y44" s="8476"/>
      <c r="Z44" s="4232"/>
      <c r="AA44" s="360"/>
    </row>
    <row r="45" spans="1:27" ht="12" customHeight="1">
      <c r="A45" s="360"/>
      <c r="B45" s="982"/>
      <c r="C45" s="1454">
        <v>40</v>
      </c>
      <c r="D45" s="8472" t="s">
        <v>1579</v>
      </c>
      <c r="E45" s="8387"/>
      <c r="F45" s="8473" t="str">
        <f>IF(C42=0,"",VLOOKUP(C42,'Tablas psiquica'!$D$7:$R$296,7,FALSE))</f>
        <v/>
      </c>
      <c r="G45" s="8258"/>
      <c r="H45" s="8258"/>
      <c r="I45" s="8474"/>
      <c r="J45" s="607"/>
      <c r="K45" s="1454">
        <v>40</v>
      </c>
      <c r="L45" s="8472" t="s">
        <v>1579</v>
      </c>
      <c r="M45" s="8387"/>
      <c r="N45" s="8473" t="str">
        <f>IF(K42=0,"",VLOOKUP(K42,'Tablas psiquica'!$D$7:$R$296,7,FALSE))</f>
        <v/>
      </c>
      <c r="O45" s="8258"/>
      <c r="P45" s="8258"/>
      <c r="Q45" s="8474"/>
      <c r="R45" s="982"/>
      <c r="S45" s="1454">
        <v>40</v>
      </c>
      <c r="T45" s="8472" t="s">
        <v>1579</v>
      </c>
      <c r="U45" s="8387"/>
      <c r="V45" s="8473" t="str">
        <f>IF(S42=0,"",VLOOKUP(S42,'Tablas psiquica'!$D$7:$R$296,7,FALSE))</f>
        <v/>
      </c>
      <c r="W45" s="8258"/>
      <c r="X45" s="8258"/>
      <c r="Y45" s="8474"/>
      <c r="Z45" s="4232"/>
      <c r="AA45" s="360"/>
    </row>
    <row r="46" spans="1:27" ht="12" customHeight="1">
      <c r="A46" s="360"/>
      <c r="B46" s="982"/>
      <c r="C46" s="1455">
        <v>80</v>
      </c>
      <c r="D46" s="8477" t="s">
        <v>1582</v>
      </c>
      <c r="E46" s="8392"/>
      <c r="F46" s="8475" t="str">
        <f>IF(C42=0,"",VLOOKUP(C42,'Tablas psiquica'!$D$7:$R$296,8,FALSE))</f>
        <v/>
      </c>
      <c r="G46" s="7145"/>
      <c r="H46" s="7145"/>
      <c r="I46" s="8476"/>
      <c r="J46" s="607"/>
      <c r="K46" s="1455">
        <v>80</v>
      </c>
      <c r="L46" s="8477" t="s">
        <v>1582</v>
      </c>
      <c r="M46" s="8392"/>
      <c r="N46" s="8475" t="str">
        <f>IF(K42=0,"",VLOOKUP(K42,'Tablas psiquica'!$D$7:$R$296,8,FALSE))</f>
        <v/>
      </c>
      <c r="O46" s="7145"/>
      <c r="P46" s="7145"/>
      <c r="Q46" s="8476"/>
      <c r="R46" s="982"/>
      <c r="S46" s="1455">
        <v>80</v>
      </c>
      <c r="T46" s="8477" t="s">
        <v>1582</v>
      </c>
      <c r="U46" s="8392"/>
      <c r="V46" s="8475" t="str">
        <f>IF(S42=0,"",VLOOKUP(S42,'Tablas psiquica'!$D$7:$R$296,8,FALSE))</f>
        <v/>
      </c>
      <c r="W46" s="7145"/>
      <c r="X46" s="7145"/>
      <c r="Y46" s="8476"/>
      <c r="Z46" s="4232"/>
      <c r="AA46" s="360"/>
    </row>
    <row r="47" spans="1:27" ht="12" customHeight="1">
      <c r="A47" s="360"/>
      <c r="B47" s="982"/>
      <c r="C47" s="1454">
        <v>120</v>
      </c>
      <c r="D47" s="8472" t="s">
        <v>1585</v>
      </c>
      <c r="E47" s="8387"/>
      <c r="F47" s="8473" t="str">
        <f>IF(C42=0,"",VLOOKUP(C42,'Tablas psiquica'!$D$7:$R$296,9,FALSE))</f>
        <v/>
      </c>
      <c r="G47" s="8258"/>
      <c r="H47" s="8258"/>
      <c r="I47" s="8474"/>
      <c r="J47" s="607"/>
      <c r="K47" s="1454">
        <v>120</v>
      </c>
      <c r="L47" s="8472" t="s">
        <v>1585</v>
      </c>
      <c r="M47" s="8387"/>
      <c r="N47" s="8473" t="str">
        <f>IF(K42=0,"",VLOOKUP(K42,'Tablas psiquica'!$D$7:$R$296,9,FALSE))</f>
        <v/>
      </c>
      <c r="O47" s="8258"/>
      <c r="P47" s="8258"/>
      <c r="Q47" s="8474"/>
      <c r="R47" s="982"/>
      <c r="S47" s="1454">
        <v>120</v>
      </c>
      <c r="T47" s="8472" t="s">
        <v>1585</v>
      </c>
      <c r="U47" s="8387"/>
      <c r="V47" s="8473" t="str">
        <f>IF(S42=0,"",VLOOKUP(S42,'Tablas psiquica'!$D$7:$R$296,9,FALSE))</f>
        <v/>
      </c>
      <c r="W47" s="8258"/>
      <c r="X47" s="8258"/>
      <c r="Y47" s="8474"/>
      <c r="Z47" s="4232"/>
      <c r="AA47" s="360"/>
    </row>
    <row r="48" spans="1:27" ht="12" customHeight="1">
      <c r="A48" s="360"/>
      <c r="B48" s="982"/>
      <c r="C48" s="1455">
        <v>140</v>
      </c>
      <c r="D48" s="8477" t="s">
        <v>5822</v>
      </c>
      <c r="E48" s="8392"/>
      <c r="F48" s="8475" t="str">
        <f>IF(C42=0,"",VLOOKUP(C42,'Tablas psiquica'!$D$7:$R$296,10,FALSE))</f>
        <v/>
      </c>
      <c r="G48" s="7145"/>
      <c r="H48" s="7145"/>
      <c r="I48" s="8476"/>
      <c r="J48" s="607"/>
      <c r="K48" s="1455">
        <v>140</v>
      </c>
      <c r="L48" s="8477" t="s">
        <v>5822</v>
      </c>
      <c r="M48" s="8392"/>
      <c r="N48" s="8475" t="str">
        <f>IF(K42=0,"",VLOOKUP(K42,'Tablas psiquica'!$D$7:$R$296,10,FALSE))</f>
        <v/>
      </c>
      <c r="O48" s="7145"/>
      <c r="P48" s="7145"/>
      <c r="Q48" s="8476"/>
      <c r="R48" s="982"/>
      <c r="S48" s="1455">
        <v>140</v>
      </c>
      <c r="T48" s="8477" t="s">
        <v>5822</v>
      </c>
      <c r="U48" s="8392"/>
      <c r="V48" s="8475" t="str">
        <f>IF(S42=0,"",VLOOKUP(S42,'Tablas psiquica'!$D$7:$R$296,10,FALSE))</f>
        <v/>
      </c>
      <c r="W48" s="7145"/>
      <c r="X48" s="7145"/>
      <c r="Y48" s="8476"/>
      <c r="Z48" s="4232"/>
      <c r="AA48" s="360"/>
    </row>
    <row r="49" spans="1:27" ht="12" customHeight="1">
      <c r="A49" s="360"/>
      <c r="B49" s="982"/>
      <c r="C49" s="1454">
        <v>180</v>
      </c>
      <c r="D49" s="8472" t="s">
        <v>1589</v>
      </c>
      <c r="E49" s="8387"/>
      <c r="F49" s="8473" t="str">
        <f>IF(C42=0,"",VLOOKUP(C42,'Tablas psiquica'!$D$7:$R$296,11,FALSE))</f>
        <v/>
      </c>
      <c r="G49" s="8258"/>
      <c r="H49" s="8258"/>
      <c r="I49" s="8474"/>
      <c r="J49" s="607"/>
      <c r="K49" s="1454">
        <v>180</v>
      </c>
      <c r="L49" s="8472" t="s">
        <v>1589</v>
      </c>
      <c r="M49" s="8387"/>
      <c r="N49" s="8473" t="str">
        <f>IF(K42=0,"",VLOOKUP(K42,'Tablas psiquica'!$D$7:$R$296,11,FALSE))</f>
        <v/>
      </c>
      <c r="O49" s="8258"/>
      <c r="P49" s="8258"/>
      <c r="Q49" s="8474"/>
      <c r="R49" s="982"/>
      <c r="S49" s="1454">
        <v>180</v>
      </c>
      <c r="T49" s="8472" t="s">
        <v>1589</v>
      </c>
      <c r="U49" s="8387"/>
      <c r="V49" s="8473" t="str">
        <f>IF(S42=0,"",VLOOKUP(S42,'Tablas psiquica'!$D$7:$R$296,11,FALSE))</f>
        <v/>
      </c>
      <c r="W49" s="8258"/>
      <c r="X49" s="8258"/>
      <c r="Y49" s="8474"/>
      <c r="Z49" s="4232"/>
      <c r="AA49" s="360"/>
    </row>
    <row r="50" spans="1:27" ht="12" customHeight="1">
      <c r="A50" s="360"/>
      <c r="B50" s="982"/>
      <c r="C50" s="1455">
        <v>240</v>
      </c>
      <c r="D50" s="8477" t="s">
        <v>5823</v>
      </c>
      <c r="E50" s="8392"/>
      <c r="F50" s="8475" t="str">
        <f>IF(C42=0,"",VLOOKUP(C42,'Tablas psiquica'!$D$7:$R$296,12,FALSE))</f>
        <v/>
      </c>
      <c r="G50" s="7145"/>
      <c r="H50" s="7145"/>
      <c r="I50" s="8476"/>
      <c r="J50" s="607"/>
      <c r="K50" s="1455">
        <v>240</v>
      </c>
      <c r="L50" s="8477" t="s">
        <v>5823</v>
      </c>
      <c r="M50" s="8392"/>
      <c r="N50" s="8475" t="str">
        <f>IF(K42=0,"",VLOOKUP(K42,'Tablas psiquica'!$D$7:$R$296,12,FALSE))</f>
        <v/>
      </c>
      <c r="O50" s="7145"/>
      <c r="P50" s="7145"/>
      <c r="Q50" s="8476"/>
      <c r="R50" s="982"/>
      <c r="S50" s="1455">
        <v>240</v>
      </c>
      <c r="T50" s="8477" t="s">
        <v>5823</v>
      </c>
      <c r="U50" s="8392"/>
      <c r="V50" s="8475" t="str">
        <f>IF(S42=0,"",VLOOKUP(S42,'Tablas psiquica'!$D$7:$R$296,12,FALSE))</f>
        <v/>
      </c>
      <c r="W50" s="7145"/>
      <c r="X50" s="7145"/>
      <c r="Y50" s="8476"/>
      <c r="Z50" s="4232"/>
      <c r="AA50" s="360"/>
    </row>
    <row r="51" spans="1:27" ht="12" customHeight="1">
      <c r="A51" s="360"/>
      <c r="B51" s="982"/>
      <c r="C51" s="1454">
        <v>280</v>
      </c>
      <c r="D51" s="8472" t="s">
        <v>1592</v>
      </c>
      <c r="E51" s="8387"/>
      <c r="F51" s="8473" t="str">
        <f>IF(C42=0,"",VLOOKUP(C42,'Tablas psiquica'!$D$7:$R$296,13,FALSE))</f>
        <v/>
      </c>
      <c r="G51" s="8258"/>
      <c r="H51" s="8258"/>
      <c r="I51" s="8474"/>
      <c r="J51" s="607"/>
      <c r="K51" s="1454">
        <v>280</v>
      </c>
      <c r="L51" s="8472" t="s">
        <v>1592</v>
      </c>
      <c r="M51" s="8387"/>
      <c r="N51" s="8473" t="str">
        <f>IF(K42=0,"",VLOOKUP(K42,'Tablas psiquica'!$D$7:$R$296,13,FALSE))</f>
        <v/>
      </c>
      <c r="O51" s="8258"/>
      <c r="P51" s="8258"/>
      <c r="Q51" s="8474"/>
      <c r="R51" s="982"/>
      <c r="S51" s="1454">
        <v>280</v>
      </c>
      <c r="T51" s="8472" t="s">
        <v>1592</v>
      </c>
      <c r="U51" s="8387"/>
      <c r="V51" s="8473" t="str">
        <f>IF(S42=0,"",VLOOKUP(S42,'Tablas psiquica'!$D$7:$R$296,13,FALSE))</f>
        <v/>
      </c>
      <c r="W51" s="8258"/>
      <c r="X51" s="8258"/>
      <c r="Y51" s="8474"/>
      <c r="Z51" s="4232"/>
      <c r="AA51" s="360"/>
    </row>
    <row r="52" spans="1:27" ht="12" customHeight="1">
      <c r="A52" s="360"/>
      <c r="B52" s="982"/>
      <c r="C52" s="1455">
        <v>320</v>
      </c>
      <c r="D52" s="8477" t="s">
        <v>1594</v>
      </c>
      <c r="E52" s="8392"/>
      <c r="F52" s="8475" t="str">
        <f>IF(C42=0,"",VLOOKUP(C42,'Tablas psiquica'!$D$7:$R$296,14,FALSE))</f>
        <v/>
      </c>
      <c r="G52" s="7145"/>
      <c r="H52" s="7145"/>
      <c r="I52" s="8476"/>
      <c r="J52" s="607"/>
      <c r="K52" s="1455">
        <v>320</v>
      </c>
      <c r="L52" s="8477" t="s">
        <v>1594</v>
      </c>
      <c r="M52" s="8392"/>
      <c r="N52" s="8475" t="str">
        <f>IF(K42=0,"",VLOOKUP(K42,'Tablas psiquica'!$D$7:$R$296,14,FALSE))</f>
        <v/>
      </c>
      <c r="O52" s="7145"/>
      <c r="P52" s="7145"/>
      <c r="Q52" s="8476"/>
      <c r="R52" s="982"/>
      <c r="S52" s="1455">
        <v>320</v>
      </c>
      <c r="T52" s="8477" t="s">
        <v>1594</v>
      </c>
      <c r="U52" s="8392"/>
      <c r="V52" s="8475" t="str">
        <f>IF(S42=0,"",VLOOKUP(S42,'Tablas psiquica'!$D$7:$R$296,14,FALSE))</f>
        <v/>
      </c>
      <c r="W52" s="7145"/>
      <c r="X52" s="7145"/>
      <c r="Y52" s="8476"/>
      <c r="Z52" s="4232"/>
      <c r="AA52" s="360"/>
    </row>
    <row r="53" spans="1:27" ht="12" customHeight="1">
      <c r="A53" s="360"/>
      <c r="B53" s="982"/>
      <c r="C53" s="4243">
        <v>440</v>
      </c>
      <c r="D53" s="8478" t="s">
        <v>1537</v>
      </c>
      <c r="E53" s="8479"/>
      <c r="F53" s="8480" t="str">
        <f>IF(C42=0,"",VLOOKUP(C42,'Tablas psiquica'!$D$7:$R$296,15,FALSE))</f>
        <v/>
      </c>
      <c r="G53" s="8481"/>
      <c r="H53" s="8481"/>
      <c r="I53" s="8482"/>
      <c r="J53" s="607"/>
      <c r="K53" s="4243">
        <v>440</v>
      </c>
      <c r="L53" s="8478" t="s">
        <v>1537</v>
      </c>
      <c r="M53" s="8479"/>
      <c r="N53" s="8480" t="str">
        <f>IF(K42=0,"",VLOOKUP(K42,'Tablas psiquica'!$D$7:$R$296,15,FALSE))</f>
        <v/>
      </c>
      <c r="O53" s="8481"/>
      <c r="P53" s="8481"/>
      <c r="Q53" s="8482"/>
      <c r="R53" s="982"/>
      <c r="S53" s="4243">
        <v>440</v>
      </c>
      <c r="T53" s="8478" t="s">
        <v>1537</v>
      </c>
      <c r="U53" s="8479"/>
      <c r="V53" s="8480" t="str">
        <f>IF(S42=0,"",VLOOKUP(S42,'Tablas psiquica'!$D$7:$R$296,15,FALSE))</f>
        <v/>
      </c>
      <c r="W53" s="8481"/>
      <c r="X53" s="8481"/>
      <c r="Y53" s="8482"/>
      <c r="Z53" s="4232"/>
      <c r="AA53" s="360"/>
    </row>
    <row r="54" spans="1:27" ht="12" customHeight="1">
      <c r="A54" s="360"/>
      <c r="B54" s="982"/>
      <c r="C54" s="8496" t="s">
        <v>5824</v>
      </c>
      <c r="D54" s="8490"/>
      <c r="E54" s="4244" t="str">
        <f>IF(C42=0,"",VLOOKUP(C42,'Tablas psiquica'!$D$7:$R$296,4,FALSE))</f>
        <v/>
      </c>
      <c r="F54" s="8483" t="s">
        <v>5819</v>
      </c>
      <c r="G54" s="8483"/>
      <c r="H54" s="8484" t="str">
        <f>IF(C42=0,"",VLOOKUP(C42,'Tablas psiquica'!$D$7:$R$296,5,FALSE))</f>
        <v/>
      </c>
      <c r="I54" s="8485"/>
      <c r="J54" s="607"/>
      <c r="K54" s="8496" t="s">
        <v>5824</v>
      </c>
      <c r="L54" s="8490"/>
      <c r="M54" s="4244" t="str">
        <f>IF(K42=0,"",VLOOKUP(K42,'Tablas psiquica'!$D$7:$R$296,4,FALSE))</f>
        <v/>
      </c>
      <c r="N54" s="8483" t="s">
        <v>5819</v>
      </c>
      <c r="O54" s="8483"/>
      <c r="P54" s="8484" t="str">
        <f>IF(K42=0,"",VLOOKUP(K42,'Tablas psiquica'!$D$7:$R$296,5,FALSE))</f>
        <v/>
      </c>
      <c r="Q54" s="8485"/>
      <c r="R54" s="982"/>
      <c r="S54" s="8496" t="s">
        <v>5824</v>
      </c>
      <c r="T54" s="8490"/>
      <c r="U54" s="4244" t="str">
        <f>IF(S42=0,"",VLOOKUP(S42,'Tablas psiquica'!$D$7:$R$296,4,FALSE))</f>
        <v/>
      </c>
      <c r="V54" s="8483" t="s">
        <v>5819</v>
      </c>
      <c r="W54" s="8483"/>
      <c r="X54" s="8484" t="str">
        <f>IF(S42=0,"",VLOOKUP(S42,'Tablas psiquica'!$D$7:$R$296,5,FALSE))</f>
        <v/>
      </c>
      <c r="Y54" s="8485"/>
      <c r="Z54" s="4232"/>
      <c r="AA54" s="360"/>
    </row>
    <row r="55" spans="1:27" ht="12" customHeight="1">
      <c r="A55" s="360"/>
      <c r="B55" s="982"/>
      <c r="C55" s="8496" t="s">
        <v>13936</v>
      </c>
      <c r="D55" s="8490"/>
      <c r="E55" s="8486" t="str">
        <f>IF(C42=0,"",VLOOKUP(C42,'Tablas psiquica'!$D$7:$X$296,20,FALSE))</f>
        <v/>
      </c>
      <c r="F55" s="8487"/>
      <c r="G55" s="8490" t="s">
        <v>13937</v>
      </c>
      <c r="H55" s="8492" t="str">
        <f>IF(C42=0,"",VLOOKUP(C42,'Tablas psiquica'!$D$7:$X$296,21,FALSE))</f>
        <v/>
      </c>
      <c r="I55" s="8493"/>
      <c r="J55" s="607"/>
      <c r="K55" s="8496" t="s">
        <v>13936</v>
      </c>
      <c r="L55" s="8490"/>
      <c r="M55" s="8486" t="str">
        <f>IF(K42=0,"",VLOOKUP(K42,'Tablas psiquica'!$D$7:$X$296,20,FALSE))</f>
        <v/>
      </c>
      <c r="N55" s="8487"/>
      <c r="O55" s="8490" t="s">
        <v>13937</v>
      </c>
      <c r="P55" s="8492" t="str">
        <f>IF(K42=0,"",VLOOKUP(K42,'Tablas psiquica'!$D$7:$X$296,21,FALSE))</f>
        <v/>
      </c>
      <c r="Q55" s="8493"/>
      <c r="R55" s="607"/>
      <c r="S55" s="8496" t="s">
        <v>13936</v>
      </c>
      <c r="T55" s="8490"/>
      <c r="U55" s="8486" t="str">
        <f>IF(S42=0,"",VLOOKUP(S42,'Tablas psiquica'!$D$7:$X$296,20,FALSE))</f>
        <v/>
      </c>
      <c r="V55" s="8487"/>
      <c r="W55" s="8490" t="s">
        <v>13937</v>
      </c>
      <c r="X55" s="8492" t="str">
        <f>IF(S42=0,"",VLOOKUP(S42,'Tablas psiquica'!$D$7:$X$296,21,FALSE))</f>
        <v/>
      </c>
      <c r="Y55" s="8493"/>
      <c r="Z55" s="4232"/>
      <c r="AA55" s="360"/>
    </row>
    <row r="56" spans="1:27" ht="12" customHeight="1" thickBot="1">
      <c r="A56" s="360"/>
      <c r="B56" s="982"/>
      <c r="C56" s="8497"/>
      <c r="D56" s="8491"/>
      <c r="E56" s="8488"/>
      <c r="F56" s="8489"/>
      <c r="G56" s="8491"/>
      <c r="H56" s="8494"/>
      <c r="I56" s="8495"/>
      <c r="J56" s="607"/>
      <c r="K56" s="8497"/>
      <c r="L56" s="8491"/>
      <c r="M56" s="8488"/>
      <c r="N56" s="8489"/>
      <c r="O56" s="8491"/>
      <c r="P56" s="8494"/>
      <c r="Q56" s="8495"/>
      <c r="R56" s="607"/>
      <c r="S56" s="8497"/>
      <c r="T56" s="8491"/>
      <c r="U56" s="8488"/>
      <c r="V56" s="8489"/>
      <c r="W56" s="8491"/>
      <c r="X56" s="8494"/>
      <c r="Y56" s="8495"/>
      <c r="Z56" s="4232"/>
      <c r="AA56" s="360"/>
    </row>
    <row r="57" spans="1:27" ht="12" customHeight="1" thickBot="1">
      <c r="A57" s="360"/>
      <c r="B57" s="982"/>
      <c r="C57" s="976"/>
      <c r="J57" s="607"/>
      <c r="K57" s="976"/>
      <c r="R57" s="607"/>
      <c r="S57" s="976"/>
      <c r="Z57" s="4232"/>
      <c r="AA57" s="360"/>
    </row>
    <row r="58" spans="1:27" ht="12" customHeight="1">
      <c r="A58" s="360"/>
      <c r="B58" s="982">
        <v>10</v>
      </c>
      <c r="C58" s="8527"/>
      <c r="D58" s="8528"/>
      <c r="E58" s="8528"/>
      <c r="F58" s="8528"/>
      <c r="G58" s="8528"/>
      <c r="H58" s="8529"/>
      <c r="I58" s="4238" t="s">
        <v>1262</v>
      </c>
      <c r="J58" s="607">
        <v>11</v>
      </c>
      <c r="K58" s="8527"/>
      <c r="L58" s="8528"/>
      <c r="M58" s="8528"/>
      <c r="N58" s="8528"/>
      <c r="O58" s="8528"/>
      <c r="P58" s="8529"/>
      <c r="Q58" s="4238" t="s">
        <v>1262</v>
      </c>
      <c r="R58" s="982">
        <v>12</v>
      </c>
      <c r="S58" s="8527"/>
      <c r="T58" s="8528"/>
      <c r="U58" s="8528"/>
      <c r="V58" s="8528"/>
      <c r="W58" s="8528"/>
      <c r="X58" s="8529"/>
      <c r="Y58" s="4238" t="s">
        <v>1262</v>
      </c>
      <c r="Z58" s="4232"/>
      <c r="AA58" s="360"/>
    </row>
    <row r="59" spans="1:27" ht="12" customHeight="1">
      <c r="A59" s="360"/>
      <c r="B59" s="982"/>
      <c r="C59" s="8500" t="str">
        <f>IF(C58=0,"",VLOOKUP(C58,'Tablas psiquica'!$D$7:$R$296,2,FALSE))</f>
        <v/>
      </c>
      <c r="D59" s="8501"/>
      <c r="E59" s="8501"/>
      <c r="F59" s="8502"/>
      <c r="G59" s="8498" t="str" cm="1">
        <f t="array" ref="G59">IF(C58=0,"",IF(Psíquicos!AD59=C58,"Acceso natural",IF(INDEX('Tablas psiquica'!$AU$5:$BS$5,1,J59)=0,"No Accesible",IF(ISNA(VLOOKUP(C58,Psíquicos!$AS$17:$AS$44,1,0)),"Accesible CV","Aprendido"))))</f>
        <v/>
      </c>
      <c r="H59" s="8499"/>
      <c r="I59" s="4242" t="str">
        <f>IF(C58=0,"",VLOOKUP(C58,'Tablas psiquica'!$D$7:$R$296,3,FALSE))</f>
        <v/>
      </c>
      <c r="J59" s="4264" t="e">
        <f>MATCH(C59,'Tablas psiquica'!$AU$4:$BS$4,0)</f>
        <v>#N/A</v>
      </c>
      <c r="K59" s="8500" t="str">
        <f>IF(K58=0,"",VLOOKUP(K58,'Tablas psiquica'!$D$7:$R$296,2,FALSE))</f>
        <v/>
      </c>
      <c r="L59" s="8501"/>
      <c r="M59" s="8501"/>
      <c r="N59" s="8502"/>
      <c r="O59" s="8498" t="str" cm="1">
        <f t="array" ref="O59">IF(K58=0,"",IF(Psíquicos!AL59=K58,"Acceso natural",IF(INDEX('Tablas psiquica'!$AU$5:$BS$5,1,R59)=0,"No Accesible",IF(ISNA(VLOOKUP(K58,Psíquicos!$AS$17:$AS$44,1,0)),"Accesible CV","Aprendido"))))</f>
        <v/>
      </c>
      <c r="P59" s="8499"/>
      <c r="Q59" s="4242" t="str">
        <f>IF(K58=0,"",VLOOKUP(K58,'Tablas psiquica'!$D$7:$R$296,3,FALSE))</f>
        <v/>
      </c>
      <c r="R59" s="4264" t="e">
        <f>MATCH(K59,'Tablas psiquica'!$AU$4:$BS$4,0)</f>
        <v>#N/A</v>
      </c>
      <c r="S59" s="8500" t="str">
        <f>IF(S58=0,"",VLOOKUP(S58,'Tablas psiquica'!$D$7:$R$296,2,FALSE))</f>
        <v/>
      </c>
      <c r="T59" s="8501"/>
      <c r="U59" s="8501"/>
      <c r="V59" s="8502"/>
      <c r="W59" s="8498" t="str" cm="1">
        <f t="array" ref="W59">IF(S58=0,"",IF(Psíquicos!AT59=S58,"Acceso natural",IF(INDEX('Tablas psiquica'!$AU$5:$BS$5,1,Z59)=0,"No Accesible",IF(ISNA(VLOOKUP(S58,Psíquicos!$AS$17:$AS$44,1,0)),"Accesible CV","Aprendido"))))</f>
        <v/>
      </c>
      <c r="X59" s="8499"/>
      <c r="Y59" s="4242" t="str">
        <f>IF(S58=0,"",VLOOKUP(S58,'Tablas psiquica'!$D$7:$R$296,3,FALSE))</f>
        <v/>
      </c>
      <c r="Z59" s="4264" t="e">
        <f>MATCH(S59,'Tablas psiquica'!$AU$4:$BS$4,0)</f>
        <v>#N/A</v>
      </c>
      <c r="AA59" s="360"/>
    </row>
    <row r="60" spans="1:27" ht="12" customHeight="1">
      <c r="A60" s="360"/>
      <c r="B60" s="982"/>
      <c r="C60" s="1455">
        <v>20</v>
      </c>
      <c r="D60" s="8477" t="s">
        <v>1577</v>
      </c>
      <c r="E60" s="8392"/>
      <c r="F60" s="8475" t="str">
        <f>IF(C58=0,"",VLOOKUP(C58,'Tablas psiquica'!$D$7:$R$296,6,FALSE))</f>
        <v/>
      </c>
      <c r="G60" s="7145"/>
      <c r="H60" s="7145"/>
      <c r="I60" s="8476"/>
      <c r="J60" s="607"/>
      <c r="K60" s="1455">
        <v>20</v>
      </c>
      <c r="L60" s="8477" t="s">
        <v>1577</v>
      </c>
      <c r="M60" s="8392"/>
      <c r="N60" s="8475" t="str">
        <f>IF(K58=0,"",VLOOKUP(K58,'Tablas psiquica'!$D$7:$R$296,6,FALSE))</f>
        <v/>
      </c>
      <c r="O60" s="7145"/>
      <c r="P60" s="7145"/>
      <c r="Q60" s="8476"/>
      <c r="R60" s="982"/>
      <c r="S60" s="1455">
        <v>20</v>
      </c>
      <c r="T60" s="8477" t="s">
        <v>1577</v>
      </c>
      <c r="U60" s="8392"/>
      <c r="V60" s="8475" t="str">
        <f>IF(S58=0,"",VLOOKUP(S58,'Tablas psiquica'!$D$7:$R$296,6,FALSE))</f>
        <v/>
      </c>
      <c r="W60" s="7145"/>
      <c r="X60" s="7145"/>
      <c r="Y60" s="8476"/>
      <c r="Z60" s="4232"/>
      <c r="AA60" s="360"/>
    </row>
    <row r="61" spans="1:27" ht="12" customHeight="1">
      <c r="A61" s="360"/>
      <c r="B61" s="982"/>
      <c r="C61" s="1454">
        <v>40</v>
      </c>
      <c r="D61" s="8472" t="s">
        <v>1579</v>
      </c>
      <c r="E61" s="8387"/>
      <c r="F61" s="8473" t="str">
        <f>IF(C58=0,"",VLOOKUP(C58,'Tablas psiquica'!$D$7:$R$296,7,FALSE))</f>
        <v/>
      </c>
      <c r="G61" s="8258"/>
      <c r="H61" s="8258"/>
      <c r="I61" s="8474"/>
      <c r="J61" s="607"/>
      <c r="K61" s="1454">
        <v>40</v>
      </c>
      <c r="L61" s="8472" t="s">
        <v>1579</v>
      </c>
      <c r="M61" s="8387"/>
      <c r="N61" s="8473" t="str">
        <f>IF(K58=0,"",VLOOKUP(K58,'Tablas psiquica'!$D$7:$R$296,7,FALSE))</f>
        <v/>
      </c>
      <c r="O61" s="8258"/>
      <c r="P61" s="8258"/>
      <c r="Q61" s="8474"/>
      <c r="R61" s="982"/>
      <c r="S61" s="1454">
        <v>40</v>
      </c>
      <c r="T61" s="8472" t="s">
        <v>1579</v>
      </c>
      <c r="U61" s="8387"/>
      <c r="V61" s="8473" t="str">
        <f>IF(S58=0,"",VLOOKUP(S58,'Tablas psiquica'!$D$7:$R$296,7,FALSE))</f>
        <v/>
      </c>
      <c r="W61" s="8258"/>
      <c r="X61" s="8258"/>
      <c r="Y61" s="8474"/>
      <c r="Z61" s="4232"/>
      <c r="AA61" s="360"/>
    </row>
    <row r="62" spans="1:27" ht="12" customHeight="1">
      <c r="A62" s="360"/>
      <c r="B62" s="982"/>
      <c r="C62" s="1455">
        <v>80</v>
      </c>
      <c r="D62" s="8477" t="s">
        <v>1582</v>
      </c>
      <c r="E62" s="8392"/>
      <c r="F62" s="8475" t="str">
        <f>IF(C58=0,"",VLOOKUP(C58,'Tablas psiquica'!$D$7:$R$296,8,FALSE))</f>
        <v/>
      </c>
      <c r="G62" s="7145"/>
      <c r="H62" s="7145"/>
      <c r="I62" s="8476"/>
      <c r="J62" s="607"/>
      <c r="K62" s="1455">
        <v>80</v>
      </c>
      <c r="L62" s="8477" t="s">
        <v>1582</v>
      </c>
      <c r="M62" s="8392"/>
      <c r="N62" s="8475" t="str">
        <f>IF(K58=0,"",VLOOKUP(K58,'Tablas psiquica'!$D$7:$R$296,8,FALSE))</f>
        <v/>
      </c>
      <c r="O62" s="7145"/>
      <c r="P62" s="7145"/>
      <c r="Q62" s="8476"/>
      <c r="R62" s="982"/>
      <c r="S62" s="1455">
        <v>80</v>
      </c>
      <c r="T62" s="8477" t="s">
        <v>1582</v>
      </c>
      <c r="U62" s="8392"/>
      <c r="V62" s="8475" t="str">
        <f>IF(S58=0,"",VLOOKUP(S58,'Tablas psiquica'!$D$7:$R$296,8,FALSE))</f>
        <v/>
      </c>
      <c r="W62" s="7145"/>
      <c r="X62" s="7145"/>
      <c r="Y62" s="8476"/>
      <c r="Z62" s="4232"/>
      <c r="AA62" s="360"/>
    </row>
    <row r="63" spans="1:27" ht="12" customHeight="1">
      <c r="A63" s="360"/>
      <c r="B63" s="982"/>
      <c r="C63" s="1454">
        <v>120</v>
      </c>
      <c r="D63" s="8472" t="s">
        <v>1585</v>
      </c>
      <c r="E63" s="8387"/>
      <c r="F63" s="8473" t="str">
        <f>IF(C58=0,"",VLOOKUP(C58,'Tablas psiquica'!$D$7:$R$296,9,FALSE))</f>
        <v/>
      </c>
      <c r="G63" s="8258"/>
      <c r="H63" s="8258"/>
      <c r="I63" s="8474"/>
      <c r="J63" s="607"/>
      <c r="K63" s="1454">
        <v>120</v>
      </c>
      <c r="L63" s="8472" t="s">
        <v>1585</v>
      </c>
      <c r="M63" s="8387"/>
      <c r="N63" s="8473" t="str">
        <f>IF(K58=0,"",VLOOKUP(K58,'Tablas psiquica'!$D$7:$R$296,9,FALSE))</f>
        <v/>
      </c>
      <c r="O63" s="8258"/>
      <c r="P63" s="8258"/>
      <c r="Q63" s="8474"/>
      <c r="R63" s="982"/>
      <c r="S63" s="1454">
        <v>120</v>
      </c>
      <c r="T63" s="8472" t="s">
        <v>1585</v>
      </c>
      <c r="U63" s="8387"/>
      <c r="V63" s="8473" t="str">
        <f>IF(S58=0,"",VLOOKUP(S58,'Tablas psiquica'!$D$7:$R$296,9,FALSE))</f>
        <v/>
      </c>
      <c r="W63" s="8258"/>
      <c r="X63" s="8258"/>
      <c r="Y63" s="8474"/>
      <c r="Z63" s="4232"/>
      <c r="AA63" s="360"/>
    </row>
    <row r="64" spans="1:27" ht="12" customHeight="1">
      <c r="A64" s="360"/>
      <c r="B64" s="982"/>
      <c r="C64" s="1455">
        <v>140</v>
      </c>
      <c r="D64" s="8477" t="s">
        <v>5822</v>
      </c>
      <c r="E64" s="8392"/>
      <c r="F64" s="8475" t="str">
        <f>IF(C58=0,"",VLOOKUP(C58,'Tablas psiquica'!$D$7:$R$296,10,FALSE))</f>
        <v/>
      </c>
      <c r="G64" s="7145"/>
      <c r="H64" s="7145"/>
      <c r="I64" s="8476"/>
      <c r="J64" s="607"/>
      <c r="K64" s="1455">
        <v>140</v>
      </c>
      <c r="L64" s="8477" t="s">
        <v>5822</v>
      </c>
      <c r="M64" s="8392"/>
      <c r="N64" s="8475" t="str">
        <f>IF(K58=0,"",VLOOKUP(K58,'Tablas psiquica'!$D$7:$R$296,10,FALSE))</f>
        <v/>
      </c>
      <c r="O64" s="7145"/>
      <c r="P64" s="7145"/>
      <c r="Q64" s="8476"/>
      <c r="R64" s="982"/>
      <c r="S64" s="1455">
        <v>140</v>
      </c>
      <c r="T64" s="8477" t="s">
        <v>5822</v>
      </c>
      <c r="U64" s="8392"/>
      <c r="V64" s="8475" t="str">
        <f>IF(S58=0,"",VLOOKUP(S58,'Tablas psiquica'!$D$7:$R$296,10,FALSE))</f>
        <v/>
      </c>
      <c r="W64" s="7145"/>
      <c r="X64" s="7145"/>
      <c r="Y64" s="8476"/>
      <c r="Z64" s="4232"/>
      <c r="AA64" s="360"/>
    </row>
    <row r="65" spans="1:27" ht="12" customHeight="1">
      <c r="A65" s="360"/>
      <c r="B65" s="982"/>
      <c r="C65" s="1454">
        <v>180</v>
      </c>
      <c r="D65" s="8472" t="s">
        <v>1589</v>
      </c>
      <c r="E65" s="8387"/>
      <c r="F65" s="8473" t="str">
        <f>IF(C58=0,"",VLOOKUP(C58,'Tablas psiquica'!$D$7:$R$296,11,FALSE))</f>
        <v/>
      </c>
      <c r="G65" s="8258"/>
      <c r="H65" s="8258"/>
      <c r="I65" s="8474"/>
      <c r="J65" s="607"/>
      <c r="K65" s="1454">
        <v>180</v>
      </c>
      <c r="L65" s="8472" t="s">
        <v>1589</v>
      </c>
      <c r="M65" s="8387"/>
      <c r="N65" s="8473" t="str">
        <f>IF(K58=0,"",VLOOKUP(K58,'Tablas psiquica'!$D$7:$R$296,11,FALSE))</f>
        <v/>
      </c>
      <c r="O65" s="8258"/>
      <c r="P65" s="8258"/>
      <c r="Q65" s="8474"/>
      <c r="R65" s="982"/>
      <c r="S65" s="1454">
        <v>180</v>
      </c>
      <c r="T65" s="8472" t="s">
        <v>1589</v>
      </c>
      <c r="U65" s="8387"/>
      <c r="V65" s="8473" t="str">
        <f>IF(S58=0,"",VLOOKUP(S58,'Tablas psiquica'!$D$7:$R$296,11,FALSE))</f>
        <v/>
      </c>
      <c r="W65" s="8258"/>
      <c r="X65" s="8258"/>
      <c r="Y65" s="8474"/>
      <c r="Z65" s="4232"/>
      <c r="AA65" s="360"/>
    </row>
    <row r="66" spans="1:27" ht="12" customHeight="1">
      <c r="A66" s="360"/>
      <c r="B66" s="982"/>
      <c r="C66" s="1455">
        <v>240</v>
      </c>
      <c r="D66" s="8477" t="s">
        <v>5823</v>
      </c>
      <c r="E66" s="8392"/>
      <c r="F66" s="8475" t="str">
        <f>IF(C58=0,"",VLOOKUP(C58,'Tablas psiquica'!$D$7:$R$296,12,FALSE))</f>
        <v/>
      </c>
      <c r="G66" s="7145"/>
      <c r="H66" s="7145"/>
      <c r="I66" s="8476"/>
      <c r="J66" s="607"/>
      <c r="K66" s="1455">
        <v>240</v>
      </c>
      <c r="L66" s="8477" t="s">
        <v>5823</v>
      </c>
      <c r="M66" s="8392"/>
      <c r="N66" s="8475" t="str">
        <f>IF(K58=0,"",VLOOKUP(K58,'Tablas psiquica'!$D$7:$R$296,12,FALSE))</f>
        <v/>
      </c>
      <c r="O66" s="7145"/>
      <c r="P66" s="7145"/>
      <c r="Q66" s="8476"/>
      <c r="R66" s="982"/>
      <c r="S66" s="1455">
        <v>240</v>
      </c>
      <c r="T66" s="8477" t="s">
        <v>5823</v>
      </c>
      <c r="U66" s="8392"/>
      <c r="V66" s="8475" t="str">
        <f>IF(S58=0,"",VLOOKUP(S58,'Tablas psiquica'!$D$7:$R$296,12,FALSE))</f>
        <v/>
      </c>
      <c r="W66" s="7145"/>
      <c r="X66" s="7145"/>
      <c r="Y66" s="8476"/>
      <c r="Z66" s="4232"/>
      <c r="AA66" s="360"/>
    </row>
    <row r="67" spans="1:27" ht="12" customHeight="1">
      <c r="A67" s="360"/>
      <c r="B67" s="982"/>
      <c r="C67" s="1454">
        <v>280</v>
      </c>
      <c r="D67" s="8472" t="s">
        <v>1592</v>
      </c>
      <c r="E67" s="8387"/>
      <c r="F67" s="8473" t="str">
        <f>IF(C58=0,"",VLOOKUP(C58,'Tablas psiquica'!$D$7:$R$296,13,FALSE))</f>
        <v/>
      </c>
      <c r="G67" s="8258"/>
      <c r="H67" s="8258"/>
      <c r="I67" s="8474"/>
      <c r="J67" s="607"/>
      <c r="K67" s="1454">
        <v>280</v>
      </c>
      <c r="L67" s="8472" t="s">
        <v>1592</v>
      </c>
      <c r="M67" s="8387"/>
      <c r="N67" s="8473" t="str">
        <f>IF(K58=0,"",VLOOKUP(K58,'Tablas psiquica'!$D$7:$R$296,13,FALSE))</f>
        <v/>
      </c>
      <c r="O67" s="8258"/>
      <c r="P67" s="8258"/>
      <c r="Q67" s="8474"/>
      <c r="R67" s="982"/>
      <c r="S67" s="1454">
        <v>280</v>
      </c>
      <c r="T67" s="8472" t="s">
        <v>1592</v>
      </c>
      <c r="U67" s="8387"/>
      <c r="V67" s="8473" t="str">
        <f>IF(S58=0,"",VLOOKUP(S58,'Tablas psiquica'!$D$7:$R$296,13,FALSE))</f>
        <v/>
      </c>
      <c r="W67" s="8258"/>
      <c r="X67" s="8258"/>
      <c r="Y67" s="8474"/>
      <c r="Z67" s="4232"/>
      <c r="AA67" s="360"/>
    </row>
    <row r="68" spans="1:27" ht="12" customHeight="1">
      <c r="A68" s="360"/>
      <c r="B68" s="982"/>
      <c r="C68" s="1455">
        <v>320</v>
      </c>
      <c r="D68" s="8477" t="s">
        <v>1594</v>
      </c>
      <c r="E68" s="8392"/>
      <c r="F68" s="8475" t="str">
        <f>IF(C58=0,"",VLOOKUP(C58,'Tablas psiquica'!$D$7:$R$296,14,FALSE))</f>
        <v/>
      </c>
      <c r="G68" s="7145"/>
      <c r="H68" s="7145"/>
      <c r="I68" s="8476"/>
      <c r="J68" s="607"/>
      <c r="K68" s="1455">
        <v>320</v>
      </c>
      <c r="L68" s="8477" t="s">
        <v>1594</v>
      </c>
      <c r="M68" s="8392"/>
      <c r="N68" s="8475" t="str">
        <f>IF(K58=0,"",VLOOKUP(K58,'Tablas psiquica'!$D$7:$R$296,14,FALSE))</f>
        <v/>
      </c>
      <c r="O68" s="7145"/>
      <c r="P68" s="7145"/>
      <c r="Q68" s="8476"/>
      <c r="R68" s="982"/>
      <c r="S68" s="1455">
        <v>320</v>
      </c>
      <c r="T68" s="8477" t="s">
        <v>1594</v>
      </c>
      <c r="U68" s="8392"/>
      <c r="V68" s="8475" t="str">
        <f>IF(S58=0,"",VLOOKUP(S58,'Tablas psiquica'!$D$7:$R$296,14,FALSE))</f>
        <v/>
      </c>
      <c r="W68" s="7145"/>
      <c r="X68" s="7145"/>
      <c r="Y68" s="8476"/>
      <c r="Z68" s="4232"/>
      <c r="AA68" s="360"/>
    </row>
    <row r="69" spans="1:27" ht="12" customHeight="1">
      <c r="A69" s="360"/>
      <c r="B69" s="982"/>
      <c r="C69" s="4243">
        <v>440</v>
      </c>
      <c r="D69" s="8478" t="s">
        <v>1537</v>
      </c>
      <c r="E69" s="8479"/>
      <c r="F69" s="8480" t="str">
        <f>IF(C58=0,"",VLOOKUP(C58,'Tablas psiquica'!$D$7:$R$296,15,FALSE))</f>
        <v/>
      </c>
      <c r="G69" s="8481"/>
      <c r="H69" s="8481"/>
      <c r="I69" s="8482"/>
      <c r="J69" s="607"/>
      <c r="K69" s="4243">
        <v>440</v>
      </c>
      <c r="L69" s="8478" t="s">
        <v>1537</v>
      </c>
      <c r="M69" s="8479"/>
      <c r="N69" s="8480" t="str">
        <f>IF(K58=0,"",VLOOKUP(K58,'Tablas psiquica'!$D$7:$R$296,15,FALSE))</f>
        <v/>
      </c>
      <c r="O69" s="8481"/>
      <c r="P69" s="8481"/>
      <c r="Q69" s="8482"/>
      <c r="R69" s="982"/>
      <c r="S69" s="4243">
        <v>440</v>
      </c>
      <c r="T69" s="8478" t="s">
        <v>1537</v>
      </c>
      <c r="U69" s="8479"/>
      <c r="V69" s="8480" t="str">
        <f>IF(S58=0,"",VLOOKUP(S58,'Tablas psiquica'!$D$7:$R$296,15,FALSE))</f>
        <v/>
      </c>
      <c r="W69" s="8481"/>
      <c r="X69" s="8481"/>
      <c r="Y69" s="8482"/>
      <c r="Z69" s="4232"/>
      <c r="AA69" s="360"/>
    </row>
    <row r="70" spans="1:27" ht="12" customHeight="1">
      <c r="A70" s="360"/>
      <c r="B70" s="982"/>
      <c r="C70" s="8496" t="s">
        <v>5824</v>
      </c>
      <c r="D70" s="8490"/>
      <c r="E70" s="4244" t="str">
        <f>IF(C58=0,"",VLOOKUP(C58,'Tablas psiquica'!$D$7:$R$296,4,FALSE))</f>
        <v/>
      </c>
      <c r="F70" s="8483" t="s">
        <v>5819</v>
      </c>
      <c r="G70" s="8483"/>
      <c r="H70" s="8484" t="str">
        <f>IF(C58=0,"",VLOOKUP(C58,'Tablas psiquica'!$D$7:$R$296,5,FALSE))</f>
        <v/>
      </c>
      <c r="I70" s="8485"/>
      <c r="J70" s="607"/>
      <c r="K70" s="8496" t="s">
        <v>5824</v>
      </c>
      <c r="L70" s="8490"/>
      <c r="M70" s="4244" t="str">
        <f>IF(K58=0,"",VLOOKUP(K58,'Tablas psiquica'!$D$7:$R$296,4,FALSE))</f>
        <v/>
      </c>
      <c r="N70" s="8483" t="s">
        <v>5819</v>
      </c>
      <c r="O70" s="8483"/>
      <c r="P70" s="8484" t="str">
        <f>IF(K58=0,"",VLOOKUP(K58,'Tablas psiquica'!$D$7:$R$296,5,FALSE))</f>
        <v/>
      </c>
      <c r="Q70" s="8485"/>
      <c r="R70" s="982"/>
      <c r="S70" s="8496" t="s">
        <v>5824</v>
      </c>
      <c r="T70" s="8490"/>
      <c r="U70" s="4244" t="str">
        <f>IF(S58=0,"",VLOOKUP(S58,'Tablas psiquica'!$D$7:$R$296,4,FALSE))</f>
        <v/>
      </c>
      <c r="V70" s="8483" t="s">
        <v>5819</v>
      </c>
      <c r="W70" s="8483"/>
      <c r="X70" s="8484" t="str">
        <f>IF(S58=0,"",VLOOKUP(S58,'Tablas psiquica'!$D$7:$R$296,5,FALSE))</f>
        <v/>
      </c>
      <c r="Y70" s="8485"/>
      <c r="Z70" s="4232"/>
      <c r="AA70" s="360"/>
    </row>
    <row r="71" spans="1:27" ht="12" customHeight="1">
      <c r="A71" s="360"/>
      <c r="B71" s="982"/>
      <c r="C71" s="8496" t="s">
        <v>13936</v>
      </c>
      <c r="D71" s="8490"/>
      <c r="E71" s="8486" t="str">
        <f>IF(C58=0,"",VLOOKUP(C58,'Tablas psiquica'!$D$7:$X$296,20,FALSE))</f>
        <v/>
      </c>
      <c r="F71" s="8487"/>
      <c r="G71" s="8490" t="s">
        <v>13937</v>
      </c>
      <c r="H71" s="8492" t="str">
        <f>IF(C58=0,"",VLOOKUP(C58,'Tablas psiquica'!$D$7:$X$296,21,FALSE))</f>
        <v/>
      </c>
      <c r="I71" s="8493"/>
      <c r="J71" s="607"/>
      <c r="K71" s="8496" t="s">
        <v>13936</v>
      </c>
      <c r="L71" s="8490"/>
      <c r="M71" s="8486" t="str">
        <f>IF(K58=0,"",VLOOKUP(K58,'Tablas psiquica'!$D$7:$X$296,20,FALSE))</f>
        <v/>
      </c>
      <c r="N71" s="8487"/>
      <c r="O71" s="8490" t="s">
        <v>13937</v>
      </c>
      <c r="P71" s="8492" t="str">
        <f>IF(K58=0,"",VLOOKUP(K58,'Tablas psiquica'!$D$7:$X$296,21,FALSE))</f>
        <v/>
      </c>
      <c r="Q71" s="8493"/>
      <c r="R71" s="607"/>
      <c r="S71" s="8496" t="s">
        <v>13936</v>
      </c>
      <c r="T71" s="8490"/>
      <c r="U71" s="8486" t="str">
        <f>IF(S58=0,"",VLOOKUP(S58,'Tablas psiquica'!$D$7:$X$296,20,FALSE))</f>
        <v/>
      </c>
      <c r="V71" s="8487"/>
      <c r="W71" s="8490" t="s">
        <v>13937</v>
      </c>
      <c r="X71" s="8492" t="str">
        <f>IF(S58=0,"",VLOOKUP(S58,'Tablas psiquica'!$D$7:$X$296,21,FALSE))</f>
        <v/>
      </c>
      <c r="Y71" s="8493"/>
      <c r="Z71" s="4232"/>
      <c r="AA71" s="360"/>
    </row>
    <row r="72" spans="1:27" ht="12" customHeight="1" thickBot="1">
      <c r="A72" s="360"/>
      <c r="B72" s="982"/>
      <c r="C72" s="8497"/>
      <c r="D72" s="8491"/>
      <c r="E72" s="8488"/>
      <c r="F72" s="8489"/>
      <c r="G72" s="8491"/>
      <c r="H72" s="8494"/>
      <c r="I72" s="8495"/>
      <c r="J72" s="607"/>
      <c r="K72" s="8497"/>
      <c r="L72" s="8491"/>
      <c r="M72" s="8488"/>
      <c r="N72" s="8489"/>
      <c r="O72" s="8491"/>
      <c r="P72" s="8494"/>
      <c r="Q72" s="8495"/>
      <c r="R72" s="607"/>
      <c r="S72" s="8497"/>
      <c r="T72" s="8491"/>
      <c r="U72" s="8488"/>
      <c r="V72" s="8489"/>
      <c r="W72" s="8491"/>
      <c r="X72" s="8494"/>
      <c r="Y72" s="8495"/>
      <c r="Z72" s="4232"/>
      <c r="AA72" s="360"/>
    </row>
    <row r="73" spans="1:27" ht="12" customHeight="1" thickBot="1">
      <c r="A73" s="360"/>
      <c r="B73" s="982"/>
      <c r="C73" s="976"/>
      <c r="J73" s="607"/>
      <c r="K73" s="976"/>
      <c r="R73" s="607"/>
      <c r="S73" s="976"/>
      <c r="Z73" s="4232"/>
      <c r="AA73" s="360"/>
    </row>
    <row r="74" spans="1:27" ht="12" customHeight="1">
      <c r="A74" s="360"/>
      <c r="B74" s="982">
        <v>13</v>
      </c>
      <c r="C74" s="8527"/>
      <c r="D74" s="8528"/>
      <c r="E74" s="8528"/>
      <c r="F74" s="8528"/>
      <c r="G74" s="8528"/>
      <c r="H74" s="8529"/>
      <c r="I74" s="4238" t="s">
        <v>1262</v>
      </c>
      <c r="J74" s="607">
        <v>14</v>
      </c>
      <c r="K74" s="8527"/>
      <c r="L74" s="8528"/>
      <c r="M74" s="8528"/>
      <c r="N74" s="8528"/>
      <c r="O74" s="8528"/>
      <c r="P74" s="8529"/>
      <c r="Q74" s="4238" t="s">
        <v>1262</v>
      </c>
      <c r="R74" s="982">
        <v>15</v>
      </c>
      <c r="S74" s="8527"/>
      <c r="T74" s="8528"/>
      <c r="U74" s="8528"/>
      <c r="V74" s="8528"/>
      <c r="W74" s="8528"/>
      <c r="X74" s="8529"/>
      <c r="Y74" s="4238" t="s">
        <v>1262</v>
      </c>
      <c r="Z74" s="4232"/>
      <c r="AA74" s="360"/>
    </row>
    <row r="75" spans="1:27" ht="12" customHeight="1">
      <c r="A75" s="360"/>
      <c r="B75" s="262"/>
      <c r="C75" s="8500" t="str">
        <f>IF(C74=0,"",VLOOKUP(C74,'Tablas psiquica'!$D$7:$R$296,2,FALSE))</f>
        <v/>
      </c>
      <c r="D75" s="8501"/>
      <c r="E75" s="8501"/>
      <c r="F75" s="8502"/>
      <c r="G75" s="8498" t="str" cm="1">
        <f t="array" ref="G75">IF(C74=0,"",IF(Psíquicos!AD75=C74,"Acceso natural",IF(INDEX('Tablas psiquica'!$AU$5:$BS$5,1,J75)=0,"No Accesible",IF(ISNA(VLOOKUP(C74,Psíquicos!$AS$17:$AS$44,1,0)),"Accesible CV","Aprendido"))))</f>
        <v/>
      </c>
      <c r="H75" s="8499"/>
      <c r="I75" s="4242" t="str">
        <f>IF(C74=0,"",VLOOKUP(C74,'Tablas psiquica'!$D$7:$R$296,3,FALSE))</f>
        <v/>
      </c>
      <c r="J75" s="4264" t="e">
        <f>MATCH(C75,'Tablas psiquica'!$AU$4:$BS$4,0)</f>
        <v>#N/A</v>
      </c>
      <c r="K75" s="8500" t="str">
        <f>IF(K74=0,"",VLOOKUP(K74,'Tablas psiquica'!$D$7:$R$296,2,FALSE))</f>
        <v/>
      </c>
      <c r="L75" s="8501"/>
      <c r="M75" s="8501"/>
      <c r="N75" s="8502"/>
      <c r="O75" s="8498" t="str" cm="1">
        <f t="array" ref="O75">IF(K74=0,"",IF(Psíquicos!AL75=K74,"Acceso natural",IF(INDEX('Tablas psiquica'!$AU$5:$BS$5,1,R75)=0,"No Accesible",IF(ISNA(VLOOKUP(K74,Psíquicos!$AS$17:$AS$44,1,0)),"Accesible CV","Aprendido"))))</f>
        <v/>
      </c>
      <c r="P75" s="8499"/>
      <c r="Q75" s="4242" t="str">
        <f>IF(K74=0,"",VLOOKUP(K74,'Tablas psiquica'!$D$7:$R$296,3,FALSE))</f>
        <v/>
      </c>
      <c r="R75" s="4264" t="e">
        <f>MATCH(K75,'Tablas psiquica'!$AU$4:$BS$4,0)</f>
        <v>#N/A</v>
      </c>
      <c r="S75" s="8500" t="str">
        <f>IF(S74=0,"",VLOOKUP(S74,'Tablas psiquica'!$D$7:$R$296,2,FALSE))</f>
        <v/>
      </c>
      <c r="T75" s="8501"/>
      <c r="U75" s="8501"/>
      <c r="V75" s="8502"/>
      <c r="W75" s="8498" t="str" cm="1">
        <f t="array" ref="W75">IF(S74=0,"",IF(Psíquicos!AT75=S74,"Acceso natural",IF(INDEX('Tablas psiquica'!$AU$5:$BS$5,1,Z75)=0,"No Accesible",IF(ISNA(VLOOKUP(S74,Psíquicos!$AS$17:$AS$44,1,0)),"Accesible CV","Aprendido"))))</f>
        <v/>
      </c>
      <c r="X75" s="8499"/>
      <c r="Y75" s="4242" t="str">
        <f>IF(S74=0,"",VLOOKUP(S74,'Tablas psiquica'!$D$7:$R$296,3,FALSE))</f>
        <v/>
      </c>
      <c r="Z75" s="4264" t="e">
        <f>MATCH(S75,'Tablas psiquica'!$AU$4:$BS$4,0)</f>
        <v>#N/A</v>
      </c>
      <c r="AA75" s="360"/>
    </row>
    <row r="76" spans="1:27" ht="12" customHeight="1">
      <c r="A76" s="360"/>
      <c r="B76" s="262"/>
      <c r="C76" s="1455">
        <v>20</v>
      </c>
      <c r="D76" s="8477" t="s">
        <v>1577</v>
      </c>
      <c r="E76" s="8392"/>
      <c r="F76" s="8475" t="str">
        <f>IF(C74=0,"",VLOOKUP(C74,'Tablas psiquica'!$D$7:$R$296,6,FALSE))</f>
        <v/>
      </c>
      <c r="G76" s="7145"/>
      <c r="H76" s="7145"/>
      <c r="I76" s="8476"/>
      <c r="K76" s="1455">
        <v>20</v>
      </c>
      <c r="L76" s="8477" t="s">
        <v>1577</v>
      </c>
      <c r="M76" s="8392"/>
      <c r="N76" s="8475" t="str">
        <f>IF(K74=0,"",VLOOKUP(K74,'Tablas psiquica'!$D$7:$R$296,6,FALSE))</f>
        <v/>
      </c>
      <c r="O76" s="7145"/>
      <c r="P76" s="7145"/>
      <c r="Q76" s="8476"/>
      <c r="R76" s="262"/>
      <c r="S76" s="1455">
        <v>20</v>
      </c>
      <c r="T76" s="8477" t="s">
        <v>1577</v>
      </c>
      <c r="U76" s="8392"/>
      <c r="V76" s="8475" t="str">
        <f>IF(S74=0,"",VLOOKUP(S74,'Tablas psiquica'!$D$7:$R$296,6,FALSE))</f>
        <v/>
      </c>
      <c r="W76" s="7145"/>
      <c r="X76" s="7145"/>
      <c r="Y76" s="8476"/>
      <c r="Z76" s="4232"/>
      <c r="AA76" s="360"/>
    </row>
    <row r="77" spans="1:27" ht="12" customHeight="1">
      <c r="A77" s="360"/>
      <c r="B77" s="262"/>
      <c r="C77" s="1454">
        <v>40</v>
      </c>
      <c r="D77" s="8472" t="s">
        <v>1579</v>
      </c>
      <c r="E77" s="8387"/>
      <c r="F77" s="8473" t="str">
        <f>IF(C74=0,"",VLOOKUP(C74,'Tablas psiquica'!$D$7:$R$296,7,FALSE))</f>
        <v/>
      </c>
      <c r="G77" s="8258"/>
      <c r="H77" s="8258"/>
      <c r="I77" s="8474"/>
      <c r="K77" s="1454">
        <v>40</v>
      </c>
      <c r="L77" s="8472" t="s">
        <v>1579</v>
      </c>
      <c r="M77" s="8387"/>
      <c r="N77" s="8473" t="str">
        <f>IF(K74=0,"",VLOOKUP(K74,'Tablas psiquica'!$D$7:$R$296,7,FALSE))</f>
        <v/>
      </c>
      <c r="O77" s="8258"/>
      <c r="P77" s="8258"/>
      <c r="Q77" s="8474"/>
      <c r="R77" s="262"/>
      <c r="S77" s="1454">
        <v>40</v>
      </c>
      <c r="T77" s="8472" t="s">
        <v>1579</v>
      </c>
      <c r="U77" s="8387"/>
      <c r="V77" s="8473" t="str">
        <f>IF(S74=0,"",VLOOKUP(S74,'Tablas psiquica'!$D$7:$R$296,7,FALSE))</f>
        <v/>
      </c>
      <c r="W77" s="8258"/>
      <c r="X77" s="8258"/>
      <c r="Y77" s="8474"/>
      <c r="Z77" s="4232"/>
      <c r="AA77" s="360"/>
    </row>
    <row r="78" spans="1:27" ht="12" customHeight="1">
      <c r="A78" s="360"/>
      <c r="B78" s="262"/>
      <c r="C78" s="1455">
        <v>80</v>
      </c>
      <c r="D78" s="8477" t="s">
        <v>1582</v>
      </c>
      <c r="E78" s="8392"/>
      <c r="F78" s="8475" t="str">
        <f>IF(C74=0,"",VLOOKUP(C74,'Tablas psiquica'!$D$7:$R$296,8,FALSE))</f>
        <v/>
      </c>
      <c r="G78" s="7145"/>
      <c r="H78" s="7145"/>
      <c r="I78" s="8476"/>
      <c r="K78" s="1455">
        <v>80</v>
      </c>
      <c r="L78" s="8477" t="s">
        <v>1582</v>
      </c>
      <c r="M78" s="8392"/>
      <c r="N78" s="8475" t="str">
        <f>IF(K74=0,"",VLOOKUP(K74,'Tablas psiquica'!$D$7:$R$296,8,FALSE))</f>
        <v/>
      </c>
      <c r="O78" s="7145"/>
      <c r="P78" s="7145"/>
      <c r="Q78" s="8476"/>
      <c r="R78" s="262"/>
      <c r="S78" s="1455">
        <v>80</v>
      </c>
      <c r="T78" s="8477" t="s">
        <v>1582</v>
      </c>
      <c r="U78" s="8392"/>
      <c r="V78" s="8475" t="str">
        <f>IF(S74=0,"",VLOOKUP(S74,'Tablas psiquica'!$D$7:$R$296,8,FALSE))</f>
        <v/>
      </c>
      <c r="W78" s="7145"/>
      <c r="X78" s="7145"/>
      <c r="Y78" s="8476"/>
      <c r="Z78" s="4232"/>
      <c r="AA78" s="360"/>
    </row>
    <row r="79" spans="1:27" ht="12" customHeight="1">
      <c r="A79" s="360"/>
      <c r="B79" s="262"/>
      <c r="C79" s="1454">
        <v>120</v>
      </c>
      <c r="D79" s="8472" t="s">
        <v>1585</v>
      </c>
      <c r="E79" s="8387"/>
      <c r="F79" s="8473" t="str">
        <f>IF(C74=0,"",VLOOKUP(C74,'Tablas psiquica'!$D$7:$R$296,9,FALSE))</f>
        <v/>
      </c>
      <c r="G79" s="8258"/>
      <c r="H79" s="8258"/>
      <c r="I79" s="8474"/>
      <c r="K79" s="1454">
        <v>120</v>
      </c>
      <c r="L79" s="8472" t="s">
        <v>1585</v>
      </c>
      <c r="M79" s="8387"/>
      <c r="N79" s="8473" t="str">
        <f>IF(K74=0,"",VLOOKUP(K74,'Tablas psiquica'!$D$7:$R$296,9,FALSE))</f>
        <v/>
      </c>
      <c r="O79" s="8258"/>
      <c r="P79" s="8258"/>
      <c r="Q79" s="8474"/>
      <c r="R79" s="262"/>
      <c r="S79" s="1454">
        <v>120</v>
      </c>
      <c r="T79" s="8472" t="s">
        <v>1585</v>
      </c>
      <c r="U79" s="8387"/>
      <c r="V79" s="8473" t="str">
        <f>IF(S74=0,"",VLOOKUP(S74,'Tablas psiquica'!$D$7:$R$296,9,FALSE))</f>
        <v/>
      </c>
      <c r="W79" s="8258"/>
      <c r="X79" s="8258"/>
      <c r="Y79" s="8474"/>
      <c r="Z79" s="4232"/>
      <c r="AA79" s="360"/>
    </row>
    <row r="80" spans="1:27" ht="12" customHeight="1">
      <c r="A80" s="360"/>
      <c r="B80" s="262"/>
      <c r="C80" s="1455">
        <v>140</v>
      </c>
      <c r="D80" s="8477" t="s">
        <v>5822</v>
      </c>
      <c r="E80" s="8392"/>
      <c r="F80" s="8475" t="str">
        <f>IF(C74=0,"",VLOOKUP(C74,'Tablas psiquica'!$D$7:$R$296,10,FALSE))</f>
        <v/>
      </c>
      <c r="G80" s="7145"/>
      <c r="H80" s="7145"/>
      <c r="I80" s="8476"/>
      <c r="K80" s="1455">
        <v>140</v>
      </c>
      <c r="L80" s="8477" t="s">
        <v>5822</v>
      </c>
      <c r="M80" s="8392"/>
      <c r="N80" s="8475" t="str">
        <f>IF(K74=0,"",VLOOKUP(K74,'Tablas psiquica'!$D$7:$R$296,10,FALSE))</f>
        <v/>
      </c>
      <c r="O80" s="7145"/>
      <c r="P80" s="7145"/>
      <c r="Q80" s="8476"/>
      <c r="R80" s="262"/>
      <c r="S80" s="1455">
        <v>140</v>
      </c>
      <c r="T80" s="8477" t="s">
        <v>5822</v>
      </c>
      <c r="U80" s="8392"/>
      <c r="V80" s="8475" t="str">
        <f>IF(S74=0,"",VLOOKUP(S74,'Tablas psiquica'!$D$7:$R$296,10,FALSE))</f>
        <v/>
      </c>
      <c r="W80" s="7145"/>
      <c r="X80" s="7145"/>
      <c r="Y80" s="8476"/>
      <c r="Z80" s="4232"/>
      <c r="AA80" s="360"/>
    </row>
    <row r="81" spans="1:27" ht="12" customHeight="1">
      <c r="A81" s="360"/>
      <c r="B81" s="262"/>
      <c r="C81" s="1454">
        <v>180</v>
      </c>
      <c r="D81" s="8472" t="s">
        <v>1589</v>
      </c>
      <c r="E81" s="8387"/>
      <c r="F81" s="8473" t="str">
        <f>IF(C74=0,"",VLOOKUP(C74,'Tablas psiquica'!$D$7:$R$296,11,FALSE))</f>
        <v/>
      </c>
      <c r="G81" s="8258"/>
      <c r="H81" s="8258"/>
      <c r="I81" s="8474"/>
      <c r="K81" s="1454">
        <v>180</v>
      </c>
      <c r="L81" s="8472" t="s">
        <v>1589</v>
      </c>
      <c r="M81" s="8387"/>
      <c r="N81" s="8473" t="str">
        <f>IF(K74=0,"",VLOOKUP(K74,'Tablas psiquica'!$D$7:$R$296,11,FALSE))</f>
        <v/>
      </c>
      <c r="O81" s="8258"/>
      <c r="P81" s="8258"/>
      <c r="Q81" s="8474"/>
      <c r="R81" s="262"/>
      <c r="S81" s="1454">
        <v>180</v>
      </c>
      <c r="T81" s="8472" t="s">
        <v>1589</v>
      </c>
      <c r="U81" s="8387"/>
      <c r="V81" s="8473" t="str">
        <f>IF(S74=0,"",VLOOKUP(S74,'Tablas psiquica'!$D$7:$R$296,11,FALSE))</f>
        <v/>
      </c>
      <c r="W81" s="8258"/>
      <c r="X81" s="8258"/>
      <c r="Y81" s="8474"/>
      <c r="Z81" s="4232"/>
      <c r="AA81" s="360"/>
    </row>
    <row r="82" spans="1:27" ht="12" customHeight="1">
      <c r="A82" s="360"/>
      <c r="B82" s="262"/>
      <c r="C82" s="1455">
        <v>240</v>
      </c>
      <c r="D82" s="8477" t="s">
        <v>5823</v>
      </c>
      <c r="E82" s="8392"/>
      <c r="F82" s="8475" t="str">
        <f>IF(C74=0,"",VLOOKUP(C74,'Tablas psiquica'!$D$7:$R$296,12,FALSE))</f>
        <v/>
      </c>
      <c r="G82" s="7145"/>
      <c r="H82" s="7145"/>
      <c r="I82" s="8476"/>
      <c r="K82" s="1455">
        <v>240</v>
      </c>
      <c r="L82" s="8477" t="s">
        <v>5823</v>
      </c>
      <c r="M82" s="8392"/>
      <c r="N82" s="8475" t="str">
        <f>IF(K74=0,"",VLOOKUP(K74,'Tablas psiquica'!$D$7:$R$296,12,FALSE))</f>
        <v/>
      </c>
      <c r="O82" s="7145"/>
      <c r="P82" s="7145"/>
      <c r="Q82" s="8476"/>
      <c r="R82" s="262"/>
      <c r="S82" s="1455">
        <v>240</v>
      </c>
      <c r="T82" s="8477" t="s">
        <v>5823</v>
      </c>
      <c r="U82" s="8392"/>
      <c r="V82" s="8475" t="str">
        <f>IF(S74=0,"",VLOOKUP(S74,'Tablas psiquica'!$D$7:$R$296,12,FALSE))</f>
        <v/>
      </c>
      <c r="W82" s="7145"/>
      <c r="X82" s="7145"/>
      <c r="Y82" s="8476"/>
      <c r="Z82" s="4232"/>
      <c r="AA82" s="360"/>
    </row>
    <row r="83" spans="1:27" ht="12" customHeight="1">
      <c r="A83" s="360"/>
      <c r="B83" s="262"/>
      <c r="C83" s="1454">
        <v>280</v>
      </c>
      <c r="D83" s="8472" t="s">
        <v>1592</v>
      </c>
      <c r="E83" s="8387"/>
      <c r="F83" s="8473" t="str">
        <f>IF(C74=0,"",VLOOKUP(C74,'Tablas psiquica'!$D$7:$R$296,13,FALSE))</f>
        <v/>
      </c>
      <c r="G83" s="8258"/>
      <c r="H83" s="8258"/>
      <c r="I83" s="8474"/>
      <c r="K83" s="1454">
        <v>280</v>
      </c>
      <c r="L83" s="8472" t="s">
        <v>1592</v>
      </c>
      <c r="M83" s="8387"/>
      <c r="N83" s="8473" t="str">
        <f>IF(K74=0,"",VLOOKUP(K74,'Tablas psiquica'!$D$7:$R$296,13,FALSE))</f>
        <v/>
      </c>
      <c r="O83" s="8258"/>
      <c r="P83" s="8258"/>
      <c r="Q83" s="8474"/>
      <c r="R83" s="262"/>
      <c r="S83" s="1454">
        <v>280</v>
      </c>
      <c r="T83" s="8472" t="s">
        <v>1592</v>
      </c>
      <c r="U83" s="8387"/>
      <c r="V83" s="8473" t="str">
        <f>IF(S74=0,"",VLOOKUP(S74,'Tablas psiquica'!$D$7:$R$296,13,FALSE))</f>
        <v/>
      </c>
      <c r="W83" s="8258"/>
      <c r="X83" s="8258"/>
      <c r="Y83" s="8474"/>
      <c r="Z83" s="4232"/>
      <c r="AA83" s="360"/>
    </row>
    <row r="84" spans="1:27" ht="12" customHeight="1">
      <c r="A84" s="360"/>
      <c r="B84" s="262"/>
      <c r="C84" s="1455">
        <v>320</v>
      </c>
      <c r="D84" s="8477" t="s">
        <v>1594</v>
      </c>
      <c r="E84" s="8392"/>
      <c r="F84" s="8475" t="str">
        <f>IF(C74=0,"",VLOOKUP(C74,'Tablas psiquica'!$D$7:$R$296,14,FALSE))</f>
        <v/>
      </c>
      <c r="G84" s="7145"/>
      <c r="H84" s="7145"/>
      <c r="I84" s="8476"/>
      <c r="K84" s="1455">
        <v>320</v>
      </c>
      <c r="L84" s="8477" t="s">
        <v>1594</v>
      </c>
      <c r="M84" s="8392"/>
      <c r="N84" s="8475" t="str">
        <f>IF(K74=0,"",VLOOKUP(K74,'Tablas psiquica'!$D$7:$R$296,14,FALSE))</f>
        <v/>
      </c>
      <c r="O84" s="7145"/>
      <c r="P84" s="7145"/>
      <c r="Q84" s="8476"/>
      <c r="R84" s="262"/>
      <c r="S84" s="1455">
        <v>320</v>
      </c>
      <c r="T84" s="8477" t="s">
        <v>1594</v>
      </c>
      <c r="U84" s="8392"/>
      <c r="V84" s="8475" t="str">
        <f>IF(S74=0,"",VLOOKUP(S74,'Tablas psiquica'!$D$7:$R$296,14,FALSE))</f>
        <v/>
      </c>
      <c r="W84" s="7145"/>
      <c r="X84" s="7145"/>
      <c r="Y84" s="8476"/>
      <c r="Z84" s="4232"/>
      <c r="AA84" s="360"/>
    </row>
    <row r="85" spans="1:27" ht="12" customHeight="1">
      <c r="A85" s="360"/>
      <c r="B85" s="262"/>
      <c r="C85" s="4243">
        <v>440</v>
      </c>
      <c r="D85" s="8478" t="s">
        <v>1537</v>
      </c>
      <c r="E85" s="8479"/>
      <c r="F85" s="8480" t="str">
        <f>IF(C74=0,"",VLOOKUP(C74,'Tablas psiquica'!$D$7:$R$296,15,FALSE))</f>
        <v/>
      </c>
      <c r="G85" s="8481"/>
      <c r="H85" s="8481"/>
      <c r="I85" s="8482"/>
      <c r="K85" s="4243">
        <v>440</v>
      </c>
      <c r="L85" s="8478" t="s">
        <v>1537</v>
      </c>
      <c r="M85" s="8479"/>
      <c r="N85" s="8480" t="str">
        <f>IF(K74=0,"",VLOOKUP(K74,'Tablas psiquica'!$D$7:$R$296,15,FALSE))</f>
        <v/>
      </c>
      <c r="O85" s="8481"/>
      <c r="P85" s="8481"/>
      <c r="Q85" s="8482"/>
      <c r="R85" s="262"/>
      <c r="S85" s="4243">
        <v>440</v>
      </c>
      <c r="T85" s="8478" t="s">
        <v>1537</v>
      </c>
      <c r="U85" s="8479"/>
      <c r="V85" s="8480" t="str">
        <f>IF(S74=0,"",VLOOKUP(S74,'Tablas psiquica'!$D$7:$R$296,15,FALSE))</f>
        <v/>
      </c>
      <c r="W85" s="8481"/>
      <c r="X85" s="8481"/>
      <c r="Y85" s="8482"/>
      <c r="Z85" s="4232"/>
      <c r="AA85" s="360"/>
    </row>
    <row r="86" spans="1:27" ht="12" customHeight="1">
      <c r="A86" s="360"/>
      <c r="B86" s="262"/>
      <c r="C86" s="8496" t="s">
        <v>5824</v>
      </c>
      <c r="D86" s="8490"/>
      <c r="E86" s="4244" t="str">
        <f>IF(C74=0,"",VLOOKUP(C74,'Tablas psiquica'!$D$7:$R$296,4,FALSE))</f>
        <v/>
      </c>
      <c r="F86" s="8483" t="s">
        <v>5819</v>
      </c>
      <c r="G86" s="8483"/>
      <c r="H86" s="8484" t="str">
        <f>IF(C74=0,"",VLOOKUP(C74,'Tablas psiquica'!$D$7:$R$296,5,FALSE))</f>
        <v/>
      </c>
      <c r="I86" s="8485"/>
      <c r="K86" s="8496" t="s">
        <v>5824</v>
      </c>
      <c r="L86" s="8490"/>
      <c r="M86" s="4244" t="str">
        <f>IF(K74=0,"",VLOOKUP(K74,'Tablas psiquica'!$D$7:$R$296,4,FALSE))</f>
        <v/>
      </c>
      <c r="N86" s="8483" t="s">
        <v>5819</v>
      </c>
      <c r="O86" s="8483"/>
      <c r="P86" s="8484" t="str">
        <f>IF(K74=0,"",VLOOKUP(K74,'Tablas psiquica'!$D$7:$R$296,5,FALSE))</f>
        <v/>
      </c>
      <c r="Q86" s="8485"/>
      <c r="R86" s="262"/>
      <c r="S86" s="8496" t="s">
        <v>5824</v>
      </c>
      <c r="T86" s="8490"/>
      <c r="U86" s="4244" t="str">
        <f>IF(S74=0,"",VLOOKUP(S74,'Tablas psiquica'!$D$7:$R$296,4,FALSE))</f>
        <v/>
      </c>
      <c r="V86" s="8483" t="s">
        <v>5819</v>
      </c>
      <c r="W86" s="8483"/>
      <c r="X86" s="8484" t="str">
        <f>IF(S74=0,"",VLOOKUP(S74,'Tablas psiquica'!$D$7:$R$296,5,FALSE))</f>
        <v/>
      </c>
      <c r="Y86" s="8485"/>
      <c r="Z86" s="4232"/>
      <c r="AA86" s="360"/>
    </row>
    <row r="87" spans="1:27" ht="12" customHeight="1">
      <c r="A87" s="360"/>
      <c r="B87" s="262"/>
      <c r="C87" s="8496" t="s">
        <v>13936</v>
      </c>
      <c r="D87" s="8490"/>
      <c r="E87" s="8486" t="str">
        <f>IF(C74=0,"",VLOOKUP(C74,'Tablas psiquica'!$D$7:$X$296,20,FALSE))</f>
        <v/>
      </c>
      <c r="F87" s="8487"/>
      <c r="G87" s="8490" t="s">
        <v>13937</v>
      </c>
      <c r="H87" s="8492" t="str">
        <f>IF(C74=0,"",VLOOKUP(C74,'Tablas psiquica'!$D$7:$X$296,21,FALSE))</f>
        <v/>
      </c>
      <c r="I87" s="8493"/>
      <c r="K87" s="8496" t="s">
        <v>13936</v>
      </c>
      <c r="L87" s="8490"/>
      <c r="M87" s="8486" t="str">
        <f>IF(K74=0,"",VLOOKUP(K74,'Tablas psiquica'!$D$7:$X$296,20,FALSE))</f>
        <v/>
      </c>
      <c r="N87" s="8487"/>
      <c r="O87" s="8490" t="s">
        <v>13937</v>
      </c>
      <c r="P87" s="8492" t="str">
        <f>IF(K74=0,"",VLOOKUP(K74,'Tablas psiquica'!$D$7:$X$296,21,FALSE))</f>
        <v/>
      </c>
      <c r="Q87" s="8493"/>
      <c r="S87" s="8496" t="s">
        <v>13936</v>
      </c>
      <c r="T87" s="8490"/>
      <c r="U87" s="8486" t="str">
        <f>IF(S74=0,"",VLOOKUP(S74,'Tablas psiquica'!$D$7:$X$296,20,FALSE))</f>
        <v/>
      </c>
      <c r="V87" s="8487"/>
      <c r="W87" s="8490" t="s">
        <v>13937</v>
      </c>
      <c r="X87" s="8492" t="str">
        <f>IF(S74=0,"",VLOOKUP(S74,'Tablas psiquica'!$D$7:$X$296,21,FALSE))</f>
        <v/>
      </c>
      <c r="Y87" s="8493"/>
      <c r="Z87" s="4232"/>
      <c r="AA87" s="360"/>
    </row>
    <row r="88" spans="1:27" ht="12" customHeight="1" thickBot="1">
      <c r="A88" s="360"/>
      <c r="B88" s="262"/>
      <c r="C88" s="8497"/>
      <c r="D88" s="8491"/>
      <c r="E88" s="8488"/>
      <c r="F88" s="8489"/>
      <c r="G88" s="8491"/>
      <c r="H88" s="8494"/>
      <c r="I88" s="8495"/>
      <c r="K88" s="8497"/>
      <c r="L88" s="8491"/>
      <c r="M88" s="8488"/>
      <c r="N88" s="8489"/>
      <c r="O88" s="8491"/>
      <c r="P88" s="8494"/>
      <c r="Q88" s="8495"/>
      <c r="S88" s="8497"/>
      <c r="T88" s="8491"/>
      <c r="U88" s="8488"/>
      <c r="V88" s="8489"/>
      <c r="W88" s="8491"/>
      <c r="X88" s="8494"/>
      <c r="Y88" s="8495"/>
      <c r="Z88" s="4232"/>
      <c r="AA88" s="360"/>
    </row>
    <row r="89" spans="1:27" ht="12" customHeight="1" thickBot="1">
      <c r="A89" s="360"/>
      <c r="B89" s="4246"/>
      <c r="C89" s="4247"/>
      <c r="D89" s="4247"/>
      <c r="E89" s="4247"/>
      <c r="F89" s="4247"/>
      <c r="G89" s="4247"/>
      <c r="H89" s="4247"/>
      <c r="I89" s="4247"/>
      <c r="J89" s="4247"/>
      <c r="K89" s="4247"/>
      <c r="L89" s="4247"/>
      <c r="M89" s="4247"/>
      <c r="N89" s="4247"/>
      <c r="O89" s="4247"/>
      <c r="P89" s="4247"/>
      <c r="Q89" s="4248"/>
      <c r="R89" s="4247"/>
      <c r="S89" s="4247"/>
      <c r="T89" s="4247"/>
      <c r="U89" s="4247"/>
      <c r="V89" s="4247"/>
      <c r="W89" s="4247"/>
      <c r="X89" s="4247"/>
      <c r="Y89" s="4247"/>
      <c r="Z89" s="4249"/>
      <c r="AA89" s="360"/>
    </row>
    <row r="90" spans="1:27" ht="12" customHeight="1">
      <c r="A90" s="360"/>
      <c r="B90" s="360"/>
      <c r="C90" s="360"/>
      <c r="D90" s="360"/>
      <c r="E90" s="360"/>
      <c r="F90" s="360"/>
      <c r="G90" s="360"/>
      <c r="H90" s="360"/>
      <c r="I90" s="360"/>
      <c r="J90" s="360"/>
      <c r="K90" s="360"/>
      <c r="L90" s="360"/>
      <c r="M90" s="360"/>
      <c r="N90" s="360"/>
      <c r="O90" s="360"/>
      <c r="P90" s="360"/>
      <c r="Q90" s="360"/>
      <c r="R90" s="360"/>
      <c r="S90" s="360"/>
      <c r="T90" s="360"/>
      <c r="U90" s="360"/>
      <c r="V90" s="360"/>
      <c r="W90" s="360"/>
      <c r="X90" s="360"/>
      <c r="Y90" s="360"/>
      <c r="Z90" s="360"/>
      <c r="AA90" s="360"/>
    </row>
  </sheetData>
  <sheetProtection sheet="1" selectLockedCells="1"/>
  <protectedRanges>
    <protectedRange sqref="Y25" name="Poderes_2_1"/>
    <protectedRange sqref="I11 C10:C11 F10:F11 Q11 K10:K11 N10:N11 Y11 I27 I43 I59 I75 Q27 Q43 Q59 Q75 Y27 Y43 Y59 Y75 S10:S11 V10:V11 C26:C27 F26:F27 K26:K27 N26:N27 S26:S27 V26:V27 C42:C43 F42:F43 K42:K43 N42:N43 S42:S43 V42:V43 C58:C59 F58:F59 K58:K59 N58:N59 S58:S59 V58:V59 S74:S75 V74:V75 K74:K75 N74:N75 C74:C75 F74:F75" name="Poderes_1_3_61_60"/>
    <protectedRange sqref="K4" name="Nombre_1_1_1_1"/>
    <protectedRange sqref="Q5" name="Nivel_1_1_1"/>
  </protectedRanges>
  <mergeCells count="458">
    <mergeCell ref="O87:O88"/>
    <mergeCell ref="P87:Q88"/>
    <mergeCell ref="S87:T88"/>
    <mergeCell ref="U87:V88"/>
    <mergeCell ref="W87:W88"/>
    <mergeCell ref="X87:Y88"/>
    <mergeCell ref="C87:D88"/>
    <mergeCell ref="E87:F88"/>
    <mergeCell ref="G87:G88"/>
    <mergeCell ref="H87:I88"/>
    <mergeCell ref="K87:L88"/>
    <mergeCell ref="M87:N88"/>
    <mergeCell ref="S86:T86"/>
    <mergeCell ref="V86:W86"/>
    <mergeCell ref="X86:Y86"/>
    <mergeCell ref="C86:D86"/>
    <mergeCell ref="F86:G86"/>
    <mergeCell ref="H86:I86"/>
    <mergeCell ref="K86:L86"/>
    <mergeCell ref="N86:O86"/>
    <mergeCell ref="P86:Q86"/>
    <mergeCell ref="D85:E85"/>
    <mergeCell ref="F85:I85"/>
    <mergeCell ref="L85:M85"/>
    <mergeCell ref="N85:Q85"/>
    <mergeCell ref="T85:U85"/>
    <mergeCell ref="V85:Y85"/>
    <mergeCell ref="D84:E84"/>
    <mergeCell ref="F84:I84"/>
    <mergeCell ref="L84:M84"/>
    <mergeCell ref="N84:Q84"/>
    <mergeCell ref="T84:U84"/>
    <mergeCell ref="V84:Y84"/>
    <mergeCell ref="D83:E83"/>
    <mergeCell ref="F83:I83"/>
    <mergeCell ref="L83:M83"/>
    <mergeCell ref="N83:Q83"/>
    <mergeCell ref="T83:U83"/>
    <mergeCell ref="V83:Y83"/>
    <mergeCell ref="D82:E82"/>
    <mergeCell ref="F82:I82"/>
    <mergeCell ref="L82:M82"/>
    <mergeCell ref="N82:Q82"/>
    <mergeCell ref="T82:U82"/>
    <mergeCell ref="V82:Y82"/>
    <mergeCell ref="D81:E81"/>
    <mergeCell ref="F81:I81"/>
    <mergeCell ref="L81:M81"/>
    <mergeCell ref="N81:Q81"/>
    <mergeCell ref="T81:U81"/>
    <mergeCell ref="V81:Y81"/>
    <mergeCell ref="D80:E80"/>
    <mergeCell ref="F80:I80"/>
    <mergeCell ref="L80:M80"/>
    <mergeCell ref="N80:Q80"/>
    <mergeCell ref="T80:U80"/>
    <mergeCell ref="V80:Y80"/>
    <mergeCell ref="D79:E79"/>
    <mergeCell ref="F79:I79"/>
    <mergeCell ref="L79:M79"/>
    <mergeCell ref="N79:Q79"/>
    <mergeCell ref="T79:U79"/>
    <mergeCell ref="V79:Y79"/>
    <mergeCell ref="D78:E78"/>
    <mergeCell ref="F78:I78"/>
    <mergeCell ref="L78:M78"/>
    <mergeCell ref="N78:Q78"/>
    <mergeCell ref="T78:U78"/>
    <mergeCell ref="V78:Y78"/>
    <mergeCell ref="D77:E77"/>
    <mergeCell ref="F77:I77"/>
    <mergeCell ref="L77:M77"/>
    <mergeCell ref="N77:Q77"/>
    <mergeCell ref="T77:U77"/>
    <mergeCell ref="V77:Y77"/>
    <mergeCell ref="D76:E76"/>
    <mergeCell ref="F76:I76"/>
    <mergeCell ref="L76:M76"/>
    <mergeCell ref="N76:Q76"/>
    <mergeCell ref="T76:U76"/>
    <mergeCell ref="V76:Y76"/>
    <mergeCell ref="C75:F75"/>
    <mergeCell ref="G75:H75"/>
    <mergeCell ref="K75:N75"/>
    <mergeCell ref="O75:P75"/>
    <mergeCell ref="S75:V75"/>
    <mergeCell ref="C74:H74"/>
    <mergeCell ref="K74:P74"/>
    <mergeCell ref="S74:X74"/>
    <mergeCell ref="P71:Q72"/>
    <mergeCell ref="S71:T72"/>
    <mergeCell ref="U71:V72"/>
    <mergeCell ref="W71:W72"/>
    <mergeCell ref="X71:Y72"/>
    <mergeCell ref="C71:D72"/>
    <mergeCell ref="E71:F72"/>
    <mergeCell ref="G71:G72"/>
    <mergeCell ref="H71:I72"/>
    <mergeCell ref="K71:L72"/>
    <mergeCell ref="M71:N72"/>
    <mergeCell ref="O71:O72"/>
    <mergeCell ref="W75:X75"/>
    <mergeCell ref="C70:D70"/>
    <mergeCell ref="F70:G70"/>
    <mergeCell ref="H70:I70"/>
    <mergeCell ref="K70:L70"/>
    <mergeCell ref="N70:O70"/>
    <mergeCell ref="P70:Q70"/>
    <mergeCell ref="S70:T70"/>
    <mergeCell ref="V70:W70"/>
    <mergeCell ref="X70:Y70"/>
    <mergeCell ref="V69:Y69"/>
    <mergeCell ref="D69:E69"/>
    <mergeCell ref="F69:I69"/>
    <mergeCell ref="L69:M69"/>
    <mergeCell ref="N69:Q69"/>
    <mergeCell ref="T69:U69"/>
    <mergeCell ref="D68:E68"/>
    <mergeCell ref="F68:I68"/>
    <mergeCell ref="L68:M68"/>
    <mergeCell ref="N68:Q68"/>
    <mergeCell ref="T68:U68"/>
    <mergeCell ref="V68:Y68"/>
    <mergeCell ref="D67:E67"/>
    <mergeCell ref="F67:I67"/>
    <mergeCell ref="L67:M67"/>
    <mergeCell ref="N67:Q67"/>
    <mergeCell ref="T67:U67"/>
    <mergeCell ref="V67:Y67"/>
    <mergeCell ref="V66:Y66"/>
    <mergeCell ref="D66:E66"/>
    <mergeCell ref="F66:I66"/>
    <mergeCell ref="L66:M66"/>
    <mergeCell ref="N66:Q66"/>
    <mergeCell ref="T66:U66"/>
    <mergeCell ref="D65:E65"/>
    <mergeCell ref="F65:I65"/>
    <mergeCell ref="L65:M65"/>
    <mergeCell ref="N65:Q65"/>
    <mergeCell ref="T65:U65"/>
    <mergeCell ref="V65:Y65"/>
    <mergeCell ref="D64:E64"/>
    <mergeCell ref="F64:I64"/>
    <mergeCell ref="L64:M64"/>
    <mergeCell ref="N64:Q64"/>
    <mergeCell ref="T64:U64"/>
    <mergeCell ref="V64:Y64"/>
    <mergeCell ref="V63:Y63"/>
    <mergeCell ref="D63:E63"/>
    <mergeCell ref="F63:I63"/>
    <mergeCell ref="L63:M63"/>
    <mergeCell ref="N63:Q63"/>
    <mergeCell ref="T63:U63"/>
    <mergeCell ref="D62:E62"/>
    <mergeCell ref="F62:I62"/>
    <mergeCell ref="L62:M62"/>
    <mergeCell ref="N62:Q62"/>
    <mergeCell ref="T62:U62"/>
    <mergeCell ref="V62:Y62"/>
    <mergeCell ref="D61:E61"/>
    <mergeCell ref="F61:I61"/>
    <mergeCell ref="L61:M61"/>
    <mergeCell ref="N61:Q61"/>
    <mergeCell ref="T61:U61"/>
    <mergeCell ref="V61:Y61"/>
    <mergeCell ref="V60:Y60"/>
    <mergeCell ref="D60:E60"/>
    <mergeCell ref="F60:I60"/>
    <mergeCell ref="L60:M60"/>
    <mergeCell ref="N60:Q60"/>
    <mergeCell ref="T60:U60"/>
    <mergeCell ref="C59:F59"/>
    <mergeCell ref="G59:H59"/>
    <mergeCell ref="K59:N59"/>
    <mergeCell ref="O59:P59"/>
    <mergeCell ref="S59:V59"/>
    <mergeCell ref="W59:X59"/>
    <mergeCell ref="C58:H58"/>
    <mergeCell ref="K58:P58"/>
    <mergeCell ref="S58:X58"/>
    <mergeCell ref="X55:Y56"/>
    <mergeCell ref="M55:N56"/>
    <mergeCell ref="O55:O56"/>
    <mergeCell ref="P55:Q56"/>
    <mergeCell ref="S55:T56"/>
    <mergeCell ref="U55:V56"/>
    <mergeCell ref="W55:W56"/>
    <mergeCell ref="C55:D56"/>
    <mergeCell ref="E55:F56"/>
    <mergeCell ref="G55:G56"/>
    <mergeCell ref="H55:I56"/>
    <mergeCell ref="K55:L56"/>
    <mergeCell ref="V54:W54"/>
    <mergeCell ref="X54:Y54"/>
    <mergeCell ref="C54:D54"/>
    <mergeCell ref="F54:G54"/>
    <mergeCell ref="H54:I54"/>
    <mergeCell ref="K54:L54"/>
    <mergeCell ref="N54:O54"/>
    <mergeCell ref="P54:Q54"/>
    <mergeCell ref="S54:T54"/>
    <mergeCell ref="D53:E53"/>
    <mergeCell ref="F53:I53"/>
    <mergeCell ref="L53:M53"/>
    <mergeCell ref="N53:Q53"/>
    <mergeCell ref="T53:U53"/>
    <mergeCell ref="V53:Y53"/>
    <mergeCell ref="V52:Y52"/>
    <mergeCell ref="D52:E52"/>
    <mergeCell ref="F52:I52"/>
    <mergeCell ref="L52:M52"/>
    <mergeCell ref="N52:Q52"/>
    <mergeCell ref="T52:U52"/>
    <mergeCell ref="D51:E51"/>
    <mergeCell ref="F51:I51"/>
    <mergeCell ref="L51:M51"/>
    <mergeCell ref="N51:Q51"/>
    <mergeCell ref="T51:U51"/>
    <mergeCell ref="V51:Y51"/>
    <mergeCell ref="D50:E50"/>
    <mergeCell ref="F50:I50"/>
    <mergeCell ref="L50:M50"/>
    <mergeCell ref="N50:Q50"/>
    <mergeCell ref="T50:U50"/>
    <mergeCell ref="V50:Y50"/>
    <mergeCell ref="V49:Y49"/>
    <mergeCell ref="D49:E49"/>
    <mergeCell ref="F49:I49"/>
    <mergeCell ref="L49:M49"/>
    <mergeCell ref="N49:Q49"/>
    <mergeCell ref="T49:U49"/>
    <mergeCell ref="D48:E48"/>
    <mergeCell ref="F48:I48"/>
    <mergeCell ref="L48:M48"/>
    <mergeCell ref="N48:Q48"/>
    <mergeCell ref="T48:U48"/>
    <mergeCell ref="V48:Y48"/>
    <mergeCell ref="D47:E47"/>
    <mergeCell ref="F47:I47"/>
    <mergeCell ref="L47:M47"/>
    <mergeCell ref="N47:Q47"/>
    <mergeCell ref="T47:U47"/>
    <mergeCell ref="V47:Y47"/>
    <mergeCell ref="V46:Y46"/>
    <mergeCell ref="D46:E46"/>
    <mergeCell ref="F46:I46"/>
    <mergeCell ref="L46:M46"/>
    <mergeCell ref="N46:Q46"/>
    <mergeCell ref="T46:U46"/>
    <mergeCell ref="D45:E45"/>
    <mergeCell ref="F45:I45"/>
    <mergeCell ref="L45:M45"/>
    <mergeCell ref="N45:Q45"/>
    <mergeCell ref="T45:U45"/>
    <mergeCell ref="V45:Y45"/>
    <mergeCell ref="D44:E44"/>
    <mergeCell ref="F44:I44"/>
    <mergeCell ref="L44:M44"/>
    <mergeCell ref="N44:Q44"/>
    <mergeCell ref="T44:U44"/>
    <mergeCell ref="V44:Y44"/>
    <mergeCell ref="W43:X43"/>
    <mergeCell ref="C43:F43"/>
    <mergeCell ref="G43:H43"/>
    <mergeCell ref="K43:N43"/>
    <mergeCell ref="O43:P43"/>
    <mergeCell ref="S43:V43"/>
    <mergeCell ref="C42:H42"/>
    <mergeCell ref="K42:P42"/>
    <mergeCell ref="S42:X42"/>
    <mergeCell ref="U39:V40"/>
    <mergeCell ref="W39:W40"/>
    <mergeCell ref="X39:Y40"/>
    <mergeCell ref="C39:D40"/>
    <mergeCell ref="E39:F40"/>
    <mergeCell ref="G39:G40"/>
    <mergeCell ref="H39:I40"/>
    <mergeCell ref="K39:L40"/>
    <mergeCell ref="M39:N40"/>
    <mergeCell ref="O39:O40"/>
    <mergeCell ref="P39:Q40"/>
    <mergeCell ref="S39:T40"/>
    <mergeCell ref="P38:Q38"/>
    <mergeCell ref="S38:T38"/>
    <mergeCell ref="V38:W38"/>
    <mergeCell ref="X38:Y38"/>
    <mergeCell ref="C38:D38"/>
    <mergeCell ref="F38:G38"/>
    <mergeCell ref="H38:I38"/>
    <mergeCell ref="K38:L38"/>
    <mergeCell ref="N38:O38"/>
    <mergeCell ref="D37:E37"/>
    <mergeCell ref="F37:I37"/>
    <mergeCell ref="L37:M37"/>
    <mergeCell ref="N37:Q37"/>
    <mergeCell ref="T37:U37"/>
    <mergeCell ref="V37:Y37"/>
    <mergeCell ref="D36:E36"/>
    <mergeCell ref="F36:I36"/>
    <mergeCell ref="L36:M36"/>
    <mergeCell ref="N36:Q36"/>
    <mergeCell ref="T36:U36"/>
    <mergeCell ref="V36:Y36"/>
    <mergeCell ref="V35:Y35"/>
    <mergeCell ref="D35:E35"/>
    <mergeCell ref="F35:I35"/>
    <mergeCell ref="L35:M35"/>
    <mergeCell ref="N35:Q35"/>
    <mergeCell ref="T35:U35"/>
    <mergeCell ref="D34:E34"/>
    <mergeCell ref="F34:I34"/>
    <mergeCell ref="L34:M34"/>
    <mergeCell ref="N34:Q34"/>
    <mergeCell ref="T34:U34"/>
    <mergeCell ref="V34:Y34"/>
    <mergeCell ref="D33:E33"/>
    <mergeCell ref="F33:I33"/>
    <mergeCell ref="L33:M33"/>
    <mergeCell ref="N33:Q33"/>
    <mergeCell ref="T33:U33"/>
    <mergeCell ref="V33:Y33"/>
    <mergeCell ref="V32:Y32"/>
    <mergeCell ref="D32:E32"/>
    <mergeCell ref="F32:I32"/>
    <mergeCell ref="L32:M32"/>
    <mergeCell ref="N32:Q32"/>
    <mergeCell ref="T32:U32"/>
    <mergeCell ref="D31:E31"/>
    <mergeCell ref="F31:I31"/>
    <mergeCell ref="L31:M31"/>
    <mergeCell ref="N31:Q31"/>
    <mergeCell ref="T31:U31"/>
    <mergeCell ref="V31:Y31"/>
    <mergeCell ref="D30:E30"/>
    <mergeCell ref="F30:I30"/>
    <mergeCell ref="L30:M30"/>
    <mergeCell ref="N30:Q30"/>
    <mergeCell ref="T30:U30"/>
    <mergeCell ref="V30:Y30"/>
    <mergeCell ref="V29:Y29"/>
    <mergeCell ref="D29:E29"/>
    <mergeCell ref="F29:I29"/>
    <mergeCell ref="L29:M29"/>
    <mergeCell ref="N29:Q29"/>
    <mergeCell ref="T29:U29"/>
    <mergeCell ref="D28:E28"/>
    <mergeCell ref="F28:I28"/>
    <mergeCell ref="L28:M28"/>
    <mergeCell ref="N28:Q28"/>
    <mergeCell ref="T28:U28"/>
    <mergeCell ref="V28:Y28"/>
    <mergeCell ref="C27:F27"/>
    <mergeCell ref="G27:H27"/>
    <mergeCell ref="K27:N27"/>
    <mergeCell ref="O27:P27"/>
    <mergeCell ref="S27:V27"/>
    <mergeCell ref="W27:X27"/>
    <mergeCell ref="C26:H26"/>
    <mergeCell ref="K26:P26"/>
    <mergeCell ref="S26:X26"/>
    <mergeCell ref="P23:Q24"/>
    <mergeCell ref="S23:T24"/>
    <mergeCell ref="U23:V24"/>
    <mergeCell ref="W23:W24"/>
    <mergeCell ref="X23:Y24"/>
    <mergeCell ref="C23:D24"/>
    <mergeCell ref="E23:F24"/>
    <mergeCell ref="G23:G24"/>
    <mergeCell ref="H23:I24"/>
    <mergeCell ref="K23:L24"/>
    <mergeCell ref="M23:N24"/>
    <mergeCell ref="O23:O24"/>
    <mergeCell ref="C22:D22"/>
    <mergeCell ref="F22:G22"/>
    <mergeCell ref="H22:I22"/>
    <mergeCell ref="K22:L22"/>
    <mergeCell ref="N22:O22"/>
    <mergeCell ref="P22:Q22"/>
    <mergeCell ref="S22:T22"/>
    <mergeCell ref="V22:W22"/>
    <mergeCell ref="X22:Y22"/>
    <mergeCell ref="V21:Y21"/>
    <mergeCell ref="D21:E21"/>
    <mergeCell ref="F21:I21"/>
    <mergeCell ref="L21:M21"/>
    <mergeCell ref="N21:Q21"/>
    <mergeCell ref="T21:U21"/>
    <mergeCell ref="D20:E20"/>
    <mergeCell ref="F20:I20"/>
    <mergeCell ref="L20:M20"/>
    <mergeCell ref="N20:Q20"/>
    <mergeCell ref="T20:U20"/>
    <mergeCell ref="V20:Y20"/>
    <mergeCell ref="D19:E19"/>
    <mergeCell ref="F19:I19"/>
    <mergeCell ref="L19:M19"/>
    <mergeCell ref="N19:Q19"/>
    <mergeCell ref="T19:U19"/>
    <mergeCell ref="V19:Y19"/>
    <mergeCell ref="V18:Y18"/>
    <mergeCell ref="D18:E18"/>
    <mergeCell ref="F18:I18"/>
    <mergeCell ref="L18:M18"/>
    <mergeCell ref="N18:Q18"/>
    <mergeCell ref="T18:U18"/>
    <mergeCell ref="D17:E17"/>
    <mergeCell ref="F17:I17"/>
    <mergeCell ref="L17:M17"/>
    <mergeCell ref="N17:Q17"/>
    <mergeCell ref="T17:U17"/>
    <mergeCell ref="V17:Y17"/>
    <mergeCell ref="D16:E16"/>
    <mergeCell ref="F16:I16"/>
    <mergeCell ref="L16:M16"/>
    <mergeCell ref="N16:Q16"/>
    <mergeCell ref="T16:U16"/>
    <mergeCell ref="V16:Y16"/>
    <mergeCell ref="V15:Y15"/>
    <mergeCell ref="D15:E15"/>
    <mergeCell ref="F15:I15"/>
    <mergeCell ref="L15:M15"/>
    <mergeCell ref="N15:Q15"/>
    <mergeCell ref="T15:U15"/>
    <mergeCell ref="D14:E14"/>
    <mergeCell ref="F14:I14"/>
    <mergeCell ref="L14:M14"/>
    <mergeCell ref="N14:Q14"/>
    <mergeCell ref="T14:U14"/>
    <mergeCell ref="V14:Y14"/>
    <mergeCell ref="D13:E13"/>
    <mergeCell ref="F13:I13"/>
    <mergeCell ref="L13:M13"/>
    <mergeCell ref="N13:Q13"/>
    <mergeCell ref="T13:U13"/>
    <mergeCell ref="V13:Y13"/>
    <mergeCell ref="V12:Y12"/>
    <mergeCell ref="D12:E12"/>
    <mergeCell ref="F12:I12"/>
    <mergeCell ref="L12:M12"/>
    <mergeCell ref="N12:Q12"/>
    <mergeCell ref="T12:U12"/>
    <mergeCell ref="J6:P7"/>
    <mergeCell ref="I5:J5"/>
    <mergeCell ref="K5:O5"/>
    <mergeCell ref="S5:X6"/>
    <mergeCell ref="A1:AA1"/>
    <mergeCell ref="C3:H8"/>
    <mergeCell ref="I4:J4"/>
    <mergeCell ref="K4:Q4"/>
    <mergeCell ref="C11:F11"/>
    <mergeCell ref="G11:H11"/>
    <mergeCell ref="K11:N11"/>
    <mergeCell ref="O11:P11"/>
    <mergeCell ref="S11:V11"/>
    <mergeCell ref="W11:X11"/>
    <mergeCell ref="C10:H10"/>
    <mergeCell ref="K10:P10"/>
    <mergeCell ref="S10:X10"/>
  </mergeCells>
  <conditionalFormatting sqref="C10:H10">
    <cfRule type="cellIs" dxfId="194" priority="278" operator="equal">
      <formula>0</formula>
    </cfRule>
  </conditionalFormatting>
  <conditionalFormatting sqref="K10:P10">
    <cfRule type="cellIs" dxfId="193" priority="277" operator="equal">
      <formula>0</formula>
    </cfRule>
  </conditionalFormatting>
  <conditionalFormatting sqref="AD10:AI10">
    <cfRule type="cellIs" dxfId="192" priority="263" operator="equal">
      <formula>0</formula>
    </cfRule>
  </conditionalFormatting>
  <conditionalFormatting sqref="AL10:AQ10">
    <cfRule type="cellIs" dxfId="191" priority="262" operator="equal">
      <formula>0</formula>
    </cfRule>
  </conditionalFormatting>
  <conditionalFormatting sqref="AT10:AY10">
    <cfRule type="cellIs" dxfId="190" priority="261" operator="equal">
      <formula>0</formula>
    </cfRule>
  </conditionalFormatting>
  <conditionalFormatting sqref="AD26:AI26">
    <cfRule type="cellIs" dxfId="189" priority="260" operator="equal">
      <formula>0</formula>
    </cfRule>
  </conditionalFormatting>
  <conditionalFormatting sqref="AD42:AI42">
    <cfRule type="cellIs" dxfId="188" priority="259" operator="equal">
      <formula>0</formula>
    </cfRule>
  </conditionalFormatting>
  <conditionalFormatting sqref="AD58:AI58">
    <cfRule type="cellIs" dxfId="187" priority="258" operator="equal">
      <formula>0</formula>
    </cfRule>
  </conditionalFormatting>
  <conditionalFormatting sqref="AD74:AI74">
    <cfRule type="cellIs" dxfId="186" priority="257" operator="equal">
      <formula>0</formula>
    </cfRule>
  </conditionalFormatting>
  <conditionalFormatting sqref="AL26:AQ26">
    <cfRule type="cellIs" dxfId="185" priority="256" operator="equal">
      <formula>0</formula>
    </cfRule>
  </conditionalFormatting>
  <conditionalFormatting sqref="AL42:AQ42">
    <cfRule type="cellIs" dxfId="184" priority="255" operator="equal">
      <formula>0</formula>
    </cfRule>
  </conditionalFormatting>
  <conditionalFormatting sqref="AL58:AQ58">
    <cfRule type="cellIs" dxfId="183" priority="254" operator="equal">
      <formula>0</formula>
    </cfRule>
  </conditionalFormatting>
  <conditionalFormatting sqref="AL74:AQ74">
    <cfRule type="cellIs" dxfId="182" priority="253" operator="equal">
      <formula>0</formula>
    </cfRule>
  </conditionalFormatting>
  <conditionalFormatting sqref="AT26:AY26">
    <cfRule type="cellIs" dxfId="181" priority="252" operator="equal">
      <formula>0</formula>
    </cfRule>
  </conditionalFormatting>
  <conditionalFormatting sqref="AT42:AY42">
    <cfRule type="cellIs" dxfId="180" priority="251" operator="equal">
      <formula>0</formula>
    </cfRule>
  </conditionalFormatting>
  <conditionalFormatting sqref="AT58:AY58">
    <cfRule type="cellIs" dxfId="179" priority="250" operator="equal">
      <formula>0</formula>
    </cfRule>
  </conditionalFormatting>
  <conditionalFormatting sqref="AT74:AY74">
    <cfRule type="cellIs" dxfId="178" priority="249" operator="equal">
      <formula>0</formula>
    </cfRule>
  </conditionalFormatting>
  <conditionalFormatting sqref="BE10:BJ10">
    <cfRule type="cellIs" dxfId="177" priority="248" operator="equal">
      <formula>0</formula>
    </cfRule>
  </conditionalFormatting>
  <conditionalFormatting sqref="BM10:BR10">
    <cfRule type="cellIs" dxfId="176" priority="247" operator="equal">
      <formula>0</formula>
    </cfRule>
  </conditionalFormatting>
  <conditionalFormatting sqref="BU10:BZ10">
    <cfRule type="cellIs" dxfId="175" priority="246" operator="equal">
      <formula>0</formula>
    </cfRule>
  </conditionalFormatting>
  <conditionalFormatting sqref="BE26:BJ26">
    <cfRule type="cellIs" dxfId="174" priority="245" operator="equal">
      <formula>0</formula>
    </cfRule>
  </conditionalFormatting>
  <conditionalFormatting sqref="BE42:BJ42">
    <cfRule type="cellIs" dxfId="173" priority="244" operator="equal">
      <formula>0</formula>
    </cfRule>
  </conditionalFormatting>
  <conditionalFormatting sqref="BE58:BJ58">
    <cfRule type="cellIs" dxfId="172" priority="243" operator="equal">
      <formula>0</formula>
    </cfRule>
  </conditionalFormatting>
  <conditionalFormatting sqref="BE74:BJ74">
    <cfRule type="cellIs" dxfId="171" priority="242" operator="equal">
      <formula>0</formula>
    </cfRule>
  </conditionalFormatting>
  <conditionalFormatting sqref="BM26:BR26">
    <cfRule type="cellIs" dxfId="170" priority="241" operator="equal">
      <formula>0</formula>
    </cfRule>
  </conditionalFormatting>
  <conditionalFormatting sqref="BM42:BR42">
    <cfRule type="cellIs" dxfId="169" priority="240" operator="equal">
      <formula>0</formula>
    </cfRule>
  </conditionalFormatting>
  <conditionalFormatting sqref="BM58:BR58">
    <cfRule type="cellIs" dxfId="168" priority="239" operator="equal">
      <formula>0</formula>
    </cfRule>
  </conditionalFormatting>
  <conditionalFormatting sqref="BM74:BR74">
    <cfRule type="cellIs" dxfId="167" priority="238" operator="equal">
      <formula>0</formula>
    </cfRule>
  </conditionalFormatting>
  <conditionalFormatting sqref="BU26:BZ26">
    <cfRule type="cellIs" dxfId="166" priority="237" operator="equal">
      <formula>0</formula>
    </cfRule>
  </conditionalFormatting>
  <conditionalFormatting sqref="BU42:BZ42">
    <cfRule type="cellIs" dxfId="165" priority="236" operator="equal">
      <formula>0</formula>
    </cfRule>
  </conditionalFormatting>
  <conditionalFormatting sqref="BU58:BZ58">
    <cfRule type="cellIs" dxfId="164" priority="235" operator="equal">
      <formula>0</formula>
    </cfRule>
  </conditionalFormatting>
  <conditionalFormatting sqref="BU74:BZ74">
    <cfRule type="cellIs" dxfId="163" priority="234" operator="equal">
      <formula>0</formula>
    </cfRule>
  </conditionalFormatting>
  <conditionalFormatting sqref="CF10:CK10">
    <cfRule type="cellIs" dxfId="162" priority="233" operator="equal">
      <formula>0</formula>
    </cfRule>
  </conditionalFormatting>
  <conditionalFormatting sqref="CN10:CS10">
    <cfRule type="cellIs" dxfId="161" priority="232" operator="equal">
      <formula>0</formula>
    </cfRule>
  </conditionalFormatting>
  <conditionalFormatting sqref="CV10:DA10">
    <cfRule type="cellIs" dxfId="160" priority="231" operator="equal">
      <formula>0</formula>
    </cfRule>
  </conditionalFormatting>
  <conditionalFormatting sqref="CF26:CK26">
    <cfRule type="cellIs" dxfId="159" priority="230" operator="equal">
      <formula>0</formula>
    </cfRule>
  </conditionalFormatting>
  <conditionalFormatting sqref="CF42:CK42">
    <cfRule type="cellIs" dxfId="158" priority="229" operator="equal">
      <formula>0</formula>
    </cfRule>
  </conditionalFormatting>
  <conditionalFormatting sqref="CF58:CK58">
    <cfRule type="cellIs" dxfId="157" priority="228" operator="equal">
      <formula>0</formula>
    </cfRule>
  </conditionalFormatting>
  <conditionalFormatting sqref="CF74:CK74">
    <cfRule type="cellIs" dxfId="156" priority="227" operator="equal">
      <formula>0</formula>
    </cfRule>
  </conditionalFormatting>
  <conditionalFormatting sqref="CN26:CS26">
    <cfRule type="cellIs" dxfId="155" priority="226" operator="equal">
      <formula>0</formula>
    </cfRule>
  </conditionalFormatting>
  <conditionalFormatting sqref="CN42:CS42">
    <cfRule type="cellIs" dxfId="154" priority="225" operator="equal">
      <formula>0</formula>
    </cfRule>
  </conditionalFormatting>
  <conditionalFormatting sqref="CN58:CS58">
    <cfRule type="cellIs" dxfId="153" priority="224" operator="equal">
      <formula>0</formula>
    </cfRule>
  </conditionalFormatting>
  <conditionalFormatting sqref="CN74:CS74">
    <cfRule type="cellIs" dxfId="152" priority="223" operator="equal">
      <formula>0</formula>
    </cfRule>
  </conditionalFormatting>
  <conditionalFormatting sqref="CV26:DA26">
    <cfRule type="cellIs" dxfId="151" priority="222" operator="equal">
      <formula>0</formula>
    </cfRule>
  </conditionalFormatting>
  <conditionalFormatting sqref="CV42:DA42">
    <cfRule type="cellIs" dxfId="150" priority="221" operator="equal">
      <formula>0</formula>
    </cfRule>
  </conditionalFormatting>
  <conditionalFormatting sqref="CV58:DA58">
    <cfRule type="cellIs" dxfId="149" priority="220" operator="equal">
      <formula>0</formula>
    </cfRule>
  </conditionalFormatting>
  <conditionalFormatting sqref="CV74:DA74">
    <cfRule type="cellIs" dxfId="148" priority="219" operator="equal">
      <formula>0</formula>
    </cfRule>
  </conditionalFormatting>
  <conditionalFormatting sqref="G11:H11">
    <cfRule type="expression" dxfId="147" priority="98">
      <formula>G11="Acceso natural"</formula>
    </cfRule>
    <cfRule type="expression" dxfId="146" priority="213">
      <formula>G11="Aprendido"</formula>
    </cfRule>
    <cfRule type="expression" dxfId="145" priority="214">
      <formula>G11="No accesible"</formula>
    </cfRule>
  </conditionalFormatting>
  <conditionalFormatting sqref="AH11:AI11">
    <cfRule type="expression" dxfId="144" priority="187">
      <formula>AH11="Aprendido"</formula>
    </cfRule>
    <cfRule type="expression" dxfId="143" priority="188">
      <formula>AH11="No accesible"</formula>
    </cfRule>
  </conditionalFormatting>
  <conditionalFormatting sqref="AP11:AQ11">
    <cfRule type="expression" dxfId="142" priority="185">
      <formula>AP11="Aprendido"</formula>
    </cfRule>
    <cfRule type="expression" dxfId="141" priority="186">
      <formula>AP11="No accesible"</formula>
    </cfRule>
  </conditionalFormatting>
  <conditionalFormatting sqref="AX11:AY11">
    <cfRule type="expression" dxfId="140" priority="183">
      <formula>AX11="Aprendido"</formula>
    </cfRule>
    <cfRule type="expression" dxfId="139" priority="184">
      <formula>$AX$11="No accesible"</formula>
    </cfRule>
  </conditionalFormatting>
  <conditionalFormatting sqref="AX27:AY27">
    <cfRule type="expression" dxfId="138" priority="181">
      <formula>AX27="Aprendido"</formula>
    </cfRule>
    <cfRule type="expression" dxfId="137" priority="182">
      <formula>AX27="No accesible"</formula>
    </cfRule>
  </conditionalFormatting>
  <conditionalFormatting sqref="AX43:AY43">
    <cfRule type="expression" dxfId="136" priority="179">
      <formula>AX43="Aprendido"</formula>
    </cfRule>
    <cfRule type="expression" dxfId="135" priority="180">
      <formula>AX43="No accesible"</formula>
    </cfRule>
  </conditionalFormatting>
  <conditionalFormatting sqref="AP27:AQ27">
    <cfRule type="expression" dxfId="134" priority="177">
      <formula>AP27="Aprendido"</formula>
    </cfRule>
    <cfRule type="expression" dxfId="133" priority="178">
      <formula>AP27="No accesible"</formula>
    </cfRule>
  </conditionalFormatting>
  <conditionalFormatting sqref="AP43:AQ43">
    <cfRule type="expression" dxfId="132" priority="175">
      <formula>AP43="Aprendido"</formula>
    </cfRule>
    <cfRule type="expression" dxfId="131" priority="176">
      <formula>AP43="No accesible"</formula>
    </cfRule>
  </conditionalFormatting>
  <conditionalFormatting sqref="AH43:AI43">
    <cfRule type="expression" dxfId="130" priority="173">
      <formula>AH43="Aprendido"</formula>
    </cfRule>
    <cfRule type="expression" dxfId="129" priority="174">
      <formula>AH43="No accesible"</formula>
    </cfRule>
  </conditionalFormatting>
  <conditionalFormatting sqref="AH27:AI27">
    <cfRule type="expression" dxfId="128" priority="171">
      <formula>AH27="Aprendido"</formula>
    </cfRule>
    <cfRule type="expression" dxfId="127" priority="172">
      <formula>AH27="No accesible"</formula>
    </cfRule>
  </conditionalFormatting>
  <conditionalFormatting sqref="AH59:AI59">
    <cfRule type="expression" dxfId="126" priority="169">
      <formula>AH59="Aprendido"</formula>
    </cfRule>
    <cfRule type="expression" dxfId="125" priority="170">
      <formula>AH59="No accesible"</formula>
    </cfRule>
  </conditionalFormatting>
  <conditionalFormatting sqref="AP59:AQ59">
    <cfRule type="expression" dxfId="124" priority="167">
      <formula>AP59="Aprendido"</formula>
    </cfRule>
    <cfRule type="expression" dxfId="123" priority="168">
      <formula>AP59="No accesible"</formula>
    </cfRule>
  </conditionalFormatting>
  <conditionalFormatting sqref="AH75:AI75">
    <cfRule type="expression" dxfId="122" priority="165">
      <formula>AH75="Aprendido"</formula>
    </cfRule>
    <cfRule type="expression" dxfId="121" priority="166">
      <formula>$AH$75="No accesible"</formula>
    </cfRule>
  </conditionalFormatting>
  <conditionalFormatting sqref="AP75:AQ75">
    <cfRule type="expression" dxfId="120" priority="163">
      <formula>AP75="Aprendido"</formula>
    </cfRule>
    <cfRule type="expression" dxfId="119" priority="164">
      <formula>AP75="No accesible"</formula>
    </cfRule>
  </conditionalFormatting>
  <conditionalFormatting sqref="AX75">
    <cfRule type="expression" dxfId="118" priority="161">
      <formula>AX75="Aprendido"</formula>
    </cfRule>
    <cfRule type="expression" dxfId="117" priority="162">
      <formula>AX75="No accesible"</formula>
    </cfRule>
  </conditionalFormatting>
  <conditionalFormatting sqref="AX59:AY59">
    <cfRule type="expression" dxfId="116" priority="159">
      <formula>AX59="Aprendido"</formula>
    </cfRule>
    <cfRule type="expression" dxfId="115" priority="160">
      <formula>AX59="No accesible"</formula>
    </cfRule>
  </conditionalFormatting>
  <conditionalFormatting sqref="BI11:BJ11">
    <cfRule type="expression" dxfId="114" priority="157">
      <formula>BI11="Aprendido"</formula>
    </cfRule>
    <cfRule type="expression" dxfId="113" priority="158">
      <formula>BI11="No accesible"</formula>
    </cfRule>
  </conditionalFormatting>
  <conditionalFormatting sqref="BQ11:BR11">
    <cfRule type="expression" dxfId="112" priority="155">
      <formula>BQ11="Aprendido"</formula>
    </cfRule>
    <cfRule type="expression" dxfId="111" priority="156">
      <formula>BQ11="No accesible"</formula>
    </cfRule>
  </conditionalFormatting>
  <conditionalFormatting sqref="BI27:BJ27">
    <cfRule type="expression" dxfId="110" priority="153">
      <formula>BI27="Aprendido"</formula>
    </cfRule>
    <cfRule type="expression" dxfId="109" priority="154">
      <formula>BI27="No accesible"</formula>
    </cfRule>
  </conditionalFormatting>
  <conditionalFormatting sqref="BQ27:BR27">
    <cfRule type="expression" dxfId="108" priority="151">
      <formula>BQ27="Aprendido"</formula>
    </cfRule>
    <cfRule type="expression" dxfId="107" priority="152">
      <formula>BQ27="No accesible"</formula>
    </cfRule>
  </conditionalFormatting>
  <conditionalFormatting sqref="BY11:BZ11">
    <cfRule type="expression" dxfId="106" priority="149">
      <formula>BY11="Aprendido"</formula>
    </cfRule>
    <cfRule type="expression" dxfId="105" priority="150">
      <formula>$BY$11="No accesible"</formula>
    </cfRule>
  </conditionalFormatting>
  <conditionalFormatting sqref="BY27:BZ27">
    <cfRule type="expression" dxfId="104" priority="147">
      <formula>BY27="Aprendido"</formula>
    </cfRule>
    <cfRule type="expression" dxfId="103" priority="148">
      <formula>BY27="No accesible"</formula>
    </cfRule>
  </conditionalFormatting>
  <conditionalFormatting sqref="BY43:BZ43">
    <cfRule type="expression" dxfId="102" priority="145">
      <formula>BY43="Aprendido"</formula>
    </cfRule>
    <cfRule type="expression" dxfId="101" priority="146">
      <formula>BY43="No accesible"</formula>
    </cfRule>
  </conditionalFormatting>
  <conditionalFormatting sqref="BY59:BZ59">
    <cfRule type="expression" dxfId="100" priority="143">
      <formula>BY59="Aprendido"</formula>
    </cfRule>
    <cfRule type="expression" dxfId="99" priority="144">
      <formula>BY59="No accesible"</formula>
    </cfRule>
  </conditionalFormatting>
  <conditionalFormatting sqref="BQ75:BR75">
    <cfRule type="expression" dxfId="98" priority="141">
      <formula>BQ75="Aprendido"</formula>
    </cfRule>
    <cfRule type="expression" dxfId="97" priority="142">
      <formula>BQ75="No accesible"</formula>
    </cfRule>
  </conditionalFormatting>
  <conditionalFormatting sqref="BQ59:BR59">
    <cfRule type="expression" dxfId="96" priority="139">
      <formula>BQ59="Aprendido"</formula>
    </cfRule>
    <cfRule type="expression" dxfId="95" priority="140">
      <formula>BQ59="No accesible"</formula>
    </cfRule>
  </conditionalFormatting>
  <conditionalFormatting sqref="BQ43:BR43">
    <cfRule type="expression" dxfId="94" priority="137">
      <formula>BQ43="Aprendido"</formula>
    </cfRule>
    <cfRule type="expression" dxfId="93" priority="138">
      <formula>BQ43="No accesible"</formula>
    </cfRule>
  </conditionalFormatting>
  <conditionalFormatting sqref="BI75:BJ75">
    <cfRule type="expression" dxfId="92" priority="135">
      <formula>BI75="Aprendido"</formula>
    </cfRule>
    <cfRule type="expression" dxfId="91" priority="136">
      <formula>$G$75="No accesible"</formula>
    </cfRule>
  </conditionalFormatting>
  <conditionalFormatting sqref="BI59:BJ59">
    <cfRule type="expression" dxfId="90" priority="133">
      <formula>BI59="Aprendido"</formula>
    </cfRule>
    <cfRule type="expression" dxfId="89" priority="134">
      <formula>BI59="No accesible"</formula>
    </cfRule>
  </conditionalFormatting>
  <conditionalFormatting sqref="BI43:BJ43">
    <cfRule type="expression" dxfId="88" priority="131">
      <formula>BI43="Aprendido"</formula>
    </cfRule>
    <cfRule type="expression" dxfId="87" priority="132">
      <formula>BI43="No accesible"</formula>
    </cfRule>
  </conditionalFormatting>
  <conditionalFormatting sqref="CZ43:DA43">
    <cfRule type="expression" dxfId="86" priority="129">
      <formula>CZ43="Aprendido"</formula>
    </cfRule>
    <cfRule type="expression" dxfId="85" priority="130">
      <formula>CZ43="No accesible"</formula>
    </cfRule>
  </conditionalFormatting>
  <conditionalFormatting sqref="CZ59:DA59">
    <cfRule type="expression" dxfId="84" priority="127">
      <formula>CZ59="Aprendido"</formula>
    </cfRule>
    <cfRule type="expression" dxfId="83" priority="128">
      <formula>CZ59="No accesible"</formula>
    </cfRule>
  </conditionalFormatting>
  <conditionalFormatting sqref="CR43:CS43">
    <cfRule type="expression" dxfId="82" priority="125">
      <formula>CR43="Aprendido"</formula>
    </cfRule>
    <cfRule type="expression" dxfId="81" priority="126">
      <formula>CR43="No accesible"</formula>
    </cfRule>
  </conditionalFormatting>
  <conditionalFormatting sqref="CR59:CS59">
    <cfRule type="expression" dxfId="80" priority="123">
      <formula>CR59="Aprendido"</formula>
    </cfRule>
    <cfRule type="expression" dxfId="79" priority="124">
      <formula>CR59="No accesible"</formula>
    </cfRule>
  </conditionalFormatting>
  <conditionalFormatting sqref="CJ59:CK59">
    <cfRule type="expression" dxfId="78" priority="121">
      <formula>CJ59="Aprendido"</formula>
    </cfRule>
    <cfRule type="expression" dxfId="77" priority="122">
      <formula>CJ59="No accesible"</formula>
    </cfRule>
  </conditionalFormatting>
  <conditionalFormatting sqref="CJ43:CK43">
    <cfRule type="expression" dxfId="76" priority="119">
      <formula>CJ43="Aprendido"</formula>
    </cfRule>
    <cfRule type="expression" dxfId="75" priority="120">
      <formula>CJ43="No accesible"</formula>
    </cfRule>
  </conditionalFormatting>
  <conditionalFormatting sqref="CJ27:CK27">
    <cfRule type="expression" dxfId="74" priority="117">
      <formula>CJ27="Aprendido"</formula>
    </cfRule>
    <cfRule type="expression" dxfId="73" priority="118">
      <formula>CJ27="No accesible"</formula>
    </cfRule>
  </conditionalFormatting>
  <conditionalFormatting sqref="CJ11:CK11">
    <cfRule type="expression" dxfId="72" priority="115">
      <formula>CJ11="Aprendido"</formula>
    </cfRule>
    <cfRule type="expression" dxfId="71" priority="116">
      <formula>CJ11="No accesible"</formula>
    </cfRule>
  </conditionalFormatting>
  <conditionalFormatting sqref="CR11:CS11">
    <cfRule type="expression" dxfId="70" priority="113">
      <formula>CR11="Aprendido"</formula>
    </cfRule>
    <cfRule type="expression" dxfId="69" priority="114">
      <formula>CR11="No accesible"</formula>
    </cfRule>
  </conditionalFormatting>
  <conditionalFormatting sqref="CR27:CS27">
    <cfRule type="expression" dxfId="68" priority="111">
      <formula>CR27="Aprendido"</formula>
    </cfRule>
    <cfRule type="expression" dxfId="67" priority="112">
      <formula>CR27="No accesible"</formula>
    </cfRule>
  </conditionalFormatting>
  <conditionalFormatting sqref="CZ11:DA11">
    <cfRule type="expression" dxfId="66" priority="109">
      <formula>CZ11="Aprendido"</formula>
    </cfRule>
    <cfRule type="expression" dxfId="65" priority="110">
      <formula>$CZ$11="No accesible"</formula>
    </cfRule>
  </conditionalFormatting>
  <conditionalFormatting sqref="CZ27:DA27">
    <cfRule type="expression" dxfId="64" priority="107">
      <formula>CZ27="Aprendido"</formula>
    </cfRule>
    <cfRule type="expression" dxfId="63" priority="108">
      <formula>CZ27="No accesible"</formula>
    </cfRule>
  </conditionalFormatting>
  <conditionalFormatting sqref="BY75">
    <cfRule type="expression" dxfId="62" priority="105">
      <formula>BY75="Aprendido"</formula>
    </cfRule>
    <cfRule type="expression" dxfId="61" priority="106">
      <formula>BY75="No accesible"</formula>
    </cfRule>
  </conditionalFormatting>
  <conditionalFormatting sqref="CZ75">
    <cfRule type="expression" dxfId="60" priority="103">
      <formula>CZ75="Aprendido"</formula>
    </cfRule>
    <cfRule type="expression" dxfId="59" priority="104">
      <formula>CZ75="No accesible"</formula>
    </cfRule>
  </conditionalFormatting>
  <conditionalFormatting sqref="CR75:CS75">
    <cfRule type="expression" dxfId="58" priority="101">
      <formula>CR75="Aprendido"</formula>
    </cfRule>
    <cfRule type="expression" dxfId="57" priority="102">
      <formula>CR75="No accesible"</formula>
    </cfRule>
  </conditionalFormatting>
  <conditionalFormatting sqref="CJ75:CK75">
    <cfRule type="expression" dxfId="56" priority="99">
      <formula>CJ75="Aprendido"</formula>
    </cfRule>
    <cfRule type="expression" dxfId="55" priority="100">
      <formula>$G$75="No accesible"</formula>
    </cfRule>
  </conditionalFormatting>
  <conditionalFormatting sqref="O11:P11">
    <cfRule type="expression" dxfId="54" priority="53">
      <formula>O11="Acceso natural"</formula>
    </cfRule>
    <cfRule type="expression" dxfId="53" priority="54">
      <formula>O11="Aprendido"</formula>
    </cfRule>
    <cfRule type="expression" dxfId="52" priority="55">
      <formula>O11="No accesible"</formula>
    </cfRule>
  </conditionalFormatting>
  <conditionalFormatting sqref="W11:X11">
    <cfRule type="expression" dxfId="51" priority="50">
      <formula>W11="Acceso natural"</formula>
    </cfRule>
    <cfRule type="expression" dxfId="50" priority="51">
      <formula>W11="Aprendido"</formula>
    </cfRule>
    <cfRule type="expression" dxfId="49" priority="52">
      <formula>W11="No accesible"</formula>
    </cfRule>
  </conditionalFormatting>
  <conditionalFormatting sqref="G27:H27">
    <cfRule type="expression" dxfId="48" priority="47">
      <formula>G27="Acceso natural"</formula>
    </cfRule>
    <cfRule type="expression" dxfId="47" priority="48">
      <formula>G27="Aprendido"</formula>
    </cfRule>
    <cfRule type="expression" dxfId="46" priority="49">
      <formula>G27="No accesible"</formula>
    </cfRule>
  </conditionalFormatting>
  <conditionalFormatting sqref="O27:P27">
    <cfRule type="expression" dxfId="45" priority="44">
      <formula>O27="Acceso natural"</formula>
    </cfRule>
    <cfRule type="expression" dxfId="44" priority="45">
      <formula>O27="Aprendido"</formula>
    </cfRule>
    <cfRule type="expression" dxfId="43" priority="46">
      <formula>O27="No accesible"</formula>
    </cfRule>
  </conditionalFormatting>
  <conditionalFormatting sqref="W27:X27">
    <cfRule type="expression" dxfId="42" priority="41">
      <formula>W27="Acceso natural"</formula>
    </cfRule>
    <cfRule type="expression" dxfId="41" priority="42">
      <formula>W27="Aprendido"</formula>
    </cfRule>
    <cfRule type="expression" dxfId="40" priority="43">
      <formula>W27="No accesible"</formula>
    </cfRule>
  </conditionalFormatting>
  <conditionalFormatting sqref="G43:H43">
    <cfRule type="expression" dxfId="39" priority="38">
      <formula>G43="Acceso natural"</formula>
    </cfRule>
    <cfRule type="expression" dxfId="38" priority="39">
      <formula>G43="Aprendido"</formula>
    </cfRule>
    <cfRule type="expression" dxfId="37" priority="40">
      <formula>G43="No accesible"</formula>
    </cfRule>
  </conditionalFormatting>
  <conditionalFormatting sqref="O43:P43">
    <cfRule type="expression" dxfId="36" priority="35">
      <formula>O43="Acceso natural"</formula>
    </cfRule>
    <cfRule type="expression" dxfId="35" priority="36">
      <formula>O43="Aprendido"</formula>
    </cfRule>
    <cfRule type="expression" dxfId="34" priority="37">
      <formula>O43="No accesible"</formula>
    </cfRule>
  </conditionalFormatting>
  <conditionalFormatting sqref="W43:X43">
    <cfRule type="expression" dxfId="33" priority="32">
      <formula>W43="Acceso natural"</formula>
    </cfRule>
    <cfRule type="expression" dxfId="32" priority="33">
      <formula>W43="Aprendido"</formula>
    </cfRule>
    <cfRule type="expression" dxfId="31" priority="34">
      <formula>W43="No accesible"</formula>
    </cfRule>
  </conditionalFormatting>
  <conditionalFormatting sqref="G59:H59">
    <cfRule type="expression" dxfId="30" priority="29">
      <formula>G59="Acceso natural"</formula>
    </cfRule>
    <cfRule type="expression" dxfId="29" priority="30">
      <formula>G59="Aprendido"</formula>
    </cfRule>
    <cfRule type="expression" dxfId="28" priority="31">
      <formula>G59="No accesible"</formula>
    </cfRule>
  </conditionalFormatting>
  <conditionalFormatting sqref="O59:P59">
    <cfRule type="expression" dxfId="27" priority="26">
      <formula>O59="Acceso natural"</formula>
    </cfRule>
    <cfRule type="expression" dxfId="26" priority="27">
      <formula>O59="Aprendido"</formula>
    </cfRule>
    <cfRule type="expression" dxfId="25" priority="28">
      <formula>O59="No accesible"</formula>
    </cfRule>
  </conditionalFormatting>
  <conditionalFormatting sqref="W59:X59">
    <cfRule type="expression" dxfId="24" priority="23">
      <formula>W59="Acceso natural"</formula>
    </cfRule>
    <cfRule type="expression" dxfId="23" priority="24">
      <formula>W59="Aprendido"</formula>
    </cfRule>
    <cfRule type="expression" dxfId="22" priority="25">
      <formula>W59="No accesible"</formula>
    </cfRule>
  </conditionalFormatting>
  <conditionalFormatting sqref="G75:H75">
    <cfRule type="expression" dxfId="21" priority="20">
      <formula>G75="Acceso natural"</formula>
    </cfRule>
    <cfRule type="expression" dxfId="20" priority="21">
      <formula>G75="Aprendido"</formula>
    </cfRule>
    <cfRule type="expression" dxfId="19" priority="22">
      <formula>G75="No accesible"</formula>
    </cfRule>
  </conditionalFormatting>
  <conditionalFormatting sqref="O75:P75">
    <cfRule type="expression" dxfId="18" priority="17">
      <formula>O75="Acceso natural"</formula>
    </cfRule>
    <cfRule type="expression" dxfId="17" priority="18">
      <formula>O75="Aprendido"</formula>
    </cfRule>
    <cfRule type="expression" dxfId="16" priority="19">
      <formula>O75="No accesible"</formula>
    </cfRule>
  </conditionalFormatting>
  <conditionalFormatting sqref="W75:X75">
    <cfRule type="expression" dxfId="15" priority="14">
      <formula>W75="Acceso natural"</formula>
    </cfRule>
    <cfRule type="expression" dxfId="14" priority="15">
      <formula>W75="Aprendido"</formula>
    </cfRule>
    <cfRule type="expression" dxfId="13" priority="16">
      <formula>W75="No accesible"</formula>
    </cfRule>
  </conditionalFormatting>
  <conditionalFormatting sqref="S10:X10">
    <cfRule type="cellIs" dxfId="12" priority="13" operator="equal">
      <formula>0</formula>
    </cfRule>
  </conditionalFormatting>
  <conditionalFormatting sqref="C26:H26">
    <cfRule type="cellIs" dxfId="11" priority="12" operator="equal">
      <formula>0</formula>
    </cfRule>
  </conditionalFormatting>
  <conditionalFormatting sqref="K26:P26">
    <cfRule type="cellIs" dxfId="10" priority="11" operator="equal">
      <formula>0</formula>
    </cfRule>
  </conditionalFormatting>
  <conditionalFormatting sqref="S26:X26">
    <cfRule type="cellIs" dxfId="9" priority="10" operator="equal">
      <formula>0</formula>
    </cfRule>
  </conditionalFormatting>
  <conditionalFormatting sqref="C42:H42">
    <cfRule type="cellIs" dxfId="8" priority="9" operator="equal">
      <formula>0</formula>
    </cfRule>
  </conditionalFormatting>
  <conditionalFormatting sqref="K42:P42">
    <cfRule type="cellIs" dxfId="7" priority="8" operator="equal">
      <formula>0</formula>
    </cfRule>
  </conditionalFormatting>
  <conditionalFormatting sqref="S42:X42">
    <cfRule type="cellIs" dxfId="6" priority="7" operator="equal">
      <formula>0</formula>
    </cfRule>
  </conditionalFormatting>
  <conditionalFormatting sqref="C58:H58">
    <cfRule type="cellIs" dxfId="5" priority="6" operator="equal">
      <formula>0</formula>
    </cfRule>
  </conditionalFormatting>
  <conditionalFormatting sqref="K58:P58">
    <cfRule type="cellIs" dxfId="4" priority="5" operator="equal">
      <formula>0</formula>
    </cfRule>
  </conditionalFormatting>
  <conditionalFormatting sqref="S58:X58">
    <cfRule type="cellIs" dxfId="3" priority="4" operator="equal">
      <formula>0</formula>
    </cfRule>
  </conditionalFormatting>
  <conditionalFormatting sqref="S74:X74">
    <cfRule type="cellIs" dxfId="2" priority="3" operator="equal">
      <formula>0</formula>
    </cfRule>
  </conditionalFormatting>
  <conditionalFormatting sqref="K74:P74">
    <cfRule type="cellIs" dxfId="1" priority="2" operator="equal">
      <formula>0</formula>
    </cfRule>
  </conditionalFormatting>
  <conditionalFormatting sqref="C74:H74">
    <cfRule type="cellIs" dxfId="0" priority="1" operator="equal">
      <formula>0</formula>
    </cfRule>
  </conditionalFormatting>
  <dataValidations count="1">
    <dataValidation type="list" allowBlank="1" showInputMessage="1" showErrorMessage="1" sqref="C10:H10 K10:P10 S10:X10 C26:H26 K26:P26 S26:X26 C42:H42 K42:P42 S42:X42 C58:H58 K58:P58 S58:X58 S74:X74 K74:P74 C74:H74" xr:uid="{9DBD024F-DDE5-465C-8535-1760685B38E4}">
      <formula1>Poderes_psi</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819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819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760</vt:i4>
      </vt:variant>
    </vt:vector>
  </HeadingPairs>
  <TitlesOfParts>
    <vt:vector size="788" baseType="lpstr">
      <vt:lpstr>DISCLAIMER</vt:lpstr>
      <vt:lpstr>Resumen</vt:lpstr>
      <vt:lpstr>General</vt:lpstr>
      <vt:lpstr>Principal</vt:lpstr>
      <vt:lpstr>PDs</vt:lpstr>
      <vt:lpstr>Combate</vt:lpstr>
      <vt:lpstr>Ki</vt:lpstr>
      <vt:lpstr>Creación de Técnicas</vt:lpstr>
      <vt:lpstr>Sheele</vt:lpstr>
      <vt:lpstr>Místicos</vt:lpstr>
      <vt:lpstr>Metamagia</vt:lpstr>
      <vt:lpstr>Psíquicos</vt:lpstr>
      <vt:lpstr>Red Neuronal</vt:lpstr>
      <vt:lpstr>Constructos</vt:lpstr>
      <vt:lpstr>Elan</vt:lpstr>
      <vt:lpstr>Tablas Técnicas</vt:lpstr>
      <vt:lpstr>Personalización</vt:lpstr>
      <vt:lpstr>Tablas</vt:lpstr>
      <vt:lpstr>Tablas Invocaciones</vt:lpstr>
      <vt:lpstr>Grimorio Invocaciones</vt:lpstr>
      <vt:lpstr>Tablas Magia</vt:lpstr>
      <vt:lpstr>Tablas Sheele</vt:lpstr>
      <vt:lpstr>Tablas constructos</vt:lpstr>
      <vt:lpstr>Grimorio Magia</vt:lpstr>
      <vt:lpstr>Grimorio de Vía</vt:lpstr>
      <vt:lpstr>Tablas psiquica</vt:lpstr>
      <vt:lpstr>Grimorio Psíquica</vt:lpstr>
      <vt:lpstr>Grimorio Poderes Psi</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Poderes Psi'!Área_de_impresión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Ars_Cognitiam</vt:lpstr>
      <vt:lpstr>Ars_Inanimis</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Conjuros_Apuestas</vt:lpstr>
      <vt:lpstr>Conjuros_Caos</vt:lpstr>
      <vt:lpstr>Conjuros_Conocimiento</vt:lpstr>
      <vt:lpstr>Conjuros_Creación</vt:lpstr>
      <vt:lpstr>Conjuros_Curación</vt:lpstr>
      <vt:lpstr>Conjuros_Destrucción</vt:lpstr>
      <vt:lpstr>Conjuros_Energía</vt:lpstr>
      <vt:lpstr>Conjuros_Esencia</vt:lpstr>
      <vt:lpstr>Conjuros_Espacio</vt:lpstr>
      <vt:lpstr>Conjuros_Estaciones</vt:lpstr>
      <vt:lpstr>Conjuros_Fantasía</vt:lpstr>
      <vt:lpstr>Conjuros_Fuego</vt:lpstr>
      <vt:lpstr>Conjuros_Gemas</vt:lpstr>
      <vt:lpstr>Conjuros_grimorio</vt:lpstr>
      <vt:lpstr>Conjuros_Guerra</vt:lpstr>
      <vt:lpstr>Conjuros_Ilusión</vt:lpstr>
      <vt:lpstr>Conjuros_Ley</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Conjuros_Olvido</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Constructos_Armadura</vt:lpstr>
      <vt:lpstr>Constructos_AtaqueEspecial</vt:lpstr>
      <vt:lpstr>Constructos_Atributos</vt:lpstr>
      <vt:lpstr>Constructos_EfectoEspecial</vt:lpstr>
      <vt:lpstr>Constructos_ListaAtributos</vt:lpstr>
      <vt:lpstr>constructos_modulo1</vt:lpstr>
      <vt:lpstr>constructos_modulo10</vt:lpstr>
      <vt:lpstr>constructos_modulo2</vt:lpstr>
      <vt:lpstr>constructos_modulo3</vt:lpstr>
      <vt:lpstr>constructos_modulo4</vt:lpstr>
      <vt:lpstr>constructos_modulo5</vt:lpstr>
      <vt:lpstr>constructos_modulo6</vt:lpstr>
      <vt:lpstr>constructos_modulo7</vt:lpstr>
      <vt:lpstr>constructos_modulo8</vt:lpstr>
      <vt:lpstr>constructos_modulo9</vt:lpstr>
      <vt:lpstr>Constructos_Módulos</vt:lpstr>
      <vt:lpstr>Constructos_Secundarias</vt:lpstr>
      <vt:lpstr>Controlar_final</vt:lpstr>
      <vt:lpstr>ControldelKi</vt:lpstr>
      <vt:lpstr>Convocar_final</vt:lpstr>
      <vt:lpstr>cristales_psi</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Estaciones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InvestigacionPsi_Final</vt:lpstr>
      <vt:lpstr>Invocaciones</vt:lpstr>
      <vt:lpstr>InvPod_Aeriel</vt:lpstr>
      <vt:lpstr>InvPod_Ambrose</vt:lpstr>
      <vt:lpstr>InvPod_Amon</vt:lpstr>
      <vt:lpstr>InvPod_Anassilish</vt:lpstr>
      <vt:lpstr>InvPod_Arturia</vt:lpstr>
      <vt:lpstr>InvPod_Athoz</vt:lpstr>
      <vt:lpstr>InvPod_BaalBeelzebub</vt:lpstr>
      <vt:lpstr>InvPod_Barbatos</vt:lpstr>
      <vt:lpstr>InvPod_Behemoth</vt:lpstr>
      <vt:lpstr>InvPod_Buer</vt:lpstr>
      <vt:lpstr>InvPod_Byakko</vt:lpstr>
      <vt:lpstr>InvPod_Caronte</vt:lpstr>
      <vt:lpstr>InvPod_Decarabian</vt:lpstr>
      <vt:lpstr>InvPod_Devah</vt:lpstr>
      <vt:lpstr>InvPod_DoloresDei</vt:lpstr>
      <vt:lpstr>InvPod_Druaga</vt:lpstr>
      <vt:lpstr>InvPod_Eiko</vt:lpstr>
      <vt:lpstr>InvPod_Eir</vt:lpstr>
      <vt:lpstr>InvPod_ElCarro</vt:lpstr>
      <vt:lpstr>InvPod_ElCarroInvertido</vt:lpstr>
      <vt:lpstr>InvPod_ElColgado</vt:lpstr>
      <vt:lpstr>InvPod_ElColgadoInvertido</vt:lpstr>
      <vt:lpstr>InvPod_ElDiablo</vt:lpstr>
      <vt:lpstr>InvPod_ElDiabloInvertido</vt:lpstr>
      <vt:lpstr>InvPod_ElEmperador</vt:lpstr>
      <vt:lpstr>InvPod_ElEmperadorInvertido</vt:lpstr>
      <vt:lpstr>InvPod_ElErmitaño</vt:lpstr>
      <vt:lpstr>InvPod_ElErmitañoInvertido</vt:lpstr>
      <vt:lpstr>InvPod_ElHierofante</vt:lpstr>
      <vt:lpstr>InvPod_ElHierofanteInvertido</vt:lpstr>
      <vt:lpstr>InvPod_ElJuicio</vt:lpstr>
      <vt:lpstr>InvPod_ElJuicioInvertido</vt:lpstr>
      <vt:lpstr>InvPod_ElLoco</vt:lpstr>
      <vt:lpstr>InvPod_ElLocoInvertido</vt:lpstr>
      <vt:lpstr>InvPod_ElMundo</vt:lpstr>
      <vt:lpstr>InvPod_ElMundoInvertido</vt:lpstr>
      <vt:lpstr>InvPod_ElSol</vt:lpstr>
      <vt:lpstr>InvPod_ElSolInvertido</vt:lpstr>
      <vt:lpstr>InvPod_ElSumoSacerdote</vt:lpstr>
      <vt:lpstr>InvPod_ElSumoSacerdoteInvertido</vt:lpstr>
      <vt:lpstr>InvPod_ElVendedor</vt:lpstr>
      <vt:lpstr>InvPod_Emiya</vt:lpstr>
      <vt:lpstr>InvPod_Enamon</vt:lpstr>
      <vt:lpstr>InvPod_Ethelthryth</vt:lpstr>
      <vt:lpstr>InvPod_Foçalors</vt:lpstr>
      <vt:lpstr>InvPod_Forseti</vt:lpstr>
      <vt:lpstr>InvPod_Galgaliel</vt:lpstr>
      <vt:lpstr>InvPod_Garuda</vt:lpstr>
      <vt:lpstr>InvPod_Genbu</vt:lpstr>
      <vt:lpstr>InvPod_Gygjur</vt:lpstr>
      <vt:lpstr>InvPod_Hermod</vt:lpstr>
      <vt:lpstr>InvPod_Holst</vt:lpstr>
      <vt:lpstr>InvPod_HuginnMuninn</vt:lpstr>
      <vt:lpstr>InvPod_Idea</vt:lpstr>
      <vt:lpstr>InvPod_Idun</vt:lpstr>
      <vt:lpstr>InvPod_Kagutsuchi</vt:lpstr>
      <vt:lpstr>InvPod_Kha</vt:lpstr>
      <vt:lpstr>InvPod_Kirin</vt:lpstr>
      <vt:lpstr>InvPod_Kristoff</vt:lpstr>
      <vt:lpstr>InvPod_LaEmperatriz</vt:lpstr>
      <vt:lpstr>InvPod_LaEmperatrizInvertida</vt:lpstr>
      <vt:lpstr>InvPod_LaEstrella</vt:lpstr>
      <vt:lpstr>InvPod_LaEstrellaInvertida</vt:lpstr>
      <vt:lpstr>InvPod_LaFuerza</vt:lpstr>
      <vt:lpstr>InvPod_LaFuerzaInvertida</vt:lpstr>
      <vt:lpstr>InvPod_LaJusticia</vt:lpstr>
      <vt:lpstr>InvPod_LaJusticiaInvertida</vt:lpstr>
      <vt:lpstr>InvPod_LaLuna</vt:lpstr>
      <vt:lpstr>InvPod_LaLunaInvertida</vt:lpstr>
      <vt:lpstr>InvPod_LaMuerte</vt:lpstr>
      <vt:lpstr>InvPod_LaMuerteInvertida</vt:lpstr>
      <vt:lpstr>InvPod_LaRueda</vt:lpstr>
      <vt:lpstr>InvPod_LaRuedaInvertida</vt:lpstr>
      <vt:lpstr>InvPod_LaSumaSacerdotisa</vt:lpstr>
      <vt:lpstr>InvPod_LaSumaSacerdotisaInvertida</vt:lpstr>
      <vt:lpstr>InvPod_LaTemplanza</vt:lpstr>
      <vt:lpstr>InvPod_LaTemplanzaInvertida</vt:lpstr>
      <vt:lpstr>InvPod_LaTorre</vt:lpstr>
      <vt:lpstr>InvPod_LaTorreInvertida</vt:lpstr>
      <vt:lpstr>InvPod_Leviathan</vt:lpstr>
      <vt:lpstr>InvPod_Linx</vt:lpstr>
      <vt:lpstr>InvPod_LixTetrax</vt:lpstr>
      <vt:lpstr>InvPod_Loly</vt:lpstr>
      <vt:lpstr>InvPod_LoPao</vt:lpstr>
      <vt:lpstr>InvPod_LosEnamorados</vt:lpstr>
      <vt:lpstr>InvPod_LosEnamoradosInvertidos</vt:lpstr>
      <vt:lpstr>InvPod_Mebagaresi</vt:lpstr>
      <vt:lpstr>InvPod_Mephisto</vt:lpstr>
      <vt:lpstr>InvPod_Morax</vt:lpstr>
      <vt:lpstr>InvPod_Murata</vt:lpstr>
      <vt:lpstr>InvPod_Myyah</vt:lpstr>
      <vt:lpstr>InvPod_Naaga</vt:lpstr>
      <vt:lpstr>InvPod_Nerval</vt:lpstr>
      <vt:lpstr>InvPod_Osial</vt:lpstr>
      <vt:lpstr>InvPod_Paimon</vt:lpstr>
      <vt:lpstr>InvPod_Pandora</vt:lpstr>
      <vt:lpstr>InvPod_Phandemonium</vt:lpstr>
      <vt:lpstr>InvPod_Quezcatli</vt:lpstr>
      <vt:lpstr>InvPod_Raksasha</vt:lpstr>
      <vt:lpstr>InvPod_Ruatha</vt:lpstr>
      <vt:lpstr>InvPod_Rudraskha</vt:lpstr>
      <vt:lpstr>InvPod_Ryukka</vt:lpstr>
      <vt:lpstr>InvPod_Seiryu</vt:lpstr>
      <vt:lpstr>InvPod_Shephirah</vt:lpstr>
      <vt:lpstr>InvPod_Suzaku</vt:lpstr>
      <vt:lpstr>InvPod_T’xalazarh</vt:lpstr>
      <vt:lpstr>InvPod_Tawil</vt:lpstr>
      <vt:lpstr>InvPod_Thanathos</vt:lpstr>
      <vt:lpstr>InvPod_Thelxie’kalarr</vt:lpstr>
      <vt:lpstr>InvPod_UlriokaSeñor</vt:lpstr>
      <vt:lpstr>InvPod_Vanitas</vt:lpstr>
      <vt:lpstr>InvPod_Veles</vt:lpstr>
      <vt:lpstr>InvPod_Vilfain</vt:lpstr>
      <vt:lpstr>InvPod_Wang</vt:lpstr>
      <vt:lpstr>InvPod_Ziz</vt:lpstr>
      <vt:lpstr>InvPod_Zvilpogghua</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Mejoras_Apuestas</vt:lpstr>
      <vt:lpstr>Mejoras_Caos</vt:lpstr>
      <vt:lpstr>Mejoras_Conocimiento</vt:lpstr>
      <vt:lpstr>Mejoras_Curación</vt:lpstr>
      <vt:lpstr>Mejoras_Energía</vt:lpstr>
      <vt:lpstr>Mejoras_Espacio</vt:lpstr>
      <vt:lpstr>Mejoras_Estaciones</vt:lpstr>
      <vt:lpstr>Mejoras_Fantasía</vt:lpstr>
      <vt:lpstr>Mejoras_Fuego</vt:lpstr>
      <vt:lpstr>Mejoras_Gemas</vt:lpstr>
      <vt:lpstr>Mejoras_Guerra</vt:lpstr>
      <vt:lpstr>Mejoras_Ilusión</vt:lpstr>
      <vt:lpstr>Mejoras_Ley</vt:lpstr>
      <vt:lpstr>Mejoras_Literae</vt:lpstr>
      <vt:lpstr>Mejoras_Luz</vt:lpstr>
      <vt:lpstr>Mejoras_Muerte</vt:lpstr>
      <vt:lpstr>Mejoras_Musical</vt:lpstr>
      <vt:lpstr>Mejoras_Naturaleza</vt:lpstr>
      <vt:lpstr>Mejoras_Nobleza</vt:lpstr>
      <vt:lpstr>Mejoras_Olvido</vt:lpstr>
      <vt:lpstr>Mejoras_Oscuridad</vt:lpstr>
      <vt:lpstr>Mejoras_Paz</vt:lpstr>
      <vt:lpstr>Mejoras_Pecado</vt:lpstr>
      <vt:lpstr>Mejoras_Sangre</vt:lpstr>
      <vt:lpstr>Mejoras_Sheele</vt:lpstr>
      <vt:lpstr>Mejoras_Sueños</vt:lpstr>
      <vt:lpstr>Mejoras_Tiempo</vt:lpstr>
      <vt:lpstr>Mejoras_Tierra</vt:lpstr>
      <vt:lpstr>Mejoras_Umbral</vt:lpstr>
      <vt:lpstr>Mejoras_Vacío</vt:lpstr>
      <vt:lpstr>MejorasSheele_General</vt:lpstr>
      <vt:lpstr>Memorizar_final</vt:lpstr>
      <vt:lpstr>Meseguis</vt:lpstr>
      <vt:lpstr>Mikael</vt:lpstr>
      <vt:lpstr>Mod_ATA</vt:lpstr>
      <vt:lpstr>Mod_Fisico</vt:lpstr>
      <vt:lpstr>Modulos</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NotasConstructos</vt:lpstr>
      <vt:lpstr>NotasConstructosTitulo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PodHab_AbsorciónElemental</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PodHab_DisrupciónSobrenatural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PodHab_MovimientoExistencial</vt:lpstr>
      <vt:lpstr>PodHab_Mutabilidad</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PodHab_Vórtice</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Tabla_ArsCognitiam</vt:lpstr>
      <vt:lpstr>Tabla_ArsInanimis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Tabla_Constructos</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Tabla_GrimorioInvocaciones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Tabla_NivelPsiquico</vt:lpstr>
      <vt:lpstr>Tabla_NumAcciones</vt:lpstr>
      <vt:lpstr>Tabla_NumeroConjurosLA</vt:lpstr>
      <vt:lpstr>Tabla_PatronesM</vt:lpstr>
      <vt:lpstr>Tabla_PodCriatura</vt:lpstr>
      <vt:lpstr>Tabla_PoderesInvocaciones</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Roger Coll</cp:lastModifiedBy>
  <cp:lastPrinted>2023-06-10T09:18:44Z</cp:lastPrinted>
  <dcterms:created xsi:type="dcterms:W3CDTF">2015-03-24T15:47:25Z</dcterms:created>
  <dcterms:modified xsi:type="dcterms:W3CDTF">2026-08-25T11:21:37Z</dcterms:modified>
</cp:coreProperties>
</file>